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oes" sheetId="1" state="visible" r:id="rId1"/>
    <sheet xmlns:r="http://schemas.openxmlformats.org/officeDocument/2006/relationships" name="Calculo" sheetId="2" state="visible" r:id="rId2"/>
    <sheet xmlns:r="http://schemas.openxmlformats.org/officeDocument/2006/relationships" name="Ficha" sheetId="3" state="visible" r:id="rId3"/>
    <sheet xmlns:r="http://schemas.openxmlformats.org/officeDocument/2006/relationships" name="Consulta" sheetId="4" state="visible" r:id="rId4"/>
    <sheet xmlns:r="http://schemas.openxmlformats.org/officeDocument/2006/relationships" name="Painel" sheetId="5" state="visible" r:id="rId5"/>
    <sheet xmlns:r="http://schemas.openxmlformats.org/officeDocument/2006/relationships" name="ref_imc_0a5" sheetId="6" state="hidden" r:id="rId6"/>
    <sheet xmlns:r="http://schemas.openxmlformats.org/officeDocument/2006/relationships" name="ref_imc_5a19" sheetId="7" state="hidden" r:id="rId7"/>
    <sheet xmlns:r="http://schemas.openxmlformats.org/officeDocument/2006/relationships" name="ref_est_0a5" sheetId="8" state="hidden" r:id="rId8"/>
    <sheet xmlns:r="http://schemas.openxmlformats.org/officeDocument/2006/relationships" name="ref_est_5a19" sheetId="9" state="hidden" r:id="rId9"/>
    <sheet xmlns:r="http://schemas.openxmlformats.org/officeDocument/2006/relationships" name="ref_peso_0a5" sheetId="10" state="hidden" r:id="rId10"/>
    <sheet xmlns:r="http://schemas.openxmlformats.org/officeDocument/2006/relationships" name="ref_peso_5a10" sheetId="11" state="hidden" r:id="rId11"/>
    <sheet xmlns:r="http://schemas.openxmlformats.org/officeDocument/2006/relationships" name="ref_peso_comp" sheetId="12" state="hidden" r:id="rId12"/>
    <sheet xmlns:r="http://schemas.openxmlformats.org/officeDocument/2006/relationships" name="ref_peso_alt" sheetId="13" state="hidden" r:id="rId13"/>
    <sheet xmlns:r="http://schemas.openxmlformats.org/officeDocument/2006/relationships" name="Banco" sheetId="14" state="hidden" r:id="rId14"/>
  </sheets>
  <definedNames>
    <definedName name="imc05_k">ref_imc_0a5!$A$2:$A$3655</definedName>
    <definedName name="imc05_l">ref_imc_0a5!$D$2:$D$3655</definedName>
    <definedName name="imc05_m">ref_imc_0a5!$E$2:$E$3655</definedName>
    <definedName name="imc05_s">ref_imc_0a5!$F$2:$F$3655</definedName>
    <definedName name="imc519_k">ref_imc_5a19!$A$2:$A$337</definedName>
    <definedName name="imc519_l">ref_imc_5a19!$D$2:$D$337</definedName>
    <definedName name="imc519_m">ref_imc_5a19!$E$2:$E$337</definedName>
    <definedName name="imc519_s">ref_imc_5a19!$F$2:$F$337</definedName>
    <definedName name="est05_k">ref_est_0a5!$A$2:$A$3655</definedName>
    <definedName name="est05_l">ref_est_0a5!$D$2:$D$3655</definedName>
    <definedName name="est05_m">ref_est_0a5!$E$2:$E$3655</definedName>
    <definedName name="est05_s">ref_est_0a5!$F$2:$F$3655</definedName>
    <definedName name="est519_k">ref_est_5a19!$A$2:$A$337</definedName>
    <definedName name="est519_l">ref_est_5a19!$D$2:$D$337</definedName>
    <definedName name="est519_m">ref_est_5a19!$E$2:$E$337</definedName>
    <definedName name="est519_s">ref_est_5a19!$F$2:$F$337</definedName>
    <definedName name="peso05_k">ref_peso_0a5!$A$2:$A$3655</definedName>
    <definedName name="peso05_l">ref_peso_0a5!$D$2:$D$3655</definedName>
    <definedName name="peso05_m">ref_peso_0a5!$E$2:$E$3655</definedName>
    <definedName name="peso05_s">ref_peso_0a5!$F$2:$F$3655</definedName>
    <definedName name="peso510_k">ref_peso_5a10!$A$2:$A$123</definedName>
    <definedName name="peso510_l">ref_peso_5a10!$D$2:$D$123</definedName>
    <definedName name="peso510_m">ref_peso_5a10!$E$2:$E$123</definedName>
    <definedName name="peso510_s">ref_peso_5a10!$F$2:$F$123</definedName>
    <definedName name="pcomp_k">ref_peso_comp!$A$2:$A$1303</definedName>
    <definedName name="pcomp_l">ref_peso_comp!$D$2:$D$1303</definedName>
    <definedName name="pcomp_m">ref_peso_comp!$E$2:$E$1303</definedName>
    <definedName name="pcomp_s">ref_peso_comp!$F$2:$F$1303</definedName>
    <definedName name="palt_k">ref_peso_alt!$A$2:$A$1103</definedName>
    <definedName name="palt_l">ref_peso_alt!$D$2:$D$1103</definedName>
    <definedName name="palt_m">ref_peso_alt!$E$2:$E$1103</definedName>
    <definedName name="palt_s">ref_peso_alt!$F$2:$F$1103</definedName>
    <definedName name="caminho_bd">Instrucoes!$C$29</definedName>
    <definedName name="calc_ID">Calculo!$A$2:$A$1501</definedName>
    <definedName name="calc_Nome">Calculo!$B$2:$B$1501</definedName>
    <definedName name="calc_Data">Calculo!$E$2:$E$1501</definedName>
    <definedName name="calc_zIMC">Calculo!$K$2:$K$1501</definedName>
    <definedName name="calc_dIMC">Calculo!$L$2:$L$1501</definedName>
    <definedName name="calc_zEst">Calculo!$M$2:$M$1501</definedName>
    <definedName name="calc_dEst">Calculo!$N$2:$N$1501</definedName>
    <definedName name="calc_zPeso">Calculo!$O$2:$O$1501</definedName>
    <definedName name="calc_dPeso">Calculo!$P$2:$P$1501</definedName>
    <definedName name="calc_zPE">Calculo!$Q$2:$Q$1501</definedName>
    <definedName name="calc_dPE">Calculo!$R$2:$R$1501</definedName>
    <definedName name="calc_seq">Calculo!$AZ$2:$AZ$1501</definedName>
    <definedName name="calc_meses">Calculo!$T$2:$T$1501</definedName>
    <definedName name="_xlnm._FilterDatabase" localSheetId="1" hidden="1">'Calculo'!$A$1:$R$1501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0.0%"/>
  </numFmts>
  <fonts count="12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808080"/>
      <sz val="10"/>
    </font>
    <font>
      <sz val="11"/>
    </font>
    <font>
      <b val="1"/>
      <color rgb="001F4E79"/>
      <sz val="12"/>
    </font>
    <font>
      <b val="1"/>
      <color rgb="002E75B6"/>
      <sz val="12"/>
    </font>
    <font>
      <b val="1"/>
      <color rgb="00FFFFFF"/>
      <sz val="11"/>
    </font>
    <font>
      <b val="1"/>
    </font>
    <font>
      <b val="1"/>
      <sz val="12"/>
    </font>
    <font>
      <b val="1"/>
      <sz val="11"/>
    </font>
    <font>
      <b val="1"/>
      <sz val="13"/>
    </font>
    <font>
      <b val="1"/>
      <color rgb="001F4E79"/>
      <sz val="13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164" fontId="0" fillId="3" borderId="0" pivotButton="0" quotePrefix="0" xfId="0"/>
    <xf numFmtId="2" fontId="0" fillId="3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0" fillId="4" borderId="1" pivotButton="0" quotePrefix="0" xfId="0"/>
    <xf numFmtId="0" fontId="8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164" fontId="0" fillId="4" borderId="1" pivotButton="0" quotePrefix="0" xfId="0"/>
    <xf numFmtId="0" fontId="8" fillId="0" borderId="0" pivotButton="0" quotePrefix="0" xfId="0"/>
    <xf numFmtId="0" fontId="10" fillId="0" borderId="0" pivotButton="0" quotePrefix="0" xfId="0"/>
    <xf numFmtId="0" fontId="6" fillId="2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6">
    <dxf>
      <font>
        <color rgb="00006100"/>
      </font>
      <fill>
        <patternFill patternType="solid">
          <fgColor rgb="00C6EFCE"/>
        </patternFill>
      </fill>
    </dxf>
    <dxf>
      <font>
        <color rgb="009C65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b val="1"/>
        <color rgb="00006100"/>
        <sz val="12"/>
      </font>
      <fill>
        <patternFill patternType="solid">
          <fgColor rgb="00C6EFCE"/>
        </patternFill>
      </fill>
    </dxf>
    <dxf>
      <font>
        <b val="1"/>
        <color rgb="009C6500"/>
        <sz val="12"/>
      </font>
      <fill>
        <patternFill patternType="solid">
          <fgColor rgb="00FFEB9C"/>
        </patternFill>
      </fill>
    </dxf>
    <dxf>
      <font>
        <b val="1"/>
        <color rgb="009C0006"/>
        <sz val="12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Evolucao dos escores-z</a:t>
            </a:r>
          </a:p>
        </rich>
      </tx>
    </title>
    <plotArea>
      <lineChart>
        <grouping val="standard"/>
        <ser>
          <idx val="0"/>
          <order val="0"/>
          <tx>
            <strRef>
              <f>'Ficha'!D10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'Ficha'!$C$11:$C$40</f>
            </numRef>
          </cat>
          <val>
            <numRef>
              <f>'Ficha'!$D$11:$D$40</f>
            </numRef>
          </val>
        </ser>
        <ser>
          <idx val="1"/>
          <order val="1"/>
          <tx>
            <strRef>
              <f>'Ficha'!F10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'Ficha'!$C$11:$C$40</f>
            </numRef>
          </cat>
          <val>
            <numRef>
              <f>'Ficha'!$F$11:$F$40</f>
            </numRef>
          </val>
        </ser>
        <ser>
          <idx val="2"/>
          <order val="2"/>
          <tx>
            <strRef>
              <f>'Ficha'!G10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'Ficha'!$C$11:$C$40</f>
            </numRef>
          </cat>
          <val>
            <numRef>
              <f>'Ficha'!$G$11:$G$40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escore-z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IMC/idade (N por categoria)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'Painel'!C8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'Painel'!$B$9:$B$15</f>
            </numRef>
          </cat>
          <val>
            <numRef>
              <f>'Painel'!$C$9:$C$15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110" customWidth="1" min="2" max="2"/>
  </cols>
  <sheetData>
    <row r="2" ht="16" customHeight="1">
      <c r="B2" s="1" t="inlineStr">
        <is>
          <t>Avaliação Nutricional Infantil (0 a 19 anos) — OMS / SISVAN</t>
        </is>
      </c>
    </row>
    <row r="3" ht="16" customHeight="1">
      <c r="B3" s="2" t="inlineStr">
        <is>
          <t>Calculadora de escores-z e diagnóstico nutricional (padrão OMS 2006/2007).</t>
        </is>
      </c>
    </row>
    <row r="4" ht="16" customHeight="1">
      <c r="B4" s="3" t="inlineStr"/>
    </row>
    <row r="5" ht="16" customHeight="1">
      <c r="B5" s="4" t="inlineStr">
        <is>
          <t>COMO USAR — 3 PASSOS</t>
        </is>
      </c>
    </row>
    <row r="6" ht="16" customHeight="1">
      <c r="B6" s="5" t="inlineStr">
        <is>
          <t>1. Digite as medições</t>
        </is>
      </c>
    </row>
    <row r="7" ht="30" customHeight="1">
      <c r="B7" s="3" t="inlineStr">
        <is>
          <t>No arquivo BD_AvaliacaoNutricional.xlsx, aba Dados: uma linha por medição. Use sempre o mesmo ID/Prontuário para acompanhar a mesma criança ao longo do tempo.</t>
        </is>
      </c>
    </row>
    <row r="8" ht="16" customHeight="1">
      <c r="B8" s="5" t="inlineStr">
        <is>
          <t>2. Abra a Calculadora</t>
        </is>
      </c>
    </row>
    <row r="9" ht="30" customHeight="1">
      <c r="B9" s="3" t="inlineStr">
        <is>
          <t>Ela puxa o banco sozinha. Na primeira vez, clique em 'Habilitar Conteúdo'. Depois de mudar o banco, atualize em Dados &gt; Atualizar Tudo.</t>
        </is>
      </c>
    </row>
    <row r="10" ht="16" customHeight="1">
      <c r="B10" s="5" t="inlineStr">
        <is>
          <t>3. Veja os resultados</t>
        </is>
      </c>
    </row>
    <row r="11" ht="30" customHeight="1">
      <c r="B11" s="3" t="inlineStr">
        <is>
          <t>CÁLCULO traz tudo calculado e colorido · FICHA mostra o histórico de uma criança · CONSULTA faz um cálculo avulso · PAINEL resume a turma/unidade.</t>
        </is>
      </c>
    </row>
    <row r="12" ht="16" customHeight="1">
      <c r="B12" s="3" t="inlineStr"/>
    </row>
    <row r="13" ht="16" customHeight="1">
      <c r="B13" s="4" t="inlineStr">
        <is>
          <t>DICAS IMPORTANTES:</t>
        </is>
      </c>
    </row>
    <row r="14" ht="16" customHeight="1">
      <c r="B14" s="3" t="inlineStr">
        <is>
          <t>• Mantenha os dois arquivos na MESMA PASTA local do computador (evite OneDrive/Drive).</t>
        </is>
      </c>
    </row>
    <row r="15" ht="16" customHeight="1">
      <c r="B15" s="3" t="inlineStr">
        <is>
          <t>• Preencha Data de nascimento e Data da medida — a idade é calculada sozinha.</t>
        </is>
      </c>
    </row>
    <row r="16" ht="16" customHeight="1">
      <c r="B16" s="3" t="inlineStr">
        <is>
          <t>• Você só digita no BANCO. Na Calculadora, não edite as colunas cinza (são cálculos).</t>
        </is>
      </c>
    </row>
    <row r="17" ht="30" customHeight="1">
      <c r="B17" s="3" t="inlineStr">
        <is>
          <t>• Peso/idade só até 10 anos e Peso/estatura só até 5 anos (padrão OMS); fora dessas faixas aparece o símbolo —.</t>
        </is>
      </c>
    </row>
    <row r="18" ht="30" customHeight="1">
      <c r="B18" s="2" t="inlineStr">
        <is>
          <t>Outros detalhes (medida deitado/em pé, mais de 1500 medições, etc.) estão no Guia rápido — Avaliação Nutricional.docx.</t>
        </is>
      </c>
    </row>
    <row r="19" ht="16" customHeight="1">
      <c r="B19" s="3" t="inlineStr"/>
    </row>
    <row r="20" ht="16" customHeight="1">
      <c r="B20" s="4" t="inlineStr">
        <is>
          <t>CLASSIFICAÇÃO (SISVAN / Ministério da Saúde):</t>
        </is>
      </c>
    </row>
    <row r="21" ht="30" customHeight="1">
      <c r="B21" s="3" t="inlineStr">
        <is>
          <t>IMC/idade &lt; 5 anos:  &lt; -3 Magreza acentuada | -3 a &lt; -2 Magreza | -2 a +1 Eutrofia | &gt; +1 a +2 Risco de sobrepeso | &gt; +2 a +3 Sobrepeso | &gt; +3 Obesidade</t>
        </is>
      </c>
    </row>
    <row r="22" ht="30" customHeight="1">
      <c r="B22" s="3" t="inlineStr">
        <is>
          <t>IMC/idade 5 a 19 anos:  &lt; -3 Magreza acentuada | -3 a &lt; -2 Magreza | -2 a +1 Eutrofia | &gt; +1 a +2 Sobrepeso | &gt; +2 a +3 Obesidade | &gt; +3 Obesidade grave</t>
        </is>
      </c>
    </row>
    <row r="23" ht="16" customHeight="1">
      <c r="B23" s="3" t="inlineStr">
        <is>
          <t>Estatura/idade:  &lt; -3 Muito baixa | -3 a &lt; -2 Baixa | ≥ -2 Adequada</t>
        </is>
      </c>
    </row>
    <row r="24" ht="30" customHeight="1">
      <c r="B24" s="3" t="inlineStr">
        <is>
          <t>Peso/idade (0 a 10 anos):  &lt; -3 Muito baixo | -3 a &lt; -2 Baixo | -2 a +2 Adequado | &gt; +2 Elevado</t>
        </is>
      </c>
    </row>
    <row r="25" ht="16" customHeight="1">
      <c r="B25" s="3" t="inlineStr">
        <is>
          <t>Peso/estatura (0 a 5 anos): mesmos cortes do IMC/idade &lt; 5 anos.</t>
        </is>
      </c>
    </row>
    <row r="26" ht="16" customHeight="1">
      <c r="B26" s="3" t="inlineStr"/>
    </row>
    <row r="27" ht="30" customHeight="1">
      <c r="B27" s="2" t="inlineStr">
        <is>
          <t>Fontes: WHO Child Growth Standards (2006, 0–5 anos) e WHO Growth Reference (2007, 5–19 anos). Escores-z pelo método LMS, com o ajuste da OMS para |z| &gt; 3 nos índices baseados em peso.</t>
        </is>
      </c>
    </row>
    <row r="29">
      <c r="B29" s="6" t="inlineStr">
        <is>
          <t>Caminho do banco de dados (detectado automaticamente):</t>
        </is>
      </c>
      <c r="C29" s="6">
        <f>IFERROR(LEFT(CELL("filename",$A$1),FIND("[",CELL("filename",$A$1))-1)&amp;"BD_AvaliacaoNutricional.xlsx","(salve este arquivo na mesma pasta do banco)")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1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1" customWidth="1" min="3" max="3"/>
    <col width="12" customWidth="1" min="4" max="4"/>
    <col width="12" customWidth="1" min="5" max="5"/>
    <col width="9" customWidth="1" min="6" max="6"/>
    <col width="10" customWidth="1" min="7" max="7"/>
    <col width="10" customWidth="1" min="8" max="8"/>
    <col width="9" customWidth="1" min="9" max="9"/>
    <col width="7" customWidth="1" min="10" max="10"/>
    <col width="8" customWidth="1" min="11" max="11"/>
    <col width="19" customWidth="1" min="12" max="12"/>
    <col width="9" customWidth="1" min="13" max="13"/>
    <col width="19" customWidth="1" min="14" max="14"/>
    <col width="8" customWidth="1" min="15" max="15"/>
    <col width="18" customWidth="1" min="16" max="16"/>
    <col width="9" customWidth="1" min="17" max="17"/>
    <col width="19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</cols>
  <sheetData>
    <row r="1">
      <c r="A1" s="7" t="inlineStr">
        <is>
          <t>ID / Prontuário</t>
        </is>
      </c>
      <c r="B1" s="7" t="inlineStr">
        <is>
          <t>Nome</t>
        </is>
      </c>
      <c r="C1" s="7" t="inlineStr">
        <is>
          <t>Sexo</t>
        </is>
      </c>
      <c r="D1" s="7" t="inlineStr">
        <is>
          <t>Data nasc.</t>
        </is>
      </c>
      <c r="E1" s="7" t="inlineStr">
        <is>
          <t>Data da medida</t>
        </is>
      </c>
      <c r="F1" s="7" t="inlineStr">
        <is>
          <t>Peso (kg)</t>
        </is>
      </c>
      <c r="G1" s="7" t="inlineStr">
        <is>
          <t>Altura (cm)</t>
        </is>
      </c>
      <c r="H1" s="7" t="inlineStr">
        <is>
          <t>Medida</t>
        </is>
      </c>
      <c r="I1" s="7" t="inlineStr">
        <is>
          <t>Idade</t>
        </is>
      </c>
      <c r="J1" s="7" t="inlineStr">
        <is>
          <t>IMC</t>
        </is>
      </c>
      <c r="K1" s="7" t="inlineStr">
        <is>
          <t>Z IMC/idade</t>
        </is>
      </c>
      <c r="L1" s="7" t="inlineStr">
        <is>
          <t>Diagnóstico IMC/idade</t>
        </is>
      </c>
      <c r="M1" s="7" t="inlineStr">
        <is>
          <t>Z Estatura/idade</t>
        </is>
      </c>
      <c r="N1" s="7" t="inlineStr">
        <is>
          <t>Diagnóstico Estatura/idade</t>
        </is>
      </c>
      <c r="O1" s="7" t="inlineStr">
        <is>
          <t>Z Peso/idade</t>
        </is>
      </c>
      <c r="P1" s="7" t="inlineStr">
        <is>
          <t>Diagnóstico Peso/idade</t>
        </is>
      </c>
      <c r="Q1" s="7" t="inlineStr">
        <is>
          <t>Z Peso/estatura</t>
        </is>
      </c>
      <c r="R1" s="7" t="inlineStr">
        <is>
          <t>Diagnóstico Peso/estatura</t>
        </is>
      </c>
      <c r="S1" s="7" t="inlineStr">
        <is>
          <t>sexo_n</t>
        </is>
      </c>
      <c r="T1" s="7" t="inlineStr">
        <is>
          <t>meses</t>
        </is>
      </c>
      <c r="U1" s="7" t="inlineStr">
        <is>
          <t>dias</t>
        </is>
      </c>
      <c r="V1" s="7" t="inlineStr">
        <is>
          <t>comp</t>
        </is>
      </c>
      <c r="W1" s="7" t="inlineStr">
        <is>
          <t>k_age</t>
        </is>
      </c>
      <c r="X1" s="7" t="inlineStr">
        <is>
          <t>k_pe</t>
        </is>
      </c>
      <c r="Y1" s="7" t="inlineStr">
        <is>
          <t>Limc</t>
        </is>
      </c>
      <c r="Z1" s="7" t="inlineStr">
        <is>
          <t>Mimc</t>
        </is>
      </c>
      <c r="AA1" s="7" t="inlineStr">
        <is>
          <t>Simc</t>
        </is>
      </c>
      <c r="AB1" s="7" t="inlineStr">
        <is>
          <t>zrimc</t>
        </is>
      </c>
      <c r="AC1" s="7" t="inlineStr">
        <is>
          <t>sd2pi</t>
        </is>
      </c>
      <c r="AD1" s="7" t="inlineStr">
        <is>
          <t>sd3pi</t>
        </is>
      </c>
      <c r="AE1" s="7" t="inlineStr">
        <is>
          <t>sd2ni</t>
        </is>
      </c>
      <c r="AF1" s="7" t="inlineStr">
        <is>
          <t>sd3ni</t>
        </is>
      </c>
      <c r="AG1" s="7" t="inlineStr">
        <is>
          <t>Lest</t>
        </is>
      </c>
      <c r="AH1" s="7" t="inlineStr">
        <is>
          <t>Mest</t>
        </is>
      </c>
      <c r="AI1" s="7" t="inlineStr">
        <is>
          <t>Sest</t>
        </is>
      </c>
      <c r="AJ1" s="7" t="inlineStr">
        <is>
          <t>Lpeso</t>
        </is>
      </c>
      <c r="AK1" s="7" t="inlineStr">
        <is>
          <t>Mpeso</t>
        </is>
      </c>
      <c r="AL1" s="7" t="inlineStr">
        <is>
          <t>Speso</t>
        </is>
      </c>
      <c r="AM1" s="7" t="inlineStr">
        <is>
          <t>zrpeso</t>
        </is>
      </c>
      <c r="AN1" s="7" t="inlineStr">
        <is>
          <t>sd2pp</t>
        </is>
      </c>
      <c r="AO1" s="7" t="inlineStr">
        <is>
          <t>sd3pp</t>
        </is>
      </c>
      <c r="AP1" s="7" t="inlineStr">
        <is>
          <t>sd2np</t>
        </is>
      </c>
      <c r="AQ1" s="7" t="inlineStr">
        <is>
          <t>sd3np</t>
        </is>
      </c>
      <c r="AR1" s="7" t="inlineStr">
        <is>
          <t>Lpe</t>
        </is>
      </c>
      <c r="AS1" s="7" t="inlineStr">
        <is>
          <t>Mpe</t>
        </is>
      </c>
      <c r="AT1" s="7" t="inlineStr">
        <is>
          <t>Spe</t>
        </is>
      </c>
      <c r="AU1" s="7" t="inlineStr">
        <is>
          <t>zrpe</t>
        </is>
      </c>
      <c r="AV1" s="7" t="inlineStr">
        <is>
          <t>sd2pe</t>
        </is>
      </c>
      <c r="AW1" s="7" t="inlineStr">
        <is>
          <t>sd3pe</t>
        </is>
      </c>
      <c r="AX1" s="7" t="inlineStr">
        <is>
          <t>sd2ne</t>
        </is>
      </c>
      <c r="AY1" s="7" t="inlineStr">
        <is>
          <t>sd3ne</t>
        </is>
      </c>
      <c r="AZ1" s="7" t="inlineStr">
        <is>
          <t>fichaseq</t>
        </is>
      </c>
    </row>
    <row r="2">
      <c r="A2" s="8">
        <f>IF(INDEX(Banco!$A:$A,ROW())="","",INDEX(Banco!$A:$A,ROW()))</f>
        <v/>
      </c>
      <c r="B2" s="8">
        <f>IF(INDEX(Banco!$B:$B,ROW())="","",INDEX(Banco!$B:$B,ROW()))</f>
        <v/>
      </c>
      <c r="C2" s="8">
        <f>IF(INDEX(Banco!$C:$C,ROW())="","",INDEX(Banco!$C:$C,ROW()))</f>
        <v/>
      </c>
      <c r="D2" s="9">
        <f>IF(INDEX(Banco!$D:$D,ROW())="","",INDEX(Banco!$D:$D,ROW()))</f>
        <v/>
      </c>
      <c r="E2" s="9">
        <f>IF(INDEX(Banco!$E:$E,ROW())="","",INDEX(Banco!$E:$E,ROW()))</f>
        <v/>
      </c>
      <c r="F2" s="10">
        <f>IF(INDEX(Banco!$F:$F,ROW())="","",INDEX(Banco!$F:$F,ROW()))</f>
        <v/>
      </c>
      <c r="G2" s="10">
        <f>IF(INDEX(Banco!$G:$G,ROW())="","",INDEX(Banco!$G:$G,ROW()))</f>
        <v/>
      </c>
      <c r="H2" s="8">
        <f>IF(INDEX(Banco!$H:$H,ROW())="","",INDEX(Banco!$H:$H,ROW()))</f>
        <v/>
      </c>
      <c r="I2">
        <f>IF($T2="","",INT($T2/12)&amp;"a "&amp;MOD($T2,12)&amp;"m")</f>
        <v/>
      </c>
      <c r="J2" s="11">
        <f>IF(OR($F2="",$G2=""),"",ROUND($F2/($G2/100)^2,2))</f>
        <v/>
      </c>
      <c r="K2" s="12">
        <f>IF(OR($S2="",$J2="",$T2="",$T2&lt;0,$T2&gt;228,$Y2=""),"—",ROUND(IF(ABS($AB2)&lt;=3,$AB2,IF($AB2&gt;3,3+($J2-$AD2)/($AD2-$AC2),-3+($J2-$AF2)/($AE2-$AF2))),2))</f>
        <v/>
      </c>
      <c r="L2">
        <f>IF(OR($K2="",$K2="—"),"",IF($T2&lt;=60,IF($K2&lt;-3,"Magreza acentuada",IF($K2&lt;-2,"Magreza",IF($K2&lt;=1,"Eutrofia",IF($K2&lt;=2,"Risco de sobrepeso",IF($K2&lt;=3,"Sobrepeso","Obesidade"))))),IF($K2&lt;-3,"Magreza acentuada",IF($K2&lt;-2,"Magreza",IF($K2&lt;=1,"Eutrofia",IF($K2&lt;=2,"Sobrepeso",IF($K2&lt;=3,"Obesidade","Obesidade grave")))))))</f>
        <v/>
      </c>
      <c r="M2" s="12">
        <f>IF(OR($S2="",$V2="",$T2="",$T2&lt;0,$T2&gt;228,$AG2=""),"—",ROUND(IF($AG2=0,LN($V2/$AH2)/$AI2,((($V2/$AH2)^$AG2)-1)/($AG2*$AI2)),2))</f>
        <v/>
      </c>
      <c r="N2">
        <f>IF(OR($M2="",$M2="—"),"",IF($M2&lt;-3,"Muito baixa",IF($M2&lt;-2,"Baixa","Adequada")))</f>
        <v/>
      </c>
      <c r="O2" s="12">
        <f>IF(OR($S2="",$F2="",$T2="",$T2&lt;0,$T2&gt;120,$AJ2=""),"—",ROUND(IF(ABS($AM2)&lt;=3,$AM2,IF($AM2&gt;3,3+($F2-$AO2)/($AO2-$AN2),-3+($F2-$AQ2)/($AP2-$AQ2))),2))</f>
        <v/>
      </c>
      <c r="P2">
        <f>IF(OR($O2="",$O2="—"),"",IF($O2&lt;-3,"Muito baixo",IF($O2&lt;-2,"Baixo",IF($O2&lt;=2,"Adequado","Elevado"))))</f>
        <v/>
      </c>
      <c r="Q2" s="12">
        <f>IF(OR($S2="",$F2="",$T2="",$T2&lt;0,$T2&gt;60,$AR2=""),"—",ROUND(IF(ABS($AU2)&lt;=3,$AU2,IF($AU2&gt;3,3+($F2-$AW2)/($AW2-$AV2),-3+($F2-$AY2)/($AX2-$AY2))),2))</f>
        <v/>
      </c>
      <c r="R2">
        <f>IF(OR($Q2="",$Q2="—"),"",IF($Q2&lt;-3,"Magreza acentuada",IF($Q2&lt;-2,"Magreza",IF($Q2&lt;=1,"Eutrofia",IF($Q2&lt;=2,"Risco de sobrepeso",IF($Q2&lt;=3,"Sobrepeso","Obesidade"))))))</f>
        <v/>
      </c>
      <c r="S2">
        <f>IF($C2="","",IF(UPPER(LEFT($C2,1))="M",1,IF(UPPER(LEFT($C2,1))="F",2,"")))</f>
        <v/>
      </c>
      <c r="T2">
        <f>IF(OR($D2="",$E2=""),"",DATEDIF($D2,$E2,"m"))</f>
        <v/>
      </c>
      <c r="U2">
        <f>IF(OR($D2="",$E2=""),"",$E2-$D2)</f>
        <v/>
      </c>
      <c r="V2">
        <f>IF(OR($G2="",$T2=""),"",IF($T2&lt;24,IF(LEFT(LOWER($H2),4)="em p",$G2+0.7,$G2),IF(LEFT(LOWER($H2),4)="deit",$G2-0.7,$G2)))</f>
        <v/>
      </c>
      <c r="W2">
        <f>IF(OR($S2="",$T2=""),"",$S2*1000000+IF($T2&lt;=60,$U2,$T2))</f>
        <v/>
      </c>
      <c r="X2">
        <f>IF(OR($S2="",$V2="",$T2&gt;60,$T2=""),"",$S2*1000000+ROUND($V2*10,0))</f>
        <v/>
      </c>
      <c r="Y2">
        <f>IF($W2="","",IFERROR(INDEX(IF($T2&lt;=60,imc05_l,imc519_l),MATCH($W2,IF($T2&lt;=60,imc05_k,imc519_k),1)),""))</f>
        <v/>
      </c>
      <c r="Z2">
        <f>IF($W2="","",IFERROR(INDEX(IF($T2&lt;=60,imc05_m,imc519_m),MATCH($W2,IF($T2&lt;=60,imc05_k,imc519_k),1)),""))</f>
        <v/>
      </c>
      <c r="AA2">
        <f>IF($W2="","",IFERROR(INDEX(IF($T2&lt;=60,imc05_s,imc519_s),MATCH($W2,IF($T2&lt;=60,imc05_k,imc519_k),1)),""))</f>
        <v/>
      </c>
      <c r="AB2">
        <f>IF($Y2="","",IF($Y2=0,LN($J2/$Z2)/$AA2,((($J2/$Z2)^$Y2)-1)/($Y2*$AA2)))</f>
        <v/>
      </c>
      <c r="AC2">
        <f>IF($Y2="","",IF($Y2=0,$Z2*EXP($AA2*2),$Z2*(1+$Y2*$AA2*2)^(1/$Y2)))</f>
        <v/>
      </c>
      <c r="AD2">
        <f>IF($Y2="","",IF($Y2=0,$Z2*EXP($AA2*3),$Z2*(1+$Y2*$AA2*3)^(1/$Y2)))</f>
        <v/>
      </c>
      <c r="AE2">
        <f>IF($Y2="","",IF($Y2=0,$Z2*EXP($AA2*-2),$Z2*(1+$Y2*$AA2*-2)^(1/$Y2)))</f>
        <v/>
      </c>
      <c r="AF2">
        <f>IF($Y2="","",IF($Y2=0,$Z2*EXP($AA2*-3),$Z2*(1+$Y2*$AA2*-3)^(1/$Y2)))</f>
        <v/>
      </c>
      <c r="AG2">
        <f>IF($W2="","",IFERROR(INDEX(IF($T2&lt;=60,est05_l,est519_l),MATCH($W2,IF($T2&lt;=60,est05_k,est519_k),1)),""))</f>
        <v/>
      </c>
      <c r="AH2">
        <f>IF($W2="","",IFERROR(INDEX(IF($T2&lt;=60,est05_m,est519_m),MATCH($W2,IF($T2&lt;=60,est05_k,est519_k),1)),""))</f>
        <v/>
      </c>
      <c r="AI2">
        <f>IF($W2="","",IFERROR(INDEX(IF($T2&lt;=60,est05_s,est519_s),MATCH($W2,IF($T2&lt;=60,est05_k,est519_k),1)),""))</f>
        <v/>
      </c>
      <c r="AJ2">
        <f>IF($W2="","",IFERROR(INDEX(IF($T2&lt;=60,peso05_l,peso510_l),MATCH($W2,IF($T2&lt;=60,peso05_k,peso510_k),1)),""))</f>
        <v/>
      </c>
      <c r="AK2">
        <f>IF($W2="","",IFERROR(INDEX(IF($T2&lt;=60,peso05_m,peso510_m),MATCH($W2,IF($T2&lt;=60,peso05_k,peso510_k),1)),""))</f>
        <v/>
      </c>
      <c r="AL2">
        <f>IF($W2="","",IFERROR(INDEX(IF($T2&lt;=60,peso05_s,peso510_s),MATCH($W2,IF($T2&lt;=60,peso05_k,peso510_k),1)),""))</f>
        <v/>
      </c>
      <c r="AM2">
        <f>IF($AJ2="","",IF($AJ2=0,LN($F2/$AK2)/$AL2,((($F2/$AK2)^$AJ2)-1)/($AJ2*$AL2)))</f>
        <v/>
      </c>
      <c r="AN2">
        <f>IF($AJ2="","",IF($AJ2=0,$AK2*EXP($AL2*2),$AK2*(1+$AJ2*$AL2*2)^(1/$AJ2)))</f>
        <v/>
      </c>
      <c r="AO2">
        <f>IF($AJ2="","",IF($AJ2=0,$AK2*EXP($AL2*3),$AK2*(1+$AJ2*$AL2*3)^(1/$AJ2)))</f>
        <v/>
      </c>
      <c r="AP2">
        <f>IF($AJ2="","",IF($AJ2=0,$AK2*EXP($AL2*-2),$AK2*(1+$AJ2*$AL2*-2)^(1/$AJ2)))</f>
        <v/>
      </c>
      <c r="AQ2">
        <f>IF($AJ2="","",IF($AJ2=0,$AK2*EXP($AL2*-3),$AK2*(1+$AJ2*$AL2*-3)^(1/$AJ2)))</f>
        <v/>
      </c>
      <c r="AR2">
        <f>IF(OR($X2="",$T2&gt;60),"",IFERROR(INDEX(IF($T2&lt;24,pcomp_l,palt_l),MATCH($X2,IF($T2&lt;24,pcomp_k,palt_k),1)),""))</f>
        <v/>
      </c>
      <c r="AS2">
        <f>IF(OR($X2="",$T2&gt;60),"",IFERROR(INDEX(IF($T2&lt;24,pcomp_m,palt_m),MATCH($X2,IF($T2&lt;24,pcomp_k,palt_k),1)),""))</f>
        <v/>
      </c>
      <c r="AT2">
        <f>IF(OR($X2="",$T2&gt;60),"",IFERROR(INDEX(IF($T2&lt;24,pcomp_s,palt_s),MATCH($X2,IF($T2&lt;24,pcomp_k,palt_k),1)),""))</f>
        <v/>
      </c>
      <c r="AU2">
        <f>IF($AR2="","",IF($AR2=0,LN($F2/$AS2)/$AT2,((($F2/$AS2)^$AR2)-1)/($AR2*$AT2)))</f>
        <v/>
      </c>
      <c r="AV2">
        <f>IF($AR2="","",IF($AR2=0,$AS2*EXP($AT2*2),$AS2*(1+$AR2*$AT2*2)^(1/$AR2)))</f>
        <v/>
      </c>
      <c r="AW2">
        <f>IF($AR2="","",IF($AR2=0,$AS2*EXP($AT2*3),$AS2*(1+$AR2*$AT2*3)^(1/$AR2)))</f>
        <v/>
      </c>
      <c r="AX2">
        <f>IF($AR2="","",IF($AR2=0,$AS2*EXP($AT2*-2),$AS2*(1+$AR2*$AT2*-2)^(1/$AR2)))</f>
        <v/>
      </c>
      <c r="AY2">
        <f>IF($AR2="","",IF($AR2=0,$AS2*EXP($AT2*-3),$AS2*(1+$AR2*$AT2*-3)^(1/$AR2)))</f>
        <v/>
      </c>
      <c r="AZ2">
        <f>IF(OR($A2="",$A2&lt;&gt;Ficha!$C$4),"",COUNTIF($A$2:$A2,Ficha!$C$4))</f>
        <v/>
      </c>
    </row>
    <row r="3">
      <c r="A3" s="8">
        <f>IF(INDEX(Banco!$A:$A,ROW())="","",INDEX(Banco!$A:$A,ROW()))</f>
        <v/>
      </c>
      <c r="B3" s="8">
        <f>IF(INDEX(Banco!$B:$B,ROW())="","",INDEX(Banco!$B:$B,ROW()))</f>
        <v/>
      </c>
      <c r="C3" s="8">
        <f>IF(INDEX(Banco!$C:$C,ROW())="","",INDEX(Banco!$C:$C,ROW()))</f>
        <v/>
      </c>
      <c r="D3" s="9">
        <f>IF(INDEX(Banco!$D:$D,ROW())="","",INDEX(Banco!$D:$D,ROW()))</f>
        <v/>
      </c>
      <c r="E3" s="9">
        <f>IF(INDEX(Banco!$E:$E,ROW())="","",INDEX(Banco!$E:$E,ROW()))</f>
        <v/>
      </c>
      <c r="F3" s="10">
        <f>IF(INDEX(Banco!$F:$F,ROW())="","",INDEX(Banco!$F:$F,ROW()))</f>
        <v/>
      </c>
      <c r="G3" s="10">
        <f>IF(INDEX(Banco!$G:$G,ROW())="","",INDEX(Banco!$G:$G,ROW()))</f>
        <v/>
      </c>
      <c r="H3" s="8">
        <f>IF(INDEX(Banco!$H:$H,ROW())="","",INDEX(Banco!$H:$H,ROW()))</f>
        <v/>
      </c>
      <c r="I3">
        <f>IF($T3="","",INT($T3/12)&amp;"a "&amp;MOD($T3,12)&amp;"m")</f>
        <v/>
      </c>
      <c r="J3" s="11">
        <f>IF(OR($F3="",$G3=""),"",ROUND($F3/($G3/100)^2,2))</f>
        <v/>
      </c>
      <c r="K3" s="12">
        <f>IF(OR($S3="",$J3="",$T3="",$T3&lt;0,$T3&gt;228,$Y3=""),"—",ROUND(IF(ABS($AB3)&lt;=3,$AB3,IF($AB3&gt;3,3+($J3-$AD3)/($AD3-$AC3),-3+($J3-$AF3)/($AE3-$AF3))),2))</f>
        <v/>
      </c>
      <c r="L3">
        <f>IF(OR($K3="",$K3="—"),"",IF($T3&lt;=60,IF($K3&lt;-3,"Magreza acentuada",IF($K3&lt;-2,"Magreza",IF($K3&lt;=1,"Eutrofia",IF($K3&lt;=2,"Risco de sobrepeso",IF($K3&lt;=3,"Sobrepeso","Obesidade"))))),IF($K3&lt;-3,"Magreza acentuada",IF($K3&lt;-2,"Magreza",IF($K3&lt;=1,"Eutrofia",IF($K3&lt;=2,"Sobrepeso",IF($K3&lt;=3,"Obesidade","Obesidade grave")))))))</f>
        <v/>
      </c>
      <c r="M3" s="12">
        <f>IF(OR($S3="",$V3="",$T3="",$T3&lt;0,$T3&gt;228,$AG3=""),"—",ROUND(IF($AG3=0,LN($V3/$AH3)/$AI3,((($V3/$AH3)^$AG3)-1)/($AG3*$AI3)),2))</f>
        <v/>
      </c>
      <c r="N3">
        <f>IF(OR($M3="",$M3="—"),"",IF($M3&lt;-3,"Muito baixa",IF($M3&lt;-2,"Baixa","Adequada")))</f>
        <v/>
      </c>
      <c r="O3" s="12">
        <f>IF(OR($S3="",$F3="",$T3="",$T3&lt;0,$T3&gt;120,$AJ3=""),"—",ROUND(IF(ABS($AM3)&lt;=3,$AM3,IF($AM3&gt;3,3+($F3-$AO3)/($AO3-$AN3),-3+($F3-$AQ3)/($AP3-$AQ3))),2))</f>
        <v/>
      </c>
      <c r="P3">
        <f>IF(OR($O3="",$O3="—"),"",IF($O3&lt;-3,"Muito baixo",IF($O3&lt;-2,"Baixo",IF($O3&lt;=2,"Adequado","Elevado"))))</f>
        <v/>
      </c>
      <c r="Q3" s="12">
        <f>IF(OR($S3="",$F3="",$T3="",$T3&lt;0,$T3&gt;60,$AR3=""),"—",ROUND(IF(ABS($AU3)&lt;=3,$AU3,IF($AU3&gt;3,3+($F3-$AW3)/($AW3-$AV3),-3+($F3-$AY3)/($AX3-$AY3))),2))</f>
        <v/>
      </c>
      <c r="R3">
        <f>IF(OR($Q3="",$Q3="—"),"",IF($Q3&lt;-3,"Magreza acentuada",IF($Q3&lt;-2,"Magreza",IF($Q3&lt;=1,"Eutrofia",IF($Q3&lt;=2,"Risco de sobrepeso",IF($Q3&lt;=3,"Sobrepeso","Obesidade"))))))</f>
        <v/>
      </c>
      <c r="S3">
        <f>IF($C3="","",IF(UPPER(LEFT($C3,1))="M",1,IF(UPPER(LEFT($C3,1))="F",2,"")))</f>
        <v/>
      </c>
      <c r="T3">
        <f>IF(OR($D3="",$E3=""),"",DATEDIF($D3,$E3,"m"))</f>
        <v/>
      </c>
      <c r="U3">
        <f>IF(OR($D3="",$E3=""),"",$E3-$D3)</f>
        <v/>
      </c>
      <c r="V3">
        <f>IF(OR($G3="",$T3=""),"",IF($T3&lt;24,IF(LEFT(LOWER($H3),4)="em p",$G3+0.7,$G3),IF(LEFT(LOWER($H3),4)="deit",$G3-0.7,$G3)))</f>
        <v/>
      </c>
      <c r="W3">
        <f>IF(OR($S3="",$T3=""),"",$S3*1000000+IF($T3&lt;=60,$U3,$T3))</f>
        <v/>
      </c>
      <c r="X3">
        <f>IF(OR($S3="",$V3="",$T3&gt;60,$T3=""),"",$S3*1000000+ROUND($V3*10,0))</f>
        <v/>
      </c>
      <c r="Y3">
        <f>IF($W3="","",IFERROR(INDEX(IF($T3&lt;=60,imc05_l,imc519_l),MATCH($W3,IF($T3&lt;=60,imc05_k,imc519_k),1)),""))</f>
        <v/>
      </c>
      <c r="Z3">
        <f>IF($W3="","",IFERROR(INDEX(IF($T3&lt;=60,imc05_m,imc519_m),MATCH($W3,IF($T3&lt;=60,imc05_k,imc519_k),1)),""))</f>
        <v/>
      </c>
      <c r="AA3">
        <f>IF($W3="","",IFERROR(INDEX(IF($T3&lt;=60,imc05_s,imc519_s),MATCH($W3,IF($T3&lt;=60,imc05_k,imc519_k),1)),""))</f>
        <v/>
      </c>
      <c r="AB3">
        <f>IF($Y3="","",IF($Y3=0,LN($J3/$Z3)/$AA3,((($J3/$Z3)^$Y3)-1)/($Y3*$AA3)))</f>
        <v/>
      </c>
      <c r="AC3">
        <f>IF($Y3="","",IF($Y3=0,$Z3*EXP($AA3*2),$Z3*(1+$Y3*$AA3*2)^(1/$Y3)))</f>
        <v/>
      </c>
      <c r="AD3">
        <f>IF($Y3="","",IF($Y3=0,$Z3*EXP($AA3*3),$Z3*(1+$Y3*$AA3*3)^(1/$Y3)))</f>
        <v/>
      </c>
      <c r="AE3">
        <f>IF($Y3="","",IF($Y3=0,$Z3*EXP($AA3*-2),$Z3*(1+$Y3*$AA3*-2)^(1/$Y3)))</f>
        <v/>
      </c>
      <c r="AF3">
        <f>IF($Y3="","",IF($Y3=0,$Z3*EXP($AA3*-3),$Z3*(1+$Y3*$AA3*-3)^(1/$Y3)))</f>
        <v/>
      </c>
      <c r="AG3">
        <f>IF($W3="","",IFERROR(INDEX(IF($T3&lt;=60,est05_l,est519_l),MATCH($W3,IF($T3&lt;=60,est05_k,est519_k),1)),""))</f>
        <v/>
      </c>
      <c r="AH3">
        <f>IF($W3="","",IFERROR(INDEX(IF($T3&lt;=60,est05_m,est519_m),MATCH($W3,IF($T3&lt;=60,est05_k,est519_k),1)),""))</f>
        <v/>
      </c>
      <c r="AI3">
        <f>IF($W3="","",IFERROR(INDEX(IF($T3&lt;=60,est05_s,est519_s),MATCH($W3,IF($T3&lt;=60,est05_k,est519_k),1)),""))</f>
        <v/>
      </c>
      <c r="AJ3">
        <f>IF($W3="","",IFERROR(INDEX(IF($T3&lt;=60,peso05_l,peso510_l),MATCH($W3,IF($T3&lt;=60,peso05_k,peso510_k),1)),""))</f>
        <v/>
      </c>
      <c r="AK3">
        <f>IF($W3="","",IFERROR(INDEX(IF($T3&lt;=60,peso05_m,peso510_m),MATCH($W3,IF($T3&lt;=60,peso05_k,peso510_k),1)),""))</f>
        <v/>
      </c>
      <c r="AL3">
        <f>IF($W3="","",IFERROR(INDEX(IF($T3&lt;=60,peso05_s,peso510_s),MATCH($W3,IF($T3&lt;=60,peso05_k,peso510_k),1)),""))</f>
        <v/>
      </c>
      <c r="AM3">
        <f>IF($AJ3="","",IF($AJ3=0,LN($F3/$AK3)/$AL3,((($F3/$AK3)^$AJ3)-1)/($AJ3*$AL3)))</f>
        <v/>
      </c>
      <c r="AN3">
        <f>IF($AJ3="","",IF($AJ3=0,$AK3*EXP($AL3*2),$AK3*(1+$AJ3*$AL3*2)^(1/$AJ3)))</f>
        <v/>
      </c>
      <c r="AO3">
        <f>IF($AJ3="","",IF($AJ3=0,$AK3*EXP($AL3*3),$AK3*(1+$AJ3*$AL3*3)^(1/$AJ3)))</f>
        <v/>
      </c>
      <c r="AP3">
        <f>IF($AJ3="","",IF($AJ3=0,$AK3*EXP($AL3*-2),$AK3*(1+$AJ3*$AL3*-2)^(1/$AJ3)))</f>
        <v/>
      </c>
      <c r="AQ3">
        <f>IF($AJ3="","",IF($AJ3=0,$AK3*EXP($AL3*-3),$AK3*(1+$AJ3*$AL3*-3)^(1/$AJ3)))</f>
        <v/>
      </c>
      <c r="AR3">
        <f>IF(OR($X3="",$T3&gt;60),"",IFERROR(INDEX(IF($T3&lt;24,pcomp_l,palt_l),MATCH($X3,IF($T3&lt;24,pcomp_k,palt_k),1)),""))</f>
        <v/>
      </c>
      <c r="AS3">
        <f>IF(OR($X3="",$T3&gt;60),"",IFERROR(INDEX(IF($T3&lt;24,pcomp_m,palt_m),MATCH($X3,IF($T3&lt;24,pcomp_k,palt_k),1)),""))</f>
        <v/>
      </c>
      <c r="AT3">
        <f>IF(OR($X3="",$T3&gt;60),"",IFERROR(INDEX(IF($T3&lt;24,pcomp_s,palt_s),MATCH($X3,IF($T3&lt;24,pcomp_k,palt_k),1)),""))</f>
        <v/>
      </c>
      <c r="AU3">
        <f>IF($AR3="","",IF($AR3=0,LN($F3/$AS3)/$AT3,((($F3/$AS3)^$AR3)-1)/($AR3*$AT3)))</f>
        <v/>
      </c>
      <c r="AV3">
        <f>IF($AR3="","",IF($AR3=0,$AS3*EXP($AT3*2),$AS3*(1+$AR3*$AT3*2)^(1/$AR3)))</f>
        <v/>
      </c>
      <c r="AW3">
        <f>IF($AR3="","",IF($AR3=0,$AS3*EXP($AT3*3),$AS3*(1+$AR3*$AT3*3)^(1/$AR3)))</f>
        <v/>
      </c>
      <c r="AX3">
        <f>IF($AR3="","",IF($AR3=0,$AS3*EXP($AT3*-2),$AS3*(1+$AR3*$AT3*-2)^(1/$AR3)))</f>
        <v/>
      </c>
      <c r="AY3">
        <f>IF($AR3="","",IF($AR3=0,$AS3*EXP($AT3*-3),$AS3*(1+$AR3*$AT3*-3)^(1/$AR3)))</f>
        <v/>
      </c>
      <c r="AZ3">
        <f>IF(OR($A3="",$A3&lt;&gt;Ficha!$C$4),"",COUNTIF($A$2:$A3,Ficha!$C$4))</f>
        <v/>
      </c>
    </row>
    <row r="4">
      <c r="A4" s="8">
        <f>IF(INDEX(Banco!$A:$A,ROW())="","",INDEX(Banco!$A:$A,ROW()))</f>
        <v/>
      </c>
      <c r="B4" s="8">
        <f>IF(INDEX(Banco!$B:$B,ROW())="","",INDEX(Banco!$B:$B,ROW()))</f>
        <v/>
      </c>
      <c r="C4" s="8">
        <f>IF(INDEX(Banco!$C:$C,ROW())="","",INDEX(Banco!$C:$C,ROW()))</f>
        <v/>
      </c>
      <c r="D4" s="9">
        <f>IF(INDEX(Banco!$D:$D,ROW())="","",INDEX(Banco!$D:$D,ROW()))</f>
        <v/>
      </c>
      <c r="E4" s="9">
        <f>IF(INDEX(Banco!$E:$E,ROW())="","",INDEX(Banco!$E:$E,ROW()))</f>
        <v/>
      </c>
      <c r="F4" s="10">
        <f>IF(INDEX(Banco!$F:$F,ROW())="","",INDEX(Banco!$F:$F,ROW()))</f>
        <v/>
      </c>
      <c r="G4" s="10">
        <f>IF(INDEX(Banco!$G:$G,ROW())="","",INDEX(Banco!$G:$G,ROW()))</f>
        <v/>
      </c>
      <c r="H4" s="8">
        <f>IF(INDEX(Banco!$H:$H,ROW())="","",INDEX(Banco!$H:$H,ROW()))</f>
        <v/>
      </c>
      <c r="I4">
        <f>IF($T4="","",INT($T4/12)&amp;"a "&amp;MOD($T4,12)&amp;"m")</f>
        <v/>
      </c>
      <c r="J4" s="11">
        <f>IF(OR($F4="",$G4=""),"",ROUND($F4/($G4/100)^2,2))</f>
        <v/>
      </c>
      <c r="K4" s="12">
        <f>IF(OR($S4="",$J4="",$T4="",$T4&lt;0,$T4&gt;228,$Y4=""),"—",ROUND(IF(ABS($AB4)&lt;=3,$AB4,IF($AB4&gt;3,3+($J4-$AD4)/($AD4-$AC4),-3+($J4-$AF4)/($AE4-$AF4))),2))</f>
        <v/>
      </c>
      <c r="L4">
        <f>IF(OR($K4="",$K4="—"),"",IF($T4&lt;=60,IF($K4&lt;-3,"Magreza acentuada",IF($K4&lt;-2,"Magreza",IF($K4&lt;=1,"Eutrofia",IF($K4&lt;=2,"Risco de sobrepeso",IF($K4&lt;=3,"Sobrepeso","Obesidade"))))),IF($K4&lt;-3,"Magreza acentuada",IF($K4&lt;-2,"Magreza",IF($K4&lt;=1,"Eutrofia",IF($K4&lt;=2,"Sobrepeso",IF($K4&lt;=3,"Obesidade","Obesidade grave")))))))</f>
        <v/>
      </c>
      <c r="M4" s="12">
        <f>IF(OR($S4="",$V4="",$T4="",$T4&lt;0,$T4&gt;228,$AG4=""),"—",ROUND(IF($AG4=0,LN($V4/$AH4)/$AI4,((($V4/$AH4)^$AG4)-1)/($AG4*$AI4)),2))</f>
        <v/>
      </c>
      <c r="N4">
        <f>IF(OR($M4="",$M4="—"),"",IF($M4&lt;-3,"Muito baixa",IF($M4&lt;-2,"Baixa","Adequada")))</f>
        <v/>
      </c>
      <c r="O4" s="12">
        <f>IF(OR($S4="",$F4="",$T4="",$T4&lt;0,$T4&gt;120,$AJ4=""),"—",ROUND(IF(ABS($AM4)&lt;=3,$AM4,IF($AM4&gt;3,3+($F4-$AO4)/($AO4-$AN4),-3+($F4-$AQ4)/($AP4-$AQ4))),2))</f>
        <v/>
      </c>
      <c r="P4">
        <f>IF(OR($O4="",$O4="—"),"",IF($O4&lt;-3,"Muito baixo",IF($O4&lt;-2,"Baixo",IF($O4&lt;=2,"Adequado","Elevado"))))</f>
        <v/>
      </c>
      <c r="Q4" s="12">
        <f>IF(OR($S4="",$F4="",$T4="",$T4&lt;0,$T4&gt;60,$AR4=""),"—",ROUND(IF(ABS($AU4)&lt;=3,$AU4,IF($AU4&gt;3,3+($F4-$AW4)/($AW4-$AV4),-3+($F4-$AY4)/($AX4-$AY4))),2))</f>
        <v/>
      </c>
      <c r="R4">
        <f>IF(OR($Q4="",$Q4="—"),"",IF($Q4&lt;-3,"Magreza acentuada",IF($Q4&lt;-2,"Magreza",IF($Q4&lt;=1,"Eutrofia",IF($Q4&lt;=2,"Risco de sobrepeso",IF($Q4&lt;=3,"Sobrepeso","Obesidade"))))))</f>
        <v/>
      </c>
      <c r="S4">
        <f>IF($C4="","",IF(UPPER(LEFT($C4,1))="M",1,IF(UPPER(LEFT($C4,1))="F",2,"")))</f>
        <v/>
      </c>
      <c r="T4">
        <f>IF(OR($D4="",$E4=""),"",DATEDIF($D4,$E4,"m"))</f>
        <v/>
      </c>
      <c r="U4">
        <f>IF(OR($D4="",$E4=""),"",$E4-$D4)</f>
        <v/>
      </c>
      <c r="V4">
        <f>IF(OR($G4="",$T4=""),"",IF($T4&lt;24,IF(LEFT(LOWER($H4),4)="em p",$G4+0.7,$G4),IF(LEFT(LOWER($H4),4)="deit",$G4-0.7,$G4)))</f>
        <v/>
      </c>
      <c r="W4">
        <f>IF(OR($S4="",$T4=""),"",$S4*1000000+IF($T4&lt;=60,$U4,$T4))</f>
        <v/>
      </c>
      <c r="X4">
        <f>IF(OR($S4="",$V4="",$T4&gt;60,$T4=""),"",$S4*1000000+ROUND($V4*10,0))</f>
        <v/>
      </c>
      <c r="Y4">
        <f>IF($W4="","",IFERROR(INDEX(IF($T4&lt;=60,imc05_l,imc519_l),MATCH($W4,IF($T4&lt;=60,imc05_k,imc519_k),1)),""))</f>
        <v/>
      </c>
      <c r="Z4">
        <f>IF($W4="","",IFERROR(INDEX(IF($T4&lt;=60,imc05_m,imc519_m),MATCH($W4,IF($T4&lt;=60,imc05_k,imc519_k),1)),""))</f>
        <v/>
      </c>
      <c r="AA4">
        <f>IF($W4="","",IFERROR(INDEX(IF($T4&lt;=60,imc05_s,imc519_s),MATCH($W4,IF($T4&lt;=60,imc05_k,imc519_k),1)),""))</f>
        <v/>
      </c>
      <c r="AB4">
        <f>IF($Y4="","",IF($Y4=0,LN($J4/$Z4)/$AA4,((($J4/$Z4)^$Y4)-1)/($Y4*$AA4)))</f>
        <v/>
      </c>
      <c r="AC4">
        <f>IF($Y4="","",IF($Y4=0,$Z4*EXP($AA4*2),$Z4*(1+$Y4*$AA4*2)^(1/$Y4)))</f>
        <v/>
      </c>
      <c r="AD4">
        <f>IF($Y4="","",IF($Y4=0,$Z4*EXP($AA4*3),$Z4*(1+$Y4*$AA4*3)^(1/$Y4)))</f>
        <v/>
      </c>
      <c r="AE4">
        <f>IF($Y4="","",IF($Y4=0,$Z4*EXP($AA4*-2),$Z4*(1+$Y4*$AA4*-2)^(1/$Y4)))</f>
        <v/>
      </c>
      <c r="AF4">
        <f>IF($Y4="","",IF($Y4=0,$Z4*EXP($AA4*-3),$Z4*(1+$Y4*$AA4*-3)^(1/$Y4)))</f>
        <v/>
      </c>
      <c r="AG4">
        <f>IF($W4="","",IFERROR(INDEX(IF($T4&lt;=60,est05_l,est519_l),MATCH($W4,IF($T4&lt;=60,est05_k,est519_k),1)),""))</f>
        <v/>
      </c>
      <c r="AH4">
        <f>IF($W4="","",IFERROR(INDEX(IF($T4&lt;=60,est05_m,est519_m),MATCH($W4,IF($T4&lt;=60,est05_k,est519_k),1)),""))</f>
        <v/>
      </c>
      <c r="AI4">
        <f>IF($W4="","",IFERROR(INDEX(IF($T4&lt;=60,est05_s,est519_s),MATCH($W4,IF($T4&lt;=60,est05_k,est519_k),1)),""))</f>
        <v/>
      </c>
      <c r="AJ4">
        <f>IF($W4="","",IFERROR(INDEX(IF($T4&lt;=60,peso05_l,peso510_l),MATCH($W4,IF($T4&lt;=60,peso05_k,peso510_k),1)),""))</f>
        <v/>
      </c>
      <c r="AK4">
        <f>IF($W4="","",IFERROR(INDEX(IF($T4&lt;=60,peso05_m,peso510_m),MATCH($W4,IF($T4&lt;=60,peso05_k,peso510_k),1)),""))</f>
        <v/>
      </c>
      <c r="AL4">
        <f>IF($W4="","",IFERROR(INDEX(IF($T4&lt;=60,peso05_s,peso510_s),MATCH($W4,IF($T4&lt;=60,peso05_k,peso510_k),1)),""))</f>
        <v/>
      </c>
      <c r="AM4">
        <f>IF($AJ4="","",IF($AJ4=0,LN($F4/$AK4)/$AL4,((($F4/$AK4)^$AJ4)-1)/($AJ4*$AL4)))</f>
        <v/>
      </c>
      <c r="AN4">
        <f>IF($AJ4="","",IF($AJ4=0,$AK4*EXP($AL4*2),$AK4*(1+$AJ4*$AL4*2)^(1/$AJ4)))</f>
        <v/>
      </c>
      <c r="AO4">
        <f>IF($AJ4="","",IF($AJ4=0,$AK4*EXP($AL4*3),$AK4*(1+$AJ4*$AL4*3)^(1/$AJ4)))</f>
        <v/>
      </c>
      <c r="AP4">
        <f>IF($AJ4="","",IF($AJ4=0,$AK4*EXP($AL4*-2),$AK4*(1+$AJ4*$AL4*-2)^(1/$AJ4)))</f>
        <v/>
      </c>
      <c r="AQ4">
        <f>IF($AJ4="","",IF($AJ4=0,$AK4*EXP($AL4*-3),$AK4*(1+$AJ4*$AL4*-3)^(1/$AJ4)))</f>
        <v/>
      </c>
      <c r="AR4">
        <f>IF(OR($X4="",$T4&gt;60),"",IFERROR(INDEX(IF($T4&lt;24,pcomp_l,palt_l),MATCH($X4,IF($T4&lt;24,pcomp_k,palt_k),1)),""))</f>
        <v/>
      </c>
      <c r="AS4">
        <f>IF(OR($X4="",$T4&gt;60),"",IFERROR(INDEX(IF($T4&lt;24,pcomp_m,palt_m),MATCH($X4,IF($T4&lt;24,pcomp_k,palt_k),1)),""))</f>
        <v/>
      </c>
      <c r="AT4">
        <f>IF(OR($X4="",$T4&gt;60),"",IFERROR(INDEX(IF($T4&lt;24,pcomp_s,palt_s),MATCH($X4,IF($T4&lt;24,pcomp_k,palt_k),1)),""))</f>
        <v/>
      </c>
      <c r="AU4">
        <f>IF($AR4="","",IF($AR4=0,LN($F4/$AS4)/$AT4,((($F4/$AS4)^$AR4)-1)/($AR4*$AT4)))</f>
        <v/>
      </c>
      <c r="AV4">
        <f>IF($AR4="","",IF($AR4=0,$AS4*EXP($AT4*2),$AS4*(1+$AR4*$AT4*2)^(1/$AR4)))</f>
        <v/>
      </c>
      <c r="AW4">
        <f>IF($AR4="","",IF($AR4=0,$AS4*EXP($AT4*3),$AS4*(1+$AR4*$AT4*3)^(1/$AR4)))</f>
        <v/>
      </c>
      <c r="AX4">
        <f>IF($AR4="","",IF($AR4=0,$AS4*EXP($AT4*-2),$AS4*(1+$AR4*$AT4*-2)^(1/$AR4)))</f>
        <v/>
      </c>
      <c r="AY4">
        <f>IF($AR4="","",IF($AR4=0,$AS4*EXP($AT4*-3),$AS4*(1+$AR4*$AT4*-3)^(1/$AR4)))</f>
        <v/>
      </c>
      <c r="AZ4">
        <f>IF(OR($A4="",$A4&lt;&gt;Ficha!$C$4),"",COUNTIF($A$2:$A4,Ficha!$C$4))</f>
        <v/>
      </c>
    </row>
    <row r="5">
      <c r="A5" s="8">
        <f>IF(INDEX(Banco!$A:$A,ROW())="","",INDEX(Banco!$A:$A,ROW()))</f>
        <v/>
      </c>
      <c r="B5" s="8">
        <f>IF(INDEX(Banco!$B:$B,ROW())="","",INDEX(Banco!$B:$B,ROW()))</f>
        <v/>
      </c>
      <c r="C5" s="8">
        <f>IF(INDEX(Banco!$C:$C,ROW())="","",INDEX(Banco!$C:$C,ROW()))</f>
        <v/>
      </c>
      <c r="D5" s="9">
        <f>IF(INDEX(Banco!$D:$D,ROW())="","",INDEX(Banco!$D:$D,ROW()))</f>
        <v/>
      </c>
      <c r="E5" s="9">
        <f>IF(INDEX(Banco!$E:$E,ROW())="","",INDEX(Banco!$E:$E,ROW()))</f>
        <v/>
      </c>
      <c r="F5" s="10">
        <f>IF(INDEX(Banco!$F:$F,ROW())="","",INDEX(Banco!$F:$F,ROW()))</f>
        <v/>
      </c>
      <c r="G5" s="10">
        <f>IF(INDEX(Banco!$G:$G,ROW())="","",INDEX(Banco!$G:$G,ROW()))</f>
        <v/>
      </c>
      <c r="H5" s="8">
        <f>IF(INDEX(Banco!$H:$H,ROW())="","",INDEX(Banco!$H:$H,ROW()))</f>
        <v/>
      </c>
      <c r="I5">
        <f>IF($T5="","",INT($T5/12)&amp;"a "&amp;MOD($T5,12)&amp;"m")</f>
        <v/>
      </c>
      <c r="J5" s="11">
        <f>IF(OR($F5="",$G5=""),"",ROUND($F5/($G5/100)^2,2))</f>
        <v/>
      </c>
      <c r="K5" s="12">
        <f>IF(OR($S5="",$J5="",$T5="",$T5&lt;0,$T5&gt;228,$Y5=""),"—",ROUND(IF(ABS($AB5)&lt;=3,$AB5,IF($AB5&gt;3,3+($J5-$AD5)/($AD5-$AC5),-3+($J5-$AF5)/($AE5-$AF5))),2))</f>
        <v/>
      </c>
      <c r="L5">
        <f>IF(OR($K5="",$K5="—"),"",IF($T5&lt;=60,IF($K5&lt;-3,"Magreza acentuada",IF($K5&lt;-2,"Magreza",IF($K5&lt;=1,"Eutrofia",IF($K5&lt;=2,"Risco de sobrepeso",IF($K5&lt;=3,"Sobrepeso","Obesidade"))))),IF($K5&lt;-3,"Magreza acentuada",IF($K5&lt;-2,"Magreza",IF($K5&lt;=1,"Eutrofia",IF($K5&lt;=2,"Sobrepeso",IF($K5&lt;=3,"Obesidade","Obesidade grave")))))))</f>
        <v/>
      </c>
      <c r="M5" s="12">
        <f>IF(OR($S5="",$V5="",$T5="",$T5&lt;0,$T5&gt;228,$AG5=""),"—",ROUND(IF($AG5=0,LN($V5/$AH5)/$AI5,((($V5/$AH5)^$AG5)-1)/($AG5*$AI5)),2))</f>
        <v/>
      </c>
      <c r="N5">
        <f>IF(OR($M5="",$M5="—"),"",IF($M5&lt;-3,"Muito baixa",IF($M5&lt;-2,"Baixa","Adequada")))</f>
        <v/>
      </c>
      <c r="O5" s="12">
        <f>IF(OR($S5="",$F5="",$T5="",$T5&lt;0,$T5&gt;120,$AJ5=""),"—",ROUND(IF(ABS($AM5)&lt;=3,$AM5,IF($AM5&gt;3,3+($F5-$AO5)/($AO5-$AN5),-3+($F5-$AQ5)/($AP5-$AQ5))),2))</f>
        <v/>
      </c>
      <c r="P5">
        <f>IF(OR($O5="",$O5="—"),"",IF($O5&lt;-3,"Muito baixo",IF($O5&lt;-2,"Baixo",IF($O5&lt;=2,"Adequado","Elevado"))))</f>
        <v/>
      </c>
      <c r="Q5" s="12">
        <f>IF(OR($S5="",$F5="",$T5="",$T5&lt;0,$T5&gt;60,$AR5=""),"—",ROUND(IF(ABS($AU5)&lt;=3,$AU5,IF($AU5&gt;3,3+($F5-$AW5)/($AW5-$AV5),-3+($F5-$AY5)/($AX5-$AY5))),2))</f>
        <v/>
      </c>
      <c r="R5">
        <f>IF(OR($Q5="",$Q5="—"),"",IF($Q5&lt;-3,"Magreza acentuada",IF($Q5&lt;-2,"Magreza",IF($Q5&lt;=1,"Eutrofia",IF($Q5&lt;=2,"Risco de sobrepeso",IF($Q5&lt;=3,"Sobrepeso","Obesidade"))))))</f>
        <v/>
      </c>
      <c r="S5">
        <f>IF($C5="","",IF(UPPER(LEFT($C5,1))="M",1,IF(UPPER(LEFT($C5,1))="F",2,"")))</f>
        <v/>
      </c>
      <c r="T5">
        <f>IF(OR($D5="",$E5=""),"",DATEDIF($D5,$E5,"m"))</f>
        <v/>
      </c>
      <c r="U5">
        <f>IF(OR($D5="",$E5=""),"",$E5-$D5)</f>
        <v/>
      </c>
      <c r="V5">
        <f>IF(OR($G5="",$T5=""),"",IF($T5&lt;24,IF(LEFT(LOWER($H5),4)="em p",$G5+0.7,$G5),IF(LEFT(LOWER($H5),4)="deit",$G5-0.7,$G5)))</f>
        <v/>
      </c>
      <c r="W5">
        <f>IF(OR($S5="",$T5=""),"",$S5*1000000+IF($T5&lt;=60,$U5,$T5))</f>
        <v/>
      </c>
      <c r="X5">
        <f>IF(OR($S5="",$V5="",$T5&gt;60,$T5=""),"",$S5*1000000+ROUND($V5*10,0))</f>
        <v/>
      </c>
      <c r="Y5">
        <f>IF($W5="","",IFERROR(INDEX(IF($T5&lt;=60,imc05_l,imc519_l),MATCH($W5,IF($T5&lt;=60,imc05_k,imc519_k),1)),""))</f>
        <v/>
      </c>
      <c r="Z5">
        <f>IF($W5="","",IFERROR(INDEX(IF($T5&lt;=60,imc05_m,imc519_m),MATCH($W5,IF($T5&lt;=60,imc05_k,imc519_k),1)),""))</f>
        <v/>
      </c>
      <c r="AA5">
        <f>IF($W5="","",IFERROR(INDEX(IF($T5&lt;=60,imc05_s,imc519_s),MATCH($W5,IF($T5&lt;=60,imc05_k,imc519_k),1)),""))</f>
        <v/>
      </c>
      <c r="AB5">
        <f>IF($Y5="","",IF($Y5=0,LN($J5/$Z5)/$AA5,((($J5/$Z5)^$Y5)-1)/($Y5*$AA5)))</f>
        <v/>
      </c>
      <c r="AC5">
        <f>IF($Y5="","",IF($Y5=0,$Z5*EXP($AA5*2),$Z5*(1+$Y5*$AA5*2)^(1/$Y5)))</f>
        <v/>
      </c>
      <c r="AD5">
        <f>IF($Y5="","",IF($Y5=0,$Z5*EXP($AA5*3),$Z5*(1+$Y5*$AA5*3)^(1/$Y5)))</f>
        <v/>
      </c>
      <c r="AE5">
        <f>IF($Y5="","",IF($Y5=0,$Z5*EXP($AA5*-2),$Z5*(1+$Y5*$AA5*-2)^(1/$Y5)))</f>
        <v/>
      </c>
      <c r="AF5">
        <f>IF($Y5="","",IF($Y5=0,$Z5*EXP($AA5*-3),$Z5*(1+$Y5*$AA5*-3)^(1/$Y5)))</f>
        <v/>
      </c>
      <c r="AG5">
        <f>IF($W5="","",IFERROR(INDEX(IF($T5&lt;=60,est05_l,est519_l),MATCH($W5,IF($T5&lt;=60,est05_k,est519_k),1)),""))</f>
        <v/>
      </c>
      <c r="AH5">
        <f>IF($W5="","",IFERROR(INDEX(IF($T5&lt;=60,est05_m,est519_m),MATCH($W5,IF($T5&lt;=60,est05_k,est519_k),1)),""))</f>
        <v/>
      </c>
      <c r="AI5">
        <f>IF($W5="","",IFERROR(INDEX(IF($T5&lt;=60,est05_s,est519_s),MATCH($W5,IF($T5&lt;=60,est05_k,est519_k),1)),""))</f>
        <v/>
      </c>
      <c r="AJ5">
        <f>IF($W5="","",IFERROR(INDEX(IF($T5&lt;=60,peso05_l,peso510_l),MATCH($W5,IF($T5&lt;=60,peso05_k,peso510_k),1)),""))</f>
        <v/>
      </c>
      <c r="AK5">
        <f>IF($W5="","",IFERROR(INDEX(IF($T5&lt;=60,peso05_m,peso510_m),MATCH($W5,IF($T5&lt;=60,peso05_k,peso510_k),1)),""))</f>
        <v/>
      </c>
      <c r="AL5">
        <f>IF($W5="","",IFERROR(INDEX(IF($T5&lt;=60,peso05_s,peso510_s),MATCH($W5,IF($T5&lt;=60,peso05_k,peso510_k),1)),""))</f>
        <v/>
      </c>
      <c r="AM5">
        <f>IF($AJ5="","",IF($AJ5=0,LN($F5/$AK5)/$AL5,((($F5/$AK5)^$AJ5)-1)/($AJ5*$AL5)))</f>
        <v/>
      </c>
      <c r="AN5">
        <f>IF($AJ5="","",IF($AJ5=0,$AK5*EXP($AL5*2),$AK5*(1+$AJ5*$AL5*2)^(1/$AJ5)))</f>
        <v/>
      </c>
      <c r="AO5">
        <f>IF($AJ5="","",IF($AJ5=0,$AK5*EXP($AL5*3),$AK5*(1+$AJ5*$AL5*3)^(1/$AJ5)))</f>
        <v/>
      </c>
      <c r="AP5">
        <f>IF($AJ5="","",IF($AJ5=0,$AK5*EXP($AL5*-2),$AK5*(1+$AJ5*$AL5*-2)^(1/$AJ5)))</f>
        <v/>
      </c>
      <c r="AQ5">
        <f>IF($AJ5="","",IF($AJ5=0,$AK5*EXP($AL5*-3),$AK5*(1+$AJ5*$AL5*-3)^(1/$AJ5)))</f>
        <v/>
      </c>
      <c r="AR5">
        <f>IF(OR($X5="",$T5&gt;60),"",IFERROR(INDEX(IF($T5&lt;24,pcomp_l,palt_l),MATCH($X5,IF($T5&lt;24,pcomp_k,palt_k),1)),""))</f>
        <v/>
      </c>
      <c r="AS5">
        <f>IF(OR($X5="",$T5&gt;60),"",IFERROR(INDEX(IF($T5&lt;24,pcomp_m,palt_m),MATCH($X5,IF($T5&lt;24,pcomp_k,palt_k),1)),""))</f>
        <v/>
      </c>
      <c r="AT5">
        <f>IF(OR($X5="",$T5&gt;60),"",IFERROR(INDEX(IF($T5&lt;24,pcomp_s,palt_s),MATCH($X5,IF($T5&lt;24,pcomp_k,palt_k),1)),""))</f>
        <v/>
      </c>
      <c r="AU5">
        <f>IF($AR5="","",IF($AR5=0,LN($F5/$AS5)/$AT5,((($F5/$AS5)^$AR5)-1)/($AR5*$AT5)))</f>
        <v/>
      </c>
      <c r="AV5">
        <f>IF($AR5="","",IF($AR5=0,$AS5*EXP($AT5*2),$AS5*(1+$AR5*$AT5*2)^(1/$AR5)))</f>
        <v/>
      </c>
      <c r="AW5">
        <f>IF($AR5="","",IF($AR5=0,$AS5*EXP($AT5*3),$AS5*(1+$AR5*$AT5*3)^(1/$AR5)))</f>
        <v/>
      </c>
      <c r="AX5">
        <f>IF($AR5="","",IF($AR5=0,$AS5*EXP($AT5*-2),$AS5*(1+$AR5*$AT5*-2)^(1/$AR5)))</f>
        <v/>
      </c>
      <c r="AY5">
        <f>IF($AR5="","",IF($AR5=0,$AS5*EXP($AT5*-3),$AS5*(1+$AR5*$AT5*-3)^(1/$AR5)))</f>
        <v/>
      </c>
      <c r="AZ5">
        <f>IF(OR($A5="",$A5&lt;&gt;Ficha!$C$4),"",COUNTIF($A$2:$A5,Ficha!$C$4))</f>
        <v/>
      </c>
    </row>
    <row r="6">
      <c r="A6" s="8">
        <f>IF(INDEX(Banco!$A:$A,ROW())="","",INDEX(Banco!$A:$A,ROW()))</f>
        <v/>
      </c>
      <c r="B6" s="8">
        <f>IF(INDEX(Banco!$B:$B,ROW())="","",INDEX(Banco!$B:$B,ROW()))</f>
        <v/>
      </c>
      <c r="C6" s="8">
        <f>IF(INDEX(Banco!$C:$C,ROW())="","",INDEX(Banco!$C:$C,ROW()))</f>
        <v/>
      </c>
      <c r="D6" s="9">
        <f>IF(INDEX(Banco!$D:$D,ROW())="","",INDEX(Banco!$D:$D,ROW()))</f>
        <v/>
      </c>
      <c r="E6" s="9">
        <f>IF(INDEX(Banco!$E:$E,ROW())="","",INDEX(Banco!$E:$E,ROW()))</f>
        <v/>
      </c>
      <c r="F6" s="10">
        <f>IF(INDEX(Banco!$F:$F,ROW())="","",INDEX(Banco!$F:$F,ROW()))</f>
        <v/>
      </c>
      <c r="G6" s="10">
        <f>IF(INDEX(Banco!$G:$G,ROW())="","",INDEX(Banco!$G:$G,ROW()))</f>
        <v/>
      </c>
      <c r="H6" s="8">
        <f>IF(INDEX(Banco!$H:$H,ROW())="","",INDEX(Banco!$H:$H,ROW()))</f>
        <v/>
      </c>
      <c r="I6">
        <f>IF($T6="","",INT($T6/12)&amp;"a "&amp;MOD($T6,12)&amp;"m")</f>
        <v/>
      </c>
      <c r="J6" s="11">
        <f>IF(OR($F6="",$G6=""),"",ROUND($F6/($G6/100)^2,2))</f>
        <v/>
      </c>
      <c r="K6" s="12">
        <f>IF(OR($S6="",$J6="",$T6="",$T6&lt;0,$T6&gt;228,$Y6=""),"—",ROUND(IF(ABS($AB6)&lt;=3,$AB6,IF($AB6&gt;3,3+($J6-$AD6)/($AD6-$AC6),-3+($J6-$AF6)/($AE6-$AF6))),2))</f>
        <v/>
      </c>
      <c r="L6">
        <f>IF(OR($K6="",$K6="—"),"",IF($T6&lt;=60,IF($K6&lt;-3,"Magreza acentuada",IF($K6&lt;-2,"Magreza",IF($K6&lt;=1,"Eutrofia",IF($K6&lt;=2,"Risco de sobrepeso",IF($K6&lt;=3,"Sobrepeso","Obesidade"))))),IF($K6&lt;-3,"Magreza acentuada",IF($K6&lt;-2,"Magreza",IF($K6&lt;=1,"Eutrofia",IF($K6&lt;=2,"Sobrepeso",IF($K6&lt;=3,"Obesidade","Obesidade grave")))))))</f>
        <v/>
      </c>
      <c r="M6" s="12">
        <f>IF(OR($S6="",$V6="",$T6="",$T6&lt;0,$T6&gt;228,$AG6=""),"—",ROUND(IF($AG6=0,LN($V6/$AH6)/$AI6,((($V6/$AH6)^$AG6)-1)/($AG6*$AI6)),2))</f>
        <v/>
      </c>
      <c r="N6">
        <f>IF(OR($M6="",$M6="—"),"",IF($M6&lt;-3,"Muito baixa",IF($M6&lt;-2,"Baixa","Adequada")))</f>
        <v/>
      </c>
      <c r="O6" s="12">
        <f>IF(OR($S6="",$F6="",$T6="",$T6&lt;0,$T6&gt;120,$AJ6=""),"—",ROUND(IF(ABS($AM6)&lt;=3,$AM6,IF($AM6&gt;3,3+($F6-$AO6)/($AO6-$AN6),-3+($F6-$AQ6)/($AP6-$AQ6))),2))</f>
        <v/>
      </c>
      <c r="P6">
        <f>IF(OR($O6="",$O6="—"),"",IF($O6&lt;-3,"Muito baixo",IF($O6&lt;-2,"Baixo",IF($O6&lt;=2,"Adequado","Elevado"))))</f>
        <v/>
      </c>
      <c r="Q6" s="12">
        <f>IF(OR($S6="",$F6="",$T6="",$T6&lt;0,$T6&gt;60,$AR6=""),"—",ROUND(IF(ABS($AU6)&lt;=3,$AU6,IF($AU6&gt;3,3+($F6-$AW6)/($AW6-$AV6),-3+($F6-$AY6)/($AX6-$AY6))),2))</f>
        <v/>
      </c>
      <c r="R6">
        <f>IF(OR($Q6="",$Q6="—"),"",IF($Q6&lt;-3,"Magreza acentuada",IF($Q6&lt;-2,"Magreza",IF($Q6&lt;=1,"Eutrofia",IF($Q6&lt;=2,"Risco de sobrepeso",IF($Q6&lt;=3,"Sobrepeso","Obesidade"))))))</f>
        <v/>
      </c>
      <c r="S6">
        <f>IF($C6="","",IF(UPPER(LEFT($C6,1))="M",1,IF(UPPER(LEFT($C6,1))="F",2,"")))</f>
        <v/>
      </c>
      <c r="T6">
        <f>IF(OR($D6="",$E6=""),"",DATEDIF($D6,$E6,"m"))</f>
        <v/>
      </c>
      <c r="U6">
        <f>IF(OR($D6="",$E6=""),"",$E6-$D6)</f>
        <v/>
      </c>
      <c r="V6">
        <f>IF(OR($G6="",$T6=""),"",IF($T6&lt;24,IF(LEFT(LOWER($H6),4)="em p",$G6+0.7,$G6),IF(LEFT(LOWER($H6),4)="deit",$G6-0.7,$G6)))</f>
        <v/>
      </c>
      <c r="W6">
        <f>IF(OR($S6="",$T6=""),"",$S6*1000000+IF($T6&lt;=60,$U6,$T6))</f>
        <v/>
      </c>
      <c r="X6">
        <f>IF(OR($S6="",$V6="",$T6&gt;60,$T6=""),"",$S6*1000000+ROUND($V6*10,0))</f>
        <v/>
      </c>
      <c r="Y6">
        <f>IF($W6="","",IFERROR(INDEX(IF($T6&lt;=60,imc05_l,imc519_l),MATCH($W6,IF($T6&lt;=60,imc05_k,imc519_k),1)),""))</f>
        <v/>
      </c>
      <c r="Z6">
        <f>IF($W6="","",IFERROR(INDEX(IF($T6&lt;=60,imc05_m,imc519_m),MATCH($W6,IF($T6&lt;=60,imc05_k,imc519_k),1)),""))</f>
        <v/>
      </c>
      <c r="AA6">
        <f>IF($W6="","",IFERROR(INDEX(IF($T6&lt;=60,imc05_s,imc519_s),MATCH($W6,IF($T6&lt;=60,imc05_k,imc519_k),1)),""))</f>
        <v/>
      </c>
      <c r="AB6">
        <f>IF($Y6="","",IF($Y6=0,LN($J6/$Z6)/$AA6,((($J6/$Z6)^$Y6)-1)/($Y6*$AA6)))</f>
        <v/>
      </c>
      <c r="AC6">
        <f>IF($Y6="","",IF($Y6=0,$Z6*EXP($AA6*2),$Z6*(1+$Y6*$AA6*2)^(1/$Y6)))</f>
        <v/>
      </c>
      <c r="AD6">
        <f>IF($Y6="","",IF($Y6=0,$Z6*EXP($AA6*3),$Z6*(1+$Y6*$AA6*3)^(1/$Y6)))</f>
        <v/>
      </c>
      <c r="AE6">
        <f>IF($Y6="","",IF($Y6=0,$Z6*EXP($AA6*-2),$Z6*(1+$Y6*$AA6*-2)^(1/$Y6)))</f>
        <v/>
      </c>
      <c r="AF6">
        <f>IF($Y6="","",IF($Y6=0,$Z6*EXP($AA6*-3),$Z6*(1+$Y6*$AA6*-3)^(1/$Y6)))</f>
        <v/>
      </c>
      <c r="AG6">
        <f>IF($W6="","",IFERROR(INDEX(IF($T6&lt;=60,est05_l,est519_l),MATCH($W6,IF($T6&lt;=60,est05_k,est519_k),1)),""))</f>
        <v/>
      </c>
      <c r="AH6">
        <f>IF($W6="","",IFERROR(INDEX(IF($T6&lt;=60,est05_m,est519_m),MATCH($W6,IF($T6&lt;=60,est05_k,est519_k),1)),""))</f>
        <v/>
      </c>
      <c r="AI6">
        <f>IF($W6="","",IFERROR(INDEX(IF($T6&lt;=60,est05_s,est519_s),MATCH($W6,IF($T6&lt;=60,est05_k,est519_k),1)),""))</f>
        <v/>
      </c>
      <c r="AJ6">
        <f>IF($W6="","",IFERROR(INDEX(IF($T6&lt;=60,peso05_l,peso510_l),MATCH($W6,IF($T6&lt;=60,peso05_k,peso510_k),1)),""))</f>
        <v/>
      </c>
      <c r="AK6">
        <f>IF($W6="","",IFERROR(INDEX(IF($T6&lt;=60,peso05_m,peso510_m),MATCH($W6,IF($T6&lt;=60,peso05_k,peso510_k),1)),""))</f>
        <v/>
      </c>
      <c r="AL6">
        <f>IF($W6="","",IFERROR(INDEX(IF($T6&lt;=60,peso05_s,peso510_s),MATCH($W6,IF($T6&lt;=60,peso05_k,peso510_k),1)),""))</f>
        <v/>
      </c>
      <c r="AM6">
        <f>IF($AJ6="","",IF($AJ6=0,LN($F6/$AK6)/$AL6,((($F6/$AK6)^$AJ6)-1)/($AJ6*$AL6)))</f>
        <v/>
      </c>
      <c r="AN6">
        <f>IF($AJ6="","",IF($AJ6=0,$AK6*EXP($AL6*2),$AK6*(1+$AJ6*$AL6*2)^(1/$AJ6)))</f>
        <v/>
      </c>
      <c r="AO6">
        <f>IF($AJ6="","",IF($AJ6=0,$AK6*EXP($AL6*3),$AK6*(1+$AJ6*$AL6*3)^(1/$AJ6)))</f>
        <v/>
      </c>
      <c r="AP6">
        <f>IF($AJ6="","",IF($AJ6=0,$AK6*EXP($AL6*-2),$AK6*(1+$AJ6*$AL6*-2)^(1/$AJ6)))</f>
        <v/>
      </c>
      <c r="AQ6">
        <f>IF($AJ6="","",IF($AJ6=0,$AK6*EXP($AL6*-3),$AK6*(1+$AJ6*$AL6*-3)^(1/$AJ6)))</f>
        <v/>
      </c>
      <c r="AR6">
        <f>IF(OR($X6="",$T6&gt;60),"",IFERROR(INDEX(IF($T6&lt;24,pcomp_l,palt_l),MATCH($X6,IF($T6&lt;24,pcomp_k,palt_k),1)),""))</f>
        <v/>
      </c>
      <c r="AS6">
        <f>IF(OR($X6="",$T6&gt;60),"",IFERROR(INDEX(IF($T6&lt;24,pcomp_m,palt_m),MATCH($X6,IF($T6&lt;24,pcomp_k,palt_k),1)),""))</f>
        <v/>
      </c>
      <c r="AT6">
        <f>IF(OR($X6="",$T6&gt;60),"",IFERROR(INDEX(IF($T6&lt;24,pcomp_s,palt_s),MATCH($X6,IF($T6&lt;24,pcomp_k,palt_k),1)),""))</f>
        <v/>
      </c>
      <c r="AU6">
        <f>IF($AR6="","",IF($AR6=0,LN($F6/$AS6)/$AT6,((($F6/$AS6)^$AR6)-1)/($AR6*$AT6)))</f>
        <v/>
      </c>
      <c r="AV6">
        <f>IF($AR6="","",IF($AR6=0,$AS6*EXP($AT6*2),$AS6*(1+$AR6*$AT6*2)^(1/$AR6)))</f>
        <v/>
      </c>
      <c r="AW6">
        <f>IF($AR6="","",IF($AR6=0,$AS6*EXP($AT6*3),$AS6*(1+$AR6*$AT6*3)^(1/$AR6)))</f>
        <v/>
      </c>
      <c r="AX6">
        <f>IF($AR6="","",IF($AR6=0,$AS6*EXP($AT6*-2),$AS6*(1+$AR6*$AT6*-2)^(1/$AR6)))</f>
        <v/>
      </c>
      <c r="AY6">
        <f>IF($AR6="","",IF($AR6=0,$AS6*EXP($AT6*-3),$AS6*(1+$AR6*$AT6*-3)^(1/$AR6)))</f>
        <v/>
      </c>
      <c r="AZ6">
        <f>IF(OR($A6="",$A6&lt;&gt;Ficha!$C$4),"",COUNTIF($A$2:$A6,Ficha!$C$4))</f>
        <v/>
      </c>
    </row>
    <row r="7">
      <c r="A7" s="8">
        <f>IF(INDEX(Banco!$A:$A,ROW())="","",INDEX(Banco!$A:$A,ROW()))</f>
        <v/>
      </c>
      <c r="B7" s="8">
        <f>IF(INDEX(Banco!$B:$B,ROW())="","",INDEX(Banco!$B:$B,ROW()))</f>
        <v/>
      </c>
      <c r="C7" s="8">
        <f>IF(INDEX(Banco!$C:$C,ROW())="","",INDEX(Banco!$C:$C,ROW()))</f>
        <v/>
      </c>
      <c r="D7" s="9">
        <f>IF(INDEX(Banco!$D:$D,ROW())="","",INDEX(Banco!$D:$D,ROW()))</f>
        <v/>
      </c>
      <c r="E7" s="9">
        <f>IF(INDEX(Banco!$E:$E,ROW())="","",INDEX(Banco!$E:$E,ROW()))</f>
        <v/>
      </c>
      <c r="F7" s="10">
        <f>IF(INDEX(Banco!$F:$F,ROW())="","",INDEX(Banco!$F:$F,ROW()))</f>
        <v/>
      </c>
      <c r="G7" s="10">
        <f>IF(INDEX(Banco!$G:$G,ROW())="","",INDEX(Banco!$G:$G,ROW()))</f>
        <v/>
      </c>
      <c r="H7" s="8">
        <f>IF(INDEX(Banco!$H:$H,ROW())="","",INDEX(Banco!$H:$H,ROW()))</f>
        <v/>
      </c>
      <c r="I7">
        <f>IF($T7="","",INT($T7/12)&amp;"a "&amp;MOD($T7,12)&amp;"m")</f>
        <v/>
      </c>
      <c r="J7" s="11">
        <f>IF(OR($F7="",$G7=""),"",ROUND($F7/($G7/100)^2,2))</f>
        <v/>
      </c>
      <c r="K7" s="12">
        <f>IF(OR($S7="",$J7="",$T7="",$T7&lt;0,$T7&gt;228,$Y7=""),"—",ROUND(IF(ABS($AB7)&lt;=3,$AB7,IF($AB7&gt;3,3+($J7-$AD7)/($AD7-$AC7),-3+($J7-$AF7)/($AE7-$AF7))),2))</f>
        <v/>
      </c>
      <c r="L7">
        <f>IF(OR($K7="",$K7="—"),"",IF($T7&lt;=60,IF($K7&lt;-3,"Magreza acentuada",IF($K7&lt;-2,"Magreza",IF($K7&lt;=1,"Eutrofia",IF($K7&lt;=2,"Risco de sobrepeso",IF($K7&lt;=3,"Sobrepeso","Obesidade"))))),IF($K7&lt;-3,"Magreza acentuada",IF($K7&lt;-2,"Magreza",IF($K7&lt;=1,"Eutrofia",IF($K7&lt;=2,"Sobrepeso",IF($K7&lt;=3,"Obesidade","Obesidade grave")))))))</f>
        <v/>
      </c>
      <c r="M7" s="12">
        <f>IF(OR($S7="",$V7="",$T7="",$T7&lt;0,$T7&gt;228,$AG7=""),"—",ROUND(IF($AG7=0,LN($V7/$AH7)/$AI7,((($V7/$AH7)^$AG7)-1)/($AG7*$AI7)),2))</f>
        <v/>
      </c>
      <c r="N7">
        <f>IF(OR($M7="",$M7="—"),"",IF($M7&lt;-3,"Muito baixa",IF($M7&lt;-2,"Baixa","Adequada")))</f>
        <v/>
      </c>
      <c r="O7" s="12">
        <f>IF(OR($S7="",$F7="",$T7="",$T7&lt;0,$T7&gt;120,$AJ7=""),"—",ROUND(IF(ABS($AM7)&lt;=3,$AM7,IF($AM7&gt;3,3+($F7-$AO7)/($AO7-$AN7),-3+($F7-$AQ7)/($AP7-$AQ7))),2))</f>
        <v/>
      </c>
      <c r="P7">
        <f>IF(OR($O7="",$O7="—"),"",IF($O7&lt;-3,"Muito baixo",IF($O7&lt;-2,"Baixo",IF($O7&lt;=2,"Adequado","Elevado"))))</f>
        <v/>
      </c>
      <c r="Q7" s="12">
        <f>IF(OR($S7="",$F7="",$T7="",$T7&lt;0,$T7&gt;60,$AR7=""),"—",ROUND(IF(ABS($AU7)&lt;=3,$AU7,IF($AU7&gt;3,3+($F7-$AW7)/($AW7-$AV7),-3+($F7-$AY7)/($AX7-$AY7))),2))</f>
        <v/>
      </c>
      <c r="R7">
        <f>IF(OR($Q7="",$Q7="—"),"",IF($Q7&lt;-3,"Magreza acentuada",IF($Q7&lt;-2,"Magreza",IF($Q7&lt;=1,"Eutrofia",IF($Q7&lt;=2,"Risco de sobrepeso",IF($Q7&lt;=3,"Sobrepeso","Obesidade"))))))</f>
        <v/>
      </c>
      <c r="S7">
        <f>IF($C7="","",IF(UPPER(LEFT($C7,1))="M",1,IF(UPPER(LEFT($C7,1))="F",2,"")))</f>
        <v/>
      </c>
      <c r="T7">
        <f>IF(OR($D7="",$E7=""),"",DATEDIF($D7,$E7,"m"))</f>
        <v/>
      </c>
      <c r="U7">
        <f>IF(OR($D7="",$E7=""),"",$E7-$D7)</f>
        <v/>
      </c>
      <c r="V7">
        <f>IF(OR($G7="",$T7=""),"",IF($T7&lt;24,IF(LEFT(LOWER($H7),4)="em p",$G7+0.7,$G7),IF(LEFT(LOWER($H7),4)="deit",$G7-0.7,$G7)))</f>
        <v/>
      </c>
      <c r="W7">
        <f>IF(OR($S7="",$T7=""),"",$S7*1000000+IF($T7&lt;=60,$U7,$T7))</f>
        <v/>
      </c>
      <c r="X7">
        <f>IF(OR($S7="",$V7="",$T7&gt;60,$T7=""),"",$S7*1000000+ROUND($V7*10,0))</f>
        <v/>
      </c>
      <c r="Y7">
        <f>IF($W7="","",IFERROR(INDEX(IF($T7&lt;=60,imc05_l,imc519_l),MATCH($W7,IF($T7&lt;=60,imc05_k,imc519_k),1)),""))</f>
        <v/>
      </c>
      <c r="Z7">
        <f>IF($W7="","",IFERROR(INDEX(IF($T7&lt;=60,imc05_m,imc519_m),MATCH($W7,IF($T7&lt;=60,imc05_k,imc519_k),1)),""))</f>
        <v/>
      </c>
      <c r="AA7">
        <f>IF($W7="","",IFERROR(INDEX(IF($T7&lt;=60,imc05_s,imc519_s),MATCH($W7,IF($T7&lt;=60,imc05_k,imc519_k),1)),""))</f>
        <v/>
      </c>
      <c r="AB7">
        <f>IF($Y7="","",IF($Y7=0,LN($J7/$Z7)/$AA7,((($J7/$Z7)^$Y7)-1)/($Y7*$AA7)))</f>
        <v/>
      </c>
      <c r="AC7">
        <f>IF($Y7="","",IF($Y7=0,$Z7*EXP($AA7*2),$Z7*(1+$Y7*$AA7*2)^(1/$Y7)))</f>
        <v/>
      </c>
      <c r="AD7">
        <f>IF($Y7="","",IF($Y7=0,$Z7*EXP($AA7*3),$Z7*(1+$Y7*$AA7*3)^(1/$Y7)))</f>
        <v/>
      </c>
      <c r="AE7">
        <f>IF($Y7="","",IF($Y7=0,$Z7*EXP($AA7*-2),$Z7*(1+$Y7*$AA7*-2)^(1/$Y7)))</f>
        <v/>
      </c>
      <c r="AF7">
        <f>IF($Y7="","",IF($Y7=0,$Z7*EXP($AA7*-3),$Z7*(1+$Y7*$AA7*-3)^(1/$Y7)))</f>
        <v/>
      </c>
      <c r="AG7">
        <f>IF($W7="","",IFERROR(INDEX(IF($T7&lt;=60,est05_l,est519_l),MATCH($W7,IF($T7&lt;=60,est05_k,est519_k),1)),""))</f>
        <v/>
      </c>
      <c r="AH7">
        <f>IF($W7="","",IFERROR(INDEX(IF($T7&lt;=60,est05_m,est519_m),MATCH($W7,IF($T7&lt;=60,est05_k,est519_k),1)),""))</f>
        <v/>
      </c>
      <c r="AI7">
        <f>IF($W7="","",IFERROR(INDEX(IF($T7&lt;=60,est05_s,est519_s),MATCH($W7,IF($T7&lt;=60,est05_k,est519_k),1)),""))</f>
        <v/>
      </c>
      <c r="AJ7">
        <f>IF($W7="","",IFERROR(INDEX(IF($T7&lt;=60,peso05_l,peso510_l),MATCH($W7,IF($T7&lt;=60,peso05_k,peso510_k),1)),""))</f>
        <v/>
      </c>
      <c r="AK7">
        <f>IF($W7="","",IFERROR(INDEX(IF($T7&lt;=60,peso05_m,peso510_m),MATCH($W7,IF($T7&lt;=60,peso05_k,peso510_k),1)),""))</f>
        <v/>
      </c>
      <c r="AL7">
        <f>IF($W7="","",IFERROR(INDEX(IF($T7&lt;=60,peso05_s,peso510_s),MATCH($W7,IF($T7&lt;=60,peso05_k,peso510_k),1)),""))</f>
        <v/>
      </c>
      <c r="AM7">
        <f>IF($AJ7="","",IF($AJ7=0,LN($F7/$AK7)/$AL7,((($F7/$AK7)^$AJ7)-1)/($AJ7*$AL7)))</f>
        <v/>
      </c>
      <c r="AN7">
        <f>IF($AJ7="","",IF($AJ7=0,$AK7*EXP($AL7*2),$AK7*(1+$AJ7*$AL7*2)^(1/$AJ7)))</f>
        <v/>
      </c>
      <c r="AO7">
        <f>IF($AJ7="","",IF($AJ7=0,$AK7*EXP($AL7*3),$AK7*(1+$AJ7*$AL7*3)^(1/$AJ7)))</f>
        <v/>
      </c>
      <c r="AP7">
        <f>IF($AJ7="","",IF($AJ7=0,$AK7*EXP($AL7*-2),$AK7*(1+$AJ7*$AL7*-2)^(1/$AJ7)))</f>
        <v/>
      </c>
      <c r="AQ7">
        <f>IF($AJ7="","",IF($AJ7=0,$AK7*EXP($AL7*-3),$AK7*(1+$AJ7*$AL7*-3)^(1/$AJ7)))</f>
        <v/>
      </c>
      <c r="AR7">
        <f>IF(OR($X7="",$T7&gt;60),"",IFERROR(INDEX(IF($T7&lt;24,pcomp_l,palt_l),MATCH($X7,IF($T7&lt;24,pcomp_k,palt_k),1)),""))</f>
        <v/>
      </c>
      <c r="AS7">
        <f>IF(OR($X7="",$T7&gt;60),"",IFERROR(INDEX(IF($T7&lt;24,pcomp_m,palt_m),MATCH($X7,IF($T7&lt;24,pcomp_k,palt_k),1)),""))</f>
        <v/>
      </c>
      <c r="AT7">
        <f>IF(OR($X7="",$T7&gt;60),"",IFERROR(INDEX(IF($T7&lt;24,pcomp_s,palt_s),MATCH($X7,IF($T7&lt;24,pcomp_k,palt_k),1)),""))</f>
        <v/>
      </c>
      <c r="AU7">
        <f>IF($AR7="","",IF($AR7=0,LN($F7/$AS7)/$AT7,((($F7/$AS7)^$AR7)-1)/($AR7*$AT7)))</f>
        <v/>
      </c>
      <c r="AV7">
        <f>IF($AR7="","",IF($AR7=0,$AS7*EXP($AT7*2),$AS7*(1+$AR7*$AT7*2)^(1/$AR7)))</f>
        <v/>
      </c>
      <c r="AW7">
        <f>IF($AR7="","",IF($AR7=0,$AS7*EXP($AT7*3),$AS7*(1+$AR7*$AT7*3)^(1/$AR7)))</f>
        <v/>
      </c>
      <c r="AX7">
        <f>IF($AR7="","",IF($AR7=0,$AS7*EXP($AT7*-2),$AS7*(1+$AR7*$AT7*-2)^(1/$AR7)))</f>
        <v/>
      </c>
      <c r="AY7">
        <f>IF($AR7="","",IF($AR7=0,$AS7*EXP($AT7*-3),$AS7*(1+$AR7*$AT7*-3)^(1/$AR7)))</f>
        <v/>
      </c>
      <c r="AZ7">
        <f>IF(OR($A7="",$A7&lt;&gt;Ficha!$C$4),"",COUNTIF($A$2:$A7,Ficha!$C$4))</f>
        <v/>
      </c>
    </row>
    <row r="8">
      <c r="A8" s="8">
        <f>IF(INDEX(Banco!$A:$A,ROW())="","",INDEX(Banco!$A:$A,ROW()))</f>
        <v/>
      </c>
      <c r="B8" s="8">
        <f>IF(INDEX(Banco!$B:$B,ROW())="","",INDEX(Banco!$B:$B,ROW()))</f>
        <v/>
      </c>
      <c r="C8" s="8">
        <f>IF(INDEX(Banco!$C:$C,ROW())="","",INDEX(Banco!$C:$C,ROW()))</f>
        <v/>
      </c>
      <c r="D8" s="9">
        <f>IF(INDEX(Banco!$D:$D,ROW())="","",INDEX(Banco!$D:$D,ROW()))</f>
        <v/>
      </c>
      <c r="E8" s="9">
        <f>IF(INDEX(Banco!$E:$E,ROW())="","",INDEX(Banco!$E:$E,ROW()))</f>
        <v/>
      </c>
      <c r="F8" s="10">
        <f>IF(INDEX(Banco!$F:$F,ROW())="","",INDEX(Banco!$F:$F,ROW()))</f>
        <v/>
      </c>
      <c r="G8" s="10">
        <f>IF(INDEX(Banco!$G:$G,ROW())="","",INDEX(Banco!$G:$G,ROW()))</f>
        <v/>
      </c>
      <c r="H8" s="8">
        <f>IF(INDEX(Banco!$H:$H,ROW())="","",INDEX(Banco!$H:$H,ROW()))</f>
        <v/>
      </c>
      <c r="I8">
        <f>IF($T8="","",INT($T8/12)&amp;"a "&amp;MOD($T8,12)&amp;"m")</f>
        <v/>
      </c>
      <c r="J8" s="11">
        <f>IF(OR($F8="",$G8=""),"",ROUND($F8/($G8/100)^2,2))</f>
        <v/>
      </c>
      <c r="K8" s="12">
        <f>IF(OR($S8="",$J8="",$T8="",$T8&lt;0,$T8&gt;228,$Y8=""),"—",ROUND(IF(ABS($AB8)&lt;=3,$AB8,IF($AB8&gt;3,3+($J8-$AD8)/($AD8-$AC8),-3+($J8-$AF8)/($AE8-$AF8))),2))</f>
        <v/>
      </c>
      <c r="L8">
        <f>IF(OR($K8="",$K8="—"),"",IF($T8&lt;=60,IF($K8&lt;-3,"Magreza acentuada",IF($K8&lt;-2,"Magreza",IF($K8&lt;=1,"Eutrofia",IF($K8&lt;=2,"Risco de sobrepeso",IF($K8&lt;=3,"Sobrepeso","Obesidade"))))),IF($K8&lt;-3,"Magreza acentuada",IF($K8&lt;-2,"Magreza",IF($K8&lt;=1,"Eutrofia",IF($K8&lt;=2,"Sobrepeso",IF($K8&lt;=3,"Obesidade","Obesidade grave")))))))</f>
        <v/>
      </c>
      <c r="M8" s="12">
        <f>IF(OR($S8="",$V8="",$T8="",$T8&lt;0,$T8&gt;228,$AG8=""),"—",ROUND(IF($AG8=0,LN($V8/$AH8)/$AI8,((($V8/$AH8)^$AG8)-1)/($AG8*$AI8)),2))</f>
        <v/>
      </c>
      <c r="N8">
        <f>IF(OR($M8="",$M8="—"),"",IF($M8&lt;-3,"Muito baixa",IF($M8&lt;-2,"Baixa","Adequada")))</f>
        <v/>
      </c>
      <c r="O8" s="12">
        <f>IF(OR($S8="",$F8="",$T8="",$T8&lt;0,$T8&gt;120,$AJ8=""),"—",ROUND(IF(ABS($AM8)&lt;=3,$AM8,IF($AM8&gt;3,3+($F8-$AO8)/($AO8-$AN8),-3+($F8-$AQ8)/($AP8-$AQ8))),2))</f>
        <v/>
      </c>
      <c r="P8">
        <f>IF(OR($O8="",$O8="—"),"",IF($O8&lt;-3,"Muito baixo",IF($O8&lt;-2,"Baixo",IF($O8&lt;=2,"Adequado","Elevado"))))</f>
        <v/>
      </c>
      <c r="Q8" s="12">
        <f>IF(OR($S8="",$F8="",$T8="",$T8&lt;0,$T8&gt;60,$AR8=""),"—",ROUND(IF(ABS($AU8)&lt;=3,$AU8,IF($AU8&gt;3,3+($F8-$AW8)/($AW8-$AV8),-3+($F8-$AY8)/($AX8-$AY8))),2))</f>
        <v/>
      </c>
      <c r="R8">
        <f>IF(OR($Q8="",$Q8="—"),"",IF($Q8&lt;-3,"Magreza acentuada",IF($Q8&lt;-2,"Magreza",IF($Q8&lt;=1,"Eutrofia",IF($Q8&lt;=2,"Risco de sobrepeso",IF($Q8&lt;=3,"Sobrepeso","Obesidade"))))))</f>
        <v/>
      </c>
      <c r="S8">
        <f>IF($C8="","",IF(UPPER(LEFT($C8,1))="M",1,IF(UPPER(LEFT($C8,1))="F",2,"")))</f>
        <v/>
      </c>
      <c r="T8">
        <f>IF(OR($D8="",$E8=""),"",DATEDIF($D8,$E8,"m"))</f>
        <v/>
      </c>
      <c r="U8">
        <f>IF(OR($D8="",$E8=""),"",$E8-$D8)</f>
        <v/>
      </c>
      <c r="V8">
        <f>IF(OR($G8="",$T8=""),"",IF($T8&lt;24,IF(LEFT(LOWER($H8),4)="em p",$G8+0.7,$G8),IF(LEFT(LOWER($H8),4)="deit",$G8-0.7,$G8)))</f>
        <v/>
      </c>
      <c r="W8">
        <f>IF(OR($S8="",$T8=""),"",$S8*1000000+IF($T8&lt;=60,$U8,$T8))</f>
        <v/>
      </c>
      <c r="X8">
        <f>IF(OR($S8="",$V8="",$T8&gt;60,$T8=""),"",$S8*1000000+ROUND($V8*10,0))</f>
        <v/>
      </c>
      <c r="Y8">
        <f>IF($W8="","",IFERROR(INDEX(IF($T8&lt;=60,imc05_l,imc519_l),MATCH($W8,IF($T8&lt;=60,imc05_k,imc519_k),1)),""))</f>
        <v/>
      </c>
      <c r="Z8">
        <f>IF($W8="","",IFERROR(INDEX(IF($T8&lt;=60,imc05_m,imc519_m),MATCH($W8,IF($T8&lt;=60,imc05_k,imc519_k),1)),""))</f>
        <v/>
      </c>
      <c r="AA8">
        <f>IF($W8="","",IFERROR(INDEX(IF($T8&lt;=60,imc05_s,imc519_s),MATCH($W8,IF($T8&lt;=60,imc05_k,imc519_k),1)),""))</f>
        <v/>
      </c>
      <c r="AB8">
        <f>IF($Y8="","",IF($Y8=0,LN($J8/$Z8)/$AA8,((($J8/$Z8)^$Y8)-1)/($Y8*$AA8)))</f>
        <v/>
      </c>
      <c r="AC8">
        <f>IF($Y8="","",IF($Y8=0,$Z8*EXP($AA8*2),$Z8*(1+$Y8*$AA8*2)^(1/$Y8)))</f>
        <v/>
      </c>
      <c r="AD8">
        <f>IF($Y8="","",IF($Y8=0,$Z8*EXP($AA8*3),$Z8*(1+$Y8*$AA8*3)^(1/$Y8)))</f>
        <v/>
      </c>
      <c r="AE8">
        <f>IF($Y8="","",IF($Y8=0,$Z8*EXP($AA8*-2),$Z8*(1+$Y8*$AA8*-2)^(1/$Y8)))</f>
        <v/>
      </c>
      <c r="AF8">
        <f>IF($Y8="","",IF($Y8=0,$Z8*EXP($AA8*-3),$Z8*(1+$Y8*$AA8*-3)^(1/$Y8)))</f>
        <v/>
      </c>
      <c r="AG8">
        <f>IF($W8="","",IFERROR(INDEX(IF($T8&lt;=60,est05_l,est519_l),MATCH($W8,IF($T8&lt;=60,est05_k,est519_k),1)),""))</f>
        <v/>
      </c>
      <c r="AH8">
        <f>IF($W8="","",IFERROR(INDEX(IF($T8&lt;=60,est05_m,est519_m),MATCH($W8,IF($T8&lt;=60,est05_k,est519_k),1)),""))</f>
        <v/>
      </c>
      <c r="AI8">
        <f>IF($W8="","",IFERROR(INDEX(IF($T8&lt;=60,est05_s,est519_s),MATCH($W8,IF($T8&lt;=60,est05_k,est519_k),1)),""))</f>
        <v/>
      </c>
      <c r="AJ8">
        <f>IF($W8="","",IFERROR(INDEX(IF($T8&lt;=60,peso05_l,peso510_l),MATCH($W8,IF($T8&lt;=60,peso05_k,peso510_k),1)),""))</f>
        <v/>
      </c>
      <c r="AK8">
        <f>IF($W8="","",IFERROR(INDEX(IF($T8&lt;=60,peso05_m,peso510_m),MATCH($W8,IF($T8&lt;=60,peso05_k,peso510_k),1)),""))</f>
        <v/>
      </c>
      <c r="AL8">
        <f>IF($W8="","",IFERROR(INDEX(IF($T8&lt;=60,peso05_s,peso510_s),MATCH($W8,IF($T8&lt;=60,peso05_k,peso510_k),1)),""))</f>
        <v/>
      </c>
      <c r="AM8">
        <f>IF($AJ8="","",IF($AJ8=0,LN($F8/$AK8)/$AL8,((($F8/$AK8)^$AJ8)-1)/($AJ8*$AL8)))</f>
        <v/>
      </c>
      <c r="AN8">
        <f>IF($AJ8="","",IF($AJ8=0,$AK8*EXP($AL8*2),$AK8*(1+$AJ8*$AL8*2)^(1/$AJ8)))</f>
        <v/>
      </c>
      <c r="AO8">
        <f>IF($AJ8="","",IF($AJ8=0,$AK8*EXP($AL8*3),$AK8*(1+$AJ8*$AL8*3)^(1/$AJ8)))</f>
        <v/>
      </c>
      <c r="AP8">
        <f>IF($AJ8="","",IF($AJ8=0,$AK8*EXP($AL8*-2),$AK8*(1+$AJ8*$AL8*-2)^(1/$AJ8)))</f>
        <v/>
      </c>
      <c r="AQ8">
        <f>IF($AJ8="","",IF($AJ8=0,$AK8*EXP($AL8*-3),$AK8*(1+$AJ8*$AL8*-3)^(1/$AJ8)))</f>
        <v/>
      </c>
      <c r="AR8">
        <f>IF(OR($X8="",$T8&gt;60),"",IFERROR(INDEX(IF($T8&lt;24,pcomp_l,palt_l),MATCH($X8,IF($T8&lt;24,pcomp_k,palt_k),1)),""))</f>
        <v/>
      </c>
      <c r="AS8">
        <f>IF(OR($X8="",$T8&gt;60),"",IFERROR(INDEX(IF($T8&lt;24,pcomp_m,palt_m),MATCH($X8,IF($T8&lt;24,pcomp_k,palt_k),1)),""))</f>
        <v/>
      </c>
      <c r="AT8">
        <f>IF(OR($X8="",$T8&gt;60),"",IFERROR(INDEX(IF($T8&lt;24,pcomp_s,palt_s),MATCH($X8,IF($T8&lt;24,pcomp_k,palt_k),1)),""))</f>
        <v/>
      </c>
      <c r="AU8">
        <f>IF($AR8="","",IF($AR8=0,LN($F8/$AS8)/$AT8,((($F8/$AS8)^$AR8)-1)/($AR8*$AT8)))</f>
        <v/>
      </c>
      <c r="AV8">
        <f>IF($AR8="","",IF($AR8=0,$AS8*EXP($AT8*2),$AS8*(1+$AR8*$AT8*2)^(1/$AR8)))</f>
        <v/>
      </c>
      <c r="AW8">
        <f>IF($AR8="","",IF($AR8=0,$AS8*EXP($AT8*3),$AS8*(1+$AR8*$AT8*3)^(1/$AR8)))</f>
        <v/>
      </c>
      <c r="AX8">
        <f>IF($AR8="","",IF($AR8=0,$AS8*EXP($AT8*-2),$AS8*(1+$AR8*$AT8*-2)^(1/$AR8)))</f>
        <v/>
      </c>
      <c r="AY8">
        <f>IF($AR8="","",IF($AR8=0,$AS8*EXP($AT8*-3),$AS8*(1+$AR8*$AT8*-3)^(1/$AR8)))</f>
        <v/>
      </c>
      <c r="AZ8">
        <f>IF(OR($A8="",$A8&lt;&gt;Ficha!$C$4),"",COUNTIF($A$2:$A8,Ficha!$C$4))</f>
        <v/>
      </c>
    </row>
    <row r="9">
      <c r="A9" s="8">
        <f>IF(INDEX(Banco!$A:$A,ROW())="","",INDEX(Banco!$A:$A,ROW()))</f>
        <v/>
      </c>
      <c r="B9" s="8">
        <f>IF(INDEX(Banco!$B:$B,ROW())="","",INDEX(Banco!$B:$B,ROW()))</f>
        <v/>
      </c>
      <c r="C9" s="8">
        <f>IF(INDEX(Banco!$C:$C,ROW())="","",INDEX(Banco!$C:$C,ROW()))</f>
        <v/>
      </c>
      <c r="D9" s="9">
        <f>IF(INDEX(Banco!$D:$D,ROW())="","",INDEX(Banco!$D:$D,ROW()))</f>
        <v/>
      </c>
      <c r="E9" s="9">
        <f>IF(INDEX(Banco!$E:$E,ROW())="","",INDEX(Banco!$E:$E,ROW()))</f>
        <v/>
      </c>
      <c r="F9" s="10">
        <f>IF(INDEX(Banco!$F:$F,ROW())="","",INDEX(Banco!$F:$F,ROW()))</f>
        <v/>
      </c>
      <c r="G9" s="10">
        <f>IF(INDEX(Banco!$G:$G,ROW())="","",INDEX(Banco!$G:$G,ROW()))</f>
        <v/>
      </c>
      <c r="H9" s="8">
        <f>IF(INDEX(Banco!$H:$H,ROW())="","",INDEX(Banco!$H:$H,ROW()))</f>
        <v/>
      </c>
      <c r="I9">
        <f>IF($T9="","",INT($T9/12)&amp;"a "&amp;MOD($T9,12)&amp;"m")</f>
        <v/>
      </c>
      <c r="J9" s="11">
        <f>IF(OR($F9="",$G9=""),"",ROUND($F9/($G9/100)^2,2))</f>
        <v/>
      </c>
      <c r="K9" s="12">
        <f>IF(OR($S9="",$J9="",$T9="",$T9&lt;0,$T9&gt;228,$Y9=""),"—",ROUND(IF(ABS($AB9)&lt;=3,$AB9,IF($AB9&gt;3,3+($J9-$AD9)/($AD9-$AC9),-3+($J9-$AF9)/($AE9-$AF9))),2))</f>
        <v/>
      </c>
      <c r="L9">
        <f>IF(OR($K9="",$K9="—"),"",IF($T9&lt;=60,IF($K9&lt;-3,"Magreza acentuada",IF($K9&lt;-2,"Magreza",IF($K9&lt;=1,"Eutrofia",IF($K9&lt;=2,"Risco de sobrepeso",IF($K9&lt;=3,"Sobrepeso","Obesidade"))))),IF($K9&lt;-3,"Magreza acentuada",IF($K9&lt;-2,"Magreza",IF($K9&lt;=1,"Eutrofia",IF($K9&lt;=2,"Sobrepeso",IF($K9&lt;=3,"Obesidade","Obesidade grave")))))))</f>
        <v/>
      </c>
      <c r="M9" s="12">
        <f>IF(OR($S9="",$V9="",$T9="",$T9&lt;0,$T9&gt;228,$AG9=""),"—",ROUND(IF($AG9=0,LN($V9/$AH9)/$AI9,((($V9/$AH9)^$AG9)-1)/($AG9*$AI9)),2))</f>
        <v/>
      </c>
      <c r="N9">
        <f>IF(OR($M9="",$M9="—"),"",IF($M9&lt;-3,"Muito baixa",IF($M9&lt;-2,"Baixa","Adequada")))</f>
        <v/>
      </c>
      <c r="O9" s="12">
        <f>IF(OR($S9="",$F9="",$T9="",$T9&lt;0,$T9&gt;120,$AJ9=""),"—",ROUND(IF(ABS($AM9)&lt;=3,$AM9,IF($AM9&gt;3,3+($F9-$AO9)/($AO9-$AN9),-3+($F9-$AQ9)/($AP9-$AQ9))),2))</f>
        <v/>
      </c>
      <c r="P9">
        <f>IF(OR($O9="",$O9="—"),"",IF($O9&lt;-3,"Muito baixo",IF($O9&lt;-2,"Baixo",IF($O9&lt;=2,"Adequado","Elevado"))))</f>
        <v/>
      </c>
      <c r="Q9" s="12">
        <f>IF(OR($S9="",$F9="",$T9="",$T9&lt;0,$T9&gt;60,$AR9=""),"—",ROUND(IF(ABS($AU9)&lt;=3,$AU9,IF($AU9&gt;3,3+($F9-$AW9)/($AW9-$AV9),-3+($F9-$AY9)/($AX9-$AY9))),2))</f>
        <v/>
      </c>
      <c r="R9">
        <f>IF(OR($Q9="",$Q9="—"),"",IF($Q9&lt;-3,"Magreza acentuada",IF($Q9&lt;-2,"Magreza",IF($Q9&lt;=1,"Eutrofia",IF($Q9&lt;=2,"Risco de sobrepeso",IF($Q9&lt;=3,"Sobrepeso","Obesidade"))))))</f>
        <v/>
      </c>
      <c r="S9">
        <f>IF($C9="","",IF(UPPER(LEFT($C9,1))="M",1,IF(UPPER(LEFT($C9,1))="F",2,"")))</f>
        <v/>
      </c>
      <c r="T9">
        <f>IF(OR($D9="",$E9=""),"",DATEDIF($D9,$E9,"m"))</f>
        <v/>
      </c>
      <c r="U9">
        <f>IF(OR($D9="",$E9=""),"",$E9-$D9)</f>
        <v/>
      </c>
      <c r="V9">
        <f>IF(OR($G9="",$T9=""),"",IF($T9&lt;24,IF(LEFT(LOWER($H9),4)="em p",$G9+0.7,$G9),IF(LEFT(LOWER($H9),4)="deit",$G9-0.7,$G9)))</f>
        <v/>
      </c>
      <c r="W9">
        <f>IF(OR($S9="",$T9=""),"",$S9*1000000+IF($T9&lt;=60,$U9,$T9))</f>
        <v/>
      </c>
      <c r="X9">
        <f>IF(OR($S9="",$V9="",$T9&gt;60,$T9=""),"",$S9*1000000+ROUND($V9*10,0))</f>
        <v/>
      </c>
      <c r="Y9">
        <f>IF($W9="","",IFERROR(INDEX(IF($T9&lt;=60,imc05_l,imc519_l),MATCH($W9,IF($T9&lt;=60,imc05_k,imc519_k),1)),""))</f>
        <v/>
      </c>
      <c r="Z9">
        <f>IF($W9="","",IFERROR(INDEX(IF($T9&lt;=60,imc05_m,imc519_m),MATCH($W9,IF($T9&lt;=60,imc05_k,imc519_k),1)),""))</f>
        <v/>
      </c>
      <c r="AA9">
        <f>IF($W9="","",IFERROR(INDEX(IF($T9&lt;=60,imc05_s,imc519_s),MATCH($W9,IF($T9&lt;=60,imc05_k,imc519_k),1)),""))</f>
        <v/>
      </c>
      <c r="AB9">
        <f>IF($Y9="","",IF($Y9=0,LN($J9/$Z9)/$AA9,((($J9/$Z9)^$Y9)-1)/($Y9*$AA9)))</f>
        <v/>
      </c>
      <c r="AC9">
        <f>IF($Y9="","",IF($Y9=0,$Z9*EXP($AA9*2),$Z9*(1+$Y9*$AA9*2)^(1/$Y9)))</f>
        <v/>
      </c>
      <c r="AD9">
        <f>IF($Y9="","",IF($Y9=0,$Z9*EXP($AA9*3),$Z9*(1+$Y9*$AA9*3)^(1/$Y9)))</f>
        <v/>
      </c>
      <c r="AE9">
        <f>IF($Y9="","",IF($Y9=0,$Z9*EXP($AA9*-2),$Z9*(1+$Y9*$AA9*-2)^(1/$Y9)))</f>
        <v/>
      </c>
      <c r="AF9">
        <f>IF($Y9="","",IF($Y9=0,$Z9*EXP($AA9*-3),$Z9*(1+$Y9*$AA9*-3)^(1/$Y9)))</f>
        <v/>
      </c>
      <c r="AG9">
        <f>IF($W9="","",IFERROR(INDEX(IF($T9&lt;=60,est05_l,est519_l),MATCH($W9,IF($T9&lt;=60,est05_k,est519_k),1)),""))</f>
        <v/>
      </c>
      <c r="AH9">
        <f>IF($W9="","",IFERROR(INDEX(IF($T9&lt;=60,est05_m,est519_m),MATCH($W9,IF($T9&lt;=60,est05_k,est519_k),1)),""))</f>
        <v/>
      </c>
      <c r="AI9">
        <f>IF($W9="","",IFERROR(INDEX(IF($T9&lt;=60,est05_s,est519_s),MATCH($W9,IF($T9&lt;=60,est05_k,est519_k),1)),""))</f>
        <v/>
      </c>
      <c r="AJ9">
        <f>IF($W9="","",IFERROR(INDEX(IF($T9&lt;=60,peso05_l,peso510_l),MATCH($W9,IF($T9&lt;=60,peso05_k,peso510_k),1)),""))</f>
        <v/>
      </c>
      <c r="AK9">
        <f>IF($W9="","",IFERROR(INDEX(IF($T9&lt;=60,peso05_m,peso510_m),MATCH($W9,IF($T9&lt;=60,peso05_k,peso510_k),1)),""))</f>
        <v/>
      </c>
      <c r="AL9">
        <f>IF($W9="","",IFERROR(INDEX(IF($T9&lt;=60,peso05_s,peso510_s),MATCH($W9,IF($T9&lt;=60,peso05_k,peso510_k),1)),""))</f>
        <v/>
      </c>
      <c r="AM9">
        <f>IF($AJ9="","",IF($AJ9=0,LN($F9/$AK9)/$AL9,((($F9/$AK9)^$AJ9)-1)/($AJ9*$AL9)))</f>
        <v/>
      </c>
      <c r="AN9">
        <f>IF($AJ9="","",IF($AJ9=0,$AK9*EXP($AL9*2),$AK9*(1+$AJ9*$AL9*2)^(1/$AJ9)))</f>
        <v/>
      </c>
      <c r="AO9">
        <f>IF($AJ9="","",IF($AJ9=0,$AK9*EXP($AL9*3),$AK9*(1+$AJ9*$AL9*3)^(1/$AJ9)))</f>
        <v/>
      </c>
      <c r="AP9">
        <f>IF($AJ9="","",IF($AJ9=0,$AK9*EXP($AL9*-2),$AK9*(1+$AJ9*$AL9*-2)^(1/$AJ9)))</f>
        <v/>
      </c>
      <c r="AQ9">
        <f>IF($AJ9="","",IF($AJ9=0,$AK9*EXP($AL9*-3),$AK9*(1+$AJ9*$AL9*-3)^(1/$AJ9)))</f>
        <v/>
      </c>
      <c r="AR9">
        <f>IF(OR($X9="",$T9&gt;60),"",IFERROR(INDEX(IF($T9&lt;24,pcomp_l,palt_l),MATCH($X9,IF($T9&lt;24,pcomp_k,palt_k),1)),""))</f>
        <v/>
      </c>
      <c r="AS9">
        <f>IF(OR($X9="",$T9&gt;60),"",IFERROR(INDEX(IF($T9&lt;24,pcomp_m,palt_m),MATCH($X9,IF($T9&lt;24,pcomp_k,palt_k),1)),""))</f>
        <v/>
      </c>
      <c r="AT9">
        <f>IF(OR($X9="",$T9&gt;60),"",IFERROR(INDEX(IF($T9&lt;24,pcomp_s,palt_s),MATCH($X9,IF($T9&lt;24,pcomp_k,palt_k),1)),""))</f>
        <v/>
      </c>
      <c r="AU9">
        <f>IF($AR9="","",IF($AR9=0,LN($F9/$AS9)/$AT9,((($F9/$AS9)^$AR9)-1)/($AR9*$AT9)))</f>
        <v/>
      </c>
      <c r="AV9">
        <f>IF($AR9="","",IF($AR9=0,$AS9*EXP($AT9*2),$AS9*(1+$AR9*$AT9*2)^(1/$AR9)))</f>
        <v/>
      </c>
      <c r="AW9">
        <f>IF($AR9="","",IF($AR9=0,$AS9*EXP($AT9*3),$AS9*(1+$AR9*$AT9*3)^(1/$AR9)))</f>
        <v/>
      </c>
      <c r="AX9">
        <f>IF($AR9="","",IF($AR9=0,$AS9*EXP($AT9*-2),$AS9*(1+$AR9*$AT9*-2)^(1/$AR9)))</f>
        <v/>
      </c>
      <c r="AY9">
        <f>IF($AR9="","",IF($AR9=0,$AS9*EXP($AT9*-3),$AS9*(1+$AR9*$AT9*-3)^(1/$AR9)))</f>
        <v/>
      </c>
      <c r="AZ9">
        <f>IF(OR($A9="",$A9&lt;&gt;Ficha!$C$4),"",COUNTIF($A$2:$A9,Ficha!$C$4))</f>
        <v/>
      </c>
    </row>
    <row r="10">
      <c r="A10" s="8">
        <f>IF(INDEX(Banco!$A:$A,ROW())="","",INDEX(Banco!$A:$A,ROW()))</f>
        <v/>
      </c>
      <c r="B10" s="8">
        <f>IF(INDEX(Banco!$B:$B,ROW())="","",INDEX(Banco!$B:$B,ROW()))</f>
        <v/>
      </c>
      <c r="C10" s="8">
        <f>IF(INDEX(Banco!$C:$C,ROW())="","",INDEX(Banco!$C:$C,ROW()))</f>
        <v/>
      </c>
      <c r="D10" s="9">
        <f>IF(INDEX(Banco!$D:$D,ROW())="","",INDEX(Banco!$D:$D,ROW()))</f>
        <v/>
      </c>
      <c r="E10" s="9">
        <f>IF(INDEX(Banco!$E:$E,ROW())="","",INDEX(Banco!$E:$E,ROW()))</f>
        <v/>
      </c>
      <c r="F10" s="10">
        <f>IF(INDEX(Banco!$F:$F,ROW())="","",INDEX(Banco!$F:$F,ROW()))</f>
        <v/>
      </c>
      <c r="G10" s="10">
        <f>IF(INDEX(Banco!$G:$G,ROW())="","",INDEX(Banco!$G:$G,ROW()))</f>
        <v/>
      </c>
      <c r="H10" s="8">
        <f>IF(INDEX(Banco!$H:$H,ROW())="","",INDEX(Banco!$H:$H,ROW()))</f>
        <v/>
      </c>
      <c r="I10">
        <f>IF($T10="","",INT($T10/12)&amp;"a "&amp;MOD($T10,12)&amp;"m")</f>
        <v/>
      </c>
      <c r="J10" s="11">
        <f>IF(OR($F10="",$G10=""),"",ROUND($F10/($G10/100)^2,2))</f>
        <v/>
      </c>
      <c r="K10" s="12">
        <f>IF(OR($S10="",$J10="",$T10="",$T10&lt;0,$T10&gt;228,$Y10=""),"—",ROUND(IF(ABS($AB10)&lt;=3,$AB10,IF($AB10&gt;3,3+($J10-$AD10)/($AD10-$AC10),-3+($J10-$AF10)/($AE10-$AF10))),2))</f>
        <v/>
      </c>
      <c r="L10">
        <f>IF(OR($K10="",$K10="—"),"",IF($T10&lt;=60,IF($K10&lt;-3,"Magreza acentuada",IF($K10&lt;-2,"Magreza",IF($K10&lt;=1,"Eutrofia",IF($K10&lt;=2,"Risco de sobrepeso",IF($K10&lt;=3,"Sobrepeso","Obesidade"))))),IF($K10&lt;-3,"Magreza acentuada",IF($K10&lt;-2,"Magreza",IF($K10&lt;=1,"Eutrofia",IF($K10&lt;=2,"Sobrepeso",IF($K10&lt;=3,"Obesidade","Obesidade grave")))))))</f>
        <v/>
      </c>
      <c r="M10" s="12">
        <f>IF(OR($S10="",$V10="",$T10="",$T10&lt;0,$T10&gt;228,$AG10=""),"—",ROUND(IF($AG10=0,LN($V10/$AH10)/$AI10,((($V10/$AH10)^$AG10)-1)/($AG10*$AI10)),2))</f>
        <v/>
      </c>
      <c r="N10">
        <f>IF(OR($M10="",$M10="—"),"",IF($M10&lt;-3,"Muito baixa",IF($M10&lt;-2,"Baixa","Adequada")))</f>
        <v/>
      </c>
      <c r="O10" s="12">
        <f>IF(OR($S10="",$F10="",$T10="",$T10&lt;0,$T10&gt;120,$AJ10=""),"—",ROUND(IF(ABS($AM10)&lt;=3,$AM10,IF($AM10&gt;3,3+($F10-$AO10)/($AO10-$AN10),-3+($F10-$AQ10)/($AP10-$AQ10))),2))</f>
        <v/>
      </c>
      <c r="P10">
        <f>IF(OR($O10="",$O10="—"),"",IF($O10&lt;-3,"Muito baixo",IF($O10&lt;-2,"Baixo",IF($O10&lt;=2,"Adequado","Elevado"))))</f>
        <v/>
      </c>
      <c r="Q10" s="12">
        <f>IF(OR($S10="",$F10="",$T10="",$T10&lt;0,$T10&gt;60,$AR10=""),"—",ROUND(IF(ABS($AU10)&lt;=3,$AU10,IF($AU10&gt;3,3+($F10-$AW10)/($AW10-$AV10),-3+($F10-$AY10)/($AX10-$AY10))),2))</f>
        <v/>
      </c>
      <c r="R10">
        <f>IF(OR($Q10="",$Q10="—"),"",IF($Q10&lt;-3,"Magreza acentuada",IF($Q10&lt;-2,"Magreza",IF($Q10&lt;=1,"Eutrofia",IF($Q10&lt;=2,"Risco de sobrepeso",IF($Q10&lt;=3,"Sobrepeso","Obesidade"))))))</f>
        <v/>
      </c>
      <c r="S10">
        <f>IF($C10="","",IF(UPPER(LEFT($C10,1))="M",1,IF(UPPER(LEFT($C10,1))="F",2,"")))</f>
        <v/>
      </c>
      <c r="T10">
        <f>IF(OR($D10="",$E10=""),"",DATEDIF($D10,$E10,"m"))</f>
        <v/>
      </c>
      <c r="U10">
        <f>IF(OR($D10="",$E10=""),"",$E10-$D10)</f>
        <v/>
      </c>
      <c r="V10">
        <f>IF(OR($G10="",$T10=""),"",IF($T10&lt;24,IF(LEFT(LOWER($H10),4)="em p",$G10+0.7,$G10),IF(LEFT(LOWER($H10),4)="deit",$G10-0.7,$G10)))</f>
        <v/>
      </c>
      <c r="W10">
        <f>IF(OR($S10="",$T10=""),"",$S10*1000000+IF($T10&lt;=60,$U10,$T10))</f>
        <v/>
      </c>
      <c r="X10">
        <f>IF(OR($S10="",$V10="",$T10&gt;60,$T10=""),"",$S10*1000000+ROUND($V10*10,0))</f>
        <v/>
      </c>
      <c r="Y10">
        <f>IF($W10="","",IFERROR(INDEX(IF($T10&lt;=60,imc05_l,imc519_l),MATCH($W10,IF($T10&lt;=60,imc05_k,imc519_k),1)),""))</f>
        <v/>
      </c>
      <c r="Z10">
        <f>IF($W10="","",IFERROR(INDEX(IF($T10&lt;=60,imc05_m,imc519_m),MATCH($W10,IF($T10&lt;=60,imc05_k,imc519_k),1)),""))</f>
        <v/>
      </c>
      <c r="AA10">
        <f>IF($W10="","",IFERROR(INDEX(IF($T10&lt;=60,imc05_s,imc519_s),MATCH($W10,IF($T10&lt;=60,imc05_k,imc519_k),1)),""))</f>
        <v/>
      </c>
      <c r="AB10">
        <f>IF($Y10="","",IF($Y10=0,LN($J10/$Z10)/$AA10,((($J10/$Z10)^$Y10)-1)/($Y10*$AA10)))</f>
        <v/>
      </c>
      <c r="AC10">
        <f>IF($Y10="","",IF($Y10=0,$Z10*EXP($AA10*2),$Z10*(1+$Y10*$AA10*2)^(1/$Y10)))</f>
        <v/>
      </c>
      <c r="AD10">
        <f>IF($Y10="","",IF($Y10=0,$Z10*EXP($AA10*3),$Z10*(1+$Y10*$AA10*3)^(1/$Y10)))</f>
        <v/>
      </c>
      <c r="AE10">
        <f>IF($Y10="","",IF($Y10=0,$Z10*EXP($AA10*-2),$Z10*(1+$Y10*$AA10*-2)^(1/$Y10)))</f>
        <v/>
      </c>
      <c r="AF10">
        <f>IF($Y10="","",IF($Y10=0,$Z10*EXP($AA10*-3),$Z10*(1+$Y10*$AA10*-3)^(1/$Y10)))</f>
        <v/>
      </c>
      <c r="AG10">
        <f>IF($W10="","",IFERROR(INDEX(IF($T10&lt;=60,est05_l,est519_l),MATCH($W10,IF($T10&lt;=60,est05_k,est519_k),1)),""))</f>
        <v/>
      </c>
      <c r="AH10">
        <f>IF($W10="","",IFERROR(INDEX(IF($T10&lt;=60,est05_m,est519_m),MATCH($W10,IF($T10&lt;=60,est05_k,est519_k),1)),""))</f>
        <v/>
      </c>
      <c r="AI10">
        <f>IF($W10="","",IFERROR(INDEX(IF($T10&lt;=60,est05_s,est519_s),MATCH($W10,IF($T10&lt;=60,est05_k,est519_k),1)),""))</f>
        <v/>
      </c>
      <c r="AJ10">
        <f>IF($W10="","",IFERROR(INDEX(IF($T10&lt;=60,peso05_l,peso510_l),MATCH($W10,IF($T10&lt;=60,peso05_k,peso510_k),1)),""))</f>
        <v/>
      </c>
      <c r="AK10">
        <f>IF($W10="","",IFERROR(INDEX(IF($T10&lt;=60,peso05_m,peso510_m),MATCH($W10,IF($T10&lt;=60,peso05_k,peso510_k),1)),""))</f>
        <v/>
      </c>
      <c r="AL10">
        <f>IF($W10="","",IFERROR(INDEX(IF($T10&lt;=60,peso05_s,peso510_s),MATCH($W10,IF($T10&lt;=60,peso05_k,peso510_k),1)),""))</f>
        <v/>
      </c>
      <c r="AM10">
        <f>IF($AJ10="","",IF($AJ10=0,LN($F10/$AK10)/$AL10,((($F10/$AK10)^$AJ10)-1)/($AJ10*$AL10)))</f>
        <v/>
      </c>
      <c r="AN10">
        <f>IF($AJ10="","",IF($AJ10=0,$AK10*EXP($AL10*2),$AK10*(1+$AJ10*$AL10*2)^(1/$AJ10)))</f>
        <v/>
      </c>
      <c r="AO10">
        <f>IF($AJ10="","",IF($AJ10=0,$AK10*EXP($AL10*3),$AK10*(1+$AJ10*$AL10*3)^(1/$AJ10)))</f>
        <v/>
      </c>
      <c r="AP10">
        <f>IF($AJ10="","",IF($AJ10=0,$AK10*EXP($AL10*-2),$AK10*(1+$AJ10*$AL10*-2)^(1/$AJ10)))</f>
        <v/>
      </c>
      <c r="AQ10">
        <f>IF($AJ10="","",IF($AJ10=0,$AK10*EXP($AL10*-3),$AK10*(1+$AJ10*$AL10*-3)^(1/$AJ10)))</f>
        <v/>
      </c>
      <c r="AR10">
        <f>IF(OR($X10="",$T10&gt;60),"",IFERROR(INDEX(IF($T10&lt;24,pcomp_l,palt_l),MATCH($X10,IF($T10&lt;24,pcomp_k,palt_k),1)),""))</f>
        <v/>
      </c>
      <c r="AS10">
        <f>IF(OR($X10="",$T10&gt;60),"",IFERROR(INDEX(IF($T10&lt;24,pcomp_m,palt_m),MATCH($X10,IF($T10&lt;24,pcomp_k,palt_k),1)),""))</f>
        <v/>
      </c>
      <c r="AT10">
        <f>IF(OR($X10="",$T10&gt;60),"",IFERROR(INDEX(IF($T10&lt;24,pcomp_s,palt_s),MATCH($X10,IF($T10&lt;24,pcomp_k,palt_k),1)),""))</f>
        <v/>
      </c>
      <c r="AU10">
        <f>IF($AR10="","",IF($AR10=0,LN($F10/$AS10)/$AT10,((($F10/$AS10)^$AR10)-1)/($AR10*$AT10)))</f>
        <v/>
      </c>
      <c r="AV10">
        <f>IF($AR10="","",IF($AR10=0,$AS10*EXP($AT10*2),$AS10*(1+$AR10*$AT10*2)^(1/$AR10)))</f>
        <v/>
      </c>
      <c r="AW10">
        <f>IF($AR10="","",IF($AR10=0,$AS10*EXP($AT10*3),$AS10*(1+$AR10*$AT10*3)^(1/$AR10)))</f>
        <v/>
      </c>
      <c r="AX10">
        <f>IF($AR10="","",IF($AR10=0,$AS10*EXP($AT10*-2),$AS10*(1+$AR10*$AT10*-2)^(1/$AR10)))</f>
        <v/>
      </c>
      <c r="AY10">
        <f>IF($AR10="","",IF($AR10=0,$AS10*EXP($AT10*-3),$AS10*(1+$AR10*$AT10*-3)^(1/$AR10)))</f>
        <v/>
      </c>
      <c r="AZ10">
        <f>IF(OR($A10="",$A10&lt;&gt;Ficha!$C$4),"",COUNTIF($A$2:$A10,Ficha!$C$4))</f>
        <v/>
      </c>
    </row>
    <row r="11">
      <c r="A11" s="8">
        <f>IF(INDEX(Banco!$A:$A,ROW())="","",INDEX(Banco!$A:$A,ROW()))</f>
        <v/>
      </c>
      <c r="B11" s="8">
        <f>IF(INDEX(Banco!$B:$B,ROW())="","",INDEX(Banco!$B:$B,ROW()))</f>
        <v/>
      </c>
      <c r="C11" s="8">
        <f>IF(INDEX(Banco!$C:$C,ROW())="","",INDEX(Banco!$C:$C,ROW()))</f>
        <v/>
      </c>
      <c r="D11" s="9">
        <f>IF(INDEX(Banco!$D:$D,ROW())="","",INDEX(Banco!$D:$D,ROW()))</f>
        <v/>
      </c>
      <c r="E11" s="9">
        <f>IF(INDEX(Banco!$E:$E,ROW())="","",INDEX(Banco!$E:$E,ROW()))</f>
        <v/>
      </c>
      <c r="F11" s="10">
        <f>IF(INDEX(Banco!$F:$F,ROW())="","",INDEX(Banco!$F:$F,ROW()))</f>
        <v/>
      </c>
      <c r="G11" s="10">
        <f>IF(INDEX(Banco!$G:$G,ROW())="","",INDEX(Banco!$G:$G,ROW()))</f>
        <v/>
      </c>
      <c r="H11" s="8">
        <f>IF(INDEX(Banco!$H:$H,ROW())="","",INDEX(Banco!$H:$H,ROW()))</f>
        <v/>
      </c>
      <c r="I11">
        <f>IF($T11="","",INT($T11/12)&amp;"a "&amp;MOD($T11,12)&amp;"m")</f>
        <v/>
      </c>
      <c r="J11" s="11">
        <f>IF(OR($F11="",$G11=""),"",ROUND($F11/($G11/100)^2,2))</f>
        <v/>
      </c>
      <c r="K11" s="12">
        <f>IF(OR($S11="",$J11="",$T11="",$T11&lt;0,$T11&gt;228,$Y11=""),"—",ROUND(IF(ABS($AB11)&lt;=3,$AB11,IF($AB11&gt;3,3+($J11-$AD11)/($AD11-$AC11),-3+($J11-$AF11)/($AE11-$AF11))),2))</f>
        <v/>
      </c>
      <c r="L11">
        <f>IF(OR($K11="",$K11="—"),"",IF($T11&lt;=60,IF($K11&lt;-3,"Magreza acentuada",IF($K11&lt;-2,"Magreza",IF($K11&lt;=1,"Eutrofia",IF($K11&lt;=2,"Risco de sobrepeso",IF($K11&lt;=3,"Sobrepeso","Obesidade"))))),IF($K11&lt;-3,"Magreza acentuada",IF($K11&lt;-2,"Magreza",IF($K11&lt;=1,"Eutrofia",IF($K11&lt;=2,"Sobrepeso",IF($K11&lt;=3,"Obesidade","Obesidade grave")))))))</f>
        <v/>
      </c>
      <c r="M11" s="12">
        <f>IF(OR($S11="",$V11="",$T11="",$T11&lt;0,$T11&gt;228,$AG11=""),"—",ROUND(IF($AG11=0,LN($V11/$AH11)/$AI11,((($V11/$AH11)^$AG11)-1)/($AG11*$AI11)),2))</f>
        <v/>
      </c>
      <c r="N11">
        <f>IF(OR($M11="",$M11="—"),"",IF($M11&lt;-3,"Muito baixa",IF($M11&lt;-2,"Baixa","Adequada")))</f>
        <v/>
      </c>
      <c r="O11" s="12">
        <f>IF(OR($S11="",$F11="",$T11="",$T11&lt;0,$T11&gt;120,$AJ11=""),"—",ROUND(IF(ABS($AM11)&lt;=3,$AM11,IF($AM11&gt;3,3+($F11-$AO11)/($AO11-$AN11),-3+($F11-$AQ11)/($AP11-$AQ11))),2))</f>
        <v/>
      </c>
      <c r="P11">
        <f>IF(OR($O11="",$O11="—"),"",IF($O11&lt;-3,"Muito baixo",IF($O11&lt;-2,"Baixo",IF($O11&lt;=2,"Adequado","Elevado"))))</f>
        <v/>
      </c>
      <c r="Q11" s="12">
        <f>IF(OR($S11="",$F11="",$T11="",$T11&lt;0,$T11&gt;60,$AR11=""),"—",ROUND(IF(ABS($AU11)&lt;=3,$AU11,IF($AU11&gt;3,3+($F11-$AW11)/($AW11-$AV11),-3+($F11-$AY11)/($AX11-$AY11))),2))</f>
        <v/>
      </c>
      <c r="R11">
        <f>IF(OR($Q11="",$Q11="—"),"",IF($Q11&lt;-3,"Magreza acentuada",IF($Q11&lt;-2,"Magreza",IF($Q11&lt;=1,"Eutrofia",IF($Q11&lt;=2,"Risco de sobrepeso",IF($Q11&lt;=3,"Sobrepeso","Obesidade"))))))</f>
        <v/>
      </c>
      <c r="S11">
        <f>IF($C11="","",IF(UPPER(LEFT($C11,1))="M",1,IF(UPPER(LEFT($C11,1))="F",2,"")))</f>
        <v/>
      </c>
      <c r="T11">
        <f>IF(OR($D11="",$E11=""),"",DATEDIF($D11,$E11,"m"))</f>
        <v/>
      </c>
      <c r="U11">
        <f>IF(OR($D11="",$E11=""),"",$E11-$D11)</f>
        <v/>
      </c>
      <c r="V11">
        <f>IF(OR($G11="",$T11=""),"",IF($T11&lt;24,IF(LEFT(LOWER($H11),4)="em p",$G11+0.7,$G11),IF(LEFT(LOWER($H11),4)="deit",$G11-0.7,$G11)))</f>
        <v/>
      </c>
      <c r="W11">
        <f>IF(OR($S11="",$T11=""),"",$S11*1000000+IF($T11&lt;=60,$U11,$T11))</f>
        <v/>
      </c>
      <c r="X11">
        <f>IF(OR($S11="",$V11="",$T11&gt;60,$T11=""),"",$S11*1000000+ROUND($V11*10,0))</f>
        <v/>
      </c>
      <c r="Y11">
        <f>IF($W11="","",IFERROR(INDEX(IF($T11&lt;=60,imc05_l,imc519_l),MATCH($W11,IF($T11&lt;=60,imc05_k,imc519_k),1)),""))</f>
        <v/>
      </c>
      <c r="Z11">
        <f>IF($W11="","",IFERROR(INDEX(IF($T11&lt;=60,imc05_m,imc519_m),MATCH($W11,IF($T11&lt;=60,imc05_k,imc519_k),1)),""))</f>
        <v/>
      </c>
      <c r="AA11">
        <f>IF($W11="","",IFERROR(INDEX(IF($T11&lt;=60,imc05_s,imc519_s),MATCH($W11,IF($T11&lt;=60,imc05_k,imc519_k),1)),""))</f>
        <v/>
      </c>
      <c r="AB11">
        <f>IF($Y11="","",IF($Y11=0,LN($J11/$Z11)/$AA11,((($J11/$Z11)^$Y11)-1)/($Y11*$AA11)))</f>
        <v/>
      </c>
      <c r="AC11">
        <f>IF($Y11="","",IF($Y11=0,$Z11*EXP($AA11*2),$Z11*(1+$Y11*$AA11*2)^(1/$Y11)))</f>
        <v/>
      </c>
      <c r="AD11">
        <f>IF($Y11="","",IF($Y11=0,$Z11*EXP($AA11*3),$Z11*(1+$Y11*$AA11*3)^(1/$Y11)))</f>
        <v/>
      </c>
      <c r="AE11">
        <f>IF($Y11="","",IF($Y11=0,$Z11*EXP($AA11*-2),$Z11*(1+$Y11*$AA11*-2)^(1/$Y11)))</f>
        <v/>
      </c>
      <c r="AF11">
        <f>IF($Y11="","",IF($Y11=0,$Z11*EXP($AA11*-3),$Z11*(1+$Y11*$AA11*-3)^(1/$Y11)))</f>
        <v/>
      </c>
      <c r="AG11">
        <f>IF($W11="","",IFERROR(INDEX(IF($T11&lt;=60,est05_l,est519_l),MATCH($W11,IF($T11&lt;=60,est05_k,est519_k),1)),""))</f>
        <v/>
      </c>
      <c r="AH11">
        <f>IF($W11="","",IFERROR(INDEX(IF($T11&lt;=60,est05_m,est519_m),MATCH($W11,IF($T11&lt;=60,est05_k,est519_k),1)),""))</f>
        <v/>
      </c>
      <c r="AI11">
        <f>IF($W11="","",IFERROR(INDEX(IF($T11&lt;=60,est05_s,est519_s),MATCH($W11,IF($T11&lt;=60,est05_k,est519_k),1)),""))</f>
        <v/>
      </c>
      <c r="AJ11">
        <f>IF($W11="","",IFERROR(INDEX(IF($T11&lt;=60,peso05_l,peso510_l),MATCH($W11,IF($T11&lt;=60,peso05_k,peso510_k),1)),""))</f>
        <v/>
      </c>
      <c r="AK11">
        <f>IF($W11="","",IFERROR(INDEX(IF($T11&lt;=60,peso05_m,peso510_m),MATCH($W11,IF($T11&lt;=60,peso05_k,peso510_k),1)),""))</f>
        <v/>
      </c>
      <c r="AL11">
        <f>IF($W11="","",IFERROR(INDEX(IF($T11&lt;=60,peso05_s,peso510_s),MATCH($W11,IF($T11&lt;=60,peso05_k,peso510_k),1)),""))</f>
        <v/>
      </c>
      <c r="AM11">
        <f>IF($AJ11="","",IF($AJ11=0,LN($F11/$AK11)/$AL11,((($F11/$AK11)^$AJ11)-1)/($AJ11*$AL11)))</f>
        <v/>
      </c>
      <c r="AN11">
        <f>IF($AJ11="","",IF($AJ11=0,$AK11*EXP($AL11*2),$AK11*(1+$AJ11*$AL11*2)^(1/$AJ11)))</f>
        <v/>
      </c>
      <c r="AO11">
        <f>IF($AJ11="","",IF($AJ11=0,$AK11*EXP($AL11*3),$AK11*(1+$AJ11*$AL11*3)^(1/$AJ11)))</f>
        <v/>
      </c>
      <c r="AP11">
        <f>IF($AJ11="","",IF($AJ11=0,$AK11*EXP($AL11*-2),$AK11*(1+$AJ11*$AL11*-2)^(1/$AJ11)))</f>
        <v/>
      </c>
      <c r="AQ11">
        <f>IF($AJ11="","",IF($AJ11=0,$AK11*EXP($AL11*-3),$AK11*(1+$AJ11*$AL11*-3)^(1/$AJ11)))</f>
        <v/>
      </c>
      <c r="AR11">
        <f>IF(OR($X11="",$T11&gt;60),"",IFERROR(INDEX(IF($T11&lt;24,pcomp_l,palt_l),MATCH($X11,IF($T11&lt;24,pcomp_k,palt_k),1)),""))</f>
        <v/>
      </c>
      <c r="AS11">
        <f>IF(OR($X11="",$T11&gt;60),"",IFERROR(INDEX(IF($T11&lt;24,pcomp_m,palt_m),MATCH($X11,IF($T11&lt;24,pcomp_k,palt_k),1)),""))</f>
        <v/>
      </c>
      <c r="AT11">
        <f>IF(OR($X11="",$T11&gt;60),"",IFERROR(INDEX(IF($T11&lt;24,pcomp_s,palt_s),MATCH($X11,IF($T11&lt;24,pcomp_k,palt_k),1)),""))</f>
        <v/>
      </c>
      <c r="AU11">
        <f>IF($AR11="","",IF($AR11=0,LN($F11/$AS11)/$AT11,((($F11/$AS11)^$AR11)-1)/($AR11*$AT11)))</f>
        <v/>
      </c>
      <c r="AV11">
        <f>IF($AR11="","",IF($AR11=0,$AS11*EXP($AT11*2),$AS11*(1+$AR11*$AT11*2)^(1/$AR11)))</f>
        <v/>
      </c>
      <c r="AW11">
        <f>IF($AR11="","",IF($AR11=0,$AS11*EXP($AT11*3),$AS11*(1+$AR11*$AT11*3)^(1/$AR11)))</f>
        <v/>
      </c>
      <c r="AX11">
        <f>IF($AR11="","",IF($AR11=0,$AS11*EXP($AT11*-2),$AS11*(1+$AR11*$AT11*-2)^(1/$AR11)))</f>
        <v/>
      </c>
      <c r="AY11">
        <f>IF($AR11="","",IF($AR11=0,$AS11*EXP($AT11*-3),$AS11*(1+$AR11*$AT11*-3)^(1/$AR11)))</f>
        <v/>
      </c>
      <c r="AZ11">
        <f>IF(OR($A11="",$A11&lt;&gt;Ficha!$C$4),"",COUNTIF($A$2:$A11,Ficha!$C$4))</f>
        <v/>
      </c>
    </row>
    <row r="12">
      <c r="A12" s="8">
        <f>IF(INDEX(Banco!$A:$A,ROW())="","",INDEX(Banco!$A:$A,ROW()))</f>
        <v/>
      </c>
      <c r="B12" s="8">
        <f>IF(INDEX(Banco!$B:$B,ROW())="","",INDEX(Banco!$B:$B,ROW()))</f>
        <v/>
      </c>
      <c r="C12" s="8">
        <f>IF(INDEX(Banco!$C:$C,ROW())="","",INDEX(Banco!$C:$C,ROW()))</f>
        <v/>
      </c>
      <c r="D12" s="9">
        <f>IF(INDEX(Banco!$D:$D,ROW())="","",INDEX(Banco!$D:$D,ROW()))</f>
        <v/>
      </c>
      <c r="E12" s="9">
        <f>IF(INDEX(Banco!$E:$E,ROW())="","",INDEX(Banco!$E:$E,ROW()))</f>
        <v/>
      </c>
      <c r="F12" s="10">
        <f>IF(INDEX(Banco!$F:$F,ROW())="","",INDEX(Banco!$F:$F,ROW()))</f>
        <v/>
      </c>
      <c r="G12" s="10">
        <f>IF(INDEX(Banco!$G:$G,ROW())="","",INDEX(Banco!$G:$G,ROW()))</f>
        <v/>
      </c>
      <c r="H12" s="8">
        <f>IF(INDEX(Banco!$H:$H,ROW())="","",INDEX(Banco!$H:$H,ROW()))</f>
        <v/>
      </c>
      <c r="I12">
        <f>IF($T12="","",INT($T12/12)&amp;"a "&amp;MOD($T12,12)&amp;"m")</f>
        <v/>
      </c>
      <c r="J12" s="11">
        <f>IF(OR($F12="",$G12=""),"",ROUND($F12/($G12/100)^2,2))</f>
        <v/>
      </c>
      <c r="K12" s="12">
        <f>IF(OR($S12="",$J12="",$T12="",$T12&lt;0,$T12&gt;228,$Y12=""),"—",ROUND(IF(ABS($AB12)&lt;=3,$AB12,IF($AB12&gt;3,3+($J12-$AD12)/($AD12-$AC12),-3+($J12-$AF12)/($AE12-$AF12))),2))</f>
        <v/>
      </c>
      <c r="L12">
        <f>IF(OR($K12="",$K12="—"),"",IF($T12&lt;=60,IF($K12&lt;-3,"Magreza acentuada",IF($K12&lt;-2,"Magreza",IF($K12&lt;=1,"Eutrofia",IF($K12&lt;=2,"Risco de sobrepeso",IF($K12&lt;=3,"Sobrepeso","Obesidade"))))),IF($K12&lt;-3,"Magreza acentuada",IF($K12&lt;-2,"Magreza",IF($K12&lt;=1,"Eutrofia",IF($K12&lt;=2,"Sobrepeso",IF($K12&lt;=3,"Obesidade","Obesidade grave")))))))</f>
        <v/>
      </c>
      <c r="M12" s="12">
        <f>IF(OR($S12="",$V12="",$T12="",$T12&lt;0,$T12&gt;228,$AG12=""),"—",ROUND(IF($AG12=0,LN($V12/$AH12)/$AI12,((($V12/$AH12)^$AG12)-1)/($AG12*$AI12)),2))</f>
        <v/>
      </c>
      <c r="N12">
        <f>IF(OR($M12="",$M12="—"),"",IF($M12&lt;-3,"Muito baixa",IF($M12&lt;-2,"Baixa","Adequada")))</f>
        <v/>
      </c>
      <c r="O12" s="12">
        <f>IF(OR($S12="",$F12="",$T12="",$T12&lt;0,$T12&gt;120,$AJ12=""),"—",ROUND(IF(ABS($AM12)&lt;=3,$AM12,IF($AM12&gt;3,3+($F12-$AO12)/($AO12-$AN12),-3+($F12-$AQ12)/($AP12-$AQ12))),2))</f>
        <v/>
      </c>
      <c r="P12">
        <f>IF(OR($O12="",$O12="—"),"",IF($O12&lt;-3,"Muito baixo",IF($O12&lt;-2,"Baixo",IF($O12&lt;=2,"Adequado","Elevado"))))</f>
        <v/>
      </c>
      <c r="Q12" s="12">
        <f>IF(OR($S12="",$F12="",$T12="",$T12&lt;0,$T12&gt;60,$AR12=""),"—",ROUND(IF(ABS($AU12)&lt;=3,$AU12,IF($AU12&gt;3,3+($F12-$AW12)/($AW12-$AV12),-3+($F12-$AY12)/($AX12-$AY12))),2))</f>
        <v/>
      </c>
      <c r="R12">
        <f>IF(OR($Q12="",$Q12="—"),"",IF($Q12&lt;-3,"Magreza acentuada",IF($Q12&lt;-2,"Magreza",IF($Q12&lt;=1,"Eutrofia",IF($Q12&lt;=2,"Risco de sobrepeso",IF($Q12&lt;=3,"Sobrepeso","Obesidade"))))))</f>
        <v/>
      </c>
      <c r="S12">
        <f>IF($C12="","",IF(UPPER(LEFT($C12,1))="M",1,IF(UPPER(LEFT($C12,1))="F",2,"")))</f>
        <v/>
      </c>
      <c r="T12">
        <f>IF(OR($D12="",$E12=""),"",DATEDIF($D12,$E12,"m"))</f>
        <v/>
      </c>
      <c r="U12">
        <f>IF(OR($D12="",$E12=""),"",$E12-$D12)</f>
        <v/>
      </c>
      <c r="V12">
        <f>IF(OR($G12="",$T12=""),"",IF($T12&lt;24,IF(LEFT(LOWER($H12),4)="em p",$G12+0.7,$G12),IF(LEFT(LOWER($H12),4)="deit",$G12-0.7,$G12)))</f>
        <v/>
      </c>
      <c r="W12">
        <f>IF(OR($S12="",$T12=""),"",$S12*1000000+IF($T12&lt;=60,$U12,$T12))</f>
        <v/>
      </c>
      <c r="X12">
        <f>IF(OR($S12="",$V12="",$T12&gt;60,$T12=""),"",$S12*1000000+ROUND($V12*10,0))</f>
        <v/>
      </c>
      <c r="Y12">
        <f>IF($W12="","",IFERROR(INDEX(IF($T12&lt;=60,imc05_l,imc519_l),MATCH($W12,IF($T12&lt;=60,imc05_k,imc519_k),1)),""))</f>
        <v/>
      </c>
      <c r="Z12">
        <f>IF($W12="","",IFERROR(INDEX(IF($T12&lt;=60,imc05_m,imc519_m),MATCH($W12,IF($T12&lt;=60,imc05_k,imc519_k),1)),""))</f>
        <v/>
      </c>
      <c r="AA12">
        <f>IF($W12="","",IFERROR(INDEX(IF($T12&lt;=60,imc05_s,imc519_s),MATCH($W12,IF($T12&lt;=60,imc05_k,imc519_k),1)),""))</f>
        <v/>
      </c>
      <c r="AB12">
        <f>IF($Y12="","",IF($Y12=0,LN($J12/$Z12)/$AA12,((($J12/$Z12)^$Y12)-1)/($Y12*$AA12)))</f>
        <v/>
      </c>
      <c r="AC12">
        <f>IF($Y12="","",IF($Y12=0,$Z12*EXP($AA12*2),$Z12*(1+$Y12*$AA12*2)^(1/$Y12)))</f>
        <v/>
      </c>
      <c r="AD12">
        <f>IF($Y12="","",IF($Y12=0,$Z12*EXP($AA12*3),$Z12*(1+$Y12*$AA12*3)^(1/$Y12)))</f>
        <v/>
      </c>
      <c r="AE12">
        <f>IF($Y12="","",IF($Y12=0,$Z12*EXP($AA12*-2),$Z12*(1+$Y12*$AA12*-2)^(1/$Y12)))</f>
        <v/>
      </c>
      <c r="AF12">
        <f>IF($Y12="","",IF($Y12=0,$Z12*EXP($AA12*-3),$Z12*(1+$Y12*$AA12*-3)^(1/$Y12)))</f>
        <v/>
      </c>
      <c r="AG12">
        <f>IF($W12="","",IFERROR(INDEX(IF($T12&lt;=60,est05_l,est519_l),MATCH($W12,IF($T12&lt;=60,est05_k,est519_k),1)),""))</f>
        <v/>
      </c>
      <c r="AH12">
        <f>IF($W12="","",IFERROR(INDEX(IF($T12&lt;=60,est05_m,est519_m),MATCH($W12,IF($T12&lt;=60,est05_k,est519_k),1)),""))</f>
        <v/>
      </c>
      <c r="AI12">
        <f>IF($W12="","",IFERROR(INDEX(IF($T12&lt;=60,est05_s,est519_s),MATCH($W12,IF($T12&lt;=60,est05_k,est519_k),1)),""))</f>
        <v/>
      </c>
      <c r="AJ12">
        <f>IF($W12="","",IFERROR(INDEX(IF($T12&lt;=60,peso05_l,peso510_l),MATCH($W12,IF($T12&lt;=60,peso05_k,peso510_k),1)),""))</f>
        <v/>
      </c>
      <c r="AK12">
        <f>IF($W12="","",IFERROR(INDEX(IF($T12&lt;=60,peso05_m,peso510_m),MATCH($W12,IF($T12&lt;=60,peso05_k,peso510_k),1)),""))</f>
        <v/>
      </c>
      <c r="AL12">
        <f>IF($W12="","",IFERROR(INDEX(IF($T12&lt;=60,peso05_s,peso510_s),MATCH($W12,IF($T12&lt;=60,peso05_k,peso510_k),1)),""))</f>
        <v/>
      </c>
      <c r="AM12">
        <f>IF($AJ12="","",IF($AJ12=0,LN($F12/$AK12)/$AL12,((($F12/$AK12)^$AJ12)-1)/($AJ12*$AL12)))</f>
        <v/>
      </c>
      <c r="AN12">
        <f>IF($AJ12="","",IF($AJ12=0,$AK12*EXP($AL12*2),$AK12*(1+$AJ12*$AL12*2)^(1/$AJ12)))</f>
        <v/>
      </c>
      <c r="AO12">
        <f>IF($AJ12="","",IF($AJ12=0,$AK12*EXP($AL12*3),$AK12*(1+$AJ12*$AL12*3)^(1/$AJ12)))</f>
        <v/>
      </c>
      <c r="AP12">
        <f>IF($AJ12="","",IF($AJ12=0,$AK12*EXP($AL12*-2),$AK12*(1+$AJ12*$AL12*-2)^(1/$AJ12)))</f>
        <v/>
      </c>
      <c r="AQ12">
        <f>IF($AJ12="","",IF($AJ12=0,$AK12*EXP($AL12*-3),$AK12*(1+$AJ12*$AL12*-3)^(1/$AJ12)))</f>
        <v/>
      </c>
      <c r="AR12">
        <f>IF(OR($X12="",$T12&gt;60),"",IFERROR(INDEX(IF($T12&lt;24,pcomp_l,palt_l),MATCH($X12,IF($T12&lt;24,pcomp_k,palt_k),1)),""))</f>
        <v/>
      </c>
      <c r="AS12">
        <f>IF(OR($X12="",$T12&gt;60),"",IFERROR(INDEX(IF($T12&lt;24,pcomp_m,palt_m),MATCH($X12,IF($T12&lt;24,pcomp_k,palt_k),1)),""))</f>
        <v/>
      </c>
      <c r="AT12">
        <f>IF(OR($X12="",$T12&gt;60),"",IFERROR(INDEX(IF($T12&lt;24,pcomp_s,palt_s),MATCH($X12,IF($T12&lt;24,pcomp_k,palt_k),1)),""))</f>
        <v/>
      </c>
      <c r="AU12">
        <f>IF($AR12="","",IF($AR12=0,LN($F12/$AS12)/$AT12,((($F12/$AS12)^$AR12)-1)/($AR12*$AT12)))</f>
        <v/>
      </c>
      <c r="AV12">
        <f>IF($AR12="","",IF($AR12=0,$AS12*EXP($AT12*2),$AS12*(1+$AR12*$AT12*2)^(1/$AR12)))</f>
        <v/>
      </c>
      <c r="AW12">
        <f>IF($AR12="","",IF($AR12=0,$AS12*EXP($AT12*3),$AS12*(1+$AR12*$AT12*3)^(1/$AR12)))</f>
        <v/>
      </c>
      <c r="AX12">
        <f>IF($AR12="","",IF($AR12=0,$AS12*EXP($AT12*-2),$AS12*(1+$AR12*$AT12*-2)^(1/$AR12)))</f>
        <v/>
      </c>
      <c r="AY12">
        <f>IF($AR12="","",IF($AR12=0,$AS12*EXP($AT12*-3),$AS12*(1+$AR12*$AT12*-3)^(1/$AR12)))</f>
        <v/>
      </c>
      <c r="AZ12">
        <f>IF(OR($A12="",$A12&lt;&gt;Ficha!$C$4),"",COUNTIF($A$2:$A12,Ficha!$C$4))</f>
        <v/>
      </c>
    </row>
    <row r="13">
      <c r="A13" s="8">
        <f>IF(INDEX(Banco!$A:$A,ROW())="","",INDEX(Banco!$A:$A,ROW()))</f>
        <v/>
      </c>
      <c r="B13" s="8">
        <f>IF(INDEX(Banco!$B:$B,ROW())="","",INDEX(Banco!$B:$B,ROW()))</f>
        <v/>
      </c>
      <c r="C13" s="8">
        <f>IF(INDEX(Banco!$C:$C,ROW())="","",INDEX(Banco!$C:$C,ROW()))</f>
        <v/>
      </c>
      <c r="D13" s="9">
        <f>IF(INDEX(Banco!$D:$D,ROW())="","",INDEX(Banco!$D:$D,ROW()))</f>
        <v/>
      </c>
      <c r="E13" s="9">
        <f>IF(INDEX(Banco!$E:$E,ROW())="","",INDEX(Banco!$E:$E,ROW()))</f>
        <v/>
      </c>
      <c r="F13" s="10">
        <f>IF(INDEX(Banco!$F:$F,ROW())="","",INDEX(Banco!$F:$F,ROW()))</f>
        <v/>
      </c>
      <c r="G13" s="10">
        <f>IF(INDEX(Banco!$G:$G,ROW())="","",INDEX(Banco!$G:$G,ROW()))</f>
        <v/>
      </c>
      <c r="H13" s="8">
        <f>IF(INDEX(Banco!$H:$H,ROW())="","",INDEX(Banco!$H:$H,ROW()))</f>
        <v/>
      </c>
      <c r="I13">
        <f>IF($T13="","",INT($T13/12)&amp;"a "&amp;MOD($T13,12)&amp;"m")</f>
        <v/>
      </c>
      <c r="J13" s="11">
        <f>IF(OR($F13="",$G13=""),"",ROUND($F13/($G13/100)^2,2))</f>
        <v/>
      </c>
      <c r="K13" s="12">
        <f>IF(OR($S13="",$J13="",$T13="",$T13&lt;0,$T13&gt;228,$Y13=""),"—",ROUND(IF(ABS($AB13)&lt;=3,$AB13,IF($AB13&gt;3,3+($J13-$AD13)/($AD13-$AC13),-3+($J13-$AF13)/($AE13-$AF13))),2))</f>
        <v/>
      </c>
      <c r="L13">
        <f>IF(OR($K13="",$K13="—"),"",IF($T13&lt;=60,IF($K13&lt;-3,"Magreza acentuada",IF($K13&lt;-2,"Magreza",IF($K13&lt;=1,"Eutrofia",IF($K13&lt;=2,"Risco de sobrepeso",IF($K13&lt;=3,"Sobrepeso","Obesidade"))))),IF($K13&lt;-3,"Magreza acentuada",IF($K13&lt;-2,"Magreza",IF($K13&lt;=1,"Eutrofia",IF($K13&lt;=2,"Sobrepeso",IF($K13&lt;=3,"Obesidade","Obesidade grave")))))))</f>
        <v/>
      </c>
      <c r="M13" s="12">
        <f>IF(OR($S13="",$V13="",$T13="",$T13&lt;0,$T13&gt;228,$AG13=""),"—",ROUND(IF($AG13=0,LN($V13/$AH13)/$AI13,((($V13/$AH13)^$AG13)-1)/($AG13*$AI13)),2))</f>
        <v/>
      </c>
      <c r="N13">
        <f>IF(OR($M13="",$M13="—"),"",IF($M13&lt;-3,"Muito baixa",IF($M13&lt;-2,"Baixa","Adequada")))</f>
        <v/>
      </c>
      <c r="O13" s="12">
        <f>IF(OR($S13="",$F13="",$T13="",$T13&lt;0,$T13&gt;120,$AJ13=""),"—",ROUND(IF(ABS($AM13)&lt;=3,$AM13,IF($AM13&gt;3,3+($F13-$AO13)/($AO13-$AN13),-3+($F13-$AQ13)/($AP13-$AQ13))),2))</f>
        <v/>
      </c>
      <c r="P13">
        <f>IF(OR($O13="",$O13="—"),"",IF($O13&lt;-3,"Muito baixo",IF($O13&lt;-2,"Baixo",IF($O13&lt;=2,"Adequado","Elevado"))))</f>
        <v/>
      </c>
      <c r="Q13" s="12">
        <f>IF(OR($S13="",$F13="",$T13="",$T13&lt;0,$T13&gt;60,$AR13=""),"—",ROUND(IF(ABS($AU13)&lt;=3,$AU13,IF($AU13&gt;3,3+($F13-$AW13)/($AW13-$AV13),-3+($F13-$AY13)/($AX13-$AY13))),2))</f>
        <v/>
      </c>
      <c r="R13">
        <f>IF(OR($Q13="",$Q13="—"),"",IF($Q13&lt;-3,"Magreza acentuada",IF($Q13&lt;-2,"Magreza",IF($Q13&lt;=1,"Eutrofia",IF($Q13&lt;=2,"Risco de sobrepeso",IF($Q13&lt;=3,"Sobrepeso","Obesidade"))))))</f>
        <v/>
      </c>
      <c r="S13">
        <f>IF($C13="","",IF(UPPER(LEFT($C13,1))="M",1,IF(UPPER(LEFT($C13,1))="F",2,"")))</f>
        <v/>
      </c>
      <c r="T13">
        <f>IF(OR($D13="",$E13=""),"",DATEDIF($D13,$E13,"m"))</f>
        <v/>
      </c>
      <c r="U13">
        <f>IF(OR($D13="",$E13=""),"",$E13-$D13)</f>
        <v/>
      </c>
      <c r="V13">
        <f>IF(OR($G13="",$T13=""),"",IF($T13&lt;24,IF(LEFT(LOWER($H13),4)="em p",$G13+0.7,$G13),IF(LEFT(LOWER($H13),4)="deit",$G13-0.7,$G13)))</f>
        <v/>
      </c>
      <c r="W13">
        <f>IF(OR($S13="",$T13=""),"",$S13*1000000+IF($T13&lt;=60,$U13,$T13))</f>
        <v/>
      </c>
      <c r="X13">
        <f>IF(OR($S13="",$V13="",$T13&gt;60,$T13=""),"",$S13*1000000+ROUND($V13*10,0))</f>
        <v/>
      </c>
      <c r="Y13">
        <f>IF($W13="","",IFERROR(INDEX(IF($T13&lt;=60,imc05_l,imc519_l),MATCH($W13,IF($T13&lt;=60,imc05_k,imc519_k),1)),""))</f>
        <v/>
      </c>
      <c r="Z13">
        <f>IF($W13="","",IFERROR(INDEX(IF($T13&lt;=60,imc05_m,imc519_m),MATCH($W13,IF($T13&lt;=60,imc05_k,imc519_k),1)),""))</f>
        <v/>
      </c>
      <c r="AA13">
        <f>IF($W13="","",IFERROR(INDEX(IF($T13&lt;=60,imc05_s,imc519_s),MATCH($W13,IF($T13&lt;=60,imc05_k,imc519_k),1)),""))</f>
        <v/>
      </c>
      <c r="AB13">
        <f>IF($Y13="","",IF($Y13=0,LN($J13/$Z13)/$AA13,((($J13/$Z13)^$Y13)-1)/($Y13*$AA13)))</f>
        <v/>
      </c>
      <c r="AC13">
        <f>IF($Y13="","",IF($Y13=0,$Z13*EXP($AA13*2),$Z13*(1+$Y13*$AA13*2)^(1/$Y13)))</f>
        <v/>
      </c>
      <c r="AD13">
        <f>IF($Y13="","",IF($Y13=0,$Z13*EXP($AA13*3),$Z13*(1+$Y13*$AA13*3)^(1/$Y13)))</f>
        <v/>
      </c>
      <c r="AE13">
        <f>IF($Y13="","",IF($Y13=0,$Z13*EXP($AA13*-2),$Z13*(1+$Y13*$AA13*-2)^(1/$Y13)))</f>
        <v/>
      </c>
      <c r="AF13">
        <f>IF($Y13="","",IF($Y13=0,$Z13*EXP($AA13*-3),$Z13*(1+$Y13*$AA13*-3)^(1/$Y13)))</f>
        <v/>
      </c>
      <c r="AG13">
        <f>IF($W13="","",IFERROR(INDEX(IF($T13&lt;=60,est05_l,est519_l),MATCH($W13,IF($T13&lt;=60,est05_k,est519_k),1)),""))</f>
        <v/>
      </c>
      <c r="AH13">
        <f>IF($W13="","",IFERROR(INDEX(IF($T13&lt;=60,est05_m,est519_m),MATCH($W13,IF($T13&lt;=60,est05_k,est519_k),1)),""))</f>
        <v/>
      </c>
      <c r="AI13">
        <f>IF($W13="","",IFERROR(INDEX(IF($T13&lt;=60,est05_s,est519_s),MATCH($W13,IF($T13&lt;=60,est05_k,est519_k),1)),""))</f>
        <v/>
      </c>
      <c r="AJ13">
        <f>IF($W13="","",IFERROR(INDEX(IF($T13&lt;=60,peso05_l,peso510_l),MATCH($W13,IF($T13&lt;=60,peso05_k,peso510_k),1)),""))</f>
        <v/>
      </c>
      <c r="AK13">
        <f>IF($W13="","",IFERROR(INDEX(IF($T13&lt;=60,peso05_m,peso510_m),MATCH($W13,IF($T13&lt;=60,peso05_k,peso510_k),1)),""))</f>
        <v/>
      </c>
      <c r="AL13">
        <f>IF($W13="","",IFERROR(INDEX(IF($T13&lt;=60,peso05_s,peso510_s),MATCH($W13,IF($T13&lt;=60,peso05_k,peso510_k),1)),""))</f>
        <v/>
      </c>
      <c r="AM13">
        <f>IF($AJ13="","",IF($AJ13=0,LN($F13/$AK13)/$AL13,((($F13/$AK13)^$AJ13)-1)/($AJ13*$AL13)))</f>
        <v/>
      </c>
      <c r="AN13">
        <f>IF($AJ13="","",IF($AJ13=0,$AK13*EXP($AL13*2),$AK13*(1+$AJ13*$AL13*2)^(1/$AJ13)))</f>
        <v/>
      </c>
      <c r="AO13">
        <f>IF($AJ13="","",IF($AJ13=0,$AK13*EXP($AL13*3),$AK13*(1+$AJ13*$AL13*3)^(1/$AJ13)))</f>
        <v/>
      </c>
      <c r="AP13">
        <f>IF($AJ13="","",IF($AJ13=0,$AK13*EXP($AL13*-2),$AK13*(1+$AJ13*$AL13*-2)^(1/$AJ13)))</f>
        <v/>
      </c>
      <c r="AQ13">
        <f>IF($AJ13="","",IF($AJ13=0,$AK13*EXP($AL13*-3),$AK13*(1+$AJ13*$AL13*-3)^(1/$AJ13)))</f>
        <v/>
      </c>
      <c r="AR13">
        <f>IF(OR($X13="",$T13&gt;60),"",IFERROR(INDEX(IF($T13&lt;24,pcomp_l,palt_l),MATCH($X13,IF($T13&lt;24,pcomp_k,palt_k),1)),""))</f>
        <v/>
      </c>
      <c r="AS13">
        <f>IF(OR($X13="",$T13&gt;60),"",IFERROR(INDEX(IF($T13&lt;24,pcomp_m,palt_m),MATCH($X13,IF($T13&lt;24,pcomp_k,palt_k),1)),""))</f>
        <v/>
      </c>
      <c r="AT13">
        <f>IF(OR($X13="",$T13&gt;60),"",IFERROR(INDEX(IF($T13&lt;24,pcomp_s,palt_s),MATCH($X13,IF($T13&lt;24,pcomp_k,palt_k),1)),""))</f>
        <v/>
      </c>
      <c r="AU13">
        <f>IF($AR13="","",IF($AR13=0,LN($F13/$AS13)/$AT13,((($F13/$AS13)^$AR13)-1)/($AR13*$AT13)))</f>
        <v/>
      </c>
      <c r="AV13">
        <f>IF($AR13="","",IF($AR13=0,$AS13*EXP($AT13*2),$AS13*(1+$AR13*$AT13*2)^(1/$AR13)))</f>
        <v/>
      </c>
      <c r="AW13">
        <f>IF($AR13="","",IF($AR13=0,$AS13*EXP($AT13*3),$AS13*(1+$AR13*$AT13*3)^(1/$AR13)))</f>
        <v/>
      </c>
      <c r="AX13">
        <f>IF($AR13="","",IF($AR13=0,$AS13*EXP($AT13*-2),$AS13*(1+$AR13*$AT13*-2)^(1/$AR13)))</f>
        <v/>
      </c>
      <c r="AY13">
        <f>IF($AR13="","",IF($AR13=0,$AS13*EXP($AT13*-3),$AS13*(1+$AR13*$AT13*-3)^(1/$AR13)))</f>
        <v/>
      </c>
      <c r="AZ13">
        <f>IF(OR($A13="",$A13&lt;&gt;Ficha!$C$4),"",COUNTIF($A$2:$A13,Ficha!$C$4))</f>
        <v/>
      </c>
    </row>
    <row r="14">
      <c r="A14" s="8">
        <f>IF(INDEX(Banco!$A:$A,ROW())="","",INDEX(Banco!$A:$A,ROW()))</f>
        <v/>
      </c>
      <c r="B14" s="8">
        <f>IF(INDEX(Banco!$B:$B,ROW())="","",INDEX(Banco!$B:$B,ROW()))</f>
        <v/>
      </c>
      <c r="C14" s="8">
        <f>IF(INDEX(Banco!$C:$C,ROW())="","",INDEX(Banco!$C:$C,ROW()))</f>
        <v/>
      </c>
      <c r="D14" s="9">
        <f>IF(INDEX(Banco!$D:$D,ROW())="","",INDEX(Banco!$D:$D,ROW()))</f>
        <v/>
      </c>
      <c r="E14" s="9">
        <f>IF(INDEX(Banco!$E:$E,ROW())="","",INDEX(Banco!$E:$E,ROW()))</f>
        <v/>
      </c>
      <c r="F14" s="10">
        <f>IF(INDEX(Banco!$F:$F,ROW())="","",INDEX(Banco!$F:$F,ROW()))</f>
        <v/>
      </c>
      <c r="G14" s="10">
        <f>IF(INDEX(Banco!$G:$G,ROW())="","",INDEX(Banco!$G:$G,ROW()))</f>
        <v/>
      </c>
      <c r="H14" s="8">
        <f>IF(INDEX(Banco!$H:$H,ROW())="","",INDEX(Banco!$H:$H,ROW()))</f>
        <v/>
      </c>
      <c r="I14">
        <f>IF($T14="","",INT($T14/12)&amp;"a "&amp;MOD($T14,12)&amp;"m")</f>
        <v/>
      </c>
      <c r="J14" s="11">
        <f>IF(OR($F14="",$G14=""),"",ROUND($F14/($G14/100)^2,2))</f>
        <v/>
      </c>
      <c r="K14" s="12">
        <f>IF(OR($S14="",$J14="",$T14="",$T14&lt;0,$T14&gt;228,$Y14=""),"—",ROUND(IF(ABS($AB14)&lt;=3,$AB14,IF($AB14&gt;3,3+($J14-$AD14)/($AD14-$AC14),-3+($J14-$AF14)/($AE14-$AF14))),2))</f>
        <v/>
      </c>
      <c r="L14">
        <f>IF(OR($K14="",$K14="—"),"",IF($T14&lt;=60,IF($K14&lt;-3,"Magreza acentuada",IF($K14&lt;-2,"Magreza",IF($K14&lt;=1,"Eutrofia",IF($K14&lt;=2,"Risco de sobrepeso",IF($K14&lt;=3,"Sobrepeso","Obesidade"))))),IF($K14&lt;-3,"Magreza acentuada",IF($K14&lt;-2,"Magreza",IF($K14&lt;=1,"Eutrofia",IF($K14&lt;=2,"Sobrepeso",IF($K14&lt;=3,"Obesidade","Obesidade grave")))))))</f>
        <v/>
      </c>
      <c r="M14" s="12">
        <f>IF(OR($S14="",$V14="",$T14="",$T14&lt;0,$T14&gt;228,$AG14=""),"—",ROUND(IF($AG14=0,LN($V14/$AH14)/$AI14,((($V14/$AH14)^$AG14)-1)/($AG14*$AI14)),2))</f>
        <v/>
      </c>
      <c r="N14">
        <f>IF(OR($M14="",$M14="—"),"",IF($M14&lt;-3,"Muito baixa",IF($M14&lt;-2,"Baixa","Adequada")))</f>
        <v/>
      </c>
      <c r="O14" s="12">
        <f>IF(OR($S14="",$F14="",$T14="",$T14&lt;0,$T14&gt;120,$AJ14=""),"—",ROUND(IF(ABS($AM14)&lt;=3,$AM14,IF($AM14&gt;3,3+($F14-$AO14)/($AO14-$AN14),-3+($F14-$AQ14)/($AP14-$AQ14))),2))</f>
        <v/>
      </c>
      <c r="P14">
        <f>IF(OR($O14="",$O14="—"),"",IF($O14&lt;-3,"Muito baixo",IF($O14&lt;-2,"Baixo",IF($O14&lt;=2,"Adequado","Elevado"))))</f>
        <v/>
      </c>
      <c r="Q14" s="12">
        <f>IF(OR($S14="",$F14="",$T14="",$T14&lt;0,$T14&gt;60,$AR14=""),"—",ROUND(IF(ABS($AU14)&lt;=3,$AU14,IF($AU14&gt;3,3+($F14-$AW14)/($AW14-$AV14),-3+($F14-$AY14)/($AX14-$AY14))),2))</f>
        <v/>
      </c>
      <c r="R14">
        <f>IF(OR($Q14="",$Q14="—"),"",IF($Q14&lt;-3,"Magreza acentuada",IF($Q14&lt;-2,"Magreza",IF($Q14&lt;=1,"Eutrofia",IF($Q14&lt;=2,"Risco de sobrepeso",IF($Q14&lt;=3,"Sobrepeso","Obesidade"))))))</f>
        <v/>
      </c>
      <c r="S14">
        <f>IF($C14="","",IF(UPPER(LEFT($C14,1))="M",1,IF(UPPER(LEFT($C14,1))="F",2,"")))</f>
        <v/>
      </c>
      <c r="T14">
        <f>IF(OR($D14="",$E14=""),"",DATEDIF($D14,$E14,"m"))</f>
        <v/>
      </c>
      <c r="U14">
        <f>IF(OR($D14="",$E14=""),"",$E14-$D14)</f>
        <v/>
      </c>
      <c r="V14">
        <f>IF(OR($G14="",$T14=""),"",IF($T14&lt;24,IF(LEFT(LOWER($H14),4)="em p",$G14+0.7,$G14),IF(LEFT(LOWER($H14),4)="deit",$G14-0.7,$G14)))</f>
        <v/>
      </c>
      <c r="W14">
        <f>IF(OR($S14="",$T14=""),"",$S14*1000000+IF($T14&lt;=60,$U14,$T14))</f>
        <v/>
      </c>
      <c r="X14">
        <f>IF(OR($S14="",$V14="",$T14&gt;60,$T14=""),"",$S14*1000000+ROUND($V14*10,0))</f>
        <v/>
      </c>
      <c r="Y14">
        <f>IF($W14="","",IFERROR(INDEX(IF($T14&lt;=60,imc05_l,imc519_l),MATCH($W14,IF($T14&lt;=60,imc05_k,imc519_k),1)),""))</f>
        <v/>
      </c>
      <c r="Z14">
        <f>IF($W14="","",IFERROR(INDEX(IF($T14&lt;=60,imc05_m,imc519_m),MATCH($W14,IF($T14&lt;=60,imc05_k,imc519_k),1)),""))</f>
        <v/>
      </c>
      <c r="AA14">
        <f>IF($W14="","",IFERROR(INDEX(IF($T14&lt;=60,imc05_s,imc519_s),MATCH($W14,IF($T14&lt;=60,imc05_k,imc519_k),1)),""))</f>
        <v/>
      </c>
      <c r="AB14">
        <f>IF($Y14="","",IF($Y14=0,LN($J14/$Z14)/$AA14,((($J14/$Z14)^$Y14)-1)/($Y14*$AA14)))</f>
        <v/>
      </c>
      <c r="AC14">
        <f>IF($Y14="","",IF($Y14=0,$Z14*EXP($AA14*2),$Z14*(1+$Y14*$AA14*2)^(1/$Y14)))</f>
        <v/>
      </c>
      <c r="AD14">
        <f>IF($Y14="","",IF($Y14=0,$Z14*EXP($AA14*3),$Z14*(1+$Y14*$AA14*3)^(1/$Y14)))</f>
        <v/>
      </c>
      <c r="AE14">
        <f>IF($Y14="","",IF($Y14=0,$Z14*EXP($AA14*-2),$Z14*(1+$Y14*$AA14*-2)^(1/$Y14)))</f>
        <v/>
      </c>
      <c r="AF14">
        <f>IF($Y14="","",IF($Y14=0,$Z14*EXP($AA14*-3),$Z14*(1+$Y14*$AA14*-3)^(1/$Y14)))</f>
        <v/>
      </c>
      <c r="AG14">
        <f>IF($W14="","",IFERROR(INDEX(IF($T14&lt;=60,est05_l,est519_l),MATCH($W14,IF($T14&lt;=60,est05_k,est519_k),1)),""))</f>
        <v/>
      </c>
      <c r="AH14">
        <f>IF($W14="","",IFERROR(INDEX(IF($T14&lt;=60,est05_m,est519_m),MATCH($W14,IF($T14&lt;=60,est05_k,est519_k),1)),""))</f>
        <v/>
      </c>
      <c r="AI14">
        <f>IF($W14="","",IFERROR(INDEX(IF($T14&lt;=60,est05_s,est519_s),MATCH($W14,IF($T14&lt;=60,est05_k,est519_k),1)),""))</f>
        <v/>
      </c>
      <c r="AJ14">
        <f>IF($W14="","",IFERROR(INDEX(IF($T14&lt;=60,peso05_l,peso510_l),MATCH($W14,IF($T14&lt;=60,peso05_k,peso510_k),1)),""))</f>
        <v/>
      </c>
      <c r="AK14">
        <f>IF($W14="","",IFERROR(INDEX(IF($T14&lt;=60,peso05_m,peso510_m),MATCH($W14,IF($T14&lt;=60,peso05_k,peso510_k),1)),""))</f>
        <v/>
      </c>
      <c r="AL14">
        <f>IF($W14="","",IFERROR(INDEX(IF($T14&lt;=60,peso05_s,peso510_s),MATCH($W14,IF($T14&lt;=60,peso05_k,peso510_k),1)),""))</f>
        <v/>
      </c>
      <c r="AM14">
        <f>IF($AJ14="","",IF($AJ14=0,LN($F14/$AK14)/$AL14,((($F14/$AK14)^$AJ14)-1)/($AJ14*$AL14)))</f>
        <v/>
      </c>
      <c r="AN14">
        <f>IF($AJ14="","",IF($AJ14=0,$AK14*EXP($AL14*2),$AK14*(1+$AJ14*$AL14*2)^(1/$AJ14)))</f>
        <v/>
      </c>
      <c r="AO14">
        <f>IF($AJ14="","",IF($AJ14=0,$AK14*EXP($AL14*3),$AK14*(1+$AJ14*$AL14*3)^(1/$AJ14)))</f>
        <v/>
      </c>
      <c r="AP14">
        <f>IF($AJ14="","",IF($AJ14=0,$AK14*EXP($AL14*-2),$AK14*(1+$AJ14*$AL14*-2)^(1/$AJ14)))</f>
        <v/>
      </c>
      <c r="AQ14">
        <f>IF($AJ14="","",IF($AJ14=0,$AK14*EXP($AL14*-3),$AK14*(1+$AJ14*$AL14*-3)^(1/$AJ14)))</f>
        <v/>
      </c>
      <c r="AR14">
        <f>IF(OR($X14="",$T14&gt;60),"",IFERROR(INDEX(IF($T14&lt;24,pcomp_l,palt_l),MATCH($X14,IF($T14&lt;24,pcomp_k,palt_k),1)),""))</f>
        <v/>
      </c>
      <c r="AS14">
        <f>IF(OR($X14="",$T14&gt;60),"",IFERROR(INDEX(IF($T14&lt;24,pcomp_m,palt_m),MATCH($X14,IF($T14&lt;24,pcomp_k,palt_k),1)),""))</f>
        <v/>
      </c>
      <c r="AT14">
        <f>IF(OR($X14="",$T14&gt;60),"",IFERROR(INDEX(IF($T14&lt;24,pcomp_s,palt_s),MATCH($X14,IF($T14&lt;24,pcomp_k,palt_k),1)),""))</f>
        <v/>
      </c>
      <c r="AU14">
        <f>IF($AR14="","",IF($AR14=0,LN($F14/$AS14)/$AT14,((($F14/$AS14)^$AR14)-1)/($AR14*$AT14)))</f>
        <v/>
      </c>
      <c r="AV14">
        <f>IF($AR14="","",IF($AR14=0,$AS14*EXP($AT14*2),$AS14*(1+$AR14*$AT14*2)^(1/$AR14)))</f>
        <v/>
      </c>
      <c r="AW14">
        <f>IF($AR14="","",IF($AR14=0,$AS14*EXP($AT14*3),$AS14*(1+$AR14*$AT14*3)^(1/$AR14)))</f>
        <v/>
      </c>
      <c r="AX14">
        <f>IF($AR14="","",IF($AR14=0,$AS14*EXP($AT14*-2),$AS14*(1+$AR14*$AT14*-2)^(1/$AR14)))</f>
        <v/>
      </c>
      <c r="AY14">
        <f>IF($AR14="","",IF($AR14=0,$AS14*EXP($AT14*-3),$AS14*(1+$AR14*$AT14*-3)^(1/$AR14)))</f>
        <v/>
      </c>
      <c r="AZ14">
        <f>IF(OR($A14="",$A14&lt;&gt;Ficha!$C$4),"",COUNTIF($A$2:$A14,Ficha!$C$4))</f>
        <v/>
      </c>
    </row>
    <row r="15">
      <c r="A15" s="8">
        <f>IF(INDEX(Banco!$A:$A,ROW())="","",INDEX(Banco!$A:$A,ROW()))</f>
        <v/>
      </c>
      <c r="B15" s="8">
        <f>IF(INDEX(Banco!$B:$B,ROW())="","",INDEX(Banco!$B:$B,ROW()))</f>
        <v/>
      </c>
      <c r="C15" s="8">
        <f>IF(INDEX(Banco!$C:$C,ROW())="","",INDEX(Banco!$C:$C,ROW()))</f>
        <v/>
      </c>
      <c r="D15" s="9">
        <f>IF(INDEX(Banco!$D:$D,ROW())="","",INDEX(Banco!$D:$D,ROW()))</f>
        <v/>
      </c>
      <c r="E15" s="9">
        <f>IF(INDEX(Banco!$E:$E,ROW())="","",INDEX(Banco!$E:$E,ROW()))</f>
        <v/>
      </c>
      <c r="F15" s="10">
        <f>IF(INDEX(Banco!$F:$F,ROW())="","",INDEX(Banco!$F:$F,ROW()))</f>
        <v/>
      </c>
      <c r="G15" s="10">
        <f>IF(INDEX(Banco!$G:$G,ROW())="","",INDEX(Banco!$G:$G,ROW()))</f>
        <v/>
      </c>
      <c r="H15" s="8">
        <f>IF(INDEX(Banco!$H:$H,ROW())="","",INDEX(Banco!$H:$H,ROW()))</f>
        <v/>
      </c>
      <c r="I15">
        <f>IF($T15="","",INT($T15/12)&amp;"a "&amp;MOD($T15,12)&amp;"m")</f>
        <v/>
      </c>
      <c r="J15" s="11">
        <f>IF(OR($F15="",$G15=""),"",ROUND($F15/($G15/100)^2,2))</f>
        <v/>
      </c>
      <c r="K15" s="12">
        <f>IF(OR($S15="",$J15="",$T15="",$T15&lt;0,$T15&gt;228,$Y15=""),"—",ROUND(IF(ABS($AB15)&lt;=3,$AB15,IF($AB15&gt;3,3+($J15-$AD15)/($AD15-$AC15),-3+($J15-$AF15)/($AE15-$AF15))),2))</f>
        <v/>
      </c>
      <c r="L15">
        <f>IF(OR($K15="",$K15="—"),"",IF($T15&lt;=60,IF($K15&lt;-3,"Magreza acentuada",IF($K15&lt;-2,"Magreza",IF($K15&lt;=1,"Eutrofia",IF($K15&lt;=2,"Risco de sobrepeso",IF($K15&lt;=3,"Sobrepeso","Obesidade"))))),IF($K15&lt;-3,"Magreza acentuada",IF($K15&lt;-2,"Magreza",IF($K15&lt;=1,"Eutrofia",IF($K15&lt;=2,"Sobrepeso",IF($K15&lt;=3,"Obesidade","Obesidade grave")))))))</f>
        <v/>
      </c>
      <c r="M15" s="12">
        <f>IF(OR($S15="",$V15="",$T15="",$T15&lt;0,$T15&gt;228,$AG15=""),"—",ROUND(IF($AG15=0,LN($V15/$AH15)/$AI15,((($V15/$AH15)^$AG15)-1)/($AG15*$AI15)),2))</f>
        <v/>
      </c>
      <c r="N15">
        <f>IF(OR($M15="",$M15="—"),"",IF($M15&lt;-3,"Muito baixa",IF($M15&lt;-2,"Baixa","Adequada")))</f>
        <v/>
      </c>
      <c r="O15" s="12">
        <f>IF(OR($S15="",$F15="",$T15="",$T15&lt;0,$T15&gt;120,$AJ15=""),"—",ROUND(IF(ABS($AM15)&lt;=3,$AM15,IF($AM15&gt;3,3+($F15-$AO15)/($AO15-$AN15),-3+($F15-$AQ15)/($AP15-$AQ15))),2))</f>
        <v/>
      </c>
      <c r="P15">
        <f>IF(OR($O15="",$O15="—"),"",IF($O15&lt;-3,"Muito baixo",IF($O15&lt;-2,"Baixo",IF($O15&lt;=2,"Adequado","Elevado"))))</f>
        <v/>
      </c>
      <c r="Q15" s="12">
        <f>IF(OR($S15="",$F15="",$T15="",$T15&lt;0,$T15&gt;60,$AR15=""),"—",ROUND(IF(ABS($AU15)&lt;=3,$AU15,IF($AU15&gt;3,3+($F15-$AW15)/($AW15-$AV15),-3+($F15-$AY15)/($AX15-$AY15))),2))</f>
        <v/>
      </c>
      <c r="R15">
        <f>IF(OR($Q15="",$Q15="—"),"",IF($Q15&lt;-3,"Magreza acentuada",IF($Q15&lt;-2,"Magreza",IF($Q15&lt;=1,"Eutrofia",IF($Q15&lt;=2,"Risco de sobrepeso",IF($Q15&lt;=3,"Sobrepeso","Obesidade"))))))</f>
        <v/>
      </c>
      <c r="S15">
        <f>IF($C15="","",IF(UPPER(LEFT($C15,1))="M",1,IF(UPPER(LEFT($C15,1))="F",2,"")))</f>
        <v/>
      </c>
      <c r="T15">
        <f>IF(OR($D15="",$E15=""),"",DATEDIF($D15,$E15,"m"))</f>
        <v/>
      </c>
      <c r="U15">
        <f>IF(OR($D15="",$E15=""),"",$E15-$D15)</f>
        <v/>
      </c>
      <c r="V15">
        <f>IF(OR($G15="",$T15=""),"",IF($T15&lt;24,IF(LEFT(LOWER($H15),4)="em p",$G15+0.7,$G15),IF(LEFT(LOWER($H15),4)="deit",$G15-0.7,$G15)))</f>
        <v/>
      </c>
      <c r="W15">
        <f>IF(OR($S15="",$T15=""),"",$S15*1000000+IF($T15&lt;=60,$U15,$T15))</f>
        <v/>
      </c>
      <c r="X15">
        <f>IF(OR($S15="",$V15="",$T15&gt;60,$T15=""),"",$S15*1000000+ROUND($V15*10,0))</f>
        <v/>
      </c>
      <c r="Y15">
        <f>IF($W15="","",IFERROR(INDEX(IF($T15&lt;=60,imc05_l,imc519_l),MATCH($W15,IF($T15&lt;=60,imc05_k,imc519_k),1)),""))</f>
        <v/>
      </c>
      <c r="Z15">
        <f>IF($W15="","",IFERROR(INDEX(IF($T15&lt;=60,imc05_m,imc519_m),MATCH($W15,IF($T15&lt;=60,imc05_k,imc519_k),1)),""))</f>
        <v/>
      </c>
      <c r="AA15">
        <f>IF($W15="","",IFERROR(INDEX(IF($T15&lt;=60,imc05_s,imc519_s),MATCH($W15,IF($T15&lt;=60,imc05_k,imc519_k),1)),""))</f>
        <v/>
      </c>
      <c r="AB15">
        <f>IF($Y15="","",IF($Y15=0,LN($J15/$Z15)/$AA15,((($J15/$Z15)^$Y15)-1)/($Y15*$AA15)))</f>
        <v/>
      </c>
      <c r="AC15">
        <f>IF($Y15="","",IF($Y15=0,$Z15*EXP($AA15*2),$Z15*(1+$Y15*$AA15*2)^(1/$Y15)))</f>
        <v/>
      </c>
      <c r="AD15">
        <f>IF($Y15="","",IF($Y15=0,$Z15*EXP($AA15*3),$Z15*(1+$Y15*$AA15*3)^(1/$Y15)))</f>
        <v/>
      </c>
      <c r="AE15">
        <f>IF($Y15="","",IF($Y15=0,$Z15*EXP($AA15*-2),$Z15*(1+$Y15*$AA15*-2)^(1/$Y15)))</f>
        <v/>
      </c>
      <c r="AF15">
        <f>IF($Y15="","",IF($Y15=0,$Z15*EXP($AA15*-3),$Z15*(1+$Y15*$AA15*-3)^(1/$Y15)))</f>
        <v/>
      </c>
      <c r="AG15">
        <f>IF($W15="","",IFERROR(INDEX(IF($T15&lt;=60,est05_l,est519_l),MATCH($W15,IF($T15&lt;=60,est05_k,est519_k),1)),""))</f>
        <v/>
      </c>
      <c r="AH15">
        <f>IF($W15="","",IFERROR(INDEX(IF($T15&lt;=60,est05_m,est519_m),MATCH($W15,IF($T15&lt;=60,est05_k,est519_k),1)),""))</f>
        <v/>
      </c>
      <c r="AI15">
        <f>IF($W15="","",IFERROR(INDEX(IF($T15&lt;=60,est05_s,est519_s),MATCH($W15,IF($T15&lt;=60,est05_k,est519_k),1)),""))</f>
        <v/>
      </c>
      <c r="AJ15">
        <f>IF($W15="","",IFERROR(INDEX(IF($T15&lt;=60,peso05_l,peso510_l),MATCH($W15,IF($T15&lt;=60,peso05_k,peso510_k),1)),""))</f>
        <v/>
      </c>
      <c r="AK15">
        <f>IF($W15="","",IFERROR(INDEX(IF($T15&lt;=60,peso05_m,peso510_m),MATCH($W15,IF($T15&lt;=60,peso05_k,peso510_k),1)),""))</f>
        <v/>
      </c>
      <c r="AL15">
        <f>IF($W15="","",IFERROR(INDEX(IF($T15&lt;=60,peso05_s,peso510_s),MATCH($W15,IF($T15&lt;=60,peso05_k,peso510_k),1)),""))</f>
        <v/>
      </c>
      <c r="AM15">
        <f>IF($AJ15="","",IF($AJ15=0,LN($F15/$AK15)/$AL15,((($F15/$AK15)^$AJ15)-1)/($AJ15*$AL15)))</f>
        <v/>
      </c>
      <c r="AN15">
        <f>IF($AJ15="","",IF($AJ15=0,$AK15*EXP($AL15*2),$AK15*(1+$AJ15*$AL15*2)^(1/$AJ15)))</f>
        <v/>
      </c>
      <c r="AO15">
        <f>IF($AJ15="","",IF($AJ15=0,$AK15*EXP($AL15*3),$AK15*(1+$AJ15*$AL15*3)^(1/$AJ15)))</f>
        <v/>
      </c>
      <c r="AP15">
        <f>IF($AJ15="","",IF($AJ15=0,$AK15*EXP($AL15*-2),$AK15*(1+$AJ15*$AL15*-2)^(1/$AJ15)))</f>
        <v/>
      </c>
      <c r="AQ15">
        <f>IF($AJ15="","",IF($AJ15=0,$AK15*EXP($AL15*-3),$AK15*(1+$AJ15*$AL15*-3)^(1/$AJ15)))</f>
        <v/>
      </c>
      <c r="AR15">
        <f>IF(OR($X15="",$T15&gt;60),"",IFERROR(INDEX(IF($T15&lt;24,pcomp_l,palt_l),MATCH($X15,IF($T15&lt;24,pcomp_k,palt_k),1)),""))</f>
        <v/>
      </c>
      <c r="AS15">
        <f>IF(OR($X15="",$T15&gt;60),"",IFERROR(INDEX(IF($T15&lt;24,pcomp_m,palt_m),MATCH($X15,IF($T15&lt;24,pcomp_k,palt_k),1)),""))</f>
        <v/>
      </c>
      <c r="AT15">
        <f>IF(OR($X15="",$T15&gt;60),"",IFERROR(INDEX(IF($T15&lt;24,pcomp_s,palt_s),MATCH($X15,IF($T15&lt;24,pcomp_k,palt_k),1)),""))</f>
        <v/>
      </c>
      <c r="AU15">
        <f>IF($AR15="","",IF($AR15=0,LN($F15/$AS15)/$AT15,((($F15/$AS15)^$AR15)-1)/($AR15*$AT15)))</f>
        <v/>
      </c>
      <c r="AV15">
        <f>IF($AR15="","",IF($AR15=0,$AS15*EXP($AT15*2),$AS15*(1+$AR15*$AT15*2)^(1/$AR15)))</f>
        <v/>
      </c>
      <c r="AW15">
        <f>IF($AR15="","",IF($AR15=0,$AS15*EXP($AT15*3),$AS15*(1+$AR15*$AT15*3)^(1/$AR15)))</f>
        <v/>
      </c>
      <c r="AX15">
        <f>IF($AR15="","",IF($AR15=0,$AS15*EXP($AT15*-2),$AS15*(1+$AR15*$AT15*-2)^(1/$AR15)))</f>
        <v/>
      </c>
      <c r="AY15">
        <f>IF($AR15="","",IF($AR15=0,$AS15*EXP($AT15*-3),$AS15*(1+$AR15*$AT15*-3)^(1/$AR15)))</f>
        <v/>
      </c>
      <c r="AZ15">
        <f>IF(OR($A15="",$A15&lt;&gt;Ficha!$C$4),"",COUNTIF($A$2:$A15,Ficha!$C$4))</f>
        <v/>
      </c>
    </row>
    <row r="16">
      <c r="A16" s="8">
        <f>IF(INDEX(Banco!$A:$A,ROW())="","",INDEX(Banco!$A:$A,ROW()))</f>
        <v/>
      </c>
      <c r="B16" s="8">
        <f>IF(INDEX(Banco!$B:$B,ROW())="","",INDEX(Banco!$B:$B,ROW()))</f>
        <v/>
      </c>
      <c r="C16" s="8">
        <f>IF(INDEX(Banco!$C:$C,ROW())="","",INDEX(Banco!$C:$C,ROW()))</f>
        <v/>
      </c>
      <c r="D16" s="9">
        <f>IF(INDEX(Banco!$D:$D,ROW())="","",INDEX(Banco!$D:$D,ROW()))</f>
        <v/>
      </c>
      <c r="E16" s="9">
        <f>IF(INDEX(Banco!$E:$E,ROW())="","",INDEX(Banco!$E:$E,ROW()))</f>
        <v/>
      </c>
      <c r="F16" s="10">
        <f>IF(INDEX(Banco!$F:$F,ROW())="","",INDEX(Banco!$F:$F,ROW()))</f>
        <v/>
      </c>
      <c r="G16" s="10">
        <f>IF(INDEX(Banco!$G:$G,ROW())="","",INDEX(Banco!$G:$G,ROW()))</f>
        <v/>
      </c>
      <c r="H16" s="8">
        <f>IF(INDEX(Banco!$H:$H,ROW())="","",INDEX(Banco!$H:$H,ROW()))</f>
        <v/>
      </c>
      <c r="I16">
        <f>IF($T16="","",INT($T16/12)&amp;"a "&amp;MOD($T16,12)&amp;"m")</f>
        <v/>
      </c>
      <c r="J16" s="11">
        <f>IF(OR($F16="",$G16=""),"",ROUND($F16/($G16/100)^2,2))</f>
        <v/>
      </c>
      <c r="K16" s="12">
        <f>IF(OR($S16="",$J16="",$T16="",$T16&lt;0,$T16&gt;228,$Y16=""),"—",ROUND(IF(ABS($AB16)&lt;=3,$AB16,IF($AB16&gt;3,3+($J16-$AD16)/($AD16-$AC16),-3+($J16-$AF16)/($AE16-$AF16))),2))</f>
        <v/>
      </c>
      <c r="L16">
        <f>IF(OR($K16="",$K16="—"),"",IF($T16&lt;=60,IF($K16&lt;-3,"Magreza acentuada",IF($K16&lt;-2,"Magreza",IF($K16&lt;=1,"Eutrofia",IF($K16&lt;=2,"Risco de sobrepeso",IF($K16&lt;=3,"Sobrepeso","Obesidade"))))),IF($K16&lt;-3,"Magreza acentuada",IF($K16&lt;-2,"Magreza",IF($K16&lt;=1,"Eutrofia",IF($K16&lt;=2,"Sobrepeso",IF($K16&lt;=3,"Obesidade","Obesidade grave")))))))</f>
        <v/>
      </c>
      <c r="M16" s="12">
        <f>IF(OR($S16="",$V16="",$T16="",$T16&lt;0,$T16&gt;228,$AG16=""),"—",ROUND(IF($AG16=0,LN($V16/$AH16)/$AI16,((($V16/$AH16)^$AG16)-1)/($AG16*$AI16)),2))</f>
        <v/>
      </c>
      <c r="N16">
        <f>IF(OR($M16="",$M16="—"),"",IF($M16&lt;-3,"Muito baixa",IF($M16&lt;-2,"Baixa","Adequada")))</f>
        <v/>
      </c>
      <c r="O16" s="12">
        <f>IF(OR($S16="",$F16="",$T16="",$T16&lt;0,$T16&gt;120,$AJ16=""),"—",ROUND(IF(ABS($AM16)&lt;=3,$AM16,IF($AM16&gt;3,3+($F16-$AO16)/($AO16-$AN16),-3+($F16-$AQ16)/($AP16-$AQ16))),2))</f>
        <v/>
      </c>
      <c r="P16">
        <f>IF(OR($O16="",$O16="—"),"",IF($O16&lt;-3,"Muito baixo",IF($O16&lt;-2,"Baixo",IF($O16&lt;=2,"Adequado","Elevado"))))</f>
        <v/>
      </c>
      <c r="Q16" s="12">
        <f>IF(OR($S16="",$F16="",$T16="",$T16&lt;0,$T16&gt;60,$AR16=""),"—",ROUND(IF(ABS($AU16)&lt;=3,$AU16,IF($AU16&gt;3,3+($F16-$AW16)/($AW16-$AV16),-3+($F16-$AY16)/($AX16-$AY16))),2))</f>
        <v/>
      </c>
      <c r="R16">
        <f>IF(OR($Q16="",$Q16="—"),"",IF($Q16&lt;-3,"Magreza acentuada",IF($Q16&lt;-2,"Magreza",IF($Q16&lt;=1,"Eutrofia",IF($Q16&lt;=2,"Risco de sobrepeso",IF($Q16&lt;=3,"Sobrepeso","Obesidade"))))))</f>
        <v/>
      </c>
      <c r="S16">
        <f>IF($C16="","",IF(UPPER(LEFT($C16,1))="M",1,IF(UPPER(LEFT($C16,1))="F",2,"")))</f>
        <v/>
      </c>
      <c r="T16">
        <f>IF(OR($D16="",$E16=""),"",DATEDIF($D16,$E16,"m"))</f>
        <v/>
      </c>
      <c r="U16">
        <f>IF(OR($D16="",$E16=""),"",$E16-$D16)</f>
        <v/>
      </c>
      <c r="V16">
        <f>IF(OR($G16="",$T16=""),"",IF($T16&lt;24,IF(LEFT(LOWER($H16),4)="em p",$G16+0.7,$G16),IF(LEFT(LOWER($H16),4)="deit",$G16-0.7,$G16)))</f>
        <v/>
      </c>
      <c r="W16">
        <f>IF(OR($S16="",$T16=""),"",$S16*1000000+IF($T16&lt;=60,$U16,$T16))</f>
        <v/>
      </c>
      <c r="X16">
        <f>IF(OR($S16="",$V16="",$T16&gt;60,$T16=""),"",$S16*1000000+ROUND($V16*10,0))</f>
        <v/>
      </c>
      <c r="Y16">
        <f>IF($W16="","",IFERROR(INDEX(IF($T16&lt;=60,imc05_l,imc519_l),MATCH($W16,IF($T16&lt;=60,imc05_k,imc519_k),1)),""))</f>
        <v/>
      </c>
      <c r="Z16">
        <f>IF($W16="","",IFERROR(INDEX(IF($T16&lt;=60,imc05_m,imc519_m),MATCH($W16,IF($T16&lt;=60,imc05_k,imc519_k),1)),""))</f>
        <v/>
      </c>
      <c r="AA16">
        <f>IF($W16="","",IFERROR(INDEX(IF($T16&lt;=60,imc05_s,imc519_s),MATCH($W16,IF($T16&lt;=60,imc05_k,imc519_k),1)),""))</f>
        <v/>
      </c>
      <c r="AB16">
        <f>IF($Y16="","",IF($Y16=0,LN($J16/$Z16)/$AA16,((($J16/$Z16)^$Y16)-1)/($Y16*$AA16)))</f>
        <v/>
      </c>
      <c r="AC16">
        <f>IF($Y16="","",IF($Y16=0,$Z16*EXP($AA16*2),$Z16*(1+$Y16*$AA16*2)^(1/$Y16)))</f>
        <v/>
      </c>
      <c r="AD16">
        <f>IF($Y16="","",IF($Y16=0,$Z16*EXP($AA16*3),$Z16*(1+$Y16*$AA16*3)^(1/$Y16)))</f>
        <v/>
      </c>
      <c r="AE16">
        <f>IF($Y16="","",IF($Y16=0,$Z16*EXP($AA16*-2),$Z16*(1+$Y16*$AA16*-2)^(1/$Y16)))</f>
        <v/>
      </c>
      <c r="AF16">
        <f>IF($Y16="","",IF($Y16=0,$Z16*EXP($AA16*-3),$Z16*(1+$Y16*$AA16*-3)^(1/$Y16)))</f>
        <v/>
      </c>
      <c r="AG16">
        <f>IF($W16="","",IFERROR(INDEX(IF($T16&lt;=60,est05_l,est519_l),MATCH($W16,IF($T16&lt;=60,est05_k,est519_k),1)),""))</f>
        <v/>
      </c>
      <c r="AH16">
        <f>IF($W16="","",IFERROR(INDEX(IF($T16&lt;=60,est05_m,est519_m),MATCH($W16,IF($T16&lt;=60,est05_k,est519_k),1)),""))</f>
        <v/>
      </c>
      <c r="AI16">
        <f>IF($W16="","",IFERROR(INDEX(IF($T16&lt;=60,est05_s,est519_s),MATCH($W16,IF($T16&lt;=60,est05_k,est519_k),1)),""))</f>
        <v/>
      </c>
      <c r="AJ16">
        <f>IF($W16="","",IFERROR(INDEX(IF($T16&lt;=60,peso05_l,peso510_l),MATCH($W16,IF($T16&lt;=60,peso05_k,peso510_k),1)),""))</f>
        <v/>
      </c>
      <c r="AK16">
        <f>IF($W16="","",IFERROR(INDEX(IF($T16&lt;=60,peso05_m,peso510_m),MATCH($W16,IF($T16&lt;=60,peso05_k,peso510_k),1)),""))</f>
        <v/>
      </c>
      <c r="AL16">
        <f>IF($W16="","",IFERROR(INDEX(IF($T16&lt;=60,peso05_s,peso510_s),MATCH($W16,IF($T16&lt;=60,peso05_k,peso510_k),1)),""))</f>
        <v/>
      </c>
      <c r="AM16">
        <f>IF($AJ16="","",IF($AJ16=0,LN($F16/$AK16)/$AL16,((($F16/$AK16)^$AJ16)-1)/($AJ16*$AL16)))</f>
        <v/>
      </c>
      <c r="AN16">
        <f>IF($AJ16="","",IF($AJ16=0,$AK16*EXP($AL16*2),$AK16*(1+$AJ16*$AL16*2)^(1/$AJ16)))</f>
        <v/>
      </c>
      <c r="AO16">
        <f>IF($AJ16="","",IF($AJ16=0,$AK16*EXP($AL16*3),$AK16*(1+$AJ16*$AL16*3)^(1/$AJ16)))</f>
        <v/>
      </c>
      <c r="AP16">
        <f>IF($AJ16="","",IF($AJ16=0,$AK16*EXP($AL16*-2),$AK16*(1+$AJ16*$AL16*-2)^(1/$AJ16)))</f>
        <v/>
      </c>
      <c r="AQ16">
        <f>IF($AJ16="","",IF($AJ16=0,$AK16*EXP($AL16*-3),$AK16*(1+$AJ16*$AL16*-3)^(1/$AJ16)))</f>
        <v/>
      </c>
      <c r="AR16">
        <f>IF(OR($X16="",$T16&gt;60),"",IFERROR(INDEX(IF($T16&lt;24,pcomp_l,palt_l),MATCH($X16,IF($T16&lt;24,pcomp_k,palt_k),1)),""))</f>
        <v/>
      </c>
      <c r="AS16">
        <f>IF(OR($X16="",$T16&gt;60),"",IFERROR(INDEX(IF($T16&lt;24,pcomp_m,palt_m),MATCH($X16,IF($T16&lt;24,pcomp_k,palt_k),1)),""))</f>
        <v/>
      </c>
      <c r="AT16">
        <f>IF(OR($X16="",$T16&gt;60),"",IFERROR(INDEX(IF($T16&lt;24,pcomp_s,palt_s),MATCH($X16,IF($T16&lt;24,pcomp_k,palt_k),1)),""))</f>
        <v/>
      </c>
      <c r="AU16">
        <f>IF($AR16="","",IF($AR16=0,LN($F16/$AS16)/$AT16,((($F16/$AS16)^$AR16)-1)/($AR16*$AT16)))</f>
        <v/>
      </c>
      <c r="AV16">
        <f>IF($AR16="","",IF($AR16=0,$AS16*EXP($AT16*2),$AS16*(1+$AR16*$AT16*2)^(1/$AR16)))</f>
        <v/>
      </c>
      <c r="AW16">
        <f>IF($AR16="","",IF($AR16=0,$AS16*EXP($AT16*3),$AS16*(1+$AR16*$AT16*3)^(1/$AR16)))</f>
        <v/>
      </c>
      <c r="AX16">
        <f>IF($AR16="","",IF($AR16=0,$AS16*EXP($AT16*-2),$AS16*(1+$AR16*$AT16*-2)^(1/$AR16)))</f>
        <v/>
      </c>
      <c r="AY16">
        <f>IF($AR16="","",IF($AR16=0,$AS16*EXP($AT16*-3),$AS16*(1+$AR16*$AT16*-3)^(1/$AR16)))</f>
        <v/>
      </c>
      <c r="AZ16">
        <f>IF(OR($A16="",$A16&lt;&gt;Ficha!$C$4),"",COUNTIF($A$2:$A16,Ficha!$C$4))</f>
        <v/>
      </c>
    </row>
    <row r="17">
      <c r="A17" s="8">
        <f>IF(INDEX(Banco!$A:$A,ROW())="","",INDEX(Banco!$A:$A,ROW()))</f>
        <v/>
      </c>
      <c r="B17" s="8">
        <f>IF(INDEX(Banco!$B:$B,ROW())="","",INDEX(Banco!$B:$B,ROW()))</f>
        <v/>
      </c>
      <c r="C17" s="8">
        <f>IF(INDEX(Banco!$C:$C,ROW())="","",INDEX(Banco!$C:$C,ROW()))</f>
        <v/>
      </c>
      <c r="D17" s="9">
        <f>IF(INDEX(Banco!$D:$D,ROW())="","",INDEX(Banco!$D:$D,ROW()))</f>
        <v/>
      </c>
      <c r="E17" s="9">
        <f>IF(INDEX(Banco!$E:$E,ROW())="","",INDEX(Banco!$E:$E,ROW()))</f>
        <v/>
      </c>
      <c r="F17" s="10">
        <f>IF(INDEX(Banco!$F:$F,ROW())="","",INDEX(Banco!$F:$F,ROW()))</f>
        <v/>
      </c>
      <c r="G17" s="10">
        <f>IF(INDEX(Banco!$G:$G,ROW())="","",INDEX(Banco!$G:$G,ROW()))</f>
        <v/>
      </c>
      <c r="H17" s="8">
        <f>IF(INDEX(Banco!$H:$H,ROW())="","",INDEX(Banco!$H:$H,ROW()))</f>
        <v/>
      </c>
      <c r="I17">
        <f>IF($T17="","",INT($T17/12)&amp;"a "&amp;MOD($T17,12)&amp;"m")</f>
        <v/>
      </c>
      <c r="J17" s="11">
        <f>IF(OR($F17="",$G17=""),"",ROUND($F17/($G17/100)^2,2))</f>
        <v/>
      </c>
      <c r="K17" s="12">
        <f>IF(OR($S17="",$J17="",$T17="",$T17&lt;0,$T17&gt;228,$Y17=""),"—",ROUND(IF(ABS($AB17)&lt;=3,$AB17,IF($AB17&gt;3,3+($J17-$AD17)/($AD17-$AC17),-3+($J17-$AF17)/($AE17-$AF17))),2))</f>
        <v/>
      </c>
      <c r="L17">
        <f>IF(OR($K17="",$K17="—"),"",IF($T17&lt;=60,IF($K17&lt;-3,"Magreza acentuada",IF($K17&lt;-2,"Magreza",IF($K17&lt;=1,"Eutrofia",IF($K17&lt;=2,"Risco de sobrepeso",IF($K17&lt;=3,"Sobrepeso","Obesidade"))))),IF($K17&lt;-3,"Magreza acentuada",IF($K17&lt;-2,"Magreza",IF($K17&lt;=1,"Eutrofia",IF($K17&lt;=2,"Sobrepeso",IF($K17&lt;=3,"Obesidade","Obesidade grave")))))))</f>
        <v/>
      </c>
      <c r="M17" s="12">
        <f>IF(OR($S17="",$V17="",$T17="",$T17&lt;0,$T17&gt;228,$AG17=""),"—",ROUND(IF($AG17=0,LN($V17/$AH17)/$AI17,((($V17/$AH17)^$AG17)-1)/($AG17*$AI17)),2))</f>
        <v/>
      </c>
      <c r="N17">
        <f>IF(OR($M17="",$M17="—"),"",IF($M17&lt;-3,"Muito baixa",IF($M17&lt;-2,"Baixa","Adequada")))</f>
        <v/>
      </c>
      <c r="O17" s="12">
        <f>IF(OR($S17="",$F17="",$T17="",$T17&lt;0,$T17&gt;120,$AJ17=""),"—",ROUND(IF(ABS($AM17)&lt;=3,$AM17,IF($AM17&gt;3,3+($F17-$AO17)/($AO17-$AN17),-3+($F17-$AQ17)/($AP17-$AQ17))),2))</f>
        <v/>
      </c>
      <c r="P17">
        <f>IF(OR($O17="",$O17="—"),"",IF($O17&lt;-3,"Muito baixo",IF($O17&lt;-2,"Baixo",IF($O17&lt;=2,"Adequado","Elevado"))))</f>
        <v/>
      </c>
      <c r="Q17" s="12">
        <f>IF(OR($S17="",$F17="",$T17="",$T17&lt;0,$T17&gt;60,$AR17=""),"—",ROUND(IF(ABS($AU17)&lt;=3,$AU17,IF($AU17&gt;3,3+($F17-$AW17)/($AW17-$AV17),-3+($F17-$AY17)/($AX17-$AY17))),2))</f>
        <v/>
      </c>
      <c r="R17">
        <f>IF(OR($Q17="",$Q17="—"),"",IF($Q17&lt;-3,"Magreza acentuada",IF($Q17&lt;-2,"Magreza",IF($Q17&lt;=1,"Eutrofia",IF($Q17&lt;=2,"Risco de sobrepeso",IF($Q17&lt;=3,"Sobrepeso","Obesidade"))))))</f>
        <v/>
      </c>
      <c r="S17">
        <f>IF($C17="","",IF(UPPER(LEFT($C17,1))="M",1,IF(UPPER(LEFT($C17,1))="F",2,"")))</f>
        <v/>
      </c>
      <c r="T17">
        <f>IF(OR($D17="",$E17=""),"",DATEDIF($D17,$E17,"m"))</f>
        <v/>
      </c>
      <c r="U17">
        <f>IF(OR($D17="",$E17=""),"",$E17-$D17)</f>
        <v/>
      </c>
      <c r="V17">
        <f>IF(OR($G17="",$T17=""),"",IF($T17&lt;24,IF(LEFT(LOWER($H17),4)="em p",$G17+0.7,$G17),IF(LEFT(LOWER($H17),4)="deit",$G17-0.7,$G17)))</f>
        <v/>
      </c>
      <c r="W17">
        <f>IF(OR($S17="",$T17=""),"",$S17*1000000+IF($T17&lt;=60,$U17,$T17))</f>
        <v/>
      </c>
      <c r="X17">
        <f>IF(OR($S17="",$V17="",$T17&gt;60,$T17=""),"",$S17*1000000+ROUND($V17*10,0))</f>
        <v/>
      </c>
      <c r="Y17">
        <f>IF($W17="","",IFERROR(INDEX(IF($T17&lt;=60,imc05_l,imc519_l),MATCH($W17,IF($T17&lt;=60,imc05_k,imc519_k),1)),""))</f>
        <v/>
      </c>
      <c r="Z17">
        <f>IF($W17="","",IFERROR(INDEX(IF($T17&lt;=60,imc05_m,imc519_m),MATCH($W17,IF($T17&lt;=60,imc05_k,imc519_k),1)),""))</f>
        <v/>
      </c>
      <c r="AA17">
        <f>IF($W17="","",IFERROR(INDEX(IF($T17&lt;=60,imc05_s,imc519_s),MATCH($W17,IF($T17&lt;=60,imc05_k,imc519_k),1)),""))</f>
        <v/>
      </c>
      <c r="AB17">
        <f>IF($Y17="","",IF($Y17=0,LN($J17/$Z17)/$AA17,((($J17/$Z17)^$Y17)-1)/($Y17*$AA17)))</f>
        <v/>
      </c>
      <c r="AC17">
        <f>IF($Y17="","",IF($Y17=0,$Z17*EXP($AA17*2),$Z17*(1+$Y17*$AA17*2)^(1/$Y17)))</f>
        <v/>
      </c>
      <c r="AD17">
        <f>IF($Y17="","",IF($Y17=0,$Z17*EXP($AA17*3),$Z17*(1+$Y17*$AA17*3)^(1/$Y17)))</f>
        <v/>
      </c>
      <c r="AE17">
        <f>IF($Y17="","",IF($Y17=0,$Z17*EXP($AA17*-2),$Z17*(1+$Y17*$AA17*-2)^(1/$Y17)))</f>
        <v/>
      </c>
      <c r="AF17">
        <f>IF($Y17="","",IF($Y17=0,$Z17*EXP($AA17*-3),$Z17*(1+$Y17*$AA17*-3)^(1/$Y17)))</f>
        <v/>
      </c>
      <c r="AG17">
        <f>IF($W17="","",IFERROR(INDEX(IF($T17&lt;=60,est05_l,est519_l),MATCH($W17,IF($T17&lt;=60,est05_k,est519_k),1)),""))</f>
        <v/>
      </c>
      <c r="AH17">
        <f>IF($W17="","",IFERROR(INDEX(IF($T17&lt;=60,est05_m,est519_m),MATCH($W17,IF($T17&lt;=60,est05_k,est519_k),1)),""))</f>
        <v/>
      </c>
      <c r="AI17">
        <f>IF($W17="","",IFERROR(INDEX(IF($T17&lt;=60,est05_s,est519_s),MATCH($W17,IF($T17&lt;=60,est05_k,est519_k),1)),""))</f>
        <v/>
      </c>
      <c r="AJ17">
        <f>IF($W17="","",IFERROR(INDEX(IF($T17&lt;=60,peso05_l,peso510_l),MATCH($W17,IF($T17&lt;=60,peso05_k,peso510_k),1)),""))</f>
        <v/>
      </c>
      <c r="AK17">
        <f>IF($W17="","",IFERROR(INDEX(IF($T17&lt;=60,peso05_m,peso510_m),MATCH($W17,IF($T17&lt;=60,peso05_k,peso510_k),1)),""))</f>
        <v/>
      </c>
      <c r="AL17">
        <f>IF($W17="","",IFERROR(INDEX(IF($T17&lt;=60,peso05_s,peso510_s),MATCH($W17,IF($T17&lt;=60,peso05_k,peso510_k),1)),""))</f>
        <v/>
      </c>
      <c r="AM17">
        <f>IF($AJ17="","",IF($AJ17=0,LN($F17/$AK17)/$AL17,((($F17/$AK17)^$AJ17)-1)/($AJ17*$AL17)))</f>
        <v/>
      </c>
      <c r="AN17">
        <f>IF($AJ17="","",IF($AJ17=0,$AK17*EXP($AL17*2),$AK17*(1+$AJ17*$AL17*2)^(1/$AJ17)))</f>
        <v/>
      </c>
      <c r="AO17">
        <f>IF($AJ17="","",IF($AJ17=0,$AK17*EXP($AL17*3),$AK17*(1+$AJ17*$AL17*3)^(1/$AJ17)))</f>
        <v/>
      </c>
      <c r="AP17">
        <f>IF($AJ17="","",IF($AJ17=0,$AK17*EXP($AL17*-2),$AK17*(1+$AJ17*$AL17*-2)^(1/$AJ17)))</f>
        <v/>
      </c>
      <c r="AQ17">
        <f>IF($AJ17="","",IF($AJ17=0,$AK17*EXP($AL17*-3),$AK17*(1+$AJ17*$AL17*-3)^(1/$AJ17)))</f>
        <v/>
      </c>
      <c r="AR17">
        <f>IF(OR($X17="",$T17&gt;60),"",IFERROR(INDEX(IF($T17&lt;24,pcomp_l,palt_l),MATCH($X17,IF($T17&lt;24,pcomp_k,palt_k),1)),""))</f>
        <v/>
      </c>
      <c r="AS17">
        <f>IF(OR($X17="",$T17&gt;60),"",IFERROR(INDEX(IF($T17&lt;24,pcomp_m,palt_m),MATCH($X17,IF($T17&lt;24,pcomp_k,palt_k),1)),""))</f>
        <v/>
      </c>
      <c r="AT17">
        <f>IF(OR($X17="",$T17&gt;60),"",IFERROR(INDEX(IF($T17&lt;24,pcomp_s,palt_s),MATCH($X17,IF($T17&lt;24,pcomp_k,palt_k),1)),""))</f>
        <v/>
      </c>
      <c r="AU17">
        <f>IF($AR17="","",IF($AR17=0,LN($F17/$AS17)/$AT17,((($F17/$AS17)^$AR17)-1)/($AR17*$AT17)))</f>
        <v/>
      </c>
      <c r="AV17">
        <f>IF($AR17="","",IF($AR17=0,$AS17*EXP($AT17*2),$AS17*(1+$AR17*$AT17*2)^(1/$AR17)))</f>
        <v/>
      </c>
      <c r="AW17">
        <f>IF($AR17="","",IF($AR17=0,$AS17*EXP($AT17*3),$AS17*(1+$AR17*$AT17*3)^(1/$AR17)))</f>
        <v/>
      </c>
      <c r="AX17">
        <f>IF($AR17="","",IF($AR17=0,$AS17*EXP($AT17*-2),$AS17*(1+$AR17*$AT17*-2)^(1/$AR17)))</f>
        <v/>
      </c>
      <c r="AY17">
        <f>IF($AR17="","",IF($AR17=0,$AS17*EXP($AT17*-3),$AS17*(1+$AR17*$AT17*-3)^(1/$AR17)))</f>
        <v/>
      </c>
      <c r="AZ17">
        <f>IF(OR($A17="",$A17&lt;&gt;Ficha!$C$4),"",COUNTIF($A$2:$A17,Ficha!$C$4))</f>
        <v/>
      </c>
    </row>
    <row r="18">
      <c r="A18" s="8">
        <f>IF(INDEX(Banco!$A:$A,ROW())="","",INDEX(Banco!$A:$A,ROW()))</f>
        <v/>
      </c>
      <c r="B18" s="8">
        <f>IF(INDEX(Banco!$B:$B,ROW())="","",INDEX(Banco!$B:$B,ROW()))</f>
        <v/>
      </c>
      <c r="C18" s="8">
        <f>IF(INDEX(Banco!$C:$C,ROW())="","",INDEX(Banco!$C:$C,ROW()))</f>
        <v/>
      </c>
      <c r="D18" s="9">
        <f>IF(INDEX(Banco!$D:$D,ROW())="","",INDEX(Banco!$D:$D,ROW()))</f>
        <v/>
      </c>
      <c r="E18" s="9">
        <f>IF(INDEX(Banco!$E:$E,ROW())="","",INDEX(Banco!$E:$E,ROW()))</f>
        <v/>
      </c>
      <c r="F18" s="10">
        <f>IF(INDEX(Banco!$F:$F,ROW())="","",INDEX(Banco!$F:$F,ROW()))</f>
        <v/>
      </c>
      <c r="G18" s="10">
        <f>IF(INDEX(Banco!$G:$G,ROW())="","",INDEX(Banco!$G:$G,ROW()))</f>
        <v/>
      </c>
      <c r="H18" s="8">
        <f>IF(INDEX(Banco!$H:$H,ROW())="","",INDEX(Banco!$H:$H,ROW()))</f>
        <v/>
      </c>
      <c r="I18">
        <f>IF($T18="","",INT($T18/12)&amp;"a "&amp;MOD($T18,12)&amp;"m")</f>
        <v/>
      </c>
      <c r="J18" s="11">
        <f>IF(OR($F18="",$G18=""),"",ROUND($F18/($G18/100)^2,2))</f>
        <v/>
      </c>
      <c r="K18" s="12">
        <f>IF(OR($S18="",$J18="",$T18="",$T18&lt;0,$T18&gt;228,$Y18=""),"—",ROUND(IF(ABS($AB18)&lt;=3,$AB18,IF($AB18&gt;3,3+($J18-$AD18)/($AD18-$AC18),-3+($J18-$AF18)/($AE18-$AF18))),2))</f>
        <v/>
      </c>
      <c r="L18">
        <f>IF(OR($K18="",$K18="—"),"",IF($T18&lt;=60,IF($K18&lt;-3,"Magreza acentuada",IF($K18&lt;-2,"Magreza",IF($K18&lt;=1,"Eutrofia",IF($K18&lt;=2,"Risco de sobrepeso",IF($K18&lt;=3,"Sobrepeso","Obesidade"))))),IF($K18&lt;-3,"Magreza acentuada",IF($K18&lt;-2,"Magreza",IF($K18&lt;=1,"Eutrofia",IF($K18&lt;=2,"Sobrepeso",IF($K18&lt;=3,"Obesidade","Obesidade grave")))))))</f>
        <v/>
      </c>
      <c r="M18" s="12">
        <f>IF(OR($S18="",$V18="",$T18="",$T18&lt;0,$T18&gt;228,$AG18=""),"—",ROUND(IF($AG18=0,LN($V18/$AH18)/$AI18,((($V18/$AH18)^$AG18)-1)/($AG18*$AI18)),2))</f>
        <v/>
      </c>
      <c r="N18">
        <f>IF(OR($M18="",$M18="—"),"",IF($M18&lt;-3,"Muito baixa",IF($M18&lt;-2,"Baixa","Adequada")))</f>
        <v/>
      </c>
      <c r="O18" s="12">
        <f>IF(OR($S18="",$F18="",$T18="",$T18&lt;0,$T18&gt;120,$AJ18=""),"—",ROUND(IF(ABS($AM18)&lt;=3,$AM18,IF($AM18&gt;3,3+($F18-$AO18)/($AO18-$AN18),-3+($F18-$AQ18)/($AP18-$AQ18))),2))</f>
        <v/>
      </c>
      <c r="P18">
        <f>IF(OR($O18="",$O18="—"),"",IF($O18&lt;-3,"Muito baixo",IF($O18&lt;-2,"Baixo",IF($O18&lt;=2,"Adequado","Elevado"))))</f>
        <v/>
      </c>
      <c r="Q18" s="12">
        <f>IF(OR($S18="",$F18="",$T18="",$T18&lt;0,$T18&gt;60,$AR18=""),"—",ROUND(IF(ABS($AU18)&lt;=3,$AU18,IF($AU18&gt;3,3+($F18-$AW18)/($AW18-$AV18),-3+($F18-$AY18)/($AX18-$AY18))),2))</f>
        <v/>
      </c>
      <c r="R18">
        <f>IF(OR($Q18="",$Q18="—"),"",IF($Q18&lt;-3,"Magreza acentuada",IF($Q18&lt;-2,"Magreza",IF($Q18&lt;=1,"Eutrofia",IF($Q18&lt;=2,"Risco de sobrepeso",IF($Q18&lt;=3,"Sobrepeso","Obesidade"))))))</f>
        <v/>
      </c>
      <c r="S18">
        <f>IF($C18="","",IF(UPPER(LEFT($C18,1))="M",1,IF(UPPER(LEFT($C18,1))="F",2,"")))</f>
        <v/>
      </c>
      <c r="T18">
        <f>IF(OR($D18="",$E18=""),"",DATEDIF($D18,$E18,"m"))</f>
        <v/>
      </c>
      <c r="U18">
        <f>IF(OR($D18="",$E18=""),"",$E18-$D18)</f>
        <v/>
      </c>
      <c r="V18">
        <f>IF(OR($G18="",$T18=""),"",IF($T18&lt;24,IF(LEFT(LOWER($H18),4)="em p",$G18+0.7,$G18),IF(LEFT(LOWER($H18),4)="deit",$G18-0.7,$G18)))</f>
        <v/>
      </c>
      <c r="W18">
        <f>IF(OR($S18="",$T18=""),"",$S18*1000000+IF($T18&lt;=60,$U18,$T18))</f>
        <v/>
      </c>
      <c r="X18">
        <f>IF(OR($S18="",$V18="",$T18&gt;60,$T18=""),"",$S18*1000000+ROUND($V18*10,0))</f>
        <v/>
      </c>
      <c r="Y18">
        <f>IF($W18="","",IFERROR(INDEX(IF($T18&lt;=60,imc05_l,imc519_l),MATCH($W18,IF($T18&lt;=60,imc05_k,imc519_k),1)),""))</f>
        <v/>
      </c>
      <c r="Z18">
        <f>IF($W18="","",IFERROR(INDEX(IF($T18&lt;=60,imc05_m,imc519_m),MATCH($W18,IF($T18&lt;=60,imc05_k,imc519_k),1)),""))</f>
        <v/>
      </c>
      <c r="AA18">
        <f>IF($W18="","",IFERROR(INDEX(IF($T18&lt;=60,imc05_s,imc519_s),MATCH($W18,IF($T18&lt;=60,imc05_k,imc519_k),1)),""))</f>
        <v/>
      </c>
      <c r="AB18">
        <f>IF($Y18="","",IF($Y18=0,LN($J18/$Z18)/$AA18,((($J18/$Z18)^$Y18)-1)/($Y18*$AA18)))</f>
        <v/>
      </c>
      <c r="AC18">
        <f>IF($Y18="","",IF($Y18=0,$Z18*EXP($AA18*2),$Z18*(1+$Y18*$AA18*2)^(1/$Y18)))</f>
        <v/>
      </c>
      <c r="AD18">
        <f>IF($Y18="","",IF($Y18=0,$Z18*EXP($AA18*3),$Z18*(1+$Y18*$AA18*3)^(1/$Y18)))</f>
        <v/>
      </c>
      <c r="AE18">
        <f>IF($Y18="","",IF($Y18=0,$Z18*EXP($AA18*-2),$Z18*(1+$Y18*$AA18*-2)^(1/$Y18)))</f>
        <v/>
      </c>
      <c r="AF18">
        <f>IF($Y18="","",IF($Y18=0,$Z18*EXP($AA18*-3),$Z18*(1+$Y18*$AA18*-3)^(1/$Y18)))</f>
        <v/>
      </c>
      <c r="AG18">
        <f>IF($W18="","",IFERROR(INDEX(IF($T18&lt;=60,est05_l,est519_l),MATCH($W18,IF($T18&lt;=60,est05_k,est519_k),1)),""))</f>
        <v/>
      </c>
      <c r="AH18">
        <f>IF($W18="","",IFERROR(INDEX(IF($T18&lt;=60,est05_m,est519_m),MATCH($W18,IF($T18&lt;=60,est05_k,est519_k),1)),""))</f>
        <v/>
      </c>
      <c r="AI18">
        <f>IF($W18="","",IFERROR(INDEX(IF($T18&lt;=60,est05_s,est519_s),MATCH($W18,IF($T18&lt;=60,est05_k,est519_k),1)),""))</f>
        <v/>
      </c>
      <c r="AJ18">
        <f>IF($W18="","",IFERROR(INDEX(IF($T18&lt;=60,peso05_l,peso510_l),MATCH($W18,IF($T18&lt;=60,peso05_k,peso510_k),1)),""))</f>
        <v/>
      </c>
      <c r="AK18">
        <f>IF($W18="","",IFERROR(INDEX(IF($T18&lt;=60,peso05_m,peso510_m),MATCH($W18,IF($T18&lt;=60,peso05_k,peso510_k),1)),""))</f>
        <v/>
      </c>
      <c r="AL18">
        <f>IF($W18="","",IFERROR(INDEX(IF($T18&lt;=60,peso05_s,peso510_s),MATCH($W18,IF($T18&lt;=60,peso05_k,peso510_k),1)),""))</f>
        <v/>
      </c>
      <c r="AM18">
        <f>IF($AJ18="","",IF($AJ18=0,LN($F18/$AK18)/$AL18,((($F18/$AK18)^$AJ18)-1)/($AJ18*$AL18)))</f>
        <v/>
      </c>
      <c r="AN18">
        <f>IF($AJ18="","",IF($AJ18=0,$AK18*EXP($AL18*2),$AK18*(1+$AJ18*$AL18*2)^(1/$AJ18)))</f>
        <v/>
      </c>
      <c r="AO18">
        <f>IF($AJ18="","",IF($AJ18=0,$AK18*EXP($AL18*3),$AK18*(1+$AJ18*$AL18*3)^(1/$AJ18)))</f>
        <v/>
      </c>
      <c r="AP18">
        <f>IF($AJ18="","",IF($AJ18=0,$AK18*EXP($AL18*-2),$AK18*(1+$AJ18*$AL18*-2)^(1/$AJ18)))</f>
        <v/>
      </c>
      <c r="AQ18">
        <f>IF($AJ18="","",IF($AJ18=0,$AK18*EXP($AL18*-3),$AK18*(1+$AJ18*$AL18*-3)^(1/$AJ18)))</f>
        <v/>
      </c>
      <c r="AR18">
        <f>IF(OR($X18="",$T18&gt;60),"",IFERROR(INDEX(IF($T18&lt;24,pcomp_l,palt_l),MATCH($X18,IF($T18&lt;24,pcomp_k,palt_k),1)),""))</f>
        <v/>
      </c>
      <c r="AS18">
        <f>IF(OR($X18="",$T18&gt;60),"",IFERROR(INDEX(IF($T18&lt;24,pcomp_m,palt_m),MATCH($X18,IF($T18&lt;24,pcomp_k,palt_k),1)),""))</f>
        <v/>
      </c>
      <c r="AT18">
        <f>IF(OR($X18="",$T18&gt;60),"",IFERROR(INDEX(IF($T18&lt;24,pcomp_s,palt_s),MATCH($X18,IF($T18&lt;24,pcomp_k,palt_k),1)),""))</f>
        <v/>
      </c>
      <c r="AU18">
        <f>IF($AR18="","",IF($AR18=0,LN($F18/$AS18)/$AT18,((($F18/$AS18)^$AR18)-1)/($AR18*$AT18)))</f>
        <v/>
      </c>
      <c r="AV18">
        <f>IF($AR18="","",IF($AR18=0,$AS18*EXP($AT18*2),$AS18*(1+$AR18*$AT18*2)^(1/$AR18)))</f>
        <v/>
      </c>
      <c r="AW18">
        <f>IF($AR18="","",IF($AR18=0,$AS18*EXP($AT18*3),$AS18*(1+$AR18*$AT18*3)^(1/$AR18)))</f>
        <v/>
      </c>
      <c r="AX18">
        <f>IF($AR18="","",IF($AR18=0,$AS18*EXP($AT18*-2),$AS18*(1+$AR18*$AT18*-2)^(1/$AR18)))</f>
        <v/>
      </c>
      <c r="AY18">
        <f>IF($AR18="","",IF($AR18=0,$AS18*EXP($AT18*-3),$AS18*(1+$AR18*$AT18*-3)^(1/$AR18)))</f>
        <v/>
      </c>
      <c r="AZ18">
        <f>IF(OR($A18="",$A18&lt;&gt;Ficha!$C$4),"",COUNTIF($A$2:$A18,Ficha!$C$4))</f>
        <v/>
      </c>
    </row>
    <row r="19">
      <c r="A19" s="8">
        <f>IF(INDEX(Banco!$A:$A,ROW())="","",INDEX(Banco!$A:$A,ROW()))</f>
        <v/>
      </c>
      <c r="B19" s="8">
        <f>IF(INDEX(Banco!$B:$B,ROW())="","",INDEX(Banco!$B:$B,ROW()))</f>
        <v/>
      </c>
      <c r="C19" s="8">
        <f>IF(INDEX(Banco!$C:$C,ROW())="","",INDEX(Banco!$C:$C,ROW()))</f>
        <v/>
      </c>
      <c r="D19" s="9">
        <f>IF(INDEX(Banco!$D:$D,ROW())="","",INDEX(Banco!$D:$D,ROW()))</f>
        <v/>
      </c>
      <c r="E19" s="9">
        <f>IF(INDEX(Banco!$E:$E,ROW())="","",INDEX(Banco!$E:$E,ROW()))</f>
        <v/>
      </c>
      <c r="F19" s="10">
        <f>IF(INDEX(Banco!$F:$F,ROW())="","",INDEX(Banco!$F:$F,ROW()))</f>
        <v/>
      </c>
      <c r="G19" s="10">
        <f>IF(INDEX(Banco!$G:$G,ROW())="","",INDEX(Banco!$G:$G,ROW()))</f>
        <v/>
      </c>
      <c r="H19" s="8">
        <f>IF(INDEX(Banco!$H:$H,ROW())="","",INDEX(Banco!$H:$H,ROW()))</f>
        <v/>
      </c>
      <c r="I19">
        <f>IF($T19="","",INT($T19/12)&amp;"a "&amp;MOD($T19,12)&amp;"m")</f>
        <v/>
      </c>
      <c r="J19" s="11">
        <f>IF(OR($F19="",$G19=""),"",ROUND($F19/($G19/100)^2,2))</f>
        <v/>
      </c>
      <c r="K19" s="12">
        <f>IF(OR($S19="",$J19="",$T19="",$T19&lt;0,$T19&gt;228,$Y19=""),"—",ROUND(IF(ABS($AB19)&lt;=3,$AB19,IF($AB19&gt;3,3+($J19-$AD19)/($AD19-$AC19),-3+($J19-$AF19)/($AE19-$AF19))),2))</f>
        <v/>
      </c>
      <c r="L19">
        <f>IF(OR($K19="",$K19="—"),"",IF($T19&lt;=60,IF($K19&lt;-3,"Magreza acentuada",IF($K19&lt;-2,"Magreza",IF($K19&lt;=1,"Eutrofia",IF($K19&lt;=2,"Risco de sobrepeso",IF($K19&lt;=3,"Sobrepeso","Obesidade"))))),IF($K19&lt;-3,"Magreza acentuada",IF($K19&lt;-2,"Magreza",IF($K19&lt;=1,"Eutrofia",IF($K19&lt;=2,"Sobrepeso",IF($K19&lt;=3,"Obesidade","Obesidade grave")))))))</f>
        <v/>
      </c>
      <c r="M19" s="12">
        <f>IF(OR($S19="",$V19="",$T19="",$T19&lt;0,$T19&gt;228,$AG19=""),"—",ROUND(IF($AG19=0,LN($V19/$AH19)/$AI19,((($V19/$AH19)^$AG19)-1)/($AG19*$AI19)),2))</f>
        <v/>
      </c>
      <c r="N19">
        <f>IF(OR($M19="",$M19="—"),"",IF($M19&lt;-3,"Muito baixa",IF($M19&lt;-2,"Baixa","Adequada")))</f>
        <v/>
      </c>
      <c r="O19" s="12">
        <f>IF(OR($S19="",$F19="",$T19="",$T19&lt;0,$T19&gt;120,$AJ19=""),"—",ROUND(IF(ABS($AM19)&lt;=3,$AM19,IF($AM19&gt;3,3+($F19-$AO19)/($AO19-$AN19),-3+($F19-$AQ19)/($AP19-$AQ19))),2))</f>
        <v/>
      </c>
      <c r="P19">
        <f>IF(OR($O19="",$O19="—"),"",IF($O19&lt;-3,"Muito baixo",IF($O19&lt;-2,"Baixo",IF($O19&lt;=2,"Adequado","Elevado"))))</f>
        <v/>
      </c>
      <c r="Q19" s="12">
        <f>IF(OR($S19="",$F19="",$T19="",$T19&lt;0,$T19&gt;60,$AR19=""),"—",ROUND(IF(ABS($AU19)&lt;=3,$AU19,IF($AU19&gt;3,3+($F19-$AW19)/($AW19-$AV19),-3+($F19-$AY19)/($AX19-$AY19))),2))</f>
        <v/>
      </c>
      <c r="R19">
        <f>IF(OR($Q19="",$Q19="—"),"",IF($Q19&lt;-3,"Magreza acentuada",IF($Q19&lt;-2,"Magreza",IF($Q19&lt;=1,"Eutrofia",IF($Q19&lt;=2,"Risco de sobrepeso",IF($Q19&lt;=3,"Sobrepeso","Obesidade"))))))</f>
        <v/>
      </c>
      <c r="S19">
        <f>IF($C19="","",IF(UPPER(LEFT($C19,1))="M",1,IF(UPPER(LEFT($C19,1))="F",2,"")))</f>
        <v/>
      </c>
      <c r="T19">
        <f>IF(OR($D19="",$E19=""),"",DATEDIF($D19,$E19,"m"))</f>
        <v/>
      </c>
      <c r="U19">
        <f>IF(OR($D19="",$E19=""),"",$E19-$D19)</f>
        <v/>
      </c>
      <c r="V19">
        <f>IF(OR($G19="",$T19=""),"",IF($T19&lt;24,IF(LEFT(LOWER($H19),4)="em p",$G19+0.7,$G19),IF(LEFT(LOWER($H19),4)="deit",$G19-0.7,$G19)))</f>
        <v/>
      </c>
      <c r="W19">
        <f>IF(OR($S19="",$T19=""),"",$S19*1000000+IF($T19&lt;=60,$U19,$T19))</f>
        <v/>
      </c>
      <c r="X19">
        <f>IF(OR($S19="",$V19="",$T19&gt;60,$T19=""),"",$S19*1000000+ROUND($V19*10,0))</f>
        <v/>
      </c>
      <c r="Y19">
        <f>IF($W19="","",IFERROR(INDEX(IF($T19&lt;=60,imc05_l,imc519_l),MATCH($W19,IF($T19&lt;=60,imc05_k,imc519_k),1)),""))</f>
        <v/>
      </c>
      <c r="Z19">
        <f>IF($W19="","",IFERROR(INDEX(IF($T19&lt;=60,imc05_m,imc519_m),MATCH($W19,IF($T19&lt;=60,imc05_k,imc519_k),1)),""))</f>
        <v/>
      </c>
      <c r="AA19">
        <f>IF($W19="","",IFERROR(INDEX(IF($T19&lt;=60,imc05_s,imc519_s),MATCH($W19,IF($T19&lt;=60,imc05_k,imc519_k),1)),""))</f>
        <v/>
      </c>
      <c r="AB19">
        <f>IF($Y19="","",IF($Y19=0,LN($J19/$Z19)/$AA19,((($J19/$Z19)^$Y19)-1)/($Y19*$AA19)))</f>
        <v/>
      </c>
      <c r="AC19">
        <f>IF($Y19="","",IF($Y19=0,$Z19*EXP($AA19*2),$Z19*(1+$Y19*$AA19*2)^(1/$Y19)))</f>
        <v/>
      </c>
      <c r="AD19">
        <f>IF($Y19="","",IF($Y19=0,$Z19*EXP($AA19*3),$Z19*(1+$Y19*$AA19*3)^(1/$Y19)))</f>
        <v/>
      </c>
      <c r="AE19">
        <f>IF($Y19="","",IF($Y19=0,$Z19*EXP($AA19*-2),$Z19*(1+$Y19*$AA19*-2)^(1/$Y19)))</f>
        <v/>
      </c>
      <c r="AF19">
        <f>IF($Y19="","",IF($Y19=0,$Z19*EXP($AA19*-3),$Z19*(1+$Y19*$AA19*-3)^(1/$Y19)))</f>
        <v/>
      </c>
      <c r="AG19">
        <f>IF($W19="","",IFERROR(INDEX(IF($T19&lt;=60,est05_l,est519_l),MATCH($W19,IF($T19&lt;=60,est05_k,est519_k),1)),""))</f>
        <v/>
      </c>
      <c r="AH19">
        <f>IF($W19="","",IFERROR(INDEX(IF($T19&lt;=60,est05_m,est519_m),MATCH($W19,IF($T19&lt;=60,est05_k,est519_k),1)),""))</f>
        <v/>
      </c>
      <c r="AI19">
        <f>IF($W19="","",IFERROR(INDEX(IF($T19&lt;=60,est05_s,est519_s),MATCH($W19,IF($T19&lt;=60,est05_k,est519_k),1)),""))</f>
        <v/>
      </c>
      <c r="AJ19">
        <f>IF($W19="","",IFERROR(INDEX(IF($T19&lt;=60,peso05_l,peso510_l),MATCH($W19,IF($T19&lt;=60,peso05_k,peso510_k),1)),""))</f>
        <v/>
      </c>
      <c r="AK19">
        <f>IF($W19="","",IFERROR(INDEX(IF($T19&lt;=60,peso05_m,peso510_m),MATCH($W19,IF($T19&lt;=60,peso05_k,peso510_k),1)),""))</f>
        <v/>
      </c>
      <c r="AL19">
        <f>IF($W19="","",IFERROR(INDEX(IF($T19&lt;=60,peso05_s,peso510_s),MATCH($W19,IF($T19&lt;=60,peso05_k,peso510_k),1)),""))</f>
        <v/>
      </c>
      <c r="AM19">
        <f>IF($AJ19="","",IF($AJ19=0,LN($F19/$AK19)/$AL19,((($F19/$AK19)^$AJ19)-1)/($AJ19*$AL19)))</f>
        <v/>
      </c>
      <c r="AN19">
        <f>IF($AJ19="","",IF($AJ19=0,$AK19*EXP($AL19*2),$AK19*(1+$AJ19*$AL19*2)^(1/$AJ19)))</f>
        <v/>
      </c>
      <c r="AO19">
        <f>IF($AJ19="","",IF($AJ19=0,$AK19*EXP($AL19*3),$AK19*(1+$AJ19*$AL19*3)^(1/$AJ19)))</f>
        <v/>
      </c>
      <c r="AP19">
        <f>IF($AJ19="","",IF($AJ19=0,$AK19*EXP($AL19*-2),$AK19*(1+$AJ19*$AL19*-2)^(1/$AJ19)))</f>
        <v/>
      </c>
      <c r="AQ19">
        <f>IF($AJ19="","",IF($AJ19=0,$AK19*EXP($AL19*-3),$AK19*(1+$AJ19*$AL19*-3)^(1/$AJ19)))</f>
        <v/>
      </c>
      <c r="AR19">
        <f>IF(OR($X19="",$T19&gt;60),"",IFERROR(INDEX(IF($T19&lt;24,pcomp_l,palt_l),MATCH($X19,IF($T19&lt;24,pcomp_k,palt_k),1)),""))</f>
        <v/>
      </c>
      <c r="AS19">
        <f>IF(OR($X19="",$T19&gt;60),"",IFERROR(INDEX(IF($T19&lt;24,pcomp_m,palt_m),MATCH($X19,IF($T19&lt;24,pcomp_k,palt_k),1)),""))</f>
        <v/>
      </c>
      <c r="AT19">
        <f>IF(OR($X19="",$T19&gt;60),"",IFERROR(INDEX(IF($T19&lt;24,pcomp_s,palt_s),MATCH($X19,IF($T19&lt;24,pcomp_k,palt_k),1)),""))</f>
        <v/>
      </c>
      <c r="AU19">
        <f>IF($AR19="","",IF($AR19=0,LN($F19/$AS19)/$AT19,((($F19/$AS19)^$AR19)-1)/($AR19*$AT19)))</f>
        <v/>
      </c>
      <c r="AV19">
        <f>IF($AR19="","",IF($AR19=0,$AS19*EXP($AT19*2),$AS19*(1+$AR19*$AT19*2)^(1/$AR19)))</f>
        <v/>
      </c>
      <c r="AW19">
        <f>IF($AR19="","",IF($AR19=0,$AS19*EXP($AT19*3),$AS19*(1+$AR19*$AT19*3)^(1/$AR19)))</f>
        <v/>
      </c>
      <c r="AX19">
        <f>IF($AR19="","",IF($AR19=0,$AS19*EXP($AT19*-2),$AS19*(1+$AR19*$AT19*-2)^(1/$AR19)))</f>
        <v/>
      </c>
      <c r="AY19">
        <f>IF($AR19="","",IF($AR19=0,$AS19*EXP($AT19*-3),$AS19*(1+$AR19*$AT19*-3)^(1/$AR19)))</f>
        <v/>
      </c>
      <c r="AZ19">
        <f>IF(OR($A19="",$A19&lt;&gt;Ficha!$C$4),"",COUNTIF($A$2:$A19,Ficha!$C$4))</f>
        <v/>
      </c>
    </row>
    <row r="20">
      <c r="A20" s="8">
        <f>IF(INDEX(Banco!$A:$A,ROW())="","",INDEX(Banco!$A:$A,ROW()))</f>
        <v/>
      </c>
      <c r="B20" s="8">
        <f>IF(INDEX(Banco!$B:$B,ROW())="","",INDEX(Banco!$B:$B,ROW()))</f>
        <v/>
      </c>
      <c r="C20" s="8">
        <f>IF(INDEX(Banco!$C:$C,ROW())="","",INDEX(Banco!$C:$C,ROW()))</f>
        <v/>
      </c>
      <c r="D20" s="9">
        <f>IF(INDEX(Banco!$D:$D,ROW())="","",INDEX(Banco!$D:$D,ROW()))</f>
        <v/>
      </c>
      <c r="E20" s="9">
        <f>IF(INDEX(Banco!$E:$E,ROW())="","",INDEX(Banco!$E:$E,ROW()))</f>
        <v/>
      </c>
      <c r="F20" s="10">
        <f>IF(INDEX(Banco!$F:$F,ROW())="","",INDEX(Banco!$F:$F,ROW()))</f>
        <v/>
      </c>
      <c r="G20" s="10">
        <f>IF(INDEX(Banco!$G:$G,ROW())="","",INDEX(Banco!$G:$G,ROW()))</f>
        <v/>
      </c>
      <c r="H20" s="8">
        <f>IF(INDEX(Banco!$H:$H,ROW())="","",INDEX(Banco!$H:$H,ROW()))</f>
        <v/>
      </c>
      <c r="I20">
        <f>IF($T20="","",INT($T20/12)&amp;"a "&amp;MOD($T20,12)&amp;"m")</f>
        <v/>
      </c>
      <c r="J20" s="11">
        <f>IF(OR($F20="",$G20=""),"",ROUND($F20/($G20/100)^2,2))</f>
        <v/>
      </c>
      <c r="K20" s="12">
        <f>IF(OR($S20="",$J20="",$T20="",$T20&lt;0,$T20&gt;228,$Y20=""),"—",ROUND(IF(ABS($AB20)&lt;=3,$AB20,IF($AB20&gt;3,3+($J20-$AD20)/($AD20-$AC20),-3+($J20-$AF20)/($AE20-$AF20))),2))</f>
        <v/>
      </c>
      <c r="L20">
        <f>IF(OR($K20="",$K20="—"),"",IF($T20&lt;=60,IF($K20&lt;-3,"Magreza acentuada",IF($K20&lt;-2,"Magreza",IF($K20&lt;=1,"Eutrofia",IF($K20&lt;=2,"Risco de sobrepeso",IF($K20&lt;=3,"Sobrepeso","Obesidade"))))),IF($K20&lt;-3,"Magreza acentuada",IF($K20&lt;-2,"Magreza",IF($K20&lt;=1,"Eutrofia",IF($K20&lt;=2,"Sobrepeso",IF($K20&lt;=3,"Obesidade","Obesidade grave")))))))</f>
        <v/>
      </c>
      <c r="M20" s="12">
        <f>IF(OR($S20="",$V20="",$T20="",$T20&lt;0,$T20&gt;228,$AG20=""),"—",ROUND(IF($AG20=0,LN($V20/$AH20)/$AI20,((($V20/$AH20)^$AG20)-1)/($AG20*$AI20)),2))</f>
        <v/>
      </c>
      <c r="N20">
        <f>IF(OR($M20="",$M20="—"),"",IF($M20&lt;-3,"Muito baixa",IF($M20&lt;-2,"Baixa","Adequada")))</f>
        <v/>
      </c>
      <c r="O20" s="12">
        <f>IF(OR($S20="",$F20="",$T20="",$T20&lt;0,$T20&gt;120,$AJ20=""),"—",ROUND(IF(ABS($AM20)&lt;=3,$AM20,IF($AM20&gt;3,3+($F20-$AO20)/($AO20-$AN20),-3+($F20-$AQ20)/($AP20-$AQ20))),2))</f>
        <v/>
      </c>
      <c r="P20">
        <f>IF(OR($O20="",$O20="—"),"",IF($O20&lt;-3,"Muito baixo",IF($O20&lt;-2,"Baixo",IF($O20&lt;=2,"Adequado","Elevado"))))</f>
        <v/>
      </c>
      <c r="Q20" s="12">
        <f>IF(OR($S20="",$F20="",$T20="",$T20&lt;0,$T20&gt;60,$AR20=""),"—",ROUND(IF(ABS($AU20)&lt;=3,$AU20,IF($AU20&gt;3,3+($F20-$AW20)/($AW20-$AV20),-3+($F20-$AY20)/($AX20-$AY20))),2))</f>
        <v/>
      </c>
      <c r="R20">
        <f>IF(OR($Q20="",$Q20="—"),"",IF($Q20&lt;-3,"Magreza acentuada",IF($Q20&lt;-2,"Magreza",IF($Q20&lt;=1,"Eutrofia",IF($Q20&lt;=2,"Risco de sobrepeso",IF($Q20&lt;=3,"Sobrepeso","Obesidade"))))))</f>
        <v/>
      </c>
      <c r="S20">
        <f>IF($C20="","",IF(UPPER(LEFT($C20,1))="M",1,IF(UPPER(LEFT($C20,1))="F",2,"")))</f>
        <v/>
      </c>
      <c r="T20">
        <f>IF(OR($D20="",$E20=""),"",DATEDIF($D20,$E20,"m"))</f>
        <v/>
      </c>
      <c r="U20">
        <f>IF(OR($D20="",$E20=""),"",$E20-$D20)</f>
        <v/>
      </c>
      <c r="V20">
        <f>IF(OR($G20="",$T20=""),"",IF($T20&lt;24,IF(LEFT(LOWER($H20),4)="em p",$G20+0.7,$G20),IF(LEFT(LOWER($H20),4)="deit",$G20-0.7,$G20)))</f>
        <v/>
      </c>
      <c r="W20">
        <f>IF(OR($S20="",$T20=""),"",$S20*1000000+IF($T20&lt;=60,$U20,$T20))</f>
        <v/>
      </c>
      <c r="X20">
        <f>IF(OR($S20="",$V20="",$T20&gt;60,$T20=""),"",$S20*1000000+ROUND($V20*10,0))</f>
        <v/>
      </c>
      <c r="Y20">
        <f>IF($W20="","",IFERROR(INDEX(IF($T20&lt;=60,imc05_l,imc519_l),MATCH($W20,IF($T20&lt;=60,imc05_k,imc519_k),1)),""))</f>
        <v/>
      </c>
      <c r="Z20">
        <f>IF($W20="","",IFERROR(INDEX(IF($T20&lt;=60,imc05_m,imc519_m),MATCH($W20,IF($T20&lt;=60,imc05_k,imc519_k),1)),""))</f>
        <v/>
      </c>
      <c r="AA20">
        <f>IF($W20="","",IFERROR(INDEX(IF($T20&lt;=60,imc05_s,imc519_s),MATCH($W20,IF($T20&lt;=60,imc05_k,imc519_k),1)),""))</f>
        <v/>
      </c>
      <c r="AB20">
        <f>IF($Y20="","",IF($Y20=0,LN($J20/$Z20)/$AA20,((($J20/$Z20)^$Y20)-1)/($Y20*$AA20)))</f>
        <v/>
      </c>
      <c r="AC20">
        <f>IF($Y20="","",IF($Y20=0,$Z20*EXP($AA20*2),$Z20*(1+$Y20*$AA20*2)^(1/$Y20)))</f>
        <v/>
      </c>
      <c r="AD20">
        <f>IF($Y20="","",IF($Y20=0,$Z20*EXP($AA20*3),$Z20*(1+$Y20*$AA20*3)^(1/$Y20)))</f>
        <v/>
      </c>
      <c r="AE20">
        <f>IF($Y20="","",IF($Y20=0,$Z20*EXP($AA20*-2),$Z20*(1+$Y20*$AA20*-2)^(1/$Y20)))</f>
        <v/>
      </c>
      <c r="AF20">
        <f>IF($Y20="","",IF($Y20=0,$Z20*EXP($AA20*-3),$Z20*(1+$Y20*$AA20*-3)^(1/$Y20)))</f>
        <v/>
      </c>
      <c r="AG20">
        <f>IF($W20="","",IFERROR(INDEX(IF($T20&lt;=60,est05_l,est519_l),MATCH($W20,IF($T20&lt;=60,est05_k,est519_k),1)),""))</f>
        <v/>
      </c>
      <c r="AH20">
        <f>IF($W20="","",IFERROR(INDEX(IF($T20&lt;=60,est05_m,est519_m),MATCH($W20,IF($T20&lt;=60,est05_k,est519_k),1)),""))</f>
        <v/>
      </c>
      <c r="AI20">
        <f>IF($W20="","",IFERROR(INDEX(IF($T20&lt;=60,est05_s,est519_s),MATCH($W20,IF($T20&lt;=60,est05_k,est519_k),1)),""))</f>
        <v/>
      </c>
      <c r="AJ20">
        <f>IF($W20="","",IFERROR(INDEX(IF($T20&lt;=60,peso05_l,peso510_l),MATCH($W20,IF($T20&lt;=60,peso05_k,peso510_k),1)),""))</f>
        <v/>
      </c>
      <c r="AK20">
        <f>IF($W20="","",IFERROR(INDEX(IF($T20&lt;=60,peso05_m,peso510_m),MATCH($W20,IF($T20&lt;=60,peso05_k,peso510_k),1)),""))</f>
        <v/>
      </c>
      <c r="AL20">
        <f>IF($W20="","",IFERROR(INDEX(IF($T20&lt;=60,peso05_s,peso510_s),MATCH($W20,IF($T20&lt;=60,peso05_k,peso510_k),1)),""))</f>
        <v/>
      </c>
      <c r="AM20">
        <f>IF($AJ20="","",IF($AJ20=0,LN($F20/$AK20)/$AL20,((($F20/$AK20)^$AJ20)-1)/($AJ20*$AL20)))</f>
        <v/>
      </c>
      <c r="AN20">
        <f>IF($AJ20="","",IF($AJ20=0,$AK20*EXP($AL20*2),$AK20*(1+$AJ20*$AL20*2)^(1/$AJ20)))</f>
        <v/>
      </c>
      <c r="AO20">
        <f>IF($AJ20="","",IF($AJ20=0,$AK20*EXP($AL20*3),$AK20*(1+$AJ20*$AL20*3)^(1/$AJ20)))</f>
        <v/>
      </c>
      <c r="AP20">
        <f>IF($AJ20="","",IF($AJ20=0,$AK20*EXP($AL20*-2),$AK20*(1+$AJ20*$AL20*-2)^(1/$AJ20)))</f>
        <v/>
      </c>
      <c r="AQ20">
        <f>IF($AJ20="","",IF($AJ20=0,$AK20*EXP($AL20*-3),$AK20*(1+$AJ20*$AL20*-3)^(1/$AJ20)))</f>
        <v/>
      </c>
      <c r="AR20">
        <f>IF(OR($X20="",$T20&gt;60),"",IFERROR(INDEX(IF($T20&lt;24,pcomp_l,palt_l),MATCH($X20,IF($T20&lt;24,pcomp_k,palt_k),1)),""))</f>
        <v/>
      </c>
      <c r="AS20">
        <f>IF(OR($X20="",$T20&gt;60),"",IFERROR(INDEX(IF($T20&lt;24,pcomp_m,palt_m),MATCH($X20,IF($T20&lt;24,pcomp_k,palt_k),1)),""))</f>
        <v/>
      </c>
      <c r="AT20">
        <f>IF(OR($X20="",$T20&gt;60),"",IFERROR(INDEX(IF($T20&lt;24,pcomp_s,palt_s),MATCH($X20,IF($T20&lt;24,pcomp_k,palt_k),1)),""))</f>
        <v/>
      </c>
      <c r="AU20">
        <f>IF($AR20="","",IF($AR20=0,LN($F20/$AS20)/$AT20,((($F20/$AS20)^$AR20)-1)/($AR20*$AT20)))</f>
        <v/>
      </c>
      <c r="AV20">
        <f>IF($AR20="","",IF($AR20=0,$AS20*EXP($AT20*2),$AS20*(1+$AR20*$AT20*2)^(1/$AR20)))</f>
        <v/>
      </c>
      <c r="AW20">
        <f>IF($AR20="","",IF($AR20=0,$AS20*EXP($AT20*3),$AS20*(1+$AR20*$AT20*3)^(1/$AR20)))</f>
        <v/>
      </c>
      <c r="AX20">
        <f>IF($AR20="","",IF($AR20=0,$AS20*EXP($AT20*-2),$AS20*(1+$AR20*$AT20*-2)^(1/$AR20)))</f>
        <v/>
      </c>
      <c r="AY20">
        <f>IF($AR20="","",IF($AR20=0,$AS20*EXP($AT20*-3),$AS20*(1+$AR20*$AT20*-3)^(1/$AR20)))</f>
        <v/>
      </c>
      <c r="AZ20">
        <f>IF(OR($A20="",$A20&lt;&gt;Ficha!$C$4),"",COUNTIF($A$2:$A20,Ficha!$C$4))</f>
        <v/>
      </c>
    </row>
    <row r="21">
      <c r="A21" s="8">
        <f>IF(INDEX(Banco!$A:$A,ROW())="","",INDEX(Banco!$A:$A,ROW()))</f>
        <v/>
      </c>
      <c r="B21" s="8">
        <f>IF(INDEX(Banco!$B:$B,ROW())="","",INDEX(Banco!$B:$B,ROW()))</f>
        <v/>
      </c>
      <c r="C21" s="8">
        <f>IF(INDEX(Banco!$C:$C,ROW())="","",INDEX(Banco!$C:$C,ROW()))</f>
        <v/>
      </c>
      <c r="D21" s="9">
        <f>IF(INDEX(Banco!$D:$D,ROW())="","",INDEX(Banco!$D:$D,ROW()))</f>
        <v/>
      </c>
      <c r="E21" s="9">
        <f>IF(INDEX(Banco!$E:$E,ROW())="","",INDEX(Banco!$E:$E,ROW()))</f>
        <v/>
      </c>
      <c r="F21" s="10">
        <f>IF(INDEX(Banco!$F:$F,ROW())="","",INDEX(Banco!$F:$F,ROW()))</f>
        <v/>
      </c>
      <c r="G21" s="10">
        <f>IF(INDEX(Banco!$G:$G,ROW())="","",INDEX(Banco!$G:$G,ROW()))</f>
        <v/>
      </c>
      <c r="H21" s="8">
        <f>IF(INDEX(Banco!$H:$H,ROW())="","",INDEX(Banco!$H:$H,ROW()))</f>
        <v/>
      </c>
      <c r="I21">
        <f>IF($T21="","",INT($T21/12)&amp;"a "&amp;MOD($T21,12)&amp;"m")</f>
        <v/>
      </c>
      <c r="J21" s="11">
        <f>IF(OR($F21="",$G21=""),"",ROUND($F21/($G21/100)^2,2))</f>
        <v/>
      </c>
      <c r="K21" s="12">
        <f>IF(OR($S21="",$J21="",$T21="",$T21&lt;0,$T21&gt;228,$Y21=""),"—",ROUND(IF(ABS($AB21)&lt;=3,$AB21,IF($AB21&gt;3,3+($J21-$AD21)/($AD21-$AC21),-3+($J21-$AF21)/($AE21-$AF21))),2))</f>
        <v/>
      </c>
      <c r="L21">
        <f>IF(OR($K21="",$K21="—"),"",IF($T21&lt;=60,IF($K21&lt;-3,"Magreza acentuada",IF($K21&lt;-2,"Magreza",IF($K21&lt;=1,"Eutrofia",IF($K21&lt;=2,"Risco de sobrepeso",IF($K21&lt;=3,"Sobrepeso","Obesidade"))))),IF($K21&lt;-3,"Magreza acentuada",IF($K21&lt;-2,"Magreza",IF($K21&lt;=1,"Eutrofia",IF($K21&lt;=2,"Sobrepeso",IF($K21&lt;=3,"Obesidade","Obesidade grave")))))))</f>
        <v/>
      </c>
      <c r="M21" s="12">
        <f>IF(OR($S21="",$V21="",$T21="",$T21&lt;0,$T21&gt;228,$AG21=""),"—",ROUND(IF($AG21=0,LN($V21/$AH21)/$AI21,((($V21/$AH21)^$AG21)-1)/($AG21*$AI21)),2))</f>
        <v/>
      </c>
      <c r="N21">
        <f>IF(OR($M21="",$M21="—"),"",IF($M21&lt;-3,"Muito baixa",IF($M21&lt;-2,"Baixa","Adequada")))</f>
        <v/>
      </c>
      <c r="O21" s="12">
        <f>IF(OR($S21="",$F21="",$T21="",$T21&lt;0,$T21&gt;120,$AJ21=""),"—",ROUND(IF(ABS($AM21)&lt;=3,$AM21,IF($AM21&gt;3,3+($F21-$AO21)/($AO21-$AN21),-3+($F21-$AQ21)/($AP21-$AQ21))),2))</f>
        <v/>
      </c>
      <c r="P21">
        <f>IF(OR($O21="",$O21="—"),"",IF($O21&lt;-3,"Muito baixo",IF($O21&lt;-2,"Baixo",IF($O21&lt;=2,"Adequado","Elevado"))))</f>
        <v/>
      </c>
      <c r="Q21" s="12">
        <f>IF(OR($S21="",$F21="",$T21="",$T21&lt;0,$T21&gt;60,$AR21=""),"—",ROUND(IF(ABS($AU21)&lt;=3,$AU21,IF($AU21&gt;3,3+($F21-$AW21)/($AW21-$AV21),-3+($F21-$AY21)/($AX21-$AY21))),2))</f>
        <v/>
      </c>
      <c r="R21">
        <f>IF(OR($Q21="",$Q21="—"),"",IF($Q21&lt;-3,"Magreza acentuada",IF($Q21&lt;-2,"Magreza",IF($Q21&lt;=1,"Eutrofia",IF($Q21&lt;=2,"Risco de sobrepeso",IF($Q21&lt;=3,"Sobrepeso","Obesidade"))))))</f>
        <v/>
      </c>
      <c r="S21">
        <f>IF($C21="","",IF(UPPER(LEFT($C21,1))="M",1,IF(UPPER(LEFT($C21,1))="F",2,"")))</f>
        <v/>
      </c>
      <c r="T21">
        <f>IF(OR($D21="",$E21=""),"",DATEDIF($D21,$E21,"m"))</f>
        <v/>
      </c>
      <c r="U21">
        <f>IF(OR($D21="",$E21=""),"",$E21-$D21)</f>
        <v/>
      </c>
      <c r="V21">
        <f>IF(OR($G21="",$T21=""),"",IF($T21&lt;24,IF(LEFT(LOWER($H21),4)="em p",$G21+0.7,$G21),IF(LEFT(LOWER($H21),4)="deit",$G21-0.7,$G21)))</f>
        <v/>
      </c>
      <c r="W21">
        <f>IF(OR($S21="",$T21=""),"",$S21*1000000+IF($T21&lt;=60,$U21,$T21))</f>
        <v/>
      </c>
      <c r="X21">
        <f>IF(OR($S21="",$V21="",$T21&gt;60,$T21=""),"",$S21*1000000+ROUND($V21*10,0))</f>
        <v/>
      </c>
      <c r="Y21">
        <f>IF($W21="","",IFERROR(INDEX(IF($T21&lt;=60,imc05_l,imc519_l),MATCH($W21,IF($T21&lt;=60,imc05_k,imc519_k),1)),""))</f>
        <v/>
      </c>
      <c r="Z21">
        <f>IF($W21="","",IFERROR(INDEX(IF($T21&lt;=60,imc05_m,imc519_m),MATCH($W21,IF($T21&lt;=60,imc05_k,imc519_k),1)),""))</f>
        <v/>
      </c>
      <c r="AA21">
        <f>IF($W21="","",IFERROR(INDEX(IF($T21&lt;=60,imc05_s,imc519_s),MATCH($W21,IF($T21&lt;=60,imc05_k,imc519_k),1)),""))</f>
        <v/>
      </c>
      <c r="AB21">
        <f>IF($Y21="","",IF($Y21=0,LN($J21/$Z21)/$AA21,((($J21/$Z21)^$Y21)-1)/($Y21*$AA21)))</f>
        <v/>
      </c>
      <c r="AC21">
        <f>IF($Y21="","",IF($Y21=0,$Z21*EXP($AA21*2),$Z21*(1+$Y21*$AA21*2)^(1/$Y21)))</f>
        <v/>
      </c>
      <c r="AD21">
        <f>IF($Y21="","",IF($Y21=0,$Z21*EXP($AA21*3),$Z21*(1+$Y21*$AA21*3)^(1/$Y21)))</f>
        <v/>
      </c>
      <c r="AE21">
        <f>IF($Y21="","",IF($Y21=0,$Z21*EXP($AA21*-2),$Z21*(1+$Y21*$AA21*-2)^(1/$Y21)))</f>
        <v/>
      </c>
      <c r="AF21">
        <f>IF($Y21="","",IF($Y21=0,$Z21*EXP($AA21*-3),$Z21*(1+$Y21*$AA21*-3)^(1/$Y21)))</f>
        <v/>
      </c>
      <c r="AG21">
        <f>IF($W21="","",IFERROR(INDEX(IF($T21&lt;=60,est05_l,est519_l),MATCH($W21,IF($T21&lt;=60,est05_k,est519_k),1)),""))</f>
        <v/>
      </c>
      <c r="AH21">
        <f>IF($W21="","",IFERROR(INDEX(IF($T21&lt;=60,est05_m,est519_m),MATCH($W21,IF($T21&lt;=60,est05_k,est519_k),1)),""))</f>
        <v/>
      </c>
      <c r="AI21">
        <f>IF($W21="","",IFERROR(INDEX(IF($T21&lt;=60,est05_s,est519_s),MATCH($W21,IF($T21&lt;=60,est05_k,est519_k),1)),""))</f>
        <v/>
      </c>
      <c r="AJ21">
        <f>IF($W21="","",IFERROR(INDEX(IF($T21&lt;=60,peso05_l,peso510_l),MATCH($W21,IF($T21&lt;=60,peso05_k,peso510_k),1)),""))</f>
        <v/>
      </c>
      <c r="AK21">
        <f>IF($W21="","",IFERROR(INDEX(IF($T21&lt;=60,peso05_m,peso510_m),MATCH($W21,IF($T21&lt;=60,peso05_k,peso510_k),1)),""))</f>
        <v/>
      </c>
      <c r="AL21">
        <f>IF($W21="","",IFERROR(INDEX(IF($T21&lt;=60,peso05_s,peso510_s),MATCH($W21,IF($T21&lt;=60,peso05_k,peso510_k),1)),""))</f>
        <v/>
      </c>
      <c r="AM21">
        <f>IF($AJ21="","",IF($AJ21=0,LN($F21/$AK21)/$AL21,((($F21/$AK21)^$AJ21)-1)/($AJ21*$AL21)))</f>
        <v/>
      </c>
      <c r="AN21">
        <f>IF($AJ21="","",IF($AJ21=0,$AK21*EXP($AL21*2),$AK21*(1+$AJ21*$AL21*2)^(1/$AJ21)))</f>
        <v/>
      </c>
      <c r="AO21">
        <f>IF($AJ21="","",IF($AJ21=0,$AK21*EXP($AL21*3),$AK21*(1+$AJ21*$AL21*3)^(1/$AJ21)))</f>
        <v/>
      </c>
      <c r="AP21">
        <f>IF($AJ21="","",IF($AJ21=0,$AK21*EXP($AL21*-2),$AK21*(1+$AJ21*$AL21*-2)^(1/$AJ21)))</f>
        <v/>
      </c>
      <c r="AQ21">
        <f>IF($AJ21="","",IF($AJ21=0,$AK21*EXP($AL21*-3),$AK21*(1+$AJ21*$AL21*-3)^(1/$AJ21)))</f>
        <v/>
      </c>
      <c r="AR21">
        <f>IF(OR($X21="",$T21&gt;60),"",IFERROR(INDEX(IF($T21&lt;24,pcomp_l,palt_l),MATCH($X21,IF($T21&lt;24,pcomp_k,palt_k),1)),""))</f>
        <v/>
      </c>
      <c r="AS21">
        <f>IF(OR($X21="",$T21&gt;60),"",IFERROR(INDEX(IF($T21&lt;24,pcomp_m,palt_m),MATCH($X21,IF($T21&lt;24,pcomp_k,palt_k),1)),""))</f>
        <v/>
      </c>
      <c r="AT21">
        <f>IF(OR($X21="",$T21&gt;60),"",IFERROR(INDEX(IF($T21&lt;24,pcomp_s,palt_s),MATCH($X21,IF($T21&lt;24,pcomp_k,palt_k),1)),""))</f>
        <v/>
      </c>
      <c r="AU21">
        <f>IF($AR21="","",IF($AR21=0,LN($F21/$AS21)/$AT21,((($F21/$AS21)^$AR21)-1)/($AR21*$AT21)))</f>
        <v/>
      </c>
      <c r="AV21">
        <f>IF($AR21="","",IF($AR21=0,$AS21*EXP($AT21*2),$AS21*(1+$AR21*$AT21*2)^(1/$AR21)))</f>
        <v/>
      </c>
      <c r="AW21">
        <f>IF($AR21="","",IF($AR21=0,$AS21*EXP($AT21*3),$AS21*(1+$AR21*$AT21*3)^(1/$AR21)))</f>
        <v/>
      </c>
      <c r="AX21">
        <f>IF($AR21="","",IF($AR21=0,$AS21*EXP($AT21*-2),$AS21*(1+$AR21*$AT21*-2)^(1/$AR21)))</f>
        <v/>
      </c>
      <c r="AY21">
        <f>IF($AR21="","",IF($AR21=0,$AS21*EXP($AT21*-3),$AS21*(1+$AR21*$AT21*-3)^(1/$AR21)))</f>
        <v/>
      </c>
      <c r="AZ21">
        <f>IF(OR($A21="",$A21&lt;&gt;Ficha!$C$4),"",COUNTIF($A$2:$A21,Ficha!$C$4))</f>
        <v/>
      </c>
    </row>
    <row r="22">
      <c r="A22" s="8">
        <f>IF(INDEX(Banco!$A:$A,ROW())="","",INDEX(Banco!$A:$A,ROW()))</f>
        <v/>
      </c>
      <c r="B22" s="8">
        <f>IF(INDEX(Banco!$B:$B,ROW())="","",INDEX(Banco!$B:$B,ROW()))</f>
        <v/>
      </c>
      <c r="C22" s="8">
        <f>IF(INDEX(Banco!$C:$C,ROW())="","",INDEX(Banco!$C:$C,ROW()))</f>
        <v/>
      </c>
      <c r="D22" s="9">
        <f>IF(INDEX(Banco!$D:$D,ROW())="","",INDEX(Banco!$D:$D,ROW()))</f>
        <v/>
      </c>
      <c r="E22" s="9">
        <f>IF(INDEX(Banco!$E:$E,ROW())="","",INDEX(Banco!$E:$E,ROW()))</f>
        <v/>
      </c>
      <c r="F22" s="10">
        <f>IF(INDEX(Banco!$F:$F,ROW())="","",INDEX(Banco!$F:$F,ROW()))</f>
        <v/>
      </c>
      <c r="G22" s="10">
        <f>IF(INDEX(Banco!$G:$G,ROW())="","",INDEX(Banco!$G:$G,ROW()))</f>
        <v/>
      </c>
      <c r="H22" s="8">
        <f>IF(INDEX(Banco!$H:$H,ROW())="","",INDEX(Banco!$H:$H,ROW()))</f>
        <v/>
      </c>
      <c r="I22">
        <f>IF($T22="","",INT($T22/12)&amp;"a "&amp;MOD($T22,12)&amp;"m")</f>
        <v/>
      </c>
      <c r="J22" s="11">
        <f>IF(OR($F22="",$G22=""),"",ROUND($F22/($G22/100)^2,2))</f>
        <v/>
      </c>
      <c r="K22" s="12">
        <f>IF(OR($S22="",$J22="",$T22="",$T22&lt;0,$T22&gt;228,$Y22=""),"—",ROUND(IF(ABS($AB22)&lt;=3,$AB22,IF($AB22&gt;3,3+($J22-$AD22)/($AD22-$AC22),-3+($J22-$AF22)/($AE22-$AF22))),2))</f>
        <v/>
      </c>
      <c r="L22">
        <f>IF(OR($K22="",$K22="—"),"",IF($T22&lt;=60,IF($K22&lt;-3,"Magreza acentuada",IF($K22&lt;-2,"Magreza",IF($K22&lt;=1,"Eutrofia",IF($K22&lt;=2,"Risco de sobrepeso",IF($K22&lt;=3,"Sobrepeso","Obesidade"))))),IF($K22&lt;-3,"Magreza acentuada",IF($K22&lt;-2,"Magreza",IF($K22&lt;=1,"Eutrofia",IF($K22&lt;=2,"Sobrepeso",IF($K22&lt;=3,"Obesidade","Obesidade grave")))))))</f>
        <v/>
      </c>
      <c r="M22" s="12">
        <f>IF(OR($S22="",$V22="",$T22="",$T22&lt;0,$T22&gt;228,$AG22=""),"—",ROUND(IF($AG22=0,LN($V22/$AH22)/$AI22,((($V22/$AH22)^$AG22)-1)/($AG22*$AI22)),2))</f>
        <v/>
      </c>
      <c r="N22">
        <f>IF(OR($M22="",$M22="—"),"",IF($M22&lt;-3,"Muito baixa",IF($M22&lt;-2,"Baixa","Adequada")))</f>
        <v/>
      </c>
      <c r="O22" s="12">
        <f>IF(OR($S22="",$F22="",$T22="",$T22&lt;0,$T22&gt;120,$AJ22=""),"—",ROUND(IF(ABS($AM22)&lt;=3,$AM22,IF($AM22&gt;3,3+($F22-$AO22)/($AO22-$AN22),-3+($F22-$AQ22)/($AP22-$AQ22))),2))</f>
        <v/>
      </c>
      <c r="P22">
        <f>IF(OR($O22="",$O22="—"),"",IF($O22&lt;-3,"Muito baixo",IF($O22&lt;-2,"Baixo",IF($O22&lt;=2,"Adequado","Elevado"))))</f>
        <v/>
      </c>
      <c r="Q22" s="12">
        <f>IF(OR($S22="",$F22="",$T22="",$T22&lt;0,$T22&gt;60,$AR22=""),"—",ROUND(IF(ABS($AU22)&lt;=3,$AU22,IF($AU22&gt;3,3+($F22-$AW22)/($AW22-$AV22),-3+($F22-$AY22)/($AX22-$AY22))),2))</f>
        <v/>
      </c>
      <c r="R22">
        <f>IF(OR($Q22="",$Q22="—"),"",IF($Q22&lt;-3,"Magreza acentuada",IF($Q22&lt;-2,"Magreza",IF($Q22&lt;=1,"Eutrofia",IF($Q22&lt;=2,"Risco de sobrepeso",IF($Q22&lt;=3,"Sobrepeso","Obesidade"))))))</f>
        <v/>
      </c>
      <c r="S22">
        <f>IF($C22="","",IF(UPPER(LEFT($C22,1))="M",1,IF(UPPER(LEFT($C22,1))="F",2,"")))</f>
        <v/>
      </c>
      <c r="T22">
        <f>IF(OR($D22="",$E22=""),"",DATEDIF($D22,$E22,"m"))</f>
        <v/>
      </c>
      <c r="U22">
        <f>IF(OR($D22="",$E22=""),"",$E22-$D22)</f>
        <v/>
      </c>
      <c r="V22">
        <f>IF(OR($G22="",$T22=""),"",IF($T22&lt;24,IF(LEFT(LOWER($H22),4)="em p",$G22+0.7,$G22),IF(LEFT(LOWER($H22),4)="deit",$G22-0.7,$G22)))</f>
        <v/>
      </c>
      <c r="W22">
        <f>IF(OR($S22="",$T22=""),"",$S22*1000000+IF($T22&lt;=60,$U22,$T22))</f>
        <v/>
      </c>
      <c r="X22">
        <f>IF(OR($S22="",$V22="",$T22&gt;60,$T22=""),"",$S22*1000000+ROUND($V22*10,0))</f>
        <v/>
      </c>
      <c r="Y22">
        <f>IF($W22="","",IFERROR(INDEX(IF($T22&lt;=60,imc05_l,imc519_l),MATCH($W22,IF($T22&lt;=60,imc05_k,imc519_k),1)),""))</f>
        <v/>
      </c>
      <c r="Z22">
        <f>IF($W22="","",IFERROR(INDEX(IF($T22&lt;=60,imc05_m,imc519_m),MATCH($W22,IF($T22&lt;=60,imc05_k,imc519_k),1)),""))</f>
        <v/>
      </c>
      <c r="AA22">
        <f>IF($W22="","",IFERROR(INDEX(IF($T22&lt;=60,imc05_s,imc519_s),MATCH($W22,IF($T22&lt;=60,imc05_k,imc519_k),1)),""))</f>
        <v/>
      </c>
      <c r="AB22">
        <f>IF($Y22="","",IF($Y22=0,LN($J22/$Z22)/$AA22,((($J22/$Z22)^$Y22)-1)/($Y22*$AA22)))</f>
        <v/>
      </c>
      <c r="AC22">
        <f>IF($Y22="","",IF($Y22=0,$Z22*EXP($AA22*2),$Z22*(1+$Y22*$AA22*2)^(1/$Y22)))</f>
        <v/>
      </c>
      <c r="AD22">
        <f>IF($Y22="","",IF($Y22=0,$Z22*EXP($AA22*3),$Z22*(1+$Y22*$AA22*3)^(1/$Y22)))</f>
        <v/>
      </c>
      <c r="AE22">
        <f>IF($Y22="","",IF($Y22=0,$Z22*EXP($AA22*-2),$Z22*(1+$Y22*$AA22*-2)^(1/$Y22)))</f>
        <v/>
      </c>
      <c r="AF22">
        <f>IF($Y22="","",IF($Y22=0,$Z22*EXP($AA22*-3),$Z22*(1+$Y22*$AA22*-3)^(1/$Y22)))</f>
        <v/>
      </c>
      <c r="AG22">
        <f>IF($W22="","",IFERROR(INDEX(IF($T22&lt;=60,est05_l,est519_l),MATCH($W22,IF($T22&lt;=60,est05_k,est519_k),1)),""))</f>
        <v/>
      </c>
      <c r="AH22">
        <f>IF($W22="","",IFERROR(INDEX(IF($T22&lt;=60,est05_m,est519_m),MATCH($W22,IF($T22&lt;=60,est05_k,est519_k),1)),""))</f>
        <v/>
      </c>
      <c r="AI22">
        <f>IF($W22="","",IFERROR(INDEX(IF($T22&lt;=60,est05_s,est519_s),MATCH($W22,IF($T22&lt;=60,est05_k,est519_k),1)),""))</f>
        <v/>
      </c>
      <c r="AJ22">
        <f>IF($W22="","",IFERROR(INDEX(IF($T22&lt;=60,peso05_l,peso510_l),MATCH($W22,IF($T22&lt;=60,peso05_k,peso510_k),1)),""))</f>
        <v/>
      </c>
      <c r="AK22">
        <f>IF($W22="","",IFERROR(INDEX(IF($T22&lt;=60,peso05_m,peso510_m),MATCH($W22,IF($T22&lt;=60,peso05_k,peso510_k),1)),""))</f>
        <v/>
      </c>
      <c r="AL22">
        <f>IF($W22="","",IFERROR(INDEX(IF($T22&lt;=60,peso05_s,peso510_s),MATCH($W22,IF($T22&lt;=60,peso05_k,peso510_k),1)),""))</f>
        <v/>
      </c>
      <c r="AM22">
        <f>IF($AJ22="","",IF($AJ22=0,LN($F22/$AK22)/$AL22,((($F22/$AK22)^$AJ22)-1)/($AJ22*$AL22)))</f>
        <v/>
      </c>
      <c r="AN22">
        <f>IF($AJ22="","",IF($AJ22=0,$AK22*EXP($AL22*2),$AK22*(1+$AJ22*$AL22*2)^(1/$AJ22)))</f>
        <v/>
      </c>
      <c r="AO22">
        <f>IF($AJ22="","",IF($AJ22=0,$AK22*EXP($AL22*3),$AK22*(1+$AJ22*$AL22*3)^(1/$AJ22)))</f>
        <v/>
      </c>
      <c r="AP22">
        <f>IF($AJ22="","",IF($AJ22=0,$AK22*EXP($AL22*-2),$AK22*(1+$AJ22*$AL22*-2)^(1/$AJ22)))</f>
        <v/>
      </c>
      <c r="AQ22">
        <f>IF($AJ22="","",IF($AJ22=0,$AK22*EXP($AL22*-3),$AK22*(1+$AJ22*$AL22*-3)^(1/$AJ22)))</f>
        <v/>
      </c>
      <c r="AR22">
        <f>IF(OR($X22="",$T22&gt;60),"",IFERROR(INDEX(IF($T22&lt;24,pcomp_l,palt_l),MATCH($X22,IF($T22&lt;24,pcomp_k,palt_k),1)),""))</f>
        <v/>
      </c>
      <c r="AS22">
        <f>IF(OR($X22="",$T22&gt;60),"",IFERROR(INDEX(IF($T22&lt;24,pcomp_m,palt_m),MATCH($X22,IF($T22&lt;24,pcomp_k,palt_k),1)),""))</f>
        <v/>
      </c>
      <c r="AT22">
        <f>IF(OR($X22="",$T22&gt;60),"",IFERROR(INDEX(IF($T22&lt;24,pcomp_s,palt_s),MATCH($X22,IF($T22&lt;24,pcomp_k,palt_k),1)),""))</f>
        <v/>
      </c>
      <c r="AU22">
        <f>IF($AR22="","",IF($AR22=0,LN($F22/$AS22)/$AT22,((($F22/$AS22)^$AR22)-1)/($AR22*$AT22)))</f>
        <v/>
      </c>
      <c r="AV22">
        <f>IF($AR22="","",IF($AR22=0,$AS22*EXP($AT22*2),$AS22*(1+$AR22*$AT22*2)^(1/$AR22)))</f>
        <v/>
      </c>
      <c r="AW22">
        <f>IF($AR22="","",IF($AR22=0,$AS22*EXP($AT22*3),$AS22*(1+$AR22*$AT22*3)^(1/$AR22)))</f>
        <v/>
      </c>
      <c r="AX22">
        <f>IF($AR22="","",IF($AR22=0,$AS22*EXP($AT22*-2),$AS22*(1+$AR22*$AT22*-2)^(1/$AR22)))</f>
        <v/>
      </c>
      <c r="AY22">
        <f>IF($AR22="","",IF($AR22=0,$AS22*EXP($AT22*-3),$AS22*(1+$AR22*$AT22*-3)^(1/$AR22)))</f>
        <v/>
      </c>
      <c r="AZ22">
        <f>IF(OR($A22="",$A22&lt;&gt;Ficha!$C$4),"",COUNTIF($A$2:$A22,Ficha!$C$4))</f>
        <v/>
      </c>
    </row>
    <row r="23">
      <c r="A23" s="8">
        <f>IF(INDEX(Banco!$A:$A,ROW())="","",INDEX(Banco!$A:$A,ROW()))</f>
        <v/>
      </c>
      <c r="B23" s="8">
        <f>IF(INDEX(Banco!$B:$B,ROW())="","",INDEX(Banco!$B:$B,ROW()))</f>
        <v/>
      </c>
      <c r="C23" s="8">
        <f>IF(INDEX(Banco!$C:$C,ROW())="","",INDEX(Banco!$C:$C,ROW()))</f>
        <v/>
      </c>
      <c r="D23" s="9">
        <f>IF(INDEX(Banco!$D:$D,ROW())="","",INDEX(Banco!$D:$D,ROW()))</f>
        <v/>
      </c>
      <c r="E23" s="9">
        <f>IF(INDEX(Banco!$E:$E,ROW())="","",INDEX(Banco!$E:$E,ROW()))</f>
        <v/>
      </c>
      <c r="F23" s="10">
        <f>IF(INDEX(Banco!$F:$F,ROW())="","",INDEX(Banco!$F:$F,ROW()))</f>
        <v/>
      </c>
      <c r="G23" s="10">
        <f>IF(INDEX(Banco!$G:$G,ROW())="","",INDEX(Banco!$G:$G,ROW()))</f>
        <v/>
      </c>
      <c r="H23" s="8">
        <f>IF(INDEX(Banco!$H:$H,ROW())="","",INDEX(Banco!$H:$H,ROW()))</f>
        <v/>
      </c>
      <c r="I23">
        <f>IF($T23="","",INT($T23/12)&amp;"a "&amp;MOD($T23,12)&amp;"m")</f>
        <v/>
      </c>
      <c r="J23" s="11">
        <f>IF(OR($F23="",$G23=""),"",ROUND($F23/($G23/100)^2,2))</f>
        <v/>
      </c>
      <c r="K23" s="12">
        <f>IF(OR($S23="",$J23="",$T23="",$T23&lt;0,$T23&gt;228,$Y23=""),"—",ROUND(IF(ABS($AB23)&lt;=3,$AB23,IF($AB23&gt;3,3+($J23-$AD23)/($AD23-$AC23),-3+($J23-$AF23)/($AE23-$AF23))),2))</f>
        <v/>
      </c>
      <c r="L23">
        <f>IF(OR($K23="",$K23="—"),"",IF($T23&lt;=60,IF($K23&lt;-3,"Magreza acentuada",IF($K23&lt;-2,"Magreza",IF($K23&lt;=1,"Eutrofia",IF($K23&lt;=2,"Risco de sobrepeso",IF($K23&lt;=3,"Sobrepeso","Obesidade"))))),IF($K23&lt;-3,"Magreza acentuada",IF($K23&lt;-2,"Magreza",IF($K23&lt;=1,"Eutrofia",IF($K23&lt;=2,"Sobrepeso",IF($K23&lt;=3,"Obesidade","Obesidade grave")))))))</f>
        <v/>
      </c>
      <c r="M23" s="12">
        <f>IF(OR($S23="",$V23="",$T23="",$T23&lt;0,$T23&gt;228,$AG23=""),"—",ROUND(IF($AG23=0,LN($V23/$AH23)/$AI23,((($V23/$AH23)^$AG23)-1)/($AG23*$AI23)),2))</f>
        <v/>
      </c>
      <c r="N23">
        <f>IF(OR($M23="",$M23="—"),"",IF($M23&lt;-3,"Muito baixa",IF($M23&lt;-2,"Baixa","Adequada")))</f>
        <v/>
      </c>
      <c r="O23" s="12">
        <f>IF(OR($S23="",$F23="",$T23="",$T23&lt;0,$T23&gt;120,$AJ23=""),"—",ROUND(IF(ABS($AM23)&lt;=3,$AM23,IF($AM23&gt;3,3+($F23-$AO23)/($AO23-$AN23),-3+($F23-$AQ23)/($AP23-$AQ23))),2))</f>
        <v/>
      </c>
      <c r="P23">
        <f>IF(OR($O23="",$O23="—"),"",IF($O23&lt;-3,"Muito baixo",IF($O23&lt;-2,"Baixo",IF($O23&lt;=2,"Adequado","Elevado"))))</f>
        <v/>
      </c>
      <c r="Q23" s="12">
        <f>IF(OR($S23="",$F23="",$T23="",$T23&lt;0,$T23&gt;60,$AR23=""),"—",ROUND(IF(ABS($AU23)&lt;=3,$AU23,IF($AU23&gt;3,3+($F23-$AW23)/($AW23-$AV23),-3+($F23-$AY23)/($AX23-$AY23))),2))</f>
        <v/>
      </c>
      <c r="R23">
        <f>IF(OR($Q23="",$Q23="—"),"",IF($Q23&lt;-3,"Magreza acentuada",IF($Q23&lt;-2,"Magreza",IF($Q23&lt;=1,"Eutrofia",IF($Q23&lt;=2,"Risco de sobrepeso",IF($Q23&lt;=3,"Sobrepeso","Obesidade"))))))</f>
        <v/>
      </c>
      <c r="S23">
        <f>IF($C23="","",IF(UPPER(LEFT($C23,1))="M",1,IF(UPPER(LEFT($C23,1))="F",2,"")))</f>
        <v/>
      </c>
      <c r="T23">
        <f>IF(OR($D23="",$E23=""),"",DATEDIF($D23,$E23,"m"))</f>
        <v/>
      </c>
      <c r="U23">
        <f>IF(OR($D23="",$E23=""),"",$E23-$D23)</f>
        <v/>
      </c>
      <c r="V23">
        <f>IF(OR($G23="",$T23=""),"",IF($T23&lt;24,IF(LEFT(LOWER($H23),4)="em p",$G23+0.7,$G23),IF(LEFT(LOWER($H23),4)="deit",$G23-0.7,$G23)))</f>
        <v/>
      </c>
      <c r="W23">
        <f>IF(OR($S23="",$T23=""),"",$S23*1000000+IF($T23&lt;=60,$U23,$T23))</f>
        <v/>
      </c>
      <c r="X23">
        <f>IF(OR($S23="",$V23="",$T23&gt;60,$T23=""),"",$S23*1000000+ROUND($V23*10,0))</f>
        <v/>
      </c>
      <c r="Y23">
        <f>IF($W23="","",IFERROR(INDEX(IF($T23&lt;=60,imc05_l,imc519_l),MATCH($W23,IF($T23&lt;=60,imc05_k,imc519_k),1)),""))</f>
        <v/>
      </c>
      <c r="Z23">
        <f>IF($W23="","",IFERROR(INDEX(IF($T23&lt;=60,imc05_m,imc519_m),MATCH($W23,IF($T23&lt;=60,imc05_k,imc519_k),1)),""))</f>
        <v/>
      </c>
      <c r="AA23">
        <f>IF($W23="","",IFERROR(INDEX(IF($T23&lt;=60,imc05_s,imc519_s),MATCH($W23,IF($T23&lt;=60,imc05_k,imc519_k),1)),""))</f>
        <v/>
      </c>
      <c r="AB23">
        <f>IF($Y23="","",IF($Y23=0,LN($J23/$Z23)/$AA23,((($J23/$Z23)^$Y23)-1)/($Y23*$AA23)))</f>
        <v/>
      </c>
      <c r="AC23">
        <f>IF($Y23="","",IF($Y23=0,$Z23*EXP($AA23*2),$Z23*(1+$Y23*$AA23*2)^(1/$Y23)))</f>
        <v/>
      </c>
      <c r="AD23">
        <f>IF($Y23="","",IF($Y23=0,$Z23*EXP($AA23*3),$Z23*(1+$Y23*$AA23*3)^(1/$Y23)))</f>
        <v/>
      </c>
      <c r="AE23">
        <f>IF($Y23="","",IF($Y23=0,$Z23*EXP($AA23*-2),$Z23*(1+$Y23*$AA23*-2)^(1/$Y23)))</f>
        <v/>
      </c>
      <c r="AF23">
        <f>IF($Y23="","",IF($Y23=0,$Z23*EXP($AA23*-3),$Z23*(1+$Y23*$AA23*-3)^(1/$Y23)))</f>
        <v/>
      </c>
      <c r="AG23">
        <f>IF($W23="","",IFERROR(INDEX(IF($T23&lt;=60,est05_l,est519_l),MATCH($W23,IF($T23&lt;=60,est05_k,est519_k),1)),""))</f>
        <v/>
      </c>
      <c r="AH23">
        <f>IF($W23="","",IFERROR(INDEX(IF($T23&lt;=60,est05_m,est519_m),MATCH($W23,IF($T23&lt;=60,est05_k,est519_k),1)),""))</f>
        <v/>
      </c>
      <c r="AI23">
        <f>IF($W23="","",IFERROR(INDEX(IF($T23&lt;=60,est05_s,est519_s),MATCH($W23,IF($T23&lt;=60,est05_k,est519_k),1)),""))</f>
        <v/>
      </c>
      <c r="AJ23">
        <f>IF($W23="","",IFERROR(INDEX(IF($T23&lt;=60,peso05_l,peso510_l),MATCH($W23,IF($T23&lt;=60,peso05_k,peso510_k),1)),""))</f>
        <v/>
      </c>
      <c r="AK23">
        <f>IF($W23="","",IFERROR(INDEX(IF($T23&lt;=60,peso05_m,peso510_m),MATCH($W23,IF($T23&lt;=60,peso05_k,peso510_k),1)),""))</f>
        <v/>
      </c>
      <c r="AL23">
        <f>IF($W23="","",IFERROR(INDEX(IF($T23&lt;=60,peso05_s,peso510_s),MATCH($W23,IF($T23&lt;=60,peso05_k,peso510_k),1)),""))</f>
        <v/>
      </c>
      <c r="AM23">
        <f>IF($AJ23="","",IF($AJ23=0,LN($F23/$AK23)/$AL23,((($F23/$AK23)^$AJ23)-1)/($AJ23*$AL23)))</f>
        <v/>
      </c>
      <c r="AN23">
        <f>IF($AJ23="","",IF($AJ23=0,$AK23*EXP($AL23*2),$AK23*(1+$AJ23*$AL23*2)^(1/$AJ23)))</f>
        <v/>
      </c>
      <c r="AO23">
        <f>IF($AJ23="","",IF($AJ23=0,$AK23*EXP($AL23*3),$AK23*(1+$AJ23*$AL23*3)^(1/$AJ23)))</f>
        <v/>
      </c>
      <c r="AP23">
        <f>IF($AJ23="","",IF($AJ23=0,$AK23*EXP($AL23*-2),$AK23*(1+$AJ23*$AL23*-2)^(1/$AJ23)))</f>
        <v/>
      </c>
      <c r="AQ23">
        <f>IF($AJ23="","",IF($AJ23=0,$AK23*EXP($AL23*-3),$AK23*(1+$AJ23*$AL23*-3)^(1/$AJ23)))</f>
        <v/>
      </c>
      <c r="AR23">
        <f>IF(OR($X23="",$T23&gt;60),"",IFERROR(INDEX(IF($T23&lt;24,pcomp_l,palt_l),MATCH($X23,IF($T23&lt;24,pcomp_k,palt_k),1)),""))</f>
        <v/>
      </c>
      <c r="AS23">
        <f>IF(OR($X23="",$T23&gt;60),"",IFERROR(INDEX(IF($T23&lt;24,pcomp_m,palt_m),MATCH($X23,IF($T23&lt;24,pcomp_k,palt_k),1)),""))</f>
        <v/>
      </c>
      <c r="AT23">
        <f>IF(OR($X23="",$T23&gt;60),"",IFERROR(INDEX(IF($T23&lt;24,pcomp_s,palt_s),MATCH($X23,IF($T23&lt;24,pcomp_k,palt_k),1)),""))</f>
        <v/>
      </c>
      <c r="AU23">
        <f>IF($AR23="","",IF($AR23=0,LN($F23/$AS23)/$AT23,((($F23/$AS23)^$AR23)-1)/($AR23*$AT23)))</f>
        <v/>
      </c>
      <c r="AV23">
        <f>IF($AR23="","",IF($AR23=0,$AS23*EXP($AT23*2),$AS23*(1+$AR23*$AT23*2)^(1/$AR23)))</f>
        <v/>
      </c>
      <c r="AW23">
        <f>IF($AR23="","",IF($AR23=0,$AS23*EXP($AT23*3),$AS23*(1+$AR23*$AT23*3)^(1/$AR23)))</f>
        <v/>
      </c>
      <c r="AX23">
        <f>IF($AR23="","",IF($AR23=0,$AS23*EXP($AT23*-2),$AS23*(1+$AR23*$AT23*-2)^(1/$AR23)))</f>
        <v/>
      </c>
      <c r="AY23">
        <f>IF($AR23="","",IF($AR23=0,$AS23*EXP($AT23*-3),$AS23*(1+$AR23*$AT23*-3)^(1/$AR23)))</f>
        <v/>
      </c>
      <c r="AZ23">
        <f>IF(OR($A23="",$A23&lt;&gt;Ficha!$C$4),"",COUNTIF($A$2:$A23,Ficha!$C$4))</f>
        <v/>
      </c>
    </row>
    <row r="24">
      <c r="A24" s="8">
        <f>IF(INDEX(Banco!$A:$A,ROW())="","",INDEX(Banco!$A:$A,ROW()))</f>
        <v/>
      </c>
      <c r="B24" s="8">
        <f>IF(INDEX(Banco!$B:$B,ROW())="","",INDEX(Banco!$B:$B,ROW()))</f>
        <v/>
      </c>
      <c r="C24" s="8">
        <f>IF(INDEX(Banco!$C:$C,ROW())="","",INDEX(Banco!$C:$C,ROW()))</f>
        <v/>
      </c>
      <c r="D24" s="9">
        <f>IF(INDEX(Banco!$D:$D,ROW())="","",INDEX(Banco!$D:$D,ROW()))</f>
        <v/>
      </c>
      <c r="E24" s="9">
        <f>IF(INDEX(Banco!$E:$E,ROW())="","",INDEX(Banco!$E:$E,ROW()))</f>
        <v/>
      </c>
      <c r="F24" s="10">
        <f>IF(INDEX(Banco!$F:$F,ROW())="","",INDEX(Banco!$F:$F,ROW()))</f>
        <v/>
      </c>
      <c r="G24" s="10">
        <f>IF(INDEX(Banco!$G:$G,ROW())="","",INDEX(Banco!$G:$G,ROW()))</f>
        <v/>
      </c>
      <c r="H24" s="8">
        <f>IF(INDEX(Banco!$H:$H,ROW())="","",INDEX(Banco!$H:$H,ROW()))</f>
        <v/>
      </c>
      <c r="I24">
        <f>IF($T24="","",INT($T24/12)&amp;"a "&amp;MOD($T24,12)&amp;"m")</f>
        <v/>
      </c>
      <c r="J24" s="11">
        <f>IF(OR($F24="",$G24=""),"",ROUND($F24/($G24/100)^2,2))</f>
        <v/>
      </c>
      <c r="K24" s="12">
        <f>IF(OR($S24="",$J24="",$T24="",$T24&lt;0,$T24&gt;228,$Y24=""),"—",ROUND(IF(ABS($AB24)&lt;=3,$AB24,IF($AB24&gt;3,3+($J24-$AD24)/($AD24-$AC24),-3+($J24-$AF24)/($AE24-$AF24))),2))</f>
        <v/>
      </c>
      <c r="L24">
        <f>IF(OR($K24="",$K24="—"),"",IF($T24&lt;=60,IF($K24&lt;-3,"Magreza acentuada",IF($K24&lt;-2,"Magreza",IF($K24&lt;=1,"Eutrofia",IF($K24&lt;=2,"Risco de sobrepeso",IF($K24&lt;=3,"Sobrepeso","Obesidade"))))),IF($K24&lt;-3,"Magreza acentuada",IF($K24&lt;-2,"Magreza",IF($K24&lt;=1,"Eutrofia",IF($K24&lt;=2,"Sobrepeso",IF($K24&lt;=3,"Obesidade","Obesidade grave")))))))</f>
        <v/>
      </c>
      <c r="M24" s="12">
        <f>IF(OR($S24="",$V24="",$T24="",$T24&lt;0,$T24&gt;228,$AG24=""),"—",ROUND(IF($AG24=0,LN($V24/$AH24)/$AI24,((($V24/$AH24)^$AG24)-1)/($AG24*$AI24)),2))</f>
        <v/>
      </c>
      <c r="N24">
        <f>IF(OR($M24="",$M24="—"),"",IF($M24&lt;-3,"Muito baixa",IF($M24&lt;-2,"Baixa","Adequada")))</f>
        <v/>
      </c>
      <c r="O24" s="12">
        <f>IF(OR($S24="",$F24="",$T24="",$T24&lt;0,$T24&gt;120,$AJ24=""),"—",ROUND(IF(ABS($AM24)&lt;=3,$AM24,IF($AM24&gt;3,3+($F24-$AO24)/($AO24-$AN24),-3+($F24-$AQ24)/($AP24-$AQ24))),2))</f>
        <v/>
      </c>
      <c r="P24">
        <f>IF(OR($O24="",$O24="—"),"",IF($O24&lt;-3,"Muito baixo",IF($O24&lt;-2,"Baixo",IF($O24&lt;=2,"Adequado","Elevado"))))</f>
        <v/>
      </c>
      <c r="Q24" s="12">
        <f>IF(OR($S24="",$F24="",$T24="",$T24&lt;0,$T24&gt;60,$AR24=""),"—",ROUND(IF(ABS($AU24)&lt;=3,$AU24,IF($AU24&gt;3,3+($F24-$AW24)/($AW24-$AV24),-3+($F24-$AY24)/($AX24-$AY24))),2))</f>
        <v/>
      </c>
      <c r="R24">
        <f>IF(OR($Q24="",$Q24="—"),"",IF($Q24&lt;-3,"Magreza acentuada",IF($Q24&lt;-2,"Magreza",IF($Q24&lt;=1,"Eutrofia",IF($Q24&lt;=2,"Risco de sobrepeso",IF($Q24&lt;=3,"Sobrepeso","Obesidade"))))))</f>
        <v/>
      </c>
      <c r="S24">
        <f>IF($C24="","",IF(UPPER(LEFT($C24,1))="M",1,IF(UPPER(LEFT($C24,1))="F",2,"")))</f>
        <v/>
      </c>
      <c r="T24">
        <f>IF(OR($D24="",$E24=""),"",DATEDIF($D24,$E24,"m"))</f>
        <v/>
      </c>
      <c r="U24">
        <f>IF(OR($D24="",$E24=""),"",$E24-$D24)</f>
        <v/>
      </c>
      <c r="V24">
        <f>IF(OR($G24="",$T24=""),"",IF($T24&lt;24,IF(LEFT(LOWER($H24),4)="em p",$G24+0.7,$G24),IF(LEFT(LOWER($H24),4)="deit",$G24-0.7,$G24)))</f>
        <v/>
      </c>
      <c r="W24">
        <f>IF(OR($S24="",$T24=""),"",$S24*1000000+IF($T24&lt;=60,$U24,$T24))</f>
        <v/>
      </c>
      <c r="X24">
        <f>IF(OR($S24="",$V24="",$T24&gt;60,$T24=""),"",$S24*1000000+ROUND($V24*10,0))</f>
        <v/>
      </c>
      <c r="Y24">
        <f>IF($W24="","",IFERROR(INDEX(IF($T24&lt;=60,imc05_l,imc519_l),MATCH($W24,IF($T24&lt;=60,imc05_k,imc519_k),1)),""))</f>
        <v/>
      </c>
      <c r="Z24">
        <f>IF($W24="","",IFERROR(INDEX(IF($T24&lt;=60,imc05_m,imc519_m),MATCH($W24,IF($T24&lt;=60,imc05_k,imc519_k),1)),""))</f>
        <v/>
      </c>
      <c r="AA24">
        <f>IF($W24="","",IFERROR(INDEX(IF($T24&lt;=60,imc05_s,imc519_s),MATCH($W24,IF($T24&lt;=60,imc05_k,imc519_k),1)),""))</f>
        <v/>
      </c>
      <c r="AB24">
        <f>IF($Y24="","",IF($Y24=0,LN($J24/$Z24)/$AA24,((($J24/$Z24)^$Y24)-1)/($Y24*$AA24)))</f>
        <v/>
      </c>
      <c r="AC24">
        <f>IF($Y24="","",IF($Y24=0,$Z24*EXP($AA24*2),$Z24*(1+$Y24*$AA24*2)^(1/$Y24)))</f>
        <v/>
      </c>
      <c r="AD24">
        <f>IF($Y24="","",IF($Y24=0,$Z24*EXP($AA24*3),$Z24*(1+$Y24*$AA24*3)^(1/$Y24)))</f>
        <v/>
      </c>
      <c r="AE24">
        <f>IF($Y24="","",IF($Y24=0,$Z24*EXP($AA24*-2),$Z24*(1+$Y24*$AA24*-2)^(1/$Y24)))</f>
        <v/>
      </c>
      <c r="AF24">
        <f>IF($Y24="","",IF($Y24=0,$Z24*EXP($AA24*-3),$Z24*(1+$Y24*$AA24*-3)^(1/$Y24)))</f>
        <v/>
      </c>
      <c r="AG24">
        <f>IF($W24="","",IFERROR(INDEX(IF($T24&lt;=60,est05_l,est519_l),MATCH($W24,IF($T24&lt;=60,est05_k,est519_k),1)),""))</f>
        <v/>
      </c>
      <c r="AH24">
        <f>IF($W24="","",IFERROR(INDEX(IF($T24&lt;=60,est05_m,est519_m),MATCH($W24,IF($T24&lt;=60,est05_k,est519_k),1)),""))</f>
        <v/>
      </c>
      <c r="AI24">
        <f>IF($W24="","",IFERROR(INDEX(IF($T24&lt;=60,est05_s,est519_s),MATCH($W24,IF($T24&lt;=60,est05_k,est519_k),1)),""))</f>
        <v/>
      </c>
      <c r="AJ24">
        <f>IF($W24="","",IFERROR(INDEX(IF($T24&lt;=60,peso05_l,peso510_l),MATCH($W24,IF($T24&lt;=60,peso05_k,peso510_k),1)),""))</f>
        <v/>
      </c>
      <c r="AK24">
        <f>IF($W24="","",IFERROR(INDEX(IF($T24&lt;=60,peso05_m,peso510_m),MATCH($W24,IF($T24&lt;=60,peso05_k,peso510_k),1)),""))</f>
        <v/>
      </c>
      <c r="AL24">
        <f>IF($W24="","",IFERROR(INDEX(IF($T24&lt;=60,peso05_s,peso510_s),MATCH($W24,IF($T24&lt;=60,peso05_k,peso510_k),1)),""))</f>
        <v/>
      </c>
      <c r="AM24">
        <f>IF($AJ24="","",IF($AJ24=0,LN($F24/$AK24)/$AL24,((($F24/$AK24)^$AJ24)-1)/($AJ24*$AL24)))</f>
        <v/>
      </c>
      <c r="AN24">
        <f>IF($AJ24="","",IF($AJ24=0,$AK24*EXP($AL24*2),$AK24*(1+$AJ24*$AL24*2)^(1/$AJ24)))</f>
        <v/>
      </c>
      <c r="AO24">
        <f>IF($AJ24="","",IF($AJ24=0,$AK24*EXP($AL24*3),$AK24*(1+$AJ24*$AL24*3)^(1/$AJ24)))</f>
        <v/>
      </c>
      <c r="AP24">
        <f>IF($AJ24="","",IF($AJ24=0,$AK24*EXP($AL24*-2),$AK24*(1+$AJ24*$AL24*-2)^(1/$AJ24)))</f>
        <v/>
      </c>
      <c r="AQ24">
        <f>IF($AJ24="","",IF($AJ24=0,$AK24*EXP($AL24*-3),$AK24*(1+$AJ24*$AL24*-3)^(1/$AJ24)))</f>
        <v/>
      </c>
      <c r="AR24">
        <f>IF(OR($X24="",$T24&gt;60),"",IFERROR(INDEX(IF($T24&lt;24,pcomp_l,palt_l),MATCH($X24,IF($T24&lt;24,pcomp_k,palt_k),1)),""))</f>
        <v/>
      </c>
      <c r="AS24">
        <f>IF(OR($X24="",$T24&gt;60),"",IFERROR(INDEX(IF($T24&lt;24,pcomp_m,palt_m),MATCH($X24,IF($T24&lt;24,pcomp_k,palt_k),1)),""))</f>
        <v/>
      </c>
      <c r="AT24">
        <f>IF(OR($X24="",$T24&gt;60),"",IFERROR(INDEX(IF($T24&lt;24,pcomp_s,palt_s),MATCH($X24,IF($T24&lt;24,pcomp_k,palt_k),1)),""))</f>
        <v/>
      </c>
      <c r="AU24">
        <f>IF($AR24="","",IF($AR24=0,LN($F24/$AS24)/$AT24,((($F24/$AS24)^$AR24)-1)/($AR24*$AT24)))</f>
        <v/>
      </c>
      <c r="AV24">
        <f>IF($AR24="","",IF($AR24=0,$AS24*EXP($AT24*2),$AS24*(1+$AR24*$AT24*2)^(1/$AR24)))</f>
        <v/>
      </c>
      <c r="AW24">
        <f>IF($AR24="","",IF($AR24=0,$AS24*EXP($AT24*3),$AS24*(1+$AR24*$AT24*3)^(1/$AR24)))</f>
        <v/>
      </c>
      <c r="AX24">
        <f>IF($AR24="","",IF($AR24=0,$AS24*EXP($AT24*-2),$AS24*(1+$AR24*$AT24*-2)^(1/$AR24)))</f>
        <v/>
      </c>
      <c r="AY24">
        <f>IF($AR24="","",IF($AR24=0,$AS24*EXP($AT24*-3),$AS24*(1+$AR24*$AT24*-3)^(1/$AR24)))</f>
        <v/>
      </c>
      <c r="AZ24">
        <f>IF(OR($A24="",$A24&lt;&gt;Ficha!$C$4),"",COUNTIF($A$2:$A24,Ficha!$C$4))</f>
        <v/>
      </c>
    </row>
    <row r="25">
      <c r="A25" s="8">
        <f>IF(INDEX(Banco!$A:$A,ROW())="","",INDEX(Banco!$A:$A,ROW()))</f>
        <v/>
      </c>
      <c r="B25" s="8">
        <f>IF(INDEX(Banco!$B:$B,ROW())="","",INDEX(Banco!$B:$B,ROW()))</f>
        <v/>
      </c>
      <c r="C25" s="8">
        <f>IF(INDEX(Banco!$C:$C,ROW())="","",INDEX(Banco!$C:$C,ROW()))</f>
        <v/>
      </c>
      <c r="D25" s="9">
        <f>IF(INDEX(Banco!$D:$D,ROW())="","",INDEX(Banco!$D:$D,ROW()))</f>
        <v/>
      </c>
      <c r="E25" s="9">
        <f>IF(INDEX(Banco!$E:$E,ROW())="","",INDEX(Banco!$E:$E,ROW()))</f>
        <v/>
      </c>
      <c r="F25" s="10">
        <f>IF(INDEX(Banco!$F:$F,ROW())="","",INDEX(Banco!$F:$F,ROW()))</f>
        <v/>
      </c>
      <c r="G25" s="10">
        <f>IF(INDEX(Banco!$G:$G,ROW())="","",INDEX(Banco!$G:$G,ROW()))</f>
        <v/>
      </c>
      <c r="H25" s="8">
        <f>IF(INDEX(Banco!$H:$H,ROW())="","",INDEX(Banco!$H:$H,ROW()))</f>
        <v/>
      </c>
      <c r="I25">
        <f>IF($T25="","",INT($T25/12)&amp;"a "&amp;MOD($T25,12)&amp;"m")</f>
        <v/>
      </c>
      <c r="J25" s="11">
        <f>IF(OR($F25="",$G25=""),"",ROUND($F25/($G25/100)^2,2))</f>
        <v/>
      </c>
      <c r="K25" s="12">
        <f>IF(OR($S25="",$J25="",$T25="",$T25&lt;0,$T25&gt;228,$Y25=""),"—",ROUND(IF(ABS($AB25)&lt;=3,$AB25,IF($AB25&gt;3,3+($J25-$AD25)/($AD25-$AC25),-3+($J25-$AF25)/($AE25-$AF25))),2))</f>
        <v/>
      </c>
      <c r="L25">
        <f>IF(OR($K25="",$K25="—"),"",IF($T25&lt;=60,IF($K25&lt;-3,"Magreza acentuada",IF($K25&lt;-2,"Magreza",IF($K25&lt;=1,"Eutrofia",IF($K25&lt;=2,"Risco de sobrepeso",IF($K25&lt;=3,"Sobrepeso","Obesidade"))))),IF($K25&lt;-3,"Magreza acentuada",IF($K25&lt;-2,"Magreza",IF($K25&lt;=1,"Eutrofia",IF($K25&lt;=2,"Sobrepeso",IF($K25&lt;=3,"Obesidade","Obesidade grave")))))))</f>
        <v/>
      </c>
      <c r="M25" s="12">
        <f>IF(OR($S25="",$V25="",$T25="",$T25&lt;0,$T25&gt;228,$AG25=""),"—",ROUND(IF($AG25=0,LN($V25/$AH25)/$AI25,((($V25/$AH25)^$AG25)-1)/($AG25*$AI25)),2))</f>
        <v/>
      </c>
      <c r="N25">
        <f>IF(OR($M25="",$M25="—"),"",IF($M25&lt;-3,"Muito baixa",IF($M25&lt;-2,"Baixa","Adequada")))</f>
        <v/>
      </c>
      <c r="O25" s="12">
        <f>IF(OR($S25="",$F25="",$T25="",$T25&lt;0,$T25&gt;120,$AJ25=""),"—",ROUND(IF(ABS($AM25)&lt;=3,$AM25,IF($AM25&gt;3,3+($F25-$AO25)/($AO25-$AN25),-3+($F25-$AQ25)/($AP25-$AQ25))),2))</f>
        <v/>
      </c>
      <c r="P25">
        <f>IF(OR($O25="",$O25="—"),"",IF($O25&lt;-3,"Muito baixo",IF($O25&lt;-2,"Baixo",IF($O25&lt;=2,"Adequado","Elevado"))))</f>
        <v/>
      </c>
      <c r="Q25" s="12">
        <f>IF(OR($S25="",$F25="",$T25="",$T25&lt;0,$T25&gt;60,$AR25=""),"—",ROUND(IF(ABS($AU25)&lt;=3,$AU25,IF($AU25&gt;3,3+($F25-$AW25)/($AW25-$AV25),-3+($F25-$AY25)/($AX25-$AY25))),2))</f>
        <v/>
      </c>
      <c r="R25">
        <f>IF(OR($Q25="",$Q25="—"),"",IF($Q25&lt;-3,"Magreza acentuada",IF($Q25&lt;-2,"Magreza",IF($Q25&lt;=1,"Eutrofia",IF($Q25&lt;=2,"Risco de sobrepeso",IF($Q25&lt;=3,"Sobrepeso","Obesidade"))))))</f>
        <v/>
      </c>
      <c r="S25">
        <f>IF($C25="","",IF(UPPER(LEFT($C25,1))="M",1,IF(UPPER(LEFT($C25,1))="F",2,"")))</f>
        <v/>
      </c>
      <c r="T25">
        <f>IF(OR($D25="",$E25=""),"",DATEDIF($D25,$E25,"m"))</f>
        <v/>
      </c>
      <c r="U25">
        <f>IF(OR($D25="",$E25=""),"",$E25-$D25)</f>
        <v/>
      </c>
      <c r="V25">
        <f>IF(OR($G25="",$T25=""),"",IF($T25&lt;24,IF(LEFT(LOWER($H25),4)="em p",$G25+0.7,$G25),IF(LEFT(LOWER($H25),4)="deit",$G25-0.7,$G25)))</f>
        <v/>
      </c>
      <c r="W25">
        <f>IF(OR($S25="",$T25=""),"",$S25*1000000+IF($T25&lt;=60,$U25,$T25))</f>
        <v/>
      </c>
      <c r="X25">
        <f>IF(OR($S25="",$V25="",$T25&gt;60,$T25=""),"",$S25*1000000+ROUND($V25*10,0))</f>
        <v/>
      </c>
      <c r="Y25">
        <f>IF($W25="","",IFERROR(INDEX(IF($T25&lt;=60,imc05_l,imc519_l),MATCH($W25,IF($T25&lt;=60,imc05_k,imc519_k),1)),""))</f>
        <v/>
      </c>
      <c r="Z25">
        <f>IF($W25="","",IFERROR(INDEX(IF($T25&lt;=60,imc05_m,imc519_m),MATCH($W25,IF($T25&lt;=60,imc05_k,imc519_k),1)),""))</f>
        <v/>
      </c>
      <c r="AA25">
        <f>IF($W25="","",IFERROR(INDEX(IF($T25&lt;=60,imc05_s,imc519_s),MATCH($W25,IF($T25&lt;=60,imc05_k,imc519_k),1)),""))</f>
        <v/>
      </c>
      <c r="AB25">
        <f>IF($Y25="","",IF($Y25=0,LN($J25/$Z25)/$AA25,((($J25/$Z25)^$Y25)-1)/($Y25*$AA25)))</f>
        <v/>
      </c>
      <c r="AC25">
        <f>IF($Y25="","",IF($Y25=0,$Z25*EXP($AA25*2),$Z25*(1+$Y25*$AA25*2)^(1/$Y25)))</f>
        <v/>
      </c>
      <c r="AD25">
        <f>IF($Y25="","",IF($Y25=0,$Z25*EXP($AA25*3),$Z25*(1+$Y25*$AA25*3)^(1/$Y25)))</f>
        <v/>
      </c>
      <c r="AE25">
        <f>IF($Y25="","",IF($Y25=0,$Z25*EXP($AA25*-2),$Z25*(1+$Y25*$AA25*-2)^(1/$Y25)))</f>
        <v/>
      </c>
      <c r="AF25">
        <f>IF($Y25="","",IF($Y25=0,$Z25*EXP($AA25*-3),$Z25*(1+$Y25*$AA25*-3)^(1/$Y25)))</f>
        <v/>
      </c>
      <c r="AG25">
        <f>IF($W25="","",IFERROR(INDEX(IF($T25&lt;=60,est05_l,est519_l),MATCH($W25,IF($T25&lt;=60,est05_k,est519_k),1)),""))</f>
        <v/>
      </c>
      <c r="AH25">
        <f>IF($W25="","",IFERROR(INDEX(IF($T25&lt;=60,est05_m,est519_m),MATCH($W25,IF($T25&lt;=60,est05_k,est519_k),1)),""))</f>
        <v/>
      </c>
      <c r="AI25">
        <f>IF($W25="","",IFERROR(INDEX(IF($T25&lt;=60,est05_s,est519_s),MATCH($W25,IF($T25&lt;=60,est05_k,est519_k),1)),""))</f>
        <v/>
      </c>
      <c r="AJ25">
        <f>IF($W25="","",IFERROR(INDEX(IF($T25&lt;=60,peso05_l,peso510_l),MATCH($W25,IF($T25&lt;=60,peso05_k,peso510_k),1)),""))</f>
        <v/>
      </c>
      <c r="AK25">
        <f>IF($W25="","",IFERROR(INDEX(IF($T25&lt;=60,peso05_m,peso510_m),MATCH($W25,IF($T25&lt;=60,peso05_k,peso510_k),1)),""))</f>
        <v/>
      </c>
      <c r="AL25">
        <f>IF($W25="","",IFERROR(INDEX(IF($T25&lt;=60,peso05_s,peso510_s),MATCH($W25,IF($T25&lt;=60,peso05_k,peso510_k),1)),""))</f>
        <v/>
      </c>
      <c r="AM25">
        <f>IF($AJ25="","",IF($AJ25=0,LN($F25/$AK25)/$AL25,((($F25/$AK25)^$AJ25)-1)/($AJ25*$AL25)))</f>
        <v/>
      </c>
      <c r="AN25">
        <f>IF($AJ25="","",IF($AJ25=0,$AK25*EXP($AL25*2),$AK25*(1+$AJ25*$AL25*2)^(1/$AJ25)))</f>
        <v/>
      </c>
      <c r="AO25">
        <f>IF($AJ25="","",IF($AJ25=0,$AK25*EXP($AL25*3),$AK25*(1+$AJ25*$AL25*3)^(1/$AJ25)))</f>
        <v/>
      </c>
      <c r="AP25">
        <f>IF($AJ25="","",IF($AJ25=0,$AK25*EXP($AL25*-2),$AK25*(1+$AJ25*$AL25*-2)^(1/$AJ25)))</f>
        <v/>
      </c>
      <c r="AQ25">
        <f>IF($AJ25="","",IF($AJ25=0,$AK25*EXP($AL25*-3),$AK25*(1+$AJ25*$AL25*-3)^(1/$AJ25)))</f>
        <v/>
      </c>
      <c r="AR25">
        <f>IF(OR($X25="",$T25&gt;60),"",IFERROR(INDEX(IF($T25&lt;24,pcomp_l,palt_l),MATCH($X25,IF($T25&lt;24,pcomp_k,palt_k),1)),""))</f>
        <v/>
      </c>
      <c r="AS25">
        <f>IF(OR($X25="",$T25&gt;60),"",IFERROR(INDEX(IF($T25&lt;24,pcomp_m,palt_m),MATCH($X25,IF($T25&lt;24,pcomp_k,palt_k),1)),""))</f>
        <v/>
      </c>
      <c r="AT25">
        <f>IF(OR($X25="",$T25&gt;60),"",IFERROR(INDEX(IF($T25&lt;24,pcomp_s,palt_s),MATCH($X25,IF($T25&lt;24,pcomp_k,palt_k),1)),""))</f>
        <v/>
      </c>
      <c r="AU25">
        <f>IF($AR25="","",IF($AR25=0,LN($F25/$AS25)/$AT25,((($F25/$AS25)^$AR25)-1)/($AR25*$AT25)))</f>
        <v/>
      </c>
      <c r="AV25">
        <f>IF($AR25="","",IF($AR25=0,$AS25*EXP($AT25*2),$AS25*(1+$AR25*$AT25*2)^(1/$AR25)))</f>
        <v/>
      </c>
      <c r="AW25">
        <f>IF($AR25="","",IF($AR25=0,$AS25*EXP($AT25*3),$AS25*(1+$AR25*$AT25*3)^(1/$AR25)))</f>
        <v/>
      </c>
      <c r="AX25">
        <f>IF($AR25="","",IF($AR25=0,$AS25*EXP($AT25*-2),$AS25*(1+$AR25*$AT25*-2)^(1/$AR25)))</f>
        <v/>
      </c>
      <c r="AY25">
        <f>IF($AR25="","",IF($AR25=0,$AS25*EXP($AT25*-3),$AS25*(1+$AR25*$AT25*-3)^(1/$AR25)))</f>
        <v/>
      </c>
      <c r="AZ25">
        <f>IF(OR($A25="",$A25&lt;&gt;Ficha!$C$4),"",COUNTIF($A$2:$A25,Ficha!$C$4))</f>
        <v/>
      </c>
    </row>
    <row r="26">
      <c r="A26" s="8">
        <f>IF(INDEX(Banco!$A:$A,ROW())="","",INDEX(Banco!$A:$A,ROW()))</f>
        <v/>
      </c>
      <c r="B26" s="8">
        <f>IF(INDEX(Banco!$B:$B,ROW())="","",INDEX(Banco!$B:$B,ROW()))</f>
        <v/>
      </c>
      <c r="C26" s="8">
        <f>IF(INDEX(Banco!$C:$C,ROW())="","",INDEX(Banco!$C:$C,ROW()))</f>
        <v/>
      </c>
      <c r="D26" s="9">
        <f>IF(INDEX(Banco!$D:$D,ROW())="","",INDEX(Banco!$D:$D,ROW()))</f>
        <v/>
      </c>
      <c r="E26" s="9">
        <f>IF(INDEX(Banco!$E:$E,ROW())="","",INDEX(Banco!$E:$E,ROW()))</f>
        <v/>
      </c>
      <c r="F26" s="10">
        <f>IF(INDEX(Banco!$F:$F,ROW())="","",INDEX(Banco!$F:$F,ROW()))</f>
        <v/>
      </c>
      <c r="G26" s="10">
        <f>IF(INDEX(Banco!$G:$G,ROW())="","",INDEX(Banco!$G:$G,ROW()))</f>
        <v/>
      </c>
      <c r="H26" s="8">
        <f>IF(INDEX(Banco!$H:$H,ROW())="","",INDEX(Banco!$H:$H,ROW()))</f>
        <v/>
      </c>
      <c r="I26">
        <f>IF($T26="","",INT($T26/12)&amp;"a "&amp;MOD($T26,12)&amp;"m")</f>
        <v/>
      </c>
      <c r="J26" s="11">
        <f>IF(OR($F26="",$G26=""),"",ROUND($F26/($G26/100)^2,2))</f>
        <v/>
      </c>
      <c r="K26" s="12">
        <f>IF(OR($S26="",$J26="",$T26="",$T26&lt;0,$T26&gt;228,$Y26=""),"—",ROUND(IF(ABS($AB26)&lt;=3,$AB26,IF($AB26&gt;3,3+($J26-$AD26)/($AD26-$AC26),-3+($J26-$AF26)/($AE26-$AF26))),2))</f>
        <v/>
      </c>
      <c r="L26">
        <f>IF(OR($K26="",$K26="—"),"",IF($T26&lt;=60,IF($K26&lt;-3,"Magreza acentuada",IF($K26&lt;-2,"Magreza",IF($K26&lt;=1,"Eutrofia",IF($K26&lt;=2,"Risco de sobrepeso",IF($K26&lt;=3,"Sobrepeso","Obesidade"))))),IF($K26&lt;-3,"Magreza acentuada",IF($K26&lt;-2,"Magreza",IF($K26&lt;=1,"Eutrofia",IF($K26&lt;=2,"Sobrepeso",IF($K26&lt;=3,"Obesidade","Obesidade grave")))))))</f>
        <v/>
      </c>
      <c r="M26" s="12">
        <f>IF(OR($S26="",$V26="",$T26="",$T26&lt;0,$T26&gt;228,$AG26=""),"—",ROUND(IF($AG26=0,LN($V26/$AH26)/$AI26,((($V26/$AH26)^$AG26)-1)/($AG26*$AI26)),2))</f>
        <v/>
      </c>
      <c r="N26">
        <f>IF(OR($M26="",$M26="—"),"",IF($M26&lt;-3,"Muito baixa",IF($M26&lt;-2,"Baixa","Adequada")))</f>
        <v/>
      </c>
      <c r="O26" s="12">
        <f>IF(OR($S26="",$F26="",$T26="",$T26&lt;0,$T26&gt;120,$AJ26=""),"—",ROUND(IF(ABS($AM26)&lt;=3,$AM26,IF($AM26&gt;3,3+($F26-$AO26)/($AO26-$AN26),-3+($F26-$AQ26)/($AP26-$AQ26))),2))</f>
        <v/>
      </c>
      <c r="P26">
        <f>IF(OR($O26="",$O26="—"),"",IF($O26&lt;-3,"Muito baixo",IF($O26&lt;-2,"Baixo",IF($O26&lt;=2,"Adequado","Elevado"))))</f>
        <v/>
      </c>
      <c r="Q26" s="12">
        <f>IF(OR($S26="",$F26="",$T26="",$T26&lt;0,$T26&gt;60,$AR26=""),"—",ROUND(IF(ABS($AU26)&lt;=3,$AU26,IF($AU26&gt;3,3+($F26-$AW26)/($AW26-$AV26),-3+($F26-$AY26)/($AX26-$AY26))),2))</f>
        <v/>
      </c>
      <c r="R26">
        <f>IF(OR($Q26="",$Q26="—"),"",IF($Q26&lt;-3,"Magreza acentuada",IF($Q26&lt;-2,"Magreza",IF($Q26&lt;=1,"Eutrofia",IF($Q26&lt;=2,"Risco de sobrepeso",IF($Q26&lt;=3,"Sobrepeso","Obesidade"))))))</f>
        <v/>
      </c>
      <c r="S26">
        <f>IF($C26="","",IF(UPPER(LEFT($C26,1))="M",1,IF(UPPER(LEFT($C26,1))="F",2,"")))</f>
        <v/>
      </c>
      <c r="T26">
        <f>IF(OR($D26="",$E26=""),"",DATEDIF($D26,$E26,"m"))</f>
        <v/>
      </c>
      <c r="U26">
        <f>IF(OR($D26="",$E26=""),"",$E26-$D26)</f>
        <v/>
      </c>
      <c r="V26">
        <f>IF(OR($G26="",$T26=""),"",IF($T26&lt;24,IF(LEFT(LOWER($H26),4)="em p",$G26+0.7,$G26),IF(LEFT(LOWER($H26),4)="deit",$G26-0.7,$G26)))</f>
        <v/>
      </c>
      <c r="W26">
        <f>IF(OR($S26="",$T26=""),"",$S26*1000000+IF($T26&lt;=60,$U26,$T26))</f>
        <v/>
      </c>
      <c r="X26">
        <f>IF(OR($S26="",$V26="",$T26&gt;60,$T26=""),"",$S26*1000000+ROUND($V26*10,0))</f>
        <v/>
      </c>
      <c r="Y26">
        <f>IF($W26="","",IFERROR(INDEX(IF($T26&lt;=60,imc05_l,imc519_l),MATCH($W26,IF($T26&lt;=60,imc05_k,imc519_k),1)),""))</f>
        <v/>
      </c>
      <c r="Z26">
        <f>IF($W26="","",IFERROR(INDEX(IF($T26&lt;=60,imc05_m,imc519_m),MATCH($W26,IF($T26&lt;=60,imc05_k,imc519_k),1)),""))</f>
        <v/>
      </c>
      <c r="AA26">
        <f>IF($W26="","",IFERROR(INDEX(IF($T26&lt;=60,imc05_s,imc519_s),MATCH($W26,IF($T26&lt;=60,imc05_k,imc519_k),1)),""))</f>
        <v/>
      </c>
      <c r="AB26">
        <f>IF($Y26="","",IF($Y26=0,LN($J26/$Z26)/$AA26,((($J26/$Z26)^$Y26)-1)/($Y26*$AA26)))</f>
        <v/>
      </c>
      <c r="AC26">
        <f>IF($Y26="","",IF($Y26=0,$Z26*EXP($AA26*2),$Z26*(1+$Y26*$AA26*2)^(1/$Y26)))</f>
        <v/>
      </c>
      <c r="AD26">
        <f>IF($Y26="","",IF($Y26=0,$Z26*EXP($AA26*3),$Z26*(1+$Y26*$AA26*3)^(1/$Y26)))</f>
        <v/>
      </c>
      <c r="AE26">
        <f>IF($Y26="","",IF($Y26=0,$Z26*EXP($AA26*-2),$Z26*(1+$Y26*$AA26*-2)^(1/$Y26)))</f>
        <v/>
      </c>
      <c r="AF26">
        <f>IF($Y26="","",IF($Y26=0,$Z26*EXP($AA26*-3),$Z26*(1+$Y26*$AA26*-3)^(1/$Y26)))</f>
        <v/>
      </c>
      <c r="AG26">
        <f>IF($W26="","",IFERROR(INDEX(IF($T26&lt;=60,est05_l,est519_l),MATCH($W26,IF($T26&lt;=60,est05_k,est519_k),1)),""))</f>
        <v/>
      </c>
      <c r="AH26">
        <f>IF($W26="","",IFERROR(INDEX(IF($T26&lt;=60,est05_m,est519_m),MATCH($W26,IF($T26&lt;=60,est05_k,est519_k),1)),""))</f>
        <v/>
      </c>
      <c r="AI26">
        <f>IF($W26="","",IFERROR(INDEX(IF($T26&lt;=60,est05_s,est519_s),MATCH($W26,IF($T26&lt;=60,est05_k,est519_k),1)),""))</f>
        <v/>
      </c>
      <c r="AJ26">
        <f>IF($W26="","",IFERROR(INDEX(IF($T26&lt;=60,peso05_l,peso510_l),MATCH($W26,IF($T26&lt;=60,peso05_k,peso510_k),1)),""))</f>
        <v/>
      </c>
      <c r="AK26">
        <f>IF($W26="","",IFERROR(INDEX(IF($T26&lt;=60,peso05_m,peso510_m),MATCH($W26,IF($T26&lt;=60,peso05_k,peso510_k),1)),""))</f>
        <v/>
      </c>
      <c r="AL26">
        <f>IF($W26="","",IFERROR(INDEX(IF($T26&lt;=60,peso05_s,peso510_s),MATCH($W26,IF($T26&lt;=60,peso05_k,peso510_k),1)),""))</f>
        <v/>
      </c>
      <c r="AM26">
        <f>IF($AJ26="","",IF($AJ26=0,LN($F26/$AK26)/$AL26,((($F26/$AK26)^$AJ26)-1)/($AJ26*$AL26)))</f>
        <v/>
      </c>
      <c r="AN26">
        <f>IF($AJ26="","",IF($AJ26=0,$AK26*EXP($AL26*2),$AK26*(1+$AJ26*$AL26*2)^(1/$AJ26)))</f>
        <v/>
      </c>
      <c r="AO26">
        <f>IF($AJ26="","",IF($AJ26=0,$AK26*EXP($AL26*3),$AK26*(1+$AJ26*$AL26*3)^(1/$AJ26)))</f>
        <v/>
      </c>
      <c r="AP26">
        <f>IF($AJ26="","",IF($AJ26=0,$AK26*EXP($AL26*-2),$AK26*(1+$AJ26*$AL26*-2)^(1/$AJ26)))</f>
        <v/>
      </c>
      <c r="AQ26">
        <f>IF($AJ26="","",IF($AJ26=0,$AK26*EXP($AL26*-3),$AK26*(1+$AJ26*$AL26*-3)^(1/$AJ26)))</f>
        <v/>
      </c>
      <c r="AR26">
        <f>IF(OR($X26="",$T26&gt;60),"",IFERROR(INDEX(IF($T26&lt;24,pcomp_l,palt_l),MATCH($X26,IF($T26&lt;24,pcomp_k,palt_k),1)),""))</f>
        <v/>
      </c>
      <c r="AS26">
        <f>IF(OR($X26="",$T26&gt;60),"",IFERROR(INDEX(IF($T26&lt;24,pcomp_m,palt_m),MATCH($X26,IF($T26&lt;24,pcomp_k,palt_k),1)),""))</f>
        <v/>
      </c>
      <c r="AT26">
        <f>IF(OR($X26="",$T26&gt;60),"",IFERROR(INDEX(IF($T26&lt;24,pcomp_s,palt_s),MATCH($X26,IF($T26&lt;24,pcomp_k,palt_k),1)),""))</f>
        <v/>
      </c>
      <c r="AU26">
        <f>IF($AR26="","",IF($AR26=0,LN($F26/$AS26)/$AT26,((($F26/$AS26)^$AR26)-1)/($AR26*$AT26)))</f>
        <v/>
      </c>
      <c r="AV26">
        <f>IF($AR26="","",IF($AR26=0,$AS26*EXP($AT26*2),$AS26*(1+$AR26*$AT26*2)^(1/$AR26)))</f>
        <v/>
      </c>
      <c r="AW26">
        <f>IF($AR26="","",IF($AR26=0,$AS26*EXP($AT26*3),$AS26*(1+$AR26*$AT26*3)^(1/$AR26)))</f>
        <v/>
      </c>
      <c r="AX26">
        <f>IF($AR26="","",IF($AR26=0,$AS26*EXP($AT26*-2),$AS26*(1+$AR26*$AT26*-2)^(1/$AR26)))</f>
        <v/>
      </c>
      <c r="AY26">
        <f>IF($AR26="","",IF($AR26=0,$AS26*EXP($AT26*-3),$AS26*(1+$AR26*$AT26*-3)^(1/$AR26)))</f>
        <v/>
      </c>
      <c r="AZ26">
        <f>IF(OR($A26="",$A26&lt;&gt;Ficha!$C$4),"",COUNTIF($A$2:$A26,Ficha!$C$4))</f>
        <v/>
      </c>
    </row>
    <row r="27">
      <c r="A27" s="8">
        <f>IF(INDEX(Banco!$A:$A,ROW())="","",INDEX(Banco!$A:$A,ROW()))</f>
        <v/>
      </c>
      <c r="B27" s="8">
        <f>IF(INDEX(Banco!$B:$B,ROW())="","",INDEX(Banco!$B:$B,ROW()))</f>
        <v/>
      </c>
      <c r="C27" s="8">
        <f>IF(INDEX(Banco!$C:$C,ROW())="","",INDEX(Banco!$C:$C,ROW()))</f>
        <v/>
      </c>
      <c r="D27" s="9">
        <f>IF(INDEX(Banco!$D:$D,ROW())="","",INDEX(Banco!$D:$D,ROW()))</f>
        <v/>
      </c>
      <c r="E27" s="9">
        <f>IF(INDEX(Banco!$E:$E,ROW())="","",INDEX(Banco!$E:$E,ROW()))</f>
        <v/>
      </c>
      <c r="F27" s="10">
        <f>IF(INDEX(Banco!$F:$F,ROW())="","",INDEX(Banco!$F:$F,ROW()))</f>
        <v/>
      </c>
      <c r="G27" s="10">
        <f>IF(INDEX(Banco!$G:$G,ROW())="","",INDEX(Banco!$G:$G,ROW()))</f>
        <v/>
      </c>
      <c r="H27" s="8">
        <f>IF(INDEX(Banco!$H:$H,ROW())="","",INDEX(Banco!$H:$H,ROW()))</f>
        <v/>
      </c>
      <c r="I27">
        <f>IF($T27="","",INT($T27/12)&amp;"a "&amp;MOD($T27,12)&amp;"m")</f>
        <v/>
      </c>
      <c r="J27" s="11">
        <f>IF(OR($F27="",$G27=""),"",ROUND($F27/($G27/100)^2,2))</f>
        <v/>
      </c>
      <c r="K27" s="12">
        <f>IF(OR($S27="",$J27="",$T27="",$T27&lt;0,$T27&gt;228,$Y27=""),"—",ROUND(IF(ABS($AB27)&lt;=3,$AB27,IF($AB27&gt;3,3+($J27-$AD27)/($AD27-$AC27),-3+($J27-$AF27)/($AE27-$AF27))),2))</f>
        <v/>
      </c>
      <c r="L27">
        <f>IF(OR($K27="",$K27="—"),"",IF($T27&lt;=60,IF($K27&lt;-3,"Magreza acentuada",IF($K27&lt;-2,"Magreza",IF($K27&lt;=1,"Eutrofia",IF($K27&lt;=2,"Risco de sobrepeso",IF($K27&lt;=3,"Sobrepeso","Obesidade"))))),IF($K27&lt;-3,"Magreza acentuada",IF($K27&lt;-2,"Magreza",IF($K27&lt;=1,"Eutrofia",IF($K27&lt;=2,"Sobrepeso",IF($K27&lt;=3,"Obesidade","Obesidade grave")))))))</f>
        <v/>
      </c>
      <c r="M27" s="12">
        <f>IF(OR($S27="",$V27="",$T27="",$T27&lt;0,$T27&gt;228,$AG27=""),"—",ROUND(IF($AG27=0,LN($V27/$AH27)/$AI27,((($V27/$AH27)^$AG27)-1)/($AG27*$AI27)),2))</f>
        <v/>
      </c>
      <c r="N27">
        <f>IF(OR($M27="",$M27="—"),"",IF($M27&lt;-3,"Muito baixa",IF($M27&lt;-2,"Baixa","Adequada")))</f>
        <v/>
      </c>
      <c r="O27" s="12">
        <f>IF(OR($S27="",$F27="",$T27="",$T27&lt;0,$T27&gt;120,$AJ27=""),"—",ROUND(IF(ABS($AM27)&lt;=3,$AM27,IF($AM27&gt;3,3+($F27-$AO27)/($AO27-$AN27),-3+($F27-$AQ27)/($AP27-$AQ27))),2))</f>
        <v/>
      </c>
      <c r="P27">
        <f>IF(OR($O27="",$O27="—"),"",IF($O27&lt;-3,"Muito baixo",IF($O27&lt;-2,"Baixo",IF($O27&lt;=2,"Adequado","Elevado"))))</f>
        <v/>
      </c>
      <c r="Q27" s="12">
        <f>IF(OR($S27="",$F27="",$T27="",$T27&lt;0,$T27&gt;60,$AR27=""),"—",ROUND(IF(ABS($AU27)&lt;=3,$AU27,IF($AU27&gt;3,3+($F27-$AW27)/($AW27-$AV27),-3+($F27-$AY27)/($AX27-$AY27))),2))</f>
        <v/>
      </c>
      <c r="R27">
        <f>IF(OR($Q27="",$Q27="—"),"",IF($Q27&lt;-3,"Magreza acentuada",IF($Q27&lt;-2,"Magreza",IF($Q27&lt;=1,"Eutrofia",IF($Q27&lt;=2,"Risco de sobrepeso",IF($Q27&lt;=3,"Sobrepeso","Obesidade"))))))</f>
        <v/>
      </c>
      <c r="S27">
        <f>IF($C27="","",IF(UPPER(LEFT($C27,1))="M",1,IF(UPPER(LEFT($C27,1))="F",2,"")))</f>
        <v/>
      </c>
      <c r="T27">
        <f>IF(OR($D27="",$E27=""),"",DATEDIF($D27,$E27,"m"))</f>
        <v/>
      </c>
      <c r="U27">
        <f>IF(OR($D27="",$E27=""),"",$E27-$D27)</f>
        <v/>
      </c>
      <c r="V27">
        <f>IF(OR($G27="",$T27=""),"",IF($T27&lt;24,IF(LEFT(LOWER($H27),4)="em p",$G27+0.7,$G27),IF(LEFT(LOWER($H27),4)="deit",$G27-0.7,$G27)))</f>
        <v/>
      </c>
      <c r="W27">
        <f>IF(OR($S27="",$T27=""),"",$S27*1000000+IF($T27&lt;=60,$U27,$T27))</f>
        <v/>
      </c>
      <c r="X27">
        <f>IF(OR($S27="",$V27="",$T27&gt;60,$T27=""),"",$S27*1000000+ROUND($V27*10,0))</f>
        <v/>
      </c>
      <c r="Y27">
        <f>IF($W27="","",IFERROR(INDEX(IF($T27&lt;=60,imc05_l,imc519_l),MATCH($W27,IF($T27&lt;=60,imc05_k,imc519_k),1)),""))</f>
        <v/>
      </c>
      <c r="Z27">
        <f>IF($W27="","",IFERROR(INDEX(IF($T27&lt;=60,imc05_m,imc519_m),MATCH($W27,IF($T27&lt;=60,imc05_k,imc519_k),1)),""))</f>
        <v/>
      </c>
      <c r="AA27">
        <f>IF($W27="","",IFERROR(INDEX(IF($T27&lt;=60,imc05_s,imc519_s),MATCH($W27,IF($T27&lt;=60,imc05_k,imc519_k),1)),""))</f>
        <v/>
      </c>
      <c r="AB27">
        <f>IF($Y27="","",IF($Y27=0,LN($J27/$Z27)/$AA27,((($J27/$Z27)^$Y27)-1)/($Y27*$AA27)))</f>
        <v/>
      </c>
      <c r="AC27">
        <f>IF($Y27="","",IF($Y27=0,$Z27*EXP($AA27*2),$Z27*(1+$Y27*$AA27*2)^(1/$Y27)))</f>
        <v/>
      </c>
      <c r="AD27">
        <f>IF($Y27="","",IF($Y27=0,$Z27*EXP($AA27*3),$Z27*(1+$Y27*$AA27*3)^(1/$Y27)))</f>
        <v/>
      </c>
      <c r="AE27">
        <f>IF($Y27="","",IF($Y27=0,$Z27*EXP($AA27*-2),$Z27*(1+$Y27*$AA27*-2)^(1/$Y27)))</f>
        <v/>
      </c>
      <c r="AF27">
        <f>IF($Y27="","",IF($Y27=0,$Z27*EXP($AA27*-3),$Z27*(1+$Y27*$AA27*-3)^(1/$Y27)))</f>
        <v/>
      </c>
      <c r="AG27">
        <f>IF($W27="","",IFERROR(INDEX(IF($T27&lt;=60,est05_l,est519_l),MATCH($W27,IF($T27&lt;=60,est05_k,est519_k),1)),""))</f>
        <v/>
      </c>
      <c r="AH27">
        <f>IF($W27="","",IFERROR(INDEX(IF($T27&lt;=60,est05_m,est519_m),MATCH($W27,IF($T27&lt;=60,est05_k,est519_k),1)),""))</f>
        <v/>
      </c>
      <c r="AI27">
        <f>IF($W27="","",IFERROR(INDEX(IF($T27&lt;=60,est05_s,est519_s),MATCH($W27,IF($T27&lt;=60,est05_k,est519_k),1)),""))</f>
        <v/>
      </c>
      <c r="AJ27">
        <f>IF($W27="","",IFERROR(INDEX(IF($T27&lt;=60,peso05_l,peso510_l),MATCH($W27,IF($T27&lt;=60,peso05_k,peso510_k),1)),""))</f>
        <v/>
      </c>
      <c r="AK27">
        <f>IF($W27="","",IFERROR(INDEX(IF($T27&lt;=60,peso05_m,peso510_m),MATCH($W27,IF($T27&lt;=60,peso05_k,peso510_k),1)),""))</f>
        <v/>
      </c>
      <c r="AL27">
        <f>IF($W27="","",IFERROR(INDEX(IF($T27&lt;=60,peso05_s,peso510_s),MATCH($W27,IF($T27&lt;=60,peso05_k,peso510_k),1)),""))</f>
        <v/>
      </c>
      <c r="AM27">
        <f>IF($AJ27="","",IF($AJ27=0,LN($F27/$AK27)/$AL27,((($F27/$AK27)^$AJ27)-1)/($AJ27*$AL27)))</f>
        <v/>
      </c>
      <c r="AN27">
        <f>IF($AJ27="","",IF($AJ27=0,$AK27*EXP($AL27*2),$AK27*(1+$AJ27*$AL27*2)^(1/$AJ27)))</f>
        <v/>
      </c>
      <c r="AO27">
        <f>IF($AJ27="","",IF($AJ27=0,$AK27*EXP($AL27*3),$AK27*(1+$AJ27*$AL27*3)^(1/$AJ27)))</f>
        <v/>
      </c>
      <c r="AP27">
        <f>IF($AJ27="","",IF($AJ27=0,$AK27*EXP($AL27*-2),$AK27*(1+$AJ27*$AL27*-2)^(1/$AJ27)))</f>
        <v/>
      </c>
      <c r="AQ27">
        <f>IF($AJ27="","",IF($AJ27=0,$AK27*EXP($AL27*-3),$AK27*(1+$AJ27*$AL27*-3)^(1/$AJ27)))</f>
        <v/>
      </c>
      <c r="AR27">
        <f>IF(OR($X27="",$T27&gt;60),"",IFERROR(INDEX(IF($T27&lt;24,pcomp_l,palt_l),MATCH($X27,IF($T27&lt;24,pcomp_k,palt_k),1)),""))</f>
        <v/>
      </c>
      <c r="AS27">
        <f>IF(OR($X27="",$T27&gt;60),"",IFERROR(INDEX(IF($T27&lt;24,pcomp_m,palt_m),MATCH($X27,IF($T27&lt;24,pcomp_k,palt_k),1)),""))</f>
        <v/>
      </c>
      <c r="AT27">
        <f>IF(OR($X27="",$T27&gt;60),"",IFERROR(INDEX(IF($T27&lt;24,pcomp_s,palt_s),MATCH($X27,IF($T27&lt;24,pcomp_k,palt_k),1)),""))</f>
        <v/>
      </c>
      <c r="AU27">
        <f>IF($AR27="","",IF($AR27=0,LN($F27/$AS27)/$AT27,((($F27/$AS27)^$AR27)-1)/($AR27*$AT27)))</f>
        <v/>
      </c>
      <c r="AV27">
        <f>IF($AR27="","",IF($AR27=0,$AS27*EXP($AT27*2),$AS27*(1+$AR27*$AT27*2)^(1/$AR27)))</f>
        <v/>
      </c>
      <c r="AW27">
        <f>IF($AR27="","",IF($AR27=0,$AS27*EXP($AT27*3),$AS27*(1+$AR27*$AT27*3)^(1/$AR27)))</f>
        <v/>
      </c>
      <c r="AX27">
        <f>IF($AR27="","",IF($AR27=0,$AS27*EXP($AT27*-2),$AS27*(1+$AR27*$AT27*-2)^(1/$AR27)))</f>
        <v/>
      </c>
      <c r="AY27">
        <f>IF($AR27="","",IF($AR27=0,$AS27*EXP($AT27*-3),$AS27*(1+$AR27*$AT27*-3)^(1/$AR27)))</f>
        <v/>
      </c>
      <c r="AZ27">
        <f>IF(OR($A27="",$A27&lt;&gt;Ficha!$C$4),"",COUNTIF($A$2:$A27,Ficha!$C$4))</f>
        <v/>
      </c>
    </row>
    <row r="28">
      <c r="A28" s="8">
        <f>IF(INDEX(Banco!$A:$A,ROW())="","",INDEX(Banco!$A:$A,ROW()))</f>
        <v/>
      </c>
      <c r="B28" s="8">
        <f>IF(INDEX(Banco!$B:$B,ROW())="","",INDEX(Banco!$B:$B,ROW()))</f>
        <v/>
      </c>
      <c r="C28" s="8">
        <f>IF(INDEX(Banco!$C:$C,ROW())="","",INDEX(Banco!$C:$C,ROW()))</f>
        <v/>
      </c>
      <c r="D28" s="9">
        <f>IF(INDEX(Banco!$D:$D,ROW())="","",INDEX(Banco!$D:$D,ROW()))</f>
        <v/>
      </c>
      <c r="E28" s="9">
        <f>IF(INDEX(Banco!$E:$E,ROW())="","",INDEX(Banco!$E:$E,ROW()))</f>
        <v/>
      </c>
      <c r="F28" s="10">
        <f>IF(INDEX(Banco!$F:$F,ROW())="","",INDEX(Banco!$F:$F,ROW()))</f>
        <v/>
      </c>
      <c r="G28" s="10">
        <f>IF(INDEX(Banco!$G:$G,ROW())="","",INDEX(Banco!$G:$G,ROW()))</f>
        <v/>
      </c>
      <c r="H28" s="8">
        <f>IF(INDEX(Banco!$H:$H,ROW())="","",INDEX(Banco!$H:$H,ROW()))</f>
        <v/>
      </c>
      <c r="I28">
        <f>IF($T28="","",INT($T28/12)&amp;"a "&amp;MOD($T28,12)&amp;"m")</f>
        <v/>
      </c>
      <c r="J28" s="11">
        <f>IF(OR($F28="",$G28=""),"",ROUND($F28/($G28/100)^2,2))</f>
        <v/>
      </c>
      <c r="K28" s="12">
        <f>IF(OR($S28="",$J28="",$T28="",$T28&lt;0,$T28&gt;228,$Y28=""),"—",ROUND(IF(ABS($AB28)&lt;=3,$AB28,IF($AB28&gt;3,3+($J28-$AD28)/($AD28-$AC28),-3+($J28-$AF28)/($AE28-$AF28))),2))</f>
        <v/>
      </c>
      <c r="L28">
        <f>IF(OR($K28="",$K28="—"),"",IF($T28&lt;=60,IF($K28&lt;-3,"Magreza acentuada",IF($K28&lt;-2,"Magreza",IF($K28&lt;=1,"Eutrofia",IF($K28&lt;=2,"Risco de sobrepeso",IF($K28&lt;=3,"Sobrepeso","Obesidade"))))),IF($K28&lt;-3,"Magreza acentuada",IF($K28&lt;-2,"Magreza",IF($K28&lt;=1,"Eutrofia",IF($K28&lt;=2,"Sobrepeso",IF($K28&lt;=3,"Obesidade","Obesidade grave")))))))</f>
        <v/>
      </c>
      <c r="M28" s="12">
        <f>IF(OR($S28="",$V28="",$T28="",$T28&lt;0,$T28&gt;228,$AG28=""),"—",ROUND(IF($AG28=0,LN($V28/$AH28)/$AI28,((($V28/$AH28)^$AG28)-1)/($AG28*$AI28)),2))</f>
        <v/>
      </c>
      <c r="N28">
        <f>IF(OR($M28="",$M28="—"),"",IF($M28&lt;-3,"Muito baixa",IF($M28&lt;-2,"Baixa","Adequada")))</f>
        <v/>
      </c>
      <c r="O28" s="12">
        <f>IF(OR($S28="",$F28="",$T28="",$T28&lt;0,$T28&gt;120,$AJ28=""),"—",ROUND(IF(ABS($AM28)&lt;=3,$AM28,IF($AM28&gt;3,3+($F28-$AO28)/($AO28-$AN28),-3+($F28-$AQ28)/($AP28-$AQ28))),2))</f>
        <v/>
      </c>
      <c r="P28">
        <f>IF(OR($O28="",$O28="—"),"",IF($O28&lt;-3,"Muito baixo",IF($O28&lt;-2,"Baixo",IF($O28&lt;=2,"Adequado","Elevado"))))</f>
        <v/>
      </c>
      <c r="Q28" s="12">
        <f>IF(OR($S28="",$F28="",$T28="",$T28&lt;0,$T28&gt;60,$AR28=""),"—",ROUND(IF(ABS($AU28)&lt;=3,$AU28,IF($AU28&gt;3,3+($F28-$AW28)/($AW28-$AV28),-3+($F28-$AY28)/($AX28-$AY28))),2))</f>
        <v/>
      </c>
      <c r="R28">
        <f>IF(OR($Q28="",$Q28="—"),"",IF($Q28&lt;-3,"Magreza acentuada",IF($Q28&lt;-2,"Magreza",IF($Q28&lt;=1,"Eutrofia",IF($Q28&lt;=2,"Risco de sobrepeso",IF($Q28&lt;=3,"Sobrepeso","Obesidade"))))))</f>
        <v/>
      </c>
      <c r="S28">
        <f>IF($C28="","",IF(UPPER(LEFT($C28,1))="M",1,IF(UPPER(LEFT($C28,1))="F",2,"")))</f>
        <v/>
      </c>
      <c r="T28">
        <f>IF(OR($D28="",$E28=""),"",DATEDIF($D28,$E28,"m"))</f>
        <v/>
      </c>
      <c r="U28">
        <f>IF(OR($D28="",$E28=""),"",$E28-$D28)</f>
        <v/>
      </c>
      <c r="V28">
        <f>IF(OR($G28="",$T28=""),"",IF($T28&lt;24,IF(LEFT(LOWER($H28),4)="em p",$G28+0.7,$G28),IF(LEFT(LOWER($H28),4)="deit",$G28-0.7,$G28)))</f>
        <v/>
      </c>
      <c r="W28">
        <f>IF(OR($S28="",$T28=""),"",$S28*1000000+IF($T28&lt;=60,$U28,$T28))</f>
        <v/>
      </c>
      <c r="X28">
        <f>IF(OR($S28="",$V28="",$T28&gt;60,$T28=""),"",$S28*1000000+ROUND($V28*10,0))</f>
        <v/>
      </c>
      <c r="Y28">
        <f>IF($W28="","",IFERROR(INDEX(IF($T28&lt;=60,imc05_l,imc519_l),MATCH($W28,IF($T28&lt;=60,imc05_k,imc519_k),1)),""))</f>
        <v/>
      </c>
      <c r="Z28">
        <f>IF($W28="","",IFERROR(INDEX(IF($T28&lt;=60,imc05_m,imc519_m),MATCH($W28,IF($T28&lt;=60,imc05_k,imc519_k),1)),""))</f>
        <v/>
      </c>
      <c r="AA28">
        <f>IF($W28="","",IFERROR(INDEX(IF($T28&lt;=60,imc05_s,imc519_s),MATCH($W28,IF($T28&lt;=60,imc05_k,imc519_k),1)),""))</f>
        <v/>
      </c>
      <c r="AB28">
        <f>IF($Y28="","",IF($Y28=0,LN($J28/$Z28)/$AA28,((($J28/$Z28)^$Y28)-1)/($Y28*$AA28)))</f>
        <v/>
      </c>
      <c r="AC28">
        <f>IF($Y28="","",IF($Y28=0,$Z28*EXP($AA28*2),$Z28*(1+$Y28*$AA28*2)^(1/$Y28)))</f>
        <v/>
      </c>
      <c r="AD28">
        <f>IF($Y28="","",IF($Y28=0,$Z28*EXP($AA28*3),$Z28*(1+$Y28*$AA28*3)^(1/$Y28)))</f>
        <v/>
      </c>
      <c r="AE28">
        <f>IF($Y28="","",IF($Y28=0,$Z28*EXP($AA28*-2),$Z28*(1+$Y28*$AA28*-2)^(1/$Y28)))</f>
        <v/>
      </c>
      <c r="AF28">
        <f>IF($Y28="","",IF($Y28=0,$Z28*EXP($AA28*-3),$Z28*(1+$Y28*$AA28*-3)^(1/$Y28)))</f>
        <v/>
      </c>
      <c r="AG28">
        <f>IF($W28="","",IFERROR(INDEX(IF($T28&lt;=60,est05_l,est519_l),MATCH($W28,IF($T28&lt;=60,est05_k,est519_k),1)),""))</f>
        <v/>
      </c>
      <c r="AH28">
        <f>IF($W28="","",IFERROR(INDEX(IF($T28&lt;=60,est05_m,est519_m),MATCH($W28,IF($T28&lt;=60,est05_k,est519_k),1)),""))</f>
        <v/>
      </c>
      <c r="AI28">
        <f>IF($W28="","",IFERROR(INDEX(IF($T28&lt;=60,est05_s,est519_s),MATCH($W28,IF($T28&lt;=60,est05_k,est519_k),1)),""))</f>
        <v/>
      </c>
      <c r="AJ28">
        <f>IF($W28="","",IFERROR(INDEX(IF($T28&lt;=60,peso05_l,peso510_l),MATCH($W28,IF($T28&lt;=60,peso05_k,peso510_k),1)),""))</f>
        <v/>
      </c>
      <c r="AK28">
        <f>IF($W28="","",IFERROR(INDEX(IF($T28&lt;=60,peso05_m,peso510_m),MATCH($W28,IF($T28&lt;=60,peso05_k,peso510_k),1)),""))</f>
        <v/>
      </c>
      <c r="AL28">
        <f>IF($W28="","",IFERROR(INDEX(IF($T28&lt;=60,peso05_s,peso510_s),MATCH($W28,IF($T28&lt;=60,peso05_k,peso510_k),1)),""))</f>
        <v/>
      </c>
      <c r="AM28">
        <f>IF($AJ28="","",IF($AJ28=0,LN($F28/$AK28)/$AL28,((($F28/$AK28)^$AJ28)-1)/($AJ28*$AL28)))</f>
        <v/>
      </c>
      <c r="AN28">
        <f>IF($AJ28="","",IF($AJ28=0,$AK28*EXP($AL28*2),$AK28*(1+$AJ28*$AL28*2)^(1/$AJ28)))</f>
        <v/>
      </c>
      <c r="AO28">
        <f>IF($AJ28="","",IF($AJ28=0,$AK28*EXP($AL28*3),$AK28*(1+$AJ28*$AL28*3)^(1/$AJ28)))</f>
        <v/>
      </c>
      <c r="AP28">
        <f>IF($AJ28="","",IF($AJ28=0,$AK28*EXP($AL28*-2),$AK28*(1+$AJ28*$AL28*-2)^(1/$AJ28)))</f>
        <v/>
      </c>
      <c r="AQ28">
        <f>IF($AJ28="","",IF($AJ28=0,$AK28*EXP($AL28*-3),$AK28*(1+$AJ28*$AL28*-3)^(1/$AJ28)))</f>
        <v/>
      </c>
      <c r="AR28">
        <f>IF(OR($X28="",$T28&gt;60),"",IFERROR(INDEX(IF($T28&lt;24,pcomp_l,palt_l),MATCH($X28,IF($T28&lt;24,pcomp_k,palt_k),1)),""))</f>
        <v/>
      </c>
      <c r="AS28">
        <f>IF(OR($X28="",$T28&gt;60),"",IFERROR(INDEX(IF($T28&lt;24,pcomp_m,palt_m),MATCH($X28,IF($T28&lt;24,pcomp_k,palt_k),1)),""))</f>
        <v/>
      </c>
      <c r="AT28">
        <f>IF(OR($X28="",$T28&gt;60),"",IFERROR(INDEX(IF($T28&lt;24,pcomp_s,palt_s),MATCH($X28,IF($T28&lt;24,pcomp_k,palt_k),1)),""))</f>
        <v/>
      </c>
      <c r="AU28">
        <f>IF($AR28="","",IF($AR28=0,LN($F28/$AS28)/$AT28,((($F28/$AS28)^$AR28)-1)/($AR28*$AT28)))</f>
        <v/>
      </c>
      <c r="AV28">
        <f>IF($AR28="","",IF($AR28=0,$AS28*EXP($AT28*2),$AS28*(1+$AR28*$AT28*2)^(1/$AR28)))</f>
        <v/>
      </c>
      <c r="AW28">
        <f>IF($AR28="","",IF($AR28=0,$AS28*EXP($AT28*3),$AS28*(1+$AR28*$AT28*3)^(1/$AR28)))</f>
        <v/>
      </c>
      <c r="AX28">
        <f>IF($AR28="","",IF($AR28=0,$AS28*EXP($AT28*-2),$AS28*(1+$AR28*$AT28*-2)^(1/$AR28)))</f>
        <v/>
      </c>
      <c r="AY28">
        <f>IF($AR28="","",IF($AR28=0,$AS28*EXP($AT28*-3),$AS28*(1+$AR28*$AT28*-3)^(1/$AR28)))</f>
        <v/>
      </c>
      <c r="AZ28">
        <f>IF(OR($A28="",$A28&lt;&gt;Ficha!$C$4),"",COUNTIF($A$2:$A28,Ficha!$C$4))</f>
        <v/>
      </c>
    </row>
    <row r="29">
      <c r="A29" s="8">
        <f>IF(INDEX(Banco!$A:$A,ROW())="","",INDEX(Banco!$A:$A,ROW()))</f>
        <v/>
      </c>
      <c r="B29" s="8">
        <f>IF(INDEX(Banco!$B:$B,ROW())="","",INDEX(Banco!$B:$B,ROW()))</f>
        <v/>
      </c>
      <c r="C29" s="8">
        <f>IF(INDEX(Banco!$C:$C,ROW())="","",INDEX(Banco!$C:$C,ROW()))</f>
        <v/>
      </c>
      <c r="D29" s="9">
        <f>IF(INDEX(Banco!$D:$D,ROW())="","",INDEX(Banco!$D:$D,ROW()))</f>
        <v/>
      </c>
      <c r="E29" s="9">
        <f>IF(INDEX(Banco!$E:$E,ROW())="","",INDEX(Banco!$E:$E,ROW()))</f>
        <v/>
      </c>
      <c r="F29" s="10">
        <f>IF(INDEX(Banco!$F:$F,ROW())="","",INDEX(Banco!$F:$F,ROW()))</f>
        <v/>
      </c>
      <c r="G29" s="10">
        <f>IF(INDEX(Banco!$G:$G,ROW())="","",INDEX(Banco!$G:$G,ROW()))</f>
        <v/>
      </c>
      <c r="H29" s="8">
        <f>IF(INDEX(Banco!$H:$H,ROW())="","",INDEX(Banco!$H:$H,ROW()))</f>
        <v/>
      </c>
      <c r="I29">
        <f>IF($T29="","",INT($T29/12)&amp;"a "&amp;MOD($T29,12)&amp;"m")</f>
        <v/>
      </c>
      <c r="J29" s="11">
        <f>IF(OR($F29="",$G29=""),"",ROUND($F29/($G29/100)^2,2))</f>
        <v/>
      </c>
      <c r="K29" s="12">
        <f>IF(OR($S29="",$J29="",$T29="",$T29&lt;0,$T29&gt;228,$Y29=""),"—",ROUND(IF(ABS($AB29)&lt;=3,$AB29,IF($AB29&gt;3,3+($J29-$AD29)/($AD29-$AC29),-3+($J29-$AF29)/($AE29-$AF29))),2))</f>
        <v/>
      </c>
      <c r="L29">
        <f>IF(OR($K29="",$K29="—"),"",IF($T29&lt;=60,IF($K29&lt;-3,"Magreza acentuada",IF($K29&lt;-2,"Magreza",IF($K29&lt;=1,"Eutrofia",IF($K29&lt;=2,"Risco de sobrepeso",IF($K29&lt;=3,"Sobrepeso","Obesidade"))))),IF($K29&lt;-3,"Magreza acentuada",IF($K29&lt;-2,"Magreza",IF($K29&lt;=1,"Eutrofia",IF($K29&lt;=2,"Sobrepeso",IF($K29&lt;=3,"Obesidade","Obesidade grave")))))))</f>
        <v/>
      </c>
      <c r="M29" s="12">
        <f>IF(OR($S29="",$V29="",$T29="",$T29&lt;0,$T29&gt;228,$AG29=""),"—",ROUND(IF($AG29=0,LN($V29/$AH29)/$AI29,((($V29/$AH29)^$AG29)-1)/($AG29*$AI29)),2))</f>
        <v/>
      </c>
      <c r="N29">
        <f>IF(OR($M29="",$M29="—"),"",IF($M29&lt;-3,"Muito baixa",IF($M29&lt;-2,"Baixa","Adequada")))</f>
        <v/>
      </c>
      <c r="O29" s="12">
        <f>IF(OR($S29="",$F29="",$T29="",$T29&lt;0,$T29&gt;120,$AJ29=""),"—",ROUND(IF(ABS($AM29)&lt;=3,$AM29,IF($AM29&gt;3,3+($F29-$AO29)/($AO29-$AN29),-3+($F29-$AQ29)/($AP29-$AQ29))),2))</f>
        <v/>
      </c>
      <c r="P29">
        <f>IF(OR($O29="",$O29="—"),"",IF($O29&lt;-3,"Muito baixo",IF($O29&lt;-2,"Baixo",IF($O29&lt;=2,"Adequado","Elevado"))))</f>
        <v/>
      </c>
      <c r="Q29" s="12">
        <f>IF(OR($S29="",$F29="",$T29="",$T29&lt;0,$T29&gt;60,$AR29=""),"—",ROUND(IF(ABS($AU29)&lt;=3,$AU29,IF($AU29&gt;3,3+($F29-$AW29)/($AW29-$AV29),-3+($F29-$AY29)/($AX29-$AY29))),2))</f>
        <v/>
      </c>
      <c r="R29">
        <f>IF(OR($Q29="",$Q29="—"),"",IF($Q29&lt;-3,"Magreza acentuada",IF($Q29&lt;-2,"Magreza",IF($Q29&lt;=1,"Eutrofia",IF($Q29&lt;=2,"Risco de sobrepeso",IF($Q29&lt;=3,"Sobrepeso","Obesidade"))))))</f>
        <v/>
      </c>
      <c r="S29">
        <f>IF($C29="","",IF(UPPER(LEFT($C29,1))="M",1,IF(UPPER(LEFT($C29,1))="F",2,"")))</f>
        <v/>
      </c>
      <c r="T29">
        <f>IF(OR($D29="",$E29=""),"",DATEDIF($D29,$E29,"m"))</f>
        <v/>
      </c>
      <c r="U29">
        <f>IF(OR($D29="",$E29=""),"",$E29-$D29)</f>
        <v/>
      </c>
      <c r="V29">
        <f>IF(OR($G29="",$T29=""),"",IF($T29&lt;24,IF(LEFT(LOWER($H29),4)="em p",$G29+0.7,$G29),IF(LEFT(LOWER($H29),4)="deit",$G29-0.7,$G29)))</f>
        <v/>
      </c>
      <c r="W29">
        <f>IF(OR($S29="",$T29=""),"",$S29*1000000+IF($T29&lt;=60,$U29,$T29))</f>
        <v/>
      </c>
      <c r="X29">
        <f>IF(OR($S29="",$V29="",$T29&gt;60,$T29=""),"",$S29*1000000+ROUND($V29*10,0))</f>
        <v/>
      </c>
      <c r="Y29">
        <f>IF($W29="","",IFERROR(INDEX(IF($T29&lt;=60,imc05_l,imc519_l),MATCH($W29,IF($T29&lt;=60,imc05_k,imc519_k),1)),""))</f>
        <v/>
      </c>
      <c r="Z29">
        <f>IF($W29="","",IFERROR(INDEX(IF($T29&lt;=60,imc05_m,imc519_m),MATCH($W29,IF($T29&lt;=60,imc05_k,imc519_k),1)),""))</f>
        <v/>
      </c>
      <c r="AA29">
        <f>IF($W29="","",IFERROR(INDEX(IF($T29&lt;=60,imc05_s,imc519_s),MATCH($W29,IF($T29&lt;=60,imc05_k,imc519_k),1)),""))</f>
        <v/>
      </c>
      <c r="AB29">
        <f>IF($Y29="","",IF($Y29=0,LN($J29/$Z29)/$AA29,((($J29/$Z29)^$Y29)-1)/($Y29*$AA29)))</f>
        <v/>
      </c>
      <c r="AC29">
        <f>IF($Y29="","",IF($Y29=0,$Z29*EXP($AA29*2),$Z29*(1+$Y29*$AA29*2)^(1/$Y29)))</f>
        <v/>
      </c>
      <c r="AD29">
        <f>IF($Y29="","",IF($Y29=0,$Z29*EXP($AA29*3),$Z29*(1+$Y29*$AA29*3)^(1/$Y29)))</f>
        <v/>
      </c>
      <c r="AE29">
        <f>IF($Y29="","",IF($Y29=0,$Z29*EXP($AA29*-2),$Z29*(1+$Y29*$AA29*-2)^(1/$Y29)))</f>
        <v/>
      </c>
      <c r="AF29">
        <f>IF($Y29="","",IF($Y29=0,$Z29*EXP($AA29*-3),$Z29*(1+$Y29*$AA29*-3)^(1/$Y29)))</f>
        <v/>
      </c>
      <c r="AG29">
        <f>IF($W29="","",IFERROR(INDEX(IF($T29&lt;=60,est05_l,est519_l),MATCH($W29,IF($T29&lt;=60,est05_k,est519_k),1)),""))</f>
        <v/>
      </c>
      <c r="AH29">
        <f>IF($W29="","",IFERROR(INDEX(IF($T29&lt;=60,est05_m,est519_m),MATCH($W29,IF($T29&lt;=60,est05_k,est519_k),1)),""))</f>
        <v/>
      </c>
      <c r="AI29">
        <f>IF($W29="","",IFERROR(INDEX(IF($T29&lt;=60,est05_s,est519_s),MATCH($W29,IF($T29&lt;=60,est05_k,est519_k),1)),""))</f>
        <v/>
      </c>
      <c r="AJ29">
        <f>IF($W29="","",IFERROR(INDEX(IF($T29&lt;=60,peso05_l,peso510_l),MATCH($W29,IF($T29&lt;=60,peso05_k,peso510_k),1)),""))</f>
        <v/>
      </c>
      <c r="AK29">
        <f>IF($W29="","",IFERROR(INDEX(IF($T29&lt;=60,peso05_m,peso510_m),MATCH($W29,IF($T29&lt;=60,peso05_k,peso510_k),1)),""))</f>
        <v/>
      </c>
      <c r="AL29">
        <f>IF($W29="","",IFERROR(INDEX(IF($T29&lt;=60,peso05_s,peso510_s),MATCH($W29,IF($T29&lt;=60,peso05_k,peso510_k),1)),""))</f>
        <v/>
      </c>
      <c r="AM29">
        <f>IF($AJ29="","",IF($AJ29=0,LN($F29/$AK29)/$AL29,((($F29/$AK29)^$AJ29)-1)/($AJ29*$AL29)))</f>
        <v/>
      </c>
      <c r="AN29">
        <f>IF($AJ29="","",IF($AJ29=0,$AK29*EXP($AL29*2),$AK29*(1+$AJ29*$AL29*2)^(1/$AJ29)))</f>
        <v/>
      </c>
      <c r="AO29">
        <f>IF($AJ29="","",IF($AJ29=0,$AK29*EXP($AL29*3),$AK29*(1+$AJ29*$AL29*3)^(1/$AJ29)))</f>
        <v/>
      </c>
      <c r="AP29">
        <f>IF($AJ29="","",IF($AJ29=0,$AK29*EXP($AL29*-2),$AK29*(1+$AJ29*$AL29*-2)^(1/$AJ29)))</f>
        <v/>
      </c>
      <c r="AQ29">
        <f>IF($AJ29="","",IF($AJ29=0,$AK29*EXP($AL29*-3),$AK29*(1+$AJ29*$AL29*-3)^(1/$AJ29)))</f>
        <v/>
      </c>
      <c r="AR29">
        <f>IF(OR($X29="",$T29&gt;60),"",IFERROR(INDEX(IF($T29&lt;24,pcomp_l,palt_l),MATCH($X29,IF($T29&lt;24,pcomp_k,palt_k),1)),""))</f>
        <v/>
      </c>
      <c r="AS29">
        <f>IF(OR($X29="",$T29&gt;60),"",IFERROR(INDEX(IF($T29&lt;24,pcomp_m,palt_m),MATCH($X29,IF($T29&lt;24,pcomp_k,palt_k),1)),""))</f>
        <v/>
      </c>
      <c r="AT29">
        <f>IF(OR($X29="",$T29&gt;60),"",IFERROR(INDEX(IF($T29&lt;24,pcomp_s,palt_s),MATCH($X29,IF($T29&lt;24,pcomp_k,palt_k),1)),""))</f>
        <v/>
      </c>
      <c r="AU29">
        <f>IF($AR29="","",IF($AR29=0,LN($F29/$AS29)/$AT29,((($F29/$AS29)^$AR29)-1)/($AR29*$AT29)))</f>
        <v/>
      </c>
      <c r="AV29">
        <f>IF($AR29="","",IF($AR29=0,$AS29*EXP($AT29*2),$AS29*(1+$AR29*$AT29*2)^(1/$AR29)))</f>
        <v/>
      </c>
      <c r="AW29">
        <f>IF($AR29="","",IF($AR29=0,$AS29*EXP($AT29*3),$AS29*(1+$AR29*$AT29*3)^(1/$AR29)))</f>
        <v/>
      </c>
      <c r="AX29">
        <f>IF($AR29="","",IF($AR29=0,$AS29*EXP($AT29*-2),$AS29*(1+$AR29*$AT29*-2)^(1/$AR29)))</f>
        <v/>
      </c>
      <c r="AY29">
        <f>IF($AR29="","",IF($AR29=0,$AS29*EXP($AT29*-3),$AS29*(1+$AR29*$AT29*-3)^(1/$AR29)))</f>
        <v/>
      </c>
      <c r="AZ29">
        <f>IF(OR($A29="",$A29&lt;&gt;Ficha!$C$4),"",COUNTIF($A$2:$A29,Ficha!$C$4))</f>
        <v/>
      </c>
    </row>
    <row r="30">
      <c r="A30" s="8">
        <f>IF(INDEX(Banco!$A:$A,ROW())="","",INDEX(Banco!$A:$A,ROW()))</f>
        <v/>
      </c>
      <c r="B30" s="8">
        <f>IF(INDEX(Banco!$B:$B,ROW())="","",INDEX(Banco!$B:$B,ROW()))</f>
        <v/>
      </c>
      <c r="C30" s="8">
        <f>IF(INDEX(Banco!$C:$C,ROW())="","",INDEX(Banco!$C:$C,ROW()))</f>
        <v/>
      </c>
      <c r="D30" s="9">
        <f>IF(INDEX(Banco!$D:$D,ROW())="","",INDEX(Banco!$D:$D,ROW()))</f>
        <v/>
      </c>
      <c r="E30" s="9">
        <f>IF(INDEX(Banco!$E:$E,ROW())="","",INDEX(Banco!$E:$E,ROW()))</f>
        <v/>
      </c>
      <c r="F30" s="10">
        <f>IF(INDEX(Banco!$F:$F,ROW())="","",INDEX(Banco!$F:$F,ROW()))</f>
        <v/>
      </c>
      <c r="G30" s="10">
        <f>IF(INDEX(Banco!$G:$G,ROW())="","",INDEX(Banco!$G:$G,ROW()))</f>
        <v/>
      </c>
      <c r="H30" s="8">
        <f>IF(INDEX(Banco!$H:$H,ROW())="","",INDEX(Banco!$H:$H,ROW()))</f>
        <v/>
      </c>
      <c r="I30">
        <f>IF($T30="","",INT($T30/12)&amp;"a "&amp;MOD($T30,12)&amp;"m")</f>
        <v/>
      </c>
      <c r="J30" s="11">
        <f>IF(OR($F30="",$G30=""),"",ROUND($F30/($G30/100)^2,2))</f>
        <v/>
      </c>
      <c r="K30" s="12">
        <f>IF(OR($S30="",$J30="",$T30="",$T30&lt;0,$T30&gt;228,$Y30=""),"—",ROUND(IF(ABS($AB30)&lt;=3,$AB30,IF($AB30&gt;3,3+($J30-$AD30)/($AD30-$AC30),-3+($J30-$AF30)/($AE30-$AF30))),2))</f>
        <v/>
      </c>
      <c r="L30">
        <f>IF(OR($K30="",$K30="—"),"",IF($T30&lt;=60,IF($K30&lt;-3,"Magreza acentuada",IF($K30&lt;-2,"Magreza",IF($K30&lt;=1,"Eutrofia",IF($K30&lt;=2,"Risco de sobrepeso",IF($K30&lt;=3,"Sobrepeso","Obesidade"))))),IF($K30&lt;-3,"Magreza acentuada",IF($K30&lt;-2,"Magreza",IF($K30&lt;=1,"Eutrofia",IF($K30&lt;=2,"Sobrepeso",IF($K30&lt;=3,"Obesidade","Obesidade grave")))))))</f>
        <v/>
      </c>
      <c r="M30" s="12">
        <f>IF(OR($S30="",$V30="",$T30="",$T30&lt;0,$T30&gt;228,$AG30=""),"—",ROUND(IF($AG30=0,LN($V30/$AH30)/$AI30,((($V30/$AH30)^$AG30)-1)/($AG30*$AI30)),2))</f>
        <v/>
      </c>
      <c r="N30">
        <f>IF(OR($M30="",$M30="—"),"",IF($M30&lt;-3,"Muito baixa",IF($M30&lt;-2,"Baixa","Adequada")))</f>
        <v/>
      </c>
      <c r="O30" s="12">
        <f>IF(OR($S30="",$F30="",$T30="",$T30&lt;0,$T30&gt;120,$AJ30=""),"—",ROUND(IF(ABS($AM30)&lt;=3,$AM30,IF($AM30&gt;3,3+($F30-$AO30)/($AO30-$AN30),-3+($F30-$AQ30)/($AP30-$AQ30))),2))</f>
        <v/>
      </c>
      <c r="P30">
        <f>IF(OR($O30="",$O30="—"),"",IF($O30&lt;-3,"Muito baixo",IF($O30&lt;-2,"Baixo",IF($O30&lt;=2,"Adequado","Elevado"))))</f>
        <v/>
      </c>
      <c r="Q30" s="12">
        <f>IF(OR($S30="",$F30="",$T30="",$T30&lt;0,$T30&gt;60,$AR30=""),"—",ROUND(IF(ABS($AU30)&lt;=3,$AU30,IF($AU30&gt;3,3+($F30-$AW30)/($AW30-$AV30),-3+($F30-$AY30)/($AX30-$AY30))),2))</f>
        <v/>
      </c>
      <c r="R30">
        <f>IF(OR($Q30="",$Q30="—"),"",IF($Q30&lt;-3,"Magreza acentuada",IF($Q30&lt;-2,"Magreza",IF($Q30&lt;=1,"Eutrofia",IF($Q30&lt;=2,"Risco de sobrepeso",IF($Q30&lt;=3,"Sobrepeso","Obesidade"))))))</f>
        <v/>
      </c>
      <c r="S30">
        <f>IF($C30="","",IF(UPPER(LEFT($C30,1))="M",1,IF(UPPER(LEFT($C30,1))="F",2,"")))</f>
        <v/>
      </c>
      <c r="T30">
        <f>IF(OR($D30="",$E30=""),"",DATEDIF($D30,$E30,"m"))</f>
        <v/>
      </c>
      <c r="U30">
        <f>IF(OR($D30="",$E30=""),"",$E30-$D30)</f>
        <v/>
      </c>
      <c r="V30">
        <f>IF(OR($G30="",$T30=""),"",IF($T30&lt;24,IF(LEFT(LOWER($H30),4)="em p",$G30+0.7,$G30),IF(LEFT(LOWER($H30),4)="deit",$G30-0.7,$G30)))</f>
        <v/>
      </c>
      <c r="W30">
        <f>IF(OR($S30="",$T30=""),"",$S30*1000000+IF($T30&lt;=60,$U30,$T30))</f>
        <v/>
      </c>
      <c r="X30">
        <f>IF(OR($S30="",$V30="",$T30&gt;60,$T30=""),"",$S30*1000000+ROUND($V30*10,0))</f>
        <v/>
      </c>
      <c r="Y30">
        <f>IF($W30="","",IFERROR(INDEX(IF($T30&lt;=60,imc05_l,imc519_l),MATCH($W30,IF($T30&lt;=60,imc05_k,imc519_k),1)),""))</f>
        <v/>
      </c>
      <c r="Z30">
        <f>IF($W30="","",IFERROR(INDEX(IF($T30&lt;=60,imc05_m,imc519_m),MATCH($W30,IF($T30&lt;=60,imc05_k,imc519_k),1)),""))</f>
        <v/>
      </c>
      <c r="AA30">
        <f>IF($W30="","",IFERROR(INDEX(IF($T30&lt;=60,imc05_s,imc519_s),MATCH($W30,IF($T30&lt;=60,imc05_k,imc519_k),1)),""))</f>
        <v/>
      </c>
      <c r="AB30">
        <f>IF($Y30="","",IF($Y30=0,LN($J30/$Z30)/$AA30,((($J30/$Z30)^$Y30)-1)/($Y30*$AA30)))</f>
        <v/>
      </c>
      <c r="AC30">
        <f>IF($Y30="","",IF($Y30=0,$Z30*EXP($AA30*2),$Z30*(1+$Y30*$AA30*2)^(1/$Y30)))</f>
        <v/>
      </c>
      <c r="AD30">
        <f>IF($Y30="","",IF($Y30=0,$Z30*EXP($AA30*3),$Z30*(1+$Y30*$AA30*3)^(1/$Y30)))</f>
        <v/>
      </c>
      <c r="AE30">
        <f>IF($Y30="","",IF($Y30=0,$Z30*EXP($AA30*-2),$Z30*(1+$Y30*$AA30*-2)^(1/$Y30)))</f>
        <v/>
      </c>
      <c r="AF30">
        <f>IF($Y30="","",IF($Y30=0,$Z30*EXP($AA30*-3),$Z30*(1+$Y30*$AA30*-3)^(1/$Y30)))</f>
        <v/>
      </c>
      <c r="AG30">
        <f>IF($W30="","",IFERROR(INDEX(IF($T30&lt;=60,est05_l,est519_l),MATCH($W30,IF($T30&lt;=60,est05_k,est519_k),1)),""))</f>
        <v/>
      </c>
      <c r="AH30">
        <f>IF($W30="","",IFERROR(INDEX(IF($T30&lt;=60,est05_m,est519_m),MATCH($W30,IF($T30&lt;=60,est05_k,est519_k),1)),""))</f>
        <v/>
      </c>
      <c r="AI30">
        <f>IF($W30="","",IFERROR(INDEX(IF($T30&lt;=60,est05_s,est519_s),MATCH($W30,IF($T30&lt;=60,est05_k,est519_k),1)),""))</f>
        <v/>
      </c>
      <c r="AJ30">
        <f>IF($W30="","",IFERROR(INDEX(IF($T30&lt;=60,peso05_l,peso510_l),MATCH($W30,IF($T30&lt;=60,peso05_k,peso510_k),1)),""))</f>
        <v/>
      </c>
      <c r="AK30">
        <f>IF($W30="","",IFERROR(INDEX(IF($T30&lt;=60,peso05_m,peso510_m),MATCH($W30,IF($T30&lt;=60,peso05_k,peso510_k),1)),""))</f>
        <v/>
      </c>
      <c r="AL30">
        <f>IF($W30="","",IFERROR(INDEX(IF($T30&lt;=60,peso05_s,peso510_s),MATCH($W30,IF($T30&lt;=60,peso05_k,peso510_k),1)),""))</f>
        <v/>
      </c>
      <c r="AM30">
        <f>IF($AJ30="","",IF($AJ30=0,LN($F30/$AK30)/$AL30,((($F30/$AK30)^$AJ30)-1)/($AJ30*$AL30)))</f>
        <v/>
      </c>
      <c r="AN30">
        <f>IF($AJ30="","",IF($AJ30=0,$AK30*EXP($AL30*2),$AK30*(1+$AJ30*$AL30*2)^(1/$AJ30)))</f>
        <v/>
      </c>
      <c r="AO30">
        <f>IF($AJ30="","",IF($AJ30=0,$AK30*EXP($AL30*3),$AK30*(1+$AJ30*$AL30*3)^(1/$AJ30)))</f>
        <v/>
      </c>
      <c r="AP30">
        <f>IF($AJ30="","",IF($AJ30=0,$AK30*EXP($AL30*-2),$AK30*(1+$AJ30*$AL30*-2)^(1/$AJ30)))</f>
        <v/>
      </c>
      <c r="AQ30">
        <f>IF($AJ30="","",IF($AJ30=0,$AK30*EXP($AL30*-3),$AK30*(1+$AJ30*$AL30*-3)^(1/$AJ30)))</f>
        <v/>
      </c>
      <c r="AR30">
        <f>IF(OR($X30="",$T30&gt;60),"",IFERROR(INDEX(IF($T30&lt;24,pcomp_l,palt_l),MATCH($X30,IF($T30&lt;24,pcomp_k,palt_k),1)),""))</f>
        <v/>
      </c>
      <c r="AS30">
        <f>IF(OR($X30="",$T30&gt;60),"",IFERROR(INDEX(IF($T30&lt;24,pcomp_m,palt_m),MATCH($X30,IF($T30&lt;24,pcomp_k,palt_k),1)),""))</f>
        <v/>
      </c>
      <c r="AT30">
        <f>IF(OR($X30="",$T30&gt;60),"",IFERROR(INDEX(IF($T30&lt;24,pcomp_s,palt_s),MATCH($X30,IF($T30&lt;24,pcomp_k,palt_k),1)),""))</f>
        <v/>
      </c>
      <c r="AU30">
        <f>IF($AR30="","",IF($AR30=0,LN($F30/$AS30)/$AT30,((($F30/$AS30)^$AR30)-1)/($AR30*$AT30)))</f>
        <v/>
      </c>
      <c r="AV30">
        <f>IF($AR30="","",IF($AR30=0,$AS30*EXP($AT30*2),$AS30*(1+$AR30*$AT30*2)^(1/$AR30)))</f>
        <v/>
      </c>
      <c r="AW30">
        <f>IF($AR30="","",IF($AR30=0,$AS30*EXP($AT30*3),$AS30*(1+$AR30*$AT30*3)^(1/$AR30)))</f>
        <v/>
      </c>
      <c r="AX30">
        <f>IF($AR30="","",IF($AR30=0,$AS30*EXP($AT30*-2),$AS30*(1+$AR30*$AT30*-2)^(1/$AR30)))</f>
        <v/>
      </c>
      <c r="AY30">
        <f>IF($AR30="","",IF($AR30=0,$AS30*EXP($AT30*-3),$AS30*(1+$AR30*$AT30*-3)^(1/$AR30)))</f>
        <v/>
      </c>
      <c r="AZ30">
        <f>IF(OR($A30="",$A30&lt;&gt;Ficha!$C$4),"",COUNTIF($A$2:$A30,Ficha!$C$4))</f>
        <v/>
      </c>
    </row>
    <row r="31">
      <c r="A31" s="8">
        <f>IF(INDEX(Banco!$A:$A,ROW())="","",INDEX(Banco!$A:$A,ROW()))</f>
        <v/>
      </c>
      <c r="B31" s="8">
        <f>IF(INDEX(Banco!$B:$B,ROW())="","",INDEX(Banco!$B:$B,ROW()))</f>
        <v/>
      </c>
      <c r="C31" s="8">
        <f>IF(INDEX(Banco!$C:$C,ROW())="","",INDEX(Banco!$C:$C,ROW()))</f>
        <v/>
      </c>
      <c r="D31" s="9">
        <f>IF(INDEX(Banco!$D:$D,ROW())="","",INDEX(Banco!$D:$D,ROW()))</f>
        <v/>
      </c>
      <c r="E31" s="9">
        <f>IF(INDEX(Banco!$E:$E,ROW())="","",INDEX(Banco!$E:$E,ROW()))</f>
        <v/>
      </c>
      <c r="F31" s="10">
        <f>IF(INDEX(Banco!$F:$F,ROW())="","",INDEX(Banco!$F:$F,ROW()))</f>
        <v/>
      </c>
      <c r="G31" s="10">
        <f>IF(INDEX(Banco!$G:$G,ROW())="","",INDEX(Banco!$G:$G,ROW()))</f>
        <v/>
      </c>
      <c r="H31" s="8">
        <f>IF(INDEX(Banco!$H:$H,ROW())="","",INDEX(Banco!$H:$H,ROW()))</f>
        <v/>
      </c>
      <c r="I31">
        <f>IF($T31="","",INT($T31/12)&amp;"a "&amp;MOD($T31,12)&amp;"m")</f>
        <v/>
      </c>
      <c r="J31" s="11">
        <f>IF(OR($F31="",$G31=""),"",ROUND($F31/($G31/100)^2,2))</f>
        <v/>
      </c>
      <c r="K31" s="12">
        <f>IF(OR($S31="",$J31="",$T31="",$T31&lt;0,$T31&gt;228,$Y31=""),"—",ROUND(IF(ABS($AB31)&lt;=3,$AB31,IF($AB31&gt;3,3+($J31-$AD31)/($AD31-$AC31),-3+($J31-$AF31)/($AE31-$AF31))),2))</f>
        <v/>
      </c>
      <c r="L31">
        <f>IF(OR($K31="",$K31="—"),"",IF($T31&lt;=60,IF($K31&lt;-3,"Magreza acentuada",IF($K31&lt;-2,"Magreza",IF($K31&lt;=1,"Eutrofia",IF($K31&lt;=2,"Risco de sobrepeso",IF($K31&lt;=3,"Sobrepeso","Obesidade"))))),IF($K31&lt;-3,"Magreza acentuada",IF($K31&lt;-2,"Magreza",IF($K31&lt;=1,"Eutrofia",IF($K31&lt;=2,"Sobrepeso",IF($K31&lt;=3,"Obesidade","Obesidade grave")))))))</f>
        <v/>
      </c>
      <c r="M31" s="12">
        <f>IF(OR($S31="",$V31="",$T31="",$T31&lt;0,$T31&gt;228,$AG31=""),"—",ROUND(IF($AG31=0,LN($V31/$AH31)/$AI31,((($V31/$AH31)^$AG31)-1)/($AG31*$AI31)),2))</f>
        <v/>
      </c>
      <c r="N31">
        <f>IF(OR($M31="",$M31="—"),"",IF($M31&lt;-3,"Muito baixa",IF($M31&lt;-2,"Baixa","Adequada")))</f>
        <v/>
      </c>
      <c r="O31" s="12">
        <f>IF(OR($S31="",$F31="",$T31="",$T31&lt;0,$T31&gt;120,$AJ31=""),"—",ROUND(IF(ABS($AM31)&lt;=3,$AM31,IF($AM31&gt;3,3+($F31-$AO31)/($AO31-$AN31),-3+($F31-$AQ31)/($AP31-$AQ31))),2))</f>
        <v/>
      </c>
      <c r="P31">
        <f>IF(OR($O31="",$O31="—"),"",IF($O31&lt;-3,"Muito baixo",IF($O31&lt;-2,"Baixo",IF($O31&lt;=2,"Adequado","Elevado"))))</f>
        <v/>
      </c>
      <c r="Q31" s="12">
        <f>IF(OR($S31="",$F31="",$T31="",$T31&lt;0,$T31&gt;60,$AR31=""),"—",ROUND(IF(ABS($AU31)&lt;=3,$AU31,IF($AU31&gt;3,3+($F31-$AW31)/($AW31-$AV31),-3+($F31-$AY31)/($AX31-$AY31))),2))</f>
        <v/>
      </c>
      <c r="R31">
        <f>IF(OR($Q31="",$Q31="—"),"",IF($Q31&lt;-3,"Magreza acentuada",IF($Q31&lt;-2,"Magreza",IF($Q31&lt;=1,"Eutrofia",IF($Q31&lt;=2,"Risco de sobrepeso",IF($Q31&lt;=3,"Sobrepeso","Obesidade"))))))</f>
        <v/>
      </c>
      <c r="S31">
        <f>IF($C31="","",IF(UPPER(LEFT($C31,1))="M",1,IF(UPPER(LEFT($C31,1))="F",2,"")))</f>
        <v/>
      </c>
      <c r="T31">
        <f>IF(OR($D31="",$E31=""),"",DATEDIF($D31,$E31,"m"))</f>
        <v/>
      </c>
      <c r="U31">
        <f>IF(OR($D31="",$E31=""),"",$E31-$D31)</f>
        <v/>
      </c>
      <c r="V31">
        <f>IF(OR($G31="",$T31=""),"",IF($T31&lt;24,IF(LEFT(LOWER($H31),4)="em p",$G31+0.7,$G31),IF(LEFT(LOWER($H31),4)="deit",$G31-0.7,$G31)))</f>
        <v/>
      </c>
      <c r="W31">
        <f>IF(OR($S31="",$T31=""),"",$S31*1000000+IF($T31&lt;=60,$U31,$T31))</f>
        <v/>
      </c>
      <c r="X31">
        <f>IF(OR($S31="",$V31="",$T31&gt;60,$T31=""),"",$S31*1000000+ROUND($V31*10,0))</f>
        <v/>
      </c>
      <c r="Y31">
        <f>IF($W31="","",IFERROR(INDEX(IF($T31&lt;=60,imc05_l,imc519_l),MATCH($W31,IF($T31&lt;=60,imc05_k,imc519_k),1)),""))</f>
        <v/>
      </c>
      <c r="Z31">
        <f>IF($W31="","",IFERROR(INDEX(IF($T31&lt;=60,imc05_m,imc519_m),MATCH($W31,IF($T31&lt;=60,imc05_k,imc519_k),1)),""))</f>
        <v/>
      </c>
      <c r="AA31">
        <f>IF($W31="","",IFERROR(INDEX(IF($T31&lt;=60,imc05_s,imc519_s),MATCH($W31,IF($T31&lt;=60,imc05_k,imc519_k),1)),""))</f>
        <v/>
      </c>
      <c r="AB31">
        <f>IF($Y31="","",IF($Y31=0,LN($J31/$Z31)/$AA31,((($J31/$Z31)^$Y31)-1)/($Y31*$AA31)))</f>
        <v/>
      </c>
      <c r="AC31">
        <f>IF($Y31="","",IF($Y31=0,$Z31*EXP($AA31*2),$Z31*(1+$Y31*$AA31*2)^(1/$Y31)))</f>
        <v/>
      </c>
      <c r="AD31">
        <f>IF($Y31="","",IF($Y31=0,$Z31*EXP($AA31*3),$Z31*(1+$Y31*$AA31*3)^(1/$Y31)))</f>
        <v/>
      </c>
      <c r="AE31">
        <f>IF($Y31="","",IF($Y31=0,$Z31*EXP($AA31*-2),$Z31*(1+$Y31*$AA31*-2)^(1/$Y31)))</f>
        <v/>
      </c>
      <c r="AF31">
        <f>IF($Y31="","",IF($Y31=0,$Z31*EXP($AA31*-3),$Z31*(1+$Y31*$AA31*-3)^(1/$Y31)))</f>
        <v/>
      </c>
      <c r="AG31">
        <f>IF($W31="","",IFERROR(INDEX(IF($T31&lt;=60,est05_l,est519_l),MATCH($W31,IF($T31&lt;=60,est05_k,est519_k),1)),""))</f>
        <v/>
      </c>
      <c r="AH31">
        <f>IF($W31="","",IFERROR(INDEX(IF($T31&lt;=60,est05_m,est519_m),MATCH($W31,IF($T31&lt;=60,est05_k,est519_k),1)),""))</f>
        <v/>
      </c>
      <c r="AI31">
        <f>IF($W31="","",IFERROR(INDEX(IF($T31&lt;=60,est05_s,est519_s),MATCH($W31,IF($T31&lt;=60,est05_k,est519_k),1)),""))</f>
        <v/>
      </c>
      <c r="AJ31">
        <f>IF($W31="","",IFERROR(INDEX(IF($T31&lt;=60,peso05_l,peso510_l),MATCH($W31,IF($T31&lt;=60,peso05_k,peso510_k),1)),""))</f>
        <v/>
      </c>
      <c r="AK31">
        <f>IF($W31="","",IFERROR(INDEX(IF($T31&lt;=60,peso05_m,peso510_m),MATCH($W31,IF($T31&lt;=60,peso05_k,peso510_k),1)),""))</f>
        <v/>
      </c>
      <c r="AL31">
        <f>IF($W31="","",IFERROR(INDEX(IF($T31&lt;=60,peso05_s,peso510_s),MATCH($W31,IF($T31&lt;=60,peso05_k,peso510_k),1)),""))</f>
        <v/>
      </c>
      <c r="AM31">
        <f>IF($AJ31="","",IF($AJ31=0,LN($F31/$AK31)/$AL31,((($F31/$AK31)^$AJ31)-1)/($AJ31*$AL31)))</f>
        <v/>
      </c>
      <c r="AN31">
        <f>IF($AJ31="","",IF($AJ31=0,$AK31*EXP($AL31*2),$AK31*(1+$AJ31*$AL31*2)^(1/$AJ31)))</f>
        <v/>
      </c>
      <c r="AO31">
        <f>IF($AJ31="","",IF($AJ31=0,$AK31*EXP($AL31*3),$AK31*(1+$AJ31*$AL31*3)^(1/$AJ31)))</f>
        <v/>
      </c>
      <c r="AP31">
        <f>IF($AJ31="","",IF($AJ31=0,$AK31*EXP($AL31*-2),$AK31*(1+$AJ31*$AL31*-2)^(1/$AJ31)))</f>
        <v/>
      </c>
      <c r="AQ31">
        <f>IF($AJ31="","",IF($AJ31=0,$AK31*EXP($AL31*-3),$AK31*(1+$AJ31*$AL31*-3)^(1/$AJ31)))</f>
        <v/>
      </c>
      <c r="AR31">
        <f>IF(OR($X31="",$T31&gt;60),"",IFERROR(INDEX(IF($T31&lt;24,pcomp_l,palt_l),MATCH($X31,IF($T31&lt;24,pcomp_k,palt_k),1)),""))</f>
        <v/>
      </c>
      <c r="AS31">
        <f>IF(OR($X31="",$T31&gt;60),"",IFERROR(INDEX(IF($T31&lt;24,pcomp_m,palt_m),MATCH($X31,IF($T31&lt;24,pcomp_k,palt_k),1)),""))</f>
        <v/>
      </c>
      <c r="AT31">
        <f>IF(OR($X31="",$T31&gt;60),"",IFERROR(INDEX(IF($T31&lt;24,pcomp_s,palt_s),MATCH($X31,IF($T31&lt;24,pcomp_k,palt_k),1)),""))</f>
        <v/>
      </c>
      <c r="AU31">
        <f>IF($AR31="","",IF($AR31=0,LN($F31/$AS31)/$AT31,((($F31/$AS31)^$AR31)-1)/($AR31*$AT31)))</f>
        <v/>
      </c>
      <c r="AV31">
        <f>IF($AR31="","",IF($AR31=0,$AS31*EXP($AT31*2),$AS31*(1+$AR31*$AT31*2)^(1/$AR31)))</f>
        <v/>
      </c>
      <c r="AW31">
        <f>IF($AR31="","",IF($AR31=0,$AS31*EXP($AT31*3),$AS31*(1+$AR31*$AT31*3)^(1/$AR31)))</f>
        <v/>
      </c>
      <c r="AX31">
        <f>IF($AR31="","",IF($AR31=0,$AS31*EXP($AT31*-2),$AS31*(1+$AR31*$AT31*-2)^(1/$AR31)))</f>
        <v/>
      </c>
      <c r="AY31">
        <f>IF($AR31="","",IF($AR31=0,$AS31*EXP($AT31*-3),$AS31*(1+$AR31*$AT31*-3)^(1/$AR31)))</f>
        <v/>
      </c>
      <c r="AZ31">
        <f>IF(OR($A31="",$A31&lt;&gt;Ficha!$C$4),"",COUNTIF($A$2:$A31,Ficha!$C$4))</f>
        <v/>
      </c>
    </row>
    <row r="32">
      <c r="A32" s="8">
        <f>IF(INDEX(Banco!$A:$A,ROW())="","",INDEX(Banco!$A:$A,ROW()))</f>
        <v/>
      </c>
      <c r="B32" s="8">
        <f>IF(INDEX(Banco!$B:$B,ROW())="","",INDEX(Banco!$B:$B,ROW()))</f>
        <v/>
      </c>
      <c r="C32" s="8">
        <f>IF(INDEX(Banco!$C:$C,ROW())="","",INDEX(Banco!$C:$C,ROW()))</f>
        <v/>
      </c>
      <c r="D32" s="9">
        <f>IF(INDEX(Banco!$D:$D,ROW())="","",INDEX(Banco!$D:$D,ROW()))</f>
        <v/>
      </c>
      <c r="E32" s="9">
        <f>IF(INDEX(Banco!$E:$E,ROW())="","",INDEX(Banco!$E:$E,ROW()))</f>
        <v/>
      </c>
      <c r="F32" s="10">
        <f>IF(INDEX(Banco!$F:$F,ROW())="","",INDEX(Banco!$F:$F,ROW()))</f>
        <v/>
      </c>
      <c r="G32" s="10">
        <f>IF(INDEX(Banco!$G:$G,ROW())="","",INDEX(Banco!$G:$G,ROW()))</f>
        <v/>
      </c>
      <c r="H32" s="8">
        <f>IF(INDEX(Banco!$H:$H,ROW())="","",INDEX(Banco!$H:$H,ROW()))</f>
        <v/>
      </c>
      <c r="I32">
        <f>IF($T32="","",INT($T32/12)&amp;"a "&amp;MOD($T32,12)&amp;"m")</f>
        <v/>
      </c>
      <c r="J32" s="11">
        <f>IF(OR($F32="",$G32=""),"",ROUND($F32/($G32/100)^2,2))</f>
        <v/>
      </c>
      <c r="K32" s="12">
        <f>IF(OR($S32="",$J32="",$T32="",$T32&lt;0,$T32&gt;228,$Y32=""),"—",ROUND(IF(ABS($AB32)&lt;=3,$AB32,IF($AB32&gt;3,3+($J32-$AD32)/($AD32-$AC32),-3+($J32-$AF32)/($AE32-$AF32))),2))</f>
        <v/>
      </c>
      <c r="L32">
        <f>IF(OR($K32="",$K32="—"),"",IF($T32&lt;=60,IF($K32&lt;-3,"Magreza acentuada",IF($K32&lt;-2,"Magreza",IF($K32&lt;=1,"Eutrofia",IF($K32&lt;=2,"Risco de sobrepeso",IF($K32&lt;=3,"Sobrepeso","Obesidade"))))),IF($K32&lt;-3,"Magreza acentuada",IF($K32&lt;-2,"Magreza",IF($K32&lt;=1,"Eutrofia",IF($K32&lt;=2,"Sobrepeso",IF($K32&lt;=3,"Obesidade","Obesidade grave")))))))</f>
        <v/>
      </c>
      <c r="M32" s="12">
        <f>IF(OR($S32="",$V32="",$T32="",$T32&lt;0,$T32&gt;228,$AG32=""),"—",ROUND(IF($AG32=0,LN($V32/$AH32)/$AI32,((($V32/$AH32)^$AG32)-1)/($AG32*$AI32)),2))</f>
        <v/>
      </c>
      <c r="N32">
        <f>IF(OR($M32="",$M32="—"),"",IF($M32&lt;-3,"Muito baixa",IF($M32&lt;-2,"Baixa","Adequada")))</f>
        <v/>
      </c>
      <c r="O32" s="12">
        <f>IF(OR($S32="",$F32="",$T32="",$T32&lt;0,$T32&gt;120,$AJ32=""),"—",ROUND(IF(ABS($AM32)&lt;=3,$AM32,IF($AM32&gt;3,3+($F32-$AO32)/($AO32-$AN32),-3+($F32-$AQ32)/($AP32-$AQ32))),2))</f>
        <v/>
      </c>
      <c r="P32">
        <f>IF(OR($O32="",$O32="—"),"",IF($O32&lt;-3,"Muito baixo",IF($O32&lt;-2,"Baixo",IF($O32&lt;=2,"Adequado","Elevado"))))</f>
        <v/>
      </c>
      <c r="Q32" s="12">
        <f>IF(OR($S32="",$F32="",$T32="",$T32&lt;0,$T32&gt;60,$AR32=""),"—",ROUND(IF(ABS($AU32)&lt;=3,$AU32,IF($AU32&gt;3,3+($F32-$AW32)/($AW32-$AV32),-3+($F32-$AY32)/($AX32-$AY32))),2))</f>
        <v/>
      </c>
      <c r="R32">
        <f>IF(OR($Q32="",$Q32="—"),"",IF($Q32&lt;-3,"Magreza acentuada",IF($Q32&lt;-2,"Magreza",IF($Q32&lt;=1,"Eutrofia",IF($Q32&lt;=2,"Risco de sobrepeso",IF($Q32&lt;=3,"Sobrepeso","Obesidade"))))))</f>
        <v/>
      </c>
      <c r="S32">
        <f>IF($C32="","",IF(UPPER(LEFT($C32,1))="M",1,IF(UPPER(LEFT($C32,1))="F",2,"")))</f>
        <v/>
      </c>
      <c r="T32">
        <f>IF(OR($D32="",$E32=""),"",DATEDIF($D32,$E32,"m"))</f>
        <v/>
      </c>
      <c r="U32">
        <f>IF(OR($D32="",$E32=""),"",$E32-$D32)</f>
        <v/>
      </c>
      <c r="V32">
        <f>IF(OR($G32="",$T32=""),"",IF($T32&lt;24,IF(LEFT(LOWER($H32),4)="em p",$G32+0.7,$G32),IF(LEFT(LOWER($H32),4)="deit",$G32-0.7,$G32)))</f>
        <v/>
      </c>
      <c r="W32">
        <f>IF(OR($S32="",$T32=""),"",$S32*1000000+IF($T32&lt;=60,$U32,$T32))</f>
        <v/>
      </c>
      <c r="X32">
        <f>IF(OR($S32="",$V32="",$T32&gt;60,$T32=""),"",$S32*1000000+ROUND($V32*10,0))</f>
        <v/>
      </c>
      <c r="Y32">
        <f>IF($W32="","",IFERROR(INDEX(IF($T32&lt;=60,imc05_l,imc519_l),MATCH($W32,IF($T32&lt;=60,imc05_k,imc519_k),1)),""))</f>
        <v/>
      </c>
      <c r="Z32">
        <f>IF($W32="","",IFERROR(INDEX(IF($T32&lt;=60,imc05_m,imc519_m),MATCH($W32,IF($T32&lt;=60,imc05_k,imc519_k),1)),""))</f>
        <v/>
      </c>
      <c r="AA32">
        <f>IF($W32="","",IFERROR(INDEX(IF($T32&lt;=60,imc05_s,imc519_s),MATCH($W32,IF($T32&lt;=60,imc05_k,imc519_k),1)),""))</f>
        <v/>
      </c>
      <c r="AB32">
        <f>IF($Y32="","",IF($Y32=0,LN($J32/$Z32)/$AA32,((($J32/$Z32)^$Y32)-1)/($Y32*$AA32)))</f>
        <v/>
      </c>
      <c r="AC32">
        <f>IF($Y32="","",IF($Y32=0,$Z32*EXP($AA32*2),$Z32*(1+$Y32*$AA32*2)^(1/$Y32)))</f>
        <v/>
      </c>
      <c r="AD32">
        <f>IF($Y32="","",IF($Y32=0,$Z32*EXP($AA32*3),$Z32*(1+$Y32*$AA32*3)^(1/$Y32)))</f>
        <v/>
      </c>
      <c r="AE32">
        <f>IF($Y32="","",IF($Y32=0,$Z32*EXP($AA32*-2),$Z32*(1+$Y32*$AA32*-2)^(1/$Y32)))</f>
        <v/>
      </c>
      <c r="AF32">
        <f>IF($Y32="","",IF($Y32=0,$Z32*EXP($AA32*-3),$Z32*(1+$Y32*$AA32*-3)^(1/$Y32)))</f>
        <v/>
      </c>
      <c r="AG32">
        <f>IF($W32="","",IFERROR(INDEX(IF($T32&lt;=60,est05_l,est519_l),MATCH($W32,IF($T32&lt;=60,est05_k,est519_k),1)),""))</f>
        <v/>
      </c>
      <c r="AH32">
        <f>IF($W32="","",IFERROR(INDEX(IF($T32&lt;=60,est05_m,est519_m),MATCH($W32,IF($T32&lt;=60,est05_k,est519_k),1)),""))</f>
        <v/>
      </c>
      <c r="AI32">
        <f>IF($W32="","",IFERROR(INDEX(IF($T32&lt;=60,est05_s,est519_s),MATCH($W32,IF($T32&lt;=60,est05_k,est519_k),1)),""))</f>
        <v/>
      </c>
      <c r="AJ32">
        <f>IF($W32="","",IFERROR(INDEX(IF($T32&lt;=60,peso05_l,peso510_l),MATCH($W32,IF($T32&lt;=60,peso05_k,peso510_k),1)),""))</f>
        <v/>
      </c>
      <c r="AK32">
        <f>IF($W32="","",IFERROR(INDEX(IF($T32&lt;=60,peso05_m,peso510_m),MATCH($W32,IF($T32&lt;=60,peso05_k,peso510_k),1)),""))</f>
        <v/>
      </c>
      <c r="AL32">
        <f>IF($W32="","",IFERROR(INDEX(IF($T32&lt;=60,peso05_s,peso510_s),MATCH($W32,IF($T32&lt;=60,peso05_k,peso510_k),1)),""))</f>
        <v/>
      </c>
      <c r="AM32">
        <f>IF($AJ32="","",IF($AJ32=0,LN($F32/$AK32)/$AL32,((($F32/$AK32)^$AJ32)-1)/($AJ32*$AL32)))</f>
        <v/>
      </c>
      <c r="AN32">
        <f>IF($AJ32="","",IF($AJ32=0,$AK32*EXP($AL32*2),$AK32*(1+$AJ32*$AL32*2)^(1/$AJ32)))</f>
        <v/>
      </c>
      <c r="AO32">
        <f>IF($AJ32="","",IF($AJ32=0,$AK32*EXP($AL32*3),$AK32*(1+$AJ32*$AL32*3)^(1/$AJ32)))</f>
        <v/>
      </c>
      <c r="AP32">
        <f>IF($AJ32="","",IF($AJ32=0,$AK32*EXP($AL32*-2),$AK32*(1+$AJ32*$AL32*-2)^(1/$AJ32)))</f>
        <v/>
      </c>
      <c r="AQ32">
        <f>IF($AJ32="","",IF($AJ32=0,$AK32*EXP($AL32*-3),$AK32*(1+$AJ32*$AL32*-3)^(1/$AJ32)))</f>
        <v/>
      </c>
      <c r="AR32">
        <f>IF(OR($X32="",$T32&gt;60),"",IFERROR(INDEX(IF($T32&lt;24,pcomp_l,palt_l),MATCH($X32,IF($T32&lt;24,pcomp_k,palt_k),1)),""))</f>
        <v/>
      </c>
      <c r="AS32">
        <f>IF(OR($X32="",$T32&gt;60),"",IFERROR(INDEX(IF($T32&lt;24,pcomp_m,palt_m),MATCH($X32,IF($T32&lt;24,pcomp_k,palt_k),1)),""))</f>
        <v/>
      </c>
      <c r="AT32">
        <f>IF(OR($X32="",$T32&gt;60),"",IFERROR(INDEX(IF($T32&lt;24,pcomp_s,palt_s),MATCH($X32,IF($T32&lt;24,pcomp_k,palt_k),1)),""))</f>
        <v/>
      </c>
      <c r="AU32">
        <f>IF($AR32="","",IF($AR32=0,LN($F32/$AS32)/$AT32,((($F32/$AS32)^$AR32)-1)/($AR32*$AT32)))</f>
        <v/>
      </c>
      <c r="AV32">
        <f>IF($AR32="","",IF($AR32=0,$AS32*EXP($AT32*2),$AS32*(1+$AR32*$AT32*2)^(1/$AR32)))</f>
        <v/>
      </c>
      <c r="AW32">
        <f>IF($AR32="","",IF($AR32=0,$AS32*EXP($AT32*3),$AS32*(1+$AR32*$AT32*3)^(1/$AR32)))</f>
        <v/>
      </c>
      <c r="AX32">
        <f>IF($AR32="","",IF($AR32=0,$AS32*EXP($AT32*-2),$AS32*(1+$AR32*$AT32*-2)^(1/$AR32)))</f>
        <v/>
      </c>
      <c r="AY32">
        <f>IF($AR32="","",IF($AR32=0,$AS32*EXP($AT32*-3),$AS32*(1+$AR32*$AT32*-3)^(1/$AR32)))</f>
        <v/>
      </c>
      <c r="AZ32">
        <f>IF(OR($A32="",$A32&lt;&gt;Ficha!$C$4),"",COUNTIF($A$2:$A32,Ficha!$C$4))</f>
        <v/>
      </c>
    </row>
    <row r="33">
      <c r="A33" s="8">
        <f>IF(INDEX(Banco!$A:$A,ROW())="","",INDEX(Banco!$A:$A,ROW()))</f>
        <v/>
      </c>
      <c r="B33" s="8">
        <f>IF(INDEX(Banco!$B:$B,ROW())="","",INDEX(Banco!$B:$B,ROW()))</f>
        <v/>
      </c>
      <c r="C33" s="8">
        <f>IF(INDEX(Banco!$C:$C,ROW())="","",INDEX(Banco!$C:$C,ROW()))</f>
        <v/>
      </c>
      <c r="D33" s="9">
        <f>IF(INDEX(Banco!$D:$D,ROW())="","",INDEX(Banco!$D:$D,ROW()))</f>
        <v/>
      </c>
      <c r="E33" s="9">
        <f>IF(INDEX(Banco!$E:$E,ROW())="","",INDEX(Banco!$E:$E,ROW()))</f>
        <v/>
      </c>
      <c r="F33" s="10">
        <f>IF(INDEX(Banco!$F:$F,ROW())="","",INDEX(Banco!$F:$F,ROW()))</f>
        <v/>
      </c>
      <c r="G33" s="10">
        <f>IF(INDEX(Banco!$G:$G,ROW())="","",INDEX(Banco!$G:$G,ROW()))</f>
        <v/>
      </c>
      <c r="H33" s="8">
        <f>IF(INDEX(Banco!$H:$H,ROW())="","",INDEX(Banco!$H:$H,ROW()))</f>
        <v/>
      </c>
      <c r="I33">
        <f>IF($T33="","",INT($T33/12)&amp;"a "&amp;MOD($T33,12)&amp;"m")</f>
        <v/>
      </c>
      <c r="J33" s="11">
        <f>IF(OR($F33="",$G33=""),"",ROUND($F33/($G33/100)^2,2))</f>
        <v/>
      </c>
      <c r="K33" s="12">
        <f>IF(OR($S33="",$J33="",$T33="",$T33&lt;0,$T33&gt;228,$Y33=""),"—",ROUND(IF(ABS($AB33)&lt;=3,$AB33,IF($AB33&gt;3,3+($J33-$AD33)/($AD33-$AC33),-3+($J33-$AF33)/($AE33-$AF33))),2))</f>
        <v/>
      </c>
      <c r="L33">
        <f>IF(OR($K33="",$K33="—"),"",IF($T33&lt;=60,IF($K33&lt;-3,"Magreza acentuada",IF($K33&lt;-2,"Magreza",IF($K33&lt;=1,"Eutrofia",IF($K33&lt;=2,"Risco de sobrepeso",IF($K33&lt;=3,"Sobrepeso","Obesidade"))))),IF($K33&lt;-3,"Magreza acentuada",IF($K33&lt;-2,"Magreza",IF($K33&lt;=1,"Eutrofia",IF($K33&lt;=2,"Sobrepeso",IF($K33&lt;=3,"Obesidade","Obesidade grave")))))))</f>
        <v/>
      </c>
      <c r="M33" s="12">
        <f>IF(OR($S33="",$V33="",$T33="",$T33&lt;0,$T33&gt;228,$AG33=""),"—",ROUND(IF($AG33=0,LN($V33/$AH33)/$AI33,((($V33/$AH33)^$AG33)-1)/($AG33*$AI33)),2))</f>
        <v/>
      </c>
      <c r="N33">
        <f>IF(OR($M33="",$M33="—"),"",IF($M33&lt;-3,"Muito baixa",IF($M33&lt;-2,"Baixa","Adequada")))</f>
        <v/>
      </c>
      <c r="O33" s="12">
        <f>IF(OR($S33="",$F33="",$T33="",$T33&lt;0,$T33&gt;120,$AJ33=""),"—",ROUND(IF(ABS($AM33)&lt;=3,$AM33,IF($AM33&gt;3,3+($F33-$AO33)/($AO33-$AN33),-3+($F33-$AQ33)/($AP33-$AQ33))),2))</f>
        <v/>
      </c>
      <c r="P33">
        <f>IF(OR($O33="",$O33="—"),"",IF($O33&lt;-3,"Muito baixo",IF($O33&lt;-2,"Baixo",IF($O33&lt;=2,"Adequado","Elevado"))))</f>
        <v/>
      </c>
      <c r="Q33" s="12">
        <f>IF(OR($S33="",$F33="",$T33="",$T33&lt;0,$T33&gt;60,$AR33=""),"—",ROUND(IF(ABS($AU33)&lt;=3,$AU33,IF($AU33&gt;3,3+($F33-$AW33)/($AW33-$AV33),-3+($F33-$AY33)/($AX33-$AY33))),2))</f>
        <v/>
      </c>
      <c r="R33">
        <f>IF(OR($Q33="",$Q33="—"),"",IF($Q33&lt;-3,"Magreza acentuada",IF($Q33&lt;-2,"Magreza",IF($Q33&lt;=1,"Eutrofia",IF($Q33&lt;=2,"Risco de sobrepeso",IF($Q33&lt;=3,"Sobrepeso","Obesidade"))))))</f>
        <v/>
      </c>
      <c r="S33">
        <f>IF($C33="","",IF(UPPER(LEFT($C33,1))="M",1,IF(UPPER(LEFT($C33,1))="F",2,"")))</f>
        <v/>
      </c>
      <c r="T33">
        <f>IF(OR($D33="",$E33=""),"",DATEDIF($D33,$E33,"m"))</f>
        <v/>
      </c>
      <c r="U33">
        <f>IF(OR($D33="",$E33=""),"",$E33-$D33)</f>
        <v/>
      </c>
      <c r="V33">
        <f>IF(OR($G33="",$T33=""),"",IF($T33&lt;24,IF(LEFT(LOWER($H33),4)="em p",$G33+0.7,$G33),IF(LEFT(LOWER($H33),4)="deit",$G33-0.7,$G33)))</f>
        <v/>
      </c>
      <c r="W33">
        <f>IF(OR($S33="",$T33=""),"",$S33*1000000+IF($T33&lt;=60,$U33,$T33))</f>
        <v/>
      </c>
      <c r="X33">
        <f>IF(OR($S33="",$V33="",$T33&gt;60,$T33=""),"",$S33*1000000+ROUND($V33*10,0))</f>
        <v/>
      </c>
      <c r="Y33">
        <f>IF($W33="","",IFERROR(INDEX(IF($T33&lt;=60,imc05_l,imc519_l),MATCH($W33,IF($T33&lt;=60,imc05_k,imc519_k),1)),""))</f>
        <v/>
      </c>
      <c r="Z33">
        <f>IF($W33="","",IFERROR(INDEX(IF($T33&lt;=60,imc05_m,imc519_m),MATCH($W33,IF($T33&lt;=60,imc05_k,imc519_k),1)),""))</f>
        <v/>
      </c>
      <c r="AA33">
        <f>IF($W33="","",IFERROR(INDEX(IF($T33&lt;=60,imc05_s,imc519_s),MATCH($W33,IF($T33&lt;=60,imc05_k,imc519_k),1)),""))</f>
        <v/>
      </c>
      <c r="AB33">
        <f>IF($Y33="","",IF($Y33=0,LN($J33/$Z33)/$AA33,((($J33/$Z33)^$Y33)-1)/($Y33*$AA33)))</f>
        <v/>
      </c>
      <c r="AC33">
        <f>IF($Y33="","",IF($Y33=0,$Z33*EXP($AA33*2),$Z33*(1+$Y33*$AA33*2)^(1/$Y33)))</f>
        <v/>
      </c>
      <c r="AD33">
        <f>IF($Y33="","",IF($Y33=0,$Z33*EXP($AA33*3),$Z33*(1+$Y33*$AA33*3)^(1/$Y33)))</f>
        <v/>
      </c>
      <c r="AE33">
        <f>IF($Y33="","",IF($Y33=0,$Z33*EXP($AA33*-2),$Z33*(1+$Y33*$AA33*-2)^(1/$Y33)))</f>
        <v/>
      </c>
      <c r="AF33">
        <f>IF($Y33="","",IF($Y33=0,$Z33*EXP($AA33*-3),$Z33*(1+$Y33*$AA33*-3)^(1/$Y33)))</f>
        <v/>
      </c>
      <c r="AG33">
        <f>IF($W33="","",IFERROR(INDEX(IF($T33&lt;=60,est05_l,est519_l),MATCH($W33,IF($T33&lt;=60,est05_k,est519_k),1)),""))</f>
        <v/>
      </c>
      <c r="AH33">
        <f>IF($W33="","",IFERROR(INDEX(IF($T33&lt;=60,est05_m,est519_m),MATCH($W33,IF($T33&lt;=60,est05_k,est519_k),1)),""))</f>
        <v/>
      </c>
      <c r="AI33">
        <f>IF($W33="","",IFERROR(INDEX(IF($T33&lt;=60,est05_s,est519_s),MATCH($W33,IF($T33&lt;=60,est05_k,est519_k),1)),""))</f>
        <v/>
      </c>
      <c r="AJ33">
        <f>IF($W33="","",IFERROR(INDEX(IF($T33&lt;=60,peso05_l,peso510_l),MATCH($W33,IF($T33&lt;=60,peso05_k,peso510_k),1)),""))</f>
        <v/>
      </c>
      <c r="AK33">
        <f>IF($W33="","",IFERROR(INDEX(IF($T33&lt;=60,peso05_m,peso510_m),MATCH($W33,IF($T33&lt;=60,peso05_k,peso510_k),1)),""))</f>
        <v/>
      </c>
      <c r="AL33">
        <f>IF($W33="","",IFERROR(INDEX(IF($T33&lt;=60,peso05_s,peso510_s),MATCH($W33,IF($T33&lt;=60,peso05_k,peso510_k),1)),""))</f>
        <v/>
      </c>
      <c r="AM33">
        <f>IF($AJ33="","",IF($AJ33=0,LN($F33/$AK33)/$AL33,((($F33/$AK33)^$AJ33)-1)/($AJ33*$AL33)))</f>
        <v/>
      </c>
      <c r="AN33">
        <f>IF($AJ33="","",IF($AJ33=0,$AK33*EXP($AL33*2),$AK33*(1+$AJ33*$AL33*2)^(1/$AJ33)))</f>
        <v/>
      </c>
      <c r="AO33">
        <f>IF($AJ33="","",IF($AJ33=0,$AK33*EXP($AL33*3),$AK33*(1+$AJ33*$AL33*3)^(1/$AJ33)))</f>
        <v/>
      </c>
      <c r="AP33">
        <f>IF($AJ33="","",IF($AJ33=0,$AK33*EXP($AL33*-2),$AK33*(1+$AJ33*$AL33*-2)^(1/$AJ33)))</f>
        <v/>
      </c>
      <c r="AQ33">
        <f>IF($AJ33="","",IF($AJ33=0,$AK33*EXP($AL33*-3),$AK33*(1+$AJ33*$AL33*-3)^(1/$AJ33)))</f>
        <v/>
      </c>
      <c r="AR33">
        <f>IF(OR($X33="",$T33&gt;60),"",IFERROR(INDEX(IF($T33&lt;24,pcomp_l,palt_l),MATCH($X33,IF($T33&lt;24,pcomp_k,palt_k),1)),""))</f>
        <v/>
      </c>
      <c r="AS33">
        <f>IF(OR($X33="",$T33&gt;60),"",IFERROR(INDEX(IF($T33&lt;24,pcomp_m,palt_m),MATCH($X33,IF($T33&lt;24,pcomp_k,palt_k),1)),""))</f>
        <v/>
      </c>
      <c r="AT33">
        <f>IF(OR($X33="",$T33&gt;60),"",IFERROR(INDEX(IF($T33&lt;24,pcomp_s,palt_s),MATCH($X33,IF($T33&lt;24,pcomp_k,palt_k),1)),""))</f>
        <v/>
      </c>
      <c r="AU33">
        <f>IF($AR33="","",IF($AR33=0,LN($F33/$AS33)/$AT33,((($F33/$AS33)^$AR33)-1)/($AR33*$AT33)))</f>
        <v/>
      </c>
      <c r="AV33">
        <f>IF($AR33="","",IF($AR33=0,$AS33*EXP($AT33*2),$AS33*(1+$AR33*$AT33*2)^(1/$AR33)))</f>
        <v/>
      </c>
      <c r="AW33">
        <f>IF($AR33="","",IF($AR33=0,$AS33*EXP($AT33*3),$AS33*(1+$AR33*$AT33*3)^(1/$AR33)))</f>
        <v/>
      </c>
      <c r="AX33">
        <f>IF($AR33="","",IF($AR33=0,$AS33*EXP($AT33*-2),$AS33*(1+$AR33*$AT33*-2)^(1/$AR33)))</f>
        <v/>
      </c>
      <c r="AY33">
        <f>IF($AR33="","",IF($AR33=0,$AS33*EXP($AT33*-3),$AS33*(1+$AR33*$AT33*-3)^(1/$AR33)))</f>
        <v/>
      </c>
      <c r="AZ33">
        <f>IF(OR($A33="",$A33&lt;&gt;Ficha!$C$4),"",COUNTIF($A$2:$A33,Ficha!$C$4))</f>
        <v/>
      </c>
    </row>
    <row r="34">
      <c r="A34" s="8">
        <f>IF(INDEX(Banco!$A:$A,ROW())="","",INDEX(Banco!$A:$A,ROW()))</f>
        <v/>
      </c>
      <c r="B34" s="8">
        <f>IF(INDEX(Banco!$B:$B,ROW())="","",INDEX(Banco!$B:$B,ROW()))</f>
        <v/>
      </c>
      <c r="C34" s="8">
        <f>IF(INDEX(Banco!$C:$C,ROW())="","",INDEX(Banco!$C:$C,ROW()))</f>
        <v/>
      </c>
      <c r="D34" s="9">
        <f>IF(INDEX(Banco!$D:$D,ROW())="","",INDEX(Banco!$D:$D,ROW()))</f>
        <v/>
      </c>
      <c r="E34" s="9">
        <f>IF(INDEX(Banco!$E:$E,ROW())="","",INDEX(Banco!$E:$E,ROW()))</f>
        <v/>
      </c>
      <c r="F34" s="10">
        <f>IF(INDEX(Banco!$F:$F,ROW())="","",INDEX(Banco!$F:$F,ROW()))</f>
        <v/>
      </c>
      <c r="G34" s="10">
        <f>IF(INDEX(Banco!$G:$G,ROW())="","",INDEX(Banco!$G:$G,ROW()))</f>
        <v/>
      </c>
      <c r="H34" s="8">
        <f>IF(INDEX(Banco!$H:$H,ROW())="","",INDEX(Banco!$H:$H,ROW()))</f>
        <v/>
      </c>
      <c r="I34">
        <f>IF($T34="","",INT($T34/12)&amp;"a "&amp;MOD($T34,12)&amp;"m")</f>
        <v/>
      </c>
      <c r="J34" s="11">
        <f>IF(OR($F34="",$G34=""),"",ROUND($F34/($G34/100)^2,2))</f>
        <v/>
      </c>
      <c r="K34" s="12">
        <f>IF(OR($S34="",$J34="",$T34="",$T34&lt;0,$T34&gt;228,$Y34=""),"—",ROUND(IF(ABS($AB34)&lt;=3,$AB34,IF($AB34&gt;3,3+($J34-$AD34)/($AD34-$AC34),-3+($J34-$AF34)/($AE34-$AF34))),2))</f>
        <v/>
      </c>
      <c r="L34">
        <f>IF(OR($K34="",$K34="—"),"",IF($T34&lt;=60,IF($K34&lt;-3,"Magreza acentuada",IF($K34&lt;-2,"Magreza",IF($K34&lt;=1,"Eutrofia",IF($K34&lt;=2,"Risco de sobrepeso",IF($K34&lt;=3,"Sobrepeso","Obesidade"))))),IF($K34&lt;-3,"Magreza acentuada",IF($K34&lt;-2,"Magreza",IF($K34&lt;=1,"Eutrofia",IF($K34&lt;=2,"Sobrepeso",IF($K34&lt;=3,"Obesidade","Obesidade grave")))))))</f>
        <v/>
      </c>
      <c r="M34" s="12">
        <f>IF(OR($S34="",$V34="",$T34="",$T34&lt;0,$T34&gt;228,$AG34=""),"—",ROUND(IF($AG34=0,LN($V34/$AH34)/$AI34,((($V34/$AH34)^$AG34)-1)/($AG34*$AI34)),2))</f>
        <v/>
      </c>
      <c r="N34">
        <f>IF(OR($M34="",$M34="—"),"",IF($M34&lt;-3,"Muito baixa",IF($M34&lt;-2,"Baixa","Adequada")))</f>
        <v/>
      </c>
      <c r="O34" s="12">
        <f>IF(OR($S34="",$F34="",$T34="",$T34&lt;0,$T34&gt;120,$AJ34=""),"—",ROUND(IF(ABS($AM34)&lt;=3,$AM34,IF($AM34&gt;3,3+($F34-$AO34)/($AO34-$AN34),-3+($F34-$AQ34)/($AP34-$AQ34))),2))</f>
        <v/>
      </c>
      <c r="P34">
        <f>IF(OR($O34="",$O34="—"),"",IF($O34&lt;-3,"Muito baixo",IF($O34&lt;-2,"Baixo",IF($O34&lt;=2,"Adequado","Elevado"))))</f>
        <v/>
      </c>
      <c r="Q34" s="12">
        <f>IF(OR($S34="",$F34="",$T34="",$T34&lt;0,$T34&gt;60,$AR34=""),"—",ROUND(IF(ABS($AU34)&lt;=3,$AU34,IF($AU34&gt;3,3+($F34-$AW34)/($AW34-$AV34),-3+($F34-$AY34)/($AX34-$AY34))),2))</f>
        <v/>
      </c>
      <c r="R34">
        <f>IF(OR($Q34="",$Q34="—"),"",IF($Q34&lt;-3,"Magreza acentuada",IF($Q34&lt;-2,"Magreza",IF($Q34&lt;=1,"Eutrofia",IF($Q34&lt;=2,"Risco de sobrepeso",IF($Q34&lt;=3,"Sobrepeso","Obesidade"))))))</f>
        <v/>
      </c>
      <c r="S34">
        <f>IF($C34="","",IF(UPPER(LEFT($C34,1))="M",1,IF(UPPER(LEFT($C34,1))="F",2,"")))</f>
        <v/>
      </c>
      <c r="T34">
        <f>IF(OR($D34="",$E34=""),"",DATEDIF($D34,$E34,"m"))</f>
        <v/>
      </c>
      <c r="U34">
        <f>IF(OR($D34="",$E34=""),"",$E34-$D34)</f>
        <v/>
      </c>
      <c r="V34">
        <f>IF(OR($G34="",$T34=""),"",IF($T34&lt;24,IF(LEFT(LOWER($H34),4)="em p",$G34+0.7,$G34),IF(LEFT(LOWER($H34),4)="deit",$G34-0.7,$G34)))</f>
        <v/>
      </c>
      <c r="W34">
        <f>IF(OR($S34="",$T34=""),"",$S34*1000000+IF($T34&lt;=60,$U34,$T34))</f>
        <v/>
      </c>
      <c r="X34">
        <f>IF(OR($S34="",$V34="",$T34&gt;60,$T34=""),"",$S34*1000000+ROUND($V34*10,0))</f>
        <v/>
      </c>
      <c r="Y34">
        <f>IF($W34="","",IFERROR(INDEX(IF($T34&lt;=60,imc05_l,imc519_l),MATCH($W34,IF($T34&lt;=60,imc05_k,imc519_k),1)),""))</f>
        <v/>
      </c>
      <c r="Z34">
        <f>IF($W34="","",IFERROR(INDEX(IF($T34&lt;=60,imc05_m,imc519_m),MATCH($W34,IF($T34&lt;=60,imc05_k,imc519_k),1)),""))</f>
        <v/>
      </c>
      <c r="AA34">
        <f>IF($W34="","",IFERROR(INDEX(IF($T34&lt;=60,imc05_s,imc519_s),MATCH($W34,IF($T34&lt;=60,imc05_k,imc519_k),1)),""))</f>
        <v/>
      </c>
      <c r="AB34">
        <f>IF($Y34="","",IF($Y34=0,LN($J34/$Z34)/$AA34,((($J34/$Z34)^$Y34)-1)/($Y34*$AA34)))</f>
        <v/>
      </c>
      <c r="AC34">
        <f>IF($Y34="","",IF($Y34=0,$Z34*EXP($AA34*2),$Z34*(1+$Y34*$AA34*2)^(1/$Y34)))</f>
        <v/>
      </c>
      <c r="AD34">
        <f>IF($Y34="","",IF($Y34=0,$Z34*EXP($AA34*3),$Z34*(1+$Y34*$AA34*3)^(1/$Y34)))</f>
        <v/>
      </c>
      <c r="AE34">
        <f>IF($Y34="","",IF($Y34=0,$Z34*EXP($AA34*-2),$Z34*(1+$Y34*$AA34*-2)^(1/$Y34)))</f>
        <v/>
      </c>
      <c r="AF34">
        <f>IF($Y34="","",IF($Y34=0,$Z34*EXP($AA34*-3),$Z34*(1+$Y34*$AA34*-3)^(1/$Y34)))</f>
        <v/>
      </c>
      <c r="AG34">
        <f>IF($W34="","",IFERROR(INDEX(IF($T34&lt;=60,est05_l,est519_l),MATCH($W34,IF($T34&lt;=60,est05_k,est519_k),1)),""))</f>
        <v/>
      </c>
      <c r="AH34">
        <f>IF($W34="","",IFERROR(INDEX(IF($T34&lt;=60,est05_m,est519_m),MATCH($W34,IF($T34&lt;=60,est05_k,est519_k),1)),""))</f>
        <v/>
      </c>
      <c r="AI34">
        <f>IF($W34="","",IFERROR(INDEX(IF($T34&lt;=60,est05_s,est519_s),MATCH($W34,IF($T34&lt;=60,est05_k,est519_k),1)),""))</f>
        <v/>
      </c>
      <c r="AJ34">
        <f>IF($W34="","",IFERROR(INDEX(IF($T34&lt;=60,peso05_l,peso510_l),MATCH($W34,IF($T34&lt;=60,peso05_k,peso510_k),1)),""))</f>
        <v/>
      </c>
      <c r="AK34">
        <f>IF($W34="","",IFERROR(INDEX(IF($T34&lt;=60,peso05_m,peso510_m),MATCH($W34,IF($T34&lt;=60,peso05_k,peso510_k),1)),""))</f>
        <v/>
      </c>
      <c r="AL34">
        <f>IF($W34="","",IFERROR(INDEX(IF($T34&lt;=60,peso05_s,peso510_s),MATCH($W34,IF($T34&lt;=60,peso05_k,peso510_k),1)),""))</f>
        <v/>
      </c>
      <c r="AM34">
        <f>IF($AJ34="","",IF($AJ34=0,LN($F34/$AK34)/$AL34,((($F34/$AK34)^$AJ34)-1)/($AJ34*$AL34)))</f>
        <v/>
      </c>
      <c r="AN34">
        <f>IF($AJ34="","",IF($AJ34=0,$AK34*EXP($AL34*2),$AK34*(1+$AJ34*$AL34*2)^(1/$AJ34)))</f>
        <v/>
      </c>
      <c r="AO34">
        <f>IF($AJ34="","",IF($AJ34=0,$AK34*EXP($AL34*3),$AK34*(1+$AJ34*$AL34*3)^(1/$AJ34)))</f>
        <v/>
      </c>
      <c r="AP34">
        <f>IF($AJ34="","",IF($AJ34=0,$AK34*EXP($AL34*-2),$AK34*(1+$AJ34*$AL34*-2)^(1/$AJ34)))</f>
        <v/>
      </c>
      <c r="AQ34">
        <f>IF($AJ34="","",IF($AJ34=0,$AK34*EXP($AL34*-3),$AK34*(1+$AJ34*$AL34*-3)^(1/$AJ34)))</f>
        <v/>
      </c>
      <c r="AR34">
        <f>IF(OR($X34="",$T34&gt;60),"",IFERROR(INDEX(IF($T34&lt;24,pcomp_l,palt_l),MATCH($X34,IF($T34&lt;24,pcomp_k,palt_k),1)),""))</f>
        <v/>
      </c>
      <c r="AS34">
        <f>IF(OR($X34="",$T34&gt;60),"",IFERROR(INDEX(IF($T34&lt;24,pcomp_m,palt_m),MATCH($X34,IF($T34&lt;24,pcomp_k,palt_k),1)),""))</f>
        <v/>
      </c>
      <c r="AT34">
        <f>IF(OR($X34="",$T34&gt;60),"",IFERROR(INDEX(IF($T34&lt;24,pcomp_s,palt_s),MATCH($X34,IF($T34&lt;24,pcomp_k,palt_k),1)),""))</f>
        <v/>
      </c>
      <c r="AU34">
        <f>IF($AR34="","",IF($AR34=0,LN($F34/$AS34)/$AT34,((($F34/$AS34)^$AR34)-1)/($AR34*$AT34)))</f>
        <v/>
      </c>
      <c r="AV34">
        <f>IF($AR34="","",IF($AR34=0,$AS34*EXP($AT34*2),$AS34*(1+$AR34*$AT34*2)^(1/$AR34)))</f>
        <v/>
      </c>
      <c r="AW34">
        <f>IF($AR34="","",IF($AR34=0,$AS34*EXP($AT34*3),$AS34*(1+$AR34*$AT34*3)^(1/$AR34)))</f>
        <v/>
      </c>
      <c r="AX34">
        <f>IF($AR34="","",IF($AR34=0,$AS34*EXP($AT34*-2),$AS34*(1+$AR34*$AT34*-2)^(1/$AR34)))</f>
        <v/>
      </c>
      <c r="AY34">
        <f>IF($AR34="","",IF($AR34=0,$AS34*EXP($AT34*-3),$AS34*(1+$AR34*$AT34*-3)^(1/$AR34)))</f>
        <v/>
      </c>
      <c r="AZ34">
        <f>IF(OR($A34="",$A34&lt;&gt;Ficha!$C$4),"",COUNTIF($A$2:$A34,Ficha!$C$4))</f>
        <v/>
      </c>
    </row>
    <row r="35">
      <c r="A35" s="8">
        <f>IF(INDEX(Banco!$A:$A,ROW())="","",INDEX(Banco!$A:$A,ROW()))</f>
        <v/>
      </c>
      <c r="B35" s="8">
        <f>IF(INDEX(Banco!$B:$B,ROW())="","",INDEX(Banco!$B:$B,ROW()))</f>
        <v/>
      </c>
      <c r="C35" s="8">
        <f>IF(INDEX(Banco!$C:$C,ROW())="","",INDEX(Banco!$C:$C,ROW()))</f>
        <v/>
      </c>
      <c r="D35" s="9">
        <f>IF(INDEX(Banco!$D:$D,ROW())="","",INDEX(Banco!$D:$D,ROW()))</f>
        <v/>
      </c>
      <c r="E35" s="9">
        <f>IF(INDEX(Banco!$E:$E,ROW())="","",INDEX(Banco!$E:$E,ROW()))</f>
        <v/>
      </c>
      <c r="F35" s="10">
        <f>IF(INDEX(Banco!$F:$F,ROW())="","",INDEX(Banco!$F:$F,ROW()))</f>
        <v/>
      </c>
      <c r="G35" s="10">
        <f>IF(INDEX(Banco!$G:$G,ROW())="","",INDEX(Banco!$G:$G,ROW()))</f>
        <v/>
      </c>
      <c r="H35" s="8">
        <f>IF(INDEX(Banco!$H:$H,ROW())="","",INDEX(Banco!$H:$H,ROW()))</f>
        <v/>
      </c>
      <c r="I35">
        <f>IF($T35="","",INT($T35/12)&amp;"a "&amp;MOD($T35,12)&amp;"m")</f>
        <v/>
      </c>
      <c r="J35" s="11">
        <f>IF(OR($F35="",$G35=""),"",ROUND($F35/($G35/100)^2,2))</f>
        <v/>
      </c>
      <c r="K35" s="12">
        <f>IF(OR($S35="",$J35="",$T35="",$T35&lt;0,$T35&gt;228,$Y35=""),"—",ROUND(IF(ABS($AB35)&lt;=3,$AB35,IF($AB35&gt;3,3+($J35-$AD35)/($AD35-$AC35),-3+($J35-$AF35)/($AE35-$AF35))),2))</f>
        <v/>
      </c>
      <c r="L35">
        <f>IF(OR($K35="",$K35="—"),"",IF($T35&lt;=60,IF($K35&lt;-3,"Magreza acentuada",IF($K35&lt;-2,"Magreza",IF($K35&lt;=1,"Eutrofia",IF($K35&lt;=2,"Risco de sobrepeso",IF($K35&lt;=3,"Sobrepeso","Obesidade"))))),IF($K35&lt;-3,"Magreza acentuada",IF($K35&lt;-2,"Magreza",IF($K35&lt;=1,"Eutrofia",IF($K35&lt;=2,"Sobrepeso",IF($K35&lt;=3,"Obesidade","Obesidade grave")))))))</f>
        <v/>
      </c>
      <c r="M35" s="12">
        <f>IF(OR($S35="",$V35="",$T35="",$T35&lt;0,$T35&gt;228,$AG35=""),"—",ROUND(IF($AG35=0,LN($V35/$AH35)/$AI35,((($V35/$AH35)^$AG35)-1)/($AG35*$AI35)),2))</f>
        <v/>
      </c>
      <c r="N35">
        <f>IF(OR($M35="",$M35="—"),"",IF($M35&lt;-3,"Muito baixa",IF($M35&lt;-2,"Baixa","Adequada")))</f>
        <v/>
      </c>
      <c r="O35" s="12">
        <f>IF(OR($S35="",$F35="",$T35="",$T35&lt;0,$T35&gt;120,$AJ35=""),"—",ROUND(IF(ABS($AM35)&lt;=3,$AM35,IF($AM35&gt;3,3+($F35-$AO35)/($AO35-$AN35),-3+($F35-$AQ35)/($AP35-$AQ35))),2))</f>
        <v/>
      </c>
      <c r="P35">
        <f>IF(OR($O35="",$O35="—"),"",IF($O35&lt;-3,"Muito baixo",IF($O35&lt;-2,"Baixo",IF($O35&lt;=2,"Adequado","Elevado"))))</f>
        <v/>
      </c>
      <c r="Q35" s="12">
        <f>IF(OR($S35="",$F35="",$T35="",$T35&lt;0,$T35&gt;60,$AR35=""),"—",ROUND(IF(ABS($AU35)&lt;=3,$AU35,IF($AU35&gt;3,3+($F35-$AW35)/($AW35-$AV35),-3+($F35-$AY35)/($AX35-$AY35))),2))</f>
        <v/>
      </c>
      <c r="R35">
        <f>IF(OR($Q35="",$Q35="—"),"",IF($Q35&lt;-3,"Magreza acentuada",IF($Q35&lt;-2,"Magreza",IF($Q35&lt;=1,"Eutrofia",IF($Q35&lt;=2,"Risco de sobrepeso",IF($Q35&lt;=3,"Sobrepeso","Obesidade"))))))</f>
        <v/>
      </c>
      <c r="S35">
        <f>IF($C35="","",IF(UPPER(LEFT($C35,1))="M",1,IF(UPPER(LEFT($C35,1))="F",2,"")))</f>
        <v/>
      </c>
      <c r="T35">
        <f>IF(OR($D35="",$E35=""),"",DATEDIF($D35,$E35,"m"))</f>
        <v/>
      </c>
      <c r="U35">
        <f>IF(OR($D35="",$E35=""),"",$E35-$D35)</f>
        <v/>
      </c>
      <c r="V35">
        <f>IF(OR($G35="",$T35=""),"",IF($T35&lt;24,IF(LEFT(LOWER($H35),4)="em p",$G35+0.7,$G35),IF(LEFT(LOWER($H35),4)="deit",$G35-0.7,$G35)))</f>
        <v/>
      </c>
      <c r="W35">
        <f>IF(OR($S35="",$T35=""),"",$S35*1000000+IF($T35&lt;=60,$U35,$T35))</f>
        <v/>
      </c>
      <c r="X35">
        <f>IF(OR($S35="",$V35="",$T35&gt;60,$T35=""),"",$S35*1000000+ROUND($V35*10,0))</f>
        <v/>
      </c>
      <c r="Y35">
        <f>IF($W35="","",IFERROR(INDEX(IF($T35&lt;=60,imc05_l,imc519_l),MATCH($W35,IF($T35&lt;=60,imc05_k,imc519_k),1)),""))</f>
        <v/>
      </c>
      <c r="Z35">
        <f>IF($W35="","",IFERROR(INDEX(IF($T35&lt;=60,imc05_m,imc519_m),MATCH($W35,IF($T35&lt;=60,imc05_k,imc519_k),1)),""))</f>
        <v/>
      </c>
      <c r="AA35">
        <f>IF($W35="","",IFERROR(INDEX(IF($T35&lt;=60,imc05_s,imc519_s),MATCH($W35,IF($T35&lt;=60,imc05_k,imc519_k),1)),""))</f>
        <v/>
      </c>
      <c r="AB35">
        <f>IF($Y35="","",IF($Y35=0,LN($J35/$Z35)/$AA35,((($J35/$Z35)^$Y35)-1)/($Y35*$AA35)))</f>
        <v/>
      </c>
      <c r="AC35">
        <f>IF($Y35="","",IF($Y35=0,$Z35*EXP($AA35*2),$Z35*(1+$Y35*$AA35*2)^(1/$Y35)))</f>
        <v/>
      </c>
      <c r="AD35">
        <f>IF($Y35="","",IF($Y35=0,$Z35*EXP($AA35*3),$Z35*(1+$Y35*$AA35*3)^(1/$Y35)))</f>
        <v/>
      </c>
      <c r="AE35">
        <f>IF($Y35="","",IF($Y35=0,$Z35*EXP($AA35*-2),$Z35*(1+$Y35*$AA35*-2)^(1/$Y35)))</f>
        <v/>
      </c>
      <c r="AF35">
        <f>IF($Y35="","",IF($Y35=0,$Z35*EXP($AA35*-3),$Z35*(1+$Y35*$AA35*-3)^(1/$Y35)))</f>
        <v/>
      </c>
      <c r="AG35">
        <f>IF($W35="","",IFERROR(INDEX(IF($T35&lt;=60,est05_l,est519_l),MATCH($W35,IF($T35&lt;=60,est05_k,est519_k),1)),""))</f>
        <v/>
      </c>
      <c r="AH35">
        <f>IF($W35="","",IFERROR(INDEX(IF($T35&lt;=60,est05_m,est519_m),MATCH($W35,IF($T35&lt;=60,est05_k,est519_k),1)),""))</f>
        <v/>
      </c>
      <c r="AI35">
        <f>IF($W35="","",IFERROR(INDEX(IF($T35&lt;=60,est05_s,est519_s),MATCH($W35,IF($T35&lt;=60,est05_k,est519_k),1)),""))</f>
        <v/>
      </c>
      <c r="AJ35">
        <f>IF($W35="","",IFERROR(INDEX(IF($T35&lt;=60,peso05_l,peso510_l),MATCH($W35,IF($T35&lt;=60,peso05_k,peso510_k),1)),""))</f>
        <v/>
      </c>
      <c r="AK35">
        <f>IF($W35="","",IFERROR(INDEX(IF($T35&lt;=60,peso05_m,peso510_m),MATCH($W35,IF($T35&lt;=60,peso05_k,peso510_k),1)),""))</f>
        <v/>
      </c>
      <c r="AL35">
        <f>IF($W35="","",IFERROR(INDEX(IF($T35&lt;=60,peso05_s,peso510_s),MATCH($W35,IF($T35&lt;=60,peso05_k,peso510_k),1)),""))</f>
        <v/>
      </c>
      <c r="AM35">
        <f>IF($AJ35="","",IF($AJ35=0,LN($F35/$AK35)/$AL35,((($F35/$AK35)^$AJ35)-1)/($AJ35*$AL35)))</f>
        <v/>
      </c>
      <c r="AN35">
        <f>IF($AJ35="","",IF($AJ35=0,$AK35*EXP($AL35*2),$AK35*(1+$AJ35*$AL35*2)^(1/$AJ35)))</f>
        <v/>
      </c>
      <c r="AO35">
        <f>IF($AJ35="","",IF($AJ35=0,$AK35*EXP($AL35*3),$AK35*(1+$AJ35*$AL35*3)^(1/$AJ35)))</f>
        <v/>
      </c>
      <c r="AP35">
        <f>IF($AJ35="","",IF($AJ35=0,$AK35*EXP($AL35*-2),$AK35*(1+$AJ35*$AL35*-2)^(1/$AJ35)))</f>
        <v/>
      </c>
      <c r="AQ35">
        <f>IF($AJ35="","",IF($AJ35=0,$AK35*EXP($AL35*-3),$AK35*(1+$AJ35*$AL35*-3)^(1/$AJ35)))</f>
        <v/>
      </c>
      <c r="AR35">
        <f>IF(OR($X35="",$T35&gt;60),"",IFERROR(INDEX(IF($T35&lt;24,pcomp_l,palt_l),MATCH($X35,IF($T35&lt;24,pcomp_k,palt_k),1)),""))</f>
        <v/>
      </c>
      <c r="AS35">
        <f>IF(OR($X35="",$T35&gt;60),"",IFERROR(INDEX(IF($T35&lt;24,pcomp_m,palt_m),MATCH($X35,IF($T35&lt;24,pcomp_k,palt_k),1)),""))</f>
        <v/>
      </c>
      <c r="AT35">
        <f>IF(OR($X35="",$T35&gt;60),"",IFERROR(INDEX(IF($T35&lt;24,pcomp_s,palt_s),MATCH($X35,IF($T35&lt;24,pcomp_k,palt_k),1)),""))</f>
        <v/>
      </c>
      <c r="AU35">
        <f>IF($AR35="","",IF($AR35=0,LN($F35/$AS35)/$AT35,((($F35/$AS35)^$AR35)-1)/($AR35*$AT35)))</f>
        <v/>
      </c>
      <c r="AV35">
        <f>IF($AR35="","",IF($AR35=0,$AS35*EXP($AT35*2),$AS35*(1+$AR35*$AT35*2)^(1/$AR35)))</f>
        <v/>
      </c>
      <c r="AW35">
        <f>IF($AR35="","",IF($AR35=0,$AS35*EXP($AT35*3),$AS35*(1+$AR35*$AT35*3)^(1/$AR35)))</f>
        <v/>
      </c>
      <c r="AX35">
        <f>IF($AR35="","",IF($AR35=0,$AS35*EXP($AT35*-2),$AS35*(1+$AR35*$AT35*-2)^(1/$AR35)))</f>
        <v/>
      </c>
      <c r="AY35">
        <f>IF($AR35="","",IF($AR35=0,$AS35*EXP($AT35*-3),$AS35*(1+$AR35*$AT35*-3)^(1/$AR35)))</f>
        <v/>
      </c>
      <c r="AZ35">
        <f>IF(OR($A35="",$A35&lt;&gt;Ficha!$C$4),"",COUNTIF($A$2:$A35,Ficha!$C$4))</f>
        <v/>
      </c>
    </row>
    <row r="36">
      <c r="A36" s="8">
        <f>IF(INDEX(Banco!$A:$A,ROW())="","",INDEX(Banco!$A:$A,ROW()))</f>
        <v/>
      </c>
      <c r="B36" s="8">
        <f>IF(INDEX(Banco!$B:$B,ROW())="","",INDEX(Banco!$B:$B,ROW()))</f>
        <v/>
      </c>
      <c r="C36" s="8">
        <f>IF(INDEX(Banco!$C:$C,ROW())="","",INDEX(Banco!$C:$C,ROW()))</f>
        <v/>
      </c>
      <c r="D36" s="9">
        <f>IF(INDEX(Banco!$D:$D,ROW())="","",INDEX(Banco!$D:$D,ROW()))</f>
        <v/>
      </c>
      <c r="E36" s="9">
        <f>IF(INDEX(Banco!$E:$E,ROW())="","",INDEX(Banco!$E:$E,ROW()))</f>
        <v/>
      </c>
      <c r="F36" s="10">
        <f>IF(INDEX(Banco!$F:$F,ROW())="","",INDEX(Banco!$F:$F,ROW()))</f>
        <v/>
      </c>
      <c r="G36" s="10">
        <f>IF(INDEX(Banco!$G:$G,ROW())="","",INDEX(Banco!$G:$G,ROW()))</f>
        <v/>
      </c>
      <c r="H36" s="8">
        <f>IF(INDEX(Banco!$H:$H,ROW())="","",INDEX(Banco!$H:$H,ROW()))</f>
        <v/>
      </c>
      <c r="I36">
        <f>IF($T36="","",INT($T36/12)&amp;"a "&amp;MOD($T36,12)&amp;"m")</f>
        <v/>
      </c>
      <c r="J36" s="11">
        <f>IF(OR($F36="",$G36=""),"",ROUND($F36/($G36/100)^2,2))</f>
        <v/>
      </c>
      <c r="K36" s="12">
        <f>IF(OR($S36="",$J36="",$T36="",$T36&lt;0,$T36&gt;228,$Y36=""),"—",ROUND(IF(ABS($AB36)&lt;=3,$AB36,IF($AB36&gt;3,3+($J36-$AD36)/($AD36-$AC36),-3+($J36-$AF36)/($AE36-$AF36))),2))</f>
        <v/>
      </c>
      <c r="L36">
        <f>IF(OR($K36="",$K36="—"),"",IF($T36&lt;=60,IF($K36&lt;-3,"Magreza acentuada",IF($K36&lt;-2,"Magreza",IF($K36&lt;=1,"Eutrofia",IF($K36&lt;=2,"Risco de sobrepeso",IF($K36&lt;=3,"Sobrepeso","Obesidade"))))),IF($K36&lt;-3,"Magreza acentuada",IF($K36&lt;-2,"Magreza",IF($K36&lt;=1,"Eutrofia",IF($K36&lt;=2,"Sobrepeso",IF($K36&lt;=3,"Obesidade","Obesidade grave")))))))</f>
        <v/>
      </c>
      <c r="M36" s="12">
        <f>IF(OR($S36="",$V36="",$T36="",$T36&lt;0,$T36&gt;228,$AG36=""),"—",ROUND(IF($AG36=0,LN($V36/$AH36)/$AI36,((($V36/$AH36)^$AG36)-1)/($AG36*$AI36)),2))</f>
        <v/>
      </c>
      <c r="N36">
        <f>IF(OR($M36="",$M36="—"),"",IF($M36&lt;-3,"Muito baixa",IF($M36&lt;-2,"Baixa","Adequada")))</f>
        <v/>
      </c>
      <c r="O36" s="12">
        <f>IF(OR($S36="",$F36="",$T36="",$T36&lt;0,$T36&gt;120,$AJ36=""),"—",ROUND(IF(ABS($AM36)&lt;=3,$AM36,IF($AM36&gt;3,3+($F36-$AO36)/($AO36-$AN36),-3+($F36-$AQ36)/($AP36-$AQ36))),2))</f>
        <v/>
      </c>
      <c r="P36">
        <f>IF(OR($O36="",$O36="—"),"",IF($O36&lt;-3,"Muito baixo",IF($O36&lt;-2,"Baixo",IF($O36&lt;=2,"Adequado","Elevado"))))</f>
        <v/>
      </c>
      <c r="Q36" s="12">
        <f>IF(OR($S36="",$F36="",$T36="",$T36&lt;0,$T36&gt;60,$AR36=""),"—",ROUND(IF(ABS($AU36)&lt;=3,$AU36,IF($AU36&gt;3,3+($F36-$AW36)/($AW36-$AV36),-3+($F36-$AY36)/($AX36-$AY36))),2))</f>
        <v/>
      </c>
      <c r="R36">
        <f>IF(OR($Q36="",$Q36="—"),"",IF($Q36&lt;-3,"Magreza acentuada",IF($Q36&lt;-2,"Magreza",IF($Q36&lt;=1,"Eutrofia",IF($Q36&lt;=2,"Risco de sobrepeso",IF($Q36&lt;=3,"Sobrepeso","Obesidade"))))))</f>
        <v/>
      </c>
      <c r="S36">
        <f>IF($C36="","",IF(UPPER(LEFT($C36,1))="M",1,IF(UPPER(LEFT($C36,1))="F",2,"")))</f>
        <v/>
      </c>
      <c r="T36">
        <f>IF(OR($D36="",$E36=""),"",DATEDIF($D36,$E36,"m"))</f>
        <v/>
      </c>
      <c r="U36">
        <f>IF(OR($D36="",$E36=""),"",$E36-$D36)</f>
        <v/>
      </c>
      <c r="V36">
        <f>IF(OR($G36="",$T36=""),"",IF($T36&lt;24,IF(LEFT(LOWER($H36),4)="em p",$G36+0.7,$G36),IF(LEFT(LOWER($H36),4)="deit",$G36-0.7,$G36)))</f>
        <v/>
      </c>
      <c r="W36">
        <f>IF(OR($S36="",$T36=""),"",$S36*1000000+IF($T36&lt;=60,$U36,$T36))</f>
        <v/>
      </c>
      <c r="X36">
        <f>IF(OR($S36="",$V36="",$T36&gt;60,$T36=""),"",$S36*1000000+ROUND($V36*10,0))</f>
        <v/>
      </c>
      <c r="Y36">
        <f>IF($W36="","",IFERROR(INDEX(IF($T36&lt;=60,imc05_l,imc519_l),MATCH($W36,IF($T36&lt;=60,imc05_k,imc519_k),1)),""))</f>
        <v/>
      </c>
      <c r="Z36">
        <f>IF($W36="","",IFERROR(INDEX(IF($T36&lt;=60,imc05_m,imc519_m),MATCH($W36,IF($T36&lt;=60,imc05_k,imc519_k),1)),""))</f>
        <v/>
      </c>
      <c r="AA36">
        <f>IF($W36="","",IFERROR(INDEX(IF($T36&lt;=60,imc05_s,imc519_s),MATCH($W36,IF($T36&lt;=60,imc05_k,imc519_k),1)),""))</f>
        <v/>
      </c>
      <c r="AB36">
        <f>IF($Y36="","",IF($Y36=0,LN($J36/$Z36)/$AA36,((($J36/$Z36)^$Y36)-1)/($Y36*$AA36)))</f>
        <v/>
      </c>
      <c r="AC36">
        <f>IF($Y36="","",IF($Y36=0,$Z36*EXP($AA36*2),$Z36*(1+$Y36*$AA36*2)^(1/$Y36)))</f>
        <v/>
      </c>
      <c r="AD36">
        <f>IF($Y36="","",IF($Y36=0,$Z36*EXP($AA36*3),$Z36*(1+$Y36*$AA36*3)^(1/$Y36)))</f>
        <v/>
      </c>
      <c r="AE36">
        <f>IF($Y36="","",IF($Y36=0,$Z36*EXP($AA36*-2),$Z36*(1+$Y36*$AA36*-2)^(1/$Y36)))</f>
        <v/>
      </c>
      <c r="AF36">
        <f>IF($Y36="","",IF($Y36=0,$Z36*EXP($AA36*-3),$Z36*(1+$Y36*$AA36*-3)^(1/$Y36)))</f>
        <v/>
      </c>
      <c r="AG36">
        <f>IF($W36="","",IFERROR(INDEX(IF($T36&lt;=60,est05_l,est519_l),MATCH($W36,IF($T36&lt;=60,est05_k,est519_k),1)),""))</f>
        <v/>
      </c>
      <c r="AH36">
        <f>IF($W36="","",IFERROR(INDEX(IF($T36&lt;=60,est05_m,est519_m),MATCH($W36,IF($T36&lt;=60,est05_k,est519_k),1)),""))</f>
        <v/>
      </c>
      <c r="AI36">
        <f>IF($W36="","",IFERROR(INDEX(IF($T36&lt;=60,est05_s,est519_s),MATCH($W36,IF($T36&lt;=60,est05_k,est519_k),1)),""))</f>
        <v/>
      </c>
      <c r="AJ36">
        <f>IF($W36="","",IFERROR(INDEX(IF($T36&lt;=60,peso05_l,peso510_l),MATCH($W36,IF($T36&lt;=60,peso05_k,peso510_k),1)),""))</f>
        <v/>
      </c>
      <c r="AK36">
        <f>IF($W36="","",IFERROR(INDEX(IF($T36&lt;=60,peso05_m,peso510_m),MATCH($W36,IF($T36&lt;=60,peso05_k,peso510_k),1)),""))</f>
        <v/>
      </c>
      <c r="AL36">
        <f>IF($W36="","",IFERROR(INDEX(IF($T36&lt;=60,peso05_s,peso510_s),MATCH($W36,IF($T36&lt;=60,peso05_k,peso510_k),1)),""))</f>
        <v/>
      </c>
      <c r="AM36">
        <f>IF($AJ36="","",IF($AJ36=0,LN($F36/$AK36)/$AL36,((($F36/$AK36)^$AJ36)-1)/($AJ36*$AL36)))</f>
        <v/>
      </c>
      <c r="AN36">
        <f>IF($AJ36="","",IF($AJ36=0,$AK36*EXP($AL36*2),$AK36*(1+$AJ36*$AL36*2)^(1/$AJ36)))</f>
        <v/>
      </c>
      <c r="AO36">
        <f>IF($AJ36="","",IF($AJ36=0,$AK36*EXP($AL36*3),$AK36*(1+$AJ36*$AL36*3)^(1/$AJ36)))</f>
        <v/>
      </c>
      <c r="AP36">
        <f>IF($AJ36="","",IF($AJ36=0,$AK36*EXP($AL36*-2),$AK36*(1+$AJ36*$AL36*-2)^(1/$AJ36)))</f>
        <v/>
      </c>
      <c r="AQ36">
        <f>IF($AJ36="","",IF($AJ36=0,$AK36*EXP($AL36*-3),$AK36*(1+$AJ36*$AL36*-3)^(1/$AJ36)))</f>
        <v/>
      </c>
      <c r="AR36">
        <f>IF(OR($X36="",$T36&gt;60),"",IFERROR(INDEX(IF($T36&lt;24,pcomp_l,palt_l),MATCH($X36,IF($T36&lt;24,pcomp_k,palt_k),1)),""))</f>
        <v/>
      </c>
      <c r="AS36">
        <f>IF(OR($X36="",$T36&gt;60),"",IFERROR(INDEX(IF($T36&lt;24,pcomp_m,palt_m),MATCH($X36,IF($T36&lt;24,pcomp_k,palt_k),1)),""))</f>
        <v/>
      </c>
      <c r="AT36">
        <f>IF(OR($X36="",$T36&gt;60),"",IFERROR(INDEX(IF($T36&lt;24,pcomp_s,palt_s),MATCH($X36,IF($T36&lt;24,pcomp_k,palt_k),1)),""))</f>
        <v/>
      </c>
      <c r="AU36">
        <f>IF($AR36="","",IF($AR36=0,LN($F36/$AS36)/$AT36,((($F36/$AS36)^$AR36)-1)/($AR36*$AT36)))</f>
        <v/>
      </c>
      <c r="AV36">
        <f>IF($AR36="","",IF($AR36=0,$AS36*EXP($AT36*2),$AS36*(1+$AR36*$AT36*2)^(1/$AR36)))</f>
        <v/>
      </c>
      <c r="AW36">
        <f>IF($AR36="","",IF($AR36=0,$AS36*EXP($AT36*3),$AS36*(1+$AR36*$AT36*3)^(1/$AR36)))</f>
        <v/>
      </c>
      <c r="AX36">
        <f>IF($AR36="","",IF($AR36=0,$AS36*EXP($AT36*-2),$AS36*(1+$AR36*$AT36*-2)^(1/$AR36)))</f>
        <v/>
      </c>
      <c r="AY36">
        <f>IF($AR36="","",IF($AR36=0,$AS36*EXP($AT36*-3),$AS36*(1+$AR36*$AT36*-3)^(1/$AR36)))</f>
        <v/>
      </c>
      <c r="AZ36">
        <f>IF(OR($A36="",$A36&lt;&gt;Ficha!$C$4),"",COUNTIF($A$2:$A36,Ficha!$C$4))</f>
        <v/>
      </c>
    </row>
    <row r="37">
      <c r="A37" s="8">
        <f>IF(INDEX(Banco!$A:$A,ROW())="","",INDEX(Banco!$A:$A,ROW()))</f>
        <v/>
      </c>
      <c r="B37" s="8">
        <f>IF(INDEX(Banco!$B:$B,ROW())="","",INDEX(Banco!$B:$B,ROW()))</f>
        <v/>
      </c>
      <c r="C37" s="8">
        <f>IF(INDEX(Banco!$C:$C,ROW())="","",INDEX(Banco!$C:$C,ROW()))</f>
        <v/>
      </c>
      <c r="D37" s="9">
        <f>IF(INDEX(Banco!$D:$D,ROW())="","",INDEX(Banco!$D:$D,ROW()))</f>
        <v/>
      </c>
      <c r="E37" s="9">
        <f>IF(INDEX(Banco!$E:$E,ROW())="","",INDEX(Banco!$E:$E,ROW()))</f>
        <v/>
      </c>
      <c r="F37" s="10">
        <f>IF(INDEX(Banco!$F:$F,ROW())="","",INDEX(Banco!$F:$F,ROW()))</f>
        <v/>
      </c>
      <c r="G37" s="10">
        <f>IF(INDEX(Banco!$G:$G,ROW())="","",INDEX(Banco!$G:$G,ROW()))</f>
        <v/>
      </c>
      <c r="H37" s="8">
        <f>IF(INDEX(Banco!$H:$H,ROW())="","",INDEX(Banco!$H:$H,ROW()))</f>
        <v/>
      </c>
      <c r="I37">
        <f>IF($T37="","",INT($T37/12)&amp;"a "&amp;MOD($T37,12)&amp;"m")</f>
        <v/>
      </c>
      <c r="J37" s="11">
        <f>IF(OR($F37="",$G37=""),"",ROUND($F37/($G37/100)^2,2))</f>
        <v/>
      </c>
      <c r="K37" s="12">
        <f>IF(OR($S37="",$J37="",$T37="",$T37&lt;0,$T37&gt;228,$Y37=""),"—",ROUND(IF(ABS($AB37)&lt;=3,$AB37,IF($AB37&gt;3,3+($J37-$AD37)/($AD37-$AC37),-3+($J37-$AF37)/($AE37-$AF37))),2))</f>
        <v/>
      </c>
      <c r="L37">
        <f>IF(OR($K37="",$K37="—"),"",IF($T37&lt;=60,IF($K37&lt;-3,"Magreza acentuada",IF($K37&lt;-2,"Magreza",IF($K37&lt;=1,"Eutrofia",IF($K37&lt;=2,"Risco de sobrepeso",IF($K37&lt;=3,"Sobrepeso","Obesidade"))))),IF($K37&lt;-3,"Magreza acentuada",IF($K37&lt;-2,"Magreza",IF($K37&lt;=1,"Eutrofia",IF($K37&lt;=2,"Sobrepeso",IF($K37&lt;=3,"Obesidade","Obesidade grave")))))))</f>
        <v/>
      </c>
      <c r="M37" s="12">
        <f>IF(OR($S37="",$V37="",$T37="",$T37&lt;0,$T37&gt;228,$AG37=""),"—",ROUND(IF($AG37=0,LN($V37/$AH37)/$AI37,((($V37/$AH37)^$AG37)-1)/($AG37*$AI37)),2))</f>
        <v/>
      </c>
      <c r="N37">
        <f>IF(OR($M37="",$M37="—"),"",IF($M37&lt;-3,"Muito baixa",IF($M37&lt;-2,"Baixa","Adequada")))</f>
        <v/>
      </c>
      <c r="O37" s="12">
        <f>IF(OR($S37="",$F37="",$T37="",$T37&lt;0,$T37&gt;120,$AJ37=""),"—",ROUND(IF(ABS($AM37)&lt;=3,$AM37,IF($AM37&gt;3,3+($F37-$AO37)/($AO37-$AN37),-3+($F37-$AQ37)/($AP37-$AQ37))),2))</f>
        <v/>
      </c>
      <c r="P37">
        <f>IF(OR($O37="",$O37="—"),"",IF($O37&lt;-3,"Muito baixo",IF($O37&lt;-2,"Baixo",IF($O37&lt;=2,"Adequado","Elevado"))))</f>
        <v/>
      </c>
      <c r="Q37" s="12">
        <f>IF(OR($S37="",$F37="",$T37="",$T37&lt;0,$T37&gt;60,$AR37=""),"—",ROUND(IF(ABS($AU37)&lt;=3,$AU37,IF($AU37&gt;3,3+($F37-$AW37)/($AW37-$AV37),-3+($F37-$AY37)/($AX37-$AY37))),2))</f>
        <v/>
      </c>
      <c r="R37">
        <f>IF(OR($Q37="",$Q37="—"),"",IF($Q37&lt;-3,"Magreza acentuada",IF($Q37&lt;-2,"Magreza",IF($Q37&lt;=1,"Eutrofia",IF($Q37&lt;=2,"Risco de sobrepeso",IF($Q37&lt;=3,"Sobrepeso","Obesidade"))))))</f>
        <v/>
      </c>
      <c r="S37">
        <f>IF($C37="","",IF(UPPER(LEFT($C37,1))="M",1,IF(UPPER(LEFT($C37,1))="F",2,"")))</f>
        <v/>
      </c>
      <c r="T37">
        <f>IF(OR($D37="",$E37=""),"",DATEDIF($D37,$E37,"m"))</f>
        <v/>
      </c>
      <c r="U37">
        <f>IF(OR($D37="",$E37=""),"",$E37-$D37)</f>
        <v/>
      </c>
      <c r="V37">
        <f>IF(OR($G37="",$T37=""),"",IF($T37&lt;24,IF(LEFT(LOWER($H37),4)="em p",$G37+0.7,$G37),IF(LEFT(LOWER($H37),4)="deit",$G37-0.7,$G37)))</f>
        <v/>
      </c>
      <c r="W37">
        <f>IF(OR($S37="",$T37=""),"",$S37*1000000+IF($T37&lt;=60,$U37,$T37))</f>
        <v/>
      </c>
      <c r="X37">
        <f>IF(OR($S37="",$V37="",$T37&gt;60,$T37=""),"",$S37*1000000+ROUND($V37*10,0))</f>
        <v/>
      </c>
      <c r="Y37">
        <f>IF($W37="","",IFERROR(INDEX(IF($T37&lt;=60,imc05_l,imc519_l),MATCH($W37,IF($T37&lt;=60,imc05_k,imc519_k),1)),""))</f>
        <v/>
      </c>
      <c r="Z37">
        <f>IF($W37="","",IFERROR(INDEX(IF($T37&lt;=60,imc05_m,imc519_m),MATCH($W37,IF($T37&lt;=60,imc05_k,imc519_k),1)),""))</f>
        <v/>
      </c>
      <c r="AA37">
        <f>IF($W37="","",IFERROR(INDEX(IF($T37&lt;=60,imc05_s,imc519_s),MATCH($W37,IF($T37&lt;=60,imc05_k,imc519_k),1)),""))</f>
        <v/>
      </c>
      <c r="AB37">
        <f>IF($Y37="","",IF($Y37=0,LN($J37/$Z37)/$AA37,((($J37/$Z37)^$Y37)-1)/($Y37*$AA37)))</f>
        <v/>
      </c>
      <c r="AC37">
        <f>IF($Y37="","",IF($Y37=0,$Z37*EXP($AA37*2),$Z37*(1+$Y37*$AA37*2)^(1/$Y37)))</f>
        <v/>
      </c>
      <c r="AD37">
        <f>IF($Y37="","",IF($Y37=0,$Z37*EXP($AA37*3),$Z37*(1+$Y37*$AA37*3)^(1/$Y37)))</f>
        <v/>
      </c>
      <c r="AE37">
        <f>IF($Y37="","",IF($Y37=0,$Z37*EXP($AA37*-2),$Z37*(1+$Y37*$AA37*-2)^(1/$Y37)))</f>
        <v/>
      </c>
      <c r="AF37">
        <f>IF($Y37="","",IF($Y37=0,$Z37*EXP($AA37*-3),$Z37*(1+$Y37*$AA37*-3)^(1/$Y37)))</f>
        <v/>
      </c>
      <c r="AG37">
        <f>IF($W37="","",IFERROR(INDEX(IF($T37&lt;=60,est05_l,est519_l),MATCH($W37,IF($T37&lt;=60,est05_k,est519_k),1)),""))</f>
        <v/>
      </c>
      <c r="AH37">
        <f>IF($W37="","",IFERROR(INDEX(IF($T37&lt;=60,est05_m,est519_m),MATCH($W37,IF($T37&lt;=60,est05_k,est519_k),1)),""))</f>
        <v/>
      </c>
      <c r="AI37">
        <f>IF($W37="","",IFERROR(INDEX(IF($T37&lt;=60,est05_s,est519_s),MATCH($W37,IF($T37&lt;=60,est05_k,est519_k),1)),""))</f>
        <v/>
      </c>
      <c r="AJ37">
        <f>IF($W37="","",IFERROR(INDEX(IF($T37&lt;=60,peso05_l,peso510_l),MATCH($W37,IF($T37&lt;=60,peso05_k,peso510_k),1)),""))</f>
        <v/>
      </c>
      <c r="AK37">
        <f>IF($W37="","",IFERROR(INDEX(IF($T37&lt;=60,peso05_m,peso510_m),MATCH($W37,IF($T37&lt;=60,peso05_k,peso510_k),1)),""))</f>
        <v/>
      </c>
      <c r="AL37">
        <f>IF($W37="","",IFERROR(INDEX(IF($T37&lt;=60,peso05_s,peso510_s),MATCH($W37,IF($T37&lt;=60,peso05_k,peso510_k),1)),""))</f>
        <v/>
      </c>
      <c r="AM37">
        <f>IF($AJ37="","",IF($AJ37=0,LN($F37/$AK37)/$AL37,((($F37/$AK37)^$AJ37)-1)/($AJ37*$AL37)))</f>
        <v/>
      </c>
      <c r="AN37">
        <f>IF($AJ37="","",IF($AJ37=0,$AK37*EXP($AL37*2),$AK37*(1+$AJ37*$AL37*2)^(1/$AJ37)))</f>
        <v/>
      </c>
      <c r="AO37">
        <f>IF($AJ37="","",IF($AJ37=0,$AK37*EXP($AL37*3),$AK37*(1+$AJ37*$AL37*3)^(1/$AJ37)))</f>
        <v/>
      </c>
      <c r="AP37">
        <f>IF($AJ37="","",IF($AJ37=0,$AK37*EXP($AL37*-2),$AK37*(1+$AJ37*$AL37*-2)^(1/$AJ37)))</f>
        <v/>
      </c>
      <c r="AQ37">
        <f>IF($AJ37="","",IF($AJ37=0,$AK37*EXP($AL37*-3),$AK37*(1+$AJ37*$AL37*-3)^(1/$AJ37)))</f>
        <v/>
      </c>
      <c r="AR37">
        <f>IF(OR($X37="",$T37&gt;60),"",IFERROR(INDEX(IF($T37&lt;24,pcomp_l,palt_l),MATCH($X37,IF($T37&lt;24,pcomp_k,palt_k),1)),""))</f>
        <v/>
      </c>
      <c r="AS37">
        <f>IF(OR($X37="",$T37&gt;60),"",IFERROR(INDEX(IF($T37&lt;24,pcomp_m,palt_m),MATCH($X37,IF($T37&lt;24,pcomp_k,palt_k),1)),""))</f>
        <v/>
      </c>
      <c r="AT37">
        <f>IF(OR($X37="",$T37&gt;60),"",IFERROR(INDEX(IF($T37&lt;24,pcomp_s,palt_s),MATCH($X37,IF($T37&lt;24,pcomp_k,palt_k),1)),""))</f>
        <v/>
      </c>
      <c r="AU37">
        <f>IF($AR37="","",IF($AR37=0,LN($F37/$AS37)/$AT37,((($F37/$AS37)^$AR37)-1)/($AR37*$AT37)))</f>
        <v/>
      </c>
      <c r="AV37">
        <f>IF($AR37="","",IF($AR37=0,$AS37*EXP($AT37*2),$AS37*(1+$AR37*$AT37*2)^(1/$AR37)))</f>
        <v/>
      </c>
      <c r="AW37">
        <f>IF($AR37="","",IF($AR37=0,$AS37*EXP($AT37*3),$AS37*(1+$AR37*$AT37*3)^(1/$AR37)))</f>
        <v/>
      </c>
      <c r="AX37">
        <f>IF($AR37="","",IF($AR37=0,$AS37*EXP($AT37*-2),$AS37*(1+$AR37*$AT37*-2)^(1/$AR37)))</f>
        <v/>
      </c>
      <c r="AY37">
        <f>IF($AR37="","",IF($AR37=0,$AS37*EXP($AT37*-3),$AS37*(1+$AR37*$AT37*-3)^(1/$AR37)))</f>
        <v/>
      </c>
      <c r="AZ37">
        <f>IF(OR($A37="",$A37&lt;&gt;Ficha!$C$4),"",COUNTIF($A$2:$A37,Ficha!$C$4))</f>
        <v/>
      </c>
    </row>
    <row r="38">
      <c r="A38" s="8">
        <f>IF(INDEX(Banco!$A:$A,ROW())="","",INDEX(Banco!$A:$A,ROW()))</f>
        <v/>
      </c>
      <c r="B38" s="8">
        <f>IF(INDEX(Banco!$B:$B,ROW())="","",INDEX(Banco!$B:$B,ROW()))</f>
        <v/>
      </c>
      <c r="C38" s="8">
        <f>IF(INDEX(Banco!$C:$C,ROW())="","",INDEX(Banco!$C:$C,ROW()))</f>
        <v/>
      </c>
      <c r="D38" s="9">
        <f>IF(INDEX(Banco!$D:$D,ROW())="","",INDEX(Banco!$D:$D,ROW()))</f>
        <v/>
      </c>
      <c r="E38" s="9">
        <f>IF(INDEX(Banco!$E:$E,ROW())="","",INDEX(Banco!$E:$E,ROW()))</f>
        <v/>
      </c>
      <c r="F38" s="10">
        <f>IF(INDEX(Banco!$F:$F,ROW())="","",INDEX(Banco!$F:$F,ROW()))</f>
        <v/>
      </c>
      <c r="G38" s="10">
        <f>IF(INDEX(Banco!$G:$G,ROW())="","",INDEX(Banco!$G:$G,ROW()))</f>
        <v/>
      </c>
      <c r="H38" s="8">
        <f>IF(INDEX(Banco!$H:$H,ROW())="","",INDEX(Banco!$H:$H,ROW()))</f>
        <v/>
      </c>
      <c r="I38">
        <f>IF($T38="","",INT($T38/12)&amp;"a "&amp;MOD($T38,12)&amp;"m")</f>
        <v/>
      </c>
      <c r="J38" s="11">
        <f>IF(OR($F38="",$G38=""),"",ROUND($F38/($G38/100)^2,2))</f>
        <v/>
      </c>
      <c r="K38" s="12">
        <f>IF(OR($S38="",$J38="",$T38="",$T38&lt;0,$T38&gt;228,$Y38=""),"—",ROUND(IF(ABS($AB38)&lt;=3,$AB38,IF($AB38&gt;3,3+($J38-$AD38)/($AD38-$AC38),-3+($J38-$AF38)/($AE38-$AF38))),2))</f>
        <v/>
      </c>
      <c r="L38">
        <f>IF(OR($K38="",$K38="—"),"",IF($T38&lt;=60,IF($K38&lt;-3,"Magreza acentuada",IF($K38&lt;-2,"Magreza",IF($K38&lt;=1,"Eutrofia",IF($K38&lt;=2,"Risco de sobrepeso",IF($K38&lt;=3,"Sobrepeso","Obesidade"))))),IF($K38&lt;-3,"Magreza acentuada",IF($K38&lt;-2,"Magreza",IF($K38&lt;=1,"Eutrofia",IF($K38&lt;=2,"Sobrepeso",IF($K38&lt;=3,"Obesidade","Obesidade grave")))))))</f>
        <v/>
      </c>
      <c r="M38" s="12">
        <f>IF(OR($S38="",$V38="",$T38="",$T38&lt;0,$T38&gt;228,$AG38=""),"—",ROUND(IF($AG38=0,LN($V38/$AH38)/$AI38,((($V38/$AH38)^$AG38)-1)/($AG38*$AI38)),2))</f>
        <v/>
      </c>
      <c r="N38">
        <f>IF(OR($M38="",$M38="—"),"",IF($M38&lt;-3,"Muito baixa",IF($M38&lt;-2,"Baixa","Adequada")))</f>
        <v/>
      </c>
      <c r="O38" s="12">
        <f>IF(OR($S38="",$F38="",$T38="",$T38&lt;0,$T38&gt;120,$AJ38=""),"—",ROUND(IF(ABS($AM38)&lt;=3,$AM38,IF($AM38&gt;3,3+($F38-$AO38)/($AO38-$AN38),-3+($F38-$AQ38)/($AP38-$AQ38))),2))</f>
        <v/>
      </c>
      <c r="P38">
        <f>IF(OR($O38="",$O38="—"),"",IF($O38&lt;-3,"Muito baixo",IF($O38&lt;-2,"Baixo",IF($O38&lt;=2,"Adequado","Elevado"))))</f>
        <v/>
      </c>
      <c r="Q38" s="12">
        <f>IF(OR($S38="",$F38="",$T38="",$T38&lt;0,$T38&gt;60,$AR38=""),"—",ROUND(IF(ABS($AU38)&lt;=3,$AU38,IF($AU38&gt;3,3+($F38-$AW38)/($AW38-$AV38),-3+($F38-$AY38)/($AX38-$AY38))),2))</f>
        <v/>
      </c>
      <c r="R38">
        <f>IF(OR($Q38="",$Q38="—"),"",IF($Q38&lt;-3,"Magreza acentuada",IF($Q38&lt;-2,"Magreza",IF($Q38&lt;=1,"Eutrofia",IF($Q38&lt;=2,"Risco de sobrepeso",IF($Q38&lt;=3,"Sobrepeso","Obesidade"))))))</f>
        <v/>
      </c>
      <c r="S38">
        <f>IF($C38="","",IF(UPPER(LEFT($C38,1))="M",1,IF(UPPER(LEFT($C38,1))="F",2,"")))</f>
        <v/>
      </c>
      <c r="T38">
        <f>IF(OR($D38="",$E38=""),"",DATEDIF($D38,$E38,"m"))</f>
        <v/>
      </c>
      <c r="U38">
        <f>IF(OR($D38="",$E38=""),"",$E38-$D38)</f>
        <v/>
      </c>
      <c r="V38">
        <f>IF(OR($G38="",$T38=""),"",IF($T38&lt;24,IF(LEFT(LOWER($H38),4)="em p",$G38+0.7,$G38),IF(LEFT(LOWER($H38),4)="deit",$G38-0.7,$G38)))</f>
        <v/>
      </c>
      <c r="W38">
        <f>IF(OR($S38="",$T38=""),"",$S38*1000000+IF($T38&lt;=60,$U38,$T38))</f>
        <v/>
      </c>
      <c r="X38">
        <f>IF(OR($S38="",$V38="",$T38&gt;60,$T38=""),"",$S38*1000000+ROUND($V38*10,0))</f>
        <v/>
      </c>
      <c r="Y38">
        <f>IF($W38="","",IFERROR(INDEX(IF($T38&lt;=60,imc05_l,imc519_l),MATCH($W38,IF($T38&lt;=60,imc05_k,imc519_k),1)),""))</f>
        <v/>
      </c>
      <c r="Z38">
        <f>IF($W38="","",IFERROR(INDEX(IF($T38&lt;=60,imc05_m,imc519_m),MATCH($W38,IF($T38&lt;=60,imc05_k,imc519_k),1)),""))</f>
        <v/>
      </c>
      <c r="AA38">
        <f>IF($W38="","",IFERROR(INDEX(IF($T38&lt;=60,imc05_s,imc519_s),MATCH($W38,IF($T38&lt;=60,imc05_k,imc519_k),1)),""))</f>
        <v/>
      </c>
      <c r="AB38">
        <f>IF($Y38="","",IF($Y38=0,LN($J38/$Z38)/$AA38,((($J38/$Z38)^$Y38)-1)/($Y38*$AA38)))</f>
        <v/>
      </c>
      <c r="AC38">
        <f>IF($Y38="","",IF($Y38=0,$Z38*EXP($AA38*2),$Z38*(1+$Y38*$AA38*2)^(1/$Y38)))</f>
        <v/>
      </c>
      <c r="AD38">
        <f>IF($Y38="","",IF($Y38=0,$Z38*EXP($AA38*3),$Z38*(1+$Y38*$AA38*3)^(1/$Y38)))</f>
        <v/>
      </c>
      <c r="AE38">
        <f>IF($Y38="","",IF($Y38=0,$Z38*EXP($AA38*-2),$Z38*(1+$Y38*$AA38*-2)^(1/$Y38)))</f>
        <v/>
      </c>
      <c r="AF38">
        <f>IF($Y38="","",IF($Y38=0,$Z38*EXP($AA38*-3),$Z38*(1+$Y38*$AA38*-3)^(1/$Y38)))</f>
        <v/>
      </c>
      <c r="AG38">
        <f>IF($W38="","",IFERROR(INDEX(IF($T38&lt;=60,est05_l,est519_l),MATCH($W38,IF($T38&lt;=60,est05_k,est519_k),1)),""))</f>
        <v/>
      </c>
      <c r="AH38">
        <f>IF($W38="","",IFERROR(INDEX(IF($T38&lt;=60,est05_m,est519_m),MATCH($W38,IF($T38&lt;=60,est05_k,est519_k),1)),""))</f>
        <v/>
      </c>
      <c r="AI38">
        <f>IF($W38="","",IFERROR(INDEX(IF($T38&lt;=60,est05_s,est519_s),MATCH($W38,IF($T38&lt;=60,est05_k,est519_k),1)),""))</f>
        <v/>
      </c>
      <c r="AJ38">
        <f>IF($W38="","",IFERROR(INDEX(IF($T38&lt;=60,peso05_l,peso510_l),MATCH($W38,IF($T38&lt;=60,peso05_k,peso510_k),1)),""))</f>
        <v/>
      </c>
      <c r="AK38">
        <f>IF($W38="","",IFERROR(INDEX(IF($T38&lt;=60,peso05_m,peso510_m),MATCH($W38,IF($T38&lt;=60,peso05_k,peso510_k),1)),""))</f>
        <v/>
      </c>
      <c r="AL38">
        <f>IF($W38="","",IFERROR(INDEX(IF($T38&lt;=60,peso05_s,peso510_s),MATCH($W38,IF($T38&lt;=60,peso05_k,peso510_k),1)),""))</f>
        <v/>
      </c>
      <c r="AM38">
        <f>IF($AJ38="","",IF($AJ38=0,LN($F38/$AK38)/$AL38,((($F38/$AK38)^$AJ38)-1)/($AJ38*$AL38)))</f>
        <v/>
      </c>
      <c r="AN38">
        <f>IF($AJ38="","",IF($AJ38=0,$AK38*EXP($AL38*2),$AK38*(1+$AJ38*$AL38*2)^(1/$AJ38)))</f>
        <v/>
      </c>
      <c r="AO38">
        <f>IF($AJ38="","",IF($AJ38=0,$AK38*EXP($AL38*3),$AK38*(1+$AJ38*$AL38*3)^(1/$AJ38)))</f>
        <v/>
      </c>
      <c r="AP38">
        <f>IF($AJ38="","",IF($AJ38=0,$AK38*EXP($AL38*-2),$AK38*(1+$AJ38*$AL38*-2)^(1/$AJ38)))</f>
        <v/>
      </c>
      <c r="AQ38">
        <f>IF($AJ38="","",IF($AJ38=0,$AK38*EXP($AL38*-3),$AK38*(1+$AJ38*$AL38*-3)^(1/$AJ38)))</f>
        <v/>
      </c>
      <c r="AR38">
        <f>IF(OR($X38="",$T38&gt;60),"",IFERROR(INDEX(IF($T38&lt;24,pcomp_l,palt_l),MATCH($X38,IF($T38&lt;24,pcomp_k,palt_k),1)),""))</f>
        <v/>
      </c>
      <c r="AS38">
        <f>IF(OR($X38="",$T38&gt;60),"",IFERROR(INDEX(IF($T38&lt;24,pcomp_m,palt_m),MATCH($X38,IF($T38&lt;24,pcomp_k,palt_k),1)),""))</f>
        <v/>
      </c>
      <c r="AT38">
        <f>IF(OR($X38="",$T38&gt;60),"",IFERROR(INDEX(IF($T38&lt;24,pcomp_s,palt_s),MATCH($X38,IF($T38&lt;24,pcomp_k,palt_k),1)),""))</f>
        <v/>
      </c>
      <c r="AU38">
        <f>IF($AR38="","",IF($AR38=0,LN($F38/$AS38)/$AT38,((($F38/$AS38)^$AR38)-1)/($AR38*$AT38)))</f>
        <v/>
      </c>
      <c r="AV38">
        <f>IF($AR38="","",IF($AR38=0,$AS38*EXP($AT38*2),$AS38*(1+$AR38*$AT38*2)^(1/$AR38)))</f>
        <v/>
      </c>
      <c r="AW38">
        <f>IF($AR38="","",IF($AR38=0,$AS38*EXP($AT38*3),$AS38*(1+$AR38*$AT38*3)^(1/$AR38)))</f>
        <v/>
      </c>
      <c r="AX38">
        <f>IF($AR38="","",IF($AR38=0,$AS38*EXP($AT38*-2),$AS38*(1+$AR38*$AT38*-2)^(1/$AR38)))</f>
        <v/>
      </c>
      <c r="AY38">
        <f>IF($AR38="","",IF($AR38=0,$AS38*EXP($AT38*-3),$AS38*(1+$AR38*$AT38*-3)^(1/$AR38)))</f>
        <v/>
      </c>
      <c r="AZ38">
        <f>IF(OR($A38="",$A38&lt;&gt;Ficha!$C$4),"",COUNTIF($A$2:$A38,Ficha!$C$4))</f>
        <v/>
      </c>
    </row>
    <row r="39">
      <c r="A39" s="8">
        <f>IF(INDEX(Banco!$A:$A,ROW())="","",INDEX(Banco!$A:$A,ROW()))</f>
        <v/>
      </c>
      <c r="B39" s="8">
        <f>IF(INDEX(Banco!$B:$B,ROW())="","",INDEX(Banco!$B:$B,ROW()))</f>
        <v/>
      </c>
      <c r="C39" s="8">
        <f>IF(INDEX(Banco!$C:$C,ROW())="","",INDEX(Banco!$C:$C,ROW()))</f>
        <v/>
      </c>
      <c r="D39" s="9">
        <f>IF(INDEX(Banco!$D:$D,ROW())="","",INDEX(Banco!$D:$D,ROW()))</f>
        <v/>
      </c>
      <c r="E39" s="9">
        <f>IF(INDEX(Banco!$E:$E,ROW())="","",INDEX(Banco!$E:$E,ROW()))</f>
        <v/>
      </c>
      <c r="F39" s="10">
        <f>IF(INDEX(Banco!$F:$F,ROW())="","",INDEX(Banco!$F:$F,ROW()))</f>
        <v/>
      </c>
      <c r="G39" s="10">
        <f>IF(INDEX(Banco!$G:$G,ROW())="","",INDEX(Banco!$G:$G,ROW()))</f>
        <v/>
      </c>
      <c r="H39" s="8">
        <f>IF(INDEX(Banco!$H:$H,ROW())="","",INDEX(Banco!$H:$H,ROW()))</f>
        <v/>
      </c>
      <c r="I39">
        <f>IF($T39="","",INT($T39/12)&amp;"a "&amp;MOD($T39,12)&amp;"m")</f>
        <v/>
      </c>
      <c r="J39" s="11">
        <f>IF(OR($F39="",$G39=""),"",ROUND($F39/($G39/100)^2,2))</f>
        <v/>
      </c>
      <c r="K39" s="12">
        <f>IF(OR($S39="",$J39="",$T39="",$T39&lt;0,$T39&gt;228,$Y39=""),"—",ROUND(IF(ABS($AB39)&lt;=3,$AB39,IF($AB39&gt;3,3+($J39-$AD39)/($AD39-$AC39),-3+($J39-$AF39)/($AE39-$AF39))),2))</f>
        <v/>
      </c>
      <c r="L39">
        <f>IF(OR($K39="",$K39="—"),"",IF($T39&lt;=60,IF($K39&lt;-3,"Magreza acentuada",IF($K39&lt;-2,"Magreza",IF($K39&lt;=1,"Eutrofia",IF($K39&lt;=2,"Risco de sobrepeso",IF($K39&lt;=3,"Sobrepeso","Obesidade"))))),IF($K39&lt;-3,"Magreza acentuada",IF($K39&lt;-2,"Magreza",IF($K39&lt;=1,"Eutrofia",IF($K39&lt;=2,"Sobrepeso",IF($K39&lt;=3,"Obesidade","Obesidade grave")))))))</f>
        <v/>
      </c>
      <c r="M39" s="12">
        <f>IF(OR($S39="",$V39="",$T39="",$T39&lt;0,$T39&gt;228,$AG39=""),"—",ROUND(IF($AG39=0,LN($V39/$AH39)/$AI39,((($V39/$AH39)^$AG39)-1)/($AG39*$AI39)),2))</f>
        <v/>
      </c>
      <c r="N39">
        <f>IF(OR($M39="",$M39="—"),"",IF($M39&lt;-3,"Muito baixa",IF($M39&lt;-2,"Baixa","Adequada")))</f>
        <v/>
      </c>
      <c r="O39" s="12">
        <f>IF(OR($S39="",$F39="",$T39="",$T39&lt;0,$T39&gt;120,$AJ39=""),"—",ROUND(IF(ABS($AM39)&lt;=3,$AM39,IF($AM39&gt;3,3+($F39-$AO39)/($AO39-$AN39),-3+($F39-$AQ39)/($AP39-$AQ39))),2))</f>
        <v/>
      </c>
      <c r="P39">
        <f>IF(OR($O39="",$O39="—"),"",IF($O39&lt;-3,"Muito baixo",IF($O39&lt;-2,"Baixo",IF($O39&lt;=2,"Adequado","Elevado"))))</f>
        <v/>
      </c>
      <c r="Q39" s="12">
        <f>IF(OR($S39="",$F39="",$T39="",$T39&lt;0,$T39&gt;60,$AR39=""),"—",ROUND(IF(ABS($AU39)&lt;=3,$AU39,IF($AU39&gt;3,3+($F39-$AW39)/($AW39-$AV39),-3+($F39-$AY39)/($AX39-$AY39))),2))</f>
        <v/>
      </c>
      <c r="R39">
        <f>IF(OR($Q39="",$Q39="—"),"",IF($Q39&lt;-3,"Magreza acentuada",IF($Q39&lt;-2,"Magreza",IF($Q39&lt;=1,"Eutrofia",IF($Q39&lt;=2,"Risco de sobrepeso",IF($Q39&lt;=3,"Sobrepeso","Obesidade"))))))</f>
        <v/>
      </c>
      <c r="S39">
        <f>IF($C39="","",IF(UPPER(LEFT($C39,1))="M",1,IF(UPPER(LEFT($C39,1))="F",2,"")))</f>
        <v/>
      </c>
      <c r="T39">
        <f>IF(OR($D39="",$E39=""),"",DATEDIF($D39,$E39,"m"))</f>
        <v/>
      </c>
      <c r="U39">
        <f>IF(OR($D39="",$E39=""),"",$E39-$D39)</f>
        <v/>
      </c>
      <c r="V39">
        <f>IF(OR($G39="",$T39=""),"",IF($T39&lt;24,IF(LEFT(LOWER($H39),4)="em p",$G39+0.7,$G39),IF(LEFT(LOWER($H39),4)="deit",$G39-0.7,$G39)))</f>
        <v/>
      </c>
      <c r="W39">
        <f>IF(OR($S39="",$T39=""),"",$S39*1000000+IF($T39&lt;=60,$U39,$T39))</f>
        <v/>
      </c>
      <c r="X39">
        <f>IF(OR($S39="",$V39="",$T39&gt;60,$T39=""),"",$S39*1000000+ROUND($V39*10,0))</f>
        <v/>
      </c>
      <c r="Y39">
        <f>IF($W39="","",IFERROR(INDEX(IF($T39&lt;=60,imc05_l,imc519_l),MATCH($W39,IF($T39&lt;=60,imc05_k,imc519_k),1)),""))</f>
        <v/>
      </c>
      <c r="Z39">
        <f>IF($W39="","",IFERROR(INDEX(IF($T39&lt;=60,imc05_m,imc519_m),MATCH($W39,IF($T39&lt;=60,imc05_k,imc519_k),1)),""))</f>
        <v/>
      </c>
      <c r="AA39">
        <f>IF($W39="","",IFERROR(INDEX(IF($T39&lt;=60,imc05_s,imc519_s),MATCH($W39,IF($T39&lt;=60,imc05_k,imc519_k),1)),""))</f>
        <v/>
      </c>
      <c r="AB39">
        <f>IF($Y39="","",IF($Y39=0,LN($J39/$Z39)/$AA39,((($J39/$Z39)^$Y39)-1)/($Y39*$AA39)))</f>
        <v/>
      </c>
      <c r="AC39">
        <f>IF($Y39="","",IF($Y39=0,$Z39*EXP($AA39*2),$Z39*(1+$Y39*$AA39*2)^(1/$Y39)))</f>
        <v/>
      </c>
      <c r="AD39">
        <f>IF($Y39="","",IF($Y39=0,$Z39*EXP($AA39*3),$Z39*(1+$Y39*$AA39*3)^(1/$Y39)))</f>
        <v/>
      </c>
      <c r="AE39">
        <f>IF($Y39="","",IF($Y39=0,$Z39*EXP($AA39*-2),$Z39*(1+$Y39*$AA39*-2)^(1/$Y39)))</f>
        <v/>
      </c>
      <c r="AF39">
        <f>IF($Y39="","",IF($Y39=0,$Z39*EXP($AA39*-3),$Z39*(1+$Y39*$AA39*-3)^(1/$Y39)))</f>
        <v/>
      </c>
      <c r="AG39">
        <f>IF($W39="","",IFERROR(INDEX(IF($T39&lt;=60,est05_l,est519_l),MATCH($W39,IF($T39&lt;=60,est05_k,est519_k),1)),""))</f>
        <v/>
      </c>
      <c r="AH39">
        <f>IF($W39="","",IFERROR(INDEX(IF($T39&lt;=60,est05_m,est519_m),MATCH($W39,IF($T39&lt;=60,est05_k,est519_k),1)),""))</f>
        <v/>
      </c>
      <c r="AI39">
        <f>IF($W39="","",IFERROR(INDEX(IF($T39&lt;=60,est05_s,est519_s),MATCH($W39,IF($T39&lt;=60,est05_k,est519_k),1)),""))</f>
        <v/>
      </c>
      <c r="AJ39">
        <f>IF($W39="","",IFERROR(INDEX(IF($T39&lt;=60,peso05_l,peso510_l),MATCH($W39,IF($T39&lt;=60,peso05_k,peso510_k),1)),""))</f>
        <v/>
      </c>
      <c r="AK39">
        <f>IF($W39="","",IFERROR(INDEX(IF($T39&lt;=60,peso05_m,peso510_m),MATCH($W39,IF($T39&lt;=60,peso05_k,peso510_k),1)),""))</f>
        <v/>
      </c>
      <c r="AL39">
        <f>IF($W39="","",IFERROR(INDEX(IF($T39&lt;=60,peso05_s,peso510_s),MATCH($W39,IF($T39&lt;=60,peso05_k,peso510_k),1)),""))</f>
        <v/>
      </c>
      <c r="AM39">
        <f>IF($AJ39="","",IF($AJ39=0,LN($F39/$AK39)/$AL39,((($F39/$AK39)^$AJ39)-1)/($AJ39*$AL39)))</f>
        <v/>
      </c>
      <c r="AN39">
        <f>IF($AJ39="","",IF($AJ39=0,$AK39*EXP($AL39*2),$AK39*(1+$AJ39*$AL39*2)^(1/$AJ39)))</f>
        <v/>
      </c>
      <c r="AO39">
        <f>IF($AJ39="","",IF($AJ39=0,$AK39*EXP($AL39*3),$AK39*(1+$AJ39*$AL39*3)^(1/$AJ39)))</f>
        <v/>
      </c>
      <c r="AP39">
        <f>IF($AJ39="","",IF($AJ39=0,$AK39*EXP($AL39*-2),$AK39*(1+$AJ39*$AL39*-2)^(1/$AJ39)))</f>
        <v/>
      </c>
      <c r="AQ39">
        <f>IF($AJ39="","",IF($AJ39=0,$AK39*EXP($AL39*-3),$AK39*(1+$AJ39*$AL39*-3)^(1/$AJ39)))</f>
        <v/>
      </c>
      <c r="AR39">
        <f>IF(OR($X39="",$T39&gt;60),"",IFERROR(INDEX(IF($T39&lt;24,pcomp_l,palt_l),MATCH($X39,IF($T39&lt;24,pcomp_k,palt_k),1)),""))</f>
        <v/>
      </c>
      <c r="AS39">
        <f>IF(OR($X39="",$T39&gt;60),"",IFERROR(INDEX(IF($T39&lt;24,pcomp_m,palt_m),MATCH($X39,IF($T39&lt;24,pcomp_k,palt_k),1)),""))</f>
        <v/>
      </c>
      <c r="AT39">
        <f>IF(OR($X39="",$T39&gt;60),"",IFERROR(INDEX(IF($T39&lt;24,pcomp_s,palt_s),MATCH($X39,IF($T39&lt;24,pcomp_k,palt_k),1)),""))</f>
        <v/>
      </c>
      <c r="AU39">
        <f>IF($AR39="","",IF($AR39=0,LN($F39/$AS39)/$AT39,((($F39/$AS39)^$AR39)-1)/($AR39*$AT39)))</f>
        <v/>
      </c>
      <c r="AV39">
        <f>IF($AR39="","",IF($AR39=0,$AS39*EXP($AT39*2),$AS39*(1+$AR39*$AT39*2)^(1/$AR39)))</f>
        <v/>
      </c>
      <c r="AW39">
        <f>IF($AR39="","",IF($AR39=0,$AS39*EXP($AT39*3),$AS39*(1+$AR39*$AT39*3)^(1/$AR39)))</f>
        <v/>
      </c>
      <c r="AX39">
        <f>IF($AR39="","",IF($AR39=0,$AS39*EXP($AT39*-2),$AS39*(1+$AR39*$AT39*-2)^(1/$AR39)))</f>
        <v/>
      </c>
      <c r="AY39">
        <f>IF($AR39="","",IF($AR39=0,$AS39*EXP($AT39*-3),$AS39*(1+$AR39*$AT39*-3)^(1/$AR39)))</f>
        <v/>
      </c>
      <c r="AZ39">
        <f>IF(OR($A39="",$A39&lt;&gt;Ficha!$C$4),"",COUNTIF($A$2:$A39,Ficha!$C$4))</f>
        <v/>
      </c>
    </row>
    <row r="40">
      <c r="A40" s="8">
        <f>IF(INDEX(Banco!$A:$A,ROW())="","",INDEX(Banco!$A:$A,ROW()))</f>
        <v/>
      </c>
      <c r="B40" s="8">
        <f>IF(INDEX(Banco!$B:$B,ROW())="","",INDEX(Banco!$B:$B,ROW()))</f>
        <v/>
      </c>
      <c r="C40" s="8">
        <f>IF(INDEX(Banco!$C:$C,ROW())="","",INDEX(Banco!$C:$C,ROW()))</f>
        <v/>
      </c>
      <c r="D40" s="9">
        <f>IF(INDEX(Banco!$D:$D,ROW())="","",INDEX(Banco!$D:$D,ROW()))</f>
        <v/>
      </c>
      <c r="E40" s="9">
        <f>IF(INDEX(Banco!$E:$E,ROW())="","",INDEX(Banco!$E:$E,ROW()))</f>
        <v/>
      </c>
      <c r="F40" s="10">
        <f>IF(INDEX(Banco!$F:$F,ROW())="","",INDEX(Banco!$F:$F,ROW()))</f>
        <v/>
      </c>
      <c r="G40" s="10">
        <f>IF(INDEX(Banco!$G:$G,ROW())="","",INDEX(Banco!$G:$G,ROW()))</f>
        <v/>
      </c>
      <c r="H40" s="8">
        <f>IF(INDEX(Banco!$H:$H,ROW())="","",INDEX(Banco!$H:$H,ROW()))</f>
        <v/>
      </c>
      <c r="I40">
        <f>IF($T40="","",INT($T40/12)&amp;"a "&amp;MOD($T40,12)&amp;"m")</f>
        <v/>
      </c>
      <c r="J40" s="11">
        <f>IF(OR($F40="",$G40=""),"",ROUND($F40/($G40/100)^2,2))</f>
        <v/>
      </c>
      <c r="K40" s="12">
        <f>IF(OR($S40="",$J40="",$T40="",$T40&lt;0,$T40&gt;228,$Y40=""),"—",ROUND(IF(ABS($AB40)&lt;=3,$AB40,IF($AB40&gt;3,3+($J40-$AD40)/($AD40-$AC40),-3+($J40-$AF40)/($AE40-$AF40))),2))</f>
        <v/>
      </c>
      <c r="L40">
        <f>IF(OR($K40="",$K40="—"),"",IF($T40&lt;=60,IF($K40&lt;-3,"Magreza acentuada",IF($K40&lt;-2,"Magreza",IF($K40&lt;=1,"Eutrofia",IF($K40&lt;=2,"Risco de sobrepeso",IF($K40&lt;=3,"Sobrepeso","Obesidade"))))),IF($K40&lt;-3,"Magreza acentuada",IF($K40&lt;-2,"Magreza",IF($K40&lt;=1,"Eutrofia",IF($K40&lt;=2,"Sobrepeso",IF($K40&lt;=3,"Obesidade","Obesidade grave")))))))</f>
        <v/>
      </c>
      <c r="M40" s="12">
        <f>IF(OR($S40="",$V40="",$T40="",$T40&lt;0,$T40&gt;228,$AG40=""),"—",ROUND(IF($AG40=0,LN($V40/$AH40)/$AI40,((($V40/$AH40)^$AG40)-1)/($AG40*$AI40)),2))</f>
        <v/>
      </c>
      <c r="N40">
        <f>IF(OR($M40="",$M40="—"),"",IF($M40&lt;-3,"Muito baixa",IF($M40&lt;-2,"Baixa","Adequada")))</f>
        <v/>
      </c>
      <c r="O40" s="12">
        <f>IF(OR($S40="",$F40="",$T40="",$T40&lt;0,$T40&gt;120,$AJ40=""),"—",ROUND(IF(ABS($AM40)&lt;=3,$AM40,IF($AM40&gt;3,3+($F40-$AO40)/($AO40-$AN40),-3+($F40-$AQ40)/($AP40-$AQ40))),2))</f>
        <v/>
      </c>
      <c r="P40">
        <f>IF(OR($O40="",$O40="—"),"",IF($O40&lt;-3,"Muito baixo",IF($O40&lt;-2,"Baixo",IF($O40&lt;=2,"Adequado","Elevado"))))</f>
        <v/>
      </c>
      <c r="Q40" s="12">
        <f>IF(OR($S40="",$F40="",$T40="",$T40&lt;0,$T40&gt;60,$AR40=""),"—",ROUND(IF(ABS($AU40)&lt;=3,$AU40,IF($AU40&gt;3,3+($F40-$AW40)/($AW40-$AV40),-3+($F40-$AY40)/($AX40-$AY40))),2))</f>
        <v/>
      </c>
      <c r="R40">
        <f>IF(OR($Q40="",$Q40="—"),"",IF($Q40&lt;-3,"Magreza acentuada",IF($Q40&lt;-2,"Magreza",IF($Q40&lt;=1,"Eutrofia",IF($Q40&lt;=2,"Risco de sobrepeso",IF($Q40&lt;=3,"Sobrepeso","Obesidade"))))))</f>
        <v/>
      </c>
      <c r="S40">
        <f>IF($C40="","",IF(UPPER(LEFT($C40,1))="M",1,IF(UPPER(LEFT($C40,1))="F",2,"")))</f>
        <v/>
      </c>
      <c r="T40">
        <f>IF(OR($D40="",$E40=""),"",DATEDIF($D40,$E40,"m"))</f>
        <v/>
      </c>
      <c r="U40">
        <f>IF(OR($D40="",$E40=""),"",$E40-$D40)</f>
        <v/>
      </c>
      <c r="V40">
        <f>IF(OR($G40="",$T40=""),"",IF($T40&lt;24,IF(LEFT(LOWER($H40),4)="em p",$G40+0.7,$G40),IF(LEFT(LOWER($H40),4)="deit",$G40-0.7,$G40)))</f>
        <v/>
      </c>
      <c r="W40">
        <f>IF(OR($S40="",$T40=""),"",$S40*1000000+IF($T40&lt;=60,$U40,$T40))</f>
        <v/>
      </c>
      <c r="X40">
        <f>IF(OR($S40="",$V40="",$T40&gt;60,$T40=""),"",$S40*1000000+ROUND($V40*10,0))</f>
        <v/>
      </c>
      <c r="Y40">
        <f>IF($W40="","",IFERROR(INDEX(IF($T40&lt;=60,imc05_l,imc519_l),MATCH($W40,IF($T40&lt;=60,imc05_k,imc519_k),1)),""))</f>
        <v/>
      </c>
      <c r="Z40">
        <f>IF($W40="","",IFERROR(INDEX(IF($T40&lt;=60,imc05_m,imc519_m),MATCH($W40,IF($T40&lt;=60,imc05_k,imc519_k),1)),""))</f>
        <v/>
      </c>
      <c r="AA40">
        <f>IF($W40="","",IFERROR(INDEX(IF($T40&lt;=60,imc05_s,imc519_s),MATCH($W40,IF($T40&lt;=60,imc05_k,imc519_k),1)),""))</f>
        <v/>
      </c>
      <c r="AB40">
        <f>IF($Y40="","",IF($Y40=0,LN($J40/$Z40)/$AA40,((($J40/$Z40)^$Y40)-1)/($Y40*$AA40)))</f>
        <v/>
      </c>
      <c r="AC40">
        <f>IF($Y40="","",IF($Y40=0,$Z40*EXP($AA40*2),$Z40*(1+$Y40*$AA40*2)^(1/$Y40)))</f>
        <v/>
      </c>
      <c r="AD40">
        <f>IF($Y40="","",IF($Y40=0,$Z40*EXP($AA40*3),$Z40*(1+$Y40*$AA40*3)^(1/$Y40)))</f>
        <v/>
      </c>
      <c r="AE40">
        <f>IF($Y40="","",IF($Y40=0,$Z40*EXP($AA40*-2),$Z40*(1+$Y40*$AA40*-2)^(1/$Y40)))</f>
        <v/>
      </c>
      <c r="AF40">
        <f>IF($Y40="","",IF($Y40=0,$Z40*EXP($AA40*-3),$Z40*(1+$Y40*$AA40*-3)^(1/$Y40)))</f>
        <v/>
      </c>
      <c r="AG40">
        <f>IF($W40="","",IFERROR(INDEX(IF($T40&lt;=60,est05_l,est519_l),MATCH($W40,IF($T40&lt;=60,est05_k,est519_k),1)),""))</f>
        <v/>
      </c>
      <c r="AH40">
        <f>IF($W40="","",IFERROR(INDEX(IF($T40&lt;=60,est05_m,est519_m),MATCH($W40,IF($T40&lt;=60,est05_k,est519_k),1)),""))</f>
        <v/>
      </c>
      <c r="AI40">
        <f>IF($W40="","",IFERROR(INDEX(IF($T40&lt;=60,est05_s,est519_s),MATCH($W40,IF($T40&lt;=60,est05_k,est519_k),1)),""))</f>
        <v/>
      </c>
      <c r="AJ40">
        <f>IF($W40="","",IFERROR(INDEX(IF($T40&lt;=60,peso05_l,peso510_l),MATCH($W40,IF($T40&lt;=60,peso05_k,peso510_k),1)),""))</f>
        <v/>
      </c>
      <c r="AK40">
        <f>IF($W40="","",IFERROR(INDEX(IF($T40&lt;=60,peso05_m,peso510_m),MATCH($W40,IF($T40&lt;=60,peso05_k,peso510_k),1)),""))</f>
        <v/>
      </c>
      <c r="AL40">
        <f>IF($W40="","",IFERROR(INDEX(IF($T40&lt;=60,peso05_s,peso510_s),MATCH($W40,IF($T40&lt;=60,peso05_k,peso510_k),1)),""))</f>
        <v/>
      </c>
      <c r="AM40">
        <f>IF($AJ40="","",IF($AJ40=0,LN($F40/$AK40)/$AL40,((($F40/$AK40)^$AJ40)-1)/($AJ40*$AL40)))</f>
        <v/>
      </c>
      <c r="AN40">
        <f>IF($AJ40="","",IF($AJ40=0,$AK40*EXP($AL40*2),$AK40*(1+$AJ40*$AL40*2)^(1/$AJ40)))</f>
        <v/>
      </c>
      <c r="AO40">
        <f>IF($AJ40="","",IF($AJ40=0,$AK40*EXP($AL40*3),$AK40*(1+$AJ40*$AL40*3)^(1/$AJ40)))</f>
        <v/>
      </c>
      <c r="AP40">
        <f>IF($AJ40="","",IF($AJ40=0,$AK40*EXP($AL40*-2),$AK40*(1+$AJ40*$AL40*-2)^(1/$AJ40)))</f>
        <v/>
      </c>
      <c r="AQ40">
        <f>IF($AJ40="","",IF($AJ40=0,$AK40*EXP($AL40*-3),$AK40*(1+$AJ40*$AL40*-3)^(1/$AJ40)))</f>
        <v/>
      </c>
      <c r="AR40">
        <f>IF(OR($X40="",$T40&gt;60),"",IFERROR(INDEX(IF($T40&lt;24,pcomp_l,palt_l),MATCH($X40,IF($T40&lt;24,pcomp_k,palt_k),1)),""))</f>
        <v/>
      </c>
      <c r="AS40">
        <f>IF(OR($X40="",$T40&gt;60),"",IFERROR(INDEX(IF($T40&lt;24,pcomp_m,palt_m),MATCH($X40,IF($T40&lt;24,pcomp_k,palt_k),1)),""))</f>
        <v/>
      </c>
      <c r="AT40">
        <f>IF(OR($X40="",$T40&gt;60),"",IFERROR(INDEX(IF($T40&lt;24,pcomp_s,palt_s),MATCH($X40,IF($T40&lt;24,pcomp_k,palt_k),1)),""))</f>
        <v/>
      </c>
      <c r="AU40">
        <f>IF($AR40="","",IF($AR40=0,LN($F40/$AS40)/$AT40,((($F40/$AS40)^$AR40)-1)/($AR40*$AT40)))</f>
        <v/>
      </c>
      <c r="AV40">
        <f>IF($AR40="","",IF($AR40=0,$AS40*EXP($AT40*2),$AS40*(1+$AR40*$AT40*2)^(1/$AR40)))</f>
        <v/>
      </c>
      <c r="AW40">
        <f>IF($AR40="","",IF($AR40=0,$AS40*EXP($AT40*3),$AS40*(1+$AR40*$AT40*3)^(1/$AR40)))</f>
        <v/>
      </c>
      <c r="AX40">
        <f>IF($AR40="","",IF($AR40=0,$AS40*EXP($AT40*-2),$AS40*(1+$AR40*$AT40*-2)^(1/$AR40)))</f>
        <v/>
      </c>
      <c r="AY40">
        <f>IF($AR40="","",IF($AR40=0,$AS40*EXP($AT40*-3),$AS40*(1+$AR40*$AT40*-3)^(1/$AR40)))</f>
        <v/>
      </c>
      <c r="AZ40">
        <f>IF(OR($A40="",$A40&lt;&gt;Ficha!$C$4),"",COUNTIF($A$2:$A40,Ficha!$C$4))</f>
        <v/>
      </c>
    </row>
    <row r="41">
      <c r="A41" s="8">
        <f>IF(INDEX(Banco!$A:$A,ROW())="","",INDEX(Banco!$A:$A,ROW()))</f>
        <v/>
      </c>
      <c r="B41" s="8">
        <f>IF(INDEX(Banco!$B:$B,ROW())="","",INDEX(Banco!$B:$B,ROW()))</f>
        <v/>
      </c>
      <c r="C41" s="8">
        <f>IF(INDEX(Banco!$C:$C,ROW())="","",INDEX(Banco!$C:$C,ROW()))</f>
        <v/>
      </c>
      <c r="D41" s="9">
        <f>IF(INDEX(Banco!$D:$D,ROW())="","",INDEX(Banco!$D:$D,ROW()))</f>
        <v/>
      </c>
      <c r="E41" s="9">
        <f>IF(INDEX(Banco!$E:$E,ROW())="","",INDEX(Banco!$E:$E,ROW()))</f>
        <v/>
      </c>
      <c r="F41" s="10">
        <f>IF(INDEX(Banco!$F:$F,ROW())="","",INDEX(Banco!$F:$F,ROW()))</f>
        <v/>
      </c>
      <c r="G41" s="10">
        <f>IF(INDEX(Banco!$G:$G,ROW())="","",INDEX(Banco!$G:$G,ROW()))</f>
        <v/>
      </c>
      <c r="H41" s="8">
        <f>IF(INDEX(Banco!$H:$H,ROW())="","",INDEX(Banco!$H:$H,ROW()))</f>
        <v/>
      </c>
      <c r="I41">
        <f>IF($T41="","",INT($T41/12)&amp;"a "&amp;MOD($T41,12)&amp;"m")</f>
        <v/>
      </c>
      <c r="J41" s="11">
        <f>IF(OR($F41="",$G41=""),"",ROUND($F41/($G41/100)^2,2))</f>
        <v/>
      </c>
      <c r="K41" s="12">
        <f>IF(OR($S41="",$J41="",$T41="",$T41&lt;0,$T41&gt;228,$Y41=""),"—",ROUND(IF(ABS($AB41)&lt;=3,$AB41,IF($AB41&gt;3,3+($J41-$AD41)/($AD41-$AC41),-3+($J41-$AF41)/($AE41-$AF41))),2))</f>
        <v/>
      </c>
      <c r="L41">
        <f>IF(OR($K41="",$K41="—"),"",IF($T41&lt;=60,IF($K41&lt;-3,"Magreza acentuada",IF($K41&lt;-2,"Magreza",IF($K41&lt;=1,"Eutrofia",IF($K41&lt;=2,"Risco de sobrepeso",IF($K41&lt;=3,"Sobrepeso","Obesidade"))))),IF($K41&lt;-3,"Magreza acentuada",IF($K41&lt;-2,"Magreza",IF($K41&lt;=1,"Eutrofia",IF($K41&lt;=2,"Sobrepeso",IF($K41&lt;=3,"Obesidade","Obesidade grave")))))))</f>
        <v/>
      </c>
      <c r="M41" s="12">
        <f>IF(OR($S41="",$V41="",$T41="",$T41&lt;0,$T41&gt;228,$AG41=""),"—",ROUND(IF($AG41=0,LN($V41/$AH41)/$AI41,((($V41/$AH41)^$AG41)-1)/($AG41*$AI41)),2))</f>
        <v/>
      </c>
      <c r="N41">
        <f>IF(OR($M41="",$M41="—"),"",IF($M41&lt;-3,"Muito baixa",IF($M41&lt;-2,"Baixa","Adequada")))</f>
        <v/>
      </c>
      <c r="O41" s="12">
        <f>IF(OR($S41="",$F41="",$T41="",$T41&lt;0,$T41&gt;120,$AJ41=""),"—",ROUND(IF(ABS($AM41)&lt;=3,$AM41,IF($AM41&gt;3,3+($F41-$AO41)/($AO41-$AN41),-3+($F41-$AQ41)/($AP41-$AQ41))),2))</f>
        <v/>
      </c>
      <c r="P41">
        <f>IF(OR($O41="",$O41="—"),"",IF($O41&lt;-3,"Muito baixo",IF($O41&lt;-2,"Baixo",IF($O41&lt;=2,"Adequado","Elevado"))))</f>
        <v/>
      </c>
      <c r="Q41" s="12">
        <f>IF(OR($S41="",$F41="",$T41="",$T41&lt;0,$T41&gt;60,$AR41=""),"—",ROUND(IF(ABS($AU41)&lt;=3,$AU41,IF($AU41&gt;3,3+($F41-$AW41)/($AW41-$AV41),-3+($F41-$AY41)/($AX41-$AY41))),2))</f>
        <v/>
      </c>
      <c r="R41">
        <f>IF(OR($Q41="",$Q41="—"),"",IF($Q41&lt;-3,"Magreza acentuada",IF($Q41&lt;-2,"Magreza",IF($Q41&lt;=1,"Eutrofia",IF($Q41&lt;=2,"Risco de sobrepeso",IF($Q41&lt;=3,"Sobrepeso","Obesidade"))))))</f>
        <v/>
      </c>
      <c r="S41">
        <f>IF($C41="","",IF(UPPER(LEFT($C41,1))="M",1,IF(UPPER(LEFT($C41,1))="F",2,"")))</f>
        <v/>
      </c>
      <c r="T41">
        <f>IF(OR($D41="",$E41=""),"",DATEDIF($D41,$E41,"m"))</f>
        <v/>
      </c>
      <c r="U41">
        <f>IF(OR($D41="",$E41=""),"",$E41-$D41)</f>
        <v/>
      </c>
      <c r="V41">
        <f>IF(OR($G41="",$T41=""),"",IF($T41&lt;24,IF(LEFT(LOWER($H41),4)="em p",$G41+0.7,$G41),IF(LEFT(LOWER($H41),4)="deit",$G41-0.7,$G41)))</f>
        <v/>
      </c>
      <c r="W41">
        <f>IF(OR($S41="",$T41=""),"",$S41*1000000+IF($T41&lt;=60,$U41,$T41))</f>
        <v/>
      </c>
      <c r="X41">
        <f>IF(OR($S41="",$V41="",$T41&gt;60,$T41=""),"",$S41*1000000+ROUND($V41*10,0))</f>
        <v/>
      </c>
      <c r="Y41">
        <f>IF($W41="","",IFERROR(INDEX(IF($T41&lt;=60,imc05_l,imc519_l),MATCH($W41,IF($T41&lt;=60,imc05_k,imc519_k),1)),""))</f>
        <v/>
      </c>
      <c r="Z41">
        <f>IF($W41="","",IFERROR(INDEX(IF($T41&lt;=60,imc05_m,imc519_m),MATCH($W41,IF($T41&lt;=60,imc05_k,imc519_k),1)),""))</f>
        <v/>
      </c>
      <c r="AA41">
        <f>IF($W41="","",IFERROR(INDEX(IF($T41&lt;=60,imc05_s,imc519_s),MATCH($W41,IF($T41&lt;=60,imc05_k,imc519_k),1)),""))</f>
        <v/>
      </c>
      <c r="AB41">
        <f>IF($Y41="","",IF($Y41=0,LN($J41/$Z41)/$AA41,((($J41/$Z41)^$Y41)-1)/($Y41*$AA41)))</f>
        <v/>
      </c>
      <c r="AC41">
        <f>IF($Y41="","",IF($Y41=0,$Z41*EXP($AA41*2),$Z41*(1+$Y41*$AA41*2)^(1/$Y41)))</f>
        <v/>
      </c>
      <c r="AD41">
        <f>IF($Y41="","",IF($Y41=0,$Z41*EXP($AA41*3),$Z41*(1+$Y41*$AA41*3)^(1/$Y41)))</f>
        <v/>
      </c>
      <c r="AE41">
        <f>IF($Y41="","",IF($Y41=0,$Z41*EXP($AA41*-2),$Z41*(1+$Y41*$AA41*-2)^(1/$Y41)))</f>
        <v/>
      </c>
      <c r="AF41">
        <f>IF($Y41="","",IF($Y41=0,$Z41*EXP($AA41*-3),$Z41*(1+$Y41*$AA41*-3)^(1/$Y41)))</f>
        <v/>
      </c>
      <c r="AG41">
        <f>IF($W41="","",IFERROR(INDEX(IF($T41&lt;=60,est05_l,est519_l),MATCH($W41,IF($T41&lt;=60,est05_k,est519_k),1)),""))</f>
        <v/>
      </c>
      <c r="AH41">
        <f>IF($W41="","",IFERROR(INDEX(IF($T41&lt;=60,est05_m,est519_m),MATCH($W41,IF($T41&lt;=60,est05_k,est519_k),1)),""))</f>
        <v/>
      </c>
      <c r="AI41">
        <f>IF($W41="","",IFERROR(INDEX(IF($T41&lt;=60,est05_s,est519_s),MATCH($W41,IF($T41&lt;=60,est05_k,est519_k),1)),""))</f>
        <v/>
      </c>
      <c r="AJ41">
        <f>IF($W41="","",IFERROR(INDEX(IF($T41&lt;=60,peso05_l,peso510_l),MATCH($W41,IF($T41&lt;=60,peso05_k,peso510_k),1)),""))</f>
        <v/>
      </c>
      <c r="AK41">
        <f>IF($W41="","",IFERROR(INDEX(IF($T41&lt;=60,peso05_m,peso510_m),MATCH($W41,IF($T41&lt;=60,peso05_k,peso510_k),1)),""))</f>
        <v/>
      </c>
      <c r="AL41">
        <f>IF($W41="","",IFERROR(INDEX(IF($T41&lt;=60,peso05_s,peso510_s),MATCH($W41,IF($T41&lt;=60,peso05_k,peso510_k),1)),""))</f>
        <v/>
      </c>
      <c r="AM41">
        <f>IF($AJ41="","",IF($AJ41=0,LN($F41/$AK41)/$AL41,((($F41/$AK41)^$AJ41)-1)/($AJ41*$AL41)))</f>
        <v/>
      </c>
      <c r="AN41">
        <f>IF($AJ41="","",IF($AJ41=0,$AK41*EXP($AL41*2),$AK41*(1+$AJ41*$AL41*2)^(1/$AJ41)))</f>
        <v/>
      </c>
      <c r="AO41">
        <f>IF($AJ41="","",IF($AJ41=0,$AK41*EXP($AL41*3),$AK41*(1+$AJ41*$AL41*3)^(1/$AJ41)))</f>
        <v/>
      </c>
      <c r="AP41">
        <f>IF($AJ41="","",IF($AJ41=0,$AK41*EXP($AL41*-2),$AK41*(1+$AJ41*$AL41*-2)^(1/$AJ41)))</f>
        <v/>
      </c>
      <c r="AQ41">
        <f>IF($AJ41="","",IF($AJ41=0,$AK41*EXP($AL41*-3),$AK41*(1+$AJ41*$AL41*-3)^(1/$AJ41)))</f>
        <v/>
      </c>
      <c r="AR41">
        <f>IF(OR($X41="",$T41&gt;60),"",IFERROR(INDEX(IF($T41&lt;24,pcomp_l,palt_l),MATCH($X41,IF($T41&lt;24,pcomp_k,palt_k),1)),""))</f>
        <v/>
      </c>
      <c r="AS41">
        <f>IF(OR($X41="",$T41&gt;60),"",IFERROR(INDEX(IF($T41&lt;24,pcomp_m,palt_m),MATCH($X41,IF($T41&lt;24,pcomp_k,palt_k),1)),""))</f>
        <v/>
      </c>
      <c r="AT41">
        <f>IF(OR($X41="",$T41&gt;60),"",IFERROR(INDEX(IF($T41&lt;24,pcomp_s,palt_s),MATCH($X41,IF($T41&lt;24,pcomp_k,palt_k),1)),""))</f>
        <v/>
      </c>
      <c r="AU41">
        <f>IF($AR41="","",IF($AR41=0,LN($F41/$AS41)/$AT41,((($F41/$AS41)^$AR41)-1)/($AR41*$AT41)))</f>
        <v/>
      </c>
      <c r="AV41">
        <f>IF($AR41="","",IF($AR41=0,$AS41*EXP($AT41*2),$AS41*(1+$AR41*$AT41*2)^(1/$AR41)))</f>
        <v/>
      </c>
      <c r="AW41">
        <f>IF($AR41="","",IF($AR41=0,$AS41*EXP($AT41*3),$AS41*(1+$AR41*$AT41*3)^(1/$AR41)))</f>
        <v/>
      </c>
      <c r="AX41">
        <f>IF($AR41="","",IF($AR41=0,$AS41*EXP($AT41*-2),$AS41*(1+$AR41*$AT41*-2)^(1/$AR41)))</f>
        <v/>
      </c>
      <c r="AY41">
        <f>IF($AR41="","",IF($AR41=0,$AS41*EXP($AT41*-3),$AS41*(1+$AR41*$AT41*-3)^(1/$AR41)))</f>
        <v/>
      </c>
      <c r="AZ41">
        <f>IF(OR($A41="",$A41&lt;&gt;Ficha!$C$4),"",COUNTIF($A$2:$A41,Ficha!$C$4))</f>
        <v/>
      </c>
    </row>
    <row r="42">
      <c r="A42" s="8">
        <f>IF(INDEX(Banco!$A:$A,ROW())="","",INDEX(Banco!$A:$A,ROW()))</f>
        <v/>
      </c>
      <c r="B42" s="8">
        <f>IF(INDEX(Banco!$B:$B,ROW())="","",INDEX(Banco!$B:$B,ROW()))</f>
        <v/>
      </c>
      <c r="C42" s="8">
        <f>IF(INDEX(Banco!$C:$C,ROW())="","",INDEX(Banco!$C:$C,ROW()))</f>
        <v/>
      </c>
      <c r="D42" s="9">
        <f>IF(INDEX(Banco!$D:$D,ROW())="","",INDEX(Banco!$D:$D,ROW()))</f>
        <v/>
      </c>
      <c r="E42" s="9">
        <f>IF(INDEX(Banco!$E:$E,ROW())="","",INDEX(Banco!$E:$E,ROW()))</f>
        <v/>
      </c>
      <c r="F42" s="10">
        <f>IF(INDEX(Banco!$F:$F,ROW())="","",INDEX(Banco!$F:$F,ROW()))</f>
        <v/>
      </c>
      <c r="G42" s="10">
        <f>IF(INDEX(Banco!$G:$G,ROW())="","",INDEX(Banco!$G:$G,ROW()))</f>
        <v/>
      </c>
      <c r="H42" s="8">
        <f>IF(INDEX(Banco!$H:$H,ROW())="","",INDEX(Banco!$H:$H,ROW()))</f>
        <v/>
      </c>
      <c r="I42">
        <f>IF($T42="","",INT($T42/12)&amp;"a "&amp;MOD($T42,12)&amp;"m")</f>
        <v/>
      </c>
      <c r="J42" s="11">
        <f>IF(OR($F42="",$G42=""),"",ROUND($F42/($G42/100)^2,2))</f>
        <v/>
      </c>
      <c r="K42" s="12">
        <f>IF(OR($S42="",$J42="",$T42="",$T42&lt;0,$T42&gt;228,$Y42=""),"—",ROUND(IF(ABS($AB42)&lt;=3,$AB42,IF($AB42&gt;3,3+($J42-$AD42)/($AD42-$AC42),-3+($J42-$AF42)/($AE42-$AF42))),2))</f>
        <v/>
      </c>
      <c r="L42">
        <f>IF(OR($K42="",$K42="—"),"",IF($T42&lt;=60,IF($K42&lt;-3,"Magreza acentuada",IF($K42&lt;-2,"Magreza",IF($K42&lt;=1,"Eutrofia",IF($K42&lt;=2,"Risco de sobrepeso",IF($K42&lt;=3,"Sobrepeso","Obesidade"))))),IF($K42&lt;-3,"Magreza acentuada",IF($K42&lt;-2,"Magreza",IF($K42&lt;=1,"Eutrofia",IF($K42&lt;=2,"Sobrepeso",IF($K42&lt;=3,"Obesidade","Obesidade grave")))))))</f>
        <v/>
      </c>
      <c r="M42" s="12">
        <f>IF(OR($S42="",$V42="",$T42="",$T42&lt;0,$T42&gt;228,$AG42=""),"—",ROUND(IF($AG42=0,LN($V42/$AH42)/$AI42,((($V42/$AH42)^$AG42)-1)/($AG42*$AI42)),2))</f>
        <v/>
      </c>
      <c r="N42">
        <f>IF(OR($M42="",$M42="—"),"",IF($M42&lt;-3,"Muito baixa",IF($M42&lt;-2,"Baixa","Adequada")))</f>
        <v/>
      </c>
      <c r="O42" s="12">
        <f>IF(OR($S42="",$F42="",$T42="",$T42&lt;0,$T42&gt;120,$AJ42=""),"—",ROUND(IF(ABS($AM42)&lt;=3,$AM42,IF($AM42&gt;3,3+($F42-$AO42)/($AO42-$AN42),-3+($F42-$AQ42)/($AP42-$AQ42))),2))</f>
        <v/>
      </c>
      <c r="P42">
        <f>IF(OR($O42="",$O42="—"),"",IF($O42&lt;-3,"Muito baixo",IF($O42&lt;-2,"Baixo",IF($O42&lt;=2,"Adequado","Elevado"))))</f>
        <v/>
      </c>
      <c r="Q42" s="12">
        <f>IF(OR($S42="",$F42="",$T42="",$T42&lt;0,$T42&gt;60,$AR42=""),"—",ROUND(IF(ABS($AU42)&lt;=3,$AU42,IF($AU42&gt;3,3+($F42-$AW42)/($AW42-$AV42),-3+($F42-$AY42)/($AX42-$AY42))),2))</f>
        <v/>
      </c>
      <c r="R42">
        <f>IF(OR($Q42="",$Q42="—"),"",IF($Q42&lt;-3,"Magreza acentuada",IF($Q42&lt;-2,"Magreza",IF($Q42&lt;=1,"Eutrofia",IF($Q42&lt;=2,"Risco de sobrepeso",IF($Q42&lt;=3,"Sobrepeso","Obesidade"))))))</f>
        <v/>
      </c>
      <c r="S42">
        <f>IF($C42="","",IF(UPPER(LEFT($C42,1))="M",1,IF(UPPER(LEFT($C42,1))="F",2,"")))</f>
        <v/>
      </c>
      <c r="T42">
        <f>IF(OR($D42="",$E42=""),"",DATEDIF($D42,$E42,"m"))</f>
        <v/>
      </c>
      <c r="U42">
        <f>IF(OR($D42="",$E42=""),"",$E42-$D42)</f>
        <v/>
      </c>
      <c r="V42">
        <f>IF(OR($G42="",$T42=""),"",IF($T42&lt;24,IF(LEFT(LOWER($H42),4)="em p",$G42+0.7,$G42),IF(LEFT(LOWER($H42),4)="deit",$G42-0.7,$G42)))</f>
        <v/>
      </c>
      <c r="W42">
        <f>IF(OR($S42="",$T42=""),"",$S42*1000000+IF($T42&lt;=60,$U42,$T42))</f>
        <v/>
      </c>
      <c r="X42">
        <f>IF(OR($S42="",$V42="",$T42&gt;60,$T42=""),"",$S42*1000000+ROUND($V42*10,0))</f>
        <v/>
      </c>
      <c r="Y42">
        <f>IF($W42="","",IFERROR(INDEX(IF($T42&lt;=60,imc05_l,imc519_l),MATCH($W42,IF($T42&lt;=60,imc05_k,imc519_k),1)),""))</f>
        <v/>
      </c>
      <c r="Z42">
        <f>IF($W42="","",IFERROR(INDEX(IF($T42&lt;=60,imc05_m,imc519_m),MATCH($W42,IF($T42&lt;=60,imc05_k,imc519_k),1)),""))</f>
        <v/>
      </c>
      <c r="AA42">
        <f>IF($W42="","",IFERROR(INDEX(IF($T42&lt;=60,imc05_s,imc519_s),MATCH($W42,IF($T42&lt;=60,imc05_k,imc519_k),1)),""))</f>
        <v/>
      </c>
      <c r="AB42">
        <f>IF($Y42="","",IF($Y42=0,LN($J42/$Z42)/$AA42,((($J42/$Z42)^$Y42)-1)/($Y42*$AA42)))</f>
        <v/>
      </c>
      <c r="AC42">
        <f>IF($Y42="","",IF($Y42=0,$Z42*EXP($AA42*2),$Z42*(1+$Y42*$AA42*2)^(1/$Y42)))</f>
        <v/>
      </c>
      <c r="AD42">
        <f>IF($Y42="","",IF($Y42=0,$Z42*EXP($AA42*3),$Z42*(1+$Y42*$AA42*3)^(1/$Y42)))</f>
        <v/>
      </c>
      <c r="AE42">
        <f>IF($Y42="","",IF($Y42=0,$Z42*EXP($AA42*-2),$Z42*(1+$Y42*$AA42*-2)^(1/$Y42)))</f>
        <v/>
      </c>
      <c r="AF42">
        <f>IF($Y42="","",IF($Y42=0,$Z42*EXP($AA42*-3),$Z42*(1+$Y42*$AA42*-3)^(1/$Y42)))</f>
        <v/>
      </c>
      <c r="AG42">
        <f>IF($W42="","",IFERROR(INDEX(IF($T42&lt;=60,est05_l,est519_l),MATCH($W42,IF($T42&lt;=60,est05_k,est519_k),1)),""))</f>
        <v/>
      </c>
      <c r="AH42">
        <f>IF($W42="","",IFERROR(INDEX(IF($T42&lt;=60,est05_m,est519_m),MATCH($W42,IF($T42&lt;=60,est05_k,est519_k),1)),""))</f>
        <v/>
      </c>
      <c r="AI42">
        <f>IF($W42="","",IFERROR(INDEX(IF($T42&lt;=60,est05_s,est519_s),MATCH($W42,IF($T42&lt;=60,est05_k,est519_k),1)),""))</f>
        <v/>
      </c>
      <c r="AJ42">
        <f>IF($W42="","",IFERROR(INDEX(IF($T42&lt;=60,peso05_l,peso510_l),MATCH($W42,IF($T42&lt;=60,peso05_k,peso510_k),1)),""))</f>
        <v/>
      </c>
      <c r="AK42">
        <f>IF($W42="","",IFERROR(INDEX(IF($T42&lt;=60,peso05_m,peso510_m),MATCH($W42,IF($T42&lt;=60,peso05_k,peso510_k),1)),""))</f>
        <v/>
      </c>
      <c r="AL42">
        <f>IF($W42="","",IFERROR(INDEX(IF($T42&lt;=60,peso05_s,peso510_s),MATCH($W42,IF($T42&lt;=60,peso05_k,peso510_k),1)),""))</f>
        <v/>
      </c>
      <c r="AM42">
        <f>IF($AJ42="","",IF($AJ42=0,LN($F42/$AK42)/$AL42,((($F42/$AK42)^$AJ42)-1)/($AJ42*$AL42)))</f>
        <v/>
      </c>
      <c r="AN42">
        <f>IF($AJ42="","",IF($AJ42=0,$AK42*EXP($AL42*2),$AK42*(1+$AJ42*$AL42*2)^(1/$AJ42)))</f>
        <v/>
      </c>
      <c r="AO42">
        <f>IF($AJ42="","",IF($AJ42=0,$AK42*EXP($AL42*3),$AK42*(1+$AJ42*$AL42*3)^(1/$AJ42)))</f>
        <v/>
      </c>
      <c r="AP42">
        <f>IF($AJ42="","",IF($AJ42=0,$AK42*EXP($AL42*-2),$AK42*(1+$AJ42*$AL42*-2)^(1/$AJ42)))</f>
        <v/>
      </c>
      <c r="AQ42">
        <f>IF($AJ42="","",IF($AJ42=0,$AK42*EXP($AL42*-3),$AK42*(1+$AJ42*$AL42*-3)^(1/$AJ42)))</f>
        <v/>
      </c>
      <c r="AR42">
        <f>IF(OR($X42="",$T42&gt;60),"",IFERROR(INDEX(IF($T42&lt;24,pcomp_l,palt_l),MATCH($X42,IF($T42&lt;24,pcomp_k,palt_k),1)),""))</f>
        <v/>
      </c>
      <c r="AS42">
        <f>IF(OR($X42="",$T42&gt;60),"",IFERROR(INDEX(IF($T42&lt;24,pcomp_m,palt_m),MATCH($X42,IF($T42&lt;24,pcomp_k,palt_k),1)),""))</f>
        <v/>
      </c>
      <c r="AT42">
        <f>IF(OR($X42="",$T42&gt;60),"",IFERROR(INDEX(IF($T42&lt;24,pcomp_s,palt_s),MATCH($X42,IF($T42&lt;24,pcomp_k,palt_k),1)),""))</f>
        <v/>
      </c>
      <c r="AU42">
        <f>IF($AR42="","",IF($AR42=0,LN($F42/$AS42)/$AT42,((($F42/$AS42)^$AR42)-1)/($AR42*$AT42)))</f>
        <v/>
      </c>
      <c r="AV42">
        <f>IF($AR42="","",IF($AR42=0,$AS42*EXP($AT42*2),$AS42*(1+$AR42*$AT42*2)^(1/$AR42)))</f>
        <v/>
      </c>
      <c r="AW42">
        <f>IF($AR42="","",IF($AR42=0,$AS42*EXP($AT42*3),$AS42*(1+$AR42*$AT42*3)^(1/$AR42)))</f>
        <v/>
      </c>
      <c r="AX42">
        <f>IF($AR42="","",IF($AR42=0,$AS42*EXP($AT42*-2),$AS42*(1+$AR42*$AT42*-2)^(1/$AR42)))</f>
        <v/>
      </c>
      <c r="AY42">
        <f>IF($AR42="","",IF($AR42=0,$AS42*EXP($AT42*-3),$AS42*(1+$AR42*$AT42*-3)^(1/$AR42)))</f>
        <v/>
      </c>
      <c r="AZ42">
        <f>IF(OR($A42="",$A42&lt;&gt;Ficha!$C$4),"",COUNTIF($A$2:$A42,Ficha!$C$4))</f>
        <v/>
      </c>
    </row>
    <row r="43">
      <c r="A43" s="8">
        <f>IF(INDEX(Banco!$A:$A,ROW())="","",INDEX(Banco!$A:$A,ROW()))</f>
        <v/>
      </c>
      <c r="B43" s="8">
        <f>IF(INDEX(Banco!$B:$B,ROW())="","",INDEX(Banco!$B:$B,ROW()))</f>
        <v/>
      </c>
      <c r="C43" s="8">
        <f>IF(INDEX(Banco!$C:$C,ROW())="","",INDEX(Banco!$C:$C,ROW()))</f>
        <v/>
      </c>
      <c r="D43" s="9">
        <f>IF(INDEX(Banco!$D:$D,ROW())="","",INDEX(Banco!$D:$D,ROW()))</f>
        <v/>
      </c>
      <c r="E43" s="9">
        <f>IF(INDEX(Banco!$E:$E,ROW())="","",INDEX(Banco!$E:$E,ROW()))</f>
        <v/>
      </c>
      <c r="F43" s="10">
        <f>IF(INDEX(Banco!$F:$F,ROW())="","",INDEX(Banco!$F:$F,ROW()))</f>
        <v/>
      </c>
      <c r="G43" s="10">
        <f>IF(INDEX(Banco!$G:$G,ROW())="","",INDEX(Banco!$G:$G,ROW()))</f>
        <v/>
      </c>
      <c r="H43" s="8">
        <f>IF(INDEX(Banco!$H:$H,ROW())="","",INDEX(Banco!$H:$H,ROW()))</f>
        <v/>
      </c>
      <c r="I43">
        <f>IF($T43="","",INT($T43/12)&amp;"a "&amp;MOD($T43,12)&amp;"m")</f>
        <v/>
      </c>
      <c r="J43" s="11">
        <f>IF(OR($F43="",$G43=""),"",ROUND($F43/($G43/100)^2,2))</f>
        <v/>
      </c>
      <c r="K43" s="12">
        <f>IF(OR($S43="",$J43="",$T43="",$T43&lt;0,$T43&gt;228,$Y43=""),"—",ROUND(IF(ABS($AB43)&lt;=3,$AB43,IF($AB43&gt;3,3+($J43-$AD43)/($AD43-$AC43),-3+($J43-$AF43)/($AE43-$AF43))),2))</f>
        <v/>
      </c>
      <c r="L43">
        <f>IF(OR($K43="",$K43="—"),"",IF($T43&lt;=60,IF($K43&lt;-3,"Magreza acentuada",IF($K43&lt;-2,"Magreza",IF($K43&lt;=1,"Eutrofia",IF($K43&lt;=2,"Risco de sobrepeso",IF($K43&lt;=3,"Sobrepeso","Obesidade"))))),IF($K43&lt;-3,"Magreza acentuada",IF($K43&lt;-2,"Magreza",IF($K43&lt;=1,"Eutrofia",IF($K43&lt;=2,"Sobrepeso",IF($K43&lt;=3,"Obesidade","Obesidade grave")))))))</f>
        <v/>
      </c>
      <c r="M43" s="12">
        <f>IF(OR($S43="",$V43="",$T43="",$T43&lt;0,$T43&gt;228,$AG43=""),"—",ROUND(IF($AG43=0,LN($V43/$AH43)/$AI43,((($V43/$AH43)^$AG43)-1)/($AG43*$AI43)),2))</f>
        <v/>
      </c>
      <c r="N43">
        <f>IF(OR($M43="",$M43="—"),"",IF($M43&lt;-3,"Muito baixa",IF($M43&lt;-2,"Baixa","Adequada")))</f>
        <v/>
      </c>
      <c r="O43" s="12">
        <f>IF(OR($S43="",$F43="",$T43="",$T43&lt;0,$T43&gt;120,$AJ43=""),"—",ROUND(IF(ABS($AM43)&lt;=3,$AM43,IF($AM43&gt;3,3+($F43-$AO43)/($AO43-$AN43),-3+($F43-$AQ43)/($AP43-$AQ43))),2))</f>
        <v/>
      </c>
      <c r="P43">
        <f>IF(OR($O43="",$O43="—"),"",IF($O43&lt;-3,"Muito baixo",IF($O43&lt;-2,"Baixo",IF($O43&lt;=2,"Adequado","Elevado"))))</f>
        <v/>
      </c>
      <c r="Q43" s="12">
        <f>IF(OR($S43="",$F43="",$T43="",$T43&lt;0,$T43&gt;60,$AR43=""),"—",ROUND(IF(ABS($AU43)&lt;=3,$AU43,IF($AU43&gt;3,3+($F43-$AW43)/($AW43-$AV43),-3+($F43-$AY43)/($AX43-$AY43))),2))</f>
        <v/>
      </c>
      <c r="R43">
        <f>IF(OR($Q43="",$Q43="—"),"",IF($Q43&lt;-3,"Magreza acentuada",IF($Q43&lt;-2,"Magreza",IF($Q43&lt;=1,"Eutrofia",IF($Q43&lt;=2,"Risco de sobrepeso",IF($Q43&lt;=3,"Sobrepeso","Obesidade"))))))</f>
        <v/>
      </c>
      <c r="S43">
        <f>IF($C43="","",IF(UPPER(LEFT($C43,1))="M",1,IF(UPPER(LEFT($C43,1))="F",2,"")))</f>
        <v/>
      </c>
      <c r="T43">
        <f>IF(OR($D43="",$E43=""),"",DATEDIF($D43,$E43,"m"))</f>
        <v/>
      </c>
      <c r="U43">
        <f>IF(OR($D43="",$E43=""),"",$E43-$D43)</f>
        <v/>
      </c>
      <c r="V43">
        <f>IF(OR($G43="",$T43=""),"",IF($T43&lt;24,IF(LEFT(LOWER($H43),4)="em p",$G43+0.7,$G43),IF(LEFT(LOWER($H43),4)="deit",$G43-0.7,$G43)))</f>
        <v/>
      </c>
      <c r="W43">
        <f>IF(OR($S43="",$T43=""),"",$S43*1000000+IF($T43&lt;=60,$U43,$T43))</f>
        <v/>
      </c>
      <c r="X43">
        <f>IF(OR($S43="",$V43="",$T43&gt;60,$T43=""),"",$S43*1000000+ROUND($V43*10,0))</f>
        <v/>
      </c>
      <c r="Y43">
        <f>IF($W43="","",IFERROR(INDEX(IF($T43&lt;=60,imc05_l,imc519_l),MATCH($W43,IF($T43&lt;=60,imc05_k,imc519_k),1)),""))</f>
        <v/>
      </c>
      <c r="Z43">
        <f>IF($W43="","",IFERROR(INDEX(IF($T43&lt;=60,imc05_m,imc519_m),MATCH($W43,IF($T43&lt;=60,imc05_k,imc519_k),1)),""))</f>
        <v/>
      </c>
      <c r="AA43">
        <f>IF($W43="","",IFERROR(INDEX(IF($T43&lt;=60,imc05_s,imc519_s),MATCH($W43,IF($T43&lt;=60,imc05_k,imc519_k),1)),""))</f>
        <v/>
      </c>
      <c r="AB43">
        <f>IF($Y43="","",IF($Y43=0,LN($J43/$Z43)/$AA43,((($J43/$Z43)^$Y43)-1)/($Y43*$AA43)))</f>
        <v/>
      </c>
      <c r="AC43">
        <f>IF($Y43="","",IF($Y43=0,$Z43*EXP($AA43*2),$Z43*(1+$Y43*$AA43*2)^(1/$Y43)))</f>
        <v/>
      </c>
      <c r="AD43">
        <f>IF($Y43="","",IF($Y43=0,$Z43*EXP($AA43*3),$Z43*(1+$Y43*$AA43*3)^(1/$Y43)))</f>
        <v/>
      </c>
      <c r="AE43">
        <f>IF($Y43="","",IF($Y43=0,$Z43*EXP($AA43*-2),$Z43*(1+$Y43*$AA43*-2)^(1/$Y43)))</f>
        <v/>
      </c>
      <c r="AF43">
        <f>IF($Y43="","",IF($Y43=0,$Z43*EXP($AA43*-3),$Z43*(1+$Y43*$AA43*-3)^(1/$Y43)))</f>
        <v/>
      </c>
      <c r="AG43">
        <f>IF($W43="","",IFERROR(INDEX(IF($T43&lt;=60,est05_l,est519_l),MATCH($W43,IF($T43&lt;=60,est05_k,est519_k),1)),""))</f>
        <v/>
      </c>
      <c r="AH43">
        <f>IF($W43="","",IFERROR(INDEX(IF($T43&lt;=60,est05_m,est519_m),MATCH($W43,IF($T43&lt;=60,est05_k,est519_k),1)),""))</f>
        <v/>
      </c>
      <c r="AI43">
        <f>IF($W43="","",IFERROR(INDEX(IF($T43&lt;=60,est05_s,est519_s),MATCH($W43,IF($T43&lt;=60,est05_k,est519_k),1)),""))</f>
        <v/>
      </c>
      <c r="AJ43">
        <f>IF($W43="","",IFERROR(INDEX(IF($T43&lt;=60,peso05_l,peso510_l),MATCH($W43,IF($T43&lt;=60,peso05_k,peso510_k),1)),""))</f>
        <v/>
      </c>
      <c r="AK43">
        <f>IF($W43="","",IFERROR(INDEX(IF($T43&lt;=60,peso05_m,peso510_m),MATCH($W43,IF($T43&lt;=60,peso05_k,peso510_k),1)),""))</f>
        <v/>
      </c>
      <c r="AL43">
        <f>IF($W43="","",IFERROR(INDEX(IF($T43&lt;=60,peso05_s,peso510_s),MATCH($W43,IF($T43&lt;=60,peso05_k,peso510_k),1)),""))</f>
        <v/>
      </c>
      <c r="AM43">
        <f>IF($AJ43="","",IF($AJ43=0,LN($F43/$AK43)/$AL43,((($F43/$AK43)^$AJ43)-1)/($AJ43*$AL43)))</f>
        <v/>
      </c>
      <c r="AN43">
        <f>IF($AJ43="","",IF($AJ43=0,$AK43*EXP($AL43*2),$AK43*(1+$AJ43*$AL43*2)^(1/$AJ43)))</f>
        <v/>
      </c>
      <c r="AO43">
        <f>IF($AJ43="","",IF($AJ43=0,$AK43*EXP($AL43*3),$AK43*(1+$AJ43*$AL43*3)^(1/$AJ43)))</f>
        <v/>
      </c>
      <c r="AP43">
        <f>IF($AJ43="","",IF($AJ43=0,$AK43*EXP($AL43*-2),$AK43*(1+$AJ43*$AL43*-2)^(1/$AJ43)))</f>
        <v/>
      </c>
      <c r="AQ43">
        <f>IF($AJ43="","",IF($AJ43=0,$AK43*EXP($AL43*-3),$AK43*(1+$AJ43*$AL43*-3)^(1/$AJ43)))</f>
        <v/>
      </c>
      <c r="AR43">
        <f>IF(OR($X43="",$T43&gt;60),"",IFERROR(INDEX(IF($T43&lt;24,pcomp_l,palt_l),MATCH($X43,IF($T43&lt;24,pcomp_k,palt_k),1)),""))</f>
        <v/>
      </c>
      <c r="AS43">
        <f>IF(OR($X43="",$T43&gt;60),"",IFERROR(INDEX(IF($T43&lt;24,pcomp_m,palt_m),MATCH($X43,IF($T43&lt;24,pcomp_k,palt_k),1)),""))</f>
        <v/>
      </c>
      <c r="AT43">
        <f>IF(OR($X43="",$T43&gt;60),"",IFERROR(INDEX(IF($T43&lt;24,pcomp_s,palt_s),MATCH($X43,IF($T43&lt;24,pcomp_k,palt_k),1)),""))</f>
        <v/>
      </c>
      <c r="AU43">
        <f>IF($AR43="","",IF($AR43=0,LN($F43/$AS43)/$AT43,((($F43/$AS43)^$AR43)-1)/($AR43*$AT43)))</f>
        <v/>
      </c>
      <c r="AV43">
        <f>IF($AR43="","",IF($AR43=0,$AS43*EXP($AT43*2),$AS43*(1+$AR43*$AT43*2)^(1/$AR43)))</f>
        <v/>
      </c>
      <c r="AW43">
        <f>IF($AR43="","",IF($AR43=0,$AS43*EXP($AT43*3),$AS43*(1+$AR43*$AT43*3)^(1/$AR43)))</f>
        <v/>
      </c>
      <c r="AX43">
        <f>IF($AR43="","",IF($AR43=0,$AS43*EXP($AT43*-2),$AS43*(1+$AR43*$AT43*-2)^(1/$AR43)))</f>
        <v/>
      </c>
      <c r="AY43">
        <f>IF($AR43="","",IF($AR43=0,$AS43*EXP($AT43*-3),$AS43*(1+$AR43*$AT43*-3)^(1/$AR43)))</f>
        <v/>
      </c>
      <c r="AZ43">
        <f>IF(OR($A43="",$A43&lt;&gt;Ficha!$C$4),"",COUNTIF($A$2:$A43,Ficha!$C$4))</f>
        <v/>
      </c>
    </row>
    <row r="44">
      <c r="A44" s="8">
        <f>IF(INDEX(Banco!$A:$A,ROW())="","",INDEX(Banco!$A:$A,ROW()))</f>
        <v/>
      </c>
      <c r="B44" s="8">
        <f>IF(INDEX(Banco!$B:$B,ROW())="","",INDEX(Banco!$B:$B,ROW()))</f>
        <v/>
      </c>
      <c r="C44" s="8">
        <f>IF(INDEX(Banco!$C:$C,ROW())="","",INDEX(Banco!$C:$C,ROW()))</f>
        <v/>
      </c>
      <c r="D44" s="9">
        <f>IF(INDEX(Banco!$D:$D,ROW())="","",INDEX(Banco!$D:$D,ROW()))</f>
        <v/>
      </c>
      <c r="E44" s="9">
        <f>IF(INDEX(Banco!$E:$E,ROW())="","",INDEX(Banco!$E:$E,ROW()))</f>
        <v/>
      </c>
      <c r="F44" s="10">
        <f>IF(INDEX(Banco!$F:$F,ROW())="","",INDEX(Banco!$F:$F,ROW()))</f>
        <v/>
      </c>
      <c r="G44" s="10">
        <f>IF(INDEX(Banco!$G:$G,ROW())="","",INDEX(Banco!$G:$G,ROW()))</f>
        <v/>
      </c>
      <c r="H44" s="8">
        <f>IF(INDEX(Banco!$H:$H,ROW())="","",INDEX(Banco!$H:$H,ROW()))</f>
        <v/>
      </c>
      <c r="I44">
        <f>IF($T44="","",INT($T44/12)&amp;"a "&amp;MOD($T44,12)&amp;"m")</f>
        <v/>
      </c>
      <c r="J44" s="11">
        <f>IF(OR($F44="",$G44=""),"",ROUND($F44/($G44/100)^2,2))</f>
        <v/>
      </c>
      <c r="K44" s="12">
        <f>IF(OR($S44="",$J44="",$T44="",$T44&lt;0,$T44&gt;228,$Y44=""),"—",ROUND(IF(ABS($AB44)&lt;=3,$AB44,IF($AB44&gt;3,3+($J44-$AD44)/($AD44-$AC44),-3+($J44-$AF44)/($AE44-$AF44))),2))</f>
        <v/>
      </c>
      <c r="L44">
        <f>IF(OR($K44="",$K44="—"),"",IF($T44&lt;=60,IF($K44&lt;-3,"Magreza acentuada",IF($K44&lt;-2,"Magreza",IF($K44&lt;=1,"Eutrofia",IF($K44&lt;=2,"Risco de sobrepeso",IF($K44&lt;=3,"Sobrepeso","Obesidade"))))),IF($K44&lt;-3,"Magreza acentuada",IF($K44&lt;-2,"Magreza",IF($K44&lt;=1,"Eutrofia",IF($K44&lt;=2,"Sobrepeso",IF($K44&lt;=3,"Obesidade","Obesidade grave")))))))</f>
        <v/>
      </c>
      <c r="M44" s="12">
        <f>IF(OR($S44="",$V44="",$T44="",$T44&lt;0,$T44&gt;228,$AG44=""),"—",ROUND(IF($AG44=0,LN($V44/$AH44)/$AI44,((($V44/$AH44)^$AG44)-1)/($AG44*$AI44)),2))</f>
        <v/>
      </c>
      <c r="N44">
        <f>IF(OR($M44="",$M44="—"),"",IF($M44&lt;-3,"Muito baixa",IF($M44&lt;-2,"Baixa","Adequada")))</f>
        <v/>
      </c>
      <c r="O44" s="12">
        <f>IF(OR($S44="",$F44="",$T44="",$T44&lt;0,$T44&gt;120,$AJ44=""),"—",ROUND(IF(ABS($AM44)&lt;=3,$AM44,IF($AM44&gt;3,3+($F44-$AO44)/($AO44-$AN44),-3+($F44-$AQ44)/($AP44-$AQ44))),2))</f>
        <v/>
      </c>
      <c r="P44">
        <f>IF(OR($O44="",$O44="—"),"",IF($O44&lt;-3,"Muito baixo",IF($O44&lt;-2,"Baixo",IF($O44&lt;=2,"Adequado","Elevado"))))</f>
        <v/>
      </c>
      <c r="Q44" s="12">
        <f>IF(OR($S44="",$F44="",$T44="",$T44&lt;0,$T44&gt;60,$AR44=""),"—",ROUND(IF(ABS($AU44)&lt;=3,$AU44,IF($AU44&gt;3,3+($F44-$AW44)/($AW44-$AV44),-3+($F44-$AY44)/($AX44-$AY44))),2))</f>
        <v/>
      </c>
      <c r="R44">
        <f>IF(OR($Q44="",$Q44="—"),"",IF($Q44&lt;-3,"Magreza acentuada",IF($Q44&lt;-2,"Magreza",IF($Q44&lt;=1,"Eutrofia",IF($Q44&lt;=2,"Risco de sobrepeso",IF($Q44&lt;=3,"Sobrepeso","Obesidade"))))))</f>
        <v/>
      </c>
      <c r="S44">
        <f>IF($C44="","",IF(UPPER(LEFT($C44,1))="M",1,IF(UPPER(LEFT($C44,1))="F",2,"")))</f>
        <v/>
      </c>
      <c r="T44">
        <f>IF(OR($D44="",$E44=""),"",DATEDIF($D44,$E44,"m"))</f>
        <v/>
      </c>
      <c r="U44">
        <f>IF(OR($D44="",$E44=""),"",$E44-$D44)</f>
        <v/>
      </c>
      <c r="V44">
        <f>IF(OR($G44="",$T44=""),"",IF($T44&lt;24,IF(LEFT(LOWER($H44),4)="em p",$G44+0.7,$G44),IF(LEFT(LOWER($H44),4)="deit",$G44-0.7,$G44)))</f>
        <v/>
      </c>
      <c r="W44">
        <f>IF(OR($S44="",$T44=""),"",$S44*1000000+IF($T44&lt;=60,$U44,$T44))</f>
        <v/>
      </c>
      <c r="X44">
        <f>IF(OR($S44="",$V44="",$T44&gt;60,$T44=""),"",$S44*1000000+ROUND($V44*10,0))</f>
        <v/>
      </c>
      <c r="Y44">
        <f>IF($W44="","",IFERROR(INDEX(IF($T44&lt;=60,imc05_l,imc519_l),MATCH($W44,IF($T44&lt;=60,imc05_k,imc519_k),1)),""))</f>
        <v/>
      </c>
      <c r="Z44">
        <f>IF($W44="","",IFERROR(INDEX(IF($T44&lt;=60,imc05_m,imc519_m),MATCH($W44,IF($T44&lt;=60,imc05_k,imc519_k),1)),""))</f>
        <v/>
      </c>
      <c r="AA44">
        <f>IF($W44="","",IFERROR(INDEX(IF($T44&lt;=60,imc05_s,imc519_s),MATCH($W44,IF($T44&lt;=60,imc05_k,imc519_k),1)),""))</f>
        <v/>
      </c>
      <c r="AB44">
        <f>IF($Y44="","",IF($Y44=0,LN($J44/$Z44)/$AA44,((($J44/$Z44)^$Y44)-1)/($Y44*$AA44)))</f>
        <v/>
      </c>
      <c r="AC44">
        <f>IF($Y44="","",IF($Y44=0,$Z44*EXP($AA44*2),$Z44*(1+$Y44*$AA44*2)^(1/$Y44)))</f>
        <v/>
      </c>
      <c r="AD44">
        <f>IF($Y44="","",IF($Y44=0,$Z44*EXP($AA44*3),$Z44*(1+$Y44*$AA44*3)^(1/$Y44)))</f>
        <v/>
      </c>
      <c r="AE44">
        <f>IF($Y44="","",IF($Y44=0,$Z44*EXP($AA44*-2),$Z44*(1+$Y44*$AA44*-2)^(1/$Y44)))</f>
        <v/>
      </c>
      <c r="AF44">
        <f>IF($Y44="","",IF($Y44=0,$Z44*EXP($AA44*-3),$Z44*(1+$Y44*$AA44*-3)^(1/$Y44)))</f>
        <v/>
      </c>
      <c r="AG44">
        <f>IF($W44="","",IFERROR(INDEX(IF($T44&lt;=60,est05_l,est519_l),MATCH($W44,IF($T44&lt;=60,est05_k,est519_k),1)),""))</f>
        <v/>
      </c>
      <c r="AH44">
        <f>IF($W44="","",IFERROR(INDEX(IF($T44&lt;=60,est05_m,est519_m),MATCH($W44,IF($T44&lt;=60,est05_k,est519_k),1)),""))</f>
        <v/>
      </c>
      <c r="AI44">
        <f>IF($W44="","",IFERROR(INDEX(IF($T44&lt;=60,est05_s,est519_s),MATCH($W44,IF($T44&lt;=60,est05_k,est519_k),1)),""))</f>
        <v/>
      </c>
      <c r="AJ44">
        <f>IF($W44="","",IFERROR(INDEX(IF($T44&lt;=60,peso05_l,peso510_l),MATCH($W44,IF($T44&lt;=60,peso05_k,peso510_k),1)),""))</f>
        <v/>
      </c>
      <c r="AK44">
        <f>IF($W44="","",IFERROR(INDEX(IF($T44&lt;=60,peso05_m,peso510_m),MATCH($W44,IF($T44&lt;=60,peso05_k,peso510_k),1)),""))</f>
        <v/>
      </c>
      <c r="AL44">
        <f>IF($W44="","",IFERROR(INDEX(IF($T44&lt;=60,peso05_s,peso510_s),MATCH($W44,IF($T44&lt;=60,peso05_k,peso510_k),1)),""))</f>
        <v/>
      </c>
      <c r="AM44">
        <f>IF($AJ44="","",IF($AJ44=0,LN($F44/$AK44)/$AL44,((($F44/$AK44)^$AJ44)-1)/($AJ44*$AL44)))</f>
        <v/>
      </c>
      <c r="AN44">
        <f>IF($AJ44="","",IF($AJ44=0,$AK44*EXP($AL44*2),$AK44*(1+$AJ44*$AL44*2)^(1/$AJ44)))</f>
        <v/>
      </c>
      <c r="AO44">
        <f>IF($AJ44="","",IF($AJ44=0,$AK44*EXP($AL44*3),$AK44*(1+$AJ44*$AL44*3)^(1/$AJ44)))</f>
        <v/>
      </c>
      <c r="AP44">
        <f>IF($AJ44="","",IF($AJ44=0,$AK44*EXP($AL44*-2),$AK44*(1+$AJ44*$AL44*-2)^(1/$AJ44)))</f>
        <v/>
      </c>
      <c r="AQ44">
        <f>IF($AJ44="","",IF($AJ44=0,$AK44*EXP($AL44*-3),$AK44*(1+$AJ44*$AL44*-3)^(1/$AJ44)))</f>
        <v/>
      </c>
      <c r="AR44">
        <f>IF(OR($X44="",$T44&gt;60),"",IFERROR(INDEX(IF($T44&lt;24,pcomp_l,palt_l),MATCH($X44,IF($T44&lt;24,pcomp_k,palt_k),1)),""))</f>
        <v/>
      </c>
      <c r="AS44">
        <f>IF(OR($X44="",$T44&gt;60),"",IFERROR(INDEX(IF($T44&lt;24,pcomp_m,palt_m),MATCH($X44,IF($T44&lt;24,pcomp_k,palt_k),1)),""))</f>
        <v/>
      </c>
      <c r="AT44">
        <f>IF(OR($X44="",$T44&gt;60),"",IFERROR(INDEX(IF($T44&lt;24,pcomp_s,palt_s),MATCH($X44,IF($T44&lt;24,pcomp_k,palt_k),1)),""))</f>
        <v/>
      </c>
      <c r="AU44">
        <f>IF($AR44="","",IF($AR44=0,LN($F44/$AS44)/$AT44,((($F44/$AS44)^$AR44)-1)/($AR44*$AT44)))</f>
        <v/>
      </c>
      <c r="AV44">
        <f>IF($AR44="","",IF($AR44=0,$AS44*EXP($AT44*2),$AS44*(1+$AR44*$AT44*2)^(1/$AR44)))</f>
        <v/>
      </c>
      <c r="AW44">
        <f>IF($AR44="","",IF($AR44=0,$AS44*EXP($AT44*3),$AS44*(1+$AR44*$AT44*3)^(1/$AR44)))</f>
        <v/>
      </c>
      <c r="AX44">
        <f>IF($AR44="","",IF($AR44=0,$AS44*EXP($AT44*-2),$AS44*(1+$AR44*$AT44*-2)^(1/$AR44)))</f>
        <v/>
      </c>
      <c r="AY44">
        <f>IF($AR44="","",IF($AR44=0,$AS44*EXP($AT44*-3),$AS44*(1+$AR44*$AT44*-3)^(1/$AR44)))</f>
        <v/>
      </c>
      <c r="AZ44">
        <f>IF(OR($A44="",$A44&lt;&gt;Ficha!$C$4),"",COUNTIF($A$2:$A44,Ficha!$C$4))</f>
        <v/>
      </c>
    </row>
    <row r="45">
      <c r="A45" s="8">
        <f>IF(INDEX(Banco!$A:$A,ROW())="","",INDEX(Banco!$A:$A,ROW()))</f>
        <v/>
      </c>
      <c r="B45" s="8">
        <f>IF(INDEX(Banco!$B:$B,ROW())="","",INDEX(Banco!$B:$B,ROW()))</f>
        <v/>
      </c>
      <c r="C45" s="8">
        <f>IF(INDEX(Banco!$C:$C,ROW())="","",INDEX(Banco!$C:$C,ROW()))</f>
        <v/>
      </c>
      <c r="D45" s="9">
        <f>IF(INDEX(Banco!$D:$D,ROW())="","",INDEX(Banco!$D:$D,ROW()))</f>
        <v/>
      </c>
      <c r="E45" s="9">
        <f>IF(INDEX(Banco!$E:$E,ROW())="","",INDEX(Banco!$E:$E,ROW()))</f>
        <v/>
      </c>
      <c r="F45" s="10">
        <f>IF(INDEX(Banco!$F:$F,ROW())="","",INDEX(Banco!$F:$F,ROW()))</f>
        <v/>
      </c>
      <c r="G45" s="10">
        <f>IF(INDEX(Banco!$G:$G,ROW())="","",INDEX(Banco!$G:$G,ROW()))</f>
        <v/>
      </c>
      <c r="H45" s="8">
        <f>IF(INDEX(Banco!$H:$H,ROW())="","",INDEX(Banco!$H:$H,ROW()))</f>
        <v/>
      </c>
      <c r="I45">
        <f>IF($T45="","",INT($T45/12)&amp;"a "&amp;MOD($T45,12)&amp;"m")</f>
        <v/>
      </c>
      <c r="J45" s="11">
        <f>IF(OR($F45="",$G45=""),"",ROUND($F45/($G45/100)^2,2))</f>
        <v/>
      </c>
      <c r="K45" s="12">
        <f>IF(OR($S45="",$J45="",$T45="",$T45&lt;0,$T45&gt;228,$Y45=""),"—",ROUND(IF(ABS($AB45)&lt;=3,$AB45,IF($AB45&gt;3,3+($J45-$AD45)/($AD45-$AC45),-3+($J45-$AF45)/($AE45-$AF45))),2))</f>
        <v/>
      </c>
      <c r="L45">
        <f>IF(OR($K45="",$K45="—"),"",IF($T45&lt;=60,IF($K45&lt;-3,"Magreza acentuada",IF($K45&lt;-2,"Magreza",IF($K45&lt;=1,"Eutrofia",IF($K45&lt;=2,"Risco de sobrepeso",IF($K45&lt;=3,"Sobrepeso","Obesidade"))))),IF($K45&lt;-3,"Magreza acentuada",IF($K45&lt;-2,"Magreza",IF($K45&lt;=1,"Eutrofia",IF($K45&lt;=2,"Sobrepeso",IF($K45&lt;=3,"Obesidade","Obesidade grave")))))))</f>
        <v/>
      </c>
      <c r="M45" s="12">
        <f>IF(OR($S45="",$V45="",$T45="",$T45&lt;0,$T45&gt;228,$AG45=""),"—",ROUND(IF($AG45=0,LN($V45/$AH45)/$AI45,((($V45/$AH45)^$AG45)-1)/($AG45*$AI45)),2))</f>
        <v/>
      </c>
      <c r="N45">
        <f>IF(OR($M45="",$M45="—"),"",IF($M45&lt;-3,"Muito baixa",IF($M45&lt;-2,"Baixa","Adequada")))</f>
        <v/>
      </c>
      <c r="O45" s="12">
        <f>IF(OR($S45="",$F45="",$T45="",$T45&lt;0,$T45&gt;120,$AJ45=""),"—",ROUND(IF(ABS($AM45)&lt;=3,$AM45,IF($AM45&gt;3,3+($F45-$AO45)/($AO45-$AN45),-3+($F45-$AQ45)/($AP45-$AQ45))),2))</f>
        <v/>
      </c>
      <c r="P45">
        <f>IF(OR($O45="",$O45="—"),"",IF($O45&lt;-3,"Muito baixo",IF($O45&lt;-2,"Baixo",IF($O45&lt;=2,"Adequado","Elevado"))))</f>
        <v/>
      </c>
      <c r="Q45" s="12">
        <f>IF(OR($S45="",$F45="",$T45="",$T45&lt;0,$T45&gt;60,$AR45=""),"—",ROUND(IF(ABS($AU45)&lt;=3,$AU45,IF($AU45&gt;3,3+($F45-$AW45)/($AW45-$AV45),-3+($F45-$AY45)/($AX45-$AY45))),2))</f>
        <v/>
      </c>
      <c r="R45">
        <f>IF(OR($Q45="",$Q45="—"),"",IF($Q45&lt;-3,"Magreza acentuada",IF($Q45&lt;-2,"Magreza",IF($Q45&lt;=1,"Eutrofia",IF($Q45&lt;=2,"Risco de sobrepeso",IF($Q45&lt;=3,"Sobrepeso","Obesidade"))))))</f>
        <v/>
      </c>
      <c r="S45">
        <f>IF($C45="","",IF(UPPER(LEFT($C45,1))="M",1,IF(UPPER(LEFT($C45,1))="F",2,"")))</f>
        <v/>
      </c>
      <c r="T45">
        <f>IF(OR($D45="",$E45=""),"",DATEDIF($D45,$E45,"m"))</f>
        <v/>
      </c>
      <c r="U45">
        <f>IF(OR($D45="",$E45=""),"",$E45-$D45)</f>
        <v/>
      </c>
      <c r="V45">
        <f>IF(OR($G45="",$T45=""),"",IF($T45&lt;24,IF(LEFT(LOWER($H45),4)="em p",$G45+0.7,$G45),IF(LEFT(LOWER($H45),4)="deit",$G45-0.7,$G45)))</f>
        <v/>
      </c>
      <c r="W45">
        <f>IF(OR($S45="",$T45=""),"",$S45*1000000+IF($T45&lt;=60,$U45,$T45))</f>
        <v/>
      </c>
      <c r="X45">
        <f>IF(OR($S45="",$V45="",$T45&gt;60,$T45=""),"",$S45*1000000+ROUND($V45*10,0))</f>
        <v/>
      </c>
      <c r="Y45">
        <f>IF($W45="","",IFERROR(INDEX(IF($T45&lt;=60,imc05_l,imc519_l),MATCH($W45,IF($T45&lt;=60,imc05_k,imc519_k),1)),""))</f>
        <v/>
      </c>
      <c r="Z45">
        <f>IF($W45="","",IFERROR(INDEX(IF($T45&lt;=60,imc05_m,imc519_m),MATCH($W45,IF($T45&lt;=60,imc05_k,imc519_k),1)),""))</f>
        <v/>
      </c>
      <c r="AA45">
        <f>IF($W45="","",IFERROR(INDEX(IF($T45&lt;=60,imc05_s,imc519_s),MATCH($W45,IF($T45&lt;=60,imc05_k,imc519_k),1)),""))</f>
        <v/>
      </c>
      <c r="AB45">
        <f>IF($Y45="","",IF($Y45=0,LN($J45/$Z45)/$AA45,((($J45/$Z45)^$Y45)-1)/($Y45*$AA45)))</f>
        <v/>
      </c>
      <c r="AC45">
        <f>IF($Y45="","",IF($Y45=0,$Z45*EXP($AA45*2),$Z45*(1+$Y45*$AA45*2)^(1/$Y45)))</f>
        <v/>
      </c>
      <c r="AD45">
        <f>IF($Y45="","",IF($Y45=0,$Z45*EXP($AA45*3),$Z45*(1+$Y45*$AA45*3)^(1/$Y45)))</f>
        <v/>
      </c>
      <c r="AE45">
        <f>IF($Y45="","",IF($Y45=0,$Z45*EXP($AA45*-2),$Z45*(1+$Y45*$AA45*-2)^(1/$Y45)))</f>
        <v/>
      </c>
      <c r="AF45">
        <f>IF($Y45="","",IF($Y45=0,$Z45*EXP($AA45*-3),$Z45*(1+$Y45*$AA45*-3)^(1/$Y45)))</f>
        <v/>
      </c>
      <c r="AG45">
        <f>IF($W45="","",IFERROR(INDEX(IF($T45&lt;=60,est05_l,est519_l),MATCH($W45,IF($T45&lt;=60,est05_k,est519_k),1)),""))</f>
        <v/>
      </c>
      <c r="AH45">
        <f>IF($W45="","",IFERROR(INDEX(IF($T45&lt;=60,est05_m,est519_m),MATCH($W45,IF($T45&lt;=60,est05_k,est519_k),1)),""))</f>
        <v/>
      </c>
      <c r="AI45">
        <f>IF($W45="","",IFERROR(INDEX(IF($T45&lt;=60,est05_s,est519_s),MATCH($W45,IF($T45&lt;=60,est05_k,est519_k),1)),""))</f>
        <v/>
      </c>
      <c r="AJ45">
        <f>IF($W45="","",IFERROR(INDEX(IF($T45&lt;=60,peso05_l,peso510_l),MATCH($W45,IF($T45&lt;=60,peso05_k,peso510_k),1)),""))</f>
        <v/>
      </c>
      <c r="AK45">
        <f>IF($W45="","",IFERROR(INDEX(IF($T45&lt;=60,peso05_m,peso510_m),MATCH($W45,IF($T45&lt;=60,peso05_k,peso510_k),1)),""))</f>
        <v/>
      </c>
      <c r="AL45">
        <f>IF($W45="","",IFERROR(INDEX(IF($T45&lt;=60,peso05_s,peso510_s),MATCH($W45,IF($T45&lt;=60,peso05_k,peso510_k),1)),""))</f>
        <v/>
      </c>
      <c r="AM45">
        <f>IF($AJ45="","",IF($AJ45=0,LN($F45/$AK45)/$AL45,((($F45/$AK45)^$AJ45)-1)/($AJ45*$AL45)))</f>
        <v/>
      </c>
      <c r="AN45">
        <f>IF($AJ45="","",IF($AJ45=0,$AK45*EXP($AL45*2),$AK45*(1+$AJ45*$AL45*2)^(1/$AJ45)))</f>
        <v/>
      </c>
      <c r="AO45">
        <f>IF($AJ45="","",IF($AJ45=0,$AK45*EXP($AL45*3),$AK45*(1+$AJ45*$AL45*3)^(1/$AJ45)))</f>
        <v/>
      </c>
      <c r="AP45">
        <f>IF($AJ45="","",IF($AJ45=0,$AK45*EXP($AL45*-2),$AK45*(1+$AJ45*$AL45*-2)^(1/$AJ45)))</f>
        <v/>
      </c>
      <c r="AQ45">
        <f>IF($AJ45="","",IF($AJ45=0,$AK45*EXP($AL45*-3),$AK45*(1+$AJ45*$AL45*-3)^(1/$AJ45)))</f>
        <v/>
      </c>
      <c r="AR45">
        <f>IF(OR($X45="",$T45&gt;60),"",IFERROR(INDEX(IF($T45&lt;24,pcomp_l,palt_l),MATCH($X45,IF($T45&lt;24,pcomp_k,palt_k),1)),""))</f>
        <v/>
      </c>
      <c r="AS45">
        <f>IF(OR($X45="",$T45&gt;60),"",IFERROR(INDEX(IF($T45&lt;24,pcomp_m,palt_m),MATCH($X45,IF($T45&lt;24,pcomp_k,palt_k),1)),""))</f>
        <v/>
      </c>
      <c r="AT45">
        <f>IF(OR($X45="",$T45&gt;60),"",IFERROR(INDEX(IF($T45&lt;24,pcomp_s,palt_s),MATCH($X45,IF($T45&lt;24,pcomp_k,palt_k),1)),""))</f>
        <v/>
      </c>
      <c r="AU45">
        <f>IF($AR45="","",IF($AR45=0,LN($F45/$AS45)/$AT45,((($F45/$AS45)^$AR45)-1)/($AR45*$AT45)))</f>
        <v/>
      </c>
      <c r="AV45">
        <f>IF($AR45="","",IF($AR45=0,$AS45*EXP($AT45*2),$AS45*(1+$AR45*$AT45*2)^(1/$AR45)))</f>
        <v/>
      </c>
      <c r="AW45">
        <f>IF($AR45="","",IF($AR45=0,$AS45*EXP($AT45*3),$AS45*(1+$AR45*$AT45*3)^(1/$AR45)))</f>
        <v/>
      </c>
      <c r="AX45">
        <f>IF($AR45="","",IF($AR45=0,$AS45*EXP($AT45*-2),$AS45*(1+$AR45*$AT45*-2)^(1/$AR45)))</f>
        <v/>
      </c>
      <c r="AY45">
        <f>IF($AR45="","",IF($AR45=0,$AS45*EXP($AT45*-3),$AS45*(1+$AR45*$AT45*-3)^(1/$AR45)))</f>
        <v/>
      </c>
      <c r="AZ45">
        <f>IF(OR($A45="",$A45&lt;&gt;Ficha!$C$4),"",COUNTIF($A$2:$A45,Ficha!$C$4))</f>
        <v/>
      </c>
    </row>
    <row r="46">
      <c r="A46" s="8">
        <f>IF(INDEX(Banco!$A:$A,ROW())="","",INDEX(Banco!$A:$A,ROW()))</f>
        <v/>
      </c>
      <c r="B46" s="8">
        <f>IF(INDEX(Banco!$B:$B,ROW())="","",INDEX(Banco!$B:$B,ROW()))</f>
        <v/>
      </c>
      <c r="C46" s="8">
        <f>IF(INDEX(Banco!$C:$C,ROW())="","",INDEX(Banco!$C:$C,ROW()))</f>
        <v/>
      </c>
      <c r="D46" s="9">
        <f>IF(INDEX(Banco!$D:$D,ROW())="","",INDEX(Banco!$D:$D,ROW()))</f>
        <v/>
      </c>
      <c r="E46" s="9">
        <f>IF(INDEX(Banco!$E:$E,ROW())="","",INDEX(Banco!$E:$E,ROW()))</f>
        <v/>
      </c>
      <c r="F46" s="10">
        <f>IF(INDEX(Banco!$F:$F,ROW())="","",INDEX(Banco!$F:$F,ROW()))</f>
        <v/>
      </c>
      <c r="G46" s="10">
        <f>IF(INDEX(Banco!$G:$G,ROW())="","",INDEX(Banco!$G:$G,ROW()))</f>
        <v/>
      </c>
      <c r="H46" s="8">
        <f>IF(INDEX(Banco!$H:$H,ROW())="","",INDEX(Banco!$H:$H,ROW()))</f>
        <v/>
      </c>
      <c r="I46">
        <f>IF($T46="","",INT($T46/12)&amp;"a "&amp;MOD($T46,12)&amp;"m")</f>
        <v/>
      </c>
      <c r="J46" s="11">
        <f>IF(OR($F46="",$G46=""),"",ROUND($F46/($G46/100)^2,2))</f>
        <v/>
      </c>
      <c r="K46" s="12">
        <f>IF(OR($S46="",$J46="",$T46="",$T46&lt;0,$T46&gt;228,$Y46=""),"—",ROUND(IF(ABS($AB46)&lt;=3,$AB46,IF($AB46&gt;3,3+($J46-$AD46)/($AD46-$AC46),-3+($J46-$AF46)/($AE46-$AF46))),2))</f>
        <v/>
      </c>
      <c r="L46">
        <f>IF(OR($K46="",$K46="—"),"",IF($T46&lt;=60,IF($K46&lt;-3,"Magreza acentuada",IF($K46&lt;-2,"Magreza",IF($K46&lt;=1,"Eutrofia",IF($K46&lt;=2,"Risco de sobrepeso",IF($K46&lt;=3,"Sobrepeso","Obesidade"))))),IF($K46&lt;-3,"Magreza acentuada",IF($K46&lt;-2,"Magreza",IF($K46&lt;=1,"Eutrofia",IF($K46&lt;=2,"Sobrepeso",IF($K46&lt;=3,"Obesidade","Obesidade grave")))))))</f>
        <v/>
      </c>
      <c r="M46" s="12">
        <f>IF(OR($S46="",$V46="",$T46="",$T46&lt;0,$T46&gt;228,$AG46=""),"—",ROUND(IF($AG46=0,LN($V46/$AH46)/$AI46,((($V46/$AH46)^$AG46)-1)/($AG46*$AI46)),2))</f>
        <v/>
      </c>
      <c r="N46">
        <f>IF(OR($M46="",$M46="—"),"",IF($M46&lt;-3,"Muito baixa",IF($M46&lt;-2,"Baixa","Adequada")))</f>
        <v/>
      </c>
      <c r="O46" s="12">
        <f>IF(OR($S46="",$F46="",$T46="",$T46&lt;0,$T46&gt;120,$AJ46=""),"—",ROUND(IF(ABS($AM46)&lt;=3,$AM46,IF($AM46&gt;3,3+($F46-$AO46)/($AO46-$AN46),-3+($F46-$AQ46)/($AP46-$AQ46))),2))</f>
        <v/>
      </c>
      <c r="P46">
        <f>IF(OR($O46="",$O46="—"),"",IF($O46&lt;-3,"Muito baixo",IF($O46&lt;-2,"Baixo",IF($O46&lt;=2,"Adequado","Elevado"))))</f>
        <v/>
      </c>
      <c r="Q46" s="12">
        <f>IF(OR($S46="",$F46="",$T46="",$T46&lt;0,$T46&gt;60,$AR46=""),"—",ROUND(IF(ABS($AU46)&lt;=3,$AU46,IF($AU46&gt;3,3+($F46-$AW46)/($AW46-$AV46),-3+($F46-$AY46)/($AX46-$AY46))),2))</f>
        <v/>
      </c>
      <c r="R46">
        <f>IF(OR($Q46="",$Q46="—"),"",IF($Q46&lt;-3,"Magreza acentuada",IF($Q46&lt;-2,"Magreza",IF($Q46&lt;=1,"Eutrofia",IF($Q46&lt;=2,"Risco de sobrepeso",IF($Q46&lt;=3,"Sobrepeso","Obesidade"))))))</f>
        <v/>
      </c>
      <c r="S46">
        <f>IF($C46="","",IF(UPPER(LEFT($C46,1))="M",1,IF(UPPER(LEFT($C46,1))="F",2,"")))</f>
        <v/>
      </c>
      <c r="T46">
        <f>IF(OR($D46="",$E46=""),"",DATEDIF($D46,$E46,"m"))</f>
        <v/>
      </c>
      <c r="U46">
        <f>IF(OR($D46="",$E46=""),"",$E46-$D46)</f>
        <v/>
      </c>
      <c r="V46">
        <f>IF(OR($G46="",$T46=""),"",IF($T46&lt;24,IF(LEFT(LOWER($H46),4)="em p",$G46+0.7,$G46),IF(LEFT(LOWER($H46),4)="deit",$G46-0.7,$G46)))</f>
        <v/>
      </c>
      <c r="W46">
        <f>IF(OR($S46="",$T46=""),"",$S46*1000000+IF($T46&lt;=60,$U46,$T46))</f>
        <v/>
      </c>
      <c r="X46">
        <f>IF(OR($S46="",$V46="",$T46&gt;60,$T46=""),"",$S46*1000000+ROUND($V46*10,0))</f>
        <v/>
      </c>
      <c r="Y46">
        <f>IF($W46="","",IFERROR(INDEX(IF($T46&lt;=60,imc05_l,imc519_l),MATCH($W46,IF($T46&lt;=60,imc05_k,imc519_k),1)),""))</f>
        <v/>
      </c>
      <c r="Z46">
        <f>IF($W46="","",IFERROR(INDEX(IF($T46&lt;=60,imc05_m,imc519_m),MATCH($W46,IF($T46&lt;=60,imc05_k,imc519_k),1)),""))</f>
        <v/>
      </c>
      <c r="AA46">
        <f>IF($W46="","",IFERROR(INDEX(IF($T46&lt;=60,imc05_s,imc519_s),MATCH($W46,IF($T46&lt;=60,imc05_k,imc519_k),1)),""))</f>
        <v/>
      </c>
      <c r="AB46">
        <f>IF($Y46="","",IF($Y46=0,LN($J46/$Z46)/$AA46,((($J46/$Z46)^$Y46)-1)/($Y46*$AA46)))</f>
        <v/>
      </c>
      <c r="AC46">
        <f>IF($Y46="","",IF($Y46=0,$Z46*EXP($AA46*2),$Z46*(1+$Y46*$AA46*2)^(1/$Y46)))</f>
        <v/>
      </c>
      <c r="AD46">
        <f>IF($Y46="","",IF($Y46=0,$Z46*EXP($AA46*3),$Z46*(1+$Y46*$AA46*3)^(1/$Y46)))</f>
        <v/>
      </c>
      <c r="AE46">
        <f>IF($Y46="","",IF($Y46=0,$Z46*EXP($AA46*-2),$Z46*(1+$Y46*$AA46*-2)^(1/$Y46)))</f>
        <v/>
      </c>
      <c r="AF46">
        <f>IF($Y46="","",IF($Y46=0,$Z46*EXP($AA46*-3),$Z46*(1+$Y46*$AA46*-3)^(1/$Y46)))</f>
        <v/>
      </c>
      <c r="AG46">
        <f>IF($W46="","",IFERROR(INDEX(IF($T46&lt;=60,est05_l,est519_l),MATCH($W46,IF($T46&lt;=60,est05_k,est519_k),1)),""))</f>
        <v/>
      </c>
      <c r="AH46">
        <f>IF($W46="","",IFERROR(INDEX(IF($T46&lt;=60,est05_m,est519_m),MATCH($W46,IF($T46&lt;=60,est05_k,est519_k),1)),""))</f>
        <v/>
      </c>
      <c r="AI46">
        <f>IF($W46="","",IFERROR(INDEX(IF($T46&lt;=60,est05_s,est519_s),MATCH($W46,IF($T46&lt;=60,est05_k,est519_k),1)),""))</f>
        <v/>
      </c>
      <c r="AJ46">
        <f>IF($W46="","",IFERROR(INDEX(IF($T46&lt;=60,peso05_l,peso510_l),MATCH($W46,IF($T46&lt;=60,peso05_k,peso510_k),1)),""))</f>
        <v/>
      </c>
      <c r="AK46">
        <f>IF($W46="","",IFERROR(INDEX(IF($T46&lt;=60,peso05_m,peso510_m),MATCH($W46,IF($T46&lt;=60,peso05_k,peso510_k),1)),""))</f>
        <v/>
      </c>
      <c r="AL46">
        <f>IF($W46="","",IFERROR(INDEX(IF($T46&lt;=60,peso05_s,peso510_s),MATCH($W46,IF($T46&lt;=60,peso05_k,peso510_k),1)),""))</f>
        <v/>
      </c>
      <c r="AM46">
        <f>IF($AJ46="","",IF($AJ46=0,LN($F46/$AK46)/$AL46,((($F46/$AK46)^$AJ46)-1)/($AJ46*$AL46)))</f>
        <v/>
      </c>
      <c r="AN46">
        <f>IF($AJ46="","",IF($AJ46=0,$AK46*EXP($AL46*2),$AK46*(1+$AJ46*$AL46*2)^(1/$AJ46)))</f>
        <v/>
      </c>
      <c r="AO46">
        <f>IF($AJ46="","",IF($AJ46=0,$AK46*EXP($AL46*3),$AK46*(1+$AJ46*$AL46*3)^(1/$AJ46)))</f>
        <v/>
      </c>
      <c r="AP46">
        <f>IF($AJ46="","",IF($AJ46=0,$AK46*EXP($AL46*-2),$AK46*(1+$AJ46*$AL46*-2)^(1/$AJ46)))</f>
        <v/>
      </c>
      <c r="AQ46">
        <f>IF($AJ46="","",IF($AJ46=0,$AK46*EXP($AL46*-3),$AK46*(1+$AJ46*$AL46*-3)^(1/$AJ46)))</f>
        <v/>
      </c>
      <c r="AR46">
        <f>IF(OR($X46="",$T46&gt;60),"",IFERROR(INDEX(IF($T46&lt;24,pcomp_l,palt_l),MATCH($X46,IF($T46&lt;24,pcomp_k,palt_k),1)),""))</f>
        <v/>
      </c>
      <c r="AS46">
        <f>IF(OR($X46="",$T46&gt;60),"",IFERROR(INDEX(IF($T46&lt;24,pcomp_m,palt_m),MATCH($X46,IF($T46&lt;24,pcomp_k,palt_k),1)),""))</f>
        <v/>
      </c>
      <c r="AT46">
        <f>IF(OR($X46="",$T46&gt;60),"",IFERROR(INDEX(IF($T46&lt;24,pcomp_s,palt_s),MATCH($X46,IF($T46&lt;24,pcomp_k,palt_k),1)),""))</f>
        <v/>
      </c>
      <c r="AU46">
        <f>IF($AR46="","",IF($AR46=0,LN($F46/$AS46)/$AT46,((($F46/$AS46)^$AR46)-1)/($AR46*$AT46)))</f>
        <v/>
      </c>
      <c r="AV46">
        <f>IF($AR46="","",IF($AR46=0,$AS46*EXP($AT46*2),$AS46*(1+$AR46*$AT46*2)^(1/$AR46)))</f>
        <v/>
      </c>
      <c r="AW46">
        <f>IF($AR46="","",IF($AR46=0,$AS46*EXP($AT46*3),$AS46*(1+$AR46*$AT46*3)^(1/$AR46)))</f>
        <v/>
      </c>
      <c r="AX46">
        <f>IF($AR46="","",IF($AR46=0,$AS46*EXP($AT46*-2),$AS46*(1+$AR46*$AT46*-2)^(1/$AR46)))</f>
        <v/>
      </c>
      <c r="AY46">
        <f>IF($AR46="","",IF($AR46=0,$AS46*EXP($AT46*-3),$AS46*(1+$AR46*$AT46*-3)^(1/$AR46)))</f>
        <v/>
      </c>
      <c r="AZ46">
        <f>IF(OR($A46="",$A46&lt;&gt;Ficha!$C$4),"",COUNTIF($A$2:$A46,Ficha!$C$4))</f>
        <v/>
      </c>
    </row>
    <row r="47">
      <c r="A47" s="8">
        <f>IF(INDEX(Banco!$A:$A,ROW())="","",INDEX(Banco!$A:$A,ROW()))</f>
        <v/>
      </c>
      <c r="B47" s="8">
        <f>IF(INDEX(Banco!$B:$B,ROW())="","",INDEX(Banco!$B:$B,ROW()))</f>
        <v/>
      </c>
      <c r="C47" s="8">
        <f>IF(INDEX(Banco!$C:$C,ROW())="","",INDEX(Banco!$C:$C,ROW()))</f>
        <v/>
      </c>
      <c r="D47" s="9">
        <f>IF(INDEX(Banco!$D:$D,ROW())="","",INDEX(Banco!$D:$D,ROW()))</f>
        <v/>
      </c>
      <c r="E47" s="9">
        <f>IF(INDEX(Banco!$E:$E,ROW())="","",INDEX(Banco!$E:$E,ROW()))</f>
        <v/>
      </c>
      <c r="F47" s="10">
        <f>IF(INDEX(Banco!$F:$F,ROW())="","",INDEX(Banco!$F:$F,ROW()))</f>
        <v/>
      </c>
      <c r="G47" s="10">
        <f>IF(INDEX(Banco!$G:$G,ROW())="","",INDEX(Banco!$G:$G,ROW()))</f>
        <v/>
      </c>
      <c r="H47" s="8">
        <f>IF(INDEX(Banco!$H:$H,ROW())="","",INDEX(Banco!$H:$H,ROW()))</f>
        <v/>
      </c>
      <c r="I47">
        <f>IF($T47="","",INT($T47/12)&amp;"a "&amp;MOD($T47,12)&amp;"m")</f>
        <v/>
      </c>
      <c r="J47" s="11">
        <f>IF(OR($F47="",$G47=""),"",ROUND($F47/($G47/100)^2,2))</f>
        <v/>
      </c>
      <c r="K47" s="12">
        <f>IF(OR($S47="",$J47="",$T47="",$T47&lt;0,$T47&gt;228,$Y47=""),"—",ROUND(IF(ABS($AB47)&lt;=3,$AB47,IF($AB47&gt;3,3+($J47-$AD47)/($AD47-$AC47),-3+($J47-$AF47)/($AE47-$AF47))),2))</f>
        <v/>
      </c>
      <c r="L47">
        <f>IF(OR($K47="",$K47="—"),"",IF($T47&lt;=60,IF($K47&lt;-3,"Magreza acentuada",IF($K47&lt;-2,"Magreza",IF($K47&lt;=1,"Eutrofia",IF($K47&lt;=2,"Risco de sobrepeso",IF($K47&lt;=3,"Sobrepeso","Obesidade"))))),IF($K47&lt;-3,"Magreza acentuada",IF($K47&lt;-2,"Magreza",IF($K47&lt;=1,"Eutrofia",IF($K47&lt;=2,"Sobrepeso",IF($K47&lt;=3,"Obesidade","Obesidade grave")))))))</f>
        <v/>
      </c>
      <c r="M47" s="12">
        <f>IF(OR($S47="",$V47="",$T47="",$T47&lt;0,$T47&gt;228,$AG47=""),"—",ROUND(IF($AG47=0,LN($V47/$AH47)/$AI47,((($V47/$AH47)^$AG47)-1)/($AG47*$AI47)),2))</f>
        <v/>
      </c>
      <c r="N47">
        <f>IF(OR($M47="",$M47="—"),"",IF($M47&lt;-3,"Muito baixa",IF($M47&lt;-2,"Baixa","Adequada")))</f>
        <v/>
      </c>
      <c r="O47" s="12">
        <f>IF(OR($S47="",$F47="",$T47="",$T47&lt;0,$T47&gt;120,$AJ47=""),"—",ROUND(IF(ABS($AM47)&lt;=3,$AM47,IF($AM47&gt;3,3+($F47-$AO47)/($AO47-$AN47),-3+($F47-$AQ47)/($AP47-$AQ47))),2))</f>
        <v/>
      </c>
      <c r="P47">
        <f>IF(OR($O47="",$O47="—"),"",IF($O47&lt;-3,"Muito baixo",IF($O47&lt;-2,"Baixo",IF($O47&lt;=2,"Adequado","Elevado"))))</f>
        <v/>
      </c>
      <c r="Q47" s="12">
        <f>IF(OR($S47="",$F47="",$T47="",$T47&lt;0,$T47&gt;60,$AR47=""),"—",ROUND(IF(ABS($AU47)&lt;=3,$AU47,IF($AU47&gt;3,3+($F47-$AW47)/($AW47-$AV47),-3+($F47-$AY47)/($AX47-$AY47))),2))</f>
        <v/>
      </c>
      <c r="R47">
        <f>IF(OR($Q47="",$Q47="—"),"",IF($Q47&lt;-3,"Magreza acentuada",IF($Q47&lt;-2,"Magreza",IF($Q47&lt;=1,"Eutrofia",IF($Q47&lt;=2,"Risco de sobrepeso",IF($Q47&lt;=3,"Sobrepeso","Obesidade"))))))</f>
        <v/>
      </c>
      <c r="S47">
        <f>IF($C47="","",IF(UPPER(LEFT($C47,1))="M",1,IF(UPPER(LEFT($C47,1))="F",2,"")))</f>
        <v/>
      </c>
      <c r="T47">
        <f>IF(OR($D47="",$E47=""),"",DATEDIF($D47,$E47,"m"))</f>
        <v/>
      </c>
      <c r="U47">
        <f>IF(OR($D47="",$E47=""),"",$E47-$D47)</f>
        <v/>
      </c>
      <c r="V47">
        <f>IF(OR($G47="",$T47=""),"",IF($T47&lt;24,IF(LEFT(LOWER($H47),4)="em p",$G47+0.7,$G47),IF(LEFT(LOWER($H47),4)="deit",$G47-0.7,$G47)))</f>
        <v/>
      </c>
      <c r="W47">
        <f>IF(OR($S47="",$T47=""),"",$S47*1000000+IF($T47&lt;=60,$U47,$T47))</f>
        <v/>
      </c>
      <c r="X47">
        <f>IF(OR($S47="",$V47="",$T47&gt;60,$T47=""),"",$S47*1000000+ROUND($V47*10,0))</f>
        <v/>
      </c>
      <c r="Y47">
        <f>IF($W47="","",IFERROR(INDEX(IF($T47&lt;=60,imc05_l,imc519_l),MATCH($W47,IF($T47&lt;=60,imc05_k,imc519_k),1)),""))</f>
        <v/>
      </c>
      <c r="Z47">
        <f>IF($W47="","",IFERROR(INDEX(IF($T47&lt;=60,imc05_m,imc519_m),MATCH($W47,IF($T47&lt;=60,imc05_k,imc519_k),1)),""))</f>
        <v/>
      </c>
      <c r="AA47">
        <f>IF($W47="","",IFERROR(INDEX(IF($T47&lt;=60,imc05_s,imc519_s),MATCH($W47,IF($T47&lt;=60,imc05_k,imc519_k),1)),""))</f>
        <v/>
      </c>
      <c r="AB47">
        <f>IF($Y47="","",IF($Y47=0,LN($J47/$Z47)/$AA47,((($J47/$Z47)^$Y47)-1)/($Y47*$AA47)))</f>
        <v/>
      </c>
      <c r="AC47">
        <f>IF($Y47="","",IF($Y47=0,$Z47*EXP($AA47*2),$Z47*(1+$Y47*$AA47*2)^(1/$Y47)))</f>
        <v/>
      </c>
      <c r="AD47">
        <f>IF($Y47="","",IF($Y47=0,$Z47*EXP($AA47*3),$Z47*(1+$Y47*$AA47*3)^(1/$Y47)))</f>
        <v/>
      </c>
      <c r="AE47">
        <f>IF($Y47="","",IF($Y47=0,$Z47*EXP($AA47*-2),$Z47*(1+$Y47*$AA47*-2)^(1/$Y47)))</f>
        <v/>
      </c>
      <c r="AF47">
        <f>IF($Y47="","",IF($Y47=0,$Z47*EXP($AA47*-3),$Z47*(1+$Y47*$AA47*-3)^(1/$Y47)))</f>
        <v/>
      </c>
      <c r="AG47">
        <f>IF($W47="","",IFERROR(INDEX(IF($T47&lt;=60,est05_l,est519_l),MATCH($W47,IF($T47&lt;=60,est05_k,est519_k),1)),""))</f>
        <v/>
      </c>
      <c r="AH47">
        <f>IF($W47="","",IFERROR(INDEX(IF($T47&lt;=60,est05_m,est519_m),MATCH($W47,IF($T47&lt;=60,est05_k,est519_k),1)),""))</f>
        <v/>
      </c>
      <c r="AI47">
        <f>IF($W47="","",IFERROR(INDEX(IF($T47&lt;=60,est05_s,est519_s),MATCH($W47,IF($T47&lt;=60,est05_k,est519_k),1)),""))</f>
        <v/>
      </c>
      <c r="AJ47">
        <f>IF($W47="","",IFERROR(INDEX(IF($T47&lt;=60,peso05_l,peso510_l),MATCH($W47,IF($T47&lt;=60,peso05_k,peso510_k),1)),""))</f>
        <v/>
      </c>
      <c r="AK47">
        <f>IF($W47="","",IFERROR(INDEX(IF($T47&lt;=60,peso05_m,peso510_m),MATCH($W47,IF($T47&lt;=60,peso05_k,peso510_k),1)),""))</f>
        <v/>
      </c>
      <c r="AL47">
        <f>IF($W47="","",IFERROR(INDEX(IF($T47&lt;=60,peso05_s,peso510_s),MATCH($W47,IF($T47&lt;=60,peso05_k,peso510_k),1)),""))</f>
        <v/>
      </c>
      <c r="AM47">
        <f>IF($AJ47="","",IF($AJ47=0,LN($F47/$AK47)/$AL47,((($F47/$AK47)^$AJ47)-1)/($AJ47*$AL47)))</f>
        <v/>
      </c>
      <c r="AN47">
        <f>IF($AJ47="","",IF($AJ47=0,$AK47*EXP($AL47*2),$AK47*(1+$AJ47*$AL47*2)^(1/$AJ47)))</f>
        <v/>
      </c>
      <c r="AO47">
        <f>IF($AJ47="","",IF($AJ47=0,$AK47*EXP($AL47*3),$AK47*(1+$AJ47*$AL47*3)^(1/$AJ47)))</f>
        <v/>
      </c>
      <c r="AP47">
        <f>IF($AJ47="","",IF($AJ47=0,$AK47*EXP($AL47*-2),$AK47*(1+$AJ47*$AL47*-2)^(1/$AJ47)))</f>
        <v/>
      </c>
      <c r="AQ47">
        <f>IF($AJ47="","",IF($AJ47=0,$AK47*EXP($AL47*-3),$AK47*(1+$AJ47*$AL47*-3)^(1/$AJ47)))</f>
        <v/>
      </c>
      <c r="AR47">
        <f>IF(OR($X47="",$T47&gt;60),"",IFERROR(INDEX(IF($T47&lt;24,pcomp_l,palt_l),MATCH($X47,IF($T47&lt;24,pcomp_k,palt_k),1)),""))</f>
        <v/>
      </c>
      <c r="AS47">
        <f>IF(OR($X47="",$T47&gt;60),"",IFERROR(INDEX(IF($T47&lt;24,pcomp_m,palt_m),MATCH($X47,IF($T47&lt;24,pcomp_k,palt_k),1)),""))</f>
        <v/>
      </c>
      <c r="AT47">
        <f>IF(OR($X47="",$T47&gt;60),"",IFERROR(INDEX(IF($T47&lt;24,pcomp_s,palt_s),MATCH($X47,IF($T47&lt;24,pcomp_k,palt_k),1)),""))</f>
        <v/>
      </c>
      <c r="AU47">
        <f>IF($AR47="","",IF($AR47=0,LN($F47/$AS47)/$AT47,((($F47/$AS47)^$AR47)-1)/($AR47*$AT47)))</f>
        <v/>
      </c>
      <c r="AV47">
        <f>IF($AR47="","",IF($AR47=0,$AS47*EXP($AT47*2),$AS47*(1+$AR47*$AT47*2)^(1/$AR47)))</f>
        <v/>
      </c>
      <c r="AW47">
        <f>IF($AR47="","",IF($AR47=0,$AS47*EXP($AT47*3),$AS47*(1+$AR47*$AT47*3)^(1/$AR47)))</f>
        <v/>
      </c>
      <c r="AX47">
        <f>IF($AR47="","",IF($AR47=0,$AS47*EXP($AT47*-2),$AS47*(1+$AR47*$AT47*-2)^(1/$AR47)))</f>
        <v/>
      </c>
      <c r="AY47">
        <f>IF($AR47="","",IF($AR47=0,$AS47*EXP($AT47*-3),$AS47*(1+$AR47*$AT47*-3)^(1/$AR47)))</f>
        <v/>
      </c>
      <c r="AZ47">
        <f>IF(OR($A47="",$A47&lt;&gt;Ficha!$C$4),"",COUNTIF($A$2:$A47,Ficha!$C$4))</f>
        <v/>
      </c>
    </row>
    <row r="48">
      <c r="A48" s="8">
        <f>IF(INDEX(Banco!$A:$A,ROW())="","",INDEX(Banco!$A:$A,ROW()))</f>
        <v/>
      </c>
      <c r="B48" s="8">
        <f>IF(INDEX(Banco!$B:$B,ROW())="","",INDEX(Banco!$B:$B,ROW()))</f>
        <v/>
      </c>
      <c r="C48" s="8">
        <f>IF(INDEX(Banco!$C:$C,ROW())="","",INDEX(Banco!$C:$C,ROW()))</f>
        <v/>
      </c>
      <c r="D48" s="9">
        <f>IF(INDEX(Banco!$D:$D,ROW())="","",INDEX(Banco!$D:$D,ROW()))</f>
        <v/>
      </c>
      <c r="E48" s="9">
        <f>IF(INDEX(Banco!$E:$E,ROW())="","",INDEX(Banco!$E:$E,ROW()))</f>
        <v/>
      </c>
      <c r="F48" s="10">
        <f>IF(INDEX(Banco!$F:$F,ROW())="","",INDEX(Banco!$F:$F,ROW()))</f>
        <v/>
      </c>
      <c r="G48" s="10">
        <f>IF(INDEX(Banco!$G:$G,ROW())="","",INDEX(Banco!$G:$G,ROW()))</f>
        <v/>
      </c>
      <c r="H48" s="8">
        <f>IF(INDEX(Banco!$H:$H,ROW())="","",INDEX(Banco!$H:$H,ROW()))</f>
        <v/>
      </c>
      <c r="I48">
        <f>IF($T48="","",INT($T48/12)&amp;"a "&amp;MOD($T48,12)&amp;"m")</f>
        <v/>
      </c>
      <c r="J48" s="11">
        <f>IF(OR($F48="",$G48=""),"",ROUND($F48/($G48/100)^2,2))</f>
        <v/>
      </c>
      <c r="K48" s="12">
        <f>IF(OR($S48="",$J48="",$T48="",$T48&lt;0,$T48&gt;228,$Y48=""),"—",ROUND(IF(ABS($AB48)&lt;=3,$AB48,IF($AB48&gt;3,3+($J48-$AD48)/($AD48-$AC48),-3+($J48-$AF48)/($AE48-$AF48))),2))</f>
        <v/>
      </c>
      <c r="L48">
        <f>IF(OR($K48="",$K48="—"),"",IF($T48&lt;=60,IF($K48&lt;-3,"Magreza acentuada",IF($K48&lt;-2,"Magreza",IF($K48&lt;=1,"Eutrofia",IF($K48&lt;=2,"Risco de sobrepeso",IF($K48&lt;=3,"Sobrepeso","Obesidade"))))),IF($K48&lt;-3,"Magreza acentuada",IF($K48&lt;-2,"Magreza",IF($K48&lt;=1,"Eutrofia",IF($K48&lt;=2,"Sobrepeso",IF($K48&lt;=3,"Obesidade","Obesidade grave")))))))</f>
        <v/>
      </c>
      <c r="M48" s="12">
        <f>IF(OR($S48="",$V48="",$T48="",$T48&lt;0,$T48&gt;228,$AG48=""),"—",ROUND(IF($AG48=0,LN($V48/$AH48)/$AI48,((($V48/$AH48)^$AG48)-1)/($AG48*$AI48)),2))</f>
        <v/>
      </c>
      <c r="N48">
        <f>IF(OR($M48="",$M48="—"),"",IF($M48&lt;-3,"Muito baixa",IF($M48&lt;-2,"Baixa","Adequada")))</f>
        <v/>
      </c>
      <c r="O48" s="12">
        <f>IF(OR($S48="",$F48="",$T48="",$T48&lt;0,$T48&gt;120,$AJ48=""),"—",ROUND(IF(ABS($AM48)&lt;=3,$AM48,IF($AM48&gt;3,3+($F48-$AO48)/($AO48-$AN48),-3+($F48-$AQ48)/($AP48-$AQ48))),2))</f>
        <v/>
      </c>
      <c r="P48">
        <f>IF(OR($O48="",$O48="—"),"",IF($O48&lt;-3,"Muito baixo",IF($O48&lt;-2,"Baixo",IF($O48&lt;=2,"Adequado","Elevado"))))</f>
        <v/>
      </c>
      <c r="Q48" s="12">
        <f>IF(OR($S48="",$F48="",$T48="",$T48&lt;0,$T48&gt;60,$AR48=""),"—",ROUND(IF(ABS($AU48)&lt;=3,$AU48,IF($AU48&gt;3,3+($F48-$AW48)/($AW48-$AV48),-3+($F48-$AY48)/($AX48-$AY48))),2))</f>
        <v/>
      </c>
      <c r="R48">
        <f>IF(OR($Q48="",$Q48="—"),"",IF($Q48&lt;-3,"Magreza acentuada",IF($Q48&lt;-2,"Magreza",IF($Q48&lt;=1,"Eutrofia",IF($Q48&lt;=2,"Risco de sobrepeso",IF($Q48&lt;=3,"Sobrepeso","Obesidade"))))))</f>
        <v/>
      </c>
      <c r="S48">
        <f>IF($C48="","",IF(UPPER(LEFT($C48,1))="M",1,IF(UPPER(LEFT($C48,1))="F",2,"")))</f>
        <v/>
      </c>
      <c r="T48">
        <f>IF(OR($D48="",$E48=""),"",DATEDIF($D48,$E48,"m"))</f>
        <v/>
      </c>
      <c r="U48">
        <f>IF(OR($D48="",$E48=""),"",$E48-$D48)</f>
        <v/>
      </c>
      <c r="V48">
        <f>IF(OR($G48="",$T48=""),"",IF($T48&lt;24,IF(LEFT(LOWER($H48),4)="em p",$G48+0.7,$G48),IF(LEFT(LOWER($H48),4)="deit",$G48-0.7,$G48)))</f>
        <v/>
      </c>
      <c r="W48">
        <f>IF(OR($S48="",$T48=""),"",$S48*1000000+IF($T48&lt;=60,$U48,$T48))</f>
        <v/>
      </c>
      <c r="X48">
        <f>IF(OR($S48="",$V48="",$T48&gt;60,$T48=""),"",$S48*1000000+ROUND($V48*10,0))</f>
        <v/>
      </c>
      <c r="Y48">
        <f>IF($W48="","",IFERROR(INDEX(IF($T48&lt;=60,imc05_l,imc519_l),MATCH($W48,IF($T48&lt;=60,imc05_k,imc519_k),1)),""))</f>
        <v/>
      </c>
      <c r="Z48">
        <f>IF($W48="","",IFERROR(INDEX(IF($T48&lt;=60,imc05_m,imc519_m),MATCH($W48,IF($T48&lt;=60,imc05_k,imc519_k),1)),""))</f>
        <v/>
      </c>
      <c r="AA48">
        <f>IF($W48="","",IFERROR(INDEX(IF($T48&lt;=60,imc05_s,imc519_s),MATCH($W48,IF($T48&lt;=60,imc05_k,imc519_k),1)),""))</f>
        <v/>
      </c>
      <c r="AB48">
        <f>IF($Y48="","",IF($Y48=0,LN($J48/$Z48)/$AA48,((($J48/$Z48)^$Y48)-1)/($Y48*$AA48)))</f>
        <v/>
      </c>
      <c r="AC48">
        <f>IF($Y48="","",IF($Y48=0,$Z48*EXP($AA48*2),$Z48*(1+$Y48*$AA48*2)^(1/$Y48)))</f>
        <v/>
      </c>
      <c r="AD48">
        <f>IF($Y48="","",IF($Y48=0,$Z48*EXP($AA48*3),$Z48*(1+$Y48*$AA48*3)^(1/$Y48)))</f>
        <v/>
      </c>
      <c r="AE48">
        <f>IF($Y48="","",IF($Y48=0,$Z48*EXP($AA48*-2),$Z48*(1+$Y48*$AA48*-2)^(1/$Y48)))</f>
        <v/>
      </c>
      <c r="AF48">
        <f>IF($Y48="","",IF($Y48=0,$Z48*EXP($AA48*-3),$Z48*(1+$Y48*$AA48*-3)^(1/$Y48)))</f>
        <v/>
      </c>
      <c r="AG48">
        <f>IF($W48="","",IFERROR(INDEX(IF($T48&lt;=60,est05_l,est519_l),MATCH($W48,IF($T48&lt;=60,est05_k,est519_k),1)),""))</f>
        <v/>
      </c>
      <c r="AH48">
        <f>IF($W48="","",IFERROR(INDEX(IF($T48&lt;=60,est05_m,est519_m),MATCH($W48,IF($T48&lt;=60,est05_k,est519_k),1)),""))</f>
        <v/>
      </c>
      <c r="AI48">
        <f>IF($W48="","",IFERROR(INDEX(IF($T48&lt;=60,est05_s,est519_s),MATCH($W48,IF($T48&lt;=60,est05_k,est519_k),1)),""))</f>
        <v/>
      </c>
      <c r="AJ48">
        <f>IF($W48="","",IFERROR(INDEX(IF($T48&lt;=60,peso05_l,peso510_l),MATCH($W48,IF($T48&lt;=60,peso05_k,peso510_k),1)),""))</f>
        <v/>
      </c>
      <c r="AK48">
        <f>IF($W48="","",IFERROR(INDEX(IF($T48&lt;=60,peso05_m,peso510_m),MATCH($W48,IF($T48&lt;=60,peso05_k,peso510_k),1)),""))</f>
        <v/>
      </c>
      <c r="AL48">
        <f>IF($W48="","",IFERROR(INDEX(IF($T48&lt;=60,peso05_s,peso510_s),MATCH($W48,IF($T48&lt;=60,peso05_k,peso510_k),1)),""))</f>
        <v/>
      </c>
      <c r="AM48">
        <f>IF($AJ48="","",IF($AJ48=0,LN($F48/$AK48)/$AL48,((($F48/$AK48)^$AJ48)-1)/($AJ48*$AL48)))</f>
        <v/>
      </c>
      <c r="AN48">
        <f>IF($AJ48="","",IF($AJ48=0,$AK48*EXP($AL48*2),$AK48*(1+$AJ48*$AL48*2)^(1/$AJ48)))</f>
        <v/>
      </c>
      <c r="AO48">
        <f>IF($AJ48="","",IF($AJ48=0,$AK48*EXP($AL48*3),$AK48*(1+$AJ48*$AL48*3)^(1/$AJ48)))</f>
        <v/>
      </c>
      <c r="AP48">
        <f>IF($AJ48="","",IF($AJ48=0,$AK48*EXP($AL48*-2),$AK48*(1+$AJ48*$AL48*-2)^(1/$AJ48)))</f>
        <v/>
      </c>
      <c r="AQ48">
        <f>IF($AJ48="","",IF($AJ48=0,$AK48*EXP($AL48*-3),$AK48*(1+$AJ48*$AL48*-3)^(1/$AJ48)))</f>
        <v/>
      </c>
      <c r="AR48">
        <f>IF(OR($X48="",$T48&gt;60),"",IFERROR(INDEX(IF($T48&lt;24,pcomp_l,palt_l),MATCH($X48,IF($T48&lt;24,pcomp_k,palt_k),1)),""))</f>
        <v/>
      </c>
      <c r="AS48">
        <f>IF(OR($X48="",$T48&gt;60),"",IFERROR(INDEX(IF($T48&lt;24,pcomp_m,palt_m),MATCH($X48,IF($T48&lt;24,pcomp_k,palt_k),1)),""))</f>
        <v/>
      </c>
      <c r="AT48">
        <f>IF(OR($X48="",$T48&gt;60),"",IFERROR(INDEX(IF($T48&lt;24,pcomp_s,palt_s),MATCH($X48,IF($T48&lt;24,pcomp_k,palt_k),1)),""))</f>
        <v/>
      </c>
      <c r="AU48">
        <f>IF($AR48="","",IF($AR48=0,LN($F48/$AS48)/$AT48,((($F48/$AS48)^$AR48)-1)/($AR48*$AT48)))</f>
        <v/>
      </c>
      <c r="AV48">
        <f>IF($AR48="","",IF($AR48=0,$AS48*EXP($AT48*2),$AS48*(1+$AR48*$AT48*2)^(1/$AR48)))</f>
        <v/>
      </c>
      <c r="AW48">
        <f>IF($AR48="","",IF($AR48=0,$AS48*EXP($AT48*3),$AS48*(1+$AR48*$AT48*3)^(1/$AR48)))</f>
        <v/>
      </c>
      <c r="AX48">
        <f>IF($AR48="","",IF($AR48=0,$AS48*EXP($AT48*-2),$AS48*(1+$AR48*$AT48*-2)^(1/$AR48)))</f>
        <v/>
      </c>
      <c r="AY48">
        <f>IF($AR48="","",IF($AR48=0,$AS48*EXP($AT48*-3),$AS48*(1+$AR48*$AT48*-3)^(1/$AR48)))</f>
        <v/>
      </c>
      <c r="AZ48">
        <f>IF(OR($A48="",$A48&lt;&gt;Ficha!$C$4),"",COUNTIF($A$2:$A48,Ficha!$C$4))</f>
        <v/>
      </c>
    </row>
    <row r="49">
      <c r="A49" s="8">
        <f>IF(INDEX(Banco!$A:$A,ROW())="","",INDEX(Banco!$A:$A,ROW()))</f>
        <v/>
      </c>
      <c r="B49" s="8">
        <f>IF(INDEX(Banco!$B:$B,ROW())="","",INDEX(Banco!$B:$B,ROW()))</f>
        <v/>
      </c>
      <c r="C49" s="8">
        <f>IF(INDEX(Banco!$C:$C,ROW())="","",INDEX(Banco!$C:$C,ROW()))</f>
        <v/>
      </c>
      <c r="D49" s="9">
        <f>IF(INDEX(Banco!$D:$D,ROW())="","",INDEX(Banco!$D:$D,ROW()))</f>
        <v/>
      </c>
      <c r="E49" s="9">
        <f>IF(INDEX(Banco!$E:$E,ROW())="","",INDEX(Banco!$E:$E,ROW()))</f>
        <v/>
      </c>
      <c r="F49" s="10">
        <f>IF(INDEX(Banco!$F:$F,ROW())="","",INDEX(Banco!$F:$F,ROW()))</f>
        <v/>
      </c>
      <c r="G49" s="10">
        <f>IF(INDEX(Banco!$G:$G,ROW())="","",INDEX(Banco!$G:$G,ROW()))</f>
        <v/>
      </c>
      <c r="H49" s="8">
        <f>IF(INDEX(Banco!$H:$H,ROW())="","",INDEX(Banco!$H:$H,ROW()))</f>
        <v/>
      </c>
      <c r="I49">
        <f>IF($T49="","",INT($T49/12)&amp;"a "&amp;MOD($T49,12)&amp;"m")</f>
        <v/>
      </c>
      <c r="J49" s="11">
        <f>IF(OR($F49="",$G49=""),"",ROUND($F49/($G49/100)^2,2))</f>
        <v/>
      </c>
      <c r="K49" s="12">
        <f>IF(OR($S49="",$J49="",$T49="",$T49&lt;0,$T49&gt;228,$Y49=""),"—",ROUND(IF(ABS($AB49)&lt;=3,$AB49,IF($AB49&gt;3,3+($J49-$AD49)/($AD49-$AC49),-3+($J49-$AF49)/($AE49-$AF49))),2))</f>
        <v/>
      </c>
      <c r="L49">
        <f>IF(OR($K49="",$K49="—"),"",IF($T49&lt;=60,IF($K49&lt;-3,"Magreza acentuada",IF($K49&lt;-2,"Magreza",IF($K49&lt;=1,"Eutrofia",IF($K49&lt;=2,"Risco de sobrepeso",IF($K49&lt;=3,"Sobrepeso","Obesidade"))))),IF($K49&lt;-3,"Magreza acentuada",IF($K49&lt;-2,"Magreza",IF($K49&lt;=1,"Eutrofia",IF($K49&lt;=2,"Sobrepeso",IF($K49&lt;=3,"Obesidade","Obesidade grave")))))))</f>
        <v/>
      </c>
      <c r="M49" s="12">
        <f>IF(OR($S49="",$V49="",$T49="",$T49&lt;0,$T49&gt;228,$AG49=""),"—",ROUND(IF($AG49=0,LN($V49/$AH49)/$AI49,((($V49/$AH49)^$AG49)-1)/($AG49*$AI49)),2))</f>
        <v/>
      </c>
      <c r="N49">
        <f>IF(OR($M49="",$M49="—"),"",IF($M49&lt;-3,"Muito baixa",IF($M49&lt;-2,"Baixa","Adequada")))</f>
        <v/>
      </c>
      <c r="O49" s="12">
        <f>IF(OR($S49="",$F49="",$T49="",$T49&lt;0,$T49&gt;120,$AJ49=""),"—",ROUND(IF(ABS($AM49)&lt;=3,$AM49,IF($AM49&gt;3,3+($F49-$AO49)/($AO49-$AN49),-3+($F49-$AQ49)/($AP49-$AQ49))),2))</f>
        <v/>
      </c>
      <c r="P49">
        <f>IF(OR($O49="",$O49="—"),"",IF($O49&lt;-3,"Muito baixo",IF($O49&lt;-2,"Baixo",IF($O49&lt;=2,"Adequado","Elevado"))))</f>
        <v/>
      </c>
      <c r="Q49" s="12">
        <f>IF(OR($S49="",$F49="",$T49="",$T49&lt;0,$T49&gt;60,$AR49=""),"—",ROUND(IF(ABS($AU49)&lt;=3,$AU49,IF($AU49&gt;3,3+($F49-$AW49)/($AW49-$AV49),-3+($F49-$AY49)/($AX49-$AY49))),2))</f>
        <v/>
      </c>
      <c r="R49">
        <f>IF(OR($Q49="",$Q49="—"),"",IF($Q49&lt;-3,"Magreza acentuada",IF($Q49&lt;-2,"Magreza",IF($Q49&lt;=1,"Eutrofia",IF($Q49&lt;=2,"Risco de sobrepeso",IF($Q49&lt;=3,"Sobrepeso","Obesidade"))))))</f>
        <v/>
      </c>
      <c r="S49">
        <f>IF($C49="","",IF(UPPER(LEFT($C49,1))="M",1,IF(UPPER(LEFT($C49,1))="F",2,"")))</f>
        <v/>
      </c>
      <c r="T49">
        <f>IF(OR($D49="",$E49=""),"",DATEDIF($D49,$E49,"m"))</f>
        <v/>
      </c>
      <c r="U49">
        <f>IF(OR($D49="",$E49=""),"",$E49-$D49)</f>
        <v/>
      </c>
      <c r="V49">
        <f>IF(OR($G49="",$T49=""),"",IF($T49&lt;24,IF(LEFT(LOWER($H49),4)="em p",$G49+0.7,$G49),IF(LEFT(LOWER($H49),4)="deit",$G49-0.7,$G49)))</f>
        <v/>
      </c>
      <c r="W49">
        <f>IF(OR($S49="",$T49=""),"",$S49*1000000+IF($T49&lt;=60,$U49,$T49))</f>
        <v/>
      </c>
      <c r="X49">
        <f>IF(OR($S49="",$V49="",$T49&gt;60,$T49=""),"",$S49*1000000+ROUND($V49*10,0))</f>
        <v/>
      </c>
      <c r="Y49">
        <f>IF($W49="","",IFERROR(INDEX(IF($T49&lt;=60,imc05_l,imc519_l),MATCH($W49,IF($T49&lt;=60,imc05_k,imc519_k),1)),""))</f>
        <v/>
      </c>
      <c r="Z49">
        <f>IF($W49="","",IFERROR(INDEX(IF($T49&lt;=60,imc05_m,imc519_m),MATCH($W49,IF($T49&lt;=60,imc05_k,imc519_k),1)),""))</f>
        <v/>
      </c>
      <c r="AA49">
        <f>IF($W49="","",IFERROR(INDEX(IF($T49&lt;=60,imc05_s,imc519_s),MATCH($W49,IF($T49&lt;=60,imc05_k,imc519_k),1)),""))</f>
        <v/>
      </c>
      <c r="AB49">
        <f>IF($Y49="","",IF($Y49=0,LN($J49/$Z49)/$AA49,((($J49/$Z49)^$Y49)-1)/($Y49*$AA49)))</f>
        <v/>
      </c>
      <c r="AC49">
        <f>IF($Y49="","",IF($Y49=0,$Z49*EXP($AA49*2),$Z49*(1+$Y49*$AA49*2)^(1/$Y49)))</f>
        <v/>
      </c>
      <c r="AD49">
        <f>IF($Y49="","",IF($Y49=0,$Z49*EXP($AA49*3),$Z49*(1+$Y49*$AA49*3)^(1/$Y49)))</f>
        <v/>
      </c>
      <c r="AE49">
        <f>IF($Y49="","",IF($Y49=0,$Z49*EXP($AA49*-2),$Z49*(1+$Y49*$AA49*-2)^(1/$Y49)))</f>
        <v/>
      </c>
      <c r="AF49">
        <f>IF($Y49="","",IF($Y49=0,$Z49*EXP($AA49*-3),$Z49*(1+$Y49*$AA49*-3)^(1/$Y49)))</f>
        <v/>
      </c>
      <c r="AG49">
        <f>IF($W49="","",IFERROR(INDEX(IF($T49&lt;=60,est05_l,est519_l),MATCH($W49,IF($T49&lt;=60,est05_k,est519_k),1)),""))</f>
        <v/>
      </c>
      <c r="AH49">
        <f>IF($W49="","",IFERROR(INDEX(IF($T49&lt;=60,est05_m,est519_m),MATCH($W49,IF($T49&lt;=60,est05_k,est519_k),1)),""))</f>
        <v/>
      </c>
      <c r="AI49">
        <f>IF($W49="","",IFERROR(INDEX(IF($T49&lt;=60,est05_s,est519_s),MATCH($W49,IF($T49&lt;=60,est05_k,est519_k),1)),""))</f>
        <v/>
      </c>
      <c r="AJ49">
        <f>IF($W49="","",IFERROR(INDEX(IF($T49&lt;=60,peso05_l,peso510_l),MATCH($W49,IF($T49&lt;=60,peso05_k,peso510_k),1)),""))</f>
        <v/>
      </c>
      <c r="AK49">
        <f>IF($W49="","",IFERROR(INDEX(IF($T49&lt;=60,peso05_m,peso510_m),MATCH($W49,IF($T49&lt;=60,peso05_k,peso510_k),1)),""))</f>
        <v/>
      </c>
      <c r="AL49">
        <f>IF($W49="","",IFERROR(INDEX(IF($T49&lt;=60,peso05_s,peso510_s),MATCH($W49,IF($T49&lt;=60,peso05_k,peso510_k),1)),""))</f>
        <v/>
      </c>
      <c r="AM49">
        <f>IF($AJ49="","",IF($AJ49=0,LN($F49/$AK49)/$AL49,((($F49/$AK49)^$AJ49)-1)/($AJ49*$AL49)))</f>
        <v/>
      </c>
      <c r="AN49">
        <f>IF($AJ49="","",IF($AJ49=0,$AK49*EXP($AL49*2),$AK49*(1+$AJ49*$AL49*2)^(1/$AJ49)))</f>
        <v/>
      </c>
      <c r="AO49">
        <f>IF($AJ49="","",IF($AJ49=0,$AK49*EXP($AL49*3),$AK49*(1+$AJ49*$AL49*3)^(1/$AJ49)))</f>
        <v/>
      </c>
      <c r="AP49">
        <f>IF($AJ49="","",IF($AJ49=0,$AK49*EXP($AL49*-2),$AK49*(1+$AJ49*$AL49*-2)^(1/$AJ49)))</f>
        <v/>
      </c>
      <c r="AQ49">
        <f>IF($AJ49="","",IF($AJ49=0,$AK49*EXP($AL49*-3),$AK49*(1+$AJ49*$AL49*-3)^(1/$AJ49)))</f>
        <v/>
      </c>
      <c r="AR49">
        <f>IF(OR($X49="",$T49&gt;60),"",IFERROR(INDEX(IF($T49&lt;24,pcomp_l,palt_l),MATCH($X49,IF($T49&lt;24,pcomp_k,palt_k),1)),""))</f>
        <v/>
      </c>
      <c r="AS49">
        <f>IF(OR($X49="",$T49&gt;60),"",IFERROR(INDEX(IF($T49&lt;24,pcomp_m,palt_m),MATCH($X49,IF($T49&lt;24,pcomp_k,palt_k),1)),""))</f>
        <v/>
      </c>
      <c r="AT49">
        <f>IF(OR($X49="",$T49&gt;60),"",IFERROR(INDEX(IF($T49&lt;24,pcomp_s,palt_s),MATCH($X49,IF($T49&lt;24,pcomp_k,palt_k),1)),""))</f>
        <v/>
      </c>
      <c r="AU49">
        <f>IF($AR49="","",IF($AR49=0,LN($F49/$AS49)/$AT49,((($F49/$AS49)^$AR49)-1)/($AR49*$AT49)))</f>
        <v/>
      </c>
      <c r="AV49">
        <f>IF($AR49="","",IF($AR49=0,$AS49*EXP($AT49*2),$AS49*(1+$AR49*$AT49*2)^(1/$AR49)))</f>
        <v/>
      </c>
      <c r="AW49">
        <f>IF($AR49="","",IF($AR49=0,$AS49*EXP($AT49*3),$AS49*(1+$AR49*$AT49*3)^(1/$AR49)))</f>
        <v/>
      </c>
      <c r="AX49">
        <f>IF($AR49="","",IF($AR49=0,$AS49*EXP($AT49*-2),$AS49*(1+$AR49*$AT49*-2)^(1/$AR49)))</f>
        <v/>
      </c>
      <c r="AY49">
        <f>IF($AR49="","",IF($AR49=0,$AS49*EXP($AT49*-3),$AS49*(1+$AR49*$AT49*-3)^(1/$AR49)))</f>
        <v/>
      </c>
      <c r="AZ49">
        <f>IF(OR($A49="",$A49&lt;&gt;Ficha!$C$4),"",COUNTIF($A$2:$A49,Ficha!$C$4))</f>
        <v/>
      </c>
    </row>
    <row r="50">
      <c r="A50" s="8">
        <f>IF(INDEX(Banco!$A:$A,ROW())="","",INDEX(Banco!$A:$A,ROW()))</f>
        <v/>
      </c>
      <c r="B50" s="8">
        <f>IF(INDEX(Banco!$B:$B,ROW())="","",INDEX(Banco!$B:$B,ROW()))</f>
        <v/>
      </c>
      <c r="C50" s="8">
        <f>IF(INDEX(Banco!$C:$C,ROW())="","",INDEX(Banco!$C:$C,ROW()))</f>
        <v/>
      </c>
      <c r="D50" s="9">
        <f>IF(INDEX(Banco!$D:$D,ROW())="","",INDEX(Banco!$D:$D,ROW()))</f>
        <v/>
      </c>
      <c r="E50" s="9">
        <f>IF(INDEX(Banco!$E:$E,ROW())="","",INDEX(Banco!$E:$E,ROW()))</f>
        <v/>
      </c>
      <c r="F50" s="10">
        <f>IF(INDEX(Banco!$F:$F,ROW())="","",INDEX(Banco!$F:$F,ROW()))</f>
        <v/>
      </c>
      <c r="G50" s="10">
        <f>IF(INDEX(Banco!$G:$G,ROW())="","",INDEX(Banco!$G:$G,ROW()))</f>
        <v/>
      </c>
      <c r="H50" s="8">
        <f>IF(INDEX(Banco!$H:$H,ROW())="","",INDEX(Banco!$H:$H,ROW()))</f>
        <v/>
      </c>
      <c r="I50">
        <f>IF($T50="","",INT($T50/12)&amp;"a "&amp;MOD($T50,12)&amp;"m")</f>
        <v/>
      </c>
      <c r="J50" s="11">
        <f>IF(OR($F50="",$G50=""),"",ROUND($F50/($G50/100)^2,2))</f>
        <v/>
      </c>
      <c r="K50" s="12">
        <f>IF(OR($S50="",$J50="",$T50="",$T50&lt;0,$T50&gt;228,$Y50=""),"—",ROUND(IF(ABS($AB50)&lt;=3,$AB50,IF($AB50&gt;3,3+($J50-$AD50)/($AD50-$AC50),-3+($J50-$AF50)/($AE50-$AF50))),2))</f>
        <v/>
      </c>
      <c r="L50">
        <f>IF(OR($K50="",$K50="—"),"",IF($T50&lt;=60,IF($K50&lt;-3,"Magreza acentuada",IF($K50&lt;-2,"Magreza",IF($K50&lt;=1,"Eutrofia",IF($K50&lt;=2,"Risco de sobrepeso",IF($K50&lt;=3,"Sobrepeso","Obesidade"))))),IF($K50&lt;-3,"Magreza acentuada",IF($K50&lt;-2,"Magreza",IF($K50&lt;=1,"Eutrofia",IF($K50&lt;=2,"Sobrepeso",IF($K50&lt;=3,"Obesidade","Obesidade grave")))))))</f>
        <v/>
      </c>
      <c r="M50" s="12">
        <f>IF(OR($S50="",$V50="",$T50="",$T50&lt;0,$T50&gt;228,$AG50=""),"—",ROUND(IF($AG50=0,LN($V50/$AH50)/$AI50,((($V50/$AH50)^$AG50)-1)/($AG50*$AI50)),2))</f>
        <v/>
      </c>
      <c r="N50">
        <f>IF(OR($M50="",$M50="—"),"",IF($M50&lt;-3,"Muito baixa",IF($M50&lt;-2,"Baixa","Adequada")))</f>
        <v/>
      </c>
      <c r="O50" s="12">
        <f>IF(OR($S50="",$F50="",$T50="",$T50&lt;0,$T50&gt;120,$AJ50=""),"—",ROUND(IF(ABS($AM50)&lt;=3,$AM50,IF($AM50&gt;3,3+($F50-$AO50)/($AO50-$AN50),-3+($F50-$AQ50)/($AP50-$AQ50))),2))</f>
        <v/>
      </c>
      <c r="P50">
        <f>IF(OR($O50="",$O50="—"),"",IF($O50&lt;-3,"Muito baixo",IF($O50&lt;-2,"Baixo",IF($O50&lt;=2,"Adequado","Elevado"))))</f>
        <v/>
      </c>
      <c r="Q50" s="12">
        <f>IF(OR($S50="",$F50="",$T50="",$T50&lt;0,$T50&gt;60,$AR50=""),"—",ROUND(IF(ABS($AU50)&lt;=3,$AU50,IF($AU50&gt;3,3+($F50-$AW50)/($AW50-$AV50),-3+($F50-$AY50)/($AX50-$AY50))),2))</f>
        <v/>
      </c>
      <c r="R50">
        <f>IF(OR($Q50="",$Q50="—"),"",IF($Q50&lt;-3,"Magreza acentuada",IF($Q50&lt;-2,"Magreza",IF($Q50&lt;=1,"Eutrofia",IF($Q50&lt;=2,"Risco de sobrepeso",IF($Q50&lt;=3,"Sobrepeso","Obesidade"))))))</f>
        <v/>
      </c>
      <c r="S50">
        <f>IF($C50="","",IF(UPPER(LEFT($C50,1))="M",1,IF(UPPER(LEFT($C50,1))="F",2,"")))</f>
        <v/>
      </c>
      <c r="T50">
        <f>IF(OR($D50="",$E50=""),"",DATEDIF($D50,$E50,"m"))</f>
        <v/>
      </c>
      <c r="U50">
        <f>IF(OR($D50="",$E50=""),"",$E50-$D50)</f>
        <v/>
      </c>
      <c r="V50">
        <f>IF(OR($G50="",$T50=""),"",IF($T50&lt;24,IF(LEFT(LOWER($H50),4)="em p",$G50+0.7,$G50),IF(LEFT(LOWER($H50),4)="deit",$G50-0.7,$G50)))</f>
        <v/>
      </c>
      <c r="W50">
        <f>IF(OR($S50="",$T50=""),"",$S50*1000000+IF($T50&lt;=60,$U50,$T50))</f>
        <v/>
      </c>
      <c r="X50">
        <f>IF(OR($S50="",$V50="",$T50&gt;60,$T50=""),"",$S50*1000000+ROUND($V50*10,0))</f>
        <v/>
      </c>
      <c r="Y50">
        <f>IF($W50="","",IFERROR(INDEX(IF($T50&lt;=60,imc05_l,imc519_l),MATCH($W50,IF($T50&lt;=60,imc05_k,imc519_k),1)),""))</f>
        <v/>
      </c>
      <c r="Z50">
        <f>IF($W50="","",IFERROR(INDEX(IF($T50&lt;=60,imc05_m,imc519_m),MATCH($W50,IF($T50&lt;=60,imc05_k,imc519_k),1)),""))</f>
        <v/>
      </c>
      <c r="AA50">
        <f>IF($W50="","",IFERROR(INDEX(IF($T50&lt;=60,imc05_s,imc519_s),MATCH($W50,IF($T50&lt;=60,imc05_k,imc519_k),1)),""))</f>
        <v/>
      </c>
      <c r="AB50">
        <f>IF($Y50="","",IF($Y50=0,LN($J50/$Z50)/$AA50,((($J50/$Z50)^$Y50)-1)/($Y50*$AA50)))</f>
        <v/>
      </c>
      <c r="AC50">
        <f>IF($Y50="","",IF($Y50=0,$Z50*EXP($AA50*2),$Z50*(1+$Y50*$AA50*2)^(1/$Y50)))</f>
        <v/>
      </c>
      <c r="AD50">
        <f>IF($Y50="","",IF($Y50=0,$Z50*EXP($AA50*3),$Z50*(1+$Y50*$AA50*3)^(1/$Y50)))</f>
        <v/>
      </c>
      <c r="AE50">
        <f>IF($Y50="","",IF($Y50=0,$Z50*EXP($AA50*-2),$Z50*(1+$Y50*$AA50*-2)^(1/$Y50)))</f>
        <v/>
      </c>
      <c r="AF50">
        <f>IF($Y50="","",IF($Y50=0,$Z50*EXP($AA50*-3),$Z50*(1+$Y50*$AA50*-3)^(1/$Y50)))</f>
        <v/>
      </c>
      <c r="AG50">
        <f>IF($W50="","",IFERROR(INDEX(IF($T50&lt;=60,est05_l,est519_l),MATCH($W50,IF($T50&lt;=60,est05_k,est519_k),1)),""))</f>
        <v/>
      </c>
      <c r="AH50">
        <f>IF($W50="","",IFERROR(INDEX(IF($T50&lt;=60,est05_m,est519_m),MATCH($W50,IF($T50&lt;=60,est05_k,est519_k),1)),""))</f>
        <v/>
      </c>
      <c r="AI50">
        <f>IF($W50="","",IFERROR(INDEX(IF($T50&lt;=60,est05_s,est519_s),MATCH($W50,IF($T50&lt;=60,est05_k,est519_k),1)),""))</f>
        <v/>
      </c>
      <c r="AJ50">
        <f>IF($W50="","",IFERROR(INDEX(IF($T50&lt;=60,peso05_l,peso510_l),MATCH($W50,IF($T50&lt;=60,peso05_k,peso510_k),1)),""))</f>
        <v/>
      </c>
      <c r="AK50">
        <f>IF($W50="","",IFERROR(INDEX(IF($T50&lt;=60,peso05_m,peso510_m),MATCH($W50,IF($T50&lt;=60,peso05_k,peso510_k),1)),""))</f>
        <v/>
      </c>
      <c r="AL50">
        <f>IF($W50="","",IFERROR(INDEX(IF($T50&lt;=60,peso05_s,peso510_s),MATCH($W50,IF($T50&lt;=60,peso05_k,peso510_k),1)),""))</f>
        <v/>
      </c>
      <c r="AM50">
        <f>IF($AJ50="","",IF($AJ50=0,LN($F50/$AK50)/$AL50,((($F50/$AK50)^$AJ50)-1)/($AJ50*$AL50)))</f>
        <v/>
      </c>
      <c r="AN50">
        <f>IF($AJ50="","",IF($AJ50=0,$AK50*EXP($AL50*2),$AK50*(1+$AJ50*$AL50*2)^(1/$AJ50)))</f>
        <v/>
      </c>
      <c r="AO50">
        <f>IF($AJ50="","",IF($AJ50=0,$AK50*EXP($AL50*3),$AK50*(1+$AJ50*$AL50*3)^(1/$AJ50)))</f>
        <v/>
      </c>
      <c r="AP50">
        <f>IF($AJ50="","",IF($AJ50=0,$AK50*EXP($AL50*-2),$AK50*(1+$AJ50*$AL50*-2)^(1/$AJ50)))</f>
        <v/>
      </c>
      <c r="AQ50">
        <f>IF($AJ50="","",IF($AJ50=0,$AK50*EXP($AL50*-3),$AK50*(1+$AJ50*$AL50*-3)^(1/$AJ50)))</f>
        <v/>
      </c>
      <c r="AR50">
        <f>IF(OR($X50="",$T50&gt;60),"",IFERROR(INDEX(IF($T50&lt;24,pcomp_l,palt_l),MATCH($X50,IF($T50&lt;24,pcomp_k,palt_k),1)),""))</f>
        <v/>
      </c>
      <c r="AS50">
        <f>IF(OR($X50="",$T50&gt;60),"",IFERROR(INDEX(IF($T50&lt;24,pcomp_m,palt_m),MATCH($X50,IF($T50&lt;24,pcomp_k,palt_k),1)),""))</f>
        <v/>
      </c>
      <c r="AT50">
        <f>IF(OR($X50="",$T50&gt;60),"",IFERROR(INDEX(IF($T50&lt;24,pcomp_s,palt_s),MATCH($X50,IF($T50&lt;24,pcomp_k,palt_k),1)),""))</f>
        <v/>
      </c>
      <c r="AU50">
        <f>IF($AR50="","",IF($AR50=0,LN($F50/$AS50)/$AT50,((($F50/$AS50)^$AR50)-1)/($AR50*$AT50)))</f>
        <v/>
      </c>
      <c r="AV50">
        <f>IF($AR50="","",IF($AR50=0,$AS50*EXP($AT50*2),$AS50*(1+$AR50*$AT50*2)^(1/$AR50)))</f>
        <v/>
      </c>
      <c r="AW50">
        <f>IF($AR50="","",IF($AR50=0,$AS50*EXP($AT50*3),$AS50*(1+$AR50*$AT50*3)^(1/$AR50)))</f>
        <v/>
      </c>
      <c r="AX50">
        <f>IF($AR50="","",IF($AR50=0,$AS50*EXP($AT50*-2),$AS50*(1+$AR50*$AT50*-2)^(1/$AR50)))</f>
        <v/>
      </c>
      <c r="AY50">
        <f>IF($AR50="","",IF($AR50=0,$AS50*EXP($AT50*-3),$AS50*(1+$AR50*$AT50*-3)^(1/$AR50)))</f>
        <v/>
      </c>
      <c r="AZ50">
        <f>IF(OR($A50="",$A50&lt;&gt;Ficha!$C$4),"",COUNTIF($A$2:$A50,Ficha!$C$4))</f>
        <v/>
      </c>
    </row>
    <row r="51">
      <c r="A51" s="8">
        <f>IF(INDEX(Banco!$A:$A,ROW())="","",INDEX(Banco!$A:$A,ROW()))</f>
        <v/>
      </c>
      <c r="B51" s="8">
        <f>IF(INDEX(Banco!$B:$B,ROW())="","",INDEX(Banco!$B:$B,ROW()))</f>
        <v/>
      </c>
      <c r="C51" s="8">
        <f>IF(INDEX(Banco!$C:$C,ROW())="","",INDEX(Banco!$C:$C,ROW()))</f>
        <v/>
      </c>
      <c r="D51" s="9">
        <f>IF(INDEX(Banco!$D:$D,ROW())="","",INDEX(Banco!$D:$D,ROW()))</f>
        <v/>
      </c>
      <c r="E51" s="9">
        <f>IF(INDEX(Banco!$E:$E,ROW())="","",INDEX(Banco!$E:$E,ROW()))</f>
        <v/>
      </c>
      <c r="F51" s="10">
        <f>IF(INDEX(Banco!$F:$F,ROW())="","",INDEX(Banco!$F:$F,ROW()))</f>
        <v/>
      </c>
      <c r="G51" s="10">
        <f>IF(INDEX(Banco!$G:$G,ROW())="","",INDEX(Banco!$G:$G,ROW()))</f>
        <v/>
      </c>
      <c r="H51" s="8">
        <f>IF(INDEX(Banco!$H:$H,ROW())="","",INDEX(Banco!$H:$H,ROW()))</f>
        <v/>
      </c>
      <c r="I51">
        <f>IF($T51="","",INT($T51/12)&amp;"a "&amp;MOD($T51,12)&amp;"m")</f>
        <v/>
      </c>
      <c r="J51" s="11">
        <f>IF(OR($F51="",$G51=""),"",ROUND($F51/($G51/100)^2,2))</f>
        <v/>
      </c>
      <c r="K51" s="12">
        <f>IF(OR($S51="",$J51="",$T51="",$T51&lt;0,$T51&gt;228,$Y51=""),"—",ROUND(IF(ABS($AB51)&lt;=3,$AB51,IF($AB51&gt;3,3+($J51-$AD51)/($AD51-$AC51),-3+($J51-$AF51)/($AE51-$AF51))),2))</f>
        <v/>
      </c>
      <c r="L51">
        <f>IF(OR($K51="",$K51="—"),"",IF($T51&lt;=60,IF($K51&lt;-3,"Magreza acentuada",IF($K51&lt;-2,"Magreza",IF($K51&lt;=1,"Eutrofia",IF($K51&lt;=2,"Risco de sobrepeso",IF($K51&lt;=3,"Sobrepeso","Obesidade"))))),IF($K51&lt;-3,"Magreza acentuada",IF($K51&lt;-2,"Magreza",IF($K51&lt;=1,"Eutrofia",IF($K51&lt;=2,"Sobrepeso",IF($K51&lt;=3,"Obesidade","Obesidade grave")))))))</f>
        <v/>
      </c>
      <c r="M51" s="12">
        <f>IF(OR($S51="",$V51="",$T51="",$T51&lt;0,$T51&gt;228,$AG51=""),"—",ROUND(IF($AG51=0,LN($V51/$AH51)/$AI51,((($V51/$AH51)^$AG51)-1)/($AG51*$AI51)),2))</f>
        <v/>
      </c>
      <c r="N51">
        <f>IF(OR($M51="",$M51="—"),"",IF($M51&lt;-3,"Muito baixa",IF($M51&lt;-2,"Baixa","Adequada")))</f>
        <v/>
      </c>
      <c r="O51" s="12">
        <f>IF(OR($S51="",$F51="",$T51="",$T51&lt;0,$T51&gt;120,$AJ51=""),"—",ROUND(IF(ABS($AM51)&lt;=3,$AM51,IF($AM51&gt;3,3+($F51-$AO51)/($AO51-$AN51),-3+($F51-$AQ51)/($AP51-$AQ51))),2))</f>
        <v/>
      </c>
      <c r="P51">
        <f>IF(OR($O51="",$O51="—"),"",IF($O51&lt;-3,"Muito baixo",IF($O51&lt;-2,"Baixo",IF($O51&lt;=2,"Adequado","Elevado"))))</f>
        <v/>
      </c>
      <c r="Q51" s="12">
        <f>IF(OR($S51="",$F51="",$T51="",$T51&lt;0,$T51&gt;60,$AR51=""),"—",ROUND(IF(ABS($AU51)&lt;=3,$AU51,IF($AU51&gt;3,3+($F51-$AW51)/($AW51-$AV51),-3+($F51-$AY51)/($AX51-$AY51))),2))</f>
        <v/>
      </c>
      <c r="R51">
        <f>IF(OR($Q51="",$Q51="—"),"",IF($Q51&lt;-3,"Magreza acentuada",IF($Q51&lt;-2,"Magreza",IF($Q51&lt;=1,"Eutrofia",IF($Q51&lt;=2,"Risco de sobrepeso",IF($Q51&lt;=3,"Sobrepeso","Obesidade"))))))</f>
        <v/>
      </c>
      <c r="S51">
        <f>IF($C51="","",IF(UPPER(LEFT($C51,1))="M",1,IF(UPPER(LEFT($C51,1))="F",2,"")))</f>
        <v/>
      </c>
      <c r="T51">
        <f>IF(OR($D51="",$E51=""),"",DATEDIF($D51,$E51,"m"))</f>
        <v/>
      </c>
      <c r="U51">
        <f>IF(OR($D51="",$E51=""),"",$E51-$D51)</f>
        <v/>
      </c>
      <c r="V51">
        <f>IF(OR($G51="",$T51=""),"",IF($T51&lt;24,IF(LEFT(LOWER($H51),4)="em p",$G51+0.7,$G51),IF(LEFT(LOWER($H51),4)="deit",$G51-0.7,$G51)))</f>
        <v/>
      </c>
      <c r="W51">
        <f>IF(OR($S51="",$T51=""),"",$S51*1000000+IF($T51&lt;=60,$U51,$T51))</f>
        <v/>
      </c>
      <c r="X51">
        <f>IF(OR($S51="",$V51="",$T51&gt;60,$T51=""),"",$S51*1000000+ROUND($V51*10,0))</f>
        <v/>
      </c>
      <c r="Y51">
        <f>IF($W51="","",IFERROR(INDEX(IF($T51&lt;=60,imc05_l,imc519_l),MATCH($W51,IF($T51&lt;=60,imc05_k,imc519_k),1)),""))</f>
        <v/>
      </c>
      <c r="Z51">
        <f>IF($W51="","",IFERROR(INDEX(IF($T51&lt;=60,imc05_m,imc519_m),MATCH($W51,IF($T51&lt;=60,imc05_k,imc519_k),1)),""))</f>
        <v/>
      </c>
      <c r="AA51">
        <f>IF($W51="","",IFERROR(INDEX(IF($T51&lt;=60,imc05_s,imc519_s),MATCH($W51,IF($T51&lt;=60,imc05_k,imc519_k),1)),""))</f>
        <v/>
      </c>
      <c r="AB51">
        <f>IF($Y51="","",IF($Y51=0,LN($J51/$Z51)/$AA51,((($J51/$Z51)^$Y51)-1)/($Y51*$AA51)))</f>
        <v/>
      </c>
      <c r="AC51">
        <f>IF($Y51="","",IF($Y51=0,$Z51*EXP($AA51*2),$Z51*(1+$Y51*$AA51*2)^(1/$Y51)))</f>
        <v/>
      </c>
      <c r="AD51">
        <f>IF($Y51="","",IF($Y51=0,$Z51*EXP($AA51*3),$Z51*(1+$Y51*$AA51*3)^(1/$Y51)))</f>
        <v/>
      </c>
      <c r="AE51">
        <f>IF($Y51="","",IF($Y51=0,$Z51*EXP($AA51*-2),$Z51*(1+$Y51*$AA51*-2)^(1/$Y51)))</f>
        <v/>
      </c>
      <c r="AF51">
        <f>IF($Y51="","",IF($Y51=0,$Z51*EXP($AA51*-3),$Z51*(1+$Y51*$AA51*-3)^(1/$Y51)))</f>
        <v/>
      </c>
      <c r="AG51">
        <f>IF($W51="","",IFERROR(INDEX(IF($T51&lt;=60,est05_l,est519_l),MATCH($W51,IF($T51&lt;=60,est05_k,est519_k),1)),""))</f>
        <v/>
      </c>
      <c r="AH51">
        <f>IF($W51="","",IFERROR(INDEX(IF($T51&lt;=60,est05_m,est519_m),MATCH($W51,IF($T51&lt;=60,est05_k,est519_k),1)),""))</f>
        <v/>
      </c>
      <c r="AI51">
        <f>IF($W51="","",IFERROR(INDEX(IF($T51&lt;=60,est05_s,est519_s),MATCH($W51,IF($T51&lt;=60,est05_k,est519_k),1)),""))</f>
        <v/>
      </c>
      <c r="AJ51">
        <f>IF($W51="","",IFERROR(INDEX(IF($T51&lt;=60,peso05_l,peso510_l),MATCH($W51,IF($T51&lt;=60,peso05_k,peso510_k),1)),""))</f>
        <v/>
      </c>
      <c r="AK51">
        <f>IF($W51="","",IFERROR(INDEX(IF($T51&lt;=60,peso05_m,peso510_m),MATCH($W51,IF($T51&lt;=60,peso05_k,peso510_k),1)),""))</f>
        <v/>
      </c>
      <c r="AL51">
        <f>IF($W51="","",IFERROR(INDEX(IF($T51&lt;=60,peso05_s,peso510_s),MATCH($W51,IF($T51&lt;=60,peso05_k,peso510_k),1)),""))</f>
        <v/>
      </c>
      <c r="AM51">
        <f>IF($AJ51="","",IF($AJ51=0,LN($F51/$AK51)/$AL51,((($F51/$AK51)^$AJ51)-1)/($AJ51*$AL51)))</f>
        <v/>
      </c>
      <c r="AN51">
        <f>IF($AJ51="","",IF($AJ51=0,$AK51*EXP($AL51*2),$AK51*(1+$AJ51*$AL51*2)^(1/$AJ51)))</f>
        <v/>
      </c>
      <c r="AO51">
        <f>IF($AJ51="","",IF($AJ51=0,$AK51*EXP($AL51*3),$AK51*(1+$AJ51*$AL51*3)^(1/$AJ51)))</f>
        <v/>
      </c>
      <c r="AP51">
        <f>IF($AJ51="","",IF($AJ51=0,$AK51*EXP($AL51*-2),$AK51*(1+$AJ51*$AL51*-2)^(1/$AJ51)))</f>
        <v/>
      </c>
      <c r="AQ51">
        <f>IF($AJ51="","",IF($AJ51=0,$AK51*EXP($AL51*-3),$AK51*(1+$AJ51*$AL51*-3)^(1/$AJ51)))</f>
        <v/>
      </c>
      <c r="AR51">
        <f>IF(OR($X51="",$T51&gt;60),"",IFERROR(INDEX(IF($T51&lt;24,pcomp_l,palt_l),MATCH($X51,IF($T51&lt;24,pcomp_k,palt_k),1)),""))</f>
        <v/>
      </c>
      <c r="AS51">
        <f>IF(OR($X51="",$T51&gt;60),"",IFERROR(INDEX(IF($T51&lt;24,pcomp_m,palt_m),MATCH($X51,IF($T51&lt;24,pcomp_k,palt_k),1)),""))</f>
        <v/>
      </c>
      <c r="AT51">
        <f>IF(OR($X51="",$T51&gt;60),"",IFERROR(INDEX(IF($T51&lt;24,pcomp_s,palt_s),MATCH($X51,IF($T51&lt;24,pcomp_k,palt_k),1)),""))</f>
        <v/>
      </c>
      <c r="AU51">
        <f>IF($AR51="","",IF($AR51=0,LN($F51/$AS51)/$AT51,((($F51/$AS51)^$AR51)-1)/($AR51*$AT51)))</f>
        <v/>
      </c>
      <c r="AV51">
        <f>IF($AR51="","",IF($AR51=0,$AS51*EXP($AT51*2),$AS51*(1+$AR51*$AT51*2)^(1/$AR51)))</f>
        <v/>
      </c>
      <c r="AW51">
        <f>IF($AR51="","",IF($AR51=0,$AS51*EXP($AT51*3),$AS51*(1+$AR51*$AT51*3)^(1/$AR51)))</f>
        <v/>
      </c>
      <c r="AX51">
        <f>IF($AR51="","",IF($AR51=0,$AS51*EXP($AT51*-2),$AS51*(1+$AR51*$AT51*-2)^(1/$AR51)))</f>
        <v/>
      </c>
      <c r="AY51">
        <f>IF($AR51="","",IF($AR51=0,$AS51*EXP($AT51*-3),$AS51*(1+$AR51*$AT51*-3)^(1/$AR51)))</f>
        <v/>
      </c>
      <c r="AZ51">
        <f>IF(OR($A51="",$A51&lt;&gt;Ficha!$C$4),"",COUNTIF($A$2:$A51,Ficha!$C$4))</f>
        <v/>
      </c>
    </row>
    <row r="52">
      <c r="A52" s="8">
        <f>IF(INDEX(Banco!$A:$A,ROW())="","",INDEX(Banco!$A:$A,ROW()))</f>
        <v/>
      </c>
      <c r="B52" s="8">
        <f>IF(INDEX(Banco!$B:$B,ROW())="","",INDEX(Banco!$B:$B,ROW()))</f>
        <v/>
      </c>
      <c r="C52" s="8">
        <f>IF(INDEX(Banco!$C:$C,ROW())="","",INDEX(Banco!$C:$C,ROW()))</f>
        <v/>
      </c>
      <c r="D52" s="9">
        <f>IF(INDEX(Banco!$D:$D,ROW())="","",INDEX(Banco!$D:$D,ROW()))</f>
        <v/>
      </c>
      <c r="E52" s="9">
        <f>IF(INDEX(Banco!$E:$E,ROW())="","",INDEX(Banco!$E:$E,ROW()))</f>
        <v/>
      </c>
      <c r="F52" s="10">
        <f>IF(INDEX(Banco!$F:$F,ROW())="","",INDEX(Banco!$F:$F,ROW()))</f>
        <v/>
      </c>
      <c r="G52" s="10">
        <f>IF(INDEX(Banco!$G:$G,ROW())="","",INDEX(Banco!$G:$G,ROW()))</f>
        <v/>
      </c>
      <c r="H52" s="8">
        <f>IF(INDEX(Banco!$H:$H,ROW())="","",INDEX(Banco!$H:$H,ROW()))</f>
        <v/>
      </c>
      <c r="I52">
        <f>IF($T52="","",INT($T52/12)&amp;"a "&amp;MOD($T52,12)&amp;"m")</f>
        <v/>
      </c>
      <c r="J52" s="11">
        <f>IF(OR($F52="",$G52=""),"",ROUND($F52/($G52/100)^2,2))</f>
        <v/>
      </c>
      <c r="K52" s="12">
        <f>IF(OR($S52="",$J52="",$T52="",$T52&lt;0,$T52&gt;228,$Y52=""),"—",ROUND(IF(ABS($AB52)&lt;=3,$AB52,IF($AB52&gt;3,3+($J52-$AD52)/($AD52-$AC52),-3+($J52-$AF52)/($AE52-$AF52))),2))</f>
        <v/>
      </c>
      <c r="L52">
        <f>IF(OR($K52="",$K52="—"),"",IF($T52&lt;=60,IF($K52&lt;-3,"Magreza acentuada",IF($K52&lt;-2,"Magreza",IF($K52&lt;=1,"Eutrofia",IF($K52&lt;=2,"Risco de sobrepeso",IF($K52&lt;=3,"Sobrepeso","Obesidade"))))),IF($K52&lt;-3,"Magreza acentuada",IF($K52&lt;-2,"Magreza",IF($K52&lt;=1,"Eutrofia",IF($K52&lt;=2,"Sobrepeso",IF($K52&lt;=3,"Obesidade","Obesidade grave")))))))</f>
        <v/>
      </c>
      <c r="M52" s="12">
        <f>IF(OR($S52="",$V52="",$T52="",$T52&lt;0,$T52&gt;228,$AG52=""),"—",ROUND(IF($AG52=0,LN($V52/$AH52)/$AI52,((($V52/$AH52)^$AG52)-1)/($AG52*$AI52)),2))</f>
        <v/>
      </c>
      <c r="N52">
        <f>IF(OR($M52="",$M52="—"),"",IF($M52&lt;-3,"Muito baixa",IF($M52&lt;-2,"Baixa","Adequada")))</f>
        <v/>
      </c>
      <c r="O52" s="12">
        <f>IF(OR($S52="",$F52="",$T52="",$T52&lt;0,$T52&gt;120,$AJ52=""),"—",ROUND(IF(ABS($AM52)&lt;=3,$AM52,IF($AM52&gt;3,3+($F52-$AO52)/($AO52-$AN52),-3+($F52-$AQ52)/($AP52-$AQ52))),2))</f>
        <v/>
      </c>
      <c r="P52">
        <f>IF(OR($O52="",$O52="—"),"",IF($O52&lt;-3,"Muito baixo",IF($O52&lt;-2,"Baixo",IF($O52&lt;=2,"Adequado","Elevado"))))</f>
        <v/>
      </c>
      <c r="Q52" s="12">
        <f>IF(OR($S52="",$F52="",$T52="",$T52&lt;0,$T52&gt;60,$AR52=""),"—",ROUND(IF(ABS($AU52)&lt;=3,$AU52,IF($AU52&gt;3,3+($F52-$AW52)/($AW52-$AV52),-3+($F52-$AY52)/($AX52-$AY52))),2))</f>
        <v/>
      </c>
      <c r="R52">
        <f>IF(OR($Q52="",$Q52="—"),"",IF($Q52&lt;-3,"Magreza acentuada",IF($Q52&lt;-2,"Magreza",IF($Q52&lt;=1,"Eutrofia",IF($Q52&lt;=2,"Risco de sobrepeso",IF($Q52&lt;=3,"Sobrepeso","Obesidade"))))))</f>
        <v/>
      </c>
      <c r="S52">
        <f>IF($C52="","",IF(UPPER(LEFT($C52,1))="M",1,IF(UPPER(LEFT($C52,1))="F",2,"")))</f>
        <v/>
      </c>
      <c r="T52">
        <f>IF(OR($D52="",$E52=""),"",DATEDIF($D52,$E52,"m"))</f>
        <v/>
      </c>
      <c r="U52">
        <f>IF(OR($D52="",$E52=""),"",$E52-$D52)</f>
        <v/>
      </c>
      <c r="V52">
        <f>IF(OR($G52="",$T52=""),"",IF($T52&lt;24,IF(LEFT(LOWER($H52),4)="em p",$G52+0.7,$G52),IF(LEFT(LOWER($H52),4)="deit",$G52-0.7,$G52)))</f>
        <v/>
      </c>
      <c r="W52">
        <f>IF(OR($S52="",$T52=""),"",$S52*1000000+IF($T52&lt;=60,$U52,$T52))</f>
        <v/>
      </c>
      <c r="X52">
        <f>IF(OR($S52="",$V52="",$T52&gt;60,$T52=""),"",$S52*1000000+ROUND($V52*10,0))</f>
        <v/>
      </c>
      <c r="Y52">
        <f>IF($W52="","",IFERROR(INDEX(IF($T52&lt;=60,imc05_l,imc519_l),MATCH($W52,IF($T52&lt;=60,imc05_k,imc519_k),1)),""))</f>
        <v/>
      </c>
      <c r="Z52">
        <f>IF($W52="","",IFERROR(INDEX(IF($T52&lt;=60,imc05_m,imc519_m),MATCH($W52,IF($T52&lt;=60,imc05_k,imc519_k),1)),""))</f>
        <v/>
      </c>
      <c r="AA52">
        <f>IF($W52="","",IFERROR(INDEX(IF($T52&lt;=60,imc05_s,imc519_s),MATCH($W52,IF($T52&lt;=60,imc05_k,imc519_k),1)),""))</f>
        <v/>
      </c>
      <c r="AB52">
        <f>IF($Y52="","",IF($Y52=0,LN($J52/$Z52)/$AA52,((($J52/$Z52)^$Y52)-1)/($Y52*$AA52)))</f>
        <v/>
      </c>
      <c r="AC52">
        <f>IF($Y52="","",IF($Y52=0,$Z52*EXP($AA52*2),$Z52*(1+$Y52*$AA52*2)^(1/$Y52)))</f>
        <v/>
      </c>
      <c r="AD52">
        <f>IF($Y52="","",IF($Y52=0,$Z52*EXP($AA52*3),$Z52*(1+$Y52*$AA52*3)^(1/$Y52)))</f>
        <v/>
      </c>
      <c r="AE52">
        <f>IF($Y52="","",IF($Y52=0,$Z52*EXP($AA52*-2),$Z52*(1+$Y52*$AA52*-2)^(1/$Y52)))</f>
        <v/>
      </c>
      <c r="AF52">
        <f>IF($Y52="","",IF($Y52=0,$Z52*EXP($AA52*-3),$Z52*(1+$Y52*$AA52*-3)^(1/$Y52)))</f>
        <v/>
      </c>
      <c r="AG52">
        <f>IF($W52="","",IFERROR(INDEX(IF($T52&lt;=60,est05_l,est519_l),MATCH($W52,IF($T52&lt;=60,est05_k,est519_k),1)),""))</f>
        <v/>
      </c>
      <c r="AH52">
        <f>IF($W52="","",IFERROR(INDEX(IF($T52&lt;=60,est05_m,est519_m),MATCH($W52,IF($T52&lt;=60,est05_k,est519_k),1)),""))</f>
        <v/>
      </c>
      <c r="AI52">
        <f>IF($W52="","",IFERROR(INDEX(IF($T52&lt;=60,est05_s,est519_s),MATCH($W52,IF($T52&lt;=60,est05_k,est519_k),1)),""))</f>
        <v/>
      </c>
      <c r="AJ52">
        <f>IF($W52="","",IFERROR(INDEX(IF($T52&lt;=60,peso05_l,peso510_l),MATCH($W52,IF($T52&lt;=60,peso05_k,peso510_k),1)),""))</f>
        <v/>
      </c>
      <c r="AK52">
        <f>IF($W52="","",IFERROR(INDEX(IF($T52&lt;=60,peso05_m,peso510_m),MATCH($W52,IF($T52&lt;=60,peso05_k,peso510_k),1)),""))</f>
        <v/>
      </c>
      <c r="AL52">
        <f>IF($W52="","",IFERROR(INDEX(IF($T52&lt;=60,peso05_s,peso510_s),MATCH($W52,IF($T52&lt;=60,peso05_k,peso510_k),1)),""))</f>
        <v/>
      </c>
      <c r="AM52">
        <f>IF($AJ52="","",IF($AJ52=0,LN($F52/$AK52)/$AL52,((($F52/$AK52)^$AJ52)-1)/($AJ52*$AL52)))</f>
        <v/>
      </c>
      <c r="AN52">
        <f>IF($AJ52="","",IF($AJ52=0,$AK52*EXP($AL52*2),$AK52*(1+$AJ52*$AL52*2)^(1/$AJ52)))</f>
        <v/>
      </c>
      <c r="AO52">
        <f>IF($AJ52="","",IF($AJ52=0,$AK52*EXP($AL52*3),$AK52*(1+$AJ52*$AL52*3)^(1/$AJ52)))</f>
        <v/>
      </c>
      <c r="AP52">
        <f>IF($AJ52="","",IF($AJ52=0,$AK52*EXP($AL52*-2),$AK52*(1+$AJ52*$AL52*-2)^(1/$AJ52)))</f>
        <v/>
      </c>
      <c r="AQ52">
        <f>IF($AJ52="","",IF($AJ52=0,$AK52*EXP($AL52*-3),$AK52*(1+$AJ52*$AL52*-3)^(1/$AJ52)))</f>
        <v/>
      </c>
      <c r="AR52">
        <f>IF(OR($X52="",$T52&gt;60),"",IFERROR(INDEX(IF($T52&lt;24,pcomp_l,palt_l),MATCH($X52,IF($T52&lt;24,pcomp_k,palt_k),1)),""))</f>
        <v/>
      </c>
      <c r="AS52">
        <f>IF(OR($X52="",$T52&gt;60),"",IFERROR(INDEX(IF($T52&lt;24,pcomp_m,palt_m),MATCH($X52,IF($T52&lt;24,pcomp_k,palt_k),1)),""))</f>
        <v/>
      </c>
      <c r="AT52">
        <f>IF(OR($X52="",$T52&gt;60),"",IFERROR(INDEX(IF($T52&lt;24,pcomp_s,palt_s),MATCH($X52,IF($T52&lt;24,pcomp_k,palt_k),1)),""))</f>
        <v/>
      </c>
      <c r="AU52">
        <f>IF($AR52="","",IF($AR52=0,LN($F52/$AS52)/$AT52,((($F52/$AS52)^$AR52)-1)/($AR52*$AT52)))</f>
        <v/>
      </c>
      <c r="AV52">
        <f>IF($AR52="","",IF($AR52=0,$AS52*EXP($AT52*2),$AS52*(1+$AR52*$AT52*2)^(1/$AR52)))</f>
        <v/>
      </c>
      <c r="AW52">
        <f>IF($AR52="","",IF($AR52=0,$AS52*EXP($AT52*3),$AS52*(1+$AR52*$AT52*3)^(1/$AR52)))</f>
        <v/>
      </c>
      <c r="AX52">
        <f>IF($AR52="","",IF($AR52=0,$AS52*EXP($AT52*-2),$AS52*(1+$AR52*$AT52*-2)^(1/$AR52)))</f>
        <v/>
      </c>
      <c r="AY52">
        <f>IF($AR52="","",IF($AR52=0,$AS52*EXP($AT52*-3),$AS52*(1+$AR52*$AT52*-3)^(1/$AR52)))</f>
        <v/>
      </c>
      <c r="AZ52">
        <f>IF(OR($A52="",$A52&lt;&gt;Ficha!$C$4),"",COUNTIF($A$2:$A52,Ficha!$C$4))</f>
        <v/>
      </c>
    </row>
    <row r="53">
      <c r="A53" s="8">
        <f>IF(INDEX(Banco!$A:$A,ROW())="","",INDEX(Banco!$A:$A,ROW()))</f>
        <v/>
      </c>
      <c r="B53" s="8">
        <f>IF(INDEX(Banco!$B:$B,ROW())="","",INDEX(Banco!$B:$B,ROW()))</f>
        <v/>
      </c>
      <c r="C53" s="8">
        <f>IF(INDEX(Banco!$C:$C,ROW())="","",INDEX(Banco!$C:$C,ROW()))</f>
        <v/>
      </c>
      <c r="D53" s="9">
        <f>IF(INDEX(Banco!$D:$D,ROW())="","",INDEX(Banco!$D:$D,ROW()))</f>
        <v/>
      </c>
      <c r="E53" s="9">
        <f>IF(INDEX(Banco!$E:$E,ROW())="","",INDEX(Banco!$E:$E,ROW()))</f>
        <v/>
      </c>
      <c r="F53" s="10">
        <f>IF(INDEX(Banco!$F:$F,ROW())="","",INDEX(Banco!$F:$F,ROW()))</f>
        <v/>
      </c>
      <c r="G53" s="10">
        <f>IF(INDEX(Banco!$G:$G,ROW())="","",INDEX(Banco!$G:$G,ROW()))</f>
        <v/>
      </c>
      <c r="H53" s="8">
        <f>IF(INDEX(Banco!$H:$H,ROW())="","",INDEX(Banco!$H:$H,ROW()))</f>
        <v/>
      </c>
      <c r="I53">
        <f>IF($T53="","",INT($T53/12)&amp;"a "&amp;MOD($T53,12)&amp;"m")</f>
        <v/>
      </c>
      <c r="J53" s="11">
        <f>IF(OR($F53="",$G53=""),"",ROUND($F53/($G53/100)^2,2))</f>
        <v/>
      </c>
      <c r="K53" s="12">
        <f>IF(OR($S53="",$J53="",$T53="",$T53&lt;0,$T53&gt;228,$Y53=""),"—",ROUND(IF(ABS($AB53)&lt;=3,$AB53,IF($AB53&gt;3,3+($J53-$AD53)/($AD53-$AC53),-3+($J53-$AF53)/($AE53-$AF53))),2))</f>
        <v/>
      </c>
      <c r="L53">
        <f>IF(OR($K53="",$K53="—"),"",IF($T53&lt;=60,IF($K53&lt;-3,"Magreza acentuada",IF($K53&lt;-2,"Magreza",IF($K53&lt;=1,"Eutrofia",IF($K53&lt;=2,"Risco de sobrepeso",IF($K53&lt;=3,"Sobrepeso","Obesidade"))))),IF($K53&lt;-3,"Magreza acentuada",IF($K53&lt;-2,"Magreza",IF($K53&lt;=1,"Eutrofia",IF($K53&lt;=2,"Sobrepeso",IF($K53&lt;=3,"Obesidade","Obesidade grave")))))))</f>
        <v/>
      </c>
      <c r="M53" s="12">
        <f>IF(OR($S53="",$V53="",$T53="",$T53&lt;0,$T53&gt;228,$AG53=""),"—",ROUND(IF($AG53=0,LN($V53/$AH53)/$AI53,((($V53/$AH53)^$AG53)-1)/($AG53*$AI53)),2))</f>
        <v/>
      </c>
      <c r="N53">
        <f>IF(OR($M53="",$M53="—"),"",IF($M53&lt;-3,"Muito baixa",IF($M53&lt;-2,"Baixa","Adequada")))</f>
        <v/>
      </c>
      <c r="O53" s="12">
        <f>IF(OR($S53="",$F53="",$T53="",$T53&lt;0,$T53&gt;120,$AJ53=""),"—",ROUND(IF(ABS($AM53)&lt;=3,$AM53,IF($AM53&gt;3,3+($F53-$AO53)/($AO53-$AN53),-3+($F53-$AQ53)/($AP53-$AQ53))),2))</f>
        <v/>
      </c>
      <c r="P53">
        <f>IF(OR($O53="",$O53="—"),"",IF($O53&lt;-3,"Muito baixo",IF($O53&lt;-2,"Baixo",IF($O53&lt;=2,"Adequado","Elevado"))))</f>
        <v/>
      </c>
      <c r="Q53" s="12">
        <f>IF(OR($S53="",$F53="",$T53="",$T53&lt;0,$T53&gt;60,$AR53=""),"—",ROUND(IF(ABS($AU53)&lt;=3,$AU53,IF($AU53&gt;3,3+($F53-$AW53)/($AW53-$AV53),-3+($F53-$AY53)/($AX53-$AY53))),2))</f>
        <v/>
      </c>
      <c r="R53">
        <f>IF(OR($Q53="",$Q53="—"),"",IF($Q53&lt;-3,"Magreza acentuada",IF($Q53&lt;-2,"Magreza",IF($Q53&lt;=1,"Eutrofia",IF($Q53&lt;=2,"Risco de sobrepeso",IF($Q53&lt;=3,"Sobrepeso","Obesidade"))))))</f>
        <v/>
      </c>
      <c r="S53">
        <f>IF($C53="","",IF(UPPER(LEFT($C53,1))="M",1,IF(UPPER(LEFT($C53,1))="F",2,"")))</f>
        <v/>
      </c>
      <c r="T53">
        <f>IF(OR($D53="",$E53=""),"",DATEDIF($D53,$E53,"m"))</f>
        <v/>
      </c>
      <c r="U53">
        <f>IF(OR($D53="",$E53=""),"",$E53-$D53)</f>
        <v/>
      </c>
      <c r="V53">
        <f>IF(OR($G53="",$T53=""),"",IF($T53&lt;24,IF(LEFT(LOWER($H53),4)="em p",$G53+0.7,$G53),IF(LEFT(LOWER($H53),4)="deit",$G53-0.7,$G53)))</f>
        <v/>
      </c>
      <c r="W53">
        <f>IF(OR($S53="",$T53=""),"",$S53*1000000+IF($T53&lt;=60,$U53,$T53))</f>
        <v/>
      </c>
      <c r="X53">
        <f>IF(OR($S53="",$V53="",$T53&gt;60,$T53=""),"",$S53*1000000+ROUND($V53*10,0))</f>
        <v/>
      </c>
      <c r="Y53">
        <f>IF($W53="","",IFERROR(INDEX(IF($T53&lt;=60,imc05_l,imc519_l),MATCH($W53,IF($T53&lt;=60,imc05_k,imc519_k),1)),""))</f>
        <v/>
      </c>
      <c r="Z53">
        <f>IF($W53="","",IFERROR(INDEX(IF($T53&lt;=60,imc05_m,imc519_m),MATCH($W53,IF($T53&lt;=60,imc05_k,imc519_k),1)),""))</f>
        <v/>
      </c>
      <c r="AA53">
        <f>IF($W53="","",IFERROR(INDEX(IF($T53&lt;=60,imc05_s,imc519_s),MATCH($W53,IF($T53&lt;=60,imc05_k,imc519_k),1)),""))</f>
        <v/>
      </c>
      <c r="AB53">
        <f>IF($Y53="","",IF($Y53=0,LN($J53/$Z53)/$AA53,((($J53/$Z53)^$Y53)-1)/($Y53*$AA53)))</f>
        <v/>
      </c>
      <c r="AC53">
        <f>IF($Y53="","",IF($Y53=0,$Z53*EXP($AA53*2),$Z53*(1+$Y53*$AA53*2)^(1/$Y53)))</f>
        <v/>
      </c>
      <c r="AD53">
        <f>IF($Y53="","",IF($Y53=0,$Z53*EXP($AA53*3),$Z53*(1+$Y53*$AA53*3)^(1/$Y53)))</f>
        <v/>
      </c>
      <c r="AE53">
        <f>IF($Y53="","",IF($Y53=0,$Z53*EXP($AA53*-2),$Z53*(1+$Y53*$AA53*-2)^(1/$Y53)))</f>
        <v/>
      </c>
      <c r="AF53">
        <f>IF($Y53="","",IF($Y53=0,$Z53*EXP($AA53*-3),$Z53*(1+$Y53*$AA53*-3)^(1/$Y53)))</f>
        <v/>
      </c>
      <c r="AG53">
        <f>IF($W53="","",IFERROR(INDEX(IF($T53&lt;=60,est05_l,est519_l),MATCH($W53,IF($T53&lt;=60,est05_k,est519_k),1)),""))</f>
        <v/>
      </c>
      <c r="AH53">
        <f>IF($W53="","",IFERROR(INDEX(IF($T53&lt;=60,est05_m,est519_m),MATCH($W53,IF($T53&lt;=60,est05_k,est519_k),1)),""))</f>
        <v/>
      </c>
      <c r="AI53">
        <f>IF($W53="","",IFERROR(INDEX(IF($T53&lt;=60,est05_s,est519_s),MATCH($W53,IF($T53&lt;=60,est05_k,est519_k),1)),""))</f>
        <v/>
      </c>
      <c r="AJ53">
        <f>IF($W53="","",IFERROR(INDEX(IF($T53&lt;=60,peso05_l,peso510_l),MATCH($W53,IF($T53&lt;=60,peso05_k,peso510_k),1)),""))</f>
        <v/>
      </c>
      <c r="AK53">
        <f>IF($W53="","",IFERROR(INDEX(IF($T53&lt;=60,peso05_m,peso510_m),MATCH($W53,IF($T53&lt;=60,peso05_k,peso510_k),1)),""))</f>
        <v/>
      </c>
      <c r="AL53">
        <f>IF($W53="","",IFERROR(INDEX(IF($T53&lt;=60,peso05_s,peso510_s),MATCH($W53,IF($T53&lt;=60,peso05_k,peso510_k),1)),""))</f>
        <v/>
      </c>
      <c r="AM53">
        <f>IF($AJ53="","",IF($AJ53=0,LN($F53/$AK53)/$AL53,((($F53/$AK53)^$AJ53)-1)/($AJ53*$AL53)))</f>
        <v/>
      </c>
      <c r="AN53">
        <f>IF($AJ53="","",IF($AJ53=0,$AK53*EXP($AL53*2),$AK53*(1+$AJ53*$AL53*2)^(1/$AJ53)))</f>
        <v/>
      </c>
      <c r="AO53">
        <f>IF($AJ53="","",IF($AJ53=0,$AK53*EXP($AL53*3),$AK53*(1+$AJ53*$AL53*3)^(1/$AJ53)))</f>
        <v/>
      </c>
      <c r="AP53">
        <f>IF($AJ53="","",IF($AJ53=0,$AK53*EXP($AL53*-2),$AK53*(1+$AJ53*$AL53*-2)^(1/$AJ53)))</f>
        <v/>
      </c>
      <c r="AQ53">
        <f>IF($AJ53="","",IF($AJ53=0,$AK53*EXP($AL53*-3),$AK53*(1+$AJ53*$AL53*-3)^(1/$AJ53)))</f>
        <v/>
      </c>
      <c r="AR53">
        <f>IF(OR($X53="",$T53&gt;60),"",IFERROR(INDEX(IF($T53&lt;24,pcomp_l,palt_l),MATCH($X53,IF($T53&lt;24,pcomp_k,palt_k),1)),""))</f>
        <v/>
      </c>
      <c r="AS53">
        <f>IF(OR($X53="",$T53&gt;60),"",IFERROR(INDEX(IF($T53&lt;24,pcomp_m,palt_m),MATCH($X53,IF($T53&lt;24,pcomp_k,palt_k),1)),""))</f>
        <v/>
      </c>
      <c r="AT53">
        <f>IF(OR($X53="",$T53&gt;60),"",IFERROR(INDEX(IF($T53&lt;24,pcomp_s,palt_s),MATCH($X53,IF($T53&lt;24,pcomp_k,palt_k),1)),""))</f>
        <v/>
      </c>
      <c r="AU53">
        <f>IF($AR53="","",IF($AR53=0,LN($F53/$AS53)/$AT53,((($F53/$AS53)^$AR53)-1)/($AR53*$AT53)))</f>
        <v/>
      </c>
      <c r="AV53">
        <f>IF($AR53="","",IF($AR53=0,$AS53*EXP($AT53*2),$AS53*(1+$AR53*$AT53*2)^(1/$AR53)))</f>
        <v/>
      </c>
      <c r="AW53">
        <f>IF($AR53="","",IF($AR53=0,$AS53*EXP($AT53*3),$AS53*(1+$AR53*$AT53*3)^(1/$AR53)))</f>
        <v/>
      </c>
      <c r="AX53">
        <f>IF($AR53="","",IF($AR53=0,$AS53*EXP($AT53*-2),$AS53*(1+$AR53*$AT53*-2)^(1/$AR53)))</f>
        <v/>
      </c>
      <c r="AY53">
        <f>IF($AR53="","",IF($AR53=0,$AS53*EXP($AT53*-3),$AS53*(1+$AR53*$AT53*-3)^(1/$AR53)))</f>
        <v/>
      </c>
      <c r="AZ53">
        <f>IF(OR($A53="",$A53&lt;&gt;Ficha!$C$4),"",COUNTIF($A$2:$A53,Ficha!$C$4))</f>
        <v/>
      </c>
    </row>
    <row r="54">
      <c r="A54" s="8">
        <f>IF(INDEX(Banco!$A:$A,ROW())="","",INDEX(Banco!$A:$A,ROW()))</f>
        <v/>
      </c>
      <c r="B54" s="8">
        <f>IF(INDEX(Banco!$B:$B,ROW())="","",INDEX(Banco!$B:$B,ROW()))</f>
        <v/>
      </c>
      <c r="C54" s="8">
        <f>IF(INDEX(Banco!$C:$C,ROW())="","",INDEX(Banco!$C:$C,ROW()))</f>
        <v/>
      </c>
      <c r="D54" s="9">
        <f>IF(INDEX(Banco!$D:$D,ROW())="","",INDEX(Banco!$D:$D,ROW()))</f>
        <v/>
      </c>
      <c r="E54" s="9">
        <f>IF(INDEX(Banco!$E:$E,ROW())="","",INDEX(Banco!$E:$E,ROW()))</f>
        <v/>
      </c>
      <c r="F54" s="10">
        <f>IF(INDEX(Banco!$F:$F,ROW())="","",INDEX(Banco!$F:$F,ROW()))</f>
        <v/>
      </c>
      <c r="G54" s="10">
        <f>IF(INDEX(Banco!$G:$G,ROW())="","",INDEX(Banco!$G:$G,ROW()))</f>
        <v/>
      </c>
      <c r="H54" s="8">
        <f>IF(INDEX(Banco!$H:$H,ROW())="","",INDEX(Banco!$H:$H,ROW()))</f>
        <v/>
      </c>
      <c r="I54">
        <f>IF($T54="","",INT($T54/12)&amp;"a "&amp;MOD($T54,12)&amp;"m")</f>
        <v/>
      </c>
      <c r="J54" s="11">
        <f>IF(OR($F54="",$G54=""),"",ROUND($F54/($G54/100)^2,2))</f>
        <v/>
      </c>
      <c r="K54" s="12">
        <f>IF(OR($S54="",$J54="",$T54="",$T54&lt;0,$T54&gt;228,$Y54=""),"—",ROUND(IF(ABS($AB54)&lt;=3,$AB54,IF($AB54&gt;3,3+($J54-$AD54)/($AD54-$AC54),-3+($J54-$AF54)/($AE54-$AF54))),2))</f>
        <v/>
      </c>
      <c r="L54">
        <f>IF(OR($K54="",$K54="—"),"",IF($T54&lt;=60,IF($K54&lt;-3,"Magreza acentuada",IF($K54&lt;-2,"Magreza",IF($K54&lt;=1,"Eutrofia",IF($K54&lt;=2,"Risco de sobrepeso",IF($K54&lt;=3,"Sobrepeso","Obesidade"))))),IF($K54&lt;-3,"Magreza acentuada",IF($K54&lt;-2,"Magreza",IF($K54&lt;=1,"Eutrofia",IF($K54&lt;=2,"Sobrepeso",IF($K54&lt;=3,"Obesidade","Obesidade grave")))))))</f>
        <v/>
      </c>
      <c r="M54" s="12">
        <f>IF(OR($S54="",$V54="",$T54="",$T54&lt;0,$T54&gt;228,$AG54=""),"—",ROUND(IF($AG54=0,LN($V54/$AH54)/$AI54,((($V54/$AH54)^$AG54)-1)/($AG54*$AI54)),2))</f>
        <v/>
      </c>
      <c r="N54">
        <f>IF(OR($M54="",$M54="—"),"",IF($M54&lt;-3,"Muito baixa",IF($M54&lt;-2,"Baixa","Adequada")))</f>
        <v/>
      </c>
      <c r="O54" s="12">
        <f>IF(OR($S54="",$F54="",$T54="",$T54&lt;0,$T54&gt;120,$AJ54=""),"—",ROUND(IF(ABS($AM54)&lt;=3,$AM54,IF($AM54&gt;3,3+($F54-$AO54)/($AO54-$AN54),-3+($F54-$AQ54)/($AP54-$AQ54))),2))</f>
        <v/>
      </c>
      <c r="P54">
        <f>IF(OR($O54="",$O54="—"),"",IF($O54&lt;-3,"Muito baixo",IF($O54&lt;-2,"Baixo",IF($O54&lt;=2,"Adequado","Elevado"))))</f>
        <v/>
      </c>
      <c r="Q54" s="12">
        <f>IF(OR($S54="",$F54="",$T54="",$T54&lt;0,$T54&gt;60,$AR54=""),"—",ROUND(IF(ABS($AU54)&lt;=3,$AU54,IF($AU54&gt;3,3+($F54-$AW54)/($AW54-$AV54),-3+($F54-$AY54)/($AX54-$AY54))),2))</f>
        <v/>
      </c>
      <c r="R54">
        <f>IF(OR($Q54="",$Q54="—"),"",IF($Q54&lt;-3,"Magreza acentuada",IF($Q54&lt;-2,"Magreza",IF($Q54&lt;=1,"Eutrofia",IF($Q54&lt;=2,"Risco de sobrepeso",IF($Q54&lt;=3,"Sobrepeso","Obesidade"))))))</f>
        <v/>
      </c>
      <c r="S54">
        <f>IF($C54="","",IF(UPPER(LEFT($C54,1))="M",1,IF(UPPER(LEFT($C54,1))="F",2,"")))</f>
        <v/>
      </c>
      <c r="T54">
        <f>IF(OR($D54="",$E54=""),"",DATEDIF($D54,$E54,"m"))</f>
        <v/>
      </c>
      <c r="U54">
        <f>IF(OR($D54="",$E54=""),"",$E54-$D54)</f>
        <v/>
      </c>
      <c r="V54">
        <f>IF(OR($G54="",$T54=""),"",IF($T54&lt;24,IF(LEFT(LOWER($H54),4)="em p",$G54+0.7,$G54),IF(LEFT(LOWER($H54),4)="deit",$G54-0.7,$G54)))</f>
        <v/>
      </c>
      <c r="W54">
        <f>IF(OR($S54="",$T54=""),"",$S54*1000000+IF($T54&lt;=60,$U54,$T54))</f>
        <v/>
      </c>
      <c r="X54">
        <f>IF(OR($S54="",$V54="",$T54&gt;60,$T54=""),"",$S54*1000000+ROUND($V54*10,0))</f>
        <v/>
      </c>
      <c r="Y54">
        <f>IF($W54="","",IFERROR(INDEX(IF($T54&lt;=60,imc05_l,imc519_l),MATCH($W54,IF($T54&lt;=60,imc05_k,imc519_k),1)),""))</f>
        <v/>
      </c>
      <c r="Z54">
        <f>IF($W54="","",IFERROR(INDEX(IF($T54&lt;=60,imc05_m,imc519_m),MATCH($W54,IF($T54&lt;=60,imc05_k,imc519_k),1)),""))</f>
        <v/>
      </c>
      <c r="AA54">
        <f>IF($W54="","",IFERROR(INDEX(IF($T54&lt;=60,imc05_s,imc519_s),MATCH($W54,IF($T54&lt;=60,imc05_k,imc519_k),1)),""))</f>
        <v/>
      </c>
      <c r="AB54">
        <f>IF($Y54="","",IF($Y54=0,LN($J54/$Z54)/$AA54,((($J54/$Z54)^$Y54)-1)/($Y54*$AA54)))</f>
        <v/>
      </c>
      <c r="AC54">
        <f>IF($Y54="","",IF($Y54=0,$Z54*EXP($AA54*2),$Z54*(1+$Y54*$AA54*2)^(1/$Y54)))</f>
        <v/>
      </c>
      <c r="AD54">
        <f>IF($Y54="","",IF($Y54=0,$Z54*EXP($AA54*3),$Z54*(1+$Y54*$AA54*3)^(1/$Y54)))</f>
        <v/>
      </c>
      <c r="AE54">
        <f>IF($Y54="","",IF($Y54=0,$Z54*EXP($AA54*-2),$Z54*(1+$Y54*$AA54*-2)^(1/$Y54)))</f>
        <v/>
      </c>
      <c r="AF54">
        <f>IF($Y54="","",IF($Y54=0,$Z54*EXP($AA54*-3),$Z54*(1+$Y54*$AA54*-3)^(1/$Y54)))</f>
        <v/>
      </c>
      <c r="AG54">
        <f>IF($W54="","",IFERROR(INDEX(IF($T54&lt;=60,est05_l,est519_l),MATCH($W54,IF($T54&lt;=60,est05_k,est519_k),1)),""))</f>
        <v/>
      </c>
      <c r="AH54">
        <f>IF($W54="","",IFERROR(INDEX(IF($T54&lt;=60,est05_m,est519_m),MATCH($W54,IF($T54&lt;=60,est05_k,est519_k),1)),""))</f>
        <v/>
      </c>
      <c r="AI54">
        <f>IF($W54="","",IFERROR(INDEX(IF($T54&lt;=60,est05_s,est519_s),MATCH($W54,IF($T54&lt;=60,est05_k,est519_k),1)),""))</f>
        <v/>
      </c>
      <c r="AJ54">
        <f>IF($W54="","",IFERROR(INDEX(IF($T54&lt;=60,peso05_l,peso510_l),MATCH($W54,IF($T54&lt;=60,peso05_k,peso510_k),1)),""))</f>
        <v/>
      </c>
      <c r="AK54">
        <f>IF($W54="","",IFERROR(INDEX(IF($T54&lt;=60,peso05_m,peso510_m),MATCH($W54,IF($T54&lt;=60,peso05_k,peso510_k),1)),""))</f>
        <v/>
      </c>
      <c r="AL54">
        <f>IF($W54="","",IFERROR(INDEX(IF($T54&lt;=60,peso05_s,peso510_s),MATCH($W54,IF($T54&lt;=60,peso05_k,peso510_k),1)),""))</f>
        <v/>
      </c>
      <c r="AM54">
        <f>IF($AJ54="","",IF($AJ54=0,LN($F54/$AK54)/$AL54,((($F54/$AK54)^$AJ54)-1)/($AJ54*$AL54)))</f>
        <v/>
      </c>
      <c r="AN54">
        <f>IF($AJ54="","",IF($AJ54=0,$AK54*EXP($AL54*2),$AK54*(1+$AJ54*$AL54*2)^(1/$AJ54)))</f>
        <v/>
      </c>
      <c r="AO54">
        <f>IF($AJ54="","",IF($AJ54=0,$AK54*EXP($AL54*3),$AK54*(1+$AJ54*$AL54*3)^(1/$AJ54)))</f>
        <v/>
      </c>
      <c r="AP54">
        <f>IF($AJ54="","",IF($AJ54=0,$AK54*EXP($AL54*-2),$AK54*(1+$AJ54*$AL54*-2)^(1/$AJ54)))</f>
        <v/>
      </c>
      <c r="AQ54">
        <f>IF($AJ54="","",IF($AJ54=0,$AK54*EXP($AL54*-3),$AK54*(1+$AJ54*$AL54*-3)^(1/$AJ54)))</f>
        <v/>
      </c>
      <c r="AR54">
        <f>IF(OR($X54="",$T54&gt;60),"",IFERROR(INDEX(IF($T54&lt;24,pcomp_l,palt_l),MATCH($X54,IF($T54&lt;24,pcomp_k,palt_k),1)),""))</f>
        <v/>
      </c>
      <c r="AS54">
        <f>IF(OR($X54="",$T54&gt;60),"",IFERROR(INDEX(IF($T54&lt;24,pcomp_m,palt_m),MATCH($X54,IF($T54&lt;24,pcomp_k,palt_k),1)),""))</f>
        <v/>
      </c>
      <c r="AT54">
        <f>IF(OR($X54="",$T54&gt;60),"",IFERROR(INDEX(IF($T54&lt;24,pcomp_s,palt_s),MATCH($X54,IF($T54&lt;24,pcomp_k,palt_k),1)),""))</f>
        <v/>
      </c>
      <c r="AU54">
        <f>IF($AR54="","",IF($AR54=0,LN($F54/$AS54)/$AT54,((($F54/$AS54)^$AR54)-1)/($AR54*$AT54)))</f>
        <v/>
      </c>
      <c r="AV54">
        <f>IF($AR54="","",IF($AR54=0,$AS54*EXP($AT54*2),$AS54*(1+$AR54*$AT54*2)^(1/$AR54)))</f>
        <v/>
      </c>
      <c r="AW54">
        <f>IF($AR54="","",IF($AR54=0,$AS54*EXP($AT54*3),$AS54*(1+$AR54*$AT54*3)^(1/$AR54)))</f>
        <v/>
      </c>
      <c r="AX54">
        <f>IF($AR54="","",IF($AR54=0,$AS54*EXP($AT54*-2),$AS54*(1+$AR54*$AT54*-2)^(1/$AR54)))</f>
        <v/>
      </c>
      <c r="AY54">
        <f>IF($AR54="","",IF($AR54=0,$AS54*EXP($AT54*-3),$AS54*(1+$AR54*$AT54*-3)^(1/$AR54)))</f>
        <v/>
      </c>
      <c r="AZ54">
        <f>IF(OR($A54="",$A54&lt;&gt;Ficha!$C$4),"",COUNTIF($A$2:$A54,Ficha!$C$4))</f>
        <v/>
      </c>
    </row>
    <row r="55">
      <c r="A55" s="8">
        <f>IF(INDEX(Banco!$A:$A,ROW())="","",INDEX(Banco!$A:$A,ROW()))</f>
        <v/>
      </c>
      <c r="B55" s="8">
        <f>IF(INDEX(Banco!$B:$B,ROW())="","",INDEX(Banco!$B:$B,ROW()))</f>
        <v/>
      </c>
      <c r="C55" s="8">
        <f>IF(INDEX(Banco!$C:$C,ROW())="","",INDEX(Banco!$C:$C,ROW()))</f>
        <v/>
      </c>
      <c r="D55" s="9">
        <f>IF(INDEX(Banco!$D:$D,ROW())="","",INDEX(Banco!$D:$D,ROW()))</f>
        <v/>
      </c>
      <c r="E55" s="9">
        <f>IF(INDEX(Banco!$E:$E,ROW())="","",INDEX(Banco!$E:$E,ROW()))</f>
        <v/>
      </c>
      <c r="F55" s="10">
        <f>IF(INDEX(Banco!$F:$F,ROW())="","",INDEX(Banco!$F:$F,ROW()))</f>
        <v/>
      </c>
      <c r="G55" s="10">
        <f>IF(INDEX(Banco!$G:$G,ROW())="","",INDEX(Banco!$G:$G,ROW()))</f>
        <v/>
      </c>
      <c r="H55" s="8">
        <f>IF(INDEX(Banco!$H:$H,ROW())="","",INDEX(Banco!$H:$H,ROW()))</f>
        <v/>
      </c>
      <c r="I55">
        <f>IF($T55="","",INT($T55/12)&amp;"a "&amp;MOD($T55,12)&amp;"m")</f>
        <v/>
      </c>
      <c r="J55" s="11">
        <f>IF(OR($F55="",$G55=""),"",ROUND($F55/($G55/100)^2,2))</f>
        <v/>
      </c>
      <c r="K55" s="12">
        <f>IF(OR($S55="",$J55="",$T55="",$T55&lt;0,$T55&gt;228,$Y55=""),"—",ROUND(IF(ABS($AB55)&lt;=3,$AB55,IF($AB55&gt;3,3+($J55-$AD55)/($AD55-$AC55),-3+($J55-$AF55)/($AE55-$AF55))),2))</f>
        <v/>
      </c>
      <c r="L55">
        <f>IF(OR($K55="",$K55="—"),"",IF($T55&lt;=60,IF($K55&lt;-3,"Magreza acentuada",IF($K55&lt;-2,"Magreza",IF($K55&lt;=1,"Eutrofia",IF($K55&lt;=2,"Risco de sobrepeso",IF($K55&lt;=3,"Sobrepeso","Obesidade"))))),IF($K55&lt;-3,"Magreza acentuada",IF($K55&lt;-2,"Magreza",IF($K55&lt;=1,"Eutrofia",IF($K55&lt;=2,"Sobrepeso",IF($K55&lt;=3,"Obesidade","Obesidade grave")))))))</f>
        <v/>
      </c>
      <c r="M55" s="12">
        <f>IF(OR($S55="",$V55="",$T55="",$T55&lt;0,$T55&gt;228,$AG55=""),"—",ROUND(IF($AG55=0,LN($V55/$AH55)/$AI55,((($V55/$AH55)^$AG55)-1)/($AG55*$AI55)),2))</f>
        <v/>
      </c>
      <c r="N55">
        <f>IF(OR($M55="",$M55="—"),"",IF($M55&lt;-3,"Muito baixa",IF($M55&lt;-2,"Baixa","Adequada")))</f>
        <v/>
      </c>
      <c r="O55" s="12">
        <f>IF(OR($S55="",$F55="",$T55="",$T55&lt;0,$T55&gt;120,$AJ55=""),"—",ROUND(IF(ABS($AM55)&lt;=3,$AM55,IF($AM55&gt;3,3+($F55-$AO55)/($AO55-$AN55),-3+($F55-$AQ55)/($AP55-$AQ55))),2))</f>
        <v/>
      </c>
      <c r="P55">
        <f>IF(OR($O55="",$O55="—"),"",IF($O55&lt;-3,"Muito baixo",IF($O55&lt;-2,"Baixo",IF($O55&lt;=2,"Adequado","Elevado"))))</f>
        <v/>
      </c>
      <c r="Q55" s="12">
        <f>IF(OR($S55="",$F55="",$T55="",$T55&lt;0,$T55&gt;60,$AR55=""),"—",ROUND(IF(ABS($AU55)&lt;=3,$AU55,IF($AU55&gt;3,3+($F55-$AW55)/($AW55-$AV55),-3+($F55-$AY55)/($AX55-$AY55))),2))</f>
        <v/>
      </c>
      <c r="R55">
        <f>IF(OR($Q55="",$Q55="—"),"",IF($Q55&lt;-3,"Magreza acentuada",IF($Q55&lt;-2,"Magreza",IF($Q55&lt;=1,"Eutrofia",IF($Q55&lt;=2,"Risco de sobrepeso",IF($Q55&lt;=3,"Sobrepeso","Obesidade"))))))</f>
        <v/>
      </c>
      <c r="S55">
        <f>IF($C55="","",IF(UPPER(LEFT($C55,1))="M",1,IF(UPPER(LEFT($C55,1))="F",2,"")))</f>
        <v/>
      </c>
      <c r="T55">
        <f>IF(OR($D55="",$E55=""),"",DATEDIF($D55,$E55,"m"))</f>
        <v/>
      </c>
      <c r="U55">
        <f>IF(OR($D55="",$E55=""),"",$E55-$D55)</f>
        <v/>
      </c>
      <c r="V55">
        <f>IF(OR($G55="",$T55=""),"",IF($T55&lt;24,IF(LEFT(LOWER($H55),4)="em p",$G55+0.7,$G55),IF(LEFT(LOWER($H55),4)="deit",$G55-0.7,$G55)))</f>
        <v/>
      </c>
      <c r="W55">
        <f>IF(OR($S55="",$T55=""),"",$S55*1000000+IF($T55&lt;=60,$U55,$T55))</f>
        <v/>
      </c>
      <c r="X55">
        <f>IF(OR($S55="",$V55="",$T55&gt;60,$T55=""),"",$S55*1000000+ROUND($V55*10,0))</f>
        <v/>
      </c>
      <c r="Y55">
        <f>IF($W55="","",IFERROR(INDEX(IF($T55&lt;=60,imc05_l,imc519_l),MATCH($W55,IF($T55&lt;=60,imc05_k,imc519_k),1)),""))</f>
        <v/>
      </c>
      <c r="Z55">
        <f>IF($W55="","",IFERROR(INDEX(IF($T55&lt;=60,imc05_m,imc519_m),MATCH($W55,IF($T55&lt;=60,imc05_k,imc519_k),1)),""))</f>
        <v/>
      </c>
      <c r="AA55">
        <f>IF($W55="","",IFERROR(INDEX(IF($T55&lt;=60,imc05_s,imc519_s),MATCH($W55,IF($T55&lt;=60,imc05_k,imc519_k),1)),""))</f>
        <v/>
      </c>
      <c r="AB55">
        <f>IF($Y55="","",IF($Y55=0,LN($J55/$Z55)/$AA55,((($J55/$Z55)^$Y55)-1)/($Y55*$AA55)))</f>
        <v/>
      </c>
      <c r="AC55">
        <f>IF($Y55="","",IF($Y55=0,$Z55*EXP($AA55*2),$Z55*(1+$Y55*$AA55*2)^(1/$Y55)))</f>
        <v/>
      </c>
      <c r="AD55">
        <f>IF($Y55="","",IF($Y55=0,$Z55*EXP($AA55*3),$Z55*(1+$Y55*$AA55*3)^(1/$Y55)))</f>
        <v/>
      </c>
      <c r="AE55">
        <f>IF($Y55="","",IF($Y55=0,$Z55*EXP($AA55*-2),$Z55*(1+$Y55*$AA55*-2)^(1/$Y55)))</f>
        <v/>
      </c>
      <c r="AF55">
        <f>IF($Y55="","",IF($Y55=0,$Z55*EXP($AA55*-3),$Z55*(1+$Y55*$AA55*-3)^(1/$Y55)))</f>
        <v/>
      </c>
      <c r="AG55">
        <f>IF($W55="","",IFERROR(INDEX(IF($T55&lt;=60,est05_l,est519_l),MATCH($W55,IF($T55&lt;=60,est05_k,est519_k),1)),""))</f>
        <v/>
      </c>
      <c r="AH55">
        <f>IF($W55="","",IFERROR(INDEX(IF($T55&lt;=60,est05_m,est519_m),MATCH($W55,IF($T55&lt;=60,est05_k,est519_k),1)),""))</f>
        <v/>
      </c>
      <c r="AI55">
        <f>IF($W55="","",IFERROR(INDEX(IF($T55&lt;=60,est05_s,est519_s),MATCH($W55,IF($T55&lt;=60,est05_k,est519_k),1)),""))</f>
        <v/>
      </c>
      <c r="AJ55">
        <f>IF($W55="","",IFERROR(INDEX(IF($T55&lt;=60,peso05_l,peso510_l),MATCH($W55,IF($T55&lt;=60,peso05_k,peso510_k),1)),""))</f>
        <v/>
      </c>
      <c r="AK55">
        <f>IF($W55="","",IFERROR(INDEX(IF($T55&lt;=60,peso05_m,peso510_m),MATCH($W55,IF($T55&lt;=60,peso05_k,peso510_k),1)),""))</f>
        <v/>
      </c>
      <c r="AL55">
        <f>IF($W55="","",IFERROR(INDEX(IF($T55&lt;=60,peso05_s,peso510_s),MATCH($W55,IF($T55&lt;=60,peso05_k,peso510_k),1)),""))</f>
        <v/>
      </c>
      <c r="AM55">
        <f>IF($AJ55="","",IF($AJ55=0,LN($F55/$AK55)/$AL55,((($F55/$AK55)^$AJ55)-1)/($AJ55*$AL55)))</f>
        <v/>
      </c>
      <c r="AN55">
        <f>IF($AJ55="","",IF($AJ55=0,$AK55*EXP($AL55*2),$AK55*(1+$AJ55*$AL55*2)^(1/$AJ55)))</f>
        <v/>
      </c>
      <c r="AO55">
        <f>IF($AJ55="","",IF($AJ55=0,$AK55*EXP($AL55*3),$AK55*(1+$AJ55*$AL55*3)^(1/$AJ55)))</f>
        <v/>
      </c>
      <c r="AP55">
        <f>IF($AJ55="","",IF($AJ55=0,$AK55*EXP($AL55*-2),$AK55*(1+$AJ55*$AL55*-2)^(1/$AJ55)))</f>
        <v/>
      </c>
      <c r="AQ55">
        <f>IF($AJ55="","",IF($AJ55=0,$AK55*EXP($AL55*-3),$AK55*(1+$AJ55*$AL55*-3)^(1/$AJ55)))</f>
        <v/>
      </c>
      <c r="AR55">
        <f>IF(OR($X55="",$T55&gt;60),"",IFERROR(INDEX(IF($T55&lt;24,pcomp_l,palt_l),MATCH($X55,IF($T55&lt;24,pcomp_k,palt_k),1)),""))</f>
        <v/>
      </c>
      <c r="AS55">
        <f>IF(OR($X55="",$T55&gt;60),"",IFERROR(INDEX(IF($T55&lt;24,pcomp_m,palt_m),MATCH($X55,IF($T55&lt;24,pcomp_k,palt_k),1)),""))</f>
        <v/>
      </c>
      <c r="AT55">
        <f>IF(OR($X55="",$T55&gt;60),"",IFERROR(INDEX(IF($T55&lt;24,pcomp_s,palt_s),MATCH($X55,IF($T55&lt;24,pcomp_k,palt_k),1)),""))</f>
        <v/>
      </c>
      <c r="AU55">
        <f>IF($AR55="","",IF($AR55=0,LN($F55/$AS55)/$AT55,((($F55/$AS55)^$AR55)-1)/($AR55*$AT55)))</f>
        <v/>
      </c>
      <c r="AV55">
        <f>IF($AR55="","",IF($AR55=0,$AS55*EXP($AT55*2),$AS55*(1+$AR55*$AT55*2)^(1/$AR55)))</f>
        <v/>
      </c>
      <c r="AW55">
        <f>IF($AR55="","",IF($AR55=0,$AS55*EXP($AT55*3),$AS55*(1+$AR55*$AT55*3)^(1/$AR55)))</f>
        <v/>
      </c>
      <c r="AX55">
        <f>IF($AR55="","",IF($AR55=0,$AS55*EXP($AT55*-2),$AS55*(1+$AR55*$AT55*-2)^(1/$AR55)))</f>
        <v/>
      </c>
      <c r="AY55">
        <f>IF($AR55="","",IF($AR55=0,$AS55*EXP($AT55*-3),$AS55*(1+$AR55*$AT55*-3)^(1/$AR55)))</f>
        <v/>
      </c>
      <c r="AZ55">
        <f>IF(OR($A55="",$A55&lt;&gt;Ficha!$C$4),"",COUNTIF($A$2:$A55,Ficha!$C$4))</f>
        <v/>
      </c>
    </row>
    <row r="56">
      <c r="A56" s="8">
        <f>IF(INDEX(Banco!$A:$A,ROW())="","",INDEX(Banco!$A:$A,ROW()))</f>
        <v/>
      </c>
      <c r="B56" s="8">
        <f>IF(INDEX(Banco!$B:$B,ROW())="","",INDEX(Banco!$B:$B,ROW()))</f>
        <v/>
      </c>
      <c r="C56" s="8">
        <f>IF(INDEX(Banco!$C:$C,ROW())="","",INDEX(Banco!$C:$C,ROW()))</f>
        <v/>
      </c>
      <c r="D56" s="9">
        <f>IF(INDEX(Banco!$D:$D,ROW())="","",INDEX(Banco!$D:$D,ROW()))</f>
        <v/>
      </c>
      <c r="E56" s="9">
        <f>IF(INDEX(Banco!$E:$E,ROW())="","",INDEX(Banco!$E:$E,ROW()))</f>
        <v/>
      </c>
      <c r="F56" s="10">
        <f>IF(INDEX(Banco!$F:$F,ROW())="","",INDEX(Banco!$F:$F,ROW()))</f>
        <v/>
      </c>
      <c r="G56" s="10">
        <f>IF(INDEX(Banco!$G:$G,ROW())="","",INDEX(Banco!$G:$G,ROW()))</f>
        <v/>
      </c>
      <c r="H56" s="8">
        <f>IF(INDEX(Banco!$H:$H,ROW())="","",INDEX(Banco!$H:$H,ROW()))</f>
        <v/>
      </c>
      <c r="I56">
        <f>IF($T56="","",INT($T56/12)&amp;"a "&amp;MOD($T56,12)&amp;"m")</f>
        <v/>
      </c>
      <c r="J56" s="11">
        <f>IF(OR($F56="",$G56=""),"",ROUND($F56/($G56/100)^2,2))</f>
        <v/>
      </c>
      <c r="K56" s="12">
        <f>IF(OR($S56="",$J56="",$T56="",$T56&lt;0,$T56&gt;228,$Y56=""),"—",ROUND(IF(ABS($AB56)&lt;=3,$AB56,IF($AB56&gt;3,3+($J56-$AD56)/($AD56-$AC56),-3+($J56-$AF56)/($AE56-$AF56))),2))</f>
        <v/>
      </c>
      <c r="L56">
        <f>IF(OR($K56="",$K56="—"),"",IF($T56&lt;=60,IF($K56&lt;-3,"Magreza acentuada",IF($K56&lt;-2,"Magreza",IF($K56&lt;=1,"Eutrofia",IF($K56&lt;=2,"Risco de sobrepeso",IF($K56&lt;=3,"Sobrepeso","Obesidade"))))),IF($K56&lt;-3,"Magreza acentuada",IF($K56&lt;-2,"Magreza",IF($K56&lt;=1,"Eutrofia",IF($K56&lt;=2,"Sobrepeso",IF($K56&lt;=3,"Obesidade","Obesidade grave")))))))</f>
        <v/>
      </c>
      <c r="M56" s="12">
        <f>IF(OR($S56="",$V56="",$T56="",$T56&lt;0,$T56&gt;228,$AG56=""),"—",ROUND(IF($AG56=0,LN($V56/$AH56)/$AI56,((($V56/$AH56)^$AG56)-1)/($AG56*$AI56)),2))</f>
        <v/>
      </c>
      <c r="N56">
        <f>IF(OR($M56="",$M56="—"),"",IF($M56&lt;-3,"Muito baixa",IF($M56&lt;-2,"Baixa","Adequada")))</f>
        <v/>
      </c>
      <c r="O56" s="12">
        <f>IF(OR($S56="",$F56="",$T56="",$T56&lt;0,$T56&gt;120,$AJ56=""),"—",ROUND(IF(ABS($AM56)&lt;=3,$AM56,IF($AM56&gt;3,3+($F56-$AO56)/($AO56-$AN56),-3+($F56-$AQ56)/($AP56-$AQ56))),2))</f>
        <v/>
      </c>
      <c r="P56">
        <f>IF(OR($O56="",$O56="—"),"",IF($O56&lt;-3,"Muito baixo",IF($O56&lt;-2,"Baixo",IF($O56&lt;=2,"Adequado","Elevado"))))</f>
        <v/>
      </c>
      <c r="Q56" s="12">
        <f>IF(OR($S56="",$F56="",$T56="",$T56&lt;0,$T56&gt;60,$AR56=""),"—",ROUND(IF(ABS($AU56)&lt;=3,$AU56,IF($AU56&gt;3,3+($F56-$AW56)/($AW56-$AV56),-3+($F56-$AY56)/($AX56-$AY56))),2))</f>
        <v/>
      </c>
      <c r="R56">
        <f>IF(OR($Q56="",$Q56="—"),"",IF($Q56&lt;-3,"Magreza acentuada",IF($Q56&lt;-2,"Magreza",IF($Q56&lt;=1,"Eutrofia",IF($Q56&lt;=2,"Risco de sobrepeso",IF($Q56&lt;=3,"Sobrepeso","Obesidade"))))))</f>
        <v/>
      </c>
      <c r="S56">
        <f>IF($C56="","",IF(UPPER(LEFT($C56,1))="M",1,IF(UPPER(LEFT($C56,1))="F",2,"")))</f>
        <v/>
      </c>
      <c r="T56">
        <f>IF(OR($D56="",$E56=""),"",DATEDIF($D56,$E56,"m"))</f>
        <v/>
      </c>
      <c r="U56">
        <f>IF(OR($D56="",$E56=""),"",$E56-$D56)</f>
        <v/>
      </c>
      <c r="V56">
        <f>IF(OR($G56="",$T56=""),"",IF($T56&lt;24,IF(LEFT(LOWER($H56),4)="em p",$G56+0.7,$G56),IF(LEFT(LOWER($H56),4)="deit",$G56-0.7,$G56)))</f>
        <v/>
      </c>
      <c r="W56">
        <f>IF(OR($S56="",$T56=""),"",$S56*1000000+IF($T56&lt;=60,$U56,$T56))</f>
        <v/>
      </c>
      <c r="X56">
        <f>IF(OR($S56="",$V56="",$T56&gt;60,$T56=""),"",$S56*1000000+ROUND($V56*10,0))</f>
        <v/>
      </c>
      <c r="Y56">
        <f>IF($W56="","",IFERROR(INDEX(IF($T56&lt;=60,imc05_l,imc519_l),MATCH($W56,IF($T56&lt;=60,imc05_k,imc519_k),1)),""))</f>
        <v/>
      </c>
      <c r="Z56">
        <f>IF($W56="","",IFERROR(INDEX(IF($T56&lt;=60,imc05_m,imc519_m),MATCH($W56,IF($T56&lt;=60,imc05_k,imc519_k),1)),""))</f>
        <v/>
      </c>
      <c r="AA56">
        <f>IF($W56="","",IFERROR(INDEX(IF($T56&lt;=60,imc05_s,imc519_s),MATCH($W56,IF($T56&lt;=60,imc05_k,imc519_k),1)),""))</f>
        <v/>
      </c>
      <c r="AB56">
        <f>IF($Y56="","",IF($Y56=0,LN($J56/$Z56)/$AA56,((($J56/$Z56)^$Y56)-1)/($Y56*$AA56)))</f>
        <v/>
      </c>
      <c r="AC56">
        <f>IF($Y56="","",IF($Y56=0,$Z56*EXP($AA56*2),$Z56*(1+$Y56*$AA56*2)^(1/$Y56)))</f>
        <v/>
      </c>
      <c r="AD56">
        <f>IF($Y56="","",IF($Y56=0,$Z56*EXP($AA56*3),$Z56*(1+$Y56*$AA56*3)^(1/$Y56)))</f>
        <v/>
      </c>
      <c r="AE56">
        <f>IF($Y56="","",IF($Y56=0,$Z56*EXP($AA56*-2),$Z56*(1+$Y56*$AA56*-2)^(1/$Y56)))</f>
        <v/>
      </c>
      <c r="AF56">
        <f>IF($Y56="","",IF($Y56=0,$Z56*EXP($AA56*-3),$Z56*(1+$Y56*$AA56*-3)^(1/$Y56)))</f>
        <v/>
      </c>
      <c r="AG56">
        <f>IF($W56="","",IFERROR(INDEX(IF($T56&lt;=60,est05_l,est519_l),MATCH($W56,IF($T56&lt;=60,est05_k,est519_k),1)),""))</f>
        <v/>
      </c>
      <c r="AH56">
        <f>IF($W56="","",IFERROR(INDEX(IF($T56&lt;=60,est05_m,est519_m),MATCH($W56,IF($T56&lt;=60,est05_k,est519_k),1)),""))</f>
        <v/>
      </c>
      <c r="AI56">
        <f>IF($W56="","",IFERROR(INDEX(IF($T56&lt;=60,est05_s,est519_s),MATCH($W56,IF($T56&lt;=60,est05_k,est519_k),1)),""))</f>
        <v/>
      </c>
      <c r="AJ56">
        <f>IF($W56="","",IFERROR(INDEX(IF($T56&lt;=60,peso05_l,peso510_l),MATCH($W56,IF($T56&lt;=60,peso05_k,peso510_k),1)),""))</f>
        <v/>
      </c>
      <c r="AK56">
        <f>IF($W56="","",IFERROR(INDEX(IF($T56&lt;=60,peso05_m,peso510_m),MATCH($W56,IF($T56&lt;=60,peso05_k,peso510_k),1)),""))</f>
        <v/>
      </c>
      <c r="AL56">
        <f>IF($W56="","",IFERROR(INDEX(IF($T56&lt;=60,peso05_s,peso510_s),MATCH($W56,IF($T56&lt;=60,peso05_k,peso510_k),1)),""))</f>
        <v/>
      </c>
      <c r="AM56">
        <f>IF($AJ56="","",IF($AJ56=0,LN($F56/$AK56)/$AL56,((($F56/$AK56)^$AJ56)-1)/($AJ56*$AL56)))</f>
        <v/>
      </c>
      <c r="AN56">
        <f>IF($AJ56="","",IF($AJ56=0,$AK56*EXP($AL56*2),$AK56*(1+$AJ56*$AL56*2)^(1/$AJ56)))</f>
        <v/>
      </c>
      <c r="AO56">
        <f>IF($AJ56="","",IF($AJ56=0,$AK56*EXP($AL56*3),$AK56*(1+$AJ56*$AL56*3)^(1/$AJ56)))</f>
        <v/>
      </c>
      <c r="AP56">
        <f>IF($AJ56="","",IF($AJ56=0,$AK56*EXP($AL56*-2),$AK56*(1+$AJ56*$AL56*-2)^(1/$AJ56)))</f>
        <v/>
      </c>
      <c r="AQ56">
        <f>IF($AJ56="","",IF($AJ56=0,$AK56*EXP($AL56*-3),$AK56*(1+$AJ56*$AL56*-3)^(1/$AJ56)))</f>
        <v/>
      </c>
      <c r="AR56">
        <f>IF(OR($X56="",$T56&gt;60),"",IFERROR(INDEX(IF($T56&lt;24,pcomp_l,palt_l),MATCH($X56,IF($T56&lt;24,pcomp_k,palt_k),1)),""))</f>
        <v/>
      </c>
      <c r="AS56">
        <f>IF(OR($X56="",$T56&gt;60),"",IFERROR(INDEX(IF($T56&lt;24,pcomp_m,palt_m),MATCH($X56,IF($T56&lt;24,pcomp_k,palt_k),1)),""))</f>
        <v/>
      </c>
      <c r="AT56">
        <f>IF(OR($X56="",$T56&gt;60),"",IFERROR(INDEX(IF($T56&lt;24,pcomp_s,palt_s),MATCH($X56,IF($T56&lt;24,pcomp_k,palt_k),1)),""))</f>
        <v/>
      </c>
      <c r="AU56">
        <f>IF($AR56="","",IF($AR56=0,LN($F56/$AS56)/$AT56,((($F56/$AS56)^$AR56)-1)/($AR56*$AT56)))</f>
        <v/>
      </c>
      <c r="AV56">
        <f>IF($AR56="","",IF($AR56=0,$AS56*EXP($AT56*2),$AS56*(1+$AR56*$AT56*2)^(1/$AR56)))</f>
        <v/>
      </c>
      <c r="AW56">
        <f>IF($AR56="","",IF($AR56=0,$AS56*EXP($AT56*3),$AS56*(1+$AR56*$AT56*3)^(1/$AR56)))</f>
        <v/>
      </c>
      <c r="AX56">
        <f>IF($AR56="","",IF($AR56=0,$AS56*EXP($AT56*-2),$AS56*(1+$AR56*$AT56*-2)^(1/$AR56)))</f>
        <v/>
      </c>
      <c r="AY56">
        <f>IF($AR56="","",IF($AR56=0,$AS56*EXP($AT56*-3),$AS56*(1+$AR56*$AT56*-3)^(1/$AR56)))</f>
        <v/>
      </c>
      <c r="AZ56">
        <f>IF(OR($A56="",$A56&lt;&gt;Ficha!$C$4),"",COUNTIF($A$2:$A56,Ficha!$C$4))</f>
        <v/>
      </c>
    </row>
    <row r="57">
      <c r="A57" s="8">
        <f>IF(INDEX(Banco!$A:$A,ROW())="","",INDEX(Banco!$A:$A,ROW()))</f>
        <v/>
      </c>
      <c r="B57" s="8">
        <f>IF(INDEX(Banco!$B:$B,ROW())="","",INDEX(Banco!$B:$B,ROW()))</f>
        <v/>
      </c>
      <c r="C57" s="8">
        <f>IF(INDEX(Banco!$C:$C,ROW())="","",INDEX(Banco!$C:$C,ROW()))</f>
        <v/>
      </c>
      <c r="D57" s="9">
        <f>IF(INDEX(Banco!$D:$D,ROW())="","",INDEX(Banco!$D:$D,ROW()))</f>
        <v/>
      </c>
      <c r="E57" s="9">
        <f>IF(INDEX(Banco!$E:$E,ROW())="","",INDEX(Banco!$E:$E,ROW()))</f>
        <v/>
      </c>
      <c r="F57" s="10">
        <f>IF(INDEX(Banco!$F:$F,ROW())="","",INDEX(Banco!$F:$F,ROW()))</f>
        <v/>
      </c>
      <c r="G57" s="10">
        <f>IF(INDEX(Banco!$G:$G,ROW())="","",INDEX(Banco!$G:$G,ROW()))</f>
        <v/>
      </c>
      <c r="H57" s="8">
        <f>IF(INDEX(Banco!$H:$H,ROW())="","",INDEX(Banco!$H:$H,ROW()))</f>
        <v/>
      </c>
      <c r="I57">
        <f>IF($T57="","",INT($T57/12)&amp;"a "&amp;MOD($T57,12)&amp;"m")</f>
        <v/>
      </c>
      <c r="J57" s="11">
        <f>IF(OR($F57="",$G57=""),"",ROUND($F57/($G57/100)^2,2))</f>
        <v/>
      </c>
      <c r="K57" s="12">
        <f>IF(OR($S57="",$J57="",$T57="",$T57&lt;0,$T57&gt;228,$Y57=""),"—",ROUND(IF(ABS($AB57)&lt;=3,$AB57,IF($AB57&gt;3,3+($J57-$AD57)/($AD57-$AC57),-3+($J57-$AF57)/($AE57-$AF57))),2))</f>
        <v/>
      </c>
      <c r="L57">
        <f>IF(OR($K57="",$K57="—"),"",IF($T57&lt;=60,IF($K57&lt;-3,"Magreza acentuada",IF($K57&lt;-2,"Magreza",IF($K57&lt;=1,"Eutrofia",IF($K57&lt;=2,"Risco de sobrepeso",IF($K57&lt;=3,"Sobrepeso","Obesidade"))))),IF($K57&lt;-3,"Magreza acentuada",IF($K57&lt;-2,"Magreza",IF($K57&lt;=1,"Eutrofia",IF($K57&lt;=2,"Sobrepeso",IF($K57&lt;=3,"Obesidade","Obesidade grave")))))))</f>
        <v/>
      </c>
      <c r="M57" s="12">
        <f>IF(OR($S57="",$V57="",$T57="",$T57&lt;0,$T57&gt;228,$AG57=""),"—",ROUND(IF($AG57=0,LN($V57/$AH57)/$AI57,((($V57/$AH57)^$AG57)-1)/($AG57*$AI57)),2))</f>
        <v/>
      </c>
      <c r="N57">
        <f>IF(OR($M57="",$M57="—"),"",IF($M57&lt;-3,"Muito baixa",IF($M57&lt;-2,"Baixa","Adequada")))</f>
        <v/>
      </c>
      <c r="O57" s="12">
        <f>IF(OR($S57="",$F57="",$T57="",$T57&lt;0,$T57&gt;120,$AJ57=""),"—",ROUND(IF(ABS($AM57)&lt;=3,$AM57,IF($AM57&gt;3,3+($F57-$AO57)/($AO57-$AN57),-3+($F57-$AQ57)/($AP57-$AQ57))),2))</f>
        <v/>
      </c>
      <c r="P57">
        <f>IF(OR($O57="",$O57="—"),"",IF($O57&lt;-3,"Muito baixo",IF($O57&lt;-2,"Baixo",IF($O57&lt;=2,"Adequado","Elevado"))))</f>
        <v/>
      </c>
      <c r="Q57" s="12">
        <f>IF(OR($S57="",$F57="",$T57="",$T57&lt;0,$T57&gt;60,$AR57=""),"—",ROUND(IF(ABS($AU57)&lt;=3,$AU57,IF($AU57&gt;3,3+($F57-$AW57)/($AW57-$AV57),-3+($F57-$AY57)/($AX57-$AY57))),2))</f>
        <v/>
      </c>
      <c r="R57">
        <f>IF(OR($Q57="",$Q57="—"),"",IF($Q57&lt;-3,"Magreza acentuada",IF($Q57&lt;-2,"Magreza",IF($Q57&lt;=1,"Eutrofia",IF($Q57&lt;=2,"Risco de sobrepeso",IF($Q57&lt;=3,"Sobrepeso","Obesidade"))))))</f>
        <v/>
      </c>
      <c r="S57">
        <f>IF($C57="","",IF(UPPER(LEFT($C57,1))="M",1,IF(UPPER(LEFT($C57,1))="F",2,"")))</f>
        <v/>
      </c>
      <c r="T57">
        <f>IF(OR($D57="",$E57=""),"",DATEDIF($D57,$E57,"m"))</f>
        <v/>
      </c>
      <c r="U57">
        <f>IF(OR($D57="",$E57=""),"",$E57-$D57)</f>
        <v/>
      </c>
      <c r="V57">
        <f>IF(OR($G57="",$T57=""),"",IF($T57&lt;24,IF(LEFT(LOWER($H57),4)="em p",$G57+0.7,$G57),IF(LEFT(LOWER($H57),4)="deit",$G57-0.7,$G57)))</f>
        <v/>
      </c>
      <c r="W57">
        <f>IF(OR($S57="",$T57=""),"",$S57*1000000+IF($T57&lt;=60,$U57,$T57))</f>
        <v/>
      </c>
      <c r="X57">
        <f>IF(OR($S57="",$V57="",$T57&gt;60,$T57=""),"",$S57*1000000+ROUND($V57*10,0))</f>
        <v/>
      </c>
      <c r="Y57">
        <f>IF($W57="","",IFERROR(INDEX(IF($T57&lt;=60,imc05_l,imc519_l),MATCH($W57,IF($T57&lt;=60,imc05_k,imc519_k),1)),""))</f>
        <v/>
      </c>
      <c r="Z57">
        <f>IF($W57="","",IFERROR(INDEX(IF($T57&lt;=60,imc05_m,imc519_m),MATCH($W57,IF($T57&lt;=60,imc05_k,imc519_k),1)),""))</f>
        <v/>
      </c>
      <c r="AA57">
        <f>IF($W57="","",IFERROR(INDEX(IF($T57&lt;=60,imc05_s,imc519_s),MATCH($W57,IF($T57&lt;=60,imc05_k,imc519_k),1)),""))</f>
        <v/>
      </c>
      <c r="AB57">
        <f>IF($Y57="","",IF($Y57=0,LN($J57/$Z57)/$AA57,((($J57/$Z57)^$Y57)-1)/($Y57*$AA57)))</f>
        <v/>
      </c>
      <c r="AC57">
        <f>IF($Y57="","",IF($Y57=0,$Z57*EXP($AA57*2),$Z57*(1+$Y57*$AA57*2)^(1/$Y57)))</f>
        <v/>
      </c>
      <c r="AD57">
        <f>IF($Y57="","",IF($Y57=0,$Z57*EXP($AA57*3),$Z57*(1+$Y57*$AA57*3)^(1/$Y57)))</f>
        <v/>
      </c>
      <c r="AE57">
        <f>IF($Y57="","",IF($Y57=0,$Z57*EXP($AA57*-2),$Z57*(1+$Y57*$AA57*-2)^(1/$Y57)))</f>
        <v/>
      </c>
      <c r="AF57">
        <f>IF($Y57="","",IF($Y57=0,$Z57*EXP($AA57*-3),$Z57*(1+$Y57*$AA57*-3)^(1/$Y57)))</f>
        <v/>
      </c>
      <c r="AG57">
        <f>IF($W57="","",IFERROR(INDEX(IF($T57&lt;=60,est05_l,est519_l),MATCH($W57,IF($T57&lt;=60,est05_k,est519_k),1)),""))</f>
        <v/>
      </c>
      <c r="AH57">
        <f>IF($W57="","",IFERROR(INDEX(IF($T57&lt;=60,est05_m,est519_m),MATCH($W57,IF($T57&lt;=60,est05_k,est519_k),1)),""))</f>
        <v/>
      </c>
      <c r="AI57">
        <f>IF($W57="","",IFERROR(INDEX(IF($T57&lt;=60,est05_s,est519_s),MATCH($W57,IF($T57&lt;=60,est05_k,est519_k),1)),""))</f>
        <v/>
      </c>
      <c r="AJ57">
        <f>IF($W57="","",IFERROR(INDEX(IF($T57&lt;=60,peso05_l,peso510_l),MATCH($W57,IF($T57&lt;=60,peso05_k,peso510_k),1)),""))</f>
        <v/>
      </c>
      <c r="AK57">
        <f>IF($W57="","",IFERROR(INDEX(IF($T57&lt;=60,peso05_m,peso510_m),MATCH($W57,IF($T57&lt;=60,peso05_k,peso510_k),1)),""))</f>
        <v/>
      </c>
      <c r="AL57">
        <f>IF($W57="","",IFERROR(INDEX(IF($T57&lt;=60,peso05_s,peso510_s),MATCH($W57,IF($T57&lt;=60,peso05_k,peso510_k),1)),""))</f>
        <v/>
      </c>
      <c r="AM57">
        <f>IF($AJ57="","",IF($AJ57=0,LN($F57/$AK57)/$AL57,((($F57/$AK57)^$AJ57)-1)/($AJ57*$AL57)))</f>
        <v/>
      </c>
      <c r="AN57">
        <f>IF($AJ57="","",IF($AJ57=0,$AK57*EXP($AL57*2),$AK57*(1+$AJ57*$AL57*2)^(1/$AJ57)))</f>
        <v/>
      </c>
      <c r="AO57">
        <f>IF($AJ57="","",IF($AJ57=0,$AK57*EXP($AL57*3),$AK57*(1+$AJ57*$AL57*3)^(1/$AJ57)))</f>
        <v/>
      </c>
      <c r="AP57">
        <f>IF($AJ57="","",IF($AJ57=0,$AK57*EXP($AL57*-2),$AK57*(1+$AJ57*$AL57*-2)^(1/$AJ57)))</f>
        <v/>
      </c>
      <c r="AQ57">
        <f>IF($AJ57="","",IF($AJ57=0,$AK57*EXP($AL57*-3),$AK57*(1+$AJ57*$AL57*-3)^(1/$AJ57)))</f>
        <v/>
      </c>
      <c r="AR57">
        <f>IF(OR($X57="",$T57&gt;60),"",IFERROR(INDEX(IF($T57&lt;24,pcomp_l,palt_l),MATCH($X57,IF($T57&lt;24,pcomp_k,palt_k),1)),""))</f>
        <v/>
      </c>
      <c r="AS57">
        <f>IF(OR($X57="",$T57&gt;60),"",IFERROR(INDEX(IF($T57&lt;24,pcomp_m,palt_m),MATCH($X57,IF($T57&lt;24,pcomp_k,palt_k),1)),""))</f>
        <v/>
      </c>
      <c r="AT57">
        <f>IF(OR($X57="",$T57&gt;60),"",IFERROR(INDEX(IF($T57&lt;24,pcomp_s,palt_s),MATCH($X57,IF($T57&lt;24,pcomp_k,palt_k),1)),""))</f>
        <v/>
      </c>
      <c r="AU57">
        <f>IF($AR57="","",IF($AR57=0,LN($F57/$AS57)/$AT57,((($F57/$AS57)^$AR57)-1)/($AR57*$AT57)))</f>
        <v/>
      </c>
      <c r="AV57">
        <f>IF($AR57="","",IF($AR57=0,$AS57*EXP($AT57*2),$AS57*(1+$AR57*$AT57*2)^(1/$AR57)))</f>
        <v/>
      </c>
      <c r="AW57">
        <f>IF($AR57="","",IF($AR57=0,$AS57*EXP($AT57*3),$AS57*(1+$AR57*$AT57*3)^(1/$AR57)))</f>
        <v/>
      </c>
      <c r="AX57">
        <f>IF($AR57="","",IF($AR57=0,$AS57*EXP($AT57*-2),$AS57*(1+$AR57*$AT57*-2)^(1/$AR57)))</f>
        <v/>
      </c>
      <c r="AY57">
        <f>IF($AR57="","",IF($AR57=0,$AS57*EXP($AT57*-3),$AS57*(1+$AR57*$AT57*-3)^(1/$AR57)))</f>
        <v/>
      </c>
      <c r="AZ57">
        <f>IF(OR($A57="",$A57&lt;&gt;Ficha!$C$4),"",COUNTIF($A$2:$A57,Ficha!$C$4))</f>
        <v/>
      </c>
    </row>
    <row r="58">
      <c r="A58" s="8">
        <f>IF(INDEX(Banco!$A:$A,ROW())="","",INDEX(Banco!$A:$A,ROW()))</f>
        <v/>
      </c>
      <c r="B58" s="8">
        <f>IF(INDEX(Banco!$B:$B,ROW())="","",INDEX(Banco!$B:$B,ROW()))</f>
        <v/>
      </c>
      <c r="C58" s="8">
        <f>IF(INDEX(Banco!$C:$C,ROW())="","",INDEX(Banco!$C:$C,ROW()))</f>
        <v/>
      </c>
      <c r="D58" s="9">
        <f>IF(INDEX(Banco!$D:$D,ROW())="","",INDEX(Banco!$D:$D,ROW()))</f>
        <v/>
      </c>
      <c r="E58" s="9">
        <f>IF(INDEX(Banco!$E:$E,ROW())="","",INDEX(Banco!$E:$E,ROW()))</f>
        <v/>
      </c>
      <c r="F58" s="10">
        <f>IF(INDEX(Banco!$F:$F,ROW())="","",INDEX(Banco!$F:$F,ROW()))</f>
        <v/>
      </c>
      <c r="G58" s="10">
        <f>IF(INDEX(Banco!$G:$G,ROW())="","",INDEX(Banco!$G:$G,ROW()))</f>
        <v/>
      </c>
      <c r="H58" s="8">
        <f>IF(INDEX(Banco!$H:$H,ROW())="","",INDEX(Banco!$H:$H,ROW()))</f>
        <v/>
      </c>
      <c r="I58">
        <f>IF($T58="","",INT($T58/12)&amp;"a "&amp;MOD($T58,12)&amp;"m")</f>
        <v/>
      </c>
      <c r="J58" s="11">
        <f>IF(OR($F58="",$G58=""),"",ROUND($F58/($G58/100)^2,2))</f>
        <v/>
      </c>
      <c r="K58" s="12">
        <f>IF(OR($S58="",$J58="",$T58="",$T58&lt;0,$T58&gt;228,$Y58=""),"—",ROUND(IF(ABS($AB58)&lt;=3,$AB58,IF($AB58&gt;3,3+($J58-$AD58)/($AD58-$AC58),-3+($J58-$AF58)/($AE58-$AF58))),2))</f>
        <v/>
      </c>
      <c r="L58">
        <f>IF(OR($K58="",$K58="—"),"",IF($T58&lt;=60,IF($K58&lt;-3,"Magreza acentuada",IF($K58&lt;-2,"Magreza",IF($K58&lt;=1,"Eutrofia",IF($K58&lt;=2,"Risco de sobrepeso",IF($K58&lt;=3,"Sobrepeso","Obesidade"))))),IF($K58&lt;-3,"Magreza acentuada",IF($K58&lt;-2,"Magreza",IF($K58&lt;=1,"Eutrofia",IF($K58&lt;=2,"Sobrepeso",IF($K58&lt;=3,"Obesidade","Obesidade grave")))))))</f>
        <v/>
      </c>
      <c r="M58" s="12">
        <f>IF(OR($S58="",$V58="",$T58="",$T58&lt;0,$T58&gt;228,$AG58=""),"—",ROUND(IF($AG58=0,LN($V58/$AH58)/$AI58,((($V58/$AH58)^$AG58)-1)/($AG58*$AI58)),2))</f>
        <v/>
      </c>
      <c r="N58">
        <f>IF(OR($M58="",$M58="—"),"",IF($M58&lt;-3,"Muito baixa",IF($M58&lt;-2,"Baixa","Adequada")))</f>
        <v/>
      </c>
      <c r="O58" s="12">
        <f>IF(OR($S58="",$F58="",$T58="",$T58&lt;0,$T58&gt;120,$AJ58=""),"—",ROUND(IF(ABS($AM58)&lt;=3,$AM58,IF($AM58&gt;3,3+($F58-$AO58)/($AO58-$AN58),-3+($F58-$AQ58)/($AP58-$AQ58))),2))</f>
        <v/>
      </c>
      <c r="P58">
        <f>IF(OR($O58="",$O58="—"),"",IF($O58&lt;-3,"Muito baixo",IF($O58&lt;-2,"Baixo",IF($O58&lt;=2,"Adequado","Elevado"))))</f>
        <v/>
      </c>
      <c r="Q58" s="12">
        <f>IF(OR($S58="",$F58="",$T58="",$T58&lt;0,$T58&gt;60,$AR58=""),"—",ROUND(IF(ABS($AU58)&lt;=3,$AU58,IF($AU58&gt;3,3+($F58-$AW58)/($AW58-$AV58),-3+($F58-$AY58)/($AX58-$AY58))),2))</f>
        <v/>
      </c>
      <c r="R58">
        <f>IF(OR($Q58="",$Q58="—"),"",IF($Q58&lt;-3,"Magreza acentuada",IF($Q58&lt;-2,"Magreza",IF($Q58&lt;=1,"Eutrofia",IF($Q58&lt;=2,"Risco de sobrepeso",IF($Q58&lt;=3,"Sobrepeso","Obesidade"))))))</f>
        <v/>
      </c>
      <c r="S58">
        <f>IF($C58="","",IF(UPPER(LEFT($C58,1))="M",1,IF(UPPER(LEFT($C58,1))="F",2,"")))</f>
        <v/>
      </c>
      <c r="T58">
        <f>IF(OR($D58="",$E58=""),"",DATEDIF($D58,$E58,"m"))</f>
        <v/>
      </c>
      <c r="U58">
        <f>IF(OR($D58="",$E58=""),"",$E58-$D58)</f>
        <v/>
      </c>
      <c r="V58">
        <f>IF(OR($G58="",$T58=""),"",IF($T58&lt;24,IF(LEFT(LOWER($H58),4)="em p",$G58+0.7,$G58),IF(LEFT(LOWER($H58),4)="deit",$G58-0.7,$G58)))</f>
        <v/>
      </c>
      <c r="W58">
        <f>IF(OR($S58="",$T58=""),"",$S58*1000000+IF($T58&lt;=60,$U58,$T58))</f>
        <v/>
      </c>
      <c r="X58">
        <f>IF(OR($S58="",$V58="",$T58&gt;60,$T58=""),"",$S58*1000000+ROUND($V58*10,0))</f>
        <v/>
      </c>
      <c r="Y58">
        <f>IF($W58="","",IFERROR(INDEX(IF($T58&lt;=60,imc05_l,imc519_l),MATCH($W58,IF($T58&lt;=60,imc05_k,imc519_k),1)),""))</f>
        <v/>
      </c>
      <c r="Z58">
        <f>IF($W58="","",IFERROR(INDEX(IF($T58&lt;=60,imc05_m,imc519_m),MATCH($W58,IF($T58&lt;=60,imc05_k,imc519_k),1)),""))</f>
        <v/>
      </c>
      <c r="AA58">
        <f>IF($W58="","",IFERROR(INDEX(IF($T58&lt;=60,imc05_s,imc519_s),MATCH($W58,IF($T58&lt;=60,imc05_k,imc519_k),1)),""))</f>
        <v/>
      </c>
      <c r="AB58">
        <f>IF($Y58="","",IF($Y58=0,LN($J58/$Z58)/$AA58,((($J58/$Z58)^$Y58)-1)/($Y58*$AA58)))</f>
        <v/>
      </c>
      <c r="AC58">
        <f>IF($Y58="","",IF($Y58=0,$Z58*EXP($AA58*2),$Z58*(1+$Y58*$AA58*2)^(1/$Y58)))</f>
        <v/>
      </c>
      <c r="AD58">
        <f>IF($Y58="","",IF($Y58=0,$Z58*EXP($AA58*3),$Z58*(1+$Y58*$AA58*3)^(1/$Y58)))</f>
        <v/>
      </c>
      <c r="AE58">
        <f>IF($Y58="","",IF($Y58=0,$Z58*EXP($AA58*-2),$Z58*(1+$Y58*$AA58*-2)^(1/$Y58)))</f>
        <v/>
      </c>
      <c r="AF58">
        <f>IF($Y58="","",IF($Y58=0,$Z58*EXP($AA58*-3),$Z58*(1+$Y58*$AA58*-3)^(1/$Y58)))</f>
        <v/>
      </c>
      <c r="AG58">
        <f>IF($W58="","",IFERROR(INDEX(IF($T58&lt;=60,est05_l,est519_l),MATCH($W58,IF($T58&lt;=60,est05_k,est519_k),1)),""))</f>
        <v/>
      </c>
      <c r="AH58">
        <f>IF($W58="","",IFERROR(INDEX(IF($T58&lt;=60,est05_m,est519_m),MATCH($W58,IF($T58&lt;=60,est05_k,est519_k),1)),""))</f>
        <v/>
      </c>
      <c r="AI58">
        <f>IF($W58="","",IFERROR(INDEX(IF($T58&lt;=60,est05_s,est519_s),MATCH($W58,IF($T58&lt;=60,est05_k,est519_k),1)),""))</f>
        <v/>
      </c>
      <c r="AJ58">
        <f>IF($W58="","",IFERROR(INDEX(IF($T58&lt;=60,peso05_l,peso510_l),MATCH($W58,IF($T58&lt;=60,peso05_k,peso510_k),1)),""))</f>
        <v/>
      </c>
      <c r="AK58">
        <f>IF($W58="","",IFERROR(INDEX(IF($T58&lt;=60,peso05_m,peso510_m),MATCH($W58,IF($T58&lt;=60,peso05_k,peso510_k),1)),""))</f>
        <v/>
      </c>
      <c r="AL58">
        <f>IF($W58="","",IFERROR(INDEX(IF($T58&lt;=60,peso05_s,peso510_s),MATCH($W58,IF($T58&lt;=60,peso05_k,peso510_k),1)),""))</f>
        <v/>
      </c>
      <c r="AM58">
        <f>IF($AJ58="","",IF($AJ58=0,LN($F58/$AK58)/$AL58,((($F58/$AK58)^$AJ58)-1)/($AJ58*$AL58)))</f>
        <v/>
      </c>
      <c r="AN58">
        <f>IF($AJ58="","",IF($AJ58=0,$AK58*EXP($AL58*2),$AK58*(1+$AJ58*$AL58*2)^(1/$AJ58)))</f>
        <v/>
      </c>
      <c r="AO58">
        <f>IF($AJ58="","",IF($AJ58=0,$AK58*EXP($AL58*3),$AK58*(1+$AJ58*$AL58*3)^(1/$AJ58)))</f>
        <v/>
      </c>
      <c r="AP58">
        <f>IF($AJ58="","",IF($AJ58=0,$AK58*EXP($AL58*-2),$AK58*(1+$AJ58*$AL58*-2)^(1/$AJ58)))</f>
        <v/>
      </c>
      <c r="AQ58">
        <f>IF($AJ58="","",IF($AJ58=0,$AK58*EXP($AL58*-3),$AK58*(1+$AJ58*$AL58*-3)^(1/$AJ58)))</f>
        <v/>
      </c>
      <c r="AR58">
        <f>IF(OR($X58="",$T58&gt;60),"",IFERROR(INDEX(IF($T58&lt;24,pcomp_l,palt_l),MATCH($X58,IF($T58&lt;24,pcomp_k,palt_k),1)),""))</f>
        <v/>
      </c>
      <c r="AS58">
        <f>IF(OR($X58="",$T58&gt;60),"",IFERROR(INDEX(IF($T58&lt;24,pcomp_m,palt_m),MATCH($X58,IF($T58&lt;24,pcomp_k,palt_k),1)),""))</f>
        <v/>
      </c>
      <c r="AT58">
        <f>IF(OR($X58="",$T58&gt;60),"",IFERROR(INDEX(IF($T58&lt;24,pcomp_s,palt_s),MATCH($X58,IF($T58&lt;24,pcomp_k,palt_k),1)),""))</f>
        <v/>
      </c>
      <c r="AU58">
        <f>IF($AR58="","",IF($AR58=0,LN($F58/$AS58)/$AT58,((($F58/$AS58)^$AR58)-1)/($AR58*$AT58)))</f>
        <v/>
      </c>
      <c r="AV58">
        <f>IF($AR58="","",IF($AR58=0,$AS58*EXP($AT58*2),$AS58*(1+$AR58*$AT58*2)^(1/$AR58)))</f>
        <v/>
      </c>
      <c r="AW58">
        <f>IF($AR58="","",IF($AR58=0,$AS58*EXP($AT58*3),$AS58*(1+$AR58*$AT58*3)^(1/$AR58)))</f>
        <v/>
      </c>
      <c r="AX58">
        <f>IF($AR58="","",IF($AR58=0,$AS58*EXP($AT58*-2),$AS58*(1+$AR58*$AT58*-2)^(1/$AR58)))</f>
        <v/>
      </c>
      <c r="AY58">
        <f>IF($AR58="","",IF($AR58=0,$AS58*EXP($AT58*-3),$AS58*(1+$AR58*$AT58*-3)^(1/$AR58)))</f>
        <v/>
      </c>
      <c r="AZ58">
        <f>IF(OR($A58="",$A58&lt;&gt;Ficha!$C$4),"",COUNTIF($A$2:$A58,Ficha!$C$4))</f>
        <v/>
      </c>
    </row>
    <row r="59">
      <c r="A59" s="8">
        <f>IF(INDEX(Banco!$A:$A,ROW())="","",INDEX(Banco!$A:$A,ROW()))</f>
        <v/>
      </c>
      <c r="B59" s="8">
        <f>IF(INDEX(Banco!$B:$B,ROW())="","",INDEX(Banco!$B:$B,ROW()))</f>
        <v/>
      </c>
      <c r="C59" s="8">
        <f>IF(INDEX(Banco!$C:$C,ROW())="","",INDEX(Banco!$C:$C,ROW()))</f>
        <v/>
      </c>
      <c r="D59" s="9">
        <f>IF(INDEX(Banco!$D:$D,ROW())="","",INDEX(Banco!$D:$D,ROW()))</f>
        <v/>
      </c>
      <c r="E59" s="9">
        <f>IF(INDEX(Banco!$E:$E,ROW())="","",INDEX(Banco!$E:$E,ROW()))</f>
        <v/>
      </c>
      <c r="F59" s="10">
        <f>IF(INDEX(Banco!$F:$F,ROW())="","",INDEX(Banco!$F:$F,ROW()))</f>
        <v/>
      </c>
      <c r="G59" s="10">
        <f>IF(INDEX(Banco!$G:$G,ROW())="","",INDEX(Banco!$G:$G,ROW()))</f>
        <v/>
      </c>
      <c r="H59" s="8">
        <f>IF(INDEX(Banco!$H:$H,ROW())="","",INDEX(Banco!$H:$H,ROW()))</f>
        <v/>
      </c>
      <c r="I59">
        <f>IF($T59="","",INT($T59/12)&amp;"a "&amp;MOD($T59,12)&amp;"m")</f>
        <v/>
      </c>
      <c r="J59" s="11">
        <f>IF(OR($F59="",$G59=""),"",ROUND($F59/($G59/100)^2,2))</f>
        <v/>
      </c>
      <c r="K59" s="12">
        <f>IF(OR($S59="",$J59="",$T59="",$T59&lt;0,$T59&gt;228,$Y59=""),"—",ROUND(IF(ABS($AB59)&lt;=3,$AB59,IF($AB59&gt;3,3+($J59-$AD59)/($AD59-$AC59),-3+($J59-$AF59)/($AE59-$AF59))),2))</f>
        <v/>
      </c>
      <c r="L59">
        <f>IF(OR($K59="",$K59="—"),"",IF($T59&lt;=60,IF($K59&lt;-3,"Magreza acentuada",IF($K59&lt;-2,"Magreza",IF($K59&lt;=1,"Eutrofia",IF($K59&lt;=2,"Risco de sobrepeso",IF($K59&lt;=3,"Sobrepeso","Obesidade"))))),IF($K59&lt;-3,"Magreza acentuada",IF($K59&lt;-2,"Magreza",IF($K59&lt;=1,"Eutrofia",IF($K59&lt;=2,"Sobrepeso",IF($K59&lt;=3,"Obesidade","Obesidade grave")))))))</f>
        <v/>
      </c>
      <c r="M59" s="12">
        <f>IF(OR($S59="",$V59="",$T59="",$T59&lt;0,$T59&gt;228,$AG59=""),"—",ROUND(IF($AG59=0,LN($V59/$AH59)/$AI59,((($V59/$AH59)^$AG59)-1)/($AG59*$AI59)),2))</f>
        <v/>
      </c>
      <c r="N59">
        <f>IF(OR($M59="",$M59="—"),"",IF($M59&lt;-3,"Muito baixa",IF($M59&lt;-2,"Baixa","Adequada")))</f>
        <v/>
      </c>
      <c r="O59" s="12">
        <f>IF(OR($S59="",$F59="",$T59="",$T59&lt;0,$T59&gt;120,$AJ59=""),"—",ROUND(IF(ABS($AM59)&lt;=3,$AM59,IF($AM59&gt;3,3+($F59-$AO59)/($AO59-$AN59),-3+($F59-$AQ59)/($AP59-$AQ59))),2))</f>
        <v/>
      </c>
      <c r="P59">
        <f>IF(OR($O59="",$O59="—"),"",IF($O59&lt;-3,"Muito baixo",IF($O59&lt;-2,"Baixo",IF($O59&lt;=2,"Adequado","Elevado"))))</f>
        <v/>
      </c>
      <c r="Q59" s="12">
        <f>IF(OR($S59="",$F59="",$T59="",$T59&lt;0,$T59&gt;60,$AR59=""),"—",ROUND(IF(ABS($AU59)&lt;=3,$AU59,IF($AU59&gt;3,3+($F59-$AW59)/($AW59-$AV59),-3+($F59-$AY59)/($AX59-$AY59))),2))</f>
        <v/>
      </c>
      <c r="R59">
        <f>IF(OR($Q59="",$Q59="—"),"",IF($Q59&lt;-3,"Magreza acentuada",IF($Q59&lt;-2,"Magreza",IF($Q59&lt;=1,"Eutrofia",IF($Q59&lt;=2,"Risco de sobrepeso",IF($Q59&lt;=3,"Sobrepeso","Obesidade"))))))</f>
        <v/>
      </c>
      <c r="S59">
        <f>IF($C59="","",IF(UPPER(LEFT($C59,1))="M",1,IF(UPPER(LEFT($C59,1))="F",2,"")))</f>
        <v/>
      </c>
      <c r="T59">
        <f>IF(OR($D59="",$E59=""),"",DATEDIF($D59,$E59,"m"))</f>
        <v/>
      </c>
      <c r="U59">
        <f>IF(OR($D59="",$E59=""),"",$E59-$D59)</f>
        <v/>
      </c>
      <c r="V59">
        <f>IF(OR($G59="",$T59=""),"",IF($T59&lt;24,IF(LEFT(LOWER($H59),4)="em p",$G59+0.7,$G59),IF(LEFT(LOWER($H59),4)="deit",$G59-0.7,$G59)))</f>
        <v/>
      </c>
      <c r="W59">
        <f>IF(OR($S59="",$T59=""),"",$S59*1000000+IF($T59&lt;=60,$U59,$T59))</f>
        <v/>
      </c>
      <c r="X59">
        <f>IF(OR($S59="",$V59="",$T59&gt;60,$T59=""),"",$S59*1000000+ROUND($V59*10,0))</f>
        <v/>
      </c>
      <c r="Y59">
        <f>IF($W59="","",IFERROR(INDEX(IF($T59&lt;=60,imc05_l,imc519_l),MATCH($W59,IF($T59&lt;=60,imc05_k,imc519_k),1)),""))</f>
        <v/>
      </c>
      <c r="Z59">
        <f>IF($W59="","",IFERROR(INDEX(IF($T59&lt;=60,imc05_m,imc519_m),MATCH($W59,IF($T59&lt;=60,imc05_k,imc519_k),1)),""))</f>
        <v/>
      </c>
      <c r="AA59">
        <f>IF($W59="","",IFERROR(INDEX(IF($T59&lt;=60,imc05_s,imc519_s),MATCH($W59,IF($T59&lt;=60,imc05_k,imc519_k),1)),""))</f>
        <v/>
      </c>
      <c r="AB59">
        <f>IF($Y59="","",IF($Y59=0,LN($J59/$Z59)/$AA59,((($J59/$Z59)^$Y59)-1)/($Y59*$AA59)))</f>
        <v/>
      </c>
      <c r="AC59">
        <f>IF($Y59="","",IF($Y59=0,$Z59*EXP($AA59*2),$Z59*(1+$Y59*$AA59*2)^(1/$Y59)))</f>
        <v/>
      </c>
      <c r="AD59">
        <f>IF($Y59="","",IF($Y59=0,$Z59*EXP($AA59*3),$Z59*(1+$Y59*$AA59*3)^(1/$Y59)))</f>
        <v/>
      </c>
      <c r="AE59">
        <f>IF($Y59="","",IF($Y59=0,$Z59*EXP($AA59*-2),$Z59*(1+$Y59*$AA59*-2)^(1/$Y59)))</f>
        <v/>
      </c>
      <c r="AF59">
        <f>IF($Y59="","",IF($Y59=0,$Z59*EXP($AA59*-3),$Z59*(1+$Y59*$AA59*-3)^(1/$Y59)))</f>
        <v/>
      </c>
      <c r="AG59">
        <f>IF($W59="","",IFERROR(INDEX(IF($T59&lt;=60,est05_l,est519_l),MATCH($W59,IF($T59&lt;=60,est05_k,est519_k),1)),""))</f>
        <v/>
      </c>
      <c r="AH59">
        <f>IF($W59="","",IFERROR(INDEX(IF($T59&lt;=60,est05_m,est519_m),MATCH($W59,IF($T59&lt;=60,est05_k,est519_k),1)),""))</f>
        <v/>
      </c>
      <c r="AI59">
        <f>IF($W59="","",IFERROR(INDEX(IF($T59&lt;=60,est05_s,est519_s),MATCH($W59,IF($T59&lt;=60,est05_k,est519_k),1)),""))</f>
        <v/>
      </c>
      <c r="AJ59">
        <f>IF($W59="","",IFERROR(INDEX(IF($T59&lt;=60,peso05_l,peso510_l),MATCH($W59,IF($T59&lt;=60,peso05_k,peso510_k),1)),""))</f>
        <v/>
      </c>
      <c r="AK59">
        <f>IF($W59="","",IFERROR(INDEX(IF($T59&lt;=60,peso05_m,peso510_m),MATCH($W59,IF($T59&lt;=60,peso05_k,peso510_k),1)),""))</f>
        <v/>
      </c>
      <c r="AL59">
        <f>IF($W59="","",IFERROR(INDEX(IF($T59&lt;=60,peso05_s,peso510_s),MATCH($W59,IF($T59&lt;=60,peso05_k,peso510_k),1)),""))</f>
        <v/>
      </c>
      <c r="AM59">
        <f>IF($AJ59="","",IF($AJ59=0,LN($F59/$AK59)/$AL59,((($F59/$AK59)^$AJ59)-1)/($AJ59*$AL59)))</f>
        <v/>
      </c>
      <c r="AN59">
        <f>IF($AJ59="","",IF($AJ59=0,$AK59*EXP($AL59*2),$AK59*(1+$AJ59*$AL59*2)^(1/$AJ59)))</f>
        <v/>
      </c>
      <c r="AO59">
        <f>IF($AJ59="","",IF($AJ59=0,$AK59*EXP($AL59*3),$AK59*(1+$AJ59*$AL59*3)^(1/$AJ59)))</f>
        <v/>
      </c>
      <c r="AP59">
        <f>IF($AJ59="","",IF($AJ59=0,$AK59*EXP($AL59*-2),$AK59*(1+$AJ59*$AL59*-2)^(1/$AJ59)))</f>
        <v/>
      </c>
      <c r="AQ59">
        <f>IF($AJ59="","",IF($AJ59=0,$AK59*EXP($AL59*-3),$AK59*(1+$AJ59*$AL59*-3)^(1/$AJ59)))</f>
        <v/>
      </c>
      <c r="AR59">
        <f>IF(OR($X59="",$T59&gt;60),"",IFERROR(INDEX(IF($T59&lt;24,pcomp_l,palt_l),MATCH($X59,IF($T59&lt;24,pcomp_k,palt_k),1)),""))</f>
        <v/>
      </c>
      <c r="AS59">
        <f>IF(OR($X59="",$T59&gt;60),"",IFERROR(INDEX(IF($T59&lt;24,pcomp_m,palt_m),MATCH($X59,IF($T59&lt;24,pcomp_k,palt_k),1)),""))</f>
        <v/>
      </c>
      <c r="AT59">
        <f>IF(OR($X59="",$T59&gt;60),"",IFERROR(INDEX(IF($T59&lt;24,pcomp_s,palt_s),MATCH($X59,IF($T59&lt;24,pcomp_k,palt_k),1)),""))</f>
        <v/>
      </c>
      <c r="AU59">
        <f>IF($AR59="","",IF($AR59=0,LN($F59/$AS59)/$AT59,((($F59/$AS59)^$AR59)-1)/($AR59*$AT59)))</f>
        <v/>
      </c>
      <c r="AV59">
        <f>IF($AR59="","",IF($AR59=0,$AS59*EXP($AT59*2),$AS59*(1+$AR59*$AT59*2)^(1/$AR59)))</f>
        <v/>
      </c>
      <c r="AW59">
        <f>IF($AR59="","",IF($AR59=0,$AS59*EXP($AT59*3),$AS59*(1+$AR59*$AT59*3)^(1/$AR59)))</f>
        <v/>
      </c>
      <c r="AX59">
        <f>IF($AR59="","",IF($AR59=0,$AS59*EXP($AT59*-2),$AS59*(1+$AR59*$AT59*-2)^(1/$AR59)))</f>
        <v/>
      </c>
      <c r="AY59">
        <f>IF($AR59="","",IF($AR59=0,$AS59*EXP($AT59*-3),$AS59*(1+$AR59*$AT59*-3)^(1/$AR59)))</f>
        <v/>
      </c>
      <c r="AZ59">
        <f>IF(OR($A59="",$A59&lt;&gt;Ficha!$C$4),"",COUNTIF($A$2:$A59,Ficha!$C$4))</f>
        <v/>
      </c>
    </row>
    <row r="60">
      <c r="A60" s="8">
        <f>IF(INDEX(Banco!$A:$A,ROW())="","",INDEX(Banco!$A:$A,ROW()))</f>
        <v/>
      </c>
      <c r="B60" s="8">
        <f>IF(INDEX(Banco!$B:$B,ROW())="","",INDEX(Banco!$B:$B,ROW()))</f>
        <v/>
      </c>
      <c r="C60" s="8">
        <f>IF(INDEX(Banco!$C:$C,ROW())="","",INDEX(Banco!$C:$C,ROW()))</f>
        <v/>
      </c>
      <c r="D60" s="9">
        <f>IF(INDEX(Banco!$D:$D,ROW())="","",INDEX(Banco!$D:$D,ROW()))</f>
        <v/>
      </c>
      <c r="E60" s="9">
        <f>IF(INDEX(Banco!$E:$E,ROW())="","",INDEX(Banco!$E:$E,ROW()))</f>
        <v/>
      </c>
      <c r="F60" s="10">
        <f>IF(INDEX(Banco!$F:$F,ROW())="","",INDEX(Banco!$F:$F,ROW()))</f>
        <v/>
      </c>
      <c r="G60" s="10">
        <f>IF(INDEX(Banco!$G:$G,ROW())="","",INDEX(Banco!$G:$G,ROW()))</f>
        <v/>
      </c>
      <c r="H60" s="8">
        <f>IF(INDEX(Banco!$H:$H,ROW())="","",INDEX(Banco!$H:$H,ROW()))</f>
        <v/>
      </c>
      <c r="I60">
        <f>IF($T60="","",INT($T60/12)&amp;"a "&amp;MOD($T60,12)&amp;"m")</f>
        <v/>
      </c>
      <c r="J60" s="11">
        <f>IF(OR($F60="",$G60=""),"",ROUND($F60/($G60/100)^2,2))</f>
        <v/>
      </c>
      <c r="K60" s="12">
        <f>IF(OR($S60="",$J60="",$T60="",$T60&lt;0,$T60&gt;228,$Y60=""),"—",ROUND(IF(ABS($AB60)&lt;=3,$AB60,IF($AB60&gt;3,3+($J60-$AD60)/($AD60-$AC60),-3+($J60-$AF60)/($AE60-$AF60))),2))</f>
        <v/>
      </c>
      <c r="L60">
        <f>IF(OR($K60="",$K60="—"),"",IF($T60&lt;=60,IF($K60&lt;-3,"Magreza acentuada",IF($K60&lt;-2,"Magreza",IF($K60&lt;=1,"Eutrofia",IF($K60&lt;=2,"Risco de sobrepeso",IF($K60&lt;=3,"Sobrepeso","Obesidade"))))),IF($K60&lt;-3,"Magreza acentuada",IF($K60&lt;-2,"Magreza",IF($K60&lt;=1,"Eutrofia",IF($K60&lt;=2,"Sobrepeso",IF($K60&lt;=3,"Obesidade","Obesidade grave")))))))</f>
        <v/>
      </c>
      <c r="M60" s="12">
        <f>IF(OR($S60="",$V60="",$T60="",$T60&lt;0,$T60&gt;228,$AG60=""),"—",ROUND(IF($AG60=0,LN($V60/$AH60)/$AI60,((($V60/$AH60)^$AG60)-1)/($AG60*$AI60)),2))</f>
        <v/>
      </c>
      <c r="N60">
        <f>IF(OR($M60="",$M60="—"),"",IF($M60&lt;-3,"Muito baixa",IF($M60&lt;-2,"Baixa","Adequada")))</f>
        <v/>
      </c>
      <c r="O60" s="12">
        <f>IF(OR($S60="",$F60="",$T60="",$T60&lt;0,$T60&gt;120,$AJ60=""),"—",ROUND(IF(ABS($AM60)&lt;=3,$AM60,IF($AM60&gt;3,3+($F60-$AO60)/($AO60-$AN60),-3+($F60-$AQ60)/($AP60-$AQ60))),2))</f>
        <v/>
      </c>
      <c r="P60">
        <f>IF(OR($O60="",$O60="—"),"",IF($O60&lt;-3,"Muito baixo",IF($O60&lt;-2,"Baixo",IF($O60&lt;=2,"Adequado","Elevado"))))</f>
        <v/>
      </c>
      <c r="Q60" s="12">
        <f>IF(OR($S60="",$F60="",$T60="",$T60&lt;0,$T60&gt;60,$AR60=""),"—",ROUND(IF(ABS($AU60)&lt;=3,$AU60,IF($AU60&gt;3,3+($F60-$AW60)/($AW60-$AV60),-3+($F60-$AY60)/($AX60-$AY60))),2))</f>
        <v/>
      </c>
      <c r="R60">
        <f>IF(OR($Q60="",$Q60="—"),"",IF($Q60&lt;-3,"Magreza acentuada",IF($Q60&lt;-2,"Magreza",IF($Q60&lt;=1,"Eutrofia",IF($Q60&lt;=2,"Risco de sobrepeso",IF($Q60&lt;=3,"Sobrepeso","Obesidade"))))))</f>
        <v/>
      </c>
      <c r="S60">
        <f>IF($C60="","",IF(UPPER(LEFT($C60,1))="M",1,IF(UPPER(LEFT($C60,1))="F",2,"")))</f>
        <v/>
      </c>
      <c r="T60">
        <f>IF(OR($D60="",$E60=""),"",DATEDIF($D60,$E60,"m"))</f>
        <v/>
      </c>
      <c r="U60">
        <f>IF(OR($D60="",$E60=""),"",$E60-$D60)</f>
        <v/>
      </c>
      <c r="V60">
        <f>IF(OR($G60="",$T60=""),"",IF($T60&lt;24,IF(LEFT(LOWER($H60),4)="em p",$G60+0.7,$G60),IF(LEFT(LOWER($H60),4)="deit",$G60-0.7,$G60)))</f>
        <v/>
      </c>
      <c r="W60">
        <f>IF(OR($S60="",$T60=""),"",$S60*1000000+IF($T60&lt;=60,$U60,$T60))</f>
        <v/>
      </c>
      <c r="X60">
        <f>IF(OR($S60="",$V60="",$T60&gt;60,$T60=""),"",$S60*1000000+ROUND($V60*10,0))</f>
        <v/>
      </c>
      <c r="Y60">
        <f>IF($W60="","",IFERROR(INDEX(IF($T60&lt;=60,imc05_l,imc519_l),MATCH($W60,IF($T60&lt;=60,imc05_k,imc519_k),1)),""))</f>
        <v/>
      </c>
      <c r="Z60">
        <f>IF($W60="","",IFERROR(INDEX(IF($T60&lt;=60,imc05_m,imc519_m),MATCH($W60,IF($T60&lt;=60,imc05_k,imc519_k),1)),""))</f>
        <v/>
      </c>
      <c r="AA60">
        <f>IF($W60="","",IFERROR(INDEX(IF($T60&lt;=60,imc05_s,imc519_s),MATCH($W60,IF($T60&lt;=60,imc05_k,imc519_k),1)),""))</f>
        <v/>
      </c>
      <c r="AB60">
        <f>IF($Y60="","",IF($Y60=0,LN($J60/$Z60)/$AA60,((($J60/$Z60)^$Y60)-1)/($Y60*$AA60)))</f>
        <v/>
      </c>
      <c r="AC60">
        <f>IF($Y60="","",IF($Y60=0,$Z60*EXP($AA60*2),$Z60*(1+$Y60*$AA60*2)^(1/$Y60)))</f>
        <v/>
      </c>
      <c r="AD60">
        <f>IF($Y60="","",IF($Y60=0,$Z60*EXP($AA60*3),$Z60*(1+$Y60*$AA60*3)^(1/$Y60)))</f>
        <v/>
      </c>
      <c r="AE60">
        <f>IF($Y60="","",IF($Y60=0,$Z60*EXP($AA60*-2),$Z60*(1+$Y60*$AA60*-2)^(1/$Y60)))</f>
        <v/>
      </c>
      <c r="AF60">
        <f>IF($Y60="","",IF($Y60=0,$Z60*EXP($AA60*-3),$Z60*(1+$Y60*$AA60*-3)^(1/$Y60)))</f>
        <v/>
      </c>
      <c r="AG60">
        <f>IF($W60="","",IFERROR(INDEX(IF($T60&lt;=60,est05_l,est519_l),MATCH($W60,IF($T60&lt;=60,est05_k,est519_k),1)),""))</f>
        <v/>
      </c>
      <c r="AH60">
        <f>IF($W60="","",IFERROR(INDEX(IF($T60&lt;=60,est05_m,est519_m),MATCH($W60,IF($T60&lt;=60,est05_k,est519_k),1)),""))</f>
        <v/>
      </c>
      <c r="AI60">
        <f>IF($W60="","",IFERROR(INDEX(IF($T60&lt;=60,est05_s,est519_s),MATCH($W60,IF($T60&lt;=60,est05_k,est519_k),1)),""))</f>
        <v/>
      </c>
      <c r="AJ60">
        <f>IF($W60="","",IFERROR(INDEX(IF($T60&lt;=60,peso05_l,peso510_l),MATCH($W60,IF($T60&lt;=60,peso05_k,peso510_k),1)),""))</f>
        <v/>
      </c>
      <c r="AK60">
        <f>IF($W60="","",IFERROR(INDEX(IF($T60&lt;=60,peso05_m,peso510_m),MATCH($W60,IF($T60&lt;=60,peso05_k,peso510_k),1)),""))</f>
        <v/>
      </c>
      <c r="AL60">
        <f>IF($W60="","",IFERROR(INDEX(IF($T60&lt;=60,peso05_s,peso510_s),MATCH($W60,IF($T60&lt;=60,peso05_k,peso510_k),1)),""))</f>
        <v/>
      </c>
      <c r="AM60">
        <f>IF($AJ60="","",IF($AJ60=0,LN($F60/$AK60)/$AL60,((($F60/$AK60)^$AJ60)-1)/($AJ60*$AL60)))</f>
        <v/>
      </c>
      <c r="AN60">
        <f>IF($AJ60="","",IF($AJ60=0,$AK60*EXP($AL60*2),$AK60*(1+$AJ60*$AL60*2)^(1/$AJ60)))</f>
        <v/>
      </c>
      <c r="AO60">
        <f>IF($AJ60="","",IF($AJ60=0,$AK60*EXP($AL60*3),$AK60*(1+$AJ60*$AL60*3)^(1/$AJ60)))</f>
        <v/>
      </c>
      <c r="AP60">
        <f>IF($AJ60="","",IF($AJ60=0,$AK60*EXP($AL60*-2),$AK60*(1+$AJ60*$AL60*-2)^(1/$AJ60)))</f>
        <v/>
      </c>
      <c r="AQ60">
        <f>IF($AJ60="","",IF($AJ60=0,$AK60*EXP($AL60*-3),$AK60*(1+$AJ60*$AL60*-3)^(1/$AJ60)))</f>
        <v/>
      </c>
      <c r="AR60">
        <f>IF(OR($X60="",$T60&gt;60),"",IFERROR(INDEX(IF($T60&lt;24,pcomp_l,palt_l),MATCH($X60,IF($T60&lt;24,pcomp_k,palt_k),1)),""))</f>
        <v/>
      </c>
      <c r="AS60">
        <f>IF(OR($X60="",$T60&gt;60),"",IFERROR(INDEX(IF($T60&lt;24,pcomp_m,palt_m),MATCH($X60,IF($T60&lt;24,pcomp_k,palt_k),1)),""))</f>
        <v/>
      </c>
      <c r="AT60">
        <f>IF(OR($X60="",$T60&gt;60),"",IFERROR(INDEX(IF($T60&lt;24,pcomp_s,palt_s),MATCH($X60,IF($T60&lt;24,pcomp_k,palt_k),1)),""))</f>
        <v/>
      </c>
      <c r="AU60">
        <f>IF($AR60="","",IF($AR60=0,LN($F60/$AS60)/$AT60,((($F60/$AS60)^$AR60)-1)/($AR60*$AT60)))</f>
        <v/>
      </c>
      <c r="AV60">
        <f>IF($AR60="","",IF($AR60=0,$AS60*EXP($AT60*2),$AS60*(1+$AR60*$AT60*2)^(1/$AR60)))</f>
        <v/>
      </c>
      <c r="AW60">
        <f>IF($AR60="","",IF($AR60=0,$AS60*EXP($AT60*3),$AS60*(1+$AR60*$AT60*3)^(1/$AR60)))</f>
        <v/>
      </c>
      <c r="AX60">
        <f>IF($AR60="","",IF($AR60=0,$AS60*EXP($AT60*-2),$AS60*(1+$AR60*$AT60*-2)^(1/$AR60)))</f>
        <v/>
      </c>
      <c r="AY60">
        <f>IF($AR60="","",IF($AR60=0,$AS60*EXP($AT60*-3),$AS60*(1+$AR60*$AT60*-3)^(1/$AR60)))</f>
        <v/>
      </c>
      <c r="AZ60">
        <f>IF(OR($A60="",$A60&lt;&gt;Ficha!$C$4),"",COUNTIF($A$2:$A60,Ficha!$C$4))</f>
        <v/>
      </c>
    </row>
    <row r="61">
      <c r="A61" s="8">
        <f>IF(INDEX(Banco!$A:$A,ROW())="","",INDEX(Banco!$A:$A,ROW()))</f>
        <v/>
      </c>
      <c r="B61" s="8">
        <f>IF(INDEX(Banco!$B:$B,ROW())="","",INDEX(Banco!$B:$B,ROW()))</f>
        <v/>
      </c>
      <c r="C61" s="8">
        <f>IF(INDEX(Banco!$C:$C,ROW())="","",INDEX(Banco!$C:$C,ROW()))</f>
        <v/>
      </c>
      <c r="D61" s="9">
        <f>IF(INDEX(Banco!$D:$D,ROW())="","",INDEX(Banco!$D:$D,ROW()))</f>
        <v/>
      </c>
      <c r="E61" s="9">
        <f>IF(INDEX(Banco!$E:$E,ROW())="","",INDEX(Banco!$E:$E,ROW()))</f>
        <v/>
      </c>
      <c r="F61" s="10">
        <f>IF(INDEX(Banco!$F:$F,ROW())="","",INDEX(Banco!$F:$F,ROW()))</f>
        <v/>
      </c>
      <c r="G61" s="10">
        <f>IF(INDEX(Banco!$G:$G,ROW())="","",INDEX(Banco!$G:$G,ROW()))</f>
        <v/>
      </c>
      <c r="H61" s="8">
        <f>IF(INDEX(Banco!$H:$H,ROW())="","",INDEX(Banco!$H:$H,ROW()))</f>
        <v/>
      </c>
      <c r="I61">
        <f>IF($T61="","",INT($T61/12)&amp;"a "&amp;MOD($T61,12)&amp;"m")</f>
        <v/>
      </c>
      <c r="J61" s="11">
        <f>IF(OR($F61="",$G61=""),"",ROUND($F61/($G61/100)^2,2))</f>
        <v/>
      </c>
      <c r="K61" s="12">
        <f>IF(OR($S61="",$J61="",$T61="",$T61&lt;0,$T61&gt;228,$Y61=""),"—",ROUND(IF(ABS($AB61)&lt;=3,$AB61,IF($AB61&gt;3,3+($J61-$AD61)/($AD61-$AC61),-3+($J61-$AF61)/($AE61-$AF61))),2))</f>
        <v/>
      </c>
      <c r="L61">
        <f>IF(OR($K61="",$K61="—"),"",IF($T61&lt;=60,IF($K61&lt;-3,"Magreza acentuada",IF($K61&lt;-2,"Magreza",IF($K61&lt;=1,"Eutrofia",IF($K61&lt;=2,"Risco de sobrepeso",IF($K61&lt;=3,"Sobrepeso","Obesidade"))))),IF($K61&lt;-3,"Magreza acentuada",IF($K61&lt;-2,"Magreza",IF($K61&lt;=1,"Eutrofia",IF($K61&lt;=2,"Sobrepeso",IF($K61&lt;=3,"Obesidade","Obesidade grave")))))))</f>
        <v/>
      </c>
      <c r="M61" s="12">
        <f>IF(OR($S61="",$V61="",$T61="",$T61&lt;0,$T61&gt;228,$AG61=""),"—",ROUND(IF($AG61=0,LN($V61/$AH61)/$AI61,((($V61/$AH61)^$AG61)-1)/($AG61*$AI61)),2))</f>
        <v/>
      </c>
      <c r="N61">
        <f>IF(OR($M61="",$M61="—"),"",IF($M61&lt;-3,"Muito baixa",IF($M61&lt;-2,"Baixa","Adequada")))</f>
        <v/>
      </c>
      <c r="O61" s="12">
        <f>IF(OR($S61="",$F61="",$T61="",$T61&lt;0,$T61&gt;120,$AJ61=""),"—",ROUND(IF(ABS($AM61)&lt;=3,$AM61,IF($AM61&gt;3,3+($F61-$AO61)/($AO61-$AN61),-3+($F61-$AQ61)/($AP61-$AQ61))),2))</f>
        <v/>
      </c>
      <c r="P61">
        <f>IF(OR($O61="",$O61="—"),"",IF($O61&lt;-3,"Muito baixo",IF($O61&lt;-2,"Baixo",IF($O61&lt;=2,"Adequado","Elevado"))))</f>
        <v/>
      </c>
      <c r="Q61" s="12">
        <f>IF(OR($S61="",$F61="",$T61="",$T61&lt;0,$T61&gt;60,$AR61=""),"—",ROUND(IF(ABS($AU61)&lt;=3,$AU61,IF($AU61&gt;3,3+($F61-$AW61)/($AW61-$AV61),-3+($F61-$AY61)/($AX61-$AY61))),2))</f>
        <v/>
      </c>
      <c r="R61">
        <f>IF(OR($Q61="",$Q61="—"),"",IF($Q61&lt;-3,"Magreza acentuada",IF($Q61&lt;-2,"Magreza",IF($Q61&lt;=1,"Eutrofia",IF($Q61&lt;=2,"Risco de sobrepeso",IF($Q61&lt;=3,"Sobrepeso","Obesidade"))))))</f>
        <v/>
      </c>
      <c r="S61">
        <f>IF($C61="","",IF(UPPER(LEFT($C61,1))="M",1,IF(UPPER(LEFT($C61,1))="F",2,"")))</f>
        <v/>
      </c>
      <c r="T61">
        <f>IF(OR($D61="",$E61=""),"",DATEDIF($D61,$E61,"m"))</f>
        <v/>
      </c>
      <c r="U61">
        <f>IF(OR($D61="",$E61=""),"",$E61-$D61)</f>
        <v/>
      </c>
      <c r="V61">
        <f>IF(OR($G61="",$T61=""),"",IF($T61&lt;24,IF(LEFT(LOWER($H61),4)="em p",$G61+0.7,$G61),IF(LEFT(LOWER($H61),4)="deit",$G61-0.7,$G61)))</f>
        <v/>
      </c>
      <c r="W61">
        <f>IF(OR($S61="",$T61=""),"",$S61*1000000+IF($T61&lt;=60,$U61,$T61))</f>
        <v/>
      </c>
      <c r="X61">
        <f>IF(OR($S61="",$V61="",$T61&gt;60,$T61=""),"",$S61*1000000+ROUND($V61*10,0))</f>
        <v/>
      </c>
      <c r="Y61">
        <f>IF($W61="","",IFERROR(INDEX(IF($T61&lt;=60,imc05_l,imc519_l),MATCH($W61,IF($T61&lt;=60,imc05_k,imc519_k),1)),""))</f>
        <v/>
      </c>
      <c r="Z61">
        <f>IF($W61="","",IFERROR(INDEX(IF($T61&lt;=60,imc05_m,imc519_m),MATCH($W61,IF($T61&lt;=60,imc05_k,imc519_k),1)),""))</f>
        <v/>
      </c>
      <c r="AA61">
        <f>IF($W61="","",IFERROR(INDEX(IF($T61&lt;=60,imc05_s,imc519_s),MATCH($W61,IF($T61&lt;=60,imc05_k,imc519_k),1)),""))</f>
        <v/>
      </c>
      <c r="AB61">
        <f>IF($Y61="","",IF($Y61=0,LN($J61/$Z61)/$AA61,((($J61/$Z61)^$Y61)-1)/($Y61*$AA61)))</f>
        <v/>
      </c>
      <c r="AC61">
        <f>IF($Y61="","",IF($Y61=0,$Z61*EXP($AA61*2),$Z61*(1+$Y61*$AA61*2)^(1/$Y61)))</f>
        <v/>
      </c>
      <c r="AD61">
        <f>IF($Y61="","",IF($Y61=0,$Z61*EXP($AA61*3),$Z61*(1+$Y61*$AA61*3)^(1/$Y61)))</f>
        <v/>
      </c>
      <c r="AE61">
        <f>IF($Y61="","",IF($Y61=0,$Z61*EXP($AA61*-2),$Z61*(1+$Y61*$AA61*-2)^(1/$Y61)))</f>
        <v/>
      </c>
      <c r="AF61">
        <f>IF($Y61="","",IF($Y61=0,$Z61*EXP($AA61*-3),$Z61*(1+$Y61*$AA61*-3)^(1/$Y61)))</f>
        <v/>
      </c>
      <c r="AG61">
        <f>IF($W61="","",IFERROR(INDEX(IF($T61&lt;=60,est05_l,est519_l),MATCH($W61,IF($T61&lt;=60,est05_k,est519_k),1)),""))</f>
        <v/>
      </c>
      <c r="AH61">
        <f>IF($W61="","",IFERROR(INDEX(IF($T61&lt;=60,est05_m,est519_m),MATCH($W61,IF($T61&lt;=60,est05_k,est519_k),1)),""))</f>
        <v/>
      </c>
      <c r="AI61">
        <f>IF($W61="","",IFERROR(INDEX(IF($T61&lt;=60,est05_s,est519_s),MATCH($W61,IF($T61&lt;=60,est05_k,est519_k),1)),""))</f>
        <v/>
      </c>
      <c r="AJ61">
        <f>IF($W61="","",IFERROR(INDEX(IF($T61&lt;=60,peso05_l,peso510_l),MATCH($W61,IF($T61&lt;=60,peso05_k,peso510_k),1)),""))</f>
        <v/>
      </c>
      <c r="AK61">
        <f>IF($W61="","",IFERROR(INDEX(IF($T61&lt;=60,peso05_m,peso510_m),MATCH($W61,IF($T61&lt;=60,peso05_k,peso510_k),1)),""))</f>
        <v/>
      </c>
      <c r="AL61">
        <f>IF($W61="","",IFERROR(INDEX(IF($T61&lt;=60,peso05_s,peso510_s),MATCH($W61,IF($T61&lt;=60,peso05_k,peso510_k),1)),""))</f>
        <v/>
      </c>
      <c r="AM61">
        <f>IF($AJ61="","",IF($AJ61=0,LN($F61/$AK61)/$AL61,((($F61/$AK61)^$AJ61)-1)/($AJ61*$AL61)))</f>
        <v/>
      </c>
      <c r="AN61">
        <f>IF($AJ61="","",IF($AJ61=0,$AK61*EXP($AL61*2),$AK61*(1+$AJ61*$AL61*2)^(1/$AJ61)))</f>
        <v/>
      </c>
      <c r="AO61">
        <f>IF($AJ61="","",IF($AJ61=0,$AK61*EXP($AL61*3),$AK61*(1+$AJ61*$AL61*3)^(1/$AJ61)))</f>
        <v/>
      </c>
      <c r="AP61">
        <f>IF($AJ61="","",IF($AJ61=0,$AK61*EXP($AL61*-2),$AK61*(1+$AJ61*$AL61*-2)^(1/$AJ61)))</f>
        <v/>
      </c>
      <c r="AQ61">
        <f>IF($AJ61="","",IF($AJ61=0,$AK61*EXP($AL61*-3),$AK61*(1+$AJ61*$AL61*-3)^(1/$AJ61)))</f>
        <v/>
      </c>
      <c r="AR61">
        <f>IF(OR($X61="",$T61&gt;60),"",IFERROR(INDEX(IF($T61&lt;24,pcomp_l,palt_l),MATCH($X61,IF($T61&lt;24,pcomp_k,palt_k),1)),""))</f>
        <v/>
      </c>
      <c r="AS61">
        <f>IF(OR($X61="",$T61&gt;60),"",IFERROR(INDEX(IF($T61&lt;24,pcomp_m,palt_m),MATCH($X61,IF($T61&lt;24,pcomp_k,palt_k),1)),""))</f>
        <v/>
      </c>
      <c r="AT61">
        <f>IF(OR($X61="",$T61&gt;60),"",IFERROR(INDEX(IF($T61&lt;24,pcomp_s,palt_s),MATCH($X61,IF($T61&lt;24,pcomp_k,palt_k),1)),""))</f>
        <v/>
      </c>
      <c r="AU61">
        <f>IF($AR61="","",IF($AR61=0,LN($F61/$AS61)/$AT61,((($F61/$AS61)^$AR61)-1)/($AR61*$AT61)))</f>
        <v/>
      </c>
      <c r="AV61">
        <f>IF($AR61="","",IF($AR61=0,$AS61*EXP($AT61*2),$AS61*(1+$AR61*$AT61*2)^(1/$AR61)))</f>
        <v/>
      </c>
      <c r="AW61">
        <f>IF($AR61="","",IF($AR61=0,$AS61*EXP($AT61*3),$AS61*(1+$AR61*$AT61*3)^(1/$AR61)))</f>
        <v/>
      </c>
      <c r="AX61">
        <f>IF($AR61="","",IF($AR61=0,$AS61*EXP($AT61*-2),$AS61*(1+$AR61*$AT61*-2)^(1/$AR61)))</f>
        <v/>
      </c>
      <c r="AY61">
        <f>IF($AR61="","",IF($AR61=0,$AS61*EXP($AT61*-3),$AS61*(1+$AR61*$AT61*-3)^(1/$AR61)))</f>
        <v/>
      </c>
      <c r="AZ61">
        <f>IF(OR($A61="",$A61&lt;&gt;Ficha!$C$4),"",COUNTIF($A$2:$A61,Ficha!$C$4))</f>
        <v/>
      </c>
    </row>
    <row r="62">
      <c r="A62" s="8">
        <f>IF(INDEX(Banco!$A:$A,ROW())="","",INDEX(Banco!$A:$A,ROW()))</f>
        <v/>
      </c>
      <c r="B62" s="8">
        <f>IF(INDEX(Banco!$B:$B,ROW())="","",INDEX(Banco!$B:$B,ROW()))</f>
        <v/>
      </c>
      <c r="C62" s="8">
        <f>IF(INDEX(Banco!$C:$C,ROW())="","",INDEX(Banco!$C:$C,ROW()))</f>
        <v/>
      </c>
      <c r="D62" s="9">
        <f>IF(INDEX(Banco!$D:$D,ROW())="","",INDEX(Banco!$D:$D,ROW()))</f>
        <v/>
      </c>
      <c r="E62" s="9">
        <f>IF(INDEX(Banco!$E:$E,ROW())="","",INDEX(Banco!$E:$E,ROW()))</f>
        <v/>
      </c>
      <c r="F62" s="10">
        <f>IF(INDEX(Banco!$F:$F,ROW())="","",INDEX(Banco!$F:$F,ROW()))</f>
        <v/>
      </c>
      <c r="G62" s="10">
        <f>IF(INDEX(Banco!$G:$G,ROW())="","",INDEX(Banco!$G:$G,ROW()))</f>
        <v/>
      </c>
      <c r="H62" s="8">
        <f>IF(INDEX(Banco!$H:$H,ROW())="","",INDEX(Banco!$H:$H,ROW()))</f>
        <v/>
      </c>
      <c r="I62">
        <f>IF($T62="","",INT($T62/12)&amp;"a "&amp;MOD($T62,12)&amp;"m")</f>
        <v/>
      </c>
      <c r="J62" s="11">
        <f>IF(OR($F62="",$G62=""),"",ROUND($F62/($G62/100)^2,2))</f>
        <v/>
      </c>
      <c r="K62" s="12">
        <f>IF(OR($S62="",$J62="",$T62="",$T62&lt;0,$T62&gt;228,$Y62=""),"—",ROUND(IF(ABS($AB62)&lt;=3,$AB62,IF($AB62&gt;3,3+($J62-$AD62)/($AD62-$AC62),-3+($J62-$AF62)/($AE62-$AF62))),2))</f>
        <v/>
      </c>
      <c r="L62">
        <f>IF(OR($K62="",$K62="—"),"",IF($T62&lt;=60,IF($K62&lt;-3,"Magreza acentuada",IF($K62&lt;-2,"Magreza",IF($K62&lt;=1,"Eutrofia",IF($K62&lt;=2,"Risco de sobrepeso",IF($K62&lt;=3,"Sobrepeso","Obesidade"))))),IF($K62&lt;-3,"Magreza acentuada",IF($K62&lt;-2,"Magreza",IF($K62&lt;=1,"Eutrofia",IF($K62&lt;=2,"Sobrepeso",IF($K62&lt;=3,"Obesidade","Obesidade grave")))))))</f>
        <v/>
      </c>
      <c r="M62" s="12">
        <f>IF(OR($S62="",$V62="",$T62="",$T62&lt;0,$T62&gt;228,$AG62=""),"—",ROUND(IF($AG62=0,LN($V62/$AH62)/$AI62,((($V62/$AH62)^$AG62)-1)/($AG62*$AI62)),2))</f>
        <v/>
      </c>
      <c r="N62">
        <f>IF(OR($M62="",$M62="—"),"",IF($M62&lt;-3,"Muito baixa",IF($M62&lt;-2,"Baixa","Adequada")))</f>
        <v/>
      </c>
      <c r="O62" s="12">
        <f>IF(OR($S62="",$F62="",$T62="",$T62&lt;0,$T62&gt;120,$AJ62=""),"—",ROUND(IF(ABS($AM62)&lt;=3,$AM62,IF($AM62&gt;3,3+($F62-$AO62)/($AO62-$AN62),-3+($F62-$AQ62)/($AP62-$AQ62))),2))</f>
        <v/>
      </c>
      <c r="P62">
        <f>IF(OR($O62="",$O62="—"),"",IF($O62&lt;-3,"Muito baixo",IF($O62&lt;-2,"Baixo",IF($O62&lt;=2,"Adequado","Elevado"))))</f>
        <v/>
      </c>
      <c r="Q62" s="12">
        <f>IF(OR($S62="",$F62="",$T62="",$T62&lt;0,$T62&gt;60,$AR62=""),"—",ROUND(IF(ABS($AU62)&lt;=3,$AU62,IF($AU62&gt;3,3+($F62-$AW62)/($AW62-$AV62),-3+($F62-$AY62)/($AX62-$AY62))),2))</f>
        <v/>
      </c>
      <c r="R62">
        <f>IF(OR($Q62="",$Q62="—"),"",IF($Q62&lt;-3,"Magreza acentuada",IF($Q62&lt;-2,"Magreza",IF($Q62&lt;=1,"Eutrofia",IF($Q62&lt;=2,"Risco de sobrepeso",IF($Q62&lt;=3,"Sobrepeso","Obesidade"))))))</f>
        <v/>
      </c>
      <c r="S62">
        <f>IF($C62="","",IF(UPPER(LEFT($C62,1))="M",1,IF(UPPER(LEFT($C62,1))="F",2,"")))</f>
        <v/>
      </c>
      <c r="T62">
        <f>IF(OR($D62="",$E62=""),"",DATEDIF($D62,$E62,"m"))</f>
        <v/>
      </c>
      <c r="U62">
        <f>IF(OR($D62="",$E62=""),"",$E62-$D62)</f>
        <v/>
      </c>
      <c r="V62">
        <f>IF(OR($G62="",$T62=""),"",IF($T62&lt;24,IF(LEFT(LOWER($H62),4)="em p",$G62+0.7,$G62),IF(LEFT(LOWER($H62),4)="deit",$G62-0.7,$G62)))</f>
        <v/>
      </c>
      <c r="W62">
        <f>IF(OR($S62="",$T62=""),"",$S62*1000000+IF($T62&lt;=60,$U62,$T62))</f>
        <v/>
      </c>
      <c r="X62">
        <f>IF(OR($S62="",$V62="",$T62&gt;60,$T62=""),"",$S62*1000000+ROUND($V62*10,0))</f>
        <v/>
      </c>
      <c r="Y62">
        <f>IF($W62="","",IFERROR(INDEX(IF($T62&lt;=60,imc05_l,imc519_l),MATCH($W62,IF($T62&lt;=60,imc05_k,imc519_k),1)),""))</f>
        <v/>
      </c>
      <c r="Z62">
        <f>IF($W62="","",IFERROR(INDEX(IF($T62&lt;=60,imc05_m,imc519_m),MATCH($W62,IF($T62&lt;=60,imc05_k,imc519_k),1)),""))</f>
        <v/>
      </c>
      <c r="AA62">
        <f>IF($W62="","",IFERROR(INDEX(IF($T62&lt;=60,imc05_s,imc519_s),MATCH($W62,IF($T62&lt;=60,imc05_k,imc519_k),1)),""))</f>
        <v/>
      </c>
      <c r="AB62">
        <f>IF($Y62="","",IF($Y62=0,LN($J62/$Z62)/$AA62,((($J62/$Z62)^$Y62)-1)/($Y62*$AA62)))</f>
        <v/>
      </c>
      <c r="AC62">
        <f>IF($Y62="","",IF($Y62=0,$Z62*EXP($AA62*2),$Z62*(1+$Y62*$AA62*2)^(1/$Y62)))</f>
        <v/>
      </c>
      <c r="AD62">
        <f>IF($Y62="","",IF($Y62=0,$Z62*EXP($AA62*3),$Z62*(1+$Y62*$AA62*3)^(1/$Y62)))</f>
        <v/>
      </c>
      <c r="AE62">
        <f>IF($Y62="","",IF($Y62=0,$Z62*EXP($AA62*-2),$Z62*(1+$Y62*$AA62*-2)^(1/$Y62)))</f>
        <v/>
      </c>
      <c r="AF62">
        <f>IF($Y62="","",IF($Y62=0,$Z62*EXP($AA62*-3),$Z62*(1+$Y62*$AA62*-3)^(1/$Y62)))</f>
        <v/>
      </c>
      <c r="AG62">
        <f>IF($W62="","",IFERROR(INDEX(IF($T62&lt;=60,est05_l,est519_l),MATCH($W62,IF($T62&lt;=60,est05_k,est519_k),1)),""))</f>
        <v/>
      </c>
      <c r="AH62">
        <f>IF($W62="","",IFERROR(INDEX(IF($T62&lt;=60,est05_m,est519_m),MATCH($W62,IF($T62&lt;=60,est05_k,est519_k),1)),""))</f>
        <v/>
      </c>
      <c r="AI62">
        <f>IF($W62="","",IFERROR(INDEX(IF($T62&lt;=60,est05_s,est519_s),MATCH($W62,IF($T62&lt;=60,est05_k,est519_k),1)),""))</f>
        <v/>
      </c>
      <c r="AJ62">
        <f>IF($W62="","",IFERROR(INDEX(IF($T62&lt;=60,peso05_l,peso510_l),MATCH($W62,IF($T62&lt;=60,peso05_k,peso510_k),1)),""))</f>
        <v/>
      </c>
      <c r="AK62">
        <f>IF($W62="","",IFERROR(INDEX(IF($T62&lt;=60,peso05_m,peso510_m),MATCH($W62,IF($T62&lt;=60,peso05_k,peso510_k),1)),""))</f>
        <v/>
      </c>
      <c r="AL62">
        <f>IF($W62="","",IFERROR(INDEX(IF($T62&lt;=60,peso05_s,peso510_s),MATCH($W62,IF($T62&lt;=60,peso05_k,peso510_k),1)),""))</f>
        <v/>
      </c>
      <c r="AM62">
        <f>IF($AJ62="","",IF($AJ62=0,LN($F62/$AK62)/$AL62,((($F62/$AK62)^$AJ62)-1)/($AJ62*$AL62)))</f>
        <v/>
      </c>
      <c r="AN62">
        <f>IF($AJ62="","",IF($AJ62=0,$AK62*EXP($AL62*2),$AK62*(1+$AJ62*$AL62*2)^(1/$AJ62)))</f>
        <v/>
      </c>
      <c r="AO62">
        <f>IF($AJ62="","",IF($AJ62=0,$AK62*EXP($AL62*3),$AK62*(1+$AJ62*$AL62*3)^(1/$AJ62)))</f>
        <v/>
      </c>
      <c r="AP62">
        <f>IF($AJ62="","",IF($AJ62=0,$AK62*EXP($AL62*-2),$AK62*(1+$AJ62*$AL62*-2)^(1/$AJ62)))</f>
        <v/>
      </c>
      <c r="AQ62">
        <f>IF($AJ62="","",IF($AJ62=0,$AK62*EXP($AL62*-3),$AK62*(1+$AJ62*$AL62*-3)^(1/$AJ62)))</f>
        <v/>
      </c>
      <c r="AR62">
        <f>IF(OR($X62="",$T62&gt;60),"",IFERROR(INDEX(IF($T62&lt;24,pcomp_l,palt_l),MATCH($X62,IF($T62&lt;24,pcomp_k,palt_k),1)),""))</f>
        <v/>
      </c>
      <c r="AS62">
        <f>IF(OR($X62="",$T62&gt;60),"",IFERROR(INDEX(IF($T62&lt;24,pcomp_m,palt_m),MATCH($X62,IF($T62&lt;24,pcomp_k,palt_k),1)),""))</f>
        <v/>
      </c>
      <c r="AT62">
        <f>IF(OR($X62="",$T62&gt;60),"",IFERROR(INDEX(IF($T62&lt;24,pcomp_s,palt_s),MATCH($X62,IF($T62&lt;24,pcomp_k,palt_k),1)),""))</f>
        <v/>
      </c>
      <c r="AU62">
        <f>IF($AR62="","",IF($AR62=0,LN($F62/$AS62)/$AT62,((($F62/$AS62)^$AR62)-1)/($AR62*$AT62)))</f>
        <v/>
      </c>
      <c r="AV62">
        <f>IF($AR62="","",IF($AR62=0,$AS62*EXP($AT62*2),$AS62*(1+$AR62*$AT62*2)^(1/$AR62)))</f>
        <v/>
      </c>
      <c r="AW62">
        <f>IF($AR62="","",IF($AR62=0,$AS62*EXP($AT62*3),$AS62*(1+$AR62*$AT62*3)^(1/$AR62)))</f>
        <v/>
      </c>
      <c r="AX62">
        <f>IF($AR62="","",IF($AR62=0,$AS62*EXP($AT62*-2),$AS62*(1+$AR62*$AT62*-2)^(1/$AR62)))</f>
        <v/>
      </c>
      <c r="AY62">
        <f>IF($AR62="","",IF($AR62=0,$AS62*EXP($AT62*-3),$AS62*(1+$AR62*$AT62*-3)^(1/$AR62)))</f>
        <v/>
      </c>
      <c r="AZ62">
        <f>IF(OR($A62="",$A62&lt;&gt;Ficha!$C$4),"",COUNTIF($A$2:$A62,Ficha!$C$4))</f>
        <v/>
      </c>
    </row>
    <row r="63">
      <c r="A63" s="8">
        <f>IF(INDEX(Banco!$A:$A,ROW())="","",INDEX(Banco!$A:$A,ROW()))</f>
        <v/>
      </c>
      <c r="B63" s="8">
        <f>IF(INDEX(Banco!$B:$B,ROW())="","",INDEX(Banco!$B:$B,ROW()))</f>
        <v/>
      </c>
      <c r="C63" s="8">
        <f>IF(INDEX(Banco!$C:$C,ROW())="","",INDEX(Banco!$C:$C,ROW()))</f>
        <v/>
      </c>
      <c r="D63" s="9">
        <f>IF(INDEX(Banco!$D:$D,ROW())="","",INDEX(Banco!$D:$D,ROW()))</f>
        <v/>
      </c>
      <c r="E63" s="9">
        <f>IF(INDEX(Banco!$E:$E,ROW())="","",INDEX(Banco!$E:$E,ROW()))</f>
        <v/>
      </c>
      <c r="F63" s="10">
        <f>IF(INDEX(Banco!$F:$F,ROW())="","",INDEX(Banco!$F:$F,ROW()))</f>
        <v/>
      </c>
      <c r="G63" s="10">
        <f>IF(INDEX(Banco!$G:$G,ROW())="","",INDEX(Banco!$G:$G,ROW()))</f>
        <v/>
      </c>
      <c r="H63" s="8">
        <f>IF(INDEX(Banco!$H:$H,ROW())="","",INDEX(Banco!$H:$H,ROW()))</f>
        <v/>
      </c>
      <c r="I63">
        <f>IF($T63="","",INT($T63/12)&amp;"a "&amp;MOD($T63,12)&amp;"m")</f>
        <v/>
      </c>
      <c r="J63" s="11">
        <f>IF(OR($F63="",$G63=""),"",ROUND($F63/($G63/100)^2,2))</f>
        <v/>
      </c>
      <c r="K63" s="12">
        <f>IF(OR($S63="",$J63="",$T63="",$T63&lt;0,$T63&gt;228,$Y63=""),"—",ROUND(IF(ABS($AB63)&lt;=3,$AB63,IF($AB63&gt;3,3+($J63-$AD63)/($AD63-$AC63),-3+($J63-$AF63)/($AE63-$AF63))),2))</f>
        <v/>
      </c>
      <c r="L63">
        <f>IF(OR($K63="",$K63="—"),"",IF($T63&lt;=60,IF($K63&lt;-3,"Magreza acentuada",IF($K63&lt;-2,"Magreza",IF($K63&lt;=1,"Eutrofia",IF($K63&lt;=2,"Risco de sobrepeso",IF($K63&lt;=3,"Sobrepeso","Obesidade"))))),IF($K63&lt;-3,"Magreza acentuada",IF($K63&lt;-2,"Magreza",IF($K63&lt;=1,"Eutrofia",IF($K63&lt;=2,"Sobrepeso",IF($K63&lt;=3,"Obesidade","Obesidade grave")))))))</f>
        <v/>
      </c>
      <c r="M63" s="12">
        <f>IF(OR($S63="",$V63="",$T63="",$T63&lt;0,$T63&gt;228,$AG63=""),"—",ROUND(IF($AG63=0,LN($V63/$AH63)/$AI63,((($V63/$AH63)^$AG63)-1)/($AG63*$AI63)),2))</f>
        <v/>
      </c>
      <c r="N63">
        <f>IF(OR($M63="",$M63="—"),"",IF($M63&lt;-3,"Muito baixa",IF($M63&lt;-2,"Baixa","Adequada")))</f>
        <v/>
      </c>
      <c r="O63" s="12">
        <f>IF(OR($S63="",$F63="",$T63="",$T63&lt;0,$T63&gt;120,$AJ63=""),"—",ROUND(IF(ABS($AM63)&lt;=3,$AM63,IF($AM63&gt;3,3+($F63-$AO63)/($AO63-$AN63),-3+($F63-$AQ63)/($AP63-$AQ63))),2))</f>
        <v/>
      </c>
      <c r="P63">
        <f>IF(OR($O63="",$O63="—"),"",IF($O63&lt;-3,"Muito baixo",IF($O63&lt;-2,"Baixo",IF($O63&lt;=2,"Adequado","Elevado"))))</f>
        <v/>
      </c>
      <c r="Q63" s="12">
        <f>IF(OR($S63="",$F63="",$T63="",$T63&lt;0,$T63&gt;60,$AR63=""),"—",ROUND(IF(ABS($AU63)&lt;=3,$AU63,IF($AU63&gt;3,3+($F63-$AW63)/($AW63-$AV63),-3+($F63-$AY63)/($AX63-$AY63))),2))</f>
        <v/>
      </c>
      <c r="R63">
        <f>IF(OR($Q63="",$Q63="—"),"",IF($Q63&lt;-3,"Magreza acentuada",IF($Q63&lt;-2,"Magreza",IF($Q63&lt;=1,"Eutrofia",IF($Q63&lt;=2,"Risco de sobrepeso",IF($Q63&lt;=3,"Sobrepeso","Obesidade"))))))</f>
        <v/>
      </c>
      <c r="S63">
        <f>IF($C63="","",IF(UPPER(LEFT($C63,1))="M",1,IF(UPPER(LEFT($C63,1))="F",2,"")))</f>
        <v/>
      </c>
      <c r="T63">
        <f>IF(OR($D63="",$E63=""),"",DATEDIF($D63,$E63,"m"))</f>
        <v/>
      </c>
      <c r="U63">
        <f>IF(OR($D63="",$E63=""),"",$E63-$D63)</f>
        <v/>
      </c>
      <c r="V63">
        <f>IF(OR($G63="",$T63=""),"",IF($T63&lt;24,IF(LEFT(LOWER($H63),4)="em p",$G63+0.7,$G63),IF(LEFT(LOWER($H63),4)="deit",$G63-0.7,$G63)))</f>
        <v/>
      </c>
      <c r="W63">
        <f>IF(OR($S63="",$T63=""),"",$S63*1000000+IF($T63&lt;=60,$U63,$T63))</f>
        <v/>
      </c>
      <c r="X63">
        <f>IF(OR($S63="",$V63="",$T63&gt;60,$T63=""),"",$S63*1000000+ROUND($V63*10,0))</f>
        <v/>
      </c>
      <c r="Y63">
        <f>IF($W63="","",IFERROR(INDEX(IF($T63&lt;=60,imc05_l,imc519_l),MATCH($W63,IF($T63&lt;=60,imc05_k,imc519_k),1)),""))</f>
        <v/>
      </c>
      <c r="Z63">
        <f>IF($W63="","",IFERROR(INDEX(IF($T63&lt;=60,imc05_m,imc519_m),MATCH($W63,IF($T63&lt;=60,imc05_k,imc519_k),1)),""))</f>
        <v/>
      </c>
      <c r="AA63">
        <f>IF($W63="","",IFERROR(INDEX(IF($T63&lt;=60,imc05_s,imc519_s),MATCH($W63,IF($T63&lt;=60,imc05_k,imc519_k),1)),""))</f>
        <v/>
      </c>
      <c r="AB63">
        <f>IF($Y63="","",IF($Y63=0,LN($J63/$Z63)/$AA63,((($J63/$Z63)^$Y63)-1)/($Y63*$AA63)))</f>
        <v/>
      </c>
      <c r="AC63">
        <f>IF($Y63="","",IF($Y63=0,$Z63*EXP($AA63*2),$Z63*(1+$Y63*$AA63*2)^(1/$Y63)))</f>
        <v/>
      </c>
      <c r="AD63">
        <f>IF($Y63="","",IF($Y63=0,$Z63*EXP($AA63*3),$Z63*(1+$Y63*$AA63*3)^(1/$Y63)))</f>
        <v/>
      </c>
      <c r="AE63">
        <f>IF($Y63="","",IF($Y63=0,$Z63*EXP($AA63*-2),$Z63*(1+$Y63*$AA63*-2)^(1/$Y63)))</f>
        <v/>
      </c>
      <c r="AF63">
        <f>IF($Y63="","",IF($Y63=0,$Z63*EXP($AA63*-3),$Z63*(1+$Y63*$AA63*-3)^(1/$Y63)))</f>
        <v/>
      </c>
      <c r="AG63">
        <f>IF($W63="","",IFERROR(INDEX(IF($T63&lt;=60,est05_l,est519_l),MATCH($W63,IF($T63&lt;=60,est05_k,est519_k),1)),""))</f>
        <v/>
      </c>
      <c r="AH63">
        <f>IF($W63="","",IFERROR(INDEX(IF($T63&lt;=60,est05_m,est519_m),MATCH($W63,IF($T63&lt;=60,est05_k,est519_k),1)),""))</f>
        <v/>
      </c>
      <c r="AI63">
        <f>IF($W63="","",IFERROR(INDEX(IF($T63&lt;=60,est05_s,est519_s),MATCH($W63,IF($T63&lt;=60,est05_k,est519_k),1)),""))</f>
        <v/>
      </c>
      <c r="AJ63">
        <f>IF($W63="","",IFERROR(INDEX(IF($T63&lt;=60,peso05_l,peso510_l),MATCH($W63,IF($T63&lt;=60,peso05_k,peso510_k),1)),""))</f>
        <v/>
      </c>
      <c r="AK63">
        <f>IF($W63="","",IFERROR(INDEX(IF($T63&lt;=60,peso05_m,peso510_m),MATCH($W63,IF($T63&lt;=60,peso05_k,peso510_k),1)),""))</f>
        <v/>
      </c>
      <c r="AL63">
        <f>IF($W63="","",IFERROR(INDEX(IF($T63&lt;=60,peso05_s,peso510_s),MATCH($W63,IF($T63&lt;=60,peso05_k,peso510_k),1)),""))</f>
        <v/>
      </c>
      <c r="AM63">
        <f>IF($AJ63="","",IF($AJ63=0,LN($F63/$AK63)/$AL63,((($F63/$AK63)^$AJ63)-1)/($AJ63*$AL63)))</f>
        <v/>
      </c>
      <c r="AN63">
        <f>IF($AJ63="","",IF($AJ63=0,$AK63*EXP($AL63*2),$AK63*(1+$AJ63*$AL63*2)^(1/$AJ63)))</f>
        <v/>
      </c>
      <c r="AO63">
        <f>IF($AJ63="","",IF($AJ63=0,$AK63*EXP($AL63*3),$AK63*(1+$AJ63*$AL63*3)^(1/$AJ63)))</f>
        <v/>
      </c>
      <c r="AP63">
        <f>IF($AJ63="","",IF($AJ63=0,$AK63*EXP($AL63*-2),$AK63*(1+$AJ63*$AL63*-2)^(1/$AJ63)))</f>
        <v/>
      </c>
      <c r="AQ63">
        <f>IF($AJ63="","",IF($AJ63=0,$AK63*EXP($AL63*-3),$AK63*(1+$AJ63*$AL63*-3)^(1/$AJ63)))</f>
        <v/>
      </c>
      <c r="AR63">
        <f>IF(OR($X63="",$T63&gt;60),"",IFERROR(INDEX(IF($T63&lt;24,pcomp_l,palt_l),MATCH($X63,IF($T63&lt;24,pcomp_k,palt_k),1)),""))</f>
        <v/>
      </c>
      <c r="AS63">
        <f>IF(OR($X63="",$T63&gt;60),"",IFERROR(INDEX(IF($T63&lt;24,pcomp_m,palt_m),MATCH($X63,IF($T63&lt;24,pcomp_k,palt_k),1)),""))</f>
        <v/>
      </c>
      <c r="AT63">
        <f>IF(OR($X63="",$T63&gt;60),"",IFERROR(INDEX(IF($T63&lt;24,pcomp_s,palt_s),MATCH($X63,IF($T63&lt;24,pcomp_k,palt_k),1)),""))</f>
        <v/>
      </c>
      <c r="AU63">
        <f>IF($AR63="","",IF($AR63=0,LN($F63/$AS63)/$AT63,((($F63/$AS63)^$AR63)-1)/($AR63*$AT63)))</f>
        <v/>
      </c>
      <c r="AV63">
        <f>IF($AR63="","",IF($AR63=0,$AS63*EXP($AT63*2),$AS63*(1+$AR63*$AT63*2)^(1/$AR63)))</f>
        <v/>
      </c>
      <c r="AW63">
        <f>IF($AR63="","",IF($AR63=0,$AS63*EXP($AT63*3),$AS63*(1+$AR63*$AT63*3)^(1/$AR63)))</f>
        <v/>
      </c>
      <c r="AX63">
        <f>IF($AR63="","",IF($AR63=0,$AS63*EXP($AT63*-2),$AS63*(1+$AR63*$AT63*-2)^(1/$AR63)))</f>
        <v/>
      </c>
      <c r="AY63">
        <f>IF($AR63="","",IF($AR63=0,$AS63*EXP($AT63*-3),$AS63*(1+$AR63*$AT63*-3)^(1/$AR63)))</f>
        <v/>
      </c>
      <c r="AZ63">
        <f>IF(OR($A63="",$A63&lt;&gt;Ficha!$C$4),"",COUNTIF($A$2:$A63,Ficha!$C$4))</f>
        <v/>
      </c>
    </row>
    <row r="64">
      <c r="A64" s="8">
        <f>IF(INDEX(Banco!$A:$A,ROW())="","",INDEX(Banco!$A:$A,ROW()))</f>
        <v/>
      </c>
      <c r="B64" s="8">
        <f>IF(INDEX(Banco!$B:$B,ROW())="","",INDEX(Banco!$B:$B,ROW()))</f>
        <v/>
      </c>
      <c r="C64" s="8">
        <f>IF(INDEX(Banco!$C:$C,ROW())="","",INDEX(Banco!$C:$C,ROW()))</f>
        <v/>
      </c>
      <c r="D64" s="9">
        <f>IF(INDEX(Banco!$D:$D,ROW())="","",INDEX(Banco!$D:$D,ROW()))</f>
        <v/>
      </c>
      <c r="E64" s="9">
        <f>IF(INDEX(Banco!$E:$E,ROW())="","",INDEX(Banco!$E:$E,ROW()))</f>
        <v/>
      </c>
      <c r="F64" s="10">
        <f>IF(INDEX(Banco!$F:$F,ROW())="","",INDEX(Banco!$F:$F,ROW()))</f>
        <v/>
      </c>
      <c r="G64" s="10">
        <f>IF(INDEX(Banco!$G:$G,ROW())="","",INDEX(Banco!$G:$G,ROW()))</f>
        <v/>
      </c>
      <c r="H64" s="8">
        <f>IF(INDEX(Banco!$H:$H,ROW())="","",INDEX(Banco!$H:$H,ROW()))</f>
        <v/>
      </c>
      <c r="I64">
        <f>IF($T64="","",INT($T64/12)&amp;"a "&amp;MOD($T64,12)&amp;"m")</f>
        <v/>
      </c>
      <c r="J64" s="11">
        <f>IF(OR($F64="",$G64=""),"",ROUND($F64/($G64/100)^2,2))</f>
        <v/>
      </c>
      <c r="K64" s="12">
        <f>IF(OR($S64="",$J64="",$T64="",$T64&lt;0,$T64&gt;228,$Y64=""),"—",ROUND(IF(ABS($AB64)&lt;=3,$AB64,IF($AB64&gt;3,3+($J64-$AD64)/($AD64-$AC64),-3+($J64-$AF64)/($AE64-$AF64))),2))</f>
        <v/>
      </c>
      <c r="L64">
        <f>IF(OR($K64="",$K64="—"),"",IF($T64&lt;=60,IF($K64&lt;-3,"Magreza acentuada",IF($K64&lt;-2,"Magreza",IF($K64&lt;=1,"Eutrofia",IF($K64&lt;=2,"Risco de sobrepeso",IF($K64&lt;=3,"Sobrepeso","Obesidade"))))),IF($K64&lt;-3,"Magreza acentuada",IF($K64&lt;-2,"Magreza",IF($K64&lt;=1,"Eutrofia",IF($K64&lt;=2,"Sobrepeso",IF($K64&lt;=3,"Obesidade","Obesidade grave")))))))</f>
        <v/>
      </c>
      <c r="M64" s="12">
        <f>IF(OR($S64="",$V64="",$T64="",$T64&lt;0,$T64&gt;228,$AG64=""),"—",ROUND(IF($AG64=0,LN($V64/$AH64)/$AI64,((($V64/$AH64)^$AG64)-1)/($AG64*$AI64)),2))</f>
        <v/>
      </c>
      <c r="N64">
        <f>IF(OR($M64="",$M64="—"),"",IF($M64&lt;-3,"Muito baixa",IF($M64&lt;-2,"Baixa","Adequada")))</f>
        <v/>
      </c>
      <c r="O64" s="12">
        <f>IF(OR($S64="",$F64="",$T64="",$T64&lt;0,$T64&gt;120,$AJ64=""),"—",ROUND(IF(ABS($AM64)&lt;=3,$AM64,IF($AM64&gt;3,3+($F64-$AO64)/($AO64-$AN64),-3+($F64-$AQ64)/($AP64-$AQ64))),2))</f>
        <v/>
      </c>
      <c r="P64">
        <f>IF(OR($O64="",$O64="—"),"",IF($O64&lt;-3,"Muito baixo",IF($O64&lt;-2,"Baixo",IF($O64&lt;=2,"Adequado","Elevado"))))</f>
        <v/>
      </c>
      <c r="Q64" s="12">
        <f>IF(OR($S64="",$F64="",$T64="",$T64&lt;0,$T64&gt;60,$AR64=""),"—",ROUND(IF(ABS($AU64)&lt;=3,$AU64,IF($AU64&gt;3,3+($F64-$AW64)/($AW64-$AV64),-3+($F64-$AY64)/($AX64-$AY64))),2))</f>
        <v/>
      </c>
      <c r="R64">
        <f>IF(OR($Q64="",$Q64="—"),"",IF($Q64&lt;-3,"Magreza acentuada",IF($Q64&lt;-2,"Magreza",IF($Q64&lt;=1,"Eutrofia",IF($Q64&lt;=2,"Risco de sobrepeso",IF($Q64&lt;=3,"Sobrepeso","Obesidade"))))))</f>
        <v/>
      </c>
      <c r="S64">
        <f>IF($C64="","",IF(UPPER(LEFT($C64,1))="M",1,IF(UPPER(LEFT($C64,1))="F",2,"")))</f>
        <v/>
      </c>
      <c r="T64">
        <f>IF(OR($D64="",$E64=""),"",DATEDIF($D64,$E64,"m"))</f>
        <v/>
      </c>
      <c r="U64">
        <f>IF(OR($D64="",$E64=""),"",$E64-$D64)</f>
        <v/>
      </c>
      <c r="V64">
        <f>IF(OR($G64="",$T64=""),"",IF($T64&lt;24,IF(LEFT(LOWER($H64),4)="em p",$G64+0.7,$G64),IF(LEFT(LOWER($H64),4)="deit",$G64-0.7,$G64)))</f>
        <v/>
      </c>
      <c r="W64">
        <f>IF(OR($S64="",$T64=""),"",$S64*1000000+IF($T64&lt;=60,$U64,$T64))</f>
        <v/>
      </c>
      <c r="X64">
        <f>IF(OR($S64="",$V64="",$T64&gt;60,$T64=""),"",$S64*1000000+ROUND($V64*10,0))</f>
        <v/>
      </c>
      <c r="Y64">
        <f>IF($W64="","",IFERROR(INDEX(IF($T64&lt;=60,imc05_l,imc519_l),MATCH($W64,IF($T64&lt;=60,imc05_k,imc519_k),1)),""))</f>
        <v/>
      </c>
      <c r="Z64">
        <f>IF($W64="","",IFERROR(INDEX(IF($T64&lt;=60,imc05_m,imc519_m),MATCH($W64,IF($T64&lt;=60,imc05_k,imc519_k),1)),""))</f>
        <v/>
      </c>
      <c r="AA64">
        <f>IF($W64="","",IFERROR(INDEX(IF($T64&lt;=60,imc05_s,imc519_s),MATCH($W64,IF($T64&lt;=60,imc05_k,imc519_k),1)),""))</f>
        <v/>
      </c>
      <c r="AB64">
        <f>IF($Y64="","",IF($Y64=0,LN($J64/$Z64)/$AA64,((($J64/$Z64)^$Y64)-1)/($Y64*$AA64)))</f>
        <v/>
      </c>
      <c r="AC64">
        <f>IF($Y64="","",IF($Y64=0,$Z64*EXP($AA64*2),$Z64*(1+$Y64*$AA64*2)^(1/$Y64)))</f>
        <v/>
      </c>
      <c r="AD64">
        <f>IF($Y64="","",IF($Y64=0,$Z64*EXP($AA64*3),$Z64*(1+$Y64*$AA64*3)^(1/$Y64)))</f>
        <v/>
      </c>
      <c r="AE64">
        <f>IF($Y64="","",IF($Y64=0,$Z64*EXP($AA64*-2),$Z64*(1+$Y64*$AA64*-2)^(1/$Y64)))</f>
        <v/>
      </c>
      <c r="AF64">
        <f>IF($Y64="","",IF($Y64=0,$Z64*EXP($AA64*-3),$Z64*(1+$Y64*$AA64*-3)^(1/$Y64)))</f>
        <v/>
      </c>
      <c r="AG64">
        <f>IF($W64="","",IFERROR(INDEX(IF($T64&lt;=60,est05_l,est519_l),MATCH($W64,IF($T64&lt;=60,est05_k,est519_k),1)),""))</f>
        <v/>
      </c>
      <c r="AH64">
        <f>IF($W64="","",IFERROR(INDEX(IF($T64&lt;=60,est05_m,est519_m),MATCH($W64,IF($T64&lt;=60,est05_k,est519_k),1)),""))</f>
        <v/>
      </c>
      <c r="AI64">
        <f>IF($W64="","",IFERROR(INDEX(IF($T64&lt;=60,est05_s,est519_s),MATCH($W64,IF($T64&lt;=60,est05_k,est519_k),1)),""))</f>
        <v/>
      </c>
      <c r="AJ64">
        <f>IF($W64="","",IFERROR(INDEX(IF($T64&lt;=60,peso05_l,peso510_l),MATCH($W64,IF($T64&lt;=60,peso05_k,peso510_k),1)),""))</f>
        <v/>
      </c>
      <c r="AK64">
        <f>IF($W64="","",IFERROR(INDEX(IF($T64&lt;=60,peso05_m,peso510_m),MATCH($W64,IF($T64&lt;=60,peso05_k,peso510_k),1)),""))</f>
        <v/>
      </c>
      <c r="AL64">
        <f>IF($W64="","",IFERROR(INDEX(IF($T64&lt;=60,peso05_s,peso510_s),MATCH($W64,IF($T64&lt;=60,peso05_k,peso510_k),1)),""))</f>
        <v/>
      </c>
      <c r="AM64">
        <f>IF($AJ64="","",IF($AJ64=0,LN($F64/$AK64)/$AL64,((($F64/$AK64)^$AJ64)-1)/($AJ64*$AL64)))</f>
        <v/>
      </c>
      <c r="AN64">
        <f>IF($AJ64="","",IF($AJ64=0,$AK64*EXP($AL64*2),$AK64*(1+$AJ64*$AL64*2)^(1/$AJ64)))</f>
        <v/>
      </c>
      <c r="AO64">
        <f>IF($AJ64="","",IF($AJ64=0,$AK64*EXP($AL64*3),$AK64*(1+$AJ64*$AL64*3)^(1/$AJ64)))</f>
        <v/>
      </c>
      <c r="AP64">
        <f>IF($AJ64="","",IF($AJ64=0,$AK64*EXP($AL64*-2),$AK64*(1+$AJ64*$AL64*-2)^(1/$AJ64)))</f>
        <v/>
      </c>
      <c r="AQ64">
        <f>IF($AJ64="","",IF($AJ64=0,$AK64*EXP($AL64*-3),$AK64*(1+$AJ64*$AL64*-3)^(1/$AJ64)))</f>
        <v/>
      </c>
      <c r="AR64">
        <f>IF(OR($X64="",$T64&gt;60),"",IFERROR(INDEX(IF($T64&lt;24,pcomp_l,palt_l),MATCH($X64,IF($T64&lt;24,pcomp_k,palt_k),1)),""))</f>
        <v/>
      </c>
      <c r="AS64">
        <f>IF(OR($X64="",$T64&gt;60),"",IFERROR(INDEX(IF($T64&lt;24,pcomp_m,palt_m),MATCH($X64,IF($T64&lt;24,pcomp_k,palt_k),1)),""))</f>
        <v/>
      </c>
      <c r="AT64">
        <f>IF(OR($X64="",$T64&gt;60),"",IFERROR(INDEX(IF($T64&lt;24,pcomp_s,palt_s),MATCH($X64,IF($T64&lt;24,pcomp_k,palt_k),1)),""))</f>
        <v/>
      </c>
      <c r="AU64">
        <f>IF($AR64="","",IF($AR64=0,LN($F64/$AS64)/$AT64,((($F64/$AS64)^$AR64)-1)/($AR64*$AT64)))</f>
        <v/>
      </c>
      <c r="AV64">
        <f>IF($AR64="","",IF($AR64=0,$AS64*EXP($AT64*2),$AS64*(1+$AR64*$AT64*2)^(1/$AR64)))</f>
        <v/>
      </c>
      <c r="AW64">
        <f>IF($AR64="","",IF($AR64=0,$AS64*EXP($AT64*3),$AS64*(1+$AR64*$AT64*3)^(1/$AR64)))</f>
        <v/>
      </c>
      <c r="AX64">
        <f>IF($AR64="","",IF($AR64=0,$AS64*EXP($AT64*-2),$AS64*(1+$AR64*$AT64*-2)^(1/$AR64)))</f>
        <v/>
      </c>
      <c r="AY64">
        <f>IF($AR64="","",IF($AR64=0,$AS64*EXP($AT64*-3),$AS64*(1+$AR64*$AT64*-3)^(1/$AR64)))</f>
        <v/>
      </c>
      <c r="AZ64">
        <f>IF(OR($A64="",$A64&lt;&gt;Ficha!$C$4),"",COUNTIF($A$2:$A64,Ficha!$C$4))</f>
        <v/>
      </c>
    </row>
    <row r="65">
      <c r="A65" s="8">
        <f>IF(INDEX(Banco!$A:$A,ROW())="","",INDEX(Banco!$A:$A,ROW()))</f>
        <v/>
      </c>
      <c r="B65" s="8">
        <f>IF(INDEX(Banco!$B:$B,ROW())="","",INDEX(Banco!$B:$B,ROW()))</f>
        <v/>
      </c>
      <c r="C65" s="8">
        <f>IF(INDEX(Banco!$C:$C,ROW())="","",INDEX(Banco!$C:$C,ROW()))</f>
        <v/>
      </c>
      <c r="D65" s="9">
        <f>IF(INDEX(Banco!$D:$D,ROW())="","",INDEX(Banco!$D:$D,ROW()))</f>
        <v/>
      </c>
      <c r="E65" s="9">
        <f>IF(INDEX(Banco!$E:$E,ROW())="","",INDEX(Banco!$E:$E,ROW()))</f>
        <v/>
      </c>
      <c r="F65" s="10">
        <f>IF(INDEX(Banco!$F:$F,ROW())="","",INDEX(Banco!$F:$F,ROW()))</f>
        <v/>
      </c>
      <c r="G65" s="10">
        <f>IF(INDEX(Banco!$G:$G,ROW())="","",INDEX(Banco!$G:$G,ROW()))</f>
        <v/>
      </c>
      <c r="H65" s="8">
        <f>IF(INDEX(Banco!$H:$H,ROW())="","",INDEX(Banco!$H:$H,ROW()))</f>
        <v/>
      </c>
      <c r="I65">
        <f>IF($T65="","",INT($T65/12)&amp;"a "&amp;MOD($T65,12)&amp;"m")</f>
        <v/>
      </c>
      <c r="J65" s="11">
        <f>IF(OR($F65="",$G65=""),"",ROUND($F65/($G65/100)^2,2))</f>
        <v/>
      </c>
      <c r="K65" s="12">
        <f>IF(OR($S65="",$J65="",$T65="",$T65&lt;0,$T65&gt;228,$Y65=""),"—",ROUND(IF(ABS($AB65)&lt;=3,$AB65,IF($AB65&gt;3,3+($J65-$AD65)/($AD65-$AC65),-3+($J65-$AF65)/($AE65-$AF65))),2))</f>
        <v/>
      </c>
      <c r="L65">
        <f>IF(OR($K65="",$K65="—"),"",IF($T65&lt;=60,IF($K65&lt;-3,"Magreza acentuada",IF($K65&lt;-2,"Magreza",IF($K65&lt;=1,"Eutrofia",IF($K65&lt;=2,"Risco de sobrepeso",IF($K65&lt;=3,"Sobrepeso","Obesidade"))))),IF($K65&lt;-3,"Magreza acentuada",IF($K65&lt;-2,"Magreza",IF($K65&lt;=1,"Eutrofia",IF($K65&lt;=2,"Sobrepeso",IF($K65&lt;=3,"Obesidade","Obesidade grave")))))))</f>
        <v/>
      </c>
      <c r="M65" s="12">
        <f>IF(OR($S65="",$V65="",$T65="",$T65&lt;0,$T65&gt;228,$AG65=""),"—",ROUND(IF($AG65=0,LN($V65/$AH65)/$AI65,((($V65/$AH65)^$AG65)-1)/($AG65*$AI65)),2))</f>
        <v/>
      </c>
      <c r="N65">
        <f>IF(OR($M65="",$M65="—"),"",IF($M65&lt;-3,"Muito baixa",IF($M65&lt;-2,"Baixa","Adequada")))</f>
        <v/>
      </c>
      <c r="O65" s="12">
        <f>IF(OR($S65="",$F65="",$T65="",$T65&lt;0,$T65&gt;120,$AJ65=""),"—",ROUND(IF(ABS($AM65)&lt;=3,$AM65,IF($AM65&gt;3,3+($F65-$AO65)/($AO65-$AN65),-3+($F65-$AQ65)/($AP65-$AQ65))),2))</f>
        <v/>
      </c>
      <c r="P65">
        <f>IF(OR($O65="",$O65="—"),"",IF($O65&lt;-3,"Muito baixo",IF($O65&lt;-2,"Baixo",IF($O65&lt;=2,"Adequado","Elevado"))))</f>
        <v/>
      </c>
      <c r="Q65" s="12">
        <f>IF(OR($S65="",$F65="",$T65="",$T65&lt;0,$T65&gt;60,$AR65=""),"—",ROUND(IF(ABS($AU65)&lt;=3,$AU65,IF($AU65&gt;3,3+($F65-$AW65)/($AW65-$AV65),-3+($F65-$AY65)/($AX65-$AY65))),2))</f>
        <v/>
      </c>
      <c r="R65">
        <f>IF(OR($Q65="",$Q65="—"),"",IF($Q65&lt;-3,"Magreza acentuada",IF($Q65&lt;-2,"Magreza",IF($Q65&lt;=1,"Eutrofia",IF($Q65&lt;=2,"Risco de sobrepeso",IF($Q65&lt;=3,"Sobrepeso","Obesidade"))))))</f>
        <v/>
      </c>
      <c r="S65">
        <f>IF($C65="","",IF(UPPER(LEFT($C65,1))="M",1,IF(UPPER(LEFT($C65,1))="F",2,"")))</f>
        <v/>
      </c>
      <c r="T65">
        <f>IF(OR($D65="",$E65=""),"",DATEDIF($D65,$E65,"m"))</f>
        <v/>
      </c>
      <c r="U65">
        <f>IF(OR($D65="",$E65=""),"",$E65-$D65)</f>
        <v/>
      </c>
      <c r="V65">
        <f>IF(OR($G65="",$T65=""),"",IF($T65&lt;24,IF(LEFT(LOWER($H65),4)="em p",$G65+0.7,$G65),IF(LEFT(LOWER($H65),4)="deit",$G65-0.7,$G65)))</f>
        <v/>
      </c>
      <c r="W65">
        <f>IF(OR($S65="",$T65=""),"",$S65*1000000+IF($T65&lt;=60,$U65,$T65))</f>
        <v/>
      </c>
      <c r="X65">
        <f>IF(OR($S65="",$V65="",$T65&gt;60,$T65=""),"",$S65*1000000+ROUND($V65*10,0))</f>
        <v/>
      </c>
      <c r="Y65">
        <f>IF($W65="","",IFERROR(INDEX(IF($T65&lt;=60,imc05_l,imc519_l),MATCH($W65,IF($T65&lt;=60,imc05_k,imc519_k),1)),""))</f>
        <v/>
      </c>
      <c r="Z65">
        <f>IF($W65="","",IFERROR(INDEX(IF($T65&lt;=60,imc05_m,imc519_m),MATCH($W65,IF($T65&lt;=60,imc05_k,imc519_k),1)),""))</f>
        <v/>
      </c>
      <c r="AA65">
        <f>IF($W65="","",IFERROR(INDEX(IF($T65&lt;=60,imc05_s,imc519_s),MATCH($W65,IF($T65&lt;=60,imc05_k,imc519_k),1)),""))</f>
        <v/>
      </c>
      <c r="AB65">
        <f>IF($Y65="","",IF($Y65=0,LN($J65/$Z65)/$AA65,((($J65/$Z65)^$Y65)-1)/($Y65*$AA65)))</f>
        <v/>
      </c>
      <c r="AC65">
        <f>IF($Y65="","",IF($Y65=0,$Z65*EXP($AA65*2),$Z65*(1+$Y65*$AA65*2)^(1/$Y65)))</f>
        <v/>
      </c>
      <c r="AD65">
        <f>IF($Y65="","",IF($Y65=0,$Z65*EXP($AA65*3),$Z65*(1+$Y65*$AA65*3)^(1/$Y65)))</f>
        <v/>
      </c>
      <c r="AE65">
        <f>IF($Y65="","",IF($Y65=0,$Z65*EXP($AA65*-2),$Z65*(1+$Y65*$AA65*-2)^(1/$Y65)))</f>
        <v/>
      </c>
      <c r="AF65">
        <f>IF($Y65="","",IF($Y65=0,$Z65*EXP($AA65*-3),$Z65*(1+$Y65*$AA65*-3)^(1/$Y65)))</f>
        <v/>
      </c>
      <c r="AG65">
        <f>IF($W65="","",IFERROR(INDEX(IF($T65&lt;=60,est05_l,est519_l),MATCH($W65,IF($T65&lt;=60,est05_k,est519_k),1)),""))</f>
        <v/>
      </c>
      <c r="AH65">
        <f>IF($W65="","",IFERROR(INDEX(IF($T65&lt;=60,est05_m,est519_m),MATCH($W65,IF($T65&lt;=60,est05_k,est519_k),1)),""))</f>
        <v/>
      </c>
      <c r="AI65">
        <f>IF($W65="","",IFERROR(INDEX(IF($T65&lt;=60,est05_s,est519_s),MATCH($W65,IF($T65&lt;=60,est05_k,est519_k),1)),""))</f>
        <v/>
      </c>
      <c r="AJ65">
        <f>IF($W65="","",IFERROR(INDEX(IF($T65&lt;=60,peso05_l,peso510_l),MATCH($W65,IF($T65&lt;=60,peso05_k,peso510_k),1)),""))</f>
        <v/>
      </c>
      <c r="AK65">
        <f>IF($W65="","",IFERROR(INDEX(IF($T65&lt;=60,peso05_m,peso510_m),MATCH($W65,IF($T65&lt;=60,peso05_k,peso510_k),1)),""))</f>
        <v/>
      </c>
      <c r="AL65">
        <f>IF($W65="","",IFERROR(INDEX(IF($T65&lt;=60,peso05_s,peso510_s),MATCH($W65,IF($T65&lt;=60,peso05_k,peso510_k),1)),""))</f>
        <v/>
      </c>
      <c r="AM65">
        <f>IF($AJ65="","",IF($AJ65=0,LN($F65/$AK65)/$AL65,((($F65/$AK65)^$AJ65)-1)/($AJ65*$AL65)))</f>
        <v/>
      </c>
      <c r="AN65">
        <f>IF($AJ65="","",IF($AJ65=0,$AK65*EXP($AL65*2),$AK65*(1+$AJ65*$AL65*2)^(1/$AJ65)))</f>
        <v/>
      </c>
      <c r="AO65">
        <f>IF($AJ65="","",IF($AJ65=0,$AK65*EXP($AL65*3),$AK65*(1+$AJ65*$AL65*3)^(1/$AJ65)))</f>
        <v/>
      </c>
      <c r="AP65">
        <f>IF($AJ65="","",IF($AJ65=0,$AK65*EXP($AL65*-2),$AK65*(1+$AJ65*$AL65*-2)^(1/$AJ65)))</f>
        <v/>
      </c>
      <c r="AQ65">
        <f>IF($AJ65="","",IF($AJ65=0,$AK65*EXP($AL65*-3),$AK65*(1+$AJ65*$AL65*-3)^(1/$AJ65)))</f>
        <v/>
      </c>
      <c r="AR65">
        <f>IF(OR($X65="",$T65&gt;60),"",IFERROR(INDEX(IF($T65&lt;24,pcomp_l,palt_l),MATCH($X65,IF($T65&lt;24,pcomp_k,palt_k),1)),""))</f>
        <v/>
      </c>
      <c r="AS65">
        <f>IF(OR($X65="",$T65&gt;60),"",IFERROR(INDEX(IF($T65&lt;24,pcomp_m,palt_m),MATCH($X65,IF($T65&lt;24,pcomp_k,palt_k),1)),""))</f>
        <v/>
      </c>
      <c r="AT65">
        <f>IF(OR($X65="",$T65&gt;60),"",IFERROR(INDEX(IF($T65&lt;24,pcomp_s,palt_s),MATCH($X65,IF($T65&lt;24,pcomp_k,palt_k),1)),""))</f>
        <v/>
      </c>
      <c r="AU65">
        <f>IF($AR65="","",IF($AR65=0,LN($F65/$AS65)/$AT65,((($F65/$AS65)^$AR65)-1)/($AR65*$AT65)))</f>
        <v/>
      </c>
      <c r="AV65">
        <f>IF($AR65="","",IF($AR65=0,$AS65*EXP($AT65*2),$AS65*(1+$AR65*$AT65*2)^(1/$AR65)))</f>
        <v/>
      </c>
      <c r="AW65">
        <f>IF($AR65="","",IF($AR65=0,$AS65*EXP($AT65*3),$AS65*(1+$AR65*$AT65*3)^(1/$AR65)))</f>
        <v/>
      </c>
      <c r="AX65">
        <f>IF($AR65="","",IF($AR65=0,$AS65*EXP($AT65*-2),$AS65*(1+$AR65*$AT65*-2)^(1/$AR65)))</f>
        <v/>
      </c>
      <c r="AY65">
        <f>IF($AR65="","",IF($AR65=0,$AS65*EXP($AT65*-3),$AS65*(1+$AR65*$AT65*-3)^(1/$AR65)))</f>
        <v/>
      </c>
      <c r="AZ65">
        <f>IF(OR($A65="",$A65&lt;&gt;Ficha!$C$4),"",COUNTIF($A$2:$A65,Ficha!$C$4))</f>
        <v/>
      </c>
    </row>
    <row r="66">
      <c r="A66" s="8">
        <f>IF(INDEX(Banco!$A:$A,ROW())="","",INDEX(Banco!$A:$A,ROW()))</f>
        <v/>
      </c>
      <c r="B66" s="8">
        <f>IF(INDEX(Banco!$B:$B,ROW())="","",INDEX(Banco!$B:$B,ROW()))</f>
        <v/>
      </c>
      <c r="C66" s="8">
        <f>IF(INDEX(Banco!$C:$C,ROW())="","",INDEX(Banco!$C:$C,ROW()))</f>
        <v/>
      </c>
      <c r="D66" s="9">
        <f>IF(INDEX(Banco!$D:$D,ROW())="","",INDEX(Banco!$D:$D,ROW()))</f>
        <v/>
      </c>
      <c r="E66" s="9">
        <f>IF(INDEX(Banco!$E:$E,ROW())="","",INDEX(Banco!$E:$E,ROW()))</f>
        <v/>
      </c>
      <c r="F66" s="10">
        <f>IF(INDEX(Banco!$F:$F,ROW())="","",INDEX(Banco!$F:$F,ROW()))</f>
        <v/>
      </c>
      <c r="G66" s="10">
        <f>IF(INDEX(Banco!$G:$G,ROW())="","",INDEX(Banco!$G:$G,ROW()))</f>
        <v/>
      </c>
      <c r="H66" s="8">
        <f>IF(INDEX(Banco!$H:$H,ROW())="","",INDEX(Banco!$H:$H,ROW()))</f>
        <v/>
      </c>
      <c r="I66">
        <f>IF($T66="","",INT($T66/12)&amp;"a "&amp;MOD($T66,12)&amp;"m")</f>
        <v/>
      </c>
      <c r="J66" s="11">
        <f>IF(OR($F66="",$G66=""),"",ROUND($F66/($G66/100)^2,2))</f>
        <v/>
      </c>
      <c r="K66" s="12">
        <f>IF(OR($S66="",$J66="",$T66="",$T66&lt;0,$T66&gt;228,$Y66=""),"—",ROUND(IF(ABS($AB66)&lt;=3,$AB66,IF($AB66&gt;3,3+($J66-$AD66)/($AD66-$AC66),-3+($J66-$AF66)/($AE66-$AF66))),2))</f>
        <v/>
      </c>
      <c r="L66">
        <f>IF(OR($K66="",$K66="—"),"",IF($T66&lt;=60,IF($K66&lt;-3,"Magreza acentuada",IF($K66&lt;-2,"Magreza",IF($K66&lt;=1,"Eutrofia",IF($K66&lt;=2,"Risco de sobrepeso",IF($K66&lt;=3,"Sobrepeso","Obesidade"))))),IF($K66&lt;-3,"Magreza acentuada",IF($K66&lt;-2,"Magreza",IF($K66&lt;=1,"Eutrofia",IF($K66&lt;=2,"Sobrepeso",IF($K66&lt;=3,"Obesidade","Obesidade grave")))))))</f>
        <v/>
      </c>
      <c r="M66" s="12">
        <f>IF(OR($S66="",$V66="",$T66="",$T66&lt;0,$T66&gt;228,$AG66=""),"—",ROUND(IF($AG66=0,LN($V66/$AH66)/$AI66,((($V66/$AH66)^$AG66)-1)/($AG66*$AI66)),2))</f>
        <v/>
      </c>
      <c r="N66">
        <f>IF(OR($M66="",$M66="—"),"",IF($M66&lt;-3,"Muito baixa",IF($M66&lt;-2,"Baixa","Adequada")))</f>
        <v/>
      </c>
      <c r="O66" s="12">
        <f>IF(OR($S66="",$F66="",$T66="",$T66&lt;0,$T66&gt;120,$AJ66=""),"—",ROUND(IF(ABS($AM66)&lt;=3,$AM66,IF($AM66&gt;3,3+($F66-$AO66)/($AO66-$AN66),-3+($F66-$AQ66)/($AP66-$AQ66))),2))</f>
        <v/>
      </c>
      <c r="P66">
        <f>IF(OR($O66="",$O66="—"),"",IF($O66&lt;-3,"Muito baixo",IF($O66&lt;-2,"Baixo",IF($O66&lt;=2,"Adequado","Elevado"))))</f>
        <v/>
      </c>
      <c r="Q66" s="12">
        <f>IF(OR($S66="",$F66="",$T66="",$T66&lt;0,$T66&gt;60,$AR66=""),"—",ROUND(IF(ABS($AU66)&lt;=3,$AU66,IF($AU66&gt;3,3+($F66-$AW66)/($AW66-$AV66),-3+($F66-$AY66)/($AX66-$AY66))),2))</f>
        <v/>
      </c>
      <c r="R66">
        <f>IF(OR($Q66="",$Q66="—"),"",IF($Q66&lt;-3,"Magreza acentuada",IF($Q66&lt;-2,"Magreza",IF($Q66&lt;=1,"Eutrofia",IF($Q66&lt;=2,"Risco de sobrepeso",IF($Q66&lt;=3,"Sobrepeso","Obesidade"))))))</f>
        <v/>
      </c>
      <c r="S66">
        <f>IF($C66="","",IF(UPPER(LEFT($C66,1))="M",1,IF(UPPER(LEFT($C66,1))="F",2,"")))</f>
        <v/>
      </c>
      <c r="T66">
        <f>IF(OR($D66="",$E66=""),"",DATEDIF($D66,$E66,"m"))</f>
        <v/>
      </c>
      <c r="U66">
        <f>IF(OR($D66="",$E66=""),"",$E66-$D66)</f>
        <v/>
      </c>
      <c r="V66">
        <f>IF(OR($G66="",$T66=""),"",IF($T66&lt;24,IF(LEFT(LOWER($H66),4)="em p",$G66+0.7,$G66),IF(LEFT(LOWER($H66),4)="deit",$G66-0.7,$G66)))</f>
        <v/>
      </c>
      <c r="W66">
        <f>IF(OR($S66="",$T66=""),"",$S66*1000000+IF($T66&lt;=60,$U66,$T66))</f>
        <v/>
      </c>
      <c r="X66">
        <f>IF(OR($S66="",$V66="",$T66&gt;60,$T66=""),"",$S66*1000000+ROUND($V66*10,0))</f>
        <v/>
      </c>
      <c r="Y66">
        <f>IF($W66="","",IFERROR(INDEX(IF($T66&lt;=60,imc05_l,imc519_l),MATCH($W66,IF($T66&lt;=60,imc05_k,imc519_k),1)),""))</f>
        <v/>
      </c>
      <c r="Z66">
        <f>IF($W66="","",IFERROR(INDEX(IF($T66&lt;=60,imc05_m,imc519_m),MATCH($W66,IF($T66&lt;=60,imc05_k,imc519_k),1)),""))</f>
        <v/>
      </c>
      <c r="AA66">
        <f>IF($W66="","",IFERROR(INDEX(IF($T66&lt;=60,imc05_s,imc519_s),MATCH($W66,IF($T66&lt;=60,imc05_k,imc519_k),1)),""))</f>
        <v/>
      </c>
      <c r="AB66">
        <f>IF($Y66="","",IF($Y66=0,LN($J66/$Z66)/$AA66,((($J66/$Z66)^$Y66)-1)/($Y66*$AA66)))</f>
        <v/>
      </c>
      <c r="AC66">
        <f>IF($Y66="","",IF($Y66=0,$Z66*EXP($AA66*2),$Z66*(1+$Y66*$AA66*2)^(1/$Y66)))</f>
        <v/>
      </c>
      <c r="AD66">
        <f>IF($Y66="","",IF($Y66=0,$Z66*EXP($AA66*3),$Z66*(1+$Y66*$AA66*3)^(1/$Y66)))</f>
        <v/>
      </c>
      <c r="AE66">
        <f>IF($Y66="","",IF($Y66=0,$Z66*EXP($AA66*-2),$Z66*(1+$Y66*$AA66*-2)^(1/$Y66)))</f>
        <v/>
      </c>
      <c r="AF66">
        <f>IF($Y66="","",IF($Y66=0,$Z66*EXP($AA66*-3),$Z66*(1+$Y66*$AA66*-3)^(1/$Y66)))</f>
        <v/>
      </c>
      <c r="AG66">
        <f>IF($W66="","",IFERROR(INDEX(IF($T66&lt;=60,est05_l,est519_l),MATCH($W66,IF($T66&lt;=60,est05_k,est519_k),1)),""))</f>
        <v/>
      </c>
      <c r="AH66">
        <f>IF($W66="","",IFERROR(INDEX(IF($T66&lt;=60,est05_m,est519_m),MATCH($W66,IF($T66&lt;=60,est05_k,est519_k),1)),""))</f>
        <v/>
      </c>
      <c r="AI66">
        <f>IF($W66="","",IFERROR(INDEX(IF($T66&lt;=60,est05_s,est519_s),MATCH($W66,IF($T66&lt;=60,est05_k,est519_k),1)),""))</f>
        <v/>
      </c>
      <c r="AJ66">
        <f>IF($W66="","",IFERROR(INDEX(IF($T66&lt;=60,peso05_l,peso510_l),MATCH($W66,IF($T66&lt;=60,peso05_k,peso510_k),1)),""))</f>
        <v/>
      </c>
      <c r="AK66">
        <f>IF($W66="","",IFERROR(INDEX(IF($T66&lt;=60,peso05_m,peso510_m),MATCH($W66,IF($T66&lt;=60,peso05_k,peso510_k),1)),""))</f>
        <v/>
      </c>
      <c r="AL66">
        <f>IF($W66="","",IFERROR(INDEX(IF($T66&lt;=60,peso05_s,peso510_s),MATCH($W66,IF($T66&lt;=60,peso05_k,peso510_k),1)),""))</f>
        <v/>
      </c>
      <c r="AM66">
        <f>IF($AJ66="","",IF($AJ66=0,LN($F66/$AK66)/$AL66,((($F66/$AK66)^$AJ66)-1)/($AJ66*$AL66)))</f>
        <v/>
      </c>
      <c r="AN66">
        <f>IF($AJ66="","",IF($AJ66=0,$AK66*EXP($AL66*2),$AK66*(1+$AJ66*$AL66*2)^(1/$AJ66)))</f>
        <v/>
      </c>
      <c r="AO66">
        <f>IF($AJ66="","",IF($AJ66=0,$AK66*EXP($AL66*3),$AK66*(1+$AJ66*$AL66*3)^(1/$AJ66)))</f>
        <v/>
      </c>
      <c r="AP66">
        <f>IF($AJ66="","",IF($AJ66=0,$AK66*EXP($AL66*-2),$AK66*(1+$AJ66*$AL66*-2)^(1/$AJ66)))</f>
        <v/>
      </c>
      <c r="AQ66">
        <f>IF($AJ66="","",IF($AJ66=0,$AK66*EXP($AL66*-3),$AK66*(1+$AJ66*$AL66*-3)^(1/$AJ66)))</f>
        <v/>
      </c>
      <c r="AR66">
        <f>IF(OR($X66="",$T66&gt;60),"",IFERROR(INDEX(IF($T66&lt;24,pcomp_l,palt_l),MATCH($X66,IF($T66&lt;24,pcomp_k,palt_k),1)),""))</f>
        <v/>
      </c>
      <c r="AS66">
        <f>IF(OR($X66="",$T66&gt;60),"",IFERROR(INDEX(IF($T66&lt;24,pcomp_m,palt_m),MATCH($X66,IF($T66&lt;24,pcomp_k,palt_k),1)),""))</f>
        <v/>
      </c>
      <c r="AT66">
        <f>IF(OR($X66="",$T66&gt;60),"",IFERROR(INDEX(IF($T66&lt;24,pcomp_s,palt_s),MATCH($X66,IF($T66&lt;24,pcomp_k,palt_k),1)),""))</f>
        <v/>
      </c>
      <c r="AU66">
        <f>IF($AR66="","",IF($AR66=0,LN($F66/$AS66)/$AT66,((($F66/$AS66)^$AR66)-1)/($AR66*$AT66)))</f>
        <v/>
      </c>
      <c r="AV66">
        <f>IF($AR66="","",IF($AR66=0,$AS66*EXP($AT66*2),$AS66*(1+$AR66*$AT66*2)^(1/$AR66)))</f>
        <v/>
      </c>
      <c r="AW66">
        <f>IF($AR66="","",IF($AR66=0,$AS66*EXP($AT66*3),$AS66*(1+$AR66*$AT66*3)^(1/$AR66)))</f>
        <v/>
      </c>
      <c r="AX66">
        <f>IF($AR66="","",IF($AR66=0,$AS66*EXP($AT66*-2),$AS66*(1+$AR66*$AT66*-2)^(1/$AR66)))</f>
        <v/>
      </c>
      <c r="AY66">
        <f>IF($AR66="","",IF($AR66=0,$AS66*EXP($AT66*-3),$AS66*(1+$AR66*$AT66*-3)^(1/$AR66)))</f>
        <v/>
      </c>
      <c r="AZ66">
        <f>IF(OR($A66="",$A66&lt;&gt;Ficha!$C$4),"",COUNTIF($A$2:$A66,Ficha!$C$4))</f>
        <v/>
      </c>
    </row>
    <row r="67">
      <c r="A67" s="8">
        <f>IF(INDEX(Banco!$A:$A,ROW())="","",INDEX(Banco!$A:$A,ROW()))</f>
        <v/>
      </c>
      <c r="B67" s="8">
        <f>IF(INDEX(Banco!$B:$B,ROW())="","",INDEX(Banco!$B:$B,ROW()))</f>
        <v/>
      </c>
      <c r="C67" s="8">
        <f>IF(INDEX(Banco!$C:$C,ROW())="","",INDEX(Banco!$C:$C,ROW()))</f>
        <v/>
      </c>
      <c r="D67" s="9">
        <f>IF(INDEX(Banco!$D:$D,ROW())="","",INDEX(Banco!$D:$D,ROW()))</f>
        <v/>
      </c>
      <c r="E67" s="9">
        <f>IF(INDEX(Banco!$E:$E,ROW())="","",INDEX(Banco!$E:$E,ROW()))</f>
        <v/>
      </c>
      <c r="F67" s="10">
        <f>IF(INDEX(Banco!$F:$F,ROW())="","",INDEX(Banco!$F:$F,ROW()))</f>
        <v/>
      </c>
      <c r="G67" s="10">
        <f>IF(INDEX(Banco!$G:$G,ROW())="","",INDEX(Banco!$G:$G,ROW()))</f>
        <v/>
      </c>
      <c r="H67" s="8">
        <f>IF(INDEX(Banco!$H:$H,ROW())="","",INDEX(Banco!$H:$H,ROW()))</f>
        <v/>
      </c>
      <c r="I67">
        <f>IF($T67="","",INT($T67/12)&amp;"a "&amp;MOD($T67,12)&amp;"m")</f>
        <v/>
      </c>
      <c r="J67" s="11">
        <f>IF(OR($F67="",$G67=""),"",ROUND($F67/($G67/100)^2,2))</f>
        <v/>
      </c>
      <c r="K67" s="12">
        <f>IF(OR($S67="",$J67="",$T67="",$T67&lt;0,$T67&gt;228,$Y67=""),"—",ROUND(IF(ABS($AB67)&lt;=3,$AB67,IF($AB67&gt;3,3+($J67-$AD67)/($AD67-$AC67),-3+($J67-$AF67)/($AE67-$AF67))),2))</f>
        <v/>
      </c>
      <c r="L67">
        <f>IF(OR($K67="",$K67="—"),"",IF($T67&lt;=60,IF($K67&lt;-3,"Magreza acentuada",IF($K67&lt;-2,"Magreza",IF($K67&lt;=1,"Eutrofia",IF($K67&lt;=2,"Risco de sobrepeso",IF($K67&lt;=3,"Sobrepeso","Obesidade"))))),IF($K67&lt;-3,"Magreza acentuada",IF($K67&lt;-2,"Magreza",IF($K67&lt;=1,"Eutrofia",IF($K67&lt;=2,"Sobrepeso",IF($K67&lt;=3,"Obesidade","Obesidade grave")))))))</f>
        <v/>
      </c>
      <c r="M67" s="12">
        <f>IF(OR($S67="",$V67="",$T67="",$T67&lt;0,$T67&gt;228,$AG67=""),"—",ROUND(IF($AG67=0,LN($V67/$AH67)/$AI67,((($V67/$AH67)^$AG67)-1)/($AG67*$AI67)),2))</f>
        <v/>
      </c>
      <c r="N67">
        <f>IF(OR($M67="",$M67="—"),"",IF($M67&lt;-3,"Muito baixa",IF($M67&lt;-2,"Baixa","Adequada")))</f>
        <v/>
      </c>
      <c r="O67" s="12">
        <f>IF(OR($S67="",$F67="",$T67="",$T67&lt;0,$T67&gt;120,$AJ67=""),"—",ROUND(IF(ABS($AM67)&lt;=3,$AM67,IF($AM67&gt;3,3+($F67-$AO67)/($AO67-$AN67),-3+($F67-$AQ67)/($AP67-$AQ67))),2))</f>
        <v/>
      </c>
      <c r="P67">
        <f>IF(OR($O67="",$O67="—"),"",IF($O67&lt;-3,"Muito baixo",IF($O67&lt;-2,"Baixo",IF($O67&lt;=2,"Adequado","Elevado"))))</f>
        <v/>
      </c>
      <c r="Q67" s="12">
        <f>IF(OR($S67="",$F67="",$T67="",$T67&lt;0,$T67&gt;60,$AR67=""),"—",ROUND(IF(ABS($AU67)&lt;=3,$AU67,IF($AU67&gt;3,3+($F67-$AW67)/($AW67-$AV67),-3+($F67-$AY67)/($AX67-$AY67))),2))</f>
        <v/>
      </c>
      <c r="R67">
        <f>IF(OR($Q67="",$Q67="—"),"",IF($Q67&lt;-3,"Magreza acentuada",IF($Q67&lt;-2,"Magreza",IF($Q67&lt;=1,"Eutrofia",IF($Q67&lt;=2,"Risco de sobrepeso",IF($Q67&lt;=3,"Sobrepeso","Obesidade"))))))</f>
        <v/>
      </c>
      <c r="S67">
        <f>IF($C67="","",IF(UPPER(LEFT($C67,1))="M",1,IF(UPPER(LEFT($C67,1))="F",2,"")))</f>
        <v/>
      </c>
      <c r="T67">
        <f>IF(OR($D67="",$E67=""),"",DATEDIF($D67,$E67,"m"))</f>
        <v/>
      </c>
      <c r="U67">
        <f>IF(OR($D67="",$E67=""),"",$E67-$D67)</f>
        <v/>
      </c>
      <c r="V67">
        <f>IF(OR($G67="",$T67=""),"",IF($T67&lt;24,IF(LEFT(LOWER($H67),4)="em p",$G67+0.7,$G67),IF(LEFT(LOWER($H67),4)="deit",$G67-0.7,$G67)))</f>
        <v/>
      </c>
      <c r="W67">
        <f>IF(OR($S67="",$T67=""),"",$S67*1000000+IF($T67&lt;=60,$U67,$T67))</f>
        <v/>
      </c>
      <c r="X67">
        <f>IF(OR($S67="",$V67="",$T67&gt;60,$T67=""),"",$S67*1000000+ROUND($V67*10,0))</f>
        <v/>
      </c>
      <c r="Y67">
        <f>IF($W67="","",IFERROR(INDEX(IF($T67&lt;=60,imc05_l,imc519_l),MATCH($W67,IF($T67&lt;=60,imc05_k,imc519_k),1)),""))</f>
        <v/>
      </c>
      <c r="Z67">
        <f>IF($W67="","",IFERROR(INDEX(IF($T67&lt;=60,imc05_m,imc519_m),MATCH($W67,IF($T67&lt;=60,imc05_k,imc519_k),1)),""))</f>
        <v/>
      </c>
      <c r="AA67">
        <f>IF($W67="","",IFERROR(INDEX(IF($T67&lt;=60,imc05_s,imc519_s),MATCH($W67,IF($T67&lt;=60,imc05_k,imc519_k),1)),""))</f>
        <v/>
      </c>
      <c r="AB67">
        <f>IF($Y67="","",IF($Y67=0,LN($J67/$Z67)/$AA67,((($J67/$Z67)^$Y67)-1)/($Y67*$AA67)))</f>
        <v/>
      </c>
      <c r="AC67">
        <f>IF($Y67="","",IF($Y67=0,$Z67*EXP($AA67*2),$Z67*(1+$Y67*$AA67*2)^(1/$Y67)))</f>
        <v/>
      </c>
      <c r="AD67">
        <f>IF($Y67="","",IF($Y67=0,$Z67*EXP($AA67*3),$Z67*(1+$Y67*$AA67*3)^(1/$Y67)))</f>
        <v/>
      </c>
      <c r="AE67">
        <f>IF($Y67="","",IF($Y67=0,$Z67*EXP($AA67*-2),$Z67*(1+$Y67*$AA67*-2)^(1/$Y67)))</f>
        <v/>
      </c>
      <c r="AF67">
        <f>IF($Y67="","",IF($Y67=0,$Z67*EXP($AA67*-3),$Z67*(1+$Y67*$AA67*-3)^(1/$Y67)))</f>
        <v/>
      </c>
      <c r="AG67">
        <f>IF($W67="","",IFERROR(INDEX(IF($T67&lt;=60,est05_l,est519_l),MATCH($W67,IF($T67&lt;=60,est05_k,est519_k),1)),""))</f>
        <v/>
      </c>
      <c r="AH67">
        <f>IF($W67="","",IFERROR(INDEX(IF($T67&lt;=60,est05_m,est519_m),MATCH($W67,IF($T67&lt;=60,est05_k,est519_k),1)),""))</f>
        <v/>
      </c>
      <c r="AI67">
        <f>IF($W67="","",IFERROR(INDEX(IF($T67&lt;=60,est05_s,est519_s),MATCH($W67,IF($T67&lt;=60,est05_k,est519_k),1)),""))</f>
        <v/>
      </c>
      <c r="AJ67">
        <f>IF($W67="","",IFERROR(INDEX(IF($T67&lt;=60,peso05_l,peso510_l),MATCH($W67,IF($T67&lt;=60,peso05_k,peso510_k),1)),""))</f>
        <v/>
      </c>
      <c r="AK67">
        <f>IF($W67="","",IFERROR(INDEX(IF($T67&lt;=60,peso05_m,peso510_m),MATCH($W67,IF($T67&lt;=60,peso05_k,peso510_k),1)),""))</f>
        <v/>
      </c>
      <c r="AL67">
        <f>IF($W67="","",IFERROR(INDEX(IF($T67&lt;=60,peso05_s,peso510_s),MATCH($W67,IF($T67&lt;=60,peso05_k,peso510_k),1)),""))</f>
        <v/>
      </c>
      <c r="AM67">
        <f>IF($AJ67="","",IF($AJ67=0,LN($F67/$AK67)/$AL67,((($F67/$AK67)^$AJ67)-1)/($AJ67*$AL67)))</f>
        <v/>
      </c>
      <c r="AN67">
        <f>IF($AJ67="","",IF($AJ67=0,$AK67*EXP($AL67*2),$AK67*(1+$AJ67*$AL67*2)^(1/$AJ67)))</f>
        <v/>
      </c>
      <c r="AO67">
        <f>IF($AJ67="","",IF($AJ67=0,$AK67*EXP($AL67*3),$AK67*(1+$AJ67*$AL67*3)^(1/$AJ67)))</f>
        <v/>
      </c>
      <c r="AP67">
        <f>IF($AJ67="","",IF($AJ67=0,$AK67*EXP($AL67*-2),$AK67*(1+$AJ67*$AL67*-2)^(1/$AJ67)))</f>
        <v/>
      </c>
      <c r="AQ67">
        <f>IF($AJ67="","",IF($AJ67=0,$AK67*EXP($AL67*-3),$AK67*(1+$AJ67*$AL67*-3)^(1/$AJ67)))</f>
        <v/>
      </c>
      <c r="AR67">
        <f>IF(OR($X67="",$T67&gt;60),"",IFERROR(INDEX(IF($T67&lt;24,pcomp_l,palt_l),MATCH($X67,IF($T67&lt;24,pcomp_k,palt_k),1)),""))</f>
        <v/>
      </c>
      <c r="AS67">
        <f>IF(OR($X67="",$T67&gt;60),"",IFERROR(INDEX(IF($T67&lt;24,pcomp_m,palt_m),MATCH($X67,IF($T67&lt;24,pcomp_k,palt_k),1)),""))</f>
        <v/>
      </c>
      <c r="AT67">
        <f>IF(OR($X67="",$T67&gt;60),"",IFERROR(INDEX(IF($T67&lt;24,pcomp_s,palt_s),MATCH($X67,IF($T67&lt;24,pcomp_k,palt_k),1)),""))</f>
        <v/>
      </c>
      <c r="AU67">
        <f>IF($AR67="","",IF($AR67=0,LN($F67/$AS67)/$AT67,((($F67/$AS67)^$AR67)-1)/($AR67*$AT67)))</f>
        <v/>
      </c>
      <c r="AV67">
        <f>IF($AR67="","",IF($AR67=0,$AS67*EXP($AT67*2),$AS67*(1+$AR67*$AT67*2)^(1/$AR67)))</f>
        <v/>
      </c>
      <c r="AW67">
        <f>IF($AR67="","",IF($AR67=0,$AS67*EXP($AT67*3),$AS67*(1+$AR67*$AT67*3)^(1/$AR67)))</f>
        <v/>
      </c>
      <c r="AX67">
        <f>IF($AR67="","",IF($AR67=0,$AS67*EXP($AT67*-2),$AS67*(1+$AR67*$AT67*-2)^(1/$AR67)))</f>
        <v/>
      </c>
      <c r="AY67">
        <f>IF($AR67="","",IF($AR67=0,$AS67*EXP($AT67*-3),$AS67*(1+$AR67*$AT67*-3)^(1/$AR67)))</f>
        <v/>
      </c>
      <c r="AZ67">
        <f>IF(OR($A67="",$A67&lt;&gt;Ficha!$C$4),"",COUNTIF($A$2:$A67,Ficha!$C$4))</f>
        <v/>
      </c>
    </row>
    <row r="68">
      <c r="A68" s="8">
        <f>IF(INDEX(Banco!$A:$A,ROW())="","",INDEX(Banco!$A:$A,ROW()))</f>
        <v/>
      </c>
      <c r="B68" s="8">
        <f>IF(INDEX(Banco!$B:$B,ROW())="","",INDEX(Banco!$B:$B,ROW()))</f>
        <v/>
      </c>
      <c r="C68" s="8">
        <f>IF(INDEX(Banco!$C:$C,ROW())="","",INDEX(Banco!$C:$C,ROW()))</f>
        <v/>
      </c>
      <c r="D68" s="9">
        <f>IF(INDEX(Banco!$D:$D,ROW())="","",INDEX(Banco!$D:$D,ROW()))</f>
        <v/>
      </c>
      <c r="E68" s="9">
        <f>IF(INDEX(Banco!$E:$E,ROW())="","",INDEX(Banco!$E:$E,ROW()))</f>
        <v/>
      </c>
      <c r="F68" s="10">
        <f>IF(INDEX(Banco!$F:$F,ROW())="","",INDEX(Banco!$F:$F,ROW()))</f>
        <v/>
      </c>
      <c r="G68" s="10">
        <f>IF(INDEX(Banco!$G:$G,ROW())="","",INDEX(Banco!$G:$G,ROW()))</f>
        <v/>
      </c>
      <c r="H68" s="8">
        <f>IF(INDEX(Banco!$H:$H,ROW())="","",INDEX(Banco!$H:$H,ROW()))</f>
        <v/>
      </c>
      <c r="I68">
        <f>IF($T68="","",INT($T68/12)&amp;"a "&amp;MOD($T68,12)&amp;"m")</f>
        <v/>
      </c>
      <c r="J68" s="11">
        <f>IF(OR($F68="",$G68=""),"",ROUND($F68/($G68/100)^2,2))</f>
        <v/>
      </c>
      <c r="K68" s="12">
        <f>IF(OR($S68="",$J68="",$T68="",$T68&lt;0,$T68&gt;228,$Y68=""),"—",ROUND(IF(ABS($AB68)&lt;=3,$AB68,IF($AB68&gt;3,3+($J68-$AD68)/($AD68-$AC68),-3+($J68-$AF68)/($AE68-$AF68))),2))</f>
        <v/>
      </c>
      <c r="L68">
        <f>IF(OR($K68="",$K68="—"),"",IF($T68&lt;=60,IF($K68&lt;-3,"Magreza acentuada",IF($K68&lt;-2,"Magreza",IF($K68&lt;=1,"Eutrofia",IF($K68&lt;=2,"Risco de sobrepeso",IF($K68&lt;=3,"Sobrepeso","Obesidade"))))),IF($K68&lt;-3,"Magreza acentuada",IF($K68&lt;-2,"Magreza",IF($K68&lt;=1,"Eutrofia",IF($K68&lt;=2,"Sobrepeso",IF($K68&lt;=3,"Obesidade","Obesidade grave")))))))</f>
        <v/>
      </c>
      <c r="M68" s="12">
        <f>IF(OR($S68="",$V68="",$T68="",$T68&lt;0,$T68&gt;228,$AG68=""),"—",ROUND(IF($AG68=0,LN($V68/$AH68)/$AI68,((($V68/$AH68)^$AG68)-1)/($AG68*$AI68)),2))</f>
        <v/>
      </c>
      <c r="N68">
        <f>IF(OR($M68="",$M68="—"),"",IF($M68&lt;-3,"Muito baixa",IF($M68&lt;-2,"Baixa","Adequada")))</f>
        <v/>
      </c>
      <c r="O68" s="12">
        <f>IF(OR($S68="",$F68="",$T68="",$T68&lt;0,$T68&gt;120,$AJ68=""),"—",ROUND(IF(ABS($AM68)&lt;=3,$AM68,IF($AM68&gt;3,3+($F68-$AO68)/($AO68-$AN68),-3+($F68-$AQ68)/($AP68-$AQ68))),2))</f>
        <v/>
      </c>
      <c r="P68">
        <f>IF(OR($O68="",$O68="—"),"",IF($O68&lt;-3,"Muito baixo",IF($O68&lt;-2,"Baixo",IF($O68&lt;=2,"Adequado","Elevado"))))</f>
        <v/>
      </c>
      <c r="Q68" s="12">
        <f>IF(OR($S68="",$F68="",$T68="",$T68&lt;0,$T68&gt;60,$AR68=""),"—",ROUND(IF(ABS($AU68)&lt;=3,$AU68,IF($AU68&gt;3,3+($F68-$AW68)/($AW68-$AV68),-3+($F68-$AY68)/($AX68-$AY68))),2))</f>
        <v/>
      </c>
      <c r="R68">
        <f>IF(OR($Q68="",$Q68="—"),"",IF($Q68&lt;-3,"Magreza acentuada",IF($Q68&lt;-2,"Magreza",IF($Q68&lt;=1,"Eutrofia",IF($Q68&lt;=2,"Risco de sobrepeso",IF($Q68&lt;=3,"Sobrepeso","Obesidade"))))))</f>
        <v/>
      </c>
      <c r="S68">
        <f>IF($C68="","",IF(UPPER(LEFT($C68,1))="M",1,IF(UPPER(LEFT($C68,1))="F",2,"")))</f>
        <v/>
      </c>
      <c r="T68">
        <f>IF(OR($D68="",$E68=""),"",DATEDIF($D68,$E68,"m"))</f>
        <v/>
      </c>
      <c r="U68">
        <f>IF(OR($D68="",$E68=""),"",$E68-$D68)</f>
        <v/>
      </c>
      <c r="V68">
        <f>IF(OR($G68="",$T68=""),"",IF($T68&lt;24,IF(LEFT(LOWER($H68),4)="em p",$G68+0.7,$G68),IF(LEFT(LOWER($H68),4)="deit",$G68-0.7,$G68)))</f>
        <v/>
      </c>
      <c r="W68">
        <f>IF(OR($S68="",$T68=""),"",$S68*1000000+IF($T68&lt;=60,$U68,$T68))</f>
        <v/>
      </c>
      <c r="X68">
        <f>IF(OR($S68="",$V68="",$T68&gt;60,$T68=""),"",$S68*1000000+ROUND($V68*10,0))</f>
        <v/>
      </c>
      <c r="Y68">
        <f>IF($W68="","",IFERROR(INDEX(IF($T68&lt;=60,imc05_l,imc519_l),MATCH($W68,IF($T68&lt;=60,imc05_k,imc519_k),1)),""))</f>
        <v/>
      </c>
      <c r="Z68">
        <f>IF($W68="","",IFERROR(INDEX(IF($T68&lt;=60,imc05_m,imc519_m),MATCH($W68,IF($T68&lt;=60,imc05_k,imc519_k),1)),""))</f>
        <v/>
      </c>
      <c r="AA68">
        <f>IF($W68="","",IFERROR(INDEX(IF($T68&lt;=60,imc05_s,imc519_s),MATCH($W68,IF($T68&lt;=60,imc05_k,imc519_k),1)),""))</f>
        <v/>
      </c>
      <c r="AB68">
        <f>IF($Y68="","",IF($Y68=0,LN($J68/$Z68)/$AA68,((($J68/$Z68)^$Y68)-1)/($Y68*$AA68)))</f>
        <v/>
      </c>
      <c r="AC68">
        <f>IF($Y68="","",IF($Y68=0,$Z68*EXP($AA68*2),$Z68*(1+$Y68*$AA68*2)^(1/$Y68)))</f>
        <v/>
      </c>
      <c r="AD68">
        <f>IF($Y68="","",IF($Y68=0,$Z68*EXP($AA68*3),$Z68*(1+$Y68*$AA68*3)^(1/$Y68)))</f>
        <v/>
      </c>
      <c r="AE68">
        <f>IF($Y68="","",IF($Y68=0,$Z68*EXP($AA68*-2),$Z68*(1+$Y68*$AA68*-2)^(1/$Y68)))</f>
        <v/>
      </c>
      <c r="AF68">
        <f>IF($Y68="","",IF($Y68=0,$Z68*EXP($AA68*-3),$Z68*(1+$Y68*$AA68*-3)^(1/$Y68)))</f>
        <v/>
      </c>
      <c r="AG68">
        <f>IF($W68="","",IFERROR(INDEX(IF($T68&lt;=60,est05_l,est519_l),MATCH($W68,IF($T68&lt;=60,est05_k,est519_k),1)),""))</f>
        <v/>
      </c>
      <c r="AH68">
        <f>IF($W68="","",IFERROR(INDEX(IF($T68&lt;=60,est05_m,est519_m),MATCH($W68,IF($T68&lt;=60,est05_k,est519_k),1)),""))</f>
        <v/>
      </c>
      <c r="AI68">
        <f>IF($W68="","",IFERROR(INDEX(IF($T68&lt;=60,est05_s,est519_s),MATCH($W68,IF($T68&lt;=60,est05_k,est519_k),1)),""))</f>
        <v/>
      </c>
      <c r="AJ68">
        <f>IF($W68="","",IFERROR(INDEX(IF($T68&lt;=60,peso05_l,peso510_l),MATCH($W68,IF($T68&lt;=60,peso05_k,peso510_k),1)),""))</f>
        <v/>
      </c>
      <c r="AK68">
        <f>IF($W68="","",IFERROR(INDEX(IF($T68&lt;=60,peso05_m,peso510_m),MATCH($W68,IF($T68&lt;=60,peso05_k,peso510_k),1)),""))</f>
        <v/>
      </c>
      <c r="AL68">
        <f>IF($W68="","",IFERROR(INDEX(IF($T68&lt;=60,peso05_s,peso510_s),MATCH($W68,IF($T68&lt;=60,peso05_k,peso510_k),1)),""))</f>
        <v/>
      </c>
      <c r="AM68">
        <f>IF($AJ68="","",IF($AJ68=0,LN($F68/$AK68)/$AL68,((($F68/$AK68)^$AJ68)-1)/($AJ68*$AL68)))</f>
        <v/>
      </c>
      <c r="AN68">
        <f>IF($AJ68="","",IF($AJ68=0,$AK68*EXP($AL68*2),$AK68*(1+$AJ68*$AL68*2)^(1/$AJ68)))</f>
        <v/>
      </c>
      <c r="AO68">
        <f>IF($AJ68="","",IF($AJ68=0,$AK68*EXP($AL68*3),$AK68*(1+$AJ68*$AL68*3)^(1/$AJ68)))</f>
        <v/>
      </c>
      <c r="AP68">
        <f>IF($AJ68="","",IF($AJ68=0,$AK68*EXP($AL68*-2),$AK68*(1+$AJ68*$AL68*-2)^(1/$AJ68)))</f>
        <v/>
      </c>
      <c r="AQ68">
        <f>IF($AJ68="","",IF($AJ68=0,$AK68*EXP($AL68*-3),$AK68*(1+$AJ68*$AL68*-3)^(1/$AJ68)))</f>
        <v/>
      </c>
      <c r="AR68">
        <f>IF(OR($X68="",$T68&gt;60),"",IFERROR(INDEX(IF($T68&lt;24,pcomp_l,palt_l),MATCH($X68,IF($T68&lt;24,pcomp_k,palt_k),1)),""))</f>
        <v/>
      </c>
      <c r="AS68">
        <f>IF(OR($X68="",$T68&gt;60),"",IFERROR(INDEX(IF($T68&lt;24,pcomp_m,palt_m),MATCH($X68,IF($T68&lt;24,pcomp_k,palt_k),1)),""))</f>
        <v/>
      </c>
      <c r="AT68">
        <f>IF(OR($X68="",$T68&gt;60),"",IFERROR(INDEX(IF($T68&lt;24,pcomp_s,palt_s),MATCH($X68,IF($T68&lt;24,pcomp_k,palt_k),1)),""))</f>
        <v/>
      </c>
      <c r="AU68">
        <f>IF($AR68="","",IF($AR68=0,LN($F68/$AS68)/$AT68,((($F68/$AS68)^$AR68)-1)/($AR68*$AT68)))</f>
        <v/>
      </c>
      <c r="AV68">
        <f>IF($AR68="","",IF($AR68=0,$AS68*EXP($AT68*2),$AS68*(1+$AR68*$AT68*2)^(1/$AR68)))</f>
        <v/>
      </c>
      <c r="AW68">
        <f>IF($AR68="","",IF($AR68=0,$AS68*EXP($AT68*3),$AS68*(1+$AR68*$AT68*3)^(1/$AR68)))</f>
        <v/>
      </c>
      <c r="AX68">
        <f>IF($AR68="","",IF($AR68=0,$AS68*EXP($AT68*-2),$AS68*(1+$AR68*$AT68*-2)^(1/$AR68)))</f>
        <v/>
      </c>
      <c r="AY68">
        <f>IF($AR68="","",IF($AR68=0,$AS68*EXP($AT68*-3),$AS68*(1+$AR68*$AT68*-3)^(1/$AR68)))</f>
        <v/>
      </c>
      <c r="AZ68">
        <f>IF(OR($A68="",$A68&lt;&gt;Ficha!$C$4),"",COUNTIF($A$2:$A68,Ficha!$C$4))</f>
        <v/>
      </c>
    </row>
    <row r="69">
      <c r="A69" s="8">
        <f>IF(INDEX(Banco!$A:$A,ROW())="","",INDEX(Banco!$A:$A,ROW()))</f>
        <v/>
      </c>
      <c r="B69" s="8">
        <f>IF(INDEX(Banco!$B:$B,ROW())="","",INDEX(Banco!$B:$B,ROW()))</f>
        <v/>
      </c>
      <c r="C69" s="8">
        <f>IF(INDEX(Banco!$C:$C,ROW())="","",INDEX(Banco!$C:$C,ROW()))</f>
        <v/>
      </c>
      <c r="D69" s="9">
        <f>IF(INDEX(Banco!$D:$D,ROW())="","",INDEX(Banco!$D:$D,ROW()))</f>
        <v/>
      </c>
      <c r="E69" s="9">
        <f>IF(INDEX(Banco!$E:$E,ROW())="","",INDEX(Banco!$E:$E,ROW()))</f>
        <v/>
      </c>
      <c r="F69" s="10">
        <f>IF(INDEX(Banco!$F:$F,ROW())="","",INDEX(Banco!$F:$F,ROW()))</f>
        <v/>
      </c>
      <c r="G69" s="10">
        <f>IF(INDEX(Banco!$G:$G,ROW())="","",INDEX(Banco!$G:$G,ROW()))</f>
        <v/>
      </c>
      <c r="H69" s="8">
        <f>IF(INDEX(Banco!$H:$H,ROW())="","",INDEX(Banco!$H:$H,ROW()))</f>
        <v/>
      </c>
      <c r="I69">
        <f>IF($T69="","",INT($T69/12)&amp;"a "&amp;MOD($T69,12)&amp;"m")</f>
        <v/>
      </c>
      <c r="J69" s="11">
        <f>IF(OR($F69="",$G69=""),"",ROUND($F69/($G69/100)^2,2))</f>
        <v/>
      </c>
      <c r="K69" s="12">
        <f>IF(OR($S69="",$J69="",$T69="",$T69&lt;0,$T69&gt;228,$Y69=""),"—",ROUND(IF(ABS($AB69)&lt;=3,$AB69,IF($AB69&gt;3,3+($J69-$AD69)/($AD69-$AC69),-3+($J69-$AF69)/($AE69-$AF69))),2))</f>
        <v/>
      </c>
      <c r="L69">
        <f>IF(OR($K69="",$K69="—"),"",IF($T69&lt;=60,IF($K69&lt;-3,"Magreza acentuada",IF($K69&lt;-2,"Magreza",IF($K69&lt;=1,"Eutrofia",IF($K69&lt;=2,"Risco de sobrepeso",IF($K69&lt;=3,"Sobrepeso","Obesidade"))))),IF($K69&lt;-3,"Magreza acentuada",IF($K69&lt;-2,"Magreza",IF($K69&lt;=1,"Eutrofia",IF($K69&lt;=2,"Sobrepeso",IF($K69&lt;=3,"Obesidade","Obesidade grave")))))))</f>
        <v/>
      </c>
      <c r="M69" s="12">
        <f>IF(OR($S69="",$V69="",$T69="",$T69&lt;0,$T69&gt;228,$AG69=""),"—",ROUND(IF($AG69=0,LN($V69/$AH69)/$AI69,((($V69/$AH69)^$AG69)-1)/($AG69*$AI69)),2))</f>
        <v/>
      </c>
      <c r="N69">
        <f>IF(OR($M69="",$M69="—"),"",IF($M69&lt;-3,"Muito baixa",IF($M69&lt;-2,"Baixa","Adequada")))</f>
        <v/>
      </c>
      <c r="O69" s="12">
        <f>IF(OR($S69="",$F69="",$T69="",$T69&lt;0,$T69&gt;120,$AJ69=""),"—",ROUND(IF(ABS($AM69)&lt;=3,$AM69,IF($AM69&gt;3,3+($F69-$AO69)/($AO69-$AN69),-3+($F69-$AQ69)/($AP69-$AQ69))),2))</f>
        <v/>
      </c>
      <c r="P69">
        <f>IF(OR($O69="",$O69="—"),"",IF($O69&lt;-3,"Muito baixo",IF($O69&lt;-2,"Baixo",IF($O69&lt;=2,"Adequado","Elevado"))))</f>
        <v/>
      </c>
      <c r="Q69" s="12">
        <f>IF(OR($S69="",$F69="",$T69="",$T69&lt;0,$T69&gt;60,$AR69=""),"—",ROUND(IF(ABS($AU69)&lt;=3,$AU69,IF($AU69&gt;3,3+($F69-$AW69)/($AW69-$AV69),-3+($F69-$AY69)/($AX69-$AY69))),2))</f>
        <v/>
      </c>
      <c r="R69">
        <f>IF(OR($Q69="",$Q69="—"),"",IF($Q69&lt;-3,"Magreza acentuada",IF($Q69&lt;-2,"Magreza",IF($Q69&lt;=1,"Eutrofia",IF($Q69&lt;=2,"Risco de sobrepeso",IF($Q69&lt;=3,"Sobrepeso","Obesidade"))))))</f>
        <v/>
      </c>
      <c r="S69">
        <f>IF($C69="","",IF(UPPER(LEFT($C69,1))="M",1,IF(UPPER(LEFT($C69,1))="F",2,"")))</f>
        <v/>
      </c>
      <c r="T69">
        <f>IF(OR($D69="",$E69=""),"",DATEDIF($D69,$E69,"m"))</f>
        <v/>
      </c>
      <c r="U69">
        <f>IF(OR($D69="",$E69=""),"",$E69-$D69)</f>
        <v/>
      </c>
      <c r="V69">
        <f>IF(OR($G69="",$T69=""),"",IF($T69&lt;24,IF(LEFT(LOWER($H69),4)="em p",$G69+0.7,$G69),IF(LEFT(LOWER($H69),4)="deit",$G69-0.7,$G69)))</f>
        <v/>
      </c>
      <c r="W69">
        <f>IF(OR($S69="",$T69=""),"",$S69*1000000+IF($T69&lt;=60,$U69,$T69))</f>
        <v/>
      </c>
      <c r="X69">
        <f>IF(OR($S69="",$V69="",$T69&gt;60,$T69=""),"",$S69*1000000+ROUND($V69*10,0))</f>
        <v/>
      </c>
      <c r="Y69">
        <f>IF($W69="","",IFERROR(INDEX(IF($T69&lt;=60,imc05_l,imc519_l),MATCH($W69,IF($T69&lt;=60,imc05_k,imc519_k),1)),""))</f>
        <v/>
      </c>
      <c r="Z69">
        <f>IF($W69="","",IFERROR(INDEX(IF($T69&lt;=60,imc05_m,imc519_m),MATCH($W69,IF($T69&lt;=60,imc05_k,imc519_k),1)),""))</f>
        <v/>
      </c>
      <c r="AA69">
        <f>IF($W69="","",IFERROR(INDEX(IF($T69&lt;=60,imc05_s,imc519_s),MATCH($W69,IF($T69&lt;=60,imc05_k,imc519_k),1)),""))</f>
        <v/>
      </c>
      <c r="AB69">
        <f>IF($Y69="","",IF($Y69=0,LN($J69/$Z69)/$AA69,((($J69/$Z69)^$Y69)-1)/($Y69*$AA69)))</f>
        <v/>
      </c>
      <c r="AC69">
        <f>IF($Y69="","",IF($Y69=0,$Z69*EXP($AA69*2),$Z69*(1+$Y69*$AA69*2)^(1/$Y69)))</f>
        <v/>
      </c>
      <c r="AD69">
        <f>IF($Y69="","",IF($Y69=0,$Z69*EXP($AA69*3),$Z69*(1+$Y69*$AA69*3)^(1/$Y69)))</f>
        <v/>
      </c>
      <c r="AE69">
        <f>IF($Y69="","",IF($Y69=0,$Z69*EXP($AA69*-2),$Z69*(1+$Y69*$AA69*-2)^(1/$Y69)))</f>
        <v/>
      </c>
      <c r="AF69">
        <f>IF($Y69="","",IF($Y69=0,$Z69*EXP($AA69*-3),$Z69*(1+$Y69*$AA69*-3)^(1/$Y69)))</f>
        <v/>
      </c>
      <c r="AG69">
        <f>IF($W69="","",IFERROR(INDEX(IF($T69&lt;=60,est05_l,est519_l),MATCH($W69,IF($T69&lt;=60,est05_k,est519_k),1)),""))</f>
        <v/>
      </c>
      <c r="AH69">
        <f>IF($W69="","",IFERROR(INDEX(IF($T69&lt;=60,est05_m,est519_m),MATCH($W69,IF($T69&lt;=60,est05_k,est519_k),1)),""))</f>
        <v/>
      </c>
      <c r="AI69">
        <f>IF($W69="","",IFERROR(INDEX(IF($T69&lt;=60,est05_s,est519_s),MATCH($W69,IF($T69&lt;=60,est05_k,est519_k),1)),""))</f>
        <v/>
      </c>
      <c r="AJ69">
        <f>IF($W69="","",IFERROR(INDEX(IF($T69&lt;=60,peso05_l,peso510_l),MATCH($W69,IF($T69&lt;=60,peso05_k,peso510_k),1)),""))</f>
        <v/>
      </c>
      <c r="AK69">
        <f>IF($W69="","",IFERROR(INDEX(IF($T69&lt;=60,peso05_m,peso510_m),MATCH($W69,IF($T69&lt;=60,peso05_k,peso510_k),1)),""))</f>
        <v/>
      </c>
      <c r="AL69">
        <f>IF($W69="","",IFERROR(INDEX(IF($T69&lt;=60,peso05_s,peso510_s),MATCH($W69,IF($T69&lt;=60,peso05_k,peso510_k),1)),""))</f>
        <v/>
      </c>
      <c r="AM69">
        <f>IF($AJ69="","",IF($AJ69=0,LN($F69/$AK69)/$AL69,((($F69/$AK69)^$AJ69)-1)/($AJ69*$AL69)))</f>
        <v/>
      </c>
      <c r="AN69">
        <f>IF($AJ69="","",IF($AJ69=0,$AK69*EXP($AL69*2),$AK69*(1+$AJ69*$AL69*2)^(1/$AJ69)))</f>
        <v/>
      </c>
      <c r="AO69">
        <f>IF($AJ69="","",IF($AJ69=0,$AK69*EXP($AL69*3),$AK69*(1+$AJ69*$AL69*3)^(1/$AJ69)))</f>
        <v/>
      </c>
      <c r="AP69">
        <f>IF($AJ69="","",IF($AJ69=0,$AK69*EXP($AL69*-2),$AK69*(1+$AJ69*$AL69*-2)^(1/$AJ69)))</f>
        <v/>
      </c>
      <c r="AQ69">
        <f>IF($AJ69="","",IF($AJ69=0,$AK69*EXP($AL69*-3),$AK69*(1+$AJ69*$AL69*-3)^(1/$AJ69)))</f>
        <v/>
      </c>
      <c r="AR69">
        <f>IF(OR($X69="",$T69&gt;60),"",IFERROR(INDEX(IF($T69&lt;24,pcomp_l,palt_l),MATCH($X69,IF($T69&lt;24,pcomp_k,palt_k),1)),""))</f>
        <v/>
      </c>
      <c r="AS69">
        <f>IF(OR($X69="",$T69&gt;60),"",IFERROR(INDEX(IF($T69&lt;24,pcomp_m,palt_m),MATCH($X69,IF($T69&lt;24,pcomp_k,palt_k),1)),""))</f>
        <v/>
      </c>
      <c r="AT69">
        <f>IF(OR($X69="",$T69&gt;60),"",IFERROR(INDEX(IF($T69&lt;24,pcomp_s,palt_s),MATCH($X69,IF($T69&lt;24,pcomp_k,palt_k),1)),""))</f>
        <v/>
      </c>
      <c r="AU69">
        <f>IF($AR69="","",IF($AR69=0,LN($F69/$AS69)/$AT69,((($F69/$AS69)^$AR69)-1)/($AR69*$AT69)))</f>
        <v/>
      </c>
      <c r="AV69">
        <f>IF($AR69="","",IF($AR69=0,$AS69*EXP($AT69*2),$AS69*(1+$AR69*$AT69*2)^(1/$AR69)))</f>
        <v/>
      </c>
      <c r="AW69">
        <f>IF($AR69="","",IF($AR69=0,$AS69*EXP($AT69*3),$AS69*(1+$AR69*$AT69*3)^(1/$AR69)))</f>
        <v/>
      </c>
      <c r="AX69">
        <f>IF($AR69="","",IF($AR69=0,$AS69*EXP($AT69*-2),$AS69*(1+$AR69*$AT69*-2)^(1/$AR69)))</f>
        <v/>
      </c>
      <c r="AY69">
        <f>IF($AR69="","",IF($AR69=0,$AS69*EXP($AT69*-3),$AS69*(1+$AR69*$AT69*-3)^(1/$AR69)))</f>
        <v/>
      </c>
      <c r="AZ69">
        <f>IF(OR($A69="",$A69&lt;&gt;Ficha!$C$4),"",COUNTIF($A$2:$A69,Ficha!$C$4))</f>
        <v/>
      </c>
    </row>
    <row r="70">
      <c r="A70" s="8">
        <f>IF(INDEX(Banco!$A:$A,ROW())="","",INDEX(Banco!$A:$A,ROW()))</f>
        <v/>
      </c>
      <c r="B70" s="8">
        <f>IF(INDEX(Banco!$B:$B,ROW())="","",INDEX(Banco!$B:$B,ROW()))</f>
        <v/>
      </c>
      <c r="C70" s="8">
        <f>IF(INDEX(Banco!$C:$C,ROW())="","",INDEX(Banco!$C:$C,ROW()))</f>
        <v/>
      </c>
      <c r="D70" s="9">
        <f>IF(INDEX(Banco!$D:$D,ROW())="","",INDEX(Banco!$D:$D,ROW()))</f>
        <v/>
      </c>
      <c r="E70" s="9">
        <f>IF(INDEX(Banco!$E:$E,ROW())="","",INDEX(Banco!$E:$E,ROW()))</f>
        <v/>
      </c>
      <c r="F70" s="10">
        <f>IF(INDEX(Banco!$F:$F,ROW())="","",INDEX(Banco!$F:$F,ROW()))</f>
        <v/>
      </c>
      <c r="G70" s="10">
        <f>IF(INDEX(Banco!$G:$G,ROW())="","",INDEX(Banco!$G:$G,ROW()))</f>
        <v/>
      </c>
      <c r="H70" s="8">
        <f>IF(INDEX(Banco!$H:$H,ROW())="","",INDEX(Banco!$H:$H,ROW()))</f>
        <v/>
      </c>
      <c r="I70">
        <f>IF($T70="","",INT($T70/12)&amp;"a "&amp;MOD($T70,12)&amp;"m")</f>
        <v/>
      </c>
      <c r="J70" s="11">
        <f>IF(OR($F70="",$G70=""),"",ROUND($F70/($G70/100)^2,2))</f>
        <v/>
      </c>
      <c r="K70" s="12">
        <f>IF(OR($S70="",$J70="",$T70="",$T70&lt;0,$T70&gt;228,$Y70=""),"—",ROUND(IF(ABS($AB70)&lt;=3,$AB70,IF($AB70&gt;3,3+($J70-$AD70)/($AD70-$AC70),-3+($J70-$AF70)/($AE70-$AF70))),2))</f>
        <v/>
      </c>
      <c r="L70">
        <f>IF(OR($K70="",$K70="—"),"",IF($T70&lt;=60,IF($K70&lt;-3,"Magreza acentuada",IF($K70&lt;-2,"Magreza",IF($K70&lt;=1,"Eutrofia",IF($K70&lt;=2,"Risco de sobrepeso",IF($K70&lt;=3,"Sobrepeso","Obesidade"))))),IF($K70&lt;-3,"Magreza acentuada",IF($K70&lt;-2,"Magreza",IF($K70&lt;=1,"Eutrofia",IF($K70&lt;=2,"Sobrepeso",IF($K70&lt;=3,"Obesidade","Obesidade grave")))))))</f>
        <v/>
      </c>
      <c r="M70" s="12">
        <f>IF(OR($S70="",$V70="",$T70="",$T70&lt;0,$T70&gt;228,$AG70=""),"—",ROUND(IF($AG70=0,LN($V70/$AH70)/$AI70,((($V70/$AH70)^$AG70)-1)/($AG70*$AI70)),2))</f>
        <v/>
      </c>
      <c r="N70">
        <f>IF(OR($M70="",$M70="—"),"",IF($M70&lt;-3,"Muito baixa",IF($M70&lt;-2,"Baixa","Adequada")))</f>
        <v/>
      </c>
      <c r="O70" s="12">
        <f>IF(OR($S70="",$F70="",$T70="",$T70&lt;0,$T70&gt;120,$AJ70=""),"—",ROUND(IF(ABS($AM70)&lt;=3,$AM70,IF($AM70&gt;3,3+($F70-$AO70)/($AO70-$AN70),-3+($F70-$AQ70)/($AP70-$AQ70))),2))</f>
        <v/>
      </c>
      <c r="P70">
        <f>IF(OR($O70="",$O70="—"),"",IF($O70&lt;-3,"Muito baixo",IF($O70&lt;-2,"Baixo",IF($O70&lt;=2,"Adequado","Elevado"))))</f>
        <v/>
      </c>
      <c r="Q70" s="12">
        <f>IF(OR($S70="",$F70="",$T70="",$T70&lt;0,$T70&gt;60,$AR70=""),"—",ROUND(IF(ABS($AU70)&lt;=3,$AU70,IF($AU70&gt;3,3+($F70-$AW70)/($AW70-$AV70),-3+($F70-$AY70)/($AX70-$AY70))),2))</f>
        <v/>
      </c>
      <c r="R70">
        <f>IF(OR($Q70="",$Q70="—"),"",IF($Q70&lt;-3,"Magreza acentuada",IF($Q70&lt;-2,"Magreza",IF($Q70&lt;=1,"Eutrofia",IF($Q70&lt;=2,"Risco de sobrepeso",IF($Q70&lt;=3,"Sobrepeso","Obesidade"))))))</f>
        <v/>
      </c>
      <c r="S70">
        <f>IF($C70="","",IF(UPPER(LEFT($C70,1))="M",1,IF(UPPER(LEFT($C70,1))="F",2,"")))</f>
        <v/>
      </c>
      <c r="T70">
        <f>IF(OR($D70="",$E70=""),"",DATEDIF($D70,$E70,"m"))</f>
        <v/>
      </c>
      <c r="U70">
        <f>IF(OR($D70="",$E70=""),"",$E70-$D70)</f>
        <v/>
      </c>
      <c r="V70">
        <f>IF(OR($G70="",$T70=""),"",IF($T70&lt;24,IF(LEFT(LOWER($H70),4)="em p",$G70+0.7,$G70),IF(LEFT(LOWER($H70),4)="deit",$G70-0.7,$G70)))</f>
        <v/>
      </c>
      <c r="W70">
        <f>IF(OR($S70="",$T70=""),"",$S70*1000000+IF($T70&lt;=60,$U70,$T70))</f>
        <v/>
      </c>
      <c r="X70">
        <f>IF(OR($S70="",$V70="",$T70&gt;60,$T70=""),"",$S70*1000000+ROUND($V70*10,0))</f>
        <v/>
      </c>
      <c r="Y70">
        <f>IF($W70="","",IFERROR(INDEX(IF($T70&lt;=60,imc05_l,imc519_l),MATCH($W70,IF($T70&lt;=60,imc05_k,imc519_k),1)),""))</f>
        <v/>
      </c>
      <c r="Z70">
        <f>IF($W70="","",IFERROR(INDEX(IF($T70&lt;=60,imc05_m,imc519_m),MATCH($W70,IF($T70&lt;=60,imc05_k,imc519_k),1)),""))</f>
        <v/>
      </c>
      <c r="AA70">
        <f>IF($W70="","",IFERROR(INDEX(IF($T70&lt;=60,imc05_s,imc519_s),MATCH($W70,IF($T70&lt;=60,imc05_k,imc519_k),1)),""))</f>
        <v/>
      </c>
      <c r="AB70">
        <f>IF($Y70="","",IF($Y70=0,LN($J70/$Z70)/$AA70,((($J70/$Z70)^$Y70)-1)/($Y70*$AA70)))</f>
        <v/>
      </c>
      <c r="AC70">
        <f>IF($Y70="","",IF($Y70=0,$Z70*EXP($AA70*2),$Z70*(1+$Y70*$AA70*2)^(1/$Y70)))</f>
        <v/>
      </c>
      <c r="AD70">
        <f>IF($Y70="","",IF($Y70=0,$Z70*EXP($AA70*3),$Z70*(1+$Y70*$AA70*3)^(1/$Y70)))</f>
        <v/>
      </c>
      <c r="AE70">
        <f>IF($Y70="","",IF($Y70=0,$Z70*EXP($AA70*-2),$Z70*(1+$Y70*$AA70*-2)^(1/$Y70)))</f>
        <v/>
      </c>
      <c r="AF70">
        <f>IF($Y70="","",IF($Y70=0,$Z70*EXP($AA70*-3),$Z70*(1+$Y70*$AA70*-3)^(1/$Y70)))</f>
        <v/>
      </c>
      <c r="AG70">
        <f>IF($W70="","",IFERROR(INDEX(IF($T70&lt;=60,est05_l,est519_l),MATCH($W70,IF($T70&lt;=60,est05_k,est519_k),1)),""))</f>
        <v/>
      </c>
      <c r="AH70">
        <f>IF($W70="","",IFERROR(INDEX(IF($T70&lt;=60,est05_m,est519_m),MATCH($W70,IF($T70&lt;=60,est05_k,est519_k),1)),""))</f>
        <v/>
      </c>
      <c r="AI70">
        <f>IF($W70="","",IFERROR(INDEX(IF($T70&lt;=60,est05_s,est519_s),MATCH($W70,IF($T70&lt;=60,est05_k,est519_k),1)),""))</f>
        <v/>
      </c>
      <c r="AJ70">
        <f>IF($W70="","",IFERROR(INDEX(IF($T70&lt;=60,peso05_l,peso510_l),MATCH($W70,IF($T70&lt;=60,peso05_k,peso510_k),1)),""))</f>
        <v/>
      </c>
      <c r="AK70">
        <f>IF($W70="","",IFERROR(INDEX(IF($T70&lt;=60,peso05_m,peso510_m),MATCH($W70,IF($T70&lt;=60,peso05_k,peso510_k),1)),""))</f>
        <v/>
      </c>
      <c r="AL70">
        <f>IF($W70="","",IFERROR(INDEX(IF($T70&lt;=60,peso05_s,peso510_s),MATCH($W70,IF($T70&lt;=60,peso05_k,peso510_k),1)),""))</f>
        <v/>
      </c>
      <c r="AM70">
        <f>IF($AJ70="","",IF($AJ70=0,LN($F70/$AK70)/$AL70,((($F70/$AK70)^$AJ70)-1)/($AJ70*$AL70)))</f>
        <v/>
      </c>
      <c r="AN70">
        <f>IF($AJ70="","",IF($AJ70=0,$AK70*EXP($AL70*2),$AK70*(1+$AJ70*$AL70*2)^(1/$AJ70)))</f>
        <v/>
      </c>
      <c r="AO70">
        <f>IF($AJ70="","",IF($AJ70=0,$AK70*EXP($AL70*3),$AK70*(1+$AJ70*$AL70*3)^(1/$AJ70)))</f>
        <v/>
      </c>
      <c r="AP70">
        <f>IF($AJ70="","",IF($AJ70=0,$AK70*EXP($AL70*-2),$AK70*(1+$AJ70*$AL70*-2)^(1/$AJ70)))</f>
        <v/>
      </c>
      <c r="AQ70">
        <f>IF($AJ70="","",IF($AJ70=0,$AK70*EXP($AL70*-3),$AK70*(1+$AJ70*$AL70*-3)^(1/$AJ70)))</f>
        <v/>
      </c>
      <c r="AR70">
        <f>IF(OR($X70="",$T70&gt;60),"",IFERROR(INDEX(IF($T70&lt;24,pcomp_l,palt_l),MATCH($X70,IF($T70&lt;24,pcomp_k,palt_k),1)),""))</f>
        <v/>
      </c>
      <c r="AS70">
        <f>IF(OR($X70="",$T70&gt;60),"",IFERROR(INDEX(IF($T70&lt;24,pcomp_m,palt_m),MATCH($X70,IF($T70&lt;24,pcomp_k,palt_k),1)),""))</f>
        <v/>
      </c>
      <c r="AT70">
        <f>IF(OR($X70="",$T70&gt;60),"",IFERROR(INDEX(IF($T70&lt;24,pcomp_s,palt_s),MATCH($X70,IF($T70&lt;24,pcomp_k,palt_k),1)),""))</f>
        <v/>
      </c>
      <c r="AU70">
        <f>IF($AR70="","",IF($AR70=0,LN($F70/$AS70)/$AT70,((($F70/$AS70)^$AR70)-1)/($AR70*$AT70)))</f>
        <v/>
      </c>
      <c r="AV70">
        <f>IF($AR70="","",IF($AR70=0,$AS70*EXP($AT70*2),$AS70*(1+$AR70*$AT70*2)^(1/$AR70)))</f>
        <v/>
      </c>
      <c r="AW70">
        <f>IF($AR70="","",IF($AR70=0,$AS70*EXP($AT70*3),$AS70*(1+$AR70*$AT70*3)^(1/$AR70)))</f>
        <v/>
      </c>
      <c r="AX70">
        <f>IF($AR70="","",IF($AR70=0,$AS70*EXP($AT70*-2),$AS70*(1+$AR70*$AT70*-2)^(1/$AR70)))</f>
        <v/>
      </c>
      <c r="AY70">
        <f>IF($AR70="","",IF($AR70=0,$AS70*EXP($AT70*-3),$AS70*(1+$AR70*$AT70*-3)^(1/$AR70)))</f>
        <v/>
      </c>
      <c r="AZ70">
        <f>IF(OR($A70="",$A70&lt;&gt;Ficha!$C$4),"",COUNTIF($A$2:$A70,Ficha!$C$4))</f>
        <v/>
      </c>
    </row>
    <row r="71">
      <c r="A71" s="8">
        <f>IF(INDEX(Banco!$A:$A,ROW())="","",INDEX(Banco!$A:$A,ROW()))</f>
        <v/>
      </c>
      <c r="B71" s="8">
        <f>IF(INDEX(Banco!$B:$B,ROW())="","",INDEX(Banco!$B:$B,ROW()))</f>
        <v/>
      </c>
      <c r="C71" s="8">
        <f>IF(INDEX(Banco!$C:$C,ROW())="","",INDEX(Banco!$C:$C,ROW()))</f>
        <v/>
      </c>
      <c r="D71" s="9">
        <f>IF(INDEX(Banco!$D:$D,ROW())="","",INDEX(Banco!$D:$D,ROW()))</f>
        <v/>
      </c>
      <c r="E71" s="9">
        <f>IF(INDEX(Banco!$E:$E,ROW())="","",INDEX(Banco!$E:$E,ROW()))</f>
        <v/>
      </c>
      <c r="F71" s="10">
        <f>IF(INDEX(Banco!$F:$F,ROW())="","",INDEX(Banco!$F:$F,ROW()))</f>
        <v/>
      </c>
      <c r="G71" s="10">
        <f>IF(INDEX(Banco!$G:$G,ROW())="","",INDEX(Banco!$G:$G,ROW()))</f>
        <v/>
      </c>
      <c r="H71" s="8">
        <f>IF(INDEX(Banco!$H:$H,ROW())="","",INDEX(Banco!$H:$H,ROW()))</f>
        <v/>
      </c>
      <c r="I71">
        <f>IF($T71="","",INT($T71/12)&amp;"a "&amp;MOD($T71,12)&amp;"m")</f>
        <v/>
      </c>
      <c r="J71" s="11">
        <f>IF(OR($F71="",$G71=""),"",ROUND($F71/($G71/100)^2,2))</f>
        <v/>
      </c>
      <c r="K71" s="12">
        <f>IF(OR($S71="",$J71="",$T71="",$T71&lt;0,$T71&gt;228,$Y71=""),"—",ROUND(IF(ABS($AB71)&lt;=3,$AB71,IF($AB71&gt;3,3+($J71-$AD71)/($AD71-$AC71),-3+($J71-$AF71)/($AE71-$AF71))),2))</f>
        <v/>
      </c>
      <c r="L71">
        <f>IF(OR($K71="",$K71="—"),"",IF($T71&lt;=60,IF($K71&lt;-3,"Magreza acentuada",IF($K71&lt;-2,"Magreza",IF($K71&lt;=1,"Eutrofia",IF($K71&lt;=2,"Risco de sobrepeso",IF($K71&lt;=3,"Sobrepeso","Obesidade"))))),IF($K71&lt;-3,"Magreza acentuada",IF($K71&lt;-2,"Magreza",IF($K71&lt;=1,"Eutrofia",IF($K71&lt;=2,"Sobrepeso",IF($K71&lt;=3,"Obesidade","Obesidade grave")))))))</f>
        <v/>
      </c>
      <c r="M71" s="12">
        <f>IF(OR($S71="",$V71="",$T71="",$T71&lt;0,$T71&gt;228,$AG71=""),"—",ROUND(IF($AG71=0,LN($V71/$AH71)/$AI71,((($V71/$AH71)^$AG71)-1)/($AG71*$AI71)),2))</f>
        <v/>
      </c>
      <c r="N71">
        <f>IF(OR($M71="",$M71="—"),"",IF($M71&lt;-3,"Muito baixa",IF($M71&lt;-2,"Baixa","Adequada")))</f>
        <v/>
      </c>
      <c r="O71" s="12">
        <f>IF(OR($S71="",$F71="",$T71="",$T71&lt;0,$T71&gt;120,$AJ71=""),"—",ROUND(IF(ABS($AM71)&lt;=3,$AM71,IF($AM71&gt;3,3+($F71-$AO71)/($AO71-$AN71),-3+($F71-$AQ71)/($AP71-$AQ71))),2))</f>
        <v/>
      </c>
      <c r="P71">
        <f>IF(OR($O71="",$O71="—"),"",IF($O71&lt;-3,"Muito baixo",IF($O71&lt;-2,"Baixo",IF($O71&lt;=2,"Adequado","Elevado"))))</f>
        <v/>
      </c>
      <c r="Q71" s="12">
        <f>IF(OR($S71="",$F71="",$T71="",$T71&lt;0,$T71&gt;60,$AR71=""),"—",ROUND(IF(ABS($AU71)&lt;=3,$AU71,IF($AU71&gt;3,3+($F71-$AW71)/($AW71-$AV71),-3+($F71-$AY71)/($AX71-$AY71))),2))</f>
        <v/>
      </c>
      <c r="R71">
        <f>IF(OR($Q71="",$Q71="—"),"",IF($Q71&lt;-3,"Magreza acentuada",IF($Q71&lt;-2,"Magreza",IF($Q71&lt;=1,"Eutrofia",IF($Q71&lt;=2,"Risco de sobrepeso",IF($Q71&lt;=3,"Sobrepeso","Obesidade"))))))</f>
        <v/>
      </c>
      <c r="S71">
        <f>IF($C71="","",IF(UPPER(LEFT($C71,1))="M",1,IF(UPPER(LEFT($C71,1))="F",2,"")))</f>
        <v/>
      </c>
      <c r="T71">
        <f>IF(OR($D71="",$E71=""),"",DATEDIF($D71,$E71,"m"))</f>
        <v/>
      </c>
      <c r="U71">
        <f>IF(OR($D71="",$E71=""),"",$E71-$D71)</f>
        <v/>
      </c>
      <c r="V71">
        <f>IF(OR($G71="",$T71=""),"",IF($T71&lt;24,IF(LEFT(LOWER($H71),4)="em p",$G71+0.7,$G71),IF(LEFT(LOWER($H71),4)="deit",$G71-0.7,$G71)))</f>
        <v/>
      </c>
      <c r="W71">
        <f>IF(OR($S71="",$T71=""),"",$S71*1000000+IF($T71&lt;=60,$U71,$T71))</f>
        <v/>
      </c>
      <c r="X71">
        <f>IF(OR($S71="",$V71="",$T71&gt;60,$T71=""),"",$S71*1000000+ROUND($V71*10,0))</f>
        <v/>
      </c>
      <c r="Y71">
        <f>IF($W71="","",IFERROR(INDEX(IF($T71&lt;=60,imc05_l,imc519_l),MATCH($W71,IF($T71&lt;=60,imc05_k,imc519_k),1)),""))</f>
        <v/>
      </c>
      <c r="Z71">
        <f>IF($W71="","",IFERROR(INDEX(IF($T71&lt;=60,imc05_m,imc519_m),MATCH($W71,IF($T71&lt;=60,imc05_k,imc519_k),1)),""))</f>
        <v/>
      </c>
      <c r="AA71">
        <f>IF($W71="","",IFERROR(INDEX(IF($T71&lt;=60,imc05_s,imc519_s),MATCH($W71,IF($T71&lt;=60,imc05_k,imc519_k),1)),""))</f>
        <v/>
      </c>
      <c r="AB71">
        <f>IF($Y71="","",IF($Y71=0,LN($J71/$Z71)/$AA71,((($J71/$Z71)^$Y71)-1)/($Y71*$AA71)))</f>
        <v/>
      </c>
      <c r="AC71">
        <f>IF($Y71="","",IF($Y71=0,$Z71*EXP($AA71*2),$Z71*(1+$Y71*$AA71*2)^(1/$Y71)))</f>
        <v/>
      </c>
      <c r="AD71">
        <f>IF($Y71="","",IF($Y71=0,$Z71*EXP($AA71*3),$Z71*(1+$Y71*$AA71*3)^(1/$Y71)))</f>
        <v/>
      </c>
      <c r="AE71">
        <f>IF($Y71="","",IF($Y71=0,$Z71*EXP($AA71*-2),$Z71*(1+$Y71*$AA71*-2)^(1/$Y71)))</f>
        <v/>
      </c>
      <c r="AF71">
        <f>IF($Y71="","",IF($Y71=0,$Z71*EXP($AA71*-3),$Z71*(1+$Y71*$AA71*-3)^(1/$Y71)))</f>
        <v/>
      </c>
      <c r="AG71">
        <f>IF($W71="","",IFERROR(INDEX(IF($T71&lt;=60,est05_l,est519_l),MATCH($W71,IF($T71&lt;=60,est05_k,est519_k),1)),""))</f>
        <v/>
      </c>
      <c r="AH71">
        <f>IF($W71="","",IFERROR(INDEX(IF($T71&lt;=60,est05_m,est519_m),MATCH($W71,IF($T71&lt;=60,est05_k,est519_k),1)),""))</f>
        <v/>
      </c>
      <c r="AI71">
        <f>IF($W71="","",IFERROR(INDEX(IF($T71&lt;=60,est05_s,est519_s),MATCH($W71,IF($T71&lt;=60,est05_k,est519_k),1)),""))</f>
        <v/>
      </c>
      <c r="AJ71">
        <f>IF($W71="","",IFERROR(INDEX(IF($T71&lt;=60,peso05_l,peso510_l),MATCH($W71,IF($T71&lt;=60,peso05_k,peso510_k),1)),""))</f>
        <v/>
      </c>
      <c r="AK71">
        <f>IF($W71="","",IFERROR(INDEX(IF($T71&lt;=60,peso05_m,peso510_m),MATCH($W71,IF($T71&lt;=60,peso05_k,peso510_k),1)),""))</f>
        <v/>
      </c>
      <c r="AL71">
        <f>IF($W71="","",IFERROR(INDEX(IF($T71&lt;=60,peso05_s,peso510_s),MATCH($W71,IF($T71&lt;=60,peso05_k,peso510_k),1)),""))</f>
        <v/>
      </c>
      <c r="AM71">
        <f>IF($AJ71="","",IF($AJ71=0,LN($F71/$AK71)/$AL71,((($F71/$AK71)^$AJ71)-1)/($AJ71*$AL71)))</f>
        <v/>
      </c>
      <c r="AN71">
        <f>IF($AJ71="","",IF($AJ71=0,$AK71*EXP($AL71*2),$AK71*(1+$AJ71*$AL71*2)^(1/$AJ71)))</f>
        <v/>
      </c>
      <c r="AO71">
        <f>IF($AJ71="","",IF($AJ71=0,$AK71*EXP($AL71*3),$AK71*(1+$AJ71*$AL71*3)^(1/$AJ71)))</f>
        <v/>
      </c>
      <c r="AP71">
        <f>IF($AJ71="","",IF($AJ71=0,$AK71*EXP($AL71*-2),$AK71*(1+$AJ71*$AL71*-2)^(1/$AJ71)))</f>
        <v/>
      </c>
      <c r="AQ71">
        <f>IF($AJ71="","",IF($AJ71=0,$AK71*EXP($AL71*-3),$AK71*(1+$AJ71*$AL71*-3)^(1/$AJ71)))</f>
        <v/>
      </c>
      <c r="AR71">
        <f>IF(OR($X71="",$T71&gt;60),"",IFERROR(INDEX(IF($T71&lt;24,pcomp_l,palt_l),MATCH($X71,IF($T71&lt;24,pcomp_k,palt_k),1)),""))</f>
        <v/>
      </c>
      <c r="AS71">
        <f>IF(OR($X71="",$T71&gt;60),"",IFERROR(INDEX(IF($T71&lt;24,pcomp_m,palt_m),MATCH($X71,IF($T71&lt;24,pcomp_k,palt_k),1)),""))</f>
        <v/>
      </c>
      <c r="AT71">
        <f>IF(OR($X71="",$T71&gt;60),"",IFERROR(INDEX(IF($T71&lt;24,pcomp_s,palt_s),MATCH($X71,IF($T71&lt;24,pcomp_k,palt_k),1)),""))</f>
        <v/>
      </c>
      <c r="AU71">
        <f>IF($AR71="","",IF($AR71=0,LN($F71/$AS71)/$AT71,((($F71/$AS71)^$AR71)-1)/($AR71*$AT71)))</f>
        <v/>
      </c>
      <c r="AV71">
        <f>IF($AR71="","",IF($AR71=0,$AS71*EXP($AT71*2),$AS71*(1+$AR71*$AT71*2)^(1/$AR71)))</f>
        <v/>
      </c>
      <c r="AW71">
        <f>IF($AR71="","",IF($AR71=0,$AS71*EXP($AT71*3),$AS71*(1+$AR71*$AT71*3)^(1/$AR71)))</f>
        <v/>
      </c>
      <c r="AX71">
        <f>IF($AR71="","",IF($AR71=0,$AS71*EXP($AT71*-2),$AS71*(1+$AR71*$AT71*-2)^(1/$AR71)))</f>
        <v/>
      </c>
      <c r="AY71">
        <f>IF($AR71="","",IF($AR71=0,$AS71*EXP($AT71*-3),$AS71*(1+$AR71*$AT71*-3)^(1/$AR71)))</f>
        <v/>
      </c>
      <c r="AZ71">
        <f>IF(OR($A71="",$A71&lt;&gt;Ficha!$C$4),"",COUNTIF($A$2:$A71,Ficha!$C$4))</f>
        <v/>
      </c>
    </row>
    <row r="72">
      <c r="A72" s="8">
        <f>IF(INDEX(Banco!$A:$A,ROW())="","",INDEX(Banco!$A:$A,ROW()))</f>
        <v/>
      </c>
      <c r="B72" s="8">
        <f>IF(INDEX(Banco!$B:$B,ROW())="","",INDEX(Banco!$B:$B,ROW()))</f>
        <v/>
      </c>
      <c r="C72" s="8">
        <f>IF(INDEX(Banco!$C:$C,ROW())="","",INDEX(Banco!$C:$C,ROW()))</f>
        <v/>
      </c>
      <c r="D72" s="9">
        <f>IF(INDEX(Banco!$D:$D,ROW())="","",INDEX(Banco!$D:$D,ROW()))</f>
        <v/>
      </c>
      <c r="E72" s="9">
        <f>IF(INDEX(Banco!$E:$E,ROW())="","",INDEX(Banco!$E:$E,ROW()))</f>
        <v/>
      </c>
      <c r="F72" s="10">
        <f>IF(INDEX(Banco!$F:$F,ROW())="","",INDEX(Banco!$F:$F,ROW()))</f>
        <v/>
      </c>
      <c r="G72" s="10">
        <f>IF(INDEX(Banco!$G:$G,ROW())="","",INDEX(Banco!$G:$G,ROW()))</f>
        <v/>
      </c>
      <c r="H72" s="8">
        <f>IF(INDEX(Banco!$H:$H,ROW())="","",INDEX(Banco!$H:$H,ROW()))</f>
        <v/>
      </c>
      <c r="I72">
        <f>IF($T72="","",INT($T72/12)&amp;"a "&amp;MOD($T72,12)&amp;"m")</f>
        <v/>
      </c>
      <c r="J72" s="11">
        <f>IF(OR($F72="",$G72=""),"",ROUND($F72/($G72/100)^2,2))</f>
        <v/>
      </c>
      <c r="K72" s="12">
        <f>IF(OR($S72="",$J72="",$T72="",$T72&lt;0,$T72&gt;228,$Y72=""),"—",ROUND(IF(ABS($AB72)&lt;=3,$AB72,IF($AB72&gt;3,3+($J72-$AD72)/($AD72-$AC72),-3+($J72-$AF72)/($AE72-$AF72))),2))</f>
        <v/>
      </c>
      <c r="L72">
        <f>IF(OR($K72="",$K72="—"),"",IF($T72&lt;=60,IF($K72&lt;-3,"Magreza acentuada",IF($K72&lt;-2,"Magreza",IF($K72&lt;=1,"Eutrofia",IF($K72&lt;=2,"Risco de sobrepeso",IF($K72&lt;=3,"Sobrepeso","Obesidade"))))),IF($K72&lt;-3,"Magreza acentuada",IF($K72&lt;-2,"Magreza",IF($K72&lt;=1,"Eutrofia",IF($K72&lt;=2,"Sobrepeso",IF($K72&lt;=3,"Obesidade","Obesidade grave")))))))</f>
        <v/>
      </c>
      <c r="M72" s="12">
        <f>IF(OR($S72="",$V72="",$T72="",$T72&lt;0,$T72&gt;228,$AG72=""),"—",ROUND(IF($AG72=0,LN($V72/$AH72)/$AI72,((($V72/$AH72)^$AG72)-1)/($AG72*$AI72)),2))</f>
        <v/>
      </c>
      <c r="N72">
        <f>IF(OR($M72="",$M72="—"),"",IF($M72&lt;-3,"Muito baixa",IF($M72&lt;-2,"Baixa","Adequada")))</f>
        <v/>
      </c>
      <c r="O72" s="12">
        <f>IF(OR($S72="",$F72="",$T72="",$T72&lt;0,$T72&gt;120,$AJ72=""),"—",ROUND(IF(ABS($AM72)&lt;=3,$AM72,IF($AM72&gt;3,3+($F72-$AO72)/($AO72-$AN72),-3+($F72-$AQ72)/($AP72-$AQ72))),2))</f>
        <v/>
      </c>
      <c r="P72">
        <f>IF(OR($O72="",$O72="—"),"",IF($O72&lt;-3,"Muito baixo",IF($O72&lt;-2,"Baixo",IF($O72&lt;=2,"Adequado","Elevado"))))</f>
        <v/>
      </c>
      <c r="Q72" s="12">
        <f>IF(OR($S72="",$F72="",$T72="",$T72&lt;0,$T72&gt;60,$AR72=""),"—",ROUND(IF(ABS($AU72)&lt;=3,$AU72,IF($AU72&gt;3,3+($F72-$AW72)/($AW72-$AV72),-3+($F72-$AY72)/($AX72-$AY72))),2))</f>
        <v/>
      </c>
      <c r="R72">
        <f>IF(OR($Q72="",$Q72="—"),"",IF($Q72&lt;-3,"Magreza acentuada",IF($Q72&lt;-2,"Magreza",IF($Q72&lt;=1,"Eutrofia",IF($Q72&lt;=2,"Risco de sobrepeso",IF($Q72&lt;=3,"Sobrepeso","Obesidade"))))))</f>
        <v/>
      </c>
      <c r="S72">
        <f>IF($C72="","",IF(UPPER(LEFT($C72,1))="M",1,IF(UPPER(LEFT($C72,1))="F",2,"")))</f>
        <v/>
      </c>
      <c r="T72">
        <f>IF(OR($D72="",$E72=""),"",DATEDIF($D72,$E72,"m"))</f>
        <v/>
      </c>
      <c r="U72">
        <f>IF(OR($D72="",$E72=""),"",$E72-$D72)</f>
        <v/>
      </c>
      <c r="V72">
        <f>IF(OR($G72="",$T72=""),"",IF($T72&lt;24,IF(LEFT(LOWER($H72),4)="em p",$G72+0.7,$G72),IF(LEFT(LOWER($H72),4)="deit",$G72-0.7,$G72)))</f>
        <v/>
      </c>
      <c r="W72">
        <f>IF(OR($S72="",$T72=""),"",$S72*1000000+IF($T72&lt;=60,$U72,$T72))</f>
        <v/>
      </c>
      <c r="X72">
        <f>IF(OR($S72="",$V72="",$T72&gt;60,$T72=""),"",$S72*1000000+ROUND($V72*10,0))</f>
        <v/>
      </c>
      <c r="Y72">
        <f>IF($W72="","",IFERROR(INDEX(IF($T72&lt;=60,imc05_l,imc519_l),MATCH($W72,IF($T72&lt;=60,imc05_k,imc519_k),1)),""))</f>
        <v/>
      </c>
      <c r="Z72">
        <f>IF($W72="","",IFERROR(INDEX(IF($T72&lt;=60,imc05_m,imc519_m),MATCH($W72,IF($T72&lt;=60,imc05_k,imc519_k),1)),""))</f>
        <v/>
      </c>
      <c r="AA72">
        <f>IF($W72="","",IFERROR(INDEX(IF($T72&lt;=60,imc05_s,imc519_s),MATCH($W72,IF($T72&lt;=60,imc05_k,imc519_k),1)),""))</f>
        <v/>
      </c>
      <c r="AB72">
        <f>IF($Y72="","",IF($Y72=0,LN($J72/$Z72)/$AA72,((($J72/$Z72)^$Y72)-1)/($Y72*$AA72)))</f>
        <v/>
      </c>
      <c r="AC72">
        <f>IF($Y72="","",IF($Y72=0,$Z72*EXP($AA72*2),$Z72*(1+$Y72*$AA72*2)^(1/$Y72)))</f>
        <v/>
      </c>
      <c r="AD72">
        <f>IF($Y72="","",IF($Y72=0,$Z72*EXP($AA72*3),$Z72*(1+$Y72*$AA72*3)^(1/$Y72)))</f>
        <v/>
      </c>
      <c r="AE72">
        <f>IF($Y72="","",IF($Y72=0,$Z72*EXP($AA72*-2),$Z72*(1+$Y72*$AA72*-2)^(1/$Y72)))</f>
        <v/>
      </c>
      <c r="AF72">
        <f>IF($Y72="","",IF($Y72=0,$Z72*EXP($AA72*-3),$Z72*(1+$Y72*$AA72*-3)^(1/$Y72)))</f>
        <v/>
      </c>
      <c r="AG72">
        <f>IF($W72="","",IFERROR(INDEX(IF($T72&lt;=60,est05_l,est519_l),MATCH($W72,IF($T72&lt;=60,est05_k,est519_k),1)),""))</f>
        <v/>
      </c>
      <c r="AH72">
        <f>IF($W72="","",IFERROR(INDEX(IF($T72&lt;=60,est05_m,est519_m),MATCH($W72,IF($T72&lt;=60,est05_k,est519_k),1)),""))</f>
        <v/>
      </c>
      <c r="AI72">
        <f>IF($W72="","",IFERROR(INDEX(IF($T72&lt;=60,est05_s,est519_s),MATCH($W72,IF($T72&lt;=60,est05_k,est519_k),1)),""))</f>
        <v/>
      </c>
      <c r="AJ72">
        <f>IF($W72="","",IFERROR(INDEX(IF($T72&lt;=60,peso05_l,peso510_l),MATCH($W72,IF($T72&lt;=60,peso05_k,peso510_k),1)),""))</f>
        <v/>
      </c>
      <c r="AK72">
        <f>IF($W72="","",IFERROR(INDEX(IF($T72&lt;=60,peso05_m,peso510_m),MATCH($W72,IF($T72&lt;=60,peso05_k,peso510_k),1)),""))</f>
        <v/>
      </c>
      <c r="AL72">
        <f>IF($W72="","",IFERROR(INDEX(IF($T72&lt;=60,peso05_s,peso510_s),MATCH($W72,IF($T72&lt;=60,peso05_k,peso510_k),1)),""))</f>
        <v/>
      </c>
      <c r="AM72">
        <f>IF($AJ72="","",IF($AJ72=0,LN($F72/$AK72)/$AL72,((($F72/$AK72)^$AJ72)-1)/($AJ72*$AL72)))</f>
        <v/>
      </c>
      <c r="AN72">
        <f>IF($AJ72="","",IF($AJ72=0,$AK72*EXP($AL72*2),$AK72*(1+$AJ72*$AL72*2)^(1/$AJ72)))</f>
        <v/>
      </c>
      <c r="AO72">
        <f>IF($AJ72="","",IF($AJ72=0,$AK72*EXP($AL72*3),$AK72*(1+$AJ72*$AL72*3)^(1/$AJ72)))</f>
        <v/>
      </c>
      <c r="AP72">
        <f>IF($AJ72="","",IF($AJ72=0,$AK72*EXP($AL72*-2),$AK72*(1+$AJ72*$AL72*-2)^(1/$AJ72)))</f>
        <v/>
      </c>
      <c r="AQ72">
        <f>IF($AJ72="","",IF($AJ72=0,$AK72*EXP($AL72*-3),$AK72*(1+$AJ72*$AL72*-3)^(1/$AJ72)))</f>
        <v/>
      </c>
      <c r="AR72">
        <f>IF(OR($X72="",$T72&gt;60),"",IFERROR(INDEX(IF($T72&lt;24,pcomp_l,palt_l),MATCH($X72,IF($T72&lt;24,pcomp_k,palt_k),1)),""))</f>
        <v/>
      </c>
      <c r="AS72">
        <f>IF(OR($X72="",$T72&gt;60),"",IFERROR(INDEX(IF($T72&lt;24,pcomp_m,palt_m),MATCH($X72,IF($T72&lt;24,pcomp_k,palt_k),1)),""))</f>
        <v/>
      </c>
      <c r="AT72">
        <f>IF(OR($X72="",$T72&gt;60),"",IFERROR(INDEX(IF($T72&lt;24,pcomp_s,palt_s),MATCH($X72,IF($T72&lt;24,pcomp_k,palt_k),1)),""))</f>
        <v/>
      </c>
      <c r="AU72">
        <f>IF($AR72="","",IF($AR72=0,LN($F72/$AS72)/$AT72,((($F72/$AS72)^$AR72)-1)/($AR72*$AT72)))</f>
        <v/>
      </c>
      <c r="AV72">
        <f>IF($AR72="","",IF($AR72=0,$AS72*EXP($AT72*2),$AS72*(1+$AR72*$AT72*2)^(1/$AR72)))</f>
        <v/>
      </c>
      <c r="AW72">
        <f>IF($AR72="","",IF($AR72=0,$AS72*EXP($AT72*3),$AS72*(1+$AR72*$AT72*3)^(1/$AR72)))</f>
        <v/>
      </c>
      <c r="AX72">
        <f>IF($AR72="","",IF($AR72=0,$AS72*EXP($AT72*-2),$AS72*(1+$AR72*$AT72*-2)^(1/$AR72)))</f>
        <v/>
      </c>
      <c r="AY72">
        <f>IF($AR72="","",IF($AR72=0,$AS72*EXP($AT72*-3),$AS72*(1+$AR72*$AT72*-3)^(1/$AR72)))</f>
        <v/>
      </c>
      <c r="AZ72">
        <f>IF(OR($A72="",$A72&lt;&gt;Ficha!$C$4),"",COUNTIF($A$2:$A72,Ficha!$C$4))</f>
        <v/>
      </c>
    </row>
    <row r="73">
      <c r="A73" s="8">
        <f>IF(INDEX(Banco!$A:$A,ROW())="","",INDEX(Banco!$A:$A,ROW()))</f>
        <v/>
      </c>
      <c r="B73" s="8">
        <f>IF(INDEX(Banco!$B:$B,ROW())="","",INDEX(Banco!$B:$B,ROW()))</f>
        <v/>
      </c>
      <c r="C73" s="8">
        <f>IF(INDEX(Banco!$C:$C,ROW())="","",INDEX(Banco!$C:$C,ROW()))</f>
        <v/>
      </c>
      <c r="D73" s="9">
        <f>IF(INDEX(Banco!$D:$D,ROW())="","",INDEX(Banco!$D:$D,ROW()))</f>
        <v/>
      </c>
      <c r="E73" s="9">
        <f>IF(INDEX(Banco!$E:$E,ROW())="","",INDEX(Banco!$E:$E,ROW()))</f>
        <v/>
      </c>
      <c r="F73" s="10">
        <f>IF(INDEX(Banco!$F:$F,ROW())="","",INDEX(Banco!$F:$F,ROW()))</f>
        <v/>
      </c>
      <c r="G73" s="10">
        <f>IF(INDEX(Banco!$G:$G,ROW())="","",INDEX(Banco!$G:$G,ROW()))</f>
        <v/>
      </c>
      <c r="H73" s="8">
        <f>IF(INDEX(Banco!$H:$H,ROW())="","",INDEX(Banco!$H:$H,ROW()))</f>
        <v/>
      </c>
      <c r="I73">
        <f>IF($T73="","",INT($T73/12)&amp;"a "&amp;MOD($T73,12)&amp;"m")</f>
        <v/>
      </c>
      <c r="J73" s="11">
        <f>IF(OR($F73="",$G73=""),"",ROUND($F73/($G73/100)^2,2))</f>
        <v/>
      </c>
      <c r="K73" s="12">
        <f>IF(OR($S73="",$J73="",$T73="",$T73&lt;0,$T73&gt;228,$Y73=""),"—",ROUND(IF(ABS($AB73)&lt;=3,$AB73,IF($AB73&gt;3,3+($J73-$AD73)/($AD73-$AC73),-3+($J73-$AF73)/($AE73-$AF73))),2))</f>
        <v/>
      </c>
      <c r="L73">
        <f>IF(OR($K73="",$K73="—"),"",IF($T73&lt;=60,IF($K73&lt;-3,"Magreza acentuada",IF($K73&lt;-2,"Magreza",IF($K73&lt;=1,"Eutrofia",IF($K73&lt;=2,"Risco de sobrepeso",IF($K73&lt;=3,"Sobrepeso","Obesidade"))))),IF($K73&lt;-3,"Magreza acentuada",IF($K73&lt;-2,"Magreza",IF($K73&lt;=1,"Eutrofia",IF($K73&lt;=2,"Sobrepeso",IF($K73&lt;=3,"Obesidade","Obesidade grave")))))))</f>
        <v/>
      </c>
      <c r="M73" s="12">
        <f>IF(OR($S73="",$V73="",$T73="",$T73&lt;0,$T73&gt;228,$AG73=""),"—",ROUND(IF($AG73=0,LN($V73/$AH73)/$AI73,((($V73/$AH73)^$AG73)-1)/($AG73*$AI73)),2))</f>
        <v/>
      </c>
      <c r="N73">
        <f>IF(OR($M73="",$M73="—"),"",IF($M73&lt;-3,"Muito baixa",IF($M73&lt;-2,"Baixa","Adequada")))</f>
        <v/>
      </c>
      <c r="O73" s="12">
        <f>IF(OR($S73="",$F73="",$T73="",$T73&lt;0,$T73&gt;120,$AJ73=""),"—",ROUND(IF(ABS($AM73)&lt;=3,$AM73,IF($AM73&gt;3,3+($F73-$AO73)/($AO73-$AN73),-3+($F73-$AQ73)/($AP73-$AQ73))),2))</f>
        <v/>
      </c>
      <c r="P73">
        <f>IF(OR($O73="",$O73="—"),"",IF($O73&lt;-3,"Muito baixo",IF($O73&lt;-2,"Baixo",IF($O73&lt;=2,"Adequado","Elevado"))))</f>
        <v/>
      </c>
      <c r="Q73" s="12">
        <f>IF(OR($S73="",$F73="",$T73="",$T73&lt;0,$T73&gt;60,$AR73=""),"—",ROUND(IF(ABS($AU73)&lt;=3,$AU73,IF($AU73&gt;3,3+($F73-$AW73)/($AW73-$AV73),-3+($F73-$AY73)/($AX73-$AY73))),2))</f>
        <v/>
      </c>
      <c r="R73">
        <f>IF(OR($Q73="",$Q73="—"),"",IF($Q73&lt;-3,"Magreza acentuada",IF($Q73&lt;-2,"Magreza",IF($Q73&lt;=1,"Eutrofia",IF($Q73&lt;=2,"Risco de sobrepeso",IF($Q73&lt;=3,"Sobrepeso","Obesidade"))))))</f>
        <v/>
      </c>
      <c r="S73">
        <f>IF($C73="","",IF(UPPER(LEFT($C73,1))="M",1,IF(UPPER(LEFT($C73,1))="F",2,"")))</f>
        <v/>
      </c>
      <c r="T73">
        <f>IF(OR($D73="",$E73=""),"",DATEDIF($D73,$E73,"m"))</f>
        <v/>
      </c>
      <c r="U73">
        <f>IF(OR($D73="",$E73=""),"",$E73-$D73)</f>
        <v/>
      </c>
      <c r="V73">
        <f>IF(OR($G73="",$T73=""),"",IF($T73&lt;24,IF(LEFT(LOWER($H73),4)="em p",$G73+0.7,$G73),IF(LEFT(LOWER($H73),4)="deit",$G73-0.7,$G73)))</f>
        <v/>
      </c>
      <c r="W73">
        <f>IF(OR($S73="",$T73=""),"",$S73*1000000+IF($T73&lt;=60,$U73,$T73))</f>
        <v/>
      </c>
      <c r="X73">
        <f>IF(OR($S73="",$V73="",$T73&gt;60,$T73=""),"",$S73*1000000+ROUND($V73*10,0))</f>
        <v/>
      </c>
      <c r="Y73">
        <f>IF($W73="","",IFERROR(INDEX(IF($T73&lt;=60,imc05_l,imc519_l),MATCH($W73,IF($T73&lt;=60,imc05_k,imc519_k),1)),""))</f>
        <v/>
      </c>
      <c r="Z73">
        <f>IF($W73="","",IFERROR(INDEX(IF($T73&lt;=60,imc05_m,imc519_m),MATCH($W73,IF($T73&lt;=60,imc05_k,imc519_k),1)),""))</f>
        <v/>
      </c>
      <c r="AA73">
        <f>IF($W73="","",IFERROR(INDEX(IF($T73&lt;=60,imc05_s,imc519_s),MATCH($W73,IF($T73&lt;=60,imc05_k,imc519_k),1)),""))</f>
        <v/>
      </c>
      <c r="AB73">
        <f>IF($Y73="","",IF($Y73=0,LN($J73/$Z73)/$AA73,((($J73/$Z73)^$Y73)-1)/($Y73*$AA73)))</f>
        <v/>
      </c>
      <c r="AC73">
        <f>IF($Y73="","",IF($Y73=0,$Z73*EXP($AA73*2),$Z73*(1+$Y73*$AA73*2)^(1/$Y73)))</f>
        <v/>
      </c>
      <c r="AD73">
        <f>IF($Y73="","",IF($Y73=0,$Z73*EXP($AA73*3),$Z73*(1+$Y73*$AA73*3)^(1/$Y73)))</f>
        <v/>
      </c>
      <c r="AE73">
        <f>IF($Y73="","",IF($Y73=0,$Z73*EXP($AA73*-2),$Z73*(1+$Y73*$AA73*-2)^(1/$Y73)))</f>
        <v/>
      </c>
      <c r="AF73">
        <f>IF($Y73="","",IF($Y73=0,$Z73*EXP($AA73*-3),$Z73*(1+$Y73*$AA73*-3)^(1/$Y73)))</f>
        <v/>
      </c>
      <c r="AG73">
        <f>IF($W73="","",IFERROR(INDEX(IF($T73&lt;=60,est05_l,est519_l),MATCH($W73,IF($T73&lt;=60,est05_k,est519_k),1)),""))</f>
        <v/>
      </c>
      <c r="AH73">
        <f>IF($W73="","",IFERROR(INDEX(IF($T73&lt;=60,est05_m,est519_m),MATCH($W73,IF($T73&lt;=60,est05_k,est519_k),1)),""))</f>
        <v/>
      </c>
      <c r="AI73">
        <f>IF($W73="","",IFERROR(INDEX(IF($T73&lt;=60,est05_s,est519_s),MATCH($W73,IF($T73&lt;=60,est05_k,est519_k),1)),""))</f>
        <v/>
      </c>
      <c r="AJ73">
        <f>IF($W73="","",IFERROR(INDEX(IF($T73&lt;=60,peso05_l,peso510_l),MATCH($W73,IF($T73&lt;=60,peso05_k,peso510_k),1)),""))</f>
        <v/>
      </c>
      <c r="AK73">
        <f>IF($W73="","",IFERROR(INDEX(IF($T73&lt;=60,peso05_m,peso510_m),MATCH($W73,IF($T73&lt;=60,peso05_k,peso510_k),1)),""))</f>
        <v/>
      </c>
      <c r="AL73">
        <f>IF($W73="","",IFERROR(INDEX(IF($T73&lt;=60,peso05_s,peso510_s),MATCH($W73,IF($T73&lt;=60,peso05_k,peso510_k),1)),""))</f>
        <v/>
      </c>
      <c r="AM73">
        <f>IF($AJ73="","",IF($AJ73=0,LN($F73/$AK73)/$AL73,((($F73/$AK73)^$AJ73)-1)/($AJ73*$AL73)))</f>
        <v/>
      </c>
      <c r="AN73">
        <f>IF($AJ73="","",IF($AJ73=0,$AK73*EXP($AL73*2),$AK73*(1+$AJ73*$AL73*2)^(1/$AJ73)))</f>
        <v/>
      </c>
      <c r="AO73">
        <f>IF($AJ73="","",IF($AJ73=0,$AK73*EXP($AL73*3),$AK73*(1+$AJ73*$AL73*3)^(1/$AJ73)))</f>
        <v/>
      </c>
      <c r="AP73">
        <f>IF($AJ73="","",IF($AJ73=0,$AK73*EXP($AL73*-2),$AK73*(1+$AJ73*$AL73*-2)^(1/$AJ73)))</f>
        <v/>
      </c>
      <c r="AQ73">
        <f>IF($AJ73="","",IF($AJ73=0,$AK73*EXP($AL73*-3),$AK73*(1+$AJ73*$AL73*-3)^(1/$AJ73)))</f>
        <v/>
      </c>
      <c r="AR73">
        <f>IF(OR($X73="",$T73&gt;60),"",IFERROR(INDEX(IF($T73&lt;24,pcomp_l,palt_l),MATCH($X73,IF($T73&lt;24,pcomp_k,palt_k),1)),""))</f>
        <v/>
      </c>
      <c r="AS73">
        <f>IF(OR($X73="",$T73&gt;60),"",IFERROR(INDEX(IF($T73&lt;24,pcomp_m,palt_m),MATCH($X73,IF($T73&lt;24,pcomp_k,palt_k),1)),""))</f>
        <v/>
      </c>
      <c r="AT73">
        <f>IF(OR($X73="",$T73&gt;60),"",IFERROR(INDEX(IF($T73&lt;24,pcomp_s,palt_s),MATCH($X73,IF($T73&lt;24,pcomp_k,palt_k),1)),""))</f>
        <v/>
      </c>
      <c r="AU73">
        <f>IF($AR73="","",IF($AR73=0,LN($F73/$AS73)/$AT73,((($F73/$AS73)^$AR73)-1)/($AR73*$AT73)))</f>
        <v/>
      </c>
      <c r="AV73">
        <f>IF($AR73="","",IF($AR73=0,$AS73*EXP($AT73*2),$AS73*(1+$AR73*$AT73*2)^(1/$AR73)))</f>
        <v/>
      </c>
      <c r="AW73">
        <f>IF($AR73="","",IF($AR73=0,$AS73*EXP($AT73*3),$AS73*(1+$AR73*$AT73*3)^(1/$AR73)))</f>
        <v/>
      </c>
      <c r="AX73">
        <f>IF($AR73="","",IF($AR73=0,$AS73*EXP($AT73*-2),$AS73*(1+$AR73*$AT73*-2)^(1/$AR73)))</f>
        <v/>
      </c>
      <c r="AY73">
        <f>IF($AR73="","",IF($AR73=0,$AS73*EXP($AT73*-3),$AS73*(1+$AR73*$AT73*-3)^(1/$AR73)))</f>
        <v/>
      </c>
      <c r="AZ73">
        <f>IF(OR($A73="",$A73&lt;&gt;Ficha!$C$4),"",COUNTIF($A$2:$A73,Ficha!$C$4))</f>
        <v/>
      </c>
    </row>
    <row r="74">
      <c r="A74" s="8">
        <f>IF(INDEX(Banco!$A:$A,ROW())="","",INDEX(Banco!$A:$A,ROW()))</f>
        <v/>
      </c>
      <c r="B74" s="8">
        <f>IF(INDEX(Banco!$B:$B,ROW())="","",INDEX(Banco!$B:$B,ROW()))</f>
        <v/>
      </c>
      <c r="C74" s="8">
        <f>IF(INDEX(Banco!$C:$C,ROW())="","",INDEX(Banco!$C:$C,ROW()))</f>
        <v/>
      </c>
      <c r="D74" s="9">
        <f>IF(INDEX(Banco!$D:$D,ROW())="","",INDEX(Banco!$D:$D,ROW()))</f>
        <v/>
      </c>
      <c r="E74" s="9">
        <f>IF(INDEX(Banco!$E:$E,ROW())="","",INDEX(Banco!$E:$E,ROW()))</f>
        <v/>
      </c>
      <c r="F74" s="10">
        <f>IF(INDEX(Banco!$F:$F,ROW())="","",INDEX(Banco!$F:$F,ROW()))</f>
        <v/>
      </c>
      <c r="G74" s="10">
        <f>IF(INDEX(Banco!$G:$G,ROW())="","",INDEX(Banco!$G:$G,ROW()))</f>
        <v/>
      </c>
      <c r="H74" s="8">
        <f>IF(INDEX(Banco!$H:$H,ROW())="","",INDEX(Banco!$H:$H,ROW()))</f>
        <v/>
      </c>
      <c r="I74">
        <f>IF($T74="","",INT($T74/12)&amp;"a "&amp;MOD($T74,12)&amp;"m")</f>
        <v/>
      </c>
      <c r="J74" s="11">
        <f>IF(OR($F74="",$G74=""),"",ROUND($F74/($G74/100)^2,2))</f>
        <v/>
      </c>
      <c r="K74" s="12">
        <f>IF(OR($S74="",$J74="",$T74="",$T74&lt;0,$T74&gt;228,$Y74=""),"—",ROUND(IF(ABS($AB74)&lt;=3,$AB74,IF($AB74&gt;3,3+($J74-$AD74)/($AD74-$AC74),-3+($J74-$AF74)/($AE74-$AF74))),2))</f>
        <v/>
      </c>
      <c r="L74">
        <f>IF(OR($K74="",$K74="—"),"",IF($T74&lt;=60,IF($K74&lt;-3,"Magreza acentuada",IF($K74&lt;-2,"Magreza",IF($K74&lt;=1,"Eutrofia",IF($K74&lt;=2,"Risco de sobrepeso",IF($K74&lt;=3,"Sobrepeso","Obesidade"))))),IF($K74&lt;-3,"Magreza acentuada",IF($K74&lt;-2,"Magreza",IF($K74&lt;=1,"Eutrofia",IF($K74&lt;=2,"Sobrepeso",IF($K74&lt;=3,"Obesidade","Obesidade grave")))))))</f>
        <v/>
      </c>
      <c r="M74" s="12">
        <f>IF(OR($S74="",$V74="",$T74="",$T74&lt;0,$T74&gt;228,$AG74=""),"—",ROUND(IF($AG74=0,LN($V74/$AH74)/$AI74,((($V74/$AH74)^$AG74)-1)/($AG74*$AI74)),2))</f>
        <v/>
      </c>
      <c r="N74">
        <f>IF(OR($M74="",$M74="—"),"",IF($M74&lt;-3,"Muito baixa",IF($M74&lt;-2,"Baixa","Adequada")))</f>
        <v/>
      </c>
      <c r="O74" s="12">
        <f>IF(OR($S74="",$F74="",$T74="",$T74&lt;0,$T74&gt;120,$AJ74=""),"—",ROUND(IF(ABS($AM74)&lt;=3,$AM74,IF($AM74&gt;3,3+($F74-$AO74)/($AO74-$AN74),-3+($F74-$AQ74)/($AP74-$AQ74))),2))</f>
        <v/>
      </c>
      <c r="P74">
        <f>IF(OR($O74="",$O74="—"),"",IF($O74&lt;-3,"Muito baixo",IF($O74&lt;-2,"Baixo",IF($O74&lt;=2,"Adequado","Elevado"))))</f>
        <v/>
      </c>
      <c r="Q74" s="12">
        <f>IF(OR($S74="",$F74="",$T74="",$T74&lt;0,$T74&gt;60,$AR74=""),"—",ROUND(IF(ABS($AU74)&lt;=3,$AU74,IF($AU74&gt;3,3+($F74-$AW74)/($AW74-$AV74),-3+($F74-$AY74)/($AX74-$AY74))),2))</f>
        <v/>
      </c>
      <c r="R74">
        <f>IF(OR($Q74="",$Q74="—"),"",IF($Q74&lt;-3,"Magreza acentuada",IF($Q74&lt;-2,"Magreza",IF($Q74&lt;=1,"Eutrofia",IF($Q74&lt;=2,"Risco de sobrepeso",IF($Q74&lt;=3,"Sobrepeso","Obesidade"))))))</f>
        <v/>
      </c>
      <c r="S74">
        <f>IF($C74="","",IF(UPPER(LEFT($C74,1))="M",1,IF(UPPER(LEFT($C74,1))="F",2,"")))</f>
        <v/>
      </c>
      <c r="T74">
        <f>IF(OR($D74="",$E74=""),"",DATEDIF($D74,$E74,"m"))</f>
        <v/>
      </c>
      <c r="U74">
        <f>IF(OR($D74="",$E74=""),"",$E74-$D74)</f>
        <v/>
      </c>
      <c r="V74">
        <f>IF(OR($G74="",$T74=""),"",IF($T74&lt;24,IF(LEFT(LOWER($H74),4)="em p",$G74+0.7,$G74),IF(LEFT(LOWER($H74),4)="deit",$G74-0.7,$G74)))</f>
        <v/>
      </c>
      <c r="W74">
        <f>IF(OR($S74="",$T74=""),"",$S74*1000000+IF($T74&lt;=60,$U74,$T74))</f>
        <v/>
      </c>
      <c r="X74">
        <f>IF(OR($S74="",$V74="",$T74&gt;60,$T74=""),"",$S74*1000000+ROUND($V74*10,0))</f>
        <v/>
      </c>
      <c r="Y74">
        <f>IF($W74="","",IFERROR(INDEX(IF($T74&lt;=60,imc05_l,imc519_l),MATCH($W74,IF($T74&lt;=60,imc05_k,imc519_k),1)),""))</f>
        <v/>
      </c>
      <c r="Z74">
        <f>IF($W74="","",IFERROR(INDEX(IF($T74&lt;=60,imc05_m,imc519_m),MATCH($W74,IF($T74&lt;=60,imc05_k,imc519_k),1)),""))</f>
        <v/>
      </c>
      <c r="AA74">
        <f>IF($W74="","",IFERROR(INDEX(IF($T74&lt;=60,imc05_s,imc519_s),MATCH($W74,IF($T74&lt;=60,imc05_k,imc519_k),1)),""))</f>
        <v/>
      </c>
      <c r="AB74">
        <f>IF($Y74="","",IF($Y74=0,LN($J74/$Z74)/$AA74,((($J74/$Z74)^$Y74)-1)/($Y74*$AA74)))</f>
        <v/>
      </c>
      <c r="AC74">
        <f>IF($Y74="","",IF($Y74=0,$Z74*EXP($AA74*2),$Z74*(1+$Y74*$AA74*2)^(1/$Y74)))</f>
        <v/>
      </c>
      <c r="AD74">
        <f>IF($Y74="","",IF($Y74=0,$Z74*EXP($AA74*3),$Z74*(1+$Y74*$AA74*3)^(1/$Y74)))</f>
        <v/>
      </c>
      <c r="AE74">
        <f>IF($Y74="","",IF($Y74=0,$Z74*EXP($AA74*-2),$Z74*(1+$Y74*$AA74*-2)^(1/$Y74)))</f>
        <v/>
      </c>
      <c r="AF74">
        <f>IF($Y74="","",IF($Y74=0,$Z74*EXP($AA74*-3),$Z74*(1+$Y74*$AA74*-3)^(1/$Y74)))</f>
        <v/>
      </c>
      <c r="AG74">
        <f>IF($W74="","",IFERROR(INDEX(IF($T74&lt;=60,est05_l,est519_l),MATCH($W74,IF($T74&lt;=60,est05_k,est519_k),1)),""))</f>
        <v/>
      </c>
      <c r="AH74">
        <f>IF($W74="","",IFERROR(INDEX(IF($T74&lt;=60,est05_m,est519_m),MATCH($W74,IF($T74&lt;=60,est05_k,est519_k),1)),""))</f>
        <v/>
      </c>
      <c r="AI74">
        <f>IF($W74="","",IFERROR(INDEX(IF($T74&lt;=60,est05_s,est519_s),MATCH($W74,IF($T74&lt;=60,est05_k,est519_k),1)),""))</f>
        <v/>
      </c>
      <c r="AJ74">
        <f>IF($W74="","",IFERROR(INDEX(IF($T74&lt;=60,peso05_l,peso510_l),MATCH($W74,IF($T74&lt;=60,peso05_k,peso510_k),1)),""))</f>
        <v/>
      </c>
      <c r="AK74">
        <f>IF($W74="","",IFERROR(INDEX(IF($T74&lt;=60,peso05_m,peso510_m),MATCH($W74,IF($T74&lt;=60,peso05_k,peso510_k),1)),""))</f>
        <v/>
      </c>
      <c r="AL74">
        <f>IF($W74="","",IFERROR(INDEX(IF($T74&lt;=60,peso05_s,peso510_s),MATCH($W74,IF($T74&lt;=60,peso05_k,peso510_k),1)),""))</f>
        <v/>
      </c>
      <c r="AM74">
        <f>IF($AJ74="","",IF($AJ74=0,LN($F74/$AK74)/$AL74,((($F74/$AK74)^$AJ74)-1)/($AJ74*$AL74)))</f>
        <v/>
      </c>
      <c r="AN74">
        <f>IF($AJ74="","",IF($AJ74=0,$AK74*EXP($AL74*2),$AK74*(1+$AJ74*$AL74*2)^(1/$AJ74)))</f>
        <v/>
      </c>
      <c r="AO74">
        <f>IF($AJ74="","",IF($AJ74=0,$AK74*EXP($AL74*3),$AK74*(1+$AJ74*$AL74*3)^(1/$AJ74)))</f>
        <v/>
      </c>
      <c r="AP74">
        <f>IF($AJ74="","",IF($AJ74=0,$AK74*EXP($AL74*-2),$AK74*(1+$AJ74*$AL74*-2)^(1/$AJ74)))</f>
        <v/>
      </c>
      <c r="AQ74">
        <f>IF($AJ74="","",IF($AJ74=0,$AK74*EXP($AL74*-3),$AK74*(1+$AJ74*$AL74*-3)^(1/$AJ74)))</f>
        <v/>
      </c>
      <c r="AR74">
        <f>IF(OR($X74="",$T74&gt;60),"",IFERROR(INDEX(IF($T74&lt;24,pcomp_l,palt_l),MATCH($X74,IF($T74&lt;24,pcomp_k,palt_k),1)),""))</f>
        <v/>
      </c>
      <c r="AS74">
        <f>IF(OR($X74="",$T74&gt;60),"",IFERROR(INDEX(IF($T74&lt;24,pcomp_m,palt_m),MATCH($X74,IF($T74&lt;24,pcomp_k,palt_k),1)),""))</f>
        <v/>
      </c>
      <c r="AT74">
        <f>IF(OR($X74="",$T74&gt;60),"",IFERROR(INDEX(IF($T74&lt;24,pcomp_s,palt_s),MATCH($X74,IF($T74&lt;24,pcomp_k,palt_k),1)),""))</f>
        <v/>
      </c>
      <c r="AU74">
        <f>IF($AR74="","",IF($AR74=0,LN($F74/$AS74)/$AT74,((($F74/$AS74)^$AR74)-1)/($AR74*$AT74)))</f>
        <v/>
      </c>
      <c r="AV74">
        <f>IF($AR74="","",IF($AR74=0,$AS74*EXP($AT74*2),$AS74*(1+$AR74*$AT74*2)^(1/$AR74)))</f>
        <v/>
      </c>
      <c r="AW74">
        <f>IF($AR74="","",IF($AR74=0,$AS74*EXP($AT74*3),$AS74*(1+$AR74*$AT74*3)^(1/$AR74)))</f>
        <v/>
      </c>
      <c r="AX74">
        <f>IF($AR74="","",IF($AR74=0,$AS74*EXP($AT74*-2),$AS74*(1+$AR74*$AT74*-2)^(1/$AR74)))</f>
        <v/>
      </c>
      <c r="AY74">
        <f>IF($AR74="","",IF($AR74=0,$AS74*EXP($AT74*-3),$AS74*(1+$AR74*$AT74*-3)^(1/$AR74)))</f>
        <v/>
      </c>
      <c r="AZ74">
        <f>IF(OR($A74="",$A74&lt;&gt;Ficha!$C$4),"",COUNTIF($A$2:$A74,Ficha!$C$4))</f>
        <v/>
      </c>
    </row>
    <row r="75">
      <c r="A75" s="8">
        <f>IF(INDEX(Banco!$A:$A,ROW())="","",INDEX(Banco!$A:$A,ROW()))</f>
        <v/>
      </c>
      <c r="B75" s="8">
        <f>IF(INDEX(Banco!$B:$B,ROW())="","",INDEX(Banco!$B:$B,ROW()))</f>
        <v/>
      </c>
      <c r="C75" s="8">
        <f>IF(INDEX(Banco!$C:$C,ROW())="","",INDEX(Banco!$C:$C,ROW()))</f>
        <v/>
      </c>
      <c r="D75" s="9">
        <f>IF(INDEX(Banco!$D:$D,ROW())="","",INDEX(Banco!$D:$D,ROW()))</f>
        <v/>
      </c>
      <c r="E75" s="9">
        <f>IF(INDEX(Banco!$E:$E,ROW())="","",INDEX(Banco!$E:$E,ROW()))</f>
        <v/>
      </c>
      <c r="F75" s="10">
        <f>IF(INDEX(Banco!$F:$F,ROW())="","",INDEX(Banco!$F:$F,ROW()))</f>
        <v/>
      </c>
      <c r="G75" s="10">
        <f>IF(INDEX(Banco!$G:$G,ROW())="","",INDEX(Banco!$G:$G,ROW()))</f>
        <v/>
      </c>
      <c r="H75" s="8">
        <f>IF(INDEX(Banco!$H:$H,ROW())="","",INDEX(Banco!$H:$H,ROW()))</f>
        <v/>
      </c>
      <c r="I75">
        <f>IF($T75="","",INT($T75/12)&amp;"a "&amp;MOD($T75,12)&amp;"m")</f>
        <v/>
      </c>
      <c r="J75" s="11">
        <f>IF(OR($F75="",$G75=""),"",ROUND($F75/($G75/100)^2,2))</f>
        <v/>
      </c>
      <c r="K75" s="12">
        <f>IF(OR($S75="",$J75="",$T75="",$T75&lt;0,$T75&gt;228,$Y75=""),"—",ROUND(IF(ABS($AB75)&lt;=3,$AB75,IF($AB75&gt;3,3+($J75-$AD75)/($AD75-$AC75),-3+($J75-$AF75)/($AE75-$AF75))),2))</f>
        <v/>
      </c>
      <c r="L75">
        <f>IF(OR($K75="",$K75="—"),"",IF($T75&lt;=60,IF($K75&lt;-3,"Magreza acentuada",IF($K75&lt;-2,"Magreza",IF($K75&lt;=1,"Eutrofia",IF($K75&lt;=2,"Risco de sobrepeso",IF($K75&lt;=3,"Sobrepeso","Obesidade"))))),IF($K75&lt;-3,"Magreza acentuada",IF($K75&lt;-2,"Magreza",IF($K75&lt;=1,"Eutrofia",IF($K75&lt;=2,"Sobrepeso",IF($K75&lt;=3,"Obesidade","Obesidade grave")))))))</f>
        <v/>
      </c>
      <c r="M75" s="12">
        <f>IF(OR($S75="",$V75="",$T75="",$T75&lt;0,$T75&gt;228,$AG75=""),"—",ROUND(IF($AG75=0,LN($V75/$AH75)/$AI75,((($V75/$AH75)^$AG75)-1)/($AG75*$AI75)),2))</f>
        <v/>
      </c>
      <c r="N75">
        <f>IF(OR($M75="",$M75="—"),"",IF($M75&lt;-3,"Muito baixa",IF($M75&lt;-2,"Baixa","Adequada")))</f>
        <v/>
      </c>
      <c r="O75" s="12">
        <f>IF(OR($S75="",$F75="",$T75="",$T75&lt;0,$T75&gt;120,$AJ75=""),"—",ROUND(IF(ABS($AM75)&lt;=3,$AM75,IF($AM75&gt;3,3+($F75-$AO75)/($AO75-$AN75),-3+($F75-$AQ75)/($AP75-$AQ75))),2))</f>
        <v/>
      </c>
      <c r="P75">
        <f>IF(OR($O75="",$O75="—"),"",IF($O75&lt;-3,"Muito baixo",IF($O75&lt;-2,"Baixo",IF($O75&lt;=2,"Adequado","Elevado"))))</f>
        <v/>
      </c>
      <c r="Q75" s="12">
        <f>IF(OR($S75="",$F75="",$T75="",$T75&lt;0,$T75&gt;60,$AR75=""),"—",ROUND(IF(ABS($AU75)&lt;=3,$AU75,IF($AU75&gt;3,3+($F75-$AW75)/($AW75-$AV75),-3+($F75-$AY75)/($AX75-$AY75))),2))</f>
        <v/>
      </c>
      <c r="R75">
        <f>IF(OR($Q75="",$Q75="—"),"",IF($Q75&lt;-3,"Magreza acentuada",IF($Q75&lt;-2,"Magreza",IF($Q75&lt;=1,"Eutrofia",IF($Q75&lt;=2,"Risco de sobrepeso",IF($Q75&lt;=3,"Sobrepeso","Obesidade"))))))</f>
        <v/>
      </c>
      <c r="S75">
        <f>IF($C75="","",IF(UPPER(LEFT($C75,1))="M",1,IF(UPPER(LEFT($C75,1))="F",2,"")))</f>
        <v/>
      </c>
      <c r="T75">
        <f>IF(OR($D75="",$E75=""),"",DATEDIF($D75,$E75,"m"))</f>
        <v/>
      </c>
      <c r="U75">
        <f>IF(OR($D75="",$E75=""),"",$E75-$D75)</f>
        <v/>
      </c>
      <c r="V75">
        <f>IF(OR($G75="",$T75=""),"",IF($T75&lt;24,IF(LEFT(LOWER($H75),4)="em p",$G75+0.7,$G75),IF(LEFT(LOWER($H75),4)="deit",$G75-0.7,$G75)))</f>
        <v/>
      </c>
      <c r="W75">
        <f>IF(OR($S75="",$T75=""),"",$S75*1000000+IF($T75&lt;=60,$U75,$T75))</f>
        <v/>
      </c>
      <c r="X75">
        <f>IF(OR($S75="",$V75="",$T75&gt;60,$T75=""),"",$S75*1000000+ROUND($V75*10,0))</f>
        <v/>
      </c>
      <c r="Y75">
        <f>IF($W75="","",IFERROR(INDEX(IF($T75&lt;=60,imc05_l,imc519_l),MATCH($W75,IF($T75&lt;=60,imc05_k,imc519_k),1)),""))</f>
        <v/>
      </c>
      <c r="Z75">
        <f>IF($W75="","",IFERROR(INDEX(IF($T75&lt;=60,imc05_m,imc519_m),MATCH($W75,IF($T75&lt;=60,imc05_k,imc519_k),1)),""))</f>
        <v/>
      </c>
      <c r="AA75">
        <f>IF($W75="","",IFERROR(INDEX(IF($T75&lt;=60,imc05_s,imc519_s),MATCH($W75,IF($T75&lt;=60,imc05_k,imc519_k),1)),""))</f>
        <v/>
      </c>
      <c r="AB75">
        <f>IF($Y75="","",IF($Y75=0,LN($J75/$Z75)/$AA75,((($J75/$Z75)^$Y75)-1)/($Y75*$AA75)))</f>
        <v/>
      </c>
      <c r="AC75">
        <f>IF($Y75="","",IF($Y75=0,$Z75*EXP($AA75*2),$Z75*(1+$Y75*$AA75*2)^(1/$Y75)))</f>
        <v/>
      </c>
      <c r="AD75">
        <f>IF($Y75="","",IF($Y75=0,$Z75*EXP($AA75*3),$Z75*(1+$Y75*$AA75*3)^(1/$Y75)))</f>
        <v/>
      </c>
      <c r="AE75">
        <f>IF($Y75="","",IF($Y75=0,$Z75*EXP($AA75*-2),$Z75*(1+$Y75*$AA75*-2)^(1/$Y75)))</f>
        <v/>
      </c>
      <c r="AF75">
        <f>IF($Y75="","",IF($Y75=0,$Z75*EXP($AA75*-3),$Z75*(1+$Y75*$AA75*-3)^(1/$Y75)))</f>
        <v/>
      </c>
      <c r="AG75">
        <f>IF($W75="","",IFERROR(INDEX(IF($T75&lt;=60,est05_l,est519_l),MATCH($W75,IF($T75&lt;=60,est05_k,est519_k),1)),""))</f>
        <v/>
      </c>
      <c r="AH75">
        <f>IF($W75="","",IFERROR(INDEX(IF($T75&lt;=60,est05_m,est519_m),MATCH($W75,IF($T75&lt;=60,est05_k,est519_k),1)),""))</f>
        <v/>
      </c>
      <c r="AI75">
        <f>IF($W75="","",IFERROR(INDEX(IF($T75&lt;=60,est05_s,est519_s),MATCH($W75,IF($T75&lt;=60,est05_k,est519_k),1)),""))</f>
        <v/>
      </c>
      <c r="AJ75">
        <f>IF($W75="","",IFERROR(INDEX(IF($T75&lt;=60,peso05_l,peso510_l),MATCH($W75,IF($T75&lt;=60,peso05_k,peso510_k),1)),""))</f>
        <v/>
      </c>
      <c r="AK75">
        <f>IF($W75="","",IFERROR(INDEX(IF($T75&lt;=60,peso05_m,peso510_m),MATCH($W75,IF($T75&lt;=60,peso05_k,peso510_k),1)),""))</f>
        <v/>
      </c>
      <c r="AL75">
        <f>IF($W75="","",IFERROR(INDEX(IF($T75&lt;=60,peso05_s,peso510_s),MATCH($W75,IF($T75&lt;=60,peso05_k,peso510_k),1)),""))</f>
        <v/>
      </c>
      <c r="AM75">
        <f>IF($AJ75="","",IF($AJ75=0,LN($F75/$AK75)/$AL75,((($F75/$AK75)^$AJ75)-1)/($AJ75*$AL75)))</f>
        <v/>
      </c>
      <c r="AN75">
        <f>IF($AJ75="","",IF($AJ75=0,$AK75*EXP($AL75*2),$AK75*(1+$AJ75*$AL75*2)^(1/$AJ75)))</f>
        <v/>
      </c>
      <c r="AO75">
        <f>IF($AJ75="","",IF($AJ75=0,$AK75*EXP($AL75*3),$AK75*(1+$AJ75*$AL75*3)^(1/$AJ75)))</f>
        <v/>
      </c>
      <c r="AP75">
        <f>IF($AJ75="","",IF($AJ75=0,$AK75*EXP($AL75*-2),$AK75*(1+$AJ75*$AL75*-2)^(1/$AJ75)))</f>
        <v/>
      </c>
      <c r="AQ75">
        <f>IF($AJ75="","",IF($AJ75=0,$AK75*EXP($AL75*-3),$AK75*(1+$AJ75*$AL75*-3)^(1/$AJ75)))</f>
        <v/>
      </c>
      <c r="AR75">
        <f>IF(OR($X75="",$T75&gt;60),"",IFERROR(INDEX(IF($T75&lt;24,pcomp_l,palt_l),MATCH($X75,IF($T75&lt;24,pcomp_k,palt_k),1)),""))</f>
        <v/>
      </c>
      <c r="AS75">
        <f>IF(OR($X75="",$T75&gt;60),"",IFERROR(INDEX(IF($T75&lt;24,pcomp_m,palt_m),MATCH($X75,IF($T75&lt;24,pcomp_k,palt_k),1)),""))</f>
        <v/>
      </c>
      <c r="AT75">
        <f>IF(OR($X75="",$T75&gt;60),"",IFERROR(INDEX(IF($T75&lt;24,pcomp_s,palt_s),MATCH($X75,IF($T75&lt;24,pcomp_k,palt_k),1)),""))</f>
        <v/>
      </c>
      <c r="AU75">
        <f>IF($AR75="","",IF($AR75=0,LN($F75/$AS75)/$AT75,((($F75/$AS75)^$AR75)-1)/($AR75*$AT75)))</f>
        <v/>
      </c>
      <c r="AV75">
        <f>IF($AR75="","",IF($AR75=0,$AS75*EXP($AT75*2),$AS75*(1+$AR75*$AT75*2)^(1/$AR75)))</f>
        <v/>
      </c>
      <c r="AW75">
        <f>IF($AR75="","",IF($AR75=0,$AS75*EXP($AT75*3),$AS75*(1+$AR75*$AT75*3)^(1/$AR75)))</f>
        <v/>
      </c>
      <c r="AX75">
        <f>IF($AR75="","",IF($AR75=0,$AS75*EXP($AT75*-2),$AS75*(1+$AR75*$AT75*-2)^(1/$AR75)))</f>
        <v/>
      </c>
      <c r="AY75">
        <f>IF($AR75="","",IF($AR75=0,$AS75*EXP($AT75*-3),$AS75*(1+$AR75*$AT75*-3)^(1/$AR75)))</f>
        <v/>
      </c>
      <c r="AZ75">
        <f>IF(OR($A75="",$A75&lt;&gt;Ficha!$C$4),"",COUNTIF($A$2:$A75,Ficha!$C$4))</f>
        <v/>
      </c>
    </row>
    <row r="76">
      <c r="A76" s="8">
        <f>IF(INDEX(Banco!$A:$A,ROW())="","",INDEX(Banco!$A:$A,ROW()))</f>
        <v/>
      </c>
      <c r="B76" s="8">
        <f>IF(INDEX(Banco!$B:$B,ROW())="","",INDEX(Banco!$B:$B,ROW()))</f>
        <v/>
      </c>
      <c r="C76" s="8">
        <f>IF(INDEX(Banco!$C:$C,ROW())="","",INDEX(Banco!$C:$C,ROW()))</f>
        <v/>
      </c>
      <c r="D76" s="9">
        <f>IF(INDEX(Banco!$D:$D,ROW())="","",INDEX(Banco!$D:$D,ROW()))</f>
        <v/>
      </c>
      <c r="E76" s="9">
        <f>IF(INDEX(Banco!$E:$E,ROW())="","",INDEX(Banco!$E:$E,ROW()))</f>
        <v/>
      </c>
      <c r="F76" s="10">
        <f>IF(INDEX(Banco!$F:$F,ROW())="","",INDEX(Banco!$F:$F,ROW()))</f>
        <v/>
      </c>
      <c r="G76" s="10">
        <f>IF(INDEX(Banco!$G:$G,ROW())="","",INDEX(Banco!$G:$G,ROW()))</f>
        <v/>
      </c>
      <c r="H76" s="8">
        <f>IF(INDEX(Banco!$H:$H,ROW())="","",INDEX(Banco!$H:$H,ROW()))</f>
        <v/>
      </c>
      <c r="I76">
        <f>IF($T76="","",INT($T76/12)&amp;"a "&amp;MOD($T76,12)&amp;"m")</f>
        <v/>
      </c>
      <c r="J76" s="11">
        <f>IF(OR($F76="",$G76=""),"",ROUND($F76/($G76/100)^2,2))</f>
        <v/>
      </c>
      <c r="K76" s="12">
        <f>IF(OR($S76="",$J76="",$T76="",$T76&lt;0,$T76&gt;228,$Y76=""),"—",ROUND(IF(ABS($AB76)&lt;=3,$AB76,IF($AB76&gt;3,3+($J76-$AD76)/($AD76-$AC76),-3+($J76-$AF76)/($AE76-$AF76))),2))</f>
        <v/>
      </c>
      <c r="L76">
        <f>IF(OR($K76="",$K76="—"),"",IF($T76&lt;=60,IF($K76&lt;-3,"Magreza acentuada",IF($K76&lt;-2,"Magreza",IF($K76&lt;=1,"Eutrofia",IF($K76&lt;=2,"Risco de sobrepeso",IF($K76&lt;=3,"Sobrepeso","Obesidade"))))),IF($K76&lt;-3,"Magreza acentuada",IF($K76&lt;-2,"Magreza",IF($K76&lt;=1,"Eutrofia",IF($K76&lt;=2,"Sobrepeso",IF($K76&lt;=3,"Obesidade","Obesidade grave")))))))</f>
        <v/>
      </c>
      <c r="M76" s="12">
        <f>IF(OR($S76="",$V76="",$T76="",$T76&lt;0,$T76&gt;228,$AG76=""),"—",ROUND(IF($AG76=0,LN($V76/$AH76)/$AI76,((($V76/$AH76)^$AG76)-1)/($AG76*$AI76)),2))</f>
        <v/>
      </c>
      <c r="N76">
        <f>IF(OR($M76="",$M76="—"),"",IF($M76&lt;-3,"Muito baixa",IF($M76&lt;-2,"Baixa","Adequada")))</f>
        <v/>
      </c>
      <c r="O76" s="12">
        <f>IF(OR($S76="",$F76="",$T76="",$T76&lt;0,$T76&gt;120,$AJ76=""),"—",ROUND(IF(ABS($AM76)&lt;=3,$AM76,IF($AM76&gt;3,3+($F76-$AO76)/($AO76-$AN76),-3+($F76-$AQ76)/($AP76-$AQ76))),2))</f>
        <v/>
      </c>
      <c r="P76">
        <f>IF(OR($O76="",$O76="—"),"",IF($O76&lt;-3,"Muito baixo",IF($O76&lt;-2,"Baixo",IF($O76&lt;=2,"Adequado","Elevado"))))</f>
        <v/>
      </c>
      <c r="Q76" s="12">
        <f>IF(OR($S76="",$F76="",$T76="",$T76&lt;0,$T76&gt;60,$AR76=""),"—",ROUND(IF(ABS($AU76)&lt;=3,$AU76,IF($AU76&gt;3,3+($F76-$AW76)/($AW76-$AV76),-3+($F76-$AY76)/($AX76-$AY76))),2))</f>
        <v/>
      </c>
      <c r="R76">
        <f>IF(OR($Q76="",$Q76="—"),"",IF($Q76&lt;-3,"Magreza acentuada",IF($Q76&lt;-2,"Magreza",IF($Q76&lt;=1,"Eutrofia",IF($Q76&lt;=2,"Risco de sobrepeso",IF($Q76&lt;=3,"Sobrepeso","Obesidade"))))))</f>
        <v/>
      </c>
      <c r="S76">
        <f>IF($C76="","",IF(UPPER(LEFT($C76,1))="M",1,IF(UPPER(LEFT($C76,1))="F",2,"")))</f>
        <v/>
      </c>
      <c r="T76">
        <f>IF(OR($D76="",$E76=""),"",DATEDIF($D76,$E76,"m"))</f>
        <v/>
      </c>
      <c r="U76">
        <f>IF(OR($D76="",$E76=""),"",$E76-$D76)</f>
        <v/>
      </c>
      <c r="V76">
        <f>IF(OR($G76="",$T76=""),"",IF($T76&lt;24,IF(LEFT(LOWER($H76),4)="em p",$G76+0.7,$G76),IF(LEFT(LOWER($H76),4)="deit",$G76-0.7,$G76)))</f>
        <v/>
      </c>
      <c r="W76">
        <f>IF(OR($S76="",$T76=""),"",$S76*1000000+IF($T76&lt;=60,$U76,$T76))</f>
        <v/>
      </c>
      <c r="X76">
        <f>IF(OR($S76="",$V76="",$T76&gt;60,$T76=""),"",$S76*1000000+ROUND($V76*10,0))</f>
        <v/>
      </c>
      <c r="Y76">
        <f>IF($W76="","",IFERROR(INDEX(IF($T76&lt;=60,imc05_l,imc519_l),MATCH($W76,IF($T76&lt;=60,imc05_k,imc519_k),1)),""))</f>
        <v/>
      </c>
      <c r="Z76">
        <f>IF($W76="","",IFERROR(INDEX(IF($T76&lt;=60,imc05_m,imc519_m),MATCH($W76,IF($T76&lt;=60,imc05_k,imc519_k),1)),""))</f>
        <v/>
      </c>
      <c r="AA76">
        <f>IF($W76="","",IFERROR(INDEX(IF($T76&lt;=60,imc05_s,imc519_s),MATCH($W76,IF($T76&lt;=60,imc05_k,imc519_k),1)),""))</f>
        <v/>
      </c>
      <c r="AB76">
        <f>IF($Y76="","",IF($Y76=0,LN($J76/$Z76)/$AA76,((($J76/$Z76)^$Y76)-1)/($Y76*$AA76)))</f>
        <v/>
      </c>
      <c r="AC76">
        <f>IF($Y76="","",IF($Y76=0,$Z76*EXP($AA76*2),$Z76*(1+$Y76*$AA76*2)^(1/$Y76)))</f>
        <v/>
      </c>
      <c r="AD76">
        <f>IF($Y76="","",IF($Y76=0,$Z76*EXP($AA76*3),$Z76*(1+$Y76*$AA76*3)^(1/$Y76)))</f>
        <v/>
      </c>
      <c r="AE76">
        <f>IF($Y76="","",IF($Y76=0,$Z76*EXP($AA76*-2),$Z76*(1+$Y76*$AA76*-2)^(1/$Y76)))</f>
        <v/>
      </c>
      <c r="AF76">
        <f>IF($Y76="","",IF($Y76=0,$Z76*EXP($AA76*-3),$Z76*(1+$Y76*$AA76*-3)^(1/$Y76)))</f>
        <v/>
      </c>
      <c r="AG76">
        <f>IF($W76="","",IFERROR(INDEX(IF($T76&lt;=60,est05_l,est519_l),MATCH($W76,IF($T76&lt;=60,est05_k,est519_k),1)),""))</f>
        <v/>
      </c>
      <c r="AH76">
        <f>IF($W76="","",IFERROR(INDEX(IF($T76&lt;=60,est05_m,est519_m),MATCH($W76,IF($T76&lt;=60,est05_k,est519_k),1)),""))</f>
        <v/>
      </c>
      <c r="AI76">
        <f>IF($W76="","",IFERROR(INDEX(IF($T76&lt;=60,est05_s,est519_s),MATCH($W76,IF($T76&lt;=60,est05_k,est519_k),1)),""))</f>
        <v/>
      </c>
      <c r="AJ76">
        <f>IF($W76="","",IFERROR(INDEX(IF($T76&lt;=60,peso05_l,peso510_l),MATCH($W76,IF($T76&lt;=60,peso05_k,peso510_k),1)),""))</f>
        <v/>
      </c>
      <c r="AK76">
        <f>IF($W76="","",IFERROR(INDEX(IF($T76&lt;=60,peso05_m,peso510_m),MATCH($W76,IF($T76&lt;=60,peso05_k,peso510_k),1)),""))</f>
        <v/>
      </c>
      <c r="AL76">
        <f>IF($W76="","",IFERROR(INDEX(IF($T76&lt;=60,peso05_s,peso510_s),MATCH($W76,IF($T76&lt;=60,peso05_k,peso510_k),1)),""))</f>
        <v/>
      </c>
      <c r="AM76">
        <f>IF($AJ76="","",IF($AJ76=0,LN($F76/$AK76)/$AL76,((($F76/$AK76)^$AJ76)-1)/($AJ76*$AL76)))</f>
        <v/>
      </c>
      <c r="AN76">
        <f>IF($AJ76="","",IF($AJ76=0,$AK76*EXP($AL76*2),$AK76*(1+$AJ76*$AL76*2)^(1/$AJ76)))</f>
        <v/>
      </c>
      <c r="AO76">
        <f>IF($AJ76="","",IF($AJ76=0,$AK76*EXP($AL76*3),$AK76*(1+$AJ76*$AL76*3)^(1/$AJ76)))</f>
        <v/>
      </c>
      <c r="AP76">
        <f>IF($AJ76="","",IF($AJ76=0,$AK76*EXP($AL76*-2),$AK76*(1+$AJ76*$AL76*-2)^(1/$AJ76)))</f>
        <v/>
      </c>
      <c r="AQ76">
        <f>IF($AJ76="","",IF($AJ76=0,$AK76*EXP($AL76*-3),$AK76*(1+$AJ76*$AL76*-3)^(1/$AJ76)))</f>
        <v/>
      </c>
      <c r="AR76">
        <f>IF(OR($X76="",$T76&gt;60),"",IFERROR(INDEX(IF($T76&lt;24,pcomp_l,palt_l),MATCH($X76,IF($T76&lt;24,pcomp_k,palt_k),1)),""))</f>
        <v/>
      </c>
      <c r="AS76">
        <f>IF(OR($X76="",$T76&gt;60),"",IFERROR(INDEX(IF($T76&lt;24,pcomp_m,palt_m),MATCH($X76,IF($T76&lt;24,pcomp_k,palt_k),1)),""))</f>
        <v/>
      </c>
      <c r="AT76">
        <f>IF(OR($X76="",$T76&gt;60),"",IFERROR(INDEX(IF($T76&lt;24,pcomp_s,palt_s),MATCH($X76,IF($T76&lt;24,pcomp_k,palt_k),1)),""))</f>
        <v/>
      </c>
      <c r="AU76">
        <f>IF($AR76="","",IF($AR76=0,LN($F76/$AS76)/$AT76,((($F76/$AS76)^$AR76)-1)/($AR76*$AT76)))</f>
        <v/>
      </c>
      <c r="AV76">
        <f>IF($AR76="","",IF($AR76=0,$AS76*EXP($AT76*2),$AS76*(1+$AR76*$AT76*2)^(1/$AR76)))</f>
        <v/>
      </c>
      <c r="AW76">
        <f>IF($AR76="","",IF($AR76=0,$AS76*EXP($AT76*3),$AS76*(1+$AR76*$AT76*3)^(1/$AR76)))</f>
        <v/>
      </c>
      <c r="AX76">
        <f>IF($AR76="","",IF($AR76=0,$AS76*EXP($AT76*-2),$AS76*(1+$AR76*$AT76*-2)^(1/$AR76)))</f>
        <v/>
      </c>
      <c r="AY76">
        <f>IF($AR76="","",IF($AR76=0,$AS76*EXP($AT76*-3),$AS76*(1+$AR76*$AT76*-3)^(1/$AR76)))</f>
        <v/>
      </c>
      <c r="AZ76">
        <f>IF(OR($A76="",$A76&lt;&gt;Ficha!$C$4),"",COUNTIF($A$2:$A76,Ficha!$C$4))</f>
        <v/>
      </c>
    </row>
    <row r="77">
      <c r="A77" s="8">
        <f>IF(INDEX(Banco!$A:$A,ROW())="","",INDEX(Banco!$A:$A,ROW()))</f>
        <v/>
      </c>
      <c r="B77" s="8">
        <f>IF(INDEX(Banco!$B:$B,ROW())="","",INDEX(Banco!$B:$B,ROW()))</f>
        <v/>
      </c>
      <c r="C77" s="8">
        <f>IF(INDEX(Banco!$C:$C,ROW())="","",INDEX(Banco!$C:$C,ROW()))</f>
        <v/>
      </c>
      <c r="D77" s="9">
        <f>IF(INDEX(Banco!$D:$D,ROW())="","",INDEX(Banco!$D:$D,ROW()))</f>
        <v/>
      </c>
      <c r="E77" s="9">
        <f>IF(INDEX(Banco!$E:$E,ROW())="","",INDEX(Banco!$E:$E,ROW()))</f>
        <v/>
      </c>
      <c r="F77" s="10">
        <f>IF(INDEX(Banco!$F:$F,ROW())="","",INDEX(Banco!$F:$F,ROW()))</f>
        <v/>
      </c>
      <c r="G77" s="10">
        <f>IF(INDEX(Banco!$G:$G,ROW())="","",INDEX(Banco!$G:$G,ROW()))</f>
        <v/>
      </c>
      <c r="H77" s="8">
        <f>IF(INDEX(Banco!$H:$H,ROW())="","",INDEX(Banco!$H:$H,ROW()))</f>
        <v/>
      </c>
      <c r="I77">
        <f>IF($T77="","",INT($T77/12)&amp;"a "&amp;MOD($T77,12)&amp;"m")</f>
        <v/>
      </c>
      <c r="J77" s="11">
        <f>IF(OR($F77="",$G77=""),"",ROUND($F77/($G77/100)^2,2))</f>
        <v/>
      </c>
      <c r="K77" s="12">
        <f>IF(OR($S77="",$J77="",$T77="",$T77&lt;0,$T77&gt;228,$Y77=""),"—",ROUND(IF(ABS($AB77)&lt;=3,$AB77,IF($AB77&gt;3,3+($J77-$AD77)/($AD77-$AC77),-3+($J77-$AF77)/($AE77-$AF77))),2))</f>
        <v/>
      </c>
      <c r="L77">
        <f>IF(OR($K77="",$K77="—"),"",IF($T77&lt;=60,IF($K77&lt;-3,"Magreza acentuada",IF($K77&lt;-2,"Magreza",IF($K77&lt;=1,"Eutrofia",IF($K77&lt;=2,"Risco de sobrepeso",IF($K77&lt;=3,"Sobrepeso","Obesidade"))))),IF($K77&lt;-3,"Magreza acentuada",IF($K77&lt;-2,"Magreza",IF($K77&lt;=1,"Eutrofia",IF($K77&lt;=2,"Sobrepeso",IF($K77&lt;=3,"Obesidade","Obesidade grave")))))))</f>
        <v/>
      </c>
      <c r="M77" s="12">
        <f>IF(OR($S77="",$V77="",$T77="",$T77&lt;0,$T77&gt;228,$AG77=""),"—",ROUND(IF($AG77=0,LN($V77/$AH77)/$AI77,((($V77/$AH77)^$AG77)-1)/($AG77*$AI77)),2))</f>
        <v/>
      </c>
      <c r="N77">
        <f>IF(OR($M77="",$M77="—"),"",IF($M77&lt;-3,"Muito baixa",IF($M77&lt;-2,"Baixa","Adequada")))</f>
        <v/>
      </c>
      <c r="O77" s="12">
        <f>IF(OR($S77="",$F77="",$T77="",$T77&lt;0,$T77&gt;120,$AJ77=""),"—",ROUND(IF(ABS($AM77)&lt;=3,$AM77,IF($AM77&gt;3,3+($F77-$AO77)/($AO77-$AN77),-3+($F77-$AQ77)/($AP77-$AQ77))),2))</f>
        <v/>
      </c>
      <c r="P77">
        <f>IF(OR($O77="",$O77="—"),"",IF($O77&lt;-3,"Muito baixo",IF($O77&lt;-2,"Baixo",IF($O77&lt;=2,"Adequado","Elevado"))))</f>
        <v/>
      </c>
      <c r="Q77" s="12">
        <f>IF(OR($S77="",$F77="",$T77="",$T77&lt;0,$T77&gt;60,$AR77=""),"—",ROUND(IF(ABS($AU77)&lt;=3,$AU77,IF($AU77&gt;3,3+($F77-$AW77)/($AW77-$AV77),-3+($F77-$AY77)/($AX77-$AY77))),2))</f>
        <v/>
      </c>
      <c r="R77">
        <f>IF(OR($Q77="",$Q77="—"),"",IF($Q77&lt;-3,"Magreza acentuada",IF($Q77&lt;-2,"Magreza",IF($Q77&lt;=1,"Eutrofia",IF($Q77&lt;=2,"Risco de sobrepeso",IF($Q77&lt;=3,"Sobrepeso","Obesidade"))))))</f>
        <v/>
      </c>
      <c r="S77">
        <f>IF($C77="","",IF(UPPER(LEFT($C77,1))="M",1,IF(UPPER(LEFT($C77,1))="F",2,"")))</f>
        <v/>
      </c>
      <c r="T77">
        <f>IF(OR($D77="",$E77=""),"",DATEDIF($D77,$E77,"m"))</f>
        <v/>
      </c>
      <c r="U77">
        <f>IF(OR($D77="",$E77=""),"",$E77-$D77)</f>
        <v/>
      </c>
      <c r="V77">
        <f>IF(OR($G77="",$T77=""),"",IF($T77&lt;24,IF(LEFT(LOWER($H77),4)="em p",$G77+0.7,$G77),IF(LEFT(LOWER($H77),4)="deit",$G77-0.7,$G77)))</f>
        <v/>
      </c>
      <c r="W77">
        <f>IF(OR($S77="",$T77=""),"",$S77*1000000+IF($T77&lt;=60,$U77,$T77))</f>
        <v/>
      </c>
      <c r="X77">
        <f>IF(OR($S77="",$V77="",$T77&gt;60,$T77=""),"",$S77*1000000+ROUND($V77*10,0))</f>
        <v/>
      </c>
      <c r="Y77">
        <f>IF($W77="","",IFERROR(INDEX(IF($T77&lt;=60,imc05_l,imc519_l),MATCH($W77,IF($T77&lt;=60,imc05_k,imc519_k),1)),""))</f>
        <v/>
      </c>
      <c r="Z77">
        <f>IF($W77="","",IFERROR(INDEX(IF($T77&lt;=60,imc05_m,imc519_m),MATCH($W77,IF($T77&lt;=60,imc05_k,imc519_k),1)),""))</f>
        <v/>
      </c>
      <c r="AA77">
        <f>IF($W77="","",IFERROR(INDEX(IF($T77&lt;=60,imc05_s,imc519_s),MATCH($W77,IF($T77&lt;=60,imc05_k,imc519_k),1)),""))</f>
        <v/>
      </c>
      <c r="AB77">
        <f>IF($Y77="","",IF($Y77=0,LN($J77/$Z77)/$AA77,((($J77/$Z77)^$Y77)-1)/($Y77*$AA77)))</f>
        <v/>
      </c>
      <c r="AC77">
        <f>IF($Y77="","",IF($Y77=0,$Z77*EXP($AA77*2),$Z77*(1+$Y77*$AA77*2)^(1/$Y77)))</f>
        <v/>
      </c>
      <c r="AD77">
        <f>IF($Y77="","",IF($Y77=0,$Z77*EXP($AA77*3),$Z77*(1+$Y77*$AA77*3)^(1/$Y77)))</f>
        <v/>
      </c>
      <c r="AE77">
        <f>IF($Y77="","",IF($Y77=0,$Z77*EXP($AA77*-2),$Z77*(1+$Y77*$AA77*-2)^(1/$Y77)))</f>
        <v/>
      </c>
      <c r="AF77">
        <f>IF($Y77="","",IF($Y77=0,$Z77*EXP($AA77*-3),$Z77*(1+$Y77*$AA77*-3)^(1/$Y77)))</f>
        <v/>
      </c>
      <c r="AG77">
        <f>IF($W77="","",IFERROR(INDEX(IF($T77&lt;=60,est05_l,est519_l),MATCH($W77,IF($T77&lt;=60,est05_k,est519_k),1)),""))</f>
        <v/>
      </c>
      <c r="AH77">
        <f>IF($W77="","",IFERROR(INDEX(IF($T77&lt;=60,est05_m,est519_m),MATCH($W77,IF($T77&lt;=60,est05_k,est519_k),1)),""))</f>
        <v/>
      </c>
      <c r="AI77">
        <f>IF($W77="","",IFERROR(INDEX(IF($T77&lt;=60,est05_s,est519_s),MATCH($W77,IF($T77&lt;=60,est05_k,est519_k),1)),""))</f>
        <v/>
      </c>
      <c r="AJ77">
        <f>IF($W77="","",IFERROR(INDEX(IF($T77&lt;=60,peso05_l,peso510_l),MATCH($W77,IF($T77&lt;=60,peso05_k,peso510_k),1)),""))</f>
        <v/>
      </c>
      <c r="AK77">
        <f>IF($W77="","",IFERROR(INDEX(IF($T77&lt;=60,peso05_m,peso510_m),MATCH($W77,IF($T77&lt;=60,peso05_k,peso510_k),1)),""))</f>
        <v/>
      </c>
      <c r="AL77">
        <f>IF($W77="","",IFERROR(INDEX(IF($T77&lt;=60,peso05_s,peso510_s),MATCH($W77,IF($T77&lt;=60,peso05_k,peso510_k),1)),""))</f>
        <v/>
      </c>
      <c r="AM77">
        <f>IF($AJ77="","",IF($AJ77=0,LN($F77/$AK77)/$AL77,((($F77/$AK77)^$AJ77)-1)/($AJ77*$AL77)))</f>
        <v/>
      </c>
      <c r="AN77">
        <f>IF($AJ77="","",IF($AJ77=0,$AK77*EXP($AL77*2),$AK77*(1+$AJ77*$AL77*2)^(1/$AJ77)))</f>
        <v/>
      </c>
      <c r="AO77">
        <f>IF($AJ77="","",IF($AJ77=0,$AK77*EXP($AL77*3),$AK77*(1+$AJ77*$AL77*3)^(1/$AJ77)))</f>
        <v/>
      </c>
      <c r="AP77">
        <f>IF($AJ77="","",IF($AJ77=0,$AK77*EXP($AL77*-2),$AK77*(1+$AJ77*$AL77*-2)^(1/$AJ77)))</f>
        <v/>
      </c>
      <c r="AQ77">
        <f>IF($AJ77="","",IF($AJ77=0,$AK77*EXP($AL77*-3),$AK77*(1+$AJ77*$AL77*-3)^(1/$AJ77)))</f>
        <v/>
      </c>
      <c r="AR77">
        <f>IF(OR($X77="",$T77&gt;60),"",IFERROR(INDEX(IF($T77&lt;24,pcomp_l,palt_l),MATCH($X77,IF($T77&lt;24,pcomp_k,palt_k),1)),""))</f>
        <v/>
      </c>
      <c r="AS77">
        <f>IF(OR($X77="",$T77&gt;60),"",IFERROR(INDEX(IF($T77&lt;24,pcomp_m,palt_m),MATCH($X77,IF($T77&lt;24,pcomp_k,palt_k),1)),""))</f>
        <v/>
      </c>
      <c r="AT77">
        <f>IF(OR($X77="",$T77&gt;60),"",IFERROR(INDEX(IF($T77&lt;24,pcomp_s,palt_s),MATCH($X77,IF($T77&lt;24,pcomp_k,palt_k),1)),""))</f>
        <v/>
      </c>
      <c r="AU77">
        <f>IF($AR77="","",IF($AR77=0,LN($F77/$AS77)/$AT77,((($F77/$AS77)^$AR77)-1)/($AR77*$AT77)))</f>
        <v/>
      </c>
      <c r="AV77">
        <f>IF($AR77="","",IF($AR77=0,$AS77*EXP($AT77*2),$AS77*(1+$AR77*$AT77*2)^(1/$AR77)))</f>
        <v/>
      </c>
      <c r="AW77">
        <f>IF($AR77="","",IF($AR77=0,$AS77*EXP($AT77*3),$AS77*(1+$AR77*$AT77*3)^(1/$AR77)))</f>
        <v/>
      </c>
      <c r="AX77">
        <f>IF($AR77="","",IF($AR77=0,$AS77*EXP($AT77*-2),$AS77*(1+$AR77*$AT77*-2)^(1/$AR77)))</f>
        <v/>
      </c>
      <c r="AY77">
        <f>IF($AR77="","",IF($AR77=0,$AS77*EXP($AT77*-3),$AS77*(1+$AR77*$AT77*-3)^(1/$AR77)))</f>
        <v/>
      </c>
      <c r="AZ77">
        <f>IF(OR($A77="",$A77&lt;&gt;Ficha!$C$4),"",COUNTIF($A$2:$A77,Ficha!$C$4))</f>
        <v/>
      </c>
    </row>
    <row r="78">
      <c r="A78" s="8">
        <f>IF(INDEX(Banco!$A:$A,ROW())="","",INDEX(Banco!$A:$A,ROW()))</f>
        <v/>
      </c>
      <c r="B78" s="8">
        <f>IF(INDEX(Banco!$B:$B,ROW())="","",INDEX(Banco!$B:$B,ROW()))</f>
        <v/>
      </c>
      <c r="C78" s="8">
        <f>IF(INDEX(Banco!$C:$C,ROW())="","",INDEX(Banco!$C:$C,ROW()))</f>
        <v/>
      </c>
      <c r="D78" s="9">
        <f>IF(INDEX(Banco!$D:$D,ROW())="","",INDEX(Banco!$D:$D,ROW()))</f>
        <v/>
      </c>
      <c r="E78" s="9">
        <f>IF(INDEX(Banco!$E:$E,ROW())="","",INDEX(Banco!$E:$E,ROW()))</f>
        <v/>
      </c>
      <c r="F78" s="10">
        <f>IF(INDEX(Banco!$F:$F,ROW())="","",INDEX(Banco!$F:$F,ROW()))</f>
        <v/>
      </c>
      <c r="G78" s="10">
        <f>IF(INDEX(Banco!$G:$G,ROW())="","",INDEX(Banco!$G:$G,ROW()))</f>
        <v/>
      </c>
      <c r="H78" s="8">
        <f>IF(INDEX(Banco!$H:$H,ROW())="","",INDEX(Banco!$H:$H,ROW()))</f>
        <v/>
      </c>
      <c r="I78">
        <f>IF($T78="","",INT($T78/12)&amp;"a "&amp;MOD($T78,12)&amp;"m")</f>
        <v/>
      </c>
      <c r="J78" s="11">
        <f>IF(OR($F78="",$G78=""),"",ROUND($F78/($G78/100)^2,2))</f>
        <v/>
      </c>
      <c r="K78" s="12">
        <f>IF(OR($S78="",$J78="",$T78="",$T78&lt;0,$T78&gt;228,$Y78=""),"—",ROUND(IF(ABS($AB78)&lt;=3,$AB78,IF($AB78&gt;3,3+($J78-$AD78)/($AD78-$AC78),-3+($J78-$AF78)/($AE78-$AF78))),2))</f>
        <v/>
      </c>
      <c r="L78">
        <f>IF(OR($K78="",$K78="—"),"",IF($T78&lt;=60,IF($K78&lt;-3,"Magreza acentuada",IF($K78&lt;-2,"Magreza",IF($K78&lt;=1,"Eutrofia",IF($K78&lt;=2,"Risco de sobrepeso",IF($K78&lt;=3,"Sobrepeso","Obesidade"))))),IF($K78&lt;-3,"Magreza acentuada",IF($K78&lt;-2,"Magreza",IF($K78&lt;=1,"Eutrofia",IF($K78&lt;=2,"Sobrepeso",IF($K78&lt;=3,"Obesidade","Obesidade grave")))))))</f>
        <v/>
      </c>
      <c r="M78" s="12">
        <f>IF(OR($S78="",$V78="",$T78="",$T78&lt;0,$T78&gt;228,$AG78=""),"—",ROUND(IF($AG78=0,LN($V78/$AH78)/$AI78,((($V78/$AH78)^$AG78)-1)/($AG78*$AI78)),2))</f>
        <v/>
      </c>
      <c r="N78">
        <f>IF(OR($M78="",$M78="—"),"",IF($M78&lt;-3,"Muito baixa",IF($M78&lt;-2,"Baixa","Adequada")))</f>
        <v/>
      </c>
      <c r="O78" s="12">
        <f>IF(OR($S78="",$F78="",$T78="",$T78&lt;0,$T78&gt;120,$AJ78=""),"—",ROUND(IF(ABS($AM78)&lt;=3,$AM78,IF($AM78&gt;3,3+($F78-$AO78)/($AO78-$AN78),-3+($F78-$AQ78)/($AP78-$AQ78))),2))</f>
        <v/>
      </c>
      <c r="P78">
        <f>IF(OR($O78="",$O78="—"),"",IF($O78&lt;-3,"Muito baixo",IF($O78&lt;-2,"Baixo",IF($O78&lt;=2,"Adequado","Elevado"))))</f>
        <v/>
      </c>
      <c r="Q78" s="12">
        <f>IF(OR($S78="",$F78="",$T78="",$T78&lt;0,$T78&gt;60,$AR78=""),"—",ROUND(IF(ABS($AU78)&lt;=3,$AU78,IF($AU78&gt;3,3+($F78-$AW78)/($AW78-$AV78),-3+($F78-$AY78)/($AX78-$AY78))),2))</f>
        <v/>
      </c>
      <c r="R78">
        <f>IF(OR($Q78="",$Q78="—"),"",IF($Q78&lt;-3,"Magreza acentuada",IF($Q78&lt;-2,"Magreza",IF($Q78&lt;=1,"Eutrofia",IF($Q78&lt;=2,"Risco de sobrepeso",IF($Q78&lt;=3,"Sobrepeso","Obesidade"))))))</f>
        <v/>
      </c>
      <c r="S78">
        <f>IF($C78="","",IF(UPPER(LEFT($C78,1))="M",1,IF(UPPER(LEFT($C78,1))="F",2,"")))</f>
        <v/>
      </c>
      <c r="T78">
        <f>IF(OR($D78="",$E78=""),"",DATEDIF($D78,$E78,"m"))</f>
        <v/>
      </c>
      <c r="U78">
        <f>IF(OR($D78="",$E78=""),"",$E78-$D78)</f>
        <v/>
      </c>
      <c r="V78">
        <f>IF(OR($G78="",$T78=""),"",IF($T78&lt;24,IF(LEFT(LOWER($H78),4)="em p",$G78+0.7,$G78),IF(LEFT(LOWER($H78),4)="deit",$G78-0.7,$G78)))</f>
        <v/>
      </c>
      <c r="W78">
        <f>IF(OR($S78="",$T78=""),"",$S78*1000000+IF($T78&lt;=60,$U78,$T78))</f>
        <v/>
      </c>
      <c r="X78">
        <f>IF(OR($S78="",$V78="",$T78&gt;60,$T78=""),"",$S78*1000000+ROUND($V78*10,0))</f>
        <v/>
      </c>
      <c r="Y78">
        <f>IF($W78="","",IFERROR(INDEX(IF($T78&lt;=60,imc05_l,imc519_l),MATCH($W78,IF($T78&lt;=60,imc05_k,imc519_k),1)),""))</f>
        <v/>
      </c>
      <c r="Z78">
        <f>IF($W78="","",IFERROR(INDEX(IF($T78&lt;=60,imc05_m,imc519_m),MATCH($W78,IF($T78&lt;=60,imc05_k,imc519_k),1)),""))</f>
        <v/>
      </c>
      <c r="AA78">
        <f>IF($W78="","",IFERROR(INDEX(IF($T78&lt;=60,imc05_s,imc519_s),MATCH($W78,IF($T78&lt;=60,imc05_k,imc519_k),1)),""))</f>
        <v/>
      </c>
      <c r="AB78">
        <f>IF($Y78="","",IF($Y78=0,LN($J78/$Z78)/$AA78,((($J78/$Z78)^$Y78)-1)/($Y78*$AA78)))</f>
        <v/>
      </c>
      <c r="AC78">
        <f>IF($Y78="","",IF($Y78=0,$Z78*EXP($AA78*2),$Z78*(1+$Y78*$AA78*2)^(1/$Y78)))</f>
        <v/>
      </c>
      <c r="AD78">
        <f>IF($Y78="","",IF($Y78=0,$Z78*EXP($AA78*3),$Z78*(1+$Y78*$AA78*3)^(1/$Y78)))</f>
        <v/>
      </c>
      <c r="AE78">
        <f>IF($Y78="","",IF($Y78=0,$Z78*EXP($AA78*-2),$Z78*(1+$Y78*$AA78*-2)^(1/$Y78)))</f>
        <v/>
      </c>
      <c r="AF78">
        <f>IF($Y78="","",IF($Y78=0,$Z78*EXP($AA78*-3),$Z78*(1+$Y78*$AA78*-3)^(1/$Y78)))</f>
        <v/>
      </c>
      <c r="AG78">
        <f>IF($W78="","",IFERROR(INDEX(IF($T78&lt;=60,est05_l,est519_l),MATCH($W78,IF($T78&lt;=60,est05_k,est519_k),1)),""))</f>
        <v/>
      </c>
      <c r="AH78">
        <f>IF($W78="","",IFERROR(INDEX(IF($T78&lt;=60,est05_m,est519_m),MATCH($W78,IF($T78&lt;=60,est05_k,est519_k),1)),""))</f>
        <v/>
      </c>
      <c r="AI78">
        <f>IF($W78="","",IFERROR(INDEX(IF($T78&lt;=60,est05_s,est519_s),MATCH($W78,IF($T78&lt;=60,est05_k,est519_k),1)),""))</f>
        <v/>
      </c>
      <c r="AJ78">
        <f>IF($W78="","",IFERROR(INDEX(IF($T78&lt;=60,peso05_l,peso510_l),MATCH($W78,IF($T78&lt;=60,peso05_k,peso510_k),1)),""))</f>
        <v/>
      </c>
      <c r="AK78">
        <f>IF($W78="","",IFERROR(INDEX(IF($T78&lt;=60,peso05_m,peso510_m),MATCH($W78,IF($T78&lt;=60,peso05_k,peso510_k),1)),""))</f>
        <v/>
      </c>
      <c r="AL78">
        <f>IF($W78="","",IFERROR(INDEX(IF($T78&lt;=60,peso05_s,peso510_s),MATCH($W78,IF($T78&lt;=60,peso05_k,peso510_k),1)),""))</f>
        <v/>
      </c>
      <c r="AM78">
        <f>IF($AJ78="","",IF($AJ78=0,LN($F78/$AK78)/$AL78,((($F78/$AK78)^$AJ78)-1)/($AJ78*$AL78)))</f>
        <v/>
      </c>
      <c r="AN78">
        <f>IF($AJ78="","",IF($AJ78=0,$AK78*EXP($AL78*2),$AK78*(1+$AJ78*$AL78*2)^(1/$AJ78)))</f>
        <v/>
      </c>
      <c r="AO78">
        <f>IF($AJ78="","",IF($AJ78=0,$AK78*EXP($AL78*3),$AK78*(1+$AJ78*$AL78*3)^(1/$AJ78)))</f>
        <v/>
      </c>
      <c r="AP78">
        <f>IF($AJ78="","",IF($AJ78=0,$AK78*EXP($AL78*-2),$AK78*(1+$AJ78*$AL78*-2)^(1/$AJ78)))</f>
        <v/>
      </c>
      <c r="AQ78">
        <f>IF($AJ78="","",IF($AJ78=0,$AK78*EXP($AL78*-3),$AK78*(1+$AJ78*$AL78*-3)^(1/$AJ78)))</f>
        <v/>
      </c>
      <c r="AR78">
        <f>IF(OR($X78="",$T78&gt;60),"",IFERROR(INDEX(IF($T78&lt;24,pcomp_l,palt_l),MATCH($X78,IF($T78&lt;24,pcomp_k,palt_k),1)),""))</f>
        <v/>
      </c>
      <c r="AS78">
        <f>IF(OR($X78="",$T78&gt;60),"",IFERROR(INDEX(IF($T78&lt;24,pcomp_m,palt_m),MATCH($X78,IF($T78&lt;24,pcomp_k,palt_k),1)),""))</f>
        <v/>
      </c>
      <c r="AT78">
        <f>IF(OR($X78="",$T78&gt;60),"",IFERROR(INDEX(IF($T78&lt;24,pcomp_s,palt_s),MATCH($X78,IF($T78&lt;24,pcomp_k,palt_k),1)),""))</f>
        <v/>
      </c>
      <c r="AU78">
        <f>IF($AR78="","",IF($AR78=0,LN($F78/$AS78)/$AT78,((($F78/$AS78)^$AR78)-1)/($AR78*$AT78)))</f>
        <v/>
      </c>
      <c r="AV78">
        <f>IF($AR78="","",IF($AR78=0,$AS78*EXP($AT78*2),$AS78*(1+$AR78*$AT78*2)^(1/$AR78)))</f>
        <v/>
      </c>
      <c r="AW78">
        <f>IF($AR78="","",IF($AR78=0,$AS78*EXP($AT78*3),$AS78*(1+$AR78*$AT78*3)^(1/$AR78)))</f>
        <v/>
      </c>
      <c r="AX78">
        <f>IF($AR78="","",IF($AR78=0,$AS78*EXP($AT78*-2),$AS78*(1+$AR78*$AT78*-2)^(1/$AR78)))</f>
        <v/>
      </c>
      <c r="AY78">
        <f>IF($AR78="","",IF($AR78=0,$AS78*EXP($AT78*-3),$AS78*(1+$AR78*$AT78*-3)^(1/$AR78)))</f>
        <v/>
      </c>
      <c r="AZ78">
        <f>IF(OR($A78="",$A78&lt;&gt;Ficha!$C$4),"",COUNTIF($A$2:$A78,Ficha!$C$4))</f>
        <v/>
      </c>
    </row>
    <row r="79">
      <c r="A79" s="8">
        <f>IF(INDEX(Banco!$A:$A,ROW())="","",INDEX(Banco!$A:$A,ROW()))</f>
        <v/>
      </c>
      <c r="B79" s="8">
        <f>IF(INDEX(Banco!$B:$B,ROW())="","",INDEX(Banco!$B:$B,ROW()))</f>
        <v/>
      </c>
      <c r="C79" s="8">
        <f>IF(INDEX(Banco!$C:$C,ROW())="","",INDEX(Banco!$C:$C,ROW()))</f>
        <v/>
      </c>
      <c r="D79" s="9">
        <f>IF(INDEX(Banco!$D:$D,ROW())="","",INDEX(Banco!$D:$D,ROW()))</f>
        <v/>
      </c>
      <c r="E79" s="9">
        <f>IF(INDEX(Banco!$E:$E,ROW())="","",INDEX(Banco!$E:$E,ROW()))</f>
        <v/>
      </c>
      <c r="F79" s="10">
        <f>IF(INDEX(Banco!$F:$F,ROW())="","",INDEX(Banco!$F:$F,ROW()))</f>
        <v/>
      </c>
      <c r="G79" s="10">
        <f>IF(INDEX(Banco!$G:$G,ROW())="","",INDEX(Banco!$G:$G,ROW()))</f>
        <v/>
      </c>
      <c r="H79" s="8">
        <f>IF(INDEX(Banco!$H:$H,ROW())="","",INDEX(Banco!$H:$H,ROW()))</f>
        <v/>
      </c>
      <c r="I79">
        <f>IF($T79="","",INT($T79/12)&amp;"a "&amp;MOD($T79,12)&amp;"m")</f>
        <v/>
      </c>
      <c r="J79" s="11">
        <f>IF(OR($F79="",$G79=""),"",ROUND($F79/($G79/100)^2,2))</f>
        <v/>
      </c>
      <c r="K79" s="12">
        <f>IF(OR($S79="",$J79="",$T79="",$T79&lt;0,$T79&gt;228,$Y79=""),"—",ROUND(IF(ABS($AB79)&lt;=3,$AB79,IF($AB79&gt;3,3+($J79-$AD79)/($AD79-$AC79),-3+($J79-$AF79)/($AE79-$AF79))),2))</f>
        <v/>
      </c>
      <c r="L79">
        <f>IF(OR($K79="",$K79="—"),"",IF($T79&lt;=60,IF($K79&lt;-3,"Magreza acentuada",IF($K79&lt;-2,"Magreza",IF($K79&lt;=1,"Eutrofia",IF($K79&lt;=2,"Risco de sobrepeso",IF($K79&lt;=3,"Sobrepeso","Obesidade"))))),IF($K79&lt;-3,"Magreza acentuada",IF($K79&lt;-2,"Magreza",IF($K79&lt;=1,"Eutrofia",IF($K79&lt;=2,"Sobrepeso",IF($K79&lt;=3,"Obesidade","Obesidade grave")))))))</f>
        <v/>
      </c>
      <c r="M79" s="12">
        <f>IF(OR($S79="",$V79="",$T79="",$T79&lt;0,$T79&gt;228,$AG79=""),"—",ROUND(IF($AG79=0,LN($V79/$AH79)/$AI79,((($V79/$AH79)^$AG79)-1)/($AG79*$AI79)),2))</f>
        <v/>
      </c>
      <c r="N79">
        <f>IF(OR($M79="",$M79="—"),"",IF($M79&lt;-3,"Muito baixa",IF($M79&lt;-2,"Baixa","Adequada")))</f>
        <v/>
      </c>
      <c r="O79" s="12">
        <f>IF(OR($S79="",$F79="",$T79="",$T79&lt;0,$T79&gt;120,$AJ79=""),"—",ROUND(IF(ABS($AM79)&lt;=3,$AM79,IF($AM79&gt;3,3+($F79-$AO79)/($AO79-$AN79),-3+($F79-$AQ79)/($AP79-$AQ79))),2))</f>
        <v/>
      </c>
      <c r="P79">
        <f>IF(OR($O79="",$O79="—"),"",IF($O79&lt;-3,"Muito baixo",IF($O79&lt;-2,"Baixo",IF($O79&lt;=2,"Adequado","Elevado"))))</f>
        <v/>
      </c>
      <c r="Q79" s="12">
        <f>IF(OR($S79="",$F79="",$T79="",$T79&lt;0,$T79&gt;60,$AR79=""),"—",ROUND(IF(ABS($AU79)&lt;=3,$AU79,IF($AU79&gt;3,3+($F79-$AW79)/($AW79-$AV79),-3+($F79-$AY79)/($AX79-$AY79))),2))</f>
        <v/>
      </c>
      <c r="R79">
        <f>IF(OR($Q79="",$Q79="—"),"",IF($Q79&lt;-3,"Magreza acentuada",IF($Q79&lt;-2,"Magreza",IF($Q79&lt;=1,"Eutrofia",IF($Q79&lt;=2,"Risco de sobrepeso",IF($Q79&lt;=3,"Sobrepeso","Obesidade"))))))</f>
        <v/>
      </c>
      <c r="S79">
        <f>IF($C79="","",IF(UPPER(LEFT($C79,1))="M",1,IF(UPPER(LEFT($C79,1))="F",2,"")))</f>
        <v/>
      </c>
      <c r="T79">
        <f>IF(OR($D79="",$E79=""),"",DATEDIF($D79,$E79,"m"))</f>
        <v/>
      </c>
      <c r="U79">
        <f>IF(OR($D79="",$E79=""),"",$E79-$D79)</f>
        <v/>
      </c>
      <c r="V79">
        <f>IF(OR($G79="",$T79=""),"",IF($T79&lt;24,IF(LEFT(LOWER($H79),4)="em p",$G79+0.7,$G79),IF(LEFT(LOWER($H79),4)="deit",$G79-0.7,$G79)))</f>
        <v/>
      </c>
      <c r="W79">
        <f>IF(OR($S79="",$T79=""),"",$S79*1000000+IF($T79&lt;=60,$U79,$T79))</f>
        <v/>
      </c>
      <c r="X79">
        <f>IF(OR($S79="",$V79="",$T79&gt;60,$T79=""),"",$S79*1000000+ROUND($V79*10,0))</f>
        <v/>
      </c>
      <c r="Y79">
        <f>IF($W79="","",IFERROR(INDEX(IF($T79&lt;=60,imc05_l,imc519_l),MATCH($W79,IF($T79&lt;=60,imc05_k,imc519_k),1)),""))</f>
        <v/>
      </c>
      <c r="Z79">
        <f>IF($W79="","",IFERROR(INDEX(IF($T79&lt;=60,imc05_m,imc519_m),MATCH($W79,IF($T79&lt;=60,imc05_k,imc519_k),1)),""))</f>
        <v/>
      </c>
      <c r="AA79">
        <f>IF($W79="","",IFERROR(INDEX(IF($T79&lt;=60,imc05_s,imc519_s),MATCH($W79,IF($T79&lt;=60,imc05_k,imc519_k),1)),""))</f>
        <v/>
      </c>
      <c r="AB79">
        <f>IF($Y79="","",IF($Y79=0,LN($J79/$Z79)/$AA79,((($J79/$Z79)^$Y79)-1)/($Y79*$AA79)))</f>
        <v/>
      </c>
      <c r="AC79">
        <f>IF($Y79="","",IF($Y79=0,$Z79*EXP($AA79*2),$Z79*(1+$Y79*$AA79*2)^(1/$Y79)))</f>
        <v/>
      </c>
      <c r="AD79">
        <f>IF($Y79="","",IF($Y79=0,$Z79*EXP($AA79*3),$Z79*(1+$Y79*$AA79*3)^(1/$Y79)))</f>
        <v/>
      </c>
      <c r="AE79">
        <f>IF($Y79="","",IF($Y79=0,$Z79*EXP($AA79*-2),$Z79*(1+$Y79*$AA79*-2)^(1/$Y79)))</f>
        <v/>
      </c>
      <c r="AF79">
        <f>IF($Y79="","",IF($Y79=0,$Z79*EXP($AA79*-3),$Z79*(1+$Y79*$AA79*-3)^(1/$Y79)))</f>
        <v/>
      </c>
      <c r="AG79">
        <f>IF($W79="","",IFERROR(INDEX(IF($T79&lt;=60,est05_l,est519_l),MATCH($W79,IF($T79&lt;=60,est05_k,est519_k),1)),""))</f>
        <v/>
      </c>
      <c r="AH79">
        <f>IF($W79="","",IFERROR(INDEX(IF($T79&lt;=60,est05_m,est519_m),MATCH($W79,IF($T79&lt;=60,est05_k,est519_k),1)),""))</f>
        <v/>
      </c>
      <c r="AI79">
        <f>IF($W79="","",IFERROR(INDEX(IF($T79&lt;=60,est05_s,est519_s),MATCH($W79,IF($T79&lt;=60,est05_k,est519_k),1)),""))</f>
        <v/>
      </c>
      <c r="AJ79">
        <f>IF($W79="","",IFERROR(INDEX(IF($T79&lt;=60,peso05_l,peso510_l),MATCH($W79,IF($T79&lt;=60,peso05_k,peso510_k),1)),""))</f>
        <v/>
      </c>
      <c r="AK79">
        <f>IF($W79="","",IFERROR(INDEX(IF($T79&lt;=60,peso05_m,peso510_m),MATCH($W79,IF($T79&lt;=60,peso05_k,peso510_k),1)),""))</f>
        <v/>
      </c>
      <c r="AL79">
        <f>IF($W79="","",IFERROR(INDEX(IF($T79&lt;=60,peso05_s,peso510_s),MATCH($W79,IF($T79&lt;=60,peso05_k,peso510_k),1)),""))</f>
        <v/>
      </c>
      <c r="AM79">
        <f>IF($AJ79="","",IF($AJ79=0,LN($F79/$AK79)/$AL79,((($F79/$AK79)^$AJ79)-1)/($AJ79*$AL79)))</f>
        <v/>
      </c>
      <c r="AN79">
        <f>IF($AJ79="","",IF($AJ79=0,$AK79*EXP($AL79*2),$AK79*(1+$AJ79*$AL79*2)^(1/$AJ79)))</f>
        <v/>
      </c>
      <c r="AO79">
        <f>IF($AJ79="","",IF($AJ79=0,$AK79*EXP($AL79*3),$AK79*(1+$AJ79*$AL79*3)^(1/$AJ79)))</f>
        <v/>
      </c>
      <c r="AP79">
        <f>IF($AJ79="","",IF($AJ79=0,$AK79*EXP($AL79*-2),$AK79*(1+$AJ79*$AL79*-2)^(1/$AJ79)))</f>
        <v/>
      </c>
      <c r="AQ79">
        <f>IF($AJ79="","",IF($AJ79=0,$AK79*EXP($AL79*-3),$AK79*(1+$AJ79*$AL79*-3)^(1/$AJ79)))</f>
        <v/>
      </c>
      <c r="AR79">
        <f>IF(OR($X79="",$T79&gt;60),"",IFERROR(INDEX(IF($T79&lt;24,pcomp_l,palt_l),MATCH($X79,IF($T79&lt;24,pcomp_k,palt_k),1)),""))</f>
        <v/>
      </c>
      <c r="AS79">
        <f>IF(OR($X79="",$T79&gt;60),"",IFERROR(INDEX(IF($T79&lt;24,pcomp_m,palt_m),MATCH($X79,IF($T79&lt;24,pcomp_k,palt_k),1)),""))</f>
        <v/>
      </c>
      <c r="AT79">
        <f>IF(OR($X79="",$T79&gt;60),"",IFERROR(INDEX(IF($T79&lt;24,pcomp_s,palt_s),MATCH($X79,IF($T79&lt;24,pcomp_k,palt_k),1)),""))</f>
        <v/>
      </c>
      <c r="AU79">
        <f>IF($AR79="","",IF($AR79=0,LN($F79/$AS79)/$AT79,((($F79/$AS79)^$AR79)-1)/($AR79*$AT79)))</f>
        <v/>
      </c>
      <c r="AV79">
        <f>IF($AR79="","",IF($AR79=0,$AS79*EXP($AT79*2),$AS79*(1+$AR79*$AT79*2)^(1/$AR79)))</f>
        <v/>
      </c>
      <c r="AW79">
        <f>IF($AR79="","",IF($AR79=0,$AS79*EXP($AT79*3),$AS79*(1+$AR79*$AT79*3)^(1/$AR79)))</f>
        <v/>
      </c>
      <c r="AX79">
        <f>IF($AR79="","",IF($AR79=0,$AS79*EXP($AT79*-2),$AS79*(1+$AR79*$AT79*-2)^(1/$AR79)))</f>
        <v/>
      </c>
      <c r="AY79">
        <f>IF($AR79="","",IF($AR79=0,$AS79*EXP($AT79*-3),$AS79*(1+$AR79*$AT79*-3)^(1/$AR79)))</f>
        <v/>
      </c>
      <c r="AZ79">
        <f>IF(OR($A79="",$A79&lt;&gt;Ficha!$C$4),"",COUNTIF($A$2:$A79,Ficha!$C$4))</f>
        <v/>
      </c>
    </row>
    <row r="80">
      <c r="A80" s="8">
        <f>IF(INDEX(Banco!$A:$A,ROW())="","",INDEX(Banco!$A:$A,ROW()))</f>
        <v/>
      </c>
      <c r="B80" s="8">
        <f>IF(INDEX(Banco!$B:$B,ROW())="","",INDEX(Banco!$B:$B,ROW()))</f>
        <v/>
      </c>
      <c r="C80" s="8">
        <f>IF(INDEX(Banco!$C:$C,ROW())="","",INDEX(Banco!$C:$C,ROW()))</f>
        <v/>
      </c>
      <c r="D80" s="9">
        <f>IF(INDEX(Banco!$D:$D,ROW())="","",INDEX(Banco!$D:$D,ROW()))</f>
        <v/>
      </c>
      <c r="E80" s="9">
        <f>IF(INDEX(Banco!$E:$E,ROW())="","",INDEX(Banco!$E:$E,ROW()))</f>
        <v/>
      </c>
      <c r="F80" s="10">
        <f>IF(INDEX(Banco!$F:$F,ROW())="","",INDEX(Banco!$F:$F,ROW()))</f>
        <v/>
      </c>
      <c r="G80" s="10">
        <f>IF(INDEX(Banco!$G:$G,ROW())="","",INDEX(Banco!$G:$G,ROW()))</f>
        <v/>
      </c>
      <c r="H80" s="8">
        <f>IF(INDEX(Banco!$H:$H,ROW())="","",INDEX(Banco!$H:$H,ROW()))</f>
        <v/>
      </c>
      <c r="I80">
        <f>IF($T80="","",INT($T80/12)&amp;"a "&amp;MOD($T80,12)&amp;"m")</f>
        <v/>
      </c>
      <c r="J80" s="11">
        <f>IF(OR($F80="",$G80=""),"",ROUND($F80/($G80/100)^2,2))</f>
        <v/>
      </c>
      <c r="K80" s="12">
        <f>IF(OR($S80="",$J80="",$T80="",$T80&lt;0,$T80&gt;228,$Y80=""),"—",ROUND(IF(ABS($AB80)&lt;=3,$AB80,IF($AB80&gt;3,3+($J80-$AD80)/($AD80-$AC80),-3+($J80-$AF80)/($AE80-$AF80))),2))</f>
        <v/>
      </c>
      <c r="L80">
        <f>IF(OR($K80="",$K80="—"),"",IF($T80&lt;=60,IF($K80&lt;-3,"Magreza acentuada",IF($K80&lt;-2,"Magreza",IF($K80&lt;=1,"Eutrofia",IF($K80&lt;=2,"Risco de sobrepeso",IF($K80&lt;=3,"Sobrepeso","Obesidade"))))),IF($K80&lt;-3,"Magreza acentuada",IF($K80&lt;-2,"Magreza",IF($K80&lt;=1,"Eutrofia",IF($K80&lt;=2,"Sobrepeso",IF($K80&lt;=3,"Obesidade","Obesidade grave")))))))</f>
        <v/>
      </c>
      <c r="M80" s="12">
        <f>IF(OR($S80="",$V80="",$T80="",$T80&lt;0,$T80&gt;228,$AG80=""),"—",ROUND(IF($AG80=0,LN($V80/$AH80)/$AI80,((($V80/$AH80)^$AG80)-1)/($AG80*$AI80)),2))</f>
        <v/>
      </c>
      <c r="N80">
        <f>IF(OR($M80="",$M80="—"),"",IF($M80&lt;-3,"Muito baixa",IF($M80&lt;-2,"Baixa","Adequada")))</f>
        <v/>
      </c>
      <c r="O80" s="12">
        <f>IF(OR($S80="",$F80="",$T80="",$T80&lt;0,$T80&gt;120,$AJ80=""),"—",ROUND(IF(ABS($AM80)&lt;=3,$AM80,IF($AM80&gt;3,3+($F80-$AO80)/($AO80-$AN80),-3+($F80-$AQ80)/($AP80-$AQ80))),2))</f>
        <v/>
      </c>
      <c r="P80">
        <f>IF(OR($O80="",$O80="—"),"",IF($O80&lt;-3,"Muito baixo",IF($O80&lt;-2,"Baixo",IF($O80&lt;=2,"Adequado","Elevado"))))</f>
        <v/>
      </c>
      <c r="Q80" s="12">
        <f>IF(OR($S80="",$F80="",$T80="",$T80&lt;0,$T80&gt;60,$AR80=""),"—",ROUND(IF(ABS($AU80)&lt;=3,$AU80,IF($AU80&gt;3,3+($F80-$AW80)/($AW80-$AV80),-3+($F80-$AY80)/($AX80-$AY80))),2))</f>
        <v/>
      </c>
      <c r="R80">
        <f>IF(OR($Q80="",$Q80="—"),"",IF($Q80&lt;-3,"Magreza acentuada",IF($Q80&lt;-2,"Magreza",IF($Q80&lt;=1,"Eutrofia",IF($Q80&lt;=2,"Risco de sobrepeso",IF($Q80&lt;=3,"Sobrepeso","Obesidade"))))))</f>
        <v/>
      </c>
      <c r="S80">
        <f>IF($C80="","",IF(UPPER(LEFT($C80,1))="M",1,IF(UPPER(LEFT($C80,1))="F",2,"")))</f>
        <v/>
      </c>
      <c r="T80">
        <f>IF(OR($D80="",$E80=""),"",DATEDIF($D80,$E80,"m"))</f>
        <v/>
      </c>
      <c r="U80">
        <f>IF(OR($D80="",$E80=""),"",$E80-$D80)</f>
        <v/>
      </c>
      <c r="V80">
        <f>IF(OR($G80="",$T80=""),"",IF($T80&lt;24,IF(LEFT(LOWER($H80),4)="em p",$G80+0.7,$G80),IF(LEFT(LOWER($H80),4)="deit",$G80-0.7,$G80)))</f>
        <v/>
      </c>
      <c r="W80">
        <f>IF(OR($S80="",$T80=""),"",$S80*1000000+IF($T80&lt;=60,$U80,$T80))</f>
        <v/>
      </c>
      <c r="X80">
        <f>IF(OR($S80="",$V80="",$T80&gt;60,$T80=""),"",$S80*1000000+ROUND($V80*10,0))</f>
        <v/>
      </c>
      <c r="Y80">
        <f>IF($W80="","",IFERROR(INDEX(IF($T80&lt;=60,imc05_l,imc519_l),MATCH($W80,IF($T80&lt;=60,imc05_k,imc519_k),1)),""))</f>
        <v/>
      </c>
      <c r="Z80">
        <f>IF($W80="","",IFERROR(INDEX(IF($T80&lt;=60,imc05_m,imc519_m),MATCH($W80,IF($T80&lt;=60,imc05_k,imc519_k),1)),""))</f>
        <v/>
      </c>
      <c r="AA80">
        <f>IF($W80="","",IFERROR(INDEX(IF($T80&lt;=60,imc05_s,imc519_s),MATCH($W80,IF($T80&lt;=60,imc05_k,imc519_k),1)),""))</f>
        <v/>
      </c>
      <c r="AB80">
        <f>IF($Y80="","",IF($Y80=0,LN($J80/$Z80)/$AA80,((($J80/$Z80)^$Y80)-1)/($Y80*$AA80)))</f>
        <v/>
      </c>
      <c r="AC80">
        <f>IF($Y80="","",IF($Y80=0,$Z80*EXP($AA80*2),$Z80*(1+$Y80*$AA80*2)^(1/$Y80)))</f>
        <v/>
      </c>
      <c r="AD80">
        <f>IF($Y80="","",IF($Y80=0,$Z80*EXP($AA80*3),$Z80*(1+$Y80*$AA80*3)^(1/$Y80)))</f>
        <v/>
      </c>
      <c r="AE80">
        <f>IF($Y80="","",IF($Y80=0,$Z80*EXP($AA80*-2),$Z80*(1+$Y80*$AA80*-2)^(1/$Y80)))</f>
        <v/>
      </c>
      <c r="AF80">
        <f>IF($Y80="","",IF($Y80=0,$Z80*EXP($AA80*-3),$Z80*(1+$Y80*$AA80*-3)^(1/$Y80)))</f>
        <v/>
      </c>
      <c r="AG80">
        <f>IF($W80="","",IFERROR(INDEX(IF($T80&lt;=60,est05_l,est519_l),MATCH($W80,IF($T80&lt;=60,est05_k,est519_k),1)),""))</f>
        <v/>
      </c>
      <c r="AH80">
        <f>IF($W80="","",IFERROR(INDEX(IF($T80&lt;=60,est05_m,est519_m),MATCH($W80,IF($T80&lt;=60,est05_k,est519_k),1)),""))</f>
        <v/>
      </c>
      <c r="AI80">
        <f>IF($W80="","",IFERROR(INDEX(IF($T80&lt;=60,est05_s,est519_s),MATCH($W80,IF($T80&lt;=60,est05_k,est519_k),1)),""))</f>
        <v/>
      </c>
      <c r="AJ80">
        <f>IF($W80="","",IFERROR(INDEX(IF($T80&lt;=60,peso05_l,peso510_l),MATCH($W80,IF($T80&lt;=60,peso05_k,peso510_k),1)),""))</f>
        <v/>
      </c>
      <c r="AK80">
        <f>IF($W80="","",IFERROR(INDEX(IF($T80&lt;=60,peso05_m,peso510_m),MATCH($W80,IF($T80&lt;=60,peso05_k,peso510_k),1)),""))</f>
        <v/>
      </c>
      <c r="AL80">
        <f>IF($W80="","",IFERROR(INDEX(IF($T80&lt;=60,peso05_s,peso510_s),MATCH($W80,IF($T80&lt;=60,peso05_k,peso510_k),1)),""))</f>
        <v/>
      </c>
      <c r="AM80">
        <f>IF($AJ80="","",IF($AJ80=0,LN($F80/$AK80)/$AL80,((($F80/$AK80)^$AJ80)-1)/($AJ80*$AL80)))</f>
        <v/>
      </c>
      <c r="AN80">
        <f>IF($AJ80="","",IF($AJ80=0,$AK80*EXP($AL80*2),$AK80*(1+$AJ80*$AL80*2)^(1/$AJ80)))</f>
        <v/>
      </c>
      <c r="AO80">
        <f>IF($AJ80="","",IF($AJ80=0,$AK80*EXP($AL80*3),$AK80*(1+$AJ80*$AL80*3)^(1/$AJ80)))</f>
        <v/>
      </c>
      <c r="AP80">
        <f>IF($AJ80="","",IF($AJ80=0,$AK80*EXP($AL80*-2),$AK80*(1+$AJ80*$AL80*-2)^(1/$AJ80)))</f>
        <v/>
      </c>
      <c r="AQ80">
        <f>IF($AJ80="","",IF($AJ80=0,$AK80*EXP($AL80*-3),$AK80*(1+$AJ80*$AL80*-3)^(1/$AJ80)))</f>
        <v/>
      </c>
      <c r="AR80">
        <f>IF(OR($X80="",$T80&gt;60),"",IFERROR(INDEX(IF($T80&lt;24,pcomp_l,palt_l),MATCH($X80,IF($T80&lt;24,pcomp_k,palt_k),1)),""))</f>
        <v/>
      </c>
      <c r="AS80">
        <f>IF(OR($X80="",$T80&gt;60),"",IFERROR(INDEX(IF($T80&lt;24,pcomp_m,palt_m),MATCH($X80,IF($T80&lt;24,pcomp_k,palt_k),1)),""))</f>
        <v/>
      </c>
      <c r="AT80">
        <f>IF(OR($X80="",$T80&gt;60),"",IFERROR(INDEX(IF($T80&lt;24,pcomp_s,palt_s),MATCH($X80,IF($T80&lt;24,pcomp_k,palt_k),1)),""))</f>
        <v/>
      </c>
      <c r="AU80">
        <f>IF($AR80="","",IF($AR80=0,LN($F80/$AS80)/$AT80,((($F80/$AS80)^$AR80)-1)/($AR80*$AT80)))</f>
        <v/>
      </c>
      <c r="AV80">
        <f>IF($AR80="","",IF($AR80=0,$AS80*EXP($AT80*2),$AS80*(1+$AR80*$AT80*2)^(1/$AR80)))</f>
        <v/>
      </c>
      <c r="AW80">
        <f>IF($AR80="","",IF($AR80=0,$AS80*EXP($AT80*3),$AS80*(1+$AR80*$AT80*3)^(1/$AR80)))</f>
        <v/>
      </c>
      <c r="AX80">
        <f>IF($AR80="","",IF($AR80=0,$AS80*EXP($AT80*-2),$AS80*(1+$AR80*$AT80*-2)^(1/$AR80)))</f>
        <v/>
      </c>
      <c r="AY80">
        <f>IF($AR80="","",IF($AR80=0,$AS80*EXP($AT80*-3),$AS80*(1+$AR80*$AT80*-3)^(1/$AR80)))</f>
        <v/>
      </c>
      <c r="AZ80">
        <f>IF(OR($A80="",$A80&lt;&gt;Ficha!$C$4),"",COUNTIF($A$2:$A80,Ficha!$C$4))</f>
        <v/>
      </c>
    </row>
    <row r="81">
      <c r="A81" s="8">
        <f>IF(INDEX(Banco!$A:$A,ROW())="","",INDEX(Banco!$A:$A,ROW()))</f>
        <v/>
      </c>
      <c r="B81" s="8">
        <f>IF(INDEX(Banco!$B:$B,ROW())="","",INDEX(Banco!$B:$B,ROW()))</f>
        <v/>
      </c>
      <c r="C81" s="8">
        <f>IF(INDEX(Banco!$C:$C,ROW())="","",INDEX(Banco!$C:$C,ROW()))</f>
        <v/>
      </c>
      <c r="D81" s="9">
        <f>IF(INDEX(Banco!$D:$D,ROW())="","",INDEX(Banco!$D:$D,ROW()))</f>
        <v/>
      </c>
      <c r="E81" s="9">
        <f>IF(INDEX(Banco!$E:$E,ROW())="","",INDEX(Banco!$E:$E,ROW()))</f>
        <v/>
      </c>
      <c r="F81" s="10">
        <f>IF(INDEX(Banco!$F:$F,ROW())="","",INDEX(Banco!$F:$F,ROW()))</f>
        <v/>
      </c>
      <c r="G81" s="10">
        <f>IF(INDEX(Banco!$G:$G,ROW())="","",INDEX(Banco!$G:$G,ROW()))</f>
        <v/>
      </c>
      <c r="H81" s="8">
        <f>IF(INDEX(Banco!$H:$H,ROW())="","",INDEX(Banco!$H:$H,ROW()))</f>
        <v/>
      </c>
      <c r="I81">
        <f>IF($T81="","",INT($T81/12)&amp;"a "&amp;MOD($T81,12)&amp;"m")</f>
        <v/>
      </c>
      <c r="J81" s="11">
        <f>IF(OR($F81="",$G81=""),"",ROUND($F81/($G81/100)^2,2))</f>
        <v/>
      </c>
      <c r="K81" s="12">
        <f>IF(OR($S81="",$J81="",$T81="",$T81&lt;0,$T81&gt;228,$Y81=""),"—",ROUND(IF(ABS($AB81)&lt;=3,$AB81,IF($AB81&gt;3,3+($J81-$AD81)/($AD81-$AC81),-3+($J81-$AF81)/($AE81-$AF81))),2))</f>
        <v/>
      </c>
      <c r="L81">
        <f>IF(OR($K81="",$K81="—"),"",IF($T81&lt;=60,IF($K81&lt;-3,"Magreza acentuada",IF($K81&lt;-2,"Magreza",IF($K81&lt;=1,"Eutrofia",IF($K81&lt;=2,"Risco de sobrepeso",IF($K81&lt;=3,"Sobrepeso","Obesidade"))))),IF($K81&lt;-3,"Magreza acentuada",IF($K81&lt;-2,"Magreza",IF($K81&lt;=1,"Eutrofia",IF($K81&lt;=2,"Sobrepeso",IF($K81&lt;=3,"Obesidade","Obesidade grave")))))))</f>
        <v/>
      </c>
      <c r="M81" s="12">
        <f>IF(OR($S81="",$V81="",$T81="",$T81&lt;0,$T81&gt;228,$AG81=""),"—",ROUND(IF($AG81=0,LN($V81/$AH81)/$AI81,((($V81/$AH81)^$AG81)-1)/($AG81*$AI81)),2))</f>
        <v/>
      </c>
      <c r="N81">
        <f>IF(OR($M81="",$M81="—"),"",IF($M81&lt;-3,"Muito baixa",IF($M81&lt;-2,"Baixa","Adequada")))</f>
        <v/>
      </c>
      <c r="O81" s="12">
        <f>IF(OR($S81="",$F81="",$T81="",$T81&lt;0,$T81&gt;120,$AJ81=""),"—",ROUND(IF(ABS($AM81)&lt;=3,$AM81,IF($AM81&gt;3,3+($F81-$AO81)/($AO81-$AN81),-3+($F81-$AQ81)/($AP81-$AQ81))),2))</f>
        <v/>
      </c>
      <c r="P81">
        <f>IF(OR($O81="",$O81="—"),"",IF($O81&lt;-3,"Muito baixo",IF($O81&lt;-2,"Baixo",IF($O81&lt;=2,"Adequado","Elevado"))))</f>
        <v/>
      </c>
      <c r="Q81" s="12">
        <f>IF(OR($S81="",$F81="",$T81="",$T81&lt;0,$T81&gt;60,$AR81=""),"—",ROUND(IF(ABS($AU81)&lt;=3,$AU81,IF($AU81&gt;3,3+($F81-$AW81)/($AW81-$AV81),-3+($F81-$AY81)/($AX81-$AY81))),2))</f>
        <v/>
      </c>
      <c r="R81">
        <f>IF(OR($Q81="",$Q81="—"),"",IF($Q81&lt;-3,"Magreza acentuada",IF($Q81&lt;-2,"Magreza",IF($Q81&lt;=1,"Eutrofia",IF($Q81&lt;=2,"Risco de sobrepeso",IF($Q81&lt;=3,"Sobrepeso","Obesidade"))))))</f>
        <v/>
      </c>
      <c r="S81">
        <f>IF($C81="","",IF(UPPER(LEFT($C81,1))="M",1,IF(UPPER(LEFT($C81,1))="F",2,"")))</f>
        <v/>
      </c>
      <c r="T81">
        <f>IF(OR($D81="",$E81=""),"",DATEDIF($D81,$E81,"m"))</f>
        <v/>
      </c>
      <c r="U81">
        <f>IF(OR($D81="",$E81=""),"",$E81-$D81)</f>
        <v/>
      </c>
      <c r="V81">
        <f>IF(OR($G81="",$T81=""),"",IF($T81&lt;24,IF(LEFT(LOWER($H81),4)="em p",$G81+0.7,$G81),IF(LEFT(LOWER($H81),4)="deit",$G81-0.7,$G81)))</f>
        <v/>
      </c>
      <c r="W81">
        <f>IF(OR($S81="",$T81=""),"",$S81*1000000+IF($T81&lt;=60,$U81,$T81))</f>
        <v/>
      </c>
      <c r="X81">
        <f>IF(OR($S81="",$V81="",$T81&gt;60,$T81=""),"",$S81*1000000+ROUND($V81*10,0))</f>
        <v/>
      </c>
      <c r="Y81">
        <f>IF($W81="","",IFERROR(INDEX(IF($T81&lt;=60,imc05_l,imc519_l),MATCH($W81,IF($T81&lt;=60,imc05_k,imc519_k),1)),""))</f>
        <v/>
      </c>
      <c r="Z81">
        <f>IF($W81="","",IFERROR(INDEX(IF($T81&lt;=60,imc05_m,imc519_m),MATCH($W81,IF($T81&lt;=60,imc05_k,imc519_k),1)),""))</f>
        <v/>
      </c>
      <c r="AA81">
        <f>IF($W81="","",IFERROR(INDEX(IF($T81&lt;=60,imc05_s,imc519_s),MATCH($W81,IF($T81&lt;=60,imc05_k,imc519_k),1)),""))</f>
        <v/>
      </c>
      <c r="AB81">
        <f>IF($Y81="","",IF($Y81=0,LN($J81/$Z81)/$AA81,((($J81/$Z81)^$Y81)-1)/($Y81*$AA81)))</f>
        <v/>
      </c>
      <c r="AC81">
        <f>IF($Y81="","",IF($Y81=0,$Z81*EXP($AA81*2),$Z81*(1+$Y81*$AA81*2)^(1/$Y81)))</f>
        <v/>
      </c>
      <c r="AD81">
        <f>IF($Y81="","",IF($Y81=0,$Z81*EXP($AA81*3),$Z81*(1+$Y81*$AA81*3)^(1/$Y81)))</f>
        <v/>
      </c>
      <c r="AE81">
        <f>IF($Y81="","",IF($Y81=0,$Z81*EXP($AA81*-2),$Z81*(1+$Y81*$AA81*-2)^(1/$Y81)))</f>
        <v/>
      </c>
      <c r="AF81">
        <f>IF($Y81="","",IF($Y81=0,$Z81*EXP($AA81*-3),$Z81*(1+$Y81*$AA81*-3)^(1/$Y81)))</f>
        <v/>
      </c>
      <c r="AG81">
        <f>IF($W81="","",IFERROR(INDEX(IF($T81&lt;=60,est05_l,est519_l),MATCH($W81,IF($T81&lt;=60,est05_k,est519_k),1)),""))</f>
        <v/>
      </c>
      <c r="AH81">
        <f>IF($W81="","",IFERROR(INDEX(IF($T81&lt;=60,est05_m,est519_m),MATCH($W81,IF($T81&lt;=60,est05_k,est519_k),1)),""))</f>
        <v/>
      </c>
      <c r="AI81">
        <f>IF($W81="","",IFERROR(INDEX(IF($T81&lt;=60,est05_s,est519_s),MATCH($W81,IF($T81&lt;=60,est05_k,est519_k),1)),""))</f>
        <v/>
      </c>
      <c r="AJ81">
        <f>IF($W81="","",IFERROR(INDEX(IF($T81&lt;=60,peso05_l,peso510_l),MATCH($W81,IF($T81&lt;=60,peso05_k,peso510_k),1)),""))</f>
        <v/>
      </c>
      <c r="AK81">
        <f>IF($W81="","",IFERROR(INDEX(IF($T81&lt;=60,peso05_m,peso510_m),MATCH($W81,IF($T81&lt;=60,peso05_k,peso510_k),1)),""))</f>
        <v/>
      </c>
      <c r="AL81">
        <f>IF($W81="","",IFERROR(INDEX(IF($T81&lt;=60,peso05_s,peso510_s),MATCH($W81,IF($T81&lt;=60,peso05_k,peso510_k),1)),""))</f>
        <v/>
      </c>
      <c r="AM81">
        <f>IF($AJ81="","",IF($AJ81=0,LN($F81/$AK81)/$AL81,((($F81/$AK81)^$AJ81)-1)/($AJ81*$AL81)))</f>
        <v/>
      </c>
      <c r="AN81">
        <f>IF($AJ81="","",IF($AJ81=0,$AK81*EXP($AL81*2),$AK81*(1+$AJ81*$AL81*2)^(1/$AJ81)))</f>
        <v/>
      </c>
      <c r="AO81">
        <f>IF($AJ81="","",IF($AJ81=0,$AK81*EXP($AL81*3),$AK81*(1+$AJ81*$AL81*3)^(1/$AJ81)))</f>
        <v/>
      </c>
      <c r="AP81">
        <f>IF($AJ81="","",IF($AJ81=0,$AK81*EXP($AL81*-2),$AK81*(1+$AJ81*$AL81*-2)^(1/$AJ81)))</f>
        <v/>
      </c>
      <c r="AQ81">
        <f>IF($AJ81="","",IF($AJ81=0,$AK81*EXP($AL81*-3),$AK81*(1+$AJ81*$AL81*-3)^(1/$AJ81)))</f>
        <v/>
      </c>
      <c r="AR81">
        <f>IF(OR($X81="",$T81&gt;60),"",IFERROR(INDEX(IF($T81&lt;24,pcomp_l,palt_l),MATCH($X81,IF($T81&lt;24,pcomp_k,palt_k),1)),""))</f>
        <v/>
      </c>
      <c r="AS81">
        <f>IF(OR($X81="",$T81&gt;60),"",IFERROR(INDEX(IF($T81&lt;24,pcomp_m,palt_m),MATCH($X81,IF($T81&lt;24,pcomp_k,palt_k),1)),""))</f>
        <v/>
      </c>
      <c r="AT81">
        <f>IF(OR($X81="",$T81&gt;60),"",IFERROR(INDEX(IF($T81&lt;24,pcomp_s,palt_s),MATCH($X81,IF($T81&lt;24,pcomp_k,palt_k),1)),""))</f>
        <v/>
      </c>
      <c r="AU81">
        <f>IF($AR81="","",IF($AR81=0,LN($F81/$AS81)/$AT81,((($F81/$AS81)^$AR81)-1)/($AR81*$AT81)))</f>
        <v/>
      </c>
      <c r="AV81">
        <f>IF($AR81="","",IF($AR81=0,$AS81*EXP($AT81*2),$AS81*(1+$AR81*$AT81*2)^(1/$AR81)))</f>
        <v/>
      </c>
      <c r="AW81">
        <f>IF($AR81="","",IF($AR81=0,$AS81*EXP($AT81*3),$AS81*(1+$AR81*$AT81*3)^(1/$AR81)))</f>
        <v/>
      </c>
      <c r="AX81">
        <f>IF($AR81="","",IF($AR81=0,$AS81*EXP($AT81*-2),$AS81*(1+$AR81*$AT81*-2)^(1/$AR81)))</f>
        <v/>
      </c>
      <c r="AY81">
        <f>IF($AR81="","",IF($AR81=0,$AS81*EXP($AT81*-3),$AS81*(1+$AR81*$AT81*-3)^(1/$AR81)))</f>
        <v/>
      </c>
      <c r="AZ81">
        <f>IF(OR($A81="",$A81&lt;&gt;Ficha!$C$4),"",COUNTIF($A$2:$A81,Ficha!$C$4))</f>
        <v/>
      </c>
    </row>
    <row r="82">
      <c r="A82" s="8">
        <f>IF(INDEX(Banco!$A:$A,ROW())="","",INDEX(Banco!$A:$A,ROW()))</f>
        <v/>
      </c>
      <c r="B82" s="8">
        <f>IF(INDEX(Banco!$B:$B,ROW())="","",INDEX(Banco!$B:$B,ROW()))</f>
        <v/>
      </c>
      <c r="C82" s="8">
        <f>IF(INDEX(Banco!$C:$C,ROW())="","",INDEX(Banco!$C:$C,ROW()))</f>
        <v/>
      </c>
      <c r="D82" s="9">
        <f>IF(INDEX(Banco!$D:$D,ROW())="","",INDEX(Banco!$D:$D,ROW()))</f>
        <v/>
      </c>
      <c r="E82" s="9">
        <f>IF(INDEX(Banco!$E:$E,ROW())="","",INDEX(Banco!$E:$E,ROW()))</f>
        <v/>
      </c>
      <c r="F82" s="10">
        <f>IF(INDEX(Banco!$F:$F,ROW())="","",INDEX(Banco!$F:$F,ROW()))</f>
        <v/>
      </c>
      <c r="G82" s="10">
        <f>IF(INDEX(Banco!$G:$G,ROW())="","",INDEX(Banco!$G:$G,ROW()))</f>
        <v/>
      </c>
      <c r="H82" s="8">
        <f>IF(INDEX(Banco!$H:$H,ROW())="","",INDEX(Banco!$H:$H,ROW()))</f>
        <v/>
      </c>
      <c r="I82">
        <f>IF($T82="","",INT($T82/12)&amp;"a "&amp;MOD($T82,12)&amp;"m")</f>
        <v/>
      </c>
      <c r="J82" s="11">
        <f>IF(OR($F82="",$G82=""),"",ROUND($F82/($G82/100)^2,2))</f>
        <v/>
      </c>
      <c r="K82" s="12">
        <f>IF(OR($S82="",$J82="",$T82="",$T82&lt;0,$T82&gt;228,$Y82=""),"—",ROUND(IF(ABS($AB82)&lt;=3,$AB82,IF($AB82&gt;3,3+($J82-$AD82)/($AD82-$AC82),-3+($J82-$AF82)/($AE82-$AF82))),2))</f>
        <v/>
      </c>
      <c r="L82">
        <f>IF(OR($K82="",$K82="—"),"",IF($T82&lt;=60,IF($K82&lt;-3,"Magreza acentuada",IF($K82&lt;-2,"Magreza",IF($K82&lt;=1,"Eutrofia",IF($K82&lt;=2,"Risco de sobrepeso",IF($K82&lt;=3,"Sobrepeso","Obesidade"))))),IF($K82&lt;-3,"Magreza acentuada",IF($K82&lt;-2,"Magreza",IF($K82&lt;=1,"Eutrofia",IF($K82&lt;=2,"Sobrepeso",IF($K82&lt;=3,"Obesidade","Obesidade grave")))))))</f>
        <v/>
      </c>
      <c r="M82" s="12">
        <f>IF(OR($S82="",$V82="",$T82="",$T82&lt;0,$T82&gt;228,$AG82=""),"—",ROUND(IF($AG82=0,LN($V82/$AH82)/$AI82,((($V82/$AH82)^$AG82)-1)/($AG82*$AI82)),2))</f>
        <v/>
      </c>
      <c r="N82">
        <f>IF(OR($M82="",$M82="—"),"",IF($M82&lt;-3,"Muito baixa",IF($M82&lt;-2,"Baixa","Adequada")))</f>
        <v/>
      </c>
      <c r="O82" s="12">
        <f>IF(OR($S82="",$F82="",$T82="",$T82&lt;0,$T82&gt;120,$AJ82=""),"—",ROUND(IF(ABS($AM82)&lt;=3,$AM82,IF($AM82&gt;3,3+($F82-$AO82)/($AO82-$AN82),-3+($F82-$AQ82)/($AP82-$AQ82))),2))</f>
        <v/>
      </c>
      <c r="P82">
        <f>IF(OR($O82="",$O82="—"),"",IF($O82&lt;-3,"Muito baixo",IF($O82&lt;-2,"Baixo",IF($O82&lt;=2,"Adequado","Elevado"))))</f>
        <v/>
      </c>
      <c r="Q82" s="12">
        <f>IF(OR($S82="",$F82="",$T82="",$T82&lt;0,$T82&gt;60,$AR82=""),"—",ROUND(IF(ABS($AU82)&lt;=3,$AU82,IF($AU82&gt;3,3+($F82-$AW82)/($AW82-$AV82),-3+($F82-$AY82)/($AX82-$AY82))),2))</f>
        <v/>
      </c>
      <c r="R82">
        <f>IF(OR($Q82="",$Q82="—"),"",IF($Q82&lt;-3,"Magreza acentuada",IF($Q82&lt;-2,"Magreza",IF($Q82&lt;=1,"Eutrofia",IF($Q82&lt;=2,"Risco de sobrepeso",IF($Q82&lt;=3,"Sobrepeso","Obesidade"))))))</f>
        <v/>
      </c>
      <c r="S82">
        <f>IF($C82="","",IF(UPPER(LEFT($C82,1))="M",1,IF(UPPER(LEFT($C82,1))="F",2,"")))</f>
        <v/>
      </c>
      <c r="T82">
        <f>IF(OR($D82="",$E82=""),"",DATEDIF($D82,$E82,"m"))</f>
        <v/>
      </c>
      <c r="U82">
        <f>IF(OR($D82="",$E82=""),"",$E82-$D82)</f>
        <v/>
      </c>
      <c r="V82">
        <f>IF(OR($G82="",$T82=""),"",IF($T82&lt;24,IF(LEFT(LOWER($H82),4)="em p",$G82+0.7,$G82),IF(LEFT(LOWER($H82),4)="deit",$G82-0.7,$G82)))</f>
        <v/>
      </c>
      <c r="W82">
        <f>IF(OR($S82="",$T82=""),"",$S82*1000000+IF($T82&lt;=60,$U82,$T82))</f>
        <v/>
      </c>
      <c r="X82">
        <f>IF(OR($S82="",$V82="",$T82&gt;60,$T82=""),"",$S82*1000000+ROUND($V82*10,0))</f>
        <v/>
      </c>
      <c r="Y82">
        <f>IF($W82="","",IFERROR(INDEX(IF($T82&lt;=60,imc05_l,imc519_l),MATCH($W82,IF($T82&lt;=60,imc05_k,imc519_k),1)),""))</f>
        <v/>
      </c>
      <c r="Z82">
        <f>IF($W82="","",IFERROR(INDEX(IF($T82&lt;=60,imc05_m,imc519_m),MATCH($W82,IF($T82&lt;=60,imc05_k,imc519_k),1)),""))</f>
        <v/>
      </c>
      <c r="AA82">
        <f>IF($W82="","",IFERROR(INDEX(IF($T82&lt;=60,imc05_s,imc519_s),MATCH($W82,IF($T82&lt;=60,imc05_k,imc519_k),1)),""))</f>
        <v/>
      </c>
      <c r="AB82">
        <f>IF($Y82="","",IF($Y82=0,LN($J82/$Z82)/$AA82,((($J82/$Z82)^$Y82)-1)/($Y82*$AA82)))</f>
        <v/>
      </c>
      <c r="AC82">
        <f>IF($Y82="","",IF($Y82=0,$Z82*EXP($AA82*2),$Z82*(1+$Y82*$AA82*2)^(1/$Y82)))</f>
        <v/>
      </c>
      <c r="AD82">
        <f>IF($Y82="","",IF($Y82=0,$Z82*EXP($AA82*3),$Z82*(1+$Y82*$AA82*3)^(1/$Y82)))</f>
        <v/>
      </c>
      <c r="AE82">
        <f>IF($Y82="","",IF($Y82=0,$Z82*EXP($AA82*-2),$Z82*(1+$Y82*$AA82*-2)^(1/$Y82)))</f>
        <v/>
      </c>
      <c r="AF82">
        <f>IF($Y82="","",IF($Y82=0,$Z82*EXP($AA82*-3),$Z82*(1+$Y82*$AA82*-3)^(1/$Y82)))</f>
        <v/>
      </c>
      <c r="AG82">
        <f>IF($W82="","",IFERROR(INDEX(IF($T82&lt;=60,est05_l,est519_l),MATCH($W82,IF($T82&lt;=60,est05_k,est519_k),1)),""))</f>
        <v/>
      </c>
      <c r="AH82">
        <f>IF($W82="","",IFERROR(INDEX(IF($T82&lt;=60,est05_m,est519_m),MATCH($W82,IF($T82&lt;=60,est05_k,est519_k),1)),""))</f>
        <v/>
      </c>
      <c r="AI82">
        <f>IF($W82="","",IFERROR(INDEX(IF($T82&lt;=60,est05_s,est519_s),MATCH($W82,IF($T82&lt;=60,est05_k,est519_k),1)),""))</f>
        <v/>
      </c>
      <c r="AJ82">
        <f>IF($W82="","",IFERROR(INDEX(IF($T82&lt;=60,peso05_l,peso510_l),MATCH($W82,IF($T82&lt;=60,peso05_k,peso510_k),1)),""))</f>
        <v/>
      </c>
      <c r="AK82">
        <f>IF($W82="","",IFERROR(INDEX(IF($T82&lt;=60,peso05_m,peso510_m),MATCH($W82,IF($T82&lt;=60,peso05_k,peso510_k),1)),""))</f>
        <v/>
      </c>
      <c r="AL82">
        <f>IF($W82="","",IFERROR(INDEX(IF($T82&lt;=60,peso05_s,peso510_s),MATCH($W82,IF($T82&lt;=60,peso05_k,peso510_k),1)),""))</f>
        <v/>
      </c>
      <c r="AM82">
        <f>IF($AJ82="","",IF($AJ82=0,LN($F82/$AK82)/$AL82,((($F82/$AK82)^$AJ82)-1)/($AJ82*$AL82)))</f>
        <v/>
      </c>
      <c r="AN82">
        <f>IF($AJ82="","",IF($AJ82=0,$AK82*EXP($AL82*2),$AK82*(1+$AJ82*$AL82*2)^(1/$AJ82)))</f>
        <v/>
      </c>
      <c r="AO82">
        <f>IF($AJ82="","",IF($AJ82=0,$AK82*EXP($AL82*3),$AK82*(1+$AJ82*$AL82*3)^(1/$AJ82)))</f>
        <v/>
      </c>
      <c r="AP82">
        <f>IF($AJ82="","",IF($AJ82=0,$AK82*EXP($AL82*-2),$AK82*(1+$AJ82*$AL82*-2)^(1/$AJ82)))</f>
        <v/>
      </c>
      <c r="AQ82">
        <f>IF($AJ82="","",IF($AJ82=0,$AK82*EXP($AL82*-3),$AK82*(1+$AJ82*$AL82*-3)^(1/$AJ82)))</f>
        <v/>
      </c>
      <c r="AR82">
        <f>IF(OR($X82="",$T82&gt;60),"",IFERROR(INDEX(IF($T82&lt;24,pcomp_l,palt_l),MATCH($X82,IF($T82&lt;24,pcomp_k,palt_k),1)),""))</f>
        <v/>
      </c>
      <c r="AS82">
        <f>IF(OR($X82="",$T82&gt;60),"",IFERROR(INDEX(IF($T82&lt;24,pcomp_m,palt_m),MATCH($X82,IF($T82&lt;24,pcomp_k,palt_k),1)),""))</f>
        <v/>
      </c>
      <c r="AT82">
        <f>IF(OR($X82="",$T82&gt;60),"",IFERROR(INDEX(IF($T82&lt;24,pcomp_s,palt_s),MATCH($X82,IF($T82&lt;24,pcomp_k,palt_k),1)),""))</f>
        <v/>
      </c>
      <c r="AU82">
        <f>IF($AR82="","",IF($AR82=0,LN($F82/$AS82)/$AT82,((($F82/$AS82)^$AR82)-1)/($AR82*$AT82)))</f>
        <v/>
      </c>
      <c r="AV82">
        <f>IF($AR82="","",IF($AR82=0,$AS82*EXP($AT82*2),$AS82*(1+$AR82*$AT82*2)^(1/$AR82)))</f>
        <v/>
      </c>
      <c r="AW82">
        <f>IF($AR82="","",IF($AR82=0,$AS82*EXP($AT82*3),$AS82*(1+$AR82*$AT82*3)^(1/$AR82)))</f>
        <v/>
      </c>
      <c r="AX82">
        <f>IF($AR82="","",IF($AR82=0,$AS82*EXP($AT82*-2),$AS82*(1+$AR82*$AT82*-2)^(1/$AR82)))</f>
        <v/>
      </c>
      <c r="AY82">
        <f>IF($AR82="","",IF($AR82=0,$AS82*EXP($AT82*-3),$AS82*(1+$AR82*$AT82*-3)^(1/$AR82)))</f>
        <v/>
      </c>
      <c r="AZ82">
        <f>IF(OR($A82="",$A82&lt;&gt;Ficha!$C$4),"",COUNTIF($A$2:$A82,Ficha!$C$4))</f>
        <v/>
      </c>
    </row>
    <row r="83">
      <c r="A83" s="8">
        <f>IF(INDEX(Banco!$A:$A,ROW())="","",INDEX(Banco!$A:$A,ROW()))</f>
        <v/>
      </c>
      <c r="B83" s="8">
        <f>IF(INDEX(Banco!$B:$B,ROW())="","",INDEX(Banco!$B:$B,ROW()))</f>
        <v/>
      </c>
      <c r="C83" s="8">
        <f>IF(INDEX(Banco!$C:$C,ROW())="","",INDEX(Banco!$C:$C,ROW()))</f>
        <v/>
      </c>
      <c r="D83" s="9">
        <f>IF(INDEX(Banco!$D:$D,ROW())="","",INDEX(Banco!$D:$D,ROW()))</f>
        <v/>
      </c>
      <c r="E83" s="9">
        <f>IF(INDEX(Banco!$E:$E,ROW())="","",INDEX(Banco!$E:$E,ROW()))</f>
        <v/>
      </c>
      <c r="F83" s="10">
        <f>IF(INDEX(Banco!$F:$F,ROW())="","",INDEX(Banco!$F:$F,ROW()))</f>
        <v/>
      </c>
      <c r="G83" s="10">
        <f>IF(INDEX(Banco!$G:$G,ROW())="","",INDEX(Banco!$G:$G,ROW()))</f>
        <v/>
      </c>
      <c r="H83" s="8">
        <f>IF(INDEX(Banco!$H:$H,ROW())="","",INDEX(Banco!$H:$H,ROW()))</f>
        <v/>
      </c>
      <c r="I83">
        <f>IF($T83="","",INT($T83/12)&amp;"a "&amp;MOD($T83,12)&amp;"m")</f>
        <v/>
      </c>
      <c r="J83" s="11">
        <f>IF(OR($F83="",$G83=""),"",ROUND($F83/($G83/100)^2,2))</f>
        <v/>
      </c>
      <c r="K83" s="12">
        <f>IF(OR($S83="",$J83="",$T83="",$T83&lt;0,$T83&gt;228,$Y83=""),"—",ROUND(IF(ABS($AB83)&lt;=3,$AB83,IF($AB83&gt;3,3+($J83-$AD83)/($AD83-$AC83),-3+($J83-$AF83)/($AE83-$AF83))),2))</f>
        <v/>
      </c>
      <c r="L83">
        <f>IF(OR($K83="",$K83="—"),"",IF($T83&lt;=60,IF($K83&lt;-3,"Magreza acentuada",IF($K83&lt;-2,"Magreza",IF($K83&lt;=1,"Eutrofia",IF($K83&lt;=2,"Risco de sobrepeso",IF($K83&lt;=3,"Sobrepeso","Obesidade"))))),IF($K83&lt;-3,"Magreza acentuada",IF($K83&lt;-2,"Magreza",IF($K83&lt;=1,"Eutrofia",IF($K83&lt;=2,"Sobrepeso",IF($K83&lt;=3,"Obesidade","Obesidade grave")))))))</f>
        <v/>
      </c>
      <c r="M83" s="12">
        <f>IF(OR($S83="",$V83="",$T83="",$T83&lt;0,$T83&gt;228,$AG83=""),"—",ROUND(IF($AG83=0,LN($V83/$AH83)/$AI83,((($V83/$AH83)^$AG83)-1)/($AG83*$AI83)),2))</f>
        <v/>
      </c>
      <c r="N83">
        <f>IF(OR($M83="",$M83="—"),"",IF($M83&lt;-3,"Muito baixa",IF($M83&lt;-2,"Baixa","Adequada")))</f>
        <v/>
      </c>
      <c r="O83" s="12">
        <f>IF(OR($S83="",$F83="",$T83="",$T83&lt;0,$T83&gt;120,$AJ83=""),"—",ROUND(IF(ABS($AM83)&lt;=3,$AM83,IF($AM83&gt;3,3+($F83-$AO83)/($AO83-$AN83),-3+($F83-$AQ83)/($AP83-$AQ83))),2))</f>
        <v/>
      </c>
      <c r="P83">
        <f>IF(OR($O83="",$O83="—"),"",IF($O83&lt;-3,"Muito baixo",IF($O83&lt;-2,"Baixo",IF($O83&lt;=2,"Adequado","Elevado"))))</f>
        <v/>
      </c>
      <c r="Q83" s="12">
        <f>IF(OR($S83="",$F83="",$T83="",$T83&lt;0,$T83&gt;60,$AR83=""),"—",ROUND(IF(ABS($AU83)&lt;=3,$AU83,IF($AU83&gt;3,3+($F83-$AW83)/($AW83-$AV83),-3+($F83-$AY83)/($AX83-$AY83))),2))</f>
        <v/>
      </c>
      <c r="R83">
        <f>IF(OR($Q83="",$Q83="—"),"",IF($Q83&lt;-3,"Magreza acentuada",IF($Q83&lt;-2,"Magreza",IF($Q83&lt;=1,"Eutrofia",IF($Q83&lt;=2,"Risco de sobrepeso",IF($Q83&lt;=3,"Sobrepeso","Obesidade"))))))</f>
        <v/>
      </c>
      <c r="S83">
        <f>IF($C83="","",IF(UPPER(LEFT($C83,1))="M",1,IF(UPPER(LEFT($C83,1))="F",2,"")))</f>
        <v/>
      </c>
      <c r="T83">
        <f>IF(OR($D83="",$E83=""),"",DATEDIF($D83,$E83,"m"))</f>
        <v/>
      </c>
      <c r="U83">
        <f>IF(OR($D83="",$E83=""),"",$E83-$D83)</f>
        <v/>
      </c>
      <c r="V83">
        <f>IF(OR($G83="",$T83=""),"",IF($T83&lt;24,IF(LEFT(LOWER($H83),4)="em p",$G83+0.7,$G83),IF(LEFT(LOWER($H83),4)="deit",$G83-0.7,$G83)))</f>
        <v/>
      </c>
      <c r="W83">
        <f>IF(OR($S83="",$T83=""),"",$S83*1000000+IF($T83&lt;=60,$U83,$T83))</f>
        <v/>
      </c>
      <c r="X83">
        <f>IF(OR($S83="",$V83="",$T83&gt;60,$T83=""),"",$S83*1000000+ROUND($V83*10,0))</f>
        <v/>
      </c>
      <c r="Y83">
        <f>IF($W83="","",IFERROR(INDEX(IF($T83&lt;=60,imc05_l,imc519_l),MATCH($W83,IF($T83&lt;=60,imc05_k,imc519_k),1)),""))</f>
        <v/>
      </c>
      <c r="Z83">
        <f>IF($W83="","",IFERROR(INDEX(IF($T83&lt;=60,imc05_m,imc519_m),MATCH($W83,IF($T83&lt;=60,imc05_k,imc519_k),1)),""))</f>
        <v/>
      </c>
      <c r="AA83">
        <f>IF($W83="","",IFERROR(INDEX(IF($T83&lt;=60,imc05_s,imc519_s),MATCH($W83,IF($T83&lt;=60,imc05_k,imc519_k),1)),""))</f>
        <v/>
      </c>
      <c r="AB83">
        <f>IF($Y83="","",IF($Y83=0,LN($J83/$Z83)/$AA83,((($J83/$Z83)^$Y83)-1)/($Y83*$AA83)))</f>
        <v/>
      </c>
      <c r="AC83">
        <f>IF($Y83="","",IF($Y83=0,$Z83*EXP($AA83*2),$Z83*(1+$Y83*$AA83*2)^(1/$Y83)))</f>
        <v/>
      </c>
      <c r="AD83">
        <f>IF($Y83="","",IF($Y83=0,$Z83*EXP($AA83*3),$Z83*(1+$Y83*$AA83*3)^(1/$Y83)))</f>
        <v/>
      </c>
      <c r="AE83">
        <f>IF($Y83="","",IF($Y83=0,$Z83*EXP($AA83*-2),$Z83*(1+$Y83*$AA83*-2)^(1/$Y83)))</f>
        <v/>
      </c>
      <c r="AF83">
        <f>IF($Y83="","",IF($Y83=0,$Z83*EXP($AA83*-3),$Z83*(1+$Y83*$AA83*-3)^(1/$Y83)))</f>
        <v/>
      </c>
      <c r="AG83">
        <f>IF($W83="","",IFERROR(INDEX(IF($T83&lt;=60,est05_l,est519_l),MATCH($W83,IF($T83&lt;=60,est05_k,est519_k),1)),""))</f>
        <v/>
      </c>
      <c r="AH83">
        <f>IF($W83="","",IFERROR(INDEX(IF($T83&lt;=60,est05_m,est519_m),MATCH($W83,IF($T83&lt;=60,est05_k,est519_k),1)),""))</f>
        <v/>
      </c>
      <c r="AI83">
        <f>IF($W83="","",IFERROR(INDEX(IF($T83&lt;=60,est05_s,est519_s),MATCH($W83,IF($T83&lt;=60,est05_k,est519_k),1)),""))</f>
        <v/>
      </c>
      <c r="AJ83">
        <f>IF($W83="","",IFERROR(INDEX(IF($T83&lt;=60,peso05_l,peso510_l),MATCH($W83,IF($T83&lt;=60,peso05_k,peso510_k),1)),""))</f>
        <v/>
      </c>
      <c r="AK83">
        <f>IF($W83="","",IFERROR(INDEX(IF($T83&lt;=60,peso05_m,peso510_m),MATCH($W83,IF($T83&lt;=60,peso05_k,peso510_k),1)),""))</f>
        <v/>
      </c>
      <c r="AL83">
        <f>IF($W83="","",IFERROR(INDEX(IF($T83&lt;=60,peso05_s,peso510_s),MATCH($W83,IF($T83&lt;=60,peso05_k,peso510_k),1)),""))</f>
        <v/>
      </c>
      <c r="AM83">
        <f>IF($AJ83="","",IF($AJ83=0,LN($F83/$AK83)/$AL83,((($F83/$AK83)^$AJ83)-1)/($AJ83*$AL83)))</f>
        <v/>
      </c>
      <c r="AN83">
        <f>IF($AJ83="","",IF($AJ83=0,$AK83*EXP($AL83*2),$AK83*(1+$AJ83*$AL83*2)^(1/$AJ83)))</f>
        <v/>
      </c>
      <c r="AO83">
        <f>IF($AJ83="","",IF($AJ83=0,$AK83*EXP($AL83*3),$AK83*(1+$AJ83*$AL83*3)^(1/$AJ83)))</f>
        <v/>
      </c>
      <c r="AP83">
        <f>IF($AJ83="","",IF($AJ83=0,$AK83*EXP($AL83*-2),$AK83*(1+$AJ83*$AL83*-2)^(1/$AJ83)))</f>
        <v/>
      </c>
      <c r="AQ83">
        <f>IF($AJ83="","",IF($AJ83=0,$AK83*EXP($AL83*-3),$AK83*(1+$AJ83*$AL83*-3)^(1/$AJ83)))</f>
        <v/>
      </c>
      <c r="AR83">
        <f>IF(OR($X83="",$T83&gt;60),"",IFERROR(INDEX(IF($T83&lt;24,pcomp_l,palt_l),MATCH($X83,IF($T83&lt;24,pcomp_k,palt_k),1)),""))</f>
        <v/>
      </c>
      <c r="AS83">
        <f>IF(OR($X83="",$T83&gt;60),"",IFERROR(INDEX(IF($T83&lt;24,pcomp_m,palt_m),MATCH($X83,IF($T83&lt;24,pcomp_k,palt_k),1)),""))</f>
        <v/>
      </c>
      <c r="AT83">
        <f>IF(OR($X83="",$T83&gt;60),"",IFERROR(INDEX(IF($T83&lt;24,pcomp_s,palt_s),MATCH($X83,IF($T83&lt;24,pcomp_k,palt_k),1)),""))</f>
        <v/>
      </c>
      <c r="AU83">
        <f>IF($AR83="","",IF($AR83=0,LN($F83/$AS83)/$AT83,((($F83/$AS83)^$AR83)-1)/($AR83*$AT83)))</f>
        <v/>
      </c>
      <c r="AV83">
        <f>IF($AR83="","",IF($AR83=0,$AS83*EXP($AT83*2),$AS83*(1+$AR83*$AT83*2)^(1/$AR83)))</f>
        <v/>
      </c>
      <c r="AW83">
        <f>IF($AR83="","",IF($AR83=0,$AS83*EXP($AT83*3),$AS83*(1+$AR83*$AT83*3)^(1/$AR83)))</f>
        <v/>
      </c>
      <c r="AX83">
        <f>IF($AR83="","",IF($AR83=0,$AS83*EXP($AT83*-2),$AS83*(1+$AR83*$AT83*-2)^(1/$AR83)))</f>
        <v/>
      </c>
      <c r="AY83">
        <f>IF($AR83="","",IF($AR83=0,$AS83*EXP($AT83*-3),$AS83*(1+$AR83*$AT83*-3)^(1/$AR83)))</f>
        <v/>
      </c>
      <c r="AZ83">
        <f>IF(OR($A83="",$A83&lt;&gt;Ficha!$C$4),"",COUNTIF($A$2:$A83,Ficha!$C$4))</f>
        <v/>
      </c>
    </row>
    <row r="84">
      <c r="A84" s="8">
        <f>IF(INDEX(Banco!$A:$A,ROW())="","",INDEX(Banco!$A:$A,ROW()))</f>
        <v/>
      </c>
      <c r="B84" s="8">
        <f>IF(INDEX(Banco!$B:$B,ROW())="","",INDEX(Banco!$B:$B,ROW()))</f>
        <v/>
      </c>
      <c r="C84" s="8">
        <f>IF(INDEX(Banco!$C:$C,ROW())="","",INDEX(Banco!$C:$C,ROW()))</f>
        <v/>
      </c>
      <c r="D84" s="9">
        <f>IF(INDEX(Banco!$D:$D,ROW())="","",INDEX(Banco!$D:$D,ROW()))</f>
        <v/>
      </c>
      <c r="E84" s="9">
        <f>IF(INDEX(Banco!$E:$E,ROW())="","",INDEX(Banco!$E:$E,ROW()))</f>
        <v/>
      </c>
      <c r="F84" s="10">
        <f>IF(INDEX(Banco!$F:$F,ROW())="","",INDEX(Banco!$F:$F,ROW()))</f>
        <v/>
      </c>
      <c r="G84" s="10">
        <f>IF(INDEX(Banco!$G:$G,ROW())="","",INDEX(Banco!$G:$G,ROW()))</f>
        <v/>
      </c>
      <c r="H84" s="8">
        <f>IF(INDEX(Banco!$H:$H,ROW())="","",INDEX(Banco!$H:$H,ROW()))</f>
        <v/>
      </c>
      <c r="I84">
        <f>IF($T84="","",INT($T84/12)&amp;"a "&amp;MOD($T84,12)&amp;"m")</f>
        <v/>
      </c>
      <c r="J84" s="11">
        <f>IF(OR($F84="",$G84=""),"",ROUND($F84/($G84/100)^2,2))</f>
        <v/>
      </c>
      <c r="K84" s="12">
        <f>IF(OR($S84="",$J84="",$T84="",$T84&lt;0,$T84&gt;228,$Y84=""),"—",ROUND(IF(ABS($AB84)&lt;=3,$AB84,IF($AB84&gt;3,3+($J84-$AD84)/($AD84-$AC84),-3+($J84-$AF84)/($AE84-$AF84))),2))</f>
        <v/>
      </c>
      <c r="L84">
        <f>IF(OR($K84="",$K84="—"),"",IF($T84&lt;=60,IF($K84&lt;-3,"Magreza acentuada",IF($K84&lt;-2,"Magreza",IF($K84&lt;=1,"Eutrofia",IF($K84&lt;=2,"Risco de sobrepeso",IF($K84&lt;=3,"Sobrepeso","Obesidade"))))),IF($K84&lt;-3,"Magreza acentuada",IF($K84&lt;-2,"Magreza",IF($K84&lt;=1,"Eutrofia",IF($K84&lt;=2,"Sobrepeso",IF($K84&lt;=3,"Obesidade","Obesidade grave")))))))</f>
        <v/>
      </c>
      <c r="M84" s="12">
        <f>IF(OR($S84="",$V84="",$T84="",$T84&lt;0,$T84&gt;228,$AG84=""),"—",ROUND(IF($AG84=0,LN($V84/$AH84)/$AI84,((($V84/$AH84)^$AG84)-1)/($AG84*$AI84)),2))</f>
        <v/>
      </c>
      <c r="N84">
        <f>IF(OR($M84="",$M84="—"),"",IF($M84&lt;-3,"Muito baixa",IF($M84&lt;-2,"Baixa","Adequada")))</f>
        <v/>
      </c>
      <c r="O84" s="12">
        <f>IF(OR($S84="",$F84="",$T84="",$T84&lt;0,$T84&gt;120,$AJ84=""),"—",ROUND(IF(ABS($AM84)&lt;=3,$AM84,IF($AM84&gt;3,3+($F84-$AO84)/($AO84-$AN84),-3+($F84-$AQ84)/($AP84-$AQ84))),2))</f>
        <v/>
      </c>
      <c r="P84">
        <f>IF(OR($O84="",$O84="—"),"",IF($O84&lt;-3,"Muito baixo",IF($O84&lt;-2,"Baixo",IF($O84&lt;=2,"Adequado","Elevado"))))</f>
        <v/>
      </c>
      <c r="Q84" s="12">
        <f>IF(OR($S84="",$F84="",$T84="",$T84&lt;0,$T84&gt;60,$AR84=""),"—",ROUND(IF(ABS($AU84)&lt;=3,$AU84,IF($AU84&gt;3,3+($F84-$AW84)/($AW84-$AV84),-3+($F84-$AY84)/($AX84-$AY84))),2))</f>
        <v/>
      </c>
      <c r="R84">
        <f>IF(OR($Q84="",$Q84="—"),"",IF($Q84&lt;-3,"Magreza acentuada",IF($Q84&lt;-2,"Magreza",IF($Q84&lt;=1,"Eutrofia",IF($Q84&lt;=2,"Risco de sobrepeso",IF($Q84&lt;=3,"Sobrepeso","Obesidade"))))))</f>
        <v/>
      </c>
      <c r="S84">
        <f>IF($C84="","",IF(UPPER(LEFT($C84,1))="M",1,IF(UPPER(LEFT($C84,1))="F",2,"")))</f>
        <v/>
      </c>
      <c r="T84">
        <f>IF(OR($D84="",$E84=""),"",DATEDIF($D84,$E84,"m"))</f>
        <v/>
      </c>
      <c r="U84">
        <f>IF(OR($D84="",$E84=""),"",$E84-$D84)</f>
        <v/>
      </c>
      <c r="V84">
        <f>IF(OR($G84="",$T84=""),"",IF($T84&lt;24,IF(LEFT(LOWER($H84),4)="em p",$G84+0.7,$G84),IF(LEFT(LOWER($H84),4)="deit",$G84-0.7,$G84)))</f>
        <v/>
      </c>
      <c r="W84">
        <f>IF(OR($S84="",$T84=""),"",$S84*1000000+IF($T84&lt;=60,$U84,$T84))</f>
        <v/>
      </c>
      <c r="X84">
        <f>IF(OR($S84="",$V84="",$T84&gt;60,$T84=""),"",$S84*1000000+ROUND($V84*10,0))</f>
        <v/>
      </c>
      <c r="Y84">
        <f>IF($W84="","",IFERROR(INDEX(IF($T84&lt;=60,imc05_l,imc519_l),MATCH($W84,IF($T84&lt;=60,imc05_k,imc519_k),1)),""))</f>
        <v/>
      </c>
      <c r="Z84">
        <f>IF($W84="","",IFERROR(INDEX(IF($T84&lt;=60,imc05_m,imc519_m),MATCH($W84,IF($T84&lt;=60,imc05_k,imc519_k),1)),""))</f>
        <v/>
      </c>
      <c r="AA84">
        <f>IF($W84="","",IFERROR(INDEX(IF($T84&lt;=60,imc05_s,imc519_s),MATCH($W84,IF($T84&lt;=60,imc05_k,imc519_k),1)),""))</f>
        <v/>
      </c>
      <c r="AB84">
        <f>IF($Y84="","",IF($Y84=0,LN($J84/$Z84)/$AA84,((($J84/$Z84)^$Y84)-1)/($Y84*$AA84)))</f>
        <v/>
      </c>
      <c r="AC84">
        <f>IF($Y84="","",IF($Y84=0,$Z84*EXP($AA84*2),$Z84*(1+$Y84*$AA84*2)^(1/$Y84)))</f>
        <v/>
      </c>
      <c r="AD84">
        <f>IF($Y84="","",IF($Y84=0,$Z84*EXP($AA84*3),$Z84*(1+$Y84*$AA84*3)^(1/$Y84)))</f>
        <v/>
      </c>
      <c r="AE84">
        <f>IF($Y84="","",IF($Y84=0,$Z84*EXP($AA84*-2),$Z84*(1+$Y84*$AA84*-2)^(1/$Y84)))</f>
        <v/>
      </c>
      <c r="AF84">
        <f>IF($Y84="","",IF($Y84=0,$Z84*EXP($AA84*-3),$Z84*(1+$Y84*$AA84*-3)^(1/$Y84)))</f>
        <v/>
      </c>
      <c r="AG84">
        <f>IF($W84="","",IFERROR(INDEX(IF($T84&lt;=60,est05_l,est519_l),MATCH($W84,IF($T84&lt;=60,est05_k,est519_k),1)),""))</f>
        <v/>
      </c>
      <c r="AH84">
        <f>IF($W84="","",IFERROR(INDEX(IF($T84&lt;=60,est05_m,est519_m),MATCH($W84,IF($T84&lt;=60,est05_k,est519_k),1)),""))</f>
        <v/>
      </c>
      <c r="AI84">
        <f>IF($W84="","",IFERROR(INDEX(IF($T84&lt;=60,est05_s,est519_s),MATCH($W84,IF($T84&lt;=60,est05_k,est519_k),1)),""))</f>
        <v/>
      </c>
      <c r="AJ84">
        <f>IF($W84="","",IFERROR(INDEX(IF($T84&lt;=60,peso05_l,peso510_l),MATCH($W84,IF($T84&lt;=60,peso05_k,peso510_k),1)),""))</f>
        <v/>
      </c>
      <c r="AK84">
        <f>IF($W84="","",IFERROR(INDEX(IF($T84&lt;=60,peso05_m,peso510_m),MATCH($W84,IF($T84&lt;=60,peso05_k,peso510_k),1)),""))</f>
        <v/>
      </c>
      <c r="AL84">
        <f>IF($W84="","",IFERROR(INDEX(IF($T84&lt;=60,peso05_s,peso510_s),MATCH($W84,IF($T84&lt;=60,peso05_k,peso510_k),1)),""))</f>
        <v/>
      </c>
      <c r="AM84">
        <f>IF($AJ84="","",IF($AJ84=0,LN($F84/$AK84)/$AL84,((($F84/$AK84)^$AJ84)-1)/($AJ84*$AL84)))</f>
        <v/>
      </c>
      <c r="AN84">
        <f>IF($AJ84="","",IF($AJ84=0,$AK84*EXP($AL84*2),$AK84*(1+$AJ84*$AL84*2)^(1/$AJ84)))</f>
        <v/>
      </c>
      <c r="AO84">
        <f>IF($AJ84="","",IF($AJ84=0,$AK84*EXP($AL84*3),$AK84*(1+$AJ84*$AL84*3)^(1/$AJ84)))</f>
        <v/>
      </c>
      <c r="AP84">
        <f>IF($AJ84="","",IF($AJ84=0,$AK84*EXP($AL84*-2),$AK84*(1+$AJ84*$AL84*-2)^(1/$AJ84)))</f>
        <v/>
      </c>
      <c r="AQ84">
        <f>IF($AJ84="","",IF($AJ84=0,$AK84*EXP($AL84*-3),$AK84*(1+$AJ84*$AL84*-3)^(1/$AJ84)))</f>
        <v/>
      </c>
      <c r="AR84">
        <f>IF(OR($X84="",$T84&gt;60),"",IFERROR(INDEX(IF($T84&lt;24,pcomp_l,palt_l),MATCH($X84,IF($T84&lt;24,pcomp_k,palt_k),1)),""))</f>
        <v/>
      </c>
      <c r="AS84">
        <f>IF(OR($X84="",$T84&gt;60),"",IFERROR(INDEX(IF($T84&lt;24,pcomp_m,palt_m),MATCH($X84,IF($T84&lt;24,pcomp_k,palt_k),1)),""))</f>
        <v/>
      </c>
      <c r="AT84">
        <f>IF(OR($X84="",$T84&gt;60),"",IFERROR(INDEX(IF($T84&lt;24,pcomp_s,palt_s),MATCH($X84,IF($T84&lt;24,pcomp_k,palt_k),1)),""))</f>
        <v/>
      </c>
      <c r="AU84">
        <f>IF($AR84="","",IF($AR84=0,LN($F84/$AS84)/$AT84,((($F84/$AS84)^$AR84)-1)/($AR84*$AT84)))</f>
        <v/>
      </c>
      <c r="AV84">
        <f>IF($AR84="","",IF($AR84=0,$AS84*EXP($AT84*2),$AS84*(1+$AR84*$AT84*2)^(1/$AR84)))</f>
        <v/>
      </c>
      <c r="AW84">
        <f>IF($AR84="","",IF($AR84=0,$AS84*EXP($AT84*3),$AS84*(1+$AR84*$AT84*3)^(1/$AR84)))</f>
        <v/>
      </c>
      <c r="AX84">
        <f>IF($AR84="","",IF($AR84=0,$AS84*EXP($AT84*-2),$AS84*(1+$AR84*$AT84*-2)^(1/$AR84)))</f>
        <v/>
      </c>
      <c r="AY84">
        <f>IF($AR84="","",IF($AR84=0,$AS84*EXP($AT84*-3),$AS84*(1+$AR84*$AT84*-3)^(1/$AR84)))</f>
        <v/>
      </c>
      <c r="AZ84">
        <f>IF(OR($A84="",$A84&lt;&gt;Ficha!$C$4),"",COUNTIF($A$2:$A84,Ficha!$C$4))</f>
        <v/>
      </c>
    </row>
    <row r="85">
      <c r="A85" s="8">
        <f>IF(INDEX(Banco!$A:$A,ROW())="","",INDEX(Banco!$A:$A,ROW()))</f>
        <v/>
      </c>
      <c r="B85" s="8">
        <f>IF(INDEX(Banco!$B:$B,ROW())="","",INDEX(Banco!$B:$B,ROW()))</f>
        <v/>
      </c>
      <c r="C85" s="8">
        <f>IF(INDEX(Banco!$C:$C,ROW())="","",INDEX(Banco!$C:$C,ROW()))</f>
        <v/>
      </c>
      <c r="D85" s="9">
        <f>IF(INDEX(Banco!$D:$D,ROW())="","",INDEX(Banco!$D:$D,ROW()))</f>
        <v/>
      </c>
      <c r="E85" s="9">
        <f>IF(INDEX(Banco!$E:$E,ROW())="","",INDEX(Banco!$E:$E,ROW()))</f>
        <v/>
      </c>
      <c r="F85" s="10">
        <f>IF(INDEX(Banco!$F:$F,ROW())="","",INDEX(Banco!$F:$F,ROW()))</f>
        <v/>
      </c>
      <c r="G85" s="10">
        <f>IF(INDEX(Banco!$G:$G,ROW())="","",INDEX(Banco!$G:$G,ROW()))</f>
        <v/>
      </c>
      <c r="H85" s="8">
        <f>IF(INDEX(Banco!$H:$H,ROW())="","",INDEX(Banco!$H:$H,ROW()))</f>
        <v/>
      </c>
      <c r="I85">
        <f>IF($T85="","",INT($T85/12)&amp;"a "&amp;MOD($T85,12)&amp;"m")</f>
        <v/>
      </c>
      <c r="J85" s="11">
        <f>IF(OR($F85="",$G85=""),"",ROUND($F85/($G85/100)^2,2))</f>
        <v/>
      </c>
      <c r="K85" s="12">
        <f>IF(OR($S85="",$J85="",$T85="",$T85&lt;0,$T85&gt;228,$Y85=""),"—",ROUND(IF(ABS($AB85)&lt;=3,$AB85,IF($AB85&gt;3,3+($J85-$AD85)/($AD85-$AC85),-3+($J85-$AF85)/($AE85-$AF85))),2))</f>
        <v/>
      </c>
      <c r="L85">
        <f>IF(OR($K85="",$K85="—"),"",IF($T85&lt;=60,IF($K85&lt;-3,"Magreza acentuada",IF($K85&lt;-2,"Magreza",IF($K85&lt;=1,"Eutrofia",IF($K85&lt;=2,"Risco de sobrepeso",IF($K85&lt;=3,"Sobrepeso","Obesidade"))))),IF($K85&lt;-3,"Magreza acentuada",IF($K85&lt;-2,"Magreza",IF($K85&lt;=1,"Eutrofia",IF($K85&lt;=2,"Sobrepeso",IF($K85&lt;=3,"Obesidade","Obesidade grave")))))))</f>
        <v/>
      </c>
      <c r="M85" s="12">
        <f>IF(OR($S85="",$V85="",$T85="",$T85&lt;0,$T85&gt;228,$AG85=""),"—",ROUND(IF($AG85=0,LN($V85/$AH85)/$AI85,((($V85/$AH85)^$AG85)-1)/($AG85*$AI85)),2))</f>
        <v/>
      </c>
      <c r="N85">
        <f>IF(OR($M85="",$M85="—"),"",IF($M85&lt;-3,"Muito baixa",IF($M85&lt;-2,"Baixa","Adequada")))</f>
        <v/>
      </c>
      <c r="O85" s="12">
        <f>IF(OR($S85="",$F85="",$T85="",$T85&lt;0,$T85&gt;120,$AJ85=""),"—",ROUND(IF(ABS($AM85)&lt;=3,$AM85,IF($AM85&gt;3,3+($F85-$AO85)/($AO85-$AN85),-3+($F85-$AQ85)/($AP85-$AQ85))),2))</f>
        <v/>
      </c>
      <c r="P85">
        <f>IF(OR($O85="",$O85="—"),"",IF($O85&lt;-3,"Muito baixo",IF($O85&lt;-2,"Baixo",IF($O85&lt;=2,"Adequado","Elevado"))))</f>
        <v/>
      </c>
      <c r="Q85" s="12">
        <f>IF(OR($S85="",$F85="",$T85="",$T85&lt;0,$T85&gt;60,$AR85=""),"—",ROUND(IF(ABS($AU85)&lt;=3,$AU85,IF($AU85&gt;3,3+($F85-$AW85)/($AW85-$AV85),-3+($F85-$AY85)/($AX85-$AY85))),2))</f>
        <v/>
      </c>
      <c r="R85">
        <f>IF(OR($Q85="",$Q85="—"),"",IF($Q85&lt;-3,"Magreza acentuada",IF($Q85&lt;-2,"Magreza",IF($Q85&lt;=1,"Eutrofia",IF($Q85&lt;=2,"Risco de sobrepeso",IF($Q85&lt;=3,"Sobrepeso","Obesidade"))))))</f>
        <v/>
      </c>
      <c r="S85">
        <f>IF($C85="","",IF(UPPER(LEFT($C85,1))="M",1,IF(UPPER(LEFT($C85,1))="F",2,"")))</f>
        <v/>
      </c>
      <c r="T85">
        <f>IF(OR($D85="",$E85=""),"",DATEDIF($D85,$E85,"m"))</f>
        <v/>
      </c>
      <c r="U85">
        <f>IF(OR($D85="",$E85=""),"",$E85-$D85)</f>
        <v/>
      </c>
      <c r="V85">
        <f>IF(OR($G85="",$T85=""),"",IF($T85&lt;24,IF(LEFT(LOWER($H85),4)="em p",$G85+0.7,$G85),IF(LEFT(LOWER($H85),4)="deit",$G85-0.7,$G85)))</f>
        <v/>
      </c>
      <c r="W85">
        <f>IF(OR($S85="",$T85=""),"",$S85*1000000+IF($T85&lt;=60,$U85,$T85))</f>
        <v/>
      </c>
      <c r="X85">
        <f>IF(OR($S85="",$V85="",$T85&gt;60,$T85=""),"",$S85*1000000+ROUND($V85*10,0))</f>
        <v/>
      </c>
      <c r="Y85">
        <f>IF($W85="","",IFERROR(INDEX(IF($T85&lt;=60,imc05_l,imc519_l),MATCH($W85,IF($T85&lt;=60,imc05_k,imc519_k),1)),""))</f>
        <v/>
      </c>
      <c r="Z85">
        <f>IF($W85="","",IFERROR(INDEX(IF($T85&lt;=60,imc05_m,imc519_m),MATCH($W85,IF($T85&lt;=60,imc05_k,imc519_k),1)),""))</f>
        <v/>
      </c>
      <c r="AA85">
        <f>IF($W85="","",IFERROR(INDEX(IF($T85&lt;=60,imc05_s,imc519_s),MATCH($W85,IF($T85&lt;=60,imc05_k,imc519_k),1)),""))</f>
        <v/>
      </c>
      <c r="AB85">
        <f>IF($Y85="","",IF($Y85=0,LN($J85/$Z85)/$AA85,((($J85/$Z85)^$Y85)-1)/($Y85*$AA85)))</f>
        <v/>
      </c>
      <c r="AC85">
        <f>IF($Y85="","",IF($Y85=0,$Z85*EXP($AA85*2),$Z85*(1+$Y85*$AA85*2)^(1/$Y85)))</f>
        <v/>
      </c>
      <c r="AD85">
        <f>IF($Y85="","",IF($Y85=0,$Z85*EXP($AA85*3),$Z85*(1+$Y85*$AA85*3)^(1/$Y85)))</f>
        <v/>
      </c>
      <c r="AE85">
        <f>IF($Y85="","",IF($Y85=0,$Z85*EXP($AA85*-2),$Z85*(1+$Y85*$AA85*-2)^(1/$Y85)))</f>
        <v/>
      </c>
      <c r="AF85">
        <f>IF($Y85="","",IF($Y85=0,$Z85*EXP($AA85*-3),$Z85*(1+$Y85*$AA85*-3)^(1/$Y85)))</f>
        <v/>
      </c>
      <c r="AG85">
        <f>IF($W85="","",IFERROR(INDEX(IF($T85&lt;=60,est05_l,est519_l),MATCH($W85,IF($T85&lt;=60,est05_k,est519_k),1)),""))</f>
        <v/>
      </c>
      <c r="AH85">
        <f>IF($W85="","",IFERROR(INDEX(IF($T85&lt;=60,est05_m,est519_m),MATCH($W85,IF($T85&lt;=60,est05_k,est519_k),1)),""))</f>
        <v/>
      </c>
      <c r="AI85">
        <f>IF($W85="","",IFERROR(INDEX(IF($T85&lt;=60,est05_s,est519_s),MATCH($W85,IF($T85&lt;=60,est05_k,est519_k),1)),""))</f>
        <v/>
      </c>
      <c r="AJ85">
        <f>IF($W85="","",IFERROR(INDEX(IF($T85&lt;=60,peso05_l,peso510_l),MATCH($W85,IF($T85&lt;=60,peso05_k,peso510_k),1)),""))</f>
        <v/>
      </c>
      <c r="AK85">
        <f>IF($W85="","",IFERROR(INDEX(IF($T85&lt;=60,peso05_m,peso510_m),MATCH($W85,IF($T85&lt;=60,peso05_k,peso510_k),1)),""))</f>
        <v/>
      </c>
      <c r="AL85">
        <f>IF($W85="","",IFERROR(INDEX(IF($T85&lt;=60,peso05_s,peso510_s),MATCH($W85,IF($T85&lt;=60,peso05_k,peso510_k),1)),""))</f>
        <v/>
      </c>
      <c r="AM85">
        <f>IF($AJ85="","",IF($AJ85=0,LN($F85/$AK85)/$AL85,((($F85/$AK85)^$AJ85)-1)/($AJ85*$AL85)))</f>
        <v/>
      </c>
      <c r="AN85">
        <f>IF($AJ85="","",IF($AJ85=0,$AK85*EXP($AL85*2),$AK85*(1+$AJ85*$AL85*2)^(1/$AJ85)))</f>
        <v/>
      </c>
      <c r="AO85">
        <f>IF($AJ85="","",IF($AJ85=0,$AK85*EXP($AL85*3),$AK85*(1+$AJ85*$AL85*3)^(1/$AJ85)))</f>
        <v/>
      </c>
      <c r="AP85">
        <f>IF($AJ85="","",IF($AJ85=0,$AK85*EXP($AL85*-2),$AK85*(1+$AJ85*$AL85*-2)^(1/$AJ85)))</f>
        <v/>
      </c>
      <c r="AQ85">
        <f>IF($AJ85="","",IF($AJ85=0,$AK85*EXP($AL85*-3),$AK85*(1+$AJ85*$AL85*-3)^(1/$AJ85)))</f>
        <v/>
      </c>
      <c r="AR85">
        <f>IF(OR($X85="",$T85&gt;60),"",IFERROR(INDEX(IF($T85&lt;24,pcomp_l,palt_l),MATCH($X85,IF($T85&lt;24,pcomp_k,palt_k),1)),""))</f>
        <v/>
      </c>
      <c r="AS85">
        <f>IF(OR($X85="",$T85&gt;60),"",IFERROR(INDEX(IF($T85&lt;24,pcomp_m,palt_m),MATCH($X85,IF($T85&lt;24,pcomp_k,palt_k),1)),""))</f>
        <v/>
      </c>
      <c r="AT85">
        <f>IF(OR($X85="",$T85&gt;60),"",IFERROR(INDEX(IF($T85&lt;24,pcomp_s,palt_s),MATCH($X85,IF($T85&lt;24,pcomp_k,palt_k),1)),""))</f>
        <v/>
      </c>
      <c r="AU85">
        <f>IF($AR85="","",IF($AR85=0,LN($F85/$AS85)/$AT85,((($F85/$AS85)^$AR85)-1)/($AR85*$AT85)))</f>
        <v/>
      </c>
      <c r="AV85">
        <f>IF($AR85="","",IF($AR85=0,$AS85*EXP($AT85*2),$AS85*(1+$AR85*$AT85*2)^(1/$AR85)))</f>
        <v/>
      </c>
      <c r="AW85">
        <f>IF($AR85="","",IF($AR85=0,$AS85*EXP($AT85*3),$AS85*(1+$AR85*$AT85*3)^(1/$AR85)))</f>
        <v/>
      </c>
      <c r="AX85">
        <f>IF($AR85="","",IF($AR85=0,$AS85*EXP($AT85*-2),$AS85*(1+$AR85*$AT85*-2)^(1/$AR85)))</f>
        <v/>
      </c>
      <c r="AY85">
        <f>IF($AR85="","",IF($AR85=0,$AS85*EXP($AT85*-3),$AS85*(1+$AR85*$AT85*-3)^(1/$AR85)))</f>
        <v/>
      </c>
      <c r="AZ85">
        <f>IF(OR($A85="",$A85&lt;&gt;Ficha!$C$4),"",COUNTIF($A$2:$A85,Ficha!$C$4))</f>
        <v/>
      </c>
    </row>
    <row r="86">
      <c r="A86" s="8">
        <f>IF(INDEX(Banco!$A:$A,ROW())="","",INDEX(Banco!$A:$A,ROW()))</f>
        <v/>
      </c>
      <c r="B86" s="8">
        <f>IF(INDEX(Banco!$B:$B,ROW())="","",INDEX(Banco!$B:$B,ROW()))</f>
        <v/>
      </c>
      <c r="C86" s="8">
        <f>IF(INDEX(Banco!$C:$C,ROW())="","",INDEX(Banco!$C:$C,ROW()))</f>
        <v/>
      </c>
      <c r="D86" s="9">
        <f>IF(INDEX(Banco!$D:$D,ROW())="","",INDEX(Banco!$D:$D,ROW()))</f>
        <v/>
      </c>
      <c r="E86" s="9">
        <f>IF(INDEX(Banco!$E:$E,ROW())="","",INDEX(Banco!$E:$E,ROW()))</f>
        <v/>
      </c>
      <c r="F86" s="10">
        <f>IF(INDEX(Banco!$F:$F,ROW())="","",INDEX(Banco!$F:$F,ROW()))</f>
        <v/>
      </c>
      <c r="G86" s="10">
        <f>IF(INDEX(Banco!$G:$G,ROW())="","",INDEX(Banco!$G:$G,ROW()))</f>
        <v/>
      </c>
      <c r="H86" s="8">
        <f>IF(INDEX(Banco!$H:$H,ROW())="","",INDEX(Banco!$H:$H,ROW()))</f>
        <v/>
      </c>
      <c r="I86">
        <f>IF($T86="","",INT($T86/12)&amp;"a "&amp;MOD($T86,12)&amp;"m")</f>
        <v/>
      </c>
      <c r="J86" s="11">
        <f>IF(OR($F86="",$G86=""),"",ROUND($F86/($G86/100)^2,2))</f>
        <v/>
      </c>
      <c r="K86" s="12">
        <f>IF(OR($S86="",$J86="",$T86="",$T86&lt;0,$T86&gt;228,$Y86=""),"—",ROUND(IF(ABS($AB86)&lt;=3,$AB86,IF($AB86&gt;3,3+($J86-$AD86)/($AD86-$AC86),-3+($J86-$AF86)/($AE86-$AF86))),2))</f>
        <v/>
      </c>
      <c r="L86">
        <f>IF(OR($K86="",$K86="—"),"",IF($T86&lt;=60,IF($K86&lt;-3,"Magreza acentuada",IF($K86&lt;-2,"Magreza",IF($K86&lt;=1,"Eutrofia",IF($K86&lt;=2,"Risco de sobrepeso",IF($K86&lt;=3,"Sobrepeso","Obesidade"))))),IF($K86&lt;-3,"Magreza acentuada",IF($K86&lt;-2,"Magreza",IF($K86&lt;=1,"Eutrofia",IF($K86&lt;=2,"Sobrepeso",IF($K86&lt;=3,"Obesidade","Obesidade grave")))))))</f>
        <v/>
      </c>
      <c r="M86" s="12">
        <f>IF(OR($S86="",$V86="",$T86="",$T86&lt;0,$T86&gt;228,$AG86=""),"—",ROUND(IF($AG86=0,LN($V86/$AH86)/$AI86,((($V86/$AH86)^$AG86)-1)/($AG86*$AI86)),2))</f>
        <v/>
      </c>
      <c r="N86">
        <f>IF(OR($M86="",$M86="—"),"",IF($M86&lt;-3,"Muito baixa",IF($M86&lt;-2,"Baixa","Adequada")))</f>
        <v/>
      </c>
      <c r="O86" s="12">
        <f>IF(OR($S86="",$F86="",$T86="",$T86&lt;0,$T86&gt;120,$AJ86=""),"—",ROUND(IF(ABS($AM86)&lt;=3,$AM86,IF($AM86&gt;3,3+($F86-$AO86)/($AO86-$AN86),-3+($F86-$AQ86)/($AP86-$AQ86))),2))</f>
        <v/>
      </c>
      <c r="P86">
        <f>IF(OR($O86="",$O86="—"),"",IF($O86&lt;-3,"Muito baixo",IF($O86&lt;-2,"Baixo",IF($O86&lt;=2,"Adequado","Elevado"))))</f>
        <v/>
      </c>
      <c r="Q86" s="12">
        <f>IF(OR($S86="",$F86="",$T86="",$T86&lt;0,$T86&gt;60,$AR86=""),"—",ROUND(IF(ABS($AU86)&lt;=3,$AU86,IF($AU86&gt;3,3+($F86-$AW86)/($AW86-$AV86),-3+($F86-$AY86)/($AX86-$AY86))),2))</f>
        <v/>
      </c>
      <c r="R86">
        <f>IF(OR($Q86="",$Q86="—"),"",IF($Q86&lt;-3,"Magreza acentuada",IF($Q86&lt;-2,"Magreza",IF($Q86&lt;=1,"Eutrofia",IF($Q86&lt;=2,"Risco de sobrepeso",IF($Q86&lt;=3,"Sobrepeso","Obesidade"))))))</f>
        <v/>
      </c>
      <c r="S86">
        <f>IF($C86="","",IF(UPPER(LEFT($C86,1))="M",1,IF(UPPER(LEFT($C86,1))="F",2,"")))</f>
        <v/>
      </c>
      <c r="T86">
        <f>IF(OR($D86="",$E86=""),"",DATEDIF($D86,$E86,"m"))</f>
        <v/>
      </c>
      <c r="U86">
        <f>IF(OR($D86="",$E86=""),"",$E86-$D86)</f>
        <v/>
      </c>
      <c r="V86">
        <f>IF(OR($G86="",$T86=""),"",IF($T86&lt;24,IF(LEFT(LOWER($H86),4)="em p",$G86+0.7,$G86),IF(LEFT(LOWER($H86),4)="deit",$G86-0.7,$G86)))</f>
        <v/>
      </c>
      <c r="W86">
        <f>IF(OR($S86="",$T86=""),"",$S86*1000000+IF($T86&lt;=60,$U86,$T86))</f>
        <v/>
      </c>
      <c r="X86">
        <f>IF(OR($S86="",$V86="",$T86&gt;60,$T86=""),"",$S86*1000000+ROUND($V86*10,0))</f>
        <v/>
      </c>
      <c r="Y86">
        <f>IF($W86="","",IFERROR(INDEX(IF($T86&lt;=60,imc05_l,imc519_l),MATCH($W86,IF($T86&lt;=60,imc05_k,imc519_k),1)),""))</f>
        <v/>
      </c>
      <c r="Z86">
        <f>IF($W86="","",IFERROR(INDEX(IF($T86&lt;=60,imc05_m,imc519_m),MATCH($W86,IF($T86&lt;=60,imc05_k,imc519_k),1)),""))</f>
        <v/>
      </c>
      <c r="AA86">
        <f>IF($W86="","",IFERROR(INDEX(IF($T86&lt;=60,imc05_s,imc519_s),MATCH($W86,IF($T86&lt;=60,imc05_k,imc519_k),1)),""))</f>
        <v/>
      </c>
      <c r="AB86">
        <f>IF($Y86="","",IF($Y86=0,LN($J86/$Z86)/$AA86,((($J86/$Z86)^$Y86)-1)/($Y86*$AA86)))</f>
        <v/>
      </c>
      <c r="AC86">
        <f>IF($Y86="","",IF($Y86=0,$Z86*EXP($AA86*2),$Z86*(1+$Y86*$AA86*2)^(1/$Y86)))</f>
        <v/>
      </c>
      <c r="AD86">
        <f>IF($Y86="","",IF($Y86=0,$Z86*EXP($AA86*3),$Z86*(1+$Y86*$AA86*3)^(1/$Y86)))</f>
        <v/>
      </c>
      <c r="AE86">
        <f>IF($Y86="","",IF($Y86=0,$Z86*EXP($AA86*-2),$Z86*(1+$Y86*$AA86*-2)^(1/$Y86)))</f>
        <v/>
      </c>
      <c r="AF86">
        <f>IF($Y86="","",IF($Y86=0,$Z86*EXP($AA86*-3),$Z86*(1+$Y86*$AA86*-3)^(1/$Y86)))</f>
        <v/>
      </c>
      <c r="AG86">
        <f>IF($W86="","",IFERROR(INDEX(IF($T86&lt;=60,est05_l,est519_l),MATCH($W86,IF($T86&lt;=60,est05_k,est519_k),1)),""))</f>
        <v/>
      </c>
      <c r="AH86">
        <f>IF($W86="","",IFERROR(INDEX(IF($T86&lt;=60,est05_m,est519_m),MATCH($W86,IF($T86&lt;=60,est05_k,est519_k),1)),""))</f>
        <v/>
      </c>
      <c r="AI86">
        <f>IF($W86="","",IFERROR(INDEX(IF($T86&lt;=60,est05_s,est519_s),MATCH($W86,IF($T86&lt;=60,est05_k,est519_k),1)),""))</f>
        <v/>
      </c>
      <c r="AJ86">
        <f>IF($W86="","",IFERROR(INDEX(IF($T86&lt;=60,peso05_l,peso510_l),MATCH($W86,IF($T86&lt;=60,peso05_k,peso510_k),1)),""))</f>
        <v/>
      </c>
      <c r="AK86">
        <f>IF($W86="","",IFERROR(INDEX(IF($T86&lt;=60,peso05_m,peso510_m),MATCH($W86,IF($T86&lt;=60,peso05_k,peso510_k),1)),""))</f>
        <v/>
      </c>
      <c r="AL86">
        <f>IF($W86="","",IFERROR(INDEX(IF($T86&lt;=60,peso05_s,peso510_s),MATCH($W86,IF($T86&lt;=60,peso05_k,peso510_k),1)),""))</f>
        <v/>
      </c>
      <c r="AM86">
        <f>IF($AJ86="","",IF($AJ86=0,LN($F86/$AK86)/$AL86,((($F86/$AK86)^$AJ86)-1)/($AJ86*$AL86)))</f>
        <v/>
      </c>
      <c r="AN86">
        <f>IF($AJ86="","",IF($AJ86=0,$AK86*EXP($AL86*2),$AK86*(1+$AJ86*$AL86*2)^(1/$AJ86)))</f>
        <v/>
      </c>
      <c r="AO86">
        <f>IF($AJ86="","",IF($AJ86=0,$AK86*EXP($AL86*3),$AK86*(1+$AJ86*$AL86*3)^(1/$AJ86)))</f>
        <v/>
      </c>
      <c r="AP86">
        <f>IF($AJ86="","",IF($AJ86=0,$AK86*EXP($AL86*-2),$AK86*(1+$AJ86*$AL86*-2)^(1/$AJ86)))</f>
        <v/>
      </c>
      <c r="AQ86">
        <f>IF($AJ86="","",IF($AJ86=0,$AK86*EXP($AL86*-3),$AK86*(1+$AJ86*$AL86*-3)^(1/$AJ86)))</f>
        <v/>
      </c>
      <c r="AR86">
        <f>IF(OR($X86="",$T86&gt;60),"",IFERROR(INDEX(IF($T86&lt;24,pcomp_l,palt_l),MATCH($X86,IF($T86&lt;24,pcomp_k,palt_k),1)),""))</f>
        <v/>
      </c>
      <c r="AS86">
        <f>IF(OR($X86="",$T86&gt;60),"",IFERROR(INDEX(IF($T86&lt;24,pcomp_m,palt_m),MATCH($X86,IF($T86&lt;24,pcomp_k,palt_k),1)),""))</f>
        <v/>
      </c>
      <c r="AT86">
        <f>IF(OR($X86="",$T86&gt;60),"",IFERROR(INDEX(IF($T86&lt;24,pcomp_s,palt_s),MATCH($X86,IF($T86&lt;24,pcomp_k,palt_k),1)),""))</f>
        <v/>
      </c>
      <c r="AU86">
        <f>IF($AR86="","",IF($AR86=0,LN($F86/$AS86)/$AT86,((($F86/$AS86)^$AR86)-1)/($AR86*$AT86)))</f>
        <v/>
      </c>
      <c r="AV86">
        <f>IF($AR86="","",IF($AR86=0,$AS86*EXP($AT86*2),$AS86*(1+$AR86*$AT86*2)^(1/$AR86)))</f>
        <v/>
      </c>
      <c r="AW86">
        <f>IF($AR86="","",IF($AR86=0,$AS86*EXP($AT86*3),$AS86*(1+$AR86*$AT86*3)^(1/$AR86)))</f>
        <v/>
      </c>
      <c r="AX86">
        <f>IF($AR86="","",IF($AR86=0,$AS86*EXP($AT86*-2),$AS86*(1+$AR86*$AT86*-2)^(1/$AR86)))</f>
        <v/>
      </c>
      <c r="AY86">
        <f>IF($AR86="","",IF($AR86=0,$AS86*EXP($AT86*-3),$AS86*(1+$AR86*$AT86*-3)^(1/$AR86)))</f>
        <v/>
      </c>
      <c r="AZ86">
        <f>IF(OR($A86="",$A86&lt;&gt;Ficha!$C$4),"",COUNTIF($A$2:$A86,Ficha!$C$4))</f>
        <v/>
      </c>
    </row>
    <row r="87">
      <c r="A87" s="8">
        <f>IF(INDEX(Banco!$A:$A,ROW())="","",INDEX(Banco!$A:$A,ROW()))</f>
        <v/>
      </c>
      <c r="B87" s="8">
        <f>IF(INDEX(Banco!$B:$B,ROW())="","",INDEX(Banco!$B:$B,ROW()))</f>
        <v/>
      </c>
      <c r="C87" s="8">
        <f>IF(INDEX(Banco!$C:$C,ROW())="","",INDEX(Banco!$C:$C,ROW()))</f>
        <v/>
      </c>
      <c r="D87" s="9">
        <f>IF(INDEX(Banco!$D:$D,ROW())="","",INDEX(Banco!$D:$D,ROW()))</f>
        <v/>
      </c>
      <c r="E87" s="9">
        <f>IF(INDEX(Banco!$E:$E,ROW())="","",INDEX(Banco!$E:$E,ROW()))</f>
        <v/>
      </c>
      <c r="F87" s="10">
        <f>IF(INDEX(Banco!$F:$F,ROW())="","",INDEX(Banco!$F:$F,ROW()))</f>
        <v/>
      </c>
      <c r="G87" s="10">
        <f>IF(INDEX(Banco!$G:$G,ROW())="","",INDEX(Banco!$G:$G,ROW()))</f>
        <v/>
      </c>
      <c r="H87" s="8">
        <f>IF(INDEX(Banco!$H:$H,ROW())="","",INDEX(Banco!$H:$H,ROW()))</f>
        <v/>
      </c>
      <c r="I87">
        <f>IF($T87="","",INT($T87/12)&amp;"a "&amp;MOD($T87,12)&amp;"m")</f>
        <v/>
      </c>
      <c r="J87" s="11">
        <f>IF(OR($F87="",$G87=""),"",ROUND($F87/($G87/100)^2,2))</f>
        <v/>
      </c>
      <c r="K87" s="12">
        <f>IF(OR($S87="",$J87="",$T87="",$T87&lt;0,$T87&gt;228,$Y87=""),"—",ROUND(IF(ABS($AB87)&lt;=3,$AB87,IF($AB87&gt;3,3+($J87-$AD87)/($AD87-$AC87),-3+($J87-$AF87)/($AE87-$AF87))),2))</f>
        <v/>
      </c>
      <c r="L87">
        <f>IF(OR($K87="",$K87="—"),"",IF($T87&lt;=60,IF($K87&lt;-3,"Magreza acentuada",IF($K87&lt;-2,"Magreza",IF($K87&lt;=1,"Eutrofia",IF($K87&lt;=2,"Risco de sobrepeso",IF($K87&lt;=3,"Sobrepeso","Obesidade"))))),IF($K87&lt;-3,"Magreza acentuada",IF($K87&lt;-2,"Magreza",IF($K87&lt;=1,"Eutrofia",IF($K87&lt;=2,"Sobrepeso",IF($K87&lt;=3,"Obesidade","Obesidade grave")))))))</f>
        <v/>
      </c>
      <c r="M87" s="12">
        <f>IF(OR($S87="",$V87="",$T87="",$T87&lt;0,$T87&gt;228,$AG87=""),"—",ROUND(IF($AG87=0,LN($V87/$AH87)/$AI87,((($V87/$AH87)^$AG87)-1)/($AG87*$AI87)),2))</f>
        <v/>
      </c>
      <c r="N87">
        <f>IF(OR($M87="",$M87="—"),"",IF($M87&lt;-3,"Muito baixa",IF($M87&lt;-2,"Baixa","Adequada")))</f>
        <v/>
      </c>
      <c r="O87" s="12">
        <f>IF(OR($S87="",$F87="",$T87="",$T87&lt;0,$T87&gt;120,$AJ87=""),"—",ROUND(IF(ABS($AM87)&lt;=3,$AM87,IF($AM87&gt;3,3+($F87-$AO87)/($AO87-$AN87),-3+($F87-$AQ87)/($AP87-$AQ87))),2))</f>
        <v/>
      </c>
      <c r="P87">
        <f>IF(OR($O87="",$O87="—"),"",IF($O87&lt;-3,"Muito baixo",IF($O87&lt;-2,"Baixo",IF($O87&lt;=2,"Adequado","Elevado"))))</f>
        <v/>
      </c>
      <c r="Q87" s="12">
        <f>IF(OR($S87="",$F87="",$T87="",$T87&lt;0,$T87&gt;60,$AR87=""),"—",ROUND(IF(ABS($AU87)&lt;=3,$AU87,IF($AU87&gt;3,3+($F87-$AW87)/($AW87-$AV87),-3+($F87-$AY87)/($AX87-$AY87))),2))</f>
        <v/>
      </c>
      <c r="R87">
        <f>IF(OR($Q87="",$Q87="—"),"",IF($Q87&lt;-3,"Magreza acentuada",IF($Q87&lt;-2,"Magreza",IF($Q87&lt;=1,"Eutrofia",IF($Q87&lt;=2,"Risco de sobrepeso",IF($Q87&lt;=3,"Sobrepeso","Obesidade"))))))</f>
        <v/>
      </c>
      <c r="S87">
        <f>IF($C87="","",IF(UPPER(LEFT($C87,1))="M",1,IF(UPPER(LEFT($C87,1))="F",2,"")))</f>
        <v/>
      </c>
      <c r="T87">
        <f>IF(OR($D87="",$E87=""),"",DATEDIF($D87,$E87,"m"))</f>
        <v/>
      </c>
      <c r="U87">
        <f>IF(OR($D87="",$E87=""),"",$E87-$D87)</f>
        <v/>
      </c>
      <c r="V87">
        <f>IF(OR($G87="",$T87=""),"",IF($T87&lt;24,IF(LEFT(LOWER($H87),4)="em p",$G87+0.7,$G87),IF(LEFT(LOWER($H87),4)="deit",$G87-0.7,$G87)))</f>
        <v/>
      </c>
      <c r="W87">
        <f>IF(OR($S87="",$T87=""),"",$S87*1000000+IF($T87&lt;=60,$U87,$T87))</f>
        <v/>
      </c>
      <c r="X87">
        <f>IF(OR($S87="",$V87="",$T87&gt;60,$T87=""),"",$S87*1000000+ROUND($V87*10,0))</f>
        <v/>
      </c>
      <c r="Y87">
        <f>IF($W87="","",IFERROR(INDEX(IF($T87&lt;=60,imc05_l,imc519_l),MATCH($W87,IF($T87&lt;=60,imc05_k,imc519_k),1)),""))</f>
        <v/>
      </c>
      <c r="Z87">
        <f>IF($W87="","",IFERROR(INDEX(IF($T87&lt;=60,imc05_m,imc519_m),MATCH($W87,IF($T87&lt;=60,imc05_k,imc519_k),1)),""))</f>
        <v/>
      </c>
      <c r="AA87">
        <f>IF($W87="","",IFERROR(INDEX(IF($T87&lt;=60,imc05_s,imc519_s),MATCH($W87,IF($T87&lt;=60,imc05_k,imc519_k),1)),""))</f>
        <v/>
      </c>
      <c r="AB87">
        <f>IF($Y87="","",IF($Y87=0,LN($J87/$Z87)/$AA87,((($J87/$Z87)^$Y87)-1)/($Y87*$AA87)))</f>
        <v/>
      </c>
      <c r="AC87">
        <f>IF($Y87="","",IF($Y87=0,$Z87*EXP($AA87*2),$Z87*(1+$Y87*$AA87*2)^(1/$Y87)))</f>
        <v/>
      </c>
      <c r="AD87">
        <f>IF($Y87="","",IF($Y87=0,$Z87*EXP($AA87*3),$Z87*(1+$Y87*$AA87*3)^(1/$Y87)))</f>
        <v/>
      </c>
      <c r="AE87">
        <f>IF($Y87="","",IF($Y87=0,$Z87*EXP($AA87*-2),$Z87*(1+$Y87*$AA87*-2)^(1/$Y87)))</f>
        <v/>
      </c>
      <c r="AF87">
        <f>IF($Y87="","",IF($Y87=0,$Z87*EXP($AA87*-3),$Z87*(1+$Y87*$AA87*-3)^(1/$Y87)))</f>
        <v/>
      </c>
      <c r="AG87">
        <f>IF($W87="","",IFERROR(INDEX(IF($T87&lt;=60,est05_l,est519_l),MATCH($W87,IF($T87&lt;=60,est05_k,est519_k),1)),""))</f>
        <v/>
      </c>
      <c r="AH87">
        <f>IF($W87="","",IFERROR(INDEX(IF($T87&lt;=60,est05_m,est519_m),MATCH($W87,IF($T87&lt;=60,est05_k,est519_k),1)),""))</f>
        <v/>
      </c>
      <c r="AI87">
        <f>IF($W87="","",IFERROR(INDEX(IF($T87&lt;=60,est05_s,est519_s),MATCH($W87,IF($T87&lt;=60,est05_k,est519_k),1)),""))</f>
        <v/>
      </c>
      <c r="AJ87">
        <f>IF($W87="","",IFERROR(INDEX(IF($T87&lt;=60,peso05_l,peso510_l),MATCH($W87,IF($T87&lt;=60,peso05_k,peso510_k),1)),""))</f>
        <v/>
      </c>
      <c r="AK87">
        <f>IF($W87="","",IFERROR(INDEX(IF($T87&lt;=60,peso05_m,peso510_m),MATCH($W87,IF($T87&lt;=60,peso05_k,peso510_k),1)),""))</f>
        <v/>
      </c>
      <c r="AL87">
        <f>IF($W87="","",IFERROR(INDEX(IF($T87&lt;=60,peso05_s,peso510_s),MATCH($W87,IF($T87&lt;=60,peso05_k,peso510_k),1)),""))</f>
        <v/>
      </c>
      <c r="AM87">
        <f>IF($AJ87="","",IF($AJ87=0,LN($F87/$AK87)/$AL87,((($F87/$AK87)^$AJ87)-1)/($AJ87*$AL87)))</f>
        <v/>
      </c>
      <c r="AN87">
        <f>IF($AJ87="","",IF($AJ87=0,$AK87*EXP($AL87*2),$AK87*(1+$AJ87*$AL87*2)^(1/$AJ87)))</f>
        <v/>
      </c>
      <c r="AO87">
        <f>IF($AJ87="","",IF($AJ87=0,$AK87*EXP($AL87*3),$AK87*(1+$AJ87*$AL87*3)^(1/$AJ87)))</f>
        <v/>
      </c>
      <c r="AP87">
        <f>IF($AJ87="","",IF($AJ87=0,$AK87*EXP($AL87*-2),$AK87*(1+$AJ87*$AL87*-2)^(1/$AJ87)))</f>
        <v/>
      </c>
      <c r="AQ87">
        <f>IF($AJ87="","",IF($AJ87=0,$AK87*EXP($AL87*-3),$AK87*(1+$AJ87*$AL87*-3)^(1/$AJ87)))</f>
        <v/>
      </c>
      <c r="AR87">
        <f>IF(OR($X87="",$T87&gt;60),"",IFERROR(INDEX(IF($T87&lt;24,pcomp_l,palt_l),MATCH($X87,IF($T87&lt;24,pcomp_k,palt_k),1)),""))</f>
        <v/>
      </c>
      <c r="AS87">
        <f>IF(OR($X87="",$T87&gt;60),"",IFERROR(INDEX(IF($T87&lt;24,pcomp_m,palt_m),MATCH($X87,IF($T87&lt;24,pcomp_k,palt_k),1)),""))</f>
        <v/>
      </c>
      <c r="AT87">
        <f>IF(OR($X87="",$T87&gt;60),"",IFERROR(INDEX(IF($T87&lt;24,pcomp_s,palt_s),MATCH($X87,IF($T87&lt;24,pcomp_k,palt_k),1)),""))</f>
        <v/>
      </c>
      <c r="AU87">
        <f>IF($AR87="","",IF($AR87=0,LN($F87/$AS87)/$AT87,((($F87/$AS87)^$AR87)-1)/($AR87*$AT87)))</f>
        <v/>
      </c>
      <c r="AV87">
        <f>IF($AR87="","",IF($AR87=0,$AS87*EXP($AT87*2),$AS87*(1+$AR87*$AT87*2)^(1/$AR87)))</f>
        <v/>
      </c>
      <c r="AW87">
        <f>IF($AR87="","",IF($AR87=0,$AS87*EXP($AT87*3),$AS87*(1+$AR87*$AT87*3)^(1/$AR87)))</f>
        <v/>
      </c>
      <c r="AX87">
        <f>IF($AR87="","",IF($AR87=0,$AS87*EXP($AT87*-2),$AS87*(1+$AR87*$AT87*-2)^(1/$AR87)))</f>
        <v/>
      </c>
      <c r="AY87">
        <f>IF($AR87="","",IF($AR87=0,$AS87*EXP($AT87*-3),$AS87*(1+$AR87*$AT87*-3)^(1/$AR87)))</f>
        <v/>
      </c>
      <c r="AZ87">
        <f>IF(OR($A87="",$A87&lt;&gt;Ficha!$C$4),"",COUNTIF($A$2:$A87,Ficha!$C$4))</f>
        <v/>
      </c>
    </row>
    <row r="88">
      <c r="A88" s="8">
        <f>IF(INDEX(Banco!$A:$A,ROW())="","",INDEX(Banco!$A:$A,ROW()))</f>
        <v/>
      </c>
      <c r="B88" s="8">
        <f>IF(INDEX(Banco!$B:$B,ROW())="","",INDEX(Banco!$B:$B,ROW()))</f>
        <v/>
      </c>
      <c r="C88" s="8">
        <f>IF(INDEX(Banco!$C:$C,ROW())="","",INDEX(Banco!$C:$C,ROW()))</f>
        <v/>
      </c>
      <c r="D88" s="9">
        <f>IF(INDEX(Banco!$D:$D,ROW())="","",INDEX(Banco!$D:$D,ROW()))</f>
        <v/>
      </c>
      <c r="E88" s="9">
        <f>IF(INDEX(Banco!$E:$E,ROW())="","",INDEX(Banco!$E:$E,ROW()))</f>
        <v/>
      </c>
      <c r="F88" s="10">
        <f>IF(INDEX(Banco!$F:$F,ROW())="","",INDEX(Banco!$F:$F,ROW()))</f>
        <v/>
      </c>
      <c r="G88" s="10">
        <f>IF(INDEX(Banco!$G:$G,ROW())="","",INDEX(Banco!$G:$G,ROW()))</f>
        <v/>
      </c>
      <c r="H88" s="8">
        <f>IF(INDEX(Banco!$H:$H,ROW())="","",INDEX(Banco!$H:$H,ROW()))</f>
        <v/>
      </c>
      <c r="I88">
        <f>IF($T88="","",INT($T88/12)&amp;"a "&amp;MOD($T88,12)&amp;"m")</f>
        <v/>
      </c>
      <c r="J88" s="11">
        <f>IF(OR($F88="",$G88=""),"",ROUND($F88/($G88/100)^2,2))</f>
        <v/>
      </c>
      <c r="K88" s="12">
        <f>IF(OR($S88="",$J88="",$T88="",$T88&lt;0,$T88&gt;228,$Y88=""),"—",ROUND(IF(ABS($AB88)&lt;=3,$AB88,IF($AB88&gt;3,3+($J88-$AD88)/($AD88-$AC88),-3+($J88-$AF88)/($AE88-$AF88))),2))</f>
        <v/>
      </c>
      <c r="L88">
        <f>IF(OR($K88="",$K88="—"),"",IF($T88&lt;=60,IF($K88&lt;-3,"Magreza acentuada",IF($K88&lt;-2,"Magreza",IF($K88&lt;=1,"Eutrofia",IF($K88&lt;=2,"Risco de sobrepeso",IF($K88&lt;=3,"Sobrepeso","Obesidade"))))),IF($K88&lt;-3,"Magreza acentuada",IF($K88&lt;-2,"Magreza",IF($K88&lt;=1,"Eutrofia",IF($K88&lt;=2,"Sobrepeso",IF($K88&lt;=3,"Obesidade","Obesidade grave")))))))</f>
        <v/>
      </c>
      <c r="M88" s="12">
        <f>IF(OR($S88="",$V88="",$T88="",$T88&lt;0,$T88&gt;228,$AG88=""),"—",ROUND(IF($AG88=0,LN($V88/$AH88)/$AI88,((($V88/$AH88)^$AG88)-1)/($AG88*$AI88)),2))</f>
        <v/>
      </c>
      <c r="N88">
        <f>IF(OR($M88="",$M88="—"),"",IF($M88&lt;-3,"Muito baixa",IF($M88&lt;-2,"Baixa","Adequada")))</f>
        <v/>
      </c>
      <c r="O88" s="12">
        <f>IF(OR($S88="",$F88="",$T88="",$T88&lt;0,$T88&gt;120,$AJ88=""),"—",ROUND(IF(ABS($AM88)&lt;=3,$AM88,IF($AM88&gt;3,3+($F88-$AO88)/($AO88-$AN88),-3+($F88-$AQ88)/($AP88-$AQ88))),2))</f>
        <v/>
      </c>
      <c r="P88">
        <f>IF(OR($O88="",$O88="—"),"",IF($O88&lt;-3,"Muito baixo",IF($O88&lt;-2,"Baixo",IF($O88&lt;=2,"Adequado","Elevado"))))</f>
        <v/>
      </c>
      <c r="Q88" s="12">
        <f>IF(OR($S88="",$F88="",$T88="",$T88&lt;0,$T88&gt;60,$AR88=""),"—",ROUND(IF(ABS($AU88)&lt;=3,$AU88,IF($AU88&gt;3,3+($F88-$AW88)/($AW88-$AV88),-3+($F88-$AY88)/($AX88-$AY88))),2))</f>
        <v/>
      </c>
      <c r="R88">
        <f>IF(OR($Q88="",$Q88="—"),"",IF($Q88&lt;-3,"Magreza acentuada",IF($Q88&lt;-2,"Magreza",IF($Q88&lt;=1,"Eutrofia",IF($Q88&lt;=2,"Risco de sobrepeso",IF($Q88&lt;=3,"Sobrepeso","Obesidade"))))))</f>
        <v/>
      </c>
      <c r="S88">
        <f>IF($C88="","",IF(UPPER(LEFT($C88,1))="M",1,IF(UPPER(LEFT($C88,1))="F",2,"")))</f>
        <v/>
      </c>
      <c r="T88">
        <f>IF(OR($D88="",$E88=""),"",DATEDIF($D88,$E88,"m"))</f>
        <v/>
      </c>
      <c r="U88">
        <f>IF(OR($D88="",$E88=""),"",$E88-$D88)</f>
        <v/>
      </c>
      <c r="V88">
        <f>IF(OR($G88="",$T88=""),"",IF($T88&lt;24,IF(LEFT(LOWER($H88),4)="em p",$G88+0.7,$G88),IF(LEFT(LOWER($H88),4)="deit",$G88-0.7,$G88)))</f>
        <v/>
      </c>
      <c r="W88">
        <f>IF(OR($S88="",$T88=""),"",$S88*1000000+IF($T88&lt;=60,$U88,$T88))</f>
        <v/>
      </c>
      <c r="X88">
        <f>IF(OR($S88="",$V88="",$T88&gt;60,$T88=""),"",$S88*1000000+ROUND($V88*10,0))</f>
        <v/>
      </c>
      <c r="Y88">
        <f>IF($W88="","",IFERROR(INDEX(IF($T88&lt;=60,imc05_l,imc519_l),MATCH($W88,IF($T88&lt;=60,imc05_k,imc519_k),1)),""))</f>
        <v/>
      </c>
      <c r="Z88">
        <f>IF($W88="","",IFERROR(INDEX(IF($T88&lt;=60,imc05_m,imc519_m),MATCH($W88,IF($T88&lt;=60,imc05_k,imc519_k),1)),""))</f>
        <v/>
      </c>
      <c r="AA88">
        <f>IF($W88="","",IFERROR(INDEX(IF($T88&lt;=60,imc05_s,imc519_s),MATCH($W88,IF($T88&lt;=60,imc05_k,imc519_k),1)),""))</f>
        <v/>
      </c>
      <c r="AB88">
        <f>IF($Y88="","",IF($Y88=0,LN($J88/$Z88)/$AA88,((($J88/$Z88)^$Y88)-1)/($Y88*$AA88)))</f>
        <v/>
      </c>
      <c r="AC88">
        <f>IF($Y88="","",IF($Y88=0,$Z88*EXP($AA88*2),$Z88*(1+$Y88*$AA88*2)^(1/$Y88)))</f>
        <v/>
      </c>
      <c r="AD88">
        <f>IF($Y88="","",IF($Y88=0,$Z88*EXP($AA88*3),$Z88*(1+$Y88*$AA88*3)^(1/$Y88)))</f>
        <v/>
      </c>
      <c r="AE88">
        <f>IF($Y88="","",IF($Y88=0,$Z88*EXP($AA88*-2),$Z88*(1+$Y88*$AA88*-2)^(1/$Y88)))</f>
        <v/>
      </c>
      <c r="AF88">
        <f>IF($Y88="","",IF($Y88=0,$Z88*EXP($AA88*-3),$Z88*(1+$Y88*$AA88*-3)^(1/$Y88)))</f>
        <v/>
      </c>
      <c r="AG88">
        <f>IF($W88="","",IFERROR(INDEX(IF($T88&lt;=60,est05_l,est519_l),MATCH($W88,IF($T88&lt;=60,est05_k,est519_k),1)),""))</f>
        <v/>
      </c>
      <c r="AH88">
        <f>IF($W88="","",IFERROR(INDEX(IF($T88&lt;=60,est05_m,est519_m),MATCH($W88,IF($T88&lt;=60,est05_k,est519_k),1)),""))</f>
        <v/>
      </c>
      <c r="AI88">
        <f>IF($W88="","",IFERROR(INDEX(IF($T88&lt;=60,est05_s,est519_s),MATCH($W88,IF($T88&lt;=60,est05_k,est519_k),1)),""))</f>
        <v/>
      </c>
      <c r="AJ88">
        <f>IF($W88="","",IFERROR(INDEX(IF($T88&lt;=60,peso05_l,peso510_l),MATCH($W88,IF($T88&lt;=60,peso05_k,peso510_k),1)),""))</f>
        <v/>
      </c>
      <c r="AK88">
        <f>IF($W88="","",IFERROR(INDEX(IF($T88&lt;=60,peso05_m,peso510_m),MATCH($W88,IF($T88&lt;=60,peso05_k,peso510_k),1)),""))</f>
        <v/>
      </c>
      <c r="AL88">
        <f>IF($W88="","",IFERROR(INDEX(IF($T88&lt;=60,peso05_s,peso510_s),MATCH($W88,IF($T88&lt;=60,peso05_k,peso510_k),1)),""))</f>
        <v/>
      </c>
      <c r="AM88">
        <f>IF($AJ88="","",IF($AJ88=0,LN($F88/$AK88)/$AL88,((($F88/$AK88)^$AJ88)-1)/($AJ88*$AL88)))</f>
        <v/>
      </c>
      <c r="AN88">
        <f>IF($AJ88="","",IF($AJ88=0,$AK88*EXP($AL88*2),$AK88*(1+$AJ88*$AL88*2)^(1/$AJ88)))</f>
        <v/>
      </c>
      <c r="AO88">
        <f>IF($AJ88="","",IF($AJ88=0,$AK88*EXP($AL88*3),$AK88*(1+$AJ88*$AL88*3)^(1/$AJ88)))</f>
        <v/>
      </c>
      <c r="AP88">
        <f>IF($AJ88="","",IF($AJ88=0,$AK88*EXP($AL88*-2),$AK88*(1+$AJ88*$AL88*-2)^(1/$AJ88)))</f>
        <v/>
      </c>
      <c r="AQ88">
        <f>IF($AJ88="","",IF($AJ88=0,$AK88*EXP($AL88*-3),$AK88*(1+$AJ88*$AL88*-3)^(1/$AJ88)))</f>
        <v/>
      </c>
      <c r="AR88">
        <f>IF(OR($X88="",$T88&gt;60),"",IFERROR(INDEX(IF($T88&lt;24,pcomp_l,palt_l),MATCH($X88,IF($T88&lt;24,pcomp_k,palt_k),1)),""))</f>
        <v/>
      </c>
      <c r="AS88">
        <f>IF(OR($X88="",$T88&gt;60),"",IFERROR(INDEX(IF($T88&lt;24,pcomp_m,palt_m),MATCH($X88,IF($T88&lt;24,pcomp_k,palt_k),1)),""))</f>
        <v/>
      </c>
      <c r="AT88">
        <f>IF(OR($X88="",$T88&gt;60),"",IFERROR(INDEX(IF($T88&lt;24,pcomp_s,palt_s),MATCH($X88,IF($T88&lt;24,pcomp_k,palt_k),1)),""))</f>
        <v/>
      </c>
      <c r="AU88">
        <f>IF($AR88="","",IF($AR88=0,LN($F88/$AS88)/$AT88,((($F88/$AS88)^$AR88)-1)/($AR88*$AT88)))</f>
        <v/>
      </c>
      <c r="AV88">
        <f>IF($AR88="","",IF($AR88=0,$AS88*EXP($AT88*2),$AS88*(1+$AR88*$AT88*2)^(1/$AR88)))</f>
        <v/>
      </c>
      <c r="AW88">
        <f>IF($AR88="","",IF($AR88=0,$AS88*EXP($AT88*3),$AS88*(1+$AR88*$AT88*3)^(1/$AR88)))</f>
        <v/>
      </c>
      <c r="AX88">
        <f>IF($AR88="","",IF($AR88=0,$AS88*EXP($AT88*-2),$AS88*(1+$AR88*$AT88*-2)^(1/$AR88)))</f>
        <v/>
      </c>
      <c r="AY88">
        <f>IF($AR88="","",IF($AR88=0,$AS88*EXP($AT88*-3),$AS88*(1+$AR88*$AT88*-3)^(1/$AR88)))</f>
        <v/>
      </c>
      <c r="AZ88">
        <f>IF(OR($A88="",$A88&lt;&gt;Ficha!$C$4),"",COUNTIF($A$2:$A88,Ficha!$C$4))</f>
        <v/>
      </c>
    </row>
    <row r="89">
      <c r="A89" s="8">
        <f>IF(INDEX(Banco!$A:$A,ROW())="","",INDEX(Banco!$A:$A,ROW()))</f>
        <v/>
      </c>
      <c r="B89" s="8">
        <f>IF(INDEX(Banco!$B:$B,ROW())="","",INDEX(Banco!$B:$B,ROW()))</f>
        <v/>
      </c>
      <c r="C89" s="8">
        <f>IF(INDEX(Banco!$C:$C,ROW())="","",INDEX(Banco!$C:$C,ROW()))</f>
        <v/>
      </c>
      <c r="D89" s="9">
        <f>IF(INDEX(Banco!$D:$D,ROW())="","",INDEX(Banco!$D:$D,ROW()))</f>
        <v/>
      </c>
      <c r="E89" s="9">
        <f>IF(INDEX(Banco!$E:$E,ROW())="","",INDEX(Banco!$E:$E,ROW()))</f>
        <v/>
      </c>
      <c r="F89" s="10">
        <f>IF(INDEX(Banco!$F:$F,ROW())="","",INDEX(Banco!$F:$F,ROW()))</f>
        <v/>
      </c>
      <c r="G89" s="10">
        <f>IF(INDEX(Banco!$G:$G,ROW())="","",INDEX(Banco!$G:$G,ROW()))</f>
        <v/>
      </c>
      <c r="H89" s="8">
        <f>IF(INDEX(Banco!$H:$H,ROW())="","",INDEX(Banco!$H:$H,ROW()))</f>
        <v/>
      </c>
      <c r="I89">
        <f>IF($T89="","",INT($T89/12)&amp;"a "&amp;MOD($T89,12)&amp;"m")</f>
        <v/>
      </c>
      <c r="J89" s="11">
        <f>IF(OR($F89="",$G89=""),"",ROUND($F89/($G89/100)^2,2))</f>
        <v/>
      </c>
      <c r="K89" s="12">
        <f>IF(OR($S89="",$J89="",$T89="",$T89&lt;0,$T89&gt;228,$Y89=""),"—",ROUND(IF(ABS($AB89)&lt;=3,$AB89,IF($AB89&gt;3,3+($J89-$AD89)/($AD89-$AC89),-3+($J89-$AF89)/($AE89-$AF89))),2))</f>
        <v/>
      </c>
      <c r="L89">
        <f>IF(OR($K89="",$K89="—"),"",IF($T89&lt;=60,IF($K89&lt;-3,"Magreza acentuada",IF($K89&lt;-2,"Magreza",IF($K89&lt;=1,"Eutrofia",IF($K89&lt;=2,"Risco de sobrepeso",IF($K89&lt;=3,"Sobrepeso","Obesidade"))))),IF($K89&lt;-3,"Magreza acentuada",IF($K89&lt;-2,"Magreza",IF($K89&lt;=1,"Eutrofia",IF($K89&lt;=2,"Sobrepeso",IF($K89&lt;=3,"Obesidade","Obesidade grave")))))))</f>
        <v/>
      </c>
      <c r="M89" s="12">
        <f>IF(OR($S89="",$V89="",$T89="",$T89&lt;0,$T89&gt;228,$AG89=""),"—",ROUND(IF($AG89=0,LN($V89/$AH89)/$AI89,((($V89/$AH89)^$AG89)-1)/($AG89*$AI89)),2))</f>
        <v/>
      </c>
      <c r="N89">
        <f>IF(OR($M89="",$M89="—"),"",IF($M89&lt;-3,"Muito baixa",IF($M89&lt;-2,"Baixa","Adequada")))</f>
        <v/>
      </c>
      <c r="O89" s="12">
        <f>IF(OR($S89="",$F89="",$T89="",$T89&lt;0,$T89&gt;120,$AJ89=""),"—",ROUND(IF(ABS($AM89)&lt;=3,$AM89,IF($AM89&gt;3,3+($F89-$AO89)/($AO89-$AN89),-3+($F89-$AQ89)/($AP89-$AQ89))),2))</f>
        <v/>
      </c>
      <c r="P89">
        <f>IF(OR($O89="",$O89="—"),"",IF($O89&lt;-3,"Muito baixo",IF($O89&lt;-2,"Baixo",IF($O89&lt;=2,"Adequado","Elevado"))))</f>
        <v/>
      </c>
      <c r="Q89" s="12">
        <f>IF(OR($S89="",$F89="",$T89="",$T89&lt;0,$T89&gt;60,$AR89=""),"—",ROUND(IF(ABS($AU89)&lt;=3,$AU89,IF($AU89&gt;3,3+($F89-$AW89)/($AW89-$AV89),-3+($F89-$AY89)/($AX89-$AY89))),2))</f>
        <v/>
      </c>
      <c r="R89">
        <f>IF(OR($Q89="",$Q89="—"),"",IF($Q89&lt;-3,"Magreza acentuada",IF($Q89&lt;-2,"Magreza",IF($Q89&lt;=1,"Eutrofia",IF($Q89&lt;=2,"Risco de sobrepeso",IF($Q89&lt;=3,"Sobrepeso","Obesidade"))))))</f>
        <v/>
      </c>
      <c r="S89">
        <f>IF($C89="","",IF(UPPER(LEFT($C89,1))="M",1,IF(UPPER(LEFT($C89,1))="F",2,"")))</f>
        <v/>
      </c>
      <c r="T89">
        <f>IF(OR($D89="",$E89=""),"",DATEDIF($D89,$E89,"m"))</f>
        <v/>
      </c>
      <c r="U89">
        <f>IF(OR($D89="",$E89=""),"",$E89-$D89)</f>
        <v/>
      </c>
      <c r="V89">
        <f>IF(OR($G89="",$T89=""),"",IF($T89&lt;24,IF(LEFT(LOWER($H89),4)="em p",$G89+0.7,$G89),IF(LEFT(LOWER($H89),4)="deit",$G89-0.7,$G89)))</f>
        <v/>
      </c>
      <c r="W89">
        <f>IF(OR($S89="",$T89=""),"",$S89*1000000+IF($T89&lt;=60,$U89,$T89))</f>
        <v/>
      </c>
      <c r="X89">
        <f>IF(OR($S89="",$V89="",$T89&gt;60,$T89=""),"",$S89*1000000+ROUND($V89*10,0))</f>
        <v/>
      </c>
      <c r="Y89">
        <f>IF($W89="","",IFERROR(INDEX(IF($T89&lt;=60,imc05_l,imc519_l),MATCH($W89,IF($T89&lt;=60,imc05_k,imc519_k),1)),""))</f>
        <v/>
      </c>
      <c r="Z89">
        <f>IF($W89="","",IFERROR(INDEX(IF($T89&lt;=60,imc05_m,imc519_m),MATCH($W89,IF($T89&lt;=60,imc05_k,imc519_k),1)),""))</f>
        <v/>
      </c>
      <c r="AA89">
        <f>IF($W89="","",IFERROR(INDEX(IF($T89&lt;=60,imc05_s,imc519_s),MATCH($W89,IF($T89&lt;=60,imc05_k,imc519_k),1)),""))</f>
        <v/>
      </c>
      <c r="AB89">
        <f>IF($Y89="","",IF($Y89=0,LN($J89/$Z89)/$AA89,((($J89/$Z89)^$Y89)-1)/($Y89*$AA89)))</f>
        <v/>
      </c>
      <c r="AC89">
        <f>IF($Y89="","",IF($Y89=0,$Z89*EXP($AA89*2),$Z89*(1+$Y89*$AA89*2)^(1/$Y89)))</f>
        <v/>
      </c>
      <c r="AD89">
        <f>IF($Y89="","",IF($Y89=0,$Z89*EXP($AA89*3),$Z89*(1+$Y89*$AA89*3)^(1/$Y89)))</f>
        <v/>
      </c>
      <c r="AE89">
        <f>IF($Y89="","",IF($Y89=0,$Z89*EXP($AA89*-2),$Z89*(1+$Y89*$AA89*-2)^(1/$Y89)))</f>
        <v/>
      </c>
      <c r="AF89">
        <f>IF($Y89="","",IF($Y89=0,$Z89*EXP($AA89*-3),$Z89*(1+$Y89*$AA89*-3)^(1/$Y89)))</f>
        <v/>
      </c>
      <c r="AG89">
        <f>IF($W89="","",IFERROR(INDEX(IF($T89&lt;=60,est05_l,est519_l),MATCH($W89,IF($T89&lt;=60,est05_k,est519_k),1)),""))</f>
        <v/>
      </c>
      <c r="AH89">
        <f>IF($W89="","",IFERROR(INDEX(IF($T89&lt;=60,est05_m,est519_m),MATCH($W89,IF($T89&lt;=60,est05_k,est519_k),1)),""))</f>
        <v/>
      </c>
      <c r="AI89">
        <f>IF($W89="","",IFERROR(INDEX(IF($T89&lt;=60,est05_s,est519_s),MATCH($W89,IF($T89&lt;=60,est05_k,est519_k),1)),""))</f>
        <v/>
      </c>
      <c r="AJ89">
        <f>IF($W89="","",IFERROR(INDEX(IF($T89&lt;=60,peso05_l,peso510_l),MATCH($W89,IF($T89&lt;=60,peso05_k,peso510_k),1)),""))</f>
        <v/>
      </c>
      <c r="AK89">
        <f>IF($W89="","",IFERROR(INDEX(IF($T89&lt;=60,peso05_m,peso510_m),MATCH($W89,IF($T89&lt;=60,peso05_k,peso510_k),1)),""))</f>
        <v/>
      </c>
      <c r="AL89">
        <f>IF($W89="","",IFERROR(INDEX(IF($T89&lt;=60,peso05_s,peso510_s),MATCH($W89,IF($T89&lt;=60,peso05_k,peso510_k),1)),""))</f>
        <v/>
      </c>
      <c r="AM89">
        <f>IF($AJ89="","",IF($AJ89=0,LN($F89/$AK89)/$AL89,((($F89/$AK89)^$AJ89)-1)/($AJ89*$AL89)))</f>
        <v/>
      </c>
      <c r="AN89">
        <f>IF($AJ89="","",IF($AJ89=0,$AK89*EXP($AL89*2),$AK89*(1+$AJ89*$AL89*2)^(1/$AJ89)))</f>
        <v/>
      </c>
      <c r="AO89">
        <f>IF($AJ89="","",IF($AJ89=0,$AK89*EXP($AL89*3),$AK89*(1+$AJ89*$AL89*3)^(1/$AJ89)))</f>
        <v/>
      </c>
      <c r="AP89">
        <f>IF($AJ89="","",IF($AJ89=0,$AK89*EXP($AL89*-2),$AK89*(1+$AJ89*$AL89*-2)^(1/$AJ89)))</f>
        <v/>
      </c>
      <c r="AQ89">
        <f>IF($AJ89="","",IF($AJ89=0,$AK89*EXP($AL89*-3),$AK89*(1+$AJ89*$AL89*-3)^(1/$AJ89)))</f>
        <v/>
      </c>
      <c r="AR89">
        <f>IF(OR($X89="",$T89&gt;60),"",IFERROR(INDEX(IF($T89&lt;24,pcomp_l,palt_l),MATCH($X89,IF($T89&lt;24,pcomp_k,palt_k),1)),""))</f>
        <v/>
      </c>
      <c r="AS89">
        <f>IF(OR($X89="",$T89&gt;60),"",IFERROR(INDEX(IF($T89&lt;24,pcomp_m,palt_m),MATCH($X89,IF($T89&lt;24,pcomp_k,palt_k),1)),""))</f>
        <v/>
      </c>
      <c r="AT89">
        <f>IF(OR($X89="",$T89&gt;60),"",IFERROR(INDEX(IF($T89&lt;24,pcomp_s,palt_s),MATCH($X89,IF($T89&lt;24,pcomp_k,palt_k),1)),""))</f>
        <v/>
      </c>
      <c r="AU89">
        <f>IF($AR89="","",IF($AR89=0,LN($F89/$AS89)/$AT89,((($F89/$AS89)^$AR89)-1)/($AR89*$AT89)))</f>
        <v/>
      </c>
      <c r="AV89">
        <f>IF($AR89="","",IF($AR89=0,$AS89*EXP($AT89*2),$AS89*(1+$AR89*$AT89*2)^(1/$AR89)))</f>
        <v/>
      </c>
      <c r="AW89">
        <f>IF($AR89="","",IF($AR89=0,$AS89*EXP($AT89*3),$AS89*(1+$AR89*$AT89*3)^(1/$AR89)))</f>
        <v/>
      </c>
      <c r="AX89">
        <f>IF($AR89="","",IF($AR89=0,$AS89*EXP($AT89*-2),$AS89*(1+$AR89*$AT89*-2)^(1/$AR89)))</f>
        <v/>
      </c>
      <c r="AY89">
        <f>IF($AR89="","",IF($AR89=0,$AS89*EXP($AT89*-3),$AS89*(1+$AR89*$AT89*-3)^(1/$AR89)))</f>
        <v/>
      </c>
      <c r="AZ89">
        <f>IF(OR($A89="",$A89&lt;&gt;Ficha!$C$4),"",COUNTIF($A$2:$A89,Ficha!$C$4))</f>
        <v/>
      </c>
    </row>
    <row r="90">
      <c r="A90" s="8">
        <f>IF(INDEX(Banco!$A:$A,ROW())="","",INDEX(Banco!$A:$A,ROW()))</f>
        <v/>
      </c>
      <c r="B90" s="8">
        <f>IF(INDEX(Banco!$B:$B,ROW())="","",INDEX(Banco!$B:$B,ROW()))</f>
        <v/>
      </c>
      <c r="C90" s="8">
        <f>IF(INDEX(Banco!$C:$C,ROW())="","",INDEX(Banco!$C:$C,ROW()))</f>
        <v/>
      </c>
      <c r="D90" s="9">
        <f>IF(INDEX(Banco!$D:$D,ROW())="","",INDEX(Banco!$D:$D,ROW()))</f>
        <v/>
      </c>
      <c r="E90" s="9">
        <f>IF(INDEX(Banco!$E:$E,ROW())="","",INDEX(Banco!$E:$E,ROW()))</f>
        <v/>
      </c>
      <c r="F90" s="10">
        <f>IF(INDEX(Banco!$F:$F,ROW())="","",INDEX(Banco!$F:$F,ROW()))</f>
        <v/>
      </c>
      <c r="G90" s="10">
        <f>IF(INDEX(Banco!$G:$G,ROW())="","",INDEX(Banco!$G:$G,ROW()))</f>
        <v/>
      </c>
      <c r="H90" s="8">
        <f>IF(INDEX(Banco!$H:$H,ROW())="","",INDEX(Banco!$H:$H,ROW()))</f>
        <v/>
      </c>
      <c r="I90">
        <f>IF($T90="","",INT($T90/12)&amp;"a "&amp;MOD($T90,12)&amp;"m")</f>
        <v/>
      </c>
      <c r="J90" s="11">
        <f>IF(OR($F90="",$G90=""),"",ROUND($F90/($G90/100)^2,2))</f>
        <v/>
      </c>
      <c r="K90" s="12">
        <f>IF(OR($S90="",$J90="",$T90="",$T90&lt;0,$T90&gt;228,$Y90=""),"—",ROUND(IF(ABS($AB90)&lt;=3,$AB90,IF($AB90&gt;3,3+($J90-$AD90)/($AD90-$AC90),-3+($J90-$AF90)/($AE90-$AF90))),2))</f>
        <v/>
      </c>
      <c r="L90">
        <f>IF(OR($K90="",$K90="—"),"",IF($T90&lt;=60,IF($K90&lt;-3,"Magreza acentuada",IF($K90&lt;-2,"Magreza",IF($K90&lt;=1,"Eutrofia",IF($K90&lt;=2,"Risco de sobrepeso",IF($K90&lt;=3,"Sobrepeso","Obesidade"))))),IF($K90&lt;-3,"Magreza acentuada",IF($K90&lt;-2,"Magreza",IF($K90&lt;=1,"Eutrofia",IF($K90&lt;=2,"Sobrepeso",IF($K90&lt;=3,"Obesidade","Obesidade grave")))))))</f>
        <v/>
      </c>
      <c r="M90" s="12">
        <f>IF(OR($S90="",$V90="",$T90="",$T90&lt;0,$T90&gt;228,$AG90=""),"—",ROUND(IF($AG90=0,LN($V90/$AH90)/$AI90,((($V90/$AH90)^$AG90)-1)/($AG90*$AI90)),2))</f>
        <v/>
      </c>
      <c r="N90">
        <f>IF(OR($M90="",$M90="—"),"",IF($M90&lt;-3,"Muito baixa",IF($M90&lt;-2,"Baixa","Adequada")))</f>
        <v/>
      </c>
      <c r="O90" s="12">
        <f>IF(OR($S90="",$F90="",$T90="",$T90&lt;0,$T90&gt;120,$AJ90=""),"—",ROUND(IF(ABS($AM90)&lt;=3,$AM90,IF($AM90&gt;3,3+($F90-$AO90)/($AO90-$AN90),-3+($F90-$AQ90)/($AP90-$AQ90))),2))</f>
        <v/>
      </c>
      <c r="P90">
        <f>IF(OR($O90="",$O90="—"),"",IF($O90&lt;-3,"Muito baixo",IF($O90&lt;-2,"Baixo",IF($O90&lt;=2,"Adequado","Elevado"))))</f>
        <v/>
      </c>
      <c r="Q90" s="12">
        <f>IF(OR($S90="",$F90="",$T90="",$T90&lt;0,$T90&gt;60,$AR90=""),"—",ROUND(IF(ABS($AU90)&lt;=3,$AU90,IF($AU90&gt;3,3+($F90-$AW90)/($AW90-$AV90),-3+($F90-$AY90)/($AX90-$AY90))),2))</f>
        <v/>
      </c>
      <c r="R90">
        <f>IF(OR($Q90="",$Q90="—"),"",IF($Q90&lt;-3,"Magreza acentuada",IF($Q90&lt;-2,"Magreza",IF($Q90&lt;=1,"Eutrofia",IF($Q90&lt;=2,"Risco de sobrepeso",IF($Q90&lt;=3,"Sobrepeso","Obesidade"))))))</f>
        <v/>
      </c>
      <c r="S90">
        <f>IF($C90="","",IF(UPPER(LEFT($C90,1))="M",1,IF(UPPER(LEFT($C90,1))="F",2,"")))</f>
        <v/>
      </c>
      <c r="T90">
        <f>IF(OR($D90="",$E90=""),"",DATEDIF($D90,$E90,"m"))</f>
        <v/>
      </c>
      <c r="U90">
        <f>IF(OR($D90="",$E90=""),"",$E90-$D90)</f>
        <v/>
      </c>
      <c r="V90">
        <f>IF(OR($G90="",$T90=""),"",IF($T90&lt;24,IF(LEFT(LOWER($H90),4)="em p",$G90+0.7,$G90),IF(LEFT(LOWER($H90),4)="deit",$G90-0.7,$G90)))</f>
        <v/>
      </c>
      <c r="W90">
        <f>IF(OR($S90="",$T90=""),"",$S90*1000000+IF($T90&lt;=60,$U90,$T90))</f>
        <v/>
      </c>
      <c r="X90">
        <f>IF(OR($S90="",$V90="",$T90&gt;60,$T90=""),"",$S90*1000000+ROUND($V90*10,0))</f>
        <v/>
      </c>
      <c r="Y90">
        <f>IF($W90="","",IFERROR(INDEX(IF($T90&lt;=60,imc05_l,imc519_l),MATCH($W90,IF($T90&lt;=60,imc05_k,imc519_k),1)),""))</f>
        <v/>
      </c>
      <c r="Z90">
        <f>IF($W90="","",IFERROR(INDEX(IF($T90&lt;=60,imc05_m,imc519_m),MATCH($W90,IF($T90&lt;=60,imc05_k,imc519_k),1)),""))</f>
        <v/>
      </c>
      <c r="AA90">
        <f>IF($W90="","",IFERROR(INDEX(IF($T90&lt;=60,imc05_s,imc519_s),MATCH($W90,IF($T90&lt;=60,imc05_k,imc519_k),1)),""))</f>
        <v/>
      </c>
      <c r="AB90">
        <f>IF($Y90="","",IF($Y90=0,LN($J90/$Z90)/$AA90,((($J90/$Z90)^$Y90)-1)/($Y90*$AA90)))</f>
        <v/>
      </c>
      <c r="AC90">
        <f>IF($Y90="","",IF($Y90=0,$Z90*EXP($AA90*2),$Z90*(1+$Y90*$AA90*2)^(1/$Y90)))</f>
        <v/>
      </c>
      <c r="AD90">
        <f>IF($Y90="","",IF($Y90=0,$Z90*EXP($AA90*3),$Z90*(1+$Y90*$AA90*3)^(1/$Y90)))</f>
        <v/>
      </c>
      <c r="AE90">
        <f>IF($Y90="","",IF($Y90=0,$Z90*EXP($AA90*-2),$Z90*(1+$Y90*$AA90*-2)^(1/$Y90)))</f>
        <v/>
      </c>
      <c r="AF90">
        <f>IF($Y90="","",IF($Y90=0,$Z90*EXP($AA90*-3),$Z90*(1+$Y90*$AA90*-3)^(1/$Y90)))</f>
        <v/>
      </c>
      <c r="AG90">
        <f>IF($W90="","",IFERROR(INDEX(IF($T90&lt;=60,est05_l,est519_l),MATCH($W90,IF($T90&lt;=60,est05_k,est519_k),1)),""))</f>
        <v/>
      </c>
      <c r="AH90">
        <f>IF($W90="","",IFERROR(INDEX(IF($T90&lt;=60,est05_m,est519_m),MATCH($W90,IF($T90&lt;=60,est05_k,est519_k),1)),""))</f>
        <v/>
      </c>
      <c r="AI90">
        <f>IF($W90="","",IFERROR(INDEX(IF($T90&lt;=60,est05_s,est519_s),MATCH($W90,IF($T90&lt;=60,est05_k,est519_k),1)),""))</f>
        <v/>
      </c>
      <c r="AJ90">
        <f>IF($W90="","",IFERROR(INDEX(IF($T90&lt;=60,peso05_l,peso510_l),MATCH($W90,IF($T90&lt;=60,peso05_k,peso510_k),1)),""))</f>
        <v/>
      </c>
      <c r="AK90">
        <f>IF($W90="","",IFERROR(INDEX(IF($T90&lt;=60,peso05_m,peso510_m),MATCH($W90,IF($T90&lt;=60,peso05_k,peso510_k),1)),""))</f>
        <v/>
      </c>
      <c r="AL90">
        <f>IF($W90="","",IFERROR(INDEX(IF($T90&lt;=60,peso05_s,peso510_s),MATCH($W90,IF($T90&lt;=60,peso05_k,peso510_k),1)),""))</f>
        <v/>
      </c>
      <c r="AM90">
        <f>IF($AJ90="","",IF($AJ90=0,LN($F90/$AK90)/$AL90,((($F90/$AK90)^$AJ90)-1)/($AJ90*$AL90)))</f>
        <v/>
      </c>
      <c r="AN90">
        <f>IF($AJ90="","",IF($AJ90=0,$AK90*EXP($AL90*2),$AK90*(1+$AJ90*$AL90*2)^(1/$AJ90)))</f>
        <v/>
      </c>
      <c r="AO90">
        <f>IF($AJ90="","",IF($AJ90=0,$AK90*EXP($AL90*3),$AK90*(1+$AJ90*$AL90*3)^(1/$AJ90)))</f>
        <v/>
      </c>
      <c r="AP90">
        <f>IF($AJ90="","",IF($AJ90=0,$AK90*EXP($AL90*-2),$AK90*(1+$AJ90*$AL90*-2)^(1/$AJ90)))</f>
        <v/>
      </c>
      <c r="AQ90">
        <f>IF($AJ90="","",IF($AJ90=0,$AK90*EXP($AL90*-3),$AK90*(1+$AJ90*$AL90*-3)^(1/$AJ90)))</f>
        <v/>
      </c>
      <c r="AR90">
        <f>IF(OR($X90="",$T90&gt;60),"",IFERROR(INDEX(IF($T90&lt;24,pcomp_l,palt_l),MATCH($X90,IF($T90&lt;24,pcomp_k,palt_k),1)),""))</f>
        <v/>
      </c>
      <c r="AS90">
        <f>IF(OR($X90="",$T90&gt;60),"",IFERROR(INDEX(IF($T90&lt;24,pcomp_m,palt_m),MATCH($X90,IF($T90&lt;24,pcomp_k,palt_k),1)),""))</f>
        <v/>
      </c>
      <c r="AT90">
        <f>IF(OR($X90="",$T90&gt;60),"",IFERROR(INDEX(IF($T90&lt;24,pcomp_s,palt_s),MATCH($X90,IF($T90&lt;24,pcomp_k,palt_k),1)),""))</f>
        <v/>
      </c>
      <c r="AU90">
        <f>IF($AR90="","",IF($AR90=0,LN($F90/$AS90)/$AT90,((($F90/$AS90)^$AR90)-1)/($AR90*$AT90)))</f>
        <v/>
      </c>
      <c r="AV90">
        <f>IF($AR90="","",IF($AR90=0,$AS90*EXP($AT90*2),$AS90*(1+$AR90*$AT90*2)^(1/$AR90)))</f>
        <v/>
      </c>
      <c r="AW90">
        <f>IF($AR90="","",IF($AR90=0,$AS90*EXP($AT90*3),$AS90*(1+$AR90*$AT90*3)^(1/$AR90)))</f>
        <v/>
      </c>
      <c r="AX90">
        <f>IF($AR90="","",IF($AR90=0,$AS90*EXP($AT90*-2),$AS90*(1+$AR90*$AT90*-2)^(1/$AR90)))</f>
        <v/>
      </c>
      <c r="AY90">
        <f>IF($AR90="","",IF($AR90=0,$AS90*EXP($AT90*-3),$AS90*(1+$AR90*$AT90*-3)^(1/$AR90)))</f>
        <v/>
      </c>
      <c r="AZ90">
        <f>IF(OR($A90="",$A90&lt;&gt;Ficha!$C$4),"",COUNTIF($A$2:$A90,Ficha!$C$4))</f>
        <v/>
      </c>
    </row>
    <row r="91">
      <c r="A91" s="8">
        <f>IF(INDEX(Banco!$A:$A,ROW())="","",INDEX(Banco!$A:$A,ROW()))</f>
        <v/>
      </c>
      <c r="B91" s="8">
        <f>IF(INDEX(Banco!$B:$B,ROW())="","",INDEX(Banco!$B:$B,ROW()))</f>
        <v/>
      </c>
      <c r="C91" s="8">
        <f>IF(INDEX(Banco!$C:$C,ROW())="","",INDEX(Banco!$C:$C,ROW()))</f>
        <v/>
      </c>
      <c r="D91" s="9">
        <f>IF(INDEX(Banco!$D:$D,ROW())="","",INDEX(Banco!$D:$D,ROW()))</f>
        <v/>
      </c>
      <c r="E91" s="9">
        <f>IF(INDEX(Banco!$E:$E,ROW())="","",INDEX(Banco!$E:$E,ROW()))</f>
        <v/>
      </c>
      <c r="F91" s="10">
        <f>IF(INDEX(Banco!$F:$F,ROW())="","",INDEX(Banco!$F:$F,ROW()))</f>
        <v/>
      </c>
      <c r="G91" s="10">
        <f>IF(INDEX(Banco!$G:$G,ROW())="","",INDEX(Banco!$G:$G,ROW()))</f>
        <v/>
      </c>
      <c r="H91" s="8">
        <f>IF(INDEX(Banco!$H:$H,ROW())="","",INDEX(Banco!$H:$H,ROW()))</f>
        <v/>
      </c>
      <c r="I91">
        <f>IF($T91="","",INT($T91/12)&amp;"a "&amp;MOD($T91,12)&amp;"m")</f>
        <v/>
      </c>
      <c r="J91" s="11">
        <f>IF(OR($F91="",$G91=""),"",ROUND($F91/($G91/100)^2,2))</f>
        <v/>
      </c>
      <c r="K91" s="12">
        <f>IF(OR($S91="",$J91="",$T91="",$T91&lt;0,$T91&gt;228,$Y91=""),"—",ROUND(IF(ABS($AB91)&lt;=3,$AB91,IF($AB91&gt;3,3+($J91-$AD91)/($AD91-$AC91),-3+($J91-$AF91)/($AE91-$AF91))),2))</f>
        <v/>
      </c>
      <c r="L91">
        <f>IF(OR($K91="",$K91="—"),"",IF($T91&lt;=60,IF($K91&lt;-3,"Magreza acentuada",IF($K91&lt;-2,"Magreza",IF($K91&lt;=1,"Eutrofia",IF($K91&lt;=2,"Risco de sobrepeso",IF($K91&lt;=3,"Sobrepeso","Obesidade"))))),IF($K91&lt;-3,"Magreza acentuada",IF($K91&lt;-2,"Magreza",IF($K91&lt;=1,"Eutrofia",IF($K91&lt;=2,"Sobrepeso",IF($K91&lt;=3,"Obesidade","Obesidade grave")))))))</f>
        <v/>
      </c>
      <c r="M91" s="12">
        <f>IF(OR($S91="",$V91="",$T91="",$T91&lt;0,$T91&gt;228,$AG91=""),"—",ROUND(IF($AG91=0,LN($V91/$AH91)/$AI91,((($V91/$AH91)^$AG91)-1)/($AG91*$AI91)),2))</f>
        <v/>
      </c>
      <c r="N91">
        <f>IF(OR($M91="",$M91="—"),"",IF($M91&lt;-3,"Muito baixa",IF($M91&lt;-2,"Baixa","Adequada")))</f>
        <v/>
      </c>
      <c r="O91" s="12">
        <f>IF(OR($S91="",$F91="",$T91="",$T91&lt;0,$T91&gt;120,$AJ91=""),"—",ROUND(IF(ABS($AM91)&lt;=3,$AM91,IF($AM91&gt;3,3+($F91-$AO91)/($AO91-$AN91),-3+($F91-$AQ91)/($AP91-$AQ91))),2))</f>
        <v/>
      </c>
      <c r="P91">
        <f>IF(OR($O91="",$O91="—"),"",IF($O91&lt;-3,"Muito baixo",IF($O91&lt;-2,"Baixo",IF($O91&lt;=2,"Adequado","Elevado"))))</f>
        <v/>
      </c>
      <c r="Q91" s="12">
        <f>IF(OR($S91="",$F91="",$T91="",$T91&lt;0,$T91&gt;60,$AR91=""),"—",ROUND(IF(ABS($AU91)&lt;=3,$AU91,IF($AU91&gt;3,3+($F91-$AW91)/($AW91-$AV91),-3+($F91-$AY91)/($AX91-$AY91))),2))</f>
        <v/>
      </c>
      <c r="R91">
        <f>IF(OR($Q91="",$Q91="—"),"",IF($Q91&lt;-3,"Magreza acentuada",IF($Q91&lt;-2,"Magreza",IF($Q91&lt;=1,"Eutrofia",IF($Q91&lt;=2,"Risco de sobrepeso",IF($Q91&lt;=3,"Sobrepeso","Obesidade"))))))</f>
        <v/>
      </c>
      <c r="S91">
        <f>IF($C91="","",IF(UPPER(LEFT($C91,1))="M",1,IF(UPPER(LEFT($C91,1))="F",2,"")))</f>
        <v/>
      </c>
      <c r="T91">
        <f>IF(OR($D91="",$E91=""),"",DATEDIF($D91,$E91,"m"))</f>
        <v/>
      </c>
      <c r="U91">
        <f>IF(OR($D91="",$E91=""),"",$E91-$D91)</f>
        <v/>
      </c>
      <c r="V91">
        <f>IF(OR($G91="",$T91=""),"",IF($T91&lt;24,IF(LEFT(LOWER($H91),4)="em p",$G91+0.7,$G91),IF(LEFT(LOWER($H91),4)="deit",$G91-0.7,$G91)))</f>
        <v/>
      </c>
      <c r="W91">
        <f>IF(OR($S91="",$T91=""),"",$S91*1000000+IF($T91&lt;=60,$U91,$T91))</f>
        <v/>
      </c>
      <c r="X91">
        <f>IF(OR($S91="",$V91="",$T91&gt;60,$T91=""),"",$S91*1000000+ROUND($V91*10,0))</f>
        <v/>
      </c>
      <c r="Y91">
        <f>IF($W91="","",IFERROR(INDEX(IF($T91&lt;=60,imc05_l,imc519_l),MATCH($W91,IF($T91&lt;=60,imc05_k,imc519_k),1)),""))</f>
        <v/>
      </c>
      <c r="Z91">
        <f>IF($W91="","",IFERROR(INDEX(IF($T91&lt;=60,imc05_m,imc519_m),MATCH($W91,IF($T91&lt;=60,imc05_k,imc519_k),1)),""))</f>
        <v/>
      </c>
      <c r="AA91">
        <f>IF($W91="","",IFERROR(INDEX(IF($T91&lt;=60,imc05_s,imc519_s),MATCH($W91,IF($T91&lt;=60,imc05_k,imc519_k),1)),""))</f>
        <v/>
      </c>
      <c r="AB91">
        <f>IF($Y91="","",IF($Y91=0,LN($J91/$Z91)/$AA91,((($J91/$Z91)^$Y91)-1)/($Y91*$AA91)))</f>
        <v/>
      </c>
      <c r="AC91">
        <f>IF($Y91="","",IF($Y91=0,$Z91*EXP($AA91*2),$Z91*(1+$Y91*$AA91*2)^(1/$Y91)))</f>
        <v/>
      </c>
      <c r="AD91">
        <f>IF($Y91="","",IF($Y91=0,$Z91*EXP($AA91*3),$Z91*(1+$Y91*$AA91*3)^(1/$Y91)))</f>
        <v/>
      </c>
      <c r="AE91">
        <f>IF($Y91="","",IF($Y91=0,$Z91*EXP($AA91*-2),$Z91*(1+$Y91*$AA91*-2)^(1/$Y91)))</f>
        <v/>
      </c>
      <c r="AF91">
        <f>IF($Y91="","",IF($Y91=0,$Z91*EXP($AA91*-3),$Z91*(1+$Y91*$AA91*-3)^(1/$Y91)))</f>
        <v/>
      </c>
      <c r="AG91">
        <f>IF($W91="","",IFERROR(INDEX(IF($T91&lt;=60,est05_l,est519_l),MATCH($W91,IF($T91&lt;=60,est05_k,est519_k),1)),""))</f>
        <v/>
      </c>
      <c r="AH91">
        <f>IF($W91="","",IFERROR(INDEX(IF($T91&lt;=60,est05_m,est519_m),MATCH($W91,IF($T91&lt;=60,est05_k,est519_k),1)),""))</f>
        <v/>
      </c>
      <c r="AI91">
        <f>IF($W91="","",IFERROR(INDEX(IF($T91&lt;=60,est05_s,est519_s),MATCH($W91,IF($T91&lt;=60,est05_k,est519_k),1)),""))</f>
        <v/>
      </c>
      <c r="AJ91">
        <f>IF($W91="","",IFERROR(INDEX(IF($T91&lt;=60,peso05_l,peso510_l),MATCH($W91,IF($T91&lt;=60,peso05_k,peso510_k),1)),""))</f>
        <v/>
      </c>
      <c r="AK91">
        <f>IF($W91="","",IFERROR(INDEX(IF($T91&lt;=60,peso05_m,peso510_m),MATCH($W91,IF($T91&lt;=60,peso05_k,peso510_k),1)),""))</f>
        <v/>
      </c>
      <c r="AL91">
        <f>IF($W91="","",IFERROR(INDEX(IF($T91&lt;=60,peso05_s,peso510_s),MATCH($W91,IF($T91&lt;=60,peso05_k,peso510_k),1)),""))</f>
        <v/>
      </c>
      <c r="AM91">
        <f>IF($AJ91="","",IF($AJ91=0,LN($F91/$AK91)/$AL91,((($F91/$AK91)^$AJ91)-1)/($AJ91*$AL91)))</f>
        <v/>
      </c>
      <c r="AN91">
        <f>IF($AJ91="","",IF($AJ91=0,$AK91*EXP($AL91*2),$AK91*(1+$AJ91*$AL91*2)^(1/$AJ91)))</f>
        <v/>
      </c>
      <c r="AO91">
        <f>IF($AJ91="","",IF($AJ91=0,$AK91*EXP($AL91*3),$AK91*(1+$AJ91*$AL91*3)^(1/$AJ91)))</f>
        <v/>
      </c>
      <c r="AP91">
        <f>IF($AJ91="","",IF($AJ91=0,$AK91*EXP($AL91*-2),$AK91*(1+$AJ91*$AL91*-2)^(1/$AJ91)))</f>
        <v/>
      </c>
      <c r="AQ91">
        <f>IF($AJ91="","",IF($AJ91=0,$AK91*EXP($AL91*-3),$AK91*(1+$AJ91*$AL91*-3)^(1/$AJ91)))</f>
        <v/>
      </c>
      <c r="AR91">
        <f>IF(OR($X91="",$T91&gt;60),"",IFERROR(INDEX(IF($T91&lt;24,pcomp_l,palt_l),MATCH($X91,IF($T91&lt;24,pcomp_k,palt_k),1)),""))</f>
        <v/>
      </c>
      <c r="AS91">
        <f>IF(OR($X91="",$T91&gt;60),"",IFERROR(INDEX(IF($T91&lt;24,pcomp_m,palt_m),MATCH($X91,IF($T91&lt;24,pcomp_k,palt_k),1)),""))</f>
        <v/>
      </c>
      <c r="AT91">
        <f>IF(OR($X91="",$T91&gt;60),"",IFERROR(INDEX(IF($T91&lt;24,pcomp_s,palt_s),MATCH($X91,IF($T91&lt;24,pcomp_k,palt_k),1)),""))</f>
        <v/>
      </c>
      <c r="AU91">
        <f>IF($AR91="","",IF($AR91=0,LN($F91/$AS91)/$AT91,((($F91/$AS91)^$AR91)-1)/($AR91*$AT91)))</f>
        <v/>
      </c>
      <c r="AV91">
        <f>IF($AR91="","",IF($AR91=0,$AS91*EXP($AT91*2),$AS91*(1+$AR91*$AT91*2)^(1/$AR91)))</f>
        <v/>
      </c>
      <c r="AW91">
        <f>IF($AR91="","",IF($AR91=0,$AS91*EXP($AT91*3),$AS91*(1+$AR91*$AT91*3)^(1/$AR91)))</f>
        <v/>
      </c>
      <c r="AX91">
        <f>IF($AR91="","",IF($AR91=0,$AS91*EXP($AT91*-2),$AS91*(1+$AR91*$AT91*-2)^(1/$AR91)))</f>
        <v/>
      </c>
      <c r="AY91">
        <f>IF($AR91="","",IF($AR91=0,$AS91*EXP($AT91*-3),$AS91*(1+$AR91*$AT91*-3)^(1/$AR91)))</f>
        <v/>
      </c>
      <c r="AZ91">
        <f>IF(OR($A91="",$A91&lt;&gt;Ficha!$C$4),"",COUNTIF($A$2:$A91,Ficha!$C$4))</f>
        <v/>
      </c>
    </row>
    <row r="92">
      <c r="A92" s="8">
        <f>IF(INDEX(Banco!$A:$A,ROW())="","",INDEX(Banco!$A:$A,ROW()))</f>
        <v/>
      </c>
      <c r="B92" s="8">
        <f>IF(INDEX(Banco!$B:$B,ROW())="","",INDEX(Banco!$B:$B,ROW()))</f>
        <v/>
      </c>
      <c r="C92" s="8">
        <f>IF(INDEX(Banco!$C:$C,ROW())="","",INDEX(Banco!$C:$C,ROW()))</f>
        <v/>
      </c>
      <c r="D92" s="9">
        <f>IF(INDEX(Banco!$D:$D,ROW())="","",INDEX(Banco!$D:$D,ROW()))</f>
        <v/>
      </c>
      <c r="E92" s="9">
        <f>IF(INDEX(Banco!$E:$E,ROW())="","",INDEX(Banco!$E:$E,ROW()))</f>
        <v/>
      </c>
      <c r="F92" s="10">
        <f>IF(INDEX(Banco!$F:$F,ROW())="","",INDEX(Banco!$F:$F,ROW()))</f>
        <v/>
      </c>
      <c r="G92" s="10">
        <f>IF(INDEX(Banco!$G:$G,ROW())="","",INDEX(Banco!$G:$G,ROW()))</f>
        <v/>
      </c>
      <c r="H92" s="8">
        <f>IF(INDEX(Banco!$H:$H,ROW())="","",INDEX(Banco!$H:$H,ROW()))</f>
        <v/>
      </c>
      <c r="I92">
        <f>IF($T92="","",INT($T92/12)&amp;"a "&amp;MOD($T92,12)&amp;"m")</f>
        <v/>
      </c>
      <c r="J92" s="11">
        <f>IF(OR($F92="",$G92=""),"",ROUND($F92/($G92/100)^2,2))</f>
        <v/>
      </c>
      <c r="K92" s="12">
        <f>IF(OR($S92="",$J92="",$T92="",$T92&lt;0,$T92&gt;228,$Y92=""),"—",ROUND(IF(ABS($AB92)&lt;=3,$AB92,IF($AB92&gt;3,3+($J92-$AD92)/($AD92-$AC92),-3+($J92-$AF92)/($AE92-$AF92))),2))</f>
        <v/>
      </c>
      <c r="L92">
        <f>IF(OR($K92="",$K92="—"),"",IF($T92&lt;=60,IF($K92&lt;-3,"Magreza acentuada",IF($K92&lt;-2,"Magreza",IF($K92&lt;=1,"Eutrofia",IF($K92&lt;=2,"Risco de sobrepeso",IF($K92&lt;=3,"Sobrepeso","Obesidade"))))),IF($K92&lt;-3,"Magreza acentuada",IF($K92&lt;-2,"Magreza",IF($K92&lt;=1,"Eutrofia",IF($K92&lt;=2,"Sobrepeso",IF($K92&lt;=3,"Obesidade","Obesidade grave")))))))</f>
        <v/>
      </c>
      <c r="M92" s="12">
        <f>IF(OR($S92="",$V92="",$T92="",$T92&lt;0,$T92&gt;228,$AG92=""),"—",ROUND(IF($AG92=0,LN($V92/$AH92)/$AI92,((($V92/$AH92)^$AG92)-1)/($AG92*$AI92)),2))</f>
        <v/>
      </c>
      <c r="N92">
        <f>IF(OR($M92="",$M92="—"),"",IF($M92&lt;-3,"Muito baixa",IF($M92&lt;-2,"Baixa","Adequada")))</f>
        <v/>
      </c>
      <c r="O92" s="12">
        <f>IF(OR($S92="",$F92="",$T92="",$T92&lt;0,$T92&gt;120,$AJ92=""),"—",ROUND(IF(ABS($AM92)&lt;=3,$AM92,IF($AM92&gt;3,3+($F92-$AO92)/($AO92-$AN92),-3+($F92-$AQ92)/($AP92-$AQ92))),2))</f>
        <v/>
      </c>
      <c r="P92">
        <f>IF(OR($O92="",$O92="—"),"",IF($O92&lt;-3,"Muito baixo",IF($O92&lt;-2,"Baixo",IF($O92&lt;=2,"Adequado","Elevado"))))</f>
        <v/>
      </c>
      <c r="Q92" s="12">
        <f>IF(OR($S92="",$F92="",$T92="",$T92&lt;0,$T92&gt;60,$AR92=""),"—",ROUND(IF(ABS($AU92)&lt;=3,$AU92,IF($AU92&gt;3,3+($F92-$AW92)/($AW92-$AV92),-3+($F92-$AY92)/($AX92-$AY92))),2))</f>
        <v/>
      </c>
      <c r="R92">
        <f>IF(OR($Q92="",$Q92="—"),"",IF($Q92&lt;-3,"Magreza acentuada",IF($Q92&lt;-2,"Magreza",IF($Q92&lt;=1,"Eutrofia",IF($Q92&lt;=2,"Risco de sobrepeso",IF($Q92&lt;=3,"Sobrepeso","Obesidade"))))))</f>
        <v/>
      </c>
      <c r="S92">
        <f>IF($C92="","",IF(UPPER(LEFT($C92,1))="M",1,IF(UPPER(LEFT($C92,1))="F",2,"")))</f>
        <v/>
      </c>
      <c r="T92">
        <f>IF(OR($D92="",$E92=""),"",DATEDIF($D92,$E92,"m"))</f>
        <v/>
      </c>
      <c r="U92">
        <f>IF(OR($D92="",$E92=""),"",$E92-$D92)</f>
        <v/>
      </c>
      <c r="V92">
        <f>IF(OR($G92="",$T92=""),"",IF($T92&lt;24,IF(LEFT(LOWER($H92),4)="em p",$G92+0.7,$G92),IF(LEFT(LOWER($H92),4)="deit",$G92-0.7,$G92)))</f>
        <v/>
      </c>
      <c r="W92">
        <f>IF(OR($S92="",$T92=""),"",$S92*1000000+IF($T92&lt;=60,$U92,$T92))</f>
        <v/>
      </c>
      <c r="X92">
        <f>IF(OR($S92="",$V92="",$T92&gt;60,$T92=""),"",$S92*1000000+ROUND($V92*10,0))</f>
        <v/>
      </c>
      <c r="Y92">
        <f>IF($W92="","",IFERROR(INDEX(IF($T92&lt;=60,imc05_l,imc519_l),MATCH($W92,IF($T92&lt;=60,imc05_k,imc519_k),1)),""))</f>
        <v/>
      </c>
      <c r="Z92">
        <f>IF($W92="","",IFERROR(INDEX(IF($T92&lt;=60,imc05_m,imc519_m),MATCH($W92,IF($T92&lt;=60,imc05_k,imc519_k),1)),""))</f>
        <v/>
      </c>
      <c r="AA92">
        <f>IF($W92="","",IFERROR(INDEX(IF($T92&lt;=60,imc05_s,imc519_s),MATCH($W92,IF($T92&lt;=60,imc05_k,imc519_k),1)),""))</f>
        <v/>
      </c>
      <c r="AB92">
        <f>IF($Y92="","",IF($Y92=0,LN($J92/$Z92)/$AA92,((($J92/$Z92)^$Y92)-1)/($Y92*$AA92)))</f>
        <v/>
      </c>
      <c r="AC92">
        <f>IF($Y92="","",IF($Y92=0,$Z92*EXP($AA92*2),$Z92*(1+$Y92*$AA92*2)^(1/$Y92)))</f>
        <v/>
      </c>
      <c r="AD92">
        <f>IF($Y92="","",IF($Y92=0,$Z92*EXP($AA92*3),$Z92*(1+$Y92*$AA92*3)^(1/$Y92)))</f>
        <v/>
      </c>
      <c r="AE92">
        <f>IF($Y92="","",IF($Y92=0,$Z92*EXP($AA92*-2),$Z92*(1+$Y92*$AA92*-2)^(1/$Y92)))</f>
        <v/>
      </c>
      <c r="AF92">
        <f>IF($Y92="","",IF($Y92=0,$Z92*EXP($AA92*-3),$Z92*(1+$Y92*$AA92*-3)^(1/$Y92)))</f>
        <v/>
      </c>
      <c r="AG92">
        <f>IF($W92="","",IFERROR(INDEX(IF($T92&lt;=60,est05_l,est519_l),MATCH($W92,IF($T92&lt;=60,est05_k,est519_k),1)),""))</f>
        <v/>
      </c>
      <c r="AH92">
        <f>IF($W92="","",IFERROR(INDEX(IF($T92&lt;=60,est05_m,est519_m),MATCH($W92,IF($T92&lt;=60,est05_k,est519_k),1)),""))</f>
        <v/>
      </c>
      <c r="AI92">
        <f>IF($W92="","",IFERROR(INDEX(IF($T92&lt;=60,est05_s,est519_s),MATCH($W92,IF($T92&lt;=60,est05_k,est519_k),1)),""))</f>
        <v/>
      </c>
      <c r="AJ92">
        <f>IF($W92="","",IFERROR(INDEX(IF($T92&lt;=60,peso05_l,peso510_l),MATCH($W92,IF($T92&lt;=60,peso05_k,peso510_k),1)),""))</f>
        <v/>
      </c>
      <c r="AK92">
        <f>IF($W92="","",IFERROR(INDEX(IF($T92&lt;=60,peso05_m,peso510_m),MATCH($W92,IF($T92&lt;=60,peso05_k,peso510_k),1)),""))</f>
        <v/>
      </c>
      <c r="AL92">
        <f>IF($W92="","",IFERROR(INDEX(IF($T92&lt;=60,peso05_s,peso510_s),MATCH($W92,IF($T92&lt;=60,peso05_k,peso510_k),1)),""))</f>
        <v/>
      </c>
      <c r="AM92">
        <f>IF($AJ92="","",IF($AJ92=0,LN($F92/$AK92)/$AL92,((($F92/$AK92)^$AJ92)-1)/($AJ92*$AL92)))</f>
        <v/>
      </c>
      <c r="AN92">
        <f>IF($AJ92="","",IF($AJ92=0,$AK92*EXP($AL92*2),$AK92*(1+$AJ92*$AL92*2)^(1/$AJ92)))</f>
        <v/>
      </c>
      <c r="AO92">
        <f>IF($AJ92="","",IF($AJ92=0,$AK92*EXP($AL92*3),$AK92*(1+$AJ92*$AL92*3)^(1/$AJ92)))</f>
        <v/>
      </c>
      <c r="AP92">
        <f>IF($AJ92="","",IF($AJ92=0,$AK92*EXP($AL92*-2),$AK92*(1+$AJ92*$AL92*-2)^(1/$AJ92)))</f>
        <v/>
      </c>
      <c r="AQ92">
        <f>IF($AJ92="","",IF($AJ92=0,$AK92*EXP($AL92*-3),$AK92*(1+$AJ92*$AL92*-3)^(1/$AJ92)))</f>
        <v/>
      </c>
      <c r="AR92">
        <f>IF(OR($X92="",$T92&gt;60),"",IFERROR(INDEX(IF($T92&lt;24,pcomp_l,palt_l),MATCH($X92,IF($T92&lt;24,pcomp_k,palt_k),1)),""))</f>
        <v/>
      </c>
      <c r="AS92">
        <f>IF(OR($X92="",$T92&gt;60),"",IFERROR(INDEX(IF($T92&lt;24,pcomp_m,palt_m),MATCH($X92,IF($T92&lt;24,pcomp_k,palt_k),1)),""))</f>
        <v/>
      </c>
      <c r="AT92">
        <f>IF(OR($X92="",$T92&gt;60),"",IFERROR(INDEX(IF($T92&lt;24,pcomp_s,palt_s),MATCH($X92,IF($T92&lt;24,pcomp_k,palt_k),1)),""))</f>
        <v/>
      </c>
      <c r="AU92">
        <f>IF($AR92="","",IF($AR92=0,LN($F92/$AS92)/$AT92,((($F92/$AS92)^$AR92)-1)/($AR92*$AT92)))</f>
        <v/>
      </c>
      <c r="AV92">
        <f>IF($AR92="","",IF($AR92=0,$AS92*EXP($AT92*2),$AS92*(1+$AR92*$AT92*2)^(1/$AR92)))</f>
        <v/>
      </c>
      <c r="AW92">
        <f>IF($AR92="","",IF($AR92=0,$AS92*EXP($AT92*3),$AS92*(1+$AR92*$AT92*3)^(1/$AR92)))</f>
        <v/>
      </c>
      <c r="AX92">
        <f>IF($AR92="","",IF($AR92=0,$AS92*EXP($AT92*-2),$AS92*(1+$AR92*$AT92*-2)^(1/$AR92)))</f>
        <v/>
      </c>
      <c r="AY92">
        <f>IF($AR92="","",IF($AR92=0,$AS92*EXP($AT92*-3),$AS92*(1+$AR92*$AT92*-3)^(1/$AR92)))</f>
        <v/>
      </c>
      <c r="AZ92">
        <f>IF(OR($A92="",$A92&lt;&gt;Ficha!$C$4),"",COUNTIF($A$2:$A92,Ficha!$C$4))</f>
        <v/>
      </c>
    </row>
    <row r="93">
      <c r="A93" s="8">
        <f>IF(INDEX(Banco!$A:$A,ROW())="","",INDEX(Banco!$A:$A,ROW()))</f>
        <v/>
      </c>
      <c r="B93" s="8">
        <f>IF(INDEX(Banco!$B:$B,ROW())="","",INDEX(Banco!$B:$B,ROW()))</f>
        <v/>
      </c>
      <c r="C93" s="8">
        <f>IF(INDEX(Banco!$C:$C,ROW())="","",INDEX(Banco!$C:$C,ROW()))</f>
        <v/>
      </c>
      <c r="D93" s="9">
        <f>IF(INDEX(Banco!$D:$D,ROW())="","",INDEX(Banco!$D:$D,ROW()))</f>
        <v/>
      </c>
      <c r="E93" s="9">
        <f>IF(INDEX(Banco!$E:$E,ROW())="","",INDEX(Banco!$E:$E,ROW()))</f>
        <v/>
      </c>
      <c r="F93" s="10">
        <f>IF(INDEX(Banco!$F:$F,ROW())="","",INDEX(Banco!$F:$F,ROW()))</f>
        <v/>
      </c>
      <c r="G93" s="10">
        <f>IF(INDEX(Banco!$G:$G,ROW())="","",INDEX(Banco!$G:$G,ROW()))</f>
        <v/>
      </c>
      <c r="H93" s="8">
        <f>IF(INDEX(Banco!$H:$H,ROW())="","",INDEX(Banco!$H:$H,ROW()))</f>
        <v/>
      </c>
      <c r="I93">
        <f>IF($T93="","",INT($T93/12)&amp;"a "&amp;MOD($T93,12)&amp;"m")</f>
        <v/>
      </c>
      <c r="J93" s="11">
        <f>IF(OR($F93="",$G93=""),"",ROUND($F93/($G93/100)^2,2))</f>
        <v/>
      </c>
      <c r="K93" s="12">
        <f>IF(OR($S93="",$J93="",$T93="",$T93&lt;0,$T93&gt;228,$Y93=""),"—",ROUND(IF(ABS($AB93)&lt;=3,$AB93,IF($AB93&gt;3,3+($J93-$AD93)/($AD93-$AC93),-3+($J93-$AF93)/($AE93-$AF93))),2))</f>
        <v/>
      </c>
      <c r="L93">
        <f>IF(OR($K93="",$K93="—"),"",IF($T93&lt;=60,IF($K93&lt;-3,"Magreza acentuada",IF($K93&lt;-2,"Magreza",IF($K93&lt;=1,"Eutrofia",IF($K93&lt;=2,"Risco de sobrepeso",IF($K93&lt;=3,"Sobrepeso","Obesidade"))))),IF($K93&lt;-3,"Magreza acentuada",IF($K93&lt;-2,"Magreza",IF($K93&lt;=1,"Eutrofia",IF($K93&lt;=2,"Sobrepeso",IF($K93&lt;=3,"Obesidade","Obesidade grave")))))))</f>
        <v/>
      </c>
      <c r="M93" s="12">
        <f>IF(OR($S93="",$V93="",$T93="",$T93&lt;0,$T93&gt;228,$AG93=""),"—",ROUND(IF($AG93=0,LN($V93/$AH93)/$AI93,((($V93/$AH93)^$AG93)-1)/($AG93*$AI93)),2))</f>
        <v/>
      </c>
      <c r="N93">
        <f>IF(OR($M93="",$M93="—"),"",IF($M93&lt;-3,"Muito baixa",IF($M93&lt;-2,"Baixa","Adequada")))</f>
        <v/>
      </c>
      <c r="O93" s="12">
        <f>IF(OR($S93="",$F93="",$T93="",$T93&lt;0,$T93&gt;120,$AJ93=""),"—",ROUND(IF(ABS($AM93)&lt;=3,$AM93,IF($AM93&gt;3,3+($F93-$AO93)/($AO93-$AN93),-3+($F93-$AQ93)/($AP93-$AQ93))),2))</f>
        <v/>
      </c>
      <c r="P93">
        <f>IF(OR($O93="",$O93="—"),"",IF($O93&lt;-3,"Muito baixo",IF($O93&lt;-2,"Baixo",IF($O93&lt;=2,"Adequado","Elevado"))))</f>
        <v/>
      </c>
      <c r="Q93" s="12">
        <f>IF(OR($S93="",$F93="",$T93="",$T93&lt;0,$T93&gt;60,$AR93=""),"—",ROUND(IF(ABS($AU93)&lt;=3,$AU93,IF($AU93&gt;3,3+($F93-$AW93)/($AW93-$AV93),-3+($F93-$AY93)/($AX93-$AY93))),2))</f>
        <v/>
      </c>
      <c r="R93">
        <f>IF(OR($Q93="",$Q93="—"),"",IF($Q93&lt;-3,"Magreza acentuada",IF($Q93&lt;-2,"Magreza",IF($Q93&lt;=1,"Eutrofia",IF($Q93&lt;=2,"Risco de sobrepeso",IF($Q93&lt;=3,"Sobrepeso","Obesidade"))))))</f>
        <v/>
      </c>
      <c r="S93">
        <f>IF($C93="","",IF(UPPER(LEFT($C93,1))="M",1,IF(UPPER(LEFT($C93,1))="F",2,"")))</f>
        <v/>
      </c>
      <c r="T93">
        <f>IF(OR($D93="",$E93=""),"",DATEDIF($D93,$E93,"m"))</f>
        <v/>
      </c>
      <c r="U93">
        <f>IF(OR($D93="",$E93=""),"",$E93-$D93)</f>
        <v/>
      </c>
      <c r="V93">
        <f>IF(OR($G93="",$T93=""),"",IF($T93&lt;24,IF(LEFT(LOWER($H93),4)="em p",$G93+0.7,$G93),IF(LEFT(LOWER($H93),4)="deit",$G93-0.7,$G93)))</f>
        <v/>
      </c>
      <c r="W93">
        <f>IF(OR($S93="",$T93=""),"",$S93*1000000+IF($T93&lt;=60,$U93,$T93))</f>
        <v/>
      </c>
      <c r="X93">
        <f>IF(OR($S93="",$V93="",$T93&gt;60,$T93=""),"",$S93*1000000+ROUND($V93*10,0))</f>
        <v/>
      </c>
      <c r="Y93">
        <f>IF($W93="","",IFERROR(INDEX(IF($T93&lt;=60,imc05_l,imc519_l),MATCH($W93,IF($T93&lt;=60,imc05_k,imc519_k),1)),""))</f>
        <v/>
      </c>
      <c r="Z93">
        <f>IF($W93="","",IFERROR(INDEX(IF($T93&lt;=60,imc05_m,imc519_m),MATCH($W93,IF($T93&lt;=60,imc05_k,imc519_k),1)),""))</f>
        <v/>
      </c>
      <c r="AA93">
        <f>IF($W93="","",IFERROR(INDEX(IF($T93&lt;=60,imc05_s,imc519_s),MATCH($W93,IF($T93&lt;=60,imc05_k,imc519_k),1)),""))</f>
        <v/>
      </c>
      <c r="AB93">
        <f>IF($Y93="","",IF($Y93=0,LN($J93/$Z93)/$AA93,((($J93/$Z93)^$Y93)-1)/($Y93*$AA93)))</f>
        <v/>
      </c>
      <c r="AC93">
        <f>IF($Y93="","",IF($Y93=0,$Z93*EXP($AA93*2),$Z93*(1+$Y93*$AA93*2)^(1/$Y93)))</f>
        <v/>
      </c>
      <c r="AD93">
        <f>IF($Y93="","",IF($Y93=0,$Z93*EXP($AA93*3),$Z93*(1+$Y93*$AA93*3)^(1/$Y93)))</f>
        <v/>
      </c>
      <c r="AE93">
        <f>IF($Y93="","",IF($Y93=0,$Z93*EXP($AA93*-2),$Z93*(1+$Y93*$AA93*-2)^(1/$Y93)))</f>
        <v/>
      </c>
      <c r="AF93">
        <f>IF($Y93="","",IF($Y93=0,$Z93*EXP($AA93*-3),$Z93*(1+$Y93*$AA93*-3)^(1/$Y93)))</f>
        <v/>
      </c>
      <c r="AG93">
        <f>IF($W93="","",IFERROR(INDEX(IF($T93&lt;=60,est05_l,est519_l),MATCH($W93,IF($T93&lt;=60,est05_k,est519_k),1)),""))</f>
        <v/>
      </c>
      <c r="AH93">
        <f>IF($W93="","",IFERROR(INDEX(IF($T93&lt;=60,est05_m,est519_m),MATCH($W93,IF($T93&lt;=60,est05_k,est519_k),1)),""))</f>
        <v/>
      </c>
      <c r="AI93">
        <f>IF($W93="","",IFERROR(INDEX(IF($T93&lt;=60,est05_s,est519_s),MATCH($W93,IF($T93&lt;=60,est05_k,est519_k),1)),""))</f>
        <v/>
      </c>
      <c r="AJ93">
        <f>IF($W93="","",IFERROR(INDEX(IF($T93&lt;=60,peso05_l,peso510_l),MATCH($W93,IF($T93&lt;=60,peso05_k,peso510_k),1)),""))</f>
        <v/>
      </c>
      <c r="AK93">
        <f>IF($W93="","",IFERROR(INDEX(IF($T93&lt;=60,peso05_m,peso510_m),MATCH($W93,IF($T93&lt;=60,peso05_k,peso510_k),1)),""))</f>
        <v/>
      </c>
      <c r="AL93">
        <f>IF($W93="","",IFERROR(INDEX(IF($T93&lt;=60,peso05_s,peso510_s),MATCH($W93,IF($T93&lt;=60,peso05_k,peso510_k),1)),""))</f>
        <v/>
      </c>
      <c r="AM93">
        <f>IF($AJ93="","",IF($AJ93=0,LN($F93/$AK93)/$AL93,((($F93/$AK93)^$AJ93)-1)/($AJ93*$AL93)))</f>
        <v/>
      </c>
      <c r="AN93">
        <f>IF($AJ93="","",IF($AJ93=0,$AK93*EXP($AL93*2),$AK93*(1+$AJ93*$AL93*2)^(1/$AJ93)))</f>
        <v/>
      </c>
      <c r="AO93">
        <f>IF($AJ93="","",IF($AJ93=0,$AK93*EXP($AL93*3),$AK93*(1+$AJ93*$AL93*3)^(1/$AJ93)))</f>
        <v/>
      </c>
      <c r="AP93">
        <f>IF($AJ93="","",IF($AJ93=0,$AK93*EXP($AL93*-2),$AK93*(1+$AJ93*$AL93*-2)^(1/$AJ93)))</f>
        <v/>
      </c>
      <c r="AQ93">
        <f>IF($AJ93="","",IF($AJ93=0,$AK93*EXP($AL93*-3),$AK93*(1+$AJ93*$AL93*-3)^(1/$AJ93)))</f>
        <v/>
      </c>
      <c r="AR93">
        <f>IF(OR($X93="",$T93&gt;60),"",IFERROR(INDEX(IF($T93&lt;24,pcomp_l,palt_l),MATCH($X93,IF($T93&lt;24,pcomp_k,palt_k),1)),""))</f>
        <v/>
      </c>
      <c r="AS93">
        <f>IF(OR($X93="",$T93&gt;60),"",IFERROR(INDEX(IF($T93&lt;24,pcomp_m,palt_m),MATCH($X93,IF($T93&lt;24,pcomp_k,palt_k),1)),""))</f>
        <v/>
      </c>
      <c r="AT93">
        <f>IF(OR($X93="",$T93&gt;60),"",IFERROR(INDEX(IF($T93&lt;24,pcomp_s,palt_s),MATCH($X93,IF($T93&lt;24,pcomp_k,palt_k),1)),""))</f>
        <v/>
      </c>
      <c r="AU93">
        <f>IF($AR93="","",IF($AR93=0,LN($F93/$AS93)/$AT93,((($F93/$AS93)^$AR93)-1)/($AR93*$AT93)))</f>
        <v/>
      </c>
      <c r="AV93">
        <f>IF($AR93="","",IF($AR93=0,$AS93*EXP($AT93*2),$AS93*(1+$AR93*$AT93*2)^(1/$AR93)))</f>
        <v/>
      </c>
      <c r="AW93">
        <f>IF($AR93="","",IF($AR93=0,$AS93*EXP($AT93*3),$AS93*(1+$AR93*$AT93*3)^(1/$AR93)))</f>
        <v/>
      </c>
      <c r="AX93">
        <f>IF($AR93="","",IF($AR93=0,$AS93*EXP($AT93*-2),$AS93*(1+$AR93*$AT93*-2)^(1/$AR93)))</f>
        <v/>
      </c>
      <c r="AY93">
        <f>IF($AR93="","",IF($AR93=0,$AS93*EXP($AT93*-3),$AS93*(1+$AR93*$AT93*-3)^(1/$AR93)))</f>
        <v/>
      </c>
      <c r="AZ93">
        <f>IF(OR($A93="",$A93&lt;&gt;Ficha!$C$4),"",COUNTIF($A$2:$A93,Ficha!$C$4))</f>
        <v/>
      </c>
    </row>
    <row r="94">
      <c r="A94" s="8">
        <f>IF(INDEX(Banco!$A:$A,ROW())="","",INDEX(Banco!$A:$A,ROW()))</f>
        <v/>
      </c>
      <c r="B94" s="8">
        <f>IF(INDEX(Banco!$B:$B,ROW())="","",INDEX(Banco!$B:$B,ROW()))</f>
        <v/>
      </c>
      <c r="C94" s="8">
        <f>IF(INDEX(Banco!$C:$C,ROW())="","",INDEX(Banco!$C:$C,ROW()))</f>
        <v/>
      </c>
      <c r="D94" s="9">
        <f>IF(INDEX(Banco!$D:$D,ROW())="","",INDEX(Banco!$D:$D,ROW()))</f>
        <v/>
      </c>
      <c r="E94" s="9">
        <f>IF(INDEX(Banco!$E:$E,ROW())="","",INDEX(Banco!$E:$E,ROW()))</f>
        <v/>
      </c>
      <c r="F94" s="10">
        <f>IF(INDEX(Banco!$F:$F,ROW())="","",INDEX(Banco!$F:$F,ROW()))</f>
        <v/>
      </c>
      <c r="G94" s="10">
        <f>IF(INDEX(Banco!$G:$G,ROW())="","",INDEX(Banco!$G:$G,ROW()))</f>
        <v/>
      </c>
      <c r="H94" s="8">
        <f>IF(INDEX(Banco!$H:$H,ROW())="","",INDEX(Banco!$H:$H,ROW()))</f>
        <v/>
      </c>
      <c r="I94">
        <f>IF($T94="","",INT($T94/12)&amp;"a "&amp;MOD($T94,12)&amp;"m")</f>
        <v/>
      </c>
      <c r="J94" s="11">
        <f>IF(OR($F94="",$G94=""),"",ROUND($F94/($G94/100)^2,2))</f>
        <v/>
      </c>
      <c r="K94" s="12">
        <f>IF(OR($S94="",$J94="",$T94="",$T94&lt;0,$T94&gt;228,$Y94=""),"—",ROUND(IF(ABS($AB94)&lt;=3,$AB94,IF($AB94&gt;3,3+($J94-$AD94)/($AD94-$AC94),-3+($J94-$AF94)/($AE94-$AF94))),2))</f>
        <v/>
      </c>
      <c r="L94">
        <f>IF(OR($K94="",$K94="—"),"",IF($T94&lt;=60,IF($K94&lt;-3,"Magreza acentuada",IF($K94&lt;-2,"Magreza",IF($K94&lt;=1,"Eutrofia",IF($K94&lt;=2,"Risco de sobrepeso",IF($K94&lt;=3,"Sobrepeso","Obesidade"))))),IF($K94&lt;-3,"Magreza acentuada",IF($K94&lt;-2,"Magreza",IF($K94&lt;=1,"Eutrofia",IF($K94&lt;=2,"Sobrepeso",IF($K94&lt;=3,"Obesidade","Obesidade grave")))))))</f>
        <v/>
      </c>
      <c r="M94" s="12">
        <f>IF(OR($S94="",$V94="",$T94="",$T94&lt;0,$T94&gt;228,$AG94=""),"—",ROUND(IF($AG94=0,LN($V94/$AH94)/$AI94,((($V94/$AH94)^$AG94)-1)/($AG94*$AI94)),2))</f>
        <v/>
      </c>
      <c r="N94">
        <f>IF(OR($M94="",$M94="—"),"",IF($M94&lt;-3,"Muito baixa",IF($M94&lt;-2,"Baixa","Adequada")))</f>
        <v/>
      </c>
      <c r="O94" s="12">
        <f>IF(OR($S94="",$F94="",$T94="",$T94&lt;0,$T94&gt;120,$AJ94=""),"—",ROUND(IF(ABS($AM94)&lt;=3,$AM94,IF($AM94&gt;3,3+($F94-$AO94)/($AO94-$AN94),-3+($F94-$AQ94)/($AP94-$AQ94))),2))</f>
        <v/>
      </c>
      <c r="P94">
        <f>IF(OR($O94="",$O94="—"),"",IF($O94&lt;-3,"Muito baixo",IF($O94&lt;-2,"Baixo",IF($O94&lt;=2,"Adequado","Elevado"))))</f>
        <v/>
      </c>
      <c r="Q94" s="12">
        <f>IF(OR($S94="",$F94="",$T94="",$T94&lt;0,$T94&gt;60,$AR94=""),"—",ROUND(IF(ABS($AU94)&lt;=3,$AU94,IF($AU94&gt;3,3+($F94-$AW94)/($AW94-$AV94),-3+($F94-$AY94)/($AX94-$AY94))),2))</f>
        <v/>
      </c>
      <c r="R94">
        <f>IF(OR($Q94="",$Q94="—"),"",IF($Q94&lt;-3,"Magreza acentuada",IF($Q94&lt;-2,"Magreza",IF($Q94&lt;=1,"Eutrofia",IF($Q94&lt;=2,"Risco de sobrepeso",IF($Q94&lt;=3,"Sobrepeso","Obesidade"))))))</f>
        <v/>
      </c>
      <c r="S94">
        <f>IF($C94="","",IF(UPPER(LEFT($C94,1))="M",1,IF(UPPER(LEFT($C94,1))="F",2,"")))</f>
        <v/>
      </c>
      <c r="T94">
        <f>IF(OR($D94="",$E94=""),"",DATEDIF($D94,$E94,"m"))</f>
        <v/>
      </c>
      <c r="U94">
        <f>IF(OR($D94="",$E94=""),"",$E94-$D94)</f>
        <v/>
      </c>
      <c r="V94">
        <f>IF(OR($G94="",$T94=""),"",IF($T94&lt;24,IF(LEFT(LOWER($H94),4)="em p",$G94+0.7,$G94),IF(LEFT(LOWER($H94),4)="deit",$G94-0.7,$G94)))</f>
        <v/>
      </c>
      <c r="W94">
        <f>IF(OR($S94="",$T94=""),"",$S94*1000000+IF($T94&lt;=60,$U94,$T94))</f>
        <v/>
      </c>
      <c r="X94">
        <f>IF(OR($S94="",$V94="",$T94&gt;60,$T94=""),"",$S94*1000000+ROUND($V94*10,0))</f>
        <v/>
      </c>
      <c r="Y94">
        <f>IF($W94="","",IFERROR(INDEX(IF($T94&lt;=60,imc05_l,imc519_l),MATCH($W94,IF($T94&lt;=60,imc05_k,imc519_k),1)),""))</f>
        <v/>
      </c>
      <c r="Z94">
        <f>IF($W94="","",IFERROR(INDEX(IF($T94&lt;=60,imc05_m,imc519_m),MATCH($W94,IF($T94&lt;=60,imc05_k,imc519_k),1)),""))</f>
        <v/>
      </c>
      <c r="AA94">
        <f>IF($W94="","",IFERROR(INDEX(IF($T94&lt;=60,imc05_s,imc519_s),MATCH($W94,IF($T94&lt;=60,imc05_k,imc519_k),1)),""))</f>
        <v/>
      </c>
      <c r="AB94">
        <f>IF($Y94="","",IF($Y94=0,LN($J94/$Z94)/$AA94,((($J94/$Z94)^$Y94)-1)/($Y94*$AA94)))</f>
        <v/>
      </c>
      <c r="AC94">
        <f>IF($Y94="","",IF($Y94=0,$Z94*EXP($AA94*2),$Z94*(1+$Y94*$AA94*2)^(1/$Y94)))</f>
        <v/>
      </c>
      <c r="AD94">
        <f>IF($Y94="","",IF($Y94=0,$Z94*EXP($AA94*3),$Z94*(1+$Y94*$AA94*3)^(1/$Y94)))</f>
        <v/>
      </c>
      <c r="AE94">
        <f>IF($Y94="","",IF($Y94=0,$Z94*EXP($AA94*-2),$Z94*(1+$Y94*$AA94*-2)^(1/$Y94)))</f>
        <v/>
      </c>
      <c r="AF94">
        <f>IF($Y94="","",IF($Y94=0,$Z94*EXP($AA94*-3),$Z94*(1+$Y94*$AA94*-3)^(1/$Y94)))</f>
        <v/>
      </c>
      <c r="AG94">
        <f>IF($W94="","",IFERROR(INDEX(IF($T94&lt;=60,est05_l,est519_l),MATCH($W94,IF($T94&lt;=60,est05_k,est519_k),1)),""))</f>
        <v/>
      </c>
      <c r="AH94">
        <f>IF($W94="","",IFERROR(INDEX(IF($T94&lt;=60,est05_m,est519_m),MATCH($W94,IF($T94&lt;=60,est05_k,est519_k),1)),""))</f>
        <v/>
      </c>
      <c r="AI94">
        <f>IF($W94="","",IFERROR(INDEX(IF($T94&lt;=60,est05_s,est519_s),MATCH($W94,IF($T94&lt;=60,est05_k,est519_k),1)),""))</f>
        <v/>
      </c>
      <c r="AJ94">
        <f>IF($W94="","",IFERROR(INDEX(IF($T94&lt;=60,peso05_l,peso510_l),MATCH($W94,IF($T94&lt;=60,peso05_k,peso510_k),1)),""))</f>
        <v/>
      </c>
      <c r="AK94">
        <f>IF($W94="","",IFERROR(INDEX(IF($T94&lt;=60,peso05_m,peso510_m),MATCH($W94,IF($T94&lt;=60,peso05_k,peso510_k),1)),""))</f>
        <v/>
      </c>
      <c r="AL94">
        <f>IF($W94="","",IFERROR(INDEX(IF($T94&lt;=60,peso05_s,peso510_s),MATCH($W94,IF($T94&lt;=60,peso05_k,peso510_k),1)),""))</f>
        <v/>
      </c>
      <c r="AM94">
        <f>IF($AJ94="","",IF($AJ94=0,LN($F94/$AK94)/$AL94,((($F94/$AK94)^$AJ94)-1)/($AJ94*$AL94)))</f>
        <v/>
      </c>
      <c r="AN94">
        <f>IF($AJ94="","",IF($AJ94=0,$AK94*EXP($AL94*2),$AK94*(1+$AJ94*$AL94*2)^(1/$AJ94)))</f>
        <v/>
      </c>
      <c r="AO94">
        <f>IF($AJ94="","",IF($AJ94=0,$AK94*EXP($AL94*3),$AK94*(1+$AJ94*$AL94*3)^(1/$AJ94)))</f>
        <v/>
      </c>
      <c r="AP94">
        <f>IF($AJ94="","",IF($AJ94=0,$AK94*EXP($AL94*-2),$AK94*(1+$AJ94*$AL94*-2)^(1/$AJ94)))</f>
        <v/>
      </c>
      <c r="AQ94">
        <f>IF($AJ94="","",IF($AJ94=0,$AK94*EXP($AL94*-3),$AK94*(1+$AJ94*$AL94*-3)^(1/$AJ94)))</f>
        <v/>
      </c>
      <c r="AR94">
        <f>IF(OR($X94="",$T94&gt;60),"",IFERROR(INDEX(IF($T94&lt;24,pcomp_l,palt_l),MATCH($X94,IF($T94&lt;24,pcomp_k,palt_k),1)),""))</f>
        <v/>
      </c>
      <c r="AS94">
        <f>IF(OR($X94="",$T94&gt;60),"",IFERROR(INDEX(IF($T94&lt;24,pcomp_m,palt_m),MATCH($X94,IF($T94&lt;24,pcomp_k,palt_k),1)),""))</f>
        <v/>
      </c>
      <c r="AT94">
        <f>IF(OR($X94="",$T94&gt;60),"",IFERROR(INDEX(IF($T94&lt;24,pcomp_s,palt_s),MATCH($X94,IF($T94&lt;24,pcomp_k,palt_k),1)),""))</f>
        <v/>
      </c>
      <c r="AU94">
        <f>IF($AR94="","",IF($AR94=0,LN($F94/$AS94)/$AT94,((($F94/$AS94)^$AR94)-1)/($AR94*$AT94)))</f>
        <v/>
      </c>
      <c r="AV94">
        <f>IF($AR94="","",IF($AR94=0,$AS94*EXP($AT94*2),$AS94*(1+$AR94*$AT94*2)^(1/$AR94)))</f>
        <v/>
      </c>
      <c r="AW94">
        <f>IF($AR94="","",IF($AR94=0,$AS94*EXP($AT94*3),$AS94*(1+$AR94*$AT94*3)^(1/$AR94)))</f>
        <v/>
      </c>
      <c r="AX94">
        <f>IF($AR94="","",IF($AR94=0,$AS94*EXP($AT94*-2),$AS94*(1+$AR94*$AT94*-2)^(1/$AR94)))</f>
        <v/>
      </c>
      <c r="AY94">
        <f>IF($AR94="","",IF($AR94=0,$AS94*EXP($AT94*-3),$AS94*(1+$AR94*$AT94*-3)^(1/$AR94)))</f>
        <v/>
      </c>
      <c r="AZ94">
        <f>IF(OR($A94="",$A94&lt;&gt;Ficha!$C$4),"",COUNTIF($A$2:$A94,Ficha!$C$4))</f>
        <v/>
      </c>
    </row>
    <row r="95">
      <c r="A95" s="8">
        <f>IF(INDEX(Banco!$A:$A,ROW())="","",INDEX(Banco!$A:$A,ROW()))</f>
        <v/>
      </c>
      <c r="B95" s="8">
        <f>IF(INDEX(Banco!$B:$B,ROW())="","",INDEX(Banco!$B:$B,ROW()))</f>
        <v/>
      </c>
      <c r="C95" s="8">
        <f>IF(INDEX(Banco!$C:$C,ROW())="","",INDEX(Banco!$C:$C,ROW()))</f>
        <v/>
      </c>
      <c r="D95" s="9">
        <f>IF(INDEX(Banco!$D:$D,ROW())="","",INDEX(Banco!$D:$D,ROW()))</f>
        <v/>
      </c>
      <c r="E95" s="9">
        <f>IF(INDEX(Banco!$E:$E,ROW())="","",INDEX(Banco!$E:$E,ROW()))</f>
        <v/>
      </c>
      <c r="F95" s="10">
        <f>IF(INDEX(Banco!$F:$F,ROW())="","",INDEX(Banco!$F:$F,ROW()))</f>
        <v/>
      </c>
      <c r="G95" s="10">
        <f>IF(INDEX(Banco!$G:$G,ROW())="","",INDEX(Banco!$G:$G,ROW()))</f>
        <v/>
      </c>
      <c r="H95" s="8">
        <f>IF(INDEX(Banco!$H:$H,ROW())="","",INDEX(Banco!$H:$H,ROW()))</f>
        <v/>
      </c>
      <c r="I95">
        <f>IF($T95="","",INT($T95/12)&amp;"a "&amp;MOD($T95,12)&amp;"m")</f>
        <v/>
      </c>
      <c r="J95" s="11">
        <f>IF(OR($F95="",$G95=""),"",ROUND($F95/($G95/100)^2,2))</f>
        <v/>
      </c>
      <c r="K95" s="12">
        <f>IF(OR($S95="",$J95="",$T95="",$T95&lt;0,$T95&gt;228,$Y95=""),"—",ROUND(IF(ABS($AB95)&lt;=3,$AB95,IF($AB95&gt;3,3+($J95-$AD95)/($AD95-$AC95),-3+($J95-$AF95)/($AE95-$AF95))),2))</f>
        <v/>
      </c>
      <c r="L95">
        <f>IF(OR($K95="",$K95="—"),"",IF($T95&lt;=60,IF($K95&lt;-3,"Magreza acentuada",IF($K95&lt;-2,"Magreza",IF($K95&lt;=1,"Eutrofia",IF($K95&lt;=2,"Risco de sobrepeso",IF($K95&lt;=3,"Sobrepeso","Obesidade"))))),IF($K95&lt;-3,"Magreza acentuada",IF($K95&lt;-2,"Magreza",IF($K95&lt;=1,"Eutrofia",IF($K95&lt;=2,"Sobrepeso",IF($K95&lt;=3,"Obesidade","Obesidade grave")))))))</f>
        <v/>
      </c>
      <c r="M95" s="12">
        <f>IF(OR($S95="",$V95="",$T95="",$T95&lt;0,$T95&gt;228,$AG95=""),"—",ROUND(IF($AG95=0,LN($V95/$AH95)/$AI95,((($V95/$AH95)^$AG95)-1)/($AG95*$AI95)),2))</f>
        <v/>
      </c>
      <c r="N95">
        <f>IF(OR($M95="",$M95="—"),"",IF($M95&lt;-3,"Muito baixa",IF($M95&lt;-2,"Baixa","Adequada")))</f>
        <v/>
      </c>
      <c r="O95" s="12">
        <f>IF(OR($S95="",$F95="",$T95="",$T95&lt;0,$T95&gt;120,$AJ95=""),"—",ROUND(IF(ABS($AM95)&lt;=3,$AM95,IF($AM95&gt;3,3+($F95-$AO95)/($AO95-$AN95),-3+($F95-$AQ95)/($AP95-$AQ95))),2))</f>
        <v/>
      </c>
      <c r="P95">
        <f>IF(OR($O95="",$O95="—"),"",IF($O95&lt;-3,"Muito baixo",IF($O95&lt;-2,"Baixo",IF($O95&lt;=2,"Adequado","Elevado"))))</f>
        <v/>
      </c>
      <c r="Q95" s="12">
        <f>IF(OR($S95="",$F95="",$T95="",$T95&lt;0,$T95&gt;60,$AR95=""),"—",ROUND(IF(ABS($AU95)&lt;=3,$AU95,IF($AU95&gt;3,3+($F95-$AW95)/($AW95-$AV95),-3+($F95-$AY95)/($AX95-$AY95))),2))</f>
        <v/>
      </c>
      <c r="R95">
        <f>IF(OR($Q95="",$Q95="—"),"",IF($Q95&lt;-3,"Magreza acentuada",IF($Q95&lt;-2,"Magreza",IF($Q95&lt;=1,"Eutrofia",IF($Q95&lt;=2,"Risco de sobrepeso",IF($Q95&lt;=3,"Sobrepeso","Obesidade"))))))</f>
        <v/>
      </c>
      <c r="S95">
        <f>IF($C95="","",IF(UPPER(LEFT($C95,1))="M",1,IF(UPPER(LEFT($C95,1))="F",2,"")))</f>
        <v/>
      </c>
      <c r="T95">
        <f>IF(OR($D95="",$E95=""),"",DATEDIF($D95,$E95,"m"))</f>
        <v/>
      </c>
      <c r="U95">
        <f>IF(OR($D95="",$E95=""),"",$E95-$D95)</f>
        <v/>
      </c>
      <c r="V95">
        <f>IF(OR($G95="",$T95=""),"",IF($T95&lt;24,IF(LEFT(LOWER($H95),4)="em p",$G95+0.7,$G95),IF(LEFT(LOWER($H95),4)="deit",$G95-0.7,$G95)))</f>
        <v/>
      </c>
      <c r="W95">
        <f>IF(OR($S95="",$T95=""),"",$S95*1000000+IF($T95&lt;=60,$U95,$T95))</f>
        <v/>
      </c>
      <c r="X95">
        <f>IF(OR($S95="",$V95="",$T95&gt;60,$T95=""),"",$S95*1000000+ROUND($V95*10,0))</f>
        <v/>
      </c>
      <c r="Y95">
        <f>IF($W95="","",IFERROR(INDEX(IF($T95&lt;=60,imc05_l,imc519_l),MATCH($W95,IF($T95&lt;=60,imc05_k,imc519_k),1)),""))</f>
        <v/>
      </c>
      <c r="Z95">
        <f>IF($W95="","",IFERROR(INDEX(IF($T95&lt;=60,imc05_m,imc519_m),MATCH($W95,IF($T95&lt;=60,imc05_k,imc519_k),1)),""))</f>
        <v/>
      </c>
      <c r="AA95">
        <f>IF($W95="","",IFERROR(INDEX(IF($T95&lt;=60,imc05_s,imc519_s),MATCH($W95,IF($T95&lt;=60,imc05_k,imc519_k),1)),""))</f>
        <v/>
      </c>
      <c r="AB95">
        <f>IF($Y95="","",IF($Y95=0,LN($J95/$Z95)/$AA95,((($J95/$Z95)^$Y95)-1)/($Y95*$AA95)))</f>
        <v/>
      </c>
      <c r="AC95">
        <f>IF($Y95="","",IF($Y95=0,$Z95*EXP($AA95*2),$Z95*(1+$Y95*$AA95*2)^(1/$Y95)))</f>
        <v/>
      </c>
      <c r="AD95">
        <f>IF($Y95="","",IF($Y95=0,$Z95*EXP($AA95*3),$Z95*(1+$Y95*$AA95*3)^(1/$Y95)))</f>
        <v/>
      </c>
      <c r="AE95">
        <f>IF($Y95="","",IF($Y95=0,$Z95*EXP($AA95*-2),$Z95*(1+$Y95*$AA95*-2)^(1/$Y95)))</f>
        <v/>
      </c>
      <c r="AF95">
        <f>IF($Y95="","",IF($Y95=0,$Z95*EXP($AA95*-3),$Z95*(1+$Y95*$AA95*-3)^(1/$Y95)))</f>
        <v/>
      </c>
      <c r="AG95">
        <f>IF($W95="","",IFERROR(INDEX(IF($T95&lt;=60,est05_l,est519_l),MATCH($W95,IF($T95&lt;=60,est05_k,est519_k),1)),""))</f>
        <v/>
      </c>
      <c r="AH95">
        <f>IF($W95="","",IFERROR(INDEX(IF($T95&lt;=60,est05_m,est519_m),MATCH($W95,IF($T95&lt;=60,est05_k,est519_k),1)),""))</f>
        <v/>
      </c>
      <c r="AI95">
        <f>IF($W95="","",IFERROR(INDEX(IF($T95&lt;=60,est05_s,est519_s),MATCH($W95,IF($T95&lt;=60,est05_k,est519_k),1)),""))</f>
        <v/>
      </c>
      <c r="AJ95">
        <f>IF($W95="","",IFERROR(INDEX(IF($T95&lt;=60,peso05_l,peso510_l),MATCH($W95,IF($T95&lt;=60,peso05_k,peso510_k),1)),""))</f>
        <v/>
      </c>
      <c r="AK95">
        <f>IF($W95="","",IFERROR(INDEX(IF($T95&lt;=60,peso05_m,peso510_m),MATCH($W95,IF($T95&lt;=60,peso05_k,peso510_k),1)),""))</f>
        <v/>
      </c>
      <c r="AL95">
        <f>IF($W95="","",IFERROR(INDEX(IF($T95&lt;=60,peso05_s,peso510_s),MATCH($W95,IF($T95&lt;=60,peso05_k,peso510_k),1)),""))</f>
        <v/>
      </c>
      <c r="AM95">
        <f>IF($AJ95="","",IF($AJ95=0,LN($F95/$AK95)/$AL95,((($F95/$AK95)^$AJ95)-1)/($AJ95*$AL95)))</f>
        <v/>
      </c>
      <c r="AN95">
        <f>IF($AJ95="","",IF($AJ95=0,$AK95*EXP($AL95*2),$AK95*(1+$AJ95*$AL95*2)^(1/$AJ95)))</f>
        <v/>
      </c>
      <c r="AO95">
        <f>IF($AJ95="","",IF($AJ95=0,$AK95*EXP($AL95*3),$AK95*(1+$AJ95*$AL95*3)^(1/$AJ95)))</f>
        <v/>
      </c>
      <c r="AP95">
        <f>IF($AJ95="","",IF($AJ95=0,$AK95*EXP($AL95*-2),$AK95*(1+$AJ95*$AL95*-2)^(1/$AJ95)))</f>
        <v/>
      </c>
      <c r="AQ95">
        <f>IF($AJ95="","",IF($AJ95=0,$AK95*EXP($AL95*-3),$AK95*(1+$AJ95*$AL95*-3)^(1/$AJ95)))</f>
        <v/>
      </c>
      <c r="AR95">
        <f>IF(OR($X95="",$T95&gt;60),"",IFERROR(INDEX(IF($T95&lt;24,pcomp_l,palt_l),MATCH($X95,IF($T95&lt;24,pcomp_k,palt_k),1)),""))</f>
        <v/>
      </c>
      <c r="AS95">
        <f>IF(OR($X95="",$T95&gt;60),"",IFERROR(INDEX(IF($T95&lt;24,pcomp_m,palt_m),MATCH($X95,IF($T95&lt;24,pcomp_k,palt_k),1)),""))</f>
        <v/>
      </c>
      <c r="AT95">
        <f>IF(OR($X95="",$T95&gt;60),"",IFERROR(INDEX(IF($T95&lt;24,pcomp_s,palt_s),MATCH($X95,IF($T95&lt;24,pcomp_k,palt_k),1)),""))</f>
        <v/>
      </c>
      <c r="AU95">
        <f>IF($AR95="","",IF($AR95=0,LN($F95/$AS95)/$AT95,((($F95/$AS95)^$AR95)-1)/($AR95*$AT95)))</f>
        <v/>
      </c>
      <c r="AV95">
        <f>IF($AR95="","",IF($AR95=0,$AS95*EXP($AT95*2),$AS95*(1+$AR95*$AT95*2)^(1/$AR95)))</f>
        <v/>
      </c>
      <c r="AW95">
        <f>IF($AR95="","",IF($AR95=0,$AS95*EXP($AT95*3),$AS95*(1+$AR95*$AT95*3)^(1/$AR95)))</f>
        <v/>
      </c>
      <c r="AX95">
        <f>IF($AR95="","",IF($AR95=0,$AS95*EXP($AT95*-2),$AS95*(1+$AR95*$AT95*-2)^(1/$AR95)))</f>
        <v/>
      </c>
      <c r="AY95">
        <f>IF($AR95="","",IF($AR95=0,$AS95*EXP($AT95*-3),$AS95*(1+$AR95*$AT95*-3)^(1/$AR95)))</f>
        <v/>
      </c>
      <c r="AZ95">
        <f>IF(OR($A95="",$A95&lt;&gt;Ficha!$C$4),"",COUNTIF($A$2:$A95,Ficha!$C$4))</f>
        <v/>
      </c>
    </row>
    <row r="96">
      <c r="A96" s="8">
        <f>IF(INDEX(Banco!$A:$A,ROW())="","",INDEX(Banco!$A:$A,ROW()))</f>
        <v/>
      </c>
      <c r="B96" s="8">
        <f>IF(INDEX(Banco!$B:$B,ROW())="","",INDEX(Banco!$B:$B,ROW()))</f>
        <v/>
      </c>
      <c r="C96" s="8">
        <f>IF(INDEX(Banco!$C:$C,ROW())="","",INDEX(Banco!$C:$C,ROW()))</f>
        <v/>
      </c>
      <c r="D96" s="9">
        <f>IF(INDEX(Banco!$D:$D,ROW())="","",INDEX(Banco!$D:$D,ROW()))</f>
        <v/>
      </c>
      <c r="E96" s="9">
        <f>IF(INDEX(Banco!$E:$E,ROW())="","",INDEX(Banco!$E:$E,ROW()))</f>
        <v/>
      </c>
      <c r="F96" s="10">
        <f>IF(INDEX(Banco!$F:$F,ROW())="","",INDEX(Banco!$F:$F,ROW()))</f>
        <v/>
      </c>
      <c r="G96" s="10">
        <f>IF(INDEX(Banco!$G:$G,ROW())="","",INDEX(Banco!$G:$G,ROW()))</f>
        <v/>
      </c>
      <c r="H96" s="8">
        <f>IF(INDEX(Banco!$H:$H,ROW())="","",INDEX(Banco!$H:$H,ROW()))</f>
        <v/>
      </c>
      <c r="I96">
        <f>IF($T96="","",INT($T96/12)&amp;"a "&amp;MOD($T96,12)&amp;"m")</f>
        <v/>
      </c>
      <c r="J96" s="11">
        <f>IF(OR($F96="",$G96=""),"",ROUND($F96/($G96/100)^2,2))</f>
        <v/>
      </c>
      <c r="K96" s="12">
        <f>IF(OR($S96="",$J96="",$T96="",$T96&lt;0,$T96&gt;228,$Y96=""),"—",ROUND(IF(ABS($AB96)&lt;=3,$AB96,IF($AB96&gt;3,3+($J96-$AD96)/($AD96-$AC96),-3+($J96-$AF96)/($AE96-$AF96))),2))</f>
        <v/>
      </c>
      <c r="L96">
        <f>IF(OR($K96="",$K96="—"),"",IF($T96&lt;=60,IF($K96&lt;-3,"Magreza acentuada",IF($K96&lt;-2,"Magreza",IF($K96&lt;=1,"Eutrofia",IF($K96&lt;=2,"Risco de sobrepeso",IF($K96&lt;=3,"Sobrepeso","Obesidade"))))),IF($K96&lt;-3,"Magreza acentuada",IF($K96&lt;-2,"Magreza",IF($K96&lt;=1,"Eutrofia",IF($K96&lt;=2,"Sobrepeso",IF($K96&lt;=3,"Obesidade","Obesidade grave")))))))</f>
        <v/>
      </c>
      <c r="M96" s="12">
        <f>IF(OR($S96="",$V96="",$T96="",$T96&lt;0,$T96&gt;228,$AG96=""),"—",ROUND(IF($AG96=0,LN($V96/$AH96)/$AI96,((($V96/$AH96)^$AG96)-1)/($AG96*$AI96)),2))</f>
        <v/>
      </c>
      <c r="N96">
        <f>IF(OR($M96="",$M96="—"),"",IF($M96&lt;-3,"Muito baixa",IF($M96&lt;-2,"Baixa","Adequada")))</f>
        <v/>
      </c>
      <c r="O96" s="12">
        <f>IF(OR($S96="",$F96="",$T96="",$T96&lt;0,$T96&gt;120,$AJ96=""),"—",ROUND(IF(ABS($AM96)&lt;=3,$AM96,IF($AM96&gt;3,3+($F96-$AO96)/($AO96-$AN96),-3+($F96-$AQ96)/($AP96-$AQ96))),2))</f>
        <v/>
      </c>
      <c r="P96">
        <f>IF(OR($O96="",$O96="—"),"",IF($O96&lt;-3,"Muito baixo",IF($O96&lt;-2,"Baixo",IF($O96&lt;=2,"Adequado","Elevado"))))</f>
        <v/>
      </c>
      <c r="Q96" s="12">
        <f>IF(OR($S96="",$F96="",$T96="",$T96&lt;0,$T96&gt;60,$AR96=""),"—",ROUND(IF(ABS($AU96)&lt;=3,$AU96,IF($AU96&gt;3,3+($F96-$AW96)/($AW96-$AV96),-3+($F96-$AY96)/($AX96-$AY96))),2))</f>
        <v/>
      </c>
      <c r="R96">
        <f>IF(OR($Q96="",$Q96="—"),"",IF($Q96&lt;-3,"Magreza acentuada",IF($Q96&lt;-2,"Magreza",IF($Q96&lt;=1,"Eutrofia",IF($Q96&lt;=2,"Risco de sobrepeso",IF($Q96&lt;=3,"Sobrepeso","Obesidade"))))))</f>
        <v/>
      </c>
      <c r="S96">
        <f>IF($C96="","",IF(UPPER(LEFT($C96,1))="M",1,IF(UPPER(LEFT($C96,1))="F",2,"")))</f>
        <v/>
      </c>
      <c r="T96">
        <f>IF(OR($D96="",$E96=""),"",DATEDIF($D96,$E96,"m"))</f>
        <v/>
      </c>
      <c r="U96">
        <f>IF(OR($D96="",$E96=""),"",$E96-$D96)</f>
        <v/>
      </c>
      <c r="V96">
        <f>IF(OR($G96="",$T96=""),"",IF($T96&lt;24,IF(LEFT(LOWER($H96),4)="em p",$G96+0.7,$G96),IF(LEFT(LOWER($H96),4)="deit",$G96-0.7,$G96)))</f>
        <v/>
      </c>
      <c r="W96">
        <f>IF(OR($S96="",$T96=""),"",$S96*1000000+IF($T96&lt;=60,$U96,$T96))</f>
        <v/>
      </c>
      <c r="X96">
        <f>IF(OR($S96="",$V96="",$T96&gt;60,$T96=""),"",$S96*1000000+ROUND($V96*10,0))</f>
        <v/>
      </c>
      <c r="Y96">
        <f>IF($W96="","",IFERROR(INDEX(IF($T96&lt;=60,imc05_l,imc519_l),MATCH($W96,IF($T96&lt;=60,imc05_k,imc519_k),1)),""))</f>
        <v/>
      </c>
      <c r="Z96">
        <f>IF($W96="","",IFERROR(INDEX(IF($T96&lt;=60,imc05_m,imc519_m),MATCH($W96,IF($T96&lt;=60,imc05_k,imc519_k),1)),""))</f>
        <v/>
      </c>
      <c r="AA96">
        <f>IF($W96="","",IFERROR(INDEX(IF($T96&lt;=60,imc05_s,imc519_s),MATCH($W96,IF($T96&lt;=60,imc05_k,imc519_k),1)),""))</f>
        <v/>
      </c>
      <c r="AB96">
        <f>IF($Y96="","",IF($Y96=0,LN($J96/$Z96)/$AA96,((($J96/$Z96)^$Y96)-1)/($Y96*$AA96)))</f>
        <v/>
      </c>
      <c r="AC96">
        <f>IF($Y96="","",IF($Y96=0,$Z96*EXP($AA96*2),$Z96*(1+$Y96*$AA96*2)^(1/$Y96)))</f>
        <v/>
      </c>
      <c r="AD96">
        <f>IF($Y96="","",IF($Y96=0,$Z96*EXP($AA96*3),$Z96*(1+$Y96*$AA96*3)^(1/$Y96)))</f>
        <v/>
      </c>
      <c r="AE96">
        <f>IF($Y96="","",IF($Y96=0,$Z96*EXP($AA96*-2),$Z96*(1+$Y96*$AA96*-2)^(1/$Y96)))</f>
        <v/>
      </c>
      <c r="AF96">
        <f>IF($Y96="","",IF($Y96=0,$Z96*EXP($AA96*-3),$Z96*(1+$Y96*$AA96*-3)^(1/$Y96)))</f>
        <v/>
      </c>
      <c r="AG96">
        <f>IF($W96="","",IFERROR(INDEX(IF($T96&lt;=60,est05_l,est519_l),MATCH($W96,IF($T96&lt;=60,est05_k,est519_k),1)),""))</f>
        <v/>
      </c>
      <c r="AH96">
        <f>IF($W96="","",IFERROR(INDEX(IF($T96&lt;=60,est05_m,est519_m),MATCH($W96,IF($T96&lt;=60,est05_k,est519_k),1)),""))</f>
        <v/>
      </c>
      <c r="AI96">
        <f>IF($W96="","",IFERROR(INDEX(IF($T96&lt;=60,est05_s,est519_s),MATCH($W96,IF($T96&lt;=60,est05_k,est519_k),1)),""))</f>
        <v/>
      </c>
      <c r="AJ96">
        <f>IF($W96="","",IFERROR(INDEX(IF($T96&lt;=60,peso05_l,peso510_l),MATCH($W96,IF($T96&lt;=60,peso05_k,peso510_k),1)),""))</f>
        <v/>
      </c>
      <c r="AK96">
        <f>IF($W96="","",IFERROR(INDEX(IF($T96&lt;=60,peso05_m,peso510_m),MATCH($W96,IF($T96&lt;=60,peso05_k,peso510_k),1)),""))</f>
        <v/>
      </c>
      <c r="AL96">
        <f>IF($W96="","",IFERROR(INDEX(IF($T96&lt;=60,peso05_s,peso510_s),MATCH($W96,IF($T96&lt;=60,peso05_k,peso510_k),1)),""))</f>
        <v/>
      </c>
      <c r="AM96">
        <f>IF($AJ96="","",IF($AJ96=0,LN($F96/$AK96)/$AL96,((($F96/$AK96)^$AJ96)-1)/($AJ96*$AL96)))</f>
        <v/>
      </c>
      <c r="AN96">
        <f>IF($AJ96="","",IF($AJ96=0,$AK96*EXP($AL96*2),$AK96*(1+$AJ96*$AL96*2)^(1/$AJ96)))</f>
        <v/>
      </c>
      <c r="AO96">
        <f>IF($AJ96="","",IF($AJ96=0,$AK96*EXP($AL96*3),$AK96*(1+$AJ96*$AL96*3)^(1/$AJ96)))</f>
        <v/>
      </c>
      <c r="AP96">
        <f>IF($AJ96="","",IF($AJ96=0,$AK96*EXP($AL96*-2),$AK96*(1+$AJ96*$AL96*-2)^(1/$AJ96)))</f>
        <v/>
      </c>
      <c r="AQ96">
        <f>IF($AJ96="","",IF($AJ96=0,$AK96*EXP($AL96*-3),$AK96*(1+$AJ96*$AL96*-3)^(1/$AJ96)))</f>
        <v/>
      </c>
      <c r="AR96">
        <f>IF(OR($X96="",$T96&gt;60),"",IFERROR(INDEX(IF($T96&lt;24,pcomp_l,palt_l),MATCH($X96,IF($T96&lt;24,pcomp_k,palt_k),1)),""))</f>
        <v/>
      </c>
      <c r="AS96">
        <f>IF(OR($X96="",$T96&gt;60),"",IFERROR(INDEX(IF($T96&lt;24,pcomp_m,palt_m),MATCH($X96,IF($T96&lt;24,pcomp_k,palt_k),1)),""))</f>
        <v/>
      </c>
      <c r="AT96">
        <f>IF(OR($X96="",$T96&gt;60),"",IFERROR(INDEX(IF($T96&lt;24,pcomp_s,palt_s),MATCH($X96,IF($T96&lt;24,pcomp_k,palt_k),1)),""))</f>
        <v/>
      </c>
      <c r="AU96">
        <f>IF($AR96="","",IF($AR96=0,LN($F96/$AS96)/$AT96,((($F96/$AS96)^$AR96)-1)/($AR96*$AT96)))</f>
        <v/>
      </c>
      <c r="AV96">
        <f>IF($AR96="","",IF($AR96=0,$AS96*EXP($AT96*2),$AS96*(1+$AR96*$AT96*2)^(1/$AR96)))</f>
        <v/>
      </c>
      <c r="AW96">
        <f>IF($AR96="","",IF($AR96=0,$AS96*EXP($AT96*3),$AS96*(1+$AR96*$AT96*3)^(1/$AR96)))</f>
        <v/>
      </c>
      <c r="AX96">
        <f>IF($AR96="","",IF($AR96=0,$AS96*EXP($AT96*-2),$AS96*(1+$AR96*$AT96*-2)^(1/$AR96)))</f>
        <v/>
      </c>
      <c r="AY96">
        <f>IF($AR96="","",IF($AR96=0,$AS96*EXP($AT96*-3),$AS96*(1+$AR96*$AT96*-3)^(1/$AR96)))</f>
        <v/>
      </c>
      <c r="AZ96">
        <f>IF(OR($A96="",$A96&lt;&gt;Ficha!$C$4),"",COUNTIF($A$2:$A96,Ficha!$C$4))</f>
        <v/>
      </c>
    </row>
    <row r="97">
      <c r="A97" s="8">
        <f>IF(INDEX(Banco!$A:$A,ROW())="","",INDEX(Banco!$A:$A,ROW()))</f>
        <v/>
      </c>
      <c r="B97" s="8">
        <f>IF(INDEX(Banco!$B:$B,ROW())="","",INDEX(Banco!$B:$B,ROW()))</f>
        <v/>
      </c>
      <c r="C97" s="8">
        <f>IF(INDEX(Banco!$C:$C,ROW())="","",INDEX(Banco!$C:$C,ROW()))</f>
        <v/>
      </c>
      <c r="D97" s="9">
        <f>IF(INDEX(Banco!$D:$D,ROW())="","",INDEX(Banco!$D:$D,ROW()))</f>
        <v/>
      </c>
      <c r="E97" s="9">
        <f>IF(INDEX(Banco!$E:$E,ROW())="","",INDEX(Banco!$E:$E,ROW()))</f>
        <v/>
      </c>
      <c r="F97" s="10">
        <f>IF(INDEX(Banco!$F:$F,ROW())="","",INDEX(Banco!$F:$F,ROW()))</f>
        <v/>
      </c>
      <c r="G97" s="10">
        <f>IF(INDEX(Banco!$G:$G,ROW())="","",INDEX(Banco!$G:$G,ROW()))</f>
        <v/>
      </c>
      <c r="H97" s="8">
        <f>IF(INDEX(Banco!$H:$H,ROW())="","",INDEX(Banco!$H:$H,ROW()))</f>
        <v/>
      </c>
      <c r="I97">
        <f>IF($T97="","",INT($T97/12)&amp;"a "&amp;MOD($T97,12)&amp;"m")</f>
        <v/>
      </c>
      <c r="J97" s="11">
        <f>IF(OR($F97="",$G97=""),"",ROUND($F97/($G97/100)^2,2))</f>
        <v/>
      </c>
      <c r="K97" s="12">
        <f>IF(OR($S97="",$J97="",$T97="",$T97&lt;0,$T97&gt;228,$Y97=""),"—",ROUND(IF(ABS($AB97)&lt;=3,$AB97,IF($AB97&gt;3,3+($J97-$AD97)/($AD97-$AC97),-3+($J97-$AF97)/($AE97-$AF97))),2))</f>
        <v/>
      </c>
      <c r="L97">
        <f>IF(OR($K97="",$K97="—"),"",IF($T97&lt;=60,IF($K97&lt;-3,"Magreza acentuada",IF($K97&lt;-2,"Magreza",IF($K97&lt;=1,"Eutrofia",IF($K97&lt;=2,"Risco de sobrepeso",IF($K97&lt;=3,"Sobrepeso","Obesidade"))))),IF($K97&lt;-3,"Magreza acentuada",IF($K97&lt;-2,"Magreza",IF($K97&lt;=1,"Eutrofia",IF($K97&lt;=2,"Sobrepeso",IF($K97&lt;=3,"Obesidade","Obesidade grave")))))))</f>
        <v/>
      </c>
      <c r="M97" s="12">
        <f>IF(OR($S97="",$V97="",$T97="",$T97&lt;0,$T97&gt;228,$AG97=""),"—",ROUND(IF($AG97=0,LN($V97/$AH97)/$AI97,((($V97/$AH97)^$AG97)-1)/($AG97*$AI97)),2))</f>
        <v/>
      </c>
      <c r="N97">
        <f>IF(OR($M97="",$M97="—"),"",IF($M97&lt;-3,"Muito baixa",IF($M97&lt;-2,"Baixa","Adequada")))</f>
        <v/>
      </c>
      <c r="O97" s="12">
        <f>IF(OR($S97="",$F97="",$T97="",$T97&lt;0,$T97&gt;120,$AJ97=""),"—",ROUND(IF(ABS($AM97)&lt;=3,$AM97,IF($AM97&gt;3,3+($F97-$AO97)/($AO97-$AN97),-3+($F97-$AQ97)/($AP97-$AQ97))),2))</f>
        <v/>
      </c>
      <c r="P97">
        <f>IF(OR($O97="",$O97="—"),"",IF($O97&lt;-3,"Muito baixo",IF($O97&lt;-2,"Baixo",IF($O97&lt;=2,"Adequado","Elevado"))))</f>
        <v/>
      </c>
      <c r="Q97" s="12">
        <f>IF(OR($S97="",$F97="",$T97="",$T97&lt;0,$T97&gt;60,$AR97=""),"—",ROUND(IF(ABS($AU97)&lt;=3,$AU97,IF($AU97&gt;3,3+($F97-$AW97)/($AW97-$AV97),-3+($F97-$AY97)/($AX97-$AY97))),2))</f>
        <v/>
      </c>
      <c r="R97">
        <f>IF(OR($Q97="",$Q97="—"),"",IF($Q97&lt;-3,"Magreza acentuada",IF($Q97&lt;-2,"Magreza",IF($Q97&lt;=1,"Eutrofia",IF($Q97&lt;=2,"Risco de sobrepeso",IF($Q97&lt;=3,"Sobrepeso","Obesidade"))))))</f>
        <v/>
      </c>
      <c r="S97">
        <f>IF($C97="","",IF(UPPER(LEFT($C97,1))="M",1,IF(UPPER(LEFT($C97,1))="F",2,"")))</f>
        <v/>
      </c>
      <c r="T97">
        <f>IF(OR($D97="",$E97=""),"",DATEDIF($D97,$E97,"m"))</f>
        <v/>
      </c>
      <c r="U97">
        <f>IF(OR($D97="",$E97=""),"",$E97-$D97)</f>
        <v/>
      </c>
      <c r="V97">
        <f>IF(OR($G97="",$T97=""),"",IF($T97&lt;24,IF(LEFT(LOWER($H97),4)="em p",$G97+0.7,$G97),IF(LEFT(LOWER($H97),4)="deit",$G97-0.7,$G97)))</f>
        <v/>
      </c>
      <c r="W97">
        <f>IF(OR($S97="",$T97=""),"",$S97*1000000+IF($T97&lt;=60,$U97,$T97))</f>
        <v/>
      </c>
      <c r="X97">
        <f>IF(OR($S97="",$V97="",$T97&gt;60,$T97=""),"",$S97*1000000+ROUND($V97*10,0))</f>
        <v/>
      </c>
      <c r="Y97">
        <f>IF($W97="","",IFERROR(INDEX(IF($T97&lt;=60,imc05_l,imc519_l),MATCH($W97,IF($T97&lt;=60,imc05_k,imc519_k),1)),""))</f>
        <v/>
      </c>
      <c r="Z97">
        <f>IF($W97="","",IFERROR(INDEX(IF($T97&lt;=60,imc05_m,imc519_m),MATCH($W97,IF($T97&lt;=60,imc05_k,imc519_k),1)),""))</f>
        <v/>
      </c>
      <c r="AA97">
        <f>IF($W97="","",IFERROR(INDEX(IF($T97&lt;=60,imc05_s,imc519_s),MATCH($W97,IF($T97&lt;=60,imc05_k,imc519_k),1)),""))</f>
        <v/>
      </c>
      <c r="AB97">
        <f>IF($Y97="","",IF($Y97=0,LN($J97/$Z97)/$AA97,((($J97/$Z97)^$Y97)-1)/($Y97*$AA97)))</f>
        <v/>
      </c>
      <c r="AC97">
        <f>IF($Y97="","",IF($Y97=0,$Z97*EXP($AA97*2),$Z97*(1+$Y97*$AA97*2)^(1/$Y97)))</f>
        <v/>
      </c>
      <c r="AD97">
        <f>IF($Y97="","",IF($Y97=0,$Z97*EXP($AA97*3),$Z97*(1+$Y97*$AA97*3)^(1/$Y97)))</f>
        <v/>
      </c>
      <c r="AE97">
        <f>IF($Y97="","",IF($Y97=0,$Z97*EXP($AA97*-2),$Z97*(1+$Y97*$AA97*-2)^(1/$Y97)))</f>
        <v/>
      </c>
      <c r="AF97">
        <f>IF($Y97="","",IF($Y97=0,$Z97*EXP($AA97*-3),$Z97*(1+$Y97*$AA97*-3)^(1/$Y97)))</f>
        <v/>
      </c>
      <c r="AG97">
        <f>IF($W97="","",IFERROR(INDEX(IF($T97&lt;=60,est05_l,est519_l),MATCH($W97,IF($T97&lt;=60,est05_k,est519_k),1)),""))</f>
        <v/>
      </c>
      <c r="AH97">
        <f>IF($W97="","",IFERROR(INDEX(IF($T97&lt;=60,est05_m,est519_m),MATCH($W97,IF($T97&lt;=60,est05_k,est519_k),1)),""))</f>
        <v/>
      </c>
      <c r="AI97">
        <f>IF($W97="","",IFERROR(INDEX(IF($T97&lt;=60,est05_s,est519_s),MATCH($W97,IF($T97&lt;=60,est05_k,est519_k),1)),""))</f>
        <v/>
      </c>
      <c r="AJ97">
        <f>IF($W97="","",IFERROR(INDEX(IF($T97&lt;=60,peso05_l,peso510_l),MATCH($W97,IF($T97&lt;=60,peso05_k,peso510_k),1)),""))</f>
        <v/>
      </c>
      <c r="AK97">
        <f>IF($W97="","",IFERROR(INDEX(IF($T97&lt;=60,peso05_m,peso510_m),MATCH($W97,IF($T97&lt;=60,peso05_k,peso510_k),1)),""))</f>
        <v/>
      </c>
      <c r="AL97">
        <f>IF($W97="","",IFERROR(INDEX(IF($T97&lt;=60,peso05_s,peso510_s),MATCH($W97,IF($T97&lt;=60,peso05_k,peso510_k),1)),""))</f>
        <v/>
      </c>
      <c r="AM97">
        <f>IF($AJ97="","",IF($AJ97=0,LN($F97/$AK97)/$AL97,((($F97/$AK97)^$AJ97)-1)/($AJ97*$AL97)))</f>
        <v/>
      </c>
      <c r="AN97">
        <f>IF($AJ97="","",IF($AJ97=0,$AK97*EXP($AL97*2),$AK97*(1+$AJ97*$AL97*2)^(1/$AJ97)))</f>
        <v/>
      </c>
      <c r="AO97">
        <f>IF($AJ97="","",IF($AJ97=0,$AK97*EXP($AL97*3),$AK97*(1+$AJ97*$AL97*3)^(1/$AJ97)))</f>
        <v/>
      </c>
      <c r="AP97">
        <f>IF($AJ97="","",IF($AJ97=0,$AK97*EXP($AL97*-2),$AK97*(1+$AJ97*$AL97*-2)^(1/$AJ97)))</f>
        <v/>
      </c>
      <c r="AQ97">
        <f>IF($AJ97="","",IF($AJ97=0,$AK97*EXP($AL97*-3),$AK97*(1+$AJ97*$AL97*-3)^(1/$AJ97)))</f>
        <v/>
      </c>
      <c r="AR97">
        <f>IF(OR($X97="",$T97&gt;60),"",IFERROR(INDEX(IF($T97&lt;24,pcomp_l,palt_l),MATCH($X97,IF($T97&lt;24,pcomp_k,palt_k),1)),""))</f>
        <v/>
      </c>
      <c r="AS97">
        <f>IF(OR($X97="",$T97&gt;60),"",IFERROR(INDEX(IF($T97&lt;24,pcomp_m,palt_m),MATCH($X97,IF($T97&lt;24,pcomp_k,palt_k),1)),""))</f>
        <v/>
      </c>
      <c r="AT97">
        <f>IF(OR($X97="",$T97&gt;60),"",IFERROR(INDEX(IF($T97&lt;24,pcomp_s,palt_s),MATCH($X97,IF($T97&lt;24,pcomp_k,palt_k),1)),""))</f>
        <v/>
      </c>
      <c r="AU97">
        <f>IF($AR97="","",IF($AR97=0,LN($F97/$AS97)/$AT97,((($F97/$AS97)^$AR97)-1)/($AR97*$AT97)))</f>
        <v/>
      </c>
      <c r="AV97">
        <f>IF($AR97="","",IF($AR97=0,$AS97*EXP($AT97*2),$AS97*(1+$AR97*$AT97*2)^(1/$AR97)))</f>
        <v/>
      </c>
      <c r="AW97">
        <f>IF($AR97="","",IF($AR97=0,$AS97*EXP($AT97*3),$AS97*(1+$AR97*$AT97*3)^(1/$AR97)))</f>
        <v/>
      </c>
      <c r="AX97">
        <f>IF($AR97="","",IF($AR97=0,$AS97*EXP($AT97*-2),$AS97*(1+$AR97*$AT97*-2)^(1/$AR97)))</f>
        <v/>
      </c>
      <c r="AY97">
        <f>IF($AR97="","",IF($AR97=0,$AS97*EXP($AT97*-3),$AS97*(1+$AR97*$AT97*-3)^(1/$AR97)))</f>
        <v/>
      </c>
      <c r="AZ97">
        <f>IF(OR($A97="",$A97&lt;&gt;Ficha!$C$4),"",COUNTIF($A$2:$A97,Ficha!$C$4))</f>
        <v/>
      </c>
    </row>
    <row r="98">
      <c r="A98" s="8">
        <f>IF(INDEX(Banco!$A:$A,ROW())="","",INDEX(Banco!$A:$A,ROW()))</f>
        <v/>
      </c>
      <c r="B98" s="8">
        <f>IF(INDEX(Banco!$B:$B,ROW())="","",INDEX(Banco!$B:$B,ROW()))</f>
        <v/>
      </c>
      <c r="C98" s="8">
        <f>IF(INDEX(Banco!$C:$C,ROW())="","",INDEX(Banco!$C:$C,ROW()))</f>
        <v/>
      </c>
      <c r="D98" s="9">
        <f>IF(INDEX(Banco!$D:$D,ROW())="","",INDEX(Banco!$D:$D,ROW()))</f>
        <v/>
      </c>
      <c r="E98" s="9">
        <f>IF(INDEX(Banco!$E:$E,ROW())="","",INDEX(Banco!$E:$E,ROW()))</f>
        <v/>
      </c>
      <c r="F98" s="10">
        <f>IF(INDEX(Banco!$F:$F,ROW())="","",INDEX(Banco!$F:$F,ROW()))</f>
        <v/>
      </c>
      <c r="G98" s="10">
        <f>IF(INDEX(Banco!$G:$G,ROW())="","",INDEX(Banco!$G:$G,ROW()))</f>
        <v/>
      </c>
      <c r="H98" s="8">
        <f>IF(INDEX(Banco!$H:$H,ROW())="","",INDEX(Banco!$H:$H,ROW()))</f>
        <v/>
      </c>
      <c r="I98">
        <f>IF($T98="","",INT($T98/12)&amp;"a "&amp;MOD($T98,12)&amp;"m")</f>
        <v/>
      </c>
      <c r="J98" s="11">
        <f>IF(OR($F98="",$G98=""),"",ROUND($F98/($G98/100)^2,2))</f>
        <v/>
      </c>
      <c r="K98" s="12">
        <f>IF(OR($S98="",$J98="",$T98="",$T98&lt;0,$T98&gt;228,$Y98=""),"—",ROUND(IF(ABS($AB98)&lt;=3,$AB98,IF($AB98&gt;3,3+($J98-$AD98)/($AD98-$AC98),-3+($J98-$AF98)/($AE98-$AF98))),2))</f>
        <v/>
      </c>
      <c r="L98">
        <f>IF(OR($K98="",$K98="—"),"",IF($T98&lt;=60,IF($K98&lt;-3,"Magreza acentuada",IF($K98&lt;-2,"Magreza",IF($K98&lt;=1,"Eutrofia",IF($K98&lt;=2,"Risco de sobrepeso",IF($K98&lt;=3,"Sobrepeso","Obesidade"))))),IF($K98&lt;-3,"Magreza acentuada",IF($K98&lt;-2,"Magreza",IF($K98&lt;=1,"Eutrofia",IF($K98&lt;=2,"Sobrepeso",IF($K98&lt;=3,"Obesidade","Obesidade grave")))))))</f>
        <v/>
      </c>
      <c r="M98" s="12">
        <f>IF(OR($S98="",$V98="",$T98="",$T98&lt;0,$T98&gt;228,$AG98=""),"—",ROUND(IF($AG98=0,LN($V98/$AH98)/$AI98,((($V98/$AH98)^$AG98)-1)/($AG98*$AI98)),2))</f>
        <v/>
      </c>
      <c r="N98">
        <f>IF(OR($M98="",$M98="—"),"",IF($M98&lt;-3,"Muito baixa",IF($M98&lt;-2,"Baixa","Adequada")))</f>
        <v/>
      </c>
      <c r="O98" s="12">
        <f>IF(OR($S98="",$F98="",$T98="",$T98&lt;0,$T98&gt;120,$AJ98=""),"—",ROUND(IF(ABS($AM98)&lt;=3,$AM98,IF($AM98&gt;3,3+($F98-$AO98)/($AO98-$AN98),-3+($F98-$AQ98)/($AP98-$AQ98))),2))</f>
        <v/>
      </c>
      <c r="P98">
        <f>IF(OR($O98="",$O98="—"),"",IF($O98&lt;-3,"Muito baixo",IF($O98&lt;-2,"Baixo",IF($O98&lt;=2,"Adequado","Elevado"))))</f>
        <v/>
      </c>
      <c r="Q98" s="12">
        <f>IF(OR($S98="",$F98="",$T98="",$T98&lt;0,$T98&gt;60,$AR98=""),"—",ROUND(IF(ABS($AU98)&lt;=3,$AU98,IF($AU98&gt;3,3+($F98-$AW98)/($AW98-$AV98),-3+($F98-$AY98)/($AX98-$AY98))),2))</f>
        <v/>
      </c>
      <c r="R98">
        <f>IF(OR($Q98="",$Q98="—"),"",IF($Q98&lt;-3,"Magreza acentuada",IF($Q98&lt;-2,"Magreza",IF($Q98&lt;=1,"Eutrofia",IF($Q98&lt;=2,"Risco de sobrepeso",IF($Q98&lt;=3,"Sobrepeso","Obesidade"))))))</f>
        <v/>
      </c>
      <c r="S98">
        <f>IF($C98="","",IF(UPPER(LEFT($C98,1))="M",1,IF(UPPER(LEFT($C98,1))="F",2,"")))</f>
        <v/>
      </c>
      <c r="T98">
        <f>IF(OR($D98="",$E98=""),"",DATEDIF($D98,$E98,"m"))</f>
        <v/>
      </c>
      <c r="U98">
        <f>IF(OR($D98="",$E98=""),"",$E98-$D98)</f>
        <v/>
      </c>
      <c r="V98">
        <f>IF(OR($G98="",$T98=""),"",IF($T98&lt;24,IF(LEFT(LOWER($H98),4)="em p",$G98+0.7,$G98),IF(LEFT(LOWER($H98),4)="deit",$G98-0.7,$G98)))</f>
        <v/>
      </c>
      <c r="W98">
        <f>IF(OR($S98="",$T98=""),"",$S98*1000000+IF($T98&lt;=60,$U98,$T98))</f>
        <v/>
      </c>
      <c r="X98">
        <f>IF(OR($S98="",$V98="",$T98&gt;60,$T98=""),"",$S98*1000000+ROUND($V98*10,0))</f>
        <v/>
      </c>
      <c r="Y98">
        <f>IF($W98="","",IFERROR(INDEX(IF($T98&lt;=60,imc05_l,imc519_l),MATCH($W98,IF($T98&lt;=60,imc05_k,imc519_k),1)),""))</f>
        <v/>
      </c>
      <c r="Z98">
        <f>IF($W98="","",IFERROR(INDEX(IF($T98&lt;=60,imc05_m,imc519_m),MATCH($W98,IF($T98&lt;=60,imc05_k,imc519_k),1)),""))</f>
        <v/>
      </c>
      <c r="AA98">
        <f>IF($W98="","",IFERROR(INDEX(IF($T98&lt;=60,imc05_s,imc519_s),MATCH($W98,IF($T98&lt;=60,imc05_k,imc519_k),1)),""))</f>
        <v/>
      </c>
      <c r="AB98">
        <f>IF($Y98="","",IF($Y98=0,LN($J98/$Z98)/$AA98,((($J98/$Z98)^$Y98)-1)/($Y98*$AA98)))</f>
        <v/>
      </c>
      <c r="AC98">
        <f>IF($Y98="","",IF($Y98=0,$Z98*EXP($AA98*2),$Z98*(1+$Y98*$AA98*2)^(1/$Y98)))</f>
        <v/>
      </c>
      <c r="AD98">
        <f>IF($Y98="","",IF($Y98=0,$Z98*EXP($AA98*3),$Z98*(1+$Y98*$AA98*3)^(1/$Y98)))</f>
        <v/>
      </c>
      <c r="AE98">
        <f>IF($Y98="","",IF($Y98=0,$Z98*EXP($AA98*-2),$Z98*(1+$Y98*$AA98*-2)^(1/$Y98)))</f>
        <v/>
      </c>
      <c r="AF98">
        <f>IF($Y98="","",IF($Y98=0,$Z98*EXP($AA98*-3),$Z98*(1+$Y98*$AA98*-3)^(1/$Y98)))</f>
        <v/>
      </c>
      <c r="AG98">
        <f>IF($W98="","",IFERROR(INDEX(IF($T98&lt;=60,est05_l,est519_l),MATCH($W98,IF($T98&lt;=60,est05_k,est519_k),1)),""))</f>
        <v/>
      </c>
      <c r="AH98">
        <f>IF($W98="","",IFERROR(INDEX(IF($T98&lt;=60,est05_m,est519_m),MATCH($W98,IF($T98&lt;=60,est05_k,est519_k),1)),""))</f>
        <v/>
      </c>
      <c r="AI98">
        <f>IF($W98="","",IFERROR(INDEX(IF($T98&lt;=60,est05_s,est519_s),MATCH($W98,IF($T98&lt;=60,est05_k,est519_k),1)),""))</f>
        <v/>
      </c>
      <c r="AJ98">
        <f>IF($W98="","",IFERROR(INDEX(IF($T98&lt;=60,peso05_l,peso510_l),MATCH($W98,IF($T98&lt;=60,peso05_k,peso510_k),1)),""))</f>
        <v/>
      </c>
      <c r="AK98">
        <f>IF($W98="","",IFERROR(INDEX(IF($T98&lt;=60,peso05_m,peso510_m),MATCH($W98,IF($T98&lt;=60,peso05_k,peso510_k),1)),""))</f>
        <v/>
      </c>
      <c r="AL98">
        <f>IF($W98="","",IFERROR(INDEX(IF($T98&lt;=60,peso05_s,peso510_s),MATCH($W98,IF($T98&lt;=60,peso05_k,peso510_k),1)),""))</f>
        <v/>
      </c>
      <c r="AM98">
        <f>IF($AJ98="","",IF($AJ98=0,LN($F98/$AK98)/$AL98,((($F98/$AK98)^$AJ98)-1)/($AJ98*$AL98)))</f>
        <v/>
      </c>
      <c r="AN98">
        <f>IF($AJ98="","",IF($AJ98=0,$AK98*EXP($AL98*2),$AK98*(1+$AJ98*$AL98*2)^(1/$AJ98)))</f>
        <v/>
      </c>
      <c r="AO98">
        <f>IF($AJ98="","",IF($AJ98=0,$AK98*EXP($AL98*3),$AK98*(1+$AJ98*$AL98*3)^(1/$AJ98)))</f>
        <v/>
      </c>
      <c r="AP98">
        <f>IF($AJ98="","",IF($AJ98=0,$AK98*EXP($AL98*-2),$AK98*(1+$AJ98*$AL98*-2)^(1/$AJ98)))</f>
        <v/>
      </c>
      <c r="AQ98">
        <f>IF($AJ98="","",IF($AJ98=0,$AK98*EXP($AL98*-3),$AK98*(1+$AJ98*$AL98*-3)^(1/$AJ98)))</f>
        <v/>
      </c>
      <c r="AR98">
        <f>IF(OR($X98="",$T98&gt;60),"",IFERROR(INDEX(IF($T98&lt;24,pcomp_l,palt_l),MATCH($X98,IF($T98&lt;24,pcomp_k,palt_k),1)),""))</f>
        <v/>
      </c>
      <c r="AS98">
        <f>IF(OR($X98="",$T98&gt;60),"",IFERROR(INDEX(IF($T98&lt;24,pcomp_m,palt_m),MATCH($X98,IF($T98&lt;24,pcomp_k,palt_k),1)),""))</f>
        <v/>
      </c>
      <c r="AT98">
        <f>IF(OR($X98="",$T98&gt;60),"",IFERROR(INDEX(IF($T98&lt;24,pcomp_s,palt_s),MATCH($X98,IF($T98&lt;24,pcomp_k,palt_k),1)),""))</f>
        <v/>
      </c>
      <c r="AU98">
        <f>IF($AR98="","",IF($AR98=0,LN($F98/$AS98)/$AT98,((($F98/$AS98)^$AR98)-1)/($AR98*$AT98)))</f>
        <v/>
      </c>
      <c r="AV98">
        <f>IF($AR98="","",IF($AR98=0,$AS98*EXP($AT98*2),$AS98*(1+$AR98*$AT98*2)^(1/$AR98)))</f>
        <v/>
      </c>
      <c r="AW98">
        <f>IF($AR98="","",IF($AR98=0,$AS98*EXP($AT98*3),$AS98*(1+$AR98*$AT98*3)^(1/$AR98)))</f>
        <v/>
      </c>
      <c r="AX98">
        <f>IF($AR98="","",IF($AR98=0,$AS98*EXP($AT98*-2),$AS98*(1+$AR98*$AT98*-2)^(1/$AR98)))</f>
        <v/>
      </c>
      <c r="AY98">
        <f>IF($AR98="","",IF($AR98=0,$AS98*EXP($AT98*-3),$AS98*(1+$AR98*$AT98*-3)^(1/$AR98)))</f>
        <v/>
      </c>
      <c r="AZ98">
        <f>IF(OR($A98="",$A98&lt;&gt;Ficha!$C$4),"",COUNTIF($A$2:$A98,Ficha!$C$4))</f>
        <v/>
      </c>
    </row>
    <row r="99">
      <c r="A99" s="8">
        <f>IF(INDEX(Banco!$A:$A,ROW())="","",INDEX(Banco!$A:$A,ROW()))</f>
        <v/>
      </c>
      <c r="B99" s="8">
        <f>IF(INDEX(Banco!$B:$B,ROW())="","",INDEX(Banco!$B:$B,ROW()))</f>
        <v/>
      </c>
      <c r="C99" s="8">
        <f>IF(INDEX(Banco!$C:$C,ROW())="","",INDEX(Banco!$C:$C,ROW()))</f>
        <v/>
      </c>
      <c r="D99" s="9">
        <f>IF(INDEX(Banco!$D:$D,ROW())="","",INDEX(Banco!$D:$D,ROW()))</f>
        <v/>
      </c>
      <c r="E99" s="9">
        <f>IF(INDEX(Banco!$E:$E,ROW())="","",INDEX(Banco!$E:$E,ROW()))</f>
        <v/>
      </c>
      <c r="F99" s="10">
        <f>IF(INDEX(Banco!$F:$F,ROW())="","",INDEX(Banco!$F:$F,ROW()))</f>
        <v/>
      </c>
      <c r="G99" s="10">
        <f>IF(INDEX(Banco!$G:$G,ROW())="","",INDEX(Banco!$G:$G,ROW()))</f>
        <v/>
      </c>
      <c r="H99" s="8">
        <f>IF(INDEX(Banco!$H:$H,ROW())="","",INDEX(Banco!$H:$H,ROW()))</f>
        <v/>
      </c>
      <c r="I99">
        <f>IF($T99="","",INT($T99/12)&amp;"a "&amp;MOD($T99,12)&amp;"m")</f>
        <v/>
      </c>
      <c r="J99" s="11">
        <f>IF(OR($F99="",$G99=""),"",ROUND($F99/($G99/100)^2,2))</f>
        <v/>
      </c>
      <c r="K99" s="12">
        <f>IF(OR($S99="",$J99="",$T99="",$T99&lt;0,$T99&gt;228,$Y99=""),"—",ROUND(IF(ABS($AB99)&lt;=3,$AB99,IF($AB99&gt;3,3+($J99-$AD99)/($AD99-$AC99),-3+($J99-$AF99)/($AE99-$AF99))),2))</f>
        <v/>
      </c>
      <c r="L99">
        <f>IF(OR($K99="",$K99="—"),"",IF($T99&lt;=60,IF($K99&lt;-3,"Magreza acentuada",IF($K99&lt;-2,"Magreza",IF($K99&lt;=1,"Eutrofia",IF($K99&lt;=2,"Risco de sobrepeso",IF($K99&lt;=3,"Sobrepeso","Obesidade"))))),IF($K99&lt;-3,"Magreza acentuada",IF($K99&lt;-2,"Magreza",IF($K99&lt;=1,"Eutrofia",IF($K99&lt;=2,"Sobrepeso",IF($K99&lt;=3,"Obesidade","Obesidade grave")))))))</f>
        <v/>
      </c>
      <c r="M99" s="12">
        <f>IF(OR($S99="",$V99="",$T99="",$T99&lt;0,$T99&gt;228,$AG99=""),"—",ROUND(IF($AG99=0,LN($V99/$AH99)/$AI99,((($V99/$AH99)^$AG99)-1)/($AG99*$AI99)),2))</f>
        <v/>
      </c>
      <c r="N99">
        <f>IF(OR($M99="",$M99="—"),"",IF($M99&lt;-3,"Muito baixa",IF($M99&lt;-2,"Baixa","Adequada")))</f>
        <v/>
      </c>
      <c r="O99" s="12">
        <f>IF(OR($S99="",$F99="",$T99="",$T99&lt;0,$T99&gt;120,$AJ99=""),"—",ROUND(IF(ABS($AM99)&lt;=3,$AM99,IF($AM99&gt;3,3+($F99-$AO99)/($AO99-$AN99),-3+($F99-$AQ99)/($AP99-$AQ99))),2))</f>
        <v/>
      </c>
      <c r="P99">
        <f>IF(OR($O99="",$O99="—"),"",IF($O99&lt;-3,"Muito baixo",IF($O99&lt;-2,"Baixo",IF($O99&lt;=2,"Adequado","Elevado"))))</f>
        <v/>
      </c>
      <c r="Q99" s="12">
        <f>IF(OR($S99="",$F99="",$T99="",$T99&lt;0,$T99&gt;60,$AR99=""),"—",ROUND(IF(ABS($AU99)&lt;=3,$AU99,IF($AU99&gt;3,3+($F99-$AW99)/($AW99-$AV99),-3+($F99-$AY99)/($AX99-$AY99))),2))</f>
        <v/>
      </c>
      <c r="R99">
        <f>IF(OR($Q99="",$Q99="—"),"",IF($Q99&lt;-3,"Magreza acentuada",IF($Q99&lt;-2,"Magreza",IF($Q99&lt;=1,"Eutrofia",IF($Q99&lt;=2,"Risco de sobrepeso",IF($Q99&lt;=3,"Sobrepeso","Obesidade"))))))</f>
        <v/>
      </c>
      <c r="S99">
        <f>IF($C99="","",IF(UPPER(LEFT($C99,1))="M",1,IF(UPPER(LEFT($C99,1))="F",2,"")))</f>
        <v/>
      </c>
      <c r="T99">
        <f>IF(OR($D99="",$E99=""),"",DATEDIF($D99,$E99,"m"))</f>
        <v/>
      </c>
      <c r="U99">
        <f>IF(OR($D99="",$E99=""),"",$E99-$D99)</f>
        <v/>
      </c>
      <c r="V99">
        <f>IF(OR($G99="",$T99=""),"",IF($T99&lt;24,IF(LEFT(LOWER($H99),4)="em p",$G99+0.7,$G99),IF(LEFT(LOWER($H99),4)="deit",$G99-0.7,$G99)))</f>
        <v/>
      </c>
      <c r="W99">
        <f>IF(OR($S99="",$T99=""),"",$S99*1000000+IF($T99&lt;=60,$U99,$T99))</f>
        <v/>
      </c>
      <c r="X99">
        <f>IF(OR($S99="",$V99="",$T99&gt;60,$T99=""),"",$S99*1000000+ROUND($V99*10,0))</f>
        <v/>
      </c>
      <c r="Y99">
        <f>IF($W99="","",IFERROR(INDEX(IF($T99&lt;=60,imc05_l,imc519_l),MATCH($W99,IF($T99&lt;=60,imc05_k,imc519_k),1)),""))</f>
        <v/>
      </c>
      <c r="Z99">
        <f>IF($W99="","",IFERROR(INDEX(IF($T99&lt;=60,imc05_m,imc519_m),MATCH($W99,IF($T99&lt;=60,imc05_k,imc519_k),1)),""))</f>
        <v/>
      </c>
      <c r="AA99">
        <f>IF($W99="","",IFERROR(INDEX(IF($T99&lt;=60,imc05_s,imc519_s),MATCH($W99,IF($T99&lt;=60,imc05_k,imc519_k),1)),""))</f>
        <v/>
      </c>
      <c r="AB99">
        <f>IF($Y99="","",IF($Y99=0,LN($J99/$Z99)/$AA99,((($J99/$Z99)^$Y99)-1)/($Y99*$AA99)))</f>
        <v/>
      </c>
      <c r="AC99">
        <f>IF($Y99="","",IF($Y99=0,$Z99*EXP($AA99*2),$Z99*(1+$Y99*$AA99*2)^(1/$Y99)))</f>
        <v/>
      </c>
      <c r="AD99">
        <f>IF($Y99="","",IF($Y99=0,$Z99*EXP($AA99*3),$Z99*(1+$Y99*$AA99*3)^(1/$Y99)))</f>
        <v/>
      </c>
      <c r="AE99">
        <f>IF($Y99="","",IF($Y99=0,$Z99*EXP($AA99*-2),$Z99*(1+$Y99*$AA99*-2)^(1/$Y99)))</f>
        <v/>
      </c>
      <c r="AF99">
        <f>IF($Y99="","",IF($Y99=0,$Z99*EXP($AA99*-3),$Z99*(1+$Y99*$AA99*-3)^(1/$Y99)))</f>
        <v/>
      </c>
      <c r="AG99">
        <f>IF($W99="","",IFERROR(INDEX(IF($T99&lt;=60,est05_l,est519_l),MATCH($W99,IF($T99&lt;=60,est05_k,est519_k),1)),""))</f>
        <v/>
      </c>
      <c r="AH99">
        <f>IF($W99="","",IFERROR(INDEX(IF($T99&lt;=60,est05_m,est519_m),MATCH($W99,IF($T99&lt;=60,est05_k,est519_k),1)),""))</f>
        <v/>
      </c>
      <c r="AI99">
        <f>IF($W99="","",IFERROR(INDEX(IF($T99&lt;=60,est05_s,est519_s),MATCH($W99,IF($T99&lt;=60,est05_k,est519_k),1)),""))</f>
        <v/>
      </c>
      <c r="AJ99">
        <f>IF($W99="","",IFERROR(INDEX(IF($T99&lt;=60,peso05_l,peso510_l),MATCH($W99,IF($T99&lt;=60,peso05_k,peso510_k),1)),""))</f>
        <v/>
      </c>
      <c r="AK99">
        <f>IF($W99="","",IFERROR(INDEX(IF($T99&lt;=60,peso05_m,peso510_m),MATCH($W99,IF($T99&lt;=60,peso05_k,peso510_k),1)),""))</f>
        <v/>
      </c>
      <c r="AL99">
        <f>IF($W99="","",IFERROR(INDEX(IF($T99&lt;=60,peso05_s,peso510_s),MATCH($W99,IF($T99&lt;=60,peso05_k,peso510_k),1)),""))</f>
        <v/>
      </c>
      <c r="AM99">
        <f>IF($AJ99="","",IF($AJ99=0,LN($F99/$AK99)/$AL99,((($F99/$AK99)^$AJ99)-1)/($AJ99*$AL99)))</f>
        <v/>
      </c>
      <c r="AN99">
        <f>IF($AJ99="","",IF($AJ99=0,$AK99*EXP($AL99*2),$AK99*(1+$AJ99*$AL99*2)^(1/$AJ99)))</f>
        <v/>
      </c>
      <c r="AO99">
        <f>IF($AJ99="","",IF($AJ99=0,$AK99*EXP($AL99*3),$AK99*(1+$AJ99*$AL99*3)^(1/$AJ99)))</f>
        <v/>
      </c>
      <c r="AP99">
        <f>IF($AJ99="","",IF($AJ99=0,$AK99*EXP($AL99*-2),$AK99*(1+$AJ99*$AL99*-2)^(1/$AJ99)))</f>
        <v/>
      </c>
      <c r="AQ99">
        <f>IF($AJ99="","",IF($AJ99=0,$AK99*EXP($AL99*-3),$AK99*(1+$AJ99*$AL99*-3)^(1/$AJ99)))</f>
        <v/>
      </c>
      <c r="AR99">
        <f>IF(OR($X99="",$T99&gt;60),"",IFERROR(INDEX(IF($T99&lt;24,pcomp_l,palt_l),MATCH($X99,IF($T99&lt;24,pcomp_k,palt_k),1)),""))</f>
        <v/>
      </c>
      <c r="AS99">
        <f>IF(OR($X99="",$T99&gt;60),"",IFERROR(INDEX(IF($T99&lt;24,pcomp_m,palt_m),MATCH($X99,IF($T99&lt;24,pcomp_k,palt_k),1)),""))</f>
        <v/>
      </c>
      <c r="AT99">
        <f>IF(OR($X99="",$T99&gt;60),"",IFERROR(INDEX(IF($T99&lt;24,pcomp_s,palt_s),MATCH($X99,IF($T99&lt;24,pcomp_k,palt_k),1)),""))</f>
        <v/>
      </c>
      <c r="AU99">
        <f>IF($AR99="","",IF($AR99=0,LN($F99/$AS99)/$AT99,((($F99/$AS99)^$AR99)-1)/($AR99*$AT99)))</f>
        <v/>
      </c>
      <c r="AV99">
        <f>IF($AR99="","",IF($AR99=0,$AS99*EXP($AT99*2),$AS99*(1+$AR99*$AT99*2)^(1/$AR99)))</f>
        <v/>
      </c>
      <c r="AW99">
        <f>IF($AR99="","",IF($AR99=0,$AS99*EXP($AT99*3),$AS99*(1+$AR99*$AT99*3)^(1/$AR99)))</f>
        <v/>
      </c>
      <c r="AX99">
        <f>IF($AR99="","",IF($AR99=0,$AS99*EXP($AT99*-2),$AS99*(1+$AR99*$AT99*-2)^(1/$AR99)))</f>
        <v/>
      </c>
      <c r="AY99">
        <f>IF($AR99="","",IF($AR99=0,$AS99*EXP($AT99*-3),$AS99*(1+$AR99*$AT99*-3)^(1/$AR99)))</f>
        <v/>
      </c>
      <c r="AZ99">
        <f>IF(OR($A99="",$A99&lt;&gt;Ficha!$C$4),"",COUNTIF($A$2:$A99,Ficha!$C$4))</f>
        <v/>
      </c>
    </row>
    <row r="100">
      <c r="A100" s="8">
        <f>IF(INDEX(Banco!$A:$A,ROW())="","",INDEX(Banco!$A:$A,ROW()))</f>
        <v/>
      </c>
      <c r="B100" s="8">
        <f>IF(INDEX(Banco!$B:$B,ROW())="","",INDEX(Banco!$B:$B,ROW()))</f>
        <v/>
      </c>
      <c r="C100" s="8">
        <f>IF(INDEX(Banco!$C:$C,ROW())="","",INDEX(Banco!$C:$C,ROW()))</f>
        <v/>
      </c>
      <c r="D100" s="9">
        <f>IF(INDEX(Banco!$D:$D,ROW())="","",INDEX(Banco!$D:$D,ROW()))</f>
        <v/>
      </c>
      <c r="E100" s="9">
        <f>IF(INDEX(Banco!$E:$E,ROW())="","",INDEX(Banco!$E:$E,ROW()))</f>
        <v/>
      </c>
      <c r="F100" s="10">
        <f>IF(INDEX(Banco!$F:$F,ROW())="","",INDEX(Banco!$F:$F,ROW()))</f>
        <v/>
      </c>
      <c r="G100" s="10">
        <f>IF(INDEX(Banco!$G:$G,ROW())="","",INDEX(Banco!$G:$G,ROW()))</f>
        <v/>
      </c>
      <c r="H100" s="8">
        <f>IF(INDEX(Banco!$H:$H,ROW())="","",INDEX(Banco!$H:$H,ROW()))</f>
        <v/>
      </c>
      <c r="I100">
        <f>IF($T100="","",INT($T100/12)&amp;"a "&amp;MOD($T100,12)&amp;"m")</f>
        <v/>
      </c>
      <c r="J100" s="11">
        <f>IF(OR($F100="",$G100=""),"",ROUND($F100/($G100/100)^2,2))</f>
        <v/>
      </c>
      <c r="K100" s="12">
        <f>IF(OR($S100="",$J100="",$T100="",$T100&lt;0,$T100&gt;228,$Y100=""),"—",ROUND(IF(ABS($AB100)&lt;=3,$AB100,IF($AB100&gt;3,3+($J100-$AD100)/($AD100-$AC100),-3+($J100-$AF100)/($AE100-$AF100))),2))</f>
        <v/>
      </c>
      <c r="L100">
        <f>IF(OR($K100="",$K100="—"),"",IF($T100&lt;=60,IF($K100&lt;-3,"Magreza acentuada",IF($K100&lt;-2,"Magreza",IF($K100&lt;=1,"Eutrofia",IF($K100&lt;=2,"Risco de sobrepeso",IF($K100&lt;=3,"Sobrepeso","Obesidade"))))),IF($K100&lt;-3,"Magreza acentuada",IF($K100&lt;-2,"Magreza",IF($K100&lt;=1,"Eutrofia",IF($K100&lt;=2,"Sobrepeso",IF($K100&lt;=3,"Obesidade","Obesidade grave")))))))</f>
        <v/>
      </c>
      <c r="M100" s="12">
        <f>IF(OR($S100="",$V100="",$T100="",$T100&lt;0,$T100&gt;228,$AG100=""),"—",ROUND(IF($AG100=0,LN($V100/$AH100)/$AI100,((($V100/$AH100)^$AG100)-1)/($AG100*$AI100)),2))</f>
        <v/>
      </c>
      <c r="N100">
        <f>IF(OR($M100="",$M100="—"),"",IF($M100&lt;-3,"Muito baixa",IF($M100&lt;-2,"Baixa","Adequada")))</f>
        <v/>
      </c>
      <c r="O100" s="12">
        <f>IF(OR($S100="",$F100="",$T100="",$T100&lt;0,$T100&gt;120,$AJ100=""),"—",ROUND(IF(ABS($AM100)&lt;=3,$AM100,IF($AM100&gt;3,3+($F100-$AO100)/($AO100-$AN100),-3+($F100-$AQ100)/($AP100-$AQ100))),2))</f>
        <v/>
      </c>
      <c r="P100">
        <f>IF(OR($O100="",$O100="—"),"",IF($O100&lt;-3,"Muito baixo",IF($O100&lt;-2,"Baixo",IF($O100&lt;=2,"Adequado","Elevado"))))</f>
        <v/>
      </c>
      <c r="Q100" s="12">
        <f>IF(OR($S100="",$F100="",$T100="",$T100&lt;0,$T100&gt;60,$AR100=""),"—",ROUND(IF(ABS($AU100)&lt;=3,$AU100,IF($AU100&gt;3,3+($F100-$AW100)/($AW100-$AV100),-3+($F100-$AY100)/($AX100-$AY100))),2))</f>
        <v/>
      </c>
      <c r="R100">
        <f>IF(OR($Q100="",$Q100="—"),"",IF($Q100&lt;-3,"Magreza acentuada",IF($Q100&lt;-2,"Magreza",IF($Q100&lt;=1,"Eutrofia",IF($Q100&lt;=2,"Risco de sobrepeso",IF($Q100&lt;=3,"Sobrepeso","Obesidade"))))))</f>
        <v/>
      </c>
      <c r="S100">
        <f>IF($C100="","",IF(UPPER(LEFT($C100,1))="M",1,IF(UPPER(LEFT($C100,1))="F",2,"")))</f>
        <v/>
      </c>
      <c r="T100">
        <f>IF(OR($D100="",$E100=""),"",DATEDIF($D100,$E100,"m"))</f>
        <v/>
      </c>
      <c r="U100">
        <f>IF(OR($D100="",$E100=""),"",$E100-$D100)</f>
        <v/>
      </c>
      <c r="V100">
        <f>IF(OR($G100="",$T100=""),"",IF($T100&lt;24,IF(LEFT(LOWER($H100),4)="em p",$G100+0.7,$G100),IF(LEFT(LOWER($H100),4)="deit",$G100-0.7,$G100)))</f>
        <v/>
      </c>
      <c r="W100">
        <f>IF(OR($S100="",$T100=""),"",$S100*1000000+IF($T100&lt;=60,$U100,$T100))</f>
        <v/>
      </c>
      <c r="X100">
        <f>IF(OR($S100="",$V100="",$T100&gt;60,$T100=""),"",$S100*1000000+ROUND($V100*10,0))</f>
        <v/>
      </c>
      <c r="Y100">
        <f>IF($W100="","",IFERROR(INDEX(IF($T100&lt;=60,imc05_l,imc519_l),MATCH($W100,IF($T100&lt;=60,imc05_k,imc519_k),1)),""))</f>
        <v/>
      </c>
      <c r="Z100">
        <f>IF($W100="","",IFERROR(INDEX(IF($T100&lt;=60,imc05_m,imc519_m),MATCH($W100,IF($T100&lt;=60,imc05_k,imc519_k),1)),""))</f>
        <v/>
      </c>
      <c r="AA100">
        <f>IF($W100="","",IFERROR(INDEX(IF($T100&lt;=60,imc05_s,imc519_s),MATCH($W100,IF($T100&lt;=60,imc05_k,imc519_k),1)),""))</f>
        <v/>
      </c>
      <c r="AB100">
        <f>IF($Y100="","",IF($Y100=0,LN($J100/$Z100)/$AA100,((($J100/$Z100)^$Y100)-1)/($Y100*$AA100)))</f>
        <v/>
      </c>
      <c r="AC100">
        <f>IF($Y100="","",IF($Y100=0,$Z100*EXP($AA100*2),$Z100*(1+$Y100*$AA100*2)^(1/$Y100)))</f>
        <v/>
      </c>
      <c r="AD100">
        <f>IF($Y100="","",IF($Y100=0,$Z100*EXP($AA100*3),$Z100*(1+$Y100*$AA100*3)^(1/$Y100)))</f>
        <v/>
      </c>
      <c r="AE100">
        <f>IF($Y100="","",IF($Y100=0,$Z100*EXP($AA100*-2),$Z100*(1+$Y100*$AA100*-2)^(1/$Y100)))</f>
        <v/>
      </c>
      <c r="AF100">
        <f>IF($Y100="","",IF($Y100=0,$Z100*EXP($AA100*-3),$Z100*(1+$Y100*$AA100*-3)^(1/$Y100)))</f>
        <v/>
      </c>
      <c r="AG100">
        <f>IF($W100="","",IFERROR(INDEX(IF($T100&lt;=60,est05_l,est519_l),MATCH($W100,IF($T100&lt;=60,est05_k,est519_k),1)),""))</f>
        <v/>
      </c>
      <c r="AH100">
        <f>IF($W100="","",IFERROR(INDEX(IF($T100&lt;=60,est05_m,est519_m),MATCH($W100,IF($T100&lt;=60,est05_k,est519_k),1)),""))</f>
        <v/>
      </c>
      <c r="AI100">
        <f>IF($W100="","",IFERROR(INDEX(IF($T100&lt;=60,est05_s,est519_s),MATCH($W100,IF($T100&lt;=60,est05_k,est519_k),1)),""))</f>
        <v/>
      </c>
      <c r="AJ100">
        <f>IF($W100="","",IFERROR(INDEX(IF($T100&lt;=60,peso05_l,peso510_l),MATCH($W100,IF($T100&lt;=60,peso05_k,peso510_k),1)),""))</f>
        <v/>
      </c>
      <c r="AK100">
        <f>IF($W100="","",IFERROR(INDEX(IF($T100&lt;=60,peso05_m,peso510_m),MATCH($W100,IF($T100&lt;=60,peso05_k,peso510_k),1)),""))</f>
        <v/>
      </c>
      <c r="AL100">
        <f>IF($W100="","",IFERROR(INDEX(IF($T100&lt;=60,peso05_s,peso510_s),MATCH($W100,IF($T100&lt;=60,peso05_k,peso510_k),1)),""))</f>
        <v/>
      </c>
      <c r="AM100">
        <f>IF($AJ100="","",IF($AJ100=0,LN($F100/$AK100)/$AL100,((($F100/$AK100)^$AJ100)-1)/($AJ100*$AL100)))</f>
        <v/>
      </c>
      <c r="AN100">
        <f>IF($AJ100="","",IF($AJ100=0,$AK100*EXP($AL100*2),$AK100*(1+$AJ100*$AL100*2)^(1/$AJ100)))</f>
        <v/>
      </c>
      <c r="AO100">
        <f>IF($AJ100="","",IF($AJ100=0,$AK100*EXP($AL100*3),$AK100*(1+$AJ100*$AL100*3)^(1/$AJ100)))</f>
        <v/>
      </c>
      <c r="AP100">
        <f>IF($AJ100="","",IF($AJ100=0,$AK100*EXP($AL100*-2),$AK100*(1+$AJ100*$AL100*-2)^(1/$AJ100)))</f>
        <v/>
      </c>
      <c r="AQ100">
        <f>IF($AJ100="","",IF($AJ100=0,$AK100*EXP($AL100*-3),$AK100*(1+$AJ100*$AL100*-3)^(1/$AJ100)))</f>
        <v/>
      </c>
      <c r="AR100">
        <f>IF(OR($X100="",$T100&gt;60),"",IFERROR(INDEX(IF($T100&lt;24,pcomp_l,palt_l),MATCH($X100,IF($T100&lt;24,pcomp_k,palt_k),1)),""))</f>
        <v/>
      </c>
      <c r="AS100">
        <f>IF(OR($X100="",$T100&gt;60),"",IFERROR(INDEX(IF($T100&lt;24,pcomp_m,palt_m),MATCH($X100,IF($T100&lt;24,pcomp_k,palt_k),1)),""))</f>
        <v/>
      </c>
      <c r="AT100">
        <f>IF(OR($X100="",$T100&gt;60),"",IFERROR(INDEX(IF($T100&lt;24,pcomp_s,palt_s),MATCH($X100,IF($T100&lt;24,pcomp_k,palt_k),1)),""))</f>
        <v/>
      </c>
      <c r="AU100">
        <f>IF($AR100="","",IF($AR100=0,LN($F100/$AS100)/$AT100,((($F100/$AS100)^$AR100)-1)/($AR100*$AT100)))</f>
        <v/>
      </c>
      <c r="AV100">
        <f>IF($AR100="","",IF($AR100=0,$AS100*EXP($AT100*2),$AS100*(1+$AR100*$AT100*2)^(1/$AR100)))</f>
        <v/>
      </c>
      <c r="AW100">
        <f>IF($AR100="","",IF($AR100=0,$AS100*EXP($AT100*3),$AS100*(1+$AR100*$AT100*3)^(1/$AR100)))</f>
        <v/>
      </c>
      <c r="AX100">
        <f>IF($AR100="","",IF($AR100=0,$AS100*EXP($AT100*-2),$AS100*(1+$AR100*$AT100*-2)^(1/$AR100)))</f>
        <v/>
      </c>
      <c r="AY100">
        <f>IF($AR100="","",IF($AR100=0,$AS100*EXP($AT100*-3),$AS100*(1+$AR100*$AT100*-3)^(1/$AR100)))</f>
        <v/>
      </c>
      <c r="AZ100">
        <f>IF(OR($A100="",$A100&lt;&gt;Ficha!$C$4),"",COUNTIF($A$2:$A100,Ficha!$C$4))</f>
        <v/>
      </c>
    </row>
    <row r="101">
      <c r="A101" s="8">
        <f>IF(INDEX(Banco!$A:$A,ROW())="","",INDEX(Banco!$A:$A,ROW()))</f>
        <v/>
      </c>
      <c r="B101" s="8">
        <f>IF(INDEX(Banco!$B:$B,ROW())="","",INDEX(Banco!$B:$B,ROW()))</f>
        <v/>
      </c>
      <c r="C101" s="8">
        <f>IF(INDEX(Banco!$C:$C,ROW())="","",INDEX(Banco!$C:$C,ROW()))</f>
        <v/>
      </c>
      <c r="D101" s="9">
        <f>IF(INDEX(Banco!$D:$D,ROW())="","",INDEX(Banco!$D:$D,ROW()))</f>
        <v/>
      </c>
      <c r="E101" s="9">
        <f>IF(INDEX(Banco!$E:$E,ROW())="","",INDEX(Banco!$E:$E,ROW()))</f>
        <v/>
      </c>
      <c r="F101" s="10">
        <f>IF(INDEX(Banco!$F:$F,ROW())="","",INDEX(Banco!$F:$F,ROW()))</f>
        <v/>
      </c>
      <c r="G101" s="10">
        <f>IF(INDEX(Banco!$G:$G,ROW())="","",INDEX(Banco!$G:$G,ROW()))</f>
        <v/>
      </c>
      <c r="H101" s="8">
        <f>IF(INDEX(Banco!$H:$H,ROW())="","",INDEX(Banco!$H:$H,ROW()))</f>
        <v/>
      </c>
      <c r="I101">
        <f>IF($T101="","",INT($T101/12)&amp;"a "&amp;MOD($T101,12)&amp;"m")</f>
        <v/>
      </c>
      <c r="J101" s="11">
        <f>IF(OR($F101="",$G101=""),"",ROUND($F101/($G101/100)^2,2))</f>
        <v/>
      </c>
      <c r="K101" s="12">
        <f>IF(OR($S101="",$J101="",$T101="",$T101&lt;0,$T101&gt;228,$Y101=""),"—",ROUND(IF(ABS($AB101)&lt;=3,$AB101,IF($AB101&gt;3,3+($J101-$AD101)/($AD101-$AC101),-3+($J101-$AF101)/($AE101-$AF101))),2))</f>
        <v/>
      </c>
      <c r="L101">
        <f>IF(OR($K101="",$K101="—"),"",IF($T101&lt;=60,IF($K101&lt;-3,"Magreza acentuada",IF($K101&lt;-2,"Magreza",IF($K101&lt;=1,"Eutrofia",IF($K101&lt;=2,"Risco de sobrepeso",IF($K101&lt;=3,"Sobrepeso","Obesidade"))))),IF($K101&lt;-3,"Magreza acentuada",IF($K101&lt;-2,"Magreza",IF($K101&lt;=1,"Eutrofia",IF($K101&lt;=2,"Sobrepeso",IF($K101&lt;=3,"Obesidade","Obesidade grave")))))))</f>
        <v/>
      </c>
      <c r="M101" s="12">
        <f>IF(OR($S101="",$V101="",$T101="",$T101&lt;0,$T101&gt;228,$AG101=""),"—",ROUND(IF($AG101=0,LN($V101/$AH101)/$AI101,((($V101/$AH101)^$AG101)-1)/($AG101*$AI101)),2))</f>
        <v/>
      </c>
      <c r="N101">
        <f>IF(OR($M101="",$M101="—"),"",IF($M101&lt;-3,"Muito baixa",IF($M101&lt;-2,"Baixa","Adequada")))</f>
        <v/>
      </c>
      <c r="O101" s="12">
        <f>IF(OR($S101="",$F101="",$T101="",$T101&lt;0,$T101&gt;120,$AJ101=""),"—",ROUND(IF(ABS($AM101)&lt;=3,$AM101,IF($AM101&gt;3,3+($F101-$AO101)/($AO101-$AN101),-3+($F101-$AQ101)/($AP101-$AQ101))),2))</f>
        <v/>
      </c>
      <c r="P101">
        <f>IF(OR($O101="",$O101="—"),"",IF($O101&lt;-3,"Muito baixo",IF($O101&lt;-2,"Baixo",IF($O101&lt;=2,"Adequado","Elevado"))))</f>
        <v/>
      </c>
      <c r="Q101" s="12">
        <f>IF(OR($S101="",$F101="",$T101="",$T101&lt;0,$T101&gt;60,$AR101=""),"—",ROUND(IF(ABS($AU101)&lt;=3,$AU101,IF($AU101&gt;3,3+($F101-$AW101)/($AW101-$AV101),-3+($F101-$AY101)/($AX101-$AY101))),2))</f>
        <v/>
      </c>
      <c r="R101">
        <f>IF(OR($Q101="",$Q101="—"),"",IF($Q101&lt;-3,"Magreza acentuada",IF($Q101&lt;-2,"Magreza",IF($Q101&lt;=1,"Eutrofia",IF($Q101&lt;=2,"Risco de sobrepeso",IF($Q101&lt;=3,"Sobrepeso","Obesidade"))))))</f>
        <v/>
      </c>
      <c r="S101">
        <f>IF($C101="","",IF(UPPER(LEFT($C101,1))="M",1,IF(UPPER(LEFT($C101,1))="F",2,"")))</f>
        <v/>
      </c>
      <c r="T101">
        <f>IF(OR($D101="",$E101=""),"",DATEDIF($D101,$E101,"m"))</f>
        <v/>
      </c>
      <c r="U101">
        <f>IF(OR($D101="",$E101=""),"",$E101-$D101)</f>
        <v/>
      </c>
      <c r="V101">
        <f>IF(OR($G101="",$T101=""),"",IF($T101&lt;24,IF(LEFT(LOWER($H101),4)="em p",$G101+0.7,$G101),IF(LEFT(LOWER($H101),4)="deit",$G101-0.7,$G101)))</f>
        <v/>
      </c>
      <c r="W101">
        <f>IF(OR($S101="",$T101=""),"",$S101*1000000+IF($T101&lt;=60,$U101,$T101))</f>
        <v/>
      </c>
      <c r="X101">
        <f>IF(OR($S101="",$V101="",$T101&gt;60,$T101=""),"",$S101*1000000+ROUND($V101*10,0))</f>
        <v/>
      </c>
      <c r="Y101">
        <f>IF($W101="","",IFERROR(INDEX(IF($T101&lt;=60,imc05_l,imc519_l),MATCH($W101,IF($T101&lt;=60,imc05_k,imc519_k),1)),""))</f>
        <v/>
      </c>
      <c r="Z101">
        <f>IF($W101="","",IFERROR(INDEX(IF($T101&lt;=60,imc05_m,imc519_m),MATCH($W101,IF($T101&lt;=60,imc05_k,imc519_k),1)),""))</f>
        <v/>
      </c>
      <c r="AA101">
        <f>IF($W101="","",IFERROR(INDEX(IF($T101&lt;=60,imc05_s,imc519_s),MATCH($W101,IF($T101&lt;=60,imc05_k,imc519_k),1)),""))</f>
        <v/>
      </c>
      <c r="AB101">
        <f>IF($Y101="","",IF($Y101=0,LN($J101/$Z101)/$AA101,((($J101/$Z101)^$Y101)-1)/($Y101*$AA101)))</f>
        <v/>
      </c>
      <c r="AC101">
        <f>IF($Y101="","",IF($Y101=0,$Z101*EXP($AA101*2),$Z101*(1+$Y101*$AA101*2)^(1/$Y101)))</f>
        <v/>
      </c>
      <c r="AD101">
        <f>IF($Y101="","",IF($Y101=0,$Z101*EXP($AA101*3),$Z101*(1+$Y101*$AA101*3)^(1/$Y101)))</f>
        <v/>
      </c>
      <c r="AE101">
        <f>IF($Y101="","",IF($Y101=0,$Z101*EXP($AA101*-2),$Z101*(1+$Y101*$AA101*-2)^(1/$Y101)))</f>
        <v/>
      </c>
      <c r="AF101">
        <f>IF($Y101="","",IF($Y101=0,$Z101*EXP($AA101*-3),$Z101*(1+$Y101*$AA101*-3)^(1/$Y101)))</f>
        <v/>
      </c>
      <c r="AG101">
        <f>IF($W101="","",IFERROR(INDEX(IF($T101&lt;=60,est05_l,est519_l),MATCH($W101,IF($T101&lt;=60,est05_k,est519_k),1)),""))</f>
        <v/>
      </c>
      <c r="AH101">
        <f>IF($W101="","",IFERROR(INDEX(IF($T101&lt;=60,est05_m,est519_m),MATCH($W101,IF($T101&lt;=60,est05_k,est519_k),1)),""))</f>
        <v/>
      </c>
      <c r="AI101">
        <f>IF($W101="","",IFERROR(INDEX(IF($T101&lt;=60,est05_s,est519_s),MATCH($W101,IF($T101&lt;=60,est05_k,est519_k),1)),""))</f>
        <v/>
      </c>
      <c r="AJ101">
        <f>IF($W101="","",IFERROR(INDEX(IF($T101&lt;=60,peso05_l,peso510_l),MATCH($W101,IF($T101&lt;=60,peso05_k,peso510_k),1)),""))</f>
        <v/>
      </c>
      <c r="AK101">
        <f>IF($W101="","",IFERROR(INDEX(IF($T101&lt;=60,peso05_m,peso510_m),MATCH($W101,IF($T101&lt;=60,peso05_k,peso510_k),1)),""))</f>
        <v/>
      </c>
      <c r="AL101">
        <f>IF($W101="","",IFERROR(INDEX(IF($T101&lt;=60,peso05_s,peso510_s),MATCH($W101,IF($T101&lt;=60,peso05_k,peso510_k),1)),""))</f>
        <v/>
      </c>
      <c r="AM101">
        <f>IF($AJ101="","",IF($AJ101=0,LN($F101/$AK101)/$AL101,((($F101/$AK101)^$AJ101)-1)/($AJ101*$AL101)))</f>
        <v/>
      </c>
      <c r="AN101">
        <f>IF($AJ101="","",IF($AJ101=0,$AK101*EXP($AL101*2),$AK101*(1+$AJ101*$AL101*2)^(1/$AJ101)))</f>
        <v/>
      </c>
      <c r="AO101">
        <f>IF($AJ101="","",IF($AJ101=0,$AK101*EXP($AL101*3),$AK101*(1+$AJ101*$AL101*3)^(1/$AJ101)))</f>
        <v/>
      </c>
      <c r="AP101">
        <f>IF($AJ101="","",IF($AJ101=0,$AK101*EXP($AL101*-2),$AK101*(1+$AJ101*$AL101*-2)^(1/$AJ101)))</f>
        <v/>
      </c>
      <c r="AQ101">
        <f>IF($AJ101="","",IF($AJ101=0,$AK101*EXP($AL101*-3),$AK101*(1+$AJ101*$AL101*-3)^(1/$AJ101)))</f>
        <v/>
      </c>
      <c r="AR101">
        <f>IF(OR($X101="",$T101&gt;60),"",IFERROR(INDEX(IF($T101&lt;24,pcomp_l,palt_l),MATCH($X101,IF($T101&lt;24,pcomp_k,palt_k),1)),""))</f>
        <v/>
      </c>
      <c r="AS101">
        <f>IF(OR($X101="",$T101&gt;60),"",IFERROR(INDEX(IF($T101&lt;24,pcomp_m,palt_m),MATCH($X101,IF($T101&lt;24,pcomp_k,palt_k),1)),""))</f>
        <v/>
      </c>
      <c r="AT101">
        <f>IF(OR($X101="",$T101&gt;60),"",IFERROR(INDEX(IF($T101&lt;24,pcomp_s,palt_s),MATCH($X101,IF($T101&lt;24,pcomp_k,palt_k),1)),""))</f>
        <v/>
      </c>
      <c r="AU101">
        <f>IF($AR101="","",IF($AR101=0,LN($F101/$AS101)/$AT101,((($F101/$AS101)^$AR101)-1)/($AR101*$AT101)))</f>
        <v/>
      </c>
      <c r="AV101">
        <f>IF($AR101="","",IF($AR101=0,$AS101*EXP($AT101*2),$AS101*(1+$AR101*$AT101*2)^(1/$AR101)))</f>
        <v/>
      </c>
      <c r="AW101">
        <f>IF($AR101="","",IF($AR101=0,$AS101*EXP($AT101*3),$AS101*(1+$AR101*$AT101*3)^(1/$AR101)))</f>
        <v/>
      </c>
      <c r="AX101">
        <f>IF($AR101="","",IF($AR101=0,$AS101*EXP($AT101*-2),$AS101*(1+$AR101*$AT101*-2)^(1/$AR101)))</f>
        <v/>
      </c>
      <c r="AY101">
        <f>IF($AR101="","",IF($AR101=0,$AS101*EXP($AT101*-3),$AS101*(1+$AR101*$AT101*-3)^(1/$AR101)))</f>
        <v/>
      </c>
      <c r="AZ101">
        <f>IF(OR($A101="",$A101&lt;&gt;Ficha!$C$4),"",COUNTIF($A$2:$A101,Ficha!$C$4))</f>
        <v/>
      </c>
    </row>
    <row r="102">
      <c r="A102" s="8">
        <f>IF(INDEX(Banco!$A:$A,ROW())="","",INDEX(Banco!$A:$A,ROW()))</f>
        <v/>
      </c>
      <c r="B102" s="8">
        <f>IF(INDEX(Banco!$B:$B,ROW())="","",INDEX(Banco!$B:$B,ROW()))</f>
        <v/>
      </c>
      <c r="C102" s="8">
        <f>IF(INDEX(Banco!$C:$C,ROW())="","",INDEX(Banco!$C:$C,ROW()))</f>
        <v/>
      </c>
      <c r="D102" s="9">
        <f>IF(INDEX(Banco!$D:$D,ROW())="","",INDEX(Banco!$D:$D,ROW()))</f>
        <v/>
      </c>
      <c r="E102" s="9">
        <f>IF(INDEX(Banco!$E:$E,ROW())="","",INDEX(Banco!$E:$E,ROW()))</f>
        <v/>
      </c>
      <c r="F102" s="10">
        <f>IF(INDEX(Banco!$F:$F,ROW())="","",INDEX(Banco!$F:$F,ROW()))</f>
        <v/>
      </c>
      <c r="G102" s="10">
        <f>IF(INDEX(Banco!$G:$G,ROW())="","",INDEX(Banco!$G:$G,ROW()))</f>
        <v/>
      </c>
      <c r="H102" s="8">
        <f>IF(INDEX(Banco!$H:$H,ROW())="","",INDEX(Banco!$H:$H,ROW()))</f>
        <v/>
      </c>
      <c r="I102">
        <f>IF($T102="","",INT($T102/12)&amp;"a "&amp;MOD($T102,12)&amp;"m")</f>
        <v/>
      </c>
      <c r="J102" s="11">
        <f>IF(OR($F102="",$G102=""),"",ROUND($F102/($G102/100)^2,2))</f>
        <v/>
      </c>
      <c r="K102" s="12">
        <f>IF(OR($S102="",$J102="",$T102="",$T102&lt;0,$T102&gt;228,$Y102=""),"—",ROUND(IF(ABS($AB102)&lt;=3,$AB102,IF($AB102&gt;3,3+($J102-$AD102)/($AD102-$AC102),-3+($J102-$AF102)/($AE102-$AF102))),2))</f>
        <v/>
      </c>
      <c r="L102">
        <f>IF(OR($K102="",$K102="—"),"",IF($T102&lt;=60,IF($K102&lt;-3,"Magreza acentuada",IF($K102&lt;-2,"Magreza",IF($K102&lt;=1,"Eutrofia",IF($K102&lt;=2,"Risco de sobrepeso",IF($K102&lt;=3,"Sobrepeso","Obesidade"))))),IF($K102&lt;-3,"Magreza acentuada",IF($K102&lt;-2,"Magreza",IF($K102&lt;=1,"Eutrofia",IF($K102&lt;=2,"Sobrepeso",IF($K102&lt;=3,"Obesidade","Obesidade grave")))))))</f>
        <v/>
      </c>
      <c r="M102" s="12">
        <f>IF(OR($S102="",$V102="",$T102="",$T102&lt;0,$T102&gt;228,$AG102=""),"—",ROUND(IF($AG102=0,LN($V102/$AH102)/$AI102,((($V102/$AH102)^$AG102)-1)/($AG102*$AI102)),2))</f>
        <v/>
      </c>
      <c r="N102">
        <f>IF(OR($M102="",$M102="—"),"",IF($M102&lt;-3,"Muito baixa",IF($M102&lt;-2,"Baixa","Adequada")))</f>
        <v/>
      </c>
      <c r="O102" s="12">
        <f>IF(OR($S102="",$F102="",$T102="",$T102&lt;0,$T102&gt;120,$AJ102=""),"—",ROUND(IF(ABS($AM102)&lt;=3,$AM102,IF($AM102&gt;3,3+($F102-$AO102)/($AO102-$AN102),-3+($F102-$AQ102)/($AP102-$AQ102))),2))</f>
        <v/>
      </c>
      <c r="P102">
        <f>IF(OR($O102="",$O102="—"),"",IF($O102&lt;-3,"Muito baixo",IF($O102&lt;-2,"Baixo",IF($O102&lt;=2,"Adequado","Elevado"))))</f>
        <v/>
      </c>
      <c r="Q102" s="12">
        <f>IF(OR($S102="",$F102="",$T102="",$T102&lt;0,$T102&gt;60,$AR102=""),"—",ROUND(IF(ABS($AU102)&lt;=3,$AU102,IF($AU102&gt;3,3+($F102-$AW102)/($AW102-$AV102),-3+($F102-$AY102)/($AX102-$AY102))),2))</f>
        <v/>
      </c>
      <c r="R102">
        <f>IF(OR($Q102="",$Q102="—"),"",IF($Q102&lt;-3,"Magreza acentuada",IF($Q102&lt;-2,"Magreza",IF($Q102&lt;=1,"Eutrofia",IF($Q102&lt;=2,"Risco de sobrepeso",IF($Q102&lt;=3,"Sobrepeso","Obesidade"))))))</f>
        <v/>
      </c>
      <c r="S102">
        <f>IF($C102="","",IF(UPPER(LEFT($C102,1))="M",1,IF(UPPER(LEFT($C102,1))="F",2,"")))</f>
        <v/>
      </c>
      <c r="T102">
        <f>IF(OR($D102="",$E102=""),"",DATEDIF($D102,$E102,"m"))</f>
        <v/>
      </c>
      <c r="U102">
        <f>IF(OR($D102="",$E102=""),"",$E102-$D102)</f>
        <v/>
      </c>
      <c r="V102">
        <f>IF(OR($G102="",$T102=""),"",IF($T102&lt;24,IF(LEFT(LOWER($H102),4)="em p",$G102+0.7,$G102),IF(LEFT(LOWER($H102),4)="deit",$G102-0.7,$G102)))</f>
        <v/>
      </c>
      <c r="W102">
        <f>IF(OR($S102="",$T102=""),"",$S102*1000000+IF($T102&lt;=60,$U102,$T102))</f>
        <v/>
      </c>
      <c r="X102">
        <f>IF(OR($S102="",$V102="",$T102&gt;60,$T102=""),"",$S102*1000000+ROUND($V102*10,0))</f>
        <v/>
      </c>
      <c r="Y102">
        <f>IF($W102="","",IFERROR(INDEX(IF($T102&lt;=60,imc05_l,imc519_l),MATCH($W102,IF($T102&lt;=60,imc05_k,imc519_k),1)),""))</f>
        <v/>
      </c>
      <c r="Z102">
        <f>IF($W102="","",IFERROR(INDEX(IF($T102&lt;=60,imc05_m,imc519_m),MATCH($W102,IF($T102&lt;=60,imc05_k,imc519_k),1)),""))</f>
        <v/>
      </c>
      <c r="AA102">
        <f>IF($W102="","",IFERROR(INDEX(IF($T102&lt;=60,imc05_s,imc519_s),MATCH($W102,IF($T102&lt;=60,imc05_k,imc519_k),1)),""))</f>
        <v/>
      </c>
      <c r="AB102">
        <f>IF($Y102="","",IF($Y102=0,LN($J102/$Z102)/$AA102,((($J102/$Z102)^$Y102)-1)/($Y102*$AA102)))</f>
        <v/>
      </c>
      <c r="AC102">
        <f>IF($Y102="","",IF($Y102=0,$Z102*EXP($AA102*2),$Z102*(1+$Y102*$AA102*2)^(1/$Y102)))</f>
        <v/>
      </c>
      <c r="AD102">
        <f>IF($Y102="","",IF($Y102=0,$Z102*EXP($AA102*3),$Z102*(1+$Y102*$AA102*3)^(1/$Y102)))</f>
        <v/>
      </c>
      <c r="AE102">
        <f>IF($Y102="","",IF($Y102=0,$Z102*EXP($AA102*-2),$Z102*(1+$Y102*$AA102*-2)^(1/$Y102)))</f>
        <v/>
      </c>
      <c r="AF102">
        <f>IF($Y102="","",IF($Y102=0,$Z102*EXP($AA102*-3),$Z102*(1+$Y102*$AA102*-3)^(1/$Y102)))</f>
        <v/>
      </c>
      <c r="AG102">
        <f>IF($W102="","",IFERROR(INDEX(IF($T102&lt;=60,est05_l,est519_l),MATCH($W102,IF($T102&lt;=60,est05_k,est519_k),1)),""))</f>
        <v/>
      </c>
      <c r="AH102">
        <f>IF($W102="","",IFERROR(INDEX(IF($T102&lt;=60,est05_m,est519_m),MATCH($W102,IF($T102&lt;=60,est05_k,est519_k),1)),""))</f>
        <v/>
      </c>
      <c r="AI102">
        <f>IF($W102="","",IFERROR(INDEX(IF($T102&lt;=60,est05_s,est519_s),MATCH($W102,IF($T102&lt;=60,est05_k,est519_k),1)),""))</f>
        <v/>
      </c>
      <c r="AJ102">
        <f>IF($W102="","",IFERROR(INDEX(IF($T102&lt;=60,peso05_l,peso510_l),MATCH($W102,IF($T102&lt;=60,peso05_k,peso510_k),1)),""))</f>
        <v/>
      </c>
      <c r="AK102">
        <f>IF($W102="","",IFERROR(INDEX(IF($T102&lt;=60,peso05_m,peso510_m),MATCH($W102,IF($T102&lt;=60,peso05_k,peso510_k),1)),""))</f>
        <v/>
      </c>
      <c r="AL102">
        <f>IF($W102="","",IFERROR(INDEX(IF($T102&lt;=60,peso05_s,peso510_s),MATCH($W102,IF($T102&lt;=60,peso05_k,peso510_k),1)),""))</f>
        <v/>
      </c>
      <c r="AM102">
        <f>IF($AJ102="","",IF($AJ102=0,LN($F102/$AK102)/$AL102,((($F102/$AK102)^$AJ102)-1)/($AJ102*$AL102)))</f>
        <v/>
      </c>
      <c r="AN102">
        <f>IF($AJ102="","",IF($AJ102=0,$AK102*EXP($AL102*2),$AK102*(1+$AJ102*$AL102*2)^(1/$AJ102)))</f>
        <v/>
      </c>
      <c r="AO102">
        <f>IF($AJ102="","",IF($AJ102=0,$AK102*EXP($AL102*3),$AK102*(1+$AJ102*$AL102*3)^(1/$AJ102)))</f>
        <v/>
      </c>
      <c r="AP102">
        <f>IF($AJ102="","",IF($AJ102=0,$AK102*EXP($AL102*-2),$AK102*(1+$AJ102*$AL102*-2)^(1/$AJ102)))</f>
        <v/>
      </c>
      <c r="AQ102">
        <f>IF($AJ102="","",IF($AJ102=0,$AK102*EXP($AL102*-3),$AK102*(1+$AJ102*$AL102*-3)^(1/$AJ102)))</f>
        <v/>
      </c>
      <c r="AR102">
        <f>IF(OR($X102="",$T102&gt;60),"",IFERROR(INDEX(IF($T102&lt;24,pcomp_l,palt_l),MATCH($X102,IF($T102&lt;24,pcomp_k,palt_k),1)),""))</f>
        <v/>
      </c>
      <c r="AS102">
        <f>IF(OR($X102="",$T102&gt;60),"",IFERROR(INDEX(IF($T102&lt;24,pcomp_m,palt_m),MATCH($X102,IF($T102&lt;24,pcomp_k,palt_k),1)),""))</f>
        <v/>
      </c>
      <c r="AT102">
        <f>IF(OR($X102="",$T102&gt;60),"",IFERROR(INDEX(IF($T102&lt;24,pcomp_s,palt_s),MATCH($X102,IF($T102&lt;24,pcomp_k,palt_k),1)),""))</f>
        <v/>
      </c>
      <c r="AU102">
        <f>IF($AR102="","",IF($AR102=0,LN($F102/$AS102)/$AT102,((($F102/$AS102)^$AR102)-1)/($AR102*$AT102)))</f>
        <v/>
      </c>
      <c r="AV102">
        <f>IF($AR102="","",IF($AR102=0,$AS102*EXP($AT102*2),$AS102*(1+$AR102*$AT102*2)^(1/$AR102)))</f>
        <v/>
      </c>
      <c r="AW102">
        <f>IF($AR102="","",IF($AR102=0,$AS102*EXP($AT102*3),$AS102*(1+$AR102*$AT102*3)^(1/$AR102)))</f>
        <v/>
      </c>
      <c r="AX102">
        <f>IF($AR102="","",IF($AR102=0,$AS102*EXP($AT102*-2),$AS102*(1+$AR102*$AT102*-2)^(1/$AR102)))</f>
        <v/>
      </c>
      <c r="AY102">
        <f>IF($AR102="","",IF($AR102=0,$AS102*EXP($AT102*-3),$AS102*(1+$AR102*$AT102*-3)^(1/$AR102)))</f>
        <v/>
      </c>
      <c r="AZ102">
        <f>IF(OR($A102="",$A102&lt;&gt;Ficha!$C$4),"",COUNTIF($A$2:$A102,Ficha!$C$4))</f>
        <v/>
      </c>
    </row>
    <row r="103">
      <c r="A103" s="8">
        <f>IF(INDEX(Banco!$A:$A,ROW())="","",INDEX(Banco!$A:$A,ROW()))</f>
        <v/>
      </c>
      <c r="B103" s="8">
        <f>IF(INDEX(Banco!$B:$B,ROW())="","",INDEX(Banco!$B:$B,ROW()))</f>
        <v/>
      </c>
      <c r="C103" s="8">
        <f>IF(INDEX(Banco!$C:$C,ROW())="","",INDEX(Banco!$C:$C,ROW()))</f>
        <v/>
      </c>
      <c r="D103" s="9">
        <f>IF(INDEX(Banco!$D:$D,ROW())="","",INDEX(Banco!$D:$D,ROW()))</f>
        <v/>
      </c>
      <c r="E103" s="9">
        <f>IF(INDEX(Banco!$E:$E,ROW())="","",INDEX(Banco!$E:$E,ROW()))</f>
        <v/>
      </c>
      <c r="F103" s="10">
        <f>IF(INDEX(Banco!$F:$F,ROW())="","",INDEX(Banco!$F:$F,ROW()))</f>
        <v/>
      </c>
      <c r="G103" s="10">
        <f>IF(INDEX(Banco!$G:$G,ROW())="","",INDEX(Banco!$G:$G,ROW()))</f>
        <v/>
      </c>
      <c r="H103" s="8">
        <f>IF(INDEX(Banco!$H:$H,ROW())="","",INDEX(Banco!$H:$H,ROW()))</f>
        <v/>
      </c>
      <c r="I103">
        <f>IF($T103="","",INT($T103/12)&amp;"a "&amp;MOD($T103,12)&amp;"m")</f>
        <v/>
      </c>
      <c r="J103" s="11">
        <f>IF(OR($F103="",$G103=""),"",ROUND($F103/($G103/100)^2,2))</f>
        <v/>
      </c>
      <c r="K103" s="12">
        <f>IF(OR($S103="",$J103="",$T103="",$T103&lt;0,$T103&gt;228,$Y103=""),"—",ROUND(IF(ABS($AB103)&lt;=3,$AB103,IF($AB103&gt;3,3+($J103-$AD103)/($AD103-$AC103),-3+($J103-$AF103)/($AE103-$AF103))),2))</f>
        <v/>
      </c>
      <c r="L103">
        <f>IF(OR($K103="",$K103="—"),"",IF($T103&lt;=60,IF($K103&lt;-3,"Magreza acentuada",IF($K103&lt;-2,"Magreza",IF($K103&lt;=1,"Eutrofia",IF($K103&lt;=2,"Risco de sobrepeso",IF($K103&lt;=3,"Sobrepeso","Obesidade"))))),IF($K103&lt;-3,"Magreza acentuada",IF($K103&lt;-2,"Magreza",IF($K103&lt;=1,"Eutrofia",IF($K103&lt;=2,"Sobrepeso",IF($K103&lt;=3,"Obesidade","Obesidade grave")))))))</f>
        <v/>
      </c>
      <c r="M103" s="12">
        <f>IF(OR($S103="",$V103="",$T103="",$T103&lt;0,$T103&gt;228,$AG103=""),"—",ROUND(IF($AG103=0,LN($V103/$AH103)/$AI103,((($V103/$AH103)^$AG103)-1)/($AG103*$AI103)),2))</f>
        <v/>
      </c>
      <c r="N103">
        <f>IF(OR($M103="",$M103="—"),"",IF($M103&lt;-3,"Muito baixa",IF($M103&lt;-2,"Baixa","Adequada")))</f>
        <v/>
      </c>
      <c r="O103" s="12">
        <f>IF(OR($S103="",$F103="",$T103="",$T103&lt;0,$T103&gt;120,$AJ103=""),"—",ROUND(IF(ABS($AM103)&lt;=3,$AM103,IF($AM103&gt;3,3+($F103-$AO103)/($AO103-$AN103),-3+($F103-$AQ103)/($AP103-$AQ103))),2))</f>
        <v/>
      </c>
      <c r="P103">
        <f>IF(OR($O103="",$O103="—"),"",IF($O103&lt;-3,"Muito baixo",IF($O103&lt;-2,"Baixo",IF($O103&lt;=2,"Adequado","Elevado"))))</f>
        <v/>
      </c>
      <c r="Q103" s="12">
        <f>IF(OR($S103="",$F103="",$T103="",$T103&lt;0,$T103&gt;60,$AR103=""),"—",ROUND(IF(ABS($AU103)&lt;=3,$AU103,IF($AU103&gt;3,3+($F103-$AW103)/($AW103-$AV103),-3+($F103-$AY103)/($AX103-$AY103))),2))</f>
        <v/>
      </c>
      <c r="R103">
        <f>IF(OR($Q103="",$Q103="—"),"",IF($Q103&lt;-3,"Magreza acentuada",IF($Q103&lt;-2,"Magreza",IF($Q103&lt;=1,"Eutrofia",IF($Q103&lt;=2,"Risco de sobrepeso",IF($Q103&lt;=3,"Sobrepeso","Obesidade"))))))</f>
        <v/>
      </c>
      <c r="S103">
        <f>IF($C103="","",IF(UPPER(LEFT($C103,1))="M",1,IF(UPPER(LEFT($C103,1))="F",2,"")))</f>
        <v/>
      </c>
      <c r="T103">
        <f>IF(OR($D103="",$E103=""),"",DATEDIF($D103,$E103,"m"))</f>
        <v/>
      </c>
      <c r="U103">
        <f>IF(OR($D103="",$E103=""),"",$E103-$D103)</f>
        <v/>
      </c>
      <c r="V103">
        <f>IF(OR($G103="",$T103=""),"",IF($T103&lt;24,IF(LEFT(LOWER($H103),4)="em p",$G103+0.7,$G103),IF(LEFT(LOWER($H103),4)="deit",$G103-0.7,$G103)))</f>
        <v/>
      </c>
      <c r="W103">
        <f>IF(OR($S103="",$T103=""),"",$S103*1000000+IF($T103&lt;=60,$U103,$T103))</f>
        <v/>
      </c>
      <c r="X103">
        <f>IF(OR($S103="",$V103="",$T103&gt;60,$T103=""),"",$S103*1000000+ROUND($V103*10,0))</f>
        <v/>
      </c>
      <c r="Y103">
        <f>IF($W103="","",IFERROR(INDEX(IF($T103&lt;=60,imc05_l,imc519_l),MATCH($W103,IF($T103&lt;=60,imc05_k,imc519_k),1)),""))</f>
        <v/>
      </c>
      <c r="Z103">
        <f>IF($W103="","",IFERROR(INDEX(IF($T103&lt;=60,imc05_m,imc519_m),MATCH($W103,IF($T103&lt;=60,imc05_k,imc519_k),1)),""))</f>
        <v/>
      </c>
      <c r="AA103">
        <f>IF($W103="","",IFERROR(INDEX(IF($T103&lt;=60,imc05_s,imc519_s),MATCH($W103,IF($T103&lt;=60,imc05_k,imc519_k),1)),""))</f>
        <v/>
      </c>
      <c r="AB103">
        <f>IF($Y103="","",IF($Y103=0,LN($J103/$Z103)/$AA103,((($J103/$Z103)^$Y103)-1)/($Y103*$AA103)))</f>
        <v/>
      </c>
      <c r="AC103">
        <f>IF($Y103="","",IF($Y103=0,$Z103*EXP($AA103*2),$Z103*(1+$Y103*$AA103*2)^(1/$Y103)))</f>
        <v/>
      </c>
      <c r="AD103">
        <f>IF($Y103="","",IF($Y103=0,$Z103*EXP($AA103*3),$Z103*(1+$Y103*$AA103*3)^(1/$Y103)))</f>
        <v/>
      </c>
      <c r="AE103">
        <f>IF($Y103="","",IF($Y103=0,$Z103*EXP($AA103*-2),$Z103*(1+$Y103*$AA103*-2)^(1/$Y103)))</f>
        <v/>
      </c>
      <c r="AF103">
        <f>IF($Y103="","",IF($Y103=0,$Z103*EXP($AA103*-3),$Z103*(1+$Y103*$AA103*-3)^(1/$Y103)))</f>
        <v/>
      </c>
      <c r="AG103">
        <f>IF($W103="","",IFERROR(INDEX(IF($T103&lt;=60,est05_l,est519_l),MATCH($W103,IF($T103&lt;=60,est05_k,est519_k),1)),""))</f>
        <v/>
      </c>
      <c r="AH103">
        <f>IF($W103="","",IFERROR(INDEX(IF($T103&lt;=60,est05_m,est519_m),MATCH($W103,IF($T103&lt;=60,est05_k,est519_k),1)),""))</f>
        <v/>
      </c>
      <c r="AI103">
        <f>IF($W103="","",IFERROR(INDEX(IF($T103&lt;=60,est05_s,est519_s),MATCH($W103,IF($T103&lt;=60,est05_k,est519_k),1)),""))</f>
        <v/>
      </c>
      <c r="AJ103">
        <f>IF($W103="","",IFERROR(INDEX(IF($T103&lt;=60,peso05_l,peso510_l),MATCH($W103,IF($T103&lt;=60,peso05_k,peso510_k),1)),""))</f>
        <v/>
      </c>
      <c r="AK103">
        <f>IF($W103="","",IFERROR(INDEX(IF($T103&lt;=60,peso05_m,peso510_m),MATCH($W103,IF($T103&lt;=60,peso05_k,peso510_k),1)),""))</f>
        <v/>
      </c>
      <c r="AL103">
        <f>IF($W103="","",IFERROR(INDEX(IF($T103&lt;=60,peso05_s,peso510_s),MATCH($W103,IF($T103&lt;=60,peso05_k,peso510_k),1)),""))</f>
        <v/>
      </c>
      <c r="AM103">
        <f>IF($AJ103="","",IF($AJ103=0,LN($F103/$AK103)/$AL103,((($F103/$AK103)^$AJ103)-1)/($AJ103*$AL103)))</f>
        <v/>
      </c>
      <c r="AN103">
        <f>IF($AJ103="","",IF($AJ103=0,$AK103*EXP($AL103*2),$AK103*(1+$AJ103*$AL103*2)^(1/$AJ103)))</f>
        <v/>
      </c>
      <c r="AO103">
        <f>IF($AJ103="","",IF($AJ103=0,$AK103*EXP($AL103*3),$AK103*(1+$AJ103*$AL103*3)^(1/$AJ103)))</f>
        <v/>
      </c>
      <c r="AP103">
        <f>IF($AJ103="","",IF($AJ103=0,$AK103*EXP($AL103*-2),$AK103*(1+$AJ103*$AL103*-2)^(1/$AJ103)))</f>
        <v/>
      </c>
      <c r="AQ103">
        <f>IF($AJ103="","",IF($AJ103=0,$AK103*EXP($AL103*-3),$AK103*(1+$AJ103*$AL103*-3)^(1/$AJ103)))</f>
        <v/>
      </c>
      <c r="AR103">
        <f>IF(OR($X103="",$T103&gt;60),"",IFERROR(INDEX(IF($T103&lt;24,pcomp_l,palt_l),MATCH($X103,IF($T103&lt;24,pcomp_k,palt_k),1)),""))</f>
        <v/>
      </c>
      <c r="AS103">
        <f>IF(OR($X103="",$T103&gt;60),"",IFERROR(INDEX(IF($T103&lt;24,pcomp_m,palt_m),MATCH($X103,IF($T103&lt;24,pcomp_k,palt_k),1)),""))</f>
        <v/>
      </c>
      <c r="AT103">
        <f>IF(OR($X103="",$T103&gt;60),"",IFERROR(INDEX(IF($T103&lt;24,pcomp_s,palt_s),MATCH($X103,IF($T103&lt;24,pcomp_k,palt_k),1)),""))</f>
        <v/>
      </c>
      <c r="AU103">
        <f>IF($AR103="","",IF($AR103=0,LN($F103/$AS103)/$AT103,((($F103/$AS103)^$AR103)-1)/($AR103*$AT103)))</f>
        <v/>
      </c>
      <c r="AV103">
        <f>IF($AR103="","",IF($AR103=0,$AS103*EXP($AT103*2),$AS103*(1+$AR103*$AT103*2)^(1/$AR103)))</f>
        <v/>
      </c>
      <c r="AW103">
        <f>IF($AR103="","",IF($AR103=0,$AS103*EXP($AT103*3),$AS103*(1+$AR103*$AT103*3)^(1/$AR103)))</f>
        <v/>
      </c>
      <c r="AX103">
        <f>IF($AR103="","",IF($AR103=0,$AS103*EXP($AT103*-2),$AS103*(1+$AR103*$AT103*-2)^(1/$AR103)))</f>
        <v/>
      </c>
      <c r="AY103">
        <f>IF($AR103="","",IF($AR103=0,$AS103*EXP($AT103*-3),$AS103*(1+$AR103*$AT103*-3)^(1/$AR103)))</f>
        <v/>
      </c>
      <c r="AZ103">
        <f>IF(OR($A103="",$A103&lt;&gt;Ficha!$C$4),"",COUNTIF($A$2:$A103,Ficha!$C$4))</f>
        <v/>
      </c>
    </row>
    <row r="104">
      <c r="A104" s="8">
        <f>IF(INDEX(Banco!$A:$A,ROW())="","",INDEX(Banco!$A:$A,ROW()))</f>
        <v/>
      </c>
      <c r="B104" s="8">
        <f>IF(INDEX(Banco!$B:$B,ROW())="","",INDEX(Banco!$B:$B,ROW()))</f>
        <v/>
      </c>
      <c r="C104" s="8">
        <f>IF(INDEX(Banco!$C:$C,ROW())="","",INDEX(Banco!$C:$C,ROW()))</f>
        <v/>
      </c>
      <c r="D104" s="9">
        <f>IF(INDEX(Banco!$D:$D,ROW())="","",INDEX(Banco!$D:$D,ROW()))</f>
        <v/>
      </c>
      <c r="E104" s="9">
        <f>IF(INDEX(Banco!$E:$E,ROW())="","",INDEX(Banco!$E:$E,ROW()))</f>
        <v/>
      </c>
      <c r="F104" s="10">
        <f>IF(INDEX(Banco!$F:$F,ROW())="","",INDEX(Banco!$F:$F,ROW()))</f>
        <v/>
      </c>
      <c r="G104" s="10">
        <f>IF(INDEX(Banco!$G:$G,ROW())="","",INDEX(Banco!$G:$G,ROW()))</f>
        <v/>
      </c>
      <c r="H104" s="8">
        <f>IF(INDEX(Banco!$H:$H,ROW())="","",INDEX(Banco!$H:$H,ROW()))</f>
        <v/>
      </c>
      <c r="I104">
        <f>IF($T104="","",INT($T104/12)&amp;"a "&amp;MOD($T104,12)&amp;"m")</f>
        <v/>
      </c>
      <c r="J104" s="11">
        <f>IF(OR($F104="",$G104=""),"",ROUND($F104/($G104/100)^2,2))</f>
        <v/>
      </c>
      <c r="K104" s="12">
        <f>IF(OR($S104="",$J104="",$T104="",$T104&lt;0,$T104&gt;228,$Y104=""),"—",ROUND(IF(ABS($AB104)&lt;=3,$AB104,IF($AB104&gt;3,3+($J104-$AD104)/($AD104-$AC104),-3+($J104-$AF104)/($AE104-$AF104))),2))</f>
        <v/>
      </c>
      <c r="L104">
        <f>IF(OR($K104="",$K104="—"),"",IF($T104&lt;=60,IF($K104&lt;-3,"Magreza acentuada",IF($K104&lt;-2,"Magreza",IF($K104&lt;=1,"Eutrofia",IF($K104&lt;=2,"Risco de sobrepeso",IF($K104&lt;=3,"Sobrepeso","Obesidade"))))),IF($K104&lt;-3,"Magreza acentuada",IF($K104&lt;-2,"Magreza",IF($K104&lt;=1,"Eutrofia",IF($K104&lt;=2,"Sobrepeso",IF($K104&lt;=3,"Obesidade","Obesidade grave")))))))</f>
        <v/>
      </c>
      <c r="M104" s="12">
        <f>IF(OR($S104="",$V104="",$T104="",$T104&lt;0,$T104&gt;228,$AG104=""),"—",ROUND(IF($AG104=0,LN($V104/$AH104)/$AI104,((($V104/$AH104)^$AG104)-1)/($AG104*$AI104)),2))</f>
        <v/>
      </c>
      <c r="N104">
        <f>IF(OR($M104="",$M104="—"),"",IF($M104&lt;-3,"Muito baixa",IF($M104&lt;-2,"Baixa","Adequada")))</f>
        <v/>
      </c>
      <c r="O104" s="12">
        <f>IF(OR($S104="",$F104="",$T104="",$T104&lt;0,$T104&gt;120,$AJ104=""),"—",ROUND(IF(ABS($AM104)&lt;=3,$AM104,IF($AM104&gt;3,3+($F104-$AO104)/($AO104-$AN104),-3+($F104-$AQ104)/($AP104-$AQ104))),2))</f>
        <v/>
      </c>
      <c r="P104">
        <f>IF(OR($O104="",$O104="—"),"",IF($O104&lt;-3,"Muito baixo",IF($O104&lt;-2,"Baixo",IF($O104&lt;=2,"Adequado","Elevado"))))</f>
        <v/>
      </c>
      <c r="Q104" s="12">
        <f>IF(OR($S104="",$F104="",$T104="",$T104&lt;0,$T104&gt;60,$AR104=""),"—",ROUND(IF(ABS($AU104)&lt;=3,$AU104,IF($AU104&gt;3,3+($F104-$AW104)/($AW104-$AV104),-3+($F104-$AY104)/($AX104-$AY104))),2))</f>
        <v/>
      </c>
      <c r="R104">
        <f>IF(OR($Q104="",$Q104="—"),"",IF($Q104&lt;-3,"Magreza acentuada",IF($Q104&lt;-2,"Magreza",IF($Q104&lt;=1,"Eutrofia",IF($Q104&lt;=2,"Risco de sobrepeso",IF($Q104&lt;=3,"Sobrepeso","Obesidade"))))))</f>
        <v/>
      </c>
      <c r="S104">
        <f>IF($C104="","",IF(UPPER(LEFT($C104,1))="M",1,IF(UPPER(LEFT($C104,1))="F",2,"")))</f>
        <v/>
      </c>
      <c r="T104">
        <f>IF(OR($D104="",$E104=""),"",DATEDIF($D104,$E104,"m"))</f>
        <v/>
      </c>
      <c r="U104">
        <f>IF(OR($D104="",$E104=""),"",$E104-$D104)</f>
        <v/>
      </c>
      <c r="V104">
        <f>IF(OR($G104="",$T104=""),"",IF($T104&lt;24,IF(LEFT(LOWER($H104),4)="em p",$G104+0.7,$G104),IF(LEFT(LOWER($H104),4)="deit",$G104-0.7,$G104)))</f>
        <v/>
      </c>
      <c r="W104">
        <f>IF(OR($S104="",$T104=""),"",$S104*1000000+IF($T104&lt;=60,$U104,$T104))</f>
        <v/>
      </c>
      <c r="X104">
        <f>IF(OR($S104="",$V104="",$T104&gt;60,$T104=""),"",$S104*1000000+ROUND($V104*10,0))</f>
        <v/>
      </c>
      <c r="Y104">
        <f>IF($W104="","",IFERROR(INDEX(IF($T104&lt;=60,imc05_l,imc519_l),MATCH($W104,IF($T104&lt;=60,imc05_k,imc519_k),1)),""))</f>
        <v/>
      </c>
      <c r="Z104">
        <f>IF($W104="","",IFERROR(INDEX(IF($T104&lt;=60,imc05_m,imc519_m),MATCH($W104,IF($T104&lt;=60,imc05_k,imc519_k),1)),""))</f>
        <v/>
      </c>
      <c r="AA104">
        <f>IF($W104="","",IFERROR(INDEX(IF($T104&lt;=60,imc05_s,imc519_s),MATCH($W104,IF($T104&lt;=60,imc05_k,imc519_k),1)),""))</f>
        <v/>
      </c>
      <c r="AB104">
        <f>IF($Y104="","",IF($Y104=0,LN($J104/$Z104)/$AA104,((($J104/$Z104)^$Y104)-1)/($Y104*$AA104)))</f>
        <v/>
      </c>
      <c r="AC104">
        <f>IF($Y104="","",IF($Y104=0,$Z104*EXP($AA104*2),$Z104*(1+$Y104*$AA104*2)^(1/$Y104)))</f>
        <v/>
      </c>
      <c r="AD104">
        <f>IF($Y104="","",IF($Y104=0,$Z104*EXP($AA104*3),$Z104*(1+$Y104*$AA104*3)^(1/$Y104)))</f>
        <v/>
      </c>
      <c r="AE104">
        <f>IF($Y104="","",IF($Y104=0,$Z104*EXP($AA104*-2),$Z104*(1+$Y104*$AA104*-2)^(1/$Y104)))</f>
        <v/>
      </c>
      <c r="AF104">
        <f>IF($Y104="","",IF($Y104=0,$Z104*EXP($AA104*-3),$Z104*(1+$Y104*$AA104*-3)^(1/$Y104)))</f>
        <v/>
      </c>
      <c r="AG104">
        <f>IF($W104="","",IFERROR(INDEX(IF($T104&lt;=60,est05_l,est519_l),MATCH($W104,IF($T104&lt;=60,est05_k,est519_k),1)),""))</f>
        <v/>
      </c>
      <c r="AH104">
        <f>IF($W104="","",IFERROR(INDEX(IF($T104&lt;=60,est05_m,est519_m),MATCH($W104,IF($T104&lt;=60,est05_k,est519_k),1)),""))</f>
        <v/>
      </c>
      <c r="AI104">
        <f>IF($W104="","",IFERROR(INDEX(IF($T104&lt;=60,est05_s,est519_s),MATCH($W104,IF($T104&lt;=60,est05_k,est519_k),1)),""))</f>
        <v/>
      </c>
      <c r="AJ104">
        <f>IF($W104="","",IFERROR(INDEX(IF($T104&lt;=60,peso05_l,peso510_l),MATCH($W104,IF($T104&lt;=60,peso05_k,peso510_k),1)),""))</f>
        <v/>
      </c>
      <c r="AK104">
        <f>IF($W104="","",IFERROR(INDEX(IF($T104&lt;=60,peso05_m,peso510_m),MATCH($W104,IF($T104&lt;=60,peso05_k,peso510_k),1)),""))</f>
        <v/>
      </c>
      <c r="AL104">
        <f>IF($W104="","",IFERROR(INDEX(IF($T104&lt;=60,peso05_s,peso510_s),MATCH($W104,IF($T104&lt;=60,peso05_k,peso510_k),1)),""))</f>
        <v/>
      </c>
      <c r="AM104">
        <f>IF($AJ104="","",IF($AJ104=0,LN($F104/$AK104)/$AL104,((($F104/$AK104)^$AJ104)-1)/($AJ104*$AL104)))</f>
        <v/>
      </c>
      <c r="AN104">
        <f>IF($AJ104="","",IF($AJ104=0,$AK104*EXP($AL104*2),$AK104*(1+$AJ104*$AL104*2)^(1/$AJ104)))</f>
        <v/>
      </c>
      <c r="AO104">
        <f>IF($AJ104="","",IF($AJ104=0,$AK104*EXP($AL104*3),$AK104*(1+$AJ104*$AL104*3)^(1/$AJ104)))</f>
        <v/>
      </c>
      <c r="AP104">
        <f>IF($AJ104="","",IF($AJ104=0,$AK104*EXP($AL104*-2),$AK104*(1+$AJ104*$AL104*-2)^(1/$AJ104)))</f>
        <v/>
      </c>
      <c r="AQ104">
        <f>IF($AJ104="","",IF($AJ104=0,$AK104*EXP($AL104*-3),$AK104*(1+$AJ104*$AL104*-3)^(1/$AJ104)))</f>
        <v/>
      </c>
      <c r="AR104">
        <f>IF(OR($X104="",$T104&gt;60),"",IFERROR(INDEX(IF($T104&lt;24,pcomp_l,palt_l),MATCH($X104,IF($T104&lt;24,pcomp_k,palt_k),1)),""))</f>
        <v/>
      </c>
      <c r="AS104">
        <f>IF(OR($X104="",$T104&gt;60),"",IFERROR(INDEX(IF($T104&lt;24,pcomp_m,palt_m),MATCH($X104,IF($T104&lt;24,pcomp_k,palt_k),1)),""))</f>
        <v/>
      </c>
      <c r="AT104">
        <f>IF(OR($X104="",$T104&gt;60),"",IFERROR(INDEX(IF($T104&lt;24,pcomp_s,palt_s),MATCH($X104,IF($T104&lt;24,pcomp_k,palt_k),1)),""))</f>
        <v/>
      </c>
      <c r="AU104">
        <f>IF($AR104="","",IF($AR104=0,LN($F104/$AS104)/$AT104,((($F104/$AS104)^$AR104)-1)/($AR104*$AT104)))</f>
        <v/>
      </c>
      <c r="AV104">
        <f>IF($AR104="","",IF($AR104=0,$AS104*EXP($AT104*2),$AS104*(1+$AR104*$AT104*2)^(1/$AR104)))</f>
        <v/>
      </c>
      <c r="AW104">
        <f>IF($AR104="","",IF($AR104=0,$AS104*EXP($AT104*3),$AS104*(1+$AR104*$AT104*3)^(1/$AR104)))</f>
        <v/>
      </c>
      <c r="AX104">
        <f>IF($AR104="","",IF($AR104=0,$AS104*EXP($AT104*-2),$AS104*(1+$AR104*$AT104*-2)^(1/$AR104)))</f>
        <v/>
      </c>
      <c r="AY104">
        <f>IF($AR104="","",IF($AR104=0,$AS104*EXP($AT104*-3),$AS104*(1+$AR104*$AT104*-3)^(1/$AR104)))</f>
        <v/>
      </c>
      <c r="AZ104">
        <f>IF(OR($A104="",$A104&lt;&gt;Ficha!$C$4),"",COUNTIF($A$2:$A104,Ficha!$C$4))</f>
        <v/>
      </c>
    </row>
    <row r="105">
      <c r="A105" s="8">
        <f>IF(INDEX(Banco!$A:$A,ROW())="","",INDEX(Banco!$A:$A,ROW()))</f>
        <v/>
      </c>
      <c r="B105" s="8">
        <f>IF(INDEX(Banco!$B:$B,ROW())="","",INDEX(Banco!$B:$B,ROW()))</f>
        <v/>
      </c>
      <c r="C105" s="8">
        <f>IF(INDEX(Banco!$C:$C,ROW())="","",INDEX(Banco!$C:$C,ROW()))</f>
        <v/>
      </c>
      <c r="D105" s="9">
        <f>IF(INDEX(Banco!$D:$D,ROW())="","",INDEX(Banco!$D:$D,ROW()))</f>
        <v/>
      </c>
      <c r="E105" s="9">
        <f>IF(INDEX(Banco!$E:$E,ROW())="","",INDEX(Banco!$E:$E,ROW()))</f>
        <v/>
      </c>
      <c r="F105" s="10">
        <f>IF(INDEX(Banco!$F:$F,ROW())="","",INDEX(Banco!$F:$F,ROW()))</f>
        <v/>
      </c>
      <c r="G105" s="10">
        <f>IF(INDEX(Banco!$G:$G,ROW())="","",INDEX(Banco!$G:$G,ROW()))</f>
        <v/>
      </c>
      <c r="H105" s="8">
        <f>IF(INDEX(Banco!$H:$H,ROW())="","",INDEX(Banco!$H:$H,ROW()))</f>
        <v/>
      </c>
      <c r="I105">
        <f>IF($T105="","",INT($T105/12)&amp;"a "&amp;MOD($T105,12)&amp;"m")</f>
        <v/>
      </c>
      <c r="J105" s="11">
        <f>IF(OR($F105="",$G105=""),"",ROUND($F105/($G105/100)^2,2))</f>
        <v/>
      </c>
      <c r="K105" s="12">
        <f>IF(OR($S105="",$J105="",$T105="",$T105&lt;0,$T105&gt;228,$Y105=""),"—",ROUND(IF(ABS($AB105)&lt;=3,$AB105,IF($AB105&gt;3,3+($J105-$AD105)/($AD105-$AC105),-3+($J105-$AF105)/($AE105-$AF105))),2))</f>
        <v/>
      </c>
      <c r="L105">
        <f>IF(OR($K105="",$K105="—"),"",IF($T105&lt;=60,IF($K105&lt;-3,"Magreza acentuada",IF($K105&lt;-2,"Magreza",IF($K105&lt;=1,"Eutrofia",IF($K105&lt;=2,"Risco de sobrepeso",IF($K105&lt;=3,"Sobrepeso","Obesidade"))))),IF($K105&lt;-3,"Magreza acentuada",IF($K105&lt;-2,"Magreza",IF($K105&lt;=1,"Eutrofia",IF($K105&lt;=2,"Sobrepeso",IF($K105&lt;=3,"Obesidade","Obesidade grave")))))))</f>
        <v/>
      </c>
      <c r="M105" s="12">
        <f>IF(OR($S105="",$V105="",$T105="",$T105&lt;0,$T105&gt;228,$AG105=""),"—",ROUND(IF($AG105=0,LN($V105/$AH105)/$AI105,((($V105/$AH105)^$AG105)-1)/($AG105*$AI105)),2))</f>
        <v/>
      </c>
      <c r="N105">
        <f>IF(OR($M105="",$M105="—"),"",IF($M105&lt;-3,"Muito baixa",IF($M105&lt;-2,"Baixa","Adequada")))</f>
        <v/>
      </c>
      <c r="O105" s="12">
        <f>IF(OR($S105="",$F105="",$T105="",$T105&lt;0,$T105&gt;120,$AJ105=""),"—",ROUND(IF(ABS($AM105)&lt;=3,$AM105,IF($AM105&gt;3,3+($F105-$AO105)/($AO105-$AN105),-3+($F105-$AQ105)/($AP105-$AQ105))),2))</f>
        <v/>
      </c>
      <c r="P105">
        <f>IF(OR($O105="",$O105="—"),"",IF($O105&lt;-3,"Muito baixo",IF($O105&lt;-2,"Baixo",IF($O105&lt;=2,"Adequado","Elevado"))))</f>
        <v/>
      </c>
      <c r="Q105" s="12">
        <f>IF(OR($S105="",$F105="",$T105="",$T105&lt;0,$T105&gt;60,$AR105=""),"—",ROUND(IF(ABS($AU105)&lt;=3,$AU105,IF($AU105&gt;3,3+($F105-$AW105)/($AW105-$AV105),-3+($F105-$AY105)/($AX105-$AY105))),2))</f>
        <v/>
      </c>
      <c r="R105">
        <f>IF(OR($Q105="",$Q105="—"),"",IF($Q105&lt;-3,"Magreza acentuada",IF($Q105&lt;-2,"Magreza",IF($Q105&lt;=1,"Eutrofia",IF($Q105&lt;=2,"Risco de sobrepeso",IF($Q105&lt;=3,"Sobrepeso","Obesidade"))))))</f>
        <v/>
      </c>
      <c r="S105">
        <f>IF($C105="","",IF(UPPER(LEFT($C105,1))="M",1,IF(UPPER(LEFT($C105,1))="F",2,"")))</f>
        <v/>
      </c>
      <c r="T105">
        <f>IF(OR($D105="",$E105=""),"",DATEDIF($D105,$E105,"m"))</f>
        <v/>
      </c>
      <c r="U105">
        <f>IF(OR($D105="",$E105=""),"",$E105-$D105)</f>
        <v/>
      </c>
      <c r="V105">
        <f>IF(OR($G105="",$T105=""),"",IF($T105&lt;24,IF(LEFT(LOWER($H105),4)="em p",$G105+0.7,$G105),IF(LEFT(LOWER($H105),4)="deit",$G105-0.7,$G105)))</f>
        <v/>
      </c>
      <c r="W105">
        <f>IF(OR($S105="",$T105=""),"",$S105*1000000+IF($T105&lt;=60,$U105,$T105))</f>
        <v/>
      </c>
      <c r="X105">
        <f>IF(OR($S105="",$V105="",$T105&gt;60,$T105=""),"",$S105*1000000+ROUND($V105*10,0))</f>
        <v/>
      </c>
      <c r="Y105">
        <f>IF($W105="","",IFERROR(INDEX(IF($T105&lt;=60,imc05_l,imc519_l),MATCH($W105,IF($T105&lt;=60,imc05_k,imc519_k),1)),""))</f>
        <v/>
      </c>
      <c r="Z105">
        <f>IF($W105="","",IFERROR(INDEX(IF($T105&lt;=60,imc05_m,imc519_m),MATCH($W105,IF($T105&lt;=60,imc05_k,imc519_k),1)),""))</f>
        <v/>
      </c>
      <c r="AA105">
        <f>IF($W105="","",IFERROR(INDEX(IF($T105&lt;=60,imc05_s,imc519_s),MATCH($W105,IF($T105&lt;=60,imc05_k,imc519_k),1)),""))</f>
        <v/>
      </c>
      <c r="AB105">
        <f>IF($Y105="","",IF($Y105=0,LN($J105/$Z105)/$AA105,((($J105/$Z105)^$Y105)-1)/($Y105*$AA105)))</f>
        <v/>
      </c>
      <c r="AC105">
        <f>IF($Y105="","",IF($Y105=0,$Z105*EXP($AA105*2),$Z105*(1+$Y105*$AA105*2)^(1/$Y105)))</f>
        <v/>
      </c>
      <c r="AD105">
        <f>IF($Y105="","",IF($Y105=0,$Z105*EXP($AA105*3),$Z105*(1+$Y105*$AA105*3)^(1/$Y105)))</f>
        <v/>
      </c>
      <c r="AE105">
        <f>IF($Y105="","",IF($Y105=0,$Z105*EXP($AA105*-2),$Z105*(1+$Y105*$AA105*-2)^(1/$Y105)))</f>
        <v/>
      </c>
      <c r="AF105">
        <f>IF($Y105="","",IF($Y105=0,$Z105*EXP($AA105*-3),$Z105*(1+$Y105*$AA105*-3)^(1/$Y105)))</f>
        <v/>
      </c>
      <c r="AG105">
        <f>IF($W105="","",IFERROR(INDEX(IF($T105&lt;=60,est05_l,est519_l),MATCH($W105,IF($T105&lt;=60,est05_k,est519_k),1)),""))</f>
        <v/>
      </c>
      <c r="AH105">
        <f>IF($W105="","",IFERROR(INDEX(IF($T105&lt;=60,est05_m,est519_m),MATCH($W105,IF($T105&lt;=60,est05_k,est519_k),1)),""))</f>
        <v/>
      </c>
      <c r="AI105">
        <f>IF($W105="","",IFERROR(INDEX(IF($T105&lt;=60,est05_s,est519_s),MATCH($W105,IF($T105&lt;=60,est05_k,est519_k),1)),""))</f>
        <v/>
      </c>
      <c r="AJ105">
        <f>IF($W105="","",IFERROR(INDEX(IF($T105&lt;=60,peso05_l,peso510_l),MATCH($W105,IF($T105&lt;=60,peso05_k,peso510_k),1)),""))</f>
        <v/>
      </c>
      <c r="AK105">
        <f>IF($W105="","",IFERROR(INDEX(IF($T105&lt;=60,peso05_m,peso510_m),MATCH($W105,IF($T105&lt;=60,peso05_k,peso510_k),1)),""))</f>
        <v/>
      </c>
      <c r="AL105">
        <f>IF($W105="","",IFERROR(INDEX(IF($T105&lt;=60,peso05_s,peso510_s),MATCH($W105,IF($T105&lt;=60,peso05_k,peso510_k),1)),""))</f>
        <v/>
      </c>
      <c r="AM105">
        <f>IF($AJ105="","",IF($AJ105=0,LN($F105/$AK105)/$AL105,((($F105/$AK105)^$AJ105)-1)/($AJ105*$AL105)))</f>
        <v/>
      </c>
      <c r="AN105">
        <f>IF($AJ105="","",IF($AJ105=0,$AK105*EXP($AL105*2),$AK105*(1+$AJ105*$AL105*2)^(1/$AJ105)))</f>
        <v/>
      </c>
      <c r="AO105">
        <f>IF($AJ105="","",IF($AJ105=0,$AK105*EXP($AL105*3),$AK105*(1+$AJ105*$AL105*3)^(1/$AJ105)))</f>
        <v/>
      </c>
      <c r="AP105">
        <f>IF($AJ105="","",IF($AJ105=0,$AK105*EXP($AL105*-2),$AK105*(1+$AJ105*$AL105*-2)^(1/$AJ105)))</f>
        <v/>
      </c>
      <c r="AQ105">
        <f>IF($AJ105="","",IF($AJ105=0,$AK105*EXP($AL105*-3),$AK105*(1+$AJ105*$AL105*-3)^(1/$AJ105)))</f>
        <v/>
      </c>
      <c r="AR105">
        <f>IF(OR($X105="",$T105&gt;60),"",IFERROR(INDEX(IF($T105&lt;24,pcomp_l,palt_l),MATCH($X105,IF($T105&lt;24,pcomp_k,palt_k),1)),""))</f>
        <v/>
      </c>
      <c r="AS105">
        <f>IF(OR($X105="",$T105&gt;60),"",IFERROR(INDEX(IF($T105&lt;24,pcomp_m,palt_m),MATCH($X105,IF($T105&lt;24,pcomp_k,palt_k),1)),""))</f>
        <v/>
      </c>
      <c r="AT105">
        <f>IF(OR($X105="",$T105&gt;60),"",IFERROR(INDEX(IF($T105&lt;24,pcomp_s,palt_s),MATCH($X105,IF($T105&lt;24,pcomp_k,palt_k),1)),""))</f>
        <v/>
      </c>
      <c r="AU105">
        <f>IF($AR105="","",IF($AR105=0,LN($F105/$AS105)/$AT105,((($F105/$AS105)^$AR105)-1)/($AR105*$AT105)))</f>
        <v/>
      </c>
      <c r="AV105">
        <f>IF($AR105="","",IF($AR105=0,$AS105*EXP($AT105*2),$AS105*(1+$AR105*$AT105*2)^(1/$AR105)))</f>
        <v/>
      </c>
      <c r="AW105">
        <f>IF($AR105="","",IF($AR105=0,$AS105*EXP($AT105*3),$AS105*(1+$AR105*$AT105*3)^(1/$AR105)))</f>
        <v/>
      </c>
      <c r="AX105">
        <f>IF($AR105="","",IF($AR105=0,$AS105*EXP($AT105*-2),$AS105*(1+$AR105*$AT105*-2)^(1/$AR105)))</f>
        <v/>
      </c>
      <c r="AY105">
        <f>IF($AR105="","",IF($AR105=0,$AS105*EXP($AT105*-3),$AS105*(1+$AR105*$AT105*-3)^(1/$AR105)))</f>
        <v/>
      </c>
      <c r="AZ105">
        <f>IF(OR($A105="",$A105&lt;&gt;Ficha!$C$4),"",COUNTIF($A$2:$A105,Ficha!$C$4))</f>
        <v/>
      </c>
    </row>
    <row r="106">
      <c r="A106" s="8">
        <f>IF(INDEX(Banco!$A:$A,ROW())="","",INDEX(Banco!$A:$A,ROW()))</f>
        <v/>
      </c>
      <c r="B106" s="8">
        <f>IF(INDEX(Banco!$B:$B,ROW())="","",INDEX(Banco!$B:$B,ROW()))</f>
        <v/>
      </c>
      <c r="C106" s="8">
        <f>IF(INDEX(Banco!$C:$C,ROW())="","",INDEX(Banco!$C:$C,ROW()))</f>
        <v/>
      </c>
      <c r="D106" s="9">
        <f>IF(INDEX(Banco!$D:$D,ROW())="","",INDEX(Banco!$D:$D,ROW()))</f>
        <v/>
      </c>
      <c r="E106" s="9">
        <f>IF(INDEX(Banco!$E:$E,ROW())="","",INDEX(Banco!$E:$E,ROW()))</f>
        <v/>
      </c>
      <c r="F106" s="10">
        <f>IF(INDEX(Banco!$F:$F,ROW())="","",INDEX(Banco!$F:$F,ROW()))</f>
        <v/>
      </c>
      <c r="G106" s="10">
        <f>IF(INDEX(Banco!$G:$G,ROW())="","",INDEX(Banco!$G:$G,ROW()))</f>
        <v/>
      </c>
      <c r="H106" s="8">
        <f>IF(INDEX(Banco!$H:$H,ROW())="","",INDEX(Banco!$H:$H,ROW()))</f>
        <v/>
      </c>
      <c r="I106">
        <f>IF($T106="","",INT($T106/12)&amp;"a "&amp;MOD($T106,12)&amp;"m")</f>
        <v/>
      </c>
      <c r="J106" s="11">
        <f>IF(OR($F106="",$G106=""),"",ROUND($F106/($G106/100)^2,2))</f>
        <v/>
      </c>
      <c r="K106" s="12">
        <f>IF(OR($S106="",$J106="",$T106="",$T106&lt;0,$T106&gt;228,$Y106=""),"—",ROUND(IF(ABS($AB106)&lt;=3,$AB106,IF($AB106&gt;3,3+($J106-$AD106)/($AD106-$AC106),-3+($J106-$AF106)/($AE106-$AF106))),2))</f>
        <v/>
      </c>
      <c r="L106">
        <f>IF(OR($K106="",$K106="—"),"",IF($T106&lt;=60,IF($K106&lt;-3,"Magreza acentuada",IF($K106&lt;-2,"Magreza",IF($K106&lt;=1,"Eutrofia",IF($K106&lt;=2,"Risco de sobrepeso",IF($K106&lt;=3,"Sobrepeso","Obesidade"))))),IF($K106&lt;-3,"Magreza acentuada",IF($K106&lt;-2,"Magreza",IF($K106&lt;=1,"Eutrofia",IF($K106&lt;=2,"Sobrepeso",IF($K106&lt;=3,"Obesidade","Obesidade grave")))))))</f>
        <v/>
      </c>
      <c r="M106" s="12">
        <f>IF(OR($S106="",$V106="",$T106="",$T106&lt;0,$T106&gt;228,$AG106=""),"—",ROUND(IF($AG106=0,LN($V106/$AH106)/$AI106,((($V106/$AH106)^$AG106)-1)/($AG106*$AI106)),2))</f>
        <v/>
      </c>
      <c r="N106">
        <f>IF(OR($M106="",$M106="—"),"",IF($M106&lt;-3,"Muito baixa",IF($M106&lt;-2,"Baixa","Adequada")))</f>
        <v/>
      </c>
      <c r="O106" s="12">
        <f>IF(OR($S106="",$F106="",$T106="",$T106&lt;0,$T106&gt;120,$AJ106=""),"—",ROUND(IF(ABS($AM106)&lt;=3,$AM106,IF($AM106&gt;3,3+($F106-$AO106)/($AO106-$AN106),-3+($F106-$AQ106)/($AP106-$AQ106))),2))</f>
        <v/>
      </c>
      <c r="P106">
        <f>IF(OR($O106="",$O106="—"),"",IF($O106&lt;-3,"Muito baixo",IF($O106&lt;-2,"Baixo",IF($O106&lt;=2,"Adequado","Elevado"))))</f>
        <v/>
      </c>
      <c r="Q106" s="12">
        <f>IF(OR($S106="",$F106="",$T106="",$T106&lt;0,$T106&gt;60,$AR106=""),"—",ROUND(IF(ABS($AU106)&lt;=3,$AU106,IF($AU106&gt;3,3+($F106-$AW106)/($AW106-$AV106),-3+($F106-$AY106)/($AX106-$AY106))),2))</f>
        <v/>
      </c>
      <c r="R106">
        <f>IF(OR($Q106="",$Q106="—"),"",IF($Q106&lt;-3,"Magreza acentuada",IF($Q106&lt;-2,"Magreza",IF($Q106&lt;=1,"Eutrofia",IF($Q106&lt;=2,"Risco de sobrepeso",IF($Q106&lt;=3,"Sobrepeso","Obesidade"))))))</f>
        <v/>
      </c>
      <c r="S106">
        <f>IF($C106="","",IF(UPPER(LEFT($C106,1))="M",1,IF(UPPER(LEFT($C106,1))="F",2,"")))</f>
        <v/>
      </c>
      <c r="T106">
        <f>IF(OR($D106="",$E106=""),"",DATEDIF($D106,$E106,"m"))</f>
        <v/>
      </c>
      <c r="U106">
        <f>IF(OR($D106="",$E106=""),"",$E106-$D106)</f>
        <v/>
      </c>
      <c r="V106">
        <f>IF(OR($G106="",$T106=""),"",IF($T106&lt;24,IF(LEFT(LOWER($H106),4)="em p",$G106+0.7,$G106),IF(LEFT(LOWER($H106),4)="deit",$G106-0.7,$G106)))</f>
        <v/>
      </c>
      <c r="W106">
        <f>IF(OR($S106="",$T106=""),"",$S106*1000000+IF($T106&lt;=60,$U106,$T106))</f>
        <v/>
      </c>
      <c r="X106">
        <f>IF(OR($S106="",$V106="",$T106&gt;60,$T106=""),"",$S106*1000000+ROUND($V106*10,0))</f>
        <v/>
      </c>
      <c r="Y106">
        <f>IF($W106="","",IFERROR(INDEX(IF($T106&lt;=60,imc05_l,imc519_l),MATCH($W106,IF($T106&lt;=60,imc05_k,imc519_k),1)),""))</f>
        <v/>
      </c>
      <c r="Z106">
        <f>IF($W106="","",IFERROR(INDEX(IF($T106&lt;=60,imc05_m,imc519_m),MATCH($W106,IF($T106&lt;=60,imc05_k,imc519_k),1)),""))</f>
        <v/>
      </c>
      <c r="AA106">
        <f>IF($W106="","",IFERROR(INDEX(IF($T106&lt;=60,imc05_s,imc519_s),MATCH($W106,IF($T106&lt;=60,imc05_k,imc519_k),1)),""))</f>
        <v/>
      </c>
      <c r="AB106">
        <f>IF($Y106="","",IF($Y106=0,LN($J106/$Z106)/$AA106,((($J106/$Z106)^$Y106)-1)/($Y106*$AA106)))</f>
        <v/>
      </c>
      <c r="AC106">
        <f>IF($Y106="","",IF($Y106=0,$Z106*EXP($AA106*2),$Z106*(1+$Y106*$AA106*2)^(1/$Y106)))</f>
        <v/>
      </c>
      <c r="AD106">
        <f>IF($Y106="","",IF($Y106=0,$Z106*EXP($AA106*3),$Z106*(1+$Y106*$AA106*3)^(1/$Y106)))</f>
        <v/>
      </c>
      <c r="AE106">
        <f>IF($Y106="","",IF($Y106=0,$Z106*EXP($AA106*-2),$Z106*(1+$Y106*$AA106*-2)^(1/$Y106)))</f>
        <v/>
      </c>
      <c r="AF106">
        <f>IF($Y106="","",IF($Y106=0,$Z106*EXP($AA106*-3),$Z106*(1+$Y106*$AA106*-3)^(1/$Y106)))</f>
        <v/>
      </c>
      <c r="AG106">
        <f>IF($W106="","",IFERROR(INDEX(IF($T106&lt;=60,est05_l,est519_l),MATCH($W106,IF($T106&lt;=60,est05_k,est519_k),1)),""))</f>
        <v/>
      </c>
      <c r="AH106">
        <f>IF($W106="","",IFERROR(INDEX(IF($T106&lt;=60,est05_m,est519_m),MATCH($W106,IF($T106&lt;=60,est05_k,est519_k),1)),""))</f>
        <v/>
      </c>
      <c r="AI106">
        <f>IF($W106="","",IFERROR(INDEX(IF($T106&lt;=60,est05_s,est519_s),MATCH($W106,IF($T106&lt;=60,est05_k,est519_k),1)),""))</f>
        <v/>
      </c>
      <c r="AJ106">
        <f>IF($W106="","",IFERROR(INDEX(IF($T106&lt;=60,peso05_l,peso510_l),MATCH($W106,IF($T106&lt;=60,peso05_k,peso510_k),1)),""))</f>
        <v/>
      </c>
      <c r="AK106">
        <f>IF($W106="","",IFERROR(INDEX(IF($T106&lt;=60,peso05_m,peso510_m),MATCH($W106,IF($T106&lt;=60,peso05_k,peso510_k),1)),""))</f>
        <v/>
      </c>
      <c r="AL106">
        <f>IF($W106="","",IFERROR(INDEX(IF($T106&lt;=60,peso05_s,peso510_s),MATCH($W106,IF($T106&lt;=60,peso05_k,peso510_k),1)),""))</f>
        <v/>
      </c>
      <c r="AM106">
        <f>IF($AJ106="","",IF($AJ106=0,LN($F106/$AK106)/$AL106,((($F106/$AK106)^$AJ106)-1)/($AJ106*$AL106)))</f>
        <v/>
      </c>
      <c r="AN106">
        <f>IF($AJ106="","",IF($AJ106=0,$AK106*EXP($AL106*2),$AK106*(1+$AJ106*$AL106*2)^(1/$AJ106)))</f>
        <v/>
      </c>
      <c r="AO106">
        <f>IF($AJ106="","",IF($AJ106=0,$AK106*EXP($AL106*3),$AK106*(1+$AJ106*$AL106*3)^(1/$AJ106)))</f>
        <v/>
      </c>
      <c r="AP106">
        <f>IF($AJ106="","",IF($AJ106=0,$AK106*EXP($AL106*-2),$AK106*(1+$AJ106*$AL106*-2)^(1/$AJ106)))</f>
        <v/>
      </c>
      <c r="AQ106">
        <f>IF($AJ106="","",IF($AJ106=0,$AK106*EXP($AL106*-3),$AK106*(1+$AJ106*$AL106*-3)^(1/$AJ106)))</f>
        <v/>
      </c>
      <c r="AR106">
        <f>IF(OR($X106="",$T106&gt;60),"",IFERROR(INDEX(IF($T106&lt;24,pcomp_l,palt_l),MATCH($X106,IF($T106&lt;24,pcomp_k,palt_k),1)),""))</f>
        <v/>
      </c>
      <c r="AS106">
        <f>IF(OR($X106="",$T106&gt;60),"",IFERROR(INDEX(IF($T106&lt;24,pcomp_m,palt_m),MATCH($X106,IF($T106&lt;24,pcomp_k,palt_k),1)),""))</f>
        <v/>
      </c>
      <c r="AT106">
        <f>IF(OR($X106="",$T106&gt;60),"",IFERROR(INDEX(IF($T106&lt;24,pcomp_s,palt_s),MATCH($X106,IF($T106&lt;24,pcomp_k,palt_k),1)),""))</f>
        <v/>
      </c>
      <c r="AU106">
        <f>IF($AR106="","",IF($AR106=0,LN($F106/$AS106)/$AT106,((($F106/$AS106)^$AR106)-1)/($AR106*$AT106)))</f>
        <v/>
      </c>
      <c r="AV106">
        <f>IF($AR106="","",IF($AR106=0,$AS106*EXP($AT106*2),$AS106*(1+$AR106*$AT106*2)^(1/$AR106)))</f>
        <v/>
      </c>
      <c r="AW106">
        <f>IF($AR106="","",IF($AR106=0,$AS106*EXP($AT106*3),$AS106*(1+$AR106*$AT106*3)^(1/$AR106)))</f>
        <v/>
      </c>
      <c r="AX106">
        <f>IF($AR106="","",IF($AR106=0,$AS106*EXP($AT106*-2),$AS106*(1+$AR106*$AT106*-2)^(1/$AR106)))</f>
        <v/>
      </c>
      <c r="AY106">
        <f>IF($AR106="","",IF($AR106=0,$AS106*EXP($AT106*-3),$AS106*(1+$AR106*$AT106*-3)^(1/$AR106)))</f>
        <v/>
      </c>
      <c r="AZ106">
        <f>IF(OR($A106="",$A106&lt;&gt;Ficha!$C$4),"",COUNTIF($A$2:$A106,Ficha!$C$4))</f>
        <v/>
      </c>
    </row>
    <row r="107">
      <c r="A107" s="8">
        <f>IF(INDEX(Banco!$A:$A,ROW())="","",INDEX(Banco!$A:$A,ROW()))</f>
        <v/>
      </c>
      <c r="B107" s="8">
        <f>IF(INDEX(Banco!$B:$B,ROW())="","",INDEX(Banco!$B:$B,ROW()))</f>
        <v/>
      </c>
      <c r="C107" s="8">
        <f>IF(INDEX(Banco!$C:$C,ROW())="","",INDEX(Banco!$C:$C,ROW()))</f>
        <v/>
      </c>
      <c r="D107" s="9">
        <f>IF(INDEX(Banco!$D:$D,ROW())="","",INDEX(Banco!$D:$D,ROW()))</f>
        <v/>
      </c>
      <c r="E107" s="9">
        <f>IF(INDEX(Banco!$E:$E,ROW())="","",INDEX(Banco!$E:$E,ROW()))</f>
        <v/>
      </c>
      <c r="F107" s="10">
        <f>IF(INDEX(Banco!$F:$F,ROW())="","",INDEX(Banco!$F:$F,ROW()))</f>
        <v/>
      </c>
      <c r="G107" s="10">
        <f>IF(INDEX(Banco!$G:$G,ROW())="","",INDEX(Banco!$G:$G,ROW()))</f>
        <v/>
      </c>
      <c r="H107" s="8">
        <f>IF(INDEX(Banco!$H:$H,ROW())="","",INDEX(Banco!$H:$H,ROW()))</f>
        <v/>
      </c>
      <c r="I107">
        <f>IF($T107="","",INT($T107/12)&amp;"a "&amp;MOD($T107,12)&amp;"m")</f>
        <v/>
      </c>
      <c r="J107" s="11">
        <f>IF(OR($F107="",$G107=""),"",ROUND($F107/($G107/100)^2,2))</f>
        <v/>
      </c>
      <c r="K107" s="12">
        <f>IF(OR($S107="",$J107="",$T107="",$T107&lt;0,$T107&gt;228,$Y107=""),"—",ROUND(IF(ABS($AB107)&lt;=3,$AB107,IF($AB107&gt;3,3+($J107-$AD107)/($AD107-$AC107),-3+($J107-$AF107)/($AE107-$AF107))),2))</f>
        <v/>
      </c>
      <c r="L107">
        <f>IF(OR($K107="",$K107="—"),"",IF($T107&lt;=60,IF($K107&lt;-3,"Magreza acentuada",IF($K107&lt;-2,"Magreza",IF($K107&lt;=1,"Eutrofia",IF($K107&lt;=2,"Risco de sobrepeso",IF($K107&lt;=3,"Sobrepeso","Obesidade"))))),IF($K107&lt;-3,"Magreza acentuada",IF($K107&lt;-2,"Magreza",IF($K107&lt;=1,"Eutrofia",IF($K107&lt;=2,"Sobrepeso",IF($K107&lt;=3,"Obesidade","Obesidade grave")))))))</f>
        <v/>
      </c>
      <c r="M107" s="12">
        <f>IF(OR($S107="",$V107="",$T107="",$T107&lt;0,$T107&gt;228,$AG107=""),"—",ROUND(IF($AG107=0,LN($V107/$AH107)/$AI107,((($V107/$AH107)^$AG107)-1)/($AG107*$AI107)),2))</f>
        <v/>
      </c>
      <c r="N107">
        <f>IF(OR($M107="",$M107="—"),"",IF($M107&lt;-3,"Muito baixa",IF($M107&lt;-2,"Baixa","Adequada")))</f>
        <v/>
      </c>
      <c r="O107" s="12">
        <f>IF(OR($S107="",$F107="",$T107="",$T107&lt;0,$T107&gt;120,$AJ107=""),"—",ROUND(IF(ABS($AM107)&lt;=3,$AM107,IF($AM107&gt;3,3+($F107-$AO107)/($AO107-$AN107),-3+($F107-$AQ107)/($AP107-$AQ107))),2))</f>
        <v/>
      </c>
      <c r="P107">
        <f>IF(OR($O107="",$O107="—"),"",IF($O107&lt;-3,"Muito baixo",IF($O107&lt;-2,"Baixo",IF($O107&lt;=2,"Adequado","Elevado"))))</f>
        <v/>
      </c>
      <c r="Q107" s="12">
        <f>IF(OR($S107="",$F107="",$T107="",$T107&lt;0,$T107&gt;60,$AR107=""),"—",ROUND(IF(ABS($AU107)&lt;=3,$AU107,IF($AU107&gt;3,3+($F107-$AW107)/($AW107-$AV107),-3+($F107-$AY107)/($AX107-$AY107))),2))</f>
        <v/>
      </c>
      <c r="R107">
        <f>IF(OR($Q107="",$Q107="—"),"",IF($Q107&lt;-3,"Magreza acentuada",IF($Q107&lt;-2,"Magreza",IF($Q107&lt;=1,"Eutrofia",IF($Q107&lt;=2,"Risco de sobrepeso",IF($Q107&lt;=3,"Sobrepeso","Obesidade"))))))</f>
        <v/>
      </c>
      <c r="S107">
        <f>IF($C107="","",IF(UPPER(LEFT($C107,1))="M",1,IF(UPPER(LEFT($C107,1))="F",2,"")))</f>
        <v/>
      </c>
      <c r="T107">
        <f>IF(OR($D107="",$E107=""),"",DATEDIF($D107,$E107,"m"))</f>
        <v/>
      </c>
      <c r="U107">
        <f>IF(OR($D107="",$E107=""),"",$E107-$D107)</f>
        <v/>
      </c>
      <c r="V107">
        <f>IF(OR($G107="",$T107=""),"",IF($T107&lt;24,IF(LEFT(LOWER($H107),4)="em p",$G107+0.7,$G107),IF(LEFT(LOWER($H107),4)="deit",$G107-0.7,$G107)))</f>
        <v/>
      </c>
      <c r="W107">
        <f>IF(OR($S107="",$T107=""),"",$S107*1000000+IF($T107&lt;=60,$U107,$T107))</f>
        <v/>
      </c>
      <c r="X107">
        <f>IF(OR($S107="",$V107="",$T107&gt;60,$T107=""),"",$S107*1000000+ROUND($V107*10,0))</f>
        <v/>
      </c>
      <c r="Y107">
        <f>IF($W107="","",IFERROR(INDEX(IF($T107&lt;=60,imc05_l,imc519_l),MATCH($W107,IF($T107&lt;=60,imc05_k,imc519_k),1)),""))</f>
        <v/>
      </c>
      <c r="Z107">
        <f>IF($W107="","",IFERROR(INDEX(IF($T107&lt;=60,imc05_m,imc519_m),MATCH($W107,IF($T107&lt;=60,imc05_k,imc519_k),1)),""))</f>
        <v/>
      </c>
      <c r="AA107">
        <f>IF($W107="","",IFERROR(INDEX(IF($T107&lt;=60,imc05_s,imc519_s),MATCH($W107,IF($T107&lt;=60,imc05_k,imc519_k),1)),""))</f>
        <v/>
      </c>
      <c r="AB107">
        <f>IF($Y107="","",IF($Y107=0,LN($J107/$Z107)/$AA107,((($J107/$Z107)^$Y107)-1)/($Y107*$AA107)))</f>
        <v/>
      </c>
      <c r="AC107">
        <f>IF($Y107="","",IF($Y107=0,$Z107*EXP($AA107*2),$Z107*(1+$Y107*$AA107*2)^(1/$Y107)))</f>
        <v/>
      </c>
      <c r="AD107">
        <f>IF($Y107="","",IF($Y107=0,$Z107*EXP($AA107*3),$Z107*(1+$Y107*$AA107*3)^(1/$Y107)))</f>
        <v/>
      </c>
      <c r="AE107">
        <f>IF($Y107="","",IF($Y107=0,$Z107*EXP($AA107*-2),$Z107*(1+$Y107*$AA107*-2)^(1/$Y107)))</f>
        <v/>
      </c>
      <c r="AF107">
        <f>IF($Y107="","",IF($Y107=0,$Z107*EXP($AA107*-3),$Z107*(1+$Y107*$AA107*-3)^(1/$Y107)))</f>
        <v/>
      </c>
      <c r="AG107">
        <f>IF($W107="","",IFERROR(INDEX(IF($T107&lt;=60,est05_l,est519_l),MATCH($W107,IF($T107&lt;=60,est05_k,est519_k),1)),""))</f>
        <v/>
      </c>
      <c r="AH107">
        <f>IF($W107="","",IFERROR(INDEX(IF($T107&lt;=60,est05_m,est519_m),MATCH($W107,IF($T107&lt;=60,est05_k,est519_k),1)),""))</f>
        <v/>
      </c>
      <c r="AI107">
        <f>IF($W107="","",IFERROR(INDEX(IF($T107&lt;=60,est05_s,est519_s),MATCH($W107,IF($T107&lt;=60,est05_k,est519_k),1)),""))</f>
        <v/>
      </c>
      <c r="AJ107">
        <f>IF($W107="","",IFERROR(INDEX(IF($T107&lt;=60,peso05_l,peso510_l),MATCH($W107,IF($T107&lt;=60,peso05_k,peso510_k),1)),""))</f>
        <v/>
      </c>
      <c r="AK107">
        <f>IF($W107="","",IFERROR(INDEX(IF($T107&lt;=60,peso05_m,peso510_m),MATCH($W107,IF($T107&lt;=60,peso05_k,peso510_k),1)),""))</f>
        <v/>
      </c>
      <c r="AL107">
        <f>IF($W107="","",IFERROR(INDEX(IF($T107&lt;=60,peso05_s,peso510_s),MATCH($W107,IF($T107&lt;=60,peso05_k,peso510_k),1)),""))</f>
        <v/>
      </c>
      <c r="AM107">
        <f>IF($AJ107="","",IF($AJ107=0,LN($F107/$AK107)/$AL107,((($F107/$AK107)^$AJ107)-1)/($AJ107*$AL107)))</f>
        <v/>
      </c>
      <c r="AN107">
        <f>IF($AJ107="","",IF($AJ107=0,$AK107*EXP($AL107*2),$AK107*(1+$AJ107*$AL107*2)^(1/$AJ107)))</f>
        <v/>
      </c>
      <c r="AO107">
        <f>IF($AJ107="","",IF($AJ107=0,$AK107*EXP($AL107*3),$AK107*(1+$AJ107*$AL107*3)^(1/$AJ107)))</f>
        <v/>
      </c>
      <c r="AP107">
        <f>IF($AJ107="","",IF($AJ107=0,$AK107*EXP($AL107*-2),$AK107*(1+$AJ107*$AL107*-2)^(1/$AJ107)))</f>
        <v/>
      </c>
      <c r="AQ107">
        <f>IF($AJ107="","",IF($AJ107=0,$AK107*EXP($AL107*-3),$AK107*(1+$AJ107*$AL107*-3)^(1/$AJ107)))</f>
        <v/>
      </c>
      <c r="AR107">
        <f>IF(OR($X107="",$T107&gt;60),"",IFERROR(INDEX(IF($T107&lt;24,pcomp_l,palt_l),MATCH($X107,IF($T107&lt;24,pcomp_k,palt_k),1)),""))</f>
        <v/>
      </c>
      <c r="AS107">
        <f>IF(OR($X107="",$T107&gt;60),"",IFERROR(INDEX(IF($T107&lt;24,pcomp_m,palt_m),MATCH($X107,IF($T107&lt;24,pcomp_k,palt_k),1)),""))</f>
        <v/>
      </c>
      <c r="AT107">
        <f>IF(OR($X107="",$T107&gt;60),"",IFERROR(INDEX(IF($T107&lt;24,pcomp_s,palt_s),MATCH($X107,IF($T107&lt;24,pcomp_k,palt_k),1)),""))</f>
        <v/>
      </c>
      <c r="AU107">
        <f>IF($AR107="","",IF($AR107=0,LN($F107/$AS107)/$AT107,((($F107/$AS107)^$AR107)-1)/($AR107*$AT107)))</f>
        <v/>
      </c>
      <c r="AV107">
        <f>IF($AR107="","",IF($AR107=0,$AS107*EXP($AT107*2),$AS107*(1+$AR107*$AT107*2)^(1/$AR107)))</f>
        <v/>
      </c>
      <c r="AW107">
        <f>IF($AR107="","",IF($AR107=0,$AS107*EXP($AT107*3),$AS107*(1+$AR107*$AT107*3)^(1/$AR107)))</f>
        <v/>
      </c>
      <c r="AX107">
        <f>IF($AR107="","",IF($AR107=0,$AS107*EXP($AT107*-2),$AS107*(1+$AR107*$AT107*-2)^(1/$AR107)))</f>
        <v/>
      </c>
      <c r="AY107">
        <f>IF($AR107="","",IF($AR107=0,$AS107*EXP($AT107*-3),$AS107*(1+$AR107*$AT107*-3)^(1/$AR107)))</f>
        <v/>
      </c>
      <c r="AZ107">
        <f>IF(OR($A107="",$A107&lt;&gt;Ficha!$C$4),"",COUNTIF($A$2:$A107,Ficha!$C$4))</f>
        <v/>
      </c>
    </row>
    <row r="108">
      <c r="A108" s="8">
        <f>IF(INDEX(Banco!$A:$A,ROW())="","",INDEX(Banco!$A:$A,ROW()))</f>
        <v/>
      </c>
      <c r="B108" s="8">
        <f>IF(INDEX(Banco!$B:$B,ROW())="","",INDEX(Banco!$B:$B,ROW()))</f>
        <v/>
      </c>
      <c r="C108" s="8">
        <f>IF(INDEX(Banco!$C:$C,ROW())="","",INDEX(Banco!$C:$C,ROW()))</f>
        <v/>
      </c>
      <c r="D108" s="9">
        <f>IF(INDEX(Banco!$D:$D,ROW())="","",INDEX(Banco!$D:$D,ROW()))</f>
        <v/>
      </c>
      <c r="E108" s="9">
        <f>IF(INDEX(Banco!$E:$E,ROW())="","",INDEX(Banco!$E:$E,ROW()))</f>
        <v/>
      </c>
      <c r="F108" s="10">
        <f>IF(INDEX(Banco!$F:$F,ROW())="","",INDEX(Banco!$F:$F,ROW()))</f>
        <v/>
      </c>
      <c r="G108" s="10">
        <f>IF(INDEX(Banco!$G:$G,ROW())="","",INDEX(Banco!$G:$G,ROW()))</f>
        <v/>
      </c>
      <c r="H108" s="8">
        <f>IF(INDEX(Banco!$H:$H,ROW())="","",INDEX(Banco!$H:$H,ROW()))</f>
        <v/>
      </c>
      <c r="I108">
        <f>IF($T108="","",INT($T108/12)&amp;"a "&amp;MOD($T108,12)&amp;"m")</f>
        <v/>
      </c>
      <c r="J108" s="11">
        <f>IF(OR($F108="",$G108=""),"",ROUND($F108/($G108/100)^2,2))</f>
        <v/>
      </c>
      <c r="K108" s="12">
        <f>IF(OR($S108="",$J108="",$T108="",$T108&lt;0,$T108&gt;228,$Y108=""),"—",ROUND(IF(ABS($AB108)&lt;=3,$AB108,IF($AB108&gt;3,3+($J108-$AD108)/($AD108-$AC108),-3+($J108-$AF108)/($AE108-$AF108))),2))</f>
        <v/>
      </c>
      <c r="L108">
        <f>IF(OR($K108="",$K108="—"),"",IF($T108&lt;=60,IF($K108&lt;-3,"Magreza acentuada",IF($K108&lt;-2,"Magreza",IF($K108&lt;=1,"Eutrofia",IF($K108&lt;=2,"Risco de sobrepeso",IF($K108&lt;=3,"Sobrepeso","Obesidade"))))),IF($K108&lt;-3,"Magreza acentuada",IF($K108&lt;-2,"Magreza",IF($K108&lt;=1,"Eutrofia",IF($K108&lt;=2,"Sobrepeso",IF($K108&lt;=3,"Obesidade","Obesidade grave")))))))</f>
        <v/>
      </c>
      <c r="M108" s="12">
        <f>IF(OR($S108="",$V108="",$T108="",$T108&lt;0,$T108&gt;228,$AG108=""),"—",ROUND(IF($AG108=0,LN($V108/$AH108)/$AI108,((($V108/$AH108)^$AG108)-1)/($AG108*$AI108)),2))</f>
        <v/>
      </c>
      <c r="N108">
        <f>IF(OR($M108="",$M108="—"),"",IF($M108&lt;-3,"Muito baixa",IF($M108&lt;-2,"Baixa","Adequada")))</f>
        <v/>
      </c>
      <c r="O108" s="12">
        <f>IF(OR($S108="",$F108="",$T108="",$T108&lt;0,$T108&gt;120,$AJ108=""),"—",ROUND(IF(ABS($AM108)&lt;=3,$AM108,IF($AM108&gt;3,3+($F108-$AO108)/($AO108-$AN108),-3+($F108-$AQ108)/($AP108-$AQ108))),2))</f>
        <v/>
      </c>
      <c r="P108">
        <f>IF(OR($O108="",$O108="—"),"",IF($O108&lt;-3,"Muito baixo",IF($O108&lt;-2,"Baixo",IF($O108&lt;=2,"Adequado","Elevado"))))</f>
        <v/>
      </c>
      <c r="Q108" s="12">
        <f>IF(OR($S108="",$F108="",$T108="",$T108&lt;0,$T108&gt;60,$AR108=""),"—",ROUND(IF(ABS($AU108)&lt;=3,$AU108,IF($AU108&gt;3,3+($F108-$AW108)/($AW108-$AV108),-3+($F108-$AY108)/($AX108-$AY108))),2))</f>
        <v/>
      </c>
      <c r="R108">
        <f>IF(OR($Q108="",$Q108="—"),"",IF($Q108&lt;-3,"Magreza acentuada",IF($Q108&lt;-2,"Magreza",IF($Q108&lt;=1,"Eutrofia",IF($Q108&lt;=2,"Risco de sobrepeso",IF($Q108&lt;=3,"Sobrepeso","Obesidade"))))))</f>
        <v/>
      </c>
      <c r="S108">
        <f>IF($C108="","",IF(UPPER(LEFT($C108,1))="M",1,IF(UPPER(LEFT($C108,1))="F",2,"")))</f>
        <v/>
      </c>
      <c r="T108">
        <f>IF(OR($D108="",$E108=""),"",DATEDIF($D108,$E108,"m"))</f>
        <v/>
      </c>
      <c r="U108">
        <f>IF(OR($D108="",$E108=""),"",$E108-$D108)</f>
        <v/>
      </c>
      <c r="V108">
        <f>IF(OR($G108="",$T108=""),"",IF($T108&lt;24,IF(LEFT(LOWER($H108),4)="em p",$G108+0.7,$G108),IF(LEFT(LOWER($H108),4)="deit",$G108-0.7,$G108)))</f>
        <v/>
      </c>
      <c r="W108">
        <f>IF(OR($S108="",$T108=""),"",$S108*1000000+IF($T108&lt;=60,$U108,$T108))</f>
        <v/>
      </c>
      <c r="X108">
        <f>IF(OR($S108="",$V108="",$T108&gt;60,$T108=""),"",$S108*1000000+ROUND($V108*10,0))</f>
        <v/>
      </c>
      <c r="Y108">
        <f>IF($W108="","",IFERROR(INDEX(IF($T108&lt;=60,imc05_l,imc519_l),MATCH($W108,IF($T108&lt;=60,imc05_k,imc519_k),1)),""))</f>
        <v/>
      </c>
      <c r="Z108">
        <f>IF($W108="","",IFERROR(INDEX(IF($T108&lt;=60,imc05_m,imc519_m),MATCH($W108,IF($T108&lt;=60,imc05_k,imc519_k),1)),""))</f>
        <v/>
      </c>
      <c r="AA108">
        <f>IF($W108="","",IFERROR(INDEX(IF($T108&lt;=60,imc05_s,imc519_s),MATCH($W108,IF($T108&lt;=60,imc05_k,imc519_k),1)),""))</f>
        <v/>
      </c>
      <c r="AB108">
        <f>IF($Y108="","",IF($Y108=0,LN($J108/$Z108)/$AA108,((($J108/$Z108)^$Y108)-1)/($Y108*$AA108)))</f>
        <v/>
      </c>
      <c r="AC108">
        <f>IF($Y108="","",IF($Y108=0,$Z108*EXP($AA108*2),$Z108*(1+$Y108*$AA108*2)^(1/$Y108)))</f>
        <v/>
      </c>
      <c r="AD108">
        <f>IF($Y108="","",IF($Y108=0,$Z108*EXP($AA108*3),$Z108*(1+$Y108*$AA108*3)^(1/$Y108)))</f>
        <v/>
      </c>
      <c r="AE108">
        <f>IF($Y108="","",IF($Y108=0,$Z108*EXP($AA108*-2),$Z108*(1+$Y108*$AA108*-2)^(1/$Y108)))</f>
        <v/>
      </c>
      <c r="AF108">
        <f>IF($Y108="","",IF($Y108=0,$Z108*EXP($AA108*-3),$Z108*(1+$Y108*$AA108*-3)^(1/$Y108)))</f>
        <v/>
      </c>
      <c r="AG108">
        <f>IF($W108="","",IFERROR(INDEX(IF($T108&lt;=60,est05_l,est519_l),MATCH($W108,IF($T108&lt;=60,est05_k,est519_k),1)),""))</f>
        <v/>
      </c>
      <c r="AH108">
        <f>IF($W108="","",IFERROR(INDEX(IF($T108&lt;=60,est05_m,est519_m),MATCH($W108,IF($T108&lt;=60,est05_k,est519_k),1)),""))</f>
        <v/>
      </c>
      <c r="AI108">
        <f>IF($W108="","",IFERROR(INDEX(IF($T108&lt;=60,est05_s,est519_s),MATCH($W108,IF($T108&lt;=60,est05_k,est519_k),1)),""))</f>
        <v/>
      </c>
      <c r="AJ108">
        <f>IF($W108="","",IFERROR(INDEX(IF($T108&lt;=60,peso05_l,peso510_l),MATCH($W108,IF($T108&lt;=60,peso05_k,peso510_k),1)),""))</f>
        <v/>
      </c>
      <c r="AK108">
        <f>IF($W108="","",IFERROR(INDEX(IF($T108&lt;=60,peso05_m,peso510_m),MATCH($W108,IF($T108&lt;=60,peso05_k,peso510_k),1)),""))</f>
        <v/>
      </c>
      <c r="AL108">
        <f>IF($W108="","",IFERROR(INDEX(IF($T108&lt;=60,peso05_s,peso510_s),MATCH($W108,IF($T108&lt;=60,peso05_k,peso510_k),1)),""))</f>
        <v/>
      </c>
      <c r="AM108">
        <f>IF($AJ108="","",IF($AJ108=0,LN($F108/$AK108)/$AL108,((($F108/$AK108)^$AJ108)-1)/($AJ108*$AL108)))</f>
        <v/>
      </c>
      <c r="AN108">
        <f>IF($AJ108="","",IF($AJ108=0,$AK108*EXP($AL108*2),$AK108*(1+$AJ108*$AL108*2)^(1/$AJ108)))</f>
        <v/>
      </c>
      <c r="AO108">
        <f>IF($AJ108="","",IF($AJ108=0,$AK108*EXP($AL108*3),$AK108*(1+$AJ108*$AL108*3)^(1/$AJ108)))</f>
        <v/>
      </c>
      <c r="AP108">
        <f>IF($AJ108="","",IF($AJ108=0,$AK108*EXP($AL108*-2),$AK108*(1+$AJ108*$AL108*-2)^(1/$AJ108)))</f>
        <v/>
      </c>
      <c r="AQ108">
        <f>IF($AJ108="","",IF($AJ108=0,$AK108*EXP($AL108*-3),$AK108*(1+$AJ108*$AL108*-3)^(1/$AJ108)))</f>
        <v/>
      </c>
      <c r="AR108">
        <f>IF(OR($X108="",$T108&gt;60),"",IFERROR(INDEX(IF($T108&lt;24,pcomp_l,palt_l),MATCH($X108,IF($T108&lt;24,pcomp_k,palt_k),1)),""))</f>
        <v/>
      </c>
      <c r="AS108">
        <f>IF(OR($X108="",$T108&gt;60),"",IFERROR(INDEX(IF($T108&lt;24,pcomp_m,palt_m),MATCH($X108,IF($T108&lt;24,pcomp_k,palt_k),1)),""))</f>
        <v/>
      </c>
      <c r="AT108">
        <f>IF(OR($X108="",$T108&gt;60),"",IFERROR(INDEX(IF($T108&lt;24,pcomp_s,palt_s),MATCH($X108,IF($T108&lt;24,pcomp_k,palt_k),1)),""))</f>
        <v/>
      </c>
      <c r="AU108">
        <f>IF($AR108="","",IF($AR108=0,LN($F108/$AS108)/$AT108,((($F108/$AS108)^$AR108)-1)/($AR108*$AT108)))</f>
        <v/>
      </c>
      <c r="AV108">
        <f>IF($AR108="","",IF($AR108=0,$AS108*EXP($AT108*2),$AS108*(1+$AR108*$AT108*2)^(1/$AR108)))</f>
        <v/>
      </c>
      <c r="AW108">
        <f>IF($AR108="","",IF($AR108=0,$AS108*EXP($AT108*3),$AS108*(1+$AR108*$AT108*3)^(1/$AR108)))</f>
        <v/>
      </c>
      <c r="AX108">
        <f>IF($AR108="","",IF($AR108=0,$AS108*EXP($AT108*-2),$AS108*(1+$AR108*$AT108*-2)^(1/$AR108)))</f>
        <v/>
      </c>
      <c r="AY108">
        <f>IF($AR108="","",IF($AR108=0,$AS108*EXP($AT108*-3),$AS108*(1+$AR108*$AT108*-3)^(1/$AR108)))</f>
        <v/>
      </c>
      <c r="AZ108">
        <f>IF(OR($A108="",$A108&lt;&gt;Ficha!$C$4),"",COUNTIF($A$2:$A108,Ficha!$C$4))</f>
        <v/>
      </c>
    </row>
    <row r="109">
      <c r="A109" s="8">
        <f>IF(INDEX(Banco!$A:$A,ROW())="","",INDEX(Banco!$A:$A,ROW()))</f>
        <v/>
      </c>
      <c r="B109" s="8">
        <f>IF(INDEX(Banco!$B:$B,ROW())="","",INDEX(Banco!$B:$B,ROW()))</f>
        <v/>
      </c>
      <c r="C109" s="8">
        <f>IF(INDEX(Banco!$C:$C,ROW())="","",INDEX(Banco!$C:$C,ROW()))</f>
        <v/>
      </c>
      <c r="D109" s="9">
        <f>IF(INDEX(Banco!$D:$D,ROW())="","",INDEX(Banco!$D:$D,ROW()))</f>
        <v/>
      </c>
      <c r="E109" s="9">
        <f>IF(INDEX(Banco!$E:$E,ROW())="","",INDEX(Banco!$E:$E,ROW()))</f>
        <v/>
      </c>
      <c r="F109" s="10">
        <f>IF(INDEX(Banco!$F:$F,ROW())="","",INDEX(Banco!$F:$F,ROW()))</f>
        <v/>
      </c>
      <c r="G109" s="10">
        <f>IF(INDEX(Banco!$G:$G,ROW())="","",INDEX(Banco!$G:$G,ROW()))</f>
        <v/>
      </c>
      <c r="H109" s="8">
        <f>IF(INDEX(Banco!$H:$H,ROW())="","",INDEX(Banco!$H:$H,ROW()))</f>
        <v/>
      </c>
      <c r="I109">
        <f>IF($T109="","",INT($T109/12)&amp;"a "&amp;MOD($T109,12)&amp;"m")</f>
        <v/>
      </c>
      <c r="J109" s="11">
        <f>IF(OR($F109="",$G109=""),"",ROUND($F109/($G109/100)^2,2))</f>
        <v/>
      </c>
      <c r="K109" s="12">
        <f>IF(OR($S109="",$J109="",$T109="",$T109&lt;0,$T109&gt;228,$Y109=""),"—",ROUND(IF(ABS($AB109)&lt;=3,$AB109,IF($AB109&gt;3,3+($J109-$AD109)/($AD109-$AC109),-3+($J109-$AF109)/($AE109-$AF109))),2))</f>
        <v/>
      </c>
      <c r="L109">
        <f>IF(OR($K109="",$K109="—"),"",IF($T109&lt;=60,IF($K109&lt;-3,"Magreza acentuada",IF($K109&lt;-2,"Magreza",IF($K109&lt;=1,"Eutrofia",IF($K109&lt;=2,"Risco de sobrepeso",IF($K109&lt;=3,"Sobrepeso","Obesidade"))))),IF($K109&lt;-3,"Magreza acentuada",IF($K109&lt;-2,"Magreza",IF($K109&lt;=1,"Eutrofia",IF($K109&lt;=2,"Sobrepeso",IF($K109&lt;=3,"Obesidade","Obesidade grave")))))))</f>
        <v/>
      </c>
      <c r="M109" s="12">
        <f>IF(OR($S109="",$V109="",$T109="",$T109&lt;0,$T109&gt;228,$AG109=""),"—",ROUND(IF($AG109=0,LN($V109/$AH109)/$AI109,((($V109/$AH109)^$AG109)-1)/($AG109*$AI109)),2))</f>
        <v/>
      </c>
      <c r="N109">
        <f>IF(OR($M109="",$M109="—"),"",IF($M109&lt;-3,"Muito baixa",IF($M109&lt;-2,"Baixa","Adequada")))</f>
        <v/>
      </c>
      <c r="O109" s="12">
        <f>IF(OR($S109="",$F109="",$T109="",$T109&lt;0,$T109&gt;120,$AJ109=""),"—",ROUND(IF(ABS($AM109)&lt;=3,$AM109,IF($AM109&gt;3,3+($F109-$AO109)/($AO109-$AN109),-3+($F109-$AQ109)/($AP109-$AQ109))),2))</f>
        <v/>
      </c>
      <c r="P109">
        <f>IF(OR($O109="",$O109="—"),"",IF($O109&lt;-3,"Muito baixo",IF($O109&lt;-2,"Baixo",IF($O109&lt;=2,"Adequado","Elevado"))))</f>
        <v/>
      </c>
      <c r="Q109" s="12">
        <f>IF(OR($S109="",$F109="",$T109="",$T109&lt;0,$T109&gt;60,$AR109=""),"—",ROUND(IF(ABS($AU109)&lt;=3,$AU109,IF($AU109&gt;3,3+($F109-$AW109)/($AW109-$AV109),-3+($F109-$AY109)/($AX109-$AY109))),2))</f>
        <v/>
      </c>
      <c r="R109">
        <f>IF(OR($Q109="",$Q109="—"),"",IF($Q109&lt;-3,"Magreza acentuada",IF($Q109&lt;-2,"Magreza",IF($Q109&lt;=1,"Eutrofia",IF($Q109&lt;=2,"Risco de sobrepeso",IF($Q109&lt;=3,"Sobrepeso","Obesidade"))))))</f>
        <v/>
      </c>
      <c r="S109">
        <f>IF($C109="","",IF(UPPER(LEFT($C109,1))="M",1,IF(UPPER(LEFT($C109,1))="F",2,"")))</f>
        <v/>
      </c>
      <c r="T109">
        <f>IF(OR($D109="",$E109=""),"",DATEDIF($D109,$E109,"m"))</f>
        <v/>
      </c>
      <c r="U109">
        <f>IF(OR($D109="",$E109=""),"",$E109-$D109)</f>
        <v/>
      </c>
      <c r="V109">
        <f>IF(OR($G109="",$T109=""),"",IF($T109&lt;24,IF(LEFT(LOWER($H109),4)="em p",$G109+0.7,$G109),IF(LEFT(LOWER($H109),4)="deit",$G109-0.7,$G109)))</f>
        <v/>
      </c>
      <c r="W109">
        <f>IF(OR($S109="",$T109=""),"",$S109*1000000+IF($T109&lt;=60,$U109,$T109))</f>
        <v/>
      </c>
      <c r="X109">
        <f>IF(OR($S109="",$V109="",$T109&gt;60,$T109=""),"",$S109*1000000+ROUND($V109*10,0))</f>
        <v/>
      </c>
      <c r="Y109">
        <f>IF($W109="","",IFERROR(INDEX(IF($T109&lt;=60,imc05_l,imc519_l),MATCH($W109,IF($T109&lt;=60,imc05_k,imc519_k),1)),""))</f>
        <v/>
      </c>
      <c r="Z109">
        <f>IF($W109="","",IFERROR(INDEX(IF($T109&lt;=60,imc05_m,imc519_m),MATCH($W109,IF($T109&lt;=60,imc05_k,imc519_k),1)),""))</f>
        <v/>
      </c>
      <c r="AA109">
        <f>IF($W109="","",IFERROR(INDEX(IF($T109&lt;=60,imc05_s,imc519_s),MATCH($W109,IF($T109&lt;=60,imc05_k,imc519_k),1)),""))</f>
        <v/>
      </c>
      <c r="AB109">
        <f>IF($Y109="","",IF($Y109=0,LN($J109/$Z109)/$AA109,((($J109/$Z109)^$Y109)-1)/($Y109*$AA109)))</f>
        <v/>
      </c>
      <c r="AC109">
        <f>IF($Y109="","",IF($Y109=0,$Z109*EXP($AA109*2),$Z109*(1+$Y109*$AA109*2)^(1/$Y109)))</f>
        <v/>
      </c>
      <c r="AD109">
        <f>IF($Y109="","",IF($Y109=0,$Z109*EXP($AA109*3),$Z109*(1+$Y109*$AA109*3)^(1/$Y109)))</f>
        <v/>
      </c>
      <c r="AE109">
        <f>IF($Y109="","",IF($Y109=0,$Z109*EXP($AA109*-2),$Z109*(1+$Y109*$AA109*-2)^(1/$Y109)))</f>
        <v/>
      </c>
      <c r="AF109">
        <f>IF($Y109="","",IF($Y109=0,$Z109*EXP($AA109*-3),$Z109*(1+$Y109*$AA109*-3)^(1/$Y109)))</f>
        <v/>
      </c>
      <c r="AG109">
        <f>IF($W109="","",IFERROR(INDEX(IF($T109&lt;=60,est05_l,est519_l),MATCH($W109,IF($T109&lt;=60,est05_k,est519_k),1)),""))</f>
        <v/>
      </c>
      <c r="AH109">
        <f>IF($W109="","",IFERROR(INDEX(IF($T109&lt;=60,est05_m,est519_m),MATCH($W109,IF($T109&lt;=60,est05_k,est519_k),1)),""))</f>
        <v/>
      </c>
      <c r="AI109">
        <f>IF($W109="","",IFERROR(INDEX(IF($T109&lt;=60,est05_s,est519_s),MATCH($W109,IF($T109&lt;=60,est05_k,est519_k),1)),""))</f>
        <v/>
      </c>
      <c r="AJ109">
        <f>IF($W109="","",IFERROR(INDEX(IF($T109&lt;=60,peso05_l,peso510_l),MATCH($W109,IF($T109&lt;=60,peso05_k,peso510_k),1)),""))</f>
        <v/>
      </c>
      <c r="AK109">
        <f>IF($W109="","",IFERROR(INDEX(IF($T109&lt;=60,peso05_m,peso510_m),MATCH($W109,IF($T109&lt;=60,peso05_k,peso510_k),1)),""))</f>
        <v/>
      </c>
      <c r="AL109">
        <f>IF($W109="","",IFERROR(INDEX(IF($T109&lt;=60,peso05_s,peso510_s),MATCH($W109,IF($T109&lt;=60,peso05_k,peso510_k),1)),""))</f>
        <v/>
      </c>
      <c r="AM109">
        <f>IF($AJ109="","",IF($AJ109=0,LN($F109/$AK109)/$AL109,((($F109/$AK109)^$AJ109)-1)/($AJ109*$AL109)))</f>
        <v/>
      </c>
      <c r="AN109">
        <f>IF($AJ109="","",IF($AJ109=0,$AK109*EXP($AL109*2),$AK109*(1+$AJ109*$AL109*2)^(1/$AJ109)))</f>
        <v/>
      </c>
      <c r="AO109">
        <f>IF($AJ109="","",IF($AJ109=0,$AK109*EXP($AL109*3),$AK109*(1+$AJ109*$AL109*3)^(1/$AJ109)))</f>
        <v/>
      </c>
      <c r="AP109">
        <f>IF($AJ109="","",IF($AJ109=0,$AK109*EXP($AL109*-2),$AK109*(1+$AJ109*$AL109*-2)^(1/$AJ109)))</f>
        <v/>
      </c>
      <c r="AQ109">
        <f>IF($AJ109="","",IF($AJ109=0,$AK109*EXP($AL109*-3),$AK109*(1+$AJ109*$AL109*-3)^(1/$AJ109)))</f>
        <v/>
      </c>
      <c r="AR109">
        <f>IF(OR($X109="",$T109&gt;60),"",IFERROR(INDEX(IF($T109&lt;24,pcomp_l,palt_l),MATCH($X109,IF($T109&lt;24,pcomp_k,palt_k),1)),""))</f>
        <v/>
      </c>
      <c r="AS109">
        <f>IF(OR($X109="",$T109&gt;60),"",IFERROR(INDEX(IF($T109&lt;24,pcomp_m,palt_m),MATCH($X109,IF($T109&lt;24,pcomp_k,palt_k),1)),""))</f>
        <v/>
      </c>
      <c r="AT109">
        <f>IF(OR($X109="",$T109&gt;60),"",IFERROR(INDEX(IF($T109&lt;24,pcomp_s,palt_s),MATCH($X109,IF($T109&lt;24,pcomp_k,palt_k),1)),""))</f>
        <v/>
      </c>
      <c r="AU109">
        <f>IF($AR109="","",IF($AR109=0,LN($F109/$AS109)/$AT109,((($F109/$AS109)^$AR109)-1)/($AR109*$AT109)))</f>
        <v/>
      </c>
      <c r="AV109">
        <f>IF($AR109="","",IF($AR109=0,$AS109*EXP($AT109*2),$AS109*(1+$AR109*$AT109*2)^(1/$AR109)))</f>
        <v/>
      </c>
      <c r="AW109">
        <f>IF($AR109="","",IF($AR109=0,$AS109*EXP($AT109*3),$AS109*(1+$AR109*$AT109*3)^(1/$AR109)))</f>
        <v/>
      </c>
      <c r="AX109">
        <f>IF($AR109="","",IF($AR109=0,$AS109*EXP($AT109*-2),$AS109*(1+$AR109*$AT109*-2)^(1/$AR109)))</f>
        <v/>
      </c>
      <c r="AY109">
        <f>IF($AR109="","",IF($AR109=0,$AS109*EXP($AT109*-3),$AS109*(1+$AR109*$AT109*-3)^(1/$AR109)))</f>
        <v/>
      </c>
      <c r="AZ109">
        <f>IF(OR($A109="",$A109&lt;&gt;Ficha!$C$4),"",COUNTIF($A$2:$A109,Ficha!$C$4))</f>
        <v/>
      </c>
    </row>
    <row r="110">
      <c r="A110" s="8">
        <f>IF(INDEX(Banco!$A:$A,ROW())="","",INDEX(Banco!$A:$A,ROW()))</f>
        <v/>
      </c>
      <c r="B110" s="8">
        <f>IF(INDEX(Banco!$B:$B,ROW())="","",INDEX(Banco!$B:$B,ROW()))</f>
        <v/>
      </c>
      <c r="C110" s="8">
        <f>IF(INDEX(Banco!$C:$C,ROW())="","",INDEX(Banco!$C:$C,ROW()))</f>
        <v/>
      </c>
      <c r="D110" s="9">
        <f>IF(INDEX(Banco!$D:$D,ROW())="","",INDEX(Banco!$D:$D,ROW()))</f>
        <v/>
      </c>
      <c r="E110" s="9">
        <f>IF(INDEX(Banco!$E:$E,ROW())="","",INDEX(Banco!$E:$E,ROW()))</f>
        <v/>
      </c>
      <c r="F110" s="10">
        <f>IF(INDEX(Banco!$F:$F,ROW())="","",INDEX(Banco!$F:$F,ROW()))</f>
        <v/>
      </c>
      <c r="G110" s="10">
        <f>IF(INDEX(Banco!$G:$G,ROW())="","",INDEX(Banco!$G:$G,ROW()))</f>
        <v/>
      </c>
      <c r="H110" s="8">
        <f>IF(INDEX(Banco!$H:$H,ROW())="","",INDEX(Banco!$H:$H,ROW()))</f>
        <v/>
      </c>
      <c r="I110">
        <f>IF($T110="","",INT($T110/12)&amp;"a "&amp;MOD($T110,12)&amp;"m")</f>
        <v/>
      </c>
      <c r="J110" s="11">
        <f>IF(OR($F110="",$G110=""),"",ROUND($F110/($G110/100)^2,2))</f>
        <v/>
      </c>
      <c r="K110" s="12">
        <f>IF(OR($S110="",$J110="",$T110="",$T110&lt;0,$T110&gt;228,$Y110=""),"—",ROUND(IF(ABS($AB110)&lt;=3,$AB110,IF($AB110&gt;3,3+($J110-$AD110)/($AD110-$AC110),-3+($J110-$AF110)/($AE110-$AF110))),2))</f>
        <v/>
      </c>
      <c r="L110">
        <f>IF(OR($K110="",$K110="—"),"",IF($T110&lt;=60,IF($K110&lt;-3,"Magreza acentuada",IF($K110&lt;-2,"Magreza",IF($K110&lt;=1,"Eutrofia",IF($K110&lt;=2,"Risco de sobrepeso",IF($K110&lt;=3,"Sobrepeso","Obesidade"))))),IF($K110&lt;-3,"Magreza acentuada",IF($K110&lt;-2,"Magreza",IF($K110&lt;=1,"Eutrofia",IF($K110&lt;=2,"Sobrepeso",IF($K110&lt;=3,"Obesidade","Obesidade grave")))))))</f>
        <v/>
      </c>
      <c r="M110" s="12">
        <f>IF(OR($S110="",$V110="",$T110="",$T110&lt;0,$T110&gt;228,$AG110=""),"—",ROUND(IF($AG110=0,LN($V110/$AH110)/$AI110,((($V110/$AH110)^$AG110)-1)/($AG110*$AI110)),2))</f>
        <v/>
      </c>
      <c r="N110">
        <f>IF(OR($M110="",$M110="—"),"",IF($M110&lt;-3,"Muito baixa",IF($M110&lt;-2,"Baixa","Adequada")))</f>
        <v/>
      </c>
      <c r="O110" s="12">
        <f>IF(OR($S110="",$F110="",$T110="",$T110&lt;0,$T110&gt;120,$AJ110=""),"—",ROUND(IF(ABS($AM110)&lt;=3,$AM110,IF($AM110&gt;3,3+($F110-$AO110)/($AO110-$AN110),-3+($F110-$AQ110)/($AP110-$AQ110))),2))</f>
        <v/>
      </c>
      <c r="P110">
        <f>IF(OR($O110="",$O110="—"),"",IF($O110&lt;-3,"Muito baixo",IF($O110&lt;-2,"Baixo",IF($O110&lt;=2,"Adequado","Elevado"))))</f>
        <v/>
      </c>
      <c r="Q110" s="12">
        <f>IF(OR($S110="",$F110="",$T110="",$T110&lt;0,$T110&gt;60,$AR110=""),"—",ROUND(IF(ABS($AU110)&lt;=3,$AU110,IF($AU110&gt;3,3+($F110-$AW110)/($AW110-$AV110),-3+($F110-$AY110)/($AX110-$AY110))),2))</f>
        <v/>
      </c>
      <c r="R110">
        <f>IF(OR($Q110="",$Q110="—"),"",IF($Q110&lt;-3,"Magreza acentuada",IF($Q110&lt;-2,"Magreza",IF($Q110&lt;=1,"Eutrofia",IF($Q110&lt;=2,"Risco de sobrepeso",IF($Q110&lt;=3,"Sobrepeso","Obesidade"))))))</f>
        <v/>
      </c>
      <c r="S110">
        <f>IF($C110="","",IF(UPPER(LEFT($C110,1))="M",1,IF(UPPER(LEFT($C110,1))="F",2,"")))</f>
        <v/>
      </c>
      <c r="T110">
        <f>IF(OR($D110="",$E110=""),"",DATEDIF($D110,$E110,"m"))</f>
        <v/>
      </c>
      <c r="U110">
        <f>IF(OR($D110="",$E110=""),"",$E110-$D110)</f>
        <v/>
      </c>
      <c r="V110">
        <f>IF(OR($G110="",$T110=""),"",IF($T110&lt;24,IF(LEFT(LOWER($H110),4)="em p",$G110+0.7,$G110),IF(LEFT(LOWER($H110),4)="deit",$G110-0.7,$G110)))</f>
        <v/>
      </c>
      <c r="W110">
        <f>IF(OR($S110="",$T110=""),"",$S110*1000000+IF($T110&lt;=60,$U110,$T110))</f>
        <v/>
      </c>
      <c r="X110">
        <f>IF(OR($S110="",$V110="",$T110&gt;60,$T110=""),"",$S110*1000000+ROUND($V110*10,0))</f>
        <v/>
      </c>
      <c r="Y110">
        <f>IF($W110="","",IFERROR(INDEX(IF($T110&lt;=60,imc05_l,imc519_l),MATCH($W110,IF($T110&lt;=60,imc05_k,imc519_k),1)),""))</f>
        <v/>
      </c>
      <c r="Z110">
        <f>IF($W110="","",IFERROR(INDEX(IF($T110&lt;=60,imc05_m,imc519_m),MATCH($W110,IF($T110&lt;=60,imc05_k,imc519_k),1)),""))</f>
        <v/>
      </c>
      <c r="AA110">
        <f>IF($W110="","",IFERROR(INDEX(IF($T110&lt;=60,imc05_s,imc519_s),MATCH($W110,IF($T110&lt;=60,imc05_k,imc519_k),1)),""))</f>
        <v/>
      </c>
      <c r="AB110">
        <f>IF($Y110="","",IF($Y110=0,LN($J110/$Z110)/$AA110,((($J110/$Z110)^$Y110)-1)/($Y110*$AA110)))</f>
        <v/>
      </c>
      <c r="AC110">
        <f>IF($Y110="","",IF($Y110=0,$Z110*EXP($AA110*2),$Z110*(1+$Y110*$AA110*2)^(1/$Y110)))</f>
        <v/>
      </c>
      <c r="AD110">
        <f>IF($Y110="","",IF($Y110=0,$Z110*EXP($AA110*3),$Z110*(1+$Y110*$AA110*3)^(1/$Y110)))</f>
        <v/>
      </c>
      <c r="AE110">
        <f>IF($Y110="","",IF($Y110=0,$Z110*EXP($AA110*-2),$Z110*(1+$Y110*$AA110*-2)^(1/$Y110)))</f>
        <v/>
      </c>
      <c r="AF110">
        <f>IF($Y110="","",IF($Y110=0,$Z110*EXP($AA110*-3),$Z110*(1+$Y110*$AA110*-3)^(1/$Y110)))</f>
        <v/>
      </c>
      <c r="AG110">
        <f>IF($W110="","",IFERROR(INDEX(IF($T110&lt;=60,est05_l,est519_l),MATCH($W110,IF($T110&lt;=60,est05_k,est519_k),1)),""))</f>
        <v/>
      </c>
      <c r="AH110">
        <f>IF($W110="","",IFERROR(INDEX(IF($T110&lt;=60,est05_m,est519_m),MATCH($W110,IF($T110&lt;=60,est05_k,est519_k),1)),""))</f>
        <v/>
      </c>
      <c r="AI110">
        <f>IF($W110="","",IFERROR(INDEX(IF($T110&lt;=60,est05_s,est519_s),MATCH($W110,IF($T110&lt;=60,est05_k,est519_k),1)),""))</f>
        <v/>
      </c>
      <c r="AJ110">
        <f>IF($W110="","",IFERROR(INDEX(IF($T110&lt;=60,peso05_l,peso510_l),MATCH($W110,IF($T110&lt;=60,peso05_k,peso510_k),1)),""))</f>
        <v/>
      </c>
      <c r="AK110">
        <f>IF($W110="","",IFERROR(INDEX(IF($T110&lt;=60,peso05_m,peso510_m),MATCH($W110,IF($T110&lt;=60,peso05_k,peso510_k),1)),""))</f>
        <v/>
      </c>
      <c r="AL110">
        <f>IF($W110="","",IFERROR(INDEX(IF($T110&lt;=60,peso05_s,peso510_s),MATCH($W110,IF($T110&lt;=60,peso05_k,peso510_k),1)),""))</f>
        <v/>
      </c>
      <c r="AM110">
        <f>IF($AJ110="","",IF($AJ110=0,LN($F110/$AK110)/$AL110,((($F110/$AK110)^$AJ110)-1)/($AJ110*$AL110)))</f>
        <v/>
      </c>
      <c r="AN110">
        <f>IF($AJ110="","",IF($AJ110=0,$AK110*EXP($AL110*2),$AK110*(1+$AJ110*$AL110*2)^(1/$AJ110)))</f>
        <v/>
      </c>
      <c r="AO110">
        <f>IF($AJ110="","",IF($AJ110=0,$AK110*EXP($AL110*3),$AK110*(1+$AJ110*$AL110*3)^(1/$AJ110)))</f>
        <v/>
      </c>
      <c r="AP110">
        <f>IF($AJ110="","",IF($AJ110=0,$AK110*EXP($AL110*-2),$AK110*(1+$AJ110*$AL110*-2)^(1/$AJ110)))</f>
        <v/>
      </c>
      <c r="AQ110">
        <f>IF($AJ110="","",IF($AJ110=0,$AK110*EXP($AL110*-3),$AK110*(1+$AJ110*$AL110*-3)^(1/$AJ110)))</f>
        <v/>
      </c>
      <c r="AR110">
        <f>IF(OR($X110="",$T110&gt;60),"",IFERROR(INDEX(IF($T110&lt;24,pcomp_l,palt_l),MATCH($X110,IF($T110&lt;24,pcomp_k,palt_k),1)),""))</f>
        <v/>
      </c>
      <c r="AS110">
        <f>IF(OR($X110="",$T110&gt;60),"",IFERROR(INDEX(IF($T110&lt;24,pcomp_m,palt_m),MATCH($X110,IF($T110&lt;24,pcomp_k,palt_k),1)),""))</f>
        <v/>
      </c>
      <c r="AT110">
        <f>IF(OR($X110="",$T110&gt;60),"",IFERROR(INDEX(IF($T110&lt;24,pcomp_s,palt_s),MATCH($X110,IF($T110&lt;24,pcomp_k,palt_k),1)),""))</f>
        <v/>
      </c>
      <c r="AU110">
        <f>IF($AR110="","",IF($AR110=0,LN($F110/$AS110)/$AT110,((($F110/$AS110)^$AR110)-1)/($AR110*$AT110)))</f>
        <v/>
      </c>
      <c r="AV110">
        <f>IF($AR110="","",IF($AR110=0,$AS110*EXP($AT110*2),$AS110*(1+$AR110*$AT110*2)^(1/$AR110)))</f>
        <v/>
      </c>
      <c r="AW110">
        <f>IF($AR110="","",IF($AR110=0,$AS110*EXP($AT110*3),$AS110*(1+$AR110*$AT110*3)^(1/$AR110)))</f>
        <v/>
      </c>
      <c r="AX110">
        <f>IF($AR110="","",IF($AR110=0,$AS110*EXP($AT110*-2),$AS110*(1+$AR110*$AT110*-2)^(1/$AR110)))</f>
        <v/>
      </c>
      <c r="AY110">
        <f>IF($AR110="","",IF($AR110=0,$AS110*EXP($AT110*-3),$AS110*(1+$AR110*$AT110*-3)^(1/$AR110)))</f>
        <v/>
      </c>
      <c r="AZ110">
        <f>IF(OR($A110="",$A110&lt;&gt;Ficha!$C$4),"",COUNTIF($A$2:$A110,Ficha!$C$4))</f>
        <v/>
      </c>
    </row>
    <row r="111">
      <c r="A111" s="8">
        <f>IF(INDEX(Banco!$A:$A,ROW())="","",INDEX(Banco!$A:$A,ROW()))</f>
        <v/>
      </c>
      <c r="B111" s="8">
        <f>IF(INDEX(Banco!$B:$B,ROW())="","",INDEX(Banco!$B:$B,ROW()))</f>
        <v/>
      </c>
      <c r="C111" s="8">
        <f>IF(INDEX(Banco!$C:$C,ROW())="","",INDEX(Banco!$C:$C,ROW()))</f>
        <v/>
      </c>
      <c r="D111" s="9">
        <f>IF(INDEX(Banco!$D:$D,ROW())="","",INDEX(Banco!$D:$D,ROW()))</f>
        <v/>
      </c>
      <c r="E111" s="9">
        <f>IF(INDEX(Banco!$E:$E,ROW())="","",INDEX(Banco!$E:$E,ROW()))</f>
        <v/>
      </c>
      <c r="F111" s="10">
        <f>IF(INDEX(Banco!$F:$F,ROW())="","",INDEX(Banco!$F:$F,ROW()))</f>
        <v/>
      </c>
      <c r="G111" s="10">
        <f>IF(INDEX(Banco!$G:$G,ROW())="","",INDEX(Banco!$G:$G,ROW()))</f>
        <v/>
      </c>
      <c r="H111" s="8">
        <f>IF(INDEX(Banco!$H:$H,ROW())="","",INDEX(Banco!$H:$H,ROW()))</f>
        <v/>
      </c>
      <c r="I111">
        <f>IF($T111="","",INT($T111/12)&amp;"a "&amp;MOD($T111,12)&amp;"m")</f>
        <v/>
      </c>
      <c r="J111" s="11">
        <f>IF(OR($F111="",$G111=""),"",ROUND($F111/($G111/100)^2,2))</f>
        <v/>
      </c>
      <c r="K111" s="12">
        <f>IF(OR($S111="",$J111="",$T111="",$T111&lt;0,$T111&gt;228,$Y111=""),"—",ROUND(IF(ABS($AB111)&lt;=3,$AB111,IF($AB111&gt;3,3+($J111-$AD111)/($AD111-$AC111),-3+($J111-$AF111)/($AE111-$AF111))),2))</f>
        <v/>
      </c>
      <c r="L111">
        <f>IF(OR($K111="",$K111="—"),"",IF($T111&lt;=60,IF($K111&lt;-3,"Magreza acentuada",IF($K111&lt;-2,"Magreza",IF($K111&lt;=1,"Eutrofia",IF($K111&lt;=2,"Risco de sobrepeso",IF($K111&lt;=3,"Sobrepeso","Obesidade"))))),IF($K111&lt;-3,"Magreza acentuada",IF($K111&lt;-2,"Magreza",IF($K111&lt;=1,"Eutrofia",IF($K111&lt;=2,"Sobrepeso",IF($K111&lt;=3,"Obesidade","Obesidade grave")))))))</f>
        <v/>
      </c>
      <c r="M111" s="12">
        <f>IF(OR($S111="",$V111="",$T111="",$T111&lt;0,$T111&gt;228,$AG111=""),"—",ROUND(IF($AG111=0,LN($V111/$AH111)/$AI111,((($V111/$AH111)^$AG111)-1)/($AG111*$AI111)),2))</f>
        <v/>
      </c>
      <c r="N111">
        <f>IF(OR($M111="",$M111="—"),"",IF($M111&lt;-3,"Muito baixa",IF($M111&lt;-2,"Baixa","Adequada")))</f>
        <v/>
      </c>
      <c r="O111" s="12">
        <f>IF(OR($S111="",$F111="",$T111="",$T111&lt;0,$T111&gt;120,$AJ111=""),"—",ROUND(IF(ABS($AM111)&lt;=3,$AM111,IF($AM111&gt;3,3+($F111-$AO111)/($AO111-$AN111),-3+($F111-$AQ111)/($AP111-$AQ111))),2))</f>
        <v/>
      </c>
      <c r="P111">
        <f>IF(OR($O111="",$O111="—"),"",IF($O111&lt;-3,"Muito baixo",IF($O111&lt;-2,"Baixo",IF($O111&lt;=2,"Adequado","Elevado"))))</f>
        <v/>
      </c>
      <c r="Q111" s="12">
        <f>IF(OR($S111="",$F111="",$T111="",$T111&lt;0,$T111&gt;60,$AR111=""),"—",ROUND(IF(ABS($AU111)&lt;=3,$AU111,IF($AU111&gt;3,3+($F111-$AW111)/($AW111-$AV111),-3+($F111-$AY111)/($AX111-$AY111))),2))</f>
        <v/>
      </c>
      <c r="R111">
        <f>IF(OR($Q111="",$Q111="—"),"",IF($Q111&lt;-3,"Magreza acentuada",IF($Q111&lt;-2,"Magreza",IF($Q111&lt;=1,"Eutrofia",IF($Q111&lt;=2,"Risco de sobrepeso",IF($Q111&lt;=3,"Sobrepeso","Obesidade"))))))</f>
        <v/>
      </c>
      <c r="S111">
        <f>IF($C111="","",IF(UPPER(LEFT($C111,1))="M",1,IF(UPPER(LEFT($C111,1))="F",2,"")))</f>
        <v/>
      </c>
      <c r="T111">
        <f>IF(OR($D111="",$E111=""),"",DATEDIF($D111,$E111,"m"))</f>
        <v/>
      </c>
      <c r="U111">
        <f>IF(OR($D111="",$E111=""),"",$E111-$D111)</f>
        <v/>
      </c>
      <c r="V111">
        <f>IF(OR($G111="",$T111=""),"",IF($T111&lt;24,IF(LEFT(LOWER($H111),4)="em p",$G111+0.7,$G111),IF(LEFT(LOWER($H111),4)="deit",$G111-0.7,$G111)))</f>
        <v/>
      </c>
      <c r="W111">
        <f>IF(OR($S111="",$T111=""),"",$S111*1000000+IF($T111&lt;=60,$U111,$T111))</f>
        <v/>
      </c>
      <c r="X111">
        <f>IF(OR($S111="",$V111="",$T111&gt;60,$T111=""),"",$S111*1000000+ROUND($V111*10,0))</f>
        <v/>
      </c>
      <c r="Y111">
        <f>IF($W111="","",IFERROR(INDEX(IF($T111&lt;=60,imc05_l,imc519_l),MATCH($W111,IF($T111&lt;=60,imc05_k,imc519_k),1)),""))</f>
        <v/>
      </c>
      <c r="Z111">
        <f>IF($W111="","",IFERROR(INDEX(IF($T111&lt;=60,imc05_m,imc519_m),MATCH($W111,IF($T111&lt;=60,imc05_k,imc519_k),1)),""))</f>
        <v/>
      </c>
      <c r="AA111">
        <f>IF($W111="","",IFERROR(INDEX(IF($T111&lt;=60,imc05_s,imc519_s),MATCH($W111,IF($T111&lt;=60,imc05_k,imc519_k),1)),""))</f>
        <v/>
      </c>
      <c r="AB111">
        <f>IF($Y111="","",IF($Y111=0,LN($J111/$Z111)/$AA111,((($J111/$Z111)^$Y111)-1)/($Y111*$AA111)))</f>
        <v/>
      </c>
      <c r="AC111">
        <f>IF($Y111="","",IF($Y111=0,$Z111*EXP($AA111*2),$Z111*(1+$Y111*$AA111*2)^(1/$Y111)))</f>
        <v/>
      </c>
      <c r="AD111">
        <f>IF($Y111="","",IF($Y111=0,$Z111*EXP($AA111*3),$Z111*(1+$Y111*$AA111*3)^(1/$Y111)))</f>
        <v/>
      </c>
      <c r="AE111">
        <f>IF($Y111="","",IF($Y111=0,$Z111*EXP($AA111*-2),$Z111*(1+$Y111*$AA111*-2)^(1/$Y111)))</f>
        <v/>
      </c>
      <c r="AF111">
        <f>IF($Y111="","",IF($Y111=0,$Z111*EXP($AA111*-3),$Z111*(1+$Y111*$AA111*-3)^(1/$Y111)))</f>
        <v/>
      </c>
      <c r="AG111">
        <f>IF($W111="","",IFERROR(INDEX(IF($T111&lt;=60,est05_l,est519_l),MATCH($W111,IF($T111&lt;=60,est05_k,est519_k),1)),""))</f>
        <v/>
      </c>
      <c r="AH111">
        <f>IF($W111="","",IFERROR(INDEX(IF($T111&lt;=60,est05_m,est519_m),MATCH($W111,IF($T111&lt;=60,est05_k,est519_k),1)),""))</f>
        <v/>
      </c>
      <c r="AI111">
        <f>IF($W111="","",IFERROR(INDEX(IF($T111&lt;=60,est05_s,est519_s),MATCH($W111,IF($T111&lt;=60,est05_k,est519_k),1)),""))</f>
        <v/>
      </c>
      <c r="AJ111">
        <f>IF($W111="","",IFERROR(INDEX(IF($T111&lt;=60,peso05_l,peso510_l),MATCH($W111,IF($T111&lt;=60,peso05_k,peso510_k),1)),""))</f>
        <v/>
      </c>
      <c r="AK111">
        <f>IF($W111="","",IFERROR(INDEX(IF($T111&lt;=60,peso05_m,peso510_m),MATCH($W111,IF($T111&lt;=60,peso05_k,peso510_k),1)),""))</f>
        <v/>
      </c>
      <c r="AL111">
        <f>IF($W111="","",IFERROR(INDEX(IF($T111&lt;=60,peso05_s,peso510_s),MATCH($W111,IF($T111&lt;=60,peso05_k,peso510_k),1)),""))</f>
        <v/>
      </c>
      <c r="AM111">
        <f>IF($AJ111="","",IF($AJ111=0,LN($F111/$AK111)/$AL111,((($F111/$AK111)^$AJ111)-1)/($AJ111*$AL111)))</f>
        <v/>
      </c>
      <c r="AN111">
        <f>IF($AJ111="","",IF($AJ111=0,$AK111*EXP($AL111*2),$AK111*(1+$AJ111*$AL111*2)^(1/$AJ111)))</f>
        <v/>
      </c>
      <c r="AO111">
        <f>IF($AJ111="","",IF($AJ111=0,$AK111*EXP($AL111*3),$AK111*(1+$AJ111*$AL111*3)^(1/$AJ111)))</f>
        <v/>
      </c>
      <c r="AP111">
        <f>IF($AJ111="","",IF($AJ111=0,$AK111*EXP($AL111*-2),$AK111*(1+$AJ111*$AL111*-2)^(1/$AJ111)))</f>
        <v/>
      </c>
      <c r="AQ111">
        <f>IF($AJ111="","",IF($AJ111=0,$AK111*EXP($AL111*-3),$AK111*(1+$AJ111*$AL111*-3)^(1/$AJ111)))</f>
        <v/>
      </c>
      <c r="AR111">
        <f>IF(OR($X111="",$T111&gt;60),"",IFERROR(INDEX(IF($T111&lt;24,pcomp_l,palt_l),MATCH($X111,IF($T111&lt;24,pcomp_k,palt_k),1)),""))</f>
        <v/>
      </c>
      <c r="AS111">
        <f>IF(OR($X111="",$T111&gt;60),"",IFERROR(INDEX(IF($T111&lt;24,pcomp_m,palt_m),MATCH($X111,IF($T111&lt;24,pcomp_k,palt_k),1)),""))</f>
        <v/>
      </c>
      <c r="AT111">
        <f>IF(OR($X111="",$T111&gt;60),"",IFERROR(INDEX(IF($T111&lt;24,pcomp_s,palt_s),MATCH($X111,IF($T111&lt;24,pcomp_k,palt_k),1)),""))</f>
        <v/>
      </c>
      <c r="AU111">
        <f>IF($AR111="","",IF($AR111=0,LN($F111/$AS111)/$AT111,((($F111/$AS111)^$AR111)-1)/($AR111*$AT111)))</f>
        <v/>
      </c>
      <c r="AV111">
        <f>IF($AR111="","",IF($AR111=0,$AS111*EXP($AT111*2),$AS111*(1+$AR111*$AT111*2)^(1/$AR111)))</f>
        <v/>
      </c>
      <c r="AW111">
        <f>IF($AR111="","",IF($AR111=0,$AS111*EXP($AT111*3),$AS111*(1+$AR111*$AT111*3)^(1/$AR111)))</f>
        <v/>
      </c>
      <c r="AX111">
        <f>IF($AR111="","",IF($AR111=0,$AS111*EXP($AT111*-2),$AS111*(1+$AR111*$AT111*-2)^(1/$AR111)))</f>
        <v/>
      </c>
      <c r="AY111">
        <f>IF($AR111="","",IF($AR111=0,$AS111*EXP($AT111*-3),$AS111*(1+$AR111*$AT111*-3)^(1/$AR111)))</f>
        <v/>
      </c>
      <c r="AZ111">
        <f>IF(OR($A111="",$A111&lt;&gt;Ficha!$C$4),"",COUNTIF($A$2:$A111,Ficha!$C$4))</f>
        <v/>
      </c>
    </row>
    <row r="112">
      <c r="A112" s="8">
        <f>IF(INDEX(Banco!$A:$A,ROW())="","",INDEX(Banco!$A:$A,ROW()))</f>
        <v/>
      </c>
      <c r="B112" s="8">
        <f>IF(INDEX(Banco!$B:$B,ROW())="","",INDEX(Banco!$B:$B,ROW()))</f>
        <v/>
      </c>
      <c r="C112" s="8">
        <f>IF(INDEX(Banco!$C:$C,ROW())="","",INDEX(Banco!$C:$C,ROW()))</f>
        <v/>
      </c>
      <c r="D112" s="9">
        <f>IF(INDEX(Banco!$D:$D,ROW())="","",INDEX(Banco!$D:$D,ROW()))</f>
        <v/>
      </c>
      <c r="E112" s="9">
        <f>IF(INDEX(Banco!$E:$E,ROW())="","",INDEX(Banco!$E:$E,ROW()))</f>
        <v/>
      </c>
      <c r="F112" s="10">
        <f>IF(INDEX(Banco!$F:$F,ROW())="","",INDEX(Banco!$F:$F,ROW()))</f>
        <v/>
      </c>
      <c r="G112" s="10">
        <f>IF(INDEX(Banco!$G:$G,ROW())="","",INDEX(Banco!$G:$G,ROW()))</f>
        <v/>
      </c>
      <c r="H112" s="8">
        <f>IF(INDEX(Banco!$H:$H,ROW())="","",INDEX(Banco!$H:$H,ROW()))</f>
        <v/>
      </c>
      <c r="I112">
        <f>IF($T112="","",INT($T112/12)&amp;"a "&amp;MOD($T112,12)&amp;"m")</f>
        <v/>
      </c>
      <c r="J112" s="11">
        <f>IF(OR($F112="",$G112=""),"",ROUND($F112/($G112/100)^2,2))</f>
        <v/>
      </c>
      <c r="K112" s="12">
        <f>IF(OR($S112="",$J112="",$T112="",$T112&lt;0,$T112&gt;228,$Y112=""),"—",ROUND(IF(ABS($AB112)&lt;=3,$AB112,IF($AB112&gt;3,3+($J112-$AD112)/($AD112-$AC112),-3+($J112-$AF112)/($AE112-$AF112))),2))</f>
        <v/>
      </c>
      <c r="L112">
        <f>IF(OR($K112="",$K112="—"),"",IF($T112&lt;=60,IF($K112&lt;-3,"Magreza acentuada",IF($K112&lt;-2,"Magreza",IF($K112&lt;=1,"Eutrofia",IF($K112&lt;=2,"Risco de sobrepeso",IF($K112&lt;=3,"Sobrepeso","Obesidade"))))),IF($K112&lt;-3,"Magreza acentuada",IF($K112&lt;-2,"Magreza",IF($K112&lt;=1,"Eutrofia",IF($K112&lt;=2,"Sobrepeso",IF($K112&lt;=3,"Obesidade","Obesidade grave")))))))</f>
        <v/>
      </c>
      <c r="M112" s="12">
        <f>IF(OR($S112="",$V112="",$T112="",$T112&lt;0,$T112&gt;228,$AG112=""),"—",ROUND(IF($AG112=0,LN($V112/$AH112)/$AI112,((($V112/$AH112)^$AG112)-1)/($AG112*$AI112)),2))</f>
        <v/>
      </c>
      <c r="N112">
        <f>IF(OR($M112="",$M112="—"),"",IF($M112&lt;-3,"Muito baixa",IF($M112&lt;-2,"Baixa","Adequada")))</f>
        <v/>
      </c>
      <c r="O112" s="12">
        <f>IF(OR($S112="",$F112="",$T112="",$T112&lt;0,$T112&gt;120,$AJ112=""),"—",ROUND(IF(ABS($AM112)&lt;=3,$AM112,IF($AM112&gt;3,3+($F112-$AO112)/($AO112-$AN112),-3+($F112-$AQ112)/($AP112-$AQ112))),2))</f>
        <v/>
      </c>
      <c r="P112">
        <f>IF(OR($O112="",$O112="—"),"",IF($O112&lt;-3,"Muito baixo",IF($O112&lt;-2,"Baixo",IF($O112&lt;=2,"Adequado","Elevado"))))</f>
        <v/>
      </c>
      <c r="Q112" s="12">
        <f>IF(OR($S112="",$F112="",$T112="",$T112&lt;0,$T112&gt;60,$AR112=""),"—",ROUND(IF(ABS($AU112)&lt;=3,$AU112,IF($AU112&gt;3,3+($F112-$AW112)/($AW112-$AV112),-3+($F112-$AY112)/($AX112-$AY112))),2))</f>
        <v/>
      </c>
      <c r="R112">
        <f>IF(OR($Q112="",$Q112="—"),"",IF($Q112&lt;-3,"Magreza acentuada",IF($Q112&lt;-2,"Magreza",IF($Q112&lt;=1,"Eutrofia",IF($Q112&lt;=2,"Risco de sobrepeso",IF($Q112&lt;=3,"Sobrepeso","Obesidade"))))))</f>
        <v/>
      </c>
      <c r="S112">
        <f>IF($C112="","",IF(UPPER(LEFT($C112,1))="M",1,IF(UPPER(LEFT($C112,1))="F",2,"")))</f>
        <v/>
      </c>
      <c r="T112">
        <f>IF(OR($D112="",$E112=""),"",DATEDIF($D112,$E112,"m"))</f>
        <v/>
      </c>
      <c r="U112">
        <f>IF(OR($D112="",$E112=""),"",$E112-$D112)</f>
        <v/>
      </c>
      <c r="V112">
        <f>IF(OR($G112="",$T112=""),"",IF($T112&lt;24,IF(LEFT(LOWER($H112),4)="em p",$G112+0.7,$G112),IF(LEFT(LOWER($H112),4)="deit",$G112-0.7,$G112)))</f>
        <v/>
      </c>
      <c r="W112">
        <f>IF(OR($S112="",$T112=""),"",$S112*1000000+IF($T112&lt;=60,$U112,$T112))</f>
        <v/>
      </c>
      <c r="X112">
        <f>IF(OR($S112="",$V112="",$T112&gt;60,$T112=""),"",$S112*1000000+ROUND($V112*10,0))</f>
        <v/>
      </c>
      <c r="Y112">
        <f>IF($W112="","",IFERROR(INDEX(IF($T112&lt;=60,imc05_l,imc519_l),MATCH($W112,IF($T112&lt;=60,imc05_k,imc519_k),1)),""))</f>
        <v/>
      </c>
      <c r="Z112">
        <f>IF($W112="","",IFERROR(INDEX(IF($T112&lt;=60,imc05_m,imc519_m),MATCH($W112,IF($T112&lt;=60,imc05_k,imc519_k),1)),""))</f>
        <v/>
      </c>
      <c r="AA112">
        <f>IF($W112="","",IFERROR(INDEX(IF($T112&lt;=60,imc05_s,imc519_s),MATCH($W112,IF($T112&lt;=60,imc05_k,imc519_k),1)),""))</f>
        <v/>
      </c>
      <c r="AB112">
        <f>IF($Y112="","",IF($Y112=0,LN($J112/$Z112)/$AA112,((($J112/$Z112)^$Y112)-1)/($Y112*$AA112)))</f>
        <v/>
      </c>
      <c r="AC112">
        <f>IF($Y112="","",IF($Y112=0,$Z112*EXP($AA112*2),$Z112*(1+$Y112*$AA112*2)^(1/$Y112)))</f>
        <v/>
      </c>
      <c r="AD112">
        <f>IF($Y112="","",IF($Y112=0,$Z112*EXP($AA112*3),$Z112*(1+$Y112*$AA112*3)^(1/$Y112)))</f>
        <v/>
      </c>
      <c r="AE112">
        <f>IF($Y112="","",IF($Y112=0,$Z112*EXP($AA112*-2),$Z112*(1+$Y112*$AA112*-2)^(1/$Y112)))</f>
        <v/>
      </c>
      <c r="AF112">
        <f>IF($Y112="","",IF($Y112=0,$Z112*EXP($AA112*-3),$Z112*(1+$Y112*$AA112*-3)^(1/$Y112)))</f>
        <v/>
      </c>
      <c r="AG112">
        <f>IF($W112="","",IFERROR(INDEX(IF($T112&lt;=60,est05_l,est519_l),MATCH($W112,IF($T112&lt;=60,est05_k,est519_k),1)),""))</f>
        <v/>
      </c>
      <c r="AH112">
        <f>IF($W112="","",IFERROR(INDEX(IF($T112&lt;=60,est05_m,est519_m),MATCH($W112,IF($T112&lt;=60,est05_k,est519_k),1)),""))</f>
        <v/>
      </c>
      <c r="AI112">
        <f>IF($W112="","",IFERROR(INDEX(IF($T112&lt;=60,est05_s,est519_s),MATCH($W112,IF($T112&lt;=60,est05_k,est519_k),1)),""))</f>
        <v/>
      </c>
      <c r="AJ112">
        <f>IF($W112="","",IFERROR(INDEX(IF($T112&lt;=60,peso05_l,peso510_l),MATCH($W112,IF($T112&lt;=60,peso05_k,peso510_k),1)),""))</f>
        <v/>
      </c>
      <c r="AK112">
        <f>IF($W112="","",IFERROR(INDEX(IF($T112&lt;=60,peso05_m,peso510_m),MATCH($W112,IF($T112&lt;=60,peso05_k,peso510_k),1)),""))</f>
        <v/>
      </c>
      <c r="AL112">
        <f>IF($W112="","",IFERROR(INDEX(IF($T112&lt;=60,peso05_s,peso510_s),MATCH($W112,IF($T112&lt;=60,peso05_k,peso510_k),1)),""))</f>
        <v/>
      </c>
      <c r="AM112">
        <f>IF($AJ112="","",IF($AJ112=0,LN($F112/$AK112)/$AL112,((($F112/$AK112)^$AJ112)-1)/($AJ112*$AL112)))</f>
        <v/>
      </c>
      <c r="AN112">
        <f>IF($AJ112="","",IF($AJ112=0,$AK112*EXP($AL112*2),$AK112*(1+$AJ112*$AL112*2)^(1/$AJ112)))</f>
        <v/>
      </c>
      <c r="AO112">
        <f>IF($AJ112="","",IF($AJ112=0,$AK112*EXP($AL112*3),$AK112*(1+$AJ112*$AL112*3)^(1/$AJ112)))</f>
        <v/>
      </c>
      <c r="AP112">
        <f>IF($AJ112="","",IF($AJ112=0,$AK112*EXP($AL112*-2),$AK112*(1+$AJ112*$AL112*-2)^(1/$AJ112)))</f>
        <v/>
      </c>
      <c r="AQ112">
        <f>IF($AJ112="","",IF($AJ112=0,$AK112*EXP($AL112*-3),$AK112*(1+$AJ112*$AL112*-3)^(1/$AJ112)))</f>
        <v/>
      </c>
      <c r="AR112">
        <f>IF(OR($X112="",$T112&gt;60),"",IFERROR(INDEX(IF($T112&lt;24,pcomp_l,palt_l),MATCH($X112,IF($T112&lt;24,pcomp_k,palt_k),1)),""))</f>
        <v/>
      </c>
      <c r="AS112">
        <f>IF(OR($X112="",$T112&gt;60),"",IFERROR(INDEX(IF($T112&lt;24,pcomp_m,palt_m),MATCH($X112,IF($T112&lt;24,pcomp_k,palt_k),1)),""))</f>
        <v/>
      </c>
      <c r="AT112">
        <f>IF(OR($X112="",$T112&gt;60),"",IFERROR(INDEX(IF($T112&lt;24,pcomp_s,palt_s),MATCH($X112,IF($T112&lt;24,pcomp_k,palt_k),1)),""))</f>
        <v/>
      </c>
      <c r="AU112">
        <f>IF($AR112="","",IF($AR112=0,LN($F112/$AS112)/$AT112,((($F112/$AS112)^$AR112)-1)/($AR112*$AT112)))</f>
        <v/>
      </c>
      <c r="AV112">
        <f>IF($AR112="","",IF($AR112=0,$AS112*EXP($AT112*2),$AS112*(1+$AR112*$AT112*2)^(1/$AR112)))</f>
        <v/>
      </c>
      <c r="AW112">
        <f>IF($AR112="","",IF($AR112=0,$AS112*EXP($AT112*3),$AS112*(1+$AR112*$AT112*3)^(1/$AR112)))</f>
        <v/>
      </c>
      <c r="AX112">
        <f>IF($AR112="","",IF($AR112=0,$AS112*EXP($AT112*-2),$AS112*(1+$AR112*$AT112*-2)^(1/$AR112)))</f>
        <v/>
      </c>
      <c r="AY112">
        <f>IF($AR112="","",IF($AR112=0,$AS112*EXP($AT112*-3),$AS112*(1+$AR112*$AT112*-3)^(1/$AR112)))</f>
        <v/>
      </c>
      <c r="AZ112">
        <f>IF(OR($A112="",$A112&lt;&gt;Ficha!$C$4),"",COUNTIF($A$2:$A112,Ficha!$C$4))</f>
        <v/>
      </c>
    </row>
    <row r="113">
      <c r="A113" s="8">
        <f>IF(INDEX(Banco!$A:$A,ROW())="","",INDEX(Banco!$A:$A,ROW()))</f>
        <v/>
      </c>
      <c r="B113" s="8">
        <f>IF(INDEX(Banco!$B:$B,ROW())="","",INDEX(Banco!$B:$B,ROW()))</f>
        <v/>
      </c>
      <c r="C113" s="8">
        <f>IF(INDEX(Banco!$C:$C,ROW())="","",INDEX(Banco!$C:$C,ROW()))</f>
        <v/>
      </c>
      <c r="D113" s="9">
        <f>IF(INDEX(Banco!$D:$D,ROW())="","",INDEX(Banco!$D:$D,ROW()))</f>
        <v/>
      </c>
      <c r="E113" s="9">
        <f>IF(INDEX(Banco!$E:$E,ROW())="","",INDEX(Banco!$E:$E,ROW()))</f>
        <v/>
      </c>
      <c r="F113" s="10">
        <f>IF(INDEX(Banco!$F:$F,ROW())="","",INDEX(Banco!$F:$F,ROW()))</f>
        <v/>
      </c>
      <c r="G113" s="10">
        <f>IF(INDEX(Banco!$G:$G,ROW())="","",INDEX(Banco!$G:$G,ROW()))</f>
        <v/>
      </c>
      <c r="H113" s="8">
        <f>IF(INDEX(Banco!$H:$H,ROW())="","",INDEX(Banco!$H:$H,ROW()))</f>
        <v/>
      </c>
      <c r="I113">
        <f>IF($T113="","",INT($T113/12)&amp;"a "&amp;MOD($T113,12)&amp;"m")</f>
        <v/>
      </c>
      <c r="J113" s="11">
        <f>IF(OR($F113="",$G113=""),"",ROUND($F113/($G113/100)^2,2))</f>
        <v/>
      </c>
      <c r="K113" s="12">
        <f>IF(OR($S113="",$J113="",$T113="",$T113&lt;0,$T113&gt;228,$Y113=""),"—",ROUND(IF(ABS($AB113)&lt;=3,$AB113,IF($AB113&gt;3,3+($J113-$AD113)/($AD113-$AC113),-3+($J113-$AF113)/($AE113-$AF113))),2))</f>
        <v/>
      </c>
      <c r="L113">
        <f>IF(OR($K113="",$K113="—"),"",IF($T113&lt;=60,IF($K113&lt;-3,"Magreza acentuada",IF($K113&lt;-2,"Magreza",IF($K113&lt;=1,"Eutrofia",IF($K113&lt;=2,"Risco de sobrepeso",IF($K113&lt;=3,"Sobrepeso","Obesidade"))))),IF($K113&lt;-3,"Magreza acentuada",IF($K113&lt;-2,"Magreza",IF($K113&lt;=1,"Eutrofia",IF($K113&lt;=2,"Sobrepeso",IF($K113&lt;=3,"Obesidade","Obesidade grave")))))))</f>
        <v/>
      </c>
      <c r="M113" s="12">
        <f>IF(OR($S113="",$V113="",$T113="",$T113&lt;0,$T113&gt;228,$AG113=""),"—",ROUND(IF($AG113=0,LN($V113/$AH113)/$AI113,((($V113/$AH113)^$AG113)-1)/($AG113*$AI113)),2))</f>
        <v/>
      </c>
      <c r="N113">
        <f>IF(OR($M113="",$M113="—"),"",IF($M113&lt;-3,"Muito baixa",IF($M113&lt;-2,"Baixa","Adequada")))</f>
        <v/>
      </c>
      <c r="O113" s="12">
        <f>IF(OR($S113="",$F113="",$T113="",$T113&lt;0,$T113&gt;120,$AJ113=""),"—",ROUND(IF(ABS($AM113)&lt;=3,$AM113,IF($AM113&gt;3,3+($F113-$AO113)/($AO113-$AN113),-3+($F113-$AQ113)/($AP113-$AQ113))),2))</f>
        <v/>
      </c>
      <c r="P113">
        <f>IF(OR($O113="",$O113="—"),"",IF($O113&lt;-3,"Muito baixo",IF($O113&lt;-2,"Baixo",IF($O113&lt;=2,"Adequado","Elevado"))))</f>
        <v/>
      </c>
      <c r="Q113" s="12">
        <f>IF(OR($S113="",$F113="",$T113="",$T113&lt;0,$T113&gt;60,$AR113=""),"—",ROUND(IF(ABS($AU113)&lt;=3,$AU113,IF($AU113&gt;3,3+($F113-$AW113)/($AW113-$AV113),-3+($F113-$AY113)/($AX113-$AY113))),2))</f>
        <v/>
      </c>
      <c r="R113">
        <f>IF(OR($Q113="",$Q113="—"),"",IF($Q113&lt;-3,"Magreza acentuada",IF($Q113&lt;-2,"Magreza",IF($Q113&lt;=1,"Eutrofia",IF($Q113&lt;=2,"Risco de sobrepeso",IF($Q113&lt;=3,"Sobrepeso","Obesidade"))))))</f>
        <v/>
      </c>
      <c r="S113">
        <f>IF($C113="","",IF(UPPER(LEFT($C113,1))="M",1,IF(UPPER(LEFT($C113,1))="F",2,"")))</f>
        <v/>
      </c>
      <c r="T113">
        <f>IF(OR($D113="",$E113=""),"",DATEDIF($D113,$E113,"m"))</f>
        <v/>
      </c>
      <c r="U113">
        <f>IF(OR($D113="",$E113=""),"",$E113-$D113)</f>
        <v/>
      </c>
      <c r="V113">
        <f>IF(OR($G113="",$T113=""),"",IF($T113&lt;24,IF(LEFT(LOWER($H113),4)="em p",$G113+0.7,$G113),IF(LEFT(LOWER($H113),4)="deit",$G113-0.7,$G113)))</f>
        <v/>
      </c>
      <c r="W113">
        <f>IF(OR($S113="",$T113=""),"",$S113*1000000+IF($T113&lt;=60,$U113,$T113))</f>
        <v/>
      </c>
      <c r="X113">
        <f>IF(OR($S113="",$V113="",$T113&gt;60,$T113=""),"",$S113*1000000+ROUND($V113*10,0))</f>
        <v/>
      </c>
      <c r="Y113">
        <f>IF($W113="","",IFERROR(INDEX(IF($T113&lt;=60,imc05_l,imc519_l),MATCH($W113,IF($T113&lt;=60,imc05_k,imc519_k),1)),""))</f>
        <v/>
      </c>
      <c r="Z113">
        <f>IF($W113="","",IFERROR(INDEX(IF($T113&lt;=60,imc05_m,imc519_m),MATCH($W113,IF($T113&lt;=60,imc05_k,imc519_k),1)),""))</f>
        <v/>
      </c>
      <c r="AA113">
        <f>IF($W113="","",IFERROR(INDEX(IF($T113&lt;=60,imc05_s,imc519_s),MATCH($W113,IF($T113&lt;=60,imc05_k,imc519_k),1)),""))</f>
        <v/>
      </c>
      <c r="AB113">
        <f>IF($Y113="","",IF($Y113=0,LN($J113/$Z113)/$AA113,((($J113/$Z113)^$Y113)-1)/($Y113*$AA113)))</f>
        <v/>
      </c>
      <c r="AC113">
        <f>IF($Y113="","",IF($Y113=0,$Z113*EXP($AA113*2),$Z113*(1+$Y113*$AA113*2)^(1/$Y113)))</f>
        <v/>
      </c>
      <c r="AD113">
        <f>IF($Y113="","",IF($Y113=0,$Z113*EXP($AA113*3),$Z113*(1+$Y113*$AA113*3)^(1/$Y113)))</f>
        <v/>
      </c>
      <c r="AE113">
        <f>IF($Y113="","",IF($Y113=0,$Z113*EXP($AA113*-2),$Z113*(1+$Y113*$AA113*-2)^(1/$Y113)))</f>
        <v/>
      </c>
      <c r="AF113">
        <f>IF($Y113="","",IF($Y113=0,$Z113*EXP($AA113*-3),$Z113*(1+$Y113*$AA113*-3)^(1/$Y113)))</f>
        <v/>
      </c>
      <c r="AG113">
        <f>IF($W113="","",IFERROR(INDEX(IF($T113&lt;=60,est05_l,est519_l),MATCH($W113,IF($T113&lt;=60,est05_k,est519_k),1)),""))</f>
        <v/>
      </c>
      <c r="AH113">
        <f>IF($W113="","",IFERROR(INDEX(IF($T113&lt;=60,est05_m,est519_m),MATCH($W113,IF($T113&lt;=60,est05_k,est519_k),1)),""))</f>
        <v/>
      </c>
      <c r="AI113">
        <f>IF($W113="","",IFERROR(INDEX(IF($T113&lt;=60,est05_s,est519_s),MATCH($W113,IF($T113&lt;=60,est05_k,est519_k),1)),""))</f>
        <v/>
      </c>
      <c r="AJ113">
        <f>IF($W113="","",IFERROR(INDEX(IF($T113&lt;=60,peso05_l,peso510_l),MATCH($W113,IF($T113&lt;=60,peso05_k,peso510_k),1)),""))</f>
        <v/>
      </c>
      <c r="AK113">
        <f>IF($W113="","",IFERROR(INDEX(IF($T113&lt;=60,peso05_m,peso510_m),MATCH($W113,IF($T113&lt;=60,peso05_k,peso510_k),1)),""))</f>
        <v/>
      </c>
      <c r="AL113">
        <f>IF($W113="","",IFERROR(INDEX(IF($T113&lt;=60,peso05_s,peso510_s),MATCH($W113,IF($T113&lt;=60,peso05_k,peso510_k),1)),""))</f>
        <v/>
      </c>
      <c r="AM113">
        <f>IF($AJ113="","",IF($AJ113=0,LN($F113/$AK113)/$AL113,((($F113/$AK113)^$AJ113)-1)/($AJ113*$AL113)))</f>
        <v/>
      </c>
      <c r="AN113">
        <f>IF($AJ113="","",IF($AJ113=0,$AK113*EXP($AL113*2),$AK113*(1+$AJ113*$AL113*2)^(1/$AJ113)))</f>
        <v/>
      </c>
      <c r="AO113">
        <f>IF($AJ113="","",IF($AJ113=0,$AK113*EXP($AL113*3),$AK113*(1+$AJ113*$AL113*3)^(1/$AJ113)))</f>
        <v/>
      </c>
      <c r="AP113">
        <f>IF($AJ113="","",IF($AJ113=0,$AK113*EXP($AL113*-2),$AK113*(1+$AJ113*$AL113*-2)^(1/$AJ113)))</f>
        <v/>
      </c>
      <c r="AQ113">
        <f>IF($AJ113="","",IF($AJ113=0,$AK113*EXP($AL113*-3),$AK113*(1+$AJ113*$AL113*-3)^(1/$AJ113)))</f>
        <v/>
      </c>
      <c r="AR113">
        <f>IF(OR($X113="",$T113&gt;60),"",IFERROR(INDEX(IF($T113&lt;24,pcomp_l,palt_l),MATCH($X113,IF($T113&lt;24,pcomp_k,palt_k),1)),""))</f>
        <v/>
      </c>
      <c r="AS113">
        <f>IF(OR($X113="",$T113&gt;60),"",IFERROR(INDEX(IF($T113&lt;24,pcomp_m,palt_m),MATCH($X113,IF($T113&lt;24,pcomp_k,palt_k),1)),""))</f>
        <v/>
      </c>
      <c r="AT113">
        <f>IF(OR($X113="",$T113&gt;60),"",IFERROR(INDEX(IF($T113&lt;24,pcomp_s,palt_s),MATCH($X113,IF($T113&lt;24,pcomp_k,palt_k),1)),""))</f>
        <v/>
      </c>
      <c r="AU113">
        <f>IF($AR113="","",IF($AR113=0,LN($F113/$AS113)/$AT113,((($F113/$AS113)^$AR113)-1)/($AR113*$AT113)))</f>
        <v/>
      </c>
      <c r="AV113">
        <f>IF($AR113="","",IF($AR113=0,$AS113*EXP($AT113*2),$AS113*(1+$AR113*$AT113*2)^(1/$AR113)))</f>
        <v/>
      </c>
      <c r="AW113">
        <f>IF($AR113="","",IF($AR113=0,$AS113*EXP($AT113*3),$AS113*(1+$AR113*$AT113*3)^(1/$AR113)))</f>
        <v/>
      </c>
      <c r="AX113">
        <f>IF($AR113="","",IF($AR113=0,$AS113*EXP($AT113*-2),$AS113*(1+$AR113*$AT113*-2)^(1/$AR113)))</f>
        <v/>
      </c>
      <c r="AY113">
        <f>IF($AR113="","",IF($AR113=0,$AS113*EXP($AT113*-3),$AS113*(1+$AR113*$AT113*-3)^(1/$AR113)))</f>
        <v/>
      </c>
      <c r="AZ113">
        <f>IF(OR($A113="",$A113&lt;&gt;Ficha!$C$4),"",COUNTIF($A$2:$A113,Ficha!$C$4))</f>
        <v/>
      </c>
    </row>
    <row r="114">
      <c r="A114" s="8">
        <f>IF(INDEX(Banco!$A:$A,ROW())="","",INDEX(Banco!$A:$A,ROW()))</f>
        <v/>
      </c>
      <c r="B114" s="8">
        <f>IF(INDEX(Banco!$B:$B,ROW())="","",INDEX(Banco!$B:$B,ROW()))</f>
        <v/>
      </c>
      <c r="C114" s="8">
        <f>IF(INDEX(Banco!$C:$C,ROW())="","",INDEX(Banco!$C:$C,ROW()))</f>
        <v/>
      </c>
      <c r="D114" s="9">
        <f>IF(INDEX(Banco!$D:$D,ROW())="","",INDEX(Banco!$D:$D,ROW()))</f>
        <v/>
      </c>
      <c r="E114" s="9">
        <f>IF(INDEX(Banco!$E:$E,ROW())="","",INDEX(Banco!$E:$E,ROW()))</f>
        <v/>
      </c>
      <c r="F114" s="10">
        <f>IF(INDEX(Banco!$F:$F,ROW())="","",INDEX(Banco!$F:$F,ROW()))</f>
        <v/>
      </c>
      <c r="G114" s="10">
        <f>IF(INDEX(Banco!$G:$G,ROW())="","",INDEX(Banco!$G:$G,ROW()))</f>
        <v/>
      </c>
      <c r="H114" s="8">
        <f>IF(INDEX(Banco!$H:$H,ROW())="","",INDEX(Banco!$H:$H,ROW()))</f>
        <v/>
      </c>
      <c r="I114">
        <f>IF($T114="","",INT($T114/12)&amp;"a "&amp;MOD($T114,12)&amp;"m")</f>
        <v/>
      </c>
      <c r="J114" s="11">
        <f>IF(OR($F114="",$G114=""),"",ROUND($F114/($G114/100)^2,2))</f>
        <v/>
      </c>
      <c r="K114" s="12">
        <f>IF(OR($S114="",$J114="",$T114="",$T114&lt;0,$T114&gt;228,$Y114=""),"—",ROUND(IF(ABS($AB114)&lt;=3,$AB114,IF($AB114&gt;3,3+($J114-$AD114)/($AD114-$AC114),-3+($J114-$AF114)/($AE114-$AF114))),2))</f>
        <v/>
      </c>
      <c r="L114">
        <f>IF(OR($K114="",$K114="—"),"",IF($T114&lt;=60,IF($K114&lt;-3,"Magreza acentuada",IF($K114&lt;-2,"Magreza",IF($K114&lt;=1,"Eutrofia",IF($K114&lt;=2,"Risco de sobrepeso",IF($K114&lt;=3,"Sobrepeso","Obesidade"))))),IF($K114&lt;-3,"Magreza acentuada",IF($K114&lt;-2,"Magreza",IF($K114&lt;=1,"Eutrofia",IF($K114&lt;=2,"Sobrepeso",IF($K114&lt;=3,"Obesidade","Obesidade grave")))))))</f>
        <v/>
      </c>
      <c r="M114" s="12">
        <f>IF(OR($S114="",$V114="",$T114="",$T114&lt;0,$T114&gt;228,$AG114=""),"—",ROUND(IF($AG114=0,LN($V114/$AH114)/$AI114,((($V114/$AH114)^$AG114)-1)/($AG114*$AI114)),2))</f>
        <v/>
      </c>
      <c r="N114">
        <f>IF(OR($M114="",$M114="—"),"",IF($M114&lt;-3,"Muito baixa",IF($M114&lt;-2,"Baixa","Adequada")))</f>
        <v/>
      </c>
      <c r="O114" s="12">
        <f>IF(OR($S114="",$F114="",$T114="",$T114&lt;0,$T114&gt;120,$AJ114=""),"—",ROUND(IF(ABS($AM114)&lt;=3,$AM114,IF($AM114&gt;3,3+($F114-$AO114)/($AO114-$AN114),-3+($F114-$AQ114)/($AP114-$AQ114))),2))</f>
        <v/>
      </c>
      <c r="P114">
        <f>IF(OR($O114="",$O114="—"),"",IF($O114&lt;-3,"Muito baixo",IF($O114&lt;-2,"Baixo",IF($O114&lt;=2,"Adequado","Elevado"))))</f>
        <v/>
      </c>
      <c r="Q114" s="12">
        <f>IF(OR($S114="",$F114="",$T114="",$T114&lt;0,$T114&gt;60,$AR114=""),"—",ROUND(IF(ABS($AU114)&lt;=3,$AU114,IF($AU114&gt;3,3+($F114-$AW114)/($AW114-$AV114),-3+($F114-$AY114)/($AX114-$AY114))),2))</f>
        <v/>
      </c>
      <c r="R114">
        <f>IF(OR($Q114="",$Q114="—"),"",IF($Q114&lt;-3,"Magreza acentuada",IF($Q114&lt;-2,"Magreza",IF($Q114&lt;=1,"Eutrofia",IF($Q114&lt;=2,"Risco de sobrepeso",IF($Q114&lt;=3,"Sobrepeso","Obesidade"))))))</f>
        <v/>
      </c>
      <c r="S114">
        <f>IF($C114="","",IF(UPPER(LEFT($C114,1))="M",1,IF(UPPER(LEFT($C114,1))="F",2,"")))</f>
        <v/>
      </c>
      <c r="T114">
        <f>IF(OR($D114="",$E114=""),"",DATEDIF($D114,$E114,"m"))</f>
        <v/>
      </c>
      <c r="U114">
        <f>IF(OR($D114="",$E114=""),"",$E114-$D114)</f>
        <v/>
      </c>
      <c r="V114">
        <f>IF(OR($G114="",$T114=""),"",IF($T114&lt;24,IF(LEFT(LOWER($H114),4)="em p",$G114+0.7,$G114),IF(LEFT(LOWER($H114),4)="deit",$G114-0.7,$G114)))</f>
        <v/>
      </c>
      <c r="W114">
        <f>IF(OR($S114="",$T114=""),"",$S114*1000000+IF($T114&lt;=60,$U114,$T114))</f>
        <v/>
      </c>
      <c r="X114">
        <f>IF(OR($S114="",$V114="",$T114&gt;60,$T114=""),"",$S114*1000000+ROUND($V114*10,0))</f>
        <v/>
      </c>
      <c r="Y114">
        <f>IF($W114="","",IFERROR(INDEX(IF($T114&lt;=60,imc05_l,imc519_l),MATCH($W114,IF($T114&lt;=60,imc05_k,imc519_k),1)),""))</f>
        <v/>
      </c>
      <c r="Z114">
        <f>IF($W114="","",IFERROR(INDEX(IF($T114&lt;=60,imc05_m,imc519_m),MATCH($W114,IF($T114&lt;=60,imc05_k,imc519_k),1)),""))</f>
        <v/>
      </c>
      <c r="AA114">
        <f>IF($W114="","",IFERROR(INDEX(IF($T114&lt;=60,imc05_s,imc519_s),MATCH($W114,IF($T114&lt;=60,imc05_k,imc519_k),1)),""))</f>
        <v/>
      </c>
      <c r="AB114">
        <f>IF($Y114="","",IF($Y114=0,LN($J114/$Z114)/$AA114,((($J114/$Z114)^$Y114)-1)/($Y114*$AA114)))</f>
        <v/>
      </c>
      <c r="AC114">
        <f>IF($Y114="","",IF($Y114=0,$Z114*EXP($AA114*2),$Z114*(1+$Y114*$AA114*2)^(1/$Y114)))</f>
        <v/>
      </c>
      <c r="AD114">
        <f>IF($Y114="","",IF($Y114=0,$Z114*EXP($AA114*3),$Z114*(1+$Y114*$AA114*3)^(1/$Y114)))</f>
        <v/>
      </c>
      <c r="AE114">
        <f>IF($Y114="","",IF($Y114=0,$Z114*EXP($AA114*-2),$Z114*(1+$Y114*$AA114*-2)^(1/$Y114)))</f>
        <v/>
      </c>
      <c r="AF114">
        <f>IF($Y114="","",IF($Y114=0,$Z114*EXP($AA114*-3),$Z114*(1+$Y114*$AA114*-3)^(1/$Y114)))</f>
        <v/>
      </c>
      <c r="AG114">
        <f>IF($W114="","",IFERROR(INDEX(IF($T114&lt;=60,est05_l,est519_l),MATCH($W114,IF($T114&lt;=60,est05_k,est519_k),1)),""))</f>
        <v/>
      </c>
      <c r="AH114">
        <f>IF($W114="","",IFERROR(INDEX(IF($T114&lt;=60,est05_m,est519_m),MATCH($W114,IF($T114&lt;=60,est05_k,est519_k),1)),""))</f>
        <v/>
      </c>
      <c r="AI114">
        <f>IF($W114="","",IFERROR(INDEX(IF($T114&lt;=60,est05_s,est519_s),MATCH($W114,IF($T114&lt;=60,est05_k,est519_k),1)),""))</f>
        <v/>
      </c>
      <c r="AJ114">
        <f>IF($W114="","",IFERROR(INDEX(IF($T114&lt;=60,peso05_l,peso510_l),MATCH($W114,IF($T114&lt;=60,peso05_k,peso510_k),1)),""))</f>
        <v/>
      </c>
      <c r="AK114">
        <f>IF($W114="","",IFERROR(INDEX(IF($T114&lt;=60,peso05_m,peso510_m),MATCH($W114,IF($T114&lt;=60,peso05_k,peso510_k),1)),""))</f>
        <v/>
      </c>
      <c r="AL114">
        <f>IF($W114="","",IFERROR(INDEX(IF($T114&lt;=60,peso05_s,peso510_s),MATCH($W114,IF($T114&lt;=60,peso05_k,peso510_k),1)),""))</f>
        <v/>
      </c>
      <c r="AM114">
        <f>IF($AJ114="","",IF($AJ114=0,LN($F114/$AK114)/$AL114,((($F114/$AK114)^$AJ114)-1)/($AJ114*$AL114)))</f>
        <v/>
      </c>
      <c r="AN114">
        <f>IF($AJ114="","",IF($AJ114=0,$AK114*EXP($AL114*2),$AK114*(1+$AJ114*$AL114*2)^(1/$AJ114)))</f>
        <v/>
      </c>
      <c r="AO114">
        <f>IF($AJ114="","",IF($AJ114=0,$AK114*EXP($AL114*3),$AK114*(1+$AJ114*$AL114*3)^(1/$AJ114)))</f>
        <v/>
      </c>
      <c r="AP114">
        <f>IF($AJ114="","",IF($AJ114=0,$AK114*EXP($AL114*-2),$AK114*(1+$AJ114*$AL114*-2)^(1/$AJ114)))</f>
        <v/>
      </c>
      <c r="AQ114">
        <f>IF($AJ114="","",IF($AJ114=0,$AK114*EXP($AL114*-3),$AK114*(1+$AJ114*$AL114*-3)^(1/$AJ114)))</f>
        <v/>
      </c>
      <c r="AR114">
        <f>IF(OR($X114="",$T114&gt;60),"",IFERROR(INDEX(IF($T114&lt;24,pcomp_l,palt_l),MATCH($X114,IF($T114&lt;24,pcomp_k,palt_k),1)),""))</f>
        <v/>
      </c>
      <c r="AS114">
        <f>IF(OR($X114="",$T114&gt;60),"",IFERROR(INDEX(IF($T114&lt;24,pcomp_m,palt_m),MATCH($X114,IF($T114&lt;24,pcomp_k,palt_k),1)),""))</f>
        <v/>
      </c>
      <c r="AT114">
        <f>IF(OR($X114="",$T114&gt;60),"",IFERROR(INDEX(IF($T114&lt;24,pcomp_s,palt_s),MATCH($X114,IF($T114&lt;24,pcomp_k,palt_k),1)),""))</f>
        <v/>
      </c>
      <c r="AU114">
        <f>IF($AR114="","",IF($AR114=0,LN($F114/$AS114)/$AT114,((($F114/$AS114)^$AR114)-1)/($AR114*$AT114)))</f>
        <v/>
      </c>
      <c r="AV114">
        <f>IF($AR114="","",IF($AR114=0,$AS114*EXP($AT114*2),$AS114*(1+$AR114*$AT114*2)^(1/$AR114)))</f>
        <v/>
      </c>
      <c r="AW114">
        <f>IF($AR114="","",IF($AR114=0,$AS114*EXP($AT114*3),$AS114*(1+$AR114*$AT114*3)^(1/$AR114)))</f>
        <v/>
      </c>
      <c r="AX114">
        <f>IF($AR114="","",IF($AR114=0,$AS114*EXP($AT114*-2),$AS114*(1+$AR114*$AT114*-2)^(1/$AR114)))</f>
        <v/>
      </c>
      <c r="AY114">
        <f>IF($AR114="","",IF($AR114=0,$AS114*EXP($AT114*-3),$AS114*(1+$AR114*$AT114*-3)^(1/$AR114)))</f>
        <v/>
      </c>
      <c r="AZ114">
        <f>IF(OR($A114="",$A114&lt;&gt;Ficha!$C$4),"",COUNTIF($A$2:$A114,Ficha!$C$4))</f>
        <v/>
      </c>
    </row>
    <row r="115">
      <c r="A115" s="8">
        <f>IF(INDEX(Banco!$A:$A,ROW())="","",INDEX(Banco!$A:$A,ROW()))</f>
        <v/>
      </c>
      <c r="B115" s="8">
        <f>IF(INDEX(Banco!$B:$B,ROW())="","",INDEX(Banco!$B:$B,ROW()))</f>
        <v/>
      </c>
      <c r="C115" s="8">
        <f>IF(INDEX(Banco!$C:$C,ROW())="","",INDEX(Banco!$C:$C,ROW()))</f>
        <v/>
      </c>
      <c r="D115" s="9">
        <f>IF(INDEX(Banco!$D:$D,ROW())="","",INDEX(Banco!$D:$D,ROW()))</f>
        <v/>
      </c>
      <c r="E115" s="9">
        <f>IF(INDEX(Banco!$E:$E,ROW())="","",INDEX(Banco!$E:$E,ROW()))</f>
        <v/>
      </c>
      <c r="F115" s="10">
        <f>IF(INDEX(Banco!$F:$F,ROW())="","",INDEX(Banco!$F:$F,ROW()))</f>
        <v/>
      </c>
      <c r="G115" s="10">
        <f>IF(INDEX(Banco!$G:$G,ROW())="","",INDEX(Banco!$G:$G,ROW()))</f>
        <v/>
      </c>
      <c r="H115" s="8">
        <f>IF(INDEX(Banco!$H:$H,ROW())="","",INDEX(Banco!$H:$H,ROW()))</f>
        <v/>
      </c>
      <c r="I115">
        <f>IF($T115="","",INT($T115/12)&amp;"a "&amp;MOD($T115,12)&amp;"m")</f>
        <v/>
      </c>
      <c r="J115" s="11">
        <f>IF(OR($F115="",$G115=""),"",ROUND($F115/($G115/100)^2,2))</f>
        <v/>
      </c>
      <c r="K115" s="12">
        <f>IF(OR($S115="",$J115="",$T115="",$T115&lt;0,$T115&gt;228,$Y115=""),"—",ROUND(IF(ABS($AB115)&lt;=3,$AB115,IF($AB115&gt;3,3+($J115-$AD115)/($AD115-$AC115),-3+($J115-$AF115)/($AE115-$AF115))),2))</f>
        <v/>
      </c>
      <c r="L115">
        <f>IF(OR($K115="",$K115="—"),"",IF($T115&lt;=60,IF($K115&lt;-3,"Magreza acentuada",IF($K115&lt;-2,"Magreza",IF($K115&lt;=1,"Eutrofia",IF($K115&lt;=2,"Risco de sobrepeso",IF($K115&lt;=3,"Sobrepeso","Obesidade"))))),IF($K115&lt;-3,"Magreza acentuada",IF($K115&lt;-2,"Magreza",IF($K115&lt;=1,"Eutrofia",IF($K115&lt;=2,"Sobrepeso",IF($K115&lt;=3,"Obesidade","Obesidade grave")))))))</f>
        <v/>
      </c>
      <c r="M115" s="12">
        <f>IF(OR($S115="",$V115="",$T115="",$T115&lt;0,$T115&gt;228,$AG115=""),"—",ROUND(IF($AG115=0,LN($V115/$AH115)/$AI115,((($V115/$AH115)^$AG115)-1)/($AG115*$AI115)),2))</f>
        <v/>
      </c>
      <c r="N115">
        <f>IF(OR($M115="",$M115="—"),"",IF($M115&lt;-3,"Muito baixa",IF($M115&lt;-2,"Baixa","Adequada")))</f>
        <v/>
      </c>
      <c r="O115" s="12">
        <f>IF(OR($S115="",$F115="",$T115="",$T115&lt;0,$T115&gt;120,$AJ115=""),"—",ROUND(IF(ABS($AM115)&lt;=3,$AM115,IF($AM115&gt;3,3+($F115-$AO115)/($AO115-$AN115),-3+($F115-$AQ115)/($AP115-$AQ115))),2))</f>
        <v/>
      </c>
      <c r="P115">
        <f>IF(OR($O115="",$O115="—"),"",IF($O115&lt;-3,"Muito baixo",IF($O115&lt;-2,"Baixo",IF($O115&lt;=2,"Adequado","Elevado"))))</f>
        <v/>
      </c>
      <c r="Q115" s="12">
        <f>IF(OR($S115="",$F115="",$T115="",$T115&lt;0,$T115&gt;60,$AR115=""),"—",ROUND(IF(ABS($AU115)&lt;=3,$AU115,IF($AU115&gt;3,3+($F115-$AW115)/($AW115-$AV115),-3+($F115-$AY115)/($AX115-$AY115))),2))</f>
        <v/>
      </c>
      <c r="R115">
        <f>IF(OR($Q115="",$Q115="—"),"",IF($Q115&lt;-3,"Magreza acentuada",IF($Q115&lt;-2,"Magreza",IF($Q115&lt;=1,"Eutrofia",IF($Q115&lt;=2,"Risco de sobrepeso",IF($Q115&lt;=3,"Sobrepeso","Obesidade"))))))</f>
        <v/>
      </c>
      <c r="S115">
        <f>IF($C115="","",IF(UPPER(LEFT($C115,1))="M",1,IF(UPPER(LEFT($C115,1))="F",2,"")))</f>
        <v/>
      </c>
      <c r="T115">
        <f>IF(OR($D115="",$E115=""),"",DATEDIF($D115,$E115,"m"))</f>
        <v/>
      </c>
      <c r="U115">
        <f>IF(OR($D115="",$E115=""),"",$E115-$D115)</f>
        <v/>
      </c>
      <c r="V115">
        <f>IF(OR($G115="",$T115=""),"",IF($T115&lt;24,IF(LEFT(LOWER($H115),4)="em p",$G115+0.7,$G115),IF(LEFT(LOWER($H115),4)="deit",$G115-0.7,$G115)))</f>
        <v/>
      </c>
      <c r="W115">
        <f>IF(OR($S115="",$T115=""),"",$S115*1000000+IF($T115&lt;=60,$U115,$T115))</f>
        <v/>
      </c>
      <c r="X115">
        <f>IF(OR($S115="",$V115="",$T115&gt;60,$T115=""),"",$S115*1000000+ROUND($V115*10,0))</f>
        <v/>
      </c>
      <c r="Y115">
        <f>IF($W115="","",IFERROR(INDEX(IF($T115&lt;=60,imc05_l,imc519_l),MATCH($W115,IF($T115&lt;=60,imc05_k,imc519_k),1)),""))</f>
        <v/>
      </c>
      <c r="Z115">
        <f>IF($W115="","",IFERROR(INDEX(IF($T115&lt;=60,imc05_m,imc519_m),MATCH($W115,IF($T115&lt;=60,imc05_k,imc519_k),1)),""))</f>
        <v/>
      </c>
      <c r="AA115">
        <f>IF($W115="","",IFERROR(INDEX(IF($T115&lt;=60,imc05_s,imc519_s),MATCH($W115,IF($T115&lt;=60,imc05_k,imc519_k),1)),""))</f>
        <v/>
      </c>
      <c r="AB115">
        <f>IF($Y115="","",IF($Y115=0,LN($J115/$Z115)/$AA115,((($J115/$Z115)^$Y115)-1)/($Y115*$AA115)))</f>
        <v/>
      </c>
      <c r="AC115">
        <f>IF($Y115="","",IF($Y115=0,$Z115*EXP($AA115*2),$Z115*(1+$Y115*$AA115*2)^(1/$Y115)))</f>
        <v/>
      </c>
      <c r="AD115">
        <f>IF($Y115="","",IF($Y115=0,$Z115*EXP($AA115*3),$Z115*(1+$Y115*$AA115*3)^(1/$Y115)))</f>
        <v/>
      </c>
      <c r="AE115">
        <f>IF($Y115="","",IF($Y115=0,$Z115*EXP($AA115*-2),$Z115*(1+$Y115*$AA115*-2)^(1/$Y115)))</f>
        <v/>
      </c>
      <c r="AF115">
        <f>IF($Y115="","",IF($Y115=0,$Z115*EXP($AA115*-3),$Z115*(1+$Y115*$AA115*-3)^(1/$Y115)))</f>
        <v/>
      </c>
      <c r="AG115">
        <f>IF($W115="","",IFERROR(INDEX(IF($T115&lt;=60,est05_l,est519_l),MATCH($W115,IF($T115&lt;=60,est05_k,est519_k),1)),""))</f>
        <v/>
      </c>
      <c r="AH115">
        <f>IF($W115="","",IFERROR(INDEX(IF($T115&lt;=60,est05_m,est519_m),MATCH($W115,IF($T115&lt;=60,est05_k,est519_k),1)),""))</f>
        <v/>
      </c>
      <c r="AI115">
        <f>IF($W115="","",IFERROR(INDEX(IF($T115&lt;=60,est05_s,est519_s),MATCH($W115,IF($T115&lt;=60,est05_k,est519_k),1)),""))</f>
        <v/>
      </c>
      <c r="AJ115">
        <f>IF($W115="","",IFERROR(INDEX(IF($T115&lt;=60,peso05_l,peso510_l),MATCH($W115,IF($T115&lt;=60,peso05_k,peso510_k),1)),""))</f>
        <v/>
      </c>
      <c r="AK115">
        <f>IF($W115="","",IFERROR(INDEX(IF($T115&lt;=60,peso05_m,peso510_m),MATCH($W115,IF($T115&lt;=60,peso05_k,peso510_k),1)),""))</f>
        <v/>
      </c>
      <c r="AL115">
        <f>IF($W115="","",IFERROR(INDEX(IF($T115&lt;=60,peso05_s,peso510_s),MATCH($W115,IF($T115&lt;=60,peso05_k,peso510_k),1)),""))</f>
        <v/>
      </c>
      <c r="AM115">
        <f>IF($AJ115="","",IF($AJ115=0,LN($F115/$AK115)/$AL115,((($F115/$AK115)^$AJ115)-1)/($AJ115*$AL115)))</f>
        <v/>
      </c>
      <c r="AN115">
        <f>IF($AJ115="","",IF($AJ115=0,$AK115*EXP($AL115*2),$AK115*(1+$AJ115*$AL115*2)^(1/$AJ115)))</f>
        <v/>
      </c>
      <c r="AO115">
        <f>IF($AJ115="","",IF($AJ115=0,$AK115*EXP($AL115*3),$AK115*(1+$AJ115*$AL115*3)^(1/$AJ115)))</f>
        <v/>
      </c>
      <c r="AP115">
        <f>IF($AJ115="","",IF($AJ115=0,$AK115*EXP($AL115*-2),$AK115*(1+$AJ115*$AL115*-2)^(1/$AJ115)))</f>
        <v/>
      </c>
      <c r="AQ115">
        <f>IF($AJ115="","",IF($AJ115=0,$AK115*EXP($AL115*-3),$AK115*(1+$AJ115*$AL115*-3)^(1/$AJ115)))</f>
        <v/>
      </c>
      <c r="AR115">
        <f>IF(OR($X115="",$T115&gt;60),"",IFERROR(INDEX(IF($T115&lt;24,pcomp_l,palt_l),MATCH($X115,IF($T115&lt;24,pcomp_k,palt_k),1)),""))</f>
        <v/>
      </c>
      <c r="AS115">
        <f>IF(OR($X115="",$T115&gt;60),"",IFERROR(INDEX(IF($T115&lt;24,pcomp_m,palt_m),MATCH($X115,IF($T115&lt;24,pcomp_k,palt_k),1)),""))</f>
        <v/>
      </c>
      <c r="AT115">
        <f>IF(OR($X115="",$T115&gt;60),"",IFERROR(INDEX(IF($T115&lt;24,pcomp_s,palt_s),MATCH($X115,IF($T115&lt;24,pcomp_k,palt_k),1)),""))</f>
        <v/>
      </c>
      <c r="AU115">
        <f>IF($AR115="","",IF($AR115=0,LN($F115/$AS115)/$AT115,((($F115/$AS115)^$AR115)-1)/($AR115*$AT115)))</f>
        <v/>
      </c>
      <c r="AV115">
        <f>IF($AR115="","",IF($AR115=0,$AS115*EXP($AT115*2),$AS115*(1+$AR115*$AT115*2)^(1/$AR115)))</f>
        <v/>
      </c>
      <c r="AW115">
        <f>IF($AR115="","",IF($AR115=0,$AS115*EXP($AT115*3),$AS115*(1+$AR115*$AT115*3)^(1/$AR115)))</f>
        <v/>
      </c>
      <c r="AX115">
        <f>IF($AR115="","",IF($AR115=0,$AS115*EXP($AT115*-2),$AS115*(1+$AR115*$AT115*-2)^(1/$AR115)))</f>
        <v/>
      </c>
      <c r="AY115">
        <f>IF($AR115="","",IF($AR115=0,$AS115*EXP($AT115*-3),$AS115*(1+$AR115*$AT115*-3)^(1/$AR115)))</f>
        <v/>
      </c>
      <c r="AZ115">
        <f>IF(OR($A115="",$A115&lt;&gt;Ficha!$C$4),"",COUNTIF($A$2:$A115,Ficha!$C$4))</f>
        <v/>
      </c>
    </row>
    <row r="116">
      <c r="A116" s="8">
        <f>IF(INDEX(Banco!$A:$A,ROW())="","",INDEX(Banco!$A:$A,ROW()))</f>
        <v/>
      </c>
      <c r="B116" s="8">
        <f>IF(INDEX(Banco!$B:$B,ROW())="","",INDEX(Banco!$B:$B,ROW()))</f>
        <v/>
      </c>
      <c r="C116" s="8">
        <f>IF(INDEX(Banco!$C:$C,ROW())="","",INDEX(Banco!$C:$C,ROW()))</f>
        <v/>
      </c>
      <c r="D116" s="9">
        <f>IF(INDEX(Banco!$D:$D,ROW())="","",INDEX(Banco!$D:$D,ROW()))</f>
        <v/>
      </c>
      <c r="E116" s="9">
        <f>IF(INDEX(Banco!$E:$E,ROW())="","",INDEX(Banco!$E:$E,ROW()))</f>
        <v/>
      </c>
      <c r="F116" s="10">
        <f>IF(INDEX(Banco!$F:$F,ROW())="","",INDEX(Banco!$F:$F,ROW()))</f>
        <v/>
      </c>
      <c r="G116" s="10">
        <f>IF(INDEX(Banco!$G:$G,ROW())="","",INDEX(Banco!$G:$G,ROW()))</f>
        <v/>
      </c>
      <c r="H116" s="8">
        <f>IF(INDEX(Banco!$H:$H,ROW())="","",INDEX(Banco!$H:$H,ROW()))</f>
        <v/>
      </c>
      <c r="I116">
        <f>IF($T116="","",INT($T116/12)&amp;"a "&amp;MOD($T116,12)&amp;"m")</f>
        <v/>
      </c>
      <c r="J116" s="11">
        <f>IF(OR($F116="",$G116=""),"",ROUND($F116/($G116/100)^2,2))</f>
        <v/>
      </c>
      <c r="K116" s="12">
        <f>IF(OR($S116="",$J116="",$T116="",$T116&lt;0,$T116&gt;228,$Y116=""),"—",ROUND(IF(ABS($AB116)&lt;=3,$AB116,IF($AB116&gt;3,3+($J116-$AD116)/($AD116-$AC116),-3+($J116-$AF116)/($AE116-$AF116))),2))</f>
        <v/>
      </c>
      <c r="L116">
        <f>IF(OR($K116="",$K116="—"),"",IF($T116&lt;=60,IF($K116&lt;-3,"Magreza acentuada",IF($K116&lt;-2,"Magreza",IF($K116&lt;=1,"Eutrofia",IF($K116&lt;=2,"Risco de sobrepeso",IF($K116&lt;=3,"Sobrepeso","Obesidade"))))),IF($K116&lt;-3,"Magreza acentuada",IF($K116&lt;-2,"Magreza",IF($K116&lt;=1,"Eutrofia",IF($K116&lt;=2,"Sobrepeso",IF($K116&lt;=3,"Obesidade","Obesidade grave")))))))</f>
        <v/>
      </c>
      <c r="M116" s="12">
        <f>IF(OR($S116="",$V116="",$T116="",$T116&lt;0,$T116&gt;228,$AG116=""),"—",ROUND(IF($AG116=0,LN($V116/$AH116)/$AI116,((($V116/$AH116)^$AG116)-1)/($AG116*$AI116)),2))</f>
        <v/>
      </c>
      <c r="N116">
        <f>IF(OR($M116="",$M116="—"),"",IF($M116&lt;-3,"Muito baixa",IF($M116&lt;-2,"Baixa","Adequada")))</f>
        <v/>
      </c>
      <c r="O116" s="12">
        <f>IF(OR($S116="",$F116="",$T116="",$T116&lt;0,$T116&gt;120,$AJ116=""),"—",ROUND(IF(ABS($AM116)&lt;=3,$AM116,IF($AM116&gt;3,3+($F116-$AO116)/($AO116-$AN116),-3+($F116-$AQ116)/($AP116-$AQ116))),2))</f>
        <v/>
      </c>
      <c r="P116">
        <f>IF(OR($O116="",$O116="—"),"",IF($O116&lt;-3,"Muito baixo",IF($O116&lt;-2,"Baixo",IF($O116&lt;=2,"Adequado","Elevado"))))</f>
        <v/>
      </c>
      <c r="Q116" s="12">
        <f>IF(OR($S116="",$F116="",$T116="",$T116&lt;0,$T116&gt;60,$AR116=""),"—",ROUND(IF(ABS($AU116)&lt;=3,$AU116,IF($AU116&gt;3,3+($F116-$AW116)/($AW116-$AV116),-3+($F116-$AY116)/($AX116-$AY116))),2))</f>
        <v/>
      </c>
      <c r="R116">
        <f>IF(OR($Q116="",$Q116="—"),"",IF($Q116&lt;-3,"Magreza acentuada",IF($Q116&lt;-2,"Magreza",IF($Q116&lt;=1,"Eutrofia",IF($Q116&lt;=2,"Risco de sobrepeso",IF($Q116&lt;=3,"Sobrepeso","Obesidade"))))))</f>
        <v/>
      </c>
      <c r="S116">
        <f>IF($C116="","",IF(UPPER(LEFT($C116,1))="M",1,IF(UPPER(LEFT($C116,1))="F",2,"")))</f>
        <v/>
      </c>
      <c r="T116">
        <f>IF(OR($D116="",$E116=""),"",DATEDIF($D116,$E116,"m"))</f>
        <v/>
      </c>
      <c r="U116">
        <f>IF(OR($D116="",$E116=""),"",$E116-$D116)</f>
        <v/>
      </c>
      <c r="V116">
        <f>IF(OR($G116="",$T116=""),"",IF($T116&lt;24,IF(LEFT(LOWER($H116),4)="em p",$G116+0.7,$G116),IF(LEFT(LOWER($H116),4)="deit",$G116-0.7,$G116)))</f>
        <v/>
      </c>
      <c r="W116">
        <f>IF(OR($S116="",$T116=""),"",$S116*1000000+IF($T116&lt;=60,$U116,$T116))</f>
        <v/>
      </c>
      <c r="X116">
        <f>IF(OR($S116="",$V116="",$T116&gt;60,$T116=""),"",$S116*1000000+ROUND($V116*10,0))</f>
        <v/>
      </c>
      <c r="Y116">
        <f>IF($W116="","",IFERROR(INDEX(IF($T116&lt;=60,imc05_l,imc519_l),MATCH($W116,IF($T116&lt;=60,imc05_k,imc519_k),1)),""))</f>
        <v/>
      </c>
      <c r="Z116">
        <f>IF($W116="","",IFERROR(INDEX(IF($T116&lt;=60,imc05_m,imc519_m),MATCH($W116,IF($T116&lt;=60,imc05_k,imc519_k),1)),""))</f>
        <v/>
      </c>
      <c r="AA116">
        <f>IF($W116="","",IFERROR(INDEX(IF($T116&lt;=60,imc05_s,imc519_s),MATCH($W116,IF($T116&lt;=60,imc05_k,imc519_k),1)),""))</f>
        <v/>
      </c>
      <c r="AB116">
        <f>IF($Y116="","",IF($Y116=0,LN($J116/$Z116)/$AA116,((($J116/$Z116)^$Y116)-1)/($Y116*$AA116)))</f>
        <v/>
      </c>
      <c r="AC116">
        <f>IF($Y116="","",IF($Y116=0,$Z116*EXP($AA116*2),$Z116*(1+$Y116*$AA116*2)^(1/$Y116)))</f>
        <v/>
      </c>
      <c r="AD116">
        <f>IF($Y116="","",IF($Y116=0,$Z116*EXP($AA116*3),$Z116*(1+$Y116*$AA116*3)^(1/$Y116)))</f>
        <v/>
      </c>
      <c r="AE116">
        <f>IF($Y116="","",IF($Y116=0,$Z116*EXP($AA116*-2),$Z116*(1+$Y116*$AA116*-2)^(1/$Y116)))</f>
        <v/>
      </c>
      <c r="AF116">
        <f>IF($Y116="","",IF($Y116=0,$Z116*EXP($AA116*-3),$Z116*(1+$Y116*$AA116*-3)^(1/$Y116)))</f>
        <v/>
      </c>
      <c r="AG116">
        <f>IF($W116="","",IFERROR(INDEX(IF($T116&lt;=60,est05_l,est519_l),MATCH($W116,IF($T116&lt;=60,est05_k,est519_k),1)),""))</f>
        <v/>
      </c>
      <c r="AH116">
        <f>IF($W116="","",IFERROR(INDEX(IF($T116&lt;=60,est05_m,est519_m),MATCH($W116,IF($T116&lt;=60,est05_k,est519_k),1)),""))</f>
        <v/>
      </c>
      <c r="AI116">
        <f>IF($W116="","",IFERROR(INDEX(IF($T116&lt;=60,est05_s,est519_s),MATCH($W116,IF($T116&lt;=60,est05_k,est519_k),1)),""))</f>
        <v/>
      </c>
      <c r="AJ116">
        <f>IF($W116="","",IFERROR(INDEX(IF($T116&lt;=60,peso05_l,peso510_l),MATCH($W116,IF($T116&lt;=60,peso05_k,peso510_k),1)),""))</f>
        <v/>
      </c>
      <c r="AK116">
        <f>IF($W116="","",IFERROR(INDEX(IF($T116&lt;=60,peso05_m,peso510_m),MATCH($W116,IF($T116&lt;=60,peso05_k,peso510_k),1)),""))</f>
        <v/>
      </c>
      <c r="AL116">
        <f>IF($W116="","",IFERROR(INDEX(IF($T116&lt;=60,peso05_s,peso510_s),MATCH($W116,IF($T116&lt;=60,peso05_k,peso510_k),1)),""))</f>
        <v/>
      </c>
      <c r="AM116">
        <f>IF($AJ116="","",IF($AJ116=0,LN($F116/$AK116)/$AL116,((($F116/$AK116)^$AJ116)-1)/($AJ116*$AL116)))</f>
        <v/>
      </c>
      <c r="AN116">
        <f>IF($AJ116="","",IF($AJ116=0,$AK116*EXP($AL116*2),$AK116*(1+$AJ116*$AL116*2)^(1/$AJ116)))</f>
        <v/>
      </c>
      <c r="AO116">
        <f>IF($AJ116="","",IF($AJ116=0,$AK116*EXP($AL116*3),$AK116*(1+$AJ116*$AL116*3)^(1/$AJ116)))</f>
        <v/>
      </c>
      <c r="AP116">
        <f>IF($AJ116="","",IF($AJ116=0,$AK116*EXP($AL116*-2),$AK116*(1+$AJ116*$AL116*-2)^(1/$AJ116)))</f>
        <v/>
      </c>
      <c r="AQ116">
        <f>IF($AJ116="","",IF($AJ116=0,$AK116*EXP($AL116*-3),$AK116*(1+$AJ116*$AL116*-3)^(1/$AJ116)))</f>
        <v/>
      </c>
      <c r="AR116">
        <f>IF(OR($X116="",$T116&gt;60),"",IFERROR(INDEX(IF($T116&lt;24,pcomp_l,palt_l),MATCH($X116,IF($T116&lt;24,pcomp_k,palt_k),1)),""))</f>
        <v/>
      </c>
      <c r="AS116">
        <f>IF(OR($X116="",$T116&gt;60),"",IFERROR(INDEX(IF($T116&lt;24,pcomp_m,palt_m),MATCH($X116,IF($T116&lt;24,pcomp_k,palt_k),1)),""))</f>
        <v/>
      </c>
      <c r="AT116">
        <f>IF(OR($X116="",$T116&gt;60),"",IFERROR(INDEX(IF($T116&lt;24,pcomp_s,palt_s),MATCH($X116,IF($T116&lt;24,pcomp_k,palt_k),1)),""))</f>
        <v/>
      </c>
      <c r="AU116">
        <f>IF($AR116="","",IF($AR116=0,LN($F116/$AS116)/$AT116,((($F116/$AS116)^$AR116)-1)/($AR116*$AT116)))</f>
        <v/>
      </c>
      <c r="AV116">
        <f>IF($AR116="","",IF($AR116=0,$AS116*EXP($AT116*2),$AS116*(1+$AR116*$AT116*2)^(1/$AR116)))</f>
        <v/>
      </c>
      <c r="AW116">
        <f>IF($AR116="","",IF($AR116=0,$AS116*EXP($AT116*3),$AS116*(1+$AR116*$AT116*3)^(1/$AR116)))</f>
        <v/>
      </c>
      <c r="AX116">
        <f>IF($AR116="","",IF($AR116=0,$AS116*EXP($AT116*-2),$AS116*(1+$AR116*$AT116*-2)^(1/$AR116)))</f>
        <v/>
      </c>
      <c r="AY116">
        <f>IF($AR116="","",IF($AR116=0,$AS116*EXP($AT116*-3),$AS116*(1+$AR116*$AT116*-3)^(1/$AR116)))</f>
        <v/>
      </c>
      <c r="AZ116">
        <f>IF(OR($A116="",$A116&lt;&gt;Ficha!$C$4),"",COUNTIF($A$2:$A116,Ficha!$C$4))</f>
        <v/>
      </c>
    </row>
    <row r="117">
      <c r="A117" s="8">
        <f>IF(INDEX(Banco!$A:$A,ROW())="","",INDEX(Banco!$A:$A,ROW()))</f>
        <v/>
      </c>
      <c r="B117" s="8">
        <f>IF(INDEX(Banco!$B:$B,ROW())="","",INDEX(Banco!$B:$B,ROW()))</f>
        <v/>
      </c>
      <c r="C117" s="8">
        <f>IF(INDEX(Banco!$C:$C,ROW())="","",INDEX(Banco!$C:$C,ROW()))</f>
        <v/>
      </c>
      <c r="D117" s="9">
        <f>IF(INDEX(Banco!$D:$D,ROW())="","",INDEX(Banco!$D:$D,ROW()))</f>
        <v/>
      </c>
      <c r="E117" s="9">
        <f>IF(INDEX(Banco!$E:$E,ROW())="","",INDEX(Banco!$E:$E,ROW()))</f>
        <v/>
      </c>
      <c r="F117" s="10">
        <f>IF(INDEX(Banco!$F:$F,ROW())="","",INDEX(Banco!$F:$F,ROW()))</f>
        <v/>
      </c>
      <c r="G117" s="10">
        <f>IF(INDEX(Banco!$G:$G,ROW())="","",INDEX(Banco!$G:$G,ROW()))</f>
        <v/>
      </c>
      <c r="H117" s="8">
        <f>IF(INDEX(Banco!$H:$H,ROW())="","",INDEX(Banco!$H:$H,ROW()))</f>
        <v/>
      </c>
      <c r="I117">
        <f>IF($T117="","",INT($T117/12)&amp;"a "&amp;MOD($T117,12)&amp;"m")</f>
        <v/>
      </c>
      <c r="J117" s="11">
        <f>IF(OR($F117="",$G117=""),"",ROUND($F117/($G117/100)^2,2))</f>
        <v/>
      </c>
      <c r="K117" s="12">
        <f>IF(OR($S117="",$J117="",$T117="",$T117&lt;0,$T117&gt;228,$Y117=""),"—",ROUND(IF(ABS($AB117)&lt;=3,$AB117,IF($AB117&gt;3,3+($J117-$AD117)/($AD117-$AC117),-3+($J117-$AF117)/($AE117-$AF117))),2))</f>
        <v/>
      </c>
      <c r="L117">
        <f>IF(OR($K117="",$K117="—"),"",IF($T117&lt;=60,IF($K117&lt;-3,"Magreza acentuada",IF($K117&lt;-2,"Magreza",IF($K117&lt;=1,"Eutrofia",IF($K117&lt;=2,"Risco de sobrepeso",IF($K117&lt;=3,"Sobrepeso","Obesidade"))))),IF($K117&lt;-3,"Magreza acentuada",IF($K117&lt;-2,"Magreza",IF($K117&lt;=1,"Eutrofia",IF($K117&lt;=2,"Sobrepeso",IF($K117&lt;=3,"Obesidade","Obesidade grave")))))))</f>
        <v/>
      </c>
      <c r="M117" s="12">
        <f>IF(OR($S117="",$V117="",$T117="",$T117&lt;0,$T117&gt;228,$AG117=""),"—",ROUND(IF($AG117=0,LN($V117/$AH117)/$AI117,((($V117/$AH117)^$AG117)-1)/($AG117*$AI117)),2))</f>
        <v/>
      </c>
      <c r="N117">
        <f>IF(OR($M117="",$M117="—"),"",IF($M117&lt;-3,"Muito baixa",IF($M117&lt;-2,"Baixa","Adequada")))</f>
        <v/>
      </c>
      <c r="O117" s="12">
        <f>IF(OR($S117="",$F117="",$T117="",$T117&lt;0,$T117&gt;120,$AJ117=""),"—",ROUND(IF(ABS($AM117)&lt;=3,$AM117,IF($AM117&gt;3,3+($F117-$AO117)/($AO117-$AN117),-3+($F117-$AQ117)/($AP117-$AQ117))),2))</f>
        <v/>
      </c>
      <c r="P117">
        <f>IF(OR($O117="",$O117="—"),"",IF($O117&lt;-3,"Muito baixo",IF($O117&lt;-2,"Baixo",IF($O117&lt;=2,"Adequado","Elevado"))))</f>
        <v/>
      </c>
      <c r="Q117" s="12">
        <f>IF(OR($S117="",$F117="",$T117="",$T117&lt;0,$T117&gt;60,$AR117=""),"—",ROUND(IF(ABS($AU117)&lt;=3,$AU117,IF($AU117&gt;3,3+($F117-$AW117)/($AW117-$AV117),-3+($F117-$AY117)/($AX117-$AY117))),2))</f>
        <v/>
      </c>
      <c r="R117">
        <f>IF(OR($Q117="",$Q117="—"),"",IF($Q117&lt;-3,"Magreza acentuada",IF($Q117&lt;-2,"Magreza",IF($Q117&lt;=1,"Eutrofia",IF($Q117&lt;=2,"Risco de sobrepeso",IF($Q117&lt;=3,"Sobrepeso","Obesidade"))))))</f>
        <v/>
      </c>
      <c r="S117">
        <f>IF($C117="","",IF(UPPER(LEFT($C117,1))="M",1,IF(UPPER(LEFT($C117,1))="F",2,"")))</f>
        <v/>
      </c>
      <c r="T117">
        <f>IF(OR($D117="",$E117=""),"",DATEDIF($D117,$E117,"m"))</f>
        <v/>
      </c>
      <c r="U117">
        <f>IF(OR($D117="",$E117=""),"",$E117-$D117)</f>
        <v/>
      </c>
      <c r="V117">
        <f>IF(OR($G117="",$T117=""),"",IF($T117&lt;24,IF(LEFT(LOWER($H117),4)="em p",$G117+0.7,$G117),IF(LEFT(LOWER($H117),4)="deit",$G117-0.7,$G117)))</f>
        <v/>
      </c>
      <c r="W117">
        <f>IF(OR($S117="",$T117=""),"",$S117*1000000+IF($T117&lt;=60,$U117,$T117))</f>
        <v/>
      </c>
      <c r="X117">
        <f>IF(OR($S117="",$V117="",$T117&gt;60,$T117=""),"",$S117*1000000+ROUND($V117*10,0))</f>
        <v/>
      </c>
      <c r="Y117">
        <f>IF($W117="","",IFERROR(INDEX(IF($T117&lt;=60,imc05_l,imc519_l),MATCH($W117,IF($T117&lt;=60,imc05_k,imc519_k),1)),""))</f>
        <v/>
      </c>
      <c r="Z117">
        <f>IF($W117="","",IFERROR(INDEX(IF($T117&lt;=60,imc05_m,imc519_m),MATCH($W117,IF($T117&lt;=60,imc05_k,imc519_k),1)),""))</f>
        <v/>
      </c>
      <c r="AA117">
        <f>IF($W117="","",IFERROR(INDEX(IF($T117&lt;=60,imc05_s,imc519_s),MATCH($W117,IF($T117&lt;=60,imc05_k,imc519_k),1)),""))</f>
        <v/>
      </c>
      <c r="AB117">
        <f>IF($Y117="","",IF($Y117=0,LN($J117/$Z117)/$AA117,((($J117/$Z117)^$Y117)-1)/($Y117*$AA117)))</f>
        <v/>
      </c>
      <c r="AC117">
        <f>IF($Y117="","",IF($Y117=0,$Z117*EXP($AA117*2),$Z117*(1+$Y117*$AA117*2)^(1/$Y117)))</f>
        <v/>
      </c>
      <c r="AD117">
        <f>IF($Y117="","",IF($Y117=0,$Z117*EXP($AA117*3),$Z117*(1+$Y117*$AA117*3)^(1/$Y117)))</f>
        <v/>
      </c>
      <c r="AE117">
        <f>IF($Y117="","",IF($Y117=0,$Z117*EXP($AA117*-2),$Z117*(1+$Y117*$AA117*-2)^(1/$Y117)))</f>
        <v/>
      </c>
      <c r="AF117">
        <f>IF($Y117="","",IF($Y117=0,$Z117*EXP($AA117*-3),$Z117*(1+$Y117*$AA117*-3)^(1/$Y117)))</f>
        <v/>
      </c>
      <c r="AG117">
        <f>IF($W117="","",IFERROR(INDEX(IF($T117&lt;=60,est05_l,est519_l),MATCH($W117,IF($T117&lt;=60,est05_k,est519_k),1)),""))</f>
        <v/>
      </c>
      <c r="AH117">
        <f>IF($W117="","",IFERROR(INDEX(IF($T117&lt;=60,est05_m,est519_m),MATCH($W117,IF($T117&lt;=60,est05_k,est519_k),1)),""))</f>
        <v/>
      </c>
      <c r="AI117">
        <f>IF($W117="","",IFERROR(INDEX(IF($T117&lt;=60,est05_s,est519_s),MATCH($W117,IF($T117&lt;=60,est05_k,est519_k),1)),""))</f>
        <v/>
      </c>
      <c r="AJ117">
        <f>IF($W117="","",IFERROR(INDEX(IF($T117&lt;=60,peso05_l,peso510_l),MATCH($W117,IF($T117&lt;=60,peso05_k,peso510_k),1)),""))</f>
        <v/>
      </c>
      <c r="AK117">
        <f>IF($W117="","",IFERROR(INDEX(IF($T117&lt;=60,peso05_m,peso510_m),MATCH($W117,IF($T117&lt;=60,peso05_k,peso510_k),1)),""))</f>
        <v/>
      </c>
      <c r="AL117">
        <f>IF($W117="","",IFERROR(INDEX(IF($T117&lt;=60,peso05_s,peso510_s),MATCH($W117,IF($T117&lt;=60,peso05_k,peso510_k),1)),""))</f>
        <v/>
      </c>
      <c r="AM117">
        <f>IF($AJ117="","",IF($AJ117=0,LN($F117/$AK117)/$AL117,((($F117/$AK117)^$AJ117)-1)/($AJ117*$AL117)))</f>
        <v/>
      </c>
      <c r="AN117">
        <f>IF($AJ117="","",IF($AJ117=0,$AK117*EXP($AL117*2),$AK117*(1+$AJ117*$AL117*2)^(1/$AJ117)))</f>
        <v/>
      </c>
      <c r="AO117">
        <f>IF($AJ117="","",IF($AJ117=0,$AK117*EXP($AL117*3),$AK117*(1+$AJ117*$AL117*3)^(1/$AJ117)))</f>
        <v/>
      </c>
      <c r="AP117">
        <f>IF($AJ117="","",IF($AJ117=0,$AK117*EXP($AL117*-2),$AK117*(1+$AJ117*$AL117*-2)^(1/$AJ117)))</f>
        <v/>
      </c>
      <c r="AQ117">
        <f>IF($AJ117="","",IF($AJ117=0,$AK117*EXP($AL117*-3),$AK117*(1+$AJ117*$AL117*-3)^(1/$AJ117)))</f>
        <v/>
      </c>
      <c r="AR117">
        <f>IF(OR($X117="",$T117&gt;60),"",IFERROR(INDEX(IF($T117&lt;24,pcomp_l,palt_l),MATCH($X117,IF($T117&lt;24,pcomp_k,palt_k),1)),""))</f>
        <v/>
      </c>
      <c r="AS117">
        <f>IF(OR($X117="",$T117&gt;60),"",IFERROR(INDEX(IF($T117&lt;24,pcomp_m,palt_m),MATCH($X117,IF($T117&lt;24,pcomp_k,palt_k),1)),""))</f>
        <v/>
      </c>
      <c r="AT117">
        <f>IF(OR($X117="",$T117&gt;60),"",IFERROR(INDEX(IF($T117&lt;24,pcomp_s,palt_s),MATCH($X117,IF($T117&lt;24,pcomp_k,palt_k),1)),""))</f>
        <v/>
      </c>
      <c r="AU117">
        <f>IF($AR117="","",IF($AR117=0,LN($F117/$AS117)/$AT117,((($F117/$AS117)^$AR117)-1)/($AR117*$AT117)))</f>
        <v/>
      </c>
      <c r="AV117">
        <f>IF($AR117="","",IF($AR117=0,$AS117*EXP($AT117*2),$AS117*(1+$AR117*$AT117*2)^(1/$AR117)))</f>
        <v/>
      </c>
      <c r="AW117">
        <f>IF($AR117="","",IF($AR117=0,$AS117*EXP($AT117*3),$AS117*(1+$AR117*$AT117*3)^(1/$AR117)))</f>
        <v/>
      </c>
      <c r="AX117">
        <f>IF($AR117="","",IF($AR117=0,$AS117*EXP($AT117*-2),$AS117*(1+$AR117*$AT117*-2)^(1/$AR117)))</f>
        <v/>
      </c>
      <c r="AY117">
        <f>IF($AR117="","",IF($AR117=0,$AS117*EXP($AT117*-3),$AS117*(1+$AR117*$AT117*-3)^(1/$AR117)))</f>
        <v/>
      </c>
      <c r="AZ117">
        <f>IF(OR($A117="",$A117&lt;&gt;Ficha!$C$4),"",COUNTIF($A$2:$A117,Ficha!$C$4))</f>
        <v/>
      </c>
    </row>
    <row r="118">
      <c r="A118" s="8">
        <f>IF(INDEX(Banco!$A:$A,ROW())="","",INDEX(Banco!$A:$A,ROW()))</f>
        <v/>
      </c>
      <c r="B118" s="8">
        <f>IF(INDEX(Banco!$B:$B,ROW())="","",INDEX(Banco!$B:$B,ROW()))</f>
        <v/>
      </c>
      <c r="C118" s="8">
        <f>IF(INDEX(Banco!$C:$C,ROW())="","",INDEX(Banco!$C:$C,ROW()))</f>
        <v/>
      </c>
      <c r="D118" s="9">
        <f>IF(INDEX(Banco!$D:$D,ROW())="","",INDEX(Banco!$D:$D,ROW()))</f>
        <v/>
      </c>
      <c r="E118" s="9">
        <f>IF(INDEX(Banco!$E:$E,ROW())="","",INDEX(Banco!$E:$E,ROW()))</f>
        <v/>
      </c>
      <c r="F118" s="10">
        <f>IF(INDEX(Banco!$F:$F,ROW())="","",INDEX(Banco!$F:$F,ROW()))</f>
        <v/>
      </c>
      <c r="G118" s="10">
        <f>IF(INDEX(Banco!$G:$G,ROW())="","",INDEX(Banco!$G:$G,ROW()))</f>
        <v/>
      </c>
      <c r="H118" s="8">
        <f>IF(INDEX(Banco!$H:$H,ROW())="","",INDEX(Banco!$H:$H,ROW()))</f>
        <v/>
      </c>
      <c r="I118">
        <f>IF($T118="","",INT($T118/12)&amp;"a "&amp;MOD($T118,12)&amp;"m")</f>
        <v/>
      </c>
      <c r="J118" s="11">
        <f>IF(OR($F118="",$G118=""),"",ROUND($F118/($G118/100)^2,2))</f>
        <v/>
      </c>
      <c r="K118" s="12">
        <f>IF(OR($S118="",$J118="",$T118="",$T118&lt;0,$T118&gt;228,$Y118=""),"—",ROUND(IF(ABS($AB118)&lt;=3,$AB118,IF($AB118&gt;3,3+($J118-$AD118)/($AD118-$AC118),-3+($J118-$AF118)/($AE118-$AF118))),2))</f>
        <v/>
      </c>
      <c r="L118">
        <f>IF(OR($K118="",$K118="—"),"",IF($T118&lt;=60,IF($K118&lt;-3,"Magreza acentuada",IF($K118&lt;-2,"Magreza",IF($K118&lt;=1,"Eutrofia",IF($K118&lt;=2,"Risco de sobrepeso",IF($K118&lt;=3,"Sobrepeso","Obesidade"))))),IF($K118&lt;-3,"Magreza acentuada",IF($K118&lt;-2,"Magreza",IF($K118&lt;=1,"Eutrofia",IF($K118&lt;=2,"Sobrepeso",IF($K118&lt;=3,"Obesidade","Obesidade grave")))))))</f>
        <v/>
      </c>
      <c r="M118" s="12">
        <f>IF(OR($S118="",$V118="",$T118="",$T118&lt;0,$T118&gt;228,$AG118=""),"—",ROUND(IF($AG118=0,LN($V118/$AH118)/$AI118,((($V118/$AH118)^$AG118)-1)/($AG118*$AI118)),2))</f>
        <v/>
      </c>
      <c r="N118">
        <f>IF(OR($M118="",$M118="—"),"",IF($M118&lt;-3,"Muito baixa",IF($M118&lt;-2,"Baixa","Adequada")))</f>
        <v/>
      </c>
      <c r="O118" s="12">
        <f>IF(OR($S118="",$F118="",$T118="",$T118&lt;0,$T118&gt;120,$AJ118=""),"—",ROUND(IF(ABS($AM118)&lt;=3,$AM118,IF($AM118&gt;3,3+($F118-$AO118)/($AO118-$AN118),-3+($F118-$AQ118)/($AP118-$AQ118))),2))</f>
        <v/>
      </c>
      <c r="P118">
        <f>IF(OR($O118="",$O118="—"),"",IF($O118&lt;-3,"Muito baixo",IF($O118&lt;-2,"Baixo",IF($O118&lt;=2,"Adequado","Elevado"))))</f>
        <v/>
      </c>
      <c r="Q118" s="12">
        <f>IF(OR($S118="",$F118="",$T118="",$T118&lt;0,$T118&gt;60,$AR118=""),"—",ROUND(IF(ABS($AU118)&lt;=3,$AU118,IF($AU118&gt;3,3+($F118-$AW118)/($AW118-$AV118),-3+($F118-$AY118)/($AX118-$AY118))),2))</f>
        <v/>
      </c>
      <c r="R118">
        <f>IF(OR($Q118="",$Q118="—"),"",IF($Q118&lt;-3,"Magreza acentuada",IF($Q118&lt;-2,"Magreza",IF($Q118&lt;=1,"Eutrofia",IF($Q118&lt;=2,"Risco de sobrepeso",IF($Q118&lt;=3,"Sobrepeso","Obesidade"))))))</f>
        <v/>
      </c>
      <c r="S118">
        <f>IF($C118="","",IF(UPPER(LEFT($C118,1))="M",1,IF(UPPER(LEFT($C118,1))="F",2,"")))</f>
        <v/>
      </c>
      <c r="T118">
        <f>IF(OR($D118="",$E118=""),"",DATEDIF($D118,$E118,"m"))</f>
        <v/>
      </c>
      <c r="U118">
        <f>IF(OR($D118="",$E118=""),"",$E118-$D118)</f>
        <v/>
      </c>
      <c r="V118">
        <f>IF(OR($G118="",$T118=""),"",IF($T118&lt;24,IF(LEFT(LOWER($H118),4)="em p",$G118+0.7,$G118),IF(LEFT(LOWER($H118),4)="deit",$G118-0.7,$G118)))</f>
        <v/>
      </c>
      <c r="W118">
        <f>IF(OR($S118="",$T118=""),"",$S118*1000000+IF($T118&lt;=60,$U118,$T118))</f>
        <v/>
      </c>
      <c r="X118">
        <f>IF(OR($S118="",$V118="",$T118&gt;60,$T118=""),"",$S118*1000000+ROUND($V118*10,0))</f>
        <v/>
      </c>
      <c r="Y118">
        <f>IF($W118="","",IFERROR(INDEX(IF($T118&lt;=60,imc05_l,imc519_l),MATCH($W118,IF($T118&lt;=60,imc05_k,imc519_k),1)),""))</f>
        <v/>
      </c>
      <c r="Z118">
        <f>IF($W118="","",IFERROR(INDEX(IF($T118&lt;=60,imc05_m,imc519_m),MATCH($W118,IF($T118&lt;=60,imc05_k,imc519_k),1)),""))</f>
        <v/>
      </c>
      <c r="AA118">
        <f>IF($W118="","",IFERROR(INDEX(IF($T118&lt;=60,imc05_s,imc519_s),MATCH($W118,IF($T118&lt;=60,imc05_k,imc519_k),1)),""))</f>
        <v/>
      </c>
      <c r="AB118">
        <f>IF($Y118="","",IF($Y118=0,LN($J118/$Z118)/$AA118,((($J118/$Z118)^$Y118)-1)/($Y118*$AA118)))</f>
        <v/>
      </c>
      <c r="AC118">
        <f>IF($Y118="","",IF($Y118=0,$Z118*EXP($AA118*2),$Z118*(1+$Y118*$AA118*2)^(1/$Y118)))</f>
        <v/>
      </c>
      <c r="AD118">
        <f>IF($Y118="","",IF($Y118=0,$Z118*EXP($AA118*3),$Z118*(1+$Y118*$AA118*3)^(1/$Y118)))</f>
        <v/>
      </c>
      <c r="AE118">
        <f>IF($Y118="","",IF($Y118=0,$Z118*EXP($AA118*-2),$Z118*(1+$Y118*$AA118*-2)^(1/$Y118)))</f>
        <v/>
      </c>
      <c r="AF118">
        <f>IF($Y118="","",IF($Y118=0,$Z118*EXP($AA118*-3),$Z118*(1+$Y118*$AA118*-3)^(1/$Y118)))</f>
        <v/>
      </c>
      <c r="AG118">
        <f>IF($W118="","",IFERROR(INDEX(IF($T118&lt;=60,est05_l,est519_l),MATCH($W118,IF($T118&lt;=60,est05_k,est519_k),1)),""))</f>
        <v/>
      </c>
      <c r="AH118">
        <f>IF($W118="","",IFERROR(INDEX(IF($T118&lt;=60,est05_m,est519_m),MATCH($W118,IF($T118&lt;=60,est05_k,est519_k),1)),""))</f>
        <v/>
      </c>
      <c r="AI118">
        <f>IF($W118="","",IFERROR(INDEX(IF($T118&lt;=60,est05_s,est519_s),MATCH($W118,IF($T118&lt;=60,est05_k,est519_k),1)),""))</f>
        <v/>
      </c>
      <c r="AJ118">
        <f>IF($W118="","",IFERROR(INDEX(IF($T118&lt;=60,peso05_l,peso510_l),MATCH($W118,IF($T118&lt;=60,peso05_k,peso510_k),1)),""))</f>
        <v/>
      </c>
      <c r="AK118">
        <f>IF($W118="","",IFERROR(INDEX(IF($T118&lt;=60,peso05_m,peso510_m),MATCH($W118,IF($T118&lt;=60,peso05_k,peso510_k),1)),""))</f>
        <v/>
      </c>
      <c r="AL118">
        <f>IF($W118="","",IFERROR(INDEX(IF($T118&lt;=60,peso05_s,peso510_s),MATCH($W118,IF($T118&lt;=60,peso05_k,peso510_k),1)),""))</f>
        <v/>
      </c>
      <c r="AM118">
        <f>IF($AJ118="","",IF($AJ118=0,LN($F118/$AK118)/$AL118,((($F118/$AK118)^$AJ118)-1)/($AJ118*$AL118)))</f>
        <v/>
      </c>
      <c r="AN118">
        <f>IF($AJ118="","",IF($AJ118=0,$AK118*EXP($AL118*2),$AK118*(1+$AJ118*$AL118*2)^(1/$AJ118)))</f>
        <v/>
      </c>
      <c r="AO118">
        <f>IF($AJ118="","",IF($AJ118=0,$AK118*EXP($AL118*3),$AK118*(1+$AJ118*$AL118*3)^(1/$AJ118)))</f>
        <v/>
      </c>
      <c r="AP118">
        <f>IF($AJ118="","",IF($AJ118=0,$AK118*EXP($AL118*-2),$AK118*(1+$AJ118*$AL118*-2)^(1/$AJ118)))</f>
        <v/>
      </c>
      <c r="AQ118">
        <f>IF($AJ118="","",IF($AJ118=0,$AK118*EXP($AL118*-3),$AK118*(1+$AJ118*$AL118*-3)^(1/$AJ118)))</f>
        <v/>
      </c>
      <c r="AR118">
        <f>IF(OR($X118="",$T118&gt;60),"",IFERROR(INDEX(IF($T118&lt;24,pcomp_l,palt_l),MATCH($X118,IF($T118&lt;24,pcomp_k,palt_k),1)),""))</f>
        <v/>
      </c>
      <c r="AS118">
        <f>IF(OR($X118="",$T118&gt;60),"",IFERROR(INDEX(IF($T118&lt;24,pcomp_m,palt_m),MATCH($X118,IF($T118&lt;24,pcomp_k,palt_k),1)),""))</f>
        <v/>
      </c>
      <c r="AT118">
        <f>IF(OR($X118="",$T118&gt;60),"",IFERROR(INDEX(IF($T118&lt;24,pcomp_s,palt_s),MATCH($X118,IF($T118&lt;24,pcomp_k,palt_k),1)),""))</f>
        <v/>
      </c>
      <c r="AU118">
        <f>IF($AR118="","",IF($AR118=0,LN($F118/$AS118)/$AT118,((($F118/$AS118)^$AR118)-1)/($AR118*$AT118)))</f>
        <v/>
      </c>
      <c r="AV118">
        <f>IF($AR118="","",IF($AR118=0,$AS118*EXP($AT118*2),$AS118*(1+$AR118*$AT118*2)^(1/$AR118)))</f>
        <v/>
      </c>
      <c r="AW118">
        <f>IF($AR118="","",IF($AR118=0,$AS118*EXP($AT118*3),$AS118*(1+$AR118*$AT118*3)^(1/$AR118)))</f>
        <v/>
      </c>
      <c r="AX118">
        <f>IF($AR118="","",IF($AR118=0,$AS118*EXP($AT118*-2),$AS118*(1+$AR118*$AT118*-2)^(1/$AR118)))</f>
        <v/>
      </c>
      <c r="AY118">
        <f>IF($AR118="","",IF($AR118=0,$AS118*EXP($AT118*-3),$AS118*(1+$AR118*$AT118*-3)^(1/$AR118)))</f>
        <v/>
      </c>
      <c r="AZ118">
        <f>IF(OR($A118="",$A118&lt;&gt;Ficha!$C$4),"",COUNTIF($A$2:$A118,Ficha!$C$4))</f>
        <v/>
      </c>
    </row>
    <row r="119">
      <c r="A119" s="8">
        <f>IF(INDEX(Banco!$A:$A,ROW())="","",INDEX(Banco!$A:$A,ROW()))</f>
        <v/>
      </c>
      <c r="B119" s="8">
        <f>IF(INDEX(Banco!$B:$B,ROW())="","",INDEX(Banco!$B:$B,ROW()))</f>
        <v/>
      </c>
      <c r="C119" s="8">
        <f>IF(INDEX(Banco!$C:$C,ROW())="","",INDEX(Banco!$C:$C,ROW()))</f>
        <v/>
      </c>
      <c r="D119" s="9">
        <f>IF(INDEX(Banco!$D:$D,ROW())="","",INDEX(Banco!$D:$D,ROW()))</f>
        <v/>
      </c>
      <c r="E119" s="9">
        <f>IF(INDEX(Banco!$E:$E,ROW())="","",INDEX(Banco!$E:$E,ROW()))</f>
        <v/>
      </c>
      <c r="F119" s="10">
        <f>IF(INDEX(Banco!$F:$F,ROW())="","",INDEX(Banco!$F:$F,ROW()))</f>
        <v/>
      </c>
      <c r="G119" s="10">
        <f>IF(INDEX(Banco!$G:$G,ROW())="","",INDEX(Banco!$G:$G,ROW()))</f>
        <v/>
      </c>
      <c r="H119" s="8">
        <f>IF(INDEX(Banco!$H:$H,ROW())="","",INDEX(Banco!$H:$H,ROW()))</f>
        <v/>
      </c>
      <c r="I119">
        <f>IF($T119="","",INT($T119/12)&amp;"a "&amp;MOD($T119,12)&amp;"m")</f>
        <v/>
      </c>
      <c r="J119" s="11">
        <f>IF(OR($F119="",$G119=""),"",ROUND($F119/($G119/100)^2,2))</f>
        <v/>
      </c>
      <c r="K119" s="12">
        <f>IF(OR($S119="",$J119="",$T119="",$T119&lt;0,$T119&gt;228,$Y119=""),"—",ROUND(IF(ABS($AB119)&lt;=3,$AB119,IF($AB119&gt;3,3+($J119-$AD119)/($AD119-$AC119),-3+($J119-$AF119)/($AE119-$AF119))),2))</f>
        <v/>
      </c>
      <c r="L119">
        <f>IF(OR($K119="",$K119="—"),"",IF($T119&lt;=60,IF($K119&lt;-3,"Magreza acentuada",IF($K119&lt;-2,"Magreza",IF($K119&lt;=1,"Eutrofia",IF($K119&lt;=2,"Risco de sobrepeso",IF($K119&lt;=3,"Sobrepeso","Obesidade"))))),IF($K119&lt;-3,"Magreza acentuada",IF($K119&lt;-2,"Magreza",IF($K119&lt;=1,"Eutrofia",IF($K119&lt;=2,"Sobrepeso",IF($K119&lt;=3,"Obesidade","Obesidade grave")))))))</f>
        <v/>
      </c>
      <c r="M119" s="12">
        <f>IF(OR($S119="",$V119="",$T119="",$T119&lt;0,$T119&gt;228,$AG119=""),"—",ROUND(IF($AG119=0,LN($V119/$AH119)/$AI119,((($V119/$AH119)^$AG119)-1)/($AG119*$AI119)),2))</f>
        <v/>
      </c>
      <c r="N119">
        <f>IF(OR($M119="",$M119="—"),"",IF($M119&lt;-3,"Muito baixa",IF($M119&lt;-2,"Baixa","Adequada")))</f>
        <v/>
      </c>
      <c r="O119" s="12">
        <f>IF(OR($S119="",$F119="",$T119="",$T119&lt;0,$T119&gt;120,$AJ119=""),"—",ROUND(IF(ABS($AM119)&lt;=3,$AM119,IF($AM119&gt;3,3+($F119-$AO119)/($AO119-$AN119),-3+($F119-$AQ119)/($AP119-$AQ119))),2))</f>
        <v/>
      </c>
      <c r="P119">
        <f>IF(OR($O119="",$O119="—"),"",IF($O119&lt;-3,"Muito baixo",IF($O119&lt;-2,"Baixo",IF($O119&lt;=2,"Adequado","Elevado"))))</f>
        <v/>
      </c>
      <c r="Q119" s="12">
        <f>IF(OR($S119="",$F119="",$T119="",$T119&lt;0,$T119&gt;60,$AR119=""),"—",ROUND(IF(ABS($AU119)&lt;=3,$AU119,IF($AU119&gt;3,3+($F119-$AW119)/($AW119-$AV119),-3+($F119-$AY119)/($AX119-$AY119))),2))</f>
        <v/>
      </c>
      <c r="R119">
        <f>IF(OR($Q119="",$Q119="—"),"",IF($Q119&lt;-3,"Magreza acentuada",IF($Q119&lt;-2,"Magreza",IF($Q119&lt;=1,"Eutrofia",IF($Q119&lt;=2,"Risco de sobrepeso",IF($Q119&lt;=3,"Sobrepeso","Obesidade"))))))</f>
        <v/>
      </c>
      <c r="S119">
        <f>IF($C119="","",IF(UPPER(LEFT($C119,1))="M",1,IF(UPPER(LEFT($C119,1))="F",2,"")))</f>
        <v/>
      </c>
      <c r="T119">
        <f>IF(OR($D119="",$E119=""),"",DATEDIF($D119,$E119,"m"))</f>
        <v/>
      </c>
      <c r="U119">
        <f>IF(OR($D119="",$E119=""),"",$E119-$D119)</f>
        <v/>
      </c>
      <c r="V119">
        <f>IF(OR($G119="",$T119=""),"",IF($T119&lt;24,IF(LEFT(LOWER($H119),4)="em p",$G119+0.7,$G119),IF(LEFT(LOWER($H119),4)="deit",$G119-0.7,$G119)))</f>
        <v/>
      </c>
      <c r="W119">
        <f>IF(OR($S119="",$T119=""),"",$S119*1000000+IF($T119&lt;=60,$U119,$T119))</f>
        <v/>
      </c>
      <c r="X119">
        <f>IF(OR($S119="",$V119="",$T119&gt;60,$T119=""),"",$S119*1000000+ROUND($V119*10,0))</f>
        <v/>
      </c>
      <c r="Y119">
        <f>IF($W119="","",IFERROR(INDEX(IF($T119&lt;=60,imc05_l,imc519_l),MATCH($W119,IF($T119&lt;=60,imc05_k,imc519_k),1)),""))</f>
        <v/>
      </c>
      <c r="Z119">
        <f>IF($W119="","",IFERROR(INDEX(IF($T119&lt;=60,imc05_m,imc519_m),MATCH($W119,IF($T119&lt;=60,imc05_k,imc519_k),1)),""))</f>
        <v/>
      </c>
      <c r="AA119">
        <f>IF($W119="","",IFERROR(INDEX(IF($T119&lt;=60,imc05_s,imc519_s),MATCH($W119,IF($T119&lt;=60,imc05_k,imc519_k),1)),""))</f>
        <v/>
      </c>
      <c r="AB119">
        <f>IF($Y119="","",IF($Y119=0,LN($J119/$Z119)/$AA119,((($J119/$Z119)^$Y119)-1)/($Y119*$AA119)))</f>
        <v/>
      </c>
      <c r="AC119">
        <f>IF($Y119="","",IF($Y119=0,$Z119*EXP($AA119*2),$Z119*(1+$Y119*$AA119*2)^(1/$Y119)))</f>
        <v/>
      </c>
      <c r="AD119">
        <f>IF($Y119="","",IF($Y119=0,$Z119*EXP($AA119*3),$Z119*(1+$Y119*$AA119*3)^(1/$Y119)))</f>
        <v/>
      </c>
      <c r="AE119">
        <f>IF($Y119="","",IF($Y119=0,$Z119*EXP($AA119*-2),$Z119*(1+$Y119*$AA119*-2)^(1/$Y119)))</f>
        <v/>
      </c>
      <c r="AF119">
        <f>IF($Y119="","",IF($Y119=0,$Z119*EXP($AA119*-3),$Z119*(1+$Y119*$AA119*-3)^(1/$Y119)))</f>
        <v/>
      </c>
      <c r="AG119">
        <f>IF($W119="","",IFERROR(INDEX(IF($T119&lt;=60,est05_l,est519_l),MATCH($W119,IF($T119&lt;=60,est05_k,est519_k),1)),""))</f>
        <v/>
      </c>
      <c r="AH119">
        <f>IF($W119="","",IFERROR(INDEX(IF($T119&lt;=60,est05_m,est519_m),MATCH($W119,IF($T119&lt;=60,est05_k,est519_k),1)),""))</f>
        <v/>
      </c>
      <c r="AI119">
        <f>IF($W119="","",IFERROR(INDEX(IF($T119&lt;=60,est05_s,est519_s),MATCH($W119,IF($T119&lt;=60,est05_k,est519_k),1)),""))</f>
        <v/>
      </c>
      <c r="AJ119">
        <f>IF($W119="","",IFERROR(INDEX(IF($T119&lt;=60,peso05_l,peso510_l),MATCH($W119,IF($T119&lt;=60,peso05_k,peso510_k),1)),""))</f>
        <v/>
      </c>
      <c r="AK119">
        <f>IF($W119="","",IFERROR(INDEX(IF($T119&lt;=60,peso05_m,peso510_m),MATCH($W119,IF($T119&lt;=60,peso05_k,peso510_k),1)),""))</f>
        <v/>
      </c>
      <c r="AL119">
        <f>IF($W119="","",IFERROR(INDEX(IF($T119&lt;=60,peso05_s,peso510_s),MATCH($W119,IF($T119&lt;=60,peso05_k,peso510_k),1)),""))</f>
        <v/>
      </c>
      <c r="AM119">
        <f>IF($AJ119="","",IF($AJ119=0,LN($F119/$AK119)/$AL119,((($F119/$AK119)^$AJ119)-1)/($AJ119*$AL119)))</f>
        <v/>
      </c>
      <c r="AN119">
        <f>IF($AJ119="","",IF($AJ119=0,$AK119*EXP($AL119*2),$AK119*(1+$AJ119*$AL119*2)^(1/$AJ119)))</f>
        <v/>
      </c>
      <c r="AO119">
        <f>IF($AJ119="","",IF($AJ119=0,$AK119*EXP($AL119*3),$AK119*(1+$AJ119*$AL119*3)^(1/$AJ119)))</f>
        <v/>
      </c>
      <c r="AP119">
        <f>IF($AJ119="","",IF($AJ119=0,$AK119*EXP($AL119*-2),$AK119*(1+$AJ119*$AL119*-2)^(1/$AJ119)))</f>
        <v/>
      </c>
      <c r="AQ119">
        <f>IF($AJ119="","",IF($AJ119=0,$AK119*EXP($AL119*-3),$AK119*(1+$AJ119*$AL119*-3)^(1/$AJ119)))</f>
        <v/>
      </c>
      <c r="AR119">
        <f>IF(OR($X119="",$T119&gt;60),"",IFERROR(INDEX(IF($T119&lt;24,pcomp_l,palt_l),MATCH($X119,IF($T119&lt;24,pcomp_k,palt_k),1)),""))</f>
        <v/>
      </c>
      <c r="AS119">
        <f>IF(OR($X119="",$T119&gt;60),"",IFERROR(INDEX(IF($T119&lt;24,pcomp_m,palt_m),MATCH($X119,IF($T119&lt;24,pcomp_k,palt_k),1)),""))</f>
        <v/>
      </c>
      <c r="AT119">
        <f>IF(OR($X119="",$T119&gt;60),"",IFERROR(INDEX(IF($T119&lt;24,pcomp_s,palt_s),MATCH($X119,IF($T119&lt;24,pcomp_k,palt_k),1)),""))</f>
        <v/>
      </c>
      <c r="AU119">
        <f>IF($AR119="","",IF($AR119=0,LN($F119/$AS119)/$AT119,((($F119/$AS119)^$AR119)-1)/($AR119*$AT119)))</f>
        <v/>
      </c>
      <c r="AV119">
        <f>IF($AR119="","",IF($AR119=0,$AS119*EXP($AT119*2),$AS119*(1+$AR119*$AT119*2)^(1/$AR119)))</f>
        <v/>
      </c>
      <c r="AW119">
        <f>IF($AR119="","",IF($AR119=0,$AS119*EXP($AT119*3),$AS119*(1+$AR119*$AT119*3)^(1/$AR119)))</f>
        <v/>
      </c>
      <c r="AX119">
        <f>IF($AR119="","",IF($AR119=0,$AS119*EXP($AT119*-2),$AS119*(1+$AR119*$AT119*-2)^(1/$AR119)))</f>
        <v/>
      </c>
      <c r="AY119">
        <f>IF($AR119="","",IF($AR119=0,$AS119*EXP($AT119*-3),$AS119*(1+$AR119*$AT119*-3)^(1/$AR119)))</f>
        <v/>
      </c>
      <c r="AZ119">
        <f>IF(OR($A119="",$A119&lt;&gt;Ficha!$C$4),"",COUNTIF($A$2:$A119,Ficha!$C$4))</f>
        <v/>
      </c>
    </row>
    <row r="120">
      <c r="A120" s="8">
        <f>IF(INDEX(Banco!$A:$A,ROW())="","",INDEX(Banco!$A:$A,ROW()))</f>
        <v/>
      </c>
      <c r="B120" s="8">
        <f>IF(INDEX(Banco!$B:$B,ROW())="","",INDEX(Banco!$B:$B,ROW()))</f>
        <v/>
      </c>
      <c r="C120" s="8">
        <f>IF(INDEX(Banco!$C:$C,ROW())="","",INDEX(Banco!$C:$C,ROW()))</f>
        <v/>
      </c>
      <c r="D120" s="9">
        <f>IF(INDEX(Banco!$D:$D,ROW())="","",INDEX(Banco!$D:$D,ROW()))</f>
        <v/>
      </c>
      <c r="E120" s="9">
        <f>IF(INDEX(Banco!$E:$E,ROW())="","",INDEX(Banco!$E:$E,ROW()))</f>
        <v/>
      </c>
      <c r="F120" s="10">
        <f>IF(INDEX(Banco!$F:$F,ROW())="","",INDEX(Banco!$F:$F,ROW()))</f>
        <v/>
      </c>
      <c r="G120" s="10">
        <f>IF(INDEX(Banco!$G:$G,ROW())="","",INDEX(Banco!$G:$G,ROW()))</f>
        <v/>
      </c>
      <c r="H120" s="8">
        <f>IF(INDEX(Banco!$H:$H,ROW())="","",INDEX(Banco!$H:$H,ROW()))</f>
        <v/>
      </c>
      <c r="I120">
        <f>IF($T120="","",INT($T120/12)&amp;"a "&amp;MOD($T120,12)&amp;"m")</f>
        <v/>
      </c>
      <c r="J120" s="11">
        <f>IF(OR($F120="",$G120=""),"",ROUND($F120/($G120/100)^2,2))</f>
        <v/>
      </c>
      <c r="K120" s="12">
        <f>IF(OR($S120="",$J120="",$T120="",$T120&lt;0,$T120&gt;228,$Y120=""),"—",ROUND(IF(ABS($AB120)&lt;=3,$AB120,IF($AB120&gt;3,3+($J120-$AD120)/($AD120-$AC120),-3+($J120-$AF120)/($AE120-$AF120))),2))</f>
        <v/>
      </c>
      <c r="L120">
        <f>IF(OR($K120="",$K120="—"),"",IF($T120&lt;=60,IF($K120&lt;-3,"Magreza acentuada",IF($K120&lt;-2,"Magreza",IF($K120&lt;=1,"Eutrofia",IF($K120&lt;=2,"Risco de sobrepeso",IF($K120&lt;=3,"Sobrepeso","Obesidade"))))),IF($K120&lt;-3,"Magreza acentuada",IF($K120&lt;-2,"Magreza",IF($K120&lt;=1,"Eutrofia",IF($K120&lt;=2,"Sobrepeso",IF($K120&lt;=3,"Obesidade","Obesidade grave")))))))</f>
        <v/>
      </c>
      <c r="M120" s="12">
        <f>IF(OR($S120="",$V120="",$T120="",$T120&lt;0,$T120&gt;228,$AG120=""),"—",ROUND(IF($AG120=0,LN($V120/$AH120)/$AI120,((($V120/$AH120)^$AG120)-1)/($AG120*$AI120)),2))</f>
        <v/>
      </c>
      <c r="N120">
        <f>IF(OR($M120="",$M120="—"),"",IF($M120&lt;-3,"Muito baixa",IF($M120&lt;-2,"Baixa","Adequada")))</f>
        <v/>
      </c>
      <c r="O120" s="12">
        <f>IF(OR($S120="",$F120="",$T120="",$T120&lt;0,$T120&gt;120,$AJ120=""),"—",ROUND(IF(ABS($AM120)&lt;=3,$AM120,IF($AM120&gt;3,3+($F120-$AO120)/($AO120-$AN120),-3+($F120-$AQ120)/($AP120-$AQ120))),2))</f>
        <v/>
      </c>
      <c r="P120">
        <f>IF(OR($O120="",$O120="—"),"",IF($O120&lt;-3,"Muito baixo",IF($O120&lt;-2,"Baixo",IF($O120&lt;=2,"Adequado","Elevado"))))</f>
        <v/>
      </c>
      <c r="Q120" s="12">
        <f>IF(OR($S120="",$F120="",$T120="",$T120&lt;0,$T120&gt;60,$AR120=""),"—",ROUND(IF(ABS($AU120)&lt;=3,$AU120,IF($AU120&gt;3,3+($F120-$AW120)/($AW120-$AV120),-3+($F120-$AY120)/($AX120-$AY120))),2))</f>
        <v/>
      </c>
      <c r="R120">
        <f>IF(OR($Q120="",$Q120="—"),"",IF($Q120&lt;-3,"Magreza acentuada",IF($Q120&lt;-2,"Magreza",IF($Q120&lt;=1,"Eutrofia",IF($Q120&lt;=2,"Risco de sobrepeso",IF($Q120&lt;=3,"Sobrepeso","Obesidade"))))))</f>
        <v/>
      </c>
      <c r="S120">
        <f>IF($C120="","",IF(UPPER(LEFT($C120,1))="M",1,IF(UPPER(LEFT($C120,1))="F",2,"")))</f>
        <v/>
      </c>
      <c r="T120">
        <f>IF(OR($D120="",$E120=""),"",DATEDIF($D120,$E120,"m"))</f>
        <v/>
      </c>
      <c r="U120">
        <f>IF(OR($D120="",$E120=""),"",$E120-$D120)</f>
        <v/>
      </c>
      <c r="V120">
        <f>IF(OR($G120="",$T120=""),"",IF($T120&lt;24,IF(LEFT(LOWER($H120),4)="em p",$G120+0.7,$G120),IF(LEFT(LOWER($H120),4)="deit",$G120-0.7,$G120)))</f>
        <v/>
      </c>
      <c r="W120">
        <f>IF(OR($S120="",$T120=""),"",$S120*1000000+IF($T120&lt;=60,$U120,$T120))</f>
        <v/>
      </c>
      <c r="X120">
        <f>IF(OR($S120="",$V120="",$T120&gt;60,$T120=""),"",$S120*1000000+ROUND($V120*10,0))</f>
        <v/>
      </c>
      <c r="Y120">
        <f>IF($W120="","",IFERROR(INDEX(IF($T120&lt;=60,imc05_l,imc519_l),MATCH($W120,IF($T120&lt;=60,imc05_k,imc519_k),1)),""))</f>
        <v/>
      </c>
      <c r="Z120">
        <f>IF($W120="","",IFERROR(INDEX(IF($T120&lt;=60,imc05_m,imc519_m),MATCH($W120,IF($T120&lt;=60,imc05_k,imc519_k),1)),""))</f>
        <v/>
      </c>
      <c r="AA120">
        <f>IF($W120="","",IFERROR(INDEX(IF($T120&lt;=60,imc05_s,imc519_s),MATCH($W120,IF($T120&lt;=60,imc05_k,imc519_k),1)),""))</f>
        <v/>
      </c>
      <c r="AB120">
        <f>IF($Y120="","",IF($Y120=0,LN($J120/$Z120)/$AA120,((($J120/$Z120)^$Y120)-1)/($Y120*$AA120)))</f>
        <v/>
      </c>
      <c r="AC120">
        <f>IF($Y120="","",IF($Y120=0,$Z120*EXP($AA120*2),$Z120*(1+$Y120*$AA120*2)^(1/$Y120)))</f>
        <v/>
      </c>
      <c r="AD120">
        <f>IF($Y120="","",IF($Y120=0,$Z120*EXP($AA120*3),$Z120*(1+$Y120*$AA120*3)^(1/$Y120)))</f>
        <v/>
      </c>
      <c r="AE120">
        <f>IF($Y120="","",IF($Y120=0,$Z120*EXP($AA120*-2),$Z120*(1+$Y120*$AA120*-2)^(1/$Y120)))</f>
        <v/>
      </c>
      <c r="AF120">
        <f>IF($Y120="","",IF($Y120=0,$Z120*EXP($AA120*-3),$Z120*(1+$Y120*$AA120*-3)^(1/$Y120)))</f>
        <v/>
      </c>
      <c r="AG120">
        <f>IF($W120="","",IFERROR(INDEX(IF($T120&lt;=60,est05_l,est519_l),MATCH($W120,IF($T120&lt;=60,est05_k,est519_k),1)),""))</f>
        <v/>
      </c>
      <c r="AH120">
        <f>IF($W120="","",IFERROR(INDEX(IF($T120&lt;=60,est05_m,est519_m),MATCH($W120,IF($T120&lt;=60,est05_k,est519_k),1)),""))</f>
        <v/>
      </c>
      <c r="AI120">
        <f>IF($W120="","",IFERROR(INDEX(IF($T120&lt;=60,est05_s,est519_s),MATCH($W120,IF($T120&lt;=60,est05_k,est519_k),1)),""))</f>
        <v/>
      </c>
      <c r="AJ120">
        <f>IF($W120="","",IFERROR(INDEX(IF($T120&lt;=60,peso05_l,peso510_l),MATCH($W120,IF($T120&lt;=60,peso05_k,peso510_k),1)),""))</f>
        <v/>
      </c>
      <c r="AK120">
        <f>IF($W120="","",IFERROR(INDEX(IF($T120&lt;=60,peso05_m,peso510_m),MATCH($W120,IF($T120&lt;=60,peso05_k,peso510_k),1)),""))</f>
        <v/>
      </c>
      <c r="AL120">
        <f>IF($W120="","",IFERROR(INDEX(IF($T120&lt;=60,peso05_s,peso510_s),MATCH($W120,IF($T120&lt;=60,peso05_k,peso510_k),1)),""))</f>
        <v/>
      </c>
      <c r="AM120">
        <f>IF($AJ120="","",IF($AJ120=0,LN($F120/$AK120)/$AL120,((($F120/$AK120)^$AJ120)-1)/($AJ120*$AL120)))</f>
        <v/>
      </c>
      <c r="AN120">
        <f>IF($AJ120="","",IF($AJ120=0,$AK120*EXP($AL120*2),$AK120*(1+$AJ120*$AL120*2)^(1/$AJ120)))</f>
        <v/>
      </c>
      <c r="AO120">
        <f>IF($AJ120="","",IF($AJ120=0,$AK120*EXP($AL120*3),$AK120*(1+$AJ120*$AL120*3)^(1/$AJ120)))</f>
        <v/>
      </c>
      <c r="AP120">
        <f>IF($AJ120="","",IF($AJ120=0,$AK120*EXP($AL120*-2),$AK120*(1+$AJ120*$AL120*-2)^(1/$AJ120)))</f>
        <v/>
      </c>
      <c r="AQ120">
        <f>IF($AJ120="","",IF($AJ120=0,$AK120*EXP($AL120*-3),$AK120*(1+$AJ120*$AL120*-3)^(1/$AJ120)))</f>
        <v/>
      </c>
      <c r="AR120">
        <f>IF(OR($X120="",$T120&gt;60),"",IFERROR(INDEX(IF($T120&lt;24,pcomp_l,palt_l),MATCH($X120,IF($T120&lt;24,pcomp_k,palt_k),1)),""))</f>
        <v/>
      </c>
      <c r="AS120">
        <f>IF(OR($X120="",$T120&gt;60),"",IFERROR(INDEX(IF($T120&lt;24,pcomp_m,palt_m),MATCH($X120,IF($T120&lt;24,pcomp_k,palt_k),1)),""))</f>
        <v/>
      </c>
      <c r="AT120">
        <f>IF(OR($X120="",$T120&gt;60),"",IFERROR(INDEX(IF($T120&lt;24,pcomp_s,palt_s),MATCH($X120,IF($T120&lt;24,pcomp_k,palt_k),1)),""))</f>
        <v/>
      </c>
      <c r="AU120">
        <f>IF($AR120="","",IF($AR120=0,LN($F120/$AS120)/$AT120,((($F120/$AS120)^$AR120)-1)/($AR120*$AT120)))</f>
        <v/>
      </c>
      <c r="AV120">
        <f>IF($AR120="","",IF($AR120=0,$AS120*EXP($AT120*2),$AS120*(1+$AR120*$AT120*2)^(1/$AR120)))</f>
        <v/>
      </c>
      <c r="AW120">
        <f>IF($AR120="","",IF($AR120=0,$AS120*EXP($AT120*3),$AS120*(1+$AR120*$AT120*3)^(1/$AR120)))</f>
        <v/>
      </c>
      <c r="AX120">
        <f>IF($AR120="","",IF($AR120=0,$AS120*EXP($AT120*-2),$AS120*(1+$AR120*$AT120*-2)^(1/$AR120)))</f>
        <v/>
      </c>
      <c r="AY120">
        <f>IF($AR120="","",IF($AR120=0,$AS120*EXP($AT120*-3),$AS120*(1+$AR120*$AT120*-3)^(1/$AR120)))</f>
        <v/>
      </c>
      <c r="AZ120">
        <f>IF(OR($A120="",$A120&lt;&gt;Ficha!$C$4),"",COUNTIF($A$2:$A120,Ficha!$C$4))</f>
        <v/>
      </c>
    </row>
    <row r="121">
      <c r="A121" s="8">
        <f>IF(INDEX(Banco!$A:$A,ROW())="","",INDEX(Banco!$A:$A,ROW()))</f>
        <v/>
      </c>
      <c r="B121" s="8">
        <f>IF(INDEX(Banco!$B:$B,ROW())="","",INDEX(Banco!$B:$B,ROW()))</f>
        <v/>
      </c>
      <c r="C121" s="8">
        <f>IF(INDEX(Banco!$C:$C,ROW())="","",INDEX(Banco!$C:$C,ROW()))</f>
        <v/>
      </c>
      <c r="D121" s="9">
        <f>IF(INDEX(Banco!$D:$D,ROW())="","",INDEX(Banco!$D:$D,ROW()))</f>
        <v/>
      </c>
      <c r="E121" s="9">
        <f>IF(INDEX(Banco!$E:$E,ROW())="","",INDEX(Banco!$E:$E,ROW()))</f>
        <v/>
      </c>
      <c r="F121" s="10">
        <f>IF(INDEX(Banco!$F:$F,ROW())="","",INDEX(Banco!$F:$F,ROW()))</f>
        <v/>
      </c>
      <c r="G121" s="10">
        <f>IF(INDEX(Banco!$G:$G,ROW())="","",INDEX(Banco!$G:$G,ROW()))</f>
        <v/>
      </c>
      <c r="H121" s="8">
        <f>IF(INDEX(Banco!$H:$H,ROW())="","",INDEX(Banco!$H:$H,ROW()))</f>
        <v/>
      </c>
      <c r="I121">
        <f>IF($T121="","",INT($T121/12)&amp;"a "&amp;MOD($T121,12)&amp;"m")</f>
        <v/>
      </c>
      <c r="J121" s="11">
        <f>IF(OR($F121="",$G121=""),"",ROUND($F121/($G121/100)^2,2))</f>
        <v/>
      </c>
      <c r="K121" s="12">
        <f>IF(OR($S121="",$J121="",$T121="",$T121&lt;0,$T121&gt;228,$Y121=""),"—",ROUND(IF(ABS($AB121)&lt;=3,$AB121,IF($AB121&gt;3,3+($J121-$AD121)/($AD121-$AC121),-3+($J121-$AF121)/($AE121-$AF121))),2))</f>
        <v/>
      </c>
      <c r="L121">
        <f>IF(OR($K121="",$K121="—"),"",IF($T121&lt;=60,IF($K121&lt;-3,"Magreza acentuada",IF($K121&lt;-2,"Magreza",IF($K121&lt;=1,"Eutrofia",IF($K121&lt;=2,"Risco de sobrepeso",IF($K121&lt;=3,"Sobrepeso","Obesidade"))))),IF($K121&lt;-3,"Magreza acentuada",IF($K121&lt;-2,"Magreza",IF($K121&lt;=1,"Eutrofia",IF($K121&lt;=2,"Sobrepeso",IF($K121&lt;=3,"Obesidade","Obesidade grave")))))))</f>
        <v/>
      </c>
      <c r="M121" s="12">
        <f>IF(OR($S121="",$V121="",$T121="",$T121&lt;0,$T121&gt;228,$AG121=""),"—",ROUND(IF($AG121=0,LN($V121/$AH121)/$AI121,((($V121/$AH121)^$AG121)-1)/($AG121*$AI121)),2))</f>
        <v/>
      </c>
      <c r="N121">
        <f>IF(OR($M121="",$M121="—"),"",IF($M121&lt;-3,"Muito baixa",IF($M121&lt;-2,"Baixa","Adequada")))</f>
        <v/>
      </c>
      <c r="O121" s="12">
        <f>IF(OR($S121="",$F121="",$T121="",$T121&lt;0,$T121&gt;120,$AJ121=""),"—",ROUND(IF(ABS($AM121)&lt;=3,$AM121,IF($AM121&gt;3,3+($F121-$AO121)/($AO121-$AN121),-3+($F121-$AQ121)/($AP121-$AQ121))),2))</f>
        <v/>
      </c>
      <c r="P121">
        <f>IF(OR($O121="",$O121="—"),"",IF($O121&lt;-3,"Muito baixo",IF($O121&lt;-2,"Baixo",IF($O121&lt;=2,"Adequado","Elevado"))))</f>
        <v/>
      </c>
      <c r="Q121" s="12">
        <f>IF(OR($S121="",$F121="",$T121="",$T121&lt;0,$T121&gt;60,$AR121=""),"—",ROUND(IF(ABS($AU121)&lt;=3,$AU121,IF($AU121&gt;3,3+($F121-$AW121)/($AW121-$AV121),-3+($F121-$AY121)/($AX121-$AY121))),2))</f>
        <v/>
      </c>
      <c r="R121">
        <f>IF(OR($Q121="",$Q121="—"),"",IF($Q121&lt;-3,"Magreza acentuada",IF($Q121&lt;-2,"Magreza",IF($Q121&lt;=1,"Eutrofia",IF($Q121&lt;=2,"Risco de sobrepeso",IF($Q121&lt;=3,"Sobrepeso","Obesidade"))))))</f>
        <v/>
      </c>
      <c r="S121">
        <f>IF($C121="","",IF(UPPER(LEFT($C121,1))="M",1,IF(UPPER(LEFT($C121,1))="F",2,"")))</f>
        <v/>
      </c>
      <c r="T121">
        <f>IF(OR($D121="",$E121=""),"",DATEDIF($D121,$E121,"m"))</f>
        <v/>
      </c>
      <c r="U121">
        <f>IF(OR($D121="",$E121=""),"",$E121-$D121)</f>
        <v/>
      </c>
      <c r="V121">
        <f>IF(OR($G121="",$T121=""),"",IF($T121&lt;24,IF(LEFT(LOWER($H121),4)="em p",$G121+0.7,$G121),IF(LEFT(LOWER($H121),4)="deit",$G121-0.7,$G121)))</f>
        <v/>
      </c>
      <c r="W121">
        <f>IF(OR($S121="",$T121=""),"",$S121*1000000+IF($T121&lt;=60,$U121,$T121))</f>
        <v/>
      </c>
      <c r="X121">
        <f>IF(OR($S121="",$V121="",$T121&gt;60,$T121=""),"",$S121*1000000+ROUND($V121*10,0))</f>
        <v/>
      </c>
      <c r="Y121">
        <f>IF($W121="","",IFERROR(INDEX(IF($T121&lt;=60,imc05_l,imc519_l),MATCH($W121,IF($T121&lt;=60,imc05_k,imc519_k),1)),""))</f>
        <v/>
      </c>
      <c r="Z121">
        <f>IF($W121="","",IFERROR(INDEX(IF($T121&lt;=60,imc05_m,imc519_m),MATCH($W121,IF($T121&lt;=60,imc05_k,imc519_k),1)),""))</f>
        <v/>
      </c>
      <c r="AA121">
        <f>IF($W121="","",IFERROR(INDEX(IF($T121&lt;=60,imc05_s,imc519_s),MATCH($W121,IF($T121&lt;=60,imc05_k,imc519_k),1)),""))</f>
        <v/>
      </c>
      <c r="AB121">
        <f>IF($Y121="","",IF($Y121=0,LN($J121/$Z121)/$AA121,((($J121/$Z121)^$Y121)-1)/($Y121*$AA121)))</f>
        <v/>
      </c>
      <c r="AC121">
        <f>IF($Y121="","",IF($Y121=0,$Z121*EXP($AA121*2),$Z121*(1+$Y121*$AA121*2)^(1/$Y121)))</f>
        <v/>
      </c>
      <c r="AD121">
        <f>IF($Y121="","",IF($Y121=0,$Z121*EXP($AA121*3),$Z121*(1+$Y121*$AA121*3)^(1/$Y121)))</f>
        <v/>
      </c>
      <c r="AE121">
        <f>IF($Y121="","",IF($Y121=0,$Z121*EXP($AA121*-2),$Z121*(1+$Y121*$AA121*-2)^(1/$Y121)))</f>
        <v/>
      </c>
      <c r="AF121">
        <f>IF($Y121="","",IF($Y121=0,$Z121*EXP($AA121*-3),$Z121*(1+$Y121*$AA121*-3)^(1/$Y121)))</f>
        <v/>
      </c>
      <c r="AG121">
        <f>IF($W121="","",IFERROR(INDEX(IF($T121&lt;=60,est05_l,est519_l),MATCH($W121,IF($T121&lt;=60,est05_k,est519_k),1)),""))</f>
        <v/>
      </c>
      <c r="AH121">
        <f>IF($W121="","",IFERROR(INDEX(IF($T121&lt;=60,est05_m,est519_m),MATCH($W121,IF($T121&lt;=60,est05_k,est519_k),1)),""))</f>
        <v/>
      </c>
      <c r="AI121">
        <f>IF($W121="","",IFERROR(INDEX(IF($T121&lt;=60,est05_s,est519_s),MATCH($W121,IF($T121&lt;=60,est05_k,est519_k),1)),""))</f>
        <v/>
      </c>
      <c r="AJ121">
        <f>IF($W121="","",IFERROR(INDEX(IF($T121&lt;=60,peso05_l,peso510_l),MATCH($W121,IF($T121&lt;=60,peso05_k,peso510_k),1)),""))</f>
        <v/>
      </c>
      <c r="AK121">
        <f>IF($W121="","",IFERROR(INDEX(IF($T121&lt;=60,peso05_m,peso510_m),MATCH($W121,IF($T121&lt;=60,peso05_k,peso510_k),1)),""))</f>
        <v/>
      </c>
      <c r="AL121">
        <f>IF($W121="","",IFERROR(INDEX(IF($T121&lt;=60,peso05_s,peso510_s),MATCH($W121,IF($T121&lt;=60,peso05_k,peso510_k),1)),""))</f>
        <v/>
      </c>
      <c r="AM121">
        <f>IF($AJ121="","",IF($AJ121=0,LN($F121/$AK121)/$AL121,((($F121/$AK121)^$AJ121)-1)/($AJ121*$AL121)))</f>
        <v/>
      </c>
      <c r="AN121">
        <f>IF($AJ121="","",IF($AJ121=0,$AK121*EXP($AL121*2),$AK121*(1+$AJ121*$AL121*2)^(1/$AJ121)))</f>
        <v/>
      </c>
      <c r="AO121">
        <f>IF($AJ121="","",IF($AJ121=0,$AK121*EXP($AL121*3),$AK121*(1+$AJ121*$AL121*3)^(1/$AJ121)))</f>
        <v/>
      </c>
      <c r="AP121">
        <f>IF($AJ121="","",IF($AJ121=0,$AK121*EXP($AL121*-2),$AK121*(1+$AJ121*$AL121*-2)^(1/$AJ121)))</f>
        <v/>
      </c>
      <c r="AQ121">
        <f>IF($AJ121="","",IF($AJ121=0,$AK121*EXP($AL121*-3),$AK121*(1+$AJ121*$AL121*-3)^(1/$AJ121)))</f>
        <v/>
      </c>
      <c r="AR121">
        <f>IF(OR($X121="",$T121&gt;60),"",IFERROR(INDEX(IF($T121&lt;24,pcomp_l,palt_l),MATCH($X121,IF($T121&lt;24,pcomp_k,palt_k),1)),""))</f>
        <v/>
      </c>
      <c r="AS121">
        <f>IF(OR($X121="",$T121&gt;60),"",IFERROR(INDEX(IF($T121&lt;24,pcomp_m,palt_m),MATCH($X121,IF($T121&lt;24,pcomp_k,palt_k),1)),""))</f>
        <v/>
      </c>
      <c r="AT121">
        <f>IF(OR($X121="",$T121&gt;60),"",IFERROR(INDEX(IF($T121&lt;24,pcomp_s,palt_s),MATCH($X121,IF($T121&lt;24,pcomp_k,palt_k),1)),""))</f>
        <v/>
      </c>
      <c r="AU121">
        <f>IF($AR121="","",IF($AR121=0,LN($F121/$AS121)/$AT121,((($F121/$AS121)^$AR121)-1)/($AR121*$AT121)))</f>
        <v/>
      </c>
      <c r="AV121">
        <f>IF($AR121="","",IF($AR121=0,$AS121*EXP($AT121*2),$AS121*(1+$AR121*$AT121*2)^(1/$AR121)))</f>
        <v/>
      </c>
      <c r="AW121">
        <f>IF($AR121="","",IF($AR121=0,$AS121*EXP($AT121*3),$AS121*(1+$AR121*$AT121*3)^(1/$AR121)))</f>
        <v/>
      </c>
      <c r="AX121">
        <f>IF($AR121="","",IF($AR121=0,$AS121*EXP($AT121*-2),$AS121*(1+$AR121*$AT121*-2)^(1/$AR121)))</f>
        <v/>
      </c>
      <c r="AY121">
        <f>IF($AR121="","",IF($AR121=0,$AS121*EXP($AT121*-3),$AS121*(1+$AR121*$AT121*-3)^(1/$AR121)))</f>
        <v/>
      </c>
      <c r="AZ121">
        <f>IF(OR($A121="",$A121&lt;&gt;Ficha!$C$4),"",COUNTIF($A$2:$A121,Ficha!$C$4))</f>
        <v/>
      </c>
    </row>
    <row r="122">
      <c r="A122" s="8">
        <f>IF(INDEX(Banco!$A:$A,ROW())="","",INDEX(Banco!$A:$A,ROW()))</f>
        <v/>
      </c>
      <c r="B122" s="8">
        <f>IF(INDEX(Banco!$B:$B,ROW())="","",INDEX(Banco!$B:$B,ROW()))</f>
        <v/>
      </c>
      <c r="C122" s="8">
        <f>IF(INDEX(Banco!$C:$C,ROW())="","",INDEX(Banco!$C:$C,ROW()))</f>
        <v/>
      </c>
      <c r="D122" s="9">
        <f>IF(INDEX(Banco!$D:$D,ROW())="","",INDEX(Banco!$D:$D,ROW()))</f>
        <v/>
      </c>
      <c r="E122" s="9">
        <f>IF(INDEX(Banco!$E:$E,ROW())="","",INDEX(Banco!$E:$E,ROW()))</f>
        <v/>
      </c>
      <c r="F122" s="10">
        <f>IF(INDEX(Banco!$F:$F,ROW())="","",INDEX(Banco!$F:$F,ROW()))</f>
        <v/>
      </c>
      <c r="G122" s="10">
        <f>IF(INDEX(Banco!$G:$G,ROW())="","",INDEX(Banco!$G:$G,ROW()))</f>
        <v/>
      </c>
      <c r="H122" s="8">
        <f>IF(INDEX(Banco!$H:$H,ROW())="","",INDEX(Banco!$H:$H,ROW()))</f>
        <v/>
      </c>
      <c r="I122">
        <f>IF($T122="","",INT($T122/12)&amp;"a "&amp;MOD($T122,12)&amp;"m")</f>
        <v/>
      </c>
      <c r="J122" s="11">
        <f>IF(OR($F122="",$G122=""),"",ROUND($F122/($G122/100)^2,2))</f>
        <v/>
      </c>
      <c r="K122" s="12">
        <f>IF(OR($S122="",$J122="",$T122="",$T122&lt;0,$T122&gt;228,$Y122=""),"—",ROUND(IF(ABS($AB122)&lt;=3,$AB122,IF($AB122&gt;3,3+($J122-$AD122)/($AD122-$AC122),-3+($J122-$AF122)/($AE122-$AF122))),2))</f>
        <v/>
      </c>
      <c r="L122">
        <f>IF(OR($K122="",$K122="—"),"",IF($T122&lt;=60,IF($K122&lt;-3,"Magreza acentuada",IF($K122&lt;-2,"Magreza",IF($K122&lt;=1,"Eutrofia",IF($K122&lt;=2,"Risco de sobrepeso",IF($K122&lt;=3,"Sobrepeso","Obesidade"))))),IF($K122&lt;-3,"Magreza acentuada",IF($K122&lt;-2,"Magreza",IF($K122&lt;=1,"Eutrofia",IF($K122&lt;=2,"Sobrepeso",IF($K122&lt;=3,"Obesidade","Obesidade grave")))))))</f>
        <v/>
      </c>
      <c r="M122" s="12">
        <f>IF(OR($S122="",$V122="",$T122="",$T122&lt;0,$T122&gt;228,$AG122=""),"—",ROUND(IF($AG122=0,LN($V122/$AH122)/$AI122,((($V122/$AH122)^$AG122)-1)/($AG122*$AI122)),2))</f>
        <v/>
      </c>
      <c r="N122">
        <f>IF(OR($M122="",$M122="—"),"",IF($M122&lt;-3,"Muito baixa",IF($M122&lt;-2,"Baixa","Adequada")))</f>
        <v/>
      </c>
      <c r="O122" s="12">
        <f>IF(OR($S122="",$F122="",$T122="",$T122&lt;0,$T122&gt;120,$AJ122=""),"—",ROUND(IF(ABS($AM122)&lt;=3,$AM122,IF($AM122&gt;3,3+($F122-$AO122)/($AO122-$AN122),-3+($F122-$AQ122)/($AP122-$AQ122))),2))</f>
        <v/>
      </c>
      <c r="P122">
        <f>IF(OR($O122="",$O122="—"),"",IF($O122&lt;-3,"Muito baixo",IF($O122&lt;-2,"Baixo",IF($O122&lt;=2,"Adequado","Elevado"))))</f>
        <v/>
      </c>
      <c r="Q122" s="12">
        <f>IF(OR($S122="",$F122="",$T122="",$T122&lt;0,$T122&gt;60,$AR122=""),"—",ROUND(IF(ABS($AU122)&lt;=3,$AU122,IF($AU122&gt;3,3+($F122-$AW122)/($AW122-$AV122),-3+($F122-$AY122)/($AX122-$AY122))),2))</f>
        <v/>
      </c>
      <c r="R122">
        <f>IF(OR($Q122="",$Q122="—"),"",IF($Q122&lt;-3,"Magreza acentuada",IF($Q122&lt;-2,"Magreza",IF($Q122&lt;=1,"Eutrofia",IF($Q122&lt;=2,"Risco de sobrepeso",IF($Q122&lt;=3,"Sobrepeso","Obesidade"))))))</f>
        <v/>
      </c>
      <c r="S122">
        <f>IF($C122="","",IF(UPPER(LEFT($C122,1))="M",1,IF(UPPER(LEFT($C122,1))="F",2,"")))</f>
        <v/>
      </c>
      <c r="T122">
        <f>IF(OR($D122="",$E122=""),"",DATEDIF($D122,$E122,"m"))</f>
        <v/>
      </c>
      <c r="U122">
        <f>IF(OR($D122="",$E122=""),"",$E122-$D122)</f>
        <v/>
      </c>
      <c r="V122">
        <f>IF(OR($G122="",$T122=""),"",IF($T122&lt;24,IF(LEFT(LOWER($H122),4)="em p",$G122+0.7,$G122),IF(LEFT(LOWER($H122),4)="deit",$G122-0.7,$G122)))</f>
        <v/>
      </c>
      <c r="W122">
        <f>IF(OR($S122="",$T122=""),"",$S122*1000000+IF($T122&lt;=60,$U122,$T122))</f>
        <v/>
      </c>
      <c r="X122">
        <f>IF(OR($S122="",$V122="",$T122&gt;60,$T122=""),"",$S122*1000000+ROUND($V122*10,0))</f>
        <v/>
      </c>
      <c r="Y122">
        <f>IF($W122="","",IFERROR(INDEX(IF($T122&lt;=60,imc05_l,imc519_l),MATCH($W122,IF($T122&lt;=60,imc05_k,imc519_k),1)),""))</f>
        <v/>
      </c>
      <c r="Z122">
        <f>IF($W122="","",IFERROR(INDEX(IF($T122&lt;=60,imc05_m,imc519_m),MATCH($W122,IF($T122&lt;=60,imc05_k,imc519_k),1)),""))</f>
        <v/>
      </c>
      <c r="AA122">
        <f>IF($W122="","",IFERROR(INDEX(IF($T122&lt;=60,imc05_s,imc519_s),MATCH($W122,IF($T122&lt;=60,imc05_k,imc519_k),1)),""))</f>
        <v/>
      </c>
      <c r="AB122">
        <f>IF($Y122="","",IF($Y122=0,LN($J122/$Z122)/$AA122,((($J122/$Z122)^$Y122)-1)/($Y122*$AA122)))</f>
        <v/>
      </c>
      <c r="AC122">
        <f>IF($Y122="","",IF($Y122=0,$Z122*EXP($AA122*2),$Z122*(1+$Y122*$AA122*2)^(1/$Y122)))</f>
        <v/>
      </c>
      <c r="AD122">
        <f>IF($Y122="","",IF($Y122=0,$Z122*EXP($AA122*3),$Z122*(1+$Y122*$AA122*3)^(1/$Y122)))</f>
        <v/>
      </c>
      <c r="AE122">
        <f>IF($Y122="","",IF($Y122=0,$Z122*EXP($AA122*-2),$Z122*(1+$Y122*$AA122*-2)^(1/$Y122)))</f>
        <v/>
      </c>
      <c r="AF122">
        <f>IF($Y122="","",IF($Y122=0,$Z122*EXP($AA122*-3),$Z122*(1+$Y122*$AA122*-3)^(1/$Y122)))</f>
        <v/>
      </c>
      <c r="AG122">
        <f>IF($W122="","",IFERROR(INDEX(IF($T122&lt;=60,est05_l,est519_l),MATCH($W122,IF($T122&lt;=60,est05_k,est519_k),1)),""))</f>
        <v/>
      </c>
      <c r="AH122">
        <f>IF($W122="","",IFERROR(INDEX(IF($T122&lt;=60,est05_m,est519_m),MATCH($W122,IF($T122&lt;=60,est05_k,est519_k),1)),""))</f>
        <v/>
      </c>
      <c r="AI122">
        <f>IF($W122="","",IFERROR(INDEX(IF($T122&lt;=60,est05_s,est519_s),MATCH($W122,IF($T122&lt;=60,est05_k,est519_k),1)),""))</f>
        <v/>
      </c>
      <c r="AJ122">
        <f>IF($W122="","",IFERROR(INDEX(IF($T122&lt;=60,peso05_l,peso510_l),MATCH($W122,IF($T122&lt;=60,peso05_k,peso510_k),1)),""))</f>
        <v/>
      </c>
      <c r="AK122">
        <f>IF($W122="","",IFERROR(INDEX(IF($T122&lt;=60,peso05_m,peso510_m),MATCH($W122,IF($T122&lt;=60,peso05_k,peso510_k),1)),""))</f>
        <v/>
      </c>
      <c r="AL122">
        <f>IF($W122="","",IFERROR(INDEX(IF($T122&lt;=60,peso05_s,peso510_s),MATCH($W122,IF($T122&lt;=60,peso05_k,peso510_k),1)),""))</f>
        <v/>
      </c>
      <c r="AM122">
        <f>IF($AJ122="","",IF($AJ122=0,LN($F122/$AK122)/$AL122,((($F122/$AK122)^$AJ122)-1)/($AJ122*$AL122)))</f>
        <v/>
      </c>
      <c r="AN122">
        <f>IF($AJ122="","",IF($AJ122=0,$AK122*EXP($AL122*2),$AK122*(1+$AJ122*$AL122*2)^(1/$AJ122)))</f>
        <v/>
      </c>
      <c r="AO122">
        <f>IF($AJ122="","",IF($AJ122=0,$AK122*EXP($AL122*3),$AK122*(1+$AJ122*$AL122*3)^(1/$AJ122)))</f>
        <v/>
      </c>
      <c r="AP122">
        <f>IF($AJ122="","",IF($AJ122=0,$AK122*EXP($AL122*-2),$AK122*(1+$AJ122*$AL122*-2)^(1/$AJ122)))</f>
        <v/>
      </c>
      <c r="AQ122">
        <f>IF($AJ122="","",IF($AJ122=0,$AK122*EXP($AL122*-3),$AK122*(1+$AJ122*$AL122*-3)^(1/$AJ122)))</f>
        <v/>
      </c>
      <c r="AR122">
        <f>IF(OR($X122="",$T122&gt;60),"",IFERROR(INDEX(IF($T122&lt;24,pcomp_l,palt_l),MATCH($X122,IF($T122&lt;24,pcomp_k,palt_k),1)),""))</f>
        <v/>
      </c>
      <c r="AS122">
        <f>IF(OR($X122="",$T122&gt;60),"",IFERROR(INDEX(IF($T122&lt;24,pcomp_m,palt_m),MATCH($X122,IF($T122&lt;24,pcomp_k,palt_k),1)),""))</f>
        <v/>
      </c>
      <c r="AT122">
        <f>IF(OR($X122="",$T122&gt;60),"",IFERROR(INDEX(IF($T122&lt;24,pcomp_s,palt_s),MATCH($X122,IF($T122&lt;24,pcomp_k,palt_k),1)),""))</f>
        <v/>
      </c>
      <c r="AU122">
        <f>IF($AR122="","",IF($AR122=0,LN($F122/$AS122)/$AT122,((($F122/$AS122)^$AR122)-1)/($AR122*$AT122)))</f>
        <v/>
      </c>
      <c r="AV122">
        <f>IF($AR122="","",IF($AR122=0,$AS122*EXP($AT122*2),$AS122*(1+$AR122*$AT122*2)^(1/$AR122)))</f>
        <v/>
      </c>
      <c r="AW122">
        <f>IF($AR122="","",IF($AR122=0,$AS122*EXP($AT122*3),$AS122*(1+$AR122*$AT122*3)^(1/$AR122)))</f>
        <v/>
      </c>
      <c r="AX122">
        <f>IF($AR122="","",IF($AR122=0,$AS122*EXP($AT122*-2),$AS122*(1+$AR122*$AT122*-2)^(1/$AR122)))</f>
        <v/>
      </c>
      <c r="AY122">
        <f>IF($AR122="","",IF($AR122=0,$AS122*EXP($AT122*-3),$AS122*(1+$AR122*$AT122*-3)^(1/$AR122)))</f>
        <v/>
      </c>
      <c r="AZ122">
        <f>IF(OR($A122="",$A122&lt;&gt;Ficha!$C$4),"",COUNTIF($A$2:$A122,Ficha!$C$4))</f>
        <v/>
      </c>
    </row>
    <row r="123">
      <c r="A123" s="8">
        <f>IF(INDEX(Banco!$A:$A,ROW())="","",INDEX(Banco!$A:$A,ROW()))</f>
        <v/>
      </c>
      <c r="B123" s="8">
        <f>IF(INDEX(Banco!$B:$B,ROW())="","",INDEX(Banco!$B:$B,ROW()))</f>
        <v/>
      </c>
      <c r="C123" s="8">
        <f>IF(INDEX(Banco!$C:$C,ROW())="","",INDEX(Banco!$C:$C,ROW()))</f>
        <v/>
      </c>
      <c r="D123" s="9">
        <f>IF(INDEX(Banco!$D:$D,ROW())="","",INDEX(Banco!$D:$D,ROW()))</f>
        <v/>
      </c>
      <c r="E123" s="9">
        <f>IF(INDEX(Banco!$E:$E,ROW())="","",INDEX(Banco!$E:$E,ROW()))</f>
        <v/>
      </c>
      <c r="F123" s="10">
        <f>IF(INDEX(Banco!$F:$F,ROW())="","",INDEX(Banco!$F:$F,ROW()))</f>
        <v/>
      </c>
      <c r="G123" s="10">
        <f>IF(INDEX(Banco!$G:$G,ROW())="","",INDEX(Banco!$G:$G,ROW()))</f>
        <v/>
      </c>
      <c r="H123" s="8">
        <f>IF(INDEX(Banco!$H:$H,ROW())="","",INDEX(Banco!$H:$H,ROW()))</f>
        <v/>
      </c>
      <c r="I123">
        <f>IF($T123="","",INT($T123/12)&amp;"a "&amp;MOD($T123,12)&amp;"m")</f>
        <v/>
      </c>
      <c r="J123" s="11">
        <f>IF(OR($F123="",$G123=""),"",ROUND($F123/($G123/100)^2,2))</f>
        <v/>
      </c>
      <c r="K123" s="12">
        <f>IF(OR($S123="",$J123="",$T123="",$T123&lt;0,$T123&gt;228,$Y123=""),"—",ROUND(IF(ABS($AB123)&lt;=3,$AB123,IF($AB123&gt;3,3+($J123-$AD123)/($AD123-$AC123),-3+($J123-$AF123)/($AE123-$AF123))),2))</f>
        <v/>
      </c>
      <c r="L123">
        <f>IF(OR($K123="",$K123="—"),"",IF($T123&lt;=60,IF($K123&lt;-3,"Magreza acentuada",IF($K123&lt;-2,"Magreza",IF($K123&lt;=1,"Eutrofia",IF($K123&lt;=2,"Risco de sobrepeso",IF($K123&lt;=3,"Sobrepeso","Obesidade"))))),IF($K123&lt;-3,"Magreza acentuada",IF($K123&lt;-2,"Magreza",IF($K123&lt;=1,"Eutrofia",IF($K123&lt;=2,"Sobrepeso",IF($K123&lt;=3,"Obesidade","Obesidade grave")))))))</f>
        <v/>
      </c>
      <c r="M123" s="12">
        <f>IF(OR($S123="",$V123="",$T123="",$T123&lt;0,$T123&gt;228,$AG123=""),"—",ROUND(IF($AG123=0,LN($V123/$AH123)/$AI123,((($V123/$AH123)^$AG123)-1)/($AG123*$AI123)),2))</f>
        <v/>
      </c>
      <c r="N123">
        <f>IF(OR($M123="",$M123="—"),"",IF($M123&lt;-3,"Muito baixa",IF($M123&lt;-2,"Baixa","Adequada")))</f>
        <v/>
      </c>
      <c r="O123" s="12">
        <f>IF(OR($S123="",$F123="",$T123="",$T123&lt;0,$T123&gt;120,$AJ123=""),"—",ROUND(IF(ABS($AM123)&lt;=3,$AM123,IF($AM123&gt;3,3+($F123-$AO123)/($AO123-$AN123),-3+($F123-$AQ123)/($AP123-$AQ123))),2))</f>
        <v/>
      </c>
      <c r="P123">
        <f>IF(OR($O123="",$O123="—"),"",IF($O123&lt;-3,"Muito baixo",IF($O123&lt;-2,"Baixo",IF($O123&lt;=2,"Adequado","Elevado"))))</f>
        <v/>
      </c>
      <c r="Q123" s="12">
        <f>IF(OR($S123="",$F123="",$T123="",$T123&lt;0,$T123&gt;60,$AR123=""),"—",ROUND(IF(ABS($AU123)&lt;=3,$AU123,IF($AU123&gt;3,3+($F123-$AW123)/($AW123-$AV123),-3+($F123-$AY123)/($AX123-$AY123))),2))</f>
        <v/>
      </c>
      <c r="R123">
        <f>IF(OR($Q123="",$Q123="—"),"",IF($Q123&lt;-3,"Magreza acentuada",IF($Q123&lt;-2,"Magreza",IF($Q123&lt;=1,"Eutrofia",IF($Q123&lt;=2,"Risco de sobrepeso",IF($Q123&lt;=3,"Sobrepeso","Obesidade"))))))</f>
        <v/>
      </c>
      <c r="S123">
        <f>IF($C123="","",IF(UPPER(LEFT($C123,1))="M",1,IF(UPPER(LEFT($C123,1))="F",2,"")))</f>
        <v/>
      </c>
      <c r="T123">
        <f>IF(OR($D123="",$E123=""),"",DATEDIF($D123,$E123,"m"))</f>
        <v/>
      </c>
      <c r="U123">
        <f>IF(OR($D123="",$E123=""),"",$E123-$D123)</f>
        <v/>
      </c>
      <c r="V123">
        <f>IF(OR($G123="",$T123=""),"",IF($T123&lt;24,IF(LEFT(LOWER($H123),4)="em p",$G123+0.7,$G123),IF(LEFT(LOWER($H123),4)="deit",$G123-0.7,$G123)))</f>
        <v/>
      </c>
      <c r="W123">
        <f>IF(OR($S123="",$T123=""),"",$S123*1000000+IF($T123&lt;=60,$U123,$T123))</f>
        <v/>
      </c>
      <c r="X123">
        <f>IF(OR($S123="",$V123="",$T123&gt;60,$T123=""),"",$S123*1000000+ROUND($V123*10,0))</f>
        <v/>
      </c>
      <c r="Y123">
        <f>IF($W123="","",IFERROR(INDEX(IF($T123&lt;=60,imc05_l,imc519_l),MATCH($W123,IF($T123&lt;=60,imc05_k,imc519_k),1)),""))</f>
        <v/>
      </c>
      <c r="Z123">
        <f>IF($W123="","",IFERROR(INDEX(IF($T123&lt;=60,imc05_m,imc519_m),MATCH($W123,IF($T123&lt;=60,imc05_k,imc519_k),1)),""))</f>
        <v/>
      </c>
      <c r="AA123">
        <f>IF($W123="","",IFERROR(INDEX(IF($T123&lt;=60,imc05_s,imc519_s),MATCH($W123,IF($T123&lt;=60,imc05_k,imc519_k),1)),""))</f>
        <v/>
      </c>
      <c r="AB123">
        <f>IF($Y123="","",IF($Y123=0,LN($J123/$Z123)/$AA123,((($J123/$Z123)^$Y123)-1)/($Y123*$AA123)))</f>
        <v/>
      </c>
      <c r="AC123">
        <f>IF($Y123="","",IF($Y123=0,$Z123*EXP($AA123*2),$Z123*(1+$Y123*$AA123*2)^(1/$Y123)))</f>
        <v/>
      </c>
      <c r="AD123">
        <f>IF($Y123="","",IF($Y123=0,$Z123*EXP($AA123*3),$Z123*(1+$Y123*$AA123*3)^(1/$Y123)))</f>
        <v/>
      </c>
      <c r="AE123">
        <f>IF($Y123="","",IF($Y123=0,$Z123*EXP($AA123*-2),$Z123*(1+$Y123*$AA123*-2)^(1/$Y123)))</f>
        <v/>
      </c>
      <c r="AF123">
        <f>IF($Y123="","",IF($Y123=0,$Z123*EXP($AA123*-3),$Z123*(1+$Y123*$AA123*-3)^(1/$Y123)))</f>
        <v/>
      </c>
      <c r="AG123">
        <f>IF($W123="","",IFERROR(INDEX(IF($T123&lt;=60,est05_l,est519_l),MATCH($W123,IF($T123&lt;=60,est05_k,est519_k),1)),""))</f>
        <v/>
      </c>
      <c r="AH123">
        <f>IF($W123="","",IFERROR(INDEX(IF($T123&lt;=60,est05_m,est519_m),MATCH($W123,IF($T123&lt;=60,est05_k,est519_k),1)),""))</f>
        <v/>
      </c>
      <c r="AI123">
        <f>IF($W123="","",IFERROR(INDEX(IF($T123&lt;=60,est05_s,est519_s),MATCH($W123,IF($T123&lt;=60,est05_k,est519_k),1)),""))</f>
        <v/>
      </c>
      <c r="AJ123">
        <f>IF($W123="","",IFERROR(INDEX(IF($T123&lt;=60,peso05_l,peso510_l),MATCH($W123,IF($T123&lt;=60,peso05_k,peso510_k),1)),""))</f>
        <v/>
      </c>
      <c r="AK123">
        <f>IF($W123="","",IFERROR(INDEX(IF($T123&lt;=60,peso05_m,peso510_m),MATCH($W123,IF($T123&lt;=60,peso05_k,peso510_k),1)),""))</f>
        <v/>
      </c>
      <c r="AL123">
        <f>IF($W123="","",IFERROR(INDEX(IF($T123&lt;=60,peso05_s,peso510_s),MATCH($W123,IF($T123&lt;=60,peso05_k,peso510_k),1)),""))</f>
        <v/>
      </c>
      <c r="AM123">
        <f>IF($AJ123="","",IF($AJ123=0,LN($F123/$AK123)/$AL123,((($F123/$AK123)^$AJ123)-1)/($AJ123*$AL123)))</f>
        <v/>
      </c>
      <c r="AN123">
        <f>IF($AJ123="","",IF($AJ123=0,$AK123*EXP($AL123*2),$AK123*(1+$AJ123*$AL123*2)^(1/$AJ123)))</f>
        <v/>
      </c>
      <c r="AO123">
        <f>IF($AJ123="","",IF($AJ123=0,$AK123*EXP($AL123*3),$AK123*(1+$AJ123*$AL123*3)^(1/$AJ123)))</f>
        <v/>
      </c>
      <c r="AP123">
        <f>IF($AJ123="","",IF($AJ123=0,$AK123*EXP($AL123*-2),$AK123*(1+$AJ123*$AL123*-2)^(1/$AJ123)))</f>
        <v/>
      </c>
      <c r="AQ123">
        <f>IF($AJ123="","",IF($AJ123=0,$AK123*EXP($AL123*-3),$AK123*(1+$AJ123*$AL123*-3)^(1/$AJ123)))</f>
        <v/>
      </c>
      <c r="AR123">
        <f>IF(OR($X123="",$T123&gt;60),"",IFERROR(INDEX(IF($T123&lt;24,pcomp_l,palt_l),MATCH($X123,IF($T123&lt;24,pcomp_k,palt_k),1)),""))</f>
        <v/>
      </c>
      <c r="AS123">
        <f>IF(OR($X123="",$T123&gt;60),"",IFERROR(INDEX(IF($T123&lt;24,pcomp_m,palt_m),MATCH($X123,IF($T123&lt;24,pcomp_k,palt_k),1)),""))</f>
        <v/>
      </c>
      <c r="AT123">
        <f>IF(OR($X123="",$T123&gt;60),"",IFERROR(INDEX(IF($T123&lt;24,pcomp_s,palt_s),MATCH($X123,IF($T123&lt;24,pcomp_k,palt_k),1)),""))</f>
        <v/>
      </c>
      <c r="AU123">
        <f>IF($AR123="","",IF($AR123=0,LN($F123/$AS123)/$AT123,((($F123/$AS123)^$AR123)-1)/($AR123*$AT123)))</f>
        <v/>
      </c>
      <c r="AV123">
        <f>IF($AR123="","",IF($AR123=0,$AS123*EXP($AT123*2),$AS123*(1+$AR123*$AT123*2)^(1/$AR123)))</f>
        <v/>
      </c>
      <c r="AW123">
        <f>IF($AR123="","",IF($AR123=0,$AS123*EXP($AT123*3),$AS123*(1+$AR123*$AT123*3)^(1/$AR123)))</f>
        <v/>
      </c>
      <c r="AX123">
        <f>IF($AR123="","",IF($AR123=0,$AS123*EXP($AT123*-2),$AS123*(1+$AR123*$AT123*-2)^(1/$AR123)))</f>
        <v/>
      </c>
      <c r="AY123">
        <f>IF($AR123="","",IF($AR123=0,$AS123*EXP($AT123*-3),$AS123*(1+$AR123*$AT123*-3)^(1/$AR123)))</f>
        <v/>
      </c>
      <c r="AZ123">
        <f>IF(OR($A123="",$A123&lt;&gt;Ficha!$C$4),"",COUNTIF($A$2:$A123,Ficha!$C$4))</f>
        <v/>
      </c>
    </row>
    <row r="124">
      <c r="A124" s="8">
        <f>IF(INDEX(Banco!$A:$A,ROW())="","",INDEX(Banco!$A:$A,ROW()))</f>
        <v/>
      </c>
      <c r="B124" s="8">
        <f>IF(INDEX(Banco!$B:$B,ROW())="","",INDEX(Banco!$B:$B,ROW()))</f>
        <v/>
      </c>
      <c r="C124" s="8">
        <f>IF(INDEX(Banco!$C:$C,ROW())="","",INDEX(Banco!$C:$C,ROW()))</f>
        <v/>
      </c>
      <c r="D124" s="9">
        <f>IF(INDEX(Banco!$D:$D,ROW())="","",INDEX(Banco!$D:$D,ROW()))</f>
        <v/>
      </c>
      <c r="E124" s="9">
        <f>IF(INDEX(Banco!$E:$E,ROW())="","",INDEX(Banco!$E:$E,ROW()))</f>
        <v/>
      </c>
      <c r="F124" s="10">
        <f>IF(INDEX(Banco!$F:$F,ROW())="","",INDEX(Banco!$F:$F,ROW()))</f>
        <v/>
      </c>
      <c r="G124" s="10">
        <f>IF(INDEX(Banco!$G:$G,ROW())="","",INDEX(Banco!$G:$G,ROW()))</f>
        <v/>
      </c>
      <c r="H124" s="8">
        <f>IF(INDEX(Banco!$H:$H,ROW())="","",INDEX(Banco!$H:$H,ROW()))</f>
        <v/>
      </c>
      <c r="I124">
        <f>IF($T124="","",INT($T124/12)&amp;"a "&amp;MOD($T124,12)&amp;"m")</f>
        <v/>
      </c>
      <c r="J124" s="11">
        <f>IF(OR($F124="",$G124=""),"",ROUND($F124/($G124/100)^2,2))</f>
        <v/>
      </c>
      <c r="K124" s="12">
        <f>IF(OR($S124="",$J124="",$T124="",$T124&lt;0,$T124&gt;228,$Y124=""),"—",ROUND(IF(ABS($AB124)&lt;=3,$AB124,IF($AB124&gt;3,3+($J124-$AD124)/($AD124-$AC124),-3+($J124-$AF124)/($AE124-$AF124))),2))</f>
        <v/>
      </c>
      <c r="L124">
        <f>IF(OR($K124="",$K124="—"),"",IF($T124&lt;=60,IF($K124&lt;-3,"Magreza acentuada",IF($K124&lt;-2,"Magreza",IF($K124&lt;=1,"Eutrofia",IF($K124&lt;=2,"Risco de sobrepeso",IF($K124&lt;=3,"Sobrepeso","Obesidade"))))),IF($K124&lt;-3,"Magreza acentuada",IF($K124&lt;-2,"Magreza",IF($K124&lt;=1,"Eutrofia",IF($K124&lt;=2,"Sobrepeso",IF($K124&lt;=3,"Obesidade","Obesidade grave")))))))</f>
        <v/>
      </c>
      <c r="M124" s="12">
        <f>IF(OR($S124="",$V124="",$T124="",$T124&lt;0,$T124&gt;228,$AG124=""),"—",ROUND(IF($AG124=0,LN($V124/$AH124)/$AI124,((($V124/$AH124)^$AG124)-1)/($AG124*$AI124)),2))</f>
        <v/>
      </c>
      <c r="N124">
        <f>IF(OR($M124="",$M124="—"),"",IF($M124&lt;-3,"Muito baixa",IF($M124&lt;-2,"Baixa","Adequada")))</f>
        <v/>
      </c>
      <c r="O124" s="12">
        <f>IF(OR($S124="",$F124="",$T124="",$T124&lt;0,$T124&gt;120,$AJ124=""),"—",ROUND(IF(ABS($AM124)&lt;=3,$AM124,IF($AM124&gt;3,3+($F124-$AO124)/($AO124-$AN124),-3+($F124-$AQ124)/($AP124-$AQ124))),2))</f>
        <v/>
      </c>
      <c r="P124">
        <f>IF(OR($O124="",$O124="—"),"",IF($O124&lt;-3,"Muito baixo",IF($O124&lt;-2,"Baixo",IF($O124&lt;=2,"Adequado","Elevado"))))</f>
        <v/>
      </c>
      <c r="Q124" s="12">
        <f>IF(OR($S124="",$F124="",$T124="",$T124&lt;0,$T124&gt;60,$AR124=""),"—",ROUND(IF(ABS($AU124)&lt;=3,$AU124,IF($AU124&gt;3,3+($F124-$AW124)/($AW124-$AV124),-3+($F124-$AY124)/($AX124-$AY124))),2))</f>
        <v/>
      </c>
      <c r="R124">
        <f>IF(OR($Q124="",$Q124="—"),"",IF($Q124&lt;-3,"Magreza acentuada",IF($Q124&lt;-2,"Magreza",IF($Q124&lt;=1,"Eutrofia",IF($Q124&lt;=2,"Risco de sobrepeso",IF($Q124&lt;=3,"Sobrepeso","Obesidade"))))))</f>
        <v/>
      </c>
      <c r="S124">
        <f>IF($C124="","",IF(UPPER(LEFT($C124,1))="M",1,IF(UPPER(LEFT($C124,1))="F",2,"")))</f>
        <v/>
      </c>
      <c r="T124">
        <f>IF(OR($D124="",$E124=""),"",DATEDIF($D124,$E124,"m"))</f>
        <v/>
      </c>
      <c r="U124">
        <f>IF(OR($D124="",$E124=""),"",$E124-$D124)</f>
        <v/>
      </c>
      <c r="V124">
        <f>IF(OR($G124="",$T124=""),"",IF($T124&lt;24,IF(LEFT(LOWER($H124),4)="em p",$G124+0.7,$G124),IF(LEFT(LOWER($H124),4)="deit",$G124-0.7,$G124)))</f>
        <v/>
      </c>
      <c r="W124">
        <f>IF(OR($S124="",$T124=""),"",$S124*1000000+IF($T124&lt;=60,$U124,$T124))</f>
        <v/>
      </c>
      <c r="X124">
        <f>IF(OR($S124="",$V124="",$T124&gt;60,$T124=""),"",$S124*1000000+ROUND($V124*10,0))</f>
        <v/>
      </c>
      <c r="Y124">
        <f>IF($W124="","",IFERROR(INDEX(IF($T124&lt;=60,imc05_l,imc519_l),MATCH($W124,IF($T124&lt;=60,imc05_k,imc519_k),1)),""))</f>
        <v/>
      </c>
      <c r="Z124">
        <f>IF($W124="","",IFERROR(INDEX(IF($T124&lt;=60,imc05_m,imc519_m),MATCH($W124,IF($T124&lt;=60,imc05_k,imc519_k),1)),""))</f>
        <v/>
      </c>
      <c r="AA124">
        <f>IF($W124="","",IFERROR(INDEX(IF($T124&lt;=60,imc05_s,imc519_s),MATCH($W124,IF($T124&lt;=60,imc05_k,imc519_k),1)),""))</f>
        <v/>
      </c>
      <c r="AB124">
        <f>IF($Y124="","",IF($Y124=0,LN($J124/$Z124)/$AA124,((($J124/$Z124)^$Y124)-1)/($Y124*$AA124)))</f>
        <v/>
      </c>
      <c r="AC124">
        <f>IF($Y124="","",IF($Y124=0,$Z124*EXP($AA124*2),$Z124*(1+$Y124*$AA124*2)^(1/$Y124)))</f>
        <v/>
      </c>
      <c r="AD124">
        <f>IF($Y124="","",IF($Y124=0,$Z124*EXP($AA124*3),$Z124*(1+$Y124*$AA124*3)^(1/$Y124)))</f>
        <v/>
      </c>
      <c r="AE124">
        <f>IF($Y124="","",IF($Y124=0,$Z124*EXP($AA124*-2),$Z124*(1+$Y124*$AA124*-2)^(1/$Y124)))</f>
        <v/>
      </c>
      <c r="AF124">
        <f>IF($Y124="","",IF($Y124=0,$Z124*EXP($AA124*-3),$Z124*(1+$Y124*$AA124*-3)^(1/$Y124)))</f>
        <v/>
      </c>
      <c r="AG124">
        <f>IF($W124="","",IFERROR(INDEX(IF($T124&lt;=60,est05_l,est519_l),MATCH($W124,IF($T124&lt;=60,est05_k,est519_k),1)),""))</f>
        <v/>
      </c>
      <c r="AH124">
        <f>IF($W124="","",IFERROR(INDEX(IF($T124&lt;=60,est05_m,est519_m),MATCH($W124,IF($T124&lt;=60,est05_k,est519_k),1)),""))</f>
        <v/>
      </c>
      <c r="AI124">
        <f>IF($W124="","",IFERROR(INDEX(IF($T124&lt;=60,est05_s,est519_s),MATCH($W124,IF($T124&lt;=60,est05_k,est519_k),1)),""))</f>
        <v/>
      </c>
      <c r="AJ124">
        <f>IF($W124="","",IFERROR(INDEX(IF($T124&lt;=60,peso05_l,peso510_l),MATCH($W124,IF($T124&lt;=60,peso05_k,peso510_k),1)),""))</f>
        <v/>
      </c>
      <c r="AK124">
        <f>IF($W124="","",IFERROR(INDEX(IF($T124&lt;=60,peso05_m,peso510_m),MATCH($W124,IF($T124&lt;=60,peso05_k,peso510_k),1)),""))</f>
        <v/>
      </c>
      <c r="AL124">
        <f>IF($W124="","",IFERROR(INDEX(IF($T124&lt;=60,peso05_s,peso510_s),MATCH($W124,IF($T124&lt;=60,peso05_k,peso510_k),1)),""))</f>
        <v/>
      </c>
      <c r="AM124">
        <f>IF($AJ124="","",IF($AJ124=0,LN($F124/$AK124)/$AL124,((($F124/$AK124)^$AJ124)-1)/($AJ124*$AL124)))</f>
        <v/>
      </c>
      <c r="AN124">
        <f>IF($AJ124="","",IF($AJ124=0,$AK124*EXP($AL124*2),$AK124*(1+$AJ124*$AL124*2)^(1/$AJ124)))</f>
        <v/>
      </c>
      <c r="AO124">
        <f>IF($AJ124="","",IF($AJ124=0,$AK124*EXP($AL124*3),$AK124*(1+$AJ124*$AL124*3)^(1/$AJ124)))</f>
        <v/>
      </c>
      <c r="AP124">
        <f>IF($AJ124="","",IF($AJ124=0,$AK124*EXP($AL124*-2),$AK124*(1+$AJ124*$AL124*-2)^(1/$AJ124)))</f>
        <v/>
      </c>
      <c r="AQ124">
        <f>IF($AJ124="","",IF($AJ124=0,$AK124*EXP($AL124*-3),$AK124*(1+$AJ124*$AL124*-3)^(1/$AJ124)))</f>
        <v/>
      </c>
      <c r="AR124">
        <f>IF(OR($X124="",$T124&gt;60),"",IFERROR(INDEX(IF($T124&lt;24,pcomp_l,palt_l),MATCH($X124,IF($T124&lt;24,pcomp_k,palt_k),1)),""))</f>
        <v/>
      </c>
      <c r="AS124">
        <f>IF(OR($X124="",$T124&gt;60),"",IFERROR(INDEX(IF($T124&lt;24,pcomp_m,palt_m),MATCH($X124,IF($T124&lt;24,pcomp_k,palt_k),1)),""))</f>
        <v/>
      </c>
      <c r="AT124">
        <f>IF(OR($X124="",$T124&gt;60),"",IFERROR(INDEX(IF($T124&lt;24,pcomp_s,palt_s),MATCH($X124,IF($T124&lt;24,pcomp_k,palt_k),1)),""))</f>
        <v/>
      </c>
      <c r="AU124">
        <f>IF($AR124="","",IF($AR124=0,LN($F124/$AS124)/$AT124,((($F124/$AS124)^$AR124)-1)/($AR124*$AT124)))</f>
        <v/>
      </c>
      <c r="AV124">
        <f>IF($AR124="","",IF($AR124=0,$AS124*EXP($AT124*2),$AS124*(1+$AR124*$AT124*2)^(1/$AR124)))</f>
        <v/>
      </c>
      <c r="AW124">
        <f>IF($AR124="","",IF($AR124=0,$AS124*EXP($AT124*3),$AS124*(1+$AR124*$AT124*3)^(1/$AR124)))</f>
        <v/>
      </c>
      <c r="AX124">
        <f>IF($AR124="","",IF($AR124=0,$AS124*EXP($AT124*-2),$AS124*(1+$AR124*$AT124*-2)^(1/$AR124)))</f>
        <v/>
      </c>
      <c r="AY124">
        <f>IF($AR124="","",IF($AR124=0,$AS124*EXP($AT124*-3),$AS124*(1+$AR124*$AT124*-3)^(1/$AR124)))</f>
        <v/>
      </c>
      <c r="AZ124">
        <f>IF(OR($A124="",$A124&lt;&gt;Ficha!$C$4),"",COUNTIF($A$2:$A124,Ficha!$C$4))</f>
        <v/>
      </c>
    </row>
    <row r="125">
      <c r="A125" s="8">
        <f>IF(INDEX(Banco!$A:$A,ROW())="","",INDEX(Banco!$A:$A,ROW()))</f>
        <v/>
      </c>
      <c r="B125" s="8">
        <f>IF(INDEX(Banco!$B:$B,ROW())="","",INDEX(Banco!$B:$B,ROW()))</f>
        <v/>
      </c>
      <c r="C125" s="8">
        <f>IF(INDEX(Banco!$C:$C,ROW())="","",INDEX(Banco!$C:$C,ROW()))</f>
        <v/>
      </c>
      <c r="D125" s="9">
        <f>IF(INDEX(Banco!$D:$D,ROW())="","",INDEX(Banco!$D:$D,ROW()))</f>
        <v/>
      </c>
      <c r="E125" s="9">
        <f>IF(INDEX(Banco!$E:$E,ROW())="","",INDEX(Banco!$E:$E,ROW()))</f>
        <v/>
      </c>
      <c r="F125" s="10">
        <f>IF(INDEX(Banco!$F:$F,ROW())="","",INDEX(Banco!$F:$F,ROW()))</f>
        <v/>
      </c>
      <c r="G125" s="10">
        <f>IF(INDEX(Banco!$G:$G,ROW())="","",INDEX(Banco!$G:$G,ROW()))</f>
        <v/>
      </c>
      <c r="H125" s="8">
        <f>IF(INDEX(Banco!$H:$H,ROW())="","",INDEX(Banco!$H:$H,ROW()))</f>
        <v/>
      </c>
      <c r="I125">
        <f>IF($T125="","",INT($T125/12)&amp;"a "&amp;MOD($T125,12)&amp;"m")</f>
        <v/>
      </c>
      <c r="J125" s="11">
        <f>IF(OR($F125="",$G125=""),"",ROUND($F125/($G125/100)^2,2))</f>
        <v/>
      </c>
      <c r="K125" s="12">
        <f>IF(OR($S125="",$J125="",$T125="",$T125&lt;0,$T125&gt;228,$Y125=""),"—",ROUND(IF(ABS($AB125)&lt;=3,$AB125,IF($AB125&gt;3,3+($J125-$AD125)/($AD125-$AC125),-3+($J125-$AF125)/($AE125-$AF125))),2))</f>
        <v/>
      </c>
      <c r="L125">
        <f>IF(OR($K125="",$K125="—"),"",IF($T125&lt;=60,IF($K125&lt;-3,"Magreza acentuada",IF($K125&lt;-2,"Magreza",IF($K125&lt;=1,"Eutrofia",IF($K125&lt;=2,"Risco de sobrepeso",IF($K125&lt;=3,"Sobrepeso","Obesidade"))))),IF($K125&lt;-3,"Magreza acentuada",IF($K125&lt;-2,"Magreza",IF($K125&lt;=1,"Eutrofia",IF($K125&lt;=2,"Sobrepeso",IF($K125&lt;=3,"Obesidade","Obesidade grave")))))))</f>
        <v/>
      </c>
      <c r="M125" s="12">
        <f>IF(OR($S125="",$V125="",$T125="",$T125&lt;0,$T125&gt;228,$AG125=""),"—",ROUND(IF($AG125=0,LN($V125/$AH125)/$AI125,((($V125/$AH125)^$AG125)-1)/($AG125*$AI125)),2))</f>
        <v/>
      </c>
      <c r="N125">
        <f>IF(OR($M125="",$M125="—"),"",IF($M125&lt;-3,"Muito baixa",IF($M125&lt;-2,"Baixa","Adequada")))</f>
        <v/>
      </c>
      <c r="O125" s="12">
        <f>IF(OR($S125="",$F125="",$T125="",$T125&lt;0,$T125&gt;120,$AJ125=""),"—",ROUND(IF(ABS($AM125)&lt;=3,$AM125,IF($AM125&gt;3,3+($F125-$AO125)/($AO125-$AN125),-3+($F125-$AQ125)/($AP125-$AQ125))),2))</f>
        <v/>
      </c>
      <c r="P125">
        <f>IF(OR($O125="",$O125="—"),"",IF($O125&lt;-3,"Muito baixo",IF($O125&lt;-2,"Baixo",IF($O125&lt;=2,"Adequado","Elevado"))))</f>
        <v/>
      </c>
      <c r="Q125" s="12">
        <f>IF(OR($S125="",$F125="",$T125="",$T125&lt;0,$T125&gt;60,$AR125=""),"—",ROUND(IF(ABS($AU125)&lt;=3,$AU125,IF($AU125&gt;3,3+($F125-$AW125)/($AW125-$AV125),-3+($F125-$AY125)/($AX125-$AY125))),2))</f>
        <v/>
      </c>
      <c r="R125">
        <f>IF(OR($Q125="",$Q125="—"),"",IF($Q125&lt;-3,"Magreza acentuada",IF($Q125&lt;-2,"Magreza",IF($Q125&lt;=1,"Eutrofia",IF($Q125&lt;=2,"Risco de sobrepeso",IF($Q125&lt;=3,"Sobrepeso","Obesidade"))))))</f>
        <v/>
      </c>
      <c r="S125">
        <f>IF($C125="","",IF(UPPER(LEFT($C125,1))="M",1,IF(UPPER(LEFT($C125,1))="F",2,"")))</f>
        <v/>
      </c>
      <c r="T125">
        <f>IF(OR($D125="",$E125=""),"",DATEDIF($D125,$E125,"m"))</f>
        <v/>
      </c>
      <c r="U125">
        <f>IF(OR($D125="",$E125=""),"",$E125-$D125)</f>
        <v/>
      </c>
      <c r="V125">
        <f>IF(OR($G125="",$T125=""),"",IF($T125&lt;24,IF(LEFT(LOWER($H125),4)="em p",$G125+0.7,$G125),IF(LEFT(LOWER($H125),4)="deit",$G125-0.7,$G125)))</f>
        <v/>
      </c>
      <c r="W125">
        <f>IF(OR($S125="",$T125=""),"",$S125*1000000+IF($T125&lt;=60,$U125,$T125))</f>
        <v/>
      </c>
      <c r="X125">
        <f>IF(OR($S125="",$V125="",$T125&gt;60,$T125=""),"",$S125*1000000+ROUND($V125*10,0))</f>
        <v/>
      </c>
      <c r="Y125">
        <f>IF($W125="","",IFERROR(INDEX(IF($T125&lt;=60,imc05_l,imc519_l),MATCH($W125,IF($T125&lt;=60,imc05_k,imc519_k),1)),""))</f>
        <v/>
      </c>
      <c r="Z125">
        <f>IF($W125="","",IFERROR(INDEX(IF($T125&lt;=60,imc05_m,imc519_m),MATCH($W125,IF($T125&lt;=60,imc05_k,imc519_k),1)),""))</f>
        <v/>
      </c>
      <c r="AA125">
        <f>IF($W125="","",IFERROR(INDEX(IF($T125&lt;=60,imc05_s,imc519_s),MATCH($W125,IF($T125&lt;=60,imc05_k,imc519_k),1)),""))</f>
        <v/>
      </c>
      <c r="AB125">
        <f>IF($Y125="","",IF($Y125=0,LN($J125/$Z125)/$AA125,((($J125/$Z125)^$Y125)-1)/($Y125*$AA125)))</f>
        <v/>
      </c>
      <c r="AC125">
        <f>IF($Y125="","",IF($Y125=0,$Z125*EXP($AA125*2),$Z125*(1+$Y125*$AA125*2)^(1/$Y125)))</f>
        <v/>
      </c>
      <c r="AD125">
        <f>IF($Y125="","",IF($Y125=0,$Z125*EXP($AA125*3),$Z125*(1+$Y125*$AA125*3)^(1/$Y125)))</f>
        <v/>
      </c>
      <c r="AE125">
        <f>IF($Y125="","",IF($Y125=0,$Z125*EXP($AA125*-2),$Z125*(1+$Y125*$AA125*-2)^(1/$Y125)))</f>
        <v/>
      </c>
      <c r="AF125">
        <f>IF($Y125="","",IF($Y125=0,$Z125*EXP($AA125*-3),$Z125*(1+$Y125*$AA125*-3)^(1/$Y125)))</f>
        <v/>
      </c>
      <c r="AG125">
        <f>IF($W125="","",IFERROR(INDEX(IF($T125&lt;=60,est05_l,est519_l),MATCH($W125,IF($T125&lt;=60,est05_k,est519_k),1)),""))</f>
        <v/>
      </c>
      <c r="AH125">
        <f>IF($W125="","",IFERROR(INDEX(IF($T125&lt;=60,est05_m,est519_m),MATCH($W125,IF($T125&lt;=60,est05_k,est519_k),1)),""))</f>
        <v/>
      </c>
      <c r="AI125">
        <f>IF($W125="","",IFERROR(INDEX(IF($T125&lt;=60,est05_s,est519_s),MATCH($W125,IF($T125&lt;=60,est05_k,est519_k),1)),""))</f>
        <v/>
      </c>
      <c r="AJ125">
        <f>IF($W125="","",IFERROR(INDEX(IF($T125&lt;=60,peso05_l,peso510_l),MATCH($W125,IF($T125&lt;=60,peso05_k,peso510_k),1)),""))</f>
        <v/>
      </c>
      <c r="AK125">
        <f>IF($W125="","",IFERROR(INDEX(IF($T125&lt;=60,peso05_m,peso510_m),MATCH($W125,IF($T125&lt;=60,peso05_k,peso510_k),1)),""))</f>
        <v/>
      </c>
      <c r="AL125">
        <f>IF($W125="","",IFERROR(INDEX(IF($T125&lt;=60,peso05_s,peso510_s),MATCH($W125,IF($T125&lt;=60,peso05_k,peso510_k),1)),""))</f>
        <v/>
      </c>
      <c r="AM125">
        <f>IF($AJ125="","",IF($AJ125=0,LN($F125/$AK125)/$AL125,((($F125/$AK125)^$AJ125)-1)/($AJ125*$AL125)))</f>
        <v/>
      </c>
      <c r="AN125">
        <f>IF($AJ125="","",IF($AJ125=0,$AK125*EXP($AL125*2),$AK125*(1+$AJ125*$AL125*2)^(1/$AJ125)))</f>
        <v/>
      </c>
      <c r="AO125">
        <f>IF($AJ125="","",IF($AJ125=0,$AK125*EXP($AL125*3),$AK125*(1+$AJ125*$AL125*3)^(1/$AJ125)))</f>
        <v/>
      </c>
      <c r="AP125">
        <f>IF($AJ125="","",IF($AJ125=0,$AK125*EXP($AL125*-2),$AK125*(1+$AJ125*$AL125*-2)^(1/$AJ125)))</f>
        <v/>
      </c>
      <c r="AQ125">
        <f>IF($AJ125="","",IF($AJ125=0,$AK125*EXP($AL125*-3),$AK125*(1+$AJ125*$AL125*-3)^(1/$AJ125)))</f>
        <v/>
      </c>
      <c r="AR125">
        <f>IF(OR($X125="",$T125&gt;60),"",IFERROR(INDEX(IF($T125&lt;24,pcomp_l,palt_l),MATCH($X125,IF($T125&lt;24,pcomp_k,palt_k),1)),""))</f>
        <v/>
      </c>
      <c r="AS125">
        <f>IF(OR($X125="",$T125&gt;60),"",IFERROR(INDEX(IF($T125&lt;24,pcomp_m,palt_m),MATCH($X125,IF($T125&lt;24,pcomp_k,palt_k),1)),""))</f>
        <v/>
      </c>
      <c r="AT125">
        <f>IF(OR($X125="",$T125&gt;60),"",IFERROR(INDEX(IF($T125&lt;24,pcomp_s,palt_s),MATCH($X125,IF($T125&lt;24,pcomp_k,palt_k),1)),""))</f>
        <v/>
      </c>
      <c r="AU125">
        <f>IF($AR125="","",IF($AR125=0,LN($F125/$AS125)/$AT125,((($F125/$AS125)^$AR125)-1)/($AR125*$AT125)))</f>
        <v/>
      </c>
      <c r="AV125">
        <f>IF($AR125="","",IF($AR125=0,$AS125*EXP($AT125*2),$AS125*(1+$AR125*$AT125*2)^(1/$AR125)))</f>
        <v/>
      </c>
      <c r="AW125">
        <f>IF($AR125="","",IF($AR125=0,$AS125*EXP($AT125*3),$AS125*(1+$AR125*$AT125*3)^(1/$AR125)))</f>
        <v/>
      </c>
      <c r="AX125">
        <f>IF($AR125="","",IF($AR125=0,$AS125*EXP($AT125*-2),$AS125*(1+$AR125*$AT125*-2)^(1/$AR125)))</f>
        <v/>
      </c>
      <c r="AY125">
        <f>IF($AR125="","",IF($AR125=0,$AS125*EXP($AT125*-3),$AS125*(1+$AR125*$AT125*-3)^(1/$AR125)))</f>
        <v/>
      </c>
      <c r="AZ125">
        <f>IF(OR($A125="",$A125&lt;&gt;Ficha!$C$4),"",COUNTIF($A$2:$A125,Ficha!$C$4))</f>
        <v/>
      </c>
    </row>
    <row r="126">
      <c r="A126" s="8">
        <f>IF(INDEX(Banco!$A:$A,ROW())="","",INDEX(Banco!$A:$A,ROW()))</f>
        <v/>
      </c>
      <c r="B126" s="8">
        <f>IF(INDEX(Banco!$B:$B,ROW())="","",INDEX(Banco!$B:$B,ROW()))</f>
        <v/>
      </c>
      <c r="C126" s="8">
        <f>IF(INDEX(Banco!$C:$C,ROW())="","",INDEX(Banco!$C:$C,ROW()))</f>
        <v/>
      </c>
      <c r="D126" s="9">
        <f>IF(INDEX(Banco!$D:$D,ROW())="","",INDEX(Banco!$D:$D,ROW()))</f>
        <v/>
      </c>
      <c r="E126" s="9">
        <f>IF(INDEX(Banco!$E:$E,ROW())="","",INDEX(Banco!$E:$E,ROW()))</f>
        <v/>
      </c>
      <c r="F126" s="10">
        <f>IF(INDEX(Banco!$F:$F,ROW())="","",INDEX(Banco!$F:$F,ROW()))</f>
        <v/>
      </c>
      <c r="G126" s="10">
        <f>IF(INDEX(Banco!$G:$G,ROW())="","",INDEX(Banco!$G:$G,ROW()))</f>
        <v/>
      </c>
      <c r="H126" s="8">
        <f>IF(INDEX(Banco!$H:$H,ROW())="","",INDEX(Banco!$H:$H,ROW()))</f>
        <v/>
      </c>
      <c r="I126">
        <f>IF($T126="","",INT($T126/12)&amp;"a "&amp;MOD($T126,12)&amp;"m")</f>
        <v/>
      </c>
      <c r="J126" s="11">
        <f>IF(OR($F126="",$G126=""),"",ROUND($F126/($G126/100)^2,2))</f>
        <v/>
      </c>
      <c r="K126" s="12">
        <f>IF(OR($S126="",$J126="",$T126="",$T126&lt;0,$T126&gt;228,$Y126=""),"—",ROUND(IF(ABS($AB126)&lt;=3,$AB126,IF($AB126&gt;3,3+($J126-$AD126)/($AD126-$AC126),-3+($J126-$AF126)/($AE126-$AF126))),2))</f>
        <v/>
      </c>
      <c r="L126">
        <f>IF(OR($K126="",$K126="—"),"",IF($T126&lt;=60,IF($K126&lt;-3,"Magreza acentuada",IF($K126&lt;-2,"Magreza",IF($K126&lt;=1,"Eutrofia",IF($K126&lt;=2,"Risco de sobrepeso",IF($K126&lt;=3,"Sobrepeso","Obesidade"))))),IF($K126&lt;-3,"Magreza acentuada",IF($K126&lt;-2,"Magreza",IF($K126&lt;=1,"Eutrofia",IF($K126&lt;=2,"Sobrepeso",IF($K126&lt;=3,"Obesidade","Obesidade grave")))))))</f>
        <v/>
      </c>
      <c r="M126" s="12">
        <f>IF(OR($S126="",$V126="",$T126="",$T126&lt;0,$T126&gt;228,$AG126=""),"—",ROUND(IF($AG126=0,LN($V126/$AH126)/$AI126,((($V126/$AH126)^$AG126)-1)/($AG126*$AI126)),2))</f>
        <v/>
      </c>
      <c r="N126">
        <f>IF(OR($M126="",$M126="—"),"",IF($M126&lt;-3,"Muito baixa",IF($M126&lt;-2,"Baixa","Adequada")))</f>
        <v/>
      </c>
      <c r="O126" s="12">
        <f>IF(OR($S126="",$F126="",$T126="",$T126&lt;0,$T126&gt;120,$AJ126=""),"—",ROUND(IF(ABS($AM126)&lt;=3,$AM126,IF($AM126&gt;3,3+($F126-$AO126)/($AO126-$AN126),-3+($F126-$AQ126)/($AP126-$AQ126))),2))</f>
        <v/>
      </c>
      <c r="P126">
        <f>IF(OR($O126="",$O126="—"),"",IF($O126&lt;-3,"Muito baixo",IF($O126&lt;-2,"Baixo",IF($O126&lt;=2,"Adequado","Elevado"))))</f>
        <v/>
      </c>
      <c r="Q126" s="12">
        <f>IF(OR($S126="",$F126="",$T126="",$T126&lt;0,$T126&gt;60,$AR126=""),"—",ROUND(IF(ABS($AU126)&lt;=3,$AU126,IF($AU126&gt;3,3+($F126-$AW126)/($AW126-$AV126),-3+($F126-$AY126)/($AX126-$AY126))),2))</f>
        <v/>
      </c>
      <c r="R126">
        <f>IF(OR($Q126="",$Q126="—"),"",IF($Q126&lt;-3,"Magreza acentuada",IF($Q126&lt;-2,"Magreza",IF($Q126&lt;=1,"Eutrofia",IF($Q126&lt;=2,"Risco de sobrepeso",IF($Q126&lt;=3,"Sobrepeso","Obesidade"))))))</f>
        <v/>
      </c>
      <c r="S126">
        <f>IF($C126="","",IF(UPPER(LEFT($C126,1))="M",1,IF(UPPER(LEFT($C126,1))="F",2,"")))</f>
        <v/>
      </c>
      <c r="T126">
        <f>IF(OR($D126="",$E126=""),"",DATEDIF($D126,$E126,"m"))</f>
        <v/>
      </c>
      <c r="U126">
        <f>IF(OR($D126="",$E126=""),"",$E126-$D126)</f>
        <v/>
      </c>
      <c r="V126">
        <f>IF(OR($G126="",$T126=""),"",IF($T126&lt;24,IF(LEFT(LOWER($H126),4)="em p",$G126+0.7,$G126),IF(LEFT(LOWER($H126),4)="deit",$G126-0.7,$G126)))</f>
        <v/>
      </c>
      <c r="W126">
        <f>IF(OR($S126="",$T126=""),"",$S126*1000000+IF($T126&lt;=60,$U126,$T126))</f>
        <v/>
      </c>
      <c r="X126">
        <f>IF(OR($S126="",$V126="",$T126&gt;60,$T126=""),"",$S126*1000000+ROUND($V126*10,0))</f>
        <v/>
      </c>
      <c r="Y126">
        <f>IF($W126="","",IFERROR(INDEX(IF($T126&lt;=60,imc05_l,imc519_l),MATCH($W126,IF($T126&lt;=60,imc05_k,imc519_k),1)),""))</f>
        <v/>
      </c>
      <c r="Z126">
        <f>IF($W126="","",IFERROR(INDEX(IF($T126&lt;=60,imc05_m,imc519_m),MATCH($W126,IF($T126&lt;=60,imc05_k,imc519_k),1)),""))</f>
        <v/>
      </c>
      <c r="AA126">
        <f>IF($W126="","",IFERROR(INDEX(IF($T126&lt;=60,imc05_s,imc519_s),MATCH($W126,IF($T126&lt;=60,imc05_k,imc519_k),1)),""))</f>
        <v/>
      </c>
      <c r="AB126">
        <f>IF($Y126="","",IF($Y126=0,LN($J126/$Z126)/$AA126,((($J126/$Z126)^$Y126)-1)/($Y126*$AA126)))</f>
        <v/>
      </c>
      <c r="AC126">
        <f>IF($Y126="","",IF($Y126=0,$Z126*EXP($AA126*2),$Z126*(1+$Y126*$AA126*2)^(1/$Y126)))</f>
        <v/>
      </c>
      <c r="AD126">
        <f>IF($Y126="","",IF($Y126=0,$Z126*EXP($AA126*3),$Z126*(1+$Y126*$AA126*3)^(1/$Y126)))</f>
        <v/>
      </c>
      <c r="AE126">
        <f>IF($Y126="","",IF($Y126=0,$Z126*EXP($AA126*-2),$Z126*(1+$Y126*$AA126*-2)^(1/$Y126)))</f>
        <v/>
      </c>
      <c r="AF126">
        <f>IF($Y126="","",IF($Y126=0,$Z126*EXP($AA126*-3),$Z126*(1+$Y126*$AA126*-3)^(1/$Y126)))</f>
        <v/>
      </c>
      <c r="AG126">
        <f>IF($W126="","",IFERROR(INDEX(IF($T126&lt;=60,est05_l,est519_l),MATCH($W126,IF($T126&lt;=60,est05_k,est519_k),1)),""))</f>
        <v/>
      </c>
      <c r="AH126">
        <f>IF($W126="","",IFERROR(INDEX(IF($T126&lt;=60,est05_m,est519_m),MATCH($W126,IF($T126&lt;=60,est05_k,est519_k),1)),""))</f>
        <v/>
      </c>
      <c r="AI126">
        <f>IF($W126="","",IFERROR(INDEX(IF($T126&lt;=60,est05_s,est519_s),MATCH($W126,IF($T126&lt;=60,est05_k,est519_k),1)),""))</f>
        <v/>
      </c>
      <c r="AJ126">
        <f>IF($W126="","",IFERROR(INDEX(IF($T126&lt;=60,peso05_l,peso510_l),MATCH($W126,IF($T126&lt;=60,peso05_k,peso510_k),1)),""))</f>
        <v/>
      </c>
      <c r="AK126">
        <f>IF($W126="","",IFERROR(INDEX(IF($T126&lt;=60,peso05_m,peso510_m),MATCH($W126,IF($T126&lt;=60,peso05_k,peso510_k),1)),""))</f>
        <v/>
      </c>
      <c r="AL126">
        <f>IF($W126="","",IFERROR(INDEX(IF($T126&lt;=60,peso05_s,peso510_s),MATCH($W126,IF($T126&lt;=60,peso05_k,peso510_k),1)),""))</f>
        <v/>
      </c>
      <c r="AM126">
        <f>IF($AJ126="","",IF($AJ126=0,LN($F126/$AK126)/$AL126,((($F126/$AK126)^$AJ126)-1)/($AJ126*$AL126)))</f>
        <v/>
      </c>
      <c r="AN126">
        <f>IF($AJ126="","",IF($AJ126=0,$AK126*EXP($AL126*2),$AK126*(1+$AJ126*$AL126*2)^(1/$AJ126)))</f>
        <v/>
      </c>
      <c r="AO126">
        <f>IF($AJ126="","",IF($AJ126=0,$AK126*EXP($AL126*3),$AK126*(1+$AJ126*$AL126*3)^(1/$AJ126)))</f>
        <v/>
      </c>
      <c r="AP126">
        <f>IF($AJ126="","",IF($AJ126=0,$AK126*EXP($AL126*-2),$AK126*(1+$AJ126*$AL126*-2)^(1/$AJ126)))</f>
        <v/>
      </c>
      <c r="AQ126">
        <f>IF($AJ126="","",IF($AJ126=0,$AK126*EXP($AL126*-3),$AK126*(1+$AJ126*$AL126*-3)^(1/$AJ126)))</f>
        <v/>
      </c>
      <c r="AR126">
        <f>IF(OR($X126="",$T126&gt;60),"",IFERROR(INDEX(IF($T126&lt;24,pcomp_l,palt_l),MATCH($X126,IF($T126&lt;24,pcomp_k,palt_k),1)),""))</f>
        <v/>
      </c>
      <c r="AS126">
        <f>IF(OR($X126="",$T126&gt;60),"",IFERROR(INDEX(IF($T126&lt;24,pcomp_m,palt_m),MATCH($X126,IF($T126&lt;24,pcomp_k,palt_k),1)),""))</f>
        <v/>
      </c>
      <c r="AT126">
        <f>IF(OR($X126="",$T126&gt;60),"",IFERROR(INDEX(IF($T126&lt;24,pcomp_s,palt_s),MATCH($X126,IF($T126&lt;24,pcomp_k,palt_k),1)),""))</f>
        <v/>
      </c>
      <c r="AU126">
        <f>IF($AR126="","",IF($AR126=0,LN($F126/$AS126)/$AT126,((($F126/$AS126)^$AR126)-1)/($AR126*$AT126)))</f>
        <v/>
      </c>
      <c r="AV126">
        <f>IF($AR126="","",IF($AR126=0,$AS126*EXP($AT126*2),$AS126*(1+$AR126*$AT126*2)^(1/$AR126)))</f>
        <v/>
      </c>
      <c r="AW126">
        <f>IF($AR126="","",IF($AR126=0,$AS126*EXP($AT126*3),$AS126*(1+$AR126*$AT126*3)^(1/$AR126)))</f>
        <v/>
      </c>
      <c r="AX126">
        <f>IF($AR126="","",IF($AR126=0,$AS126*EXP($AT126*-2),$AS126*(1+$AR126*$AT126*-2)^(1/$AR126)))</f>
        <v/>
      </c>
      <c r="AY126">
        <f>IF($AR126="","",IF($AR126=0,$AS126*EXP($AT126*-3),$AS126*(1+$AR126*$AT126*-3)^(1/$AR126)))</f>
        <v/>
      </c>
      <c r="AZ126">
        <f>IF(OR($A126="",$A126&lt;&gt;Ficha!$C$4),"",COUNTIF($A$2:$A126,Ficha!$C$4))</f>
        <v/>
      </c>
    </row>
    <row r="127">
      <c r="A127" s="8">
        <f>IF(INDEX(Banco!$A:$A,ROW())="","",INDEX(Banco!$A:$A,ROW()))</f>
        <v/>
      </c>
      <c r="B127" s="8">
        <f>IF(INDEX(Banco!$B:$B,ROW())="","",INDEX(Banco!$B:$B,ROW()))</f>
        <v/>
      </c>
      <c r="C127" s="8">
        <f>IF(INDEX(Banco!$C:$C,ROW())="","",INDEX(Banco!$C:$C,ROW()))</f>
        <v/>
      </c>
      <c r="D127" s="9">
        <f>IF(INDEX(Banco!$D:$D,ROW())="","",INDEX(Banco!$D:$D,ROW()))</f>
        <v/>
      </c>
      <c r="E127" s="9">
        <f>IF(INDEX(Banco!$E:$E,ROW())="","",INDEX(Banco!$E:$E,ROW()))</f>
        <v/>
      </c>
      <c r="F127" s="10">
        <f>IF(INDEX(Banco!$F:$F,ROW())="","",INDEX(Banco!$F:$F,ROW()))</f>
        <v/>
      </c>
      <c r="G127" s="10">
        <f>IF(INDEX(Banco!$G:$G,ROW())="","",INDEX(Banco!$G:$G,ROW()))</f>
        <v/>
      </c>
      <c r="H127" s="8">
        <f>IF(INDEX(Banco!$H:$H,ROW())="","",INDEX(Banco!$H:$H,ROW()))</f>
        <v/>
      </c>
      <c r="I127">
        <f>IF($T127="","",INT($T127/12)&amp;"a "&amp;MOD($T127,12)&amp;"m")</f>
        <v/>
      </c>
      <c r="J127" s="11">
        <f>IF(OR($F127="",$G127=""),"",ROUND($F127/($G127/100)^2,2))</f>
        <v/>
      </c>
      <c r="K127" s="12">
        <f>IF(OR($S127="",$J127="",$T127="",$T127&lt;0,$T127&gt;228,$Y127=""),"—",ROUND(IF(ABS($AB127)&lt;=3,$AB127,IF($AB127&gt;3,3+($J127-$AD127)/($AD127-$AC127),-3+($J127-$AF127)/($AE127-$AF127))),2))</f>
        <v/>
      </c>
      <c r="L127">
        <f>IF(OR($K127="",$K127="—"),"",IF($T127&lt;=60,IF($K127&lt;-3,"Magreza acentuada",IF($K127&lt;-2,"Magreza",IF($K127&lt;=1,"Eutrofia",IF($K127&lt;=2,"Risco de sobrepeso",IF($K127&lt;=3,"Sobrepeso","Obesidade"))))),IF($K127&lt;-3,"Magreza acentuada",IF($K127&lt;-2,"Magreza",IF($K127&lt;=1,"Eutrofia",IF($K127&lt;=2,"Sobrepeso",IF($K127&lt;=3,"Obesidade","Obesidade grave")))))))</f>
        <v/>
      </c>
      <c r="M127" s="12">
        <f>IF(OR($S127="",$V127="",$T127="",$T127&lt;0,$T127&gt;228,$AG127=""),"—",ROUND(IF($AG127=0,LN($V127/$AH127)/$AI127,((($V127/$AH127)^$AG127)-1)/($AG127*$AI127)),2))</f>
        <v/>
      </c>
      <c r="N127">
        <f>IF(OR($M127="",$M127="—"),"",IF($M127&lt;-3,"Muito baixa",IF($M127&lt;-2,"Baixa","Adequada")))</f>
        <v/>
      </c>
      <c r="O127" s="12">
        <f>IF(OR($S127="",$F127="",$T127="",$T127&lt;0,$T127&gt;120,$AJ127=""),"—",ROUND(IF(ABS($AM127)&lt;=3,$AM127,IF($AM127&gt;3,3+($F127-$AO127)/($AO127-$AN127),-3+($F127-$AQ127)/($AP127-$AQ127))),2))</f>
        <v/>
      </c>
      <c r="P127">
        <f>IF(OR($O127="",$O127="—"),"",IF($O127&lt;-3,"Muito baixo",IF($O127&lt;-2,"Baixo",IF($O127&lt;=2,"Adequado","Elevado"))))</f>
        <v/>
      </c>
      <c r="Q127" s="12">
        <f>IF(OR($S127="",$F127="",$T127="",$T127&lt;0,$T127&gt;60,$AR127=""),"—",ROUND(IF(ABS($AU127)&lt;=3,$AU127,IF($AU127&gt;3,3+($F127-$AW127)/($AW127-$AV127),-3+($F127-$AY127)/($AX127-$AY127))),2))</f>
        <v/>
      </c>
      <c r="R127">
        <f>IF(OR($Q127="",$Q127="—"),"",IF($Q127&lt;-3,"Magreza acentuada",IF($Q127&lt;-2,"Magreza",IF($Q127&lt;=1,"Eutrofia",IF($Q127&lt;=2,"Risco de sobrepeso",IF($Q127&lt;=3,"Sobrepeso","Obesidade"))))))</f>
        <v/>
      </c>
      <c r="S127">
        <f>IF($C127="","",IF(UPPER(LEFT($C127,1))="M",1,IF(UPPER(LEFT($C127,1))="F",2,"")))</f>
        <v/>
      </c>
      <c r="T127">
        <f>IF(OR($D127="",$E127=""),"",DATEDIF($D127,$E127,"m"))</f>
        <v/>
      </c>
      <c r="U127">
        <f>IF(OR($D127="",$E127=""),"",$E127-$D127)</f>
        <v/>
      </c>
      <c r="V127">
        <f>IF(OR($G127="",$T127=""),"",IF($T127&lt;24,IF(LEFT(LOWER($H127),4)="em p",$G127+0.7,$G127),IF(LEFT(LOWER($H127),4)="deit",$G127-0.7,$G127)))</f>
        <v/>
      </c>
      <c r="W127">
        <f>IF(OR($S127="",$T127=""),"",$S127*1000000+IF($T127&lt;=60,$U127,$T127))</f>
        <v/>
      </c>
      <c r="X127">
        <f>IF(OR($S127="",$V127="",$T127&gt;60,$T127=""),"",$S127*1000000+ROUND($V127*10,0))</f>
        <v/>
      </c>
      <c r="Y127">
        <f>IF($W127="","",IFERROR(INDEX(IF($T127&lt;=60,imc05_l,imc519_l),MATCH($W127,IF($T127&lt;=60,imc05_k,imc519_k),1)),""))</f>
        <v/>
      </c>
      <c r="Z127">
        <f>IF($W127="","",IFERROR(INDEX(IF($T127&lt;=60,imc05_m,imc519_m),MATCH($W127,IF($T127&lt;=60,imc05_k,imc519_k),1)),""))</f>
        <v/>
      </c>
      <c r="AA127">
        <f>IF($W127="","",IFERROR(INDEX(IF($T127&lt;=60,imc05_s,imc519_s),MATCH($W127,IF($T127&lt;=60,imc05_k,imc519_k),1)),""))</f>
        <v/>
      </c>
      <c r="AB127">
        <f>IF($Y127="","",IF($Y127=0,LN($J127/$Z127)/$AA127,((($J127/$Z127)^$Y127)-1)/($Y127*$AA127)))</f>
        <v/>
      </c>
      <c r="AC127">
        <f>IF($Y127="","",IF($Y127=0,$Z127*EXP($AA127*2),$Z127*(1+$Y127*$AA127*2)^(1/$Y127)))</f>
        <v/>
      </c>
      <c r="AD127">
        <f>IF($Y127="","",IF($Y127=0,$Z127*EXP($AA127*3),$Z127*(1+$Y127*$AA127*3)^(1/$Y127)))</f>
        <v/>
      </c>
      <c r="AE127">
        <f>IF($Y127="","",IF($Y127=0,$Z127*EXP($AA127*-2),$Z127*(1+$Y127*$AA127*-2)^(1/$Y127)))</f>
        <v/>
      </c>
      <c r="AF127">
        <f>IF($Y127="","",IF($Y127=0,$Z127*EXP($AA127*-3),$Z127*(1+$Y127*$AA127*-3)^(1/$Y127)))</f>
        <v/>
      </c>
      <c r="AG127">
        <f>IF($W127="","",IFERROR(INDEX(IF($T127&lt;=60,est05_l,est519_l),MATCH($W127,IF($T127&lt;=60,est05_k,est519_k),1)),""))</f>
        <v/>
      </c>
      <c r="AH127">
        <f>IF($W127="","",IFERROR(INDEX(IF($T127&lt;=60,est05_m,est519_m),MATCH($W127,IF($T127&lt;=60,est05_k,est519_k),1)),""))</f>
        <v/>
      </c>
      <c r="AI127">
        <f>IF($W127="","",IFERROR(INDEX(IF($T127&lt;=60,est05_s,est519_s),MATCH($W127,IF($T127&lt;=60,est05_k,est519_k),1)),""))</f>
        <v/>
      </c>
      <c r="AJ127">
        <f>IF($W127="","",IFERROR(INDEX(IF($T127&lt;=60,peso05_l,peso510_l),MATCH($W127,IF($T127&lt;=60,peso05_k,peso510_k),1)),""))</f>
        <v/>
      </c>
      <c r="AK127">
        <f>IF($W127="","",IFERROR(INDEX(IF($T127&lt;=60,peso05_m,peso510_m),MATCH($W127,IF($T127&lt;=60,peso05_k,peso510_k),1)),""))</f>
        <v/>
      </c>
      <c r="AL127">
        <f>IF($W127="","",IFERROR(INDEX(IF($T127&lt;=60,peso05_s,peso510_s),MATCH($W127,IF($T127&lt;=60,peso05_k,peso510_k),1)),""))</f>
        <v/>
      </c>
      <c r="AM127">
        <f>IF($AJ127="","",IF($AJ127=0,LN($F127/$AK127)/$AL127,((($F127/$AK127)^$AJ127)-1)/($AJ127*$AL127)))</f>
        <v/>
      </c>
      <c r="AN127">
        <f>IF($AJ127="","",IF($AJ127=0,$AK127*EXP($AL127*2),$AK127*(1+$AJ127*$AL127*2)^(1/$AJ127)))</f>
        <v/>
      </c>
      <c r="AO127">
        <f>IF($AJ127="","",IF($AJ127=0,$AK127*EXP($AL127*3),$AK127*(1+$AJ127*$AL127*3)^(1/$AJ127)))</f>
        <v/>
      </c>
      <c r="AP127">
        <f>IF($AJ127="","",IF($AJ127=0,$AK127*EXP($AL127*-2),$AK127*(1+$AJ127*$AL127*-2)^(1/$AJ127)))</f>
        <v/>
      </c>
      <c r="AQ127">
        <f>IF($AJ127="","",IF($AJ127=0,$AK127*EXP($AL127*-3),$AK127*(1+$AJ127*$AL127*-3)^(1/$AJ127)))</f>
        <v/>
      </c>
      <c r="AR127">
        <f>IF(OR($X127="",$T127&gt;60),"",IFERROR(INDEX(IF($T127&lt;24,pcomp_l,palt_l),MATCH($X127,IF($T127&lt;24,pcomp_k,palt_k),1)),""))</f>
        <v/>
      </c>
      <c r="AS127">
        <f>IF(OR($X127="",$T127&gt;60),"",IFERROR(INDEX(IF($T127&lt;24,pcomp_m,palt_m),MATCH($X127,IF($T127&lt;24,pcomp_k,palt_k),1)),""))</f>
        <v/>
      </c>
      <c r="AT127">
        <f>IF(OR($X127="",$T127&gt;60),"",IFERROR(INDEX(IF($T127&lt;24,pcomp_s,palt_s),MATCH($X127,IF($T127&lt;24,pcomp_k,palt_k),1)),""))</f>
        <v/>
      </c>
      <c r="AU127">
        <f>IF($AR127="","",IF($AR127=0,LN($F127/$AS127)/$AT127,((($F127/$AS127)^$AR127)-1)/($AR127*$AT127)))</f>
        <v/>
      </c>
      <c r="AV127">
        <f>IF($AR127="","",IF($AR127=0,$AS127*EXP($AT127*2),$AS127*(1+$AR127*$AT127*2)^(1/$AR127)))</f>
        <v/>
      </c>
      <c r="AW127">
        <f>IF($AR127="","",IF($AR127=0,$AS127*EXP($AT127*3),$AS127*(1+$AR127*$AT127*3)^(1/$AR127)))</f>
        <v/>
      </c>
      <c r="AX127">
        <f>IF($AR127="","",IF($AR127=0,$AS127*EXP($AT127*-2),$AS127*(1+$AR127*$AT127*-2)^(1/$AR127)))</f>
        <v/>
      </c>
      <c r="AY127">
        <f>IF($AR127="","",IF($AR127=0,$AS127*EXP($AT127*-3),$AS127*(1+$AR127*$AT127*-3)^(1/$AR127)))</f>
        <v/>
      </c>
      <c r="AZ127">
        <f>IF(OR($A127="",$A127&lt;&gt;Ficha!$C$4),"",COUNTIF($A$2:$A127,Ficha!$C$4))</f>
        <v/>
      </c>
    </row>
    <row r="128">
      <c r="A128" s="8">
        <f>IF(INDEX(Banco!$A:$A,ROW())="","",INDEX(Banco!$A:$A,ROW()))</f>
        <v/>
      </c>
      <c r="B128" s="8">
        <f>IF(INDEX(Banco!$B:$B,ROW())="","",INDEX(Banco!$B:$B,ROW()))</f>
        <v/>
      </c>
      <c r="C128" s="8">
        <f>IF(INDEX(Banco!$C:$C,ROW())="","",INDEX(Banco!$C:$C,ROW()))</f>
        <v/>
      </c>
      <c r="D128" s="9">
        <f>IF(INDEX(Banco!$D:$D,ROW())="","",INDEX(Banco!$D:$D,ROW()))</f>
        <v/>
      </c>
      <c r="E128" s="9">
        <f>IF(INDEX(Banco!$E:$E,ROW())="","",INDEX(Banco!$E:$E,ROW()))</f>
        <v/>
      </c>
      <c r="F128" s="10">
        <f>IF(INDEX(Banco!$F:$F,ROW())="","",INDEX(Banco!$F:$F,ROW()))</f>
        <v/>
      </c>
      <c r="G128" s="10">
        <f>IF(INDEX(Banco!$G:$G,ROW())="","",INDEX(Banco!$G:$G,ROW()))</f>
        <v/>
      </c>
      <c r="H128" s="8">
        <f>IF(INDEX(Banco!$H:$H,ROW())="","",INDEX(Banco!$H:$H,ROW()))</f>
        <v/>
      </c>
      <c r="I128">
        <f>IF($T128="","",INT($T128/12)&amp;"a "&amp;MOD($T128,12)&amp;"m")</f>
        <v/>
      </c>
      <c r="J128" s="11">
        <f>IF(OR($F128="",$G128=""),"",ROUND($F128/($G128/100)^2,2))</f>
        <v/>
      </c>
      <c r="K128" s="12">
        <f>IF(OR($S128="",$J128="",$T128="",$T128&lt;0,$T128&gt;228,$Y128=""),"—",ROUND(IF(ABS($AB128)&lt;=3,$AB128,IF($AB128&gt;3,3+($J128-$AD128)/($AD128-$AC128),-3+($J128-$AF128)/($AE128-$AF128))),2))</f>
        <v/>
      </c>
      <c r="L128">
        <f>IF(OR($K128="",$K128="—"),"",IF($T128&lt;=60,IF($K128&lt;-3,"Magreza acentuada",IF($K128&lt;-2,"Magreza",IF($K128&lt;=1,"Eutrofia",IF($K128&lt;=2,"Risco de sobrepeso",IF($K128&lt;=3,"Sobrepeso","Obesidade"))))),IF($K128&lt;-3,"Magreza acentuada",IF($K128&lt;-2,"Magreza",IF($K128&lt;=1,"Eutrofia",IF($K128&lt;=2,"Sobrepeso",IF($K128&lt;=3,"Obesidade","Obesidade grave")))))))</f>
        <v/>
      </c>
      <c r="M128" s="12">
        <f>IF(OR($S128="",$V128="",$T128="",$T128&lt;0,$T128&gt;228,$AG128=""),"—",ROUND(IF($AG128=0,LN($V128/$AH128)/$AI128,((($V128/$AH128)^$AG128)-1)/($AG128*$AI128)),2))</f>
        <v/>
      </c>
      <c r="N128">
        <f>IF(OR($M128="",$M128="—"),"",IF($M128&lt;-3,"Muito baixa",IF($M128&lt;-2,"Baixa","Adequada")))</f>
        <v/>
      </c>
      <c r="O128" s="12">
        <f>IF(OR($S128="",$F128="",$T128="",$T128&lt;0,$T128&gt;120,$AJ128=""),"—",ROUND(IF(ABS($AM128)&lt;=3,$AM128,IF($AM128&gt;3,3+($F128-$AO128)/($AO128-$AN128),-3+($F128-$AQ128)/($AP128-$AQ128))),2))</f>
        <v/>
      </c>
      <c r="P128">
        <f>IF(OR($O128="",$O128="—"),"",IF($O128&lt;-3,"Muito baixo",IF($O128&lt;-2,"Baixo",IF($O128&lt;=2,"Adequado","Elevado"))))</f>
        <v/>
      </c>
      <c r="Q128" s="12">
        <f>IF(OR($S128="",$F128="",$T128="",$T128&lt;0,$T128&gt;60,$AR128=""),"—",ROUND(IF(ABS($AU128)&lt;=3,$AU128,IF($AU128&gt;3,3+($F128-$AW128)/($AW128-$AV128),-3+($F128-$AY128)/($AX128-$AY128))),2))</f>
        <v/>
      </c>
      <c r="R128">
        <f>IF(OR($Q128="",$Q128="—"),"",IF($Q128&lt;-3,"Magreza acentuada",IF($Q128&lt;-2,"Magreza",IF($Q128&lt;=1,"Eutrofia",IF($Q128&lt;=2,"Risco de sobrepeso",IF($Q128&lt;=3,"Sobrepeso","Obesidade"))))))</f>
        <v/>
      </c>
      <c r="S128">
        <f>IF($C128="","",IF(UPPER(LEFT($C128,1))="M",1,IF(UPPER(LEFT($C128,1))="F",2,"")))</f>
        <v/>
      </c>
      <c r="T128">
        <f>IF(OR($D128="",$E128=""),"",DATEDIF($D128,$E128,"m"))</f>
        <v/>
      </c>
      <c r="U128">
        <f>IF(OR($D128="",$E128=""),"",$E128-$D128)</f>
        <v/>
      </c>
      <c r="V128">
        <f>IF(OR($G128="",$T128=""),"",IF($T128&lt;24,IF(LEFT(LOWER($H128),4)="em p",$G128+0.7,$G128),IF(LEFT(LOWER($H128),4)="deit",$G128-0.7,$G128)))</f>
        <v/>
      </c>
      <c r="W128">
        <f>IF(OR($S128="",$T128=""),"",$S128*1000000+IF($T128&lt;=60,$U128,$T128))</f>
        <v/>
      </c>
      <c r="X128">
        <f>IF(OR($S128="",$V128="",$T128&gt;60,$T128=""),"",$S128*1000000+ROUND($V128*10,0))</f>
        <v/>
      </c>
      <c r="Y128">
        <f>IF($W128="","",IFERROR(INDEX(IF($T128&lt;=60,imc05_l,imc519_l),MATCH($W128,IF($T128&lt;=60,imc05_k,imc519_k),1)),""))</f>
        <v/>
      </c>
      <c r="Z128">
        <f>IF($W128="","",IFERROR(INDEX(IF($T128&lt;=60,imc05_m,imc519_m),MATCH($W128,IF($T128&lt;=60,imc05_k,imc519_k),1)),""))</f>
        <v/>
      </c>
      <c r="AA128">
        <f>IF($W128="","",IFERROR(INDEX(IF($T128&lt;=60,imc05_s,imc519_s),MATCH($W128,IF($T128&lt;=60,imc05_k,imc519_k),1)),""))</f>
        <v/>
      </c>
      <c r="AB128">
        <f>IF($Y128="","",IF($Y128=0,LN($J128/$Z128)/$AA128,((($J128/$Z128)^$Y128)-1)/($Y128*$AA128)))</f>
        <v/>
      </c>
      <c r="AC128">
        <f>IF($Y128="","",IF($Y128=0,$Z128*EXP($AA128*2),$Z128*(1+$Y128*$AA128*2)^(1/$Y128)))</f>
        <v/>
      </c>
      <c r="AD128">
        <f>IF($Y128="","",IF($Y128=0,$Z128*EXP($AA128*3),$Z128*(1+$Y128*$AA128*3)^(1/$Y128)))</f>
        <v/>
      </c>
      <c r="AE128">
        <f>IF($Y128="","",IF($Y128=0,$Z128*EXP($AA128*-2),$Z128*(1+$Y128*$AA128*-2)^(1/$Y128)))</f>
        <v/>
      </c>
      <c r="AF128">
        <f>IF($Y128="","",IF($Y128=0,$Z128*EXP($AA128*-3),$Z128*(1+$Y128*$AA128*-3)^(1/$Y128)))</f>
        <v/>
      </c>
      <c r="AG128">
        <f>IF($W128="","",IFERROR(INDEX(IF($T128&lt;=60,est05_l,est519_l),MATCH($W128,IF($T128&lt;=60,est05_k,est519_k),1)),""))</f>
        <v/>
      </c>
      <c r="AH128">
        <f>IF($W128="","",IFERROR(INDEX(IF($T128&lt;=60,est05_m,est519_m),MATCH($W128,IF($T128&lt;=60,est05_k,est519_k),1)),""))</f>
        <v/>
      </c>
      <c r="AI128">
        <f>IF($W128="","",IFERROR(INDEX(IF($T128&lt;=60,est05_s,est519_s),MATCH($W128,IF($T128&lt;=60,est05_k,est519_k),1)),""))</f>
        <v/>
      </c>
      <c r="AJ128">
        <f>IF($W128="","",IFERROR(INDEX(IF($T128&lt;=60,peso05_l,peso510_l),MATCH($W128,IF($T128&lt;=60,peso05_k,peso510_k),1)),""))</f>
        <v/>
      </c>
      <c r="AK128">
        <f>IF($W128="","",IFERROR(INDEX(IF($T128&lt;=60,peso05_m,peso510_m),MATCH($W128,IF($T128&lt;=60,peso05_k,peso510_k),1)),""))</f>
        <v/>
      </c>
      <c r="AL128">
        <f>IF($W128="","",IFERROR(INDEX(IF($T128&lt;=60,peso05_s,peso510_s),MATCH($W128,IF($T128&lt;=60,peso05_k,peso510_k),1)),""))</f>
        <v/>
      </c>
      <c r="AM128">
        <f>IF($AJ128="","",IF($AJ128=0,LN($F128/$AK128)/$AL128,((($F128/$AK128)^$AJ128)-1)/($AJ128*$AL128)))</f>
        <v/>
      </c>
      <c r="AN128">
        <f>IF($AJ128="","",IF($AJ128=0,$AK128*EXP($AL128*2),$AK128*(1+$AJ128*$AL128*2)^(1/$AJ128)))</f>
        <v/>
      </c>
      <c r="AO128">
        <f>IF($AJ128="","",IF($AJ128=0,$AK128*EXP($AL128*3),$AK128*(1+$AJ128*$AL128*3)^(1/$AJ128)))</f>
        <v/>
      </c>
      <c r="AP128">
        <f>IF($AJ128="","",IF($AJ128=0,$AK128*EXP($AL128*-2),$AK128*(1+$AJ128*$AL128*-2)^(1/$AJ128)))</f>
        <v/>
      </c>
      <c r="AQ128">
        <f>IF($AJ128="","",IF($AJ128=0,$AK128*EXP($AL128*-3),$AK128*(1+$AJ128*$AL128*-3)^(1/$AJ128)))</f>
        <v/>
      </c>
      <c r="AR128">
        <f>IF(OR($X128="",$T128&gt;60),"",IFERROR(INDEX(IF($T128&lt;24,pcomp_l,palt_l),MATCH($X128,IF($T128&lt;24,pcomp_k,palt_k),1)),""))</f>
        <v/>
      </c>
      <c r="AS128">
        <f>IF(OR($X128="",$T128&gt;60),"",IFERROR(INDEX(IF($T128&lt;24,pcomp_m,palt_m),MATCH($X128,IF($T128&lt;24,pcomp_k,palt_k),1)),""))</f>
        <v/>
      </c>
      <c r="AT128">
        <f>IF(OR($X128="",$T128&gt;60),"",IFERROR(INDEX(IF($T128&lt;24,pcomp_s,palt_s),MATCH($X128,IF($T128&lt;24,pcomp_k,palt_k),1)),""))</f>
        <v/>
      </c>
      <c r="AU128">
        <f>IF($AR128="","",IF($AR128=0,LN($F128/$AS128)/$AT128,((($F128/$AS128)^$AR128)-1)/($AR128*$AT128)))</f>
        <v/>
      </c>
      <c r="AV128">
        <f>IF($AR128="","",IF($AR128=0,$AS128*EXP($AT128*2),$AS128*(1+$AR128*$AT128*2)^(1/$AR128)))</f>
        <v/>
      </c>
      <c r="AW128">
        <f>IF($AR128="","",IF($AR128=0,$AS128*EXP($AT128*3),$AS128*(1+$AR128*$AT128*3)^(1/$AR128)))</f>
        <v/>
      </c>
      <c r="AX128">
        <f>IF($AR128="","",IF($AR128=0,$AS128*EXP($AT128*-2),$AS128*(1+$AR128*$AT128*-2)^(1/$AR128)))</f>
        <v/>
      </c>
      <c r="AY128">
        <f>IF($AR128="","",IF($AR128=0,$AS128*EXP($AT128*-3),$AS128*(1+$AR128*$AT128*-3)^(1/$AR128)))</f>
        <v/>
      </c>
      <c r="AZ128">
        <f>IF(OR($A128="",$A128&lt;&gt;Ficha!$C$4),"",COUNTIF($A$2:$A128,Ficha!$C$4))</f>
        <v/>
      </c>
    </row>
    <row r="129">
      <c r="A129" s="8">
        <f>IF(INDEX(Banco!$A:$A,ROW())="","",INDEX(Banco!$A:$A,ROW()))</f>
        <v/>
      </c>
      <c r="B129" s="8">
        <f>IF(INDEX(Banco!$B:$B,ROW())="","",INDEX(Banco!$B:$B,ROW()))</f>
        <v/>
      </c>
      <c r="C129" s="8">
        <f>IF(INDEX(Banco!$C:$C,ROW())="","",INDEX(Banco!$C:$C,ROW()))</f>
        <v/>
      </c>
      <c r="D129" s="9">
        <f>IF(INDEX(Banco!$D:$D,ROW())="","",INDEX(Banco!$D:$D,ROW()))</f>
        <v/>
      </c>
      <c r="E129" s="9">
        <f>IF(INDEX(Banco!$E:$E,ROW())="","",INDEX(Banco!$E:$E,ROW()))</f>
        <v/>
      </c>
      <c r="F129" s="10">
        <f>IF(INDEX(Banco!$F:$F,ROW())="","",INDEX(Banco!$F:$F,ROW()))</f>
        <v/>
      </c>
      <c r="G129" s="10">
        <f>IF(INDEX(Banco!$G:$G,ROW())="","",INDEX(Banco!$G:$G,ROW()))</f>
        <v/>
      </c>
      <c r="H129" s="8">
        <f>IF(INDEX(Banco!$H:$H,ROW())="","",INDEX(Banco!$H:$H,ROW()))</f>
        <v/>
      </c>
      <c r="I129">
        <f>IF($T129="","",INT($T129/12)&amp;"a "&amp;MOD($T129,12)&amp;"m")</f>
        <v/>
      </c>
      <c r="J129" s="11">
        <f>IF(OR($F129="",$G129=""),"",ROUND($F129/($G129/100)^2,2))</f>
        <v/>
      </c>
      <c r="K129" s="12">
        <f>IF(OR($S129="",$J129="",$T129="",$T129&lt;0,$T129&gt;228,$Y129=""),"—",ROUND(IF(ABS($AB129)&lt;=3,$AB129,IF($AB129&gt;3,3+($J129-$AD129)/($AD129-$AC129),-3+($J129-$AF129)/($AE129-$AF129))),2))</f>
        <v/>
      </c>
      <c r="L129">
        <f>IF(OR($K129="",$K129="—"),"",IF($T129&lt;=60,IF($K129&lt;-3,"Magreza acentuada",IF($K129&lt;-2,"Magreza",IF($K129&lt;=1,"Eutrofia",IF($K129&lt;=2,"Risco de sobrepeso",IF($K129&lt;=3,"Sobrepeso","Obesidade"))))),IF($K129&lt;-3,"Magreza acentuada",IF($K129&lt;-2,"Magreza",IF($K129&lt;=1,"Eutrofia",IF($K129&lt;=2,"Sobrepeso",IF($K129&lt;=3,"Obesidade","Obesidade grave")))))))</f>
        <v/>
      </c>
      <c r="M129" s="12">
        <f>IF(OR($S129="",$V129="",$T129="",$T129&lt;0,$T129&gt;228,$AG129=""),"—",ROUND(IF($AG129=0,LN($V129/$AH129)/$AI129,((($V129/$AH129)^$AG129)-1)/($AG129*$AI129)),2))</f>
        <v/>
      </c>
      <c r="N129">
        <f>IF(OR($M129="",$M129="—"),"",IF($M129&lt;-3,"Muito baixa",IF($M129&lt;-2,"Baixa","Adequada")))</f>
        <v/>
      </c>
      <c r="O129" s="12">
        <f>IF(OR($S129="",$F129="",$T129="",$T129&lt;0,$T129&gt;120,$AJ129=""),"—",ROUND(IF(ABS($AM129)&lt;=3,$AM129,IF($AM129&gt;3,3+($F129-$AO129)/($AO129-$AN129),-3+($F129-$AQ129)/($AP129-$AQ129))),2))</f>
        <v/>
      </c>
      <c r="P129">
        <f>IF(OR($O129="",$O129="—"),"",IF($O129&lt;-3,"Muito baixo",IF($O129&lt;-2,"Baixo",IF($O129&lt;=2,"Adequado","Elevado"))))</f>
        <v/>
      </c>
      <c r="Q129" s="12">
        <f>IF(OR($S129="",$F129="",$T129="",$T129&lt;0,$T129&gt;60,$AR129=""),"—",ROUND(IF(ABS($AU129)&lt;=3,$AU129,IF($AU129&gt;3,3+($F129-$AW129)/($AW129-$AV129),-3+($F129-$AY129)/($AX129-$AY129))),2))</f>
        <v/>
      </c>
      <c r="R129">
        <f>IF(OR($Q129="",$Q129="—"),"",IF($Q129&lt;-3,"Magreza acentuada",IF($Q129&lt;-2,"Magreza",IF($Q129&lt;=1,"Eutrofia",IF($Q129&lt;=2,"Risco de sobrepeso",IF($Q129&lt;=3,"Sobrepeso","Obesidade"))))))</f>
        <v/>
      </c>
      <c r="S129">
        <f>IF($C129="","",IF(UPPER(LEFT($C129,1))="M",1,IF(UPPER(LEFT($C129,1))="F",2,"")))</f>
        <v/>
      </c>
      <c r="T129">
        <f>IF(OR($D129="",$E129=""),"",DATEDIF($D129,$E129,"m"))</f>
        <v/>
      </c>
      <c r="U129">
        <f>IF(OR($D129="",$E129=""),"",$E129-$D129)</f>
        <v/>
      </c>
      <c r="V129">
        <f>IF(OR($G129="",$T129=""),"",IF($T129&lt;24,IF(LEFT(LOWER($H129),4)="em p",$G129+0.7,$G129),IF(LEFT(LOWER($H129),4)="deit",$G129-0.7,$G129)))</f>
        <v/>
      </c>
      <c r="W129">
        <f>IF(OR($S129="",$T129=""),"",$S129*1000000+IF($T129&lt;=60,$U129,$T129))</f>
        <v/>
      </c>
      <c r="X129">
        <f>IF(OR($S129="",$V129="",$T129&gt;60,$T129=""),"",$S129*1000000+ROUND($V129*10,0))</f>
        <v/>
      </c>
      <c r="Y129">
        <f>IF($W129="","",IFERROR(INDEX(IF($T129&lt;=60,imc05_l,imc519_l),MATCH($W129,IF($T129&lt;=60,imc05_k,imc519_k),1)),""))</f>
        <v/>
      </c>
      <c r="Z129">
        <f>IF($W129="","",IFERROR(INDEX(IF($T129&lt;=60,imc05_m,imc519_m),MATCH($W129,IF($T129&lt;=60,imc05_k,imc519_k),1)),""))</f>
        <v/>
      </c>
      <c r="AA129">
        <f>IF($W129="","",IFERROR(INDEX(IF($T129&lt;=60,imc05_s,imc519_s),MATCH($W129,IF($T129&lt;=60,imc05_k,imc519_k),1)),""))</f>
        <v/>
      </c>
      <c r="AB129">
        <f>IF($Y129="","",IF($Y129=0,LN($J129/$Z129)/$AA129,((($J129/$Z129)^$Y129)-1)/($Y129*$AA129)))</f>
        <v/>
      </c>
      <c r="AC129">
        <f>IF($Y129="","",IF($Y129=0,$Z129*EXP($AA129*2),$Z129*(1+$Y129*$AA129*2)^(1/$Y129)))</f>
        <v/>
      </c>
      <c r="AD129">
        <f>IF($Y129="","",IF($Y129=0,$Z129*EXP($AA129*3),$Z129*(1+$Y129*$AA129*3)^(1/$Y129)))</f>
        <v/>
      </c>
      <c r="AE129">
        <f>IF($Y129="","",IF($Y129=0,$Z129*EXP($AA129*-2),$Z129*(1+$Y129*$AA129*-2)^(1/$Y129)))</f>
        <v/>
      </c>
      <c r="AF129">
        <f>IF($Y129="","",IF($Y129=0,$Z129*EXP($AA129*-3),$Z129*(1+$Y129*$AA129*-3)^(1/$Y129)))</f>
        <v/>
      </c>
      <c r="AG129">
        <f>IF($W129="","",IFERROR(INDEX(IF($T129&lt;=60,est05_l,est519_l),MATCH($W129,IF($T129&lt;=60,est05_k,est519_k),1)),""))</f>
        <v/>
      </c>
      <c r="AH129">
        <f>IF($W129="","",IFERROR(INDEX(IF($T129&lt;=60,est05_m,est519_m),MATCH($W129,IF($T129&lt;=60,est05_k,est519_k),1)),""))</f>
        <v/>
      </c>
      <c r="AI129">
        <f>IF($W129="","",IFERROR(INDEX(IF($T129&lt;=60,est05_s,est519_s),MATCH($W129,IF($T129&lt;=60,est05_k,est519_k),1)),""))</f>
        <v/>
      </c>
      <c r="AJ129">
        <f>IF($W129="","",IFERROR(INDEX(IF($T129&lt;=60,peso05_l,peso510_l),MATCH($W129,IF($T129&lt;=60,peso05_k,peso510_k),1)),""))</f>
        <v/>
      </c>
      <c r="AK129">
        <f>IF($W129="","",IFERROR(INDEX(IF($T129&lt;=60,peso05_m,peso510_m),MATCH($W129,IF($T129&lt;=60,peso05_k,peso510_k),1)),""))</f>
        <v/>
      </c>
      <c r="AL129">
        <f>IF($W129="","",IFERROR(INDEX(IF($T129&lt;=60,peso05_s,peso510_s),MATCH($W129,IF($T129&lt;=60,peso05_k,peso510_k),1)),""))</f>
        <v/>
      </c>
      <c r="AM129">
        <f>IF($AJ129="","",IF($AJ129=0,LN($F129/$AK129)/$AL129,((($F129/$AK129)^$AJ129)-1)/($AJ129*$AL129)))</f>
        <v/>
      </c>
      <c r="AN129">
        <f>IF($AJ129="","",IF($AJ129=0,$AK129*EXP($AL129*2),$AK129*(1+$AJ129*$AL129*2)^(1/$AJ129)))</f>
        <v/>
      </c>
      <c r="AO129">
        <f>IF($AJ129="","",IF($AJ129=0,$AK129*EXP($AL129*3),$AK129*(1+$AJ129*$AL129*3)^(1/$AJ129)))</f>
        <v/>
      </c>
      <c r="AP129">
        <f>IF($AJ129="","",IF($AJ129=0,$AK129*EXP($AL129*-2),$AK129*(1+$AJ129*$AL129*-2)^(1/$AJ129)))</f>
        <v/>
      </c>
      <c r="AQ129">
        <f>IF($AJ129="","",IF($AJ129=0,$AK129*EXP($AL129*-3),$AK129*(1+$AJ129*$AL129*-3)^(1/$AJ129)))</f>
        <v/>
      </c>
      <c r="AR129">
        <f>IF(OR($X129="",$T129&gt;60),"",IFERROR(INDEX(IF($T129&lt;24,pcomp_l,palt_l),MATCH($X129,IF($T129&lt;24,pcomp_k,palt_k),1)),""))</f>
        <v/>
      </c>
      <c r="AS129">
        <f>IF(OR($X129="",$T129&gt;60),"",IFERROR(INDEX(IF($T129&lt;24,pcomp_m,palt_m),MATCH($X129,IF($T129&lt;24,pcomp_k,palt_k),1)),""))</f>
        <v/>
      </c>
      <c r="AT129">
        <f>IF(OR($X129="",$T129&gt;60),"",IFERROR(INDEX(IF($T129&lt;24,pcomp_s,palt_s),MATCH($X129,IF($T129&lt;24,pcomp_k,palt_k),1)),""))</f>
        <v/>
      </c>
      <c r="AU129">
        <f>IF($AR129="","",IF($AR129=0,LN($F129/$AS129)/$AT129,((($F129/$AS129)^$AR129)-1)/($AR129*$AT129)))</f>
        <v/>
      </c>
      <c r="AV129">
        <f>IF($AR129="","",IF($AR129=0,$AS129*EXP($AT129*2),$AS129*(1+$AR129*$AT129*2)^(1/$AR129)))</f>
        <v/>
      </c>
      <c r="AW129">
        <f>IF($AR129="","",IF($AR129=0,$AS129*EXP($AT129*3),$AS129*(1+$AR129*$AT129*3)^(1/$AR129)))</f>
        <v/>
      </c>
      <c r="AX129">
        <f>IF($AR129="","",IF($AR129=0,$AS129*EXP($AT129*-2),$AS129*(1+$AR129*$AT129*-2)^(1/$AR129)))</f>
        <v/>
      </c>
      <c r="AY129">
        <f>IF($AR129="","",IF($AR129=0,$AS129*EXP($AT129*-3),$AS129*(1+$AR129*$AT129*-3)^(1/$AR129)))</f>
        <v/>
      </c>
      <c r="AZ129">
        <f>IF(OR($A129="",$A129&lt;&gt;Ficha!$C$4),"",COUNTIF($A$2:$A129,Ficha!$C$4))</f>
        <v/>
      </c>
    </row>
    <row r="130">
      <c r="A130" s="8">
        <f>IF(INDEX(Banco!$A:$A,ROW())="","",INDEX(Banco!$A:$A,ROW()))</f>
        <v/>
      </c>
      <c r="B130" s="8">
        <f>IF(INDEX(Banco!$B:$B,ROW())="","",INDEX(Banco!$B:$B,ROW()))</f>
        <v/>
      </c>
      <c r="C130" s="8">
        <f>IF(INDEX(Banco!$C:$C,ROW())="","",INDEX(Banco!$C:$C,ROW()))</f>
        <v/>
      </c>
      <c r="D130" s="9">
        <f>IF(INDEX(Banco!$D:$D,ROW())="","",INDEX(Banco!$D:$D,ROW()))</f>
        <v/>
      </c>
      <c r="E130" s="9">
        <f>IF(INDEX(Banco!$E:$E,ROW())="","",INDEX(Banco!$E:$E,ROW()))</f>
        <v/>
      </c>
      <c r="F130" s="10">
        <f>IF(INDEX(Banco!$F:$F,ROW())="","",INDEX(Banco!$F:$F,ROW()))</f>
        <v/>
      </c>
      <c r="G130" s="10">
        <f>IF(INDEX(Banco!$G:$G,ROW())="","",INDEX(Banco!$G:$G,ROW()))</f>
        <v/>
      </c>
      <c r="H130" s="8">
        <f>IF(INDEX(Banco!$H:$H,ROW())="","",INDEX(Banco!$H:$H,ROW()))</f>
        <v/>
      </c>
      <c r="I130">
        <f>IF($T130="","",INT($T130/12)&amp;"a "&amp;MOD($T130,12)&amp;"m")</f>
        <v/>
      </c>
      <c r="J130" s="11">
        <f>IF(OR($F130="",$G130=""),"",ROUND($F130/($G130/100)^2,2))</f>
        <v/>
      </c>
      <c r="K130" s="12">
        <f>IF(OR($S130="",$J130="",$T130="",$T130&lt;0,$T130&gt;228,$Y130=""),"—",ROUND(IF(ABS($AB130)&lt;=3,$AB130,IF($AB130&gt;3,3+($J130-$AD130)/($AD130-$AC130),-3+($J130-$AF130)/($AE130-$AF130))),2))</f>
        <v/>
      </c>
      <c r="L130">
        <f>IF(OR($K130="",$K130="—"),"",IF($T130&lt;=60,IF($K130&lt;-3,"Magreza acentuada",IF($K130&lt;-2,"Magreza",IF($K130&lt;=1,"Eutrofia",IF($K130&lt;=2,"Risco de sobrepeso",IF($K130&lt;=3,"Sobrepeso","Obesidade"))))),IF($K130&lt;-3,"Magreza acentuada",IF($K130&lt;-2,"Magreza",IF($K130&lt;=1,"Eutrofia",IF($K130&lt;=2,"Sobrepeso",IF($K130&lt;=3,"Obesidade","Obesidade grave")))))))</f>
        <v/>
      </c>
      <c r="M130" s="12">
        <f>IF(OR($S130="",$V130="",$T130="",$T130&lt;0,$T130&gt;228,$AG130=""),"—",ROUND(IF($AG130=0,LN($V130/$AH130)/$AI130,((($V130/$AH130)^$AG130)-1)/($AG130*$AI130)),2))</f>
        <v/>
      </c>
      <c r="N130">
        <f>IF(OR($M130="",$M130="—"),"",IF($M130&lt;-3,"Muito baixa",IF($M130&lt;-2,"Baixa","Adequada")))</f>
        <v/>
      </c>
      <c r="O130" s="12">
        <f>IF(OR($S130="",$F130="",$T130="",$T130&lt;0,$T130&gt;120,$AJ130=""),"—",ROUND(IF(ABS($AM130)&lt;=3,$AM130,IF($AM130&gt;3,3+($F130-$AO130)/($AO130-$AN130),-3+($F130-$AQ130)/($AP130-$AQ130))),2))</f>
        <v/>
      </c>
      <c r="P130">
        <f>IF(OR($O130="",$O130="—"),"",IF($O130&lt;-3,"Muito baixo",IF($O130&lt;-2,"Baixo",IF($O130&lt;=2,"Adequado","Elevado"))))</f>
        <v/>
      </c>
      <c r="Q130" s="12">
        <f>IF(OR($S130="",$F130="",$T130="",$T130&lt;0,$T130&gt;60,$AR130=""),"—",ROUND(IF(ABS($AU130)&lt;=3,$AU130,IF($AU130&gt;3,3+($F130-$AW130)/($AW130-$AV130),-3+($F130-$AY130)/($AX130-$AY130))),2))</f>
        <v/>
      </c>
      <c r="R130">
        <f>IF(OR($Q130="",$Q130="—"),"",IF($Q130&lt;-3,"Magreza acentuada",IF($Q130&lt;-2,"Magreza",IF($Q130&lt;=1,"Eutrofia",IF($Q130&lt;=2,"Risco de sobrepeso",IF($Q130&lt;=3,"Sobrepeso","Obesidade"))))))</f>
        <v/>
      </c>
      <c r="S130">
        <f>IF($C130="","",IF(UPPER(LEFT($C130,1))="M",1,IF(UPPER(LEFT($C130,1))="F",2,"")))</f>
        <v/>
      </c>
      <c r="T130">
        <f>IF(OR($D130="",$E130=""),"",DATEDIF($D130,$E130,"m"))</f>
        <v/>
      </c>
      <c r="U130">
        <f>IF(OR($D130="",$E130=""),"",$E130-$D130)</f>
        <v/>
      </c>
      <c r="V130">
        <f>IF(OR($G130="",$T130=""),"",IF($T130&lt;24,IF(LEFT(LOWER($H130),4)="em p",$G130+0.7,$G130),IF(LEFT(LOWER($H130),4)="deit",$G130-0.7,$G130)))</f>
        <v/>
      </c>
      <c r="W130">
        <f>IF(OR($S130="",$T130=""),"",$S130*1000000+IF($T130&lt;=60,$U130,$T130))</f>
        <v/>
      </c>
      <c r="X130">
        <f>IF(OR($S130="",$V130="",$T130&gt;60,$T130=""),"",$S130*1000000+ROUND($V130*10,0))</f>
        <v/>
      </c>
      <c r="Y130">
        <f>IF($W130="","",IFERROR(INDEX(IF($T130&lt;=60,imc05_l,imc519_l),MATCH($W130,IF($T130&lt;=60,imc05_k,imc519_k),1)),""))</f>
        <v/>
      </c>
      <c r="Z130">
        <f>IF($W130="","",IFERROR(INDEX(IF($T130&lt;=60,imc05_m,imc519_m),MATCH($W130,IF($T130&lt;=60,imc05_k,imc519_k),1)),""))</f>
        <v/>
      </c>
      <c r="AA130">
        <f>IF($W130="","",IFERROR(INDEX(IF($T130&lt;=60,imc05_s,imc519_s),MATCH($W130,IF($T130&lt;=60,imc05_k,imc519_k),1)),""))</f>
        <v/>
      </c>
      <c r="AB130">
        <f>IF($Y130="","",IF($Y130=0,LN($J130/$Z130)/$AA130,((($J130/$Z130)^$Y130)-1)/($Y130*$AA130)))</f>
        <v/>
      </c>
      <c r="AC130">
        <f>IF($Y130="","",IF($Y130=0,$Z130*EXP($AA130*2),$Z130*(1+$Y130*$AA130*2)^(1/$Y130)))</f>
        <v/>
      </c>
      <c r="AD130">
        <f>IF($Y130="","",IF($Y130=0,$Z130*EXP($AA130*3),$Z130*(1+$Y130*$AA130*3)^(1/$Y130)))</f>
        <v/>
      </c>
      <c r="AE130">
        <f>IF($Y130="","",IF($Y130=0,$Z130*EXP($AA130*-2),$Z130*(1+$Y130*$AA130*-2)^(1/$Y130)))</f>
        <v/>
      </c>
      <c r="AF130">
        <f>IF($Y130="","",IF($Y130=0,$Z130*EXP($AA130*-3),$Z130*(1+$Y130*$AA130*-3)^(1/$Y130)))</f>
        <v/>
      </c>
      <c r="AG130">
        <f>IF($W130="","",IFERROR(INDEX(IF($T130&lt;=60,est05_l,est519_l),MATCH($W130,IF($T130&lt;=60,est05_k,est519_k),1)),""))</f>
        <v/>
      </c>
      <c r="AH130">
        <f>IF($W130="","",IFERROR(INDEX(IF($T130&lt;=60,est05_m,est519_m),MATCH($W130,IF($T130&lt;=60,est05_k,est519_k),1)),""))</f>
        <v/>
      </c>
      <c r="AI130">
        <f>IF($W130="","",IFERROR(INDEX(IF($T130&lt;=60,est05_s,est519_s),MATCH($W130,IF($T130&lt;=60,est05_k,est519_k),1)),""))</f>
        <v/>
      </c>
      <c r="AJ130">
        <f>IF($W130="","",IFERROR(INDEX(IF($T130&lt;=60,peso05_l,peso510_l),MATCH($W130,IF($T130&lt;=60,peso05_k,peso510_k),1)),""))</f>
        <v/>
      </c>
      <c r="AK130">
        <f>IF($W130="","",IFERROR(INDEX(IF($T130&lt;=60,peso05_m,peso510_m),MATCH($W130,IF($T130&lt;=60,peso05_k,peso510_k),1)),""))</f>
        <v/>
      </c>
      <c r="AL130">
        <f>IF($W130="","",IFERROR(INDEX(IF($T130&lt;=60,peso05_s,peso510_s),MATCH($W130,IF($T130&lt;=60,peso05_k,peso510_k),1)),""))</f>
        <v/>
      </c>
      <c r="AM130">
        <f>IF($AJ130="","",IF($AJ130=0,LN($F130/$AK130)/$AL130,((($F130/$AK130)^$AJ130)-1)/($AJ130*$AL130)))</f>
        <v/>
      </c>
      <c r="AN130">
        <f>IF($AJ130="","",IF($AJ130=0,$AK130*EXP($AL130*2),$AK130*(1+$AJ130*$AL130*2)^(1/$AJ130)))</f>
        <v/>
      </c>
      <c r="AO130">
        <f>IF($AJ130="","",IF($AJ130=0,$AK130*EXP($AL130*3),$AK130*(1+$AJ130*$AL130*3)^(1/$AJ130)))</f>
        <v/>
      </c>
      <c r="AP130">
        <f>IF($AJ130="","",IF($AJ130=0,$AK130*EXP($AL130*-2),$AK130*(1+$AJ130*$AL130*-2)^(1/$AJ130)))</f>
        <v/>
      </c>
      <c r="AQ130">
        <f>IF($AJ130="","",IF($AJ130=0,$AK130*EXP($AL130*-3),$AK130*(1+$AJ130*$AL130*-3)^(1/$AJ130)))</f>
        <v/>
      </c>
      <c r="AR130">
        <f>IF(OR($X130="",$T130&gt;60),"",IFERROR(INDEX(IF($T130&lt;24,pcomp_l,palt_l),MATCH($X130,IF($T130&lt;24,pcomp_k,palt_k),1)),""))</f>
        <v/>
      </c>
      <c r="AS130">
        <f>IF(OR($X130="",$T130&gt;60),"",IFERROR(INDEX(IF($T130&lt;24,pcomp_m,palt_m),MATCH($X130,IF($T130&lt;24,pcomp_k,palt_k),1)),""))</f>
        <v/>
      </c>
      <c r="AT130">
        <f>IF(OR($X130="",$T130&gt;60),"",IFERROR(INDEX(IF($T130&lt;24,pcomp_s,palt_s),MATCH($X130,IF($T130&lt;24,pcomp_k,palt_k),1)),""))</f>
        <v/>
      </c>
      <c r="AU130">
        <f>IF($AR130="","",IF($AR130=0,LN($F130/$AS130)/$AT130,((($F130/$AS130)^$AR130)-1)/($AR130*$AT130)))</f>
        <v/>
      </c>
      <c r="AV130">
        <f>IF($AR130="","",IF($AR130=0,$AS130*EXP($AT130*2),$AS130*(1+$AR130*$AT130*2)^(1/$AR130)))</f>
        <v/>
      </c>
      <c r="AW130">
        <f>IF($AR130="","",IF($AR130=0,$AS130*EXP($AT130*3),$AS130*(1+$AR130*$AT130*3)^(1/$AR130)))</f>
        <v/>
      </c>
      <c r="AX130">
        <f>IF($AR130="","",IF($AR130=0,$AS130*EXP($AT130*-2),$AS130*(1+$AR130*$AT130*-2)^(1/$AR130)))</f>
        <v/>
      </c>
      <c r="AY130">
        <f>IF($AR130="","",IF($AR130=0,$AS130*EXP($AT130*-3),$AS130*(1+$AR130*$AT130*-3)^(1/$AR130)))</f>
        <v/>
      </c>
      <c r="AZ130">
        <f>IF(OR($A130="",$A130&lt;&gt;Ficha!$C$4),"",COUNTIF($A$2:$A130,Ficha!$C$4))</f>
        <v/>
      </c>
    </row>
    <row r="131">
      <c r="A131" s="8">
        <f>IF(INDEX(Banco!$A:$A,ROW())="","",INDEX(Banco!$A:$A,ROW()))</f>
        <v/>
      </c>
      <c r="B131" s="8">
        <f>IF(INDEX(Banco!$B:$B,ROW())="","",INDEX(Banco!$B:$B,ROW()))</f>
        <v/>
      </c>
      <c r="C131" s="8">
        <f>IF(INDEX(Banco!$C:$C,ROW())="","",INDEX(Banco!$C:$C,ROW()))</f>
        <v/>
      </c>
      <c r="D131" s="9">
        <f>IF(INDEX(Banco!$D:$D,ROW())="","",INDEX(Banco!$D:$D,ROW()))</f>
        <v/>
      </c>
      <c r="E131" s="9">
        <f>IF(INDEX(Banco!$E:$E,ROW())="","",INDEX(Banco!$E:$E,ROW()))</f>
        <v/>
      </c>
      <c r="F131" s="10">
        <f>IF(INDEX(Banco!$F:$F,ROW())="","",INDEX(Banco!$F:$F,ROW()))</f>
        <v/>
      </c>
      <c r="G131" s="10">
        <f>IF(INDEX(Banco!$G:$G,ROW())="","",INDEX(Banco!$G:$G,ROW()))</f>
        <v/>
      </c>
      <c r="H131" s="8">
        <f>IF(INDEX(Banco!$H:$H,ROW())="","",INDEX(Banco!$H:$H,ROW()))</f>
        <v/>
      </c>
      <c r="I131">
        <f>IF($T131="","",INT($T131/12)&amp;"a "&amp;MOD($T131,12)&amp;"m")</f>
        <v/>
      </c>
      <c r="J131" s="11">
        <f>IF(OR($F131="",$G131=""),"",ROUND($F131/($G131/100)^2,2))</f>
        <v/>
      </c>
      <c r="K131" s="12">
        <f>IF(OR($S131="",$J131="",$T131="",$T131&lt;0,$T131&gt;228,$Y131=""),"—",ROUND(IF(ABS($AB131)&lt;=3,$AB131,IF($AB131&gt;3,3+($J131-$AD131)/($AD131-$AC131),-3+($J131-$AF131)/($AE131-$AF131))),2))</f>
        <v/>
      </c>
      <c r="L131">
        <f>IF(OR($K131="",$K131="—"),"",IF($T131&lt;=60,IF($K131&lt;-3,"Magreza acentuada",IF($K131&lt;-2,"Magreza",IF($K131&lt;=1,"Eutrofia",IF($K131&lt;=2,"Risco de sobrepeso",IF($K131&lt;=3,"Sobrepeso","Obesidade"))))),IF($K131&lt;-3,"Magreza acentuada",IF($K131&lt;-2,"Magreza",IF($K131&lt;=1,"Eutrofia",IF($K131&lt;=2,"Sobrepeso",IF($K131&lt;=3,"Obesidade","Obesidade grave")))))))</f>
        <v/>
      </c>
      <c r="M131" s="12">
        <f>IF(OR($S131="",$V131="",$T131="",$T131&lt;0,$T131&gt;228,$AG131=""),"—",ROUND(IF($AG131=0,LN($V131/$AH131)/$AI131,((($V131/$AH131)^$AG131)-1)/($AG131*$AI131)),2))</f>
        <v/>
      </c>
      <c r="N131">
        <f>IF(OR($M131="",$M131="—"),"",IF($M131&lt;-3,"Muito baixa",IF($M131&lt;-2,"Baixa","Adequada")))</f>
        <v/>
      </c>
      <c r="O131" s="12">
        <f>IF(OR($S131="",$F131="",$T131="",$T131&lt;0,$T131&gt;120,$AJ131=""),"—",ROUND(IF(ABS($AM131)&lt;=3,$AM131,IF($AM131&gt;3,3+($F131-$AO131)/($AO131-$AN131),-3+($F131-$AQ131)/($AP131-$AQ131))),2))</f>
        <v/>
      </c>
      <c r="P131">
        <f>IF(OR($O131="",$O131="—"),"",IF($O131&lt;-3,"Muito baixo",IF($O131&lt;-2,"Baixo",IF($O131&lt;=2,"Adequado","Elevado"))))</f>
        <v/>
      </c>
      <c r="Q131" s="12">
        <f>IF(OR($S131="",$F131="",$T131="",$T131&lt;0,$T131&gt;60,$AR131=""),"—",ROUND(IF(ABS($AU131)&lt;=3,$AU131,IF($AU131&gt;3,3+($F131-$AW131)/($AW131-$AV131),-3+($F131-$AY131)/($AX131-$AY131))),2))</f>
        <v/>
      </c>
      <c r="R131">
        <f>IF(OR($Q131="",$Q131="—"),"",IF($Q131&lt;-3,"Magreza acentuada",IF($Q131&lt;-2,"Magreza",IF($Q131&lt;=1,"Eutrofia",IF($Q131&lt;=2,"Risco de sobrepeso",IF($Q131&lt;=3,"Sobrepeso","Obesidade"))))))</f>
        <v/>
      </c>
      <c r="S131">
        <f>IF($C131="","",IF(UPPER(LEFT($C131,1))="M",1,IF(UPPER(LEFT($C131,1))="F",2,"")))</f>
        <v/>
      </c>
      <c r="T131">
        <f>IF(OR($D131="",$E131=""),"",DATEDIF($D131,$E131,"m"))</f>
        <v/>
      </c>
      <c r="U131">
        <f>IF(OR($D131="",$E131=""),"",$E131-$D131)</f>
        <v/>
      </c>
      <c r="V131">
        <f>IF(OR($G131="",$T131=""),"",IF($T131&lt;24,IF(LEFT(LOWER($H131),4)="em p",$G131+0.7,$G131),IF(LEFT(LOWER($H131),4)="deit",$G131-0.7,$G131)))</f>
        <v/>
      </c>
      <c r="W131">
        <f>IF(OR($S131="",$T131=""),"",$S131*1000000+IF($T131&lt;=60,$U131,$T131))</f>
        <v/>
      </c>
      <c r="X131">
        <f>IF(OR($S131="",$V131="",$T131&gt;60,$T131=""),"",$S131*1000000+ROUND($V131*10,0))</f>
        <v/>
      </c>
      <c r="Y131">
        <f>IF($W131="","",IFERROR(INDEX(IF($T131&lt;=60,imc05_l,imc519_l),MATCH($W131,IF($T131&lt;=60,imc05_k,imc519_k),1)),""))</f>
        <v/>
      </c>
      <c r="Z131">
        <f>IF($W131="","",IFERROR(INDEX(IF($T131&lt;=60,imc05_m,imc519_m),MATCH($W131,IF($T131&lt;=60,imc05_k,imc519_k),1)),""))</f>
        <v/>
      </c>
      <c r="AA131">
        <f>IF($W131="","",IFERROR(INDEX(IF($T131&lt;=60,imc05_s,imc519_s),MATCH($W131,IF($T131&lt;=60,imc05_k,imc519_k),1)),""))</f>
        <v/>
      </c>
      <c r="AB131">
        <f>IF($Y131="","",IF($Y131=0,LN($J131/$Z131)/$AA131,((($J131/$Z131)^$Y131)-1)/($Y131*$AA131)))</f>
        <v/>
      </c>
      <c r="AC131">
        <f>IF($Y131="","",IF($Y131=0,$Z131*EXP($AA131*2),$Z131*(1+$Y131*$AA131*2)^(1/$Y131)))</f>
        <v/>
      </c>
      <c r="AD131">
        <f>IF($Y131="","",IF($Y131=0,$Z131*EXP($AA131*3),$Z131*(1+$Y131*$AA131*3)^(1/$Y131)))</f>
        <v/>
      </c>
      <c r="AE131">
        <f>IF($Y131="","",IF($Y131=0,$Z131*EXP($AA131*-2),$Z131*(1+$Y131*$AA131*-2)^(1/$Y131)))</f>
        <v/>
      </c>
      <c r="AF131">
        <f>IF($Y131="","",IF($Y131=0,$Z131*EXP($AA131*-3),$Z131*(1+$Y131*$AA131*-3)^(1/$Y131)))</f>
        <v/>
      </c>
      <c r="AG131">
        <f>IF($W131="","",IFERROR(INDEX(IF($T131&lt;=60,est05_l,est519_l),MATCH($W131,IF($T131&lt;=60,est05_k,est519_k),1)),""))</f>
        <v/>
      </c>
      <c r="AH131">
        <f>IF($W131="","",IFERROR(INDEX(IF($T131&lt;=60,est05_m,est519_m),MATCH($W131,IF($T131&lt;=60,est05_k,est519_k),1)),""))</f>
        <v/>
      </c>
      <c r="AI131">
        <f>IF($W131="","",IFERROR(INDEX(IF($T131&lt;=60,est05_s,est519_s),MATCH($W131,IF($T131&lt;=60,est05_k,est519_k),1)),""))</f>
        <v/>
      </c>
      <c r="AJ131">
        <f>IF($W131="","",IFERROR(INDEX(IF($T131&lt;=60,peso05_l,peso510_l),MATCH($W131,IF($T131&lt;=60,peso05_k,peso510_k),1)),""))</f>
        <v/>
      </c>
      <c r="AK131">
        <f>IF($W131="","",IFERROR(INDEX(IF($T131&lt;=60,peso05_m,peso510_m),MATCH($W131,IF($T131&lt;=60,peso05_k,peso510_k),1)),""))</f>
        <v/>
      </c>
      <c r="AL131">
        <f>IF($W131="","",IFERROR(INDEX(IF($T131&lt;=60,peso05_s,peso510_s),MATCH($W131,IF($T131&lt;=60,peso05_k,peso510_k),1)),""))</f>
        <v/>
      </c>
      <c r="AM131">
        <f>IF($AJ131="","",IF($AJ131=0,LN($F131/$AK131)/$AL131,((($F131/$AK131)^$AJ131)-1)/($AJ131*$AL131)))</f>
        <v/>
      </c>
      <c r="AN131">
        <f>IF($AJ131="","",IF($AJ131=0,$AK131*EXP($AL131*2),$AK131*(1+$AJ131*$AL131*2)^(1/$AJ131)))</f>
        <v/>
      </c>
      <c r="AO131">
        <f>IF($AJ131="","",IF($AJ131=0,$AK131*EXP($AL131*3),$AK131*(1+$AJ131*$AL131*3)^(1/$AJ131)))</f>
        <v/>
      </c>
      <c r="AP131">
        <f>IF($AJ131="","",IF($AJ131=0,$AK131*EXP($AL131*-2),$AK131*(1+$AJ131*$AL131*-2)^(1/$AJ131)))</f>
        <v/>
      </c>
      <c r="AQ131">
        <f>IF($AJ131="","",IF($AJ131=0,$AK131*EXP($AL131*-3),$AK131*(1+$AJ131*$AL131*-3)^(1/$AJ131)))</f>
        <v/>
      </c>
      <c r="AR131">
        <f>IF(OR($X131="",$T131&gt;60),"",IFERROR(INDEX(IF($T131&lt;24,pcomp_l,palt_l),MATCH($X131,IF($T131&lt;24,pcomp_k,palt_k),1)),""))</f>
        <v/>
      </c>
      <c r="AS131">
        <f>IF(OR($X131="",$T131&gt;60),"",IFERROR(INDEX(IF($T131&lt;24,pcomp_m,palt_m),MATCH($X131,IF($T131&lt;24,pcomp_k,palt_k),1)),""))</f>
        <v/>
      </c>
      <c r="AT131">
        <f>IF(OR($X131="",$T131&gt;60),"",IFERROR(INDEX(IF($T131&lt;24,pcomp_s,palt_s),MATCH($X131,IF($T131&lt;24,pcomp_k,palt_k),1)),""))</f>
        <v/>
      </c>
      <c r="AU131">
        <f>IF($AR131="","",IF($AR131=0,LN($F131/$AS131)/$AT131,((($F131/$AS131)^$AR131)-1)/($AR131*$AT131)))</f>
        <v/>
      </c>
      <c r="AV131">
        <f>IF($AR131="","",IF($AR131=0,$AS131*EXP($AT131*2),$AS131*(1+$AR131*$AT131*2)^(1/$AR131)))</f>
        <v/>
      </c>
      <c r="AW131">
        <f>IF($AR131="","",IF($AR131=0,$AS131*EXP($AT131*3),$AS131*(1+$AR131*$AT131*3)^(1/$AR131)))</f>
        <v/>
      </c>
      <c r="AX131">
        <f>IF($AR131="","",IF($AR131=0,$AS131*EXP($AT131*-2),$AS131*(1+$AR131*$AT131*-2)^(1/$AR131)))</f>
        <v/>
      </c>
      <c r="AY131">
        <f>IF($AR131="","",IF($AR131=0,$AS131*EXP($AT131*-3),$AS131*(1+$AR131*$AT131*-3)^(1/$AR131)))</f>
        <v/>
      </c>
      <c r="AZ131">
        <f>IF(OR($A131="",$A131&lt;&gt;Ficha!$C$4),"",COUNTIF($A$2:$A131,Ficha!$C$4))</f>
        <v/>
      </c>
    </row>
    <row r="132">
      <c r="A132" s="8">
        <f>IF(INDEX(Banco!$A:$A,ROW())="","",INDEX(Banco!$A:$A,ROW()))</f>
        <v/>
      </c>
      <c r="B132" s="8">
        <f>IF(INDEX(Banco!$B:$B,ROW())="","",INDEX(Banco!$B:$B,ROW()))</f>
        <v/>
      </c>
      <c r="C132" s="8">
        <f>IF(INDEX(Banco!$C:$C,ROW())="","",INDEX(Banco!$C:$C,ROW()))</f>
        <v/>
      </c>
      <c r="D132" s="9">
        <f>IF(INDEX(Banco!$D:$D,ROW())="","",INDEX(Banco!$D:$D,ROW()))</f>
        <v/>
      </c>
      <c r="E132" s="9">
        <f>IF(INDEX(Banco!$E:$E,ROW())="","",INDEX(Banco!$E:$E,ROW()))</f>
        <v/>
      </c>
      <c r="F132" s="10">
        <f>IF(INDEX(Banco!$F:$F,ROW())="","",INDEX(Banco!$F:$F,ROW()))</f>
        <v/>
      </c>
      <c r="G132" s="10">
        <f>IF(INDEX(Banco!$G:$G,ROW())="","",INDEX(Banco!$G:$G,ROW()))</f>
        <v/>
      </c>
      <c r="H132" s="8">
        <f>IF(INDEX(Banco!$H:$H,ROW())="","",INDEX(Banco!$H:$H,ROW()))</f>
        <v/>
      </c>
      <c r="I132">
        <f>IF($T132="","",INT($T132/12)&amp;"a "&amp;MOD($T132,12)&amp;"m")</f>
        <v/>
      </c>
      <c r="J132" s="11">
        <f>IF(OR($F132="",$G132=""),"",ROUND($F132/($G132/100)^2,2))</f>
        <v/>
      </c>
      <c r="K132" s="12">
        <f>IF(OR($S132="",$J132="",$T132="",$T132&lt;0,$T132&gt;228,$Y132=""),"—",ROUND(IF(ABS($AB132)&lt;=3,$AB132,IF($AB132&gt;3,3+($J132-$AD132)/($AD132-$AC132),-3+($J132-$AF132)/($AE132-$AF132))),2))</f>
        <v/>
      </c>
      <c r="L132">
        <f>IF(OR($K132="",$K132="—"),"",IF($T132&lt;=60,IF($K132&lt;-3,"Magreza acentuada",IF($K132&lt;-2,"Magreza",IF($K132&lt;=1,"Eutrofia",IF($K132&lt;=2,"Risco de sobrepeso",IF($K132&lt;=3,"Sobrepeso","Obesidade"))))),IF($K132&lt;-3,"Magreza acentuada",IF($K132&lt;-2,"Magreza",IF($K132&lt;=1,"Eutrofia",IF($K132&lt;=2,"Sobrepeso",IF($K132&lt;=3,"Obesidade","Obesidade grave")))))))</f>
        <v/>
      </c>
      <c r="M132" s="12">
        <f>IF(OR($S132="",$V132="",$T132="",$T132&lt;0,$T132&gt;228,$AG132=""),"—",ROUND(IF($AG132=0,LN($V132/$AH132)/$AI132,((($V132/$AH132)^$AG132)-1)/($AG132*$AI132)),2))</f>
        <v/>
      </c>
      <c r="N132">
        <f>IF(OR($M132="",$M132="—"),"",IF($M132&lt;-3,"Muito baixa",IF($M132&lt;-2,"Baixa","Adequada")))</f>
        <v/>
      </c>
      <c r="O132" s="12">
        <f>IF(OR($S132="",$F132="",$T132="",$T132&lt;0,$T132&gt;120,$AJ132=""),"—",ROUND(IF(ABS($AM132)&lt;=3,$AM132,IF($AM132&gt;3,3+($F132-$AO132)/($AO132-$AN132),-3+($F132-$AQ132)/($AP132-$AQ132))),2))</f>
        <v/>
      </c>
      <c r="P132">
        <f>IF(OR($O132="",$O132="—"),"",IF($O132&lt;-3,"Muito baixo",IF($O132&lt;-2,"Baixo",IF($O132&lt;=2,"Adequado","Elevado"))))</f>
        <v/>
      </c>
      <c r="Q132" s="12">
        <f>IF(OR($S132="",$F132="",$T132="",$T132&lt;0,$T132&gt;60,$AR132=""),"—",ROUND(IF(ABS($AU132)&lt;=3,$AU132,IF($AU132&gt;3,3+($F132-$AW132)/($AW132-$AV132),-3+($F132-$AY132)/($AX132-$AY132))),2))</f>
        <v/>
      </c>
      <c r="R132">
        <f>IF(OR($Q132="",$Q132="—"),"",IF($Q132&lt;-3,"Magreza acentuada",IF($Q132&lt;-2,"Magreza",IF($Q132&lt;=1,"Eutrofia",IF($Q132&lt;=2,"Risco de sobrepeso",IF($Q132&lt;=3,"Sobrepeso","Obesidade"))))))</f>
        <v/>
      </c>
      <c r="S132">
        <f>IF($C132="","",IF(UPPER(LEFT($C132,1))="M",1,IF(UPPER(LEFT($C132,1))="F",2,"")))</f>
        <v/>
      </c>
      <c r="T132">
        <f>IF(OR($D132="",$E132=""),"",DATEDIF($D132,$E132,"m"))</f>
        <v/>
      </c>
      <c r="U132">
        <f>IF(OR($D132="",$E132=""),"",$E132-$D132)</f>
        <v/>
      </c>
      <c r="V132">
        <f>IF(OR($G132="",$T132=""),"",IF($T132&lt;24,IF(LEFT(LOWER($H132),4)="em p",$G132+0.7,$G132),IF(LEFT(LOWER($H132),4)="deit",$G132-0.7,$G132)))</f>
        <v/>
      </c>
      <c r="W132">
        <f>IF(OR($S132="",$T132=""),"",$S132*1000000+IF($T132&lt;=60,$U132,$T132))</f>
        <v/>
      </c>
      <c r="X132">
        <f>IF(OR($S132="",$V132="",$T132&gt;60,$T132=""),"",$S132*1000000+ROUND($V132*10,0))</f>
        <v/>
      </c>
      <c r="Y132">
        <f>IF($W132="","",IFERROR(INDEX(IF($T132&lt;=60,imc05_l,imc519_l),MATCH($W132,IF($T132&lt;=60,imc05_k,imc519_k),1)),""))</f>
        <v/>
      </c>
      <c r="Z132">
        <f>IF($W132="","",IFERROR(INDEX(IF($T132&lt;=60,imc05_m,imc519_m),MATCH($W132,IF($T132&lt;=60,imc05_k,imc519_k),1)),""))</f>
        <v/>
      </c>
      <c r="AA132">
        <f>IF($W132="","",IFERROR(INDEX(IF($T132&lt;=60,imc05_s,imc519_s),MATCH($W132,IF($T132&lt;=60,imc05_k,imc519_k),1)),""))</f>
        <v/>
      </c>
      <c r="AB132">
        <f>IF($Y132="","",IF($Y132=0,LN($J132/$Z132)/$AA132,((($J132/$Z132)^$Y132)-1)/($Y132*$AA132)))</f>
        <v/>
      </c>
      <c r="AC132">
        <f>IF($Y132="","",IF($Y132=0,$Z132*EXP($AA132*2),$Z132*(1+$Y132*$AA132*2)^(1/$Y132)))</f>
        <v/>
      </c>
      <c r="AD132">
        <f>IF($Y132="","",IF($Y132=0,$Z132*EXP($AA132*3),$Z132*(1+$Y132*$AA132*3)^(1/$Y132)))</f>
        <v/>
      </c>
      <c r="AE132">
        <f>IF($Y132="","",IF($Y132=0,$Z132*EXP($AA132*-2),$Z132*(1+$Y132*$AA132*-2)^(1/$Y132)))</f>
        <v/>
      </c>
      <c r="AF132">
        <f>IF($Y132="","",IF($Y132=0,$Z132*EXP($AA132*-3),$Z132*(1+$Y132*$AA132*-3)^(1/$Y132)))</f>
        <v/>
      </c>
      <c r="AG132">
        <f>IF($W132="","",IFERROR(INDEX(IF($T132&lt;=60,est05_l,est519_l),MATCH($W132,IF($T132&lt;=60,est05_k,est519_k),1)),""))</f>
        <v/>
      </c>
      <c r="AH132">
        <f>IF($W132="","",IFERROR(INDEX(IF($T132&lt;=60,est05_m,est519_m),MATCH($W132,IF($T132&lt;=60,est05_k,est519_k),1)),""))</f>
        <v/>
      </c>
      <c r="AI132">
        <f>IF($W132="","",IFERROR(INDEX(IF($T132&lt;=60,est05_s,est519_s),MATCH($W132,IF($T132&lt;=60,est05_k,est519_k),1)),""))</f>
        <v/>
      </c>
      <c r="AJ132">
        <f>IF($W132="","",IFERROR(INDEX(IF($T132&lt;=60,peso05_l,peso510_l),MATCH($W132,IF($T132&lt;=60,peso05_k,peso510_k),1)),""))</f>
        <v/>
      </c>
      <c r="AK132">
        <f>IF($W132="","",IFERROR(INDEX(IF($T132&lt;=60,peso05_m,peso510_m),MATCH($W132,IF($T132&lt;=60,peso05_k,peso510_k),1)),""))</f>
        <v/>
      </c>
      <c r="AL132">
        <f>IF($W132="","",IFERROR(INDEX(IF($T132&lt;=60,peso05_s,peso510_s),MATCH($W132,IF($T132&lt;=60,peso05_k,peso510_k),1)),""))</f>
        <v/>
      </c>
      <c r="AM132">
        <f>IF($AJ132="","",IF($AJ132=0,LN($F132/$AK132)/$AL132,((($F132/$AK132)^$AJ132)-1)/($AJ132*$AL132)))</f>
        <v/>
      </c>
      <c r="AN132">
        <f>IF($AJ132="","",IF($AJ132=0,$AK132*EXP($AL132*2),$AK132*(1+$AJ132*$AL132*2)^(1/$AJ132)))</f>
        <v/>
      </c>
      <c r="AO132">
        <f>IF($AJ132="","",IF($AJ132=0,$AK132*EXP($AL132*3),$AK132*(1+$AJ132*$AL132*3)^(1/$AJ132)))</f>
        <v/>
      </c>
      <c r="AP132">
        <f>IF($AJ132="","",IF($AJ132=0,$AK132*EXP($AL132*-2),$AK132*(1+$AJ132*$AL132*-2)^(1/$AJ132)))</f>
        <v/>
      </c>
      <c r="AQ132">
        <f>IF($AJ132="","",IF($AJ132=0,$AK132*EXP($AL132*-3),$AK132*(1+$AJ132*$AL132*-3)^(1/$AJ132)))</f>
        <v/>
      </c>
      <c r="AR132">
        <f>IF(OR($X132="",$T132&gt;60),"",IFERROR(INDEX(IF($T132&lt;24,pcomp_l,palt_l),MATCH($X132,IF($T132&lt;24,pcomp_k,palt_k),1)),""))</f>
        <v/>
      </c>
      <c r="AS132">
        <f>IF(OR($X132="",$T132&gt;60),"",IFERROR(INDEX(IF($T132&lt;24,pcomp_m,palt_m),MATCH($X132,IF($T132&lt;24,pcomp_k,palt_k),1)),""))</f>
        <v/>
      </c>
      <c r="AT132">
        <f>IF(OR($X132="",$T132&gt;60),"",IFERROR(INDEX(IF($T132&lt;24,pcomp_s,palt_s),MATCH($X132,IF($T132&lt;24,pcomp_k,palt_k),1)),""))</f>
        <v/>
      </c>
      <c r="AU132">
        <f>IF($AR132="","",IF($AR132=0,LN($F132/$AS132)/$AT132,((($F132/$AS132)^$AR132)-1)/($AR132*$AT132)))</f>
        <v/>
      </c>
      <c r="AV132">
        <f>IF($AR132="","",IF($AR132=0,$AS132*EXP($AT132*2),$AS132*(1+$AR132*$AT132*2)^(1/$AR132)))</f>
        <v/>
      </c>
      <c r="AW132">
        <f>IF($AR132="","",IF($AR132=0,$AS132*EXP($AT132*3),$AS132*(1+$AR132*$AT132*3)^(1/$AR132)))</f>
        <v/>
      </c>
      <c r="AX132">
        <f>IF($AR132="","",IF($AR132=0,$AS132*EXP($AT132*-2),$AS132*(1+$AR132*$AT132*-2)^(1/$AR132)))</f>
        <v/>
      </c>
      <c r="AY132">
        <f>IF($AR132="","",IF($AR132=0,$AS132*EXP($AT132*-3),$AS132*(1+$AR132*$AT132*-3)^(1/$AR132)))</f>
        <v/>
      </c>
      <c r="AZ132">
        <f>IF(OR($A132="",$A132&lt;&gt;Ficha!$C$4),"",COUNTIF($A$2:$A132,Ficha!$C$4))</f>
        <v/>
      </c>
    </row>
    <row r="133">
      <c r="A133" s="8">
        <f>IF(INDEX(Banco!$A:$A,ROW())="","",INDEX(Banco!$A:$A,ROW()))</f>
        <v/>
      </c>
      <c r="B133" s="8">
        <f>IF(INDEX(Banco!$B:$B,ROW())="","",INDEX(Banco!$B:$B,ROW()))</f>
        <v/>
      </c>
      <c r="C133" s="8">
        <f>IF(INDEX(Banco!$C:$C,ROW())="","",INDEX(Banco!$C:$C,ROW()))</f>
        <v/>
      </c>
      <c r="D133" s="9">
        <f>IF(INDEX(Banco!$D:$D,ROW())="","",INDEX(Banco!$D:$D,ROW()))</f>
        <v/>
      </c>
      <c r="E133" s="9">
        <f>IF(INDEX(Banco!$E:$E,ROW())="","",INDEX(Banco!$E:$E,ROW()))</f>
        <v/>
      </c>
      <c r="F133" s="10">
        <f>IF(INDEX(Banco!$F:$F,ROW())="","",INDEX(Banco!$F:$F,ROW()))</f>
        <v/>
      </c>
      <c r="G133" s="10">
        <f>IF(INDEX(Banco!$G:$G,ROW())="","",INDEX(Banco!$G:$G,ROW()))</f>
        <v/>
      </c>
      <c r="H133" s="8">
        <f>IF(INDEX(Banco!$H:$H,ROW())="","",INDEX(Banco!$H:$H,ROW()))</f>
        <v/>
      </c>
      <c r="I133">
        <f>IF($T133="","",INT($T133/12)&amp;"a "&amp;MOD($T133,12)&amp;"m")</f>
        <v/>
      </c>
      <c r="J133" s="11">
        <f>IF(OR($F133="",$G133=""),"",ROUND($F133/($G133/100)^2,2))</f>
        <v/>
      </c>
      <c r="K133" s="12">
        <f>IF(OR($S133="",$J133="",$T133="",$T133&lt;0,$T133&gt;228,$Y133=""),"—",ROUND(IF(ABS($AB133)&lt;=3,$AB133,IF($AB133&gt;3,3+($J133-$AD133)/($AD133-$AC133),-3+($J133-$AF133)/($AE133-$AF133))),2))</f>
        <v/>
      </c>
      <c r="L133">
        <f>IF(OR($K133="",$K133="—"),"",IF($T133&lt;=60,IF($K133&lt;-3,"Magreza acentuada",IF($K133&lt;-2,"Magreza",IF($K133&lt;=1,"Eutrofia",IF($K133&lt;=2,"Risco de sobrepeso",IF($K133&lt;=3,"Sobrepeso","Obesidade"))))),IF($K133&lt;-3,"Magreza acentuada",IF($K133&lt;-2,"Magreza",IF($K133&lt;=1,"Eutrofia",IF($K133&lt;=2,"Sobrepeso",IF($K133&lt;=3,"Obesidade","Obesidade grave")))))))</f>
        <v/>
      </c>
      <c r="M133" s="12">
        <f>IF(OR($S133="",$V133="",$T133="",$T133&lt;0,$T133&gt;228,$AG133=""),"—",ROUND(IF($AG133=0,LN($V133/$AH133)/$AI133,((($V133/$AH133)^$AG133)-1)/($AG133*$AI133)),2))</f>
        <v/>
      </c>
      <c r="N133">
        <f>IF(OR($M133="",$M133="—"),"",IF($M133&lt;-3,"Muito baixa",IF($M133&lt;-2,"Baixa","Adequada")))</f>
        <v/>
      </c>
      <c r="O133" s="12">
        <f>IF(OR($S133="",$F133="",$T133="",$T133&lt;0,$T133&gt;120,$AJ133=""),"—",ROUND(IF(ABS($AM133)&lt;=3,$AM133,IF($AM133&gt;3,3+($F133-$AO133)/($AO133-$AN133),-3+($F133-$AQ133)/($AP133-$AQ133))),2))</f>
        <v/>
      </c>
      <c r="P133">
        <f>IF(OR($O133="",$O133="—"),"",IF($O133&lt;-3,"Muito baixo",IF($O133&lt;-2,"Baixo",IF($O133&lt;=2,"Adequado","Elevado"))))</f>
        <v/>
      </c>
      <c r="Q133" s="12">
        <f>IF(OR($S133="",$F133="",$T133="",$T133&lt;0,$T133&gt;60,$AR133=""),"—",ROUND(IF(ABS($AU133)&lt;=3,$AU133,IF($AU133&gt;3,3+($F133-$AW133)/($AW133-$AV133),-3+($F133-$AY133)/($AX133-$AY133))),2))</f>
        <v/>
      </c>
      <c r="R133">
        <f>IF(OR($Q133="",$Q133="—"),"",IF($Q133&lt;-3,"Magreza acentuada",IF($Q133&lt;-2,"Magreza",IF($Q133&lt;=1,"Eutrofia",IF($Q133&lt;=2,"Risco de sobrepeso",IF($Q133&lt;=3,"Sobrepeso","Obesidade"))))))</f>
        <v/>
      </c>
      <c r="S133">
        <f>IF($C133="","",IF(UPPER(LEFT($C133,1))="M",1,IF(UPPER(LEFT($C133,1))="F",2,"")))</f>
        <v/>
      </c>
      <c r="T133">
        <f>IF(OR($D133="",$E133=""),"",DATEDIF($D133,$E133,"m"))</f>
        <v/>
      </c>
      <c r="U133">
        <f>IF(OR($D133="",$E133=""),"",$E133-$D133)</f>
        <v/>
      </c>
      <c r="V133">
        <f>IF(OR($G133="",$T133=""),"",IF($T133&lt;24,IF(LEFT(LOWER($H133),4)="em p",$G133+0.7,$G133),IF(LEFT(LOWER($H133),4)="deit",$G133-0.7,$G133)))</f>
        <v/>
      </c>
      <c r="W133">
        <f>IF(OR($S133="",$T133=""),"",$S133*1000000+IF($T133&lt;=60,$U133,$T133))</f>
        <v/>
      </c>
      <c r="X133">
        <f>IF(OR($S133="",$V133="",$T133&gt;60,$T133=""),"",$S133*1000000+ROUND($V133*10,0))</f>
        <v/>
      </c>
      <c r="Y133">
        <f>IF($W133="","",IFERROR(INDEX(IF($T133&lt;=60,imc05_l,imc519_l),MATCH($W133,IF($T133&lt;=60,imc05_k,imc519_k),1)),""))</f>
        <v/>
      </c>
      <c r="Z133">
        <f>IF($W133="","",IFERROR(INDEX(IF($T133&lt;=60,imc05_m,imc519_m),MATCH($W133,IF($T133&lt;=60,imc05_k,imc519_k),1)),""))</f>
        <v/>
      </c>
      <c r="AA133">
        <f>IF($W133="","",IFERROR(INDEX(IF($T133&lt;=60,imc05_s,imc519_s),MATCH($W133,IF($T133&lt;=60,imc05_k,imc519_k),1)),""))</f>
        <v/>
      </c>
      <c r="AB133">
        <f>IF($Y133="","",IF($Y133=0,LN($J133/$Z133)/$AA133,((($J133/$Z133)^$Y133)-1)/($Y133*$AA133)))</f>
        <v/>
      </c>
      <c r="AC133">
        <f>IF($Y133="","",IF($Y133=0,$Z133*EXP($AA133*2),$Z133*(1+$Y133*$AA133*2)^(1/$Y133)))</f>
        <v/>
      </c>
      <c r="AD133">
        <f>IF($Y133="","",IF($Y133=0,$Z133*EXP($AA133*3),$Z133*(1+$Y133*$AA133*3)^(1/$Y133)))</f>
        <v/>
      </c>
      <c r="AE133">
        <f>IF($Y133="","",IF($Y133=0,$Z133*EXP($AA133*-2),$Z133*(1+$Y133*$AA133*-2)^(1/$Y133)))</f>
        <v/>
      </c>
      <c r="AF133">
        <f>IF($Y133="","",IF($Y133=0,$Z133*EXP($AA133*-3),$Z133*(1+$Y133*$AA133*-3)^(1/$Y133)))</f>
        <v/>
      </c>
      <c r="AG133">
        <f>IF($W133="","",IFERROR(INDEX(IF($T133&lt;=60,est05_l,est519_l),MATCH($W133,IF($T133&lt;=60,est05_k,est519_k),1)),""))</f>
        <v/>
      </c>
      <c r="AH133">
        <f>IF($W133="","",IFERROR(INDEX(IF($T133&lt;=60,est05_m,est519_m),MATCH($W133,IF($T133&lt;=60,est05_k,est519_k),1)),""))</f>
        <v/>
      </c>
      <c r="AI133">
        <f>IF($W133="","",IFERROR(INDEX(IF($T133&lt;=60,est05_s,est519_s),MATCH($W133,IF($T133&lt;=60,est05_k,est519_k),1)),""))</f>
        <v/>
      </c>
      <c r="AJ133">
        <f>IF($W133="","",IFERROR(INDEX(IF($T133&lt;=60,peso05_l,peso510_l),MATCH($W133,IF($T133&lt;=60,peso05_k,peso510_k),1)),""))</f>
        <v/>
      </c>
      <c r="AK133">
        <f>IF($W133="","",IFERROR(INDEX(IF($T133&lt;=60,peso05_m,peso510_m),MATCH($W133,IF($T133&lt;=60,peso05_k,peso510_k),1)),""))</f>
        <v/>
      </c>
      <c r="AL133">
        <f>IF($W133="","",IFERROR(INDEX(IF($T133&lt;=60,peso05_s,peso510_s),MATCH($W133,IF($T133&lt;=60,peso05_k,peso510_k),1)),""))</f>
        <v/>
      </c>
      <c r="AM133">
        <f>IF($AJ133="","",IF($AJ133=0,LN($F133/$AK133)/$AL133,((($F133/$AK133)^$AJ133)-1)/($AJ133*$AL133)))</f>
        <v/>
      </c>
      <c r="AN133">
        <f>IF($AJ133="","",IF($AJ133=0,$AK133*EXP($AL133*2),$AK133*(1+$AJ133*$AL133*2)^(1/$AJ133)))</f>
        <v/>
      </c>
      <c r="AO133">
        <f>IF($AJ133="","",IF($AJ133=0,$AK133*EXP($AL133*3),$AK133*(1+$AJ133*$AL133*3)^(1/$AJ133)))</f>
        <v/>
      </c>
      <c r="AP133">
        <f>IF($AJ133="","",IF($AJ133=0,$AK133*EXP($AL133*-2),$AK133*(1+$AJ133*$AL133*-2)^(1/$AJ133)))</f>
        <v/>
      </c>
      <c r="AQ133">
        <f>IF($AJ133="","",IF($AJ133=0,$AK133*EXP($AL133*-3),$AK133*(1+$AJ133*$AL133*-3)^(1/$AJ133)))</f>
        <v/>
      </c>
      <c r="AR133">
        <f>IF(OR($X133="",$T133&gt;60),"",IFERROR(INDEX(IF($T133&lt;24,pcomp_l,palt_l),MATCH($X133,IF($T133&lt;24,pcomp_k,palt_k),1)),""))</f>
        <v/>
      </c>
      <c r="AS133">
        <f>IF(OR($X133="",$T133&gt;60),"",IFERROR(INDEX(IF($T133&lt;24,pcomp_m,palt_m),MATCH($X133,IF($T133&lt;24,pcomp_k,palt_k),1)),""))</f>
        <v/>
      </c>
      <c r="AT133">
        <f>IF(OR($X133="",$T133&gt;60),"",IFERROR(INDEX(IF($T133&lt;24,pcomp_s,palt_s),MATCH($X133,IF($T133&lt;24,pcomp_k,palt_k),1)),""))</f>
        <v/>
      </c>
      <c r="AU133">
        <f>IF($AR133="","",IF($AR133=0,LN($F133/$AS133)/$AT133,((($F133/$AS133)^$AR133)-1)/($AR133*$AT133)))</f>
        <v/>
      </c>
      <c r="AV133">
        <f>IF($AR133="","",IF($AR133=0,$AS133*EXP($AT133*2),$AS133*(1+$AR133*$AT133*2)^(1/$AR133)))</f>
        <v/>
      </c>
      <c r="AW133">
        <f>IF($AR133="","",IF($AR133=0,$AS133*EXP($AT133*3),$AS133*(1+$AR133*$AT133*3)^(1/$AR133)))</f>
        <v/>
      </c>
      <c r="AX133">
        <f>IF($AR133="","",IF($AR133=0,$AS133*EXP($AT133*-2),$AS133*(1+$AR133*$AT133*-2)^(1/$AR133)))</f>
        <v/>
      </c>
      <c r="AY133">
        <f>IF($AR133="","",IF($AR133=0,$AS133*EXP($AT133*-3),$AS133*(1+$AR133*$AT133*-3)^(1/$AR133)))</f>
        <v/>
      </c>
      <c r="AZ133">
        <f>IF(OR($A133="",$A133&lt;&gt;Ficha!$C$4),"",COUNTIF($A$2:$A133,Ficha!$C$4))</f>
        <v/>
      </c>
    </row>
    <row r="134">
      <c r="A134" s="8">
        <f>IF(INDEX(Banco!$A:$A,ROW())="","",INDEX(Banco!$A:$A,ROW()))</f>
        <v/>
      </c>
      <c r="B134" s="8">
        <f>IF(INDEX(Banco!$B:$B,ROW())="","",INDEX(Banco!$B:$B,ROW()))</f>
        <v/>
      </c>
      <c r="C134" s="8">
        <f>IF(INDEX(Banco!$C:$C,ROW())="","",INDEX(Banco!$C:$C,ROW()))</f>
        <v/>
      </c>
      <c r="D134" s="9">
        <f>IF(INDEX(Banco!$D:$D,ROW())="","",INDEX(Banco!$D:$D,ROW()))</f>
        <v/>
      </c>
      <c r="E134" s="9">
        <f>IF(INDEX(Banco!$E:$E,ROW())="","",INDEX(Banco!$E:$E,ROW()))</f>
        <v/>
      </c>
      <c r="F134" s="10">
        <f>IF(INDEX(Banco!$F:$F,ROW())="","",INDEX(Banco!$F:$F,ROW()))</f>
        <v/>
      </c>
      <c r="G134" s="10">
        <f>IF(INDEX(Banco!$G:$G,ROW())="","",INDEX(Banco!$G:$G,ROW()))</f>
        <v/>
      </c>
      <c r="H134" s="8">
        <f>IF(INDEX(Banco!$H:$H,ROW())="","",INDEX(Banco!$H:$H,ROW()))</f>
        <v/>
      </c>
      <c r="I134">
        <f>IF($T134="","",INT($T134/12)&amp;"a "&amp;MOD($T134,12)&amp;"m")</f>
        <v/>
      </c>
      <c r="J134" s="11">
        <f>IF(OR($F134="",$G134=""),"",ROUND($F134/($G134/100)^2,2))</f>
        <v/>
      </c>
      <c r="K134" s="12">
        <f>IF(OR($S134="",$J134="",$T134="",$T134&lt;0,$T134&gt;228,$Y134=""),"—",ROUND(IF(ABS($AB134)&lt;=3,$AB134,IF($AB134&gt;3,3+($J134-$AD134)/($AD134-$AC134),-3+($J134-$AF134)/($AE134-$AF134))),2))</f>
        <v/>
      </c>
      <c r="L134">
        <f>IF(OR($K134="",$K134="—"),"",IF($T134&lt;=60,IF($K134&lt;-3,"Magreza acentuada",IF($K134&lt;-2,"Magreza",IF($K134&lt;=1,"Eutrofia",IF($K134&lt;=2,"Risco de sobrepeso",IF($K134&lt;=3,"Sobrepeso","Obesidade"))))),IF($K134&lt;-3,"Magreza acentuada",IF($K134&lt;-2,"Magreza",IF($K134&lt;=1,"Eutrofia",IF($K134&lt;=2,"Sobrepeso",IF($K134&lt;=3,"Obesidade","Obesidade grave")))))))</f>
        <v/>
      </c>
      <c r="M134" s="12">
        <f>IF(OR($S134="",$V134="",$T134="",$T134&lt;0,$T134&gt;228,$AG134=""),"—",ROUND(IF($AG134=0,LN($V134/$AH134)/$AI134,((($V134/$AH134)^$AG134)-1)/($AG134*$AI134)),2))</f>
        <v/>
      </c>
      <c r="N134">
        <f>IF(OR($M134="",$M134="—"),"",IF($M134&lt;-3,"Muito baixa",IF($M134&lt;-2,"Baixa","Adequada")))</f>
        <v/>
      </c>
      <c r="O134" s="12">
        <f>IF(OR($S134="",$F134="",$T134="",$T134&lt;0,$T134&gt;120,$AJ134=""),"—",ROUND(IF(ABS($AM134)&lt;=3,$AM134,IF($AM134&gt;3,3+($F134-$AO134)/($AO134-$AN134),-3+($F134-$AQ134)/($AP134-$AQ134))),2))</f>
        <v/>
      </c>
      <c r="P134">
        <f>IF(OR($O134="",$O134="—"),"",IF($O134&lt;-3,"Muito baixo",IF($O134&lt;-2,"Baixo",IF($O134&lt;=2,"Adequado","Elevado"))))</f>
        <v/>
      </c>
      <c r="Q134" s="12">
        <f>IF(OR($S134="",$F134="",$T134="",$T134&lt;0,$T134&gt;60,$AR134=""),"—",ROUND(IF(ABS($AU134)&lt;=3,$AU134,IF($AU134&gt;3,3+($F134-$AW134)/($AW134-$AV134),-3+($F134-$AY134)/($AX134-$AY134))),2))</f>
        <v/>
      </c>
      <c r="R134">
        <f>IF(OR($Q134="",$Q134="—"),"",IF($Q134&lt;-3,"Magreza acentuada",IF($Q134&lt;-2,"Magreza",IF($Q134&lt;=1,"Eutrofia",IF($Q134&lt;=2,"Risco de sobrepeso",IF($Q134&lt;=3,"Sobrepeso","Obesidade"))))))</f>
        <v/>
      </c>
      <c r="S134">
        <f>IF($C134="","",IF(UPPER(LEFT($C134,1))="M",1,IF(UPPER(LEFT($C134,1))="F",2,"")))</f>
        <v/>
      </c>
      <c r="T134">
        <f>IF(OR($D134="",$E134=""),"",DATEDIF($D134,$E134,"m"))</f>
        <v/>
      </c>
      <c r="U134">
        <f>IF(OR($D134="",$E134=""),"",$E134-$D134)</f>
        <v/>
      </c>
      <c r="V134">
        <f>IF(OR($G134="",$T134=""),"",IF($T134&lt;24,IF(LEFT(LOWER($H134),4)="em p",$G134+0.7,$G134),IF(LEFT(LOWER($H134),4)="deit",$G134-0.7,$G134)))</f>
        <v/>
      </c>
      <c r="W134">
        <f>IF(OR($S134="",$T134=""),"",$S134*1000000+IF($T134&lt;=60,$U134,$T134))</f>
        <v/>
      </c>
      <c r="X134">
        <f>IF(OR($S134="",$V134="",$T134&gt;60,$T134=""),"",$S134*1000000+ROUND($V134*10,0))</f>
        <v/>
      </c>
      <c r="Y134">
        <f>IF($W134="","",IFERROR(INDEX(IF($T134&lt;=60,imc05_l,imc519_l),MATCH($W134,IF($T134&lt;=60,imc05_k,imc519_k),1)),""))</f>
        <v/>
      </c>
      <c r="Z134">
        <f>IF($W134="","",IFERROR(INDEX(IF($T134&lt;=60,imc05_m,imc519_m),MATCH($W134,IF($T134&lt;=60,imc05_k,imc519_k),1)),""))</f>
        <v/>
      </c>
      <c r="AA134">
        <f>IF($W134="","",IFERROR(INDEX(IF($T134&lt;=60,imc05_s,imc519_s),MATCH($W134,IF($T134&lt;=60,imc05_k,imc519_k),1)),""))</f>
        <v/>
      </c>
      <c r="AB134">
        <f>IF($Y134="","",IF($Y134=0,LN($J134/$Z134)/$AA134,((($J134/$Z134)^$Y134)-1)/($Y134*$AA134)))</f>
        <v/>
      </c>
      <c r="AC134">
        <f>IF($Y134="","",IF($Y134=0,$Z134*EXP($AA134*2),$Z134*(1+$Y134*$AA134*2)^(1/$Y134)))</f>
        <v/>
      </c>
      <c r="AD134">
        <f>IF($Y134="","",IF($Y134=0,$Z134*EXP($AA134*3),$Z134*(1+$Y134*$AA134*3)^(1/$Y134)))</f>
        <v/>
      </c>
      <c r="AE134">
        <f>IF($Y134="","",IF($Y134=0,$Z134*EXP($AA134*-2),$Z134*(1+$Y134*$AA134*-2)^(1/$Y134)))</f>
        <v/>
      </c>
      <c r="AF134">
        <f>IF($Y134="","",IF($Y134=0,$Z134*EXP($AA134*-3),$Z134*(1+$Y134*$AA134*-3)^(1/$Y134)))</f>
        <v/>
      </c>
      <c r="AG134">
        <f>IF($W134="","",IFERROR(INDEX(IF($T134&lt;=60,est05_l,est519_l),MATCH($W134,IF($T134&lt;=60,est05_k,est519_k),1)),""))</f>
        <v/>
      </c>
      <c r="AH134">
        <f>IF($W134="","",IFERROR(INDEX(IF($T134&lt;=60,est05_m,est519_m),MATCH($W134,IF($T134&lt;=60,est05_k,est519_k),1)),""))</f>
        <v/>
      </c>
      <c r="AI134">
        <f>IF($W134="","",IFERROR(INDEX(IF($T134&lt;=60,est05_s,est519_s),MATCH($W134,IF($T134&lt;=60,est05_k,est519_k),1)),""))</f>
        <v/>
      </c>
      <c r="AJ134">
        <f>IF($W134="","",IFERROR(INDEX(IF($T134&lt;=60,peso05_l,peso510_l),MATCH($W134,IF($T134&lt;=60,peso05_k,peso510_k),1)),""))</f>
        <v/>
      </c>
      <c r="AK134">
        <f>IF($W134="","",IFERROR(INDEX(IF($T134&lt;=60,peso05_m,peso510_m),MATCH($W134,IF($T134&lt;=60,peso05_k,peso510_k),1)),""))</f>
        <v/>
      </c>
      <c r="AL134">
        <f>IF($W134="","",IFERROR(INDEX(IF($T134&lt;=60,peso05_s,peso510_s),MATCH($W134,IF($T134&lt;=60,peso05_k,peso510_k),1)),""))</f>
        <v/>
      </c>
      <c r="AM134">
        <f>IF($AJ134="","",IF($AJ134=0,LN($F134/$AK134)/$AL134,((($F134/$AK134)^$AJ134)-1)/($AJ134*$AL134)))</f>
        <v/>
      </c>
      <c r="AN134">
        <f>IF($AJ134="","",IF($AJ134=0,$AK134*EXP($AL134*2),$AK134*(1+$AJ134*$AL134*2)^(1/$AJ134)))</f>
        <v/>
      </c>
      <c r="AO134">
        <f>IF($AJ134="","",IF($AJ134=0,$AK134*EXP($AL134*3),$AK134*(1+$AJ134*$AL134*3)^(1/$AJ134)))</f>
        <v/>
      </c>
      <c r="AP134">
        <f>IF($AJ134="","",IF($AJ134=0,$AK134*EXP($AL134*-2),$AK134*(1+$AJ134*$AL134*-2)^(1/$AJ134)))</f>
        <v/>
      </c>
      <c r="AQ134">
        <f>IF($AJ134="","",IF($AJ134=0,$AK134*EXP($AL134*-3),$AK134*(1+$AJ134*$AL134*-3)^(1/$AJ134)))</f>
        <v/>
      </c>
      <c r="AR134">
        <f>IF(OR($X134="",$T134&gt;60),"",IFERROR(INDEX(IF($T134&lt;24,pcomp_l,palt_l),MATCH($X134,IF($T134&lt;24,pcomp_k,palt_k),1)),""))</f>
        <v/>
      </c>
      <c r="AS134">
        <f>IF(OR($X134="",$T134&gt;60),"",IFERROR(INDEX(IF($T134&lt;24,pcomp_m,palt_m),MATCH($X134,IF($T134&lt;24,pcomp_k,palt_k),1)),""))</f>
        <v/>
      </c>
      <c r="AT134">
        <f>IF(OR($X134="",$T134&gt;60),"",IFERROR(INDEX(IF($T134&lt;24,pcomp_s,palt_s),MATCH($X134,IF($T134&lt;24,pcomp_k,palt_k),1)),""))</f>
        <v/>
      </c>
      <c r="AU134">
        <f>IF($AR134="","",IF($AR134=0,LN($F134/$AS134)/$AT134,((($F134/$AS134)^$AR134)-1)/($AR134*$AT134)))</f>
        <v/>
      </c>
      <c r="AV134">
        <f>IF($AR134="","",IF($AR134=0,$AS134*EXP($AT134*2),$AS134*(1+$AR134*$AT134*2)^(1/$AR134)))</f>
        <v/>
      </c>
      <c r="AW134">
        <f>IF($AR134="","",IF($AR134=0,$AS134*EXP($AT134*3),$AS134*(1+$AR134*$AT134*3)^(1/$AR134)))</f>
        <v/>
      </c>
      <c r="AX134">
        <f>IF($AR134="","",IF($AR134=0,$AS134*EXP($AT134*-2),$AS134*(1+$AR134*$AT134*-2)^(1/$AR134)))</f>
        <v/>
      </c>
      <c r="AY134">
        <f>IF($AR134="","",IF($AR134=0,$AS134*EXP($AT134*-3),$AS134*(1+$AR134*$AT134*-3)^(1/$AR134)))</f>
        <v/>
      </c>
      <c r="AZ134">
        <f>IF(OR($A134="",$A134&lt;&gt;Ficha!$C$4),"",COUNTIF($A$2:$A134,Ficha!$C$4))</f>
        <v/>
      </c>
    </row>
    <row r="135">
      <c r="A135" s="8">
        <f>IF(INDEX(Banco!$A:$A,ROW())="","",INDEX(Banco!$A:$A,ROW()))</f>
        <v/>
      </c>
      <c r="B135" s="8">
        <f>IF(INDEX(Banco!$B:$B,ROW())="","",INDEX(Banco!$B:$B,ROW()))</f>
        <v/>
      </c>
      <c r="C135" s="8">
        <f>IF(INDEX(Banco!$C:$C,ROW())="","",INDEX(Banco!$C:$C,ROW()))</f>
        <v/>
      </c>
      <c r="D135" s="9">
        <f>IF(INDEX(Banco!$D:$D,ROW())="","",INDEX(Banco!$D:$D,ROW()))</f>
        <v/>
      </c>
      <c r="E135" s="9">
        <f>IF(INDEX(Banco!$E:$E,ROW())="","",INDEX(Banco!$E:$E,ROW()))</f>
        <v/>
      </c>
      <c r="F135" s="10">
        <f>IF(INDEX(Banco!$F:$F,ROW())="","",INDEX(Banco!$F:$F,ROW()))</f>
        <v/>
      </c>
      <c r="G135" s="10">
        <f>IF(INDEX(Banco!$G:$G,ROW())="","",INDEX(Banco!$G:$G,ROW()))</f>
        <v/>
      </c>
      <c r="H135" s="8">
        <f>IF(INDEX(Banco!$H:$H,ROW())="","",INDEX(Banco!$H:$H,ROW()))</f>
        <v/>
      </c>
      <c r="I135">
        <f>IF($T135="","",INT($T135/12)&amp;"a "&amp;MOD($T135,12)&amp;"m")</f>
        <v/>
      </c>
      <c r="J135" s="11">
        <f>IF(OR($F135="",$G135=""),"",ROUND($F135/($G135/100)^2,2))</f>
        <v/>
      </c>
      <c r="K135" s="12">
        <f>IF(OR($S135="",$J135="",$T135="",$T135&lt;0,$T135&gt;228,$Y135=""),"—",ROUND(IF(ABS($AB135)&lt;=3,$AB135,IF($AB135&gt;3,3+($J135-$AD135)/($AD135-$AC135),-3+($J135-$AF135)/($AE135-$AF135))),2))</f>
        <v/>
      </c>
      <c r="L135">
        <f>IF(OR($K135="",$K135="—"),"",IF($T135&lt;=60,IF($K135&lt;-3,"Magreza acentuada",IF($K135&lt;-2,"Magreza",IF($K135&lt;=1,"Eutrofia",IF($K135&lt;=2,"Risco de sobrepeso",IF($K135&lt;=3,"Sobrepeso","Obesidade"))))),IF($K135&lt;-3,"Magreza acentuada",IF($K135&lt;-2,"Magreza",IF($K135&lt;=1,"Eutrofia",IF($K135&lt;=2,"Sobrepeso",IF($K135&lt;=3,"Obesidade","Obesidade grave")))))))</f>
        <v/>
      </c>
      <c r="M135" s="12">
        <f>IF(OR($S135="",$V135="",$T135="",$T135&lt;0,$T135&gt;228,$AG135=""),"—",ROUND(IF($AG135=0,LN($V135/$AH135)/$AI135,((($V135/$AH135)^$AG135)-1)/($AG135*$AI135)),2))</f>
        <v/>
      </c>
      <c r="N135">
        <f>IF(OR($M135="",$M135="—"),"",IF($M135&lt;-3,"Muito baixa",IF($M135&lt;-2,"Baixa","Adequada")))</f>
        <v/>
      </c>
      <c r="O135" s="12">
        <f>IF(OR($S135="",$F135="",$T135="",$T135&lt;0,$T135&gt;120,$AJ135=""),"—",ROUND(IF(ABS($AM135)&lt;=3,$AM135,IF($AM135&gt;3,3+($F135-$AO135)/($AO135-$AN135),-3+($F135-$AQ135)/($AP135-$AQ135))),2))</f>
        <v/>
      </c>
      <c r="P135">
        <f>IF(OR($O135="",$O135="—"),"",IF($O135&lt;-3,"Muito baixo",IF($O135&lt;-2,"Baixo",IF($O135&lt;=2,"Adequado","Elevado"))))</f>
        <v/>
      </c>
      <c r="Q135" s="12">
        <f>IF(OR($S135="",$F135="",$T135="",$T135&lt;0,$T135&gt;60,$AR135=""),"—",ROUND(IF(ABS($AU135)&lt;=3,$AU135,IF($AU135&gt;3,3+($F135-$AW135)/($AW135-$AV135),-3+($F135-$AY135)/($AX135-$AY135))),2))</f>
        <v/>
      </c>
      <c r="R135">
        <f>IF(OR($Q135="",$Q135="—"),"",IF($Q135&lt;-3,"Magreza acentuada",IF($Q135&lt;-2,"Magreza",IF($Q135&lt;=1,"Eutrofia",IF($Q135&lt;=2,"Risco de sobrepeso",IF($Q135&lt;=3,"Sobrepeso","Obesidade"))))))</f>
        <v/>
      </c>
      <c r="S135">
        <f>IF($C135="","",IF(UPPER(LEFT($C135,1))="M",1,IF(UPPER(LEFT($C135,1))="F",2,"")))</f>
        <v/>
      </c>
      <c r="T135">
        <f>IF(OR($D135="",$E135=""),"",DATEDIF($D135,$E135,"m"))</f>
        <v/>
      </c>
      <c r="U135">
        <f>IF(OR($D135="",$E135=""),"",$E135-$D135)</f>
        <v/>
      </c>
      <c r="V135">
        <f>IF(OR($G135="",$T135=""),"",IF($T135&lt;24,IF(LEFT(LOWER($H135),4)="em p",$G135+0.7,$G135),IF(LEFT(LOWER($H135),4)="deit",$G135-0.7,$G135)))</f>
        <v/>
      </c>
      <c r="W135">
        <f>IF(OR($S135="",$T135=""),"",$S135*1000000+IF($T135&lt;=60,$U135,$T135))</f>
        <v/>
      </c>
      <c r="X135">
        <f>IF(OR($S135="",$V135="",$T135&gt;60,$T135=""),"",$S135*1000000+ROUND($V135*10,0))</f>
        <v/>
      </c>
      <c r="Y135">
        <f>IF($W135="","",IFERROR(INDEX(IF($T135&lt;=60,imc05_l,imc519_l),MATCH($W135,IF($T135&lt;=60,imc05_k,imc519_k),1)),""))</f>
        <v/>
      </c>
      <c r="Z135">
        <f>IF($W135="","",IFERROR(INDEX(IF($T135&lt;=60,imc05_m,imc519_m),MATCH($W135,IF($T135&lt;=60,imc05_k,imc519_k),1)),""))</f>
        <v/>
      </c>
      <c r="AA135">
        <f>IF($W135="","",IFERROR(INDEX(IF($T135&lt;=60,imc05_s,imc519_s),MATCH($W135,IF($T135&lt;=60,imc05_k,imc519_k),1)),""))</f>
        <v/>
      </c>
      <c r="AB135">
        <f>IF($Y135="","",IF($Y135=0,LN($J135/$Z135)/$AA135,((($J135/$Z135)^$Y135)-1)/($Y135*$AA135)))</f>
        <v/>
      </c>
      <c r="AC135">
        <f>IF($Y135="","",IF($Y135=0,$Z135*EXP($AA135*2),$Z135*(1+$Y135*$AA135*2)^(1/$Y135)))</f>
        <v/>
      </c>
      <c r="AD135">
        <f>IF($Y135="","",IF($Y135=0,$Z135*EXP($AA135*3),$Z135*(1+$Y135*$AA135*3)^(1/$Y135)))</f>
        <v/>
      </c>
      <c r="AE135">
        <f>IF($Y135="","",IF($Y135=0,$Z135*EXP($AA135*-2),$Z135*(1+$Y135*$AA135*-2)^(1/$Y135)))</f>
        <v/>
      </c>
      <c r="AF135">
        <f>IF($Y135="","",IF($Y135=0,$Z135*EXP($AA135*-3),$Z135*(1+$Y135*$AA135*-3)^(1/$Y135)))</f>
        <v/>
      </c>
      <c r="AG135">
        <f>IF($W135="","",IFERROR(INDEX(IF($T135&lt;=60,est05_l,est519_l),MATCH($W135,IF($T135&lt;=60,est05_k,est519_k),1)),""))</f>
        <v/>
      </c>
      <c r="AH135">
        <f>IF($W135="","",IFERROR(INDEX(IF($T135&lt;=60,est05_m,est519_m),MATCH($W135,IF($T135&lt;=60,est05_k,est519_k),1)),""))</f>
        <v/>
      </c>
      <c r="AI135">
        <f>IF($W135="","",IFERROR(INDEX(IF($T135&lt;=60,est05_s,est519_s),MATCH($W135,IF($T135&lt;=60,est05_k,est519_k),1)),""))</f>
        <v/>
      </c>
      <c r="AJ135">
        <f>IF($W135="","",IFERROR(INDEX(IF($T135&lt;=60,peso05_l,peso510_l),MATCH($W135,IF($T135&lt;=60,peso05_k,peso510_k),1)),""))</f>
        <v/>
      </c>
      <c r="AK135">
        <f>IF($W135="","",IFERROR(INDEX(IF($T135&lt;=60,peso05_m,peso510_m),MATCH($W135,IF($T135&lt;=60,peso05_k,peso510_k),1)),""))</f>
        <v/>
      </c>
      <c r="AL135">
        <f>IF($W135="","",IFERROR(INDEX(IF($T135&lt;=60,peso05_s,peso510_s),MATCH($W135,IF($T135&lt;=60,peso05_k,peso510_k),1)),""))</f>
        <v/>
      </c>
      <c r="AM135">
        <f>IF($AJ135="","",IF($AJ135=0,LN($F135/$AK135)/$AL135,((($F135/$AK135)^$AJ135)-1)/($AJ135*$AL135)))</f>
        <v/>
      </c>
      <c r="AN135">
        <f>IF($AJ135="","",IF($AJ135=0,$AK135*EXP($AL135*2),$AK135*(1+$AJ135*$AL135*2)^(1/$AJ135)))</f>
        <v/>
      </c>
      <c r="AO135">
        <f>IF($AJ135="","",IF($AJ135=0,$AK135*EXP($AL135*3),$AK135*(1+$AJ135*$AL135*3)^(1/$AJ135)))</f>
        <v/>
      </c>
      <c r="AP135">
        <f>IF($AJ135="","",IF($AJ135=0,$AK135*EXP($AL135*-2),$AK135*(1+$AJ135*$AL135*-2)^(1/$AJ135)))</f>
        <v/>
      </c>
      <c r="AQ135">
        <f>IF($AJ135="","",IF($AJ135=0,$AK135*EXP($AL135*-3),$AK135*(1+$AJ135*$AL135*-3)^(1/$AJ135)))</f>
        <v/>
      </c>
      <c r="AR135">
        <f>IF(OR($X135="",$T135&gt;60),"",IFERROR(INDEX(IF($T135&lt;24,pcomp_l,palt_l),MATCH($X135,IF($T135&lt;24,pcomp_k,palt_k),1)),""))</f>
        <v/>
      </c>
      <c r="AS135">
        <f>IF(OR($X135="",$T135&gt;60),"",IFERROR(INDEX(IF($T135&lt;24,pcomp_m,palt_m),MATCH($X135,IF($T135&lt;24,pcomp_k,palt_k),1)),""))</f>
        <v/>
      </c>
      <c r="AT135">
        <f>IF(OR($X135="",$T135&gt;60),"",IFERROR(INDEX(IF($T135&lt;24,pcomp_s,palt_s),MATCH($X135,IF($T135&lt;24,pcomp_k,palt_k),1)),""))</f>
        <v/>
      </c>
      <c r="AU135">
        <f>IF($AR135="","",IF($AR135=0,LN($F135/$AS135)/$AT135,((($F135/$AS135)^$AR135)-1)/($AR135*$AT135)))</f>
        <v/>
      </c>
      <c r="AV135">
        <f>IF($AR135="","",IF($AR135=0,$AS135*EXP($AT135*2),$AS135*(1+$AR135*$AT135*2)^(1/$AR135)))</f>
        <v/>
      </c>
      <c r="AW135">
        <f>IF($AR135="","",IF($AR135=0,$AS135*EXP($AT135*3),$AS135*(1+$AR135*$AT135*3)^(1/$AR135)))</f>
        <v/>
      </c>
      <c r="AX135">
        <f>IF($AR135="","",IF($AR135=0,$AS135*EXP($AT135*-2),$AS135*(1+$AR135*$AT135*-2)^(1/$AR135)))</f>
        <v/>
      </c>
      <c r="AY135">
        <f>IF($AR135="","",IF($AR135=0,$AS135*EXP($AT135*-3),$AS135*(1+$AR135*$AT135*-3)^(1/$AR135)))</f>
        <v/>
      </c>
      <c r="AZ135">
        <f>IF(OR($A135="",$A135&lt;&gt;Ficha!$C$4),"",COUNTIF($A$2:$A135,Ficha!$C$4))</f>
        <v/>
      </c>
    </row>
    <row r="136">
      <c r="A136" s="8">
        <f>IF(INDEX(Banco!$A:$A,ROW())="","",INDEX(Banco!$A:$A,ROW()))</f>
        <v/>
      </c>
      <c r="B136" s="8">
        <f>IF(INDEX(Banco!$B:$B,ROW())="","",INDEX(Banco!$B:$B,ROW()))</f>
        <v/>
      </c>
      <c r="C136" s="8">
        <f>IF(INDEX(Banco!$C:$C,ROW())="","",INDEX(Banco!$C:$C,ROW()))</f>
        <v/>
      </c>
      <c r="D136" s="9">
        <f>IF(INDEX(Banco!$D:$D,ROW())="","",INDEX(Banco!$D:$D,ROW()))</f>
        <v/>
      </c>
      <c r="E136" s="9">
        <f>IF(INDEX(Banco!$E:$E,ROW())="","",INDEX(Banco!$E:$E,ROW()))</f>
        <v/>
      </c>
      <c r="F136" s="10">
        <f>IF(INDEX(Banco!$F:$F,ROW())="","",INDEX(Banco!$F:$F,ROW()))</f>
        <v/>
      </c>
      <c r="G136" s="10">
        <f>IF(INDEX(Banco!$G:$G,ROW())="","",INDEX(Banco!$G:$G,ROW()))</f>
        <v/>
      </c>
      <c r="H136" s="8">
        <f>IF(INDEX(Banco!$H:$H,ROW())="","",INDEX(Banco!$H:$H,ROW()))</f>
        <v/>
      </c>
      <c r="I136">
        <f>IF($T136="","",INT($T136/12)&amp;"a "&amp;MOD($T136,12)&amp;"m")</f>
        <v/>
      </c>
      <c r="J136" s="11">
        <f>IF(OR($F136="",$G136=""),"",ROUND($F136/($G136/100)^2,2))</f>
        <v/>
      </c>
      <c r="K136" s="12">
        <f>IF(OR($S136="",$J136="",$T136="",$T136&lt;0,$T136&gt;228,$Y136=""),"—",ROUND(IF(ABS($AB136)&lt;=3,$AB136,IF($AB136&gt;3,3+($J136-$AD136)/($AD136-$AC136),-3+($J136-$AF136)/($AE136-$AF136))),2))</f>
        <v/>
      </c>
      <c r="L136">
        <f>IF(OR($K136="",$K136="—"),"",IF($T136&lt;=60,IF($K136&lt;-3,"Magreza acentuada",IF($K136&lt;-2,"Magreza",IF($K136&lt;=1,"Eutrofia",IF($K136&lt;=2,"Risco de sobrepeso",IF($K136&lt;=3,"Sobrepeso","Obesidade"))))),IF($K136&lt;-3,"Magreza acentuada",IF($K136&lt;-2,"Magreza",IF($K136&lt;=1,"Eutrofia",IF($K136&lt;=2,"Sobrepeso",IF($K136&lt;=3,"Obesidade","Obesidade grave")))))))</f>
        <v/>
      </c>
      <c r="M136" s="12">
        <f>IF(OR($S136="",$V136="",$T136="",$T136&lt;0,$T136&gt;228,$AG136=""),"—",ROUND(IF($AG136=0,LN($V136/$AH136)/$AI136,((($V136/$AH136)^$AG136)-1)/($AG136*$AI136)),2))</f>
        <v/>
      </c>
      <c r="N136">
        <f>IF(OR($M136="",$M136="—"),"",IF($M136&lt;-3,"Muito baixa",IF($M136&lt;-2,"Baixa","Adequada")))</f>
        <v/>
      </c>
      <c r="O136" s="12">
        <f>IF(OR($S136="",$F136="",$T136="",$T136&lt;0,$T136&gt;120,$AJ136=""),"—",ROUND(IF(ABS($AM136)&lt;=3,$AM136,IF($AM136&gt;3,3+($F136-$AO136)/($AO136-$AN136),-3+($F136-$AQ136)/($AP136-$AQ136))),2))</f>
        <v/>
      </c>
      <c r="P136">
        <f>IF(OR($O136="",$O136="—"),"",IF($O136&lt;-3,"Muito baixo",IF($O136&lt;-2,"Baixo",IF($O136&lt;=2,"Adequado","Elevado"))))</f>
        <v/>
      </c>
      <c r="Q136" s="12">
        <f>IF(OR($S136="",$F136="",$T136="",$T136&lt;0,$T136&gt;60,$AR136=""),"—",ROUND(IF(ABS($AU136)&lt;=3,$AU136,IF($AU136&gt;3,3+($F136-$AW136)/($AW136-$AV136),-3+($F136-$AY136)/($AX136-$AY136))),2))</f>
        <v/>
      </c>
      <c r="R136">
        <f>IF(OR($Q136="",$Q136="—"),"",IF($Q136&lt;-3,"Magreza acentuada",IF($Q136&lt;-2,"Magreza",IF($Q136&lt;=1,"Eutrofia",IF($Q136&lt;=2,"Risco de sobrepeso",IF($Q136&lt;=3,"Sobrepeso","Obesidade"))))))</f>
        <v/>
      </c>
      <c r="S136">
        <f>IF($C136="","",IF(UPPER(LEFT($C136,1))="M",1,IF(UPPER(LEFT($C136,1))="F",2,"")))</f>
        <v/>
      </c>
      <c r="T136">
        <f>IF(OR($D136="",$E136=""),"",DATEDIF($D136,$E136,"m"))</f>
        <v/>
      </c>
      <c r="U136">
        <f>IF(OR($D136="",$E136=""),"",$E136-$D136)</f>
        <v/>
      </c>
      <c r="V136">
        <f>IF(OR($G136="",$T136=""),"",IF($T136&lt;24,IF(LEFT(LOWER($H136),4)="em p",$G136+0.7,$G136),IF(LEFT(LOWER($H136),4)="deit",$G136-0.7,$G136)))</f>
        <v/>
      </c>
      <c r="W136">
        <f>IF(OR($S136="",$T136=""),"",$S136*1000000+IF($T136&lt;=60,$U136,$T136))</f>
        <v/>
      </c>
      <c r="X136">
        <f>IF(OR($S136="",$V136="",$T136&gt;60,$T136=""),"",$S136*1000000+ROUND($V136*10,0))</f>
        <v/>
      </c>
      <c r="Y136">
        <f>IF($W136="","",IFERROR(INDEX(IF($T136&lt;=60,imc05_l,imc519_l),MATCH($W136,IF($T136&lt;=60,imc05_k,imc519_k),1)),""))</f>
        <v/>
      </c>
      <c r="Z136">
        <f>IF($W136="","",IFERROR(INDEX(IF($T136&lt;=60,imc05_m,imc519_m),MATCH($W136,IF($T136&lt;=60,imc05_k,imc519_k),1)),""))</f>
        <v/>
      </c>
      <c r="AA136">
        <f>IF($W136="","",IFERROR(INDEX(IF($T136&lt;=60,imc05_s,imc519_s),MATCH($W136,IF($T136&lt;=60,imc05_k,imc519_k),1)),""))</f>
        <v/>
      </c>
      <c r="AB136">
        <f>IF($Y136="","",IF($Y136=0,LN($J136/$Z136)/$AA136,((($J136/$Z136)^$Y136)-1)/($Y136*$AA136)))</f>
        <v/>
      </c>
      <c r="AC136">
        <f>IF($Y136="","",IF($Y136=0,$Z136*EXP($AA136*2),$Z136*(1+$Y136*$AA136*2)^(1/$Y136)))</f>
        <v/>
      </c>
      <c r="AD136">
        <f>IF($Y136="","",IF($Y136=0,$Z136*EXP($AA136*3),$Z136*(1+$Y136*$AA136*3)^(1/$Y136)))</f>
        <v/>
      </c>
      <c r="AE136">
        <f>IF($Y136="","",IF($Y136=0,$Z136*EXP($AA136*-2),$Z136*(1+$Y136*$AA136*-2)^(1/$Y136)))</f>
        <v/>
      </c>
      <c r="AF136">
        <f>IF($Y136="","",IF($Y136=0,$Z136*EXP($AA136*-3),$Z136*(1+$Y136*$AA136*-3)^(1/$Y136)))</f>
        <v/>
      </c>
      <c r="AG136">
        <f>IF($W136="","",IFERROR(INDEX(IF($T136&lt;=60,est05_l,est519_l),MATCH($W136,IF($T136&lt;=60,est05_k,est519_k),1)),""))</f>
        <v/>
      </c>
      <c r="AH136">
        <f>IF($W136="","",IFERROR(INDEX(IF($T136&lt;=60,est05_m,est519_m),MATCH($W136,IF($T136&lt;=60,est05_k,est519_k),1)),""))</f>
        <v/>
      </c>
      <c r="AI136">
        <f>IF($W136="","",IFERROR(INDEX(IF($T136&lt;=60,est05_s,est519_s),MATCH($W136,IF($T136&lt;=60,est05_k,est519_k),1)),""))</f>
        <v/>
      </c>
      <c r="AJ136">
        <f>IF($W136="","",IFERROR(INDEX(IF($T136&lt;=60,peso05_l,peso510_l),MATCH($W136,IF($T136&lt;=60,peso05_k,peso510_k),1)),""))</f>
        <v/>
      </c>
      <c r="AK136">
        <f>IF($W136="","",IFERROR(INDEX(IF($T136&lt;=60,peso05_m,peso510_m),MATCH($W136,IF($T136&lt;=60,peso05_k,peso510_k),1)),""))</f>
        <v/>
      </c>
      <c r="AL136">
        <f>IF($W136="","",IFERROR(INDEX(IF($T136&lt;=60,peso05_s,peso510_s),MATCH($W136,IF($T136&lt;=60,peso05_k,peso510_k),1)),""))</f>
        <v/>
      </c>
      <c r="AM136">
        <f>IF($AJ136="","",IF($AJ136=0,LN($F136/$AK136)/$AL136,((($F136/$AK136)^$AJ136)-1)/($AJ136*$AL136)))</f>
        <v/>
      </c>
      <c r="AN136">
        <f>IF($AJ136="","",IF($AJ136=0,$AK136*EXP($AL136*2),$AK136*(1+$AJ136*$AL136*2)^(1/$AJ136)))</f>
        <v/>
      </c>
      <c r="AO136">
        <f>IF($AJ136="","",IF($AJ136=0,$AK136*EXP($AL136*3),$AK136*(1+$AJ136*$AL136*3)^(1/$AJ136)))</f>
        <v/>
      </c>
      <c r="AP136">
        <f>IF($AJ136="","",IF($AJ136=0,$AK136*EXP($AL136*-2),$AK136*(1+$AJ136*$AL136*-2)^(1/$AJ136)))</f>
        <v/>
      </c>
      <c r="AQ136">
        <f>IF($AJ136="","",IF($AJ136=0,$AK136*EXP($AL136*-3),$AK136*(1+$AJ136*$AL136*-3)^(1/$AJ136)))</f>
        <v/>
      </c>
      <c r="AR136">
        <f>IF(OR($X136="",$T136&gt;60),"",IFERROR(INDEX(IF($T136&lt;24,pcomp_l,palt_l),MATCH($X136,IF($T136&lt;24,pcomp_k,palt_k),1)),""))</f>
        <v/>
      </c>
      <c r="AS136">
        <f>IF(OR($X136="",$T136&gt;60),"",IFERROR(INDEX(IF($T136&lt;24,pcomp_m,palt_m),MATCH($X136,IF($T136&lt;24,pcomp_k,palt_k),1)),""))</f>
        <v/>
      </c>
      <c r="AT136">
        <f>IF(OR($X136="",$T136&gt;60),"",IFERROR(INDEX(IF($T136&lt;24,pcomp_s,palt_s),MATCH($X136,IF($T136&lt;24,pcomp_k,palt_k),1)),""))</f>
        <v/>
      </c>
      <c r="AU136">
        <f>IF($AR136="","",IF($AR136=0,LN($F136/$AS136)/$AT136,((($F136/$AS136)^$AR136)-1)/($AR136*$AT136)))</f>
        <v/>
      </c>
      <c r="AV136">
        <f>IF($AR136="","",IF($AR136=0,$AS136*EXP($AT136*2),$AS136*(1+$AR136*$AT136*2)^(1/$AR136)))</f>
        <v/>
      </c>
      <c r="AW136">
        <f>IF($AR136="","",IF($AR136=0,$AS136*EXP($AT136*3),$AS136*(1+$AR136*$AT136*3)^(1/$AR136)))</f>
        <v/>
      </c>
      <c r="AX136">
        <f>IF($AR136="","",IF($AR136=0,$AS136*EXP($AT136*-2),$AS136*(1+$AR136*$AT136*-2)^(1/$AR136)))</f>
        <v/>
      </c>
      <c r="AY136">
        <f>IF($AR136="","",IF($AR136=0,$AS136*EXP($AT136*-3),$AS136*(1+$AR136*$AT136*-3)^(1/$AR136)))</f>
        <v/>
      </c>
      <c r="AZ136">
        <f>IF(OR($A136="",$A136&lt;&gt;Ficha!$C$4),"",COUNTIF($A$2:$A136,Ficha!$C$4))</f>
        <v/>
      </c>
    </row>
    <row r="137">
      <c r="A137" s="8">
        <f>IF(INDEX(Banco!$A:$A,ROW())="","",INDEX(Banco!$A:$A,ROW()))</f>
        <v/>
      </c>
      <c r="B137" s="8">
        <f>IF(INDEX(Banco!$B:$B,ROW())="","",INDEX(Banco!$B:$B,ROW()))</f>
        <v/>
      </c>
      <c r="C137" s="8">
        <f>IF(INDEX(Banco!$C:$C,ROW())="","",INDEX(Banco!$C:$C,ROW()))</f>
        <v/>
      </c>
      <c r="D137" s="9">
        <f>IF(INDEX(Banco!$D:$D,ROW())="","",INDEX(Banco!$D:$D,ROW()))</f>
        <v/>
      </c>
      <c r="E137" s="9">
        <f>IF(INDEX(Banco!$E:$E,ROW())="","",INDEX(Banco!$E:$E,ROW()))</f>
        <v/>
      </c>
      <c r="F137" s="10">
        <f>IF(INDEX(Banco!$F:$F,ROW())="","",INDEX(Banco!$F:$F,ROW()))</f>
        <v/>
      </c>
      <c r="G137" s="10">
        <f>IF(INDEX(Banco!$G:$G,ROW())="","",INDEX(Banco!$G:$G,ROW()))</f>
        <v/>
      </c>
      <c r="H137" s="8">
        <f>IF(INDEX(Banco!$H:$H,ROW())="","",INDEX(Banco!$H:$H,ROW()))</f>
        <v/>
      </c>
      <c r="I137">
        <f>IF($T137="","",INT($T137/12)&amp;"a "&amp;MOD($T137,12)&amp;"m")</f>
        <v/>
      </c>
      <c r="J137" s="11">
        <f>IF(OR($F137="",$G137=""),"",ROUND($F137/($G137/100)^2,2))</f>
        <v/>
      </c>
      <c r="K137" s="12">
        <f>IF(OR($S137="",$J137="",$T137="",$T137&lt;0,$T137&gt;228,$Y137=""),"—",ROUND(IF(ABS($AB137)&lt;=3,$AB137,IF($AB137&gt;3,3+($J137-$AD137)/($AD137-$AC137),-3+($J137-$AF137)/($AE137-$AF137))),2))</f>
        <v/>
      </c>
      <c r="L137">
        <f>IF(OR($K137="",$K137="—"),"",IF($T137&lt;=60,IF($K137&lt;-3,"Magreza acentuada",IF($K137&lt;-2,"Magreza",IF($K137&lt;=1,"Eutrofia",IF($K137&lt;=2,"Risco de sobrepeso",IF($K137&lt;=3,"Sobrepeso","Obesidade"))))),IF($K137&lt;-3,"Magreza acentuada",IF($K137&lt;-2,"Magreza",IF($K137&lt;=1,"Eutrofia",IF($K137&lt;=2,"Sobrepeso",IF($K137&lt;=3,"Obesidade","Obesidade grave")))))))</f>
        <v/>
      </c>
      <c r="M137" s="12">
        <f>IF(OR($S137="",$V137="",$T137="",$T137&lt;0,$T137&gt;228,$AG137=""),"—",ROUND(IF($AG137=0,LN($V137/$AH137)/$AI137,((($V137/$AH137)^$AG137)-1)/($AG137*$AI137)),2))</f>
        <v/>
      </c>
      <c r="N137">
        <f>IF(OR($M137="",$M137="—"),"",IF($M137&lt;-3,"Muito baixa",IF($M137&lt;-2,"Baixa","Adequada")))</f>
        <v/>
      </c>
      <c r="O137" s="12">
        <f>IF(OR($S137="",$F137="",$T137="",$T137&lt;0,$T137&gt;120,$AJ137=""),"—",ROUND(IF(ABS($AM137)&lt;=3,$AM137,IF($AM137&gt;3,3+($F137-$AO137)/($AO137-$AN137),-3+($F137-$AQ137)/($AP137-$AQ137))),2))</f>
        <v/>
      </c>
      <c r="P137">
        <f>IF(OR($O137="",$O137="—"),"",IF($O137&lt;-3,"Muito baixo",IF($O137&lt;-2,"Baixo",IF($O137&lt;=2,"Adequado","Elevado"))))</f>
        <v/>
      </c>
      <c r="Q137" s="12">
        <f>IF(OR($S137="",$F137="",$T137="",$T137&lt;0,$T137&gt;60,$AR137=""),"—",ROUND(IF(ABS($AU137)&lt;=3,$AU137,IF($AU137&gt;3,3+($F137-$AW137)/($AW137-$AV137),-3+($F137-$AY137)/($AX137-$AY137))),2))</f>
        <v/>
      </c>
      <c r="R137">
        <f>IF(OR($Q137="",$Q137="—"),"",IF($Q137&lt;-3,"Magreza acentuada",IF($Q137&lt;-2,"Magreza",IF($Q137&lt;=1,"Eutrofia",IF($Q137&lt;=2,"Risco de sobrepeso",IF($Q137&lt;=3,"Sobrepeso","Obesidade"))))))</f>
        <v/>
      </c>
      <c r="S137">
        <f>IF($C137="","",IF(UPPER(LEFT($C137,1))="M",1,IF(UPPER(LEFT($C137,1))="F",2,"")))</f>
        <v/>
      </c>
      <c r="T137">
        <f>IF(OR($D137="",$E137=""),"",DATEDIF($D137,$E137,"m"))</f>
        <v/>
      </c>
      <c r="U137">
        <f>IF(OR($D137="",$E137=""),"",$E137-$D137)</f>
        <v/>
      </c>
      <c r="V137">
        <f>IF(OR($G137="",$T137=""),"",IF($T137&lt;24,IF(LEFT(LOWER($H137),4)="em p",$G137+0.7,$G137),IF(LEFT(LOWER($H137),4)="deit",$G137-0.7,$G137)))</f>
        <v/>
      </c>
      <c r="W137">
        <f>IF(OR($S137="",$T137=""),"",$S137*1000000+IF($T137&lt;=60,$U137,$T137))</f>
        <v/>
      </c>
      <c r="X137">
        <f>IF(OR($S137="",$V137="",$T137&gt;60,$T137=""),"",$S137*1000000+ROUND($V137*10,0))</f>
        <v/>
      </c>
      <c r="Y137">
        <f>IF($W137="","",IFERROR(INDEX(IF($T137&lt;=60,imc05_l,imc519_l),MATCH($W137,IF($T137&lt;=60,imc05_k,imc519_k),1)),""))</f>
        <v/>
      </c>
      <c r="Z137">
        <f>IF($W137="","",IFERROR(INDEX(IF($T137&lt;=60,imc05_m,imc519_m),MATCH($W137,IF($T137&lt;=60,imc05_k,imc519_k),1)),""))</f>
        <v/>
      </c>
      <c r="AA137">
        <f>IF($W137="","",IFERROR(INDEX(IF($T137&lt;=60,imc05_s,imc519_s),MATCH($W137,IF($T137&lt;=60,imc05_k,imc519_k),1)),""))</f>
        <v/>
      </c>
      <c r="AB137">
        <f>IF($Y137="","",IF($Y137=0,LN($J137/$Z137)/$AA137,((($J137/$Z137)^$Y137)-1)/($Y137*$AA137)))</f>
        <v/>
      </c>
      <c r="AC137">
        <f>IF($Y137="","",IF($Y137=0,$Z137*EXP($AA137*2),$Z137*(1+$Y137*$AA137*2)^(1/$Y137)))</f>
        <v/>
      </c>
      <c r="AD137">
        <f>IF($Y137="","",IF($Y137=0,$Z137*EXP($AA137*3),$Z137*(1+$Y137*$AA137*3)^(1/$Y137)))</f>
        <v/>
      </c>
      <c r="AE137">
        <f>IF($Y137="","",IF($Y137=0,$Z137*EXP($AA137*-2),$Z137*(1+$Y137*$AA137*-2)^(1/$Y137)))</f>
        <v/>
      </c>
      <c r="AF137">
        <f>IF($Y137="","",IF($Y137=0,$Z137*EXP($AA137*-3),$Z137*(1+$Y137*$AA137*-3)^(1/$Y137)))</f>
        <v/>
      </c>
      <c r="AG137">
        <f>IF($W137="","",IFERROR(INDEX(IF($T137&lt;=60,est05_l,est519_l),MATCH($W137,IF($T137&lt;=60,est05_k,est519_k),1)),""))</f>
        <v/>
      </c>
      <c r="AH137">
        <f>IF($W137="","",IFERROR(INDEX(IF($T137&lt;=60,est05_m,est519_m),MATCH($W137,IF($T137&lt;=60,est05_k,est519_k),1)),""))</f>
        <v/>
      </c>
      <c r="AI137">
        <f>IF($W137="","",IFERROR(INDEX(IF($T137&lt;=60,est05_s,est519_s),MATCH($W137,IF($T137&lt;=60,est05_k,est519_k),1)),""))</f>
        <v/>
      </c>
      <c r="AJ137">
        <f>IF($W137="","",IFERROR(INDEX(IF($T137&lt;=60,peso05_l,peso510_l),MATCH($W137,IF($T137&lt;=60,peso05_k,peso510_k),1)),""))</f>
        <v/>
      </c>
      <c r="AK137">
        <f>IF($W137="","",IFERROR(INDEX(IF($T137&lt;=60,peso05_m,peso510_m),MATCH($W137,IF($T137&lt;=60,peso05_k,peso510_k),1)),""))</f>
        <v/>
      </c>
      <c r="AL137">
        <f>IF($W137="","",IFERROR(INDEX(IF($T137&lt;=60,peso05_s,peso510_s),MATCH($W137,IF($T137&lt;=60,peso05_k,peso510_k),1)),""))</f>
        <v/>
      </c>
      <c r="AM137">
        <f>IF($AJ137="","",IF($AJ137=0,LN($F137/$AK137)/$AL137,((($F137/$AK137)^$AJ137)-1)/($AJ137*$AL137)))</f>
        <v/>
      </c>
      <c r="AN137">
        <f>IF($AJ137="","",IF($AJ137=0,$AK137*EXP($AL137*2),$AK137*(1+$AJ137*$AL137*2)^(1/$AJ137)))</f>
        <v/>
      </c>
      <c r="AO137">
        <f>IF($AJ137="","",IF($AJ137=0,$AK137*EXP($AL137*3),$AK137*(1+$AJ137*$AL137*3)^(1/$AJ137)))</f>
        <v/>
      </c>
      <c r="AP137">
        <f>IF($AJ137="","",IF($AJ137=0,$AK137*EXP($AL137*-2),$AK137*(1+$AJ137*$AL137*-2)^(1/$AJ137)))</f>
        <v/>
      </c>
      <c r="AQ137">
        <f>IF($AJ137="","",IF($AJ137=0,$AK137*EXP($AL137*-3),$AK137*(1+$AJ137*$AL137*-3)^(1/$AJ137)))</f>
        <v/>
      </c>
      <c r="AR137">
        <f>IF(OR($X137="",$T137&gt;60),"",IFERROR(INDEX(IF($T137&lt;24,pcomp_l,palt_l),MATCH($X137,IF($T137&lt;24,pcomp_k,palt_k),1)),""))</f>
        <v/>
      </c>
      <c r="AS137">
        <f>IF(OR($X137="",$T137&gt;60),"",IFERROR(INDEX(IF($T137&lt;24,pcomp_m,palt_m),MATCH($X137,IF($T137&lt;24,pcomp_k,palt_k),1)),""))</f>
        <v/>
      </c>
      <c r="AT137">
        <f>IF(OR($X137="",$T137&gt;60),"",IFERROR(INDEX(IF($T137&lt;24,pcomp_s,palt_s),MATCH($X137,IF($T137&lt;24,pcomp_k,palt_k),1)),""))</f>
        <v/>
      </c>
      <c r="AU137">
        <f>IF($AR137="","",IF($AR137=0,LN($F137/$AS137)/$AT137,((($F137/$AS137)^$AR137)-1)/($AR137*$AT137)))</f>
        <v/>
      </c>
      <c r="AV137">
        <f>IF($AR137="","",IF($AR137=0,$AS137*EXP($AT137*2),$AS137*(1+$AR137*$AT137*2)^(1/$AR137)))</f>
        <v/>
      </c>
      <c r="AW137">
        <f>IF($AR137="","",IF($AR137=0,$AS137*EXP($AT137*3),$AS137*(1+$AR137*$AT137*3)^(1/$AR137)))</f>
        <v/>
      </c>
      <c r="AX137">
        <f>IF($AR137="","",IF($AR137=0,$AS137*EXP($AT137*-2),$AS137*(1+$AR137*$AT137*-2)^(1/$AR137)))</f>
        <v/>
      </c>
      <c r="AY137">
        <f>IF($AR137="","",IF($AR137=0,$AS137*EXP($AT137*-3),$AS137*(1+$AR137*$AT137*-3)^(1/$AR137)))</f>
        <v/>
      </c>
      <c r="AZ137">
        <f>IF(OR($A137="",$A137&lt;&gt;Ficha!$C$4),"",COUNTIF($A$2:$A137,Ficha!$C$4))</f>
        <v/>
      </c>
    </row>
    <row r="138">
      <c r="A138" s="8">
        <f>IF(INDEX(Banco!$A:$A,ROW())="","",INDEX(Banco!$A:$A,ROW()))</f>
        <v/>
      </c>
      <c r="B138" s="8">
        <f>IF(INDEX(Banco!$B:$B,ROW())="","",INDEX(Banco!$B:$B,ROW()))</f>
        <v/>
      </c>
      <c r="C138" s="8">
        <f>IF(INDEX(Banco!$C:$C,ROW())="","",INDEX(Banco!$C:$C,ROW()))</f>
        <v/>
      </c>
      <c r="D138" s="9">
        <f>IF(INDEX(Banco!$D:$D,ROW())="","",INDEX(Banco!$D:$D,ROW()))</f>
        <v/>
      </c>
      <c r="E138" s="9">
        <f>IF(INDEX(Banco!$E:$E,ROW())="","",INDEX(Banco!$E:$E,ROW()))</f>
        <v/>
      </c>
      <c r="F138" s="10">
        <f>IF(INDEX(Banco!$F:$F,ROW())="","",INDEX(Banco!$F:$F,ROW()))</f>
        <v/>
      </c>
      <c r="G138" s="10">
        <f>IF(INDEX(Banco!$G:$G,ROW())="","",INDEX(Banco!$G:$G,ROW()))</f>
        <v/>
      </c>
      <c r="H138" s="8">
        <f>IF(INDEX(Banco!$H:$H,ROW())="","",INDEX(Banco!$H:$H,ROW()))</f>
        <v/>
      </c>
      <c r="I138">
        <f>IF($T138="","",INT($T138/12)&amp;"a "&amp;MOD($T138,12)&amp;"m")</f>
        <v/>
      </c>
      <c r="J138" s="11">
        <f>IF(OR($F138="",$G138=""),"",ROUND($F138/($G138/100)^2,2))</f>
        <v/>
      </c>
      <c r="K138" s="12">
        <f>IF(OR($S138="",$J138="",$T138="",$T138&lt;0,$T138&gt;228,$Y138=""),"—",ROUND(IF(ABS($AB138)&lt;=3,$AB138,IF($AB138&gt;3,3+($J138-$AD138)/($AD138-$AC138),-3+($J138-$AF138)/($AE138-$AF138))),2))</f>
        <v/>
      </c>
      <c r="L138">
        <f>IF(OR($K138="",$K138="—"),"",IF($T138&lt;=60,IF($K138&lt;-3,"Magreza acentuada",IF($K138&lt;-2,"Magreza",IF($K138&lt;=1,"Eutrofia",IF($K138&lt;=2,"Risco de sobrepeso",IF($K138&lt;=3,"Sobrepeso","Obesidade"))))),IF($K138&lt;-3,"Magreza acentuada",IF($K138&lt;-2,"Magreza",IF($K138&lt;=1,"Eutrofia",IF($K138&lt;=2,"Sobrepeso",IF($K138&lt;=3,"Obesidade","Obesidade grave")))))))</f>
        <v/>
      </c>
      <c r="M138" s="12">
        <f>IF(OR($S138="",$V138="",$T138="",$T138&lt;0,$T138&gt;228,$AG138=""),"—",ROUND(IF($AG138=0,LN($V138/$AH138)/$AI138,((($V138/$AH138)^$AG138)-1)/($AG138*$AI138)),2))</f>
        <v/>
      </c>
      <c r="N138">
        <f>IF(OR($M138="",$M138="—"),"",IF($M138&lt;-3,"Muito baixa",IF($M138&lt;-2,"Baixa","Adequada")))</f>
        <v/>
      </c>
      <c r="O138" s="12">
        <f>IF(OR($S138="",$F138="",$T138="",$T138&lt;0,$T138&gt;120,$AJ138=""),"—",ROUND(IF(ABS($AM138)&lt;=3,$AM138,IF($AM138&gt;3,3+($F138-$AO138)/($AO138-$AN138),-3+($F138-$AQ138)/($AP138-$AQ138))),2))</f>
        <v/>
      </c>
      <c r="P138">
        <f>IF(OR($O138="",$O138="—"),"",IF($O138&lt;-3,"Muito baixo",IF($O138&lt;-2,"Baixo",IF($O138&lt;=2,"Adequado","Elevado"))))</f>
        <v/>
      </c>
      <c r="Q138" s="12">
        <f>IF(OR($S138="",$F138="",$T138="",$T138&lt;0,$T138&gt;60,$AR138=""),"—",ROUND(IF(ABS($AU138)&lt;=3,$AU138,IF($AU138&gt;3,3+($F138-$AW138)/($AW138-$AV138),-3+($F138-$AY138)/($AX138-$AY138))),2))</f>
        <v/>
      </c>
      <c r="R138">
        <f>IF(OR($Q138="",$Q138="—"),"",IF($Q138&lt;-3,"Magreza acentuada",IF($Q138&lt;-2,"Magreza",IF($Q138&lt;=1,"Eutrofia",IF($Q138&lt;=2,"Risco de sobrepeso",IF($Q138&lt;=3,"Sobrepeso","Obesidade"))))))</f>
        <v/>
      </c>
      <c r="S138">
        <f>IF($C138="","",IF(UPPER(LEFT($C138,1))="M",1,IF(UPPER(LEFT($C138,1))="F",2,"")))</f>
        <v/>
      </c>
      <c r="T138">
        <f>IF(OR($D138="",$E138=""),"",DATEDIF($D138,$E138,"m"))</f>
        <v/>
      </c>
      <c r="U138">
        <f>IF(OR($D138="",$E138=""),"",$E138-$D138)</f>
        <v/>
      </c>
      <c r="V138">
        <f>IF(OR($G138="",$T138=""),"",IF($T138&lt;24,IF(LEFT(LOWER($H138),4)="em p",$G138+0.7,$G138),IF(LEFT(LOWER($H138),4)="deit",$G138-0.7,$G138)))</f>
        <v/>
      </c>
      <c r="W138">
        <f>IF(OR($S138="",$T138=""),"",$S138*1000000+IF($T138&lt;=60,$U138,$T138))</f>
        <v/>
      </c>
      <c r="X138">
        <f>IF(OR($S138="",$V138="",$T138&gt;60,$T138=""),"",$S138*1000000+ROUND($V138*10,0))</f>
        <v/>
      </c>
      <c r="Y138">
        <f>IF($W138="","",IFERROR(INDEX(IF($T138&lt;=60,imc05_l,imc519_l),MATCH($W138,IF($T138&lt;=60,imc05_k,imc519_k),1)),""))</f>
        <v/>
      </c>
      <c r="Z138">
        <f>IF($W138="","",IFERROR(INDEX(IF($T138&lt;=60,imc05_m,imc519_m),MATCH($W138,IF($T138&lt;=60,imc05_k,imc519_k),1)),""))</f>
        <v/>
      </c>
      <c r="AA138">
        <f>IF($W138="","",IFERROR(INDEX(IF($T138&lt;=60,imc05_s,imc519_s),MATCH($W138,IF($T138&lt;=60,imc05_k,imc519_k),1)),""))</f>
        <v/>
      </c>
      <c r="AB138">
        <f>IF($Y138="","",IF($Y138=0,LN($J138/$Z138)/$AA138,((($J138/$Z138)^$Y138)-1)/($Y138*$AA138)))</f>
        <v/>
      </c>
      <c r="AC138">
        <f>IF($Y138="","",IF($Y138=0,$Z138*EXP($AA138*2),$Z138*(1+$Y138*$AA138*2)^(1/$Y138)))</f>
        <v/>
      </c>
      <c r="AD138">
        <f>IF($Y138="","",IF($Y138=0,$Z138*EXP($AA138*3),$Z138*(1+$Y138*$AA138*3)^(1/$Y138)))</f>
        <v/>
      </c>
      <c r="AE138">
        <f>IF($Y138="","",IF($Y138=0,$Z138*EXP($AA138*-2),$Z138*(1+$Y138*$AA138*-2)^(1/$Y138)))</f>
        <v/>
      </c>
      <c r="AF138">
        <f>IF($Y138="","",IF($Y138=0,$Z138*EXP($AA138*-3),$Z138*(1+$Y138*$AA138*-3)^(1/$Y138)))</f>
        <v/>
      </c>
      <c r="AG138">
        <f>IF($W138="","",IFERROR(INDEX(IF($T138&lt;=60,est05_l,est519_l),MATCH($W138,IF($T138&lt;=60,est05_k,est519_k),1)),""))</f>
        <v/>
      </c>
      <c r="AH138">
        <f>IF($W138="","",IFERROR(INDEX(IF($T138&lt;=60,est05_m,est519_m),MATCH($W138,IF($T138&lt;=60,est05_k,est519_k),1)),""))</f>
        <v/>
      </c>
      <c r="AI138">
        <f>IF($W138="","",IFERROR(INDEX(IF($T138&lt;=60,est05_s,est519_s),MATCH($W138,IF($T138&lt;=60,est05_k,est519_k),1)),""))</f>
        <v/>
      </c>
      <c r="AJ138">
        <f>IF($W138="","",IFERROR(INDEX(IF($T138&lt;=60,peso05_l,peso510_l),MATCH($W138,IF($T138&lt;=60,peso05_k,peso510_k),1)),""))</f>
        <v/>
      </c>
      <c r="AK138">
        <f>IF($W138="","",IFERROR(INDEX(IF($T138&lt;=60,peso05_m,peso510_m),MATCH($W138,IF($T138&lt;=60,peso05_k,peso510_k),1)),""))</f>
        <v/>
      </c>
      <c r="AL138">
        <f>IF($W138="","",IFERROR(INDEX(IF($T138&lt;=60,peso05_s,peso510_s),MATCH($W138,IF($T138&lt;=60,peso05_k,peso510_k),1)),""))</f>
        <v/>
      </c>
      <c r="AM138">
        <f>IF($AJ138="","",IF($AJ138=0,LN($F138/$AK138)/$AL138,((($F138/$AK138)^$AJ138)-1)/($AJ138*$AL138)))</f>
        <v/>
      </c>
      <c r="AN138">
        <f>IF($AJ138="","",IF($AJ138=0,$AK138*EXP($AL138*2),$AK138*(1+$AJ138*$AL138*2)^(1/$AJ138)))</f>
        <v/>
      </c>
      <c r="AO138">
        <f>IF($AJ138="","",IF($AJ138=0,$AK138*EXP($AL138*3),$AK138*(1+$AJ138*$AL138*3)^(1/$AJ138)))</f>
        <v/>
      </c>
      <c r="AP138">
        <f>IF($AJ138="","",IF($AJ138=0,$AK138*EXP($AL138*-2),$AK138*(1+$AJ138*$AL138*-2)^(1/$AJ138)))</f>
        <v/>
      </c>
      <c r="AQ138">
        <f>IF($AJ138="","",IF($AJ138=0,$AK138*EXP($AL138*-3),$AK138*(1+$AJ138*$AL138*-3)^(1/$AJ138)))</f>
        <v/>
      </c>
      <c r="AR138">
        <f>IF(OR($X138="",$T138&gt;60),"",IFERROR(INDEX(IF($T138&lt;24,pcomp_l,palt_l),MATCH($X138,IF($T138&lt;24,pcomp_k,palt_k),1)),""))</f>
        <v/>
      </c>
      <c r="AS138">
        <f>IF(OR($X138="",$T138&gt;60),"",IFERROR(INDEX(IF($T138&lt;24,pcomp_m,palt_m),MATCH($X138,IF($T138&lt;24,pcomp_k,palt_k),1)),""))</f>
        <v/>
      </c>
      <c r="AT138">
        <f>IF(OR($X138="",$T138&gt;60),"",IFERROR(INDEX(IF($T138&lt;24,pcomp_s,palt_s),MATCH($X138,IF($T138&lt;24,pcomp_k,palt_k),1)),""))</f>
        <v/>
      </c>
      <c r="AU138">
        <f>IF($AR138="","",IF($AR138=0,LN($F138/$AS138)/$AT138,((($F138/$AS138)^$AR138)-1)/($AR138*$AT138)))</f>
        <v/>
      </c>
      <c r="AV138">
        <f>IF($AR138="","",IF($AR138=0,$AS138*EXP($AT138*2),$AS138*(1+$AR138*$AT138*2)^(1/$AR138)))</f>
        <v/>
      </c>
      <c r="AW138">
        <f>IF($AR138="","",IF($AR138=0,$AS138*EXP($AT138*3),$AS138*(1+$AR138*$AT138*3)^(1/$AR138)))</f>
        <v/>
      </c>
      <c r="AX138">
        <f>IF($AR138="","",IF($AR138=0,$AS138*EXP($AT138*-2),$AS138*(1+$AR138*$AT138*-2)^(1/$AR138)))</f>
        <v/>
      </c>
      <c r="AY138">
        <f>IF($AR138="","",IF($AR138=0,$AS138*EXP($AT138*-3),$AS138*(1+$AR138*$AT138*-3)^(1/$AR138)))</f>
        <v/>
      </c>
      <c r="AZ138">
        <f>IF(OR($A138="",$A138&lt;&gt;Ficha!$C$4),"",COUNTIF($A$2:$A138,Ficha!$C$4))</f>
        <v/>
      </c>
    </row>
    <row r="139">
      <c r="A139" s="8">
        <f>IF(INDEX(Banco!$A:$A,ROW())="","",INDEX(Banco!$A:$A,ROW()))</f>
        <v/>
      </c>
      <c r="B139" s="8">
        <f>IF(INDEX(Banco!$B:$B,ROW())="","",INDEX(Banco!$B:$B,ROW()))</f>
        <v/>
      </c>
      <c r="C139" s="8">
        <f>IF(INDEX(Banco!$C:$C,ROW())="","",INDEX(Banco!$C:$C,ROW()))</f>
        <v/>
      </c>
      <c r="D139" s="9">
        <f>IF(INDEX(Banco!$D:$D,ROW())="","",INDEX(Banco!$D:$D,ROW()))</f>
        <v/>
      </c>
      <c r="E139" s="9">
        <f>IF(INDEX(Banco!$E:$E,ROW())="","",INDEX(Banco!$E:$E,ROW()))</f>
        <v/>
      </c>
      <c r="F139" s="10">
        <f>IF(INDEX(Banco!$F:$F,ROW())="","",INDEX(Banco!$F:$F,ROW()))</f>
        <v/>
      </c>
      <c r="G139" s="10">
        <f>IF(INDEX(Banco!$G:$G,ROW())="","",INDEX(Banco!$G:$G,ROW()))</f>
        <v/>
      </c>
      <c r="H139" s="8">
        <f>IF(INDEX(Banco!$H:$H,ROW())="","",INDEX(Banco!$H:$H,ROW()))</f>
        <v/>
      </c>
      <c r="I139">
        <f>IF($T139="","",INT($T139/12)&amp;"a "&amp;MOD($T139,12)&amp;"m")</f>
        <v/>
      </c>
      <c r="J139" s="11">
        <f>IF(OR($F139="",$G139=""),"",ROUND($F139/($G139/100)^2,2))</f>
        <v/>
      </c>
      <c r="K139" s="12">
        <f>IF(OR($S139="",$J139="",$T139="",$T139&lt;0,$T139&gt;228,$Y139=""),"—",ROUND(IF(ABS($AB139)&lt;=3,$AB139,IF($AB139&gt;3,3+($J139-$AD139)/($AD139-$AC139),-3+($J139-$AF139)/($AE139-$AF139))),2))</f>
        <v/>
      </c>
      <c r="L139">
        <f>IF(OR($K139="",$K139="—"),"",IF($T139&lt;=60,IF($K139&lt;-3,"Magreza acentuada",IF($K139&lt;-2,"Magreza",IF($K139&lt;=1,"Eutrofia",IF($K139&lt;=2,"Risco de sobrepeso",IF($K139&lt;=3,"Sobrepeso","Obesidade"))))),IF($K139&lt;-3,"Magreza acentuada",IF($K139&lt;-2,"Magreza",IF($K139&lt;=1,"Eutrofia",IF($K139&lt;=2,"Sobrepeso",IF($K139&lt;=3,"Obesidade","Obesidade grave")))))))</f>
        <v/>
      </c>
      <c r="M139" s="12">
        <f>IF(OR($S139="",$V139="",$T139="",$T139&lt;0,$T139&gt;228,$AG139=""),"—",ROUND(IF($AG139=0,LN($V139/$AH139)/$AI139,((($V139/$AH139)^$AG139)-1)/($AG139*$AI139)),2))</f>
        <v/>
      </c>
      <c r="N139">
        <f>IF(OR($M139="",$M139="—"),"",IF($M139&lt;-3,"Muito baixa",IF($M139&lt;-2,"Baixa","Adequada")))</f>
        <v/>
      </c>
      <c r="O139" s="12">
        <f>IF(OR($S139="",$F139="",$T139="",$T139&lt;0,$T139&gt;120,$AJ139=""),"—",ROUND(IF(ABS($AM139)&lt;=3,$AM139,IF($AM139&gt;3,3+($F139-$AO139)/($AO139-$AN139),-3+($F139-$AQ139)/($AP139-$AQ139))),2))</f>
        <v/>
      </c>
      <c r="P139">
        <f>IF(OR($O139="",$O139="—"),"",IF($O139&lt;-3,"Muito baixo",IF($O139&lt;-2,"Baixo",IF($O139&lt;=2,"Adequado","Elevado"))))</f>
        <v/>
      </c>
      <c r="Q139" s="12">
        <f>IF(OR($S139="",$F139="",$T139="",$T139&lt;0,$T139&gt;60,$AR139=""),"—",ROUND(IF(ABS($AU139)&lt;=3,$AU139,IF($AU139&gt;3,3+($F139-$AW139)/($AW139-$AV139),-3+($F139-$AY139)/($AX139-$AY139))),2))</f>
        <v/>
      </c>
      <c r="R139">
        <f>IF(OR($Q139="",$Q139="—"),"",IF($Q139&lt;-3,"Magreza acentuada",IF($Q139&lt;-2,"Magreza",IF($Q139&lt;=1,"Eutrofia",IF($Q139&lt;=2,"Risco de sobrepeso",IF($Q139&lt;=3,"Sobrepeso","Obesidade"))))))</f>
        <v/>
      </c>
      <c r="S139">
        <f>IF($C139="","",IF(UPPER(LEFT($C139,1))="M",1,IF(UPPER(LEFT($C139,1))="F",2,"")))</f>
        <v/>
      </c>
      <c r="T139">
        <f>IF(OR($D139="",$E139=""),"",DATEDIF($D139,$E139,"m"))</f>
        <v/>
      </c>
      <c r="U139">
        <f>IF(OR($D139="",$E139=""),"",$E139-$D139)</f>
        <v/>
      </c>
      <c r="V139">
        <f>IF(OR($G139="",$T139=""),"",IF($T139&lt;24,IF(LEFT(LOWER($H139),4)="em p",$G139+0.7,$G139),IF(LEFT(LOWER($H139),4)="deit",$G139-0.7,$G139)))</f>
        <v/>
      </c>
      <c r="W139">
        <f>IF(OR($S139="",$T139=""),"",$S139*1000000+IF($T139&lt;=60,$U139,$T139))</f>
        <v/>
      </c>
      <c r="X139">
        <f>IF(OR($S139="",$V139="",$T139&gt;60,$T139=""),"",$S139*1000000+ROUND($V139*10,0))</f>
        <v/>
      </c>
      <c r="Y139">
        <f>IF($W139="","",IFERROR(INDEX(IF($T139&lt;=60,imc05_l,imc519_l),MATCH($W139,IF($T139&lt;=60,imc05_k,imc519_k),1)),""))</f>
        <v/>
      </c>
      <c r="Z139">
        <f>IF($W139="","",IFERROR(INDEX(IF($T139&lt;=60,imc05_m,imc519_m),MATCH($W139,IF($T139&lt;=60,imc05_k,imc519_k),1)),""))</f>
        <v/>
      </c>
      <c r="AA139">
        <f>IF($W139="","",IFERROR(INDEX(IF($T139&lt;=60,imc05_s,imc519_s),MATCH($W139,IF($T139&lt;=60,imc05_k,imc519_k),1)),""))</f>
        <v/>
      </c>
      <c r="AB139">
        <f>IF($Y139="","",IF($Y139=0,LN($J139/$Z139)/$AA139,((($J139/$Z139)^$Y139)-1)/($Y139*$AA139)))</f>
        <v/>
      </c>
      <c r="AC139">
        <f>IF($Y139="","",IF($Y139=0,$Z139*EXP($AA139*2),$Z139*(1+$Y139*$AA139*2)^(1/$Y139)))</f>
        <v/>
      </c>
      <c r="AD139">
        <f>IF($Y139="","",IF($Y139=0,$Z139*EXP($AA139*3),$Z139*(1+$Y139*$AA139*3)^(1/$Y139)))</f>
        <v/>
      </c>
      <c r="AE139">
        <f>IF($Y139="","",IF($Y139=0,$Z139*EXP($AA139*-2),$Z139*(1+$Y139*$AA139*-2)^(1/$Y139)))</f>
        <v/>
      </c>
      <c r="AF139">
        <f>IF($Y139="","",IF($Y139=0,$Z139*EXP($AA139*-3),$Z139*(1+$Y139*$AA139*-3)^(1/$Y139)))</f>
        <v/>
      </c>
      <c r="AG139">
        <f>IF($W139="","",IFERROR(INDEX(IF($T139&lt;=60,est05_l,est519_l),MATCH($W139,IF($T139&lt;=60,est05_k,est519_k),1)),""))</f>
        <v/>
      </c>
      <c r="AH139">
        <f>IF($W139="","",IFERROR(INDEX(IF($T139&lt;=60,est05_m,est519_m),MATCH($W139,IF($T139&lt;=60,est05_k,est519_k),1)),""))</f>
        <v/>
      </c>
      <c r="AI139">
        <f>IF($W139="","",IFERROR(INDEX(IF($T139&lt;=60,est05_s,est519_s),MATCH($W139,IF($T139&lt;=60,est05_k,est519_k),1)),""))</f>
        <v/>
      </c>
      <c r="AJ139">
        <f>IF($W139="","",IFERROR(INDEX(IF($T139&lt;=60,peso05_l,peso510_l),MATCH($W139,IF($T139&lt;=60,peso05_k,peso510_k),1)),""))</f>
        <v/>
      </c>
      <c r="AK139">
        <f>IF($W139="","",IFERROR(INDEX(IF($T139&lt;=60,peso05_m,peso510_m),MATCH($W139,IF($T139&lt;=60,peso05_k,peso510_k),1)),""))</f>
        <v/>
      </c>
      <c r="AL139">
        <f>IF($W139="","",IFERROR(INDEX(IF($T139&lt;=60,peso05_s,peso510_s),MATCH($W139,IF($T139&lt;=60,peso05_k,peso510_k),1)),""))</f>
        <v/>
      </c>
      <c r="AM139">
        <f>IF($AJ139="","",IF($AJ139=0,LN($F139/$AK139)/$AL139,((($F139/$AK139)^$AJ139)-1)/($AJ139*$AL139)))</f>
        <v/>
      </c>
      <c r="AN139">
        <f>IF($AJ139="","",IF($AJ139=0,$AK139*EXP($AL139*2),$AK139*(1+$AJ139*$AL139*2)^(1/$AJ139)))</f>
        <v/>
      </c>
      <c r="AO139">
        <f>IF($AJ139="","",IF($AJ139=0,$AK139*EXP($AL139*3),$AK139*(1+$AJ139*$AL139*3)^(1/$AJ139)))</f>
        <v/>
      </c>
      <c r="AP139">
        <f>IF($AJ139="","",IF($AJ139=0,$AK139*EXP($AL139*-2),$AK139*(1+$AJ139*$AL139*-2)^(1/$AJ139)))</f>
        <v/>
      </c>
      <c r="AQ139">
        <f>IF($AJ139="","",IF($AJ139=0,$AK139*EXP($AL139*-3),$AK139*(1+$AJ139*$AL139*-3)^(1/$AJ139)))</f>
        <v/>
      </c>
      <c r="AR139">
        <f>IF(OR($X139="",$T139&gt;60),"",IFERROR(INDEX(IF($T139&lt;24,pcomp_l,palt_l),MATCH($X139,IF($T139&lt;24,pcomp_k,palt_k),1)),""))</f>
        <v/>
      </c>
      <c r="AS139">
        <f>IF(OR($X139="",$T139&gt;60),"",IFERROR(INDEX(IF($T139&lt;24,pcomp_m,palt_m),MATCH($X139,IF($T139&lt;24,pcomp_k,palt_k),1)),""))</f>
        <v/>
      </c>
      <c r="AT139">
        <f>IF(OR($X139="",$T139&gt;60),"",IFERROR(INDEX(IF($T139&lt;24,pcomp_s,palt_s),MATCH($X139,IF($T139&lt;24,pcomp_k,palt_k),1)),""))</f>
        <v/>
      </c>
      <c r="AU139">
        <f>IF($AR139="","",IF($AR139=0,LN($F139/$AS139)/$AT139,((($F139/$AS139)^$AR139)-1)/($AR139*$AT139)))</f>
        <v/>
      </c>
      <c r="AV139">
        <f>IF($AR139="","",IF($AR139=0,$AS139*EXP($AT139*2),$AS139*(1+$AR139*$AT139*2)^(1/$AR139)))</f>
        <v/>
      </c>
      <c r="AW139">
        <f>IF($AR139="","",IF($AR139=0,$AS139*EXP($AT139*3),$AS139*(1+$AR139*$AT139*3)^(1/$AR139)))</f>
        <v/>
      </c>
      <c r="AX139">
        <f>IF($AR139="","",IF($AR139=0,$AS139*EXP($AT139*-2),$AS139*(1+$AR139*$AT139*-2)^(1/$AR139)))</f>
        <v/>
      </c>
      <c r="AY139">
        <f>IF($AR139="","",IF($AR139=0,$AS139*EXP($AT139*-3),$AS139*(1+$AR139*$AT139*-3)^(1/$AR139)))</f>
        <v/>
      </c>
      <c r="AZ139">
        <f>IF(OR($A139="",$A139&lt;&gt;Ficha!$C$4),"",COUNTIF($A$2:$A139,Ficha!$C$4))</f>
        <v/>
      </c>
    </row>
    <row r="140">
      <c r="A140" s="8">
        <f>IF(INDEX(Banco!$A:$A,ROW())="","",INDEX(Banco!$A:$A,ROW()))</f>
        <v/>
      </c>
      <c r="B140" s="8">
        <f>IF(INDEX(Banco!$B:$B,ROW())="","",INDEX(Banco!$B:$B,ROW()))</f>
        <v/>
      </c>
      <c r="C140" s="8">
        <f>IF(INDEX(Banco!$C:$C,ROW())="","",INDEX(Banco!$C:$C,ROW()))</f>
        <v/>
      </c>
      <c r="D140" s="9">
        <f>IF(INDEX(Banco!$D:$D,ROW())="","",INDEX(Banco!$D:$D,ROW()))</f>
        <v/>
      </c>
      <c r="E140" s="9">
        <f>IF(INDEX(Banco!$E:$E,ROW())="","",INDEX(Banco!$E:$E,ROW()))</f>
        <v/>
      </c>
      <c r="F140" s="10">
        <f>IF(INDEX(Banco!$F:$F,ROW())="","",INDEX(Banco!$F:$F,ROW()))</f>
        <v/>
      </c>
      <c r="G140" s="10">
        <f>IF(INDEX(Banco!$G:$G,ROW())="","",INDEX(Banco!$G:$G,ROW()))</f>
        <v/>
      </c>
      <c r="H140" s="8">
        <f>IF(INDEX(Banco!$H:$H,ROW())="","",INDEX(Banco!$H:$H,ROW()))</f>
        <v/>
      </c>
      <c r="I140">
        <f>IF($T140="","",INT($T140/12)&amp;"a "&amp;MOD($T140,12)&amp;"m")</f>
        <v/>
      </c>
      <c r="J140" s="11">
        <f>IF(OR($F140="",$G140=""),"",ROUND($F140/($G140/100)^2,2))</f>
        <v/>
      </c>
      <c r="K140" s="12">
        <f>IF(OR($S140="",$J140="",$T140="",$T140&lt;0,$T140&gt;228,$Y140=""),"—",ROUND(IF(ABS($AB140)&lt;=3,$AB140,IF($AB140&gt;3,3+($J140-$AD140)/($AD140-$AC140),-3+($J140-$AF140)/($AE140-$AF140))),2))</f>
        <v/>
      </c>
      <c r="L140">
        <f>IF(OR($K140="",$K140="—"),"",IF($T140&lt;=60,IF($K140&lt;-3,"Magreza acentuada",IF($K140&lt;-2,"Magreza",IF($K140&lt;=1,"Eutrofia",IF($K140&lt;=2,"Risco de sobrepeso",IF($K140&lt;=3,"Sobrepeso","Obesidade"))))),IF($K140&lt;-3,"Magreza acentuada",IF($K140&lt;-2,"Magreza",IF($K140&lt;=1,"Eutrofia",IF($K140&lt;=2,"Sobrepeso",IF($K140&lt;=3,"Obesidade","Obesidade grave")))))))</f>
        <v/>
      </c>
      <c r="M140" s="12">
        <f>IF(OR($S140="",$V140="",$T140="",$T140&lt;0,$T140&gt;228,$AG140=""),"—",ROUND(IF($AG140=0,LN($V140/$AH140)/$AI140,((($V140/$AH140)^$AG140)-1)/($AG140*$AI140)),2))</f>
        <v/>
      </c>
      <c r="N140">
        <f>IF(OR($M140="",$M140="—"),"",IF($M140&lt;-3,"Muito baixa",IF($M140&lt;-2,"Baixa","Adequada")))</f>
        <v/>
      </c>
      <c r="O140" s="12">
        <f>IF(OR($S140="",$F140="",$T140="",$T140&lt;0,$T140&gt;120,$AJ140=""),"—",ROUND(IF(ABS($AM140)&lt;=3,$AM140,IF($AM140&gt;3,3+($F140-$AO140)/($AO140-$AN140),-3+($F140-$AQ140)/($AP140-$AQ140))),2))</f>
        <v/>
      </c>
      <c r="P140">
        <f>IF(OR($O140="",$O140="—"),"",IF($O140&lt;-3,"Muito baixo",IF($O140&lt;-2,"Baixo",IF($O140&lt;=2,"Adequado","Elevado"))))</f>
        <v/>
      </c>
      <c r="Q140" s="12">
        <f>IF(OR($S140="",$F140="",$T140="",$T140&lt;0,$T140&gt;60,$AR140=""),"—",ROUND(IF(ABS($AU140)&lt;=3,$AU140,IF($AU140&gt;3,3+($F140-$AW140)/($AW140-$AV140),-3+($F140-$AY140)/($AX140-$AY140))),2))</f>
        <v/>
      </c>
      <c r="R140">
        <f>IF(OR($Q140="",$Q140="—"),"",IF($Q140&lt;-3,"Magreza acentuada",IF($Q140&lt;-2,"Magreza",IF($Q140&lt;=1,"Eutrofia",IF($Q140&lt;=2,"Risco de sobrepeso",IF($Q140&lt;=3,"Sobrepeso","Obesidade"))))))</f>
        <v/>
      </c>
      <c r="S140">
        <f>IF($C140="","",IF(UPPER(LEFT($C140,1))="M",1,IF(UPPER(LEFT($C140,1))="F",2,"")))</f>
        <v/>
      </c>
      <c r="T140">
        <f>IF(OR($D140="",$E140=""),"",DATEDIF($D140,$E140,"m"))</f>
        <v/>
      </c>
      <c r="U140">
        <f>IF(OR($D140="",$E140=""),"",$E140-$D140)</f>
        <v/>
      </c>
      <c r="V140">
        <f>IF(OR($G140="",$T140=""),"",IF($T140&lt;24,IF(LEFT(LOWER($H140),4)="em p",$G140+0.7,$G140),IF(LEFT(LOWER($H140),4)="deit",$G140-0.7,$G140)))</f>
        <v/>
      </c>
      <c r="W140">
        <f>IF(OR($S140="",$T140=""),"",$S140*1000000+IF($T140&lt;=60,$U140,$T140))</f>
        <v/>
      </c>
      <c r="X140">
        <f>IF(OR($S140="",$V140="",$T140&gt;60,$T140=""),"",$S140*1000000+ROUND($V140*10,0))</f>
        <v/>
      </c>
      <c r="Y140">
        <f>IF($W140="","",IFERROR(INDEX(IF($T140&lt;=60,imc05_l,imc519_l),MATCH($W140,IF($T140&lt;=60,imc05_k,imc519_k),1)),""))</f>
        <v/>
      </c>
      <c r="Z140">
        <f>IF($W140="","",IFERROR(INDEX(IF($T140&lt;=60,imc05_m,imc519_m),MATCH($W140,IF($T140&lt;=60,imc05_k,imc519_k),1)),""))</f>
        <v/>
      </c>
      <c r="AA140">
        <f>IF($W140="","",IFERROR(INDEX(IF($T140&lt;=60,imc05_s,imc519_s),MATCH($W140,IF($T140&lt;=60,imc05_k,imc519_k),1)),""))</f>
        <v/>
      </c>
      <c r="AB140">
        <f>IF($Y140="","",IF($Y140=0,LN($J140/$Z140)/$AA140,((($J140/$Z140)^$Y140)-1)/($Y140*$AA140)))</f>
        <v/>
      </c>
      <c r="AC140">
        <f>IF($Y140="","",IF($Y140=0,$Z140*EXP($AA140*2),$Z140*(1+$Y140*$AA140*2)^(1/$Y140)))</f>
        <v/>
      </c>
      <c r="AD140">
        <f>IF($Y140="","",IF($Y140=0,$Z140*EXP($AA140*3),$Z140*(1+$Y140*$AA140*3)^(1/$Y140)))</f>
        <v/>
      </c>
      <c r="AE140">
        <f>IF($Y140="","",IF($Y140=0,$Z140*EXP($AA140*-2),$Z140*(1+$Y140*$AA140*-2)^(1/$Y140)))</f>
        <v/>
      </c>
      <c r="AF140">
        <f>IF($Y140="","",IF($Y140=0,$Z140*EXP($AA140*-3),$Z140*(1+$Y140*$AA140*-3)^(1/$Y140)))</f>
        <v/>
      </c>
      <c r="AG140">
        <f>IF($W140="","",IFERROR(INDEX(IF($T140&lt;=60,est05_l,est519_l),MATCH($W140,IF($T140&lt;=60,est05_k,est519_k),1)),""))</f>
        <v/>
      </c>
      <c r="AH140">
        <f>IF($W140="","",IFERROR(INDEX(IF($T140&lt;=60,est05_m,est519_m),MATCH($W140,IF($T140&lt;=60,est05_k,est519_k),1)),""))</f>
        <v/>
      </c>
      <c r="AI140">
        <f>IF($W140="","",IFERROR(INDEX(IF($T140&lt;=60,est05_s,est519_s),MATCH($W140,IF($T140&lt;=60,est05_k,est519_k),1)),""))</f>
        <v/>
      </c>
      <c r="AJ140">
        <f>IF($W140="","",IFERROR(INDEX(IF($T140&lt;=60,peso05_l,peso510_l),MATCH($W140,IF($T140&lt;=60,peso05_k,peso510_k),1)),""))</f>
        <v/>
      </c>
      <c r="AK140">
        <f>IF($W140="","",IFERROR(INDEX(IF($T140&lt;=60,peso05_m,peso510_m),MATCH($W140,IF($T140&lt;=60,peso05_k,peso510_k),1)),""))</f>
        <v/>
      </c>
      <c r="AL140">
        <f>IF($W140="","",IFERROR(INDEX(IF($T140&lt;=60,peso05_s,peso510_s),MATCH($W140,IF($T140&lt;=60,peso05_k,peso510_k),1)),""))</f>
        <v/>
      </c>
      <c r="AM140">
        <f>IF($AJ140="","",IF($AJ140=0,LN($F140/$AK140)/$AL140,((($F140/$AK140)^$AJ140)-1)/($AJ140*$AL140)))</f>
        <v/>
      </c>
      <c r="AN140">
        <f>IF($AJ140="","",IF($AJ140=0,$AK140*EXP($AL140*2),$AK140*(1+$AJ140*$AL140*2)^(1/$AJ140)))</f>
        <v/>
      </c>
      <c r="AO140">
        <f>IF($AJ140="","",IF($AJ140=0,$AK140*EXP($AL140*3),$AK140*(1+$AJ140*$AL140*3)^(1/$AJ140)))</f>
        <v/>
      </c>
      <c r="AP140">
        <f>IF($AJ140="","",IF($AJ140=0,$AK140*EXP($AL140*-2),$AK140*(1+$AJ140*$AL140*-2)^(1/$AJ140)))</f>
        <v/>
      </c>
      <c r="AQ140">
        <f>IF($AJ140="","",IF($AJ140=0,$AK140*EXP($AL140*-3),$AK140*(1+$AJ140*$AL140*-3)^(1/$AJ140)))</f>
        <v/>
      </c>
      <c r="AR140">
        <f>IF(OR($X140="",$T140&gt;60),"",IFERROR(INDEX(IF($T140&lt;24,pcomp_l,palt_l),MATCH($X140,IF($T140&lt;24,pcomp_k,palt_k),1)),""))</f>
        <v/>
      </c>
      <c r="AS140">
        <f>IF(OR($X140="",$T140&gt;60),"",IFERROR(INDEX(IF($T140&lt;24,pcomp_m,palt_m),MATCH($X140,IF($T140&lt;24,pcomp_k,palt_k),1)),""))</f>
        <v/>
      </c>
      <c r="AT140">
        <f>IF(OR($X140="",$T140&gt;60),"",IFERROR(INDEX(IF($T140&lt;24,pcomp_s,palt_s),MATCH($X140,IF($T140&lt;24,pcomp_k,palt_k),1)),""))</f>
        <v/>
      </c>
      <c r="AU140">
        <f>IF($AR140="","",IF($AR140=0,LN($F140/$AS140)/$AT140,((($F140/$AS140)^$AR140)-1)/($AR140*$AT140)))</f>
        <v/>
      </c>
      <c r="AV140">
        <f>IF($AR140="","",IF($AR140=0,$AS140*EXP($AT140*2),$AS140*(1+$AR140*$AT140*2)^(1/$AR140)))</f>
        <v/>
      </c>
      <c r="AW140">
        <f>IF($AR140="","",IF($AR140=0,$AS140*EXP($AT140*3),$AS140*(1+$AR140*$AT140*3)^(1/$AR140)))</f>
        <v/>
      </c>
      <c r="AX140">
        <f>IF($AR140="","",IF($AR140=0,$AS140*EXP($AT140*-2),$AS140*(1+$AR140*$AT140*-2)^(1/$AR140)))</f>
        <v/>
      </c>
      <c r="AY140">
        <f>IF($AR140="","",IF($AR140=0,$AS140*EXP($AT140*-3),$AS140*(1+$AR140*$AT140*-3)^(1/$AR140)))</f>
        <v/>
      </c>
      <c r="AZ140">
        <f>IF(OR($A140="",$A140&lt;&gt;Ficha!$C$4),"",COUNTIF($A$2:$A140,Ficha!$C$4))</f>
        <v/>
      </c>
    </row>
    <row r="141">
      <c r="A141" s="8">
        <f>IF(INDEX(Banco!$A:$A,ROW())="","",INDEX(Banco!$A:$A,ROW()))</f>
        <v/>
      </c>
      <c r="B141" s="8">
        <f>IF(INDEX(Banco!$B:$B,ROW())="","",INDEX(Banco!$B:$B,ROW()))</f>
        <v/>
      </c>
      <c r="C141" s="8">
        <f>IF(INDEX(Banco!$C:$C,ROW())="","",INDEX(Banco!$C:$C,ROW()))</f>
        <v/>
      </c>
      <c r="D141" s="9">
        <f>IF(INDEX(Banco!$D:$D,ROW())="","",INDEX(Banco!$D:$D,ROW()))</f>
        <v/>
      </c>
      <c r="E141" s="9">
        <f>IF(INDEX(Banco!$E:$E,ROW())="","",INDEX(Banco!$E:$E,ROW()))</f>
        <v/>
      </c>
      <c r="F141" s="10">
        <f>IF(INDEX(Banco!$F:$F,ROW())="","",INDEX(Banco!$F:$F,ROW()))</f>
        <v/>
      </c>
      <c r="G141" s="10">
        <f>IF(INDEX(Banco!$G:$G,ROW())="","",INDEX(Banco!$G:$G,ROW()))</f>
        <v/>
      </c>
      <c r="H141" s="8">
        <f>IF(INDEX(Banco!$H:$H,ROW())="","",INDEX(Banco!$H:$H,ROW()))</f>
        <v/>
      </c>
      <c r="I141">
        <f>IF($T141="","",INT($T141/12)&amp;"a "&amp;MOD($T141,12)&amp;"m")</f>
        <v/>
      </c>
      <c r="J141" s="11">
        <f>IF(OR($F141="",$G141=""),"",ROUND($F141/($G141/100)^2,2))</f>
        <v/>
      </c>
      <c r="K141" s="12">
        <f>IF(OR($S141="",$J141="",$T141="",$T141&lt;0,$T141&gt;228,$Y141=""),"—",ROUND(IF(ABS($AB141)&lt;=3,$AB141,IF($AB141&gt;3,3+($J141-$AD141)/($AD141-$AC141),-3+($J141-$AF141)/($AE141-$AF141))),2))</f>
        <v/>
      </c>
      <c r="L141">
        <f>IF(OR($K141="",$K141="—"),"",IF($T141&lt;=60,IF($K141&lt;-3,"Magreza acentuada",IF($K141&lt;-2,"Magreza",IF($K141&lt;=1,"Eutrofia",IF($K141&lt;=2,"Risco de sobrepeso",IF($K141&lt;=3,"Sobrepeso","Obesidade"))))),IF($K141&lt;-3,"Magreza acentuada",IF($K141&lt;-2,"Magreza",IF($K141&lt;=1,"Eutrofia",IF($K141&lt;=2,"Sobrepeso",IF($K141&lt;=3,"Obesidade","Obesidade grave")))))))</f>
        <v/>
      </c>
      <c r="M141" s="12">
        <f>IF(OR($S141="",$V141="",$T141="",$T141&lt;0,$T141&gt;228,$AG141=""),"—",ROUND(IF($AG141=0,LN($V141/$AH141)/$AI141,((($V141/$AH141)^$AG141)-1)/($AG141*$AI141)),2))</f>
        <v/>
      </c>
      <c r="N141">
        <f>IF(OR($M141="",$M141="—"),"",IF($M141&lt;-3,"Muito baixa",IF($M141&lt;-2,"Baixa","Adequada")))</f>
        <v/>
      </c>
      <c r="O141" s="12">
        <f>IF(OR($S141="",$F141="",$T141="",$T141&lt;0,$T141&gt;120,$AJ141=""),"—",ROUND(IF(ABS($AM141)&lt;=3,$AM141,IF($AM141&gt;3,3+($F141-$AO141)/($AO141-$AN141),-3+($F141-$AQ141)/($AP141-$AQ141))),2))</f>
        <v/>
      </c>
      <c r="P141">
        <f>IF(OR($O141="",$O141="—"),"",IF($O141&lt;-3,"Muito baixo",IF($O141&lt;-2,"Baixo",IF($O141&lt;=2,"Adequado","Elevado"))))</f>
        <v/>
      </c>
      <c r="Q141" s="12">
        <f>IF(OR($S141="",$F141="",$T141="",$T141&lt;0,$T141&gt;60,$AR141=""),"—",ROUND(IF(ABS($AU141)&lt;=3,$AU141,IF($AU141&gt;3,3+($F141-$AW141)/($AW141-$AV141),-3+($F141-$AY141)/($AX141-$AY141))),2))</f>
        <v/>
      </c>
      <c r="R141">
        <f>IF(OR($Q141="",$Q141="—"),"",IF($Q141&lt;-3,"Magreza acentuada",IF($Q141&lt;-2,"Magreza",IF($Q141&lt;=1,"Eutrofia",IF($Q141&lt;=2,"Risco de sobrepeso",IF($Q141&lt;=3,"Sobrepeso","Obesidade"))))))</f>
        <v/>
      </c>
      <c r="S141">
        <f>IF($C141="","",IF(UPPER(LEFT($C141,1))="M",1,IF(UPPER(LEFT($C141,1))="F",2,"")))</f>
        <v/>
      </c>
      <c r="T141">
        <f>IF(OR($D141="",$E141=""),"",DATEDIF($D141,$E141,"m"))</f>
        <v/>
      </c>
      <c r="U141">
        <f>IF(OR($D141="",$E141=""),"",$E141-$D141)</f>
        <v/>
      </c>
      <c r="V141">
        <f>IF(OR($G141="",$T141=""),"",IF($T141&lt;24,IF(LEFT(LOWER($H141),4)="em p",$G141+0.7,$G141),IF(LEFT(LOWER($H141),4)="deit",$G141-0.7,$G141)))</f>
        <v/>
      </c>
      <c r="W141">
        <f>IF(OR($S141="",$T141=""),"",$S141*1000000+IF($T141&lt;=60,$U141,$T141))</f>
        <v/>
      </c>
      <c r="X141">
        <f>IF(OR($S141="",$V141="",$T141&gt;60,$T141=""),"",$S141*1000000+ROUND($V141*10,0))</f>
        <v/>
      </c>
      <c r="Y141">
        <f>IF($W141="","",IFERROR(INDEX(IF($T141&lt;=60,imc05_l,imc519_l),MATCH($W141,IF($T141&lt;=60,imc05_k,imc519_k),1)),""))</f>
        <v/>
      </c>
      <c r="Z141">
        <f>IF($W141="","",IFERROR(INDEX(IF($T141&lt;=60,imc05_m,imc519_m),MATCH($W141,IF($T141&lt;=60,imc05_k,imc519_k),1)),""))</f>
        <v/>
      </c>
      <c r="AA141">
        <f>IF($W141="","",IFERROR(INDEX(IF($T141&lt;=60,imc05_s,imc519_s),MATCH($W141,IF($T141&lt;=60,imc05_k,imc519_k),1)),""))</f>
        <v/>
      </c>
      <c r="AB141">
        <f>IF($Y141="","",IF($Y141=0,LN($J141/$Z141)/$AA141,((($J141/$Z141)^$Y141)-1)/($Y141*$AA141)))</f>
        <v/>
      </c>
      <c r="AC141">
        <f>IF($Y141="","",IF($Y141=0,$Z141*EXP($AA141*2),$Z141*(1+$Y141*$AA141*2)^(1/$Y141)))</f>
        <v/>
      </c>
      <c r="AD141">
        <f>IF($Y141="","",IF($Y141=0,$Z141*EXP($AA141*3),$Z141*(1+$Y141*$AA141*3)^(1/$Y141)))</f>
        <v/>
      </c>
      <c r="AE141">
        <f>IF($Y141="","",IF($Y141=0,$Z141*EXP($AA141*-2),$Z141*(1+$Y141*$AA141*-2)^(1/$Y141)))</f>
        <v/>
      </c>
      <c r="AF141">
        <f>IF($Y141="","",IF($Y141=0,$Z141*EXP($AA141*-3),$Z141*(1+$Y141*$AA141*-3)^(1/$Y141)))</f>
        <v/>
      </c>
      <c r="AG141">
        <f>IF($W141="","",IFERROR(INDEX(IF($T141&lt;=60,est05_l,est519_l),MATCH($W141,IF($T141&lt;=60,est05_k,est519_k),1)),""))</f>
        <v/>
      </c>
      <c r="AH141">
        <f>IF($W141="","",IFERROR(INDEX(IF($T141&lt;=60,est05_m,est519_m),MATCH($W141,IF($T141&lt;=60,est05_k,est519_k),1)),""))</f>
        <v/>
      </c>
      <c r="AI141">
        <f>IF($W141="","",IFERROR(INDEX(IF($T141&lt;=60,est05_s,est519_s),MATCH($W141,IF($T141&lt;=60,est05_k,est519_k),1)),""))</f>
        <v/>
      </c>
      <c r="AJ141">
        <f>IF($W141="","",IFERROR(INDEX(IF($T141&lt;=60,peso05_l,peso510_l),MATCH($W141,IF($T141&lt;=60,peso05_k,peso510_k),1)),""))</f>
        <v/>
      </c>
      <c r="AK141">
        <f>IF($W141="","",IFERROR(INDEX(IF($T141&lt;=60,peso05_m,peso510_m),MATCH($W141,IF($T141&lt;=60,peso05_k,peso510_k),1)),""))</f>
        <v/>
      </c>
      <c r="AL141">
        <f>IF($W141="","",IFERROR(INDEX(IF($T141&lt;=60,peso05_s,peso510_s),MATCH($W141,IF($T141&lt;=60,peso05_k,peso510_k),1)),""))</f>
        <v/>
      </c>
      <c r="AM141">
        <f>IF($AJ141="","",IF($AJ141=0,LN($F141/$AK141)/$AL141,((($F141/$AK141)^$AJ141)-1)/($AJ141*$AL141)))</f>
        <v/>
      </c>
      <c r="AN141">
        <f>IF($AJ141="","",IF($AJ141=0,$AK141*EXP($AL141*2),$AK141*(1+$AJ141*$AL141*2)^(1/$AJ141)))</f>
        <v/>
      </c>
      <c r="AO141">
        <f>IF($AJ141="","",IF($AJ141=0,$AK141*EXP($AL141*3),$AK141*(1+$AJ141*$AL141*3)^(1/$AJ141)))</f>
        <v/>
      </c>
      <c r="AP141">
        <f>IF($AJ141="","",IF($AJ141=0,$AK141*EXP($AL141*-2),$AK141*(1+$AJ141*$AL141*-2)^(1/$AJ141)))</f>
        <v/>
      </c>
      <c r="AQ141">
        <f>IF($AJ141="","",IF($AJ141=0,$AK141*EXP($AL141*-3),$AK141*(1+$AJ141*$AL141*-3)^(1/$AJ141)))</f>
        <v/>
      </c>
      <c r="AR141">
        <f>IF(OR($X141="",$T141&gt;60),"",IFERROR(INDEX(IF($T141&lt;24,pcomp_l,palt_l),MATCH($X141,IF($T141&lt;24,pcomp_k,palt_k),1)),""))</f>
        <v/>
      </c>
      <c r="AS141">
        <f>IF(OR($X141="",$T141&gt;60),"",IFERROR(INDEX(IF($T141&lt;24,pcomp_m,palt_m),MATCH($X141,IF($T141&lt;24,pcomp_k,palt_k),1)),""))</f>
        <v/>
      </c>
      <c r="AT141">
        <f>IF(OR($X141="",$T141&gt;60),"",IFERROR(INDEX(IF($T141&lt;24,pcomp_s,palt_s),MATCH($X141,IF($T141&lt;24,pcomp_k,palt_k),1)),""))</f>
        <v/>
      </c>
      <c r="AU141">
        <f>IF($AR141="","",IF($AR141=0,LN($F141/$AS141)/$AT141,((($F141/$AS141)^$AR141)-1)/($AR141*$AT141)))</f>
        <v/>
      </c>
      <c r="AV141">
        <f>IF($AR141="","",IF($AR141=0,$AS141*EXP($AT141*2),$AS141*(1+$AR141*$AT141*2)^(1/$AR141)))</f>
        <v/>
      </c>
      <c r="AW141">
        <f>IF($AR141="","",IF($AR141=0,$AS141*EXP($AT141*3),$AS141*(1+$AR141*$AT141*3)^(1/$AR141)))</f>
        <v/>
      </c>
      <c r="AX141">
        <f>IF($AR141="","",IF($AR141=0,$AS141*EXP($AT141*-2),$AS141*(1+$AR141*$AT141*-2)^(1/$AR141)))</f>
        <v/>
      </c>
      <c r="AY141">
        <f>IF($AR141="","",IF($AR141=0,$AS141*EXP($AT141*-3),$AS141*(1+$AR141*$AT141*-3)^(1/$AR141)))</f>
        <v/>
      </c>
      <c r="AZ141">
        <f>IF(OR($A141="",$A141&lt;&gt;Ficha!$C$4),"",COUNTIF($A$2:$A141,Ficha!$C$4))</f>
        <v/>
      </c>
    </row>
    <row r="142">
      <c r="A142" s="8">
        <f>IF(INDEX(Banco!$A:$A,ROW())="","",INDEX(Banco!$A:$A,ROW()))</f>
        <v/>
      </c>
      <c r="B142" s="8">
        <f>IF(INDEX(Banco!$B:$B,ROW())="","",INDEX(Banco!$B:$B,ROW()))</f>
        <v/>
      </c>
      <c r="C142" s="8">
        <f>IF(INDEX(Banco!$C:$C,ROW())="","",INDEX(Banco!$C:$C,ROW()))</f>
        <v/>
      </c>
      <c r="D142" s="9">
        <f>IF(INDEX(Banco!$D:$D,ROW())="","",INDEX(Banco!$D:$D,ROW()))</f>
        <v/>
      </c>
      <c r="E142" s="9">
        <f>IF(INDEX(Banco!$E:$E,ROW())="","",INDEX(Banco!$E:$E,ROW()))</f>
        <v/>
      </c>
      <c r="F142" s="10">
        <f>IF(INDEX(Banco!$F:$F,ROW())="","",INDEX(Banco!$F:$F,ROW()))</f>
        <v/>
      </c>
      <c r="G142" s="10">
        <f>IF(INDEX(Banco!$G:$G,ROW())="","",INDEX(Banco!$G:$G,ROW()))</f>
        <v/>
      </c>
      <c r="H142" s="8">
        <f>IF(INDEX(Banco!$H:$H,ROW())="","",INDEX(Banco!$H:$H,ROW()))</f>
        <v/>
      </c>
      <c r="I142">
        <f>IF($T142="","",INT($T142/12)&amp;"a "&amp;MOD($T142,12)&amp;"m")</f>
        <v/>
      </c>
      <c r="J142" s="11">
        <f>IF(OR($F142="",$G142=""),"",ROUND($F142/($G142/100)^2,2))</f>
        <v/>
      </c>
      <c r="K142" s="12">
        <f>IF(OR($S142="",$J142="",$T142="",$T142&lt;0,$T142&gt;228,$Y142=""),"—",ROUND(IF(ABS($AB142)&lt;=3,$AB142,IF($AB142&gt;3,3+($J142-$AD142)/($AD142-$AC142),-3+($J142-$AF142)/($AE142-$AF142))),2))</f>
        <v/>
      </c>
      <c r="L142">
        <f>IF(OR($K142="",$K142="—"),"",IF($T142&lt;=60,IF($K142&lt;-3,"Magreza acentuada",IF($K142&lt;-2,"Magreza",IF($K142&lt;=1,"Eutrofia",IF($K142&lt;=2,"Risco de sobrepeso",IF($K142&lt;=3,"Sobrepeso","Obesidade"))))),IF($K142&lt;-3,"Magreza acentuada",IF($K142&lt;-2,"Magreza",IF($K142&lt;=1,"Eutrofia",IF($K142&lt;=2,"Sobrepeso",IF($K142&lt;=3,"Obesidade","Obesidade grave")))))))</f>
        <v/>
      </c>
      <c r="M142" s="12">
        <f>IF(OR($S142="",$V142="",$T142="",$T142&lt;0,$T142&gt;228,$AG142=""),"—",ROUND(IF($AG142=0,LN($V142/$AH142)/$AI142,((($V142/$AH142)^$AG142)-1)/($AG142*$AI142)),2))</f>
        <v/>
      </c>
      <c r="N142">
        <f>IF(OR($M142="",$M142="—"),"",IF($M142&lt;-3,"Muito baixa",IF($M142&lt;-2,"Baixa","Adequada")))</f>
        <v/>
      </c>
      <c r="O142" s="12">
        <f>IF(OR($S142="",$F142="",$T142="",$T142&lt;0,$T142&gt;120,$AJ142=""),"—",ROUND(IF(ABS($AM142)&lt;=3,$AM142,IF($AM142&gt;3,3+($F142-$AO142)/($AO142-$AN142),-3+($F142-$AQ142)/($AP142-$AQ142))),2))</f>
        <v/>
      </c>
      <c r="P142">
        <f>IF(OR($O142="",$O142="—"),"",IF($O142&lt;-3,"Muito baixo",IF($O142&lt;-2,"Baixo",IF($O142&lt;=2,"Adequado","Elevado"))))</f>
        <v/>
      </c>
      <c r="Q142" s="12">
        <f>IF(OR($S142="",$F142="",$T142="",$T142&lt;0,$T142&gt;60,$AR142=""),"—",ROUND(IF(ABS($AU142)&lt;=3,$AU142,IF($AU142&gt;3,3+($F142-$AW142)/($AW142-$AV142),-3+($F142-$AY142)/($AX142-$AY142))),2))</f>
        <v/>
      </c>
      <c r="R142">
        <f>IF(OR($Q142="",$Q142="—"),"",IF($Q142&lt;-3,"Magreza acentuada",IF($Q142&lt;-2,"Magreza",IF($Q142&lt;=1,"Eutrofia",IF($Q142&lt;=2,"Risco de sobrepeso",IF($Q142&lt;=3,"Sobrepeso","Obesidade"))))))</f>
        <v/>
      </c>
      <c r="S142">
        <f>IF($C142="","",IF(UPPER(LEFT($C142,1))="M",1,IF(UPPER(LEFT($C142,1))="F",2,"")))</f>
        <v/>
      </c>
      <c r="T142">
        <f>IF(OR($D142="",$E142=""),"",DATEDIF($D142,$E142,"m"))</f>
        <v/>
      </c>
      <c r="U142">
        <f>IF(OR($D142="",$E142=""),"",$E142-$D142)</f>
        <v/>
      </c>
      <c r="V142">
        <f>IF(OR($G142="",$T142=""),"",IF($T142&lt;24,IF(LEFT(LOWER($H142),4)="em p",$G142+0.7,$G142),IF(LEFT(LOWER($H142),4)="deit",$G142-0.7,$G142)))</f>
        <v/>
      </c>
      <c r="W142">
        <f>IF(OR($S142="",$T142=""),"",$S142*1000000+IF($T142&lt;=60,$U142,$T142))</f>
        <v/>
      </c>
      <c r="X142">
        <f>IF(OR($S142="",$V142="",$T142&gt;60,$T142=""),"",$S142*1000000+ROUND($V142*10,0))</f>
        <v/>
      </c>
      <c r="Y142">
        <f>IF($W142="","",IFERROR(INDEX(IF($T142&lt;=60,imc05_l,imc519_l),MATCH($W142,IF($T142&lt;=60,imc05_k,imc519_k),1)),""))</f>
        <v/>
      </c>
      <c r="Z142">
        <f>IF($W142="","",IFERROR(INDEX(IF($T142&lt;=60,imc05_m,imc519_m),MATCH($W142,IF($T142&lt;=60,imc05_k,imc519_k),1)),""))</f>
        <v/>
      </c>
      <c r="AA142">
        <f>IF($W142="","",IFERROR(INDEX(IF($T142&lt;=60,imc05_s,imc519_s),MATCH($W142,IF($T142&lt;=60,imc05_k,imc519_k),1)),""))</f>
        <v/>
      </c>
      <c r="AB142">
        <f>IF($Y142="","",IF($Y142=0,LN($J142/$Z142)/$AA142,((($J142/$Z142)^$Y142)-1)/($Y142*$AA142)))</f>
        <v/>
      </c>
      <c r="AC142">
        <f>IF($Y142="","",IF($Y142=0,$Z142*EXP($AA142*2),$Z142*(1+$Y142*$AA142*2)^(1/$Y142)))</f>
        <v/>
      </c>
      <c r="AD142">
        <f>IF($Y142="","",IF($Y142=0,$Z142*EXP($AA142*3),$Z142*(1+$Y142*$AA142*3)^(1/$Y142)))</f>
        <v/>
      </c>
      <c r="AE142">
        <f>IF($Y142="","",IF($Y142=0,$Z142*EXP($AA142*-2),$Z142*(1+$Y142*$AA142*-2)^(1/$Y142)))</f>
        <v/>
      </c>
      <c r="AF142">
        <f>IF($Y142="","",IF($Y142=0,$Z142*EXP($AA142*-3),$Z142*(1+$Y142*$AA142*-3)^(1/$Y142)))</f>
        <v/>
      </c>
      <c r="AG142">
        <f>IF($W142="","",IFERROR(INDEX(IF($T142&lt;=60,est05_l,est519_l),MATCH($W142,IF($T142&lt;=60,est05_k,est519_k),1)),""))</f>
        <v/>
      </c>
      <c r="AH142">
        <f>IF($W142="","",IFERROR(INDEX(IF($T142&lt;=60,est05_m,est519_m),MATCH($W142,IF($T142&lt;=60,est05_k,est519_k),1)),""))</f>
        <v/>
      </c>
      <c r="AI142">
        <f>IF($W142="","",IFERROR(INDEX(IF($T142&lt;=60,est05_s,est519_s),MATCH($W142,IF($T142&lt;=60,est05_k,est519_k),1)),""))</f>
        <v/>
      </c>
      <c r="AJ142">
        <f>IF($W142="","",IFERROR(INDEX(IF($T142&lt;=60,peso05_l,peso510_l),MATCH($W142,IF($T142&lt;=60,peso05_k,peso510_k),1)),""))</f>
        <v/>
      </c>
      <c r="AK142">
        <f>IF($W142="","",IFERROR(INDEX(IF($T142&lt;=60,peso05_m,peso510_m),MATCH($W142,IF($T142&lt;=60,peso05_k,peso510_k),1)),""))</f>
        <v/>
      </c>
      <c r="AL142">
        <f>IF($W142="","",IFERROR(INDEX(IF($T142&lt;=60,peso05_s,peso510_s),MATCH($W142,IF($T142&lt;=60,peso05_k,peso510_k),1)),""))</f>
        <v/>
      </c>
      <c r="AM142">
        <f>IF($AJ142="","",IF($AJ142=0,LN($F142/$AK142)/$AL142,((($F142/$AK142)^$AJ142)-1)/($AJ142*$AL142)))</f>
        <v/>
      </c>
      <c r="AN142">
        <f>IF($AJ142="","",IF($AJ142=0,$AK142*EXP($AL142*2),$AK142*(1+$AJ142*$AL142*2)^(1/$AJ142)))</f>
        <v/>
      </c>
      <c r="AO142">
        <f>IF($AJ142="","",IF($AJ142=0,$AK142*EXP($AL142*3),$AK142*(1+$AJ142*$AL142*3)^(1/$AJ142)))</f>
        <v/>
      </c>
      <c r="AP142">
        <f>IF($AJ142="","",IF($AJ142=0,$AK142*EXP($AL142*-2),$AK142*(1+$AJ142*$AL142*-2)^(1/$AJ142)))</f>
        <v/>
      </c>
      <c r="AQ142">
        <f>IF($AJ142="","",IF($AJ142=0,$AK142*EXP($AL142*-3),$AK142*(1+$AJ142*$AL142*-3)^(1/$AJ142)))</f>
        <v/>
      </c>
      <c r="AR142">
        <f>IF(OR($X142="",$T142&gt;60),"",IFERROR(INDEX(IF($T142&lt;24,pcomp_l,palt_l),MATCH($X142,IF($T142&lt;24,pcomp_k,palt_k),1)),""))</f>
        <v/>
      </c>
      <c r="AS142">
        <f>IF(OR($X142="",$T142&gt;60),"",IFERROR(INDEX(IF($T142&lt;24,pcomp_m,palt_m),MATCH($X142,IF($T142&lt;24,pcomp_k,palt_k),1)),""))</f>
        <v/>
      </c>
      <c r="AT142">
        <f>IF(OR($X142="",$T142&gt;60),"",IFERROR(INDEX(IF($T142&lt;24,pcomp_s,palt_s),MATCH($X142,IF($T142&lt;24,pcomp_k,palt_k),1)),""))</f>
        <v/>
      </c>
      <c r="AU142">
        <f>IF($AR142="","",IF($AR142=0,LN($F142/$AS142)/$AT142,((($F142/$AS142)^$AR142)-1)/($AR142*$AT142)))</f>
        <v/>
      </c>
      <c r="AV142">
        <f>IF($AR142="","",IF($AR142=0,$AS142*EXP($AT142*2),$AS142*(1+$AR142*$AT142*2)^(1/$AR142)))</f>
        <v/>
      </c>
      <c r="AW142">
        <f>IF($AR142="","",IF($AR142=0,$AS142*EXP($AT142*3),$AS142*(1+$AR142*$AT142*3)^(1/$AR142)))</f>
        <v/>
      </c>
      <c r="AX142">
        <f>IF($AR142="","",IF($AR142=0,$AS142*EXP($AT142*-2),$AS142*(1+$AR142*$AT142*-2)^(1/$AR142)))</f>
        <v/>
      </c>
      <c r="AY142">
        <f>IF($AR142="","",IF($AR142=0,$AS142*EXP($AT142*-3),$AS142*(1+$AR142*$AT142*-3)^(1/$AR142)))</f>
        <v/>
      </c>
      <c r="AZ142">
        <f>IF(OR($A142="",$A142&lt;&gt;Ficha!$C$4),"",COUNTIF($A$2:$A142,Ficha!$C$4))</f>
        <v/>
      </c>
    </row>
    <row r="143">
      <c r="A143" s="8">
        <f>IF(INDEX(Banco!$A:$A,ROW())="","",INDEX(Banco!$A:$A,ROW()))</f>
        <v/>
      </c>
      <c r="B143" s="8">
        <f>IF(INDEX(Banco!$B:$B,ROW())="","",INDEX(Banco!$B:$B,ROW()))</f>
        <v/>
      </c>
      <c r="C143" s="8">
        <f>IF(INDEX(Banco!$C:$C,ROW())="","",INDEX(Banco!$C:$C,ROW()))</f>
        <v/>
      </c>
      <c r="D143" s="9">
        <f>IF(INDEX(Banco!$D:$D,ROW())="","",INDEX(Banco!$D:$D,ROW()))</f>
        <v/>
      </c>
      <c r="E143" s="9">
        <f>IF(INDEX(Banco!$E:$E,ROW())="","",INDEX(Banco!$E:$E,ROW()))</f>
        <v/>
      </c>
      <c r="F143" s="10">
        <f>IF(INDEX(Banco!$F:$F,ROW())="","",INDEX(Banco!$F:$F,ROW()))</f>
        <v/>
      </c>
      <c r="G143" s="10">
        <f>IF(INDEX(Banco!$G:$G,ROW())="","",INDEX(Banco!$G:$G,ROW()))</f>
        <v/>
      </c>
      <c r="H143" s="8">
        <f>IF(INDEX(Banco!$H:$H,ROW())="","",INDEX(Banco!$H:$H,ROW()))</f>
        <v/>
      </c>
      <c r="I143">
        <f>IF($T143="","",INT($T143/12)&amp;"a "&amp;MOD($T143,12)&amp;"m")</f>
        <v/>
      </c>
      <c r="J143" s="11">
        <f>IF(OR($F143="",$G143=""),"",ROUND($F143/($G143/100)^2,2))</f>
        <v/>
      </c>
      <c r="K143" s="12">
        <f>IF(OR($S143="",$J143="",$T143="",$T143&lt;0,$T143&gt;228,$Y143=""),"—",ROUND(IF(ABS($AB143)&lt;=3,$AB143,IF($AB143&gt;3,3+($J143-$AD143)/($AD143-$AC143),-3+($J143-$AF143)/($AE143-$AF143))),2))</f>
        <v/>
      </c>
      <c r="L143">
        <f>IF(OR($K143="",$K143="—"),"",IF($T143&lt;=60,IF($K143&lt;-3,"Magreza acentuada",IF($K143&lt;-2,"Magreza",IF($K143&lt;=1,"Eutrofia",IF($K143&lt;=2,"Risco de sobrepeso",IF($K143&lt;=3,"Sobrepeso","Obesidade"))))),IF($K143&lt;-3,"Magreza acentuada",IF($K143&lt;-2,"Magreza",IF($K143&lt;=1,"Eutrofia",IF($K143&lt;=2,"Sobrepeso",IF($K143&lt;=3,"Obesidade","Obesidade grave")))))))</f>
        <v/>
      </c>
      <c r="M143" s="12">
        <f>IF(OR($S143="",$V143="",$T143="",$T143&lt;0,$T143&gt;228,$AG143=""),"—",ROUND(IF($AG143=0,LN($V143/$AH143)/$AI143,((($V143/$AH143)^$AG143)-1)/($AG143*$AI143)),2))</f>
        <v/>
      </c>
      <c r="N143">
        <f>IF(OR($M143="",$M143="—"),"",IF($M143&lt;-3,"Muito baixa",IF($M143&lt;-2,"Baixa","Adequada")))</f>
        <v/>
      </c>
      <c r="O143" s="12">
        <f>IF(OR($S143="",$F143="",$T143="",$T143&lt;0,$T143&gt;120,$AJ143=""),"—",ROUND(IF(ABS($AM143)&lt;=3,$AM143,IF($AM143&gt;3,3+($F143-$AO143)/($AO143-$AN143),-3+($F143-$AQ143)/($AP143-$AQ143))),2))</f>
        <v/>
      </c>
      <c r="P143">
        <f>IF(OR($O143="",$O143="—"),"",IF($O143&lt;-3,"Muito baixo",IF($O143&lt;-2,"Baixo",IF($O143&lt;=2,"Adequado","Elevado"))))</f>
        <v/>
      </c>
      <c r="Q143" s="12">
        <f>IF(OR($S143="",$F143="",$T143="",$T143&lt;0,$T143&gt;60,$AR143=""),"—",ROUND(IF(ABS($AU143)&lt;=3,$AU143,IF($AU143&gt;3,3+($F143-$AW143)/($AW143-$AV143),-3+($F143-$AY143)/($AX143-$AY143))),2))</f>
        <v/>
      </c>
      <c r="R143">
        <f>IF(OR($Q143="",$Q143="—"),"",IF($Q143&lt;-3,"Magreza acentuada",IF($Q143&lt;-2,"Magreza",IF($Q143&lt;=1,"Eutrofia",IF($Q143&lt;=2,"Risco de sobrepeso",IF($Q143&lt;=3,"Sobrepeso","Obesidade"))))))</f>
        <v/>
      </c>
      <c r="S143">
        <f>IF($C143="","",IF(UPPER(LEFT($C143,1))="M",1,IF(UPPER(LEFT($C143,1))="F",2,"")))</f>
        <v/>
      </c>
      <c r="T143">
        <f>IF(OR($D143="",$E143=""),"",DATEDIF($D143,$E143,"m"))</f>
        <v/>
      </c>
      <c r="U143">
        <f>IF(OR($D143="",$E143=""),"",$E143-$D143)</f>
        <v/>
      </c>
      <c r="V143">
        <f>IF(OR($G143="",$T143=""),"",IF($T143&lt;24,IF(LEFT(LOWER($H143),4)="em p",$G143+0.7,$G143),IF(LEFT(LOWER($H143),4)="deit",$G143-0.7,$G143)))</f>
        <v/>
      </c>
      <c r="W143">
        <f>IF(OR($S143="",$T143=""),"",$S143*1000000+IF($T143&lt;=60,$U143,$T143))</f>
        <v/>
      </c>
      <c r="X143">
        <f>IF(OR($S143="",$V143="",$T143&gt;60,$T143=""),"",$S143*1000000+ROUND($V143*10,0))</f>
        <v/>
      </c>
      <c r="Y143">
        <f>IF($W143="","",IFERROR(INDEX(IF($T143&lt;=60,imc05_l,imc519_l),MATCH($W143,IF($T143&lt;=60,imc05_k,imc519_k),1)),""))</f>
        <v/>
      </c>
      <c r="Z143">
        <f>IF($W143="","",IFERROR(INDEX(IF($T143&lt;=60,imc05_m,imc519_m),MATCH($W143,IF($T143&lt;=60,imc05_k,imc519_k),1)),""))</f>
        <v/>
      </c>
      <c r="AA143">
        <f>IF($W143="","",IFERROR(INDEX(IF($T143&lt;=60,imc05_s,imc519_s),MATCH($W143,IF($T143&lt;=60,imc05_k,imc519_k),1)),""))</f>
        <v/>
      </c>
      <c r="AB143">
        <f>IF($Y143="","",IF($Y143=0,LN($J143/$Z143)/$AA143,((($J143/$Z143)^$Y143)-1)/($Y143*$AA143)))</f>
        <v/>
      </c>
      <c r="AC143">
        <f>IF($Y143="","",IF($Y143=0,$Z143*EXP($AA143*2),$Z143*(1+$Y143*$AA143*2)^(1/$Y143)))</f>
        <v/>
      </c>
      <c r="AD143">
        <f>IF($Y143="","",IF($Y143=0,$Z143*EXP($AA143*3),$Z143*(1+$Y143*$AA143*3)^(1/$Y143)))</f>
        <v/>
      </c>
      <c r="AE143">
        <f>IF($Y143="","",IF($Y143=0,$Z143*EXP($AA143*-2),$Z143*(1+$Y143*$AA143*-2)^(1/$Y143)))</f>
        <v/>
      </c>
      <c r="AF143">
        <f>IF($Y143="","",IF($Y143=0,$Z143*EXP($AA143*-3),$Z143*(1+$Y143*$AA143*-3)^(1/$Y143)))</f>
        <v/>
      </c>
      <c r="AG143">
        <f>IF($W143="","",IFERROR(INDEX(IF($T143&lt;=60,est05_l,est519_l),MATCH($W143,IF($T143&lt;=60,est05_k,est519_k),1)),""))</f>
        <v/>
      </c>
      <c r="AH143">
        <f>IF($W143="","",IFERROR(INDEX(IF($T143&lt;=60,est05_m,est519_m),MATCH($W143,IF($T143&lt;=60,est05_k,est519_k),1)),""))</f>
        <v/>
      </c>
      <c r="AI143">
        <f>IF($W143="","",IFERROR(INDEX(IF($T143&lt;=60,est05_s,est519_s),MATCH($W143,IF($T143&lt;=60,est05_k,est519_k),1)),""))</f>
        <v/>
      </c>
      <c r="AJ143">
        <f>IF($W143="","",IFERROR(INDEX(IF($T143&lt;=60,peso05_l,peso510_l),MATCH($W143,IF($T143&lt;=60,peso05_k,peso510_k),1)),""))</f>
        <v/>
      </c>
      <c r="AK143">
        <f>IF($W143="","",IFERROR(INDEX(IF($T143&lt;=60,peso05_m,peso510_m),MATCH($W143,IF($T143&lt;=60,peso05_k,peso510_k),1)),""))</f>
        <v/>
      </c>
      <c r="AL143">
        <f>IF($W143="","",IFERROR(INDEX(IF($T143&lt;=60,peso05_s,peso510_s),MATCH($W143,IF($T143&lt;=60,peso05_k,peso510_k),1)),""))</f>
        <v/>
      </c>
      <c r="AM143">
        <f>IF($AJ143="","",IF($AJ143=0,LN($F143/$AK143)/$AL143,((($F143/$AK143)^$AJ143)-1)/($AJ143*$AL143)))</f>
        <v/>
      </c>
      <c r="AN143">
        <f>IF($AJ143="","",IF($AJ143=0,$AK143*EXP($AL143*2),$AK143*(1+$AJ143*$AL143*2)^(1/$AJ143)))</f>
        <v/>
      </c>
      <c r="AO143">
        <f>IF($AJ143="","",IF($AJ143=0,$AK143*EXP($AL143*3),$AK143*(1+$AJ143*$AL143*3)^(1/$AJ143)))</f>
        <v/>
      </c>
      <c r="AP143">
        <f>IF($AJ143="","",IF($AJ143=0,$AK143*EXP($AL143*-2),$AK143*(1+$AJ143*$AL143*-2)^(1/$AJ143)))</f>
        <v/>
      </c>
      <c r="AQ143">
        <f>IF($AJ143="","",IF($AJ143=0,$AK143*EXP($AL143*-3),$AK143*(1+$AJ143*$AL143*-3)^(1/$AJ143)))</f>
        <v/>
      </c>
      <c r="AR143">
        <f>IF(OR($X143="",$T143&gt;60),"",IFERROR(INDEX(IF($T143&lt;24,pcomp_l,palt_l),MATCH($X143,IF($T143&lt;24,pcomp_k,palt_k),1)),""))</f>
        <v/>
      </c>
      <c r="AS143">
        <f>IF(OR($X143="",$T143&gt;60),"",IFERROR(INDEX(IF($T143&lt;24,pcomp_m,palt_m),MATCH($X143,IF($T143&lt;24,pcomp_k,palt_k),1)),""))</f>
        <v/>
      </c>
      <c r="AT143">
        <f>IF(OR($X143="",$T143&gt;60),"",IFERROR(INDEX(IF($T143&lt;24,pcomp_s,palt_s),MATCH($X143,IF($T143&lt;24,pcomp_k,palt_k),1)),""))</f>
        <v/>
      </c>
      <c r="AU143">
        <f>IF($AR143="","",IF($AR143=0,LN($F143/$AS143)/$AT143,((($F143/$AS143)^$AR143)-1)/($AR143*$AT143)))</f>
        <v/>
      </c>
      <c r="AV143">
        <f>IF($AR143="","",IF($AR143=0,$AS143*EXP($AT143*2),$AS143*(1+$AR143*$AT143*2)^(1/$AR143)))</f>
        <v/>
      </c>
      <c r="AW143">
        <f>IF($AR143="","",IF($AR143=0,$AS143*EXP($AT143*3),$AS143*(1+$AR143*$AT143*3)^(1/$AR143)))</f>
        <v/>
      </c>
      <c r="AX143">
        <f>IF($AR143="","",IF($AR143=0,$AS143*EXP($AT143*-2),$AS143*(1+$AR143*$AT143*-2)^(1/$AR143)))</f>
        <v/>
      </c>
      <c r="AY143">
        <f>IF($AR143="","",IF($AR143=0,$AS143*EXP($AT143*-3),$AS143*(1+$AR143*$AT143*-3)^(1/$AR143)))</f>
        <v/>
      </c>
      <c r="AZ143">
        <f>IF(OR($A143="",$A143&lt;&gt;Ficha!$C$4),"",COUNTIF($A$2:$A143,Ficha!$C$4))</f>
        <v/>
      </c>
    </row>
    <row r="144">
      <c r="A144" s="8">
        <f>IF(INDEX(Banco!$A:$A,ROW())="","",INDEX(Banco!$A:$A,ROW()))</f>
        <v/>
      </c>
      <c r="B144" s="8">
        <f>IF(INDEX(Banco!$B:$B,ROW())="","",INDEX(Banco!$B:$B,ROW()))</f>
        <v/>
      </c>
      <c r="C144" s="8">
        <f>IF(INDEX(Banco!$C:$C,ROW())="","",INDEX(Banco!$C:$C,ROW()))</f>
        <v/>
      </c>
      <c r="D144" s="9">
        <f>IF(INDEX(Banco!$D:$D,ROW())="","",INDEX(Banco!$D:$D,ROW()))</f>
        <v/>
      </c>
      <c r="E144" s="9">
        <f>IF(INDEX(Banco!$E:$E,ROW())="","",INDEX(Banco!$E:$E,ROW()))</f>
        <v/>
      </c>
      <c r="F144" s="10">
        <f>IF(INDEX(Banco!$F:$F,ROW())="","",INDEX(Banco!$F:$F,ROW()))</f>
        <v/>
      </c>
      <c r="G144" s="10">
        <f>IF(INDEX(Banco!$G:$G,ROW())="","",INDEX(Banco!$G:$G,ROW()))</f>
        <v/>
      </c>
      <c r="H144" s="8">
        <f>IF(INDEX(Banco!$H:$H,ROW())="","",INDEX(Banco!$H:$H,ROW()))</f>
        <v/>
      </c>
      <c r="I144">
        <f>IF($T144="","",INT($T144/12)&amp;"a "&amp;MOD($T144,12)&amp;"m")</f>
        <v/>
      </c>
      <c r="J144" s="11">
        <f>IF(OR($F144="",$G144=""),"",ROUND($F144/($G144/100)^2,2))</f>
        <v/>
      </c>
      <c r="K144" s="12">
        <f>IF(OR($S144="",$J144="",$T144="",$T144&lt;0,$T144&gt;228,$Y144=""),"—",ROUND(IF(ABS($AB144)&lt;=3,$AB144,IF($AB144&gt;3,3+($J144-$AD144)/($AD144-$AC144),-3+($J144-$AF144)/($AE144-$AF144))),2))</f>
        <v/>
      </c>
      <c r="L144">
        <f>IF(OR($K144="",$K144="—"),"",IF($T144&lt;=60,IF($K144&lt;-3,"Magreza acentuada",IF($K144&lt;-2,"Magreza",IF($K144&lt;=1,"Eutrofia",IF($K144&lt;=2,"Risco de sobrepeso",IF($K144&lt;=3,"Sobrepeso","Obesidade"))))),IF($K144&lt;-3,"Magreza acentuada",IF($K144&lt;-2,"Magreza",IF($K144&lt;=1,"Eutrofia",IF($K144&lt;=2,"Sobrepeso",IF($K144&lt;=3,"Obesidade","Obesidade grave")))))))</f>
        <v/>
      </c>
      <c r="M144" s="12">
        <f>IF(OR($S144="",$V144="",$T144="",$T144&lt;0,$T144&gt;228,$AG144=""),"—",ROUND(IF($AG144=0,LN($V144/$AH144)/$AI144,((($V144/$AH144)^$AG144)-1)/($AG144*$AI144)),2))</f>
        <v/>
      </c>
      <c r="N144">
        <f>IF(OR($M144="",$M144="—"),"",IF($M144&lt;-3,"Muito baixa",IF($M144&lt;-2,"Baixa","Adequada")))</f>
        <v/>
      </c>
      <c r="O144" s="12">
        <f>IF(OR($S144="",$F144="",$T144="",$T144&lt;0,$T144&gt;120,$AJ144=""),"—",ROUND(IF(ABS($AM144)&lt;=3,$AM144,IF($AM144&gt;3,3+($F144-$AO144)/($AO144-$AN144),-3+($F144-$AQ144)/($AP144-$AQ144))),2))</f>
        <v/>
      </c>
      <c r="P144">
        <f>IF(OR($O144="",$O144="—"),"",IF($O144&lt;-3,"Muito baixo",IF($O144&lt;-2,"Baixo",IF($O144&lt;=2,"Adequado","Elevado"))))</f>
        <v/>
      </c>
      <c r="Q144" s="12">
        <f>IF(OR($S144="",$F144="",$T144="",$T144&lt;0,$T144&gt;60,$AR144=""),"—",ROUND(IF(ABS($AU144)&lt;=3,$AU144,IF($AU144&gt;3,3+($F144-$AW144)/($AW144-$AV144),-3+($F144-$AY144)/($AX144-$AY144))),2))</f>
        <v/>
      </c>
      <c r="R144">
        <f>IF(OR($Q144="",$Q144="—"),"",IF($Q144&lt;-3,"Magreza acentuada",IF($Q144&lt;-2,"Magreza",IF($Q144&lt;=1,"Eutrofia",IF($Q144&lt;=2,"Risco de sobrepeso",IF($Q144&lt;=3,"Sobrepeso","Obesidade"))))))</f>
        <v/>
      </c>
      <c r="S144">
        <f>IF($C144="","",IF(UPPER(LEFT($C144,1))="M",1,IF(UPPER(LEFT($C144,1))="F",2,"")))</f>
        <v/>
      </c>
      <c r="T144">
        <f>IF(OR($D144="",$E144=""),"",DATEDIF($D144,$E144,"m"))</f>
        <v/>
      </c>
      <c r="U144">
        <f>IF(OR($D144="",$E144=""),"",$E144-$D144)</f>
        <v/>
      </c>
      <c r="V144">
        <f>IF(OR($G144="",$T144=""),"",IF($T144&lt;24,IF(LEFT(LOWER($H144),4)="em p",$G144+0.7,$G144),IF(LEFT(LOWER($H144),4)="deit",$G144-0.7,$G144)))</f>
        <v/>
      </c>
      <c r="W144">
        <f>IF(OR($S144="",$T144=""),"",$S144*1000000+IF($T144&lt;=60,$U144,$T144))</f>
        <v/>
      </c>
      <c r="X144">
        <f>IF(OR($S144="",$V144="",$T144&gt;60,$T144=""),"",$S144*1000000+ROUND($V144*10,0))</f>
        <v/>
      </c>
      <c r="Y144">
        <f>IF($W144="","",IFERROR(INDEX(IF($T144&lt;=60,imc05_l,imc519_l),MATCH($W144,IF($T144&lt;=60,imc05_k,imc519_k),1)),""))</f>
        <v/>
      </c>
      <c r="Z144">
        <f>IF($W144="","",IFERROR(INDEX(IF($T144&lt;=60,imc05_m,imc519_m),MATCH($W144,IF($T144&lt;=60,imc05_k,imc519_k),1)),""))</f>
        <v/>
      </c>
      <c r="AA144">
        <f>IF($W144="","",IFERROR(INDEX(IF($T144&lt;=60,imc05_s,imc519_s),MATCH($W144,IF($T144&lt;=60,imc05_k,imc519_k),1)),""))</f>
        <v/>
      </c>
      <c r="AB144">
        <f>IF($Y144="","",IF($Y144=0,LN($J144/$Z144)/$AA144,((($J144/$Z144)^$Y144)-1)/($Y144*$AA144)))</f>
        <v/>
      </c>
      <c r="AC144">
        <f>IF($Y144="","",IF($Y144=0,$Z144*EXP($AA144*2),$Z144*(1+$Y144*$AA144*2)^(1/$Y144)))</f>
        <v/>
      </c>
      <c r="AD144">
        <f>IF($Y144="","",IF($Y144=0,$Z144*EXP($AA144*3),$Z144*(1+$Y144*$AA144*3)^(1/$Y144)))</f>
        <v/>
      </c>
      <c r="AE144">
        <f>IF($Y144="","",IF($Y144=0,$Z144*EXP($AA144*-2),$Z144*(1+$Y144*$AA144*-2)^(1/$Y144)))</f>
        <v/>
      </c>
      <c r="AF144">
        <f>IF($Y144="","",IF($Y144=0,$Z144*EXP($AA144*-3),$Z144*(1+$Y144*$AA144*-3)^(1/$Y144)))</f>
        <v/>
      </c>
      <c r="AG144">
        <f>IF($W144="","",IFERROR(INDEX(IF($T144&lt;=60,est05_l,est519_l),MATCH($W144,IF($T144&lt;=60,est05_k,est519_k),1)),""))</f>
        <v/>
      </c>
      <c r="AH144">
        <f>IF($W144="","",IFERROR(INDEX(IF($T144&lt;=60,est05_m,est519_m),MATCH($W144,IF($T144&lt;=60,est05_k,est519_k),1)),""))</f>
        <v/>
      </c>
      <c r="AI144">
        <f>IF($W144="","",IFERROR(INDEX(IF($T144&lt;=60,est05_s,est519_s),MATCH($W144,IF($T144&lt;=60,est05_k,est519_k),1)),""))</f>
        <v/>
      </c>
      <c r="AJ144">
        <f>IF($W144="","",IFERROR(INDEX(IF($T144&lt;=60,peso05_l,peso510_l),MATCH($W144,IF($T144&lt;=60,peso05_k,peso510_k),1)),""))</f>
        <v/>
      </c>
      <c r="AK144">
        <f>IF($W144="","",IFERROR(INDEX(IF($T144&lt;=60,peso05_m,peso510_m),MATCH($W144,IF($T144&lt;=60,peso05_k,peso510_k),1)),""))</f>
        <v/>
      </c>
      <c r="AL144">
        <f>IF($W144="","",IFERROR(INDEX(IF($T144&lt;=60,peso05_s,peso510_s),MATCH($W144,IF($T144&lt;=60,peso05_k,peso510_k),1)),""))</f>
        <v/>
      </c>
      <c r="AM144">
        <f>IF($AJ144="","",IF($AJ144=0,LN($F144/$AK144)/$AL144,((($F144/$AK144)^$AJ144)-1)/($AJ144*$AL144)))</f>
        <v/>
      </c>
      <c r="AN144">
        <f>IF($AJ144="","",IF($AJ144=0,$AK144*EXP($AL144*2),$AK144*(1+$AJ144*$AL144*2)^(1/$AJ144)))</f>
        <v/>
      </c>
      <c r="AO144">
        <f>IF($AJ144="","",IF($AJ144=0,$AK144*EXP($AL144*3),$AK144*(1+$AJ144*$AL144*3)^(1/$AJ144)))</f>
        <v/>
      </c>
      <c r="AP144">
        <f>IF($AJ144="","",IF($AJ144=0,$AK144*EXP($AL144*-2),$AK144*(1+$AJ144*$AL144*-2)^(1/$AJ144)))</f>
        <v/>
      </c>
      <c r="AQ144">
        <f>IF($AJ144="","",IF($AJ144=0,$AK144*EXP($AL144*-3),$AK144*(1+$AJ144*$AL144*-3)^(1/$AJ144)))</f>
        <v/>
      </c>
      <c r="AR144">
        <f>IF(OR($X144="",$T144&gt;60),"",IFERROR(INDEX(IF($T144&lt;24,pcomp_l,palt_l),MATCH($X144,IF($T144&lt;24,pcomp_k,palt_k),1)),""))</f>
        <v/>
      </c>
      <c r="AS144">
        <f>IF(OR($X144="",$T144&gt;60),"",IFERROR(INDEX(IF($T144&lt;24,pcomp_m,palt_m),MATCH($X144,IF($T144&lt;24,pcomp_k,palt_k),1)),""))</f>
        <v/>
      </c>
      <c r="AT144">
        <f>IF(OR($X144="",$T144&gt;60),"",IFERROR(INDEX(IF($T144&lt;24,pcomp_s,palt_s),MATCH($X144,IF($T144&lt;24,pcomp_k,palt_k),1)),""))</f>
        <v/>
      </c>
      <c r="AU144">
        <f>IF($AR144="","",IF($AR144=0,LN($F144/$AS144)/$AT144,((($F144/$AS144)^$AR144)-1)/($AR144*$AT144)))</f>
        <v/>
      </c>
      <c r="AV144">
        <f>IF($AR144="","",IF($AR144=0,$AS144*EXP($AT144*2),$AS144*(1+$AR144*$AT144*2)^(1/$AR144)))</f>
        <v/>
      </c>
      <c r="AW144">
        <f>IF($AR144="","",IF($AR144=0,$AS144*EXP($AT144*3),$AS144*(1+$AR144*$AT144*3)^(1/$AR144)))</f>
        <v/>
      </c>
      <c r="AX144">
        <f>IF($AR144="","",IF($AR144=0,$AS144*EXP($AT144*-2),$AS144*(1+$AR144*$AT144*-2)^(1/$AR144)))</f>
        <v/>
      </c>
      <c r="AY144">
        <f>IF($AR144="","",IF($AR144=0,$AS144*EXP($AT144*-3),$AS144*(1+$AR144*$AT144*-3)^(1/$AR144)))</f>
        <v/>
      </c>
      <c r="AZ144">
        <f>IF(OR($A144="",$A144&lt;&gt;Ficha!$C$4),"",COUNTIF($A$2:$A144,Ficha!$C$4))</f>
        <v/>
      </c>
    </row>
    <row r="145">
      <c r="A145" s="8">
        <f>IF(INDEX(Banco!$A:$A,ROW())="","",INDEX(Banco!$A:$A,ROW()))</f>
        <v/>
      </c>
      <c r="B145" s="8">
        <f>IF(INDEX(Banco!$B:$B,ROW())="","",INDEX(Banco!$B:$B,ROW()))</f>
        <v/>
      </c>
      <c r="C145" s="8">
        <f>IF(INDEX(Banco!$C:$C,ROW())="","",INDEX(Banco!$C:$C,ROW()))</f>
        <v/>
      </c>
      <c r="D145" s="9">
        <f>IF(INDEX(Banco!$D:$D,ROW())="","",INDEX(Banco!$D:$D,ROW()))</f>
        <v/>
      </c>
      <c r="E145" s="9">
        <f>IF(INDEX(Banco!$E:$E,ROW())="","",INDEX(Banco!$E:$E,ROW()))</f>
        <v/>
      </c>
      <c r="F145" s="10">
        <f>IF(INDEX(Banco!$F:$F,ROW())="","",INDEX(Banco!$F:$F,ROW()))</f>
        <v/>
      </c>
      <c r="G145" s="10">
        <f>IF(INDEX(Banco!$G:$G,ROW())="","",INDEX(Banco!$G:$G,ROW()))</f>
        <v/>
      </c>
      <c r="H145" s="8">
        <f>IF(INDEX(Banco!$H:$H,ROW())="","",INDEX(Banco!$H:$H,ROW()))</f>
        <v/>
      </c>
      <c r="I145">
        <f>IF($T145="","",INT($T145/12)&amp;"a "&amp;MOD($T145,12)&amp;"m")</f>
        <v/>
      </c>
      <c r="J145" s="11">
        <f>IF(OR($F145="",$G145=""),"",ROUND($F145/($G145/100)^2,2))</f>
        <v/>
      </c>
      <c r="K145" s="12">
        <f>IF(OR($S145="",$J145="",$T145="",$T145&lt;0,$T145&gt;228,$Y145=""),"—",ROUND(IF(ABS($AB145)&lt;=3,$AB145,IF($AB145&gt;3,3+($J145-$AD145)/($AD145-$AC145),-3+($J145-$AF145)/($AE145-$AF145))),2))</f>
        <v/>
      </c>
      <c r="L145">
        <f>IF(OR($K145="",$K145="—"),"",IF($T145&lt;=60,IF($K145&lt;-3,"Magreza acentuada",IF($K145&lt;-2,"Magreza",IF($K145&lt;=1,"Eutrofia",IF($K145&lt;=2,"Risco de sobrepeso",IF($K145&lt;=3,"Sobrepeso","Obesidade"))))),IF($K145&lt;-3,"Magreza acentuada",IF($K145&lt;-2,"Magreza",IF($K145&lt;=1,"Eutrofia",IF($K145&lt;=2,"Sobrepeso",IF($K145&lt;=3,"Obesidade","Obesidade grave")))))))</f>
        <v/>
      </c>
      <c r="M145" s="12">
        <f>IF(OR($S145="",$V145="",$T145="",$T145&lt;0,$T145&gt;228,$AG145=""),"—",ROUND(IF($AG145=0,LN($V145/$AH145)/$AI145,((($V145/$AH145)^$AG145)-1)/($AG145*$AI145)),2))</f>
        <v/>
      </c>
      <c r="N145">
        <f>IF(OR($M145="",$M145="—"),"",IF($M145&lt;-3,"Muito baixa",IF($M145&lt;-2,"Baixa","Adequada")))</f>
        <v/>
      </c>
      <c r="O145" s="12">
        <f>IF(OR($S145="",$F145="",$T145="",$T145&lt;0,$T145&gt;120,$AJ145=""),"—",ROUND(IF(ABS($AM145)&lt;=3,$AM145,IF($AM145&gt;3,3+($F145-$AO145)/($AO145-$AN145),-3+($F145-$AQ145)/($AP145-$AQ145))),2))</f>
        <v/>
      </c>
      <c r="P145">
        <f>IF(OR($O145="",$O145="—"),"",IF($O145&lt;-3,"Muito baixo",IF($O145&lt;-2,"Baixo",IF($O145&lt;=2,"Adequado","Elevado"))))</f>
        <v/>
      </c>
      <c r="Q145" s="12">
        <f>IF(OR($S145="",$F145="",$T145="",$T145&lt;0,$T145&gt;60,$AR145=""),"—",ROUND(IF(ABS($AU145)&lt;=3,$AU145,IF($AU145&gt;3,3+($F145-$AW145)/($AW145-$AV145),-3+($F145-$AY145)/($AX145-$AY145))),2))</f>
        <v/>
      </c>
      <c r="R145">
        <f>IF(OR($Q145="",$Q145="—"),"",IF($Q145&lt;-3,"Magreza acentuada",IF($Q145&lt;-2,"Magreza",IF($Q145&lt;=1,"Eutrofia",IF($Q145&lt;=2,"Risco de sobrepeso",IF($Q145&lt;=3,"Sobrepeso","Obesidade"))))))</f>
        <v/>
      </c>
      <c r="S145">
        <f>IF($C145="","",IF(UPPER(LEFT($C145,1))="M",1,IF(UPPER(LEFT($C145,1))="F",2,"")))</f>
        <v/>
      </c>
      <c r="T145">
        <f>IF(OR($D145="",$E145=""),"",DATEDIF($D145,$E145,"m"))</f>
        <v/>
      </c>
      <c r="U145">
        <f>IF(OR($D145="",$E145=""),"",$E145-$D145)</f>
        <v/>
      </c>
      <c r="V145">
        <f>IF(OR($G145="",$T145=""),"",IF($T145&lt;24,IF(LEFT(LOWER($H145),4)="em p",$G145+0.7,$G145),IF(LEFT(LOWER($H145),4)="deit",$G145-0.7,$G145)))</f>
        <v/>
      </c>
      <c r="W145">
        <f>IF(OR($S145="",$T145=""),"",$S145*1000000+IF($T145&lt;=60,$U145,$T145))</f>
        <v/>
      </c>
      <c r="X145">
        <f>IF(OR($S145="",$V145="",$T145&gt;60,$T145=""),"",$S145*1000000+ROUND($V145*10,0))</f>
        <v/>
      </c>
      <c r="Y145">
        <f>IF($W145="","",IFERROR(INDEX(IF($T145&lt;=60,imc05_l,imc519_l),MATCH($W145,IF($T145&lt;=60,imc05_k,imc519_k),1)),""))</f>
        <v/>
      </c>
      <c r="Z145">
        <f>IF($W145="","",IFERROR(INDEX(IF($T145&lt;=60,imc05_m,imc519_m),MATCH($W145,IF($T145&lt;=60,imc05_k,imc519_k),1)),""))</f>
        <v/>
      </c>
      <c r="AA145">
        <f>IF($W145="","",IFERROR(INDEX(IF($T145&lt;=60,imc05_s,imc519_s),MATCH($W145,IF($T145&lt;=60,imc05_k,imc519_k),1)),""))</f>
        <v/>
      </c>
      <c r="AB145">
        <f>IF($Y145="","",IF($Y145=0,LN($J145/$Z145)/$AA145,((($J145/$Z145)^$Y145)-1)/($Y145*$AA145)))</f>
        <v/>
      </c>
      <c r="AC145">
        <f>IF($Y145="","",IF($Y145=0,$Z145*EXP($AA145*2),$Z145*(1+$Y145*$AA145*2)^(1/$Y145)))</f>
        <v/>
      </c>
      <c r="AD145">
        <f>IF($Y145="","",IF($Y145=0,$Z145*EXP($AA145*3),$Z145*(1+$Y145*$AA145*3)^(1/$Y145)))</f>
        <v/>
      </c>
      <c r="AE145">
        <f>IF($Y145="","",IF($Y145=0,$Z145*EXP($AA145*-2),$Z145*(1+$Y145*$AA145*-2)^(1/$Y145)))</f>
        <v/>
      </c>
      <c r="AF145">
        <f>IF($Y145="","",IF($Y145=0,$Z145*EXP($AA145*-3),$Z145*(1+$Y145*$AA145*-3)^(1/$Y145)))</f>
        <v/>
      </c>
      <c r="AG145">
        <f>IF($W145="","",IFERROR(INDEX(IF($T145&lt;=60,est05_l,est519_l),MATCH($W145,IF($T145&lt;=60,est05_k,est519_k),1)),""))</f>
        <v/>
      </c>
      <c r="AH145">
        <f>IF($W145="","",IFERROR(INDEX(IF($T145&lt;=60,est05_m,est519_m),MATCH($W145,IF($T145&lt;=60,est05_k,est519_k),1)),""))</f>
        <v/>
      </c>
      <c r="AI145">
        <f>IF($W145="","",IFERROR(INDEX(IF($T145&lt;=60,est05_s,est519_s),MATCH($W145,IF($T145&lt;=60,est05_k,est519_k),1)),""))</f>
        <v/>
      </c>
      <c r="AJ145">
        <f>IF($W145="","",IFERROR(INDEX(IF($T145&lt;=60,peso05_l,peso510_l),MATCH($W145,IF($T145&lt;=60,peso05_k,peso510_k),1)),""))</f>
        <v/>
      </c>
      <c r="AK145">
        <f>IF($W145="","",IFERROR(INDEX(IF($T145&lt;=60,peso05_m,peso510_m),MATCH($W145,IF($T145&lt;=60,peso05_k,peso510_k),1)),""))</f>
        <v/>
      </c>
      <c r="AL145">
        <f>IF($W145="","",IFERROR(INDEX(IF($T145&lt;=60,peso05_s,peso510_s),MATCH($W145,IF($T145&lt;=60,peso05_k,peso510_k),1)),""))</f>
        <v/>
      </c>
      <c r="AM145">
        <f>IF($AJ145="","",IF($AJ145=0,LN($F145/$AK145)/$AL145,((($F145/$AK145)^$AJ145)-1)/($AJ145*$AL145)))</f>
        <v/>
      </c>
      <c r="AN145">
        <f>IF($AJ145="","",IF($AJ145=0,$AK145*EXP($AL145*2),$AK145*(1+$AJ145*$AL145*2)^(1/$AJ145)))</f>
        <v/>
      </c>
      <c r="AO145">
        <f>IF($AJ145="","",IF($AJ145=0,$AK145*EXP($AL145*3),$AK145*(1+$AJ145*$AL145*3)^(1/$AJ145)))</f>
        <v/>
      </c>
      <c r="AP145">
        <f>IF($AJ145="","",IF($AJ145=0,$AK145*EXP($AL145*-2),$AK145*(1+$AJ145*$AL145*-2)^(1/$AJ145)))</f>
        <v/>
      </c>
      <c r="AQ145">
        <f>IF($AJ145="","",IF($AJ145=0,$AK145*EXP($AL145*-3),$AK145*(1+$AJ145*$AL145*-3)^(1/$AJ145)))</f>
        <v/>
      </c>
      <c r="AR145">
        <f>IF(OR($X145="",$T145&gt;60),"",IFERROR(INDEX(IF($T145&lt;24,pcomp_l,palt_l),MATCH($X145,IF($T145&lt;24,pcomp_k,palt_k),1)),""))</f>
        <v/>
      </c>
      <c r="AS145">
        <f>IF(OR($X145="",$T145&gt;60),"",IFERROR(INDEX(IF($T145&lt;24,pcomp_m,palt_m),MATCH($X145,IF($T145&lt;24,pcomp_k,palt_k),1)),""))</f>
        <v/>
      </c>
      <c r="AT145">
        <f>IF(OR($X145="",$T145&gt;60),"",IFERROR(INDEX(IF($T145&lt;24,pcomp_s,palt_s),MATCH($X145,IF($T145&lt;24,pcomp_k,palt_k),1)),""))</f>
        <v/>
      </c>
      <c r="AU145">
        <f>IF($AR145="","",IF($AR145=0,LN($F145/$AS145)/$AT145,((($F145/$AS145)^$AR145)-1)/($AR145*$AT145)))</f>
        <v/>
      </c>
      <c r="AV145">
        <f>IF($AR145="","",IF($AR145=0,$AS145*EXP($AT145*2),$AS145*(1+$AR145*$AT145*2)^(1/$AR145)))</f>
        <v/>
      </c>
      <c r="AW145">
        <f>IF($AR145="","",IF($AR145=0,$AS145*EXP($AT145*3),$AS145*(1+$AR145*$AT145*3)^(1/$AR145)))</f>
        <v/>
      </c>
      <c r="AX145">
        <f>IF($AR145="","",IF($AR145=0,$AS145*EXP($AT145*-2),$AS145*(1+$AR145*$AT145*-2)^(1/$AR145)))</f>
        <v/>
      </c>
      <c r="AY145">
        <f>IF($AR145="","",IF($AR145=0,$AS145*EXP($AT145*-3),$AS145*(1+$AR145*$AT145*-3)^(1/$AR145)))</f>
        <v/>
      </c>
      <c r="AZ145">
        <f>IF(OR($A145="",$A145&lt;&gt;Ficha!$C$4),"",COUNTIF($A$2:$A145,Ficha!$C$4))</f>
        <v/>
      </c>
    </row>
    <row r="146">
      <c r="A146" s="8">
        <f>IF(INDEX(Banco!$A:$A,ROW())="","",INDEX(Banco!$A:$A,ROW()))</f>
        <v/>
      </c>
      <c r="B146" s="8">
        <f>IF(INDEX(Banco!$B:$B,ROW())="","",INDEX(Banco!$B:$B,ROW()))</f>
        <v/>
      </c>
      <c r="C146" s="8">
        <f>IF(INDEX(Banco!$C:$C,ROW())="","",INDEX(Banco!$C:$C,ROW()))</f>
        <v/>
      </c>
      <c r="D146" s="9">
        <f>IF(INDEX(Banco!$D:$D,ROW())="","",INDEX(Banco!$D:$D,ROW()))</f>
        <v/>
      </c>
      <c r="E146" s="9">
        <f>IF(INDEX(Banco!$E:$E,ROW())="","",INDEX(Banco!$E:$E,ROW()))</f>
        <v/>
      </c>
      <c r="F146" s="10">
        <f>IF(INDEX(Banco!$F:$F,ROW())="","",INDEX(Banco!$F:$F,ROW()))</f>
        <v/>
      </c>
      <c r="G146" s="10">
        <f>IF(INDEX(Banco!$G:$G,ROW())="","",INDEX(Banco!$G:$G,ROW()))</f>
        <v/>
      </c>
      <c r="H146" s="8">
        <f>IF(INDEX(Banco!$H:$H,ROW())="","",INDEX(Banco!$H:$H,ROW()))</f>
        <v/>
      </c>
      <c r="I146">
        <f>IF($T146="","",INT($T146/12)&amp;"a "&amp;MOD($T146,12)&amp;"m")</f>
        <v/>
      </c>
      <c r="J146" s="11">
        <f>IF(OR($F146="",$G146=""),"",ROUND($F146/($G146/100)^2,2))</f>
        <v/>
      </c>
      <c r="K146" s="12">
        <f>IF(OR($S146="",$J146="",$T146="",$T146&lt;0,$T146&gt;228,$Y146=""),"—",ROUND(IF(ABS($AB146)&lt;=3,$AB146,IF($AB146&gt;3,3+($J146-$AD146)/($AD146-$AC146),-3+($J146-$AF146)/($AE146-$AF146))),2))</f>
        <v/>
      </c>
      <c r="L146">
        <f>IF(OR($K146="",$K146="—"),"",IF($T146&lt;=60,IF($K146&lt;-3,"Magreza acentuada",IF($K146&lt;-2,"Magreza",IF($K146&lt;=1,"Eutrofia",IF($K146&lt;=2,"Risco de sobrepeso",IF($K146&lt;=3,"Sobrepeso","Obesidade"))))),IF($K146&lt;-3,"Magreza acentuada",IF($K146&lt;-2,"Magreza",IF($K146&lt;=1,"Eutrofia",IF($K146&lt;=2,"Sobrepeso",IF($K146&lt;=3,"Obesidade","Obesidade grave")))))))</f>
        <v/>
      </c>
      <c r="M146" s="12">
        <f>IF(OR($S146="",$V146="",$T146="",$T146&lt;0,$T146&gt;228,$AG146=""),"—",ROUND(IF($AG146=0,LN($V146/$AH146)/$AI146,((($V146/$AH146)^$AG146)-1)/($AG146*$AI146)),2))</f>
        <v/>
      </c>
      <c r="N146">
        <f>IF(OR($M146="",$M146="—"),"",IF($M146&lt;-3,"Muito baixa",IF($M146&lt;-2,"Baixa","Adequada")))</f>
        <v/>
      </c>
      <c r="O146" s="12">
        <f>IF(OR($S146="",$F146="",$T146="",$T146&lt;0,$T146&gt;120,$AJ146=""),"—",ROUND(IF(ABS($AM146)&lt;=3,$AM146,IF($AM146&gt;3,3+($F146-$AO146)/($AO146-$AN146),-3+($F146-$AQ146)/($AP146-$AQ146))),2))</f>
        <v/>
      </c>
      <c r="P146">
        <f>IF(OR($O146="",$O146="—"),"",IF($O146&lt;-3,"Muito baixo",IF($O146&lt;-2,"Baixo",IF($O146&lt;=2,"Adequado","Elevado"))))</f>
        <v/>
      </c>
      <c r="Q146" s="12">
        <f>IF(OR($S146="",$F146="",$T146="",$T146&lt;0,$T146&gt;60,$AR146=""),"—",ROUND(IF(ABS($AU146)&lt;=3,$AU146,IF($AU146&gt;3,3+($F146-$AW146)/($AW146-$AV146),-3+($F146-$AY146)/($AX146-$AY146))),2))</f>
        <v/>
      </c>
      <c r="R146">
        <f>IF(OR($Q146="",$Q146="—"),"",IF($Q146&lt;-3,"Magreza acentuada",IF($Q146&lt;-2,"Magreza",IF($Q146&lt;=1,"Eutrofia",IF($Q146&lt;=2,"Risco de sobrepeso",IF($Q146&lt;=3,"Sobrepeso","Obesidade"))))))</f>
        <v/>
      </c>
      <c r="S146">
        <f>IF($C146="","",IF(UPPER(LEFT($C146,1))="M",1,IF(UPPER(LEFT($C146,1))="F",2,"")))</f>
        <v/>
      </c>
      <c r="T146">
        <f>IF(OR($D146="",$E146=""),"",DATEDIF($D146,$E146,"m"))</f>
        <v/>
      </c>
      <c r="U146">
        <f>IF(OR($D146="",$E146=""),"",$E146-$D146)</f>
        <v/>
      </c>
      <c r="V146">
        <f>IF(OR($G146="",$T146=""),"",IF($T146&lt;24,IF(LEFT(LOWER($H146),4)="em p",$G146+0.7,$G146),IF(LEFT(LOWER($H146),4)="deit",$G146-0.7,$G146)))</f>
        <v/>
      </c>
      <c r="W146">
        <f>IF(OR($S146="",$T146=""),"",$S146*1000000+IF($T146&lt;=60,$U146,$T146))</f>
        <v/>
      </c>
      <c r="X146">
        <f>IF(OR($S146="",$V146="",$T146&gt;60,$T146=""),"",$S146*1000000+ROUND($V146*10,0))</f>
        <v/>
      </c>
      <c r="Y146">
        <f>IF($W146="","",IFERROR(INDEX(IF($T146&lt;=60,imc05_l,imc519_l),MATCH($W146,IF($T146&lt;=60,imc05_k,imc519_k),1)),""))</f>
        <v/>
      </c>
      <c r="Z146">
        <f>IF($W146="","",IFERROR(INDEX(IF($T146&lt;=60,imc05_m,imc519_m),MATCH($W146,IF($T146&lt;=60,imc05_k,imc519_k),1)),""))</f>
        <v/>
      </c>
      <c r="AA146">
        <f>IF($W146="","",IFERROR(INDEX(IF($T146&lt;=60,imc05_s,imc519_s),MATCH($W146,IF($T146&lt;=60,imc05_k,imc519_k),1)),""))</f>
        <v/>
      </c>
      <c r="AB146">
        <f>IF($Y146="","",IF($Y146=0,LN($J146/$Z146)/$AA146,((($J146/$Z146)^$Y146)-1)/($Y146*$AA146)))</f>
        <v/>
      </c>
      <c r="AC146">
        <f>IF($Y146="","",IF($Y146=0,$Z146*EXP($AA146*2),$Z146*(1+$Y146*$AA146*2)^(1/$Y146)))</f>
        <v/>
      </c>
      <c r="AD146">
        <f>IF($Y146="","",IF($Y146=0,$Z146*EXP($AA146*3),$Z146*(1+$Y146*$AA146*3)^(1/$Y146)))</f>
        <v/>
      </c>
      <c r="AE146">
        <f>IF($Y146="","",IF($Y146=0,$Z146*EXP($AA146*-2),$Z146*(1+$Y146*$AA146*-2)^(1/$Y146)))</f>
        <v/>
      </c>
      <c r="AF146">
        <f>IF($Y146="","",IF($Y146=0,$Z146*EXP($AA146*-3),$Z146*(1+$Y146*$AA146*-3)^(1/$Y146)))</f>
        <v/>
      </c>
      <c r="AG146">
        <f>IF($W146="","",IFERROR(INDEX(IF($T146&lt;=60,est05_l,est519_l),MATCH($W146,IF($T146&lt;=60,est05_k,est519_k),1)),""))</f>
        <v/>
      </c>
      <c r="AH146">
        <f>IF($W146="","",IFERROR(INDEX(IF($T146&lt;=60,est05_m,est519_m),MATCH($W146,IF($T146&lt;=60,est05_k,est519_k),1)),""))</f>
        <v/>
      </c>
      <c r="AI146">
        <f>IF($W146="","",IFERROR(INDEX(IF($T146&lt;=60,est05_s,est519_s),MATCH($W146,IF($T146&lt;=60,est05_k,est519_k),1)),""))</f>
        <v/>
      </c>
      <c r="AJ146">
        <f>IF($W146="","",IFERROR(INDEX(IF($T146&lt;=60,peso05_l,peso510_l),MATCH($W146,IF($T146&lt;=60,peso05_k,peso510_k),1)),""))</f>
        <v/>
      </c>
      <c r="AK146">
        <f>IF($W146="","",IFERROR(INDEX(IF($T146&lt;=60,peso05_m,peso510_m),MATCH($W146,IF($T146&lt;=60,peso05_k,peso510_k),1)),""))</f>
        <v/>
      </c>
      <c r="AL146">
        <f>IF($W146="","",IFERROR(INDEX(IF($T146&lt;=60,peso05_s,peso510_s),MATCH($W146,IF($T146&lt;=60,peso05_k,peso510_k),1)),""))</f>
        <v/>
      </c>
      <c r="AM146">
        <f>IF($AJ146="","",IF($AJ146=0,LN($F146/$AK146)/$AL146,((($F146/$AK146)^$AJ146)-1)/($AJ146*$AL146)))</f>
        <v/>
      </c>
      <c r="AN146">
        <f>IF($AJ146="","",IF($AJ146=0,$AK146*EXP($AL146*2),$AK146*(1+$AJ146*$AL146*2)^(1/$AJ146)))</f>
        <v/>
      </c>
      <c r="AO146">
        <f>IF($AJ146="","",IF($AJ146=0,$AK146*EXP($AL146*3),$AK146*(1+$AJ146*$AL146*3)^(1/$AJ146)))</f>
        <v/>
      </c>
      <c r="AP146">
        <f>IF($AJ146="","",IF($AJ146=0,$AK146*EXP($AL146*-2),$AK146*(1+$AJ146*$AL146*-2)^(1/$AJ146)))</f>
        <v/>
      </c>
      <c r="AQ146">
        <f>IF($AJ146="","",IF($AJ146=0,$AK146*EXP($AL146*-3),$AK146*(1+$AJ146*$AL146*-3)^(1/$AJ146)))</f>
        <v/>
      </c>
      <c r="AR146">
        <f>IF(OR($X146="",$T146&gt;60),"",IFERROR(INDEX(IF($T146&lt;24,pcomp_l,palt_l),MATCH($X146,IF($T146&lt;24,pcomp_k,palt_k),1)),""))</f>
        <v/>
      </c>
      <c r="AS146">
        <f>IF(OR($X146="",$T146&gt;60),"",IFERROR(INDEX(IF($T146&lt;24,pcomp_m,palt_m),MATCH($X146,IF($T146&lt;24,pcomp_k,palt_k),1)),""))</f>
        <v/>
      </c>
      <c r="AT146">
        <f>IF(OR($X146="",$T146&gt;60),"",IFERROR(INDEX(IF($T146&lt;24,pcomp_s,palt_s),MATCH($X146,IF($T146&lt;24,pcomp_k,palt_k),1)),""))</f>
        <v/>
      </c>
      <c r="AU146">
        <f>IF($AR146="","",IF($AR146=0,LN($F146/$AS146)/$AT146,((($F146/$AS146)^$AR146)-1)/($AR146*$AT146)))</f>
        <v/>
      </c>
      <c r="AV146">
        <f>IF($AR146="","",IF($AR146=0,$AS146*EXP($AT146*2),$AS146*(1+$AR146*$AT146*2)^(1/$AR146)))</f>
        <v/>
      </c>
      <c r="AW146">
        <f>IF($AR146="","",IF($AR146=0,$AS146*EXP($AT146*3),$AS146*(1+$AR146*$AT146*3)^(1/$AR146)))</f>
        <v/>
      </c>
      <c r="AX146">
        <f>IF($AR146="","",IF($AR146=0,$AS146*EXP($AT146*-2),$AS146*(1+$AR146*$AT146*-2)^(1/$AR146)))</f>
        <v/>
      </c>
      <c r="AY146">
        <f>IF($AR146="","",IF($AR146=0,$AS146*EXP($AT146*-3),$AS146*(1+$AR146*$AT146*-3)^(1/$AR146)))</f>
        <v/>
      </c>
      <c r="AZ146">
        <f>IF(OR($A146="",$A146&lt;&gt;Ficha!$C$4),"",COUNTIF($A$2:$A146,Ficha!$C$4))</f>
        <v/>
      </c>
    </row>
    <row r="147">
      <c r="A147" s="8">
        <f>IF(INDEX(Banco!$A:$A,ROW())="","",INDEX(Banco!$A:$A,ROW()))</f>
        <v/>
      </c>
      <c r="B147" s="8">
        <f>IF(INDEX(Banco!$B:$B,ROW())="","",INDEX(Banco!$B:$B,ROW()))</f>
        <v/>
      </c>
      <c r="C147" s="8">
        <f>IF(INDEX(Banco!$C:$C,ROW())="","",INDEX(Banco!$C:$C,ROW()))</f>
        <v/>
      </c>
      <c r="D147" s="9">
        <f>IF(INDEX(Banco!$D:$D,ROW())="","",INDEX(Banco!$D:$D,ROW()))</f>
        <v/>
      </c>
      <c r="E147" s="9">
        <f>IF(INDEX(Banco!$E:$E,ROW())="","",INDEX(Banco!$E:$E,ROW()))</f>
        <v/>
      </c>
      <c r="F147" s="10">
        <f>IF(INDEX(Banco!$F:$F,ROW())="","",INDEX(Banco!$F:$F,ROW()))</f>
        <v/>
      </c>
      <c r="G147" s="10">
        <f>IF(INDEX(Banco!$G:$G,ROW())="","",INDEX(Banco!$G:$G,ROW()))</f>
        <v/>
      </c>
      <c r="H147" s="8">
        <f>IF(INDEX(Banco!$H:$H,ROW())="","",INDEX(Banco!$H:$H,ROW()))</f>
        <v/>
      </c>
      <c r="I147">
        <f>IF($T147="","",INT($T147/12)&amp;"a "&amp;MOD($T147,12)&amp;"m")</f>
        <v/>
      </c>
      <c r="J147" s="11">
        <f>IF(OR($F147="",$G147=""),"",ROUND($F147/($G147/100)^2,2))</f>
        <v/>
      </c>
      <c r="K147" s="12">
        <f>IF(OR($S147="",$J147="",$T147="",$T147&lt;0,$T147&gt;228,$Y147=""),"—",ROUND(IF(ABS($AB147)&lt;=3,$AB147,IF($AB147&gt;3,3+($J147-$AD147)/($AD147-$AC147),-3+($J147-$AF147)/($AE147-$AF147))),2))</f>
        <v/>
      </c>
      <c r="L147">
        <f>IF(OR($K147="",$K147="—"),"",IF($T147&lt;=60,IF($K147&lt;-3,"Magreza acentuada",IF($K147&lt;-2,"Magreza",IF($K147&lt;=1,"Eutrofia",IF($K147&lt;=2,"Risco de sobrepeso",IF($K147&lt;=3,"Sobrepeso","Obesidade"))))),IF($K147&lt;-3,"Magreza acentuada",IF($K147&lt;-2,"Magreza",IF($K147&lt;=1,"Eutrofia",IF($K147&lt;=2,"Sobrepeso",IF($K147&lt;=3,"Obesidade","Obesidade grave")))))))</f>
        <v/>
      </c>
      <c r="M147" s="12">
        <f>IF(OR($S147="",$V147="",$T147="",$T147&lt;0,$T147&gt;228,$AG147=""),"—",ROUND(IF($AG147=0,LN($V147/$AH147)/$AI147,((($V147/$AH147)^$AG147)-1)/($AG147*$AI147)),2))</f>
        <v/>
      </c>
      <c r="N147">
        <f>IF(OR($M147="",$M147="—"),"",IF($M147&lt;-3,"Muito baixa",IF($M147&lt;-2,"Baixa","Adequada")))</f>
        <v/>
      </c>
      <c r="O147" s="12">
        <f>IF(OR($S147="",$F147="",$T147="",$T147&lt;0,$T147&gt;120,$AJ147=""),"—",ROUND(IF(ABS($AM147)&lt;=3,$AM147,IF($AM147&gt;3,3+($F147-$AO147)/($AO147-$AN147),-3+($F147-$AQ147)/($AP147-$AQ147))),2))</f>
        <v/>
      </c>
      <c r="P147">
        <f>IF(OR($O147="",$O147="—"),"",IF($O147&lt;-3,"Muito baixo",IF($O147&lt;-2,"Baixo",IF($O147&lt;=2,"Adequado","Elevado"))))</f>
        <v/>
      </c>
      <c r="Q147" s="12">
        <f>IF(OR($S147="",$F147="",$T147="",$T147&lt;0,$T147&gt;60,$AR147=""),"—",ROUND(IF(ABS($AU147)&lt;=3,$AU147,IF($AU147&gt;3,3+($F147-$AW147)/($AW147-$AV147),-3+($F147-$AY147)/($AX147-$AY147))),2))</f>
        <v/>
      </c>
      <c r="R147">
        <f>IF(OR($Q147="",$Q147="—"),"",IF($Q147&lt;-3,"Magreza acentuada",IF($Q147&lt;-2,"Magreza",IF($Q147&lt;=1,"Eutrofia",IF($Q147&lt;=2,"Risco de sobrepeso",IF($Q147&lt;=3,"Sobrepeso","Obesidade"))))))</f>
        <v/>
      </c>
      <c r="S147">
        <f>IF($C147="","",IF(UPPER(LEFT($C147,1))="M",1,IF(UPPER(LEFT($C147,1))="F",2,"")))</f>
        <v/>
      </c>
      <c r="T147">
        <f>IF(OR($D147="",$E147=""),"",DATEDIF($D147,$E147,"m"))</f>
        <v/>
      </c>
      <c r="U147">
        <f>IF(OR($D147="",$E147=""),"",$E147-$D147)</f>
        <v/>
      </c>
      <c r="V147">
        <f>IF(OR($G147="",$T147=""),"",IF($T147&lt;24,IF(LEFT(LOWER($H147),4)="em p",$G147+0.7,$G147),IF(LEFT(LOWER($H147),4)="deit",$G147-0.7,$G147)))</f>
        <v/>
      </c>
      <c r="W147">
        <f>IF(OR($S147="",$T147=""),"",$S147*1000000+IF($T147&lt;=60,$U147,$T147))</f>
        <v/>
      </c>
      <c r="X147">
        <f>IF(OR($S147="",$V147="",$T147&gt;60,$T147=""),"",$S147*1000000+ROUND($V147*10,0))</f>
        <v/>
      </c>
      <c r="Y147">
        <f>IF($W147="","",IFERROR(INDEX(IF($T147&lt;=60,imc05_l,imc519_l),MATCH($W147,IF($T147&lt;=60,imc05_k,imc519_k),1)),""))</f>
        <v/>
      </c>
      <c r="Z147">
        <f>IF($W147="","",IFERROR(INDEX(IF($T147&lt;=60,imc05_m,imc519_m),MATCH($W147,IF($T147&lt;=60,imc05_k,imc519_k),1)),""))</f>
        <v/>
      </c>
      <c r="AA147">
        <f>IF($W147="","",IFERROR(INDEX(IF($T147&lt;=60,imc05_s,imc519_s),MATCH($W147,IF($T147&lt;=60,imc05_k,imc519_k),1)),""))</f>
        <v/>
      </c>
      <c r="AB147">
        <f>IF($Y147="","",IF($Y147=0,LN($J147/$Z147)/$AA147,((($J147/$Z147)^$Y147)-1)/($Y147*$AA147)))</f>
        <v/>
      </c>
      <c r="AC147">
        <f>IF($Y147="","",IF($Y147=0,$Z147*EXP($AA147*2),$Z147*(1+$Y147*$AA147*2)^(1/$Y147)))</f>
        <v/>
      </c>
      <c r="AD147">
        <f>IF($Y147="","",IF($Y147=0,$Z147*EXP($AA147*3),$Z147*(1+$Y147*$AA147*3)^(1/$Y147)))</f>
        <v/>
      </c>
      <c r="AE147">
        <f>IF($Y147="","",IF($Y147=0,$Z147*EXP($AA147*-2),$Z147*(1+$Y147*$AA147*-2)^(1/$Y147)))</f>
        <v/>
      </c>
      <c r="AF147">
        <f>IF($Y147="","",IF($Y147=0,$Z147*EXP($AA147*-3),$Z147*(1+$Y147*$AA147*-3)^(1/$Y147)))</f>
        <v/>
      </c>
      <c r="AG147">
        <f>IF($W147="","",IFERROR(INDEX(IF($T147&lt;=60,est05_l,est519_l),MATCH($W147,IF($T147&lt;=60,est05_k,est519_k),1)),""))</f>
        <v/>
      </c>
      <c r="AH147">
        <f>IF($W147="","",IFERROR(INDEX(IF($T147&lt;=60,est05_m,est519_m),MATCH($W147,IF($T147&lt;=60,est05_k,est519_k),1)),""))</f>
        <v/>
      </c>
      <c r="AI147">
        <f>IF($W147="","",IFERROR(INDEX(IF($T147&lt;=60,est05_s,est519_s),MATCH($W147,IF($T147&lt;=60,est05_k,est519_k),1)),""))</f>
        <v/>
      </c>
      <c r="AJ147">
        <f>IF($W147="","",IFERROR(INDEX(IF($T147&lt;=60,peso05_l,peso510_l),MATCH($W147,IF($T147&lt;=60,peso05_k,peso510_k),1)),""))</f>
        <v/>
      </c>
      <c r="AK147">
        <f>IF($W147="","",IFERROR(INDEX(IF($T147&lt;=60,peso05_m,peso510_m),MATCH($W147,IF($T147&lt;=60,peso05_k,peso510_k),1)),""))</f>
        <v/>
      </c>
      <c r="AL147">
        <f>IF($W147="","",IFERROR(INDEX(IF($T147&lt;=60,peso05_s,peso510_s),MATCH($W147,IF($T147&lt;=60,peso05_k,peso510_k),1)),""))</f>
        <v/>
      </c>
      <c r="AM147">
        <f>IF($AJ147="","",IF($AJ147=0,LN($F147/$AK147)/$AL147,((($F147/$AK147)^$AJ147)-1)/($AJ147*$AL147)))</f>
        <v/>
      </c>
      <c r="AN147">
        <f>IF($AJ147="","",IF($AJ147=0,$AK147*EXP($AL147*2),$AK147*(1+$AJ147*$AL147*2)^(1/$AJ147)))</f>
        <v/>
      </c>
      <c r="AO147">
        <f>IF($AJ147="","",IF($AJ147=0,$AK147*EXP($AL147*3),$AK147*(1+$AJ147*$AL147*3)^(1/$AJ147)))</f>
        <v/>
      </c>
      <c r="AP147">
        <f>IF($AJ147="","",IF($AJ147=0,$AK147*EXP($AL147*-2),$AK147*(1+$AJ147*$AL147*-2)^(1/$AJ147)))</f>
        <v/>
      </c>
      <c r="AQ147">
        <f>IF($AJ147="","",IF($AJ147=0,$AK147*EXP($AL147*-3),$AK147*(1+$AJ147*$AL147*-3)^(1/$AJ147)))</f>
        <v/>
      </c>
      <c r="AR147">
        <f>IF(OR($X147="",$T147&gt;60),"",IFERROR(INDEX(IF($T147&lt;24,pcomp_l,palt_l),MATCH($X147,IF($T147&lt;24,pcomp_k,palt_k),1)),""))</f>
        <v/>
      </c>
      <c r="AS147">
        <f>IF(OR($X147="",$T147&gt;60),"",IFERROR(INDEX(IF($T147&lt;24,pcomp_m,palt_m),MATCH($X147,IF($T147&lt;24,pcomp_k,palt_k),1)),""))</f>
        <v/>
      </c>
      <c r="AT147">
        <f>IF(OR($X147="",$T147&gt;60),"",IFERROR(INDEX(IF($T147&lt;24,pcomp_s,palt_s),MATCH($X147,IF($T147&lt;24,pcomp_k,palt_k),1)),""))</f>
        <v/>
      </c>
      <c r="AU147">
        <f>IF($AR147="","",IF($AR147=0,LN($F147/$AS147)/$AT147,((($F147/$AS147)^$AR147)-1)/($AR147*$AT147)))</f>
        <v/>
      </c>
      <c r="AV147">
        <f>IF($AR147="","",IF($AR147=0,$AS147*EXP($AT147*2),$AS147*(1+$AR147*$AT147*2)^(1/$AR147)))</f>
        <v/>
      </c>
      <c r="AW147">
        <f>IF($AR147="","",IF($AR147=0,$AS147*EXP($AT147*3),$AS147*(1+$AR147*$AT147*3)^(1/$AR147)))</f>
        <v/>
      </c>
      <c r="AX147">
        <f>IF($AR147="","",IF($AR147=0,$AS147*EXP($AT147*-2),$AS147*(1+$AR147*$AT147*-2)^(1/$AR147)))</f>
        <v/>
      </c>
      <c r="AY147">
        <f>IF($AR147="","",IF($AR147=0,$AS147*EXP($AT147*-3),$AS147*(1+$AR147*$AT147*-3)^(1/$AR147)))</f>
        <v/>
      </c>
      <c r="AZ147">
        <f>IF(OR($A147="",$A147&lt;&gt;Ficha!$C$4),"",COUNTIF($A$2:$A147,Ficha!$C$4))</f>
        <v/>
      </c>
    </row>
    <row r="148">
      <c r="A148" s="8">
        <f>IF(INDEX(Banco!$A:$A,ROW())="","",INDEX(Banco!$A:$A,ROW()))</f>
        <v/>
      </c>
      <c r="B148" s="8">
        <f>IF(INDEX(Banco!$B:$B,ROW())="","",INDEX(Banco!$B:$B,ROW()))</f>
        <v/>
      </c>
      <c r="C148" s="8">
        <f>IF(INDEX(Banco!$C:$C,ROW())="","",INDEX(Banco!$C:$C,ROW()))</f>
        <v/>
      </c>
      <c r="D148" s="9">
        <f>IF(INDEX(Banco!$D:$D,ROW())="","",INDEX(Banco!$D:$D,ROW()))</f>
        <v/>
      </c>
      <c r="E148" s="9">
        <f>IF(INDEX(Banco!$E:$E,ROW())="","",INDEX(Banco!$E:$E,ROW()))</f>
        <v/>
      </c>
      <c r="F148" s="10">
        <f>IF(INDEX(Banco!$F:$F,ROW())="","",INDEX(Banco!$F:$F,ROW()))</f>
        <v/>
      </c>
      <c r="G148" s="10">
        <f>IF(INDEX(Banco!$G:$G,ROW())="","",INDEX(Banco!$G:$G,ROW()))</f>
        <v/>
      </c>
      <c r="H148" s="8">
        <f>IF(INDEX(Banco!$H:$H,ROW())="","",INDEX(Banco!$H:$H,ROW()))</f>
        <v/>
      </c>
      <c r="I148">
        <f>IF($T148="","",INT($T148/12)&amp;"a "&amp;MOD($T148,12)&amp;"m")</f>
        <v/>
      </c>
      <c r="J148" s="11">
        <f>IF(OR($F148="",$G148=""),"",ROUND($F148/($G148/100)^2,2))</f>
        <v/>
      </c>
      <c r="K148" s="12">
        <f>IF(OR($S148="",$J148="",$T148="",$T148&lt;0,$T148&gt;228,$Y148=""),"—",ROUND(IF(ABS($AB148)&lt;=3,$AB148,IF($AB148&gt;3,3+($J148-$AD148)/($AD148-$AC148),-3+($J148-$AF148)/($AE148-$AF148))),2))</f>
        <v/>
      </c>
      <c r="L148">
        <f>IF(OR($K148="",$K148="—"),"",IF($T148&lt;=60,IF($K148&lt;-3,"Magreza acentuada",IF($K148&lt;-2,"Magreza",IF($K148&lt;=1,"Eutrofia",IF($K148&lt;=2,"Risco de sobrepeso",IF($K148&lt;=3,"Sobrepeso","Obesidade"))))),IF($K148&lt;-3,"Magreza acentuada",IF($K148&lt;-2,"Magreza",IF($K148&lt;=1,"Eutrofia",IF($K148&lt;=2,"Sobrepeso",IF($K148&lt;=3,"Obesidade","Obesidade grave")))))))</f>
        <v/>
      </c>
      <c r="M148" s="12">
        <f>IF(OR($S148="",$V148="",$T148="",$T148&lt;0,$T148&gt;228,$AG148=""),"—",ROUND(IF($AG148=0,LN($V148/$AH148)/$AI148,((($V148/$AH148)^$AG148)-1)/($AG148*$AI148)),2))</f>
        <v/>
      </c>
      <c r="N148">
        <f>IF(OR($M148="",$M148="—"),"",IF($M148&lt;-3,"Muito baixa",IF($M148&lt;-2,"Baixa","Adequada")))</f>
        <v/>
      </c>
      <c r="O148" s="12">
        <f>IF(OR($S148="",$F148="",$T148="",$T148&lt;0,$T148&gt;120,$AJ148=""),"—",ROUND(IF(ABS($AM148)&lt;=3,$AM148,IF($AM148&gt;3,3+($F148-$AO148)/($AO148-$AN148),-3+($F148-$AQ148)/($AP148-$AQ148))),2))</f>
        <v/>
      </c>
      <c r="P148">
        <f>IF(OR($O148="",$O148="—"),"",IF($O148&lt;-3,"Muito baixo",IF($O148&lt;-2,"Baixo",IF($O148&lt;=2,"Adequado","Elevado"))))</f>
        <v/>
      </c>
      <c r="Q148" s="12">
        <f>IF(OR($S148="",$F148="",$T148="",$T148&lt;0,$T148&gt;60,$AR148=""),"—",ROUND(IF(ABS($AU148)&lt;=3,$AU148,IF($AU148&gt;3,3+($F148-$AW148)/($AW148-$AV148),-3+($F148-$AY148)/($AX148-$AY148))),2))</f>
        <v/>
      </c>
      <c r="R148">
        <f>IF(OR($Q148="",$Q148="—"),"",IF($Q148&lt;-3,"Magreza acentuada",IF($Q148&lt;-2,"Magreza",IF($Q148&lt;=1,"Eutrofia",IF($Q148&lt;=2,"Risco de sobrepeso",IF($Q148&lt;=3,"Sobrepeso","Obesidade"))))))</f>
        <v/>
      </c>
      <c r="S148">
        <f>IF($C148="","",IF(UPPER(LEFT($C148,1))="M",1,IF(UPPER(LEFT($C148,1))="F",2,"")))</f>
        <v/>
      </c>
      <c r="T148">
        <f>IF(OR($D148="",$E148=""),"",DATEDIF($D148,$E148,"m"))</f>
        <v/>
      </c>
      <c r="U148">
        <f>IF(OR($D148="",$E148=""),"",$E148-$D148)</f>
        <v/>
      </c>
      <c r="V148">
        <f>IF(OR($G148="",$T148=""),"",IF($T148&lt;24,IF(LEFT(LOWER($H148),4)="em p",$G148+0.7,$G148),IF(LEFT(LOWER($H148),4)="deit",$G148-0.7,$G148)))</f>
        <v/>
      </c>
      <c r="W148">
        <f>IF(OR($S148="",$T148=""),"",$S148*1000000+IF($T148&lt;=60,$U148,$T148))</f>
        <v/>
      </c>
      <c r="X148">
        <f>IF(OR($S148="",$V148="",$T148&gt;60,$T148=""),"",$S148*1000000+ROUND($V148*10,0))</f>
        <v/>
      </c>
      <c r="Y148">
        <f>IF($W148="","",IFERROR(INDEX(IF($T148&lt;=60,imc05_l,imc519_l),MATCH($W148,IF($T148&lt;=60,imc05_k,imc519_k),1)),""))</f>
        <v/>
      </c>
      <c r="Z148">
        <f>IF($W148="","",IFERROR(INDEX(IF($T148&lt;=60,imc05_m,imc519_m),MATCH($W148,IF($T148&lt;=60,imc05_k,imc519_k),1)),""))</f>
        <v/>
      </c>
      <c r="AA148">
        <f>IF($W148="","",IFERROR(INDEX(IF($T148&lt;=60,imc05_s,imc519_s),MATCH($W148,IF($T148&lt;=60,imc05_k,imc519_k),1)),""))</f>
        <v/>
      </c>
      <c r="AB148">
        <f>IF($Y148="","",IF($Y148=0,LN($J148/$Z148)/$AA148,((($J148/$Z148)^$Y148)-1)/($Y148*$AA148)))</f>
        <v/>
      </c>
      <c r="AC148">
        <f>IF($Y148="","",IF($Y148=0,$Z148*EXP($AA148*2),$Z148*(1+$Y148*$AA148*2)^(1/$Y148)))</f>
        <v/>
      </c>
      <c r="AD148">
        <f>IF($Y148="","",IF($Y148=0,$Z148*EXP($AA148*3),$Z148*(1+$Y148*$AA148*3)^(1/$Y148)))</f>
        <v/>
      </c>
      <c r="AE148">
        <f>IF($Y148="","",IF($Y148=0,$Z148*EXP($AA148*-2),$Z148*(1+$Y148*$AA148*-2)^(1/$Y148)))</f>
        <v/>
      </c>
      <c r="AF148">
        <f>IF($Y148="","",IF($Y148=0,$Z148*EXP($AA148*-3),$Z148*(1+$Y148*$AA148*-3)^(1/$Y148)))</f>
        <v/>
      </c>
      <c r="AG148">
        <f>IF($W148="","",IFERROR(INDEX(IF($T148&lt;=60,est05_l,est519_l),MATCH($W148,IF($T148&lt;=60,est05_k,est519_k),1)),""))</f>
        <v/>
      </c>
      <c r="AH148">
        <f>IF($W148="","",IFERROR(INDEX(IF($T148&lt;=60,est05_m,est519_m),MATCH($W148,IF($T148&lt;=60,est05_k,est519_k),1)),""))</f>
        <v/>
      </c>
      <c r="AI148">
        <f>IF($W148="","",IFERROR(INDEX(IF($T148&lt;=60,est05_s,est519_s),MATCH($W148,IF($T148&lt;=60,est05_k,est519_k),1)),""))</f>
        <v/>
      </c>
      <c r="AJ148">
        <f>IF($W148="","",IFERROR(INDEX(IF($T148&lt;=60,peso05_l,peso510_l),MATCH($W148,IF($T148&lt;=60,peso05_k,peso510_k),1)),""))</f>
        <v/>
      </c>
      <c r="AK148">
        <f>IF($W148="","",IFERROR(INDEX(IF($T148&lt;=60,peso05_m,peso510_m),MATCH($W148,IF($T148&lt;=60,peso05_k,peso510_k),1)),""))</f>
        <v/>
      </c>
      <c r="AL148">
        <f>IF($W148="","",IFERROR(INDEX(IF($T148&lt;=60,peso05_s,peso510_s),MATCH($W148,IF($T148&lt;=60,peso05_k,peso510_k),1)),""))</f>
        <v/>
      </c>
      <c r="AM148">
        <f>IF($AJ148="","",IF($AJ148=0,LN($F148/$AK148)/$AL148,((($F148/$AK148)^$AJ148)-1)/($AJ148*$AL148)))</f>
        <v/>
      </c>
      <c r="AN148">
        <f>IF($AJ148="","",IF($AJ148=0,$AK148*EXP($AL148*2),$AK148*(1+$AJ148*$AL148*2)^(1/$AJ148)))</f>
        <v/>
      </c>
      <c r="AO148">
        <f>IF($AJ148="","",IF($AJ148=0,$AK148*EXP($AL148*3),$AK148*(1+$AJ148*$AL148*3)^(1/$AJ148)))</f>
        <v/>
      </c>
      <c r="AP148">
        <f>IF($AJ148="","",IF($AJ148=0,$AK148*EXP($AL148*-2),$AK148*(1+$AJ148*$AL148*-2)^(1/$AJ148)))</f>
        <v/>
      </c>
      <c r="AQ148">
        <f>IF($AJ148="","",IF($AJ148=0,$AK148*EXP($AL148*-3),$AK148*(1+$AJ148*$AL148*-3)^(1/$AJ148)))</f>
        <v/>
      </c>
      <c r="AR148">
        <f>IF(OR($X148="",$T148&gt;60),"",IFERROR(INDEX(IF($T148&lt;24,pcomp_l,palt_l),MATCH($X148,IF($T148&lt;24,pcomp_k,palt_k),1)),""))</f>
        <v/>
      </c>
      <c r="AS148">
        <f>IF(OR($X148="",$T148&gt;60),"",IFERROR(INDEX(IF($T148&lt;24,pcomp_m,palt_m),MATCH($X148,IF($T148&lt;24,pcomp_k,palt_k),1)),""))</f>
        <v/>
      </c>
      <c r="AT148">
        <f>IF(OR($X148="",$T148&gt;60),"",IFERROR(INDEX(IF($T148&lt;24,pcomp_s,palt_s),MATCH($X148,IF($T148&lt;24,pcomp_k,palt_k),1)),""))</f>
        <v/>
      </c>
      <c r="AU148">
        <f>IF($AR148="","",IF($AR148=0,LN($F148/$AS148)/$AT148,((($F148/$AS148)^$AR148)-1)/($AR148*$AT148)))</f>
        <v/>
      </c>
      <c r="AV148">
        <f>IF($AR148="","",IF($AR148=0,$AS148*EXP($AT148*2),$AS148*(1+$AR148*$AT148*2)^(1/$AR148)))</f>
        <v/>
      </c>
      <c r="AW148">
        <f>IF($AR148="","",IF($AR148=0,$AS148*EXP($AT148*3),$AS148*(1+$AR148*$AT148*3)^(1/$AR148)))</f>
        <v/>
      </c>
      <c r="AX148">
        <f>IF($AR148="","",IF($AR148=0,$AS148*EXP($AT148*-2),$AS148*(1+$AR148*$AT148*-2)^(1/$AR148)))</f>
        <v/>
      </c>
      <c r="AY148">
        <f>IF($AR148="","",IF($AR148=0,$AS148*EXP($AT148*-3),$AS148*(1+$AR148*$AT148*-3)^(1/$AR148)))</f>
        <v/>
      </c>
      <c r="AZ148">
        <f>IF(OR($A148="",$A148&lt;&gt;Ficha!$C$4),"",COUNTIF($A$2:$A148,Ficha!$C$4))</f>
        <v/>
      </c>
    </row>
    <row r="149">
      <c r="A149" s="8">
        <f>IF(INDEX(Banco!$A:$A,ROW())="","",INDEX(Banco!$A:$A,ROW()))</f>
        <v/>
      </c>
      <c r="B149" s="8">
        <f>IF(INDEX(Banco!$B:$B,ROW())="","",INDEX(Banco!$B:$B,ROW()))</f>
        <v/>
      </c>
      <c r="C149" s="8">
        <f>IF(INDEX(Banco!$C:$C,ROW())="","",INDEX(Banco!$C:$C,ROW()))</f>
        <v/>
      </c>
      <c r="D149" s="9">
        <f>IF(INDEX(Banco!$D:$D,ROW())="","",INDEX(Banco!$D:$D,ROW()))</f>
        <v/>
      </c>
      <c r="E149" s="9">
        <f>IF(INDEX(Banco!$E:$E,ROW())="","",INDEX(Banco!$E:$E,ROW()))</f>
        <v/>
      </c>
      <c r="F149" s="10">
        <f>IF(INDEX(Banco!$F:$F,ROW())="","",INDEX(Banco!$F:$F,ROW()))</f>
        <v/>
      </c>
      <c r="G149" s="10">
        <f>IF(INDEX(Banco!$G:$G,ROW())="","",INDEX(Banco!$G:$G,ROW()))</f>
        <v/>
      </c>
      <c r="H149" s="8">
        <f>IF(INDEX(Banco!$H:$H,ROW())="","",INDEX(Banco!$H:$H,ROW()))</f>
        <v/>
      </c>
      <c r="I149">
        <f>IF($T149="","",INT($T149/12)&amp;"a "&amp;MOD($T149,12)&amp;"m")</f>
        <v/>
      </c>
      <c r="J149" s="11">
        <f>IF(OR($F149="",$G149=""),"",ROUND($F149/($G149/100)^2,2))</f>
        <v/>
      </c>
      <c r="K149" s="12">
        <f>IF(OR($S149="",$J149="",$T149="",$T149&lt;0,$T149&gt;228,$Y149=""),"—",ROUND(IF(ABS($AB149)&lt;=3,$AB149,IF($AB149&gt;3,3+($J149-$AD149)/($AD149-$AC149),-3+($J149-$AF149)/($AE149-$AF149))),2))</f>
        <v/>
      </c>
      <c r="L149">
        <f>IF(OR($K149="",$K149="—"),"",IF($T149&lt;=60,IF($K149&lt;-3,"Magreza acentuada",IF($K149&lt;-2,"Magreza",IF($K149&lt;=1,"Eutrofia",IF($K149&lt;=2,"Risco de sobrepeso",IF($K149&lt;=3,"Sobrepeso","Obesidade"))))),IF($K149&lt;-3,"Magreza acentuada",IF($K149&lt;-2,"Magreza",IF($K149&lt;=1,"Eutrofia",IF($K149&lt;=2,"Sobrepeso",IF($K149&lt;=3,"Obesidade","Obesidade grave")))))))</f>
        <v/>
      </c>
      <c r="M149" s="12">
        <f>IF(OR($S149="",$V149="",$T149="",$T149&lt;0,$T149&gt;228,$AG149=""),"—",ROUND(IF($AG149=0,LN($V149/$AH149)/$AI149,((($V149/$AH149)^$AG149)-1)/($AG149*$AI149)),2))</f>
        <v/>
      </c>
      <c r="N149">
        <f>IF(OR($M149="",$M149="—"),"",IF($M149&lt;-3,"Muito baixa",IF($M149&lt;-2,"Baixa","Adequada")))</f>
        <v/>
      </c>
      <c r="O149" s="12">
        <f>IF(OR($S149="",$F149="",$T149="",$T149&lt;0,$T149&gt;120,$AJ149=""),"—",ROUND(IF(ABS($AM149)&lt;=3,$AM149,IF($AM149&gt;3,3+($F149-$AO149)/($AO149-$AN149),-3+($F149-$AQ149)/($AP149-$AQ149))),2))</f>
        <v/>
      </c>
      <c r="P149">
        <f>IF(OR($O149="",$O149="—"),"",IF($O149&lt;-3,"Muito baixo",IF($O149&lt;-2,"Baixo",IF($O149&lt;=2,"Adequado","Elevado"))))</f>
        <v/>
      </c>
      <c r="Q149" s="12">
        <f>IF(OR($S149="",$F149="",$T149="",$T149&lt;0,$T149&gt;60,$AR149=""),"—",ROUND(IF(ABS($AU149)&lt;=3,$AU149,IF($AU149&gt;3,3+($F149-$AW149)/($AW149-$AV149),-3+($F149-$AY149)/($AX149-$AY149))),2))</f>
        <v/>
      </c>
      <c r="R149">
        <f>IF(OR($Q149="",$Q149="—"),"",IF($Q149&lt;-3,"Magreza acentuada",IF($Q149&lt;-2,"Magreza",IF($Q149&lt;=1,"Eutrofia",IF($Q149&lt;=2,"Risco de sobrepeso",IF($Q149&lt;=3,"Sobrepeso","Obesidade"))))))</f>
        <v/>
      </c>
      <c r="S149">
        <f>IF($C149="","",IF(UPPER(LEFT($C149,1))="M",1,IF(UPPER(LEFT($C149,1))="F",2,"")))</f>
        <v/>
      </c>
      <c r="T149">
        <f>IF(OR($D149="",$E149=""),"",DATEDIF($D149,$E149,"m"))</f>
        <v/>
      </c>
      <c r="U149">
        <f>IF(OR($D149="",$E149=""),"",$E149-$D149)</f>
        <v/>
      </c>
      <c r="V149">
        <f>IF(OR($G149="",$T149=""),"",IF($T149&lt;24,IF(LEFT(LOWER($H149),4)="em p",$G149+0.7,$G149),IF(LEFT(LOWER($H149),4)="deit",$G149-0.7,$G149)))</f>
        <v/>
      </c>
      <c r="W149">
        <f>IF(OR($S149="",$T149=""),"",$S149*1000000+IF($T149&lt;=60,$U149,$T149))</f>
        <v/>
      </c>
      <c r="X149">
        <f>IF(OR($S149="",$V149="",$T149&gt;60,$T149=""),"",$S149*1000000+ROUND($V149*10,0))</f>
        <v/>
      </c>
      <c r="Y149">
        <f>IF($W149="","",IFERROR(INDEX(IF($T149&lt;=60,imc05_l,imc519_l),MATCH($W149,IF($T149&lt;=60,imc05_k,imc519_k),1)),""))</f>
        <v/>
      </c>
      <c r="Z149">
        <f>IF($W149="","",IFERROR(INDEX(IF($T149&lt;=60,imc05_m,imc519_m),MATCH($W149,IF($T149&lt;=60,imc05_k,imc519_k),1)),""))</f>
        <v/>
      </c>
      <c r="AA149">
        <f>IF($W149="","",IFERROR(INDEX(IF($T149&lt;=60,imc05_s,imc519_s),MATCH($W149,IF($T149&lt;=60,imc05_k,imc519_k),1)),""))</f>
        <v/>
      </c>
      <c r="AB149">
        <f>IF($Y149="","",IF($Y149=0,LN($J149/$Z149)/$AA149,((($J149/$Z149)^$Y149)-1)/($Y149*$AA149)))</f>
        <v/>
      </c>
      <c r="AC149">
        <f>IF($Y149="","",IF($Y149=0,$Z149*EXP($AA149*2),$Z149*(1+$Y149*$AA149*2)^(1/$Y149)))</f>
        <v/>
      </c>
      <c r="AD149">
        <f>IF($Y149="","",IF($Y149=0,$Z149*EXP($AA149*3),$Z149*(1+$Y149*$AA149*3)^(1/$Y149)))</f>
        <v/>
      </c>
      <c r="AE149">
        <f>IF($Y149="","",IF($Y149=0,$Z149*EXP($AA149*-2),$Z149*(1+$Y149*$AA149*-2)^(1/$Y149)))</f>
        <v/>
      </c>
      <c r="AF149">
        <f>IF($Y149="","",IF($Y149=0,$Z149*EXP($AA149*-3),$Z149*(1+$Y149*$AA149*-3)^(1/$Y149)))</f>
        <v/>
      </c>
      <c r="AG149">
        <f>IF($W149="","",IFERROR(INDEX(IF($T149&lt;=60,est05_l,est519_l),MATCH($W149,IF($T149&lt;=60,est05_k,est519_k),1)),""))</f>
        <v/>
      </c>
      <c r="AH149">
        <f>IF($W149="","",IFERROR(INDEX(IF($T149&lt;=60,est05_m,est519_m),MATCH($W149,IF($T149&lt;=60,est05_k,est519_k),1)),""))</f>
        <v/>
      </c>
      <c r="AI149">
        <f>IF($W149="","",IFERROR(INDEX(IF($T149&lt;=60,est05_s,est519_s),MATCH($W149,IF($T149&lt;=60,est05_k,est519_k),1)),""))</f>
        <v/>
      </c>
      <c r="AJ149">
        <f>IF($W149="","",IFERROR(INDEX(IF($T149&lt;=60,peso05_l,peso510_l),MATCH($W149,IF($T149&lt;=60,peso05_k,peso510_k),1)),""))</f>
        <v/>
      </c>
      <c r="AK149">
        <f>IF($W149="","",IFERROR(INDEX(IF($T149&lt;=60,peso05_m,peso510_m),MATCH($W149,IF($T149&lt;=60,peso05_k,peso510_k),1)),""))</f>
        <v/>
      </c>
      <c r="AL149">
        <f>IF($W149="","",IFERROR(INDEX(IF($T149&lt;=60,peso05_s,peso510_s),MATCH($W149,IF($T149&lt;=60,peso05_k,peso510_k),1)),""))</f>
        <v/>
      </c>
      <c r="AM149">
        <f>IF($AJ149="","",IF($AJ149=0,LN($F149/$AK149)/$AL149,((($F149/$AK149)^$AJ149)-1)/($AJ149*$AL149)))</f>
        <v/>
      </c>
      <c r="AN149">
        <f>IF($AJ149="","",IF($AJ149=0,$AK149*EXP($AL149*2),$AK149*(1+$AJ149*$AL149*2)^(1/$AJ149)))</f>
        <v/>
      </c>
      <c r="AO149">
        <f>IF($AJ149="","",IF($AJ149=0,$AK149*EXP($AL149*3),$AK149*(1+$AJ149*$AL149*3)^(1/$AJ149)))</f>
        <v/>
      </c>
      <c r="AP149">
        <f>IF($AJ149="","",IF($AJ149=0,$AK149*EXP($AL149*-2),$AK149*(1+$AJ149*$AL149*-2)^(1/$AJ149)))</f>
        <v/>
      </c>
      <c r="AQ149">
        <f>IF($AJ149="","",IF($AJ149=0,$AK149*EXP($AL149*-3),$AK149*(1+$AJ149*$AL149*-3)^(1/$AJ149)))</f>
        <v/>
      </c>
      <c r="AR149">
        <f>IF(OR($X149="",$T149&gt;60),"",IFERROR(INDEX(IF($T149&lt;24,pcomp_l,palt_l),MATCH($X149,IF($T149&lt;24,pcomp_k,palt_k),1)),""))</f>
        <v/>
      </c>
      <c r="AS149">
        <f>IF(OR($X149="",$T149&gt;60),"",IFERROR(INDEX(IF($T149&lt;24,pcomp_m,palt_m),MATCH($X149,IF($T149&lt;24,pcomp_k,palt_k),1)),""))</f>
        <v/>
      </c>
      <c r="AT149">
        <f>IF(OR($X149="",$T149&gt;60),"",IFERROR(INDEX(IF($T149&lt;24,pcomp_s,palt_s),MATCH($X149,IF($T149&lt;24,pcomp_k,palt_k),1)),""))</f>
        <v/>
      </c>
      <c r="AU149">
        <f>IF($AR149="","",IF($AR149=0,LN($F149/$AS149)/$AT149,((($F149/$AS149)^$AR149)-1)/($AR149*$AT149)))</f>
        <v/>
      </c>
      <c r="AV149">
        <f>IF($AR149="","",IF($AR149=0,$AS149*EXP($AT149*2),$AS149*(1+$AR149*$AT149*2)^(1/$AR149)))</f>
        <v/>
      </c>
      <c r="AW149">
        <f>IF($AR149="","",IF($AR149=0,$AS149*EXP($AT149*3),$AS149*(1+$AR149*$AT149*3)^(1/$AR149)))</f>
        <v/>
      </c>
      <c r="AX149">
        <f>IF($AR149="","",IF($AR149=0,$AS149*EXP($AT149*-2),$AS149*(1+$AR149*$AT149*-2)^(1/$AR149)))</f>
        <v/>
      </c>
      <c r="AY149">
        <f>IF($AR149="","",IF($AR149=0,$AS149*EXP($AT149*-3),$AS149*(1+$AR149*$AT149*-3)^(1/$AR149)))</f>
        <v/>
      </c>
      <c r="AZ149">
        <f>IF(OR($A149="",$A149&lt;&gt;Ficha!$C$4),"",COUNTIF($A$2:$A149,Ficha!$C$4))</f>
        <v/>
      </c>
    </row>
    <row r="150">
      <c r="A150" s="8">
        <f>IF(INDEX(Banco!$A:$A,ROW())="","",INDEX(Banco!$A:$A,ROW()))</f>
        <v/>
      </c>
      <c r="B150" s="8">
        <f>IF(INDEX(Banco!$B:$B,ROW())="","",INDEX(Banco!$B:$B,ROW()))</f>
        <v/>
      </c>
      <c r="C150" s="8">
        <f>IF(INDEX(Banco!$C:$C,ROW())="","",INDEX(Banco!$C:$C,ROW()))</f>
        <v/>
      </c>
      <c r="D150" s="9">
        <f>IF(INDEX(Banco!$D:$D,ROW())="","",INDEX(Banco!$D:$D,ROW()))</f>
        <v/>
      </c>
      <c r="E150" s="9">
        <f>IF(INDEX(Banco!$E:$E,ROW())="","",INDEX(Banco!$E:$E,ROW()))</f>
        <v/>
      </c>
      <c r="F150" s="10">
        <f>IF(INDEX(Banco!$F:$F,ROW())="","",INDEX(Banco!$F:$F,ROW()))</f>
        <v/>
      </c>
      <c r="G150" s="10">
        <f>IF(INDEX(Banco!$G:$G,ROW())="","",INDEX(Banco!$G:$G,ROW()))</f>
        <v/>
      </c>
      <c r="H150" s="8">
        <f>IF(INDEX(Banco!$H:$H,ROW())="","",INDEX(Banco!$H:$H,ROW()))</f>
        <v/>
      </c>
      <c r="I150">
        <f>IF($T150="","",INT($T150/12)&amp;"a "&amp;MOD($T150,12)&amp;"m")</f>
        <v/>
      </c>
      <c r="J150" s="11">
        <f>IF(OR($F150="",$G150=""),"",ROUND($F150/($G150/100)^2,2))</f>
        <v/>
      </c>
      <c r="K150" s="12">
        <f>IF(OR($S150="",$J150="",$T150="",$T150&lt;0,$T150&gt;228,$Y150=""),"—",ROUND(IF(ABS($AB150)&lt;=3,$AB150,IF($AB150&gt;3,3+($J150-$AD150)/($AD150-$AC150),-3+($J150-$AF150)/($AE150-$AF150))),2))</f>
        <v/>
      </c>
      <c r="L150">
        <f>IF(OR($K150="",$K150="—"),"",IF($T150&lt;=60,IF($K150&lt;-3,"Magreza acentuada",IF($K150&lt;-2,"Magreza",IF($K150&lt;=1,"Eutrofia",IF($K150&lt;=2,"Risco de sobrepeso",IF($K150&lt;=3,"Sobrepeso","Obesidade"))))),IF($K150&lt;-3,"Magreza acentuada",IF($K150&lt;-2,"Magreza",IF($K150&lt;=1,"Eutrofia",IF($K150&lt;=2,"Sobrepeso",IF($K150&lt;=3,"Obesidade","Obesidade grave")))))))</f>
        <v/>
      </c>
      <c r="M150" s="12">
        <f>IF(OR($S150="",$V150="",$T150="",$T150&lt;0,$T150&gt;228,$AG150=""),"—",ROUND(IF($AG150=0,LN($V150/$AH150)/$AI150,((($V150/$AH150)^$AG150)-1)/($AG150*$AI150)),2))</f>
        <v/>
      </c>
      <c r="N150">
        <f>IF(OR($M150="",$M150="—"),"",IF($M150&lt;-3,"Muito baixa",IF($M150&lt;-2,"Baixa","Adequada")))</f>
        <v/>
      </c>
      <c r="O150" s="12">
        <f>IF(OR($S150="",$F150="",$T150="",$T150&lt;0,$T150&gt;120,$AJ150=""),"—",ROUND(IF(ABS($AM150)&lt;=3,$AM150,IF($AM150&gt;3,3+($F150-$AO150)/($AO150-$AN150),-3+($F150-$AQ150)/($AP150-$AQ150))),2))</f>
        <v/>
      </c>
      <c r="P150">
        <f>IF(OR($O150="",$O150="—"),"",IF($O150&lt;-3,"Muito baixo",IF($O150&lt;-2,"Baixo",IF($O150&lt;=2,"Adequado","Elevado"))))</f>
        <v/>
      </c>
      <c r="Q150" s="12">
        <f>IF(OR($S150="",$F150="",$T150="",$T150&lt;0,$T150&gt;60,$AR150=""),"—",ROUND(IF(ABS($AU150)&lt;=3,$AU150,IF($AU150&gt;3,3+($F150-$AW150)/($AW150-$AV150),-3+($F150-$AY150)/($AX150-$AY150))),2))</f>
        <v/>
      </c>
      <c r="R150">
        <f>IF(OR($Q150="",$Q150="—"),"",IF($Q150&lt;-3,"Magreza acentuada",IF($Q150&lt;-2,"Magreza",IF($Q150&lt;=1,"Eutrofia",IF($Q150&lt;=2,"Risco de sobrepeso",IF($Q150&lt;=3,"Sobrepeso","Obesidade"))))))</f>
        <v/>
      </c>
      <c r="S150">
        <f>IF($C150="","",IF(UPPER(LEFT($C150,1))="M",1,IF(UPPER(LEFT($C150,1))="F",2,"")))</f>
        <v/>
      </c>
      <c r="T150">
        <f>IF(OR($D150="",$E150=""),"",DATEDIF($D150,$E150,"m"))</f>
        <v/>
      </c>
      <c r="U150">
        <f>IF(OR($D150="",$E150=""),"",$E150-$D150)</f>
        <v/>
      </c>
      <c r="V150">
        <f>IF(OR($G150="",$T150=""),"",IF($T150&lt;24,IF(LEFT(LOWER($H150),4)="em p",$G150+0.7,$G150),IF(LEFT(LOWER($H150),4)="deit",$G150-0.7,$G150)))</f>
        <v/>
      </c>
      <c r="W150">
        <f>IF(OR($S150="",$T150=""),"",$S150*1000000+IF($T150&lt;=60,$U150,$T150))</f>
        <v/>
      </c>
      <c r="X150">
        <f>IF(OR($S150="",$V150="",$T150&gt;60,$T150=""),"",$S150*1000000+ROUND($V150*10,0))</f>
        <v/>
      </c>
      <c r="Y150">
        <f>IF($W150="","",IFERROR(INDEX(IF($T150&lt;=60,imc05_l,imc519_l),MATCH($W150,IF($T150&lt;=60,imc05_k,imc519_k),1)),""))</f>
        <v/>
      </c>
      <c r="Z150">
        <f>IF($W150="","",IFERROR(INDEX(IF($T150&lt;=60,imc05_m,imc519_m),MATCH($W150,IF($T150&lt;=60,imc05_k,imc519_k),1)),""))</f>
        <v/>
      </c>
      <c r="AA150">
        <f>IF($W150="","",IFERROR(INDEX(IF($T150&lt;=60,imc05_s,imc519_s),MATCH($W150,IF($T150&lt;=60,imc05_k,imc519_k),1)),""))</f>
        <v/>
      </c>
      <c r="AB150">
        <f>IF($Y150="","",IF($Y150=0,LN($J150/$Z150)/$AA150,((($J150/$Z150)^$Y150)-1)/($Y150*$AA150)))</f>
        <v/>
      </c>
      <c r="AC150">
        <f>IF($Y150="","",IF($Y150=0,$Z150*EXP($AA150*2),$Z150*(1+$Y150*$AA150*2)^(1/$Y150)))</f>
        <v/>
      </c>
      <c r="AD150">
        <f>IF($Y150="","",IF($Y150=0,$Z150*EXP($AA150*3),$Z150*(1+$Y150*$AA150*3)^(1/$Y150)))</f>
        <v/>
      </c>
      <c r="AE150">
        <f>IF($Y150="","",IF($Y150=0,$Z150*EXP($AA150*-2),$Z150*(1+$Y150*$AA150*-2)^(1/$Y150)))</f>
        <v/>
      </c>
      <c r="AF150">
        <f>IF($Y150="","",IF($Y150=0,$Z150*EXP($AA150*-3),$Z150*(1+$Y150*$AA150*-3)^(1/$Y150)))</f>
        <v/>
      </c>
      <c r="AG150">
        <f>IF($W150="","",IFERROR(INDEX(IF($T150&lt;=60,est05_l,est519_l),MATCH($W150,IF($T150&lt;=60,est05_k,est519_k),1)),""))</f>
        <v/>
      </c>
      <c r="AH150">
        <f>IF($W150="","",IFERROR(INDEX(IF($T150&lt;=60,est05_m,est519_m),MATCH($W150,IF($T150&lt;=60,est05_k,est519_k),1)),""))</f>
        <v/>
      </c>
      <c r="AI150">
        <f>IF($W150="","",IFERROR(INDEX(IF($T150&lt;=60,est05_s,est519_s),MATCH($W150,IF($T150&lt;=60,est05_k,est519_k),1)),""))</f>
        <v/>
      </c>
      <c r="AJ150">
        <f>IF($W150="","",IFERROR(INDEX(IF($T150&lt;=60,peso05_l,peso510_l),MATCH($W150,IF($T150&lt;=60,peso05_k,peso510_k),1)),""))</f>
        <v/>
      </c>
      <c r="AK150">
        <f>IF($W150="","",IFERROR(INDEX(IF($T150&lt;=60,peso05_m,peso510_m),MATCH($W150,IF($T150&lt;=60,peso05_k,peso510_k),1)),""))</f>
        <v/>
      </c>
      <c r="AL150">
        <f>IF($W150="","",IFERROR(INDEX(IF($T150&lt;=60,peso05_s,peso510_s),MATCH($W150,IF($T150&lt;=60,peso05_k,peso510_k),1)),""))</f>
        <v/>
      </c>
      <c r="AM150">
        <f>IF($AJ150="","",IF($AJ150=0,LN($F150/$AK150)/$AL150,((($F150/$AK150)^$AJ150)-1)/($AJ150*$AL150)))</f>
        <v/>
      </c>
      <c r="AN150">
        <f>IF($AJ150="","",IF($AJ150=0,$AK150*EXP($AL150*2),$AK150*(1+$AJ150*$AL150*2)^(1/$AJ150)))</f>
        <v/>
      </c>
      <c r="AO150">
        <f>IF($AJ150="","",IF($AJ150=0,$AK150*EXP($AL150*3),$AK150*(1+$AJ150*$AL150*3)^(1/$AJ150)))</f>
        <v/>
      </c>
      <c r="AP150">
        <f>IF($AJ150="","",IF($AJ150=0,$AK150*EXP($AL150*-2),$AK150*(1+$AJ150*$AL150*-2)^(1/$AJ150)))</f>
        <v/>
      </c>
      <c r="AQ150">
        <f>IF($AJ150="","",IF($AJ150=0,$AK150*EXP($AL150*-3),$AK150*(1+$AJ150*$AL150*-3)^(1/$AJ150)))</f>
        <v/>
      </c>
      <c r="AR150">
        <f>IF(OR($X150="",$T150&gt;60),"",IFERROR(INDEX(IF($T150&lt;24,pcomp_l,palt_l),MATCH($X150,IF($T150&lt;24,pcomp_k,palt_k),1)),""))</f>
        <v/>
      </c>
      <c r="AS150">
        <f>IF(OR($X150="",$T150&gt;60),"",IFERROR(INDEX(IF($T150&lt;24,pcomp_m,palt_m),MATCH($X150,IF($T150&lt;24,pcomp_k,palt_k),1)),""))</f>
        <v/>
      </c>
      <c r="AT150">
        <f>IF(OR($X150="",$T150&gt;60),"",IFERROR(INDEX(IF($T150&lt;24,pcomp_s,palt_s),MATCH($X150,IF($T150&lt;24,pcomp_k,palt_k),1)),""))</f>
        <v/>
      </c>
      <c r="AU150">
        <f>IF($AR150="","",IF($AR150=0,LN($F150/$AS150)/$AT150,((($F150/$AS150)^$AR150)-1)/($AR150*$AT150)))</f>
        <v/>
      </c>
      <c r="AV150">
        <f>IF($AR150="","",IF($AR150=0,$AS150*EXP($AT150*2),$AS150*(1+$AR150*$AT150*2)^(1/$AR150)))</f>
        <v/>
      </c>
      <c r="AW150">
        <f>IF($AR150="","",IF($AR150=0,$AS150*EXP($AT150*3),$AS150*(1+$AR150*$AT150*3)^(1/$AR150)))</f>
        <v/>
      </c>
      <c r="AX150">
        <f>IF($AR150="","",IF($AR150=0,$AS150*EXP($AT150*-2),$AS150*(1+$AR150*$AT150*-2)^(1/$AR150)))</f>
        <v/>
      </c>
      <c r="AY150">
        <f>IF($AR150="","",IF($AR150=0,$AS150*EXP($AT150*-3),$AS150*(1+$AR150*$AT150*-3)^(1/$AR150)))</f>
        <v/>
      </c>
      <c r="AZ150">
        <f>IF(OR($A150="",$A150&lt;&gt;Ficha!$C$4),"",COUNTIF($A$2:$A150,Ficha!$C$4))</f>
        <v/>
      </c>
    </row>
    <row r="151">
      <c r="A151" s="8">
        <f>IF(INDEX(Banco!$A:$A,ROW())="","",INDEX(Banco!$A:$A,ROW()))</f>
        <v/>
      </c>
      <c r="B151" s="8">
        <f>IF(INDEX(Banco!$B:$B,ROW())="","",INDEX(Banco!$B:$B,ROW()))</f>
        <v/>
      </c>
      <c r="C151" s="8">
        <f>IF(INDEX(Banco!$C:$C,ROW())="","",INDEX(Banco!$C:$C,ROW()))</f>
        <v/>
      </c>
      <c r="D151" s="9">
        <f>IF(INDEX(Banco!$D:$D,ROW())="","",INDEX(Banco!$D:$D,ROW()))</f>
        <v/>
      </c>
      <c r="E151" s="9">
        <f>IF(INDEX(Banco!$E:$E,ROW())="","",INDEX(Banco!$E:$E,ROW()))</f>
        <v/>
      </c>
      <c r="F151" s="10">
        <f>IF(INDEX(Banco!$F:$F,ROW())="","",INDEX(Banco!$F:$F,ROW()))</f>
        <v/>
      </c>
      <c r="G151" s="10">
        <f>IF(INDEX(Banco!$G:$G,ROW())="","",INDEX(Banco!$G:$G,ROW()))</f>
        <v/>
      </c>
      <c r="H151" s="8">
        <f>IF(INDEX(Banco!$H:$H,ROW())="","",INDEX(Banco!$H:$H,ROW()))</f>
        <v/>
      </c>
      <c r="I151">
        <f>IF($T151="","",INT($T151/12)&amp;"a "&amp;MOD($T151,12)&amp;"m")</f>
        <v/>
      </c>
      <c r="J151" s="11">
        <f>IF(OR($F151="",$G151=""),"",ROUND($F151/($G151/100)^2,2))</f>
        <v/>
      </c>
      <c r="K151" s="12">
        <f>IF(OR($S151="",$J151="",$T151="",$T151&lt;0,$T151&gt;228,$Y151=""),"—",ROUND(IF(ABS($AB151)&lt;=3,$AB151,IF($AB151&gt;3,3+($J151-$AD151)/($AD151-$AC151),-3+($J151-$AF151)/($AE151-$AF151))),2))</f>
        <v/>
      </c>
      <c r="L151">
        <f>IF(OR($K151="",$K151="—"),"",IF($T151&lt;=60,IF($K151&lt;-3,"Magreza acentuada",IF($K151&lt;-2,"Magreza",IF($K151&lt;=1,"Eutrofia",IF($K151&lt;=2,"Risco de sobrepeso",IF($K151&lt;=3,"Sobrepeso","Obesidade"))))),IF($K151&lt;-3,"Magreza acentuada",IF($K151&lt;-2,"Magreza",IF($K151&lt;=1,"Eutrofia",IF($K151&lt;=2,"Sobrepeso",IF($K151&lt;=3,"Obesidade","Obesidade grave")))))))</f>
        <v/>
      </c>
      <c r="M151" s="12">
        <f>IF(OR($S151="",$V151="",$T151="",$T151&lt;0,$T151&gt;228,$AG151=""),"—",ROUND(IF($AG151=0,LN($V151/$AH151)/$AI151,((($V151/$AH151)^$AG151)-1)/($AG151*$AI151)),2))</f>
        <v/>
      </c>
      <c r="N151">
        <f>IF(OR($M151="",$M151="—"),"",IF($M151&lt;-3,"Muito baixa",IF($M151&lt;-2,"Baixa","Adequada")))</f>
        <v/>
      </c>
      <c r="O151" s="12">
        <f>IF(OR($S151="",$F151="",$T151="",$T151&lt;0,$T151&gt;120,$AJ151=""),"—",ROUND(IF(ABS($AM151)&lt;=3,$AM151,IF($AM151&gt;3,3+($F151-$AO151)/($AO151-$AN151),-3+($F151-$AQ151)/($AP151-$AQ151))),2))</f>
        <v/>
      </c>
      <c r="P151">
        <f>IF(OR($O151="",$O151="—"),"",IF($O151&lt;-3,"Muito baixo",IF($O151&lt;-2,"Baixo",IF($O151&lt;=2,"Adequado","Elevado"))))</f>
        <v/>
      </c>
      <c r="Q151" s="12">
        <f>IF(OR($S151="",$F151="",$T151="",$T151&lt;0,$T151&gt;60,$AR151=""),"—",ROUND(IF(ABS($AU151)&lt;=3,$AU151,IF($AU151&gt;3,3+($F151-$AW151)/($AW151-$AV151),-3+($F151-$AY151)/($AX151-$AY151))),2))</f>
        <v/>
      </c>
      <c r="R151">
        <f>IF(OR($Q151="",$Q151="—"),"",IF($Q151&lt;-3,"Magreza acentuada",IF($Q151&lt;-2,"Magreza",IF($Q151&lt;=1,"Eutrofia",IF($Q151&lt;=2,"Risco de sobrepeso",IF($Q151&lt;=3,"Sobrepeso","Obesidade"))))))</f>
        <v/>
      </c>
      <c r="S151">
        <f>IF($C151="","",IF(UPPER(LEFT($C151,1))="M",1,IF(UPPER(LEFT($C151,1))="F",2,"")))</f>
        <v/>
      </c>
      <c r="T151">
        <f>IF(OR($D151="",$E151=""),"",DATEDIF($D151,$E151,"m"))</f>
        <v/>
      </c>
      <c r="U151">
        <f>IF(OR($D151="",$E151=""),"",$E151-$D151)</f>
        <v/>
      </c>
      <c r="V151">
        <f>IF(OR($G151="",$T151=""),"",IF($T151&lt;24,IF(LEFT(LOWER($H151),4)="em p",$G151+0.7,$G151),IF(LEFT(LOWER($H151),4)="deit",$G151-0.7,$G151)))</f>
        <v/>
      </c>
      <c r="W151">
        <f>IF(OR($S151="",$T151=""),"",$S151*1000000+IF($T151&lt;=60,$U151,$T151))</f>
        <v/>
      </c>
      <c r="X151">
        <f>IF(OR($S151="",$V151="",$T151&gt;60,$T151=""),"",$S151*1000000+ROUND($V151*10,0))</f>
        <v/>
      </c>
      <c r="Y151">
        <f>IF($W151="","",IFERROR(INDEX(IF($T151&lt;=60,imc05_l,imc519_l),MATCH($W151,IF($T151&lt;=60,imc05_k,imc519_k),1)),""))</f>
        <v/>
      </c>
      <c r="Z151">
        <f>IF($W151="","",IFERROR(INDEX(IF($T151&lt;=60,imc05_m,imc519_m),MATCH($W151,IF($T151&lt;=60,imc05_k,imc519_k),1)),""))</f>
        <v/>
      </c>
      <c r="AA151">
        <f>IF($W151="","",IFERROR(INDEX(IF($T151&lt;=60,imc05_s,imc519_s),MATCH($W151,IF($T151&lt;=60,imc05_k,imc519_k),1)),""))</f>
        <v/>
      </c>
      <c r="AB151">
        <f>IF($Y151="","",IF($Y151=0,LN($J151/$Z151)/$AA151,((($J151/$Z151)^$Y151)-1)/($Y151*$AA151)))</f>
        <v/>
      </c>
      <c r="AC151">
        <f>IF($Y151="","",IF($Y151=0,$Z151*EXP($AA151*2),$Z151*(1+$Y151*$AA151*2)^(1/$Y151)))</f>
        <v/>
      </c>
      <c r="AD151">
        <f>IF($Y151="","",IF($Y151=0,$Z151*EXP($AA151*3),$Z151*(1+$Y151*$AA151*3)^(1/$Y151)))</f>
        <v/>
      </c>
      <c r="AE151">
        <f>IF($Y151="","",IF($Y151=0,$Z151*EXP($AA151*-2),$Z151*(1+$Y151*$AA151*-2)^(1/$Y151)))</f>
        <v/>
      </c>
      <c r="AF151">
        <f>IF($Y151="","",IF($Y151=0,$Z151*EXP($AA151*-3),$Z151*(1+$Y151*$AA151*-3)^(1/$Y151)))</f>
        <v/>
      </c>
      <c r="AG151">
        <f>IF($W151="","",IFERROR(INDEX(IF($T151&lt;=60,est05_l,est519_l),MATCH($W151,IF($T151&lt;=60,est05_k,est519_k),1)),""))</f>
        <v/>
      </c>
      <c r="AH151">
        <f>IF($W151="","",IFERROR(INDEX(IF($T151&lt;=60,est05_m,est519_m),MATCH($W151,IF($T151&lt;=60,est05_k,est519_k),1)),""))</f>
        <v/>
      </c>
      <c r="AI151">
        <f>IF($W151="","",IFERROR(INDEX(IF($T151&lt;=60,est05_s,est519_s),MATCH($W151,IF($T151&lt;=60,est05_k,est519_k),1)),""))</f>
        <v/>
      </c>
      <c r="AJ151">
        <f>IF($W151="","",IFERROR(INDEX(IF($T151&lt;=60,peso05_l,peso510_l),MATCH($W151,IF($T151&lt;=60,peso05_k,peso510_k),1)),""))</f>
        <v/>
      </c>
      <c r="AK151">
        <f>IF($W151="","",IFERROR(INDEX(IF($T151&lt;=60,peso05_m,peso510_m),MATCH($W151,IF($T151&lt;=60,peso05_k,peso510_k),1)),""))</f>
        <v/>
      </c>
      <c r="AL151">
        <f>IF($W151="","",IFERROR(INDEX(IF($T151&lt;=60,peso05_s,peso510_s),MATCH($W151,IF($T151&lt;=60,peso05_k,peso510_k),1)),""))</f>
        <v/>
      </c>
      <c r="AM151">
        <f>IF($AJ151="","",IF($AJ151=0,LN($F151/$AK151)/$AL151,((($F151/$AK151)^$AJ151)-1)/($AJ151*$AL151)))</f>
        <v/>
      </c>
      <c r="AN151">
        <f>IF($AJ151="","",IF($AJ151=0,$AK151*EXP($AL151*2),$AK151*(1+$AJ151*$AL151*2)^(1/$AJ151)))</f>
        <v/>
      </c>
      <c r="AO151">
        <f>IF($AJ151="","",IF($AJ151=0,$AK151*EXP($AL151*3),$AK151*(1+$AJ151*$AL151*3)^(1/$AJ151)))</f>
        <v/>
      </c>
      <c r="AP151">
        <f>IF($AJ151="","",IF($AJ151=0,$AK151*EXP($AL151*-2),$AK151*(1+$AJ151*$AL151*-2)^(1/$AJ151)))</f>
        <v/>
      </c>
      <c r="AQ151">
        <f>IF($AJ151="","",IF($AJ151=0,$AK151*EXP($AL151*-3),$AK151*(1+$AJ151*$AL151*-3)^(1/$AJ151)))</f>
        <v/>
      </c>
      <c r="AR151">
        <f>IF(OR($X151="",$T151&gt;60),"",IFERROR(INDEX(IF($T151&lt;24,pcomp_l,palt_l),MATCH($X151,IF($T151&lt;24,pcomp_k,palt_k),1)),""))</f>
        <v/>
      </c>
      <c r="AS151">
        <f>IF(OR($X151="",$T151&gt;60),"",IFERROR(INDEX(IF($T151&lt;24,pcomp_m,palt_m),MATCH($X151,IF($T151&lt;24,pcomp_k,palt_k),1)),""))</f>
        <v/>
      </c>
      <c r="AT151">
        <f>IF(OR($X151="",$T151&gt;60),"",IFERROR(INDEX(IF($T151&lt;24,pcomp_s,palt_s),MATCH($X151,IF($T151&lt;24,pcomp_k,palt_k),1)),""))</f>
        <v/>
      </c>
      <c r="AU151">
        <f>IF($AR151="","",IF($AR151=0,LN($F151/$AS151)/$AT151,((($F151/$AS151)^$AR151)-1)/($AR151*$AT151)))</f>
        <v/>
      </c>
      <c r="AV151">
        <f>IF($AR151="","",IF($AR151=0,$AS151*EXP($AT151*2),$AS151*(1+$AR151*$AT151*2)^(1/$AR151)))</f>
        <v/>
      </c>
      <c r="AW151">
        <f>IF($AR151="","",IF($AR151=0,$AS151*EXP($AT151*3),$AS151*(1+$AR151*$AT151*3)^(1/$AR151)))</f>
        <v/>
      </c>
      <c r="AX151">
        <f>IF($AR151="","",IF($AR151=0,$AS151*EXP($AT151*-2),$AS151*(1+$AR151*$AT151*-2)^(1/$AR151)))</f>
        <v/>
      </c>
      <c r="AY151">
        <f>IF($AR151="","",IF($AR151=0,$AS151*EXP($AT151*-3),$AS151*(1+$AR151*$AT151*-3)^(1/$AR151)))</f>
        <v/>
      </c>
      <c r="AZ151">
        <f>IF(OR($A151="",$A151&lt;&gt;Ficha!$C$4),"",COUNTIF($A$2:$A151,Ficha!$C$4))</f>
        <v/>
      </c>
    </row>
    <row r="152">
      <c r="A152" s="8">
        <f>IF(INDEX(Banco!$A:$A,ROW())="","",INDEX(Banco!$A:$A,ROW()))</f>
        <v/>
      </c>
      <c r="B152" s="8">
        <f>IF(INDEX(Banco!$B:$B,ROW())="","",INDEX(Banco!$B:$B,ROW()))</f>
        <v/>
      </c>
      <c r="C152" s="8">
        <f>IF(INDEX(Banco!$C:$C,ROW())="","",INDEX(Banco!$C:$C,ROW()))</f>
        <v/>
      </c>
      <c r="D152" s="9">
        <f>IF(INDEX(Banco!$D:$D,ROW())="","",INDEX(Banco!$D:$D,ROW()))</f>
        <v/>
      </c>
      <c r="E152" s="9">
        <f>IF(INDEX(Banco!$E:$E,ROW())="","",INDEX(Banco!$E:$E,ROW()))</f>
        <v/>
      </c>
      <c r="F152" s="10">
        <f>IF(INDEX(Banco!$F:$F,ROW())="","",INDEX(Banco!$F:$F,ROW()))</f>
        <v/>
      </c>
      <c r="G152" s="10">
        <f>IF(INDEX(Banco!$G:$G,ROW())="","",INDEX(Banco!$G:$G,ROW()))</f>
        <v/>
      </c>
      <c r="H152" s="8">
        <f>IF(INDEX(Banco!$H:$H,ROW())="","",INDEX(Banco!$H:$H,ROW()))</f>
        <v/>
      </c>
      <c r="I152">
        <f>IF($T152="","",INT($T152/12)&amp;"a "&amp;MOD($T152,12)&amp;"m")</f>
        <v/>
      </c>
      <c r="J152" s="11">
        <f>IF(OR($F152="",$G152=""),"",ROUND($F152/($G152/100)^2,2))</f>
        <v/>
      </c>
      <c r="K152" s="12">
        <f>IF(OR($S152="",$J152="",$T152="",$T152&lt;0,$T152&gt;228,$Y152=""),"—",ROUND(IF(ABS($AB152)&lt;=3,$AB152,IF($AB152&gt;3,3+($J152-$AD152)/($AD152-$AC152),-3+($J152-$AF152)/($AE152-$AF152))),2))</f>
        <v/>
      </c>
      <c r="L152">
        <f>IF(OR($K152="",$K152="—"),"",IF($T152&lt;=60,IF($K152&lt;-3,"Magreza acentuada",IF($K152&lt;-2,"Magreza",IF($K152&lt;=1,"Eutrofia",IF($K152&lt;=2,"Risco de sobrepeso",IF($K152&lt;=3,"Sobrepeso","Obesidade"))))),IF($K152&lt;-3,"Magreza acentuada",IF($K152&lt;-2,"Magreza",IF($K152&lt;=1,"Eutrofia",IF($K152&lt;=2,"Sobrepeso",IF($K152&lt;=3,"Obesidade","Obesidade grave")))))))</f>
        <v/>
      </c>
      <c r="M152" s="12">
        <f>IF(OR($S152="",$V152="",$T152="",$T152&lt;0,$T152&gt;228,$AG152=""),"—",ROUND(IF($AG152=0,LN($V152/$AH152)/$AI152,((($V152/$AH152)^$AG152)-1)/($AG152*$AI152)),2))</f>
        <v/>
      </c>
      <c r="N152">
        <f>IF(OR($M152="",$M152="—"),"",IF($M152&lt;-3,"Muito baixa",IF($M152&lt;-2,"Baixa","Adequada")))</f>
        <v/>
      </c>
      <c r="O152" s="12">
        <f>IF(OR($S152="",$F152="",$T152="",$T152&lt;0,$T152&gt;120,$AJ152=""),"—",ROUND(IF(ABS($AM152)&lt;=3,$AM152,IF($AM152&gt;3,3+($F152-$AO152)/($AO152-$AN152),-3+($F152-$AQ152)/($AP152-$AQ152))),2))</f>
        <v/>
      </c>
      <c r="P152">
        <f>IF(OR($O152="",$O152="—"),"",IF($O152&lt;-3,"Muito baixo",IF($O152&lt;-2,"Baixo",IF($O152&lt;=2,"Adequado","Elevado"))))</f>
        <v/>
      </c>
      <c r="Q152" s="12">
        <f>IF(OR($S152="",$F152="",$T152="",$T152&lt;0,$T152&gt;60,$AR152=""),"—",ROUND(IF(ABS($AU152)&lt;=3,$AU152,IF($AU152&gt;3,3+($F152-$AW152)/($AW152-$AV152),-3+($F152-$AY152)/($AX152-$AY152))),2))</f>
        <v/>
      </c>
      <c r="R152">
        <f>IF(OR($Q152="",$Q152="—"),"",IF($Q152&lt;-3,"Magreza acentuada",IF($Q152&lt;-2,"Magreza",IF($Q152&lt;=1,"Eutrofia",IF($Q152&lt;=2,"Risco de sobrepeso",IF($Q152&lt;=3,"Sobrepeso","Obesidade"))))))</f>
        <v/>
      </c>
      <c r="S152">
        <f>IF($C152="","",IF(UPPER(LEFT($C152,1))="M",1,IF(UPPER(LEFT($C152,1))="F",2,"")))</f>
        <v/>
      </c>
      <c r="T152">
        <f>IF(OR($D152="",$E152=""),"",DATEDIF($D152,$E152,"m"))</f>
        <v/>
      </c>
      <c r="U152">
        <f>IF(OR($D152="",$E152=""),"",$E152-$D152)</f>
        <v/>
      </c>
      <c r="V152">
        <f>IF(OR($G152="",$T152=""),"",IF($T152&lt;24,IF(LEFT(LOWER($H152),4)="em p",$G152+0.7,$G152),IF(LEFT(LOWER($H152),4)="deit",$G152-0.7,$G152)))</f>
        <v/>
      </c>
      <c r="W152">
        <f>IF(OR($S152="",$T152=""),"",$S152*1000000+IF($T152&lt;=60,$U152,$T152))</f>
        <v/>
      </c>
      <c r="X152">
        <f>IF(OR($S152="",$V152="",$T152&gt;60,$T152=""),"",$S152*1000000+ROUND($V152*10,0))</f>
        <v/>
      </c>
      <c r="Y152">
        <f>IF($W152="","",IFERROR(INDEX(IF($T152&lt;=60,imc05_l,imc519_l),MATCH($W152,IF($T152&lt;=60,imc05_k,imc519_k),1)),""))</f>
        <v/>
      </c>
      <c r="Z152">
        <f>IF($W152="","",IFERROR(INDEX(IF($T152&lt;=60,imc05_m,imc519_m),MATCH($W152,IF($T152&lt;=60,imc05_k,imc519_k),1)),""))</f>
        <v/>
      </c>
      <c r="AA152">
        <f>IF($W152="","",IFERROR(INDEX(IF($T152&lt;=60,imc05_s,imc519_s),MATCH($W152,IF($T152&lt;=60,imc05_k,imc519_k),1)),""))</f>
        <v/>
      </c>
      <c r="AB152">
        <f>IF($Y152="","",IF($Y152=0,LN($J152/$Z152)/$AA152,((($J152/$Z152)^$Y152)-1)/($Y152*$AA152)))</f>
        <v/>
      </c>
      <c r="AC152">
        <f>IF($Y152="","",IF($Y152=0,$Z152*EXP($AA152*2),$Z152*(1+$Y152*$AA152*2)^(1/$Y152)))</f>
        <v/>
      </c>
      <c r="AD152">
        <f>IF($Y152="","",IF($Y152=0,$Z152*EXP($AA152*3),$Z152*(1+$Y152*$AA152*3)^(1/$Y152)))</f>
        <v/>
      </c>
      <c r="AE152">
        <f>IF($Y152="","",IF($Y152=0,$Z152*EXP($AA152*-2),$Z152*(1+$Y152*$AA152*-2)^(1/$Y152)))</f>
        <v/>
      </c>
      <c r="AF152">
        <f>IF($Y152="","",IF($Y152=0,$Z152*EXP($AA152*-3),$Z152*(1+$Y152*$AA152*-3)^(1/$Y152)))</f>
        <v/>
      </c>
      <c r="AG152">
        <f>IF($W152="","",IFERROR(INDEX(IF($T152&lt;=60,est05_l,est519_l),MATCH($W152,IF($T152&lt;=60,est05_k,est519_k),1)),""))</f>
        <v/>
      </c>
      <c r="AH152">
        <f>IF($W152="","",IFERROR(INDEX(IF($T152&lt;=60,est05_m,est519_m),MATCH($W152,IF($T152&lt;=60,est05_k,est519_k),1)),""))</f>
        <v/>
      </c>
      <c r="AI152">
        <f>IF($W152="","",IFERROR(INDEX(IF($T152&lt;=60,est05_s,est519_s),MATCH($W152,IF($T152&lt;=60,est05_k,est519_k),1)),""))</f>
        <v/>
      </c>
      <c r="AJ152">
        <f>IF($W152="","",IFERROR(INDEX(IF($T152&lt;=60,peso05_l,peso510_l),MATCH($W152,IF($T152&lt;=60,peso05_k,peso510_k),1)),""))</f>
        <v/>
      </c>
      <c r="AK152">
        <f>IF($W152="","",IFERROR(INDEX(IF($T152&lt;=60,peso05_m,peso510_m),MATCH($W152,IF($T152&lt;=60,peso05_k,peso510_k),1)),""))</f>
        <v/>
      </c>
      <c r="AL152">
        <f>IF($W152="","",IFERROR(INDEX(IF($T152&lt;=60,peso05_s,peso510_s),MATCH($W152,IF($T152&lt;=60,peso05_k,peso510_k),1)),""))</f>
        <v/>
      </c>
      <c r="AM152">
        <f>IF($AJ152="","",IF($AJ152=0,LN($F152/$AK152)/$AL152,((($F152/$AK152)^$AJ152)-1)/($AJ152*$AL152)))</f>
        <v/>
      </c>
      <c r="AN152">
        <f>IF($AJ152="","",IF($AJ152=0,$AK152*EXP($AL152*2),$AK152*(1+$AJ152*$AL152*2)^(1/$AJ152)))</f>
        <v/>
      </c>
      <c r="AO152">
        <f>IF($AJ152="","",IF($AJ152=0,$AK152*EXP($AL152*3),$AK152*(1+$AJ152*$AL152*3)^(1/$AJ152)))</f>
        <v/>
      </c>
      <c r="AP152">
        <f>IF($AJ152="","",IF($AJ152=0,$AK152*EXP($AL152*-2),$AK152*(1+$AJ152*$AL152*-2)^(1/$AJ152)))</f>
        <v/>
      </c>
      <c r="AQ152">
        <f>IF($AJ152="","",IF($AJ152=0,$AK152*EXP($AL152*-3),$AK152*(1+$AJ152*$AL152*-3)^(1/$AJ152)))</f>
        <v/>
      </c>
      <c r="AR152">
        <f>IF(OR($X152="",$T152&gt;60),"",IFERROR(INDEX(IF($T152&lt;24,pcomp_l,palt_l),MATCH($X152,IF($T152&lt;24,pcomp_k,palt_k),1)),""))</f>
        <v/>
      </c>
      <c r="AS152">
        <f>IF(OR($X152="",$T152&gt;60),"",IFERROR(INDEX(IF($T152&lt;24,pcomp_m,palt_m),MATCH($X152,IF($T152&lt;24,pcomp_k,palt_k),1)),""))</f>
        <v/>
      </c>
      <c r="AT152">
        <f>IF(OR($X152="",$T152&gt;60),"",IFERROR(INDEX(IF($T152&lt;24,pcomp_s,palt_s),MATCH($X152,IF($T152&lt;24,pcomp_k,palt_k),1)),""))</f>
        <v/>
      </c>
      <c r="AU152">
        <f>IF($AR152="","",IF($AR152=0,LN($F152/$AS152)/$AT152,((($F152/$AS152)^$AR152)-1)/($AR152*$AT152)))</f>
        <v/>
      </c>
      <c r="AV152">
        <f>IF($AR152="","",IF($AR152=0,$AS152*EXP($AT152*2),$AS152*(1+$AR152*$AT152*2)^(1/$AR152)))</f>
        <v/>
      </c>
      <c r="AW152">
        <f>IF($AR152="","",IF($AR152=0,$AS152*EXP($AT152*3),$AS152*(1+$AR152*$AT152*3)^(1/$AR152)))</f>
        <v/>
      </c>
      <c r="AX152">
        <f>IF($AR152="","",IF($AR152=0,$AS152*EXP($AT152*-2),$AS152*(1+$AR152*$AT152*-2)^(1/$AR152)))</f>
        <v/>
      </c>
      <c r="AY152">
        <f>IF($AR152="","",IF($AR152=0,$AS152*EXP($AT152*-3),$AS152*(1+$AR152*$AT152*-3)^(1/$AR152)))</f>
        <v/>
      </c>
      <c r="AZ152">
        <f>IF(OR($A152="",$A152&lt;&gt;Ficha!$C$4),"",COUNTIF($A$2:$A152,Ficha!$C$4))</f>
        <v/>
      </c>
    </row>
    <row r="153">
      <c r="A153" s="8">
        <f>IF(INDEX(Banco!$A:$A,ROW())="","",INDEX(Banco!$A:$A,ROW()))</f>
        <v/>
      </c>
      <c r="B153" s="8">
        <f>IF(INDEX(Banco!$B:$B,ROW())="","",INDEX(Banco!$B:$B,ROW()))</f>
        <v/>
      </c>
      <c r="C153" s="8">
        <f>IF(INDEX(Banco!$C:$C,ROW())="","",INDEX(Banco!$C:$C,ROW()))</f>
        <v/>
      </c>
      <c r="D153" s="9">
        <f>IF(INDEX(Banco!$D:$D,ROW())="","",INDEX(Banco!$D:$D,ROW()))</f>
        <v/>
      </c>
      <c r="E153" s="9">
        <f>IF(INDEX(Banco!$E:$E,ROW())="","",INDEX(Banco!$E:$E,ROW()))</f>
        <v/>
      </c>
      <c r="F153" s="10">
        <f>IF(INDEX(Banco!$F:$F,ROW())="","",INDEX(Banco!$F:$F,ROW()))</f>
        <v/>
      </c>
      <c r="G153" s="10">
        <f>IF(INDEX(Banco!$G:$G,ROW())="","",INDEX(Banco!$G:$G,ROW()))</f>
        <v/>
      </c>
      <c r="H153" s="8">
        <f>IF(INDEX(Banco!$H:$H,ROW())="","",INDEX(Banco!$H:$H,ROW()))</f>
        <v/>
      </c>
      <c r="I153">
        <f>IF($T153="","",INT($T153/12)&amp;"a "&amp;MOD($T153,12)&amp;"m")</f>
        <v/>
      </c>
      <c r="J153" s="11">
        <f>IF(OR($F153="",$G153=""),"",ROUND($F153/($G153/100)^2,2))</f>
        <v/>
      </c>
      <c r="K153" s="12">
        <f>IF(OR($S153="",$J153="",$T153="",$T153&lt;0,$T153&gt;228,$Y153=""),"—",ROUND(IF(ABS($AB153)&lt;=3,$AB153,IF($AB153&gt;3,3+($J153-$AD153)/($AD153-$AC153),-3+($J153-$AF153)/($AE153-$AF153))),2))</f>
        <v/>
      </c>
      <c r="L153">
        <f>IF(OR($K153="",$K153="—"),"",IF($T153&lt;=60,IF($K153&lt;-3,"Magreza acentuada",IF($K153&lt;-2,"Magreza",IF($K153&lt;=1,"Eutrofia",IF($K153&lt;=2,"Risco de sobrepeso",IF($K153&lt;=3,"Sobrepeso","Obesidade"))))),IF($K153&lt;-3,"Magreza acentuada",IF($K153&lt;-2,"Magreza",IF($K153&lt;=1,"Eutrofia",IF($K153&lt;=2,"Sobrepeso",IF($K153&lt;=3,"Obesidade","Obesidade grave")))))))</f>
        <v/>
      </c>
      <c r="M153" s="12">
        <f>IF(OR($S153="",$V153="",$T153="",$T153&lt;0,$T153&gt;228,$AG153=""),"—",ROUND(IF($AG153=0,LN($V153/$AH153)/$AI153,((($V153/$AH153)^$AG153)-1)/($AG153*$AI153)),2))</f>
        <v/>
      </c>
      <c r="N153">
        <f>IF(OR($M153="",$M153="—"),"",IF($M153&lt;-3,"Muito baixa",IF($M153&lt;-2,"Baixa","Adequada")))</f>
        <v/>
      </c>
      <c r="O153" s="12">
        <f>IF(OR($S153="",$F153="",$T153="",$T153&lt;0,$T153&gt;120,$AJ153=""),"—",ROUND(IF(ABS($AM153)&lt;=3,$AM153,IF($AM153&gt;3,3+($F153-$AO153)/($AO153-$AN153),-3+($F153-$AQ153)/($AP153-$AQ153))),2))</f>
        <v/>
      </c>
      <c r="P153">
        <f>IF(OR($O153="",$O153="—"),"",IF($O153&lt;-3,"Muito baixo",IF($O153&lt;-2,"Baixo",IF($O153&lt;=2,"Adequado","Elevado"))))</f>
        <v/>
      </c>
      <c r="Q153" s="12">
        <f>IF(OR($S153="",$F153="",$T153="",$T153&lt;0,$T153&gt;60,$AR153=""),"—",ROUND(IF(ABS($AU153)&lt;=3,$AU153,IF($AU153&gt;3,3+($F153-$AW153)/($AW153-$AV153),-3+($F153-$AY153)/($AX153-$AY153))),2))</f>
        <v/>
      </c>
      <c r="R153">
        <f>IF(OR($Q153="",$Q153="—"),"",IF($Q153&lt;-3,"Magreza acentuada",IF($Q153&lt;-2,"Magreza",IF($Q153&lt;=1,"Eutrofia",IF($Q153&lt;=2,"Risco de sobrepeso",IF($Q153&lt;=3,"Sobrepeso","Obesidade"))))))</f>
        <v/>
      </c>
      <c r="S153">
        <f>IF($C153="","",IF(UPPER(LEFT($C153,1))="M",1,IF(UPPER(LEFT($C153,1))="F",2,"")))</f>
        <v/>
      </c>
      <c r="T153">
        <f>IF(OR($D153="",$E153=""),"",DATEDIF($D153,$E153,"m"))</f>
        <v/>
      </c>
      <c r="U153">
        <f>IF(OR($D153="",$E153=""),"",$E153-$D153)</f>
        <v/>
      </c>
      <c r="V153">
        <f>IF(OR($G153="",$T153=""),"",IF($T153&lt;24,IF(LEFT(LOWER($H153),4)="em p",$G153+0.7,$G153),IF(LEFT(LOWER($H153),4)="deit",$G153-0.7,$G153)))</f>
        <v/>
      </c>
      <c r="W153">
        <f>IF(OR($S153="",$T153=""),"",$S153*1000000+IF($T153&lt;=60,$U153,$T153))</f>
        <v/>
      </c>
      <c r="X153">
        <f>IF(OR($S153="",$V153="",$T153&gt;60,$T153=""),"",$S153*1000000+ROUND($V153*10,0))</f>
        <v/>
      </c>
      <c r="Y153">
        <f>IF($W153="","",IFERROR(INDEX(IF($T153&lt;=60,imc05_l,imc519_l),MATCH($W153,IF($T153&lt;=60,imc05_k,imc519_k),1)),""))</f>
        <v/>
      </c>
      <c r="Z153">
        <f>IF($W153="","",IFERROR(INDEX(IF($T153&lt;=60,imc05_m,imc519_m),MATCH($W153,IF($T153&lt;=60,imc05_k,imc519_k),1)),""))</f>
        <v/>
      </c>
      <c r="AA153">
        <f>IF($W153="","",IFERROR(INDEX(IF($T153&lt;=60,imc05_s,imc519_s),MATCH($W153,IF($T153&lt;=60,imc05_k,imc519_k),1)),""))</f>
        <v/>
      </c>
      <c r="AB153">
        <f>IF($Y153="","",IF($Y153=0,LN($J153/$Z153)/$AA153,((($J153/$Z153)^$Y153)-1)/($Y153*$AA153)))</f>
        <v/>
      </c>
      <c r="AC153">
        <f>IF($Y153="","",IF($Y153=0,$Z153*EXP($AA153*2),$Z153*(1+$Y153*$AA153*2)^(1/$Y153)))</f>
        <v/>
      </c>
      <c r="AD153">
        <f>IF($Y153="","",IF($Y153=0,$Z153*EXP($AA153*3),$Z153*(1+$Y153*$AA153*3)^(1/$Y153)))</f>
        <v/>
      </c>
      <c r="AE153">
        <f>IF($Y153="","",IF($Y153=0,$Z153*EXP($AA153*-2),$Z153*(1+$Y153*$AA153*-2)^(1/$Y153)))</f>
        <v/>
      </c>
      <c r="AF153">
        <f>IF($Y153="","",IF($Y153=0,$Z153*EXP($AA153*-3),$Z153*(1+$Y153*$AA153*-3)^(1/$Y153)))</f>
        <v/>
      </c>
      <c r="AG153">
        <f>IF($W153="","",IFERROR(INDEX(IF($T153&lt;=60,est05_l,est519_l),MATCH($W153,IF($T153&lt;=60,est05_k,est519_k),1)),""))</f>
        <v/>
      </c>
      <c r="AH153">
        <f>IF($W153="","",IFERROR(INDEX(IF($T153&lt;=60,est05_m,est519_m),MATCH($W153,IF($T153&lt;=60,est05_k,est519_k),1)),""))</f>
        <v/>
      </c>
      <c r="AI153">
        <f>IF($W153="","",IFERROR(INDEX(IF($T153&lt;=60,est05_s,est519_s),MATCH($W153,IF($T153&lt;=60,est05_k,est519_k),1)),""))</f>
        <v/>
      </c>
      <c r="AJ153">
        <f>IF($W153="","",IFERROR(INDEX(IF($T153&lt;=60,peso05_l,peso510_l),MATCH($W153,IF($T153&lt;=60,peso05_k,peso510_k),1)),""))</f>
        <v/>
      </c>
      <c r="AK153">
        <f>IF($W153="","",IFERROR(INDEX(IF($T153&lt;=60,peso05_m,peso510_m),MATCH($W153,IF($T153&lt;=60,peso05_k,peso510_k),1)),""))</f>
        <v/>
      </c>
      <c r="AL153">
        <f>IF($W153="","",IFERROR(INDEX(IF($T153&lt;=60,peso05_s,peso510_s),MATCH($W153,IF($T153&lt;=60,peso05_k,peso510_k),1)),""))</f>
        <v/>
      </c>
      <c r="AM153">
        <f>IF($AJ153="","",IF($AJ153=0,LN($F153/$AK153)/$AL153,((($F153/$AK153)^$AJ153)-1)/($AJ153*$AL153)))</f>
        <v/>
      </c>
      <c r="AN153">
        <f>IF($AJ153="","",IF($AJ153=0,$AK153*EXP($AL153*2),$AK153*(1+$AJ153*$AL153*2)^(1/$AJ153)))</f>
        <v/>
      </c>
      <c r="AO153">
        <f>IF($AJ153="","",IF($AJ153=0,$AK153*EXP($AL153*3),$AK153*(1+$AJ153*$AL153*3)^(1/$AJ153)))</f>
        <v/>
      </c>
      <c r="AP153">
        <f>IF($AJ153="","",IF($AJ153=0,$AK153*EXP($AL153*-2),$AK153*(1+$AJ153*$AL153*-2)^(1/$AJ153)))</f>
        <v/>
      </c>
      <c r="AQ153">
        <f>IF($AJ153="","",IF($AJ153=0,$AK153*EXP($AL153*-3),$AK153*(1+$AJ153*$AL153*-3)^(1/$AJ153)))</f>
        <v/>
      </c>
      <c r="AR153">
        <f>IF(OR($X153="",$T153&gt;60),"",IFERROR(INDEX(IF($T153&lt;24,pcomp_l,palt_l),MATCH($X153,IF($T153&lt;24,pcomp_k,palt_k),1)),""))</f>
        <v/>
      </c>
      <c r="AS153">
        <f>IF(OR($X153="",$T153&gt;60),"",IFERROR(INDEX(IF($T153&lt;24,pcomp_m,palt_m),MATCH($X153,IF($T153&lt;24,pcomp_k,palt_k),1)),""))</f>
        <v/>
      </c>
      <c r="AT153">
        <f>IF(OR($X153="",$T153&gt;60),"",IFERROR(INDEX(IF($T153&lt;24,pcomp_s,palt_s),MATCH($X153,IF($T153&lt;24,pcomp_k,palt_k),1)),""))</f>
        <v/>
      </c>
      <c r="AU153">
        <f>IF($AR153="","",IF($AR153=0,LN($F153/$AS153)/$AT153,((($F153/$AS153)^$AR153)-1)/($AR153*$AT153)))</f>
        <v/>
      </c>
      <c r="AV153">
        <f>IF($AR153="","",IF($AR153=0,$AS153*EXP($AT153*2),$AS153*(1+$AR153*$AT153*2)^(1/$AR153)))</f>
        <v/>
      </c>
      <c r="AW153">
        <f>IF($AR153="","",IF($AR153=0,$AS153*EXP($AT153*3),$AS153*(1+$AR153*$AT153*3)^(1/$AR153)))</f>
        <v/>
      </c>
      <c r="AX153">
        <f>IF($AR153="","",IF($AR153=0,$AS153*EXP($AT153*-2),$AS153*(1+$AR153*$AT153*-2)^(1/$AR153)))</f>
        <v/>
      </c>
      <c r="AY153">
        <f>IF($AR153="","",IF($AR153=0,$AS153*EXP($AT153*-3),$AS153*(1+$AR153*$AT153*-3)^(1/$AR153)))</f>
        <v/>
      </c>
      <c r="AZ153">
        <f>IF(OR($A153="",$A153&lt;&gt;Ficha!$C$4),"",COUNTIF($A$2:$A153,Ficha!$C$4))</f>
        <v/>
      </c>
    </row>
    <row r="154">
      <c r="A154" s="8">
        <f>IF(INDEX(Banco!$A:$A,ROW())="","",INDEX(Banco!$A:$A,ROW()))</f>
        <v/>
      </c>
      <c r="B154" s="8">
        <f>IF(INDEX(Banco!$B:$B,ROW())="","",INDEX(Banco!$B:$B,ROW()))</f>
        <v/>
      </c>
      <c r="C154" s="8">
        <f>IF(INDEX(Banco!$C:$C,ROW())="","",INDEX(Banco!$C:$C,ROW()))</f>
        <v/>
      </c>
      <c r="D154" s="9">
        <f>IF(INDEX(Banco!$D:$D,ROW())="","",INDEX(Banco!$D:$D,ROW()))</f>
        <v/>
      </c>
      <c r="E154" s="9">
        <f>IF(INDEX(Banco!$E:$E,ROW())="","",INDEX(Banco!$E:$E,ROW()))</f>
        <v/>
      </c>
      <c r="F154" s="10">
        <f>IF(INDEX(Banco!$F:$F,ROW())="","",INDEX(Banco!$F:$F,ROW()))</f>
        <v/>
      </c>
      <c r="G154" s="10">
        <f>IF(INDEX(Banco!$G:$G,ROW())="","",INDEX(Banco!$G:$G,ROW()))</f>
        <v/>
      </c>
      <c r="H154" s="8">
        <f>IF(INDEX(Banco!$H:$H,ROW())="","",INDEX(Banco!$H:$H,ROW()))</f>
        <v/>
      </c>
      <c r="I154">
        <f>IF($T154="","",INT($T154/12)&amp;"a "&amp;MOD($T154,12)&amp;"m")</f>
        <v/>
      </c>
      <c r="J154" s="11">
        <f>IF(OR($F154="",$G154=""),"",ROUND($F154/($G154/100)^2,2))</f>
        <v/>
      </c>
      <c r="K154" s="12">
        <f>IF(OR($S154="",$J154="",$T154="",$T154&lt;0,$T154&gt;228,$Y154=""),"—",ROUND(IF(ABS($AB154)&lt;=3,$AB154,IF($AB154&gt;3,3+($J154-$AD154)/($AD154-$AC154),-3+($J154-$AF154)/($AE154-$AF154))),2))</f>
        <v/>
      </c>
      <c r="L154">
        <f>IF(OR($K154="",$K154="—"),"",IF($T154&lt;=60,IF($K154&lt;-3,"Magreza acentuada",IF($K154&lt;-2,"Magreza",IF($K154&lt;=1,"Eutrofia",IF($K154&lt;=2,"Risco de sobrepeso",IF($K154&lt;=3,"Sobrepeso","Obesidade"))))),IF($K154&lt;-3,"Magreza acentuada",IF($K154&lt;-2,"Magreza",IF($K154&lt;=1,"Eutrofia",IF($K154&lt;=2,"Sobrepeso",IF($K154&lt;=3,"Obesidade","Obesidade grave")))))))</f>
        <v/>
      </c>
      <c r="M154" s="12">
        <f>IF(OR($S154="",$V154="",$T154="",$T154&lt;0,$T154&gt;228,$AG154=""),"—",ROUND(IF($AG154=0,LN($V154/$AH154)/$AI154,((($V154/$AH154)^$AG154)-1)/($AG154*$AI154)),2))</f>
        <v/>
      </c>
      <c r="N154">
        <f>IF(OR($M154="",$M154="—"),"",IF($M154&lt;-3,"Muito baixa",IF($M154&lt;-2,"Baixa","Adequada")))</f>
        <v/>
      </c>
      <c r="O154" s="12">
        <f>IF(OR($S154="",$F154="",$T154="",$T154&lt;0,$T154&gt;120,$AJ154=""),"—",ROUND(IF(ABS($AM154)&lt;=3,$AM154,IF($AM154&gt;3,3+($F154-$AO154)/($AO154-$AN154),-3+($F154-$AQ154)/($AP154-$AQ154))),2))</f>
        <v/>
      </c>
      <c r="P154">
        <f>IF(OR($O154="",$O154="—"),"",IF($O154&lt;-3,"Muito baixo",IF($O154&lt;-2,"Baixo",IF($O154&lt;=2,"Adequado","Elevado"))))</f>
        <v/>
      </c>
      <c r="Q154" s="12">
        <f>IF(OR($S154="",$F154="",$T154="",$T154&lt;0,$T154&gt;60,$AR154=""),"—",ROUND(IF(ABS($AU154)&lt;=3,$AU154,IF($AU154&gt;3,3+($F154-$AW154)/($AW154-$AV154),-3+($F154-$AY154)/($AX154-$AY154))),2))</f>
        <v/>
      </c>
      <c r="R154">
        <f>IF(OR($Q154="",$Q154="—"),"",IF($Q154&lt;-3,"Magreza acentuada",IF($Q154&lt;-2,"Magreza",IF($Q154&lt;=1,"Eutrofia",IF($Q154&lt;=2,"Risco de sobrepeso",IF($Q154&lt;=3,"Sobrepeso","Obesidade"))))))</f>
        <v/>
      </c>
      <c r="S154">
        <f>IF($C154="","",IF(UPPER(LEFT($C154,1))="M",1,IF(UPPER(LEFT($C154,1))="F",2,"")))</f>
        <v/>
      </c>
      <c r="T154">
        <f>IF(OR($D154="",$E154=""),"",DATEDIF($D154,$E154,"m"))</f>
        <v/>
      </c>
      <c r="U154">
        <f>IF(OR($D154="",$E154=""),"",$E154-$D154)</f>
        <v/>
      </c>
      <c r="V154">
        <f>IF(OR($G154="",$T154=""),"",IF($T154&lt;24,IF(LEFT(LOWER($H154),4)="em p",$G154+0.7,$G154),IF(LEFT(LOWER($H154),4)="deit",$G154-0.7,$G154)))</f>
        <v/>
      </c>
      <c r="W154">
        <f>IF(OR($S154="",$T154=""),"",$S154*1000000+IF($T154&lt;=60,$U154,$T154))</f>
        <v/>
      </c>
      <c r="X154">
        <f>IF(OR($S154="",$V154="",$T154&gt;60,$T154=""),"",$S154*1000000+ROUND($V154*10,0))</f>
        <v/>
      </c>
      <c r="Y154">
        <f>IF($W154="","",IFERROR(INDEX(IF($T154&lt;=60,imc05_l,imc519_l),MATCH($W154,IF($T154&lt;=60,imc05_k,imc519_k),1)),""))</f>
        <v/>
      </c>
      <c r="Z154">
        <f>IF($W154="","",IFERROR(INDEX(IF($T154&lt;=60,imc05_m,imc519_m),MATCH($W154,IF($T154&lt;=60,imc05_k,imc519_k),1)),""))</f>
        <v/>
      </c>
      <c r="AA154">
        <f>IF($W154="","",IFERROR(INDEX(IF($T154&lt;=60,imc05_s,imc519_s),MATCH($W154,IF($T154&lt;=60,imc05_k,imc519_k),1)),""))</f>
        <v/>
      </c>
      <c r="AB154">
        <f>IF($Y154="","",IF($Y154=0,LN($J154/$Z154)/$AA154,((($J154/$Z154)^$Y154)-1)/($Y154*$AA154)))</f>
        <v/>
      </c>
      <c r="AC154">
        <f>IF($Y154="","",IF($Y154=0,$Z154*EXP($AA154*2),$Z154*(1+$Y154*$AA154*2)^(1/$Y154)))</f>
        <v/>
      </c>
      <c r="AD154">
        <f>IF($Y154="","",IF($Y154=0,$Z154*EXP($AA154*3),$Z154*(1+$Y154*$AA154*3)^(1/$Y154)))</f>
        <v/>
      </c>
      <c r="AE154">
        <f>IF($Y154="","",IF($Y154=0,$Z154*EXP($AA154*-2),$Z154*(1+$Y154*$AA154*-2)^(1/$Y154)))</f>
        <v/>
      </c>
      <c r="AF154">
        <f>IF($Y154="","",IF($Y154=0,$Z154*EXP($AA154*-3),$Z154*(1+$Y154*$AA154*-3)^(1/$Y154)))</f>
        <v/>
      </c>
      <c r="AG154">
        <f>IF($W154="","",IFERROR(INDEX(IF($T154&lt;=60,est05_l,est519_l),MATCH($W154,IF($T154&lt;=60,est05_k,est519_k),1)),""))</f>
        <v/>
      </c>
      <c r="AH154">
        <f>IF($W154="","",IFERROR(INDEX(IF($T154&lt;=60,est05_m,est519_m),MATCH($W154,IF($T154&lt;=60,est05_k,est519_k),1)),""))</f>
        <v/>
      </c>
      <c r="AI154">
        <f>IF($W154="","",IFERROR(INDEX(IF($T154&lt;=60,est05_s,est519_s),MATCH($W154,IF($T154&lt;=60,est05_k,est519_k),1)),""))</f>
        <v/>
      </c>
      <c r="AJ154">
        <f>IF($W154="","",IFERROR(INDEX(IF($T154&lt;=60,peso05_l,peso510_l),MATCH($W154,IF($T154&lt;=60,peso05_k,peso510_k),1)),""))</f>
        <v/>
      </c>
      <c r="AK154">
        <f>IF($W154="","",IFERROR(INDEX(IF($T154&lt;=60,peso05_m,peso510_m),MATCH($W154,IF($T154&lt;=60,peso05_k,peso510_k),1)),""))</f>
        <v/>
      </c>
      <c r="AL154">
        <f>IF($W154="","",IFERROR(INDEX(IF($T154&lt;=60,peso05_s,peso510_s),MATCH($W154,IF($T154&lt;=60,peso05_k,peso510_k),1)),""))</f>
        <v/>
      </c>
      <c r="AM154">
        <f>IF($AJ154="","",IF($AJ154=0,LN($F154/$AK154)/$AL154,((($F154/$AK154)^$AJ154)-1)/($AJ154*$AL154)))</f>
        <v/>
      </c>
      <c r="AN154">
        <f>IF($AJ154="","",IF($AJ154=0,$AK154*EXP($AL154*2),$AK154*(1+$AJ154*$AL154*2)^(1/$AJ154)))</f>
        <v/>
      </c>
      <c r="AO154">
        <f>IF($AJ154="","",IF($AJ154=0,$AK154*EXP($AL154*3),$AK154*(1+$AJ154*$AL154*3)^(1/$AJ154)))</f>
        <v/>
      </c>
      <c r="AP154">
        <f>IF($AJ154="","",IF($AJ154=0,$AK154*EXP($AL154*-2),$AK154*(1+$AJ154*$AL154*-2)^(1/$AJ154)))</f>
        <v/>
      </c>
      <c r="AQ154">
        <f>IF($AJ154="","",IF($AJ154=0,$AK154*EXP($AL154*-3),$AK154*(1+$AJ154*$AL154*-3)^(1/$AJ154)))</f>
        <v/>
      </c>
      <c r="AR154">
        <f>IF(OR($X154="",$T154&gt;60),"",IFERROR(INDEX(IF($T154&lt;24,pcomp_l,palt_l),MATCH($X154,IF($T154&lt;24,pcomp_k,palt_k),1)),""))</f>
        <v/>
      </c>
      <c r="AS154">
        <f>IF(OR($X154="",$T154&gt;60),"",IFERROR(INDEX(IF($T154&lt;24,pcomp_m,palt_m),MATCH($X154,IF($T154&lt;24,pcomp_k,palt_k),1)),""))</f>
        <v/>
      </c>
      <c r="AT154">
        <f>IF(OR($X154="",$T154&gt;60),"",IFERROR(INDEX(IF($T154&lt;24,pcomp_s,palt_s),MATCH($X154,IF($T154&lt;24,pcomp_k,palt_k),1)),""))</f>
        <v/>
      </c>
      <c r="AU154">
        <f>IF($AR154="","",IF($AR154=0,LN($F154/$AS154)/$AT154,((($F154/$AS154)^$AR154)-1)/($AR154*$AT154)))</f>
        <v/>
      </c>
      <c r="AV154">
        <f>IF($AR154="","",IF($AR154=0,$AS154*EXP($AT154*2),$AS154*(1+$AR154*$AT154*2)^(1/$AR154)))</f>
        <v/>
      </c>
      <c r="AW154">
        <f>IF($AR154="","",IF($AR154=0,$AS154*EXP($AT154*3),$AS154*(1+$AR154*$AT154*3)^(1/$AR154)))</f>
        <v/>
      </c>
      <c r="AX154">
        <f>IF($AR154="","",IF($AR154=0,$AS154*EXP($AT154*-2),$AS154*(1+$AR154*$AT154*-2)^(1/$AR154)))</f>
        <v/>
      </c>
      <c r="AY154">
        <f>IF($AR154="","",IF($AR154=0,$AS154*EXP($AT154*-3),$AS154*(1+$AR154*$AT154*-3)^(1/$AR154)))</f>
        <v/>
      </c>
      <c r="AZ154">
        <f>IF(OR($A154="",$A154&lt;&gt;Ficha!$C$4),"",COUNTIF($A$2:$A154,Ficha!$C$4))</f>
        <v/>
      </c>
    </row>
    <row r="155">
      <c r="A155" s="8">
        <f>IF(INDEX(Banco!$A:$A,ROW())="","",INDEX(Banco!$A:$A,ROW()))</f>
        <v/>
      </c>
      <c r="B155" s="8">
        <f>IF(INDEX(Banco!$B:$B,ROW())="","",INDEX(Banco!$B:$B,ROW()))</f>
        <v/>
      </c>
      <c r="C155" s="8">
        <f>IF(INDEX(Banco!$C:$C,ROW())="","",INDEX(Banco!$C:$C,ROW()))</f>
        <v/>
      </c>
      <c r="D155" s="9">
        <f>IF(INDEX(Banco!$D:$D,ROW())="","",INDEX(Banco!$D:$D,ROW()))</f>
        <v/>
      </c>
      <c r="E155" s="9">
        <f>IF(INDEX(Banco!$E:$E,ROW())="","",INDEX(Banco!$E:$E,ROW()))</f>
        <v/>
      </c>
      <c r="F155" s="10">
        <f>IF(INDEX(Banco!$F:$F,ROW())="","",INDEX(Banco!$F:$F,ROW()))</f>
        <v/>
      </c>
      <c r="G155" s="10">
        <f>IF(INDEX(Banco!$G:$G,ROW())="","",INDEX(Banco!$G:$G,ROW()))</f>
        <v/>
      </c>
      <c r="H155" s="8">
        <f>IF(INDEX(Banco!$H:$H,ROW())="","",INDEX(Banco!$H:$H,ROW()))</f>
        <v/>
      </c>
      <c r="I155">
        <f>IF($T155="","",INT($T155/12)&amp;"a "&amp;MOD($T155,12)&amp;"m")</f>
        <v/>
      </c>
      <c r="J155" s="11">
        <f>IF(OR($F155="",$G155=""),"",ROUND($F155/($G155/100)^2,2))</f>
        <v/>
      </c>
      <c r="K155" s="12">
        <f>IF(OR($S155="",$J155="",$T155="",$T155&lt;0,$T155&gt;228,$Y155=""),"—",ROUND(IF(ABS($AB155)&lt;=3,$AB155,IF($AB155&gt;3,3+($J155-$AD155)/($AD155-$AC155),-3+($J155-$AF155)/($AE155-$AF155))),2))</f>
        <v/>
      </c>
      <c r="L155">
        <f>IF(OR($K155="",$K155="—"),"",IF($T155&lt;=60,IF($K155&lt;-3,"Magreza acentuada",IF($K155&lt;-2,"Magreza",IF($K155&lt;=1,"Eutrofia",IF($K155&lt;=2,"Risco de sobrepeso",IF($K155&lt;=3,"Sobrepeso","Obesidade"))))),IF($K155&lt;-3,"Magreza acentuada",IF($K155&lt;-2,"Magreza",IF($K155&lt;=1,"Eutrofia",IF($K155&lt;=2,"Sobrepeso",IF($K155&lt;=3,"Obesidade","Obesidade grave")))))))</f>
        <v/>
      </c>
      <c r="M155" s="12">
        <f>IF(OR($S155="",$V155="",$T155="",$T155&lt;0,$T155&gt;228,$AG155=""),"—",ROUND(IF($AG155=0,LN($V155/$AH155)/$AI155,((($V155/$AH155)^$AG155)-1)/($AG155*$AI155)),2))</f>
        <v/>
      </c>
      <c r="N155">
        <f>IF(OR($M155="",$M155="—"),"",IF($M155&lt;-3,"Muito baixa",IF($M155&lt;-2,"Baixa","Adequada")))</f>
        <v/>
      </c>
      <c r="O155" s="12">
        <f>IF(OR($S155="",$F155="",$T155="",$T155&lt;0,$T155&gt;120,$AJ155=""),"—",ROUND(IF(ABS($AM155)&lt;=3,$AM155,IF($AM155&gt;3,3+($F155-$AO155)/($AO155-$AN155),-3+($F155-$AQ155)/($AP155-$AQ155))),2))</f>
        <v/>
      </c>
      <c r="P155">
        <f>IF(OR($O155="",$O155="—"),"",IF($O155&lt;-3,"Muito baixo",IF($O155&lt;-2,"Baixo",IF($O155&lt;=2,"Adequado","Elevado"))))</f>
        <v/>
      </c>
      <c r="Q155" s="12">
        <f>IF(OR($S155="",$F155="",$T155="",$T155&lt;0,$T155&gt;60,$AR155=""),"—",ROUND(IF(ABS($AU155)&lt;=3,$AU155,IF($AU155&gt;3,3+($F155-$AW155)/($AW155-$AV155),-3+($F155-$AY155)/($AX155-$AY155))),2))</f>
        <v/>
      </c>
      <c r="R155">
        <f>IF(OR($Q155="",$Q155="—"),"",IF($Q155&lt;-3,"Magreza acentuada",IF($Q155&lt;-2,"Magreza",IF($Q155&lt;=1,"Eutrofia",IF($Q155&lt;=2,"Risco de sobrepeso",IF($Q155&lt;=3,"Sobrepeso","Obesidade"))))))</f>
        <v/>
      </c>
      <c r="S155">
        <f>IF($C155="","",IF(UPPER(LEFT($C155,1))="M",1,IF(UPPER(LEFT($C155,1))="F",2,"")))</f>
        <v/>
      </c>
      <c r="T155">
        <f>IF(OR($D155="",$E155=""),"",DATEDIF($D155,$E155,"m"))</f>
        <v/>
      </c>
      <c r="U155">
        <f>IF(OR($D155="",$E155=""),"",$E155-$D155)</f>
        <v/>
      </c>
      <c r="V155">
        <f>IF(OR($G155="",$T155=""),"",IF($T155&lt;24,IF(LEFT(LOWER($H155),4)="em p",$G155+0.7,$G155),IF(LEFT(LOWER($H155),4)="deit",$G155-0.7,$G155)))</f>
        <v/>
      </c>
      <c r="W155">
        <f>IF(OR($S155="",$T155=""),"",$S155*1000000+IF($T155&lt;=60,$U155,$T155))</f>
        <v/>
      </c>
      <c r="X155">
        <f>IF(OR($S155="",$V155="",$T155&gt;60,$T155=""),"",$S155*1000000+ROUND($V155*10,0))</f>
        <v/>
      </c>
      <c r="Y155">
        <f>IF($W155="","",IFERROR(INDEX(IF($T155&lt;=60,imc05_l,imc519_l),MATCH($W155,IF($T155&lt;=60,imc05_k,imc519_k),1)),""))</f>
        <v/>
      </c>
      <c r="Z155">
        <f>IF($W155="","",IFERROR(INDEX(IF($T155&lt;=60,imc05_m,imc519_m),MATCH($W155,IF($T155&lt;=60,imc05_k,imc519_k),1)),""))</f>
        <v/>
      </c>
      <c r="AA155">
        <f>IF($W155="","",IFERROR(INDEX(IF($T155&lt;=60,imc05_s,imc519_s),MATCH($W155,IF($T155&lt;=60,imc05_k,imc519_k),1)),""))</f>
        <v/>
      </c>
      <c r="AB155">
        <f>IF($Y155="","",IF($Y155=0,LN($J155/$Z155)/$AA155,((($J155/$Z155)^$Y155)-1)/($Y155*$AA155)))</f>
        <v/>
      </c>
      <c r="AC155">
        <f>IF($Y155="","",IF($Y155=0,$Z155*EXP($AA155*2),$Z155*(1+$Y155*$AA155*2)^(1/$Y155)))</f>
        <v/>
      </c>
      <c r="AD155">
        <f>IF($Y155="","",IF($Y155=0,$Z155*EXP($AA155*3),$Z155*(1+$Y155*$AA155*3)^(1/$Y155)))</f>
        <v/>
      </c>
      <c r="AE155">
        <f>IF($Y155="","",IF($Y155=0,$Z155*EXP($AA155*-2),$Z155*(1+$Y155*$AA155*-2)^(1/$Y155)))</f>
        <v/>
      </c>
      <c r="AF155">
        <f>IF($Y155="","",IF($Y155=0,$Z155*EXP($AA155*-3),$Z155*(1+$Y155*$AA155*-3)^(1/$Y155)))</f>
        <v/>
      </c>
      <c r="AG155">
        <f>IF($W155="","",IFERROR(INDEX(IF($T155&lt;=60,est05_l,est519_l),MATCH($W155,IF($T155&lt;=60,est05_k,est519_k),1)),""))</f>
        <v/>
      </c>
      <c r="AH155">
        <f>IF($W155="","",IFERROR(INDEX(IF($T155&lt;=60,est05_m,est519_m),MATCH($W155,IF($T155&lt;=60,est05_k,est519_k),1)),""))</f>
        <v/>
      </c>
      <c r="AI155">
        <f>IF($W155="","",IFERROR(INDEX(IF($T155&lt;=60,est05_s,est519_s),MATCH($W155,IF($T155&lt;=60,est05_k,est519_k),1)),""))</f>
        <v/>
      </c>
      <c r="AJ155">
        <f>IF($W155="","",IFERROR(INDEX(IF($T155&lt;=60,peso05_l,peso510_l),MATCH($W155,IF($T155&lt;=60,peso05_k,peso510_k),1)),""))</f>
        <v/>
      </c>
      <c r="AK155">
        <f>IF($W155="","",IFERROR(INDEX(IF($T155&lt;=60,peso05_m,peso510_m),MATCH($W155,IF($T155&lt;=60,peso05_k,peso510_k),1)),""))</f>
        <v/>
      </c>
      <c r="AL155">
        <f>IF($W155="","",IFERROR(INDEX(IF($T155&lt;=60,peso05_s,peso510_s),MATCH($W155,IF($T155&lt;=60,peso05_k,peso510_k),1)),""))</f>
        <v/>
      </c>
      <c r="AM155">
        <f>IF($AJ155="","",IF($AJ155=0,LN($F155/$AK155)/$AL155,((($F155/$AK155)^$AJ155)-1)/($AJ155*$AL155)))</f>
        <v/>
      </c>
      <c r="AN155">
        <f>IF($AJ155="","",IF($AJ155=0,$AK155*EXP($AL155*2),$AK155*(1+$AJ155*$AL155*2)^(1/$AJ155)))</f>
        <v/>
      </c>
      <c r="AO155">
        <f>IF($AJ155="","",IF($AJ155=0,$AK155*EXP($AL155*3),$AK155*(1+$AJ155*$AL155*3)^(1/$AJ155)))</f>
        <v/>
      </c>
      <c r="AP155">
        <f>IF($AJ155="","",IF($AJ155=0,$AK155*EXP($AL155*-2),$AK155*(1+$AJ155*$AL155*-2)^(1/$AJ155)))</f>
        <v/>
      </c>
      <c r="AQ155">
        <f>IF($AJ155="","",IF($AJ155=0,$AK155*EXP($AL155*-3),$AK155*(1+$AJ155*$AL155*-3)^(1/$AJ155)))</f>
        <v/>
      </c>
      <c r="AR155">
        <f>IF(OR($X155="",$T155&gt;60),"",IFERROR(INDEX(IF($T155&lt;24,pcomp_l,palt_l),MATCH($X155,IF($T155&lt;24,pcomp_k,palt_k),1)),""))</f>
        <v/>
      </c>
      <c r="AS155">
        <f>IF(OR($X155="",$T155&gt;60),"",IFERROR(INDEX(IF($T155&lt;24,pcomp_m,palt_m),MATCH($X155,IF($T155&lt;24,pcomp_k,palt_k),1)),""))</f>
        <v/>
      </c>
      <c r="AT155">
        <f>IF(OR($X155="",$T155&gt;60),"",IFERROR(INDEX(IF($T155&lt;24,pcomp_s,palt_s),MATCH($X155,IF($T155&lt;24,pcomp_k,palt_k),1)),""))</f>
        <v/>
      </c>
      <c r="AU155">
        <f>IF($AR155="","",IF($AR155=0,LN($F155/$AS155)/$AT155,((($F155/$AS155)^$AR155)-1)/($AR155*$AT155)))</f>
        <v/>
      </c>
      <c r="AV155">
        <f>IF($AR155="","",IF($AR155=0,$AS155*EXP($AT155*2),$AS155*(1+$AR155*$AT155*2)^(1/$AR155)))</f>
        <v/>
      </c>
      <c r="AW155">
        <f>IF($AR155="","",IF($AR155=0,$AS155*EXP($AT155*3),$AS155*(1+$AR155*$AT155*3)^(1/$AR155)))</f>
        <v/>
      </c>
      <c r="AX155">
        <f>IF($AR155="","",IF($AR155=0,$AS155*EXP($AT155*-2),$AS155*(1+$AR155*$AT155*-2)^(1/$AR155)))</f>
        <v/>
      </c>
      <c r="AY155">
        <f>IF($AR155="","",IF($AR155=0,$AS155*EXP($AT155*-3),$AS155*(1+$AR155*$AT155*-3)^(1/$AR155)))</f>
        <v/>
      </c>
      <c r="AZ155">
        <f>IF(OR($A155="",$A155&lt;&gt;Ficha!$C$4),"",COUNTIF($A$2:$A155,Ficha!$C$4))</f>
        <v/>
      </c>
    </row>
    <row r="156">
      <c r="A156" s="8">
        <f>IF(INDEX(Banco!$A:$A,ROW())="","",INDEX(Banco!$A:$A,ROW()))</f>
        <v/>
      </c>
      <c r="B156" s="8">
        <f>IF(INDEX(Banco!$B:$B,ROW())="","",INDEX(Banco!$B:$B,ROW()))</f>
        <v/>
      </c>
      <c r="C156" s="8">
        <f>IF(INDEX(Banco!$C:$C,ROW())="","",INDEX(Banco!$C:$C,ROW()))</f>
        <v/>
      </c>
      <c r="D156" s="9">
        <f>IF(INDEX(Banco!$D:$D,ROW())="","",INDEX(Banco!$D:$D,ROW()))</f>
        <v/>
      </c>
      <c r="E156" s="9">
        <f>IF(INDEX(Banco!$E:$E,ROW())="","",INDEX(Banco!$E:$E,ROW()))</f>
        <v/>
      </c>
      <c r="F156" s="10">
        <f>IF(INDEX(Banco!$F:$F,ROW())="","",INDEX(Banco!$F:$F,ROW()))</f>
        <v/>
      </c>
      <c r="G156" s="10">
        <f>IF(INDEX(Banco!$G:$G,ROW())="","",INDEX(Banco!$G:$G,ROW()))</f>
        <v/>
      </c>
      <c r="H156" s="8">
        <f>IF(INDEX(Banco!$H:$H,ROW())="","",INDEX(Banco!$H:$H,ROW()))</f>
        <v/>
      </c>
      <c r="I156">
        <f>IF($T156="","",INT($T156/12)&amp;"a "&amp;MOD($T156,12)&amp;"m")</f>
        <v/>
      </c>
      <c r="J156" s="11">
        <f>IF(OR($F156="",$G156=""),"",ROUND($F156/($G156/100)^2,2))</f>
        <v/>
      </c>
      <c r="K156" s="12">
        <f>IF(OR($S156="",$J156="",$T156="",$T156&lt;0,$T156&gt;228,$Y156=""),"—",ROUND(IF(ABS($AB156)&lt;=3,$AB156,IF($AB156&gt;3,3+($J156-$AD156)/($AD156-$AC156),-3+($J156-$AF156)/($AE156-$AF156))),2))</f>
        <v/>
      </c>
      <c r="L156">
        <f>IF(OR($K156="",$K156="—"),"",IF($T156&lt;=60,IF($K156&lt;-3,"Magreza acentuada",IF($K156&lt;-2,"Magreza",IF($K156&lt;=1,"Eutrofia",IF($K156&lt;=2,"Risco de sobrepeso",IF($K156&lt;=3,"Sobrepeso","Obesidade"))))),IF($K156&lt;-3,"Magreza acentuada",IF($K156&lt;-2,"Magreza",IF($K156&lt;=1,"Eutrofia",IF($K156&lt;=2,"Sobrepeso",IF($K156&lt;=3,"Obesidade","Obesidade grave")))))))</f>
        <v/>
      </c>
      <c r="M156" s="12">
        <f>IF(OR($S156="",$V156="",$T156="",$T156&lt;0,$T156&gt;228,$AG156=""),"—",ROUND(IF($AG156=0,LN($V156/$AH156)/$AI156,((($V156/$AH156)^$AG156)-1)/($AG156*$AI156)),2))</f>
        <v/>
      </c>
      <c r="N156">
        <f>IF(OR($M156="",$M156="—"),"",IF($M156&lt;-3,"Muito baixa",IF($M156&lt;-2,"Baixa","Adequada")))</f>
        <v/>
      </c>
      <c r="O156" s="12">
        <f>IF(OR($S156="",$F156="",$T156="",$T156&lt;0,$T156&gt;120,$AJ156=""),"—",ROUND(IF(ABS($AM156)&lt;=3,$AM156,IF($AM156&gt;3,3+($F156-$AO156)/($AO156-$AN156),-3+($F156-$AQ156)/($AP156-$AQ156))),2))</f>
        <v/>
      </c>
      <c r="P156">
        <f>IF(OR($O156="",$O156="—"),"",IF($O156&lt;-3,"Muito baixo",IF($O156&lt;-2,"Baixo",IF($O156&lt;=2,"Adequado","Elevado"))))</f>
        <v/>
      </c>
      <c r="Q156" s="12">
        <f>IF(OR($S156="",$F156="",$T156="",$T156&lt;0,$T156&gt;60,$AR156=""),"—",ROUND(IF(ABS($AU156)&lt;=3,$AU156,IF($AU156&gt;3,3+($F156-$AW156)/($AW156-$AV156),-3+($F156-$AY156)/($AX156-$AY156))),2))</f>
        <v/>
      </c>
      <c r="R156">
        <f>IF(OR($Q156="",$Q156="—"),"",IF($Q156&lt;-3,"Magreza acentuada",IF($Q156&lt;-2,"Magreza",IF($Q156&lt;=1,"Eutrofia",IF($Q156&lt;=2,"Risco de sobrepeso",IF($Q156&lt;=3,"Sobrepeso","Obesidade"))))))</f>
        <v/>
      </c>
      <c r="S156">
        <f>IF($C156="","",IF(UPPER(LEFT($C156,1))="M",1,IF(UPPER(LEFT($C156,1))="F",2,"")))</f>
        <v/>
      </c>
      <c r="T156">
        <f>IF(OR($D156="",$E156=""),"",DATEDIF($D156,$E156,"m"))</f>
        <v/>
      </c>
      <c r="U156">
        <f>IF(OR($D156="",$E156=""),"",$E156-$D156)</f>
        <v/>
      </c>
      <c r="V156">
        <f>IF(OR($G156="",$T156=""),"",IF($T156&lt;24,IF(LEFT(LOWER($H156),4)="em p",$G156+0.7,$G156),IF(LEFT(LOWER($H156),4)="deit",$G156-0.7,$G156)))</f>
        <v/>
      </c>
      <c r="W156">
        <f>IF(OR($S156="",$T156=""),"",$S156*1000000+IF($T156&lt;=60,$U156,$T156))</f>
        <v/>
      </c>
      <c r="X156">
        <f>IF(OR($S156="",$V156="",$T156&gt;60,$T156=""),"",$S156*1000000+ROUND($V156*10,0))</f>
        <v/>
      </c>
      <c r="Y156">
        <f>IF($W156="","",IFERROR(INDEX(IF($T156&lt;=60,imc05_l,imc519_l),MATCH($W156,IF($T156&lt;=60,imc05_k,imc519_k),1)),""))</f>
        <v/>
      </c>
      <c r="Z156">
        <f>IF($W156="","",IFERROR(INDEX(IF($T156&lt;=60,imc05_m,imc519_m),MATCH($W156,IF($T156&lt;=60,imc05_k,imc519_k),1)),""))</f>
        <v/>
      </c>
      <c r="AA156">
        <f>IF($W156="","",IFERROR(INDEX(IF($T156&lt;=60,imc05_s,imc519_s),MATCH($W156,IF($T156&lt;=60,imc05_k,imc519_k),1)),""))</f>
        <v/>
      </c>
      <c r="AB156">
        <f>IF($Y156="","",IF($Y156=0,LN($J156/$Z156)/$AA156,((($J156/$Z156)^$Y156)-1)/($Y156*$AA156)))</f>
        <v/>
      </c>
      <c r="AC156">
        <f>IF($Y156="","",IF($Y156=0,$Z156*EXP($AA156*2),$Z156*(1+$Y156*$AA156*2)^(1/$Y156)))</f>
        <v/>
      </c>
      <c r="AD156">
        <f>IF($Y156="","",IF($Y156=0,$Z156*EXP($AA156*3),$Z156*(1+$Y156*$AA156*3)^(1/$Y156)))</f>
        <v/>
      </c>
      <c r="AE156">
        <f>IF($Y156="","",IF($Y156=0,$Z156*EXP($AA156*-2),$Z156*(1+$Y156*$AA156*-2)^(1/$Y156)))</f>
        <v/>
      </c>
      <c r="AF156">
        <f>IF($Y156="","",IF($Y156=0,$Z156*EXP($AA156*-3),$Z156*(1+$Y156*$AA156*-3)^(1/$Y156)))</f>
        <v/>
      </c>
      <c r="AG156">
        <f>IF($W156="","",IFERROR(INDEX(IF($T156&lt;=60,est05_l,est519_l),MATCH($W156,IF($T156&lt;=60,est05_k,est519_k),1)),""))</f>
        <v/>
      </c>
      <c r="AH156">
        <f>IF($W156="","",IFERROR(INDEX(IF($T156&lt;=60,est05_m,est519_m),MATCH($W156,IF($T156&lt;=60,est05_k,est519_k),1)),""))</f>
        <v/>
      </c>
      <c r="AI156">
        <f>IF($W156="","",IFERROR(INDEX(IF($T156&lt;=60,est05_s,est519_s),MATCH($W156,IF($T156&lt;=60,est05_k,est519_k),1)),""))</f>
        <v/>
      </c>
      <c r="AJ156">
        <f>IF($W156="","",IFERROR(INDEX(IF($T156&lt;=60,peso05_l,peso510_l),MATCH($W156,IF($T156&lt;=60,peso05_k,peso510_k),1)),""))</f>
        <v/>
      </c>
      <c r="AK156">
        <f>IF($W156="","",IFERROR(INDEX(IF($T156&lt;=60,peso05_m,peso510_m),MATCH($W156,IF($T156&lt;=60,peso05_k,peso510_k),1)),""))</f>
        <v/>
      </c>
      <c r="AL156">
        <f>IF($W156="","",IFERROR(INDEX(IF($T156&lt;=60,peso05_s,peso510_s),MATCH($W156,IF($T156&lt;=60,peso05_k,peso510_k),1)),""))</f>
        <v/>
      </c>
      <c r="AM156">
        <f>IF($AJ156="","",IF($AJ156=0,LN($F156/$AK156)/$AL156,((($F156/$AK156)^$AJ156)-1)/($AJ156*$AL156)))</f>
        <v/>
      </c>
      <c r="AN156">
        <f>IF($AJ156="","",IF($AJ156=0,$AK156*EXP($AL156*2),$AK156*(1+$AJ156*$AL156*2)^(1/$AJ156)))</f>
        <v/>
      </c>
      <c r="AO156">
        <f>IF($AJ156="","",IF($AJ156=0,$AK156*EXP($AL156*3),$AK156*(1+$AJ156*$AL156*3)^(1/$AJ156)))</f>
        <v/>
      </c>
      <c r="AP156">
        <f>IF($AJ156="","",IF($AJ156=0,$AK156*EXP($AL156*-2),$AK156*(1+$AJ156*$AL156*-2)^(1/$AJ156)))</f>
        <v/>
      </c>
      <c r="AQ156">
        <f>IF($AJ156="","",IF($AJ156=0,$AK156*EXP($AL156*-3),$AK156*(1+$AJ156*$AL156*-3)^(1/$AJ156)))</f>
        <v/>
      </c>
      <c r="AR156">
        <f>IF(OR($X156="",$T156&gt;60),"",IFERROR(INDEX(IF($T156&lt;24,pcomp_l,palt_l),MATCH($X156,IF($T156&lt;24,pcomp_k,palt_k),1)),""))</f>
        <v/>
      </c>
      <c r="AS156">
        <f>IF(OR($X156="",$T156&gt;60),"",IFERROR(INDEX(IF($T156&lt;24,pcomp_m,palt_m),MATCH($X156,IF($T156&lt;24,pcomp_k,palt_k),1)),""))</f>
        <v/>
      </c>
      <c r="AT156">
        <f>IF(OR($X156="",$T156&gt;60),"",IFERROR(INDEX(IF($T156&lt;24,pcomp_s,palt_s),MATCH($X156,IF($T156&lt;24,pcomp_k,palt_k),1)),""))</f>
        <v/>
      </c>
      <c r="AU156">
        <f>IF($AR156="","",IF($AR156=0,LN($F156/$AS156)/$AT156,((($F156/$AS156)^$AR156)-1)/($AR156*$AT156)))</f>
        <v/>
      </c>
      <c r="AV156">
        <f>IF($AR156="","",IF($AR156=0,$AS156*EXP($AT156*2),$AS156*(1+$AR156*$AT156*2)^(1/$AR156)))</f>
        <v/>
      </c>
      <c r="AW156">
        <f>IF($AR156="","",IF($AR156=0,$AS156*EXP($AT156*3),$AS156*(1+$AR156*$AT156*3)^(1/$AR156)))</f>
        <v/>
      </c>
      <c r="AX156">
        <f>IF($AR156="","",IF($AR156=0,$AS156*EXP($AT156*-2),$AS156*(1+$AR156*$AT156*-2)^(1/$AR156)))</f>
        <v/>
      </c>
      <c r="AY156">
        <f>IF($AR156="","",IF($AR156=0,$AS156*EXP($AT156*-3),$AS156*(1+$AR156*$AT156*-3)^(1/$AR156)))</f>
        <v/>
      </c>
      <c r="AZ156">
        <f>IF(OR($A156="",$A156&lt;&gt;Ficha!$C$4),"",COUNTIF($A$2:$A156,Ficha!$C$4))</f>
        <v/>
      </c>
    </row>
    <row r="157">
      <c r="A157" s="8">
        <f>IF(INDEX(Banco!$A:$A,ROW())="","",INDEX(Banco!$A:$A,ROW()))</f>
        <v/>
      </c>
      <c r="B157" s="8">
        <f>IF(INDEX(Banco!$B:$B,ROW())="","",INDEX(Banco!$B:$B,ROW()))</f>
        <v/>
      </c>
      <c r="C157" s="8">
        <f>IF(INDEX(Banco!$C:$C,ROW())="","",INDEX(Banco!$C:$C,ROW()))</f>
        <v/>
      </c>
      <c r="D157" s="9">
        <f>IF(INDEX(Banco!$D:$D,ROW())="","",INDEX(Banco!$D:$D,ROW()))</f>
        <v/>
      </c>
      <c r="E157" s="9">
        <f>IF(INDEX(Banco!$E:$E,ROW())="","",INDEX(Banco!$E:$E,ROW()))</f>
        <v/>
      </c>
      <c r="F157" s="10">
        <f>IF(INDEX(Banco!$F:$F,ROW())="","",INDEX(Banco!$F:$F,ROW()))</f>
        <v/>
      </c>
      <c r="G157" s="10">
        <f>IF(INDEX(Banco!$G:$G,ROW())="","",INDEX(Banco!$G:$G,ROW()))</f>
        <v/>
      </c>
      <c r="H157" s="8">
        <f>IF(INDEX(Banco!$H:$H,ROW())="","",INDEX(Banco!$H:$H,ROW()))</f>
        <v/>
      </c>
      <c r="I157">
        <f>IF($T157="","",INT($T157/12)&amp;"a "&amp;MOD($T157,12)&amp;"m")</f>
        <v/>
      </c>
      <c r="J157" s="11">
        <f>IF(OR($F157="",$G157=""),"",ROUND($F157/($G157/100)^2,2))</f>
        <v/>
      </c>
      <c r="K157" s="12">
        <f>IF(OR($S157="",$J157="",$T157="",$T157&lt;0,$T157&gt;228,$Y157=""),"—",ROUND(IF(ABS($AB157)&lt;=3,$AB157,IF($AB157&gt;3,3+($J157-$AD157)/($AD157-$AC157),-3+($J157-$AF157)/($AE157-$AF157))),2))</f>
        <v/>
      </c>
      <c r="L157">
        <f>IF(OR($K157="",$K157="—"),"",IF($T157&lt;=60,IF($K157&lt;-3,"Magreza acentuada",IF($K157&lt;-2,"Magreza",IF($K157&lt;=1,"Eutrofia",IF($K157&lt;=2,"Risco de sobrepeso",IF($K157&lt;=3,"Sobrepeso","Obesidade"))))),IF($K157&lt;-3,"Magreza acentuada",IF($K157&lt;-2,"Magreza",IF($K157&lt;=1,"Eutrofia",IF($K157&lt;=2,"Sobrepeso",IF($K157&lt;=3,"Obesidade","Obesidade grave")))))))</f>
        <v/>
      </c>
      <c r="M157" s="12">
        <f>IF(OR($S157="",$V157="",$T157="",$T157&lt;0,$T157&gt;228,$AG157=""),"—",ROUND(IF($AG157=0,LN($V157/$AH157)/$AI157,((($V157/$AH157)^$AG157)-1)/($AG157*$AI157)),2))</f>
        <v/>
      </c>
      <c r="N157">
        <f>IF(OR($M157="",$M157="—"),"",IF($M157&lt;-3,"Muito baixa",IF($M157&lt;-2,"Baixa","Adequada")))</f>
        <v/>
      </c>
      <c r="O157" s="12">
        <f>IF(OR($S157="",$F157="",$T157="",$T157&lt;0,$T157&gt;120,$AJ157=""),"—",ROUND(IF(ABS($AM157)&lt;=3,$AM157,IF($AM157&gt;3,3+($F157-$AO157)/($AO157-$AN157),-3+($F157-$AQ157)/($AP157-$AQ157))),2))</f>
        <v/>
      </c>
      <c r="P157">
        <f>IF(OR($O157="",$O157="—"),"",IF($O157&lt;-3,"Muito baixo",IF($O157&lt;-2,"Baixo",IF($O157&lt;=2,"Adequado","Elevado"))))</f>
        <v/>
      </c>
      <c r="Q157" s="12">
        <f>IF(OR($S157="",$F157="",$T157="",$T157&lt;0,$T157&gt;60,$AR157=""),"—",ROUND(IF(ABS($AU157)&lt;=3,$AU157,IF($AU157&gt;3,3+($F157-$AW157)/($AW157-$AV157),-3+($F157-$AY157)/($AX157-$AY157))),2))</f>
        <v/>
      </c>
      <c r="R157">
        <f>IF(OR($Q157="",$Q157="—"),"",IF($Q157&lt;-3,"Magreza acentuada",IF($Q157&lt;-2,"Magreza",IF($Q157&lt;=1,"Eutrofia",IF($Q157&lt;=2,"Risco de sobrepeso",IF($Q157&lt;=3,"Sobrepeso","Obesidade"))))))</f>
        <v/>
      </c>
      <c r="S157">
        <f>IF($C157="","",IF(UPPER(LEFT($C157,1))="M",1,IF(UPPER(LEFT($C157,1))="F",2,"")))</f>
        <v/>
      </c>
      <c r="T157">
        <f>IF(OR($D157="",$E157=""),"",DATEDIF($D157,$E157,"m"))</f>
        <v/>
      </c>
      <c r="U157">
        <f>IF(OR($D157="",$E157=""),"",$E157-$D157)</f>
        <v/>
      </c>
      <c r="V157">
        <f>IF(OR($G157="",$T157=""),"",IF($T157&lt;24,IF(LEFT(LOWER($H157),4)="em p",$G157+0.7,$G157),IF(LEFT(LOWER($H157),4)="deit",$G157-0.7,$G157)))</f>
        <v/>
      </c>
      <c r="W157">
        <f>IF(OR($S157="",$T157=""),"",$S157*1000000+IF($T157&lt;=60,$U157,$T157))</f>
        <v/>
      </c>
      <c r="X157">
        <f>IF(OR($S157="",$V157="",$T157&gt;60,$T157=""),"",$S157*1000000+ROUND($V157*10,0))</f>
        <v/>
      </c>
      <c r="Y157">
        <f>IF($W157="","",IFERROR(INDEX(IF($T157&lt;=60,imc05_l,imc519_l),MATCH($W157,IF($T157&lt;=60,imc05_k,imc519_k),1)),""))</f>
        <v/>
      </c>
      <c r="Z157">
        <f>IF($W157="","",IFERROR(INDEX(IF($T157&lt;=60,imc05_m,imc519_m),MATCH($W157,IF($T157&lt;=60,imc05_k,imc519_k),1)),""))</f>
        <v/>
      </c>
      <c r="AA157">
        <f>IF($W157="","",IFERROR(INDEX(IF($T157&lt;=60,imc05_s,imc519_s),MATCH($W157,IF($T157&lt;=60,imc05_k,imc519_k),1)),""))</f>
        <v/>
      </c>
      <c r="AB157">
        <f>IF($Y157="","",IF($Y157=0,LN($J157/$Z157)/$AA157,((($J157/$Z157)^$Y157)-1)/($Y157*$AA157)))</f>
        <v/>
      </c>
      <c r="AC157">
        <f>IF($Y157="","",IF($Y157=0,$Z157*EXP($AA157*2),$Z157*(1+$Y157*$AA157*2)^(1/$Y157)))</f>
        <v/>
      </c>
      <c r="AD157">
        <f>IF($Y157="","",IF($Y157=0,$Z157*EXP($AA157*3),$Z157*(1+$Y157*$AA157*3)^(1/$Y157)))</f>
        <v/>
      </c>
      <c r="AE157">
        <f>IF($Y157="","",IF($Y157=0,$Z157*EXP($AA157*-2),$Z157*(1+$Y157*$AA157*-2)^(1/$Y157)))</f>
        <v/>
      </c>
      <c r="AF157">
        <f>IF($Y157="","",IF($Y157=0,$Z157*EXP($AA157*-3),$Z157*(1+$Y157*$AA157*-3)^(1/$Y157)))</f>
        <v/>
      </c>
      <c r="AG157">
        <f>IF($W157="","",IFERROR(INDEX(IF($T157&lt;=60,est05_l,est519_l),MATCH($W157,IF($T157&lt;=60,est05_k,est519_k),1)),""))</f>
        <v/>
      </c>
      <c r="AH157">
        <f>IF($W157="","",IFERROR(INDEX(IF($T157&lt;=60,est05_m,est519_m),MATCH($W157,IF($T157&lt;=60,est05_k,est519_k),1)),""))</f>
        <v/>
      </c>
      <c r="AI157">
        <f>IF($W157="","",IFERROR(INDEX(IF($T157&lt;=60,est05_s,est519_s),MATCH($W157,IF($T157&lt;=60,est05_k,est519_k),1)),""))</f>
        <v/>
      </c>
      <c r="AJ157">
        <f>IF($W157="","",IFERROR(INDEX(IF($T157&lt;=60,peso05_l,peso510_l),MATCH($W157,IF($T157&lt;=60,peso05_k,peso510_k),1)),""))</f>
        <v/>
      </c>
      <c r="AK157">
        <f>IF($W157="","",IFERROR(INDEX(IF($T157&lt;=60,peso05_m,peso510_m),MATCH($W157,IF($T157&lt;=60,peso05_k,peso510_k),1)),""))</f>
        <v/>
      </c>
      <c r="AL157">
        <f>IF($W157="","",IFERROR(INDEX(IF($T157&lt;=60,peso05_s,peso510_s),MATCH($W157,IF($T157&lt;=60,peso05_k,peso510_k),1)),""))</f>
        <v/>
      </c>
      <c r="AM157">
        <f>IF($AJ157="","",IF($AJ157=0,LN($F157/$AK157)/$AL157,((($F157/$AK157)^$AJ157)-1)/($AJ157*$AL157)))</f>
        <v/>
      </c>
      <c r="AN157">
        <f>IF($AJ157="","",IF($AJ157=0,$AK157*EXP($AL157*2),$AK157*(1+$AJ157*$AL157*2)^(1/$AJ157)))</f>
        <v/>
      </c>
      <c r="AO157">
        <f>IF($AJ157="","",IF($AJ157=0,$AK157*EXP($AL157*3),$AK157*(1+$AJ157*$AL157*3)^(1/$AJ157)))</f>
        <v/>
      </c>
      <c r="AP157">
        <f>IF($AJ157="","",IF($AJ157=0,$AK157*EXP($AL157*-2),$AK157*(1+$AJ157*$AL157*-2)^(1/$AJ157)))</f>
        <v/>
      </c>
      <c r="AQ157">
        <f>IF($AJ157="","",IF($AJ157=0,$AK157*EXP($AL157*-3),$AK157*(1+$AJ157*$AL157*-3)^(1/$AJ157)))</f>
        <v/>
      </c>
      <c r="AR157">
        <f>IF(OR($X157="",$T157&gt;60),"",IFERROR(INDEX(IF($T157&lt;24,pcomp_l,palt_l),MATCH($X157,IF($T157&lt;24,pcomp_k,palt_k),1)),""))</f>
        <v/>
      </c>
      <c r="AS157">
        <f>IF(OR($X157="",$T157&gt;60),"",IFERROR(INDEX(IF($T157&lt;24,pcomp_m,palt_m),MATCH($X157,IF($T157&lt;24,pcomp_k,palt_k),1)),""))</f>
        <v/>
      </c>
      <c r="AT157">
        <f>IF(OR($X157="",$T157&gt;60),"",IFERROR(INDEX(IF($T157&lt;24,pcomp_s,palt_s),MATCH($X157,IF($T157&lt;24,pcomp_k,palt_k),1)),""))</f>
        <v/>
      </c>
      <c r="AU157">
        <f>IF($AR157="","",IF($AR157=0,LN($F157/$AS157)/$AT157,((($F157/$AS157)^$AR157)-1)/($AR157*$AT157)))</f>
        <v/>
      </c>
      <c r="AV157">
        <f>IF($AR157="","",IF($AR157=0,$AS157*EXP($AT157*2),$AS157*(1+$AR157*$AT157*2)^(1/$AR157)))</f>
        <v/>
      </c>
      <c r="AW157">
        <f>IF($AR157="","",IF($AR157=0,$AS157*EXP($AT157*3),$AS157*(1+$AR157*$AT157*3)^(1/$AR157)))</f>
        <v/>
      </c>
      <c r="AX157">
        <f>IF($AR157="","",IF($AR157=0,$AS157*EXP($AT157*-2),$AS157*(1+$AR157*$AT157*-2)^(1/$AR157)))</f>
        <v/>
      </c>
      <c r="AY157">
        <f>IF($AR157="","",IF($AR157=0,$AS157*EXP($AT157*-3),$AS157*(1+$AR157*$AT157*-3)^(1/$AR157)))</f>
        <v/>
      </c>
      <c r="AZ157">
        <f>IF(OR($A157="",$A157&lt;&gt;Ficha!$C$4),"",COUNTIF($A$2:$A157,Ficha!$C$4))</f>
        <v/>
      </c>
    </row>
    <row r="158">
      <c r="A158" s="8">
        <f>IF(INDEX(Banco!$A:$A,ROW())="","",INDEX(Banco!$A:$A,ROW()))</f>
        <v/>
      </c>
      <c r="B158" s="8">
        <f>IF(INDEX(Banco!$B:$B,ROW())="","",INDEX(Banco!$B:$B,ROW()))</f>
        <v/>
      </c>
      <c r="C158" s="8">
        <f>IF(INDEX(Banco!$C:$C,ROW())="","",INDEX(Banco!$C:$C,ROW()))</f>
        <v/>
      </c>
      <c r="D158" s="9">
        <f>IF(INDEX(Banco!$D:$D,ROW())="","",INDEX(Banco!$D:$D,ROW()))</f>
        <v/>
      </c>
      <c r="E158" s="9">
        <f>IF(INDEX(Banco!$E:$E,ROW())="","",INDEX(Banco!$E:$E,ROW()))</f>
        <v/>
      </c>
      <c r="F158" s="10">
        <f>IF(INDEX(Banco!$F:$F,ROW())="","",INDEX(Banco!$F:$F,ROW()))</f>
        <v/>
      </c>
      <c r="G158" s="10">
        <f>IF(INDEX(Banco!$G:$G,ROW())="","",INDEX(Banco!$G:$G,ROW()))</f>
        <v/>
      </c>
      <c r="H158" s="8">
        <f>IF(INDEX(Banco!$H:$H,ROW())="","",INDEX(Banco!$H:$H,ROW()))</f>
        <v/>
      </c>
      <c r="I158">
        <f>IF($T158="","",INT($T158/12)&amp;"a "&amp;MOD($T158,12)&amp;"m")</f>
        <v/>
      </c>
      <c r="J158" s="11">
        <f>IF(OR($F158="",$G158=""),"",ROUND($F158/($G158/100)^2,2))</f>
        <v/>
      </c>
      <c r="K158" s="12">
        <f>IF(OR($S158="",$J158="",$T158="",$T158&lt;0,$T158&gt;228,$Y158=""),"—",ROUND(IF(ABS($AB158)&lt;=3,$AB158,IF($AB158&gt;3,3+($J158-$AD158)/($AD158-$AC158),-3+($J158-$AF158)/($AE158-$AF158))),2))</f>
        <v/>
      </c>
      <c r="L158">
        <f>IF(OR($K158="",$K158="—"),"",IF($T158&lt;=60,IF($K158&lt;-3,"Magreza acentuada",IF($K158&lt;-2,"Magreza",IF($K158&lt;=1,"Eutrofia",IF($K158&lt;=2,"Risco de sobrepeso",IF($K158&lt;=3,"Sobrepeso","Obesidade"))))),IF($K158&lt;-3,"Magreza acentuada",IF($K158&lt;-2,"Magreza",IF($K158&lt;=1,"Eutrofia",IF($K158&lt;=2,"Sobrepeso",IF($K158&lt;=3,"Obesidade","Obesidade grave")))))))</f>
        <v/>
      </c>
      <c r="M158" s="12">
        <f>IF(OR($S158="",$V158="",$T158="",$T158&lt;0,$T158&gt;228,$AG158=""),"—",ROUND(IF($AG158=0,LN($V158/$AH158)/$AI158,((($V158/$AH158)^$AG158)-1)/($AG158*$AI158)),2))</f>
        <v/>
      </c>
      <c r="N158">
        <f>IF(OR($M158="",$M158="—"),"",IF($M158&lt;-3,"Muito baixa",IF($M158&lt;-2,"Baixa","Adequada")))</f>
        <v/>
      </c>
      <c r="O158" s="12">
        <f>IF(OR($S158="",$F158="",$T158="",$T158&lt;0,$T158&gt;120,$AJ158=""),"—",ROUND(IF(ABS($AM158)&lt;=3,$AM158,IF($AM158&gt;3,3+($F158-$AO158)/($AO158-$AN158),-3+($F158-$AQ158)/($AP158-$AQ158))),2))</f>
        <v/>
      </c>
      <c r="P158">
        <f>IF(OR($O158="",$O158="—"),"",IF($O158&lt;-3,"Muito baixo",IF($O158&lt;-2,"Baixo",IF($O158&lt;=2,"Adequado","Elevado"))))</f>
        <v/>
      </c>
      <c r="Q158" s="12">
        <f>IF(OR($S158="",$F158="",$T158="",$T158&lt;0,$T158&gt;60,$AR158=""),"—",ROUND(IF(ABS($AU158)&lt;=3,$AU158,IF($AU158&gt;3,3+($F158-$AW158)/($AW158-$AV158),-3+($F158-$AY158)/($AX158-$AY158))),2))</f>
        <v/>
      </c>
      <c r="R158">
        <f>IF(OR($Q158="",$Q158="—"),"",IF($Q158&lt;-3,"Magreza acentuada",IF($Q158&lt;-2,"Magreza",IF($Q158&lt;=1,"Eutrofia",IF($Q158&lt;=2,"Risco de sobrepeso",IF($Q158&lt;=3,"Sobrepeso","Obesidade"))))))</f>
        <v/>
      </c>
      <c r="S158">
        <f>IF($C158="","",IF(UPPER(LEFT($C158,1))="M",1,IF(UPPER(LEFT($C158,1))="F",2,"")))</f>
        <v/>
      </c>
      <c r="T158">
        <f>IF(OR($D158="",$E158=""),"",DATEDIF($D158,$E158,"m"))</f>
        <v/>
      </c>
      <c r="U158">
        <f>IF(OR($D158="",$E158=""),"",$E158-$D158)</f>
        <v/>
      </c>
      <c r="V158">
        <f>IF(OR($G158="",$T158=""),"",IF($T158&lt;24,IF(LEFT(LOWER($H158),4)="em p",$G158+0.7,$G158),IF(LEFT(LOWER($H158),4)="deit",$G158-0.7,$G158)))</f>
        <v/>
      </c>
      <c r="W158">
        <f>IF(OR($S158="",$T158=""),"",$S158*1000000+IF($T158&lt;=60,$U158,$T158))</f>
        <v/>
      </c>
      <c r="X158">
        <f>IF(OR($S158="",$V158="",$T158&gt;60,$T158=""),"",$S158*1000000+ROUND($V158*10,0))</f>
        <v/>
      </c>
      <c r="Y158">
        <f>IF($W158="","",IFERROR(INDEX(IF($T158&lt;=60,imc05_l,imc519_l),MATCH($W158,IF($T158&lt;=60,imc05_k,imc519_k),1)),""))</f>
        <v/>
      </c>
      <c r="Z158">
        <f>IF($W158="","",IFERROR(INDEX(IF($T158&lt;=60,imc05_m,imc519_m),MATCH($W158,IF($T158&lt;=60,imc05_k,imc519_k),1)),""))</f>
        <v/>
      </c>
      <c r="AA158">
        <f>IF($W158="","",IFERROR(INDEX(IF($T158&lt;=60,imc05_s,imc519_s),MATCH($W158,IF($T158&lt;=60,imc05_k,imc519_k),1)),""))</f>
        <v/>
      </c>
      <c r="AB158">
        <f>IF($Y158="","",IF($Y158=0,LN($J158/$Z158)/$AA158,((($J158/$Z158)^$Y158)-1)/($Y158*$AA158)))</f>
        <v/>
      </c>
      <c r="AC158">
        <f>IF($Y158="","",IF($Y158=0,$Z158*EXP($AA158*2),$Z158*(1+$Y158*$AA158*2)^(1/$Y158)))</f>
        <v/>
      </c>
      <c r="AD158">
        <f>IF($Y158="","",IF($Y158=0,$Z158*EXP($AA158*3),$Z158*(1+$Y158*$AA158*3)^(1/$Y158)))</f>
        <v/>
      </c>
      <c r="AE158">
        <f>IF($Y158="","",IF($Y158=0,$Z158*EXP($AA158*-2),$Z158*(1+$Y158*$AA158*-2)^(1/$Y158)))</f>
        <v/>
      </c>
      <c r="AF158">
        <f>IF($Y158="","",IF($Y158=0,$Z158*EXP($AA158*-3),$Z158*(1+$Y158*$AA158*-3)^(1/$Y158)))</f>
        <v/>
      </c>
      <c r="AG158">
        <f>IF($W158="","",IFERROR(INDEX(IF($T158&lt;=60,est05_l,est519_l),MATCH($W158,IF($T158&lt;=60,est05_k,est519_k),1)),""))</f>
        <v/>
      </c>
      <c r="AH158">
        <f>IF($W158="","",IFERROR(INDEX(IF($T158&lt;=60,est05_m,est519_m),MATCH($W158,IF($T158&lt;=60,est05_k,est519_k),1)),""))</f>
        <v/>
      </c>
      <c r="AI158">
        <f>IF($W158="","",IFERROR(INDEX(IF($T158&lt;=60,est05_s,est519_s),MATCH($W158,IF($T158&lt;=60,est05_k,est519_k),1)),""))</f>
        <v/>
      </c>
      <c r="AJ158">
        <f>IF($W158="","",IFERROR(INDEX(IF($T158&lt;=60,peso05_l,peso510_l),MATCH($W158,IF($T158&lt;=60,peso05_k,peso510_k),1)),""))</f>
        <v/>
      </c>
      <c r="AK158">
        <f>IF($W158="","",IFERROR(INDEX(IF($T158&lt;=60,peso05_m,peso510_m),MATCH($W158,IF($T158&lt;=60,peso05_k,peso510_k),1)),""))</f>
        <v/>
      </c>
      <c r="AL158">
        <f>IF($W158="","",IFERROR(INDEX(IF($T158&lt;=60,peso05_s,peso510_s),MATCH($W158,IF($T158&lt;=60,peso05_k,peso510_k),1)),""))</f>
        <v/>
      </c>
      <c r="AM158">
        <f>IF($AJ158="","",IF($AJ158=0,LN($F158/$AK158)/$AL158,((($F158/$AK158)^$AJ158)-1)/($AJ158*$AL158)))</f>
        <v/>
      </c>
      <c r="AN158">
        <f>IF($AJ158="","",IF($AJ158=0,$AK158*EXP($AL158*2),$AK158*(1+$AJ158*$AL158*2)^(1/$AJ158)))</f>
        <v/>
      </c>
      <c r="AO158">
        <f>IF($AJ158="","",IF($AJ158=0,$AK158*EXP($AL158*3),$AK158*(1+$AJ158*$AL158*3)^(1/$AJ158)))</f>
        <v/>
      </c>
      <c r="AP158">
        <f>IF($AJ158="","",IF($AJ158=0,$AK158*EXP($AL158*-2),$AK158*(1+$AJ158*$AL158*-2)^(1/$AJ158)))</f>
        <v/>
      </c>
      <c r="AQ158">
        <f>IF($AJ158="","",IF($AJ158=0,$AK158*EXP($AL158*-3),$AK158*(1+$AJ158*$AL158*-3)^(1/$AJ158)))</f>
        <v/>
      </c>
      <c r="AR158">
        <f>IF(OR($X158="",$T158&gt;60),"",IFERROR(INDEX(IF($T158&lt;24,pcomp_l,palt_l),MATCH($X158,IF($T158&lt;24,pcomp_k,palt_k),1)),""))</f>
        <v/>
      </c>
      <c r="AS158">
        <f>IF(OR($X158="",$T158&gt;60),"",IFERROR(INDEX(IF($T158&lt;24,pcomp_m,palt_m),MATCH($X158,IF($T158&lt;24,pcomp_k,palt_k),1)),""))</f>
        <v/>
      </c>
      <c r="AT158">
        <f>IF(OR($X158="",$T158&gt;60),"",IFERROR(INDEX(IF($T158&lt;24,pcomp_s,palt_s),MATCH($X158,IF($T158&lt;24,pcomp_k,palt_k),1)),""))</f>
        <v/>
      </c>
      <c r="AU158">
        <f>IF($AR158="","",IF($AR158=0,LN($F158/$AS158)/$AT158,((($F158/$AS158)^$AR158)-1)/($AR158*$AT158)))</f>
        <v/>
      </c>
      <c r="AV158">
        <f>IF($AR158="","",IF($AR158=0,$AS158*EXP($AT158*2),$AS158*(1+$AR158*$AT158*2)^(1/$AR158)))</f>
        <v/>
      </c>
      <c r="AW158">
        <f>IF($AR158="","",IF($AR158=0,$AS158*EXP($AT158*3),$AS158*(1+$AR158*$AT158*3)^(1/$AR158)))</f>
        <v/>
      </c>
      <c r="AX158">
        <f>IF($AR158="","",IF($AR158=0,$AS158*EXP($AT158*-2),$AS158*(1+$AR158*$AT158*-2)^(1/$AR158)))</f>
        <v/>
      </c>
      <c r="AY158">
        <f>IF($AR158="","",IF($AR158=0,$AS158*EXP($AT158*-3),$AS158*(1+$AR158*$AT158*-3)^(1/$AR158)))</f>
        <v/>
      </c>
      <c r="AZ158">
        <f>IF(OR($A158="",$A158&lt;&gt;Ficha!$C$4),"",COUNTIF($A$2:$A158,Ficha!$C$4))</f>
        <v/>
      </c>
    </row>
    <row r="159">
      <c r="A159" s="8">
        <f>IF(INDEX(Banco!$A:$A,ROW())="","",INDEX(Banco!$A:$A,ROW()))</f>
        <v/>
      </c>
      <c r="B159" s="8">
        <f>IF(INDEX(Banco!$B:$B,ROW())="","",INDEX(Banco!$B:$B,ROW()))</f>
        <v/>
      </c>
      <c r="C159" s="8">
        <f>IF(INDEX(Banco!$C:$C,ROW())="","",INDEX(Banco!$C:$C,ROW()))</f>
        <v/>
      </c>
      <c r="D159" s="9">
        <f>IF(INDEX(Banco!$D:$D,ROW())="","",INDEX(Banco!$D:$D,ROW()))</f>
        <v/>
      </c>
      <c r="E159" s="9">
        <f>IF(INDEX(Banco!$E:$E,ROW())="","",INDEX(Banco!$E:$E,ROW()))</f>
        <v/>
      </c>
      <c r="F159" s="10">
        <f>IF(INDEX(Banco!$F:$F,ROW())="","",INDEX(Banco!$F:$F,ROW()))</f>
        <v/>
      </c>
      <c r="G159" s="10">
        <f>IF(INDEX(Banco!$G:$G,ROW())="","",INDEX(Banco!$G:$G,ROW()))</f>
        <v/>
      </c>
      <c r="H159" s="8">
        <f>IF(INDEX(Banco!$H:$H,ROW())="","",INDEX(Banco!$H:$H,ROW()))</f>
        <v/>
      </c>
      <c r="I159">
        <f>IF($T159="","",INT($T159/12)&amp;"a "&amp;MOD($T159,12)&amp;"m")</f>
        <v/>
      </c>
      <c r="J159" s="11">
        <f>IF(OR($F159="",$G159=""),"",ROUND($F159/($G159/100)^2,2))</f>
        <v/>
      </c>
      <c r="K159" s="12">
        <f>IF(OR($S159="",$J159="",$T159="",$T159&lt;0,$T159&gt;228,$Y159=""),"—",ROUND(IF(ABS($AB159)&lt;=3,$AB159,IF($AB159&gt;3,3+($J159-$AD159)/($AD159-$AC159),-3+($J159-$AF159)/($AE159-$AF159))),2))</f>
        <v/>
      </c>
      <c r="L159">
        <f>IF(OR($K159="",$K159="—"),"",IF($T159&lt;=60,IF($K159&lt;-3,"Magreza acentuada",IF($K159&lt;-2,"Magreza",IF($K159&lt;=1,"Eutrofia",IF($K159&lt;=2,"Risco de sobrepeso",IF($K159&lt;=3,"Sobrepeso","Obesidade"))))),IF($K159&lt;-3,"Magreza acentuada",IF($K159&lt;-2,"Magreza",IF($K159&lt;=1,"Eutrofia",IF($K159&lt;=2,"Sobrepeso",IF($K159&lt;=3,"Obesidade","Obesidade grave")))))))</f>
        <v/>
      </c>
      <c r="M159" s="12">
        <f>IF(OR($S159="",$V159="",$T159="",$T159&lt;0,$T159&gt;228,$AG159=""),"—",ROUND(IF($AG159=0,LN($V159/$AH159)/$AI159,((($V159/$AH159)^$AG159)-1)/($AG159*$AI159)),2))</f>
        <v/>
      </c>
      <c r="N159">
        <f>IF(OR($M159="",$M159="—"),"",IF($M159&lt;-3,"Muito baixa",IF($M159&lt;-2,"Baixa","Adequada")))</f>
        <v/>
      </c>
      <c r="O159" s="12">
        <f>IF(OR($S159="",$F159="",$T159="",$T159&lt;0,$T159&gt;120,$AJ159=""),"—",ROUND(IF(ABS($AM159)&lt;=3,$AM159,IF($AM159&gt;3,3+($F159-$AO159)/($AO159-$AN159),-3+($F159-$AQ159)/($AP159-$AQ159))),2))</f>
        <v/>
      </c>
      <c r="P159">
        <f>IF(OR($O159="",$O159="—"),"",IF($O159&lt;-3,"Muito baixo",IF($O159&lt;-2,"Baixo",IF($O159&lt;=2,"Adequado","Elevado"))))</f>
        <v/>
      </c>
      <c r="Q159" s="12">
        <f>IF(OR($S159="",$F159="",$T159="",$T159&lt;0,$T159&gt;60,$AR159=""),"—",ROUND(IF(ABS($AU159)&lt;=3,$AU159,IF($AU159&gt;3,3+($F159-$AW159)/($AW159-$AV159),-3+($F159-$AY159)/($AX159-$AY159))),2))</f>
        <v/>
      </c>
      <c r="R159">
        <f>IF(OR($Q159="",$Q159="—"),"",IF($Q159&lt;-3,"Magreza acentuada",IF($Q159&lt;-2,"Magreza",IF($Q159&lt;=1,"Eutrofia",IF($Q159&lt;=2,"Risco de sobrepeso",IF($Q159&lt;=3,"Sobrepeso","Obesidade"))))))</f>
        <v/>
      </c>
      <c r="S159">
        <f>IF($C159="","",IF(UPPER(LEFT($C159,1))="M",1,IF(UPPER(LEFT($C159,1))="F",2,"")))</f>
        <v/>
      </c>
      <c r="T159">
        <f>IF(OR($D159="",$E159=""),"",DATEDIF($D159,$E159,"m"))</f>
        <v/>
      </c>
      <c r="U159">
        <f>IF(OR($D159="",$E159=""),"",$E159-$D159)</f>
        <v/>
      </c>
      <c r="V159">
        <f>IF(OR($G159="",$T159=""),"",IF($T159&lt;24,IF(LEFT(LOWER($H159),4)="em p",$G159+0.7,$G159),IF(LEFT(LOWER($H159),4)="deit",$G159-0.7,$G159)))</f>
        <v/>
      </c>
      <c r="W159">
        <f>IF(OR($S159="",$T159=""),"",$S159*1000000+IF($T159&lt;=60,$U159,$T159))</f>
        <v/>
      </c>
      <c r="X159">
        <f>IF(OR($S159="",$V159="",$T159&gt;60,$T159=""),"",$S159*1000000+ROUND($V159*10,0))</f>
        <v/>
      </c>
      <c r="Y159">
        <f>IF($W159="","",IFERROR(INDEX(IF($T159&lt;=60,imc05_l,imc519_l),MATCH($W159,IF($T159&lt;=60,imc05_k,imc519_k),1)),""))</f>
        <v/>
      </c>
      <c r="Z159">
        <f>IF($W159="","",IFERROR(INDEX(IF($T159&lt;=60,imc05_m,imc519_m),MATCH($W159,IF($T159&lt;=60,imc05_k,imc519_k),1)),""))</f>
        <v/>
      </c>
      <c r="AA159">
        <f>IF($W159="","",IFERROR(INDEX(IF($T159&lt;=60,imc05_s,imc519_s),MATCH($W159,IF($T159&lt;=60,imc05_k,imc519_k),1)),""))</f>
        <v/>
      </c>
      <c r="AB159">
        <f>IF($Y159="","",IF($Y159=0,LN($J159/$Z159)/$AA159,((($J159/$Z159)^$Y159)-1)/($Y159*$AA159)))</f>
        <v/>
      </c>
      <c r="AC159">
        <f>IF($Y159="","",IF($Y159=0,$Z159*EXP($AA159*2),$Z159*(1+$Y159*$AA159*2)^(1/$Y159)))</f>
        <v/>
      </c>
      <c r="AD159">
        <f>IF($Y159="","",IF($Y159=0,$Z159*EXP($AA159*3),$Z159*(1+$Y159*$AA159*3)^(1/$Y159)))</f>
        <v/>
      </c>
      <c r="AE159">
        <f>IF($Y159="","",IF($Y159=0,$Z159*EXP($AA159*-2),$Z159*(1+$Y159*$AA159*-2)^(1/$Y159)))</f>
        <v/>
      </c>
      <c r="AF159">
        <f>IF($Y159="","",IF($Y159=0,$Z159*EXP($AA159*-3),$Z159*(1+$Y159*$AA159*-3)^(1/$Y159)))</f>
        <v/>
      </c>
      <c r="AG159">
        <f>IF($W159="","",IFERROR(INDEX(IF($T159&lt;=60,est05_l,est519_l),MATCH($W159,IF($T159&lt;=60,est05_k,est519_k),1)),""))</f>
        <v/>
      </c>
      <c r="AH159">
        <f>IF($W159="","",IFERROR(INDEX(IF($T159&lt;=60,est05_m,est519_m),MATCH($W159,IF($T159&lt;=60,est05_k,est519_k),1)),""))</f>
        <v/>
      </c>
      <c r="AI159">
        <f>IF($W159="","",IFERROR(INDEX(IF($T159&lt;=60,est05_s,est519_s),MATCH($W159,IF($T159&lt;=60,est05_k,est519_k),1)),""))</f>
        <v/>
      </c>
      <c r="AJ159">
        <f>IF($W159="","",IFERROR(INDEX(IF($T159&lt;=60,peso05_l,peso510_l),MATCH($W159,IF($T159&lt;=60,peso05_k,peso510_k),1)),""))</f>
        <v/>
      </c>
      <c r="AK159">
        <f>IF($W159="","",IFERROR(INDEX(IF($T159&lt;=60,peso05_m,peso510_m),MATCH($W159,IF($T159&lt;=60,peso05_k,peso510_k),1)),""))</f>
        <v/>
      </c>
      <c r="AL159">
        <f>IF($W159="","",IFERROR(INDEX(IF($T159&lt;=60,peso05_s,peso510_s),MATCH($W159,IF($T159&lt;=60,peso05_k,peso510_k),1)),""))</f>
        <v/>
      </c>
      <c r="AM159">
        <f>IF($AJ159="","",IF($AJ159=0,LN($F159/$AK159)/$AL159,((($F159/$AK159)^$AJ159)-1)/($AJ159*$AL159)))</f>
        <v/>
      </c>
      <c r="AN159">
        <f>IF($AJ159="","",IF($AJ159=0,$AK159*EXP($AL159*2),$AK159*(1+$AJ159*$AL159*2)^(1/$AJ159)))</f>
        <v/>
      </c>
      <c r="AO159">
        <f>IF($AJ159="","",IF($AJ159=0,$AK159*EXP($AL159*3),$AK159*(1+$AJ159*$AL159*3)^(1/$AJ159)))</f>
        <v/>
      </c>
      <c r="AP159">
        <f>IF($AJ159="","",IF($AJ159=0,$AK159*EXP($AL159*-2),$AK159*(1+$AJ159*$AL159*-2)^(1/$AJ159)))</f>
        <v/>
      </c>
      <c r="AQ159">
        <f>IF($AJ159="","",IF($AJ159=0,$AK159*EXP($AL159*-3),$AK159*(1+$AJ159*$AL159*-3)^(1/$AJ159)))</f>
        <v/>
      </c>
      <c r="AR159">
        <f>IF(OR($X159="",$T159&gt;60),"",IFERROR(INDEX(IF($T159&lt;24,pcomp_l,palt_l),MATCH($X159,IF($T159&lt;24,pcomp_k,palt_k),1)),""))</f>
        <v/>
      </c>
      <c r="AS159">
        <f>IF(OR($X159="",$T159&gt;60),"",IFERROR(INDEX(IF($T159&lt;24,pcomp_m,palt_m),MATCH($X159,IF($T159&lt;24,pcomp_k,palt_k),1)),""))</f>
        <v/>
      </c>
      <c r="AT159">
        <f>IF(OR($X159="",$T159&gt;60),"",IFERROR(INDEX(IF($T159&lt;24,pcomp_s,palt_s),MATCH($X159,IF($T159&lt;24,pcomp_k,palt_k),1)),""))</f>
        <v/>
      </c>
      <c r="AU159">
        <f>IF($AR159="","",IF($AR159=0,LN($F159/$AS159)/$AT159,((($F159/$AS159)^$AR159)-1)/($AR159*$AT159)))</f>
        <v/>
      </c>
      <c r="AV159">
        <f>IF($AR159="","",IF($AR159=0,$AS159*EXP($AT159*2),$AS159*(1+$AR159*$AT159*2)^(1/$AR159)))</f>
        <v/>
      </c>
      <c r="AW159">
        <f>IF($AR159="","",IF($AR159=0,$AS159*EXP($AT159*3),$AS159*(1+$AR159*$AT159*3)^(1/$AR159)))</f>
        <v/>
      </c>
      <c r="AX159">
        <f>IF($AR159="","",IF($AR159=0,$AS159*EXP($AT159*-2),$AS159*(1+$AR159*$AT159*-2)^(1/$AR159)))</f>
        <v/>
      </c>
      <c r="AY159">
        <f>IF($AR159="","",IF($AR159=0,$AS159*EXP($AT159*-3),$AS159*(1+$AR159*$AT159*-3)^(1/$AR159)))</f>
        <v/>
      </c>
      <c r="AZ159">
        <f>IF(OR($A159="",$A159&lt;&gt;Ficha!$C$4),"",COUNTIF($A$2:$A159,Ficha!$C$4))</f>
        <v/>
      </c>
    </row>
    <row r="160">
      <c r="A160" s="8">
        <f>IF(INDEX(Banco!$A:$A,ROW())="","",INDEX(Banco!$A:$A,ROW()))</f>
        <v/>
      </c>
      <c r="B160" s="8">
        <f>IF(INDEX(Banco!$B:$B,ROW())="","",INDEX(Banco!$B:$B,ROW()))</f>
        <v/>
      </c>
      <c r="C160" s="8">
        <f>IF(INDEX(Banco!$C:$C,ROW())="","",INDEX(Banco!$C:$C,ROW()))</f>
        <v/>
      </c>
      <c r="D160" s="9">
        <f>IF(INDEX(Banco!$D:$D,ROW())="","",INDEX(Banco!$D:$D,ROW()))</f>
        <v/>
      </c>
      <c r="E160" s="9">
        <f>IF(INDEX(Banco!$E:$E,ROW())="","",INDEX(Banco!$E:$E,ROW()))</f>
        <v/>
      </c>
      <c r="F160" s="10">
        <f>IF(INDEX(Banco!$F:$F,ROW())="","",INDEX(Banco!$F:$F,ROW()))</f>
        <v/>
      </c>
      <c r="G160" s="10">
        <f>IF(INDEX(Banco!$G:$G,ROW())="","",INDEX(Banco!$G:$G,ROW()))</f>
        <v/>
      </c>
      <c r="H160" s="8">
        <f>IF(INDEX(Banco!$H:$H,ROW())="","",INDEX(Banco!$H:$H,ROW()))</f>
        <v/>
      </c>
      <c r="I160">
        <f>IF($T160="","",INT($T160/12)&amp;"a "&amp;MOD($T160,12)&amp;"m")</f>
        <v/>
      </c>
      <c r="J160" s="11">
        <f>IF(OR($F160="",$G160=""),"",ROUND($F160/($G160/100)^2,2))</f>
        <v/>
      </c>
      <c r="K160" s="12">
        <f>IF(OR($S160="",$J160="",$T160="",$T160&lt;0,$T160&gt;228,$Y160=""),"—",ROUND(IF(ABS($AB160)&lt;=3,$AB160,IF($AB160&gt;3,3+($J160-$AD160)/($AD160-$AC160),-3+($J160-$AF160)/($AE160-$AF160))),2))</f>
        <v/>
      </c>
      <c r="L160">
        <f>IF(OR($K160="",$K160="—"),"",IF($T160&lt;=60,IF($K160&lt;-3,"Magreza acentuada",IF($K160&lt;-2,"Magreza",IF($K160&lt;=1,"Eutrofia",IF($K160&lt;=2,"Risco de sobrepeso",IF($K160&lt;=3,"Sobrepeso","Obesidade"))))),IF($K160&lt;-3,"Magreza acentuada",IF($K160&lt;-2,"Magreza",IF($K160&lt;=1,"Eutrofia",IF($K160&lt;=2,"Sobrepeso",IF($K160&lt;=3,"Obesidade","Obesidade grave")))))))</f>
        <v/>
      </c>
      <c r="M160" s="12">
        <f>IF(OR($S160="",$V160="",$T160="",$T160&lt;0,$T160&gt;228,$AG160=""),"—",ROUND(IF($AG160=0,LN($V160/$AH160)/$AI160,((($V160/$AH160)^$AG160)-1)/($AG160*$AI160)),2))</f>
        <v/>
      </c>
      <c r="N160">
        <f>IF(OR($M160="",$M160="—"),"",IF($M160&lt;-3,"Muito baixa",IF($M160&lt;-2,"Baixa","Adequada")))</f>
        <v/>
      </c>
      <c r="O160" s="12">
        <f>IF(OR($S160="",$F160="",$T160="",$T160&lt;0,$T160&gt;120,$AJ160=""),"—",ROUND(IF(ABS($AM160)&lt;=3,$AM160,IF($AM160&gt;3,3+($F160-$AO160)/($AO160-$AN160),-3+($F160-$AQ160)/($AP160-$AQ160))),2))</f>
        <v/>
      </c>
      <c r="P160">
        <f>IF(OR($O160="",$O160="—"),"",IF($O160&lt;-3,"Muito baixo",IF($O160&lt;-2,"Baixo",IF($O160&lt;=2,"Adequado","Elevado"))))</f>
        <v/>
      </c>
      <c r="Q160" s="12">
        <f>IF(OR($S160="",$F160="",$T160="",$T160&lt;0,$T160&gt;60,$AR160=""),"—",ROUND(IF(ABS($AU160)&lt;=3,$AU160,IF($AU160&gt;3,3+($F160-$AW160)/($AW160-$AV160),-3+($F160-$AY160)/($AX160-$AY160))),2))</f>
        <v/>
      </c>
      <c r="R160">
        <f>IF(OR($Q160="",$Q160="—"),"",IF($Q160&lt;-3,"Magreza acentuada",IF($Q160&lt;-2,"Magreza",IF($Q160&lt;=1,"Eutrofia",IF($Q160&lt;=2,"Risco de sobrepeso",IF($Q160&lt;=3,"Sobrepeso","Obesidade"))))))</f>
        <v/>
      </c>
      <c r="S160">
        <f>IF($C160="","",IF(UPPER(LEFT($C160,1))="M",1,IF(UPPER(LEFT($C160,1))="F",2,"")))</f>
        <v/>
      </c>
      <c r="T160">
        <f>IF(OR($D160="",$E160=""),"",DATEDIF($D160,$E160,"m"))</f>
        <v/>
      </c>
      <c r="U160">
        <f>IF(OR($D160="",$E160=""),"",$E160-$D160)</f>
        <v/>
      </c>
      <c r="V160">
        <f>IF(OR($G160="",$T160=""),"",IF($T160&lt;24,IF(LEFT(LOWER($H160),4)="em p",$G160+0.7,$G160),IF(LEFT(LOWER($H160),4)="deit",$G160-0.7,$G160)))</f>
        <v/>
      </c>
      <c r="W160">
        <f>IF(OR($S160="",$T160=""),"",$S160*1000000+IF($T160&lt;=60,$U160,$T160))</f>
        <v/>
      </c>
      <c r="X160">
        <f>IF(OR($S160="",$V160="",$T160&gt;60,$T160=""),"",$S160*1000000+ROUND($V160*10,0))</f>
        <v/>
      </c>
      <c r="Y160">
        <f>IF($W160="","",IFERROR(INDEX(IF($T160&lt;=60,imc05_l,imc519_l),MATCH($W160,IF($T160&lt;=60,imc05_k,imc519_k),1)),""))</f>
        <v/>
      </c>
      <c r="Z160">
        <f>IF($W160="","",IFERROR(INDEX(IF($T160&lt;=60,imc05_m,imc519_m),MATCH($W160,IF($T160&lt;=60,imc05_k,imc519_k),1)),""))</f>
        <v/>
      </c>
      <c r="AA160">
        <f>IF($W160="","",IFERROR(INDEX(IF($T160&lt;=60,imc05_s,imc519_s),MATCH($W160,IF($T160&lt;=60,imc05_k,imc519_k),1)),""))</f>
        <v/>
      </c>
      <c r="AB160">
        <f>IF($Y160="","",IF($Y160=0,LN($J160/$Z160)/$AA160,((($J160/$Z160)^$Y160)-1)/($Y160*$AA160)))</f>
        <v/>
      </c>
      <c r="AC160">
        <f>IF($Y160="","",IF($Y160=0,$Z160*EXP($AA160*2),$Z160*(1+$Y160*$AA160*2)^(1/$Y160)))</f>
        <v/>
      </c>
      <c r="AD160">
        <f>IF($Y160="","",IF($Y160=0,$Z160*EXP($AA160*3),$Z160*(1+$Y160*$AA160*3)^(1/$Y160)))</f>
        <v/>
      </c>
      <c r="AE160">
        <f>IF($Y160="","",IF($Y160=0,$Z160*EXP($AA160*-2),$Z160*(1+$Y160*$AA160*-2)^(1/$Y160)))</f>
        <v/>
      </c>
      <c r="AF160">
        <f>IF($Y160="","",IF($Y160=0,$Z160*EXP($AA160*-3),$Z160*(1+$Y160*$AA160*-3)^(1/$Y160)))</f>
        <v/>
      </c>
      <c r="AG160">
        <f>IF($W160="","",IFERROR(INDEX(IF($T160&lt;=60,est05_l,est519_l),MATCH($W160,IF($T160&lt;=60,est05_k,est519_k),1)),""))</f>
        <v/>
      </c>
      <c r="AH160">
        <f>IF($W160="","",IFERROR(INDEX(IF($T160&lt;=60,est05_m,est519_m),MATCH($W160,IF($T160&lt;=60,est05_k,est519_k),1)),""))</f>
        <v/>
      </c>
      <c r="AI160">
        <f>IF($W160="","",IFERROR(INDEX(IF($T160&lt;=60,est05_s,est519_s),MATCH($W160,IF($T160&lt;=60,est05_k,est519_k),1)),""))</f>
        <v/>
      </c>
      <c r="AJ160">
        <f>IF($W160="","",IFERROR(INDEX(IF($T160&lt;=60,peso05_l,peso510_l),MATCH($W160,IF($T160&lt;=60,peso05_k,peso510_k),1)),""))</f>
        <v/>
      </c>
      <c r="AK160">
        <f>IF($W160="","",IFERROR(INDEX(IF($T160&lt;=60,peso05_m,peso510_m),MATCH($W160,IF($T160&lt;=60,peso05_k,peso510_k),1)),""))</f>
        <v/>
      </c>
      <c r="AL160">
        <f>IF($W160="","",IFERROR(INDEX(IF($T160&lt;=60,peso05_s,peso510_s),MATCH($W160,IF($T160&lt;=60,peso05_k,peso510_k),1)),""))</f>
        <v/>
      </c>
      <c r="AM160">
        <f>IF($AJ160="","",IF($AJ160=0,LN($F160/$AK160)/$AL160,((($F160/$AK160)^$AJ160)-1)/($AJ160*$AL160)))</f>
        <v/>
      </c>
      <c r="AN160">
        <f>IF($AJ160="","",IF($AJ160=0,$AK160*EXP($AL160*2),$AK160*(1+$AJ160*$AL160*2)^(1/$AJ160)))</f>
        <v/>
      </c>
      <c r="AO160">
        <f>IF($AJ160="","",IF($AJ160=0,$AK160*EXP($AL160*3),$AK160*(1+$AJ160*$AL160*3)^(1/$AJ160)))</f>
        <v/>
      </c>
      <c r="AP160">
        <f>IF($AJ160="","",IF($AJ160=0,$AK160*EXP($AL160*-2),$AK160*(1+$AJ160*$AL160*-2)^(1/$AJ160)))</f>
        <v/>
      </c>
      <c r="AQ160">
        <f>IF($AJ160="","",IF($AJ160=0,$AK160*EXP($AL160*-3),$AK160*(1+$AJ160*$AL160*-3)^(1/$AJ160)))</f>
        <v/>
      </c>
      <c r="AR160">
        <f>IF(OR($X160="",$T160&gt;60),"",IFERROR(INDEX(IF($T160&lt;24,pcomp_l,palt_l),MATCH($X160,IF($T160&lt;24,pcomp_k,palt_k),1)),""))</f>
        <v/>
      </c>
      <c r="AS160">
        <f>IF(OR($X160="",$T160&gt;60),"",IFERROR(INDEX(IF($T160&lt;24,pcomp_m,palt_m),MATCH($X160,IF($T160&lt;24,pcomp_k,palt_k),1)),""))</f>
        <v/>
      </c>
      <c r="AT160">
        <f>IF(OR($X160="",$T160&gt;60),"",IFERROR(INDEX(IF($T160&lt;24,pcomp_s,palt_s),MATCH($X160,IF($T160&lt;24,pcomp_k,palt_k),1)),""))</f>
        <v/>
      </c>
      <c r="AU160">
        <f>IF($AR160="","",IF($AR160=0,LN($F160/$AS160)/$AT160,((($F160/$AS160)^$AR160)-1)/($AR160*$AT160)))</f>
        <v/>
      </c>
      <c r="AV160">
        <f>IF($AR160="","",IF($AR160=0,$AS160*EXP($AT160*2),$AS160*(1+$AR160*$AT160*2)^(1/$AR160)))</f>
        <v/>
      </c>
      <c r="AW160">
        <f>IF($AR160="","",IF($AR160=0,$AS160*EXP($AT160*3),$AS160*(1+$AR160*$AT160*3)^(1/$AR160)))</f>
        <v/>
      </c>
      <c r="AX160">
        <f>IF($AR160="","",IF($AR160=0,$AS160*EXP($AT160*-2),$AS160*(1+$AR160*$AT160*-2)^(1/$AR160)))</f>
        <v/>
      </c>
      <c r="AY160">
        <f>IF($AR160="","",IF($AR160=0,$AS160*EXP($AT160*-3),$AS160*(1+$AR160*$AT160*-3)^(1/$AR160)))</f>
        <v/>
      </c>
      <c r="AZ160">
        <f>IF(OR($A160="",$A160&lt;&gt;Ficha!$C$4),"",COUNTIF($A$2:$A160,Ficha!$C$4))</f>
        <v/>
      </c>
    </row>
    <row r="161">
      <c r="A161" s="8">
        <f>IF(INDEX(Banco!$A:$A,ROW())="","",INDEX(Banco!$A:$A,ROW()))</f>
        <v/>
      </c>
      <c r="B161" s="8">
        <f>IF(INDEX(Banco!$B:$B,ROW())="","",INDEX(Banco!$B:$B,ROW()))</f>
        <v/>
      </c>
      <c r="C161" s="8">
        <f>IF(INDEX(Banco!$C:$C,ROW())="","",INDEX(Banco!$C:$C,ROW()))</f>
        <v/>
      </c>
      <c r="D161" s="9">
        <f>IF(INDEX(Banco!$D:$D,ROW())="","",INDEX(Banco!$D:$D,ROW()))</f>
        <v/>
      </c>
      <c r="E161" s="9">
        <f>IF(INDEX(Banco!$E:$E,ROW())="","",INDEX(Banco!$E:$E,ROW()))</f>
        <v/>
      </c>
      <c r="F161" s="10">
        <f>IF(INDEX(Banco!$F:$F,ROW())="","",INDEX(Banco!$F:$F,ROW()))</f>
        <v/>
      </c>
      <c r="G161" s="10">
        <f>IF(INDEX(Banco!$G:$G,ROW())="","",INDEX(Banco!$G:$G,ROW()))</f>
        <v/>
      </c>
      <c r="H161" s="8">
        <f>IF(INDEX(Banco!$H:$H,ROW())="","",INDEX(Banco!$H:$H,ROW()))</f>
        <v/>
      </c>
      <c r="I161">
        <f>IF($T161="","",INT($T161/12)&amp;"a "&amp;MOD($T161,12)&amp;"m")</f>
        <v/>
      </c>
      <c r="J161" s="11">
        <f>IF(OR($F161="",$G161=""),"",ROUND($F161/($G161/100)^2,2))</f>
        <v/>
      </c>
      <c r="K161" s="12">
        <f>IF(OR($S161="",$J161="",$T161="",$T161&lt;0,$T161&gt;228,$Y161=""),"—",ROUND(IF(ABS($AB161)&lt;=3,$AB161,IF($AB161&gt;3,3+($J161-$AD161)/($AD161-$AC161),-3+($J161-$AF161)/($AE161-$AF161))),2))</f>
        <v/>
      </c>
      <c r="L161">
        <f>IF(OR($K161="",$K161="—"),"",IF($T161&lt;=60,IF($K161&lt;-3,"Magreza acentuada",IF($K161&lt;-2,"Magreza",IF($K161&lt;=1,"Eutrofia",IF($K161&lt;=2,"Risco de sobrepeso",IF($K161&lt;=3,"Sobrepeso","Obesidade"))))),IF($K161&lt;-3,"Magreza acentuada",IF($K161&lt;-2,"Magreza",IF($K161&lt;=1,"Eutrofia",IF($K161&lt;=2,"Sobrepeso",IF($K161&lt;=3,"Obesidade","Obesidade grave")))))))</f>
        <v/>
      </c>
      <c r="M161" s="12">
        <f>IF(OR($S161="",$V161="",$T161="",$T161&lt;0,$T161&gt;228,$AG161=""),"—",ROUND(IF($AG161=0,LN($V161/$AH161)/$AI161,((($V161/$AH161)^$AG161)-1)/($AG161*$AI161)),2))</f>
        <v/>
      </c>
      <c r="N161">
        <f>IF(OR($M161="",$M161="—"),"",IF($M161&lt;-3,"Muito baixa",IF($M161&lt;-2,"Baixa","Adequada")))</f>
        <v/>
      </c>
      <c r="O161" s="12">
        <f>IF(OR($S161="",$F161="",$T161="",$T161&lt;0,$T161&gt;120,$AJ161=""),"—",ROUND(IF(ABS($AM161)&lt;=3,$AM161,IF($AM161&gt;3,3+($F161-$AO161)/($AO161-$AN161),-3+($F161-$AQ161)/($AP161-$AQ161))),2))</f>
        <v/>
      </c>
      <c r="P161">
        <f>IF(OR($O161="",$O161="—"),"",IF($O161&lt;-3,"Muito baixo",IF($O161&lt;-2,"Baixo",IF($O161&lt;=2,"Adequado","Elevado"))))</f>
        <v/>
      </c>
      <c r="Q161" s="12">
        <f>IF(OR($S161="",$F161="",$T161="",$T161&lt;0,$T161&gt;60,$AR161=""),"—",ROUND(IF(ABS($AU161)&lt;=3,$AU161,IF($AU161&gt;3,3+($F161-$AW161)/($AW161-$AV161),-3+($F161-$AY161)/($AX161-$AY161))),2))</f>
        <v/>
      </c>
      <c r="R161">
        <f>IF(OR($Q161="",$Q161="—"),"",IF($Q161&lt;-3,"Magreza acentuada",IF($Q161&lt;-2,"Magreza",IF($Q161&lt;=1,"Eutrofia",IF($Q161&lt;=2,"Risco de sobrepeso",IF($Q161&lt;=3,"Sobrepeso","Obesidade"))))))</f>
        <v/>
      </c>
      <c r="S161">
        <f>IF($C161="","",IF(UPPER(LEFT($C161,1))="M",1,IF(UPPER(LEFT($C161,1))="F",2,"")))</f>
        <v/>
      </c>
      <c r="T161">
        <f>IF(OR($D161="",$E161=""),"",DATEDIF($D161,$E161,"m"))</f>
        <v/>
      </c>
      <c r="U161">
        <f>IF(OR($D161="",$E161=""),"",$E161-$D161)</f>
        <v/>
      </c>
      <c r="V161">
        <f>IF(OR($G161="",$T161=""),"",IF($T161&lt;24,IF(LEFT(LOWER($H161),4)="em p",$G161+0.7,$G161),IF(LEFT(LOWER($H161),4)="deit",$G161-0.7,$G161)))</f>
        <v/>
      </c>
      <c r="W161">
        <f>IF(OR($S161="",$T161=""),"",$S161*1000000+IF($T161&lt;=60,$U161,$T161))</f>
        <v/>
      </c>
      <c r="X161">
        <f>IF(OR($S161="",$V161="",$T161&gt;60,$T161=""),"",$S161*1000000+ROUND($V161*10,0))</f>
        <v/>
      </c>
      <c r="Y161">
        <f>IF($W161="","",IFERROR(INDEX(IF($T161&lt;=60,imc05_l,imc519_l),MATCH($W161,IF($T161&lt;=60,imc05_k,imc519_k),1)),""))</f>
        <v/>
      </c>
      <c r="Z161">
        <f>IF($W161="","",IFERROR(INDEX(IF($T161&lt;=60,imc05_m,imc519_m),MATCH($W161,IF($T161&lt;=60,imc05_k,imc519_k),1)),""))</f>
        <v/>
      </c>
      <c r="AA161">
        <f>IF($W161="","",IFERROR(INDEX(IF($T161&lt;=60,imc05_s,imc519_s),MATCH($W161,IF($T161&lt;=60,imc05_k,imc519_k),1)),""))</f>
        <v/>
      </c>
      <c r="AB161">
        <f>IF($Y161="","",IF($Y161=0,LN($J161/$Z161)/$AA161,((($J161/$Z161)^$Y161)-1)/($Y161*$AA161)))</f>
        <v/>
      </c>
      <c r="AC161">
        <f>IF($Y161="","",IF($Y161=0,$Z161*EXP($AA161*2),$Z161*(1+$Y161*$AA161*2)^(1/$Y161)))</f>
        <v/>
      </c>
      <c r="AD161">
        <f>IF($Y161="","",IF($Y161=0,$Z161*EXP($AA161*3),$Z161*(1+$Y161*$AA161*3)^(1/$Y161)))</f>
        <v/>
      </c>
      <c r="AE161">
        <f>IF($Y161="","",IF($Y161=0,$Z161*EXP($AA161*-2),$Z161*(1+$Y161*$AA161*-2)^(1/$Y161)))</f>
        <v/>
      </c>
      <c r="AF161">
        <f>IF($Y161="","",IF($Y161=0,$Z161*EXP($AA161*-3),$Z161*(1+$Y161*$AA161*-3)^(1/$Y161)))</f>
        <v/>
      </c>
      <c r="AG161">
        <f>IF($W161="","",IFERROR(INDEX(IF($T161&lt;=60,est05_l,est519_l),MATCH($W161,IF($T161&lt;=60,est05_k,est519_k),1)),""))</f>
        <v/>
      </c>
      <c r="AH161">
        <f>IF($W161="","",IFERROR(INDEX(IF($T161&lt;=60,est05_m,est519_m),MATCH($W161,IF($T161&lt;=60,est05_k,est519_k),1)),""))</f>
        <v/>
      </c>
      <c r="AI161">
        <f>IF($W161="","",IFERROR(INDEX(IF($T161&lt;=60,est05_s,est519_s),MATCH($W161,IF($T161&lt;=60,est05_k,est519_k),1)),""))</f>
        <v/>
      </c>
      <c r="AJ161">
        <f>IF($W161="","",IFERROR(INDEX(IF($T161&lt;=60,peso05_l,peso510_l),MATCH($W161,IF($T161&lt;=60,peso05_k,peso510_k),1)),""))</f>
        <v/>
      </c>
      <c r="AK161">
        <f>IF($W161="","",IFERROR(INDEX(IF($T161&lt;=60,peso05_m,peso510_m),MATCH($W161,IF($T161&lt;=60,peso05_k,peso510_k),1)),""))</f>
        <v/>
      </c>
      <c r="AL161">
        <f>IF($W161="","",IFERROR(INDEX(IF($T161&lt;=60,peso05_s,peso510_s),MATCH($W161,IF($T161&lt;=60,peso05_k,peso510_k),1)),""))</f>
        <v/>
      </c>
      <c r="AM161">
        <f>IF($AJ161="","",IF($AJ161=0,LN($F161/$AK161)/$AL161,((($F161/$AK161)^$AJ161)-1)/($AJ161*$AL161)))</f>
        <v/>
      </c>
      <c r="AN161">
        <f>IF($AJ161="","",IF($AJ161=0,$AK161*EXP($AL161*2),$AK161*(1+$AJ161*$AL161*2)^(1/$AJ161)))</f>
        <v/>
      </c>
      <c r="AO161">
        <f>IF($AJ161="","",IF($AJ161=0,$AK161*EXP($AL161*3),$AK161*(1+$AJ161*$AL161*3)^(1/$AJ161)))</f>
        <v/>
      </c>
      <c r="AP161">
        <f>IF($AJ161="","",IF($AJ161=0,$AK161*EXP($AL161*-2),$AK161*(1+$AJ161*$AL161*-2)^(1/$AJ161)))</f>
        <v/>
      </c>
      <c r="AQ161">
        <f>IF($AJ161="","",IF($AJ161=0,$AK161*EXP($AL161*-3),$AK161*(1+$AJ161*$AL161*-3)^(1/$AJ161)))</f>
        <v/>
      </c>
      <c r="AR161">
        <f>IF(OR($X161="",$T161&gt;60),"",IFERROR(INDEX(IF($T161&lt;24,pcomp_l,palt_l),MATCH($X161,IF($T161&lt;24,pcomp_k,palt_k),1)),""))</f>
        <v/>
      </c>
      <c r="AS161">
        <f>IF(OR($X161="",$T161&gt;60),"",IFERROR(INDEX(IF($T161&lt;24,pcomp_m,palt_m),MATCH($X161,IF($T161&lt;24,pcomp_k,palt_k),1)),""))</f>
        <v/>
      </c>
      <c r="AT161">
        <f>IF(OR($X161="",$T161&gt;60),"",IFERROR(INDEX(IF($T161&lt;24,pcomp_s,palt_s),MATCH($X161,IF($T161&lt;24,pcomp_k,palt_k),1)),""))</f>
        <v/>
      </c>
      <c r="AU161">
        <f>IF($AR161="","",IF($AR161=0,LN($F161/$AS161)/$AT161,((($F161/$AS161)^$AR161)-1)/($AR161*$AT161)))</f>
        <v/>
      </c>
      <c r="AV161">
        <f>IF($AR161="","",IF($AR161=0,$AS161*EXP($AT161*2),$AS161*(1+$AR161*$AT161*2)^(1/$AR161)))</f>
        <v/>
      </c>
      <c r="AW161">
        <f>IF($AR161="","",IF($AR161=0,$AS161*EXP($AT161*3),$AS161*(1+$AR161*$AT161*3)^(1/$AR161)))</f>
        <v/>
      </c>
      <c r="AX161">
        <f>IF($AR161="","",IF($AR161=0,$AS161*EXP($AT161*-2),$AS161*(1+$AR161*$AT161*-2)^(1/$AR161)))</f>
        <v/>
      </c>
      <c r="AY161">
        <f>IF($AR161="","",IF($AR161=0,$AS161*EXP($AT161*-3),$AS161*(1+$AR161*$AT161*-3)^(1/$AR161)))</f>
        <v/>
      </c>
      <c r="AZ161">
        <f>IF(OR($A161="",$A161&lt;&gt;Ficha!$C$4),"",COUNTIF($A$2:$A161,Ficha!$C$4))</f>
        <v/>
      </c>
    </row>
    <row r="162">
      <c r="A162" s="8">
        <f>IF(INDEX(Banco!$A:$A,ROW())="","",INDEX(Banco!$A:$A,ROW()))</f>
        <v/>
      </c>
      <c r="B162" s="8">
        <f>IF(INDEX(Banco!$B:$B,ROW())="","",INDEX(Banco!$B:$B,ROW()))</f>
        <v/>
      </c>
      <c r="C162" s="8">
        <f>IF(INDEX(Banco!$C:$C,ROW())="","",INDEX(Banco!$C:$C,ROW()))</f>
        <v/>
      </c>
      <c r="D162" s="9">
        <f>IF(INDEX(Banco!$D:$D,ROW())="","",INDEX(Banco!$D:$D,ROW()))</f>
        <v/>
      </c>
      <c r="E162" s="9">
        <f>IF(INDEX(Banco!$E:$E,ROW())="","",INDEX(Banco!$E:$E,ROW()))</f>
        <v/>
      </c>
      <c r="F162" s="10">
        <f>IF(INDEX(Banco!$F:$F,ROW())="","",INDEX(Banco!$F:$F,ROW()))</f>
        <v/>
      </c>
      <c r="G162" s="10">
        <f>IF(INDEX(Banco!$G:$G,ROW())="","",INDEX(Banco!$G:$G,ROW()))</f>
        <v/>
      </c>
      <c r="H162" s="8">
        <f>IF(INDEX(Banco!$H:$H,ROW())="","",INDEX(Banco!$H:$H,ROW()))</f>
        <v/>
      </c>
      <c r="I162">
        <f>IF($T162="","",INT($T162/12)&amp;"a "&amp;MOD($T162,12)&amp;"m")</f>
        <v/>
      </c>
      <c r="J162" s="11">
        <f>IF(OR($F162="",$G162=""),"",ROUND($F162/($G162/100)^2,2))</f>
        <v/>
      </c>
      <c r="K162" s="12">
        <f>IF(OR($S162="",$J162="",$T162="",$T162&lt;0,$T162&gt;228,$Y162=""),"—",ROUND(IF(ABS($AB162)&lt;=3,$AB162,IF($AB162&gt;3,3+($J162-$AD162)/($AD162-$AC162),-3+($J162-$AF162)/($AE162-$AF162))),2))</f>
        <v/>
      </c>
      <c r="L162">
        <f>IF(OR($K162="",$K162="—"),"",IF($T162&lt;=60,IF($K162&lt;-3,"Magreza acentuada",IF($K162&lt;-2,"Magreza",IF($K162&lt;=1,"Eutrofia",IF($K162&lt;=2,"Risco de sobrepeso",IF($K162&lt;=3,"Sobrepeso","Obesidade"))))),IF($K162&lt;-3,"Magreza acentuada",IF($K162&lt;-2,"Magreza",IF($K162&lt;=1,"Eutrofia",IF($K162&lt;=2,"Sobrepeso",IF($K162&lt;=3,"Obesidade","Obesidade grave")))))))</f>
        <v/>
      </c>
      <c r="M162" s="12">
        <f>IF(OR($S162="",$V162="",$T162="",$T162&lt;0,$T162&gt;228,$AG162=""),"—",ROUND(IF($AG162=0,LN($V162/$AH162)/$AI162,((($V162/$AH162)^$AG162)-1)/($AG162*$AI162)),2))</f>
        <v/>
      </c>
      <c r="N162">
        <f>IF(OR($M162="",$M162="—"),"",IF($M162&lt;-3,"Muito baixa",IF($M162&lt;-2,"Baixa","Adequada")))</f>
        <v/>
      </c>
      <c r="O162" s="12">
        <f>IF(OR($S162="",$F162="",$T162="",$T162&lt;0,$T162&gt;120,$AJ162=""),"—",ROUND(IF(ABS($AM162)&lt;=3,$AM162,IF($AM162&gt;3,3+($F162-$AO162)/($AO162-$AN162),-3+($F162-$AQ162)/($AP162-$AQ162))),2))</f>
        <v/>
      </c>
      <c r="P162">
        <f>IF(OR($O162="",$O162="—"),"",IF($O162&lt;-3,"Muito baixo",IF($O162&lt;-2,"Baixo",IF($O162&lt;=2,"Adequado","Elevado"))))</f>
        <v/>
      </c>
      <c r="Q162" s="12">
        <f>IF(OR($S162="",$F162="",$T162="",$T162&lt;0,$T162&gt;60,$AR162=""),"—",ROUND(IF(ABS($AU162)&lt;=3,$AU162,IF($AU162&gt;3,3+($F162-$AW162)/($AW162-$AV162),-3+($F162-$AY162)/($AX162-$AY162))),2))</f>
        <v/>
      </c>
      <c r="R162">
        <f>IF(OR($Q162="",$Q162="—"),"",IF($Q162&lt;-3,"Magreza acentuada",IF($Q162&lt;-2,"Magreza",IF($Q162&lt;=1,"Eutrofia",IF($Q162&lt;=2,"Risco de sobrepeso",IF($Q162&lt;=3,"Sobrepeso","Obesidade"))))))</f>
        <v/>
      </c>
      <c r="S162">
        <f>IF($C162="","",IF(UPPER(LEFT($C162,1))="M",1,IF(UPPER(LEFT($C162,1))="F",2,"")))</f>
        <v/>
      </c>
      <c r="T162">
        <f>IF(OR($D162="",$E162=""),"",DATEDIF($D162,$E162,"m"))</f>
        <v/>
      </c>
      <c r="U162">
        <f>IF(OR($D162="",$E162=""),"",$E162-$D162)</f>
        <v/>
      </c>
      <c r="V162">
        <f>IF(OR($G162="",$T162=""),"",IF($T162&lt;24,IF(LEFT(LOWER($H162),4)="em p",$G162+0.7,$G162),IF(LEFT(LOWER($H162),4)="deit",$G162-0.7,$G162)))</f>
        <v/>
      </c>
      <c r="W162">
        <f>IF(OR($S162="",$T162=""),"",$S162*1000000+IF($T162&lt;=60,$U162,$T162))</f>
        <v/>
      </c>
      <c r="X162">
        <f>IF(OR($S162="",$V162="",$T162&gt;60,$T162=""),"",$S162*1000000+ROUND($V162*10,0))</f>
        <v/>
      </c>
      <c r="Y162">
        <f>IF($W162="","",IFERROR(INDEX(IF($T162&lt;=60,imc05_l,imc519_l),MATCH($W162,IF($T162&lt;=60,imc05_k,imc519_k),1)),""))</f>
        <v/>
      </c>
      <c r="Z162">
        <f>IF($W162="","",IFERROR(INDEX(IF($T162&lt;=60,imc05_m,imc519_m),MATCH($W162,IF($T162&lt;=60,imc05_k,imc519_k),1)),""))</f>
        <v/>
      </c>
      <c r="AA162">
        <f>IF($W162="","",IFERROR(INDEX(IF($T162&lt;=60,imc05_s,imc519_s),MATCH($W162,IF($T162&lt;=60,imc05_k,imc519_k),1)),""))</f>
        <v/>
      </c>
      <c r="AB162">
        <f>IF($Y162="","",IF($Y162=0,LN($J162/$Z162)/$AA162,((($J162/$Z162)^$Y162)-1)/($Y162*$AA162)))</f>
        <v/>
      </c>
      <c r="AC162">
        <f>IF($Y162="","",IF($Y162=0,$Z162*EXP($AA162*2),$Z162*(1+$Y162*$AA162*2)^(1/$Y162)))</f>
        <v/>
      </c>
      <c r="AD162">
        <f>IF($Y162="","",IF($Y162=0,$Z162*EXP($AA162*3),$Z162*(1+$Y162*$AA162*3)^(1/$Y162)))</f>
        <v/>
      </c>
      <c r="AE162">
        <f>IF($Y162="","",IF($Y162=0,$Z162*EXP($AA162*-2),$Z162*(1+$Y162*$AA162*-2)^(1/$Y162)))</f>
        <v/>
      </c>
      <c r="AF162">
        <f>IF($Y162="","",IF($Y162=0,$Z162*EXP($AA162*-3),$Z162*(1+$Y162*$AA162*-3)^(1/$Y162)))</f>
        <v/>
      </c>
      <c r="AG162">
        <f>IF($W162="","",IFERROR(INDEX(IF($T162&lt;=60,est05_l,est519_l),MATCH($W162,IF($T162&lt;=60,est05_k,est519_k),1)),""))</f>
        <v/>
      </c>
      <c r="AH162">
        <f>IF($W162="","",IFERROR(INDEX(IF($T162&lt;=60,est05_m,est519_m),MATCH($W162,IF($T162&lt;=60,est05_k,est519_k),1)),""))</f>
        <v/>
      </c>
      <c r="AI162">
        <f>IF($W162="","",IFERROR(INDEX(IF($T162&lt;=60,est05_s,est519_s),MATCH($W162,IF($T162&lt;=60,est05_k,est519_k),1)),""))</f>
        <v/>
      </c>
      <c r="AJ162">
        <f>IF($W162="","",IFERROR(INDEX(IF($T162&lt;=60,peso05_l,peso510_l),MATCH($W162,IF($T162&lt;=60,peso05_k,peso510_k),1)),""))</f>
        <v/>
      </c>
      <c r="AK162">
        <f>IF($W162="","",IFERROR(INDEX(IF($T162&lt;=60,peso05_m,peso510_m),MATCH($W162,IF($T162&lt;=60,peso05_k,peso510_k),1)),""))</f>
        <v/>
      </c>
      <c r="AL162">
        <f>IF($W162="","",IFERROR(INDEX(IF($T162&lt;=60,peso05_s,peso510_s),MATCH($W162,IF($T162&lt;=60,peso05_k,peso510_k),1)),""))</f>
        <v/>
      </c>
      <c r="AM162">
        <f>IF($AJ162="","",IF($AJ162=0,LN($F162/$AK162)/$AL162,((($F162/$AK162)^$AJ162)-1)/($AJ162*$AL162)))</f>
        <v/>
      </c>
      <c r="AN162">
        <f>IF($AJ162="","",IF($AJ162=0,$AK162*EXP($AL162*2),$AK162*(1+$AJ162*$AL162*2)^(1/$AJ162)))</f>
        <v/>
      </c>
      <c r="AO162">
        <f>IF($AJ162="","",IF($AJ162=0,$AK162*EXP($AL162*3),$AK162*(1+$AJ162*$AL162*3)^(1/$AJ162)))</f>
        <v/>
      </c>
      <c r="AP162">
        <f>IF($AJ162="","",IF($AJ162=0,$AK162*EXP($AL162*-2),$AK162*(1+$AJ162*$AL162*-2)^(1/$AJ162)))</f>
        <v/>
      </c>
      <c r="AQ162">
        <f>IF($AJ162="","",IF($AJ162=0,$AK162*EXP($AL162*-3),$AK162*(1+$AJ162*$AL162*-3)^(1/$AJ162)))</f>
        <v/>
      </c>
      <c r="AR162">
        <f>IF(OR($X162="",$T162&gt;60),"",IFERROR(INDEX(IF($T162&lt;24,pcomp_l,palt_l),MATCH($X162,IF($T162&lt;24,pcomp_k,palt_k),1)),""))</f>
        <v/>
      </c>
      <c r="AS162">
        <f>IF(OR($X162="",$T162&gt;60),"",IFERROR(INDEX(IF($T162&lt;24,pcomp_m,palt_m),MATCH($X162,IF($T162&lt;24,pcomp_k,palt_k),1)),""))</f>
        <v/>
      </c>
      <c r="AT162">
        <f>IF(OR($X162="",$T162&gt;60),"",IFERROR(INDEX(IF($T162&lt;24,pcomp_s,palt_s),MATCH($X162,IF($T162&lt;24,pcomp_k,palt_k),1)),""))</f>
        <v/>
      </c>
      <c r="AU162">
        <f>IF($AR162="","",IF($AR162=0,LN($F162/$AS162)/$AT162,((($F162/$AS162)^$AR162)-1)/($AR162*$AT162)))</f>
        <v/>
      </c>
      <c r="AV162">
        <f>IF($AR162="","",IF($AR162=0,$AS162*EXP($AT162*2),$AS162*(1+$AR162*$AT162*2)^(1/$AR162)))</f>
        <v/>
      </c>
      <c r="AW162">
        <f>IF($AR162="","",IF($AR162=0,$AS162*EXP($AT162*3),$AS162*(1+$AR162*$AT162*3)^(1/$AR162)))</f>
        <v/>
      </c>
      <c r="AX162">
        <f>IF($AR162="","",IF($AR162=0,$AS162*EXP($AT162*-2),$AS162*(1+$AR162*$AT162*-2)^(1/$AR162)))</f>
        <v/>
      </c>
      <c r="AY162">
        <f>IF($AR162="","",IF($AR162=0,$AS162*EXP($AT162*-3),$AS162*(1+$AR162*$AT162*-3)^(1/$AR162)))</f>
        <v/>
      </c>
      <c r="AZ162">
        <f>IF(OR($A162="",$A162&lt;&gt;Ficha!$C$4),"",COUNTIF($A$2:$A162,Ficha!$C$4))</f>
        <v/>
      </c>
    </row>
    <row r="163">
      <c r="A163" s="8">
        <f>IF(INDEX(Banco!$A:$A,ROW())="","",INDEX(Banco!$A:$A,ROW()))</f>
        <v/>
      </c>
      <c r="B163" s="8">
        <f>IF(INDEX(Banco!$B:$B,ROW())="","",INDEX(Banco!$B:$B,ROW()))</f>
        <v/>
      </c>
      <c r="C163" s="8">
        <f>IF(INDEX(Banco!$C:$C,ROW())="","",INDEX(Banco!$C:$C,ROW()))</f>
        <v/>
      </c>
      <c r="D163" s="9">
        <f>IF(INDEX(Banco!$D:$D,ROW())="","",INDEX(Banco!$D:$D,ROW()))</f>
        <v/>
      </c>
      <c r="E163" s="9">
        <f>IF(INDEX(Banco!$E:$E,ROW())="","",INDEX(Banco!$E:$E,ROW()))</f>
        <v/>
      </c>
      <c r="F163" s="10">
        <f>IF(INDEX(Banco!$F:$F,ROW())="","",INDEX(Banco!$F:$F,ROW()))</f>
        <v/>
      </c>
      <c r="G163" s="10">
        <f>IF(INDEX(Banco!$G:$G,ROW())="","",INDEX(Banco!$G:$G,ROW()))</f>
        <v/>
      </c>
      <c r="H163" s="8">
        <f>IF(INDEX(Banco!$H:$H,ROW())="","",INDEX(Banco!$H:$H,ROW()))</f>
        <v/>
      </c>
      <c r="I163">
        <f>IF($T163="","",INT($T163/12)&amp;"a "&amp;MOD($T163,12)&amp;"m")</f>
        <v/>
      </c>
      <c r="J163" s="11">
        <f>IF(OR($F163="",$G163=""),"",ROUND($F163/($G163/100)^2,2))</f>
        <v/>
      </c>
      <c r="K163" s="12">
        <f>IF(OR($S163="",$J163="",$T163="",$T163&lt;0,$T163&gt;228,$Y163=""),"—",ROUND(IF(ABS($AB163)&lt;=3,$AB163,IF($AB163&gt;3,3+($J163-$AD163)/($AD163-$AC163),-3+($J163-$AF163)/($AE163-$AF163))),2))</f>
        <v/>
      </c>
      <c r="L163">
        <f>IF(OR($K163="",$K163="—"),"",IF($T163&lt;=60,IF($K163&lt;-3,"Magreza acentuada",IF($K163&lt;-2,"Magreza",IF($K163&lt;=1,"Eutrofia",IF($K163&lt;=2,"Risco de sobrepeso",IF($K163&lt;=3,"Sobrepeso","Obesidade"))))),IF($K163&lt;-3,"Magreza acentuada",IF($K163&lt;-2,"Magreza",IF($K163&lt;=1,"Eutrofia",IF($K163&lt;=2,"Sobrepeso",IF($K163&lt;=3,"Obesidade","Obesidade grave")))))))</f>
        <v/>
      </c>
      <c r="M163" s="12">
        <f>IF(OR($S163="",$V163="",$T163="",$T163&lt;0,$T163&gt;228,$AG163=""),"—",ROUND(IF($AG163=0,LN($V163/$AH163)/$AI163,((($V163/$AH163)^$AG163)-1)/($AG163*$AI163)),2))</f>
        <v/>
      </c>
      <c r="N163">
        <f>IF(OR($M163="",$M163="—"),"",IF($M163&lt;-3,"Muito baixa",IF($M163&lt;-2,"Baixa","Adequada")))</f>
        <v/>
      </c>
      <c r="O163" s="12">
        <f>IF(OR($S163="",$F163="",$T163="",$T163&lt;0,$T163&gt;120,$AJ163=""),"—",ROUND(IF(ABS($AM163)&lt;=3,$AM163,IF($AM163&gt;3,3+($F163-$AO163)/($AO163-$AN163),-3+($F163-$AQ163)/($AP163-$AQ163))),2))</f>
        <v/>
      </c>
      <c r="P163">
        <f>IF(OR($O163="",$O163="—"),"",IF($O163&lt;-3,"Muito baixo",IF($O163&lt;-2,"Baixo",IF($O163&lt;=2,"Adequado","Elevado"))))</f>
        <v/>
      </c>
      <c r="Q163" s="12">
        <f>IF(OR($S163="",$F163="",$T163="",$T163&lt;0,$T163&gt;60,$AR163=""),"—",ROUND(IF(ABS($AU163)&lt;=3,$AU163,IF($AU163&gt;3,3+($F163-$AW163)/($AW163-$AV163),-3+($F163-$AY163)/($AX163-$AY163))),2))</f>
        <v/>
      </c>
      <c r="R163">
        <f>IF(OR($Q163="",$Q163="—"),"",IF($Q163&lt;-3,"Magreza acentuada",IF($Q163&lt;-2,"Magreza",IF($Q163&lt;=1,"Eutrofia",IF($Q163&lt;=2,"Risco de sobrepeso",IF($Q163&lt;=3,"Sobrepeso","Obesidade"))))))</f>
        <v/>
      </c>
      <c r="S163">
        <f>IF($C163="","",IF(UPPER(LEFT($C163,1))="M",1,IF(UPPER(LEFT($C163,1))="F",2,"")))</f>
        <v/>
      </c>
      <c r="T163">
        <f>IF(OR($D163="",$E163=""),"",DATEDIF($D163,$E163,"m"))</f>
        <v/>
      </c>
      <c r="U163">
        <f>IF(OR($D163="",$E163=""),"",$E163-$D163)</f>
        <v/>
      </c>
      <c r="V163">
        <f>IF(OR($G163="",$T163=""),"",IF($T163&lt;24,IF(LEFT(LOWER($H163),4)="em p",$G163+0.7,$G163),IF(LEFT(LOWER($H163),4)="deit",$G163-0.7,$G163)))</f>
        <v/>
      </c>
      <c r="W163">
        <f>IF(OR($S163="",$T163=""),"",$S163*1000000+IF($T163&lt;=60,$U163,$T163))</f>
        <v/>
      </c>
      <c r="X163">
        <f>IF(OR($S163="",$V163="",$T163&gt;60,$T163=""),"",$S163*1000000+ROUND($V163*10,0))</f>
        <v/>
      </c>
      <c r="Y163">
        <f>IF($W163="","",IFERROR(INDEX(IF($T163&lt;=60,imc05_l,imc519_l),MATCH($W163,IF($T163&lt;=60,imc05_k,imc519_k),1)),""))</f>
        <v/>
      </c>
      <c r="Z163">
        <f>IF($W163="","",IFERROR(INDEX(IF($T163&lt;=60,imc05_m,imc519_m),MATCH($W163,IF($T163&lt;=60,imc05_k,imc519_k),1)),""))</f>
        <v/>
      </c>
      <c r="AA163">
        <f>IF($W163="","",IFERROR(INDEX(IF($T163&lt;=60,imc05_s,imc519_s),MATCH($W163,IF($T163&lt;=60,imc05_k,imc519_k),1)),""))</f>
        <v/>
      </c>
      <c r="AB163">
        <f>IF($Y163="","",IF($Y163=0,LN($J163/$Z163)/$AA163,((($J163/$Z163)^$Y163)-1)/($Y163*$AA163)))</f>
        <v/>
      </c>
      <c r="AC163">
        <f>IF($Y163="","",IF($Y163=0,$Z163*EXP($AA163*2),$Z163*(1+$Y163*$AA163*2)^(1/$Y163)))</f>
        <v/>
      </c>
      <c r="AD163">
        <f>IF($Y163="","",IF($Y163=0,$Z163*EXP($AA163*3),$Z163*(1+$Y163*$AA163*3)^(1/$Y163)))</f>
        <v/>
      </c>
      <c r="AE163">
        <f>IF($Y163="","",IF($Y163=0,$Z163*EXP($AA163*-2),$Z163*(1+$Y163*$AA163*-2)^(1/$Y163)))</f>
        <v/>
      </c>
      <c r="AF163">
        <f>IF($Y163="","",IF($Y163=0,$Z163*EXP($AA163*-3),$Z163*(1+$Y163*$AA163*-3)^(1/$Y163)))</f>
        <v/>
      </c>
      <c r="AG163">
        <f>IF($W163="","",IFERROR(INDEX(IF($T163&lt;=60,est05_l,est519_l),MATCH($W163,IF($T163&lt;=60,est05_k,est519_k),1)),""))</f>
        <v/>
      </c>
      <c r="AH163">
        <f>IF($W163="","",IFERROR(INDEX(IF($T163&lt;=60,est05_m,est519_m),MATCH($W163,IF($T163&lt;=60,est05_k,est519_k),1)),""))</f>
        <v/>
      </c>
      <c r="AI163">
        <f>IF($W163="","",IFERROR(INDEX(IF($T163&lt;=60,est05_s,est519_s),MATCH($W163,IF($T163&lt;=60,est05_k,est519_k),1)),""))</f>
        <v/>
      </c>
      <c r="AJ163">
        <f>IF($W163="","",IFERROR(INDEX(IF($T163&lt;=60,peso05_l,peso510_l),MATCH($W163,IF($T163&lt;=60,peso05_k,peso510_k),1)),""))</f>
        <v/>
      </c>
      <c r="AK163">
        <f>IF($W163="","",IFERROR(INDEX(IF($T163&lt;=60,peso05_m,peso510_m),MATCH($W163,IF($T163&lt;=60,peso05_k,peso510_k),1)),""))</f>
        <v/>
      </c>
      <c r="AL163">
        <f>IF($W163="","",IFERROR(INDEX(IF($T163&lt;=60,peso05_s,peso510_s),MATCH($W163,IF($T163&lt;=60,peso05_k,peso510_k),1)),""))</f>
        <v/>
      </c>
      <c r="AM163">
        <f>IF($AJ163="","",IF($AJ163=0,LN($F163/$AK163)/$AL163,((($F163/$AK163)^$AJ163)-1)/($AJ163*$AL163)))</f>
        <v/>
      </c>
      <c r="AN163">
        <f>IF($AJ163="","",IF($AJ163=0,$AK163*EXP($AL163*2),$AK163*(1+$AJ163*$AL163*2)^(1/$AJ163)))</f>
        <v/>
      </c>
      <c r="AO163">
        <f>IF($AJ163="","",IF($AJ163=0,$AK163*EXP($AL163*3),$AK163*(1+$AJ163*$AL163*3)^(1/$AJ163)))</f>
        <v/>
      </c>
      <c r="AP163">
        <f>IF($AJ163="","",IF($AJ163=0,$AK163*EXP($AL163*-2),$AK163*(1+$AJ163*$AL163*-2)^(1/$AJ163)))</f>
        <v/>
      </c>
      <c r="AQ163">
        <f>IF($AJ163="","",IF($AJ163=0,$AK163*EXP($AL163*-3),$AK163*(1+$AJ163*$AL163*-3)^(1/$AJ163)))</f>
        <v/>
      </c>
      <c r="AR163">
        <f>IF(OR($X163="",$T163&gt;60),"",IFERROR(INDEX(IF($T163&lt;24,pcomp_l,palt_l),MATCH($X163,IF($T163&lt;24,pcomp_k,palt_k),1)),""))</f>
        <v/>
      </c>
      <c r="AS163">
        <f>IF(OR($X163="",$T163&gt;60),"",IFERROR(INDEX(IF($T163&lt;24,pcomp_m,palt_m),MATCH($X163,IF($T163&lt;24,pcomp_k,palt_k),1)),""))</f>
        <v/>
      </c>
      <c r="AT163">
        <f>IF(OR($X163="",$T163&gt;60),"",IFERROR(INDEX(IF($T163&lt;24,pcomp_s,palt_s),MATCH($X163,IF($T163&lt;24,pcomp_k,palt_k),1)),""))</f>
        <v/>
      </c>
      <c r="AU163">
        <f>IF($AR163="","",IF($AR163=0,LN($F163/$AS163)/$AT163,((($F163/$AS163)^$AR163)-1)/($AR163*$AT163)))</f>
        <v/>
      </c>
      <c r="AV163">
        <f>IF($AR163="","",IF($AR163=0,$AS163*EXP($AT163*2),$AS163*(1+$AR163*$AT163*2)^(1/$AR163)))</f>
        <v/>
      </c>
      <c r="AW163">
        <f>IF($AR163="","",IF($AR163=0,$AS163*EXP($AT163*3),$AS163*(1+$AR163*$AT163*3)^(1/$AR163)))</f>
        <v/>
      </c>
      <c r="AX163">
        <f>IF($AR163="","",IF($AR163=0,$AS163*EXP($AT163*-2),$AS163*(1+$AR163*$AT163*-2)^(1/$AR163)))</f>
        <v/>
      </c>
      <c r="AY163">
        <f>IF($AR163="","",IF($AR163=0,$AS163*EXP($AT163*-3),$AS163*(1+$AR163*$AT163*-3)^(1/$AR163)))</f>
        <v/>
      </c>
      <c r="AZ163">
        <f>IF(OR($A163="",$A163&lt;&gt;Ficha!$C$4),"",COUNTIF($A$2:$A163,Ficha!$C$4))</f>
        <v/>
      </c>
    </row>
    <row r="164">
      <c r="A164" s="8">
        <f>IF(INDEX(Banco!$A:$A,ROW())="","",INDEX(Banco!$A:$A,ROW()))</f>
        <v/>
      </c>
      <c r="B164" s="8">
        <f>IF(INDEX(Banco!$B:$B,ROW())="","",INDEX(Banco!$B:$B,ROW()))</f>
        <v/>
      </c>
      <c r="C164" s="8">
        <f>IF(INDEX(Banco!$C:$C,ROW())="","",INDEX(Banco!$C:$C,ROW()))</f>
        <v/>
      </c>
      <c r="D164" s="9">
        <f>IF(INDEX(Banco!$D:$D,ROW())="","",INDEX(Banco!$D:$D,ROW()))</f>
        <v/>
      </c>
      <c r="E164" s="9">
        <f>IF(INDEX(Banco!$E:$E,ROW())="","",INDEX(Banco!$E:$E,ROW()))</f>
        <v/>
      </c>
      <c r="F164" s="10">
        <f>IF(INDEX(Banco!$F:$F,ROW())="","",INDEX(Banco!$F:$F,ROW()))</f>
        <v/>
      </c>
      <c r="G164" s="10">
        <f>IF(INDEX(Banco!$G:$G,ROW())="","",INDEX(Banco!$G:$G,ROW()))</f>
        <v/>
      </c>
      <c r="H164" s="8">
        <f>IF(INDEX(Banco!$H:$H,ROW())="","",INDEX(Banco!$H:$H,ROW()))</f>
        <v/>
      </c>
      <c r="I164">
        <f>IF($T164="","",INT($T164/12)&amp;"a "&amp;MOD($T164,12)&amp;"m")</f>
        <v/>
      </c>
      <c r="J164" s="11">
        <f>IF(OR($F164="",$G164=""),"",ROUND($F164/($G164/100)^2,2))</f>
        <v/>
      </c>
      <c r="K164" s="12">
        <f>IF(OR($S164="",$J164="",$T164="",$T164&lt;0,$T164&gt;228,$Y164=""),"—",ROUND(IF(ABS($AB164)&lt;=3,$AB164,IF($AB164&gt;3,3+($J164-$AD164)/($AD164-$AC164),-3+($J164-$AF164)/($AE164-$AF164))),2))</f>
        <v/>
      </c>
      <c r="L164">
        <f>IF(OR($K164="",$K164="—"),"",IF($T164&lt;=60,IF($K164&lt;-3,"Magreza acentuada",IF($K164&lt;-2,"Magreza",IF($K164&lt;=1,"Eutrofia",IF($K164&lt;=2,"Risco de sobrepeso",IF($K164&lt;=3,"Sobrepeso","Obesidade"))))),IF($K164&lt;-3,"Magreza acentuada",IF($K164&lt;-2,"Magreza",IF($K164&lt;=1,"Eutrofia",IF($K164&lt;=2,"Sobrepeso",IF($K164&lt;=3,"Obesidade","Obesidade grave")))))))</f>
        <v/>
      </c>
      <c r="M164" s="12">
        <f>IF(OR($S164="",$V164="",$T164="",$T164&lt;0,$T164&gt;228,$AG164=""),"—",ROUND(IF($AG164=0,LN($V164/$AH164)/$AI164,((($V164/$AH164)^$AG164)-1)/($AG164*$AI164)),2))</f>
        <v/>
      </c>
      <c r="N164">
        <f>IF(OR($M164="",$M164="—"),"",IF($M164&lt;-3,"Muito baixa",IF($M164&lt;-2,"Baixa","Adequada")))</f>
        <v/>
      </c>
      <c r="O164" s="12">
        <f>IF(OR($S164="",$F164="",$T164="",$T164&lt;0,$T164&gt;120,$AJ164=""),"—",ROUND(IF(ABS($AM164)&lt;=3,$AM164,IF($AM164&gt;3,3+($F164-$AO164)/($AO164-$AN164),-3+($F164-$AQ164)/($AP164-$AQ164))),2))</f>
        <v/>
      </c>
      <c r="P164">
        <f>IF(OR($O164="",$O164="—"),"",IF($O164&lt;-3,"Muito baixo",IF($O164&lt;-2,"Baixo",IF($O164&lt;=2,"Adequado","Elevado"))))</f>
        <v/>
      </c>
      <c r="Q164" s="12">
        <f>IF(OR($S164="",$F164="",$T164="",$T164&lt;0,$T164&gt;60,$AR164=""),"—",ROUND(IF(ABS($AU164)&lt;=3,$AU164,IF($AU164&gt;3,3+($F164-$AW164)/($AW164-$AV164),-3+($F164-$AY164)/($AX164-$AY164))),2))</f>
        <v/>
      </c>
      <c r="R164">
        <f>IF(OR($Q164="",$Q164="—"),"",IF($Q164&lt;-3,"Magreza acentuada",IF($Q164&lt;-2,"Magreza",IF($Q164&lt;=1,"Eutrofia",IF($Q164&lt;=2,"Risco de sobrepeso",IF($Q164&lt;=3,"Sobrepeso","Obesidade"))))))</f>
        <v/>
      </c>
      <c r="S164">
        <f>IF($C164="","",IF(UPPER(LEFT($C164,1))="M",1,IF(UPPER(LEFT($C164,1))="F",2,"")))</f>
        <v/>
      </c>
      <c r="T164">
        <f>IF(OR($D164="",$E164=""),"",DATEDIF($D164,$E164,"m"))</f>
        <v/>
      </c>
      <c r="U164">
        <f>IF(OR($D164="",$E164=""),"",$E164-$D164)</f>
        <v/>
      </c>
      <c r="V164">
        <f>IF(OR($G164="",$T164=""),"",IF($T164&lt;24,IF(LEFT(LOWER($H164),4)="em p",$G164+0.7,$G164),IF(LEFT(LOWER($H164),4)="deit",$G164-0.7,$G164)))</f>
        <v/>
      </c>
      <c r="W164">
        <f>IF(OR($S164="",$T164=""),"",$S164*1000000+IF($T164&lt;=60,$U164,$T164))</f>
        <v/>
      </c>
      <c r="X164">
        <f>IF(OR($S164="",$V164="",$T164&gt;60,$T164=""),"",$S164*1000000+ROUND($V164*10,0))</f>
        <v/>
      </c>
      <c r="Y164">
        <f>IF($W164="","",IFERROR(INDEX(IF($T164&lt;=60,imc05_l,imc519_l),MATCH($W164,IF($T164&lt;=60,imc05_k,imc519_k),1)),""))</f>
        <v/>
      </c>
      <c r="Z164">
        <f>IF($W164="","",IFERROR(INDEX(IF($T164&lt;=60,imc05_m,imc519_m),MATCH($W164,IF($T164&lt;=60,imc05_k,imc519_k),1)),""))</f>
        <v/>
      </c>
      <c r="AA164">
        <f>IF($W164="","",IFERROR(INDEX(IF($T164&lt;=60,imc05_s,imc519_s),MATCH($W164,IF($T164&lt;=60,imc05_k,imc519_k),1)),""))</f>
        <v/>
      </c>
      <c r="AB164">
        <f>IF($Y164="","",IF($Y164=0,LN($J164/$Z164)/$AA164,((($J164/$Z164)^$Y164)-1)/($Y164*$AA164)))</f>
        <v/>
      </c>
      <c r="AC164">
        <f>IF($Y164="","",IF($Y164=0,$Z164*EXP($AA164*2),$Z164*(1+$Y164*$AA164*2)^(1/$Y164)))</f>
        <v/>
      </c>
      <c r="AD164">
        <f>IF($Y164="","",IF($Y164=0,$Z164*EXP($AA164*3),$Z164*(1+$Y164*$AA164*3)^(1/$Y164)))</f>
        <v/>
      </c>
      <c r="AE164">
        <f>IF($Y164="","",IF($Y164=0,$Z164*EXP($AA164*-2),$Z164*(1+$Y164*$AA164*-2)^(1/$Y164)))</f>
        <v/>
      </c>
      <c r="AF164">
        <f>IF($Y164="","",IF($Y164=0,$Z164*EXP($AA164*-3),$Z164*(1+$Y164*$AA164*-3)^(1/$Y164)))</f>
        <v/>
      </c>
      <c r="AG164">
        <f>IF($W164="","",IFERROR(INDEX(IF($T164&lt;=60,est05_l,est519_l),MATCH($W164,IF($T164&lt;=60,est05_k,est519_k),1)),""))</f>
        <v/>
      </c>
      <c r="AH164">
        <f>IF($W164="","",IFERROR(INDEX(IF($T164&lt;=60,est05_m,est519_m),MATCH($W164,IF($T164&lt;=60,est05_k,est519_k),1)),""))</f>
        <v/>
      </c>
      <c r="AI164">
        <f>IF($W164="","",IFERROR(INDEX(IF($T164&lt;=60,est05_s,est519_s),MATCH($W164,IF($T164&lt;=60,est05_k,est519_k),1)),""))</f>
        <v/>
      </c>
      <c r="AJ164">
        <f>IF($W164="","",IFERROR(INDEX(IF($T164&lt;=60,peso05_l,peso510_l),MATCH($W164,IF($T164&lt;=60,peso05_k,peso510_k),1)),""))</f>
        <v/>
      </c>
      <c r="AK164">
        <f>IF($W164="","",IFERROR(INDEX(IF($T164&lt;=60,peso05_m,peso510_m),MATCH($W164,IF($T164&lt;=60,peso05_k,peso510_k),1)),""))</f>
        <v/>
      </c>
      <c r="AL164">
        <f>IF($W164="","",IFERROR(INDEX(IF($T164&lt;=60,peso05_s,peso510_s),MATCH($W164,IF($T164&lt;=60,peso05_k,peso510_k),1)),""))</f>
        <v/>
      </c>
      <c r="AM164">
        <f>IF($AJ164="","",IF($AJ164=0,LN($F164/$AK164)/$AL164,((($F164/$AK164)^$AJ164)-1)/($AJ164*$AL164)))</f>
        <v/>
      </c>
      <c r="AN164">
        <f>IF($AJ164="","",IF($AJ164=0,$AK164*EXP($AL164*2),$AK164*(1+$AJ164*$AL164*2)^(1/$AJ164)))</f>
        <v/>
      </c>
      <c r="AO164">
        <f>IF($AJ164="","",IF($AJ164=0,$AK164*EXP($AL164*3),$AK164*(1+$AJ164*$AL164*3)^(1/$AJ164)))</f>
        <v/>
      </c>
      <c r="AP164">
        <f>IF($AJ164="","",IF($AJ164=0,$AK164*EXP($AL164*-2),$AK164*(1+$AJ164*$AL164*-2)^(1/$AJ164)))</f>
        <v/>
      </c>
      <c r="AQ164">
        <f>IF($AJ164="","",IF($AJ164=0,$AK164*EXP($AL164*-3),$AK164*(1+$AJ164*$AL164*-3)^(1/$AJ164)))</f>
        <v/>
      </c>
      <c r="AR164">
        <f>IF(OR($X164="",$T164&gt;60),"",IFERROR(INDEX(IF($T164&lt;24,pcomp_l,palt_l),MATCH($X164,IF($T164&lt;24,pcomp_k,palt_k),1)),""))</f>
        <v/>
      </c>
      <c r="AS164">
        <f>IF(OR($X164="",$T164&gt;60),"",IFERROR(INDEX(IF($T164&lt;24,pcomp_m,palt_m),MATCH($X164,IF($T164&lt;24,pcomp_k,palt_k),1)),""))</f>
        <v/>
      </c>
      <c r="AT164">
        <f>IF(OR($X164="",$T164&gt;60),"",IFERROR(INDEX(IF($T164&lt;24,pcomp_s,palt_s),MATCH($X164,IF($T164&lt;24,pcomp_k,palt_k),1)),""))</f>
        <v/>
      </c>
      <c r="AU164">
        <f>IF($AR164="","",IF($AR164=0,LN($F164/$AS164)/$AT164,((($F164/$AS164)^$AR164)-1)/($AR164*$AT164)))</f>
        <v/>
      </c>
      <c r="AV164">
        <f>IF($AR164="","",IF($AR164=0,$AS164*EXP($AT164*2),$AS164*(1+$AR164*$AT164*2)^(1/$AR164)))</f>
        <v/>
      </c>
      <c r="AW164">
        <f>IF($AR164="","",IF($AR164=0,$AS164*EXP($AT164*3),$AS164*(1+$AR164*$AT164*3)^(1/$AR164)))</f>
        <v/>
      </c>
      <c r="AX164">
        <f>IF($AR164="","",IF($AR164=0,$AS164*EXP($AT164*-2),$AS164*(1+$AR164*$AT164*-2)^(1/$AR164)))</f>
        <v/>
      </c>
      <c r="AY164">
        <f>IF($AR164="","",IF($AR164=0,$AS164*EXP($AT164*-3),$AS164*(1+$AR164*$AT164*-3)^(1/$AR164)))</f>
        <v/>
      </c>
      <c r="AZ164">
        <f>IF(OR($A164="",$A164&lt;&gt;Ficha!$C$4),"",COUNTIF($A$2:$A164,Ficha!$C$4))</f>
        <v/>
      </c>
    </row>
    <row r="165">
      <c r="A165" s="8">
        <f>IF(INDEX(Banco!$A:$A,ROW())="","",INDEX(Banco!$A:$A,ROW()))</f>
        <v/>
      </c>
      <c r="B165" s="8">
        <f>IF(INDEX(Banco!$B:$B,ROW())="","",INDEX(Banco!$B:$B,ROW()))</f>
        <v/>
      </c>
      <c r="C165" s="8">
        <f>IF(INDEX(Banco!$C:$C,ROW())="","",INDEX(Banco!$C:$C,ROW()))</f>
        <v/>
      </c>
      <c r="D165" s="9">
        <f>IF(INDEX(Banco!$D:$D,ROW())="","",INDEX(Banco!$D:$D,ROW()))</f>
        <v/>
      </c>
      <c r="E165" s="9">
        <f>IF(INDEX(Banco!$E:$E,ROW())="","",INDEX(Banco!$E:$E,ROW()))</f>
        <v/>
      </c>
      <c r="F165" s="10">
        <f>IF(INDEX(Banco!$F:$F,ROW())="","",INDEX(Banco!$F:$F,ROW()))</f>
        <v/>
      </c>
      <c r="G165" s="10">
        <f>IF(INDEX(Banco!$G:$G,ROW())="","",INDEX(Banco!$G:$G,ROW()))</f>
        <v/>
      </c>
      <c r="H165" s="8">
        <f>IF(INDEX(Banco!$H:$H,ROW())="","",INDEX(Banco!$H:$H,ROW()))</f>
        <v/>
      </c>
      <c r="I165">
        <f>IF($T165="","",INT($T165/12)&amp;"a "&amp;MOD($T165,12)&amp;"m")</f>
        <v/>
      </c>
      <c r="J165" s="11">
        <f>IF(OR($F165="",$G165=""),"",ROUND($F165/($G165/100)^2,2))</f>
        <v/>
      </c>
      <c r="K165" s="12">
        <f>IF(OR($S165="",$J165="",$T165="",$T165&lt;0,$T165&gt;228,$Y165=""),"—",ROUND(IF(ABS($AB165)&lt;=3,$AB165,IF($AB165&gt;3,3+($J165-$AD165)/($AD165-$AC165),-3+($J165-$AF165)/($AE165-$AF165))),2))</f>
        <v/>
      </c>
      <c r="L165">
        <f>IF(OR($K165="",$K165="—"),"",IF($T165&lt;=60,IF($K165&lt;-3,"Magreza acentuada",IF($K165&lt;-2,"Magreza",IF($K165&lt;=1,"Eutrofia",IF($K165&lt;=2,"Risco de sobrepeso",IF($K165&lt;=3,"Sobrepeso","Obesidade"))))),IF($K165&lt;-3,"Magreza acentuada",IF($K165&lt;-2,"Magreza",IF($K165&lt;=1,"Eutrofia",IF($K165&lt;=2,"Sobrepeso",IF($K165&lt;=3,"Obesidade","Obesidade grave")))))))</f>
        <v/>
      </c>
      <c r="M165" s="12">
        <f>IF(OR($S165="",$V165="",$T165="",$T165&lt;0,$T165&gt;228,$AG165=""),"—",ROUND(IF($AG165=0,LN($V165/$AH165)/$AI165,((($V165/$AH165)^$AG165)-1)/($AG165*$AI165)),2))</f>
        <v/>
      </c>
      <c r="N165">
        <f>IF(OR($M165="",$M165="—"),"",IF($M165&lt;-3,"Muito baixa",IF($M165&lt;-2,"Baixa","Adequada")))</f>
        <v/>
      </c>
      <c r="O165" s="12">
        <f>IF(OR($S165="",$F165="",$T165="",$T165&lt;0,$T165&gt;120,$AJ165=""),"—",ROUND(IF(ABS($AM165)&lt;=3,$AM165,IF($AM165&gt;3,3+($F165-$AO165)/($AO165-$AN165),-3+($F165-$AQ165)/($AP165-$AQ165))),2))</f>
        <v/>
      </c>
      <c r="P165">
        <f>IF(OR($O165="",$O165="—"),"",IF($O165&lt;-3,"Muito baixo",IF($O165&lt;-2,"Baixo",IF($O165&lt;=2,"Adequado","Elevado"))))</f>
        <v/>
      </c>
      <c r="Q165" s="12">
        <f>IF(OR($S165="",$F165="",$T165="",$T165&lt;0,$T165&gt;60,$AR165=""),"—",ROUND(IF(ABS($AU165)&lt;=3,$AU165,IF($AU165&gt;3,3+($F165-$AW165)/($AW165-$AV165),-3+($F165-$AY165)/($AX165-$AY165))),2))</f>
        <v/>
      </c>
      <c r="R165">
        <f>IF(OR($Q165="",$Q165="—"),"",IF($Q165&lt;-3,"Magreza acentuada",IF($Q165&lt;-2,"Magreza",IF($Q165&lt;=1,"Eutrofia",IF($Q165&lt;=2,"Risco de sobrepeso",IF($Q165&lt;=3,"Sobrepeso","Obesidade"))))))</f>
        <v/>
      </c>
      <c r="S165">
        <f>IF($C165="","",IF(UPPER(LEFT($C165,1))="M",1,IF(UPPER(LEFT($C165,1))="F",2,"")))</f>
        <v/>
      </c>
      <c r="T165">
        <f>IF(OR($D165="",$E165=""),"",DATEDIF($D165,$E165,"m"))</f>
        <v/>
      </c>
      <c r="U165">
        <f>IF(OR($D165="",$E165=""),"",$E165-$D165)</f>
        <v/>
      </c>
      <c r="V165">
        <f>IF(OR($G165="",$T165=""),"",IF($T165&lt;24,IF(LEFT(LOWER($H165),4)="em p",$G165+0.7,$G165),IF(LEFT(LOWER($H165),4)="deit",$G165-0.7,$G165)))</f>
        <v/>
      </c>
      <c r="W165">
        <f>IF(OR($S165="",$T165=""),"",$S165*1000000+IF($T165&lt;=60,$U165,$T165))</f>
        <v/>
      </c>
      <c r="X165">
        <f>IF(OR($S165="",$V165="",$T165&gt;60,$T165=""),"",$S165*1000000+ROUND($V165*10,0))</f>
        <v/>
      </c>
      <c r="Y165">
        <f>IF($W165="","",IFERROR(INDEX(IF($T165&lt;=60,imc05_l,imc519_l),MATCH($W165,IF($T165&lt;=60,imc05_k,imc519_k),1)),""))</f>
        <v/>
      </c>
      <c r="Z165">
        <f>IF($W165="","",IFERROR(INDEX(IF($T165&lt;=60,imc05_m,imc519_m),MATCH($W165,IF($T165&lt;=60,imc05_k,imc519_k),1)),""))</f>
        <v/>
      </c>
      <c r="AA165">
        <f>IF($W165="","",IFERROR(INDEX(IF($T165&lt;=60,imc05_s,imc519_s),MATCH($W165,IF($T165&lt;=60,imc05_k,imc519_k),1)),""))</f>
        <v/>
      </c>
      <c r="AB165">
        <f>IF($Y165="","",IF($Y165=0,LN($J165/$Z165)/$AA165,((($J165/$Z165)^$Y165)-1)/($Y165*$AA165)))</f>
        <v/>
      </c>
      <c r="AC165">
        <f>IF($Y165="","",IF($Y165=0,$Z165*EXP($AA165*2),$Z165*(1+$Y165*$AA165*2)^(1/$Y165)))</f>
        <v/>
      </c>
      <c r="AD165">
        <f>IF($Y165="","",IF($Y165=0,$Z165*EXP($AA165*3),$Z165*(1+$Y165*$AA165*3)^(1/$Y165)))</f>
        <v/>
      </c>
      <c r="AE165">
        <f>IF($Y165="","",IF($Y165=0,$Z165*EXP($AA165*-2),$Z165*(1+$Y165*$AA165*-2)^(1/$Y165)))</f>
        <v/>
      </c>
      <c r="AF165">
        <f>IF($Y165="","",IF($Y165=0,$Z165*EXP($AA165*-3),$Z165*(1+$Y165*$AA165*-3)^(1/$Y165)))</f>
        <v/>
      </c>
      <c r="AG165">
        <f>IF($W165="","",IFERROR(INDEX(IF($T165&lt;=60,est05_l,est519_l),MATCH($W165,IF($T165&lt;=60,est05_k,est519_k),1)),""))</f>
        <v/>
      </c>
      <c r="AH165">
        <f>IF($W165="","",IFERROR(INDEX(IF($T165&lt;=60,est05_m,est519_m),MATCH($W165,IF($T165&lt;=60,est05_k,est519_k),1)),""))</f>
        <v/>
      </c>
      <c r="AI165">
        <f>IF($W165="","",IFERROR(INDEX(IF($T165&lt;=60,est05_s,est519_s),MATCH($W165,IF($T165&lt;=60,est05_k,est519_k),1)),""))</f>
        <v/>
      </c>
      <c r="AJ165">
        <f>IF($W165="","",IFERROR(INDEX(IF($T165&lt;=60,peso05_l,peso510_l),MATCH($W165,IF($T165&lt;=60,peso05_k,peso510_k),1)),""))</f>
        <v/>
      </c>
      <c r="AK165">
        <f>IF($W165="","",IFERROR(INDEX(IF($T165&lt;=60,peso05_m,peso510_m),MATCH($W165,IF($T165&lt;=60,peso05_k,peso510_k),1)),""))</f>
        <v/>
      </c>
      <c r="AL165">
        <f>IF($W165="","",IFERROR(INDEX(IF($T165&lt;=60,peso05_s,peso510_s),MATCH($W165,IF($T165&lt;=60,peso05_k,peso510_k),1)),""))</f>
        <v/>
      </c>
      <c r="AM165">
        <f>IF($AJ165="","",IF($AJ165=0,LN($F165/$AK165)/$AL165,((($F165/$AK165)^$AJ165)-1)/($AJ165*$AL165)))</f>
        <v/>
      </c>
      <c r="AN165">
        <f>IF($AJ165="","",IF($AJ165=0,$AK165*EXP($AL165*2),$AK165*(1+$AJ165*$AL165*2)^(1/$AJ165)))</f>
        <v/>
      </c>
      <c r="AO165">
        <f>IF($AJ165="","",IF($AJ165=0,$AK165*EXP($AL165*3),$AK165*(1+$AJ165*$AL165*3)^(1/$AJ165)))</f>
        <v/>
      </c>
      <c r="AP165">
        <f>IF($AJ165="","",IF($AJ165=0,$AK165*EXP($AL165*-2),$AK165*(1+$AJ165*$AL165*-2)^(1/$AJ165)))</f>
        <v/>
      </c>
      <c r="AQ165">
        <f>IF($AJ165="","",IF($AJ165=0,$AK165*EXP($AL165*-3),$AK165*(1+$AJ165*$AL165*-3)^(1/$AJ165)))</f>
        <v/>
      </c>
      <c r="AR165">
        <f>IF(OR($X165="",$T165&gt;60),"",IFERROR(INDEX(IF($T165&lt;24,pcomp_l,palt_l),MATCH($X165,IF($T165&lt;24,pcomp_k,palt_k),1)),""))</f>
        <v/>
      </c>
      <c r="AS165">
        <f>IF(OR($X165="",$T165&gt;60),"",IFERROR(INDEX(IF($T165&lt;24,pcomp_m,palt_m),MATCH($X165,IF($T165&lt;24,pcomp_k,palt_k),1)),""))</f>
        <v/>
      </c>
      <c r="AT165">
        <f>IF(OR($X165="",$T165&gt;60),"",IFERROR(INDEX(IF($T165&lt;24,pcomp_s,palt_s),MATCH($X165,IF($T165&lt;24,pcomp_k,palt_k),1)),""))</f>
        <v/>
      </c>
      <c r="AU165">
        <f>IF($AR165="","",IF($AR165=0,LN($F165/$AS165)/$AT165,((($F165/$AS165)^$AR165)-1)/($AR165*$AT165)))</f>
        <v/>
      </c>
      <c r="AV165">
        <f>IF($AR165="","",IF($AR165=0,$AS165*EXP($AT165*2),$AS165*(1+$AR165*$AT165*2)^(1/$AR165)))</f>
        <v/>
      </c>
      <c r="AW165">
        <f>IF($AR165="","",IF($AR165=0,$AS165*EXP($AT165*3),$AS165*(1+$AR165*$AT165*3)^(1/$AR165)))</f>
        <v/>
      </c>
      <c r="AX165">
        <f>IF($AR165="","",IF($AR165=0,$AS165*EXP($AT165*-2),$AS165*(1+$AR165*$AT165*-2)^(1/$AR165)))</f>
        <v/>
      </c>
      <c r="AY165">
        <f>IF($AR165="","",IF($AR165=0,$AS165*EXP($AT165*-3),$AS165*(1+$AR165*$AT165*-3)^(1/$AR165)))</f>
        <v/>
      </c>
      <c r="AZ165">
        <f>IF(OR($A165="",$A165&lt;&gt;Ficha!$C$4),"",COUNTIF($A$2:$A165,Ficha!$C$4))</f>
        <v/>
      </c>
    </row>
    <row r="166">
      <c r="A166" s="8">
        <f>IF(INDEX(Banco!$A:$A,ROW())="","",INDEX(Banco!$A:$A,ROW()))</f>
        <v/>
      </c>
      <c r="B166" s="8">
        <f>IF(INDEX(Banco!$B:$B,ROW())="","",INDEX(Banco!$B:$B,ROW()))</f>
        <v/>
      </c>
      <c r="C166" s="8">
        <f>IF(INDEX(Banco!$C:$C,ROW())="","",INDEX(Banco!$C:$C,ROW()))</f>
        <v/>
      </c>
      <c r="D166" s="9">
        <f>IF(INDEX(Banco!$D:$D,ROW())="","",INDEX(Banco!$D:$D,ROW()))</f>
        <v/>
      </c>
      <c r="E166" s="9">
        <f>IF(INDEX(Banco!$E:$E,ROW())="","",INDEX(Banco!$E:$E,ROW()))</f>
        <v/>
      </c>
      <c r="F166" s="10">
        <f>IF(INDEX(Banco!$F:$F,ROW())="","",INDEX(Banco!$F:$F,ROW()))</f>
        <v/>
      </c>
      <c r="G166" s="10">
        <f>IF(INDEX(Banco!$G:$G,ROW())="","",INDEX(Banco!$G:$G,ROW()))</f>
        <v/>
      </c>
      <c r="H166" s="8">
        <f>IF(INDEX(Banco!$H:$H,ROW())="","",INDEX(Banco!$H:$H,ROW()))</f>
        <v/>
      </c>
      <c r="I166">
        <f>IF($T166="","",INT($T166/12)&amp;"a "&amp;MOD($T166,12)&amp;"m")</f>
        <v/>
      </c>
      <c r="J166" s="11">
        <f>IF(OR($F166="",$G166=""),"",ROUND($F166/($G166/100)^2,2))</f>
        <v/>
      </c>
      <c r="K166" s="12">
        <f>IF(OR($S166="",$J166="",$T166="",$T166&lt;0,$T166&gt;228,$Y166=""),"—",ROUND(IF(ABS($AB166)&lt;=3,$AB166,IF($AB166&gt;3,3+($J166-$AD166)/($AD166-$AC166),-3+($J166-$AF166)/($AE166-$AF166))),2))</f>
        <v/>
      </c>
      <c r="L166">
        <f>IF(OR($K166="",$K166="—"),"",IF($T166&lt;=60,IF($K166&lt;-3,"Magreza acentuada",IF($K166&lt;-2,"Magreza",IF($K166&lt;=1,"Eutrofia",IF($K166&lt;=2,"Risco de sobrepeso",IF($K166&lt;=3,"Sobrepeso","Obesidade"))))),IF($K166&lt;-3,"Magreza acentuada",IF($K166&lt;-2,"Magreza",IF($K166&lt;=1,"Eutrofia",IF($K166&lt;=2,"Sobrepeso",IF($K166&lt;=3,"Obesidade","Obesidade grave")))))))</f>
        <v/>
      </c>
      <c r="M166" s="12">
        <f>IF(OR($S166="",$V166="",$T166="",$T166&lt;0,$T166&gt;228,$AG166=""),"—",ROUND(IF($AG166=0,LN($V166/$AH166)/$AI166,((($V166/$AH166)^$AG166)-1)/($AG166*$AI166)),2))</f>
        <v/>
      </c>
      <c r="N166">
        <f>IF(OR($M166="",$M166="—"),"",IF($M166&lt;-3,"Muito baixa",IF($M166&lt;-2,"Baixa","Adequada")))</f>
        <v/>
      </c>
      <c r="O166" s="12">
        <f>IF(OR($S166="",$F166="",$T166="",$T166&lt;0,$T166&gt;120,$AJ166=""),"—",ROUND(IF(ABS($AM166)&lt;=3,$AM166,IF($AM166&gt;3,3+($F166-$AO166)/($AO166-$AN166),-3+($F166-$AQ166)/($AP166-$AQ166))),2))</f>
        <v/>
      </c>
      <c r="P166">
        <f>IF(OR($O166="",$O166="—"),"",IF($O166&lt;-3,"Muito baixo",IF($O166&lt;-2,"Baixo",IF($O166&lt;=2,"Adequado","Elevado"))))</f>
        <v/>
      </c>
      <c r="Q166" s="12">
        <f>IF(OR($S166="",$F166="",$T166="",$T166&lt;0,$T166&gt;60,$AR166=""),"—",ROUND(IF(ABS($AU166)&lt;=3,$AU166,IF($AU166&gt;3,3+($F166-$AW166)/($AW166-$AV166),-3+($F166-$AY166)/($AX166-$AY166))),2))</f>
        <v/>
      </c>
      <c r="R166">
        <f>IF(OR($Q166="",$Q166="—"),"",IF($Q166&lt;-3,"Magreza acentuada",IF($Q166&lt;-2,"Magreza",IF($Q166&lt;=1,"Eutrofia",IF($Q166&lt;=2,"Risco de sobrepeso",IF($Q166&lt;=3,"Sobrepeso","Obesidade"))))))</f>
        <v/>
      </c>
      <c r="S166">
        <f>IF($C166="","",IF(UPPER(LEFT($C166,1))="M",1,IF(UPPER(LEFT($C166,1))="F",2,"")))</f>
        <v/>
      </c>
      <c r="T166">
        <f>IF(OR($D166="",$E166=""),"",DATEDIF($D166,$E166,"m"))</f>
        <v/>
      </c>
      <c r="U166">
        <f>IF(OR($D166="",$E166=""),"",$E166-$D166)</f>
        <v/>
      </c>
      <c r="V166">
        <f>IF(OR($G166="",$T166=""),"",IF($T166&lt;24,IF(LEFT(LOWER($H166),4)="em p",$G166+0.7,$G166),IF(LEFT(LOWER($H166),4)="deit",$G166-0.7,$G166)))</f>
        <v/>
      </c>
      <c r="W166">
        <f>IF(OR($S166="",$T166=""),"",$S166*1000000+IF($T166&lt;=60,$U166,$T166))</f>
        <v/>
      </c>
      <c r="X166">
        <f>IF(OR($S166="",$V166="",$T166&gt;60,$T166=""),"",$S166*1000000+ROUND($V166*10,0))</f>
        <v/>
      </c>
      <c r="Y166">
        <f>IF($W166="","",IFERROR(INDEX(IF($T166&lt;=60,imc05_l,imc519_l),MATCH($W166,IF($T166&lt;=60,imc05_k,imc519_k),1)),""))</f>
        <v/>
      </c>
      <c r="Z166">
        <f>IF($W166="","",IFERROR(INDEX(IF($T166&lt;=60,imc05_m,imc519_m),MATCH($W166,IF($T166&lt;=60,imc05_k,imc519_k),1)),""))</f>
        <v/>
      </c>
      <c r="AA166">
        <f>IF($W166="","",IFERROR(INDEX(IF($T166&lt;=60,imc05_s,imc519_s),MATCH($W166,IF($T166&lt;=60,imc05_k,imc519_k),1)),""))</f>
        <v/>
      </c>
      <c r="AB166">
        <f>IF($Y166="","",IF($Y166=0,LN($J166/$Z166)/$AA166,((($J166/$Z166)^$Y166)-1)/($Y166*$AA166)))</f>
        <v/>
      </c>
      <c r="AC166">
        <f>IF($Y166="","",IF($Y166=0,$Z166*EXP($AA166*2),$Z166*(1+$Y166*$AA166*2)^(1/$Y166)))</f>
        <v/>
      </c>
      <c r="AD166">
        <f>IF($Y166="","",IF($Y166=0,$Z166*EXP($AA166*3),$Z166*(1+$Y166*$AA166*3)^(1/$Y166)))</f>
        <v/>
      </c>
      <c r="AE166">
        <f>IF($Y166="","",IF($Y166=0,$Z166*EXP($AA166*-2),$Z166*(1+$Y166*$AA166*-2)^(1/$Y166)))</f>
        <v/>
      </c>
      <c r="AF166">
        <f>IF($Y166="","",IF($Y166=0,$Z166*EXP($AA166*-3),$Z166*(1+$Y166*$AA166*-3)^(1/$Y166)))</f>
        <v/>
      </c>
      <c r="AG166">
        <f>IF($W166="","",IFERROR(INDEX(IF($T166&lt;=60,est05_l,est519_l),MATCH($W166,IF($T166&lt;=60,est05_k,est519_k),1)),""))</f>
        <v/>
      </c>
      <c r="AH166">
        <f>IF($W166="","",IFERROR(INDEX(IF($T166&lt;=60,est05_m,est519_m),MATCH($W166,IF($T166&lt;=60,est05_k,est519_k),1)),""))</f>
        <v/>
      </c>
      <c r="AI166">
        <f>IF($W166="","",IFERROR(INDEX(IF($T166&lt;=60,est05_s,est519_s),MATCH($W166,IF($T166&lt;=60,est05_k,est519_k),1)),""))</f>
        <v/>
      </c>
      <c r="AJ166">
        <f>IF($W166="","",IFERROR(INDEX(IF($T166&lt;=60,peso05_l,peso510_l),MATCH($W166,IF($T166&lt;=60,peso05_k,peso510_k),1)),""))</f>
        <v/>
      </c>
      <c r="AK166">
        <f>IF($W166="","",IFERROR(INDEX(IF($T166&lt;=60,peso05_m,peso510_m),MATCH($W166,IF($T166&lt;=60,peso05_k,peso510_k),1)),""))</f>
        <v/>
      </c>
      <c r="AL166">
        <f>IF($W166="","",IFERROR(INDEX(IF($T166&lt;=60,peso05_s,peso510_s),MATCH($W166,IF($T166&lt;=60,peso05_k,peso510_k),1)),""))</f>
        <v/>
      </c>
      <c r="AM166">
        <f>IF($AJ166="","",IF($AJ166=0,LN($F166/$AK166)/$AL166,((($F166/$AK166)^$AJ166)-1)/($AJ166*$AL166)))</f>
        <v/>
      </c>
      <c r="AN166">
        <f>IF($AJ166="","",IF($AJ166=0,$AK166*EXP($AL166*2),$AK166*(1+$AJ166*$AL166*2)^(1/$AJ166)))</f>
        <v/>
      </c>
      <c r="AO166">
        <f>IF($AJ166="","",IF($AJ166=0,$AK166*EXP($AL166*3),$AK166*(1+$AJ166*$AL166*3)^(1/$AJ166)))</f>
        <v/>
      </c>
      <c r="AP166">
        <f>IF($AJ166="","",IF($AJ166=0,$AK166*EXP($AL166*-2),$AK166*(1+$AJ166*$AL166*-2)^(1/$AJ166)))</f>
        <v/>
      </c>
      <c r="AQ166">
        <f>IF($AJ166="","",IF($AJ166=0,$AK166*EXP($AL166*-3),$AK166*(1+$AJ166*$AL166*-3)^(1/$AJ166)))</f>
        <v/>
      </c>
      <c r="AR166">
        <f>IF(OR($X166="",$T166&gt;60),"",IFERROR(INDEX(IF($T166&lt;24,pcomp_l,palt_l),MATCH($X166,IF($T166&lt;24,pcomp_k,palt_k),1)),""))</f>
        <v/>
      </c>
      <c r="AS166">
        <f>IF(OR($X166="",$T166&gt;60),"",IFERROR(INDEX(IF($T166&lt;24,pcomp_m,palt_m),MATCH($X166,IF($T166&lt;24,pcomp_k,palt_k),1)),""))</f>
        <v/>
      </c>
      <c r="AT166">
        <f>IF(OR($X166="",$T166&gt;60),"",IFERROR(INDEX(IF($T166&lt;24,pcomp_s,palt_s),MATCH($X166,IF($T166&lt;24,pcomp_k,palt_k),1)),""))</f>
        <v/>
      </c>
      <c r="AU166">
        <f>IF($AR166="","",IF($AR166=0,LN($F166/$AS166)/$AT166,((($F166/$AS166)^$AR166)-1)/($AR166*$AT166)))</f>
        <v/>
      </c>
      <c r="AV166">
        <f>IF($AR166="","",IF($AR166=0,$AS166*EXP($AT166*2),$AS166*(1+$AR166*$AT166*2)^(1/$AR166)))</f>
        <v/>
      </c>
      <c r="AW166">
        <f>IF($AR166="","",IF($AR166=0,$AS166*EXP($AT166*3),$AS166*(1+$AR166*$AT166*3)^(1/$AR166)))</f>
        <v/>
      </c>
      <c r="AX166">
        <f>IF($AR166="","",IF($AR166=0,$AS166*EXP($AT166*-2),$AS166*(1+$AR166*$AT166*-2)^(1/$AR166)))</f>
        <v/>
      </c>
      <c r="AY166">
        <f>IF($AR166="","",IF($AR166=0,$AS166*EXP($AT166*-3),$AS166*(1+$AR166*$AT166*-3)^(1/$AR166)))</f>
        <v/>
      </c>
      <c r="AZ166">
        <f>IF(OR($A166="",$A166&lt;&gt;Ficha!$C$4),"",COUNTIF($A$2:$A166,Ficha!$C$4))</f>
        <v/>
      </c>
    </row>
    <row r="167">
      <c r="A167" s="8">
        <f>IF(INDEX(Banco!$A:$A,ROW())="","",INDEX(Banco!$A:$A,ROW()))</f>
        <v/>
      </c>
      <c r="B167" s="8">
        <f>IF(INDEX(Banco!$B:$B,ROW())="","",INDEX(Banco!$B:$B,ROW()))</f>
        <v/>
      </c>
      <c r="C167" s="8">
        <f>IF(INDEX(Banco!$C:$C,ROW())="","",INDEX(Banco!$C:$C,ROW()))</f>
        <v/>
      </c>
      <c r="D167" s="9">
        <f>IF(INDEX(Banco!$D:$D,ROW())="","",INDEX(Banco!$D:$D,ROW()))</f>
        <v/>
      </c>
      <c r="E167" s="9">
        <f>IF(INDEX(Banco!$E:$E,ROW())="","",INDEX(Banco!$E:$E,ROW()))</f>
        <v/>
      </c>
      <c r="F167" s="10">
        <f>IF(INDEX(Banco!$F:$F,ROW())="","",INDEX(Banco!$F:$F,ROW()))</f>
        <v/>
      </c>
      <c r="G167" s="10">
        <f>IF(INDEX(Banco!$G:$G,ROW())="","",INDEX(Banco!$G:$G,ROW()))</f>
        <v/>
      </c>
      <c r="H167" s="8">
        <f>IF(INDEX(Banco!$H:$H,ROW())="","",INDEX(Banco!$H:$H,ROW()))</f>
        <v/>
      </c>
      <c r="I167">
        <f>IF($T167="","",INT($T167/12)&amp;"a "&amp;MOD($T167,12)&amp;"m")</f>
        <v/>
      </c>
      <c r="J167" s="11">
        <f>IF(OR($F167="",$G167=""),"",ROUND($F167/($G167/100)^2,2))</f>
        <v/>
      </c>
      <c r="K167" s="12">
        <f>IF(OR($S167="",$J167="",$T167="",$T167&lt;0,$T167&gt;228,$Y167=""),"—",ROUND(IF(ABS($AB167)&lt;=3,$AB167,IF($AB167&gt;3,3+($J167-$AD167)/($AD167-$AC167),-3+($J167-$AF167)/($AE167-$AF167))),2))</f>
        <v/>
      </c>
      <c r="L167">
        <f>IF(OR($K167="",$K167="—"),"",IF($T167&lt;=60,IF($K167&lt;-3,"Magreza acentuada",IF($K167&lt;-2,"Magreza",IF($K167&lt;=1,"Eutrofia",IF($K167&lt;=2,"Risco de sobrepeso",IF($K167&lt;=3,"Sobrepeso","Obesidade"))))),IF($K167&lt;-3,"Magreza acentuada",IF($K167&lt;-2,"Magreza",IF($K167&lt;=1,"Eutrofia",IF($K167&lt;=2,"Sobrepeso",IF($K167&lt;=3,"Obesidade","Obesidade grave")))))))</f>
        <v/>
      </c>
      <c r="M167" s="12">
        <f>IF(OR($S167="",$V167="",$T167="",$T167&lt;0,$T167&gt;228,$AG167=""),"—",ROUND(IF($AG167=0,LN($V167/$AH167)/$AI167,((($V167/$AH167)^$AG167)-1)/($AG167*$AI167)),2))</f>
        <v/>
      </c>
      <c r="N167">
        <f>IF(OR($M167="",$M167="—"),"",IF($M167&lt;-3,"Muito baixa",IF($M167&lt;-2,"Baixa","Adequada")))</f>
        <v/>
      </c>
      <c r="O167" s="12">
        <f>IF(OR($S167="",$F167="",$T167="",$T167&lt;0,$T167&gt;120,$AJ167=""),"—",ROUND(IF(ABS($AM167)&lt;=3,$AM167,IF($AM167&gt;3,3+($F167-$AO167)/($AO167-$AN167),-3+($F167-$AQ167)/($AP167-$AQ167))),2))</f>
        <v/>
      </c>
      <c r="P167">
        <f>IF(OR($O167="",$O167="—"),"",IF($O167&lt;-3,"Muito baixo",IF($O167&lt;-2,"Baixo",IF($O167&lt;=2,"Adequado","Elevado"))))</f>
        <v/>
      </c>
      <c r="Q167" s="12">
        <f>IF(OR($S167="",$F167="",$T167="",$T167&lt;0,$T167&gt;60,$AR167=""),"—",ROUND(IF(ABS($AU167)&lt;=3,$AU167,IF($AU167&gt;3,3+($F167-$AW167)/($AW167-$AV167),-3+($F167-$AY167)/($AX167-$AY167))),2))</f>
        <v/>
      </c>
      <c r="R167">
        <f>IF(OR($Q167="",$Q167="—"),"",IF($Q167&lt;-3,"Magreza acentuada",IF($Q167&lt;-2,"Magreza",IF($Q167&lt;=1,"Eutrofia",IF($Q167&lt;=2,"Risco de sobrepeso",IF($Q167&lt;=3,"Sobrepeso","Obesidade"))))))</f>
        <v/>
      </c>
      <c r="S167">
        <f>IF($C167="","",IF(UPPER(LEFT($C167,1))="M",1,IF(UPPER(LEFT($C167,1))="F",2,"")))</f>
        <v/>
      </c>
      <c r="T167">
        <f>IF(OR($D167="",$E167=""),"",DATEDIF($D167,$E167,"m"))</f>
        <v/>
      </c>
      <c r="U167">
        <f>IF(OR($D167="",$E167=""),"",$E167-$D167)</f>
        <v/>
      </c>
      <c r="V167">
        <f>IF(OR($G167="",$T167=""),"",IF($T167&lt;24,IF(LEFT(LOWER($H167),4)="em p",$G167+0.7,$G167),IF(LEFT(LOWER($H167),4)="deit",$G167-0.7,$G167)))</f>
        <v/>
      </c>
      <c r="W167">
        <f>IF(OR($S167="",$T167=""),"",$S167*1000000+IF($T167&lt;=60,$U167,$T167))</f>
        <v/>
      </c>
      <c r="X167">
        <f>IF(OR($S167="",$V167="",$T167&gt;60,$T167=""),"",$S167*1000000+ROUND($V167*10,0))</f>
        <v/>
      </c>
      <c r="Y167">
        <f>IF($W167="","",IFERROR(INDEX(IF($T167&lt;=60,imc05_l,imc519_l),MATCH($W167,IF($T167&lt;=60,imc05_k,imc519_k),1)),""))</f>
        <v/>
      </c>
      <c r="Z167">
        <f>IF($W167="","",IFERROR(INDEX(IF($T167&lt;=60,imc05_m,imc519_m),MATCH($W167,IF($T167&lt;=60,imc05_k,imc519_k),1)),""))</f>
        <v/>
      </c>
      <c r="AA167">
        <f>IF($W167="","",IFERROR(INDEX(IF($T167&lt;=60,imc05_s,imc519_s),MATCH($W167,IF($T167&lt;=60,imc05_k,imc519_k),1)),""))</f>
        <v/>
      </c>
      <c r="AB167">
        <f>IF($Y167="","",IF($Y167=0,LN($J167/$Z167)/$AA167,((($J167/$Z167)^$Y167)-1)/($Y167*$AA167)))</f>
        <v/>
      </c>
      <c r="AC167">
        <f>IF($Y167="","",IF($Y167=0,$Z167*EXP($AA167*2),$Z167*(1+$Y167*$AA167*2)^(1/$Y167)))</f>
        <v/>
      </c>
      <c r="AD167">
        <f>IF($Y167="","",IF($Y167=0,$Z167*EXP($AA167*3),$Z167*(1+$Y167*$AA167*3)^(1/$Y167)))</f>
        <v/>
      </c>
      <c r="AE167">
        <f>IF($Y167="","",IF($Y167=0,$Z167*EXP($AA167*-2),$Z167*(1+$Y167*$AA167*-2)^(1/$Y167)))</f>
        <v/>
      </c>
      <c r="AF167">
        <f>IF($Y167="","",IF($Y167=0,$Z167*EXP($AA167*-3),$Z167*(1+$Y167*$AA167*-3)^(1/$Y167)))</f>
        <v/>
      </c>
      <c r="AG167">
        <f>IF($W167="","",IFERROR(INDEX(IF($T167&lt;=60,est05_l,est519_l),MATCH($W167,IF($T167&lt;=60,est05_k,est519_k),1)),""))</f>
        <v/>
      </c>
      <c r="AH167">
        <f>IF($W167="","",IFERROR(INDEX(IF($T167&lt;=60,est05_m,est519_m),MATCH($W167,IF($T167&lt;=60,est05_k,est519_k),1)),""))</f>
        <v/>
      </c>
      <c r="AI167">
        <f>IF($W167="","",IFERROR(INDEX(IF($T167&lt;=60,est05_s,est519_s),MATCH($W167,IF($T167&lt;=60,est05_k,est519_k),1)),""))</f>
        <v/>
      </c>
      <c r="AJ167">
        <f>IF($W167="","",IFERROR(INDEX(IF($T167&lt;=60,peso05_l,peso510_l),MATCH($W167,IF($T167&lt;=60,peso05_k,peso510_k),1)),""))</f>
        <v/>
      </c>
      <c r="AK167">
        <f>IF($W167="","",IFERROR(INDEX(IF($T167&lt;=60,peso05_m,peso510_m),MATCH($W167,IF($T167&lt;=60,peso05_k,peso510_k),1)),""))</f>
        <v/>
      </c>
      <c r="AL167">
        <f>IF($W167="","",IFERROR(INDEX(IF($T167&lt;=60,peso05_s,peso510_s),MATCH($W167,IF($T167&lt;=60,peso05_k,peso510_k),1)),""))</f>
        <v/>
      </c>
      <c r="AM167">
        <f>IF($AJ167="","",IF($AJ167=0,LN($F167/$AK167)/$AL167,((($F167/$AK167)^$AJ167)-1)/($AJ167*$AL167)))</f>
        <v/>
      </c>
      <c r="AN167">
        <f>IF($AJ167="","",IF($AJ167=0,$AK167*EXP($AL167*2),$AK167*(1+$AJ167*$AL167*2)^(1/$AJ167)))</f>
        <v/>
      </c>
      <c r="AO167">
        <f>IF($AJ167="","",IF($AJ167=0,$AK167*EXP($AL167*3),$AK167*(1+$AJ167*$AL167*3)^(1/$AJ167)))</f>
        <v/>
      </c>
      <c r="AP167">
        <f>IF($AJ167="","",IF($AJ167=0,$AK167*EXP($AL167*-2),$AK167*(1+$AJ167*$AL167*-2)^(1/$AJ167)))</f>
        <v/>
      </c>
      <c r="AQ167">
        <f>IF($AJ167="","",IF($AJ167=0,$AK167*EXP($AL167*-3),$AK167*(1+$AJ167*$AL167*-3)^(1/$AJ167)))</f>
        <v/>
      </c>
      <c r="AR167">
        <f>IF(OR($X167="",$T167&gt;60),"",IFERROR(INDEX(IF($T167&lt;24,pcomp_l,palt_l),MATCH($X167,IF($T167&lt;24,pcomp_k,palt_k),1)),""))</f>
        <v/>
      </c>
      <c r="AS167">
        <f>IF(OR($X167="",$T167&gt;60),"",IFERROR(INDEX(IF($T167&lt;24,pcomp_m,palt_m),MATCH($X167,IF($T167&lt;24,pcomp_k,palt_k),1)),""))</f>
        <v/>
      </c>
      <c r="AT167">
        <f>IF(OR($X167="",$T167&gt;60),"",IFERROR(INDEX(IF($T167&lt;24,pcomp_s,palt_s),MATCH($X167,IF($T167&lt;24,pcomp_k,palt_k),1)),""))</f>
        <v/>
      </c>
      <c r="AU167">
        <f>IF($AR167="","",IF($AR167=0,LN($F167/$AS167)/$AT167,((($F167/$AS167)^$AR167)-1)/($AR167*$AT167)))</f>
        <v/>
      </c>
      <c r="AV167">
        <f>IF($AR167="","",IF($AR167=0,$AS167*EXP($AT167*2),$AS167*(1+$AR167*$AT167*2)^(1/$AR167)))</f>
        <v/>
      </c>
      <c r="AW167">
        <f>IF($AR167="","",IF($AR167=0,$AS167*EXP($AT167*3),$AS167*(1+$AR167*$AT167*3)^(1/$AR167)))</f>
        <v/>
      </c>
      <c r="AX167">
        <f>IF($AR167="","",IF($AR167=0,$AS167*EXP($AT167*-2),$AS167*(1+$AR167*$AT167*-2)^(1/$AR167)))</f>
        <v/>
      </c>
      <c r="AY167">
        <f>IF($AR167="","",IF($AR167=0,$AS167*EXP($AT167*-3),$AS167*(1+$AR167*$AT167*-3)^(1/$AR167)))</f>
        <v/>
      </c>
      <c r="AZ167">
        <f>IF(OR($A167="",$A167&lt;&gt;Ficha!$C$4),"",COUNTIF($A$2:$A167,Ficha!$C$4))</f>
        <v/>
      </c>
    </row>
    <row r="168">
      <c r="A168" s="8">
        <f>IF(INDEX(Banco!$A:$A,ROW())="","",INDEX(Banco!$A:$A,ROW()))</f>
        <v/>
      </c>
      <c r="B168" s="8">
        <f>IF(INDEX(Banco!$B:$B,ROW())="","",INDEX(Banco!$B:$B,ROW()))</f>
        <v/>
      </c>
      <c r="C168" s="8">
        <f>IF(INDEX(Banco!$C:$C,ROW())="","",INDEX(Banco!$C:$C,ROW()))</f>
        <v/>
      </c>
      <c r="D168" s="9">
        <f>IF(INDEX(Banco!$D:$D,ROW())="","",INDEX(Banco!$D:$D,ROW()))</f>
        <v/>
      </c>
      <c r="E168" s="9">
        <f>IF(INDEX(Banco!$E:$E,ROW())="","",INDEX(Banco!$E:$E,ROW()))</f>
        <v/>
      </c>
      <c r="F168" s="10">
        <f>IF(INDEX(Banco!$F:$F,ROW())="","",INDEX(Banco!$F:$F,ROW()))</f>
        <v/>
      </c>
      <c r="G168" s="10">
        <f>IF(INDEX(Banco!$G:$G,ROW())="","",INDEX(Banco!$G:$G,ROW()))</f>
        <v/>
      </c>
      <c r="H168" s="8">
        <f>IF(INDEX(Banco!$H:$H,ROW())="","",INDEX(Banco!$H:$H,ROW()))</f>
        <v/>
      </c>
      <c r="I168">
        <f>IF($T168="","",INT($T168/12)&amp;"a "&amp;MOD($T168,12)&amp;"m")</f>
        <v/>
      </c>
      <c r="J168" s="11">
        <f>IF(OR($F168="",$G168=""),"",ROUND($F168/($G168/100)^2,2))</f>
        <v/>
      </c>
      <c r="K168" s="12">
        <f>IF(OR($S168="",$J168="",$T168="",$T168&lt;0,$T168&gt;228,$Y168=""),"—",ROUND(IF(ABS($AB168)&lt;=3,$AB168,IF($AB168&gt;3,3+($J168-$AD168)/($AD168-$AC168),-3+($J168-$AF168)/($AE168-$AF168))),2))</f>
        <v/>
      </c>
      <c r="L168">
        <f>IF(OR($K168="",$K168="—"),"",IF($T168&lt;=60,IF($K168&lt;-3,"Magreza acentuada",IF($K168&lt;-2,"Magreza",IF($K168&lt;=1,"Eutrofia",IF($K168&lt;=2,"Risco de sobrepeso",IF($K168&lt;=3,"Sobrepeso","Obesidade"))))),IF($K168&lt;-3,"Magreza acentuada",IF($K168&lt;-2,"Magreza",IF($K168&lt;=1,"Eutrofia",IF($K168&lt;=2,"Sobrepeso",IF($K168&lt;=3,"Obesidade","Obesidade grave")))))))</f>
        <v/>
      </c>
      <c r="M168" s="12">
        <f>IF(OR($S168="",$V168="",$T168="",$T168&lt;0,$T168&gt;228,$AG168=""),"—",ROUND(IF($AG168=0,LN($V168/$AH168)/$AI168,((($V168/$AH168)^$AG168)-1)/($AG168*$AI168)),2))</f>
        <v/>
      </c>
      <c r="N168">
        <f>IF(OR($M168="",$M168="—"),"",IF($M168&lt;-3,"Muito baixa",IF($M168&lt;-2,"Baixa","Adequada")))</f>
        <v/>
      </c>
      <c r="O168" s="12">
        <f>IF(OR($S168="",$F168="",$T168="",$T168&lt;0,$T168&gt;120,$AJ168=""),"—",ROUND(IF(ABS($AM168)&lt;=3,$AM168,IF($AM168&gt;3,3+($F168-$AO168)/($AO168-$AN168),-3+($F168-$AQ168)/($AP168-$AQ168))),2))</f>
        <v/>
      </c>
      <c r="P168">
        <f>IF(OR($O168="",$O168="—"),"",IF($O168&lt;-3,"Muito baixo",IF($O168&lt;-2,"Baixo",IF($O168&lt;=2,"Adequado","Elevado"))))</f>
        <v/>
      </c>
      <c r="Q168" s="12">
        <f>IF(OR($S168="",$F168="",$T168="",$T168&lt;0,$T168&gt;60,$AR168=""),"—",ROUND(IF(ABS($AU168)&lt;=3,$AU168,IF($AU168&gt;3,3+($F168-$AW168)/($AW168-$AV168),-3+($F168-$AY168)/($AX168-$AY168))),2))</f>
        <v/>
      </c>
      <c r="R168">
        <f>IF(OR($Q168="",$Q168="—"),"",IF($Q168&lt;-3,"Magreza acentuada",IF($Q168&lt;-2,"Magreza",IF($Q168&lt;=1,"Eutrofia",IF($Q168&lt;=2,"Risco de sobrepeso",IF($Q168&lt;=3,"Sobrepeso","Obesidade"))))))</f>
        <v/>
      </c>
      <c r="S168">
        <f>IF($C168="","",IF(UPPER(LEFT($C168,1))="M",1,IF(UPPER(LEFT($C168,1))="F",2,"")))</f>
        <v/>
      </c>
      <c r="T168">
        <f>IF(OR($D168="",$E168=""),"",DATEDIF($D168,$E168,"m"))</f>
        <v/>
      </c>
      <c r="U168">
        <f>IF(OR($D168="",$E168=""),"",$E168-$D168)</f>
        <v/>
      </c>
      <c r="V168">
        <f>IF(OR($G168="",$T168=""),"",IF($T168&lt;24,IF(LEFT(LOWER($H168),4)="em p",$G168+0.7,$G168),IF(LEFT(LOWER($H168),4)="deit",$G168-0.7,$G168)))</f>
        <v/>
      </c>
      <c r="W168">
        <f>IF(OR($S168="",$T168=""),"",$S168*1000000+IF($T168&lt;=60,$U168,$T168))</f>
        <v/>
      </c>
      <c r="X168">
        <f>IF(OR($S168="",$V168="",$T168&gt;60,$T168=""),"",$S168*1000000+ROUND($V168*10,0))</f>
        <v/>
      </c>
      <c r="Y168">
        <f>IF($W168="","",IFERROR(INDEX(IF($T168&lt;=60,imc05_l,imc519_l),MATCH($W168,IF($T168&lt;=60,imc05_k,imc519_k),1)),""))</f>
        <v/>
      </c>
      <c r="Z168">
        <f>IF($W168="","",IFERROR(INDEX(IF($T168&lt;=60,imc05_m,imc519_m),MATCH($W168,IF($T168&lt;=60,imc05_k,imc519_k),1)),""))</f>
        <v/>
      </c>
      <c r="AA168">
        <f>IF($W168="","",IFERROR(INDEX(IF($T168&lt;=60,imc05_s,imc519_s),MATCH($W168,IF($T168&lt;=60,imc05_k,imc519_k),1)),""))</f>
        <v/>
      </c>
      <c r="AB168">
        <f>IF($Y168="","",IF($Y168=0,LN($J168/$Z168)/$AA168,((($J168/$Z168)^$Y168)-1)/($Y168*$AA168)))</f>
        <v/>
      </c>
      <c r="AC168">
        <f>IF($Y168="","",IF($Y168=0,$Z168*EXP($AA168*2),$Z168*(1+$Y168*$AA168*2)^(1/$Y168)))</f>
        <v/>
      </c>
      <c r="AD168">
        <f>IF($Y168="","",IF($Y168=0,$Z168*EXP($AA168*3),$Z168*(1+$Y168*$AA168*3)^(1/$Y168)))</f>
        <v/>
      </c>
      <c r="AE168">
        <f>IF($Y168="","",IF($Y168=0,$Z168*EXP($AA168*-2),$Z168*(1+$Y168*$AA168*-2)^(1/$Y168)))</f>
        <v/>
      </c>
      <c r="AF168">
        <f>IF($Y168="","",IF($Y168=0,$Z168*EXP($AA168*-3),$Z168*(1+$Y168*$AA168*-3)^(1/$Y168)))</f>
        <v/>
      </c>
      <c r="AG168">
        <f>IF($W168="","",IFERROR(INDEX(IF($T168&lt;=60,est05_l,est519_l),MATCH($W168,IF($T168&lt;=60,est05_k,est519_k),1)),""))</f>
        <v/>
      </c>
      <c r="AH168">
        <f>IF($W168="","",IFERROR(INDEX(IF($T168&lt;=60,est05_m,est519_m),MATCH($W168,IF($T168&lt;=60,est05_k,est519_k),1)),""))</f>
        <v/>
      </c>
      <c r="AI168">
        <f>IF($W168="","",IFERROR(INDEX(IF($T168&lt;=60,est05_s,est519_s),MATCH($W168,IF($T168&lt;=60,est05_k,est519_k),1)),""))</f>
        <v/>
      </c>
      <c r="AJ168">
        <f>IF($W168="","",IFERROR(INDEX(IF($T168&lt;=60,peso05_l,peso510_l),MATCH($W168,IF($T168&lt;=60,peso05_k,peso510_k),1)),""))</f>
        <v/>
      </c>
      <c r="AK168">
        <f>IF($W168="","",IFERROR(INDEX(IF($T168&lt;=60,peso05_m,peso510_m),MATCH($W168,IF($T168&lt;=60,peso05_k,peso510_k),1)),""))</f>
        <v/>
      </c>
      <c r="AL168">
        <f>IF($W168="","",IFERROR(INDEX(IF($T168&lt;=60,peso05_s,peso510_s),MATCH($W168,IF($T168&lt;=60,peso05_k,peso510_k),1)),""))</f>
        <v/>
      </c>
      <c r="AM168">
        <f>IF($AJ168="","",IF($AJ168=0,LN($F168/$AK168)/$AL168,((($F168/$AK168)^$AJ168)-1)/($AJ168*$AL168)))</f>
        <v/>
      </c>
      <c r="AN168">
        <f>IF($AJ168="","",IF($AJ168=0,$AK168*EXP($AL168*2),$AK168*(1+$AJ168*$AL168*2)^(1/$AJ168)))</f>
        <v/>
      </c>
      <c r="AO168">
        <f>IF($AJ168="","",IF($AJ168=0,$AK168*EXP($AL168*3),$AK168*(1+$AJ168*$AL168*3)^(1/$AJ168)))</f>
        <v/>
      </c>
      <c r="AP168">
        <f>IF($AJ168="","",IF($AJ168=0,$AK168*EXP($AL168*-2),$AK168*(1+$AJ168*$AL168*-2)^(1/$AJ168)))</f>
        <v/>
      </c>
      <c r="AQ168">
        <f>IF($AJ168="","",IF($AJ168=0,$AK168*EXP($AL168*-3),$AK168*(1+$AJ168*$AL168*-3)^(1/$AJ168)))</f>
        <v/>
      </c>
      <c r="AR168">
        <f>IF(OR($X168="",$T168&gt;60),"",IFERROR(INDEX(IF($T168&lt;24,pcomp_l,palt_l),MATCH($X168,IF($T168&lt;24,pcomp_k,palt_k),1)),""))</f>
        <v/>
      </c>
      <c r="AS168">
        <f>IF(OR($X168="",$T168&gt;60),"",IFERROR(INDEX(IF($T168&lt;24,pcomp_m,palt_m),MATCH($X168,IF($T168&lt;24,pcomp_k,palt_k),1)),""))</f>
        <v/>
      </c>
      <c r="AT168">
        <f>IF(OR($X168="",$T168&gt;60),"",IFERROR(INDEX(IF($T168&lt;24,pcomp_s,palt_s),MATCH($X168,IF($T168&lt;24,pcomp_k,palt_k),1)),""))</f>
        <v/>
      </c>
      <c r="AU168">
        <f>IF($AR168="","",IF($AR168=0,LN($F168/$AS168)/$AT168,((($F168/$AS168)^$AR168)-1)/($AR168*$AT168)))</f>
        <v/>
      </c>
      <c r="AV168">
        <f>IF($AR168="","",IF($AR168=0,$AS168*EXP($AT168*2),$AS168*(1+$AR168*$AT168*2)^(1/$AR168)))</f>
        <v/>
      </c>
      <c r="AW168">
        <f>IF($AR168="","",IF($AR168=0,$AS168*EXP($AT168*3),$AS168*(1+$AR168*$AT168*3)^(1/$AR168)))</f>
        <v/>
      </c>
      <c r="AX168">
        <f>IF($AR168="","",IF($AR168=0,$AS168*EXP($AT168*-2),$AS168*(1+$AR168*$AT168*-2)^(1/$AR168)))</f>
        <v/>
      </c>
      <c r="AY168">
        <f>IF($AR168="","",IF($AR168=0,$AS168*EXP($AT168*-3),$AS168*(1+$AR168*$AT168*-3)^(1/$AR168)))</f>
        <v/>
      </c>
      <c r="AZ168">
        <f>IF(OR($A168="",$A168&lt;&gt;Ficha!$C$4),"",COUNTIF($A$2:$A168,Ficha!$C$4))</f>
        <v/>
      </c>
    </row>
    <row r="169">
      <c r="A169" s="8">
        <f>IF(INDEX(Banco!$A:$A,ROW())="","",INDEX(Banco!$A:$A,ROW()))</f>
        <v/>
      </c>
      <c r="B169" s="8">
        <f>IF(INDEX(Banco!$B:$B,ROW())="","",INDEX(Banco!$B:$B,ROW()))</f>
        <v/>
      </c>
      <c r="C169" s="8">
        <f>IF(INDEX(Banco!$C:$C,ROW())="","",INDEX(Banco!$C:$C,ROW()))</f>
        <v/>
      </c>
      <c r="D169" s="9">
        <f>IF(INDEX(Banco!$D:$D,ROW())="","",INDEX(Banco!$D:$D,ROW()))</f>
        <v/>
      </c>
      <c r="E169" s="9">
        <f>IF(INDEX(Banco!$E:$E,ROW())="","",INDEX(Banco!$E:$E,ROW()))</f>
        <v/>
      </c>
      <c r="F169" s="10">
        <f>IF(INDEX(Banco!$F:$F,ROW())="","",INDEX(Banco!$F:$F,ROW()))</f>
        <v/>
      </c>
      <c r="G169" s="10">
        <f>IF(INDEX(Banco!$G:$G,ROW())="","",INDEX(Banco!$G:$G,ROW()))</f>
        <v/>
      </c>
      <c r="H169" s="8">
        <f>IF(INDEX(Banco!$H:$H,ROW())="","",INDEX(Banco!$H:$H,ROW()))</f>
        <v/>
      </c>
      <c r="I169">
        <f>IF($T169="","",INT($T169/12)&amp;"a "&amp;MOD($T169,12)&amp;"m")</f>
        <v/>
      </c>
      <c r="J169" s="11">
        <f>IF(OR($F169="",$G169=""),"",ROUND($F169/($G169/100)^2,2))</f>
        <v/>
      </c>
      <c r="K169" s="12">
        <f>IF(OR($S169="",$J169="",$T169="",$T169&lt;0,$T169&gt;228,$Y169=""),"—",ROUND(IF(ABS($AB169)&lt;=3,$AB169,IF($AB169&gt;3,3+($J169-$AD169)/($AD169-$AC169),-3+($J169-$AF169)/($AE169-$AF169))),2))</f>
        <v/>
      </c>
      <c r="L169">
        <f>IF(OR($K169="",$K169="—"),"",IF($T169&lt;=60,IF($K169&lt;-3,"Magreza acentuada",IF($K169&lt;-2,"Magreza",IF($K169&lt;=1,"Eutrofia",IF($K169&lt;=2,"Risco de sobrepeso",IF($K169&lt;=3,"Sobrepeso","Obesidade"))))),IF($K169&lt;-3,"Magreza acentuada",IF($K169&lt;-2,"Magreza",IF($K169&lt;=1,"Eutrofia",IF($K169&lt;=2,"Sobrepeso",IF($K169&lt;=3,"Obesidade","Obesidade grave")))))))</f>
        <v/>
      </c>
      <c r="M169" s="12">
        <f>IF(OR($S169="",$V169="",$T169="",$T169&lt;0,$T169&gt;228,$AG169=""),"—",ROUND(IF($AG169=0,LN($V169/$AH169)/$AI169,((($V169/$AH169)^$AG169)-1)/($AG169*$AI169)),2))</f>
        <v/>
      </c>
      <c r="N169">
        <f>IF(OR($M169="",$M169="—"),"",IF($M169&lt;-3,"Muito baixa",IF($M169&lt;-2,"Baixa","Adequada")))</f>
        <v/>
      </c>
      <c r="O169" s="12">
        <f>IF(OR($S169="",$F169="",$T169="",$T169&lt;0,$T169&gt;120,$AJ169=""),"—",ROUND(IF(ABS($AM169)&lt;=3,$AM169,IF($AM169&gt;3,3+($F169-$AO169)/($AO169-$AN169),-3+($F169-$AQ169)/($AP169-$AQ169))),2))</f>
        <v/>
      </c>
      <c r="P169">
        <f>IF(OR($O169="",$O169="—"),"",IF($O169&lt;-3,"Muito baixo",IF($O169&lt;-2,"Baixo",IF($O169&lt;=2,"Adequado","Elevado"))))</f>
        <v/>
      </c>
      <c r="Q169" s="12">
        <f>IF(OR($S169="",$F169="",$T169="",$T169&lt;0,$T169&gt;60,$AR169=""),"—",ROUND(IF(ABS($AU169)&lt;=3,$AU169,IF($AU169&gt;3,3+($F169-$AW169)/($AW169-$AV169),-3+($F169-$AY169)/($AX169-$AY169))),2))</f>
        <v/>
      </c>
      <c r="R169">
        <f>IF(OR($Q169="",$Q169="—"),"",IF($Q169&lt;-3,"Magreza acentuada",IF($Q169&lt;-2,"Magreza",IF($Q169&lt;=1,"Eutrofia",IF($Q169&lt;=2,"Risco de sobrepeso",IF($Q169&lt;=3,"Sobrepeso","Obesidade"))))))</f>
        <v/>
      </c>
      <c r="S169">
        <f>IF($C169="","",IF(UPPER(LEFT($C169,1))="M",1,IF(UPPER(LEFT($C169,1))="F",2,"")))</f>
        <v/>
      </c>
      <c r="T169">
        <f>IF(OR($D169="",$E169=""),"",DATEDIF($D169,$E169,"m"))</f>
        <v/>
      </c>
      <c r="U169">
        <f>IF(OR($D169="",$E169=""),"",$E169-$D169)</f>
        <v/>
      </c>
      <c r="V169">
        <f>IF(OR($G169="",$T169=""),"",IF($T169&lt;24,IF(LEFT(LOWER($H169),4)="em p",$G169+0.7,$G169),IF(LEFT(LOWER($H169),4)="deit",$G169-0.7,$G169)))</f>
        <v/>
      </c>
      <c r="W169">
        <f>IF(OR($S169="",$T169=""),"",$S169*1000000+IF($T169&lt;=60,$U169,$T169))</f>
        <v/>
      </c>
      <c r="X169">
        <f>IF(OR($S169="",$V169="",$T169&gt;60,$T169=""),"",$S169*1000000+ROUND($V169*10,0))</f>
        <v/>
      </c>
      <c r="Y169">
        <f>IF($W169="","",IFERROR(INDEX(IF($T169&lt;=60,imc05_l,imc519_l),MATCH($W169,IF($T169&lt;=60,imc05_k,imc519_k),1)),""))</f>
        <v/>
      </c>
      <c r="Z169">
        <f>IF($W169="","",IFERROR(INDEX(IF($T169&lt;=60,imc05_m,imc519_m),MATCH($W169,IF($T169&lt;=60,imc05_k,imc519_k),1)),""))</f>
        <v/>
      </c>
      <c r="AA169">
        <f>IF($W169="","",IFERROR(INDEX(IF($T169&lt;=60,imc05_s,imc519_s),MATCH($W169,IF($T169&lt;=60,imc05_k,imc519_k),1)),""))</f>
        <v/>
      </c>
      <c r="AB169">
        <f>IF($Y169="","",IF($Y169=0,LN($J169/$Z169)/$AA169,((($J169/$Z169)^$Y169)-1)/($Y169*$AA169)))</f>
        <v/>
      </c>
      <c r="AC169">
        <f>IF($Y169="","",IF($Y169=0,$Z169*EXP($AA169*2),$Z169*(1+$Y169*$AA169*2)^(1/$Y169)))</f>
        <v/>
      </c>
      <c r="AD169">
        <f>IF($Y169="","",IF($Y169=0,$Z169*EXP($AA169*3),$Z169*(1+$Y169*$AA169*3)^(1/$Y169)))</f>
        <v/>
      </c>
      <c r="AE169">
        <f>IF($Y169="","",IF($Y169=0,$Z169*EXP($AA169*-2),$Z169*(1+$Y169*$AA169*-2)^(1/$Y169)))</f>
        <v/>
      </c>
      <c r="AF169">
        <f>IF($Y169="","",IF($Y169=0,$Z169*EXP($AA169*-3),$Z169*(1+$Y169*$AA169*-3)^(1/$Y169)))</f>
        <v/>
      </c>
      <c r="AG169">
        <f>IF($W169="","",IFERROR(INDEX(IF($T169&lt;=60,est05_l,est519_l),MATCH($W169,IF($T169&lt;=60,est05_k,est519_k),1)),""))</f>
        <v/>
      </c>
      <c r="AH169">
        <f>IF($W169="","",IFERROR(INDEX(IF($T169&lt;=60,est05_m,est519_m),MATCH($W169,IF($T169&lt;=60,est05_k,est519_k),1)),""))</f>
        <v/>
      </c>
      <c r="AI169">
        <f>IF($W169="","",IFERROR(INDEX(IF($T169&lt;=60,est05_s,est519_s),MATCH($W169,IF($T169&lt;=60,est05_k,est519_k),1)),""))</f>
        <v/>
      </c>
      <c r="AJ169">
        <f>IF($W169="","",IFERROR(INDEX(IF($T169&lt;=60,peso05_l,peso510_l),MATCH($W169,IF($T169&lt;=60,peso05_k,peso510_k),1)),""))</f>
        <v/>
      </c>
      <c r="AK169">
        <f>IF($W169="","",IFERROR(INDEX(IF($T169&lt;=60,peso05_m,peso510_m),MATCH($W169,IF($T169&lt;=60,peso05_k,peso510_k),1)),""))</f>
        <v/>
      </c>
      <c r="AL169">
        <f>IF($W169="","",IFERROR(INDEX(IF($T169&lt;=60,peso05_s,peso510_s),MATCH($W169,IF($T169&lt;=60,peso05_k,peso510_k),1)),""))</f>
        <v/>
      </c>
      <c r="AM169">
        <f>IF($AJ169="","",IF($AJ169=0,LN($F169/$AK169)/$AL169,((($F169/$AK169)^$AJ169)-1)/($AJ169*$AL169)))</f>
        <v/>
      </c>
      <c r="AN169">
        <f>IF($AJ169="","",IF($AJ169=0,$AK169*EXP($AL169*2),$AK169*(1+$AJ169*$AL169*2)^(1/$AJ169)))</f>
        <v/>
      </c>
      <c r="AO169">
        <f>IF($AJ169="","",IF($AJ169=0,$AK169*EXP($AL169*3),$AK169*(1+$AJ169*$AL169*3)^(1/$AJ169)))</f>
        <v/>
      </c>
      <c r="AP169">
        <f>IF($AJ169="","",IF($AJ169=0,$AK169*EXP($AL169*-2),$AK169*(1+$AJ169*$AL169*-2)^(1/$AJ169)))</f>
        <v/>
      </c>
      <c r="AQ169">
        <f>IF($AJ169="","",IF($AJ169=0,$AK169*EXP($AL169*-3),$AK169*(1+$AJ169*$AL169*-3)^(1/$AJ169)))</f>
        <v/>
      </c>
      <c r="AR169">
        <f>IF(OR($X169="",$T169&gt;60),"",IFERROR(INDEX(IF($T169&lt;24,pcomp_l,palt_l),MATCH($X169,IF($T169&lt;24,pcomp_k,palt_k),1)),""))</f>
        <v/>
      </c>
      <c r="AS169">
        <f>IF(OR($X169="",$T169&gt;60),"",IFERROR(INDEX(IF($T169&lt;24,pcomp_m,palt_m),MATCH($X169,IF($T169&lt;24,pcomp_k,palt_k),1)),""))</f>
        <v/>
      </c>
      <c r="AT169">
        <f>IF(OR($X169="",$T169&gt;60),"",IFERROR(INDEX(IF($T169&lt;24,pcomp_s,palt_s),MATCH($X169,IF($T169&lt;24,pcomp_k,palt_k),1)),""))</f>
        <v/>
      </c>
      <c r="AU169">
        <f>IF($AR169="","",IF($AR169=0,LN($F169/$AS169)/$AT169,((($F169/$AS169)^$AR169)-1)/($AR169*$AT169)))</f>
        <v/>
      </c>
      <c r="AV169">
        <f>IF($AR169="","",IF($AR169=0,$AS169*EXP($AT169*2),$AS169*(1+$AR169*$AT169*2)^(1/$AR169)))</f>
        <v/>
      </c>
      <c r="AW169">
        <f>IF($AR169="","",IF($AR169=0,$AS169*EXP($AT169*3),$AS169*(1+$AR169*$AT169*3)^(1/$AR169)))</f>
        <v/>
      </c>
      <c r="AX169">
        <f>IF($AR169="","",IF($AR169=0,$AS169*EXP($AT169*-2),$AS169*(1+$AR169*$AT169*-2)^(1/$AR169)))</f>
        <v/>
      </c>
      <c r="AY169">
        <f>IF($AR169="","",IF($AR169=0,$AS169*EXP($AT169*-3),$AS169*(1+$AR169*$AT169*-3)^(1/$AR169)))</f>
        <v/>
      </c>
      <c r="AZ169">
        <f>IF(OR($A169="",$A169&lt;&gt;Ficha!$C$4),"",COUNTIF($A$2:$A169,Ficha!$C$4))</f>
        <v/>
      </c>
    </row>
    <row r="170">
      <c r="A170" s="8">
        <f>IF(INDEX(Banco!$A:$A,ROW())="","",INDEX(Banco!$A:$A,ROW()))</f>
        <v/>
      </c>
      <c r="B170" s="8">
        <f>IF(INDEX(Banco!$B:$B,ROW())="","",INDEX(Banco!$B:$B,ROW()))</f>
        <v/>
      </c>
      <c r="C170" s="8">
        <f>IF(INDEX(Banco!$C:$C,ROW())="","",INDEX(Banco!$C:$C,ROW()))</f>
        <v/>
      </c>
      <c r="D170" s="9">
        <f>IF(INDEX(Banco!$D:$D,ROW())="","",INDEX(Banco!$D:$D,ROW()))</f>
        <v/>
      </c>
      <c r="E170" s="9">
        <f>IF(INDEX(Banco!$E:$E,ROW())="","",INDEX(Banco!$E:$E,ROW()))</f>
        <v/>
      </c>
      <c r="F170" s="10">
        <f>IF(INDEX(Banco!$F:$F,ROW())="","",INDEX(Banco!$F:$F,ROW()))</f>
        <v/>
      </c>
      <c r="G170" s="10">
        <f>IF(INDEX(Banco!$G:$G,ROW())="","",INDEX(Banco!$G:$G,ROW()))</f>
        <v/>
      </c>
      <c r="H170" s="8">
        <f>IF(INDEX(Banco!$H:$H,ROW())="","",INDEX(Banco!$H:$H,ROW()))</f>
        <v/>
      </c>
      <c r="I170">
        <f>IF($T170="","",INT($T170/12)&amp;"a "&amp;MOD($T170,12)&amp;"m")</f>
        <v/>
      </c>
      <c r="J170" s="11">
        <f>IF(OR($F170="",$G170=""),"",ROUND($F170/($G170/100)^2,2))</f>
        <v/>
      </c>
      <c r="K170" s="12">
        <f>IF(OR($S170="",$J170="",$T170="",$T170&lt;0,$T170&gt;228,$Y170=""),"—",ROUND(IF(ABS($AB170)&lt;=3,$AB170,IF($AB170&gt;3,3+($J170-$AD170)/($AD170-$AC170),-3+($J170-$AF170)/($AE170-$AF170))),2))</f>
        <v/>
      </c>
      <c r="L170">
        <f>IF(OR($K170="",$K170="—"),"",IF($T170&lt;=60,IF($K170&lt;-3,"Magreza acentuada",IF($K170&lt;-2,"Magreza",IF($K170&lt;=1,"Eutrofia",IF($K170&lt;=2,"Risco de sobrepeso",IF($K170&lt;=3,"Sobrepeso","Obesidade"))))),IF($K170&lt;-3,"Magreza acentuada",IF($K170&lt;-2,"Magreza",IF($K170&lt;=1,"Eutrofia",IF($K170&lt;=2,"Sobrepeso",IF($K170&lt;=3,"Obesidade","Obesidade grave")))))))</f>
        <v/>
      </c>
      <c r="M170" s="12">
        <f>IF(OR($S170="",$V170="",$T170="",$T170&lt;0,$T170&gt;228,$AG170=""),"—",ROUND(IF($AG170=0,LN($V170/$AH170)/$AI170,((($V170/$AH170)^$AG170)-1)/($AG170*$AI170)),2))</f>
        <v/>
      </c>
      <c r="N170">
        <f>IF(OR($M170="",$M170="—"),"",IF($M170&lt;-3,"Muito baixa",IF($M170&lt;-2,"Baixa","Adequada")))</f>
        <v/>
      </c>
      <c r="O170" s="12">
        <f>IF(OR($S170="",$F170="",$T170="",$T170&lt;0,$T170&gt;120,$AJ170=""),"—",ROUND(IF(ABS($AM170)&lt;=3,$AM170,IF($AM170&gt;3,3+($F170-$AO170)/($AO170-$AN170),-3+($F170-$AQ170)/($AP170-$AQ170))),2))</f>
        <v/>
      </c>
      <c r="P170">
        <f>IF(OR($O170="",$O170="—"),"",IF($O170&lt;-3,"Muito baixo",IF($O170&lt;-2,"Baixo",IF($O170&lt;=2,"Adequado","Elevado"))))</f>
        <v/>
      </c>
      <c r="Q170" s="12">
        <f>IF(OR($S170="",$F170="",$T170="",$T170&lt;0,$T170&gt;60,$AR170=""),"—",ROUND(IF(ABS($AU170)&lt;=3,$AU170,IF($AU170&gt;3,3+($F170-$AW170)/($AW170-$AV170),-3+($F170-$AY170)/($AX170-$AY170))),2))</f>
        <v/>
      </c>
      <c r="R170">
        <f>IF(OR($Q170="",$Q170="—"),"",IF($Q170&lt;-3,"Magreza acentuada",IF($Q170&lt;-2,"Magreza",IF($Q170&lt;=1,"Eutrofia",IF($Q170&lt;=2,"Risco de sobrepeso",IF($Q170&lt;=3,"Sobrepeso","Obesidade"))))))</f>
        <v/>
      </c>
      <c r="S170">
        <f>IF($C170="","",IF(UPPER(LEFT($C170,1))="M",1,IF(UPPER(LEFT($C170,1))="F",2,"")))</f>
        <v/>
      </c>
      <c r="T170">
        <f>IF(OR($D170="",$E170=""),"",DATEDIF($D170,$E170,"m"))</f>
        <v/>
      </c>
      <c r="U170">
        <f>IF(OR($D170="",$E170=""),"",$E170-$D170)</f>
        <v/>
      </c>
      <c r="V170">
        <f>IF(OR($G170="",$T170=""),"",IF($T170&lt;24,IF(LEFT(LOWER($H170),4)="em p",$G170+0.7,$G170),IF(LEFT(LOWER($H170),4)="deit",$G170-0.7,$G170)))</f>
        <v/>
      </c>
      <c r="W170">
        <f>IF(OR($S170="",$T170=""),"",$S170*1000000+IF($T170&lt;=60,$U170,$T170))</f>
        <v/>
      </c>
      <c r="X170">
        <f>IF(OR($S170="",$V170="",$T170&gt;60,$T170=""),"",$S170*1000000+ROUND($V170*10,0))</f>
        <v/>
      </c>
      <c r="Y170">
        <f>IF($W170="","",IFERROR(INDEX(IF($T170&lt;=60,imc05_l,imc519_l),MATCH($W170,IF($T170&lt;=60,imc05_k,imc519_k),1)),""))</f>
        <v/>
      </c>
      <c r="Z170">
        <f>IF($W170="","",IFERROR(INDEX(IF($T170&lt;=60,imc05_m,imc519_m),MATCH($W170,IF($T170&lt;=60,imc05_k,imc519_k),1)),""))</f>
        <v/>
      </c>
      <c r="AA170">
        <f>IF($W170="","",IFERROR(INDEX(IF($T170&lt;=60,imc05_s,imc519_s),MATCH($W170,IF($T170&lt;=60,imc05_k,imc519_k),1)),""))</f>
        <v/>
      </c>
      <c r="AB170">
        <f>IF($Y170="","",IF($Y170=0,LN($J170/$Z170)/$AA170,((($J170/$Z170)^$Y170)-1)/($Y170*$AA170)))</f>
        <v/>
      </c>
      <c r="AC170">
        <f>IF($Y170="","",IF($Y170=0,$Z170*EXP($AA170*2),$Z170*(1+$Y170*$AA170*2)^(1/$Y170)))</f>
        <v/>
      </c>
      <c r="AD170">
        <f>IF($Y170="","",IF($Y170=0,$Z170*EXP($AA170*3),$Z170*(1+$Y170*$AA170*3)^(1/$Y170)))</f>
        <v/>
      </c>
      <c r="AE170">
        <f>IF($Y170="","",IF($Y170=0,$Z170*EXP($AA170*-2),$Z170*(1+$Y170*$AA170*-2)^(1/$Y170)))</f>
        <v/>
      </c>
      <c r="AF170">
        <f>IF($Y170="","",IF($Y170=0,$Z170*EXP($AA170*-3),$Z170*(1+$Y170*$AA170*-3)^(1/$Y170)))</f>
        <v/>
      </c>
      <c r="AG170">
        <f>IF($W170="","",IFERROR(INDEX(IF($T170&lt;=60,est05_l,est519_l),MATCH($W170,IF($T170&lt;=60,est05_k,est519_k),1)),""))</f>
        <v/>
      </c>
      <c r="AH170">
        <f>IF($W170="","",IFERROR(INDEX(IF($T170&lt;=60,est05_m,est519_m),MATCH($W170,IF($T170&lt;=60,est05_k,est519_k),1)),""))</f>
        <v/>
      </c>
      <c r="AI170">
        <f>IF($W170="","",IFERROR(INDEX(IF($T170&lt;=60,est05_s,est519_s),MATCH($W170,IF($T170&lt;=60,est05_k,est519_k),1)),""))</f>
        <v/>
      </c>
      <c r="AJ170">
        <f>IF($W170="","",IFERROR(INDEX(IF($T170&lt;=60,peso05_l,peso510_l),MATCH($W170,IF($T170&lt;=60,peso05_k,peso510_k),1)),""))</f>
        <v/>
      </c>
      <c r="AK170">
        <f>IF($W170="","",IFERROR(INDEX(IF($T170&lt;=60,peso05_m,peso510_m),MATCH($W170,IF($T170&lt;=60,peso05_k,peso510_k),1)),""))</f>
        <v/>
      </c>
      <c r="AL170">
        <f>IF($W170="","",IFERROR(INDEX(IF($T170&lt;=60,peso05_s,peso510_s),MATCH($W170,IF($T170&lt;=60,peso05_k,peso510_k),1)),""))</f>
        <v/>
      </c>
      <c r="AM170">
        <f>IF($AJ170="","",IF($AJ170=0,LN($F170/$AK170)/$AL170,((($F170/$AK170)^$AJ170)-1)/($AJ170*$AL170)))</f>
        <v/>
      </c>
      <c r="AN170">
        <f>IF($AJ170="","",IF($AJ170=0,$AK170*EXP($AL170*2),$AK170*(1+$AJ170*$AL170*2)^(1/$AJ170)))</f>
        <v/>
      </c>
      <c r="AO170">
        <f>IF($AJ170="","",IF($AJ170=0,$AK170*EXP($AL170*3),$AK170*(1+$AJ170*$AL170*3)^(1/$AJ170)))</f>
        <v/>
      </c>
      <c r="AP170">
        <f>IF($AJ170="","",IF($AJ170=0,$AK170*EXP($AL170*-2),$AK170*(1+$AJ170*$AL170*-2)^(1/$AJ170)))</f>
        <v/>
      </c>
      <c r="AQ170">
        <f>IF($AJ170="","",IF($AJ170=0,$AK170*EXP($AL170*-3),$AK170*(1+$AJ170*$AL170*-3)^(1/$AJ170)))</f>
        <v/>
      </c>
      <c r="AR170">
        <f>IF(OR($X170="",$T170&gt;60),"",IFERROR(INDEX(IF($T170&lt;24,pcomp_l,palt_l),MATCH($X170,IF($T170&lt;24,pcomp_k,palt_k),1)),""))</f>
        <v/>
      </c>
      <c r="AS170">
        <f>IF(OR($X170="",$T170&gt;60),"",IFERROR(INDEX(IF($T170&lt;24,pcomp_m,palt_m),MATCH($X170,IF($T170&lt;24,pcomp_k,palt_k),1)),""))</f>
        <v/>
      </c>
      <c r="AT170">
        <f>IF(OR($X170="",$T170&gt;60),"",IFERROR(INDEX(IF($T170&lt;24,pcomp_s,palt_s),MATCH($X170,IF($T170&lt;24,pcomp_k,palt_k),1)),""))</f>
        <v/>
      </c>
      <c r="AU170">
        <f>IF($AR170="","",IF($AR170=0,LN($F170/$AS170)/$AT170,((($F170/$AS170)^$AR170)-1)/($AR170*$AT170)))</f>
        <v/>
      </c>
      <c r="AV170">
        <f>IF($AR170="","",IF($AR170=0,$AS170*EXP($AT170*2),$AS170*(1+$AR170*$AT170*2)^(1/$AR170)))</f>
        <v/>
      </c>
      <c r="AW170">
        <f>IF($AR170="","",IF($AR170=0,$AS170*EXP($AT170*3),$AS170*(1+$AR170*$AT170*3)^(1/$AR170)))</f>
        <v/>
      </c>
      <c r="AX170">
        <f>IF($AR170="","",IF($AR170=0,$AS170*EXP($AT170*-2),$AS170*(1+$AR170*$AT170*-2)^(1/$AR170)))</f>
        <v/>
      </c>
      <c r="AY170">
        <f>IF($AR170="","",IF($AR170=0,$AS170*EXP($AT170*-3),$AS170*(1+$AR170*$AT170*-3)^(1/$AR170)))</f>
        <v/>
      </c>
      <c r="AZ170">
        <f>IF(OR($A170="",$A170&lt;&gt;Ficha!$C$4),"",COUNTIF($A$2:$A170,Ficha!$C$4))</f>
        <v/>
      </c>
    </row>
    <row r="171">
      <c r="A171" s="8">
        <f>IF(INDEX(Banco!$A:$A,ROW())="","",INDEX(Banco!$A:$A,ROW()))</f>
        <v/>
      </c>
      <c r="B171" s="8">
        <f>IF(INDEX(Banco!$B:$B,ROW())="","",INDEX(Banco!$B:$B,ROW()))</f>
        <v/>
      </c>
      <c r="C171" s="8">
        <f>IF(INDEX(Banco!$C:$C,ROW())="","",INDEX(Banco!$C:$C,ROW()))</f>
        <v/>
      </c>
      <c r="D171" s="9">
        <f>IF(INDEX(Banco!$D:$D,ROW())="","",INDEX(Banco!$D:$D,ROW()))</f>
        <v/>
      </c>
      <c r="E171" s="9">
        <f>IF(INDEX(Banco!$E:$E,ROW())="","",INDEX(Banco!$E:$E,ROW()))</f>
        <v/>
      </c>
      <c r="F171" s="10">
        <f>IF(INDEX(Banco!$F:$F,ROW())="","",INDEX(Banco!$F:$F,ROW()))</f>
        <v/>
      </c>
      <c r="G171" s="10">
        <f>IF(INDEX(Banco!$G:$G,ROW())="","",INDEX(Banco!$G:$G,ROW()))</f>
        <v/>
      </c>
      <c r="H171" s="8">
        <f>IF(INDEX(Banco!$H:$H,ROW())="","",INDEX(Banco!$H:$H,ROW()))</f>
        <v/>
      </c>
      <c r="I171">
        <f>IF($T171="","",INT($T171/12)&amp;"a "&amp;MOD($T171,12)&amp;"m")</f>
        <v/>
      </c>
      <c r="J171" s="11">
        <f>IF(OR($F171="",$G171=""),"",ROUND($F171/($G171/100)^2,2))</f>
        <v/>
      </c>
      <c r="K171" s="12">
        <f>IF(OR($S171="",$J171="",$T171="",$T171&lt;0,$T171&gt;228,$Y171=""),"—",ROUND(IF(ABS($AB171)&lt;=3,$AB171,IF($AB171&gt;3,3+($J171-$AD171)/($AD171-$AC171),-3+($J171-$AF171)/($AE171-$AF171))),2))</f>
        <v/>
      </c>
      <c r="L171">
        <f>IF(OR($K171="",$K171="—"),"",IF($T171&lt;=60,IF($K171&lt;-3,"Magreza acentuada",IF($K171&lt;-2,"Magreza",IF($K171&lt;=1,"Eutrofia",IF($K171&lt;=2,"Risco de sobrepeso",IF($K171&lt;=3,"Sobrepeso","Obesidade"))))),IF($K171&lt;-3,"Magreza acentuada",IF($K171&lt;-2,"Magreza",IF($K171&lt;=1,"Eutrofia",IF($K171&lt;=2,"Sobrepeso",IF($K171&lt;=3,"Obesidade","Obesidade grave")))))))</f>
        <v/>
      </c>
      <c r="M171" s="12">
        <f>IF(OR($S171="",$V171="",$T171="",$T171&lt;0,$T171&gt;228,$AG171=""),"—",ROUND(IF($AG171=0,LN($V171/$AH171)/$AI171,((($V171/$AH171)^$AG171)-1)/($AG171*$AI171)),2))</f>
        <v/>
      </c>
      <c r="N171">
        <f>IF(OR($M171="",$M171="—"),"",IF($M171&lt;-3,"Muito baixa",IF($M171&lt;-2,"Baixa","Adequada")))</f>
        <v/>
      </c>
      <c r="O171" s="12">
        <f>IF(OR($S171="",$F171="",$T171="",$T171&lt;0,$T171&gt;120,$AJ171=""),"—",ROUND(IF(ABS($AM171)&lt;=3,$AM171,IF($AM171&gt;3,3+($F171-$AO171)/($AO171-$AN171),-3+($F171-$AQ171)/($AP171-$AQ171))),2))</f>
        <v/>
      </c>
      <c r="P171">
        <f>IF(OR($O171="",$O171="—"),"",IF($O171&lt;-3,"Muito baixo",IF($O171&lt;-2,"Baixo",IF($O171&lt;=2,"Adequado","Elevado"))))</f>
        <v/>
      </c>
      <c r="Q171" s="12">
        <f>IF(OR($S171="",$F171="",$T171="",$T171&lt;0,$T171&gt;60,$AR171=""),"—",ROUND(IF(ABS($AU171)&lt;=3,$AU171,IF($AU171&gt;3,3+($F171-$AW171)/($AW171-$AV171),-3+($F171-$AY171)/($AX171-$AY171))),2))</f>
        <v/>
      </c>
      <c r="R171">
        <f>IF(OR($Q171="",$Q171="—"),"",IF($Q171&lt;-3,"Magreza acentuada",IF($Q171&lt;-2,"Magreza",IF($Q171&lt;=1,"Eutrofia",IF($Q171&lt;=2,"Risco de sobrepeso",IF($Q171&lt;=3,"Sobrepeso","Obesidade"))))))</f>
        <v/>
      </c>
      <c r="S171">
        <f>IF($C171="","",IF(UPPER(LEFT($C171,1))="M",1,IF(UPPER(LEFT($C171,1))="F",2,"")))</f>
        <v/>
      </c>
      <c r="T171">
        <f>IF(OR($D171="",$E171=""),"",DATEDIF($D171,$E171,"m"))</f>
        <v/>
      </c>
      <c r="U171">
        <f>IF(OR($D171="",$E171=""),"",$E171-$D171)</f>
        <v/>
      </c>
      <c r="V171">
        <f>IF(OR($G171="",$T171=""),"",IF($T171&lt;24,IF(LEFT(LOWER($H171),4)="em p",$G171+0.7,$G171),IF(LEFT(LOWER($H171),4)="deit",$G171-0.7,$G171)))</f>
        <v/>
      </c>
      <c r="W171">
        <f>IF(OR($S171="",$T171=""),"",$S171*1000000+IF($T171&lt;=60,$U171,$T171))</f>
        <v/>
      </c>
      <c r="X171">
        <f>IF(OR($S171="",$V171="",$T171&gt;60,$T171=""),"",$S171*1000000+ROUND($V171*10,0))</f>
        <v/>
      </c>
      <c r="Y171">
        <f>IF($W171="","",IFERROR(INDEX(IF($T171&lt;=60,imc05_l,imc519_l),MATCH($W171,IF($T171&lt;=60,imc05_k,imc519_k),1)),""))</f>
        <v/>
      </c>
      <c r="Z171">
        <f>IF($W171="","",IFERROR(INDEX(IF($T171&lt;=60,imc05_m,imc519_m),MATCH($W171,IF($T171&lt;=60,imc05_k,imc519_k),1)),""))</f>
        <v/>
      </c>
      <c r="AA171">
        <f>IF($W171="","",IFERROR(INDEX(IF($T171&lt;=60,imc05_s,imc519_s),MATCH($W171,IF($T171&lt;=60,imc05_k,imc519_k),1)),""))</f>
        <v/>
      </c>
      <c r="AB171">
        <f>IF($Y171="","",IF($Y171=0,LN($J171/$Z171)/$AA171,((($J171/$Z171)^$Y171)-1)/($Y171*$AA171)))</f>
        <v/>
      </c>
      <c r="AC171">
        <f>IF($Y171="","",IF($Y171=0,$Z171*EXP($AA171*2),$Z171*(1+$Y171*$AA171*2)^(1/$Y171)))</f>
        <v/>
      </c>
      <c r="AD171">
        <f>IF($Y171="","",IF($Y171=0,$Z171*EXP($AA171*3),$Z171*(1+$Y171*$AA171*3)^(1/$Y171)))</f>
        <v/>
      </c>
      <c r="AE171">
        <f>IF($Y171="","",IF($Y171=0,$Z171*EXP($AA171*-2),$Z171*(1+$Y171*$AA171*-2)^(1/$Y171)))</f>
        <v/>
      </c>
      <c r="AF171">
        <f>IF($Y171="","",IF($Y171=0,$Z171*EXP($AA171*-3),$Z171*(1+$Y171*$AA171*-3)^(1/$Y171)))</f>
        <v/>
      </c>
      <c r="AG171">
        <f>IF($W171="","",IFERROR(INDEX(IF($T171&lt;=60,est05_l,est519_l),MATCH($W171,IF($T171&lt;=60,est05_k,est519_k),1)),""))</f>
        <v/>
      </c>
      <c r="AH171">
        <f>IF($W171="","",IFERROR(INDEX(IF($T171&lt;=60,est05_m,est519_m),MATCH($W171,IF($T171&lt;=60,est05_k,est519_k),1)),""))</f>
        <v/>
      </c>
      <c r="AI171">
        <f>IF($W171="","",IFERROR(INDEX(IF($T171&lt;=60,est05_s,est519_s),MATCH($W171,IF($T171&lt;=60,est05_k,est519_k),1)),""))</f>
        <v/>
      </c>
      <c r="AJ171">
        <f>IF($W171="","",IFERROR(INDEX(IF($T171&lt;=60,peso05_l,peso510_l),MATCH($W171,IF($T171&lt;=60,peso05_k,peso510_k),1)),""))</f>
        <v/>
      </c>
      <c r="AK171">
        <f>IF($W171="","",IFERROR(INDEX(IF($T171&lt;=60,peso05_m,peso510_m),MATCH($W171,IF($T171&lt;=60,peso05_k,peso510_k),1)),""))</f>
        <v/>
      </c>
      <c r="AL171">
        <f>IF($W171="","",IFERROR(INDEX(IF($T171&lt;=60,peso05_s,peso510_s),MATCH($W171,IF($T171&lt;=60,peso05_k,peso510_k),1)),""))</f>
        <v/>
      </c>
      <c r="AM171">
        <f>IF($AJ171="","",IF($AJ171=0,LN($F171/$AK171)/$AL171,((($F171/$AK171)^$AJ171)-1)/($AJ171*$AL171)))</f>
        <v/>
      </c>
      <c r="AN171">
        <f>IF($AJ171="","",IF($AJ171=0,$AK171*EXP($AL171*2),$AK171*(1+$AJ171*$AL171*2)^(1/$AJ171)))</f>
        <v/>
      </c>
      <c r="AO171">
        <f>IF($AJ171="","",IF($AJ171=0,$AK171*EXP($AL171*3),$AK171*(1+$AJ171*$AL171*3)^(1/$AJ171)))</f>
        <v/>
      </c>
      <c r="AP171">
        <f>IF($AJ171="","",IF($AJ171=0,$AK171*EXP($AL171*-2),$AK171*(1+$AJ171*$AL171*-2)^(1/$AJ171)))</f>
        <v/>
      </c>
      <c r="AQ171">
        <f>IF($AJ171="","",IF($AJ171=0,$AK171*EXP($AL171*-3),$AK171*(1+$AJ171*$AL171*-3)^(1/$AJ171)))</f>
        <v/>
      </c>
      <c r="AR171">
        <f>IF(OR($X171="",$T171&gt;60),"",IFERROR(INDEX(IF($T171&lt;24,pcomp_l,palt_l),MATCH($X171,IF($T171&lt;24,pcomp_k,palt_k),1)),""))</f>
        <v/>
      </c>
      <c r="AS171">
        <f>IF(OR($X171="",$T171&gt;60),"",IFERROR(INDEX(IF($T171&lt;24,pcomp_m,palt_m),MATCH($X171,IF($T171&lt;24,pcomp_k,palt_k),1)),""))</f>
        <v/>
      </c>
      <c r="AT171">
        <f>IF(OR($X171="",$T171&gt;60),"",IFERROR(INDEX(IF($T171&lt;24,pcomp_s,palt_s),MATCH($X171,IF($T171&lt;24,pcomp_k,palt_k),1)),""))</f>
        <v/>
      </c>
      <c r="AU171">
        <f>IF($AR171="","",IF($AR171=0,LN($F171/$AS171)/$AT171,((($F171/$AS171)^$AR171)-1)/($AR171*$AT171)))</f>
        <v/>
      </c>
      <c r="AV171">
        <f>IF($AR171="","",IF($AR171=0,$AS171*EXP($AT171*2),$AS171*(1+$AR171*$AT171*2)^(1/$AR171)))</f>
        <v/>
      </c>
      <c r="AW171">
        <f>IF($AR171="","",IF($AR171=0,$AS171*EXP($AT171*3),$AS171*(1+$AR171*$AT171*3)^(1/$AR171)))</f>
        <v/>
      </c>
      <c r="AX171">
        <f>IF($AR171="","",IF($AR171=0,$AS171*EXP($AT171*-2),$AS171*(1+$AR171*$AT171*-2)^(1/$AR171)))</f>
        <v/>
      </c>
      <c r="AY171">
        <f>IF($AR171="","",IF($AR171=0,$AS171*EXP($AT171*-3),$AS171*(1+$AR171*$AT171*-3)^(1/$AR171)))</f>
        <v/>
      </c>
      <c r="AZ171">
        <f>IF(OR($A171="",$A171&lt;&gt;Ficha!$C$4),"",COUNTIF($A$2:$A171,Ficha!$C$4))</f>
        <v/>
      </c>
    </row>
    <row r="172">
      <c r="A172" s="8">
        <f>IF(INDEX(Banco!$A:$A,ROW())="","",INDEX(Banco!$A:$A,ROW()))</f>
        <v/>
      </c>
      <c r="B172" s="8">
        <f>IF(INDEX(Banco!$B:$B,ROW())="","",INDEX(Banco!$B:$B,ROW()))</f>
        <v/>
      </c>
      <c r="C172" s="8">
        <f>IF(INDEX(Banco!$C:$C,ROW())="","",INDEX(Banco!$C:$C,ROW()))</f>
        <v/>
      </c>
      <c r="D172" s="9">
        <f>IF(INDEX(Banco!$D:$D,ROW())="","",INDEX(Banco!$D:$D,ROW()))</f>
        <v/>
      </c>
      <c r="E172" s="9">
        <f>IF(INDEX(Banco!$E:$E,ROW())="","",INDEX(Banco!$E:$E,ROW()))</f>
        <v/>
      </c>
      <c r="F172" s="10">
        <f>IF(INDEX(Banco!$F:$F,ROW())="","",INDEX(Banco!$F:$F,ROW()))</f>
        <v/>
      </c>
      <c r="G172" s="10">
        <f>IF(INDEX(Banco!$G:$G,ROW())="","",INDEX(Banco!$G:$G,ROW()))</f>
        <v/>
      </c>
      <c r="H172" s="8">
        <f>IF(INDEX(Banco!$H:$H,ROW())="","",INDEX(Banco!$H:$H,ROW()))</f>
        <v/>
      </c>
      <c r="I172">
        <f>IF($T172="","",INT($T172/12)&amp;"a "&amp;MOD($T172,12)&amp;"m")</f>
        <v/>
      </c>
      <c r="J172" s="11">
        <f>IF(OR($F172="",$G172=""),"",ROUND($F172/($G172/100)^2,2))</f>
        <v/>
      </c>
      <c r="K172" s="12">
        <f>IF(OR($S172="",$J172="",$T172="",$T172&lt;0,$T172&gt;228,$Y172=""),"—",ROUND(IF(ABS($AB172)&lt;=3,$AB172,IF($AB172&gt;3,3+($J172-$AD172)/($AD172-$AC172),-3+($J172-$AF172)/($AE172-$AF172))),2))</f>
        <v/>
      </c>
      <c r="L172">
        <f>IF(OR($K172="",$K172="—"),"",IF($T172&lt;=60,IF($K172&lt;-3,"Magreza acentuada",IF($K172&lt;-2,"Magreza",IF($K172&lt;=1,"Eutrofia",IF($K172&lt;=2,"Risco de sobrepeso",IF($K172&lt;=3,"Sobrepeso","Obesidade"))))),IF($K172&lt;-3,"Magreza acentuada",IF($K172&lt;-2,"Magreza",IF($K172&lt;=1,"Eutrofia",IF($K172&lt;=2,"Sobrepeso",IF($K172&lt;=3,"Obesidade","Obesidade grave")))))))</f>
        <v/>
      </c>
      <c r="M172" s="12">
        <f>IF(OR($S172="",$V172="",$T172="",$T172&lt;0,$T172&gt;228,$AG172=""),"—",ROUND(IF($AG172=0,LN($V172/$AH172)/$AI172,((($V172/$AH172)^$AG172)-1)/($AG172*$AI172)),2))</f>
        <v/>
      </c>
      <c r="N172">
        <f>IF(OR($M172="",$M172="—"),"",IF($M172&lt;-3,"Muito baixa",IF($M172&lt;-2,"Baixa","Adequada")))</f>
        <v/>
      </c>
      <c r="O172" s="12">
        <f>IF(OR($S172="",$F172="",$T172="",$T172&lt;0,$T172&gt;120,$AJ172=""),"—",ROUND(IF(ABS($AM172)&lt;=3,$AM172,IF($AM172&gt;3,3+($F172-$AO172)/($AO172-$AN172),-3+($F172-$AQ172)/($AP172-$AQ172))),2))</f>
        <v/>
      </c>
      <c r="P172">
        <f>IF(OR($O172="",$O172="—"),"",IF($O172&lt;-3,"Muito baixo",IF($O172&lt;-2,"Baixo",IF($O172&lt;=2,"Adequado","Elevado"))))</f>
        <v/>
      </c>
      <c r="Q172" s="12">
        <f>IF(OR($S172="",$F172="",$T172="",$T172&lt;0,$T172&gt;60,$AR172=""),"—",ROUND(IF(ABS($AU172)&lt;=3,$AU172,IF($AU172&gt;3,3+($F172-$AW172)/($AW172-$AV172),-3+($F172-$AY172)/($AX172-$AY172))),2))</f>
        <v/>
      </c>
      <c r="R172">
        <f>IF(OR($Q172="",$Q172="—"),"",IF($Q172&lt;-3,"Magreza acentuada",IF($Q172&lt;-2,"Magreza",IF($Q172&lt;=1,"Eutrofia",IF($Q172&lt;=2,"Risco de sobrepeso",IF($Q172&lt;=3,"Sobrepeso","Obesidade"))))))</f>
        <v/>
      </c>
      <c r="S172">
        <f>IF($C172="","",IF(UPPER(LEFT($C172,1))="M",1,IF(UPPER(LEFT($C172,1))="F",2,"")))</f>
        <v/>
      </c>
      <c r="T172">
        <f>IF(OR($D172="",$E172=""),"",DATEDIF($D172,$E172,"m"))</f>
        <v/>
      </c>
      <c r="U172">
        <f>IF(OR($D172="",$E172=""),"",$E172-$D172)</f>
        <v/>
      </c>
      <c r="V172">
        <f>IF(OR($G172="",$T172=""),"",IF($T172&lt;24,IF(LEFT(LOWER($H172),4)="em p",$G172+0.7,$G172),IF(LEFT(LOWER($H172),4)="deit",$G172-0.7,$G172)))</f>
        <v/>
      </c>
      <c r="W172">
        <f>IF(OR($S172="",$T172=""),"",$S172*1000000+IF($T172&lt;=60,$U172,$T172))</f>
        <v/>
      </c>
      <c r="X172">
        <f>IF(OR($S172="",$V172="",$T172&gt;60,$T172=""),"",$S172*1000000+ROUND($V172*10,0))</f>
        <v/>
      </c>
      <c r="Y172">
        <f>IF($W172="","",IFERROR(INDEX(IF($T172&lt;=60,imc05_l,imc519_l),MATCH($W172,IF($T172&lt;=60,imc05_k,imc519_k),1)),""))</f>
        <v/>
      </c>
      <c r="Z172">
        <f>IF($W172="","",IFERROR(INDEX(IF($T172&lt;=60,imc05_m,imc519_m),MATCH($W172,IF($T172&lt;=60,imc05_k,imc519_k),1)),""))</f>
        <v/>
      </c>
      <c r="AA172">
        <f>IF($W172="","",IFERROR(INDEX(IF($T172&lt;=60,imc05_s,imc519_s),MATCH($W172,IF($T172&lt;=60,imc05_k,imc519_k),1)),""))</f>
        <v/>
      </c>
      <c r="AB172">
        <f>IF($Y172="","",IF($Y172=0,LN($J172/$Z172)/$AA172,((($J172/$Z172)^$Y172)-1)/($Y172*$AA172)))</f>
        <v/>
      </c>
      <c r="AC172">
        <f>IF($Y172="","",IF($Y172=0,$Z172*EXP($AA172*2),$Z172*(1+$Y172*$AA172*2)^(1/$Y172)))</f>
        <v/>
      </c>
      <c r="AD172">
        <f>IF($Y172="","",IF($Y172=0,$Z172*EXP($AA172*3),$Z172*(1+$Y172*$AA172*3)^(1/$Y172)))</f>
        <v/>
      </c>
      <c r="AE172">
        <f>IF($Y172="","",IF($Y172=0,$Z172*EXP($AA172*-2),$Z172*(1+$Y172*$AA172*-2)^(1/$Y172)))</f>
        <v/>
      </c>
      <c r="AF172">
        <f>IF($Y172="","",IF($Y172=0,$Z172*EXP($AA172*-3),$Z172*(1+$Y172*$AA172*-3)^(1/$Y172)))</f>
        <v/>
      </c>
      <c r="AG172">
        <f>IF($W172="","",IFERROR(INDEX(IF($T172&lt;=60,est05_l,est519_l),MATCH($W172,IF($T172&lt;=60,est05_k,est519_k),1)),""))</f>
        <v/>
      </c>
      <c r="AH172">
        <f>IF($W172="","",IFERROR(INDEX(IF($T172&lt;=60,est05_m,est519_m),MATCH($W172,IF($T172&lt;=60,est05_k,est519_k),1)),""))</f>
        <v/>
      </c>
      <c r="AI172">
        <f>IF($W172="","",IFERROR(INDEX(IF($T172&lt;=60,est05_s,est519_s),MATCH($W172,IF($T172&lt;=60,est05_k,est519_k),1)),""))</f>
        <v/>
      </c>
      <c r="AJ172">
        <f>IF($W172="","",IFERROR(INDEX(IF($T172&lt;=60,peso05_l,peso510_l),MATCH($W172,IF($T172&lt;=60,peso05_k,peso510_k),1)),""))</f>
        <v/>
      </c>
      <c r="AK172">
        <f>IF($W172="","",IFERROR(INDEX(IF($T172&lt;=60,peso05_m,peso510_m),MATCH($W172,IF($T172&lt;=60,peso05_k,peso510_k),1)),""))</f>
        <v/>
      </c>
      <c r="AL172">
        <f>IF($W172="","",IFERROR(INDEX(IF($T172&lt;=60,peso05_s,peso510_s),MATCH($W172,IF($T172&lt;=60,peso05_k,peso510_k),1)),""))</f>
        <v/>
      </c>
      <c r="AM172">
        <f>IF($AJ172="","",IF($AJ172=0,LN($F172/$AK172)/$AL172,((($F172/$AK172)^$AJ172)-1)/($AJ172*$AL172)))</f>
        <v/>
      </c>
      <c r="AN172">
        <f>IF($AJ172="","",IF($AJ172=0,$AK172*EXP($AL172*2),$AK172*(1+$AJ172*$AL172*2)^(1/$AJ172)))</f>
        <v/>
      </c>
      <c r="AO172">
        <f>IF($AJ172="","",IF($AJ172=0,$AK172*EXP($AL172*3),$AK172*(1+$AJ172*$AL172*3)^(1/$AJ172)))</f>
        <v/>
      </c>
      <c r="AP172">
        <f>IF($AJ172="","",IF($AJ172=0,$AK172*EXP($AL172*-2),$AK172*(1+$AJ172*$AL172*-2)^(1/$AJ172)))</f>
        <v/>
      </c>
      <c r="AQ172">
        <f>IF($AJ172="","",IF($AJ172=0,$AK172*EXP($AL172*-3),$AK172*(1+$AJ172*$AL172*-3)^(1/$AJ172)))</f>
        <v/>
      </c>
      <c r="AR172">
        <f>IF(OR($X172="",$T172&gt;60),"",IFERROR(INDEX(IF($T172&lt;24,pcomp_l,palt_l),MATCH($X172,IF($T172&lt;24,pcomp_k,palt_k),1)),""))</f>
        <v/>
      </c>
      <c r="AS172">
        <f>IF(OR($X172="",$T172&gt;60),"",IFERROR(INDEX(IF($T172&lt;24,pcomp_m,palt_m),MATCH($X172,IF($T172&lt;24,pcomp_k,palt_k),1)),""))</f>
        <v/>
      </c>
      <c r="AT172">
        <f>IF(OR($X172="",$T172&gt;60),"",IFERROR(INDEX(IF($T172&lt;24,pcomp_s,palt_s),MATCH($X172,IF($T172&lt;24,pcomp_k,palt_k),1)),""))</f>
        <v/>
      </c>
      <c r="AU172">
        <f>IF($AR172="","",IF($AR172=0,LN($F172/$AS172)/$AT172,((($F172/$AS172)^$AR172)-1)/($AR172*$AT172)))</f>
        <v/>
      </c>
      <c r="AV172">
        <f>IF($AR172="","",IF($AR172=0,$AS172*EXP($AT172*2),$AS172*(1+$AR172*$AT172*2)^(1/$AR172)))</f>
        <v/>
      </c>
      <c r="AW172">
        <f>IF($AR172="","",IF($AR172=0,$AS172*EXP($AT172*3),$AS172*(1+$AR172*$AT172*3)^(1/$AR172)))</f>
        <v/>
      </c>
      <c r="AX172">
        <f>IF($AR172="","",IF($AR172=0,$AS172*EXP($AT172*-2),$AS172*(1+$AR172*$AT172*-2)^(1/$AR172)))</f>
        <v/>
      </c>
      <c r="AY172">
        <f>IF($AR172="","",IF($AR172=0,$AS172*EXP($AT172*-3),$AS172*(1+$AR172*$AT172*-3)^(1/$AR172)))</f>
        <v/>
      </c>
      <c r="AZ172">
        <f>IF(OR($A172="",$A172&lt;&gt;Ficha!$C$4),"",COUNTIF($A$2:$A172,Ficha!$C$4))</f>
        <v/>
      </c>
    </row>
    <row r="173">
      <c r="A173" s="8">
        <f>IF(INDEX(Banco!$A:$A,ROW())="","",INDEX(Banco!$A:$A,ROW()))</f>
        <v/>
      </c>
      <c r="B173" s="8">
        <f>IF(INDEX(Banco!$B:$B,ROW())="","",INDEX(Banco!$B:$B,ROW()))</f>
        <v/>
      </c>
      <c r="C173" s="8">
        <f>IF(INDEX(Banco!$C:$C,ROW())="","",INDEX(Banco!$C:$C,ROW()))</f>
        <v/>
      </c>
      <c r="D173" s="9">
        <f>IF(INDEX(Banco!$D:$D,ROW())="","",INDEX(Banco!$D:$D,ROW()))</f>
        <v/>
      </c>
      <c r="E173" s="9">
        <f>IF(INDEX(Banco!$E:$E,ROW())="","",INDEX(Banco!$E:$E,ROW()))</f>
        <v/>
      </c>
      <c r="F173" s="10">
        <f>IF(INDEX(Banco!$F:$F,ROW())="","",INDEX(Banco!$F:$F,ROW()))</f>
        <v/>
      </c>
      <c r="G173" s="10">
        <f>IF(INDEX(Banco!$G:$G,ROW())="","",INDEX(Banco!$G:$G,ROW()))</f>
        <v/>
      </c>
      <c r="H173" s="8">
        <f>IF(INDEX(Banco!$H:$H,ROW())="","",INDEX(Banco!$H:$H,ROW()))</f>
        <v/>
      </c>
      <c r="I173">
        <f>IF($T173="","",INT($T173/12)&amp;"a "&amp;MOD($T173,12)&amp;"m")</f>
        <v/>
      </c>
      <c r="J173" s="11">
        <f>IF(OR($F173="",$G173=""),"",ROUND($F173/($G173/100)^2,2))</f>
        <v/>
      </c>
      <c r="K173" s="12">
        <f>IF(OR($S173="",$J173="",$T173="",$T173&lt;0,$T173&gt;228,$Y173=""),"—",ROUND(IF(ABS($AB173)&lt;=3,$AB173,IF($AB173&gt;3,3+($J173-$AD173)/($AD173-$AC173),-3+($J173-$AF173)/($AE173-$AF173))),2))</f>
        <v/>
      </c>
      <c r="L173">
        <f>IF(OR($K173="",$K173="—"),"",IF($T173&lt;=60,IF($K173&lt;-3,"Magreza acentuada",IF($K173&lt;-2,"Magreza",IF($K173&lt;=1,"Eutrofia",IF($K173&lt;=2,"Risco de sobrepeso",IF($K173&lt;=3,"Sobrepeso","Obesidade"))))),IF($K173&lt;-3,"Magreza acentuada",IF($K173&lt;-2,"Magreza",IF($K173&lt;=1,"Eutrofia",IF($K173&lt;=2,"Sobrepeso",IF($K173&lt;=3,"Obesidade","Obesidade grave")))))))</f>
        <v/>
      </c>
      <c r="M173" s="12">
        <f>IF(OR($S173="",$V173="",$T173="",$T173&lt;0,$T173&gt;228,$AG173=""),"—",ROUND(IF($AG173=0,LN($V173/$AH173)/$AI173,((($V173/$AH173)^$AG173)-1)/($AG173*$AI173)),2))</f>
        <v/>
      </c>
      <c r="N173">
        <f>IF(OR($M173="",$M173="—"),"",IF($M173&lt;-3,"Muito baixa",IF($M173&lt;-2,"Baixa","Adequada")))</f>
        <v/>
      </c>
      <c r="O173" s="12">
        <f>IF(OR($S173="",$F173="",$T173="",$T173&lt;0,$T173&gt;120,$AJ173=""),"—",ROUND(IF(ABS($AM173)&lt;=3,$AM173,IF($AM173&gt;3,3+($F173-$AO173)/($AO173-$AN173),-3+($F173-$AQ173)/($AP173-$AQ173))),2))</f>
        <v/>
      </c>
      <c r="P173">
        <f>IF(OR($O173="",$O173="—"),"",IF($O173&lt;-3,"Muito baixo",IF($O173&lt;-2,"Baixo",IF($O173&lt;=2,"Adequado","Elevado"))))</f>
        <v/>
      </c>
      <c r="Q173" s="12">
        <f>IF(OR($S173="",$F173="",$T173="",$T173&lt;0,$T173&gt;60,$AR173=""),"—",ROUND(IF(ABS($AU173)&lt;=3,$AU173,IF($AU173&gt;3,3+($F173-$AW173)/($AW173-$AV173),-3+($F173-$AY173)/($AX173-$AY173))),2))</f>
        <v/>
      </c>
      <c r="R173">
        <f>IF(OR($Q173="",$Q173="—"),"",IF($Q173&lt;-3,"Magreza acentuada",IF($Q173&lt;-2,"Magreza",IF($Q173&lt;=1,"Eutrofia",IF($Q173&lt;=2,"Risco de sobrepeso",IF($Q173&lt;=3,"Sobrepeso","Obesidade"))))))</f>
        <v/>
      </c>
      <c r="S173">
        <f>IF($C173="","",IF(UPPER(LEFT($C173,1))="M",1,IF(UPPER(LEFT($C173,1))="F",2,"")))</f>
        <v/>
      </c>
      <c r="T173">
        <f>IF(OR($D173="",$E173=""),"",DATEDIF($D173,$E173,"m"))</f>
        <v/>
      </c>
      <c r="U173">
        <f>IF(OR($D173="",$E173=""),"",$E173-$D173)</f>
        <v/>
      </c>
      <c r="V173">
        <f>IF(OR($G173="",$T173=""),"",IF($T173&lt;24,IF(LEFT(LOWER($H173),4)="em p",$G173+0.7,$G173),IF(LEFT(LOWER($H173),4)="deit",$G173-0.7,$G173)))</f>
        <v/>
      </c>
      <c r="W173">
        <f>IF(OR($S173="",$T173=""),"",$S173*1000000+IF($T173&lt;=60,$U173,$T173))</f>
        <v/>
      </c>
      <c r="X173">
        <f>IF(OR($S173="",$V173="",$T173&gt;60,$T173=""),"",$S173*1000000+ROUND($V173*10,0))</f>
        <v/>
      </c>
      <c r="Y173">
        <f>IF($W173="","",IFERROR(INDEX(IF($T173&lt;=60,imc05_l,imc519_l),MATCH($W173,IF($T173&lt;=60,imc05_k,imc519_k),1)),""))</f>
        <v/>
      </c>
      <c r="Z173">
        <f>IF($W173="","",IFERROR(INDEX(IF($T173&lt;=60,imc05_m,imc519_m),MATCH($W173,IF($T173&lt;=60,imc05_k,imc519_k),1)),""))</f>
        <v/>
      </c>
      <c r="AA173">
        <f>IF($W173="","",IFERROR(INDEX(IF($T173&lt;=60,imc05_s,imc519_s),MATCH($W173,IF($T173&lt;=60,imc05_k,imc519_k),1)),""))</f>
        <v/>
      </c>
      <c r="AB173">
        <f>IF($Y173="","",IF($Y173=0,LN($J173/$Z173)/$AA173,((($J173/$Z173)^$Y173)-1)/($Y173*$AA173)))</f>
        <v/>
      </c>
      <c r="AC173">
        <f>IF($Y173="","",IF($Y173=0,$Z173*EXP($AA173*2),$Z173*(1+$Y173*$AA173*2)^(1/$Y173)))</f>
        <v/>
      </c>
      <c r="AD173">
        <f>IF($Y173="","",IF($Y173=0,$Z173*EXP($AA173*3),$Z173*(1+$Y173*$AA173*3)^(1/$Y173)))</f>
        <v/>
      </c>
      <c r="AE173">
        <f>IF($Y173="","",IF($Y173=0,$Z173*EXP($AA173*-2),$Z173*(1+$Y173*$AA173*-2)^(1/$Y173)))</f>
        <v/>
      </c>
      <c r="AF173">
        <f>IF($Y173="","",IF($Y173=0,$Z173*EXP($AA173*-3),$Z173*(1+$Y173*$AA173*-3)^(1/$Y173)))</f>
        <v/>
      </c>
      <c r="AG173">
        <f>IF($W173="","",IFERROR(INDEX(IF($T173&lt;=60,est05_l,est519_l),MATCH($W173,IF($T173&lt;=60,est05_k,est519_k),1)),""))</f>
        <v/>
      </c>
      <c r="AH173">
        <f>IF($W173="","",IFERROR(INDEX(IF($T173&lt;=60,est05_m,est519_m),MATCH($W173,IF($T173&lt;=60,est05_k,est519_k),1)),""))</f>
        <v/>
      </c>
      <c r="AI173">
        <f>IF($W173="","",IFERROR(INDEX(IF($T173&lt;=60,est05_s,est519_s),MATCH($W173,IF($T173&lt;=60,est05_k,est519_k),1)),""))</f>
        <v/>
      </c>
      <c r="AJ173">
        <f>IF($W173="","",IFERROR(INDEX(IF($T173&lt;=60,peso05_l,peso510_l),MATCH($W173,IF($T173&lt;=60,peso05_k,peso510_k),1)),""))</f>
        <v/>
      </c>
      <c r="AK173">
        <f>IF($W173="","",IFERROR(INDEX(IF($T173&lt;=60,peso05_m,peso510_m),MATCH($W173,IF($T173&lt;=60,peso05_k,peso510_k),1)),""))</f>
        <v/>
      </c>
      <c r="AL173">
        <f>IF($W173="","",IFERROR(INDEX(IF($T173&lt;=60,peso05_s,peso510_s),MATCH($W173,IF($T173&lt;=60,peso05_k,peso510_k),1)),""))</f>
        <v/>
      </c>
      <c r="AM173">
        <f>IF($AJ173="","",IF($AJ173=0,LN($F173/$AK173)/$AL173,((($F173/$AK173)^$AJ173)-1)/($AJ173*$AL173)))</f>
        <v/>
      </c>
      <c r="AN173">
        <f>IF($AJ173="","",IF($AJ173=0,$AK173*EXP($AL173*2),$AK173*(1+$AJ173*$AL173*2)^(1/$AJ173)))</f>
        <v/>
      </c>
      <c r="AO173">
        <f>IF($AJ173="","",IF($AJ173=0,$AK173*EXP($AL173*3),$AK173*(1+$AJ173*$AL173*3)^(1/$AJ173)))</f>
        <v/>
      </c>
      <c r="AP173">
        <f>IF($AJ173="","",IF($AJ173=0,$AK173*EXP($AL173*-2),$AK173*(1+$AJ173*$AL173*-2)^(1/$AJ173)))</f>
        <v/>
      </c>
      <c r="AQ173">
        <f>IF($AJ173="","",IF($AJ173=0,$AK173*EXP($AL173*-3),$AK173*(1+$AJ173*$AL173*-3)^(1/$AJ173)))</f>
        <v/>
      </c>
      <c r="AR173">
        <f>IF(OR($X173="",$T173&gt;60),"",IFERROR(INDEX(IF($T173&lt;24,pcomp_l,palt_l),MATCH($X173,IF($T173&lt;24,pcomp_k,palt_k),1)),""))</f>
        <v/>
      </c>
      <c r="AS173">
        <f>IF(OR($X173="",$T173&gt;60),"",IFERROR(INDEX(IF($T173&lt;24,pcomp_m,palt_m),MATCH($X173,IF($T173&lt;24,pcomp_k,palt_k),1)),""))</f>
        <v/>
      </c>
      <c r="AT173">
        <f>IF(OR($X173="",$T173&gt;60),"",IFERROR(INDEX(IF($T173&lt;24,pcomp_s,palt_s),MATCH($X173,IF($T173&lt;24,pcomp_k,palt_k),1)),""))</f>
        <v/>
      </c>
      <c r="AU173">
        <f>IF($AR173="","",IF($AR173=0,LN($F173/$AS173)/$AT173,((($F173/$AS173)^$AR173)-1)/($AR173*$AT173)))</f>
        <v/>
      </c>
      <c r="AV173">
        <f>IF($AR173="","",IF($AR173=0,$AS173*EXP($AT173*2),$AS173*(1+$AR173*$AT173*2)^(1/$AR173)))</f>
        <v/>
      </c>
      <c r="AW173">
        <f>IF($AR173="","",IF($AR173=0,$AS173*EXP($AT173*3),$AS173*(1+$AR173*$AT173*3)^(1/$AR173)))</f>
        <v/>
      </c>
      <c r="AX173">
        <f>IF($AR173="","",IF($AR173=0,$AS173*EXP($AT173*-2),$AS173*(1+$AR173*$AT173*-2)^(1/$AR173)))</f>
        <v/>
      </c>
      <c r="AY173">
        <f>IF($AR173="","",IF($AR173=0,$AS173*EXP($AT173*-3),$AS173*(1+$AR173*$AT173*-3)^(1/$AR173)))</f>
        <v/>
      </c>
      <c r="AZ173">
        <f>IF(OR($A173="",$A173&lt;&gt;Ficha!$C$4),"",COUNTIF($A$2:$A173,Ficha!$C$4))</f>
        <v/>
      </c>
    </row>
    <row r="174">
      <c r="A174" s="8">
        <f>IF(INDEX(Banco!$A:$A,ROW())="","",INDEX(Banco!$A:$A,ROW()))</f>
        <v/>
      </c>
      <c r="B174" s="8">
        <f>IF(INDEX(Banco!$B:$B,ROW())="","",INDEX(Banco!$B:$B,ROW()))</f>
        <v/>
      </c>
      <c r="C174" s="8">
        <f>IF(INDEX(Banco!$C:$C,ROW())="","",INDEX(Banco!$C:$C,ROW()))</f>
        <v/>
      </c>
      <c r="D174" s="9">
        <f>IF(INDEX(Banco!$D:$D,ROW())="","",INDEX(Banco!$D:$D,ROW()))</f>
        <v/>
      </c>
      <c r="E174" s="9">
        <f>IF(INDEX(Banco!$E:$E,ROW())="","",INDEX(Banco!$E:$E,ROW()))</f>
        <v/>
      </c>
      <c r="F174" s="10">
        <f>IF(INDEX(Banco!$F:$F,ROW())="","",INDEX(Banco!$F:$F,ROW()))</f>
        <v/>
      </c>
      <c r="G174" s="10">
        <f>IF(INDEX(Banco!$G:$G,ROW())="","",INDEX(Banco!$G:$G,ROW()))</f>
        <v/>
      </c>
      <c r="H174" s="8">
        <f>IF(INDEX(Banco!$H:$H,ROW())="","",INDEX(Banco!$H:$H,ROW()))</f>
        <v/>
      </c>
      <c r="I174">
        <f>IF($T174="","",INT($T174/12)&amp;"a "&amp;MOD($T174,12)&amp;"m")</f>
        <v/>
      </c>
      <c r="J174" s="11">
        <f>IF(OR($F174="",$G174=""),"",ROUND($F174/($G174/100)^2,2))</f>
        <v/>
      </c>
      <c r="K174" s="12">
        <f>IF(OR($S174="",$J174="",$T174="",$T174&lt;0,$T174&gt;228,$Y174=""),"—",ROUND(IF(ABS($AB174)&lt;=3,$AB174,IF($AB174&gt;3,3+($J174-$AD174)/($AD174-$AC174),-3+($J174-$AF174)/($AE174-$AF174))),2))</f>
        <v/>
      </c>
      <c r="L174">
        <f>IF(OR($K174="",$K174="—"),"",IF($T174&lt;=60,IF($K174&lt;-3,"Magreza acentuada",IF($K174&lt;-2,"Magreza",IF($K174&lt;=1,"Eutrofia",IF($K174&lt;=2,"Risco de sobrepeso",IF($K174&lt;=3,"Sobrepeso","Obesidade"))))),IF($K174&lt;-3,"Magreza acentuada",IF($K174&lt;-2,"Magreza",IF($K174&lt;=1,"Eutrofia",IF($K174&lt;=2,"Sobrepeso",IF($K174&lt;=3,"Obesidade","Obesidade grave")))))))</f>
        <v/>
      </c>
      <c r="M174" s="12">
        <f>IF(OR($S174="",$V174="",$T174="",$T174&lt;0,$T174&gt;228,$AG174=""),"—",ROUND(IF($AG174=0,LN($V174/$AH174)/$AI174,((($V174/$AH174)^$AG174)-1)/($AG174*$AI174)),2))</f>
        <v/>
      </c>
      <c r="N174">
        <f>IF(OR($M174="",$M174="—"),"",IF($M174&lt;-3,"Muito baixa",IF($M174&lt;-2,"Baixa","Adequada")))</f>
        <v/>
      </c>
      <c r="O174" s="12">
        <f>IF(OR($S174="",$F174="",$T174="",$T174&lt;0,$T174&gt;120,$AJ174=""),"—",ROUND(IF(ABS($AM174)&lt;=3,$AM174,IF($AM174&gt;3,3+($F174-$AO174)/($AO174-$AN174),-3+($F174-$AQ174)/($AP174-$AQ174))),2))</f>
        <v/>
      </c>
      <c r="P174">
        <f>IF(OR($O174="",$O174="—"),"",IF($O174&lt;-3,"Muito baixo",IF($O174&lt;-2,"Baixo",IF($O174&lt;=2,"Adequado","Elevado"))))</f>
        <v/>
      </c>
      <c r="Q174" s="12">
        <f>IF(OR($S174="",$F174="",$T174="",$T174&lt;0,$T174&gt;60,$AR174=""),"—",ROUND(IF(ABS($AU174)&lt;=3,$AU174,IF($AU174&gt;3,3+($F174-$AW174)/($AW174-$AV174),-3+($F174-$AY174)/($AX174-$AY174))),2))</f>
        <v/>
      </c>
      <c r="R174">
        <f>IF(OR($Q174="",$Q174="—"),"",IF($Q174&lt;-3,"Magreza acentuada",IF($Q174&lt;-2,"Magreza",IF($Q174&lt;=1,"Eutrofia",IF($Q174&lt;=2,"Risco de sobrepeso",IF($Q174&lt;=3,"Sobrepeso","Obesidade"))))))</f>
        <v/>
      </c>
      <c r="S174">
        <f>IF($C174="","",IF(UPPER(LEFT($C174,1))="M",1,IF(UPPER(LEFT($C174,1))="F",2,"")))</f>
        <v/>
      </c>
      <c r="T174">
        <f>IF(OR($D174="",$E174=""),"",DATEDIF($D174,$E174,"m"))</f>
        <v/>
      </c>
      <c r="U174">
        <f>IF(OR($D174="",$E174=""),"",$E174-$D174)</f>
        <v/>
      </c>
      <c r="V174">
        <f>IF(OR($G174="",$T174=""),"",IF($T174&lt;24,IF(LEFT(LOWER($H174),4)="em p",$G174+0.7,$G174),IF(LEFT(LOWER($H174),4)="deit",$G174-0.7,$G174)))</f>
        <v/>
      </c>
      <c r="W174">
        <f>IF(OR($S174="",$T174=""),"",$S174*1000000+IF($T174&lt;=60,$U174,$T174))</f>
        <v/>
      </c>
      <c r="X174">
        <f>IF(OR($S174="",$V174="",$T174&gt;60,$T174=""),"",$S174*1000000+ROUND($V174*10,0))</f>
        <v/>
      </c>
      <c r="Y174">
        <f>IF($W174="","",IFERROR(INDEX(IF($T174&lt;=60,imc05_l,imc519_l),MATCH($W174,IF($T174&lt;=60,imc05_k,imc519_k),1)),""))</f>
        <v/>
      </c>
      <c r="Z174">
        <f>IF($W174="","",IFERROR(INDEX(IF($T174&lt;=60,imc05_m,imc519_m),MATCH($W174,IF($T174&lt;=60,imc05_k,imc519_k),1)),""))</f>
        <v/>
      </c>
      <c r="AA174">
        <f>IF($W174="","",IFERROR(INDEX(IF($T174&lt;=60,imc05_s,imc519_s),MATCH($W174,IF($T174&lt;=60,imc05_k,imc519_k),1)),""))</f>
        <v/>
      </c>
      <c r="AB174">
        <f>IF($Y174="","",IF($Y174=0,LN($J174/$Z174)/$AA174,((($J174/$Z174)^$Y174)-1)/($Y174*$AA174)))</f>
        <v/>
      </c>
      <c r="AC174">
        <f>IF($Y174="","",IF($Y174=0,$Z174*EXP($AA174*2),$Z174*(1+$Y174*$AA174*2)^(1/$Y174)))</f>
        <v/>
      </c>
      <c r="AD174">
        <f>IF($Y174="","",IF($Y174=0,$Z174*EXP($AA174*3),$Z174*(1+$Y174*$AA174*3)^(1/$Y174)))</f>
        <v/>
      </c>
      <c r="AE174">
        <f>IF($Y174="","",IF($Y174=0,$Z174*EXP($AA174*-2),$Z174*(1+$Y174*$AA174*-2)^(1/$Y174)))</f>
        <v/>
      </c>
      <c r="AF174">
        <f>IF($Y174="","",IF($Y174=0,$Z174*EXP($AA174*-3),$Z174*(1+$Y174*$AA174*-3)^(1/$Y174)))</f>
        <v/>
      </c>
      <c r="AG174">
        <f>IF($W174="","",IFERROR(INDEX(IF($T174&lt;=60,est05_l,est519_l),MATCH($W174,IF($T174&lt;=60,est05_k,est519_k),1)),""))</f>
        <v/>
      </c>
      <c r="AH174">
        <f>IF($W174="","",IFERROR(INDEX(IF($T174&lt;=60,est05_m,est519_m),MATCH($W174,IF($T174&lt;=60,est05_k,est519_k),1)),""))</f>
        <v/>
      </c>
      <c r="AI174">
        <f>IF($W174="","",IFERROR(INDEX(IF($T174&lt;=60,est05_s,est519_s),MATCH($W174,IF($T174&lt;=60,est05_k,est519_k),1)),""))</f>
        <v/>
      </c>
      <c r="AJ174">
        <f>IF($W174="","",IFERROR(INDEX(IF($T174&lt;=60,peso05_l,peso510_l),MATCH($W174,IF($T174&lt;=60,peso05_k,peso510_k),1)),""))</f>
        <v/>
      </c>
      <c r="AK174">
        <f>IF($W174="","",IFERROR(INDEX(IF($T174&lt;=60,peso05_m,peso510_m),MATCH($W174,IF($T174&lt;=60,peso05_k,peso510_k),1)),""))</f>
        <v/>
      </c>
      <c r="AL174">
        <f>IF($W174="","",IFERROR(INDEX(IF($T174&lt;=60,peso05_s,peso510_s),MATCH($W174,IF($T174&lt;=60,peso05_k,peso510_k),1)),""))</f>
        <v/>
      </c>
      <c r="AM174">
        <f>IF($AJ174="","",IF($AJ174=0,LN($F174/$AK174)/$AL174,((($F174/$AK174)^$AJ174)-1)/($AJ174*$AL174)))</f>
        <v/>
      </c>
      <c r="AN174">
        <f>IF($AJ174="","",IF($AJ174=0,$AK174*EXP($AL174*2),$AK174*(1+$AJ174*$AL174*2)^(1/$AJ174)))</f>
        <v/>
      </c>
      <c r="AO174">
        <f>IF($AJ174="","",IF($AJ174=0,$AK174*EXP($AL174*3),$AK174*(1+$AJ174*$AL174*3)^(1/$AJ174)))</f>
        <v/>
      </c>
      <c r="AP174">
        <f>IF($AJ174="","",IF($AJ174=0,$AK174*EXP($AL174*-2),$AK174*(1+$AJ174*$AL174*-2)^(1/$AJ174)))</f>
        <v/>
      </c>
      <c r="AQ174">
        <f>IF($AJ174="","",IF($AJ174=0,$AK174*EXP($AL174*-3),$AK174*(1+$AJ174*$AL174*-3)^(1/$AJ174)))</f>
        <v/>
      </c>
      <c r="AR174">
        <f>IF(OR($X174="",$T174&gt;60),"",IFERROR(INDEX(IF($T174&lt;24,pcomp_l,palt_l),MATCH($X174,IF($T174&lt;24,pcomp_k,palt_k),1)),""))</f>
        <v/>
      </c>
      <c r="AS174">
        <f>IF(OR($X174="",$T174&gt;60),"",IFERROR(INDEX(IF($T174&lt;24,pcomp_m,palt_m),MATCH($X174,IF($T174&lt;24,pcomp_k,palt_k),1)),""))</f>
        <v/>
      </c>
      <c r="AT174">
        <f>IF(OR($X174="",$T174&gt;60),"",IFERROR(INDEX(IF($T174&lt;24,pcomp_s,palt_s),MATCH($X174,IF($T174&lt;24,pcomp_k,palt_k),1)),""))</f>
        <v/>
      </c>
      <c r="AU174">
        <f>IF($AR174="","",IF($AR174=0,LN($F174/$AS174)/$AT174,((($F174/$AS174)^$AR174)-1)/($AR174*$AT174)))</f>
        <v/>
      </c>
      <c r="AV174">
        <f>IF($AR174="","",IF($AR174=0,$AS174*EXP($AT174*2),$AS174*(1+$AR174*$AT174*2)^(1/$AR174)))</f>
        <v/>
      </c>
      <c r="AW174">
        <f>IF($AR174="","",IF($AR174=0,$AS174*EXP($AT174*3),$AS174*(1+$AR174*$AT174*3)^(1/$AR174)))</f>
        <v/>
      </c>
      <c r="AX174">
        <f>IF($AR174="","",IF($AR174=0,$AS174*EXP($AT174*-2),$AS174*(1+$AR174*$AT174*-2)^(1/$AR174)))</f>
        <v/>
      </c>
      <c r="AY174">
        <f>IF($AR174="","",IF($AR174=0,$AS174*EXP($AT174*-3),$AS174*(1+$AR174*$AT174*-3)^(1/$AR174)))</f>
        <v/>
      </c>
      <c r="AZ174">
        <f>IF(OR($A174="",$A174&lt;&gt;Ficha!$C$4),"",COUNTIF($A$2:$A174,Ficha!$C$4))</f>
        <v/>
      </c>
    </row>
    <row r="175">
      <c r="A175" s="8">
        <f>IF(INDEX(Banco!$A:$A,ROW())="","",INDEX(Banco!$A:$A,ROW()))</f>
        <v/>
      </c>
      <c r="B175" s="8">
        <f>IF(INDEX(Banco!$B:$B,ROW())="","",INDEX(Banco!$B:$B,ROW()))</f>
        <v/>
      </c>
      <c r="C175" s="8">
        <f>IF(INDEX(Banco!$C:$C,ROW())="","",INDEX(Banco!$C:$C,ROW()))</f>
        <v/>
      </c>
      <c r="D175" s="9">
        <f>IF(INDEX(Banco!$D:$D,ROW())="","",INDEX(Banco!$D:$D,ROW()))</f>
        <v/>
      </c>
      <c r="E175" s="9">
        <f>IF(INDEX(Banco!$E:$E,ROW())="","",INDEX(Banco!$E:$E,ROW()))</f>
        <v/>
      </c>
      <c r="F175" s="10">
        <f>IF(INDEX(Banco!$F:$F,ROW())="","",INDEX(Banco!$F:$F,ROW()))</f>
        <v/>
      </c>
      <c r="G175" s="10">
        <f>IF(INDEX(Banco!$G:$G,ROW())="","",INDEX(Banco!$G:$G,ROW()))</f>
        <v/>
      </c>
      <c r="H175" s="8">
        <f>IF(INDEX(Banco!$H:$H,ROW())="","",INDEX(Banco!$H:$H,ROW()))</f>
        <v/>
      </c>
      <c r="I175">
        <f>IF($T175="","",INT($T175/12)&amp;"a "&amp;MOD($T175,12)&amp;"m")</f>
        <v/>
      </c>
      <c r="J175" s="11">
        <f>IF(OR($F175="",$G175=""),"",ROUND($F175/($G175/100)^2,2))</f>
        <v/>
      </c>
      <c r="K175" s="12">
        <f>IF(OR($S175="",$J175="",$T175="",$T175&lt;0,$T175&gt;228,$Y175=""),"—",ROUND(IF(ABS($AB175)&lt;=3,$AB175,IF($AB175&gt;3,3+($J175-$AD175)/($AD175-$AC175),-3+($J175-$AF175)/($AE175-$AF175))),2))</f>
        <v/>
      </c>
      <c r="L175">
        <f>IF(OR($K175="",$K175="—"),"",IF($T175&lt;=60,IF($K175&lt;-3,"Magreza acentuada",IF($K175&lt;-2,"Magreza",IF($K175&lt;=1,"Eutrofia",IF($K175&lt;=2,"Risco de sobrepeso",IF($K175&lt;=3,"Sobrepeso","Obesidade"))))),IF($K175&lt;-3,"Magreza acentuada",IF($K175&lt;-2,"Magreza",IF($K175&lt;=1,"Eutrofia",IF($K175&lt;=2,"Sobrepeso",IF($K175&lt;=3,"Obesidade","Obesidade grave")))))))</f>
        <v/>
      </c>
      <c r="M175" s="12">
        <f>IF(OR($S175="",$V175="",$T175="",$T175&lt;0,$T175&gt;228,$AG175=""),"—",ROUND(IF($AG175=0,LN($V175/$AH175)/$AI175,((($V175/$AH175)^$AG175)-1)/($AG175*$AI175)),2))</f>
        <v/>
      </c>
      <c r="N175">
        <f>IF(OR($M175="",$M175="—"),"",IF($M175&lt;-3,"Muito baixa",IF($M175&lt;-2,"Baixa","Adequada")))</f>
        <v/>
      </c>
      <c r="O175" s="12">
        <f>IF(OR($S175="",$F175="",$T175="",$T175&lt;0,$T175&gt;120,$AJ175=""),"—",ROUND(IF(ABS($AM175)&lt;=3,$AM175,IF($AM175&gt;3,3+($F175-$AO175)/($AO175-$AN175),-3+($F175-$AQ175)/($AP175-$AQ175))),2))</f>
        <v/>
      </c>
      <c r="P175">
        <f>IF(OR($O175="",$O175="—"),"",IF($O175&lt;-3,"Muito baixo",IF($O175&lt;-2,"Baixo",IF($O175&lt;=2,"Adequado","Elevado"))))</f>
        <v/>
      </c>
      <c r="Q175" s="12">
        <f>IF(OR($S175="",$F175="",$T175="",$T175&lt;0,$T175&gt;60,$AR175=""),"—",ROUND(IF(ABS($AU175)&lt;=3,$AU175,IF($AU175&gt;3,3+($F175-$AW175)/($AW175-$AV175),-3+($F175-$AY175)/($AX175-$AY175))),2))</f>
        <v/>
      </c>
      <c r="R175">
        <f>IF(OR($Q175="",$Q175="—"),"",IF($Q175&lt;-3,"Magreza acentuada",IF($Q175&lt;-2,"Magreza",IF($Q175&lt;=1,"Eutrofia",IF($Q175&lt;=2,"Risco de sobrepeso",IF($Q175&lt;=3,"Sobrepeso","Obesidade"))))))</f>
        <v/>
      </c>
      <c r="S175">
        <f>IF($C175="","",IF(UPPER(LEFT($C175,1))="M",1,IF(UPPER(LEFT($C175,1))="F",2,"")))</f>
        <v/>
      </c>
      <c r="T175">
        <f>IF(OR($D175="",$E175=""),"",DATEDIF($D175,$E175,"m"))</f>
        <v/>
      </c>
      <c r="U175">
        <f>IF(OR($D175="",$E175=""),"",$E175-$D175)</f>
        <v/>
      </c>
      <c r="V175">
        <f>IF(OR($G175="",$T175=""),"",IF($T175&lt;24,IF(LEFT(LOWER($H175),4)="em p",$G175+0.7,$G175),IF(LEFT(LOWER($H175),4)="deit",$G175-0.7,$G175)))</f>
        <v/>
      </c>
      <c r="W175">
        <f>IF(OR($S175="",$T175=""),"",$S175*1000000+IF($T175&lt;=60,$U175,$T175))</f>
        <v/>
      </c>
      <c r="X175">
        <f>IF(OR($S175="",$V175="",$T175&gt;60,$T175=""),"",$S175*1000000+ROUND($V175*10,0))</f>
        <v/>
      </c>
      <c r="Y175">
        <f>IF($W175="","",IFERROR(INDEX(IF($T175&lt;=60,imc05_l,imc519_l),MATCH($W175,IF($T175&lt;=60,imc05_k,imc519_k),1)),""))</f>
        <v/>
      </c>
      <c r="Z175">
        <f>IF($W175="","",IFERROR(INDEX(IF($T175&lt;=60,imc05_m,imc519_m),MATCH($W175,IF($T175&lt;=60,imc05_k,imc519_k),1)),""))</f>
        <v/>
      </c>
      <c r="AA175">
        <f>IF($W175="","",IFERROR(INDEX(IF($T175&lt;=60,imc05_s,imc519_s),MATCH($W175,IF($T175&lt;=60,imc05_k,imc519_k),1)),""))</f>
        <v/>
      </c>
      <c r="AB175">
        <f>IF($Y175="","",IF($Y175=0,LN($J175/$Z175)/$AA175,((($J175/$Z175)^$Y175)-1)/($Y175*$AA175)))</f>
        <v/>
      </c>
      <c r="AC175">
        <f>IF($Y175="","",IF($Y175=0,$Z175*EXP($AA175*2),$Z175*(1+$Y175*$AA175*2)^(1/$Y175)))</f>
        <v/>
      </c>
      <c r="AD175">
        <f>IF($Y175="","",IF($Y175=0,$Z175*EXP($AA175*3),$Z175*(1+$Y175*$AA175*3)^(1/$Y175)))</f>
        <v/>
      </c>
      <c r="AE175">
        <f>IF($Y175="","",IF($Y175=0,$Z175*EXP($AA175*-2),$Z175*(1+$Y175*$AA175*-2)^(1/$Y175)))</f>
        <v/>
      </c>
      <c r="AF175">
        <f>IF($Y175="","",IF($Y175=0,$Z175*EXP($AA175*-3),$Z175*(1+$Y175*$AA175*-3)^(1/$Y175)))</f>
        <v/>
      </c>
      <c r="AG175">
        <f>IF($W175="","",IFERROR(INDEX(IF($T175&lt;=60,est05_l,est519_l),MATCH($W175,IF($T175&lt;=60,est05_k,est519_k),1)),""))</f>
        <v/>
      </c>
      <c r="AH175">
        <f>IF($W175="","",IFERROR(INDEX(IF($T175&lt;=60,est05_m,est519_m),MATCH($W175,IF($T175&lt;=60,est05_k,est519_k),1)),""))</f>
        <v/>
      </c>
      <c r="AI175">
        <f>IF($W175="","",IFERROR(INDEX(IF($T175&lt;=60,est05_s,est519_s),MATCH($W175,IF($T175&lt;=60,est05_k,est519_k),1)),""))</f>
        <v/>
      </c>
      <c r="AJ175">
        <f>IF($W175="","",IFERROR(INDEX(IF($T175&lt;=60,peso05_l,peso510_l),MATCH($W175,IF($T175&lt;=60,peso05_k,peso510_k),1)),""))</f>
        <v/>
      </c>
      <c r="AK175">
        <f>IF($W175="","",IFERROR(INDEX(IF($T175&lt;=60,peso05_m,peso510_m),MATCH($W175,IF($T175&lt;=60,peso05_k,peso510_k),1)),""))</f>
        <v/>
      </c>
      <c r="AL175">
        <f>IF($W175="","",IFERROR(INDEX(IF($T175&lt;=60,peso05_s,peso510_s),MATCH($W175,IF($T175&lt;=60,peso05_k,peso510_k),1)),""))</f>
        <v/>
      </c>
      <c r="AM175">
        <f>IF($AJ175="","",IF($AJ175=0,LN($F175/$AK175)/$AL175,((($F175/$AK175)^$AJ175)-1)/($AJ175*$AL175)))</f>
        <v/>
      </c>
      <c r="AN175">
        <f>IF($AJ175="","",IF($AJ175=0,$AK175*EXP($AL175*2),$AK175*(1+$AJ175*$AL175*2)^(1/$AJ175)))</f>
        <v/>
      </c>
      <c r="AO175">
        <f>IF($AJ175="","",IF($AJ175=0,$AK175*EXP($AL175*3),$AK175*(1+$AJ175*$AL175*3)^(1/$AJ175)))</f>
        <v/>
      </c>
      <c r="AP175">
        <f>IF($AJ175="","",IF($AJ175=0,$AK175*EXP($AL175*-2),$AK175*(1+$AJ175*$AL175*-2)^(1/$AJ175)))</f>
        <v/>
      </c>
      <c r="AQ175">
        <f>IF($AJ175="","",IF($AJ175=0,$AK175*EXP($AL175*-3),$AK175*(1+$AJ175*$AL175*-3)^(1/$AJ175)))</f>
        <v/>
      </c>
      <c r="AR175">
        <f>IF(OR($X175="",$T175&gt;60),"",IFERROR(INDEX(IF($T175&lt;24,pcomp_l,palt_l),MATCH($X175,IF($T175&lt;24,pcomp_k,palt_k),1)),""))</f>
        <v/>
      </c>
      <c r="AS175">
        <f>IF(OR($X175="",$T175&gt;60),"",IFERROR(INDEX(IF($T175&lt;24,pcomp_m,palt_m),MATCH($X175,IF($T175&lt;24,pcomp_k,palt_k),1)),""))</f>
        <v/>
      </c>
      <c r="AT175">
        <f>IF(OR($X175="",$T175&gt;60),"",IFERROR(INDEX(IF($T175&lt;24,pcomp_s,palt_s),MATCH($X175,IF($T175&lt;24,pcomp_k,palt_k),1)),""))</f>
        <v/>
      </c>
      <c r="AU175">
        <f>IF($AR175="","",IF($AR175=0,LN($F175/$AS175)/$AT175,((($F175/$AS175)^$AR175)-1)/($AR175*$AT175)))</f>
        <v/>
      </c>
      <c r="AV175">
        <f>IF($AR175="","",IF($AR175=0,$AS175*EXP($AT175*2),$AS175*(1+$AR175*$AT175*2)^(1/$AR175)))</f>
        <v/>
      </c>
      <c r="AW175">
        <f>IF($AR175="","",IF($AR175=0,$AS175*EXP($AT175*3),$AS175*(1+$AR175*$AT175*3)^(1/$AR175)))</f>
        <v/>
      </c>
      <c r="AX175">
        <f>IF($AR175="","",IF($AR175=0,$AS175*EXP($AT175*-2),$AS175*(1+$AR175*$AT175*-2)^(1/$AR175)))</f>
        <v/>
      </c>
      <c r="AY175">
        <f>IF($AR175="","",IF($AR175=0,$AS175*EXP($AT175*-3),$AS175*(1+$AR175*$AT175*-3)^(1/$AR175)))</f>
        <v/>
      </c>
      <c r="AZ175">
        <f>IF(OR($A175="",$A175&lt;&gt;Ficha!$C$4),"",COUNTIF($A$2:$A175,Ficha!$C$4))</f>
        <v/>
      </c>
    </row>
    <row r="176">
      <c r="A176" s="8">
        <f>IF(INDEX(Banco!$A:$A,ROW())="","",INDEX(Banco!$A:$A,ROW()))</f>
        <v/>
      </c>
      <c r="B176" s="8">
        <f>IF(INDEX(Banco!$B:$B,ROW())="","",INDEX(Banco!$B:$B,ROW()))</f>
        <v/>
      </c>
      <c r="C176" s="8">
        <f>IF(INDEX(Banco!$C:$C,ROW())="","",INDEX(Banco!$C:$C,ROW()))</f>
        <v/>
      </c>
      <c r="D176" s="9">
        <f>IF(INDEX(Banco!$D:$D,ROW())="","",INDEX(Banco!$D:$D,ROW()))</f>
        <v/>
      </c>
      <c r="E176" s="9">
        <f>IF(INDEX(Banco!$E:$E,ROW())="","",INDEX(Banco!$E:$E,ROW()))</f>
        <v/>
      </c>
      <c r="F176" s="10">
        <f>IF(INDEX(Banco!$F:$F,ROW())="","",INDEX(Banco!$F:$F,ROW()))</f>
        <v/>
      </c>
      <c r="G176" s="10">
        <f>IF(INDEX(Banco!$G:$G,ROW())="","",INDEX(Banco!$G:$G,ROW()))</f>
        <v/>
      </c>
      <c r="H176" s="8">
        <f>IF(INDEX(Banco!$H:$H,ROW())="","",INDEX(Banco!$H:$H,ROW()))</f>
        <v/>
      </c>
      <c r="I176">
        <f>IF($T176="","",INT($T176/12)&amp;"a "&amp;MOD($T176,12)&amp;"m")</f>
        <v/>
      </c>
      <c r="J176" s="11">
        <f>IF(OR($F176="",$G176=""),"",ROUND($F176/($G176/100)^2,2))</f>
        <v/>
      </c>
      <c r="K176" s="12">
        <f>IF(OR($S176="",$J176="",$T176="",$T176&lt;0,$T176&gt;228,$Y176=""),"—",ROUND(IF(ABS($AB176)&lt;=3,$AB176,IF($AB176&gt;3,3+($J176-$AD176)/($AD176-$AC176),-3+($J176-$AF176)/($AE176-$AF176))),2))</f>
        <v/>
      </c>
      <c r="L176">
        <f>IF(OR($K176="",$K176="—"),"",IF($T176&lt;=60,IF($K176&lt;-3,"Magreza acentuada",IF($K176&lt;-2,"Magreza",IF($K176&lt;=1,"Eutrofia",IF($K176&lt;=2,"Risco de sobrepeso",IF($K176&lt;=3,"Sobrepeso","Obesidade"))))),IF($K176&lt;-3,"Magreza acentuada",IF($K176&lt;-2,"Magreza",IF($K176&lt;=1,"Eutrofia",IF($K176&lt;=2,"Sobrepeso",IF($K176&lt;=3,"Obesidade","Obesidade grave")))))))</f>
        <v/>
      </c>
      <c r="M176" s="12">
        <f>IF(OR($S176="",$V176="",$T176="",$T176&lt;0,$T176&gt;228,$AG176=""),"—",ROUND(IF($AG176=0,LN($V176/$AH176)/$AI176,((($V176/$AH176)^$AG176)-1)/($AG176*$AI176)),2))</f>
        <v/>
      </c>
      <c r="N176">
        <f>IF(OR($M176="",$M176="—"),"",IF($M176&lt;-3,"Muito baixa",IF($M176&lt;-2,"Baixa","Adequada")))</f>
        <v/>
      </c>
      <c r="O176" s="12">
        <f>IF(OR($S176="",$F176="",$T176="",$T176&lt;0,$T176&gt;120,$AJ176=""),"—",ROUND(IF(ABS($AM176)&lt;=3,$AM176,IF($AM176&gt;3,3+($F176-$AO176)/($AO176-$AN176),-3+($F176-$AQ176)/($AP176-$AQ176))),2))</f>
        <v/>
      </c>
      <c r="P176">
        <f>IF(OR($O176="",$O176="—"),"",IF($O176&lt;-3,"Muito baixo",IF($O176&lt;-2,"Baixo",IF($O176&lt;=2,"Adequado","Elevado"))))</f>
        <v/>
      </c>
      <c r="Q176" s="12">
        <f>IF(OR($S176="",$F176="",$T176="",$T176&lt;0,$T176&gt;60,$AR176=""),"—",ROUND(IF(ABS($AU176)&lt;=3,$AU176,IF($AU176&gt;3,3+($F176-$AW176)/($AW176-$AV176),-3+($F176-$AY176)/($AX176-$AY176))),2))</f>
        <v/>
      </c>
      <c r="R176">
        <f>IF(OR($Q176="",$Q176="—"),"",IF($Q176&lt;-3,"Magreza acentuada",IF($Q176&lt;-2,"Magreza",IF($Q176&lt;=1,"Eutrofia",IF($Q176&lt;=2,"Risco de sobrepeso",IF($Q176&lt;=3,"Sobrepeso","Obesidade"))))))</f>
        <v/>
      </c>
      <c r="S176">
        <f>IF($C176="","",IF(UPPER(LEFT($C176,1))="M",1,IF(UPPER(LEFT($C176,1))="F",2,"")))</f>
        <v/>
      </c>
      <c r="T176">
        <f>IF(OR($D176="",$E176=""),"",DATEDIF($D176,$E176,"m"))</f>
        <v/>
      </c>
      <c r="U176">
        <f>IF(OR($D176="",$E176=""),"",$E176-$D176)</f>
        <v/>
      </c>
      <c r="V176">
        <f>IF(OR($G176="",$T176=""),"",IF($T176&lt;24,IF(LEFT(LOWER($H176),4)="em p",$G176+0.7,$G176),IF(LEFT(LOWER($H176),4)="deit",$G176-0.7,$G176)))</f>
        <v/>
      </c>
      <c r="W176">
        <f>IF(OR($S176="",$T176=""),"",$S176*1000000+IF($T176&lt;=60,$U176,$T176))</f>
        <v/>
      </c>
      <c r="X176">
        <f>IF(OR($S176="",$V176="",$T176&gt;60,$T176=""),"",$S176*1000000+ROUND($V176*10,0))</f>
        <v/>
      </c>
      <c r="Y176">
        <f>IF($W176="","",IFERROR(INDEX(IF($T176&lt;=60,imc05_l,imc519_l),MATCH($W176,IF($T176&lt;=60,imc05_k,imc519_k),1)),""))</f>
        <v/>
      </c>
      <c r="Z176">
        <f>IF($W176="","",IFERROR(INDEX(IF($T176&lt;=60,imc05_m,imc519_m),MATCH($W176,IF($T176&lt;=60,imc05_k,imc519_k),1)),""))</f>
        <v/>
      </c>
      <c r="AA176">
        <f>IF($W176="","",IFERROR(INDEX(IF($T176&lt;=60,imc05_s,imc519_s),MATCH($W176,IF($T176&lt;=60,imc05_k,imc519_k),1)),""))</f>
        <v/>
      </c>
      <c r="AB176">
        <f>IF($Y176="","",IF($Y176=0,LN($J176/$Z176)/$AA176,((($J176/$Z176)^$Y176)-1)/($Y176*$AA176)))</f>
        <v/>
      </c>
      <c r="AC176">
        <f>IF($Y176="","",IF($Y176=0,$Z176*EXP($AA176*2),$Z176*(1+$Y176*$AA176*2)^(1/$Y176)))</f>
        <v/>
      </c>
      <c r="AD176">
        <f>IF($Y176="","",IF($Y176=0,$Z176*EXP($AA176*3),$Z176*(1+$Y176*$AA176*3)^(1/$Y176)))</f>
        <v/>
      </c>
      <c r="AE176">
        <f>IF($Y176="","",IF($Y176=0,$Z176*EXP($AA176*-2),$Z176*(1+$Y176*$AA176*-2)^(1/$Y176)))</f>
        <v/>
      </c>
      <c r="AF176">
        <f>IF($Y176="","",IF($Y176=0,$Z176*EXP($AA176*-3),$Z176*(1+$Y176*$AA176*-3)^(1/$Y176)))</f>
        <v/>
      </c>
      <c r="AG176">
        <f>IF($W176="","",IFERROR(INDEX(IF($T176&lt;=60,est05_l,est519_l),MATCH($W176,IF($T176&lt;=60,est05_k,est519_k),1)),""))</f>
        <v/>
      </c>
      <c r="AH176">
        <f>IF($W176="","",IFERROR(INDEX(IF($T176&lt;=60,est05_m,est519_m),MATCH($W176,IF($T176&lt;=60,est05_k,est519_k),1)),""))</f>
        <v/>
      </c>
      <c r="AI176">
        <f>IF($W176="","",IFERROR(INDEX(IF($T176&lt;=60,est05_s,est519_s),MATCH($W176,IF($T176&lt;=60,est05_k,est519_k),1)),""))</f>
        <v/>
      </c>
      <c r="AJ176">
        <f>IF($W176="","",IFERROR(INDEX(IF($T176&lt;=60,peso05_l,peso510_l),MATCH($W176,IF($T176&lt;=60,peso05_k,peso510_k),1)),""))</f>
        <v/>
      </c>
      <c r="AK176">
        <f>IF($W176="","",IFERROR(INDEX(IF($T176&lt;=60,peso05_m,peso510_m),MATCH($W176,IF($T176&lt;=60,peso05_k,peso510_k),1)),""))</f>
        <v/>
      </c>
      <c r="AL176">
        <f>IF($W176="","",IFERROR(INDEX(IF($T176&lt;=60,peso05_s,peso510_s),MATCH($W176,IF($T176&lt;=60,peso05_k,peso510_k),1)),""))</f>
        <v/>
      </c>
      <c r="AM176">
        <f>IF($AJ176="","",IF($AJ176=0,LN($F176/$AK176)/$AL176,((($F176/$AK176)^$AJ176)-1)/($AJ176*$AL176)))</f>
        <v/>
      </c>
      <c r="AN176">
        <f>IF($AJ176="","",IF($AJ176=0,$AK176*EXP($AL176*2),$AK176*(1+$AJ176*$AL176*2)^(1/$AJ176)))</f>
        <v/>
      </c>
      <c r="AO176">
        <f>IF($AJ176="","",IF($AJ176=0,$AK176*EXP($AL176*3),$AK176*(1+$AJ176*$AL176*3)^(1/$AJ176)))</f>
        <v/>
      </c>
      <c r="AP176">
        <f>IF($AJ176="","",IF($AJ176=0,$AK176*EXP($AL176*-2),$AK176*(1+$AJ176*$AL176*-2)^(1/$AJ176)))</f>
        <v/>
      </c>
      <c r="AQ176">
        <f>IF($AJ176="","",IF($AJ176=0,$AK176*EXP($AL176*-3),$AK176*(1+$AJ176*$AL176*-3)^(1/$AJ176)))</f>
        <v/>
      </c>
      <c r="AR176">
        <f>IF(OR($X176="",$T176&gt;60),"",IFERROR(INDEX(IF($T176&lt;24,pcomp_l,palt_l),MATCH($X176,IF($T176&lt;24,pcomp_k,palt_k),1)),""))</f>
        <v/>
      </c>
      <c r="AS176">
        <f>IF(OR($X176="",$T176&gt;60),"",IFERROR(INDEX(IF($T176&lt;24,pcomp_m,palt_m),MATCH($X176,IF($T176&lt;24,pcomp_k,palt_k),1)),""))</f>
        <v/>
      </c>
      <c r="AT176">
        <f>IF(OR($X176="",$T176&gt;60),"",IFERROR(INDEX(IF($T176&lt;24,pcomp_s,palt_s),MATCH($X176,IF($T176&lt;24,pcomp_k,palt_k),1)),""))</f>
        <v/>
      </c>
      <c r="AU176">
        <f>IF($AR176="","",IF($AR176=0,LN($F176/$AS176)/$AT176,((($F176/$AS176)^$AR176)-1)/($AR176*$AT176)))</f>
        <v/>
      </c>
      <c r="AV176">
        <f>IF($AR176="","",IF($AR176=0,$AS176*EXP($AT176*2),$AS176*(1+$AR176*$AT176*2)^(1/$AR176)))</f>
        <v/>
      </c>
      <c r="AW176">
        <f>IF($AR176="","",IF($AR176=0,$AS176*EXP($AT176*3),$AS176*(1+$AR176*$AT176*3)^(1/$AR176)))</f>
        <v/>
      </c>
      <c r="AX176">
        <f>IF($AR176="","",IF($AR176=0,$AS176*EXP($AT176*-2),$AS176*(1+$AR176*$AT176*-2)^(1/$AR176)))</f>
        <v/>
      </c>
      <c r="AY176">
        <f>IF($AR176="","",IF($AR176=0,$AS176*EXP($AT176*-3),$AS176*(1+$AR176*$AT176*-3)^(1/$AR176)))</f>
        <v/>
      </c>
      <c r="AZ176">
        <f>IF(OR($A176="",$A176&lt;&gt;Ficha!$C$4),"",COUNTIF($A$2:$A176,Ficha!$C$4))</f>
        <v/>
      </c>
    </row>
    <row r="177">
      <c r="A177" s="8">
        <f>IF(INDEX(Banco!$A:$A,ROW())="","",INDEX(Banco!$A:$A,ROW()))</f>
        <v/>
      </c>
      <c r="B177" s="8">
        <f>IF(INDEX(Banco!$B:$B,ROW())="","",INDEX(Banco!$B:$B,ROW()))</f>
        <v/>
      </c>
      <c r="C177" s="8">
        <f>IF(INDEX(Banco!$C:$C,ROW())="","",INDEX(Banco!$C:$C,ROW()))</f>
        <v/>
      </c>
      <c r="D177" s="9">
        <f>IF(INDEX(Banco!$D:$D,ROW())="","",INDEX(Banco!$D:$D,ROW()))</f>
        <v/>
      </c>
      <c r="E177" s="9">
        <f>IF(INDEX(Banco!$E:$E,ROW())="","",INDEX(Banco!$E:$E,ROW()))</f>
        <v/>
      </c>
      <c r="F177" s="10">
        <f>IF(INDEX(Banco!$F:$F,ROW())="","",INDEX(Banco!$F:$F,ROW()))</f>
        <v/>
      </c>
      <c r="G177" s="10">
        <f>IF(INDEX(Banco!$G:$G,ROW())="","",INDEX(Banco!$G:$G,ROW()))</f>
        <v/>
      </c>
      <c r="H177" s="8">
        <f>IF(INDEX(Banco!$H:$H,ROW())="","",INDEX(Banco!$H:$H,ROW()))</f>
        <v/>
      </c>
      <c r="I177">
        <f>IF($T177="","",INT($T177/12)&amp;"a "&amp;MOD($T177,12)&amp;"m")</f>
        <v/>
      </c>
      <c r="J177" s="11">
        <f>IF(OR($F177="",$G177=""),"",ROUND($F177/($G177/100)^2,2))</f>
        <v/>
      </c>
      <c r="K177" s="12">
        <f>IF(OR($S177="",$J177="",$T177="",$T177&lt;0,$T177&gt;228,$Y177=""),"—",ROUND(IF(ABS($AB177)&lt;=3,$AB177,IF($AB177&gt;3,3+($J177-$AD177)/($AD177-$AC177),-3+($J177-$AF177)/($AE177-$AF177))),2))</f>
        <v/>
      </c>
      <c r="L177">
        <f>IF(OR($K177="",$K177="—"),"",IF($T177&lt;=60,IF($K177&lt;-3,"Magreza acentuada",IF($K177&lt;-2,"Magreza",IF($K177&lt;=1,"Eutrofia",IF($K177&lt;=2,"Risco de sobrepeso",IF($K177&lt;=3,"Sobrepeso","Obesidade"))))),IF($K177&lt;-3,"Magreza acentuada",IF($K177&lt;-2,"Magreza",IF($K177&lt;=1,"Eutrofia",IF($K177&lt;=2,"Sobrepeso",IF($K177&lt;=3,"Obesidade","Obesidade grave")))))))</f>
        <v/>
      </c>
      <c r="M177" s="12">
        <f>IF(OR($S177="",$V177="",$T177="",$T177&lt;0,$T177&gt;228,$AG177=""),"—",ROUND(IF($AG177=0,LN($V177/$AH177)/$AI177,((($V177/$AH177)^$AG177)-1)/($AG177*$AI177)),2))</f>
        <v/>
      </c>
      <c r="N177">
        <f>IF(OR($M177="",$M177="—"),"",IF($M177&lt;-3,"Muito baixa",IF($M177&lt;-2,"Baixa","Adequada")))</f>
        <v/>
      </c>
      <c r="O177" s="12">
        <f>IF(OR($S177="",$F177="",$T177="",$T177&lt;0,$T177&gt;120,$AJ177=""),"—",ROUND(IF(ABS($AM177)&lt;=3,$AM177,IF($AM177&gt;3,3+($F177-$AO177)/($AO177-$AN177),-3+($F177-$AQ177)/($AP177-$AQ177))),2))</f>
        <v/>
      </c>
      <c r="P177">
        <f>IF(OR($O177="",$O177="—"),"",IF($O177&lt;-3,"Muito baixo",IF($O177&lt;-2,"Baixo",IF($O177&lt;=2,"Adequado","Elevado"))))</f>
        <v/>
      </c>
      <c r="Q177" s="12">
        <f>IF(OR($S177="",$F177="",$T177="",$T177&lt;0,$T177&gt;60,$AR177=""),"—",ROUND(IF(ABS($AU177)&lt;=3,$AU177,IF($AU177&gt;3,3+($F177-$AW177)/($AW177-$AV177),-3+($F177-$AY177)/($AX177-$AY177))),2))</f>
        <v/>
      </c>
      <c r="R177">
        <f>IF(OR($Q177="",$Q177="—"),"",IF($Q177&lt;-3,"Magreza acentuada",IF($Q177&lt;-2,"Magreza",IF($Q177&lt;=1,"Eutrofia",IF($Q177&lt;=2,"Risco de sobrepeso",IF($Q177&lt;=3,"Sobrepeso","Obesidade"))))))</f>
        <v/>
      </c>
      <c r="S177">
        <f>IF($C177="","",IF(UPPER(LEFT($C177,1))="M",1,IF(UPPER(LEFT($C177,1))="F",2,"")))</f>
        <v/>
      </c>
      <c r="T177">
        <f>IF(OR($D177="",$E177=""),"",DATEDIF($D177,$E177,"m"))</f>
        <v/>
      </c>
      <c r="U177">
        <f>IF(OR($D177="",$E177=""),"",$E177-$D177)</f>
        <v/>
      </c>
      <c r="V177">
        <f>IF(OR($G177="",$T177=""),"",IF($T177&lt;24,IF(LEFT(LOWER($H177),4)="em p",$G177+0.7,$G177),IF(LEFT(LOWER($H177),4)="deit",$G177-0.7,$G177)))</f>
        <v/>
      </c>
      <c r="W177">
        <f>IF(OR($S177="",$T177=""),"",$S177*1000000+IF($T177&lt;=60,$U177,$T177))</f>
        <v/>
      </c>
      <c r="X177">
        <f>IF(OR($S177="",$V177="",$T177&gt;60,$T177=""),"",$S177*1000000+ROUND($V177*10,0))</f>
        <v/>
      </c>
      <c r="Y177">
        <f>IF($W177="","",IFERROR(INDEX(IF($T177&lt;=60,imc05_l,imc519_l),MATCH($W177,IF($T177&lt;=60,imc05_k,imc519_k),1)),""))</f>
        <v/>
      </c>
      <c r="Z177">
        <f>IF($W177="","",IFERROR(INDEX(IF($T177&lt;=60,imc05_m,imc519_m),MATCH($W177,IF($T177&lt;=60,imc05_k,imc519_k),1)),""))</f>
        <v/>
      </c>
      <c r="AA177">
        <f>IF($W177="","",IFERROR(INDEX(IF($T177&lt;=60,imc05_s,imc519_s),MATCH($W177,IF($T177&lt;=60,imc05_k,imc519_k),1)),""))</f>
        <v/>
      </c>
      <c r="AB177">
        <f>IF($Y177="","",IF($Y177=0,LN($J177/$Z177)/$AA177,((($J177/$Z177)^$Y177)-1)/($Y177*$AA177)))</f>
        <v/>
      </c>
      <c r="AC177">
        <f>IF($Y177="","",IF($Y177=0,$Z177*EXP($AA177*2),$Z177*(1+$Y177*$AA177*2)^(1/$Y177)))</f>
        <v/>
      </c>
      <c r="AD177">
        <f>IF($Y177="","",IF($Y177=0,$Z177*EXP($AA177*3),$Z177*(1+$Y177*$AA177*3)^(1/$Y177)))</f>
        <v/>
      </c>
      <c r="AE177">
        <f>IF($Y177="","",IF($Y177=0,$Z177*EXP($AA177*-2),$Z177*(1+$Y177*$AA177*-2)^(1/$Y177)))</f>
        <v/>
      </c>
      <c r="AF177">
        <f>IF($Y177="","",IF($Y177=0,$Z177*EXP($AA177*-3),$Z177*(1+$Y177*$AA177*-3)^(1/$Y177)))</f>
        <v/>
      </c>
      <c r="AG177">
        <f>IF($W177="","",IFERROR(INDEX(IF($T177&lt;=60,est05_l,est519_l),MATCH($W177,IF($T177&lt;=60,est05_k,est519_k),1)),""))</f>
        <v/>
      </c>
      <c r="AH177">
        <f>IF($W177="","",IFERROR(INDEX(IF($T177&lt;=60,est05_m,est519_m),MATCH($W177,IF($T177&lt;=60,est05_k,est519_k),1)),""))</f>
        <v/>
      </c>
      <c r="AI177">
        <f>IF($W177="","",IFERROR(INDEX(IF($T177&lt;=60,est05_s,est519_s),MATCH($W177,IF($T177&lt;=60,est05_k,est519_k),1)),""))</f>
        <v/>
      </c>
      <c r="AJ177">
        <f>IF($W177="","",IFERROR(INDEX(IF($T177&lt;=60,peso05_l,peso510_l),MATCH($W177,IF($T177&lt;=60,peso05_k,peso510_k),1)),""))</f>
        <v/>
      </c>
      <c r="AK177">
        <f>IF($W177="","",IFERROR(INDEX(IF($T177&lt;=60,peso05_m,peso510_m),MATCH($W177,IF($T177&lt;=60,peso05_k,peso510_k),1)),""))</f>
        <v/>
      </c>
      <c r="AL177">
        <f>IF($W177="","",IFERROR(INDEX(IF($T177&lt;=60,peso05_s,peso510_s),MATCH($W177,IF($T177&lt;=60,peso05_k,peso510_k),1)),""))</f>
        <v/>
      </c>
      <c r="AM177">
        <f>IF($AJ177="","",IF($AJ177=0,LN($F177/$AK177)/$AL177,((($F177/$AK177)^$AJ177)-1)/($AJ177*$AL177)))</f>
        <v/>
      </c>
      <c r="AN177">
        <f>IF($AJ177="","",IF($AJ177=0,$AK177*EXP($AL177*2),$AK177*(1+$AJ177*$AL177*2)^(1/$AJ177)))</f>
        <v/>
      </c>
      <c r="AO177">
        <f>IF($AJ177="","",IF($AJ177=0,$AK177*EXP($AL177*3),$AK177*(1+$AJ177*$AL177*3)^(1/$AJ177)))</f>
        <v/>
      </c>
      <c r="AP177">
        <f>IF($AJ177="","",IF($AJ177=0,$AK177*EXP($AL177*-2),$AK177*(1+$AJ177*$AL177*-2)^(1/$AJ177)))</f>
        <v/>
      </c>
      <c r="AQ177">
        <f>IF($AJ177="","",IF($AJ177=0,$AK177*EXP($AL177*-3),$AK177*(1+$AJ177*$AL177*-3)^(1/$AJ177)))</f>
        <v/>
      </c>
      <c r="AR177">
        <f>IF(OR($X177="",$T177&gt;60),"",IFERROR(INDEX(IF($T177&lt;24,pcomp_l,palt_l),MATCH($X177,IF($T177&lt;24,pcomp_k,palt_k),1)),""))</f>
        <v/>
      </c>
      <c r="AS177">
        <f>IF(OR($X177="",$T177&gt;60),"",IFERROR(INDEX(IF($T177&lt;24,pcomp_m,palt_m),MATCH($X177,IF($T177&lt;24,pcomp_k,palt_k),1)),""))</f>
        <v/>
      </c>
      <c r="AT177">
        <f>IF(OR($X177="",$T177&gt;60),"",IFERROR(INDEX(IF($T177&lt;24,pcomp_s,palt_s),MATCH($X177,IF($T177&lt;24,pcomp_k,palt_k),1)),""))</f>
        <v/>
      </c>
      <c r="AU177">
        <f>IF($AR177="","",IF($AR177=0,LN($F177/$AS177)/$AT177,((($F177/$AS177)^$AR177)-1)/($AR177*$AT177)))</f>
        <v/>
      </c>
      <c r="AV177">
        <f>IF($AR177="","",IF($AR177=0,$AS177*EXP($AT177*2),$AS177*(1+$AR177*$AT177*2)^(1/$AR177)))</f>
        <v/>
      </c>
      <c r="AW177">
        <f>IF($AR177="","",IF($AR177=0,$AS177*EXP($AT177*3),$AS177*(1+$AR177*$AT177*3)^(1/$AR177)))</f>
        <v/>
      </c>
      <c r="AX177">
        <f>IF($AR177="","",IF($AR177=0,$AS177*EXP($AT177*-2),$AS177*(1+$AR177*$AT177*-2)^(1/$AR177)))</f>
        <v/>
      </c>
      <c r="AY177">
        <f>IF($AR177="","",IF($AR177=0,$AS177*EXP($AT177*-3),$AS177*(1+$AR177*$AT177*-3)^(1/$AR177)))</f>
        <v/>
      </c>
      <c r="AZ177">
        <f>IF(OR($A177="",$A177&lt;&gt;Ficha!$C$4),"",COUNTIF($A$2:$A177,Ficha!$C$4))</f>
        <v/>
      </c>
    </row>
    <row r="178">
      <c r="A178" s="8">
        <f>IF(INDEX(Banco!$A:$A,ROW())="","",INDEX(Banco!$A:$A,ROW()))</f>
        <v/>
      </c>
      <c r="B178" s="8">
        <f>IF(INDEX(Banco!$B:$B,ROW())="","",INDEX(Banco!$B:$B,ROW()))</f>
        <v/>
      </c>
      <c r="C178" s="8">
        <f>IF(INDEX(Banco!$C:$C,ROW())="","",INDEX(Banco!$C:$C,ROW()))</f>
        <v/>
      </c>
      <c r="D178" s="9">
        <f>IF(INDEX(Banco!$D:$D,ROW())="","",INDEX(Banco!$D:$D,ROW()))</f>
        <v/>
      </c>
      <c r="E178" s="9">
        <f>IF(INDEX(Banco!$E:$E,ROW())="","",INDEX(Banco!$E:$E,ROW()))</f>
        <v/>
      </c>
      <c r="F178" s="10">
        <f>IF(INDEX(Banco!$F:$F,ROW())="","",INDEX(Banco!$F:$F,ROW()))</f>
        <v/>
      </c>
      <c r="G178" s="10">
        <f>IF(INDEX(Banco!$G:$G,ROW())="","",INDEX(Banco!$G:$G,ROW()))</f>
        <v/>
      </c>
      <c r="H178" s="8">
        <f>IF(INDEX(Banco!$H:$H,ROW())="","",INDEX(Banco!$H:$H,ROW()))</f>
        <v/>
      </c>
      <c r="I178">
        <f>IF($T178="","",INT($T178/12)&amp;"a "&amp;MOD($T178,12)&amp;"m")</f>
        <v/>
      </c>
      <c r="J178" s="11">
        <f>IF(OR($F178="",$G178=""),"",ROUND($F178/($G178/100)^2,2))</f>
        <v/>
      </c>
      <c r="K178" s="12">
        <f>IF(OR($S178="",$J178="",$T178="",$T178&lt;0,$T178&gt;228,$Y178=""),"—",ROUND(IF(ABS($AB178)&lt;=3,$AB178,IF($AB178&gt;3,3+($J178-$AD178)/($AD178-$AC178),-3+($J178-$AF178)/($AE178-$AF178))),2))</f>
        <v/>
      </c>
      <c r="L178">
        <f>IF(OR($K178="",$K178="—"),"",IF($T178&lt;=60,IF($K178&lt;-3,"Magreza acentuada",IF($K178&lt;-2,"Magreza",IF($K178&lt;=1,"Eutrofia",IF($K178&lt;=2,"Risco de sobrepeso",IF($K178&lt;=3,"Sobrepeso","Obesidade"))))),IF($K178&lt;-3,"Magreza acentuada",IF($K178&lt;-2,"Magreza",IF($K178&lt;=1,"Eutrofia",IF($K178&lt;=2,"Sobrepeso",IF($K178&lt;=3,"Obesidade","Obesidade grave")))))))</f>
        <v/>
      </c>
      <c r="M178" s="12">
        <f>IF(OR($S178="",$V178="",$T178="",$T178&lt;0,$T178&gt;228,$AG178=""),"—",ROUND(IF($AG178=0,LN($V178/$AH178)/$AI178,((($V178/$AH178)^$AG178)-1)/($AG178*$AI178)),2))</f>
        <v/>
      </c>
      <c r="N178">
        <f>IF(OR($M178="",$M178="—"),"",IF($M178&lt;-3,"Muito baixa",IF($M178&lt;-2,"Baixa","Adequada")))</f>
        <v/>
      </c>
      <c r="O178" s="12">
        <f>IF(OR($S178="",$F178="",$T178="",$T178&lt;0,$T178&gt;120,$AJ178=""),"—",ROUND(IF(ABS($AM178)&lt;=3,$AM178,IF($AM178&gt;3,3+($F178-$AO178)/($AO178-$AN178),-3+($F178-$AQ178)/($AP178-$AQ178))),2))</f>
        <v/>
      </c>
      <c r="P178">
        <f>IF(OR($O178="",$O178="—"),"",IF($O178&lt;-3,"Muito baixo",IF($O178&lt;-2,"Baixo",IF($O178&lt;=2,"Adequado","Elevado"))))</f>
        <v/>
      </c>
      <c r="Q178" s="12">
        <f>IF(OR($S178="",$F178="",$T178="",$T178&lt;0,$T178&gt;60,$AR178=""),"—",ROUND(IF(ABS($AU178)&lt;=3,$AU178,IF($AU178&gt;3,3+($F178-$AW178)/($AW178-$AV178),-3+($F178-$AY178)/($AX178-$AY178))),2))</f>
        <v/>
      </c>
      <c r="R178">
        <f>IF(OR($Q178="",$Q178="—"),"",IF($Q178&lt;-3,"Magreza acentuada",IF($Q178&lt;-2,"Magreza",IF($Q178&lt;=1,"Eutrofia",IF($Q178&lt;=2,"Risco de sobrepeso",IF($Q178&lt;=3,"Sobrepeso","Obesidade"))))))</f>
        <v/>
      </c>
      <c r="S178">
        <f>IF($C178="","",IF(UPPER(LEFT($C178,1))="M",1,IF(UPPER(LEFT($C178,1))="F",2,"")))</f>
        <v/>
      </c>
      <c r="T178">
        <f>IF(OR($D178="",$E178=""),"",DATEDIF($D178,$E178,"m"))</f>
        <v/>
      </c>
      <c r="U178">
        <f>IF(OR($D178="",$E178=""),"",$E178-$D178)</f>
        <v/>
      </c>
      <c r="V178">
        <f>IF(OR($G178="",$T178=""),"",IF($T178&lt;24,IF(LEFT(LOWER($H178),4)="em p",$G178+0.7,$G178),IF(LEFT(LOWER($H178),4)="deit",$G178-0.7,$G178)))</f>
        <v/>
      </c>
      <c r="W178">
        <f>IF(OR($S178="",$T178=""),"",$S178*1000000+IF($T178&lt;=60,$U178,$T178))</f>
        <v/>
      </c>
      <c r="X178">
        <f>IF(OR($S178="",$V178="",$T178&gt;60,$T178=""),"",$S178*1000000+ROUND($V178*10,0))</f>
        <v/>
      </c>
      <c r="Y178">
        <f>IF($W178="","",IFERROR(INDEX(IF($T178&lt;=60,imc05_l,imc519_l),MATCH($W178,IF($T178&lt;=60,imc05_k,imc519_k),1)),""))</f>
        <v/>
      </c>
      <c r="Z178">
        <f>IF($W178="","",IFERROR(INDEX(IF($T178&lt;=60,imc05_m,imc519_m),MATCH($W178,IF($T178&lt;=60,imc05_k,imc519_k),1)),""))</f>
        <v/>
      </c>
      <c r="AA178">
        <f>IF($W178="","",IFERROR(INDEX(IF($T178&lt;=60,imc05_s,imc519_s),MATCH($W178,IF($T178&lt;=60,imc05_k,imc519_k),1)),""))</f>
        <v/>
      </c>
      <c r="AB178">
        <f>IF($Y178="","",IF($Y178=0,LN($J178/$Z178)/$AA178,((($J178/$Z178)^$Y178)-1)/($Y178*$AA178)))</f>
        <v/>
      </c>
      <c r="AC178">
        <f>IF($Y178="","",IF($Y178=0,$Z178*EXP($AA178*2),$Z178*(1+$Y178*$AA178*2)^(1/$Y178)))</f>
        <v/>
      </c>
      <c r="AD178">
        <f>IF($Y178="","",IF($Y178=0,$Z178*EXP($AA178*3),$Z178*(1+$Y178*$AA178*3)^(1/$Y178)))</f>
        <v/>
      </c>
      <c r="AE178">
        <f>IF($Y178="","",IF($Y178=0,$Z178*EXP($AA178*-2),$Z178*(1+$Y178*$AA178*-2)^(1/$Y178)))</f>
        <v/>
      </c>
      <c r="AF178">
        <f>IF($Y178="","",IF($Y178=0,$Z178*EXP($AA178*-3),$Z178*(1+$Y178*$AA178*-3)^(1/$Y178)))</f>
        <v/>
      </c>
      <c r="AG178">
        <f>IF($W178="","",IFERROR(INDEX(IF($T178&lt;=60,est05_l,est519_l),MATCH($W178,IF($T178&lt;=60,est05_k,est519_k),1)),""))</f>
        <v/>
      </c>
      <c r="AH178">
        <f>IF($W178="","",IFERROR(INDEX(IF($T178&lt;=60,est05_m,est519_m),MATCH($W178,IF($T178&lt;=60,est05_k,est519_k),1)),""))</f>
        <v/>
      </c>
      <c r="AI178">
        <f>IF($W178="","",IFERROR(INDEX(IF($T178&lt;=60,est05_s,est519_s),MATCH($W178,IF($T178&lt;=60,est05_k,est519_k),1)),""))</f>
        <v/>
      </c>
      <c r="AJ178">
        <f>IF($W178="","",IFERROR(INDEX(IF($T178&lt;=60,peso05_l,peso510_l),MATCH($W178,IF($T178&lt;=60,peso05_k,peso510_k),1)),""))</f>
        <v/>
      </c>
      <c r="AK178">
        <f>IF($W178="","",IFERROR(INDEX(IF($T178&lt;=60,peso05_m,peso510_m),MATCH($W178,IF($T178&lt;=60,peso05_k,peso510_k),1)),""))</f>
        <v/>
      </c>
      <c r="AL178">
        <f>IF($W178="","",IFERROR(INDEX(IF($T178&lt;=60,peso05_s,peso510_s),MATCH($W178,IF($T178&lt;=60,peso05_k,peso510_k),1)),""))</f>
        <v/>
      </c>
      <c r="AM178">
        <f>IF($AJ178="","",IF($AJ178=0,LN($F178/$AK178)/$AL178,((($F178/$AK178)^$AJ178)-1)/($AJ178*$AL178)))</f>
        <v/>
      </c>
      <c r="AN178">
        <f>IF($AJ178="","",IF($AJ178=0,$AK178*EXP($AL178*2),$AK178*(1+$AJ178*$AL178*2)^(1/$AJ178)))</f>
        <v/>
      </c>
      <c r="AO178">
        <f>IF($AJ178="","",IF($AJ178=0,$AK178*EXP($AL178*3),$AK178*(1+$AJ178*$AL178*3)^(1/$AJ178)))</f>
        <v/>
      </c>
      <c r="AP178">
        <f>IF($AJ178="","",IF($AJ178=0,$AK178*EXP($AL178*-2),$AK178*(1+$AJ178*$AL178*-2)^(1/$AJ178)))</f>
        <v/>
      </c>
      <c r="AQ178">
        <f>IF($AJ178="","",IF($AJ178=0,$AK178*EXP($AL178*-3),$AK178*(1+$AJ178*$AL178*-3)^(1/$AJ178)))</f>
        <v/>
      </c>
      <c r="AR178">
        <f>IF(OR($X178="",$T178&gt;60),"",IFERROR(INDEX(IF($T178&lt;24,pcomp_l,palt_l),MATCH($X178,IF($T178&lt;24,pcomp_k,palt_k),1)),""))</f>
        <v/>
      </c>
      <c r="AS178">
        <f>IF(OR($X178="",$T178&gt;60),"",IFERROR(INDEX(IF($T178&lt;24,pcomp_m,palt_m),MATCH($X178,IF($T178&lt;24,pcomp_k,palt_k),1)),""))</f>
        <v/>
      </c>
      <c r="AT178">
        <f>IF(OR($X178="",$T178&gt;60),"",IFERROR(INDEX(IF($T178&lt;24,pcomp_s,palt_s),MATCH($X178,IF($T178&lt;24,pcomp_k,palt_k),1)),""))</f>
        <v/>
      </c>
      <c r="AU178">
        <f>IF($AR178="","",IF($AR178=0,LN($F178/$AS178)/$AT178,((($F178/$AS178)^$AR178)-1)/($AR178*$AT178)))</f>
        <v/>
      </c>
      <c r="AV178">
        <f>IF($AR178="","",IF($AR178=0,$AS178*EXP($AT178*2),$AS178*(1+$AR178*$AT178*2)^(1/$AR178)))</f>
        <v/>
      </c>
      <c r="AW178">
        <f>IF($AR178="","",IF($AR178=0,$AS178*EXP($AT178*3),$AS178*(1+$AR178*$AT178*3)^(1/$AR178)))</f>
        <v/>
      </c>
      <c r="AX178">
        <f>IF($AR178="","",IF($AR178=0,$AS178*EXP($AT178*-2),$AS178*(1+$AR178*$AT178*-2)^(1/$AR178)))</f>
        <v/>
      </c>
      <c r="AY178">
        <f>IF($AR178="","",IF($AR178=0,$AS178*EXP($AT178*-3),$AS178*(1+$AR178*$AT178*-3)^(1/$AR178)))</f>
        <v/>
      </c>
      <c r="AZ178">
        <f>IF(OR($A178="",$A178&lt;&gt;Ficha!$C$4),"",COUNTIF($A$2:$A178,Ficha!$C$4))</f>
        <v/>
      </c>
    </row>
    <row r="179">
      <c r="A179" s="8">
        <f>IF(INDEX(Banco!$A:$A,ROW())="","",INDEX(Banco!$A:$A,ROW()))</f>
        <v/>
      </c>
      <c r="B179" s="8">
        <f>IF(INDEX(Banco!$B:$B,ROW())="","",INDEX(Banco!$B:$B,ROW()))</f>
        <v/>
      </c>
      <c r="C179" s="8">
        <f>IF(INDEX(Banco!$C:$C,ROW())="","",INDEX(Banco!$C:$C,ROW()))</f>
        <v/>
      </c>
      <c r="D179" s="9">
        <f>IF(INDEX(Banco!$D:$D,ROW())="","",INDEX(Banco!$D:$D,ROW()))</f>
        <v/>
      </c>
      <c r="E179" s="9">
        <f>IF(INDEX(Banco!$E:$E,ROW())="","",INDEX(Banco!$E:$E,ROW()))</f>
        <v/>
      </c>
      <c r="F179" s="10">
        <f>IF(INDEX(Banco!$F:$F,ROW())="","",INDEX(Banco!$F:$F,ROW()))</f>
        <v/>
      </c>
      <c r="G179" s="10">
        <f>IF(INDEX(Banco!$G:$G,ROW())="","",INDEX(Banco!$G:$G,ROW()))</f>
        <v/>
      </c>
      <c r="H179" s="8">
        <f>IF(INDEX(Banco!$H:$H,ROW())="","",INDEX(Banco!$H:$H,ROW()))</f>
        <v/>
      </c>
      <c r="I179">
        <f>IF($T179="","",INT($T179/12)&amp;"a "&amp;MOD($T179,12)&amp;"m")</f>
        <v/>
      </c>
      <c r="J179" s="11">
        <f>IF(OR($F179="",$G179=""),"",ROUND($F179/($G179/100)^2,2))</f>
        <v/>
      </c>
      <c r="K179" s="12">
        <f>IF(OR($S179="",$J179="",$T179="",$T179&lt;0,$T179&gt;228,$Y179=""),"—",ROUND(IF(ABS($AB179)&lt;=3,$AB179,IF($AB179&gt;3,3+($J179-$AD179)/($AD179-$AC179),-3+($J179-$AF179)/($AE179-$AF179))),2))</f>
        <v/>
      </c>
      <c r="L179">
        <f>IF(OR($K179="",$K179="—"),"",IF($T179&lt;=60,IF($K179&lt;-3,"Magreza acentuada",IF($K179&lt;-2,"Magreza",IF($K179&lt;=1,"Eutrofia",IF($K179&lt;=2,"Risco de sobrepeso",IF($K179&lt;=3,"Sobrepeso","Obesidade"))))),IF($K179&lt;-3,"Magreza acentuada",IF($K179&lt;-2,"Magreza",IF($K179&lt;=1,"Eutrofia",IF($K179&lt;=2,"Sobrepeso",IF($K179&lt;=3,"Obesidade","Obesidade grave")))))))</f>
        <v/>
      </c>
      <c r="M179" s="12">
        <f>IF(OR($S179="",$V179="",$T179="",$T179&lt;0,$T179&gt;228,$AG179=""),"—",ROUND(IF($AG179=0,LN($V179/$AH179)/$AI179,((($V179/$AH179)^$AG179)-1)/($AG179*$AI179)),2))</f>
        <v/>
      </c>
      <c r="N179">
        <f>IF(OR($M179="",$M179="—"),"",IF($M179&lt;-3,"Muito baixa",IF($M179&lt;-2,"Baixa","Adequada")))</f>
        <v/>
      </c>
      <c r="O179" s="12">
        <f>IF(OR($S179="",$F179="",$T179="",$T179&lt;0,$T179&gt;120,$AJ179=""),"—",ROUND(IF(ABS($AM179)&lt;=3,$AM179,IF($AM179&gt;3,3+($F179-$AO179)/($AO179-$AN179),-3+($F179-$AQ179)/($AP179-$AQ179))),2))</f>
        <v/>
      </c>
      <c r="P179">
        <f>IF(OR($O179="",$O179="—"),"",IF($O179&lt;-3,"Muito baixo",IF($O179&lt;-2,"Baixo",IF($O179&lt;=2,"Adequado","Elevado"))))</f>
        <v/>
      </c>
      <c r="Q179" s="12">
        <f>IF(OR($S179="",$F179="",$T179="",$T179&lt;0,$T179&gt;60,$AR179=""),"—",ROUND(IF(ABS($AU179)&lt;=3,$AU179,IF($AU179&gt;3,3+($F179-$AW179)/($AW179-$AV179),-3+($F179-$AY179)/($AX179-$AY179))),2))</f>
        <v/>
      </c>
      <c r="R179">
        <f>IF(OR($Q179="",$Q179="—"),"",IF($Q179&lt;-3,"Magreza acentuada",IF($Q179&lt;-2,"Magreza",IF($Q179&lt;=1,"Eutrofia",IF($Q179&lt;=2,"Risco de sobrepeso",IF($Q179&lt;=3,"Sobrepeso","Obesidade"))))))</f>
        <v/>
      </c>
      <c r="S179">
        <f>IF($C179="","",IF(UPPER(LEFT($C179,1))="M",1,IF(UPPER(LEFT($C179,1))="F",2,"")))</f>
        <v/>
      </c>
      <c r="T179">
        <f>IF(OR($D179="",$E179=""),"",DATEDIF($D179,$E179,"m"))</f>
        <v/>
      </c>
      <c r="U179">
        <f>IF(OR($D179="",$E179=""),"",$E179-$D179)</f>
        <v/>
      </c>
      <c r="V179">
        <f>IF(OR($G179="",$T179=""),"",IF($T179&lt;24,IF(LEFT(LOWER($H179),4)="em p",$G179+0.7,$G179),IF(LEFT(LOWER($H179),4)="deit",$G179-0.7,$G179)))</f>
        <v/>
      </c>
      <c r="W179">
        <f>IF(OR($S179="",$T179=""),"",$S179*1000000+IF($T179&lt;=60,$U179,$T179))</f>
        <v/>
      </c>
      <c r="X179">
        <f>IF(OR($S179="",$V179="",$T179&gt;60,$T179=""),"",$S179*1000000+ROUND($V179*10,0))</f>
        <v/>
      </c>
      <c r="Y179">
        <f>IF($W179="","",IFERROR(INDEX(IF($T179&lt;=60,imc05_l,imc519_l),MATCH($W179,IF($T179&lt;=60,imc05_k,imc519_k),1)),""))</f>
        <v/>
      </c>
      <c r="Z179">
        <f>IF($W179="","",IFERROR(INDEX(IF($T179&lt;=60,imc05_m,imc519_m),MATCH($W179,IF($T179&lt;=60,imc05_k,imc519_k),1)),""))</f>
        <v/>
      </c>
      <c r="AA179">
        <f>IF($W179="","",IFERROR(INDEX(IF($T179&lt;=60,imc05_s,imc519_s),MATCH($W179,IF($T179&lt;=60,imc05_k,imc519_k),1)),""))</f>
        <v/>
      </c>
      <c r="AB179">
        <f>IF($Y179="","",IF($Y179=0,LN($J179/$Z179)/$AA179,((($J179/$Z179)^$Y179)-1)/($Y179*$AA179)))</f>
        <v/>
      </c>
      <c r="AC179">
        <f>IF($Y179="","",IF($Y179=0,$Z179*EXP($AA179*2),$Z179*(1+$Y179*$AA179*2)^(1/$Y179)))</f>
        <v/>
      </c>
      <c r="AD179">
        <f>IF($Y179="","",IF($Y179=0,$Z179*EXP($AA179*3),$Z179*(1+$Y179*$AA179*3)^(1/$Y179)))</f>
        <v/>
      </c>
      <c r="AE179">
        <f>IF($Y179="","",IF($Y179=0,$Z179*EXP($AA179*-2),$Z179*(1+$Y179*$AA179*-2)^(1/$Y179)))</f>
        <v/>
      </c>
      <c r="AF179">
        <f>IF($Y179="","",IF($Y179=0,$Z179*EXP($AA179*-3),$Z179*(1+$Y179*$AA179*-3)^(1/$Y179)))</f>
        <v/>
      </c>
      <c r="AG179">
        <f>IF($W179="","",IFERROR(INDEX(IF($T179&lt;=60,est05_l,est519_l),MATCH($W179,IF($T179&lt;=60,est05_k,est519_k),1)),""))</f>
        <v/>
      </c>
      <c r="AH179">
        <f>IF($W179="","",IFERROR(INDEX(IF($T179&lt;=60,est05_m,est519_m),MATCH($W179,IF($T179&lt;=60,est05_k,est519_k),1)),""))</f>
        <v/>
      </c>
      <c r="AI179">
        <f>IF($W179="","",IFERROR(INDEX(IF($T179&lt;=60,est05_s,est519_s),MATCH($W179,IF($T179&lt;=60,est05_k,est519_k),1)),""))</f>
        <v/>
      </c>
      <c r="AJ179">
        <f>IF($W179="","",IFERROR(INDEX(IF($T179&lt;=60,peso05_l,peso510_l),MATCH($W179,IF($T179&lt;=60,peso05_k,peso510_k),1)),""))</f>
        <v/>
      </c>
      <c r="AK179">
        <f>IF($W179="","",IFERROR(INDEX(IF($T179&lt;=60,peso05_m,peso510_m),MATCH($W179,IF($T179&lt;=60,peso05_k,peso510_k),1)),""))</f>
        <v/>
      </c>
      <c r="AL179">
        <f>IF($W179="","",IFERROR(INDEX(IF($T179&lt;=60,peso05_s,peso510_s),MATCH($W179,IF($T179&lt;=60,peso05_k,peso510_k),1)),""))</f>
        <v/>
      </c>
      <c r="AM179">
        <f>IF($AJ179="","",IF($AJ179=0,LN($F179/$AK179)/$AL179,((($F179/$AK179)^$AJ179)-1)/($AJ179*$AL179)))</f>
        <v/>
      </c>
      <c r="AN179">
        <f>IF($AJ179="","",IF($AJ179=0,$AK179*EXP($AL179*2),$AK179*(1+$AJ179*$AL179*2)^(1/$AJ179)))</f>
        <v/>
      </c>
      <c r="AO179">
        <f>IF($AJ179="","",IF($AJ179=0,$AK179*EXP($AL179*3),$AK179*(1+$AJ179*$AL179*3)^(1/$AJ179)))</f>
        <v/>
      </c>
      <c r="AP179">
        <f>IF($AJ179="","",IF($AJ179=0,$AK179*EXP($AL179*-2),$AK179*(1+$AJ179*$AL179*-2)^(1/$AJ179)))</f>
        <v/>
      </c>
      <c r="AQ179">
        <f>IF($AJ179="","",IF($AJ179=0,$AK179*EXP($AL179*-3),$AK179*(1+$AJ179*$AL179*-3)^(1/$AJ179)))</f>
        <v/>
      </c>
      <c r="AR179">
        <f>IF(OR($X179="",$T179&gt;60),"",IFERROR(INDEX(IF($T179&lt;24,pcomp_l,palt_l),MATCH($X179,IF($T179&lt;24,pcomp_k,palt_k),1)),""))</f>
        <v/>
      </c>
      <c r="AS179">
        <f>IF(OR($X179="",$T179&gt;60),"",IFERROR(INDEX(IF($T179&lt;24,pcomp_m,palt_m),MATCH($X179,IF($T179&lt;24,pcomp_k,palt_k),1)),""))</f>
        <v/>
      </c>
      <c r="AT179">
        <f>IF(OR($X179="",$T179&gt;60),"",IFERROR(INDEX(IF($T179&lt;24,pcomp_s,palt_s),MATCH($X179,IF($T179&lt;24,pcomp_k,palt_k),1)),""))</f>
        <v/>
      </c>
      <c r="AU179">
        <f>IF($AR179="","",IF($AR179=0,LN($F179/$AS179)/$AT179,((($F179/$AS179)^$AR179)-1)/($AR179*$AT179)))</f>
        <v/>
      </c>
      <c r="AV179">
        <f>IF($AR179="","",IF($AR179=0,$AS179*EXP($AT179*2),$AS179*(1+$AR179*$AT179*2)^(1/$AR179)))</f>
        <v/>
      </c>
      <c r="AW179">
        <f>IF($AR179="","",IF($AR179=0,$AS179*EXP($AT179*3),$AS179*(1+$AR179*$AT179*3)^(1/$AR179)))</f>
        <v/>
      </c>
      <c r="AX179">
        <f>IF($AR179="","",IF($AR179=0,$AS179*EXP($AT179*-2),$AS179*(1+$AR179*$AT179*-2)^(1/$AR179)))</f>
        <v/>
      </c>
      <c r="AY179">
        <f>IF($AR179="","",IF($AR179=0,$AS179*EXP($AT179*-3),$AS179*(1+$AR179*$AT179*-3)^(1/$AR179)))</f>
        <v/>
      </c>
      <c r="AZ179">
        <f>IF(OR($A179="",$A179&lt;&gt;Ficha!$C$4),"",COUNTIF($A$2:$A179,Ficha!$C$4))</f>
        <v/>
      </c>
    </row>
    <row r="180">
      <c r="A180" s="8">
        <f>IF(INDEX(Banco!$A:$A,ROW())="","",INDEX(Banco!$A:$A,ROW()))</f>
        <v/>
      </c>
      <c r="B180" s="8">
        <f>IF(INDEX(Banco!$B:$B,ROW())="","",INDEX(Banco!$B:$B,ROW()))</f>
        <v/>
      </c>
      <c r="C180" s="8">
        <f>IF(INDEX(Banco!$C:$C,ROW())="","",INDEX(Banco!$C:$C,ROW()))</f>
        <v/>
      </c>
      <c r="D180" s="9">
        <f>IF(INDEX(Banco!$D:$D,ROW())="","",INDEX(Banco!$D:$D,ROW()))</f>
        <v/>
      </c>
      <c r="E180" s="9">
        <f>IF(INDEX(Banco!$E:$E,ROW())="","",INDEX(Banco!$E:$E,ROW()))</f>
        <v/>
      </c>
      <c r="F180" s="10">
        <f>IF(INDEX(Banco!$F:$F,ROW())="","",INDEX(Banco!$F:$F,ROW()))</f>
        <v/>
      </c>
      <c r="G180" s="10">
        <f>IF(INDEX(Banco!$G:$G,ROW())="","",INDEX(Banco!$G:$G,ROW()))</f>
        <v/>
      </c>
      <c r="H180" s="8">
        <f>IF(INDEX(Banco!$H:$H,ROW())="","",INDEX(Banco!$H:$H,ROW()))</f>
        <v/>
      </c>
      <c r="I180">
        <f>IF($T180="","",INT($T180/12)&amp;"a "&amp;MOD($T180,12)&amp;"m")</f>
        <v/>
      </c>
      <c r="J180" s="11">
        <f>IF(OR($F180="",$G180=""),"",ROUND($F180/($G180/100)^2,2))</f>
        <v/>
      </c>
      <c r="K180" s="12">
        <f>IF(OR($S180="",$J180="",$T180="",$T180&lt;0,$T180&gt;228,$Y180=""),"—",ROUND(IF(ABS($AB180)&lt;=3,$AB180,IF($AB180&gt;3,3+($J180-$AD180)/($AD180-$AC180),-3+($J180-$AF180)/($AE180-$AF180))),2))</f>
        <v/>
      </c>
      <c r="L180">
        <f>IF(OR($K180="",$K180="—"),"",IF($T180&lt;=60,IF($K180&lt;-3,"Magreza acentuada",IF($K180&lt;-2,"Magreza",IF($K180&lt;=1,"Eutrofia",IF($K180&lt;=2,"Risco de sobrepeso",IF($K180&lt;=3,"Sobrepeso","Obesidade"))))),IF($K180&lt;-3,"Magreza acentuada",IF($K180&lt;-2,"Magreza",IF($K180&lt;=1,"Eutrofia",IF($K180&lt;=2,"Sobrepeso",IF($K180&lt;=3,"Obesidade","Obesidade grave")))))))</f>
        <v/>
      </c>
      <c r="M180" s="12">
        <f>IF(OR($S180="",$V180="",$T180="",$T180&lt;0,$T180&gt;228,$AG180=""),"—",ROUND(IF($AG180=0,LN($V180/$AH180)/$AI180,((($V180/$AH180)^$AG180)-1)/($AG180*$AI180)),2))</f>
        <v/>
      </c>
      <c r="N180">
        <f>IF(OR($M180="",$M180="—"),"",IF($M180&lt;-3,"Muito baixa",IF($M180&lt;-2,"Baixa","Adequada")))</f>
        <v/>
      </c>
      <c r="O180" s="12">
        <f>IF(OR($S180="",$F180="",$T180="",$T180&lt;0,$T180&gt;120,$AJ180=""),"—",ROUND(IF(ABS($AM180)&lt;=3,$AM180,IF($AM180&gt;3,3+($F180-$AO180)/($AO180-$AN180),-3+($F180-$AQ180)/($AP180-$AQ180))),2))</f>
        <v/>
      </c>
      <c r="P180">
        <f>IF(OR($O180="",$O180="—"),"",IF($O180&lt;-3,"Muito baixo",IF($O180&lt;-2,"Baixo",IF($O180&lt;=2,"Adequado","Elevado"))))</f>
        <v/>
      </c>
      <c r="Q180" s="12">
        <f>IF(OR($S180="",$F180="",$T180="",$T180&lt;0,$T180&gt;60,$AR180=""),"—",ROUND(IF(ABS($AU180)&lt;=3,$AU180,IF($AU180&gt;3,3+($F180-$AW180)/($AW180-$AV180),-3+($F180-$AY180)/($AX180-$AY180))),2))</f>
        <v/>
      </c>
      <c r="R180">
        <f>IF(OR($Q180="",$Q180="—"),"",IF($Q180&lt;-3,"Magreza acentuada",IF($Q180&lt;-2,"Magreza",IF($Q180&lt;=1,"Eutrofia",IF($Q180&lt;=2,"Risco de sobrepeso",IF($Q180&lt;=3,"Sobrepeso","Obesidade"))))))</f>
        <v/>
      </c>
      <c r="S180">
        <f>IF($C180="","",IF(UPPER(LEFT($C180,1))="M",1,IF(UPPER(LEFT($C180,1))="F",2,"")))</f>
        <v/>
      </c>
      <c r="T180">
        <f>IF(OR($D180="",$E180=""),"",DATEDIF($D180,$E180,"m"))</f>
        <v/>
      </c>
      <c r="U180">
        <f>IF(OR($D180="",$E180=""),"",$E180-$D180)</f>
        <v/>
      </c>
      <c r="V180">
        <f>IF(OR($G180="",$T180=""),"",IF($T180&lt;24,IF(LEFT(LOWER($H180),4)="em p",$G180+0.7,$G180),IF(LEFT(LOWER($H180),4)="deit",$G180-0.7,$G180)))</f>
        <v/>
      </c>
      <c r="W180">
        <f>IF(OR($S180="",$T180=""),"",$S180*1000000+IF($T180&lt;=60,$U180,$T180))</f>
        <v/>
      </c>
      <c r="X180">
        <f>IF(OR($S180="",$V180="",$T180&gt;60,$T180=""),"",$S180*1000000+ROUND($V180*10,0))</f>
        <v/>
      </c>
      <c r="Y180">
        <f>IF($W180="","",IFERROR(INDEX(IF($T180&lt;=60,imc05_l,imc519_l),MATCH($W180,IF($T180&lt;=60,imc05_k,imc519_k),1)),""))</f>
        <v/>
      </c>
      <c r="Z180">
        <f>IF($W180="","",IFERROR(INDEX(IF($T180&lt;=60,imc05_m,imc519_m),MATCH($W180,IF($T180&lt;=60,imc05_k,imc519_k),1)),""))</f>
        <v/>
      </c>
      <c r="AA180">
        <f>IF($W180="","",IFERROR(INDEX(IF($T180&lt;=60,imc05_s,imc519_s),MATCH($W180,IF($T180&lt;=60,imc05_k,imc519_k),1)),""))</f>
        <v/>
      </c>
      <c r="AB180">
        <f>IF($Y180="","",IF($Y180=0,LN($J180/$Z180)/$AA180,((($J180/$Z180)^$Y180)-1)/($Y180*$AA180)))</f>
        <v/>
      </c>
      <c r="AC180">
        <f>IF($Y180="","",IF($Y180=0,$Z180*EXP($AA180*2),$Z180*(1+$Y180*$AA180*2)^(1/$Y180)))</f>
        <v/>
      </c>
      <c r="AD180">
        <f>IF($Y180="","",IF($Y180=0,$Z180*EXP($AA180*3),$Z180*(1+$Y180*$AA180*3)^(1/$Y180)))</f>
        <v/>
      </c>
      <c r="AE180">
        <f>IF($Y180="","",IF($Y180=0,$Z180*EXP($AA180*-2),$Z180*(1+$Y180*$AA180*-2)^(1/$Y180)))</f>
        <v/>
      </c>
      <c r="AF180">
        <f>IF($Y180="","",IF($Y180=0,$Z180*EXP($AA180*-3),$Z180*(1+$Y180*$AA180*-3)^(1/$Y180)))</f>
        <v/>
      </c>
      <c r="AG180">
        <f>IF($W180="","",IFERROR(INDEX(IF($T180&lt;=60,est05_l,est519_l),MATCH($W180,IF($T180&lt;=60,est05_k,est519_k),1)),""))</f>
        <v/>
      </c>
      <c r="AH180">
        <f>IF($W180="","",IFERROR(INDEX(IF($T180&lt;=60,est05_m,est519_m),MATCH($W180,IF($T180&lt;=60,est05_k,est519_k),1)),""))</f>
        <v/>
      </c>
      <c r="AI180">
        <f>IF($W180="","",IFERROR(INDEX(IF($T180&lt;=60,est05_s,est519_s),MATCH($W180,IF($T180&lt;=60,est05_k,est519_k),1)),""))</f>
        <v/>
      </c>
      <c r="AJ180">
        <f>IF($W180="","",IFERROR(INDEX(IF($T180&lt;=60,peso05_l,peso510_l),MATCH($W180,IF($T180&lt;=60,peso05_k,peso510_k),1)),""))</f>
        <v/>
      </c>
      <c r="AK180">
        <f>IF($W180="","",IFERROR(INDEX(IF($T180&lt;=60,peso05_m,peso510_m),MATCH($W180,IF($T180&lt;=60,peso05_k,peso510_k),1)),""))</f>
        <v/>
      </c>
      <c r="AL180">
        <f>IF($W180="","",IFERROR(INDEX(IF($T180&lt;=60,peso05_s,peso510_s),MATCH($W180,IF($T180&lt;=60,peso05_k,peso510_k),1)),""))</f>
        <v/>
      </c>
      <c r="AM180">
        <f>IF($AJ180="","",IF($AJ180=0,LN($F180/$AK180)/$AL180,((($F180/$AK180)^$AJ180)-1)/($AJ180*$AL180)))</f>
        <v/>
      </c>
      <c r="AN180">
        <f>IF($AJ180="","",IF($AJ180=0,$AK180*EXP($AL180*2),$AK180*(1+$AJ180*$AL180*2)^(1/$AJ180)))</f>
        <v/>
      </c>
      <c r="AO180">
        <f>IF($AJ180="","",IF($AJ180=0,$AK180*EXP($AL180*3),$AK180*(1+$AJ180*$AL180*3)^(1/$AJ180)))</f>
        <v/>
      </c>
      <c r="AP180">
        <f>IF($AJ180="","",IF($AJ180=0,$AK180*EXP($AL180*-2),$AK180*(1+$AJ180*$AL180*-2)^(1/$AJ180)))</f>
        <v/>
      </c>
      <c r="AQ180">
        <f>IF($AJ180="","",IF($AJ180=0,$AK180*EXP($AL180*-3),$AK180*(1+$AJ180*$AL180*-3)^(1/$AJ180)))</f>
        <v/>
      </c>
      <c r="AR180">
        <f>IF(OR($X180="",$T180&gt;60),"",IFERROR(INDEX(IF($T180&lt;24,pcomp_l,palt_l),MATCH($X180,IF($T180&lt;24,pcomp_k,palt_k),1)),""))</f>
        <v/>
      </c>
      <c r="AS180">
        <f>IF(OR($X180="",$T180&gt;60),"",IFERROR(INDEX(IF($T180&lt;24,pcomp_m,palt_m),MATCH($X180,IF($T180&lt;24,pcomp_k,palt_k),1)),""))</f>
        <v/>
      </c>
      <c r="AT180">
        <f>IF(OR($X180="",$T180&gt;60),"",IFERROR(INDEX(IF($T180&lt;24,pcomp_s,palt_s),MATCH($X180,IF($T180&lt;24,pcomp_k,palt_k),1)),""))</f>
        <v/>
      </c>
      <c r="AU180">
        <f>IF($AR180="","",IF($AR180=0,LN($F180/$AS180)/$AT180,((($F180/$AS180)^$AR180)-1)/($AR180*$AT180)))</f>
        <v/>
      </c>
      <c r="AV180">
        <f>IF($AR180="","",IF($AR180=0,$AS180*EXP($AT180*2),$AS180*(1+$AR180*$AT180*2)^(1/$AR180)))</f>
        <v/>
      </c>
      <c r="AW180">
        <f>IF($AR180="","",IF($AR180=0,$AS180*EXP($AT180*3),$AS180*(1+$AR180*$AT180*3)^(1/$AR180)))</f>
        <v/>
      </c>
      <c r="AX180">
        <f>IF($AR180="","",IF($AR180=0,$AS180*EXP($AT180*-2),$AS180*(1+$AR180*$AT180*-2)^(1/$AR180)))</f>
        <v/>
      </c>
      <c r="AY180">
        <f>IF($AR180="","",IF($AR180=0,$AS180*EXP($AT180*-3),$AS180*(1+$AR180*$AT180*-3)^(1/$AR180)))</f>
        <v/>
      </c>
      <c r="AZ180">
        <f>IF(OR($A180="",$A180&lt;&gt;Ficha!$C$4),"",COUNTIF($A$2:$A180,Ficha!$C$4))</f>
        <v/>
      </c>
    </row>
    <row r="181">
      <c r="A181" s="8">
        <f>IF(INDEX(Banco!$A:$A,ROW())="","",INDEX(Banco!$A:$A,ROW()))</f>
        <v/>
      </c>
      <c r="B181" s="8">
        <f>IF(INDEX(Banco!$B:$B,ROW())="","",INDEX(Banco!$B:$B,ROW()))</f>
        <v/>
      </c>
      <c r="C181" s="8">
        <f>IF(INDEX(Banco!$C:$C,ROW())="","",INDEX(Banco!$C:$C,ROW()))</f>
        <v/>
      </c>
      <c r="D181" s="9">
        <f>IF(INDEX(Banco!$D:$D,ROW())="","",INDEX(Banco!$D:$D,ROW()))</f>
        <v/>
      </c>
      <c r="E181" s="9">
        <f>IF(INDEX(Banco!$E:$E,ROW())="","",INDEX(Banco!$E:$E,ROW()))</f>
        <v/>
      </c>
      <c r="F181" s="10">
        <f>IF(INDEX(Banco!$F:$F,ROW())="","",INDEX(Banco!$F:$F,ROW()))</f>
        <v/>
      </c>
      <c r="G181" s="10">
        <f>IF(INDEX(Banco!$G:$G,ROW())="","",INDEX(Banco!$G:$G,ROW()))</f>
        <v/>
      </c>
      <c r="H181" s="8">
        <f>IF(INDEX(Banco!$H:$H,ROW())="","",INDEX(Banco!$H:$H,ROW()))</f>
        <v/>
      </c>
      <c r="I181">
        <f>IF($T181="","",INT($T181/12)&amp;"a "&amp;MOD($T181,12)&amp;"m")</f>
        <v/>
      </c>
      <c r="J181" s="11">
        <f>IF(OR($F181="",$G181=""),"",ROUND($F181/($G181/100)^2,2))</f>
        <v/>
      </c>
      <c r="K181" s="12">
        <f>IF(OR($S181="",$J181="",$T181="",$T181&lt;0,$T181&gt;228,$Y181=""),"—",ROUND(IF(ABS($AB181)&lt;=3,$AB181,IF($AB181&gt;3,3+($J181-$AD181)/($AD181-$AC181),-3+($J181-$AF181)/($AE181-$AF181))),2))</f>
        <v/>
      </c>
      <c r="L181">
        <f>IF(OR($K181="",$K181="—"),"",IF($T181&lt;=60,IF($K181&lt;-3,"Magreza acentuada",IF($K181&lt;-2,"Magreza",IF($K181&lt;=1,"Eutrofia",IF($K181&lt;=2,"Risco de sobrepeso",IF($K181&lt;=3,"Sobrepeso","Obesidade"))))),IF($K181&lt;-3,"Magreza acentuada",IF($K181&lt;-2,"Magreza",IF($K181&lt;=1,"Eutrofia",IF($K181&lt;=2,"Sobrepeso",IF($K181&lt;=3,"Obesidade","Obesidade grave")))))))</f>
        <v/>
      </c>
      <c r="M181" s="12">
        <f>IF(OR($S181="",$V181="",$T181="",$T181&lt;0,$T181&gt;228,$AG181=""),"—",ROUND(IF($AG181=0,LN($V181/$AH181)/$AI181,((($V181/$AH181)^$AG181)-1)/($AG181*$AI181)),2))</f>
        <v/>
      </c>
      <c r="N181">
        <f>IF(OR($M181="",$M181="—"),"",IF($M181&lt;-3,"Muito baixa",IF($M181&lt;-2,"Baixa","Adequada")))</f>
        <v/>
      </c>
      <c r="O181" s="12">
        <f>IF(OR($S181="",$F181="",$T181="",$T181&lt;0,$T181&gt;120,$AJ181=""),"—",ROUND(IF(ABS($AM181)&lt;=3,$AM181,IF($AM181&gt;3,3+($F181-$AO181)/($AO181-$AN181),-3+($F181-$AQ181)/($AP181-$AQ181))),2))</f>
        <v/>
      </c>
      <c r="P181">
        <f>IF(OR($O181="",$O181="—"),"",IF($O181&lt;-3,"Muito baixo",IF($O181&lt;-2,"Baixo",IF($O181&lt;=2,"Adequado","Elevado"))))</f>
        <v/>
      </c>
      <c r="Q181" s="12">
        <f>IF(OR($S181="",$F181="",$T181="",$T181&lt;0,$T181&gt;60,$AR181=""),"—",ROUND(IF(ABS($AU181)&lt;=3,$AU181,IF($AU181&gt;3,3+($F181-$AW181)/($AW181-$AV181),-3+($F181-$AY181)/($AX181-$AY181))),2))</f>
        <v/>
      </c>
      <c r="R181">
        <f>IF(OR($Q181="",$Q181="—"),"",IF($Q181&lt;-3,"Magreza acentuada",IF($Q181&lt;-2,"Magreza",IF($Q181&lt;=1,"Eutrofia",IF($Q181&lt;=2,"Risco de sobrepeso",IF($Q181&lt;=3,"Sobrepeso","Obesidade"))))))</f>
        <v/>
      </c>
      <c r="S181">
        <f>IF($C181="","",IF(UPPER(LEFT($C181,1))="M",1,IF(UPPER(LEFT($C181,1))="F",2,"")))</f>
        <v/>
      </c>
      <c r="T181">
        <f>IF(OR($D181="",$E181=""),"",DATEDIF($D181,$E181,"m"))</f>
        <v/>
      </c>
      <c r="U181">
        <f>IF(OR($D181="",$E181=""),"",$E181-$D181)</f>
        <v/>
      </c>
      <c r="V181">
        <f>IF(OR($G181="",$T181=""),"",IF($T181&lt;24,IF(LEFT(LOWER($H181),4)="em p",$G181+0.7,$G181),IF(LEFT(LOWER($H181),4)="deit",$G181-0.7,$G181)))</f>
        <v/>
      </c>
      <c r="W181">
        <f>IF(OR($S181="",$T181=""),"",$S181*1000000+IF($T181&lt;=60,$U181,$T181))</f>
        <v/>
      </c>
      <c r="X181">
        <f>IF(OR($S181="",$V181="",$T181&gt;60,$T181=""),"",$S181*1000000+ROUND($V181*10,0))</f>
        <v/>
      </c>
      <c r="Y181">
        <f>IF($W181="","",IFERROR(INDEX(IF($T181&lt;=60,imc05_l,imc519_l),MATCH($W181,IF($T181&lt;=60,imc05_k,imc519_k),1)),""))</f>
        <v/>
      </c>
      <c r="Z181">
        <f>IF($W181="","",IFERROR(INDEX(IF($T181&lt;=60,imc05_m,imc519_m),MATCH($W181,IF($T181&lt;=60,imc05_k,imc519_k),1)),""))</f>
        <v/>
      </c>
      <c r="AA181">
        <f>IF($W181="","",IFERROR(INDEX(IF($T181&lt;=60,imc05_s,imc519_s),MATCH($W181,IF($T181&lt;=60,imc05_k,imc519_k),1)),""))</f>
        <v/>
      </c>
      <c r="AB181">
        <f>IF($Y181="","",IF($Y181=0,LN($J181/$Z181)/$AA181,((($J181/$Z181)^$Y181)-1)/($Y181*$AA181)))</f>
        <v/>
      </c>
      <c r="AC181">
        <f>IF($Y181="","",IF($Y181=0,$Z181*EXP($AA181*2),$Z181*(1+$Y181*$AA181*2)^(1/$Y181)))</f>
        <v/>
      </c>
      <c r="AD181">
        <f>IF($Y181="","",IF($Y181=0,$Z181*EXP($AA181*3),$Z181*(1+$Y181*$AA181*3)^(1/$Y181)))</f>
        <v/>
      </c>
      <c r="AE181">
        <f>IF($Y181="","",IF($Y181=0,$Z181*EXP($AA181*-2),$Z181*(1+$Y181*$AA181*-2)^(1/$Y181)))</f>
        <v/>
      </c>
      <c r="AF181">
        <f>IF($Y181="","",IF($Y181=0,$Z181*EXP($AA181*-3),$Z181*(1+$Y181*$AA181*-3)^(1/$Y181)))</f>
        <v/>
      </c>
      <c r="AG181">
        <f>IF($W181="","",IFERROR(INDEX(IF($T181&lt;=60,est05_l,est519_l),MATCH($W181,IF($T181&lt;=60,est05_k,est519_k),1)),""))</f>
        <v/>
      </c>
      <c r="AH181">
        <f>IF($W181="","",IFERROR(INDEX(IF($T181&lt;=60,est05_m,est519_m),MATCH($W181,IF($T181&lt;=60,est05_k,est519_k),1)),""))</f>
        <v/>
      </c>
      <c r="AI181">
        <f>IF($W181="","",IFERROR(INDEX(IF($T181&lt;=60,est05_s,est519_s),MATCH($W181,IF($T181&lt;=60,est05_k,est519_k),1)),""))</f>
        <v/>
      </c>
      <c r="AJ181">
        <f>IF($W181="","",IFERROR(INDEX(IF($T181&lt;=60,peso05_l,peso510_l),MATCH($W181,IF($T181&lt;=60,peso05_k,peso510_k),1)),""))</f>
        <v/>
      </c>
      <c r="AK181">
        <f>IF($W181="","",IFERROR(INDEX(IF($T181&lt;=60,peso05_m,peso510_m),MATCH($W181,IF($T181&lt;=60,peso05_k,peso510_k),1)),""))</f>
        <v/>
      </c>
      <c r="AL181">
        <f>IF($W181="","",IFERROR(INDEX(IF($T181&lt;=60,peso05_s,peso510_s),MATCH($W181,IF($T181&lt;=60,peso05_k,peso510_k),1)),""))</f>
        <v/>
      </c>
      <c r="AM181">
        <f>IF($AJ181="","",IF($AJ181=0,LN($F181/$AK181)/$AL181,((($F181/$AK181)^$AJ181)-1)/($AJ181*$AL181)))</f>
        <v/>
      </c>
      <c r="AN181">
        <f>IF($AJ181="","",IF($AJ181=0,$AK181*EXP($AL181*2),$AK181*(1+$AJ181*$AL181*2)^(1/$AJ181)))</f>
        <v/>
      </c>
      <c r="AO181">
        <f>IF($AJ181="","",IF($AJ181=0,$AK181*EXP($AL181*3),$AK181*(1+$AJ181*$AL181*3)^(1/$AJ181)))</f>
        <v/>
      </c>
      <c r="AP181">
        <f>IF($AJ181="","",IF($AJ181=0,$AK181*EXP($AL181*-2),$AK181*(1+$AJ181*$AL181*-2)^(1/$AJ181)))</f>
        <v/>
      </c>
      <c r="AQ181">
        <f>IF($AJ181="","",IF($AJ181=0,$AK181*EXP($AL181*-3),$AK181*(1+$AJ181*$AL181*-3)^(1/$AJ181)))</f>
        <v/>
      </c>
      <c r="AR181">
        <f>IF(OR($X181="",$T181&gt;60),"",IFERROR(INDEX(IF($T181&lt;24,pcomp_l,palt_l),MATCH($X181,IF($T181&lt;24,pcomp_k,palt_k),1)),""))</f>
        <v/>
      </c>
      <c r="AS181">
        <f>IF(OR($X181="",$T181&gt;60),"",IFERROR(INDEX(IF($T181&lt;24,pcomp_m,palt_m),MATCH($X181,IF($T181&lt;24,pcomp_k,palt_k),1)),""))</f>
        <v/>
      </c>
      <c r="AT181">
        <f>IF(OR($X181="",$T181&gt;60),"",IFERROR(INDEX(IF($T181&lt;24,pcomp_s,palt_s),MATCH($X181,IF($T181&lt;24,pcomp_k,palt_k),1)),""))</f>
        <v/>
      </c>
      <c r="AU181">
        <f>IF($AR181="","",IF($AR181=0,LN($F181/$AS181)/$AT181,((($F181/$AS181)^$AR181)-1)/($AR181*$AT181)))</f>
        <v/>
      </c>
      <c r="AV181">
        <f>IF($AR181="","",IF($AR181=0,$AS181*EXP($AT181*2),$AS181*(1+$AR181*$AT181*2)^(1/$AR181)))</f>
        <v/>
      </c>
      <c r="AW181">
        <f>IF($AR181="","",IF($AR181=0,$AS181*EXP($AT181*3),$AS181*(1+$AR181*$AT181*3)^(1/$AR181)))</f>
        <v/>
      </c>
      <c r="AX181">
        <f>IF($AR181="","",IF($AR181=0,$AS181*EXP($AT181*-2),$AS181*(1+$AR181*$AT181*-2)^(1/$AR181)))</f>
        <v/>
      </c>
      <c r="AY181">
        <f>IF($AR181="","",IF($AR181=0,$AS181*EXP($AT181*-3),$AS181*(1+$AR181*$AT181*-3)^(1/$AR181)))</f>
        <v/>
      </c>
      <c r="AZ181">
        <f>IF(OR($A181="",$A181&lt;&gt;Ficha!$C$4),"",COUNTIF($A$2:$A181,Ficha!$C$4))</f>
        <v/>
      </c>
    </row>
    <row r="182">
      <c r="A182" s="8">
        <f>IF(INDEX(Banco!$A:$A,ROW())="","",INDEX(Banco!$A:$A,ROW()))</f>
        <v/>
      </c>
      <c r="B182" s="8">
        <f>IF(INDEX(Banco!$B:$B,ROW())="","",INDEX(Banco!$B:$B,ROW()))</f>
        <v/>
      </c>
      <c r="C182" s="8">
        <f>IF(INDEX(Banco!$C:$C,ROW())="","",INDEX(Banco!$C:$C,ROW()))</f>
        <v/>
      </c>
      <c r="D182" s="9">
        <f>IF(INDEX(Banco!$D:$D,ROW())="","",INDEX(Banco!$D:$D,ROW()))</f>
        <v/>
      </c>
      <c r="E182" s="9">
        <f>IF(INDEX(Banco!$E:$E,ROW())="","",INDEX(Banco!$E:$E,ROW()))</f>
        <v/>
      </c>
      <c r="F182" s="10">
        <f>IF(INDEX(Banco!$F:$F,ROW())="","",INDEX(Banco!$F:$F,ROW()))</f>
        <v/>
      </c>
      <c r="G182" s="10">
        <f>IF(INDEX(Banco!$G:$G,ROW())="","",INDEX(Banco!$G:$G,ROW()))</f>
        <v/>
      </c>
      <c r="H182" s="8">
        <f>IF(INDEX(Banco!$H:$H,ROW())="","",INDEX(Banco!$H:$H,ROW()))</f>
        <v/>
      </c>
      <c r="I182">
        <f>IF($T182="","",INT($T182/12)&amp;"a "&amp;MOD($T182,12)&amp;"m")</f>
        <v/>
      </c>
      <c r="J182" s="11">
        <f>IF(OR($F182="",$G182=""),"",ROUND($F182/($G182/100)^2,2))</f>
        <v/>
      </c>
      <c r="K182" s="12">
        <f>IF(OR($S182="",$J182="",$T182="",$T182&lt;0,$T182&gt;228,$Y182=""),"—",ROUND(IF(ABS($AB182)&lt;=3,$AB182,IF($AB182&gt;3,3+($J182-$AD182)/($AD182-$AC182),-3+($J182-$AF182)/($AE182-$AF182))),2))</f>
        <v/>
      </c>
      <c r="L182">
        <f>IF(OR($K182="",$K182="—"),"",IF($T182&lt;=60,IF($K182&lt;-3,"Magreza acentuada",IF($K182&lt;-2,"Magreza",IF($K182&lt;=1,"Eutrofia",IF($K182&lt;=2,"Risco de sobrepeso",IF($K182&lt;=3,"Sobrepeso","Obesidade"))))),IF($K182&lt;-3,"Magreza acentuada",IF($K182&lt;-2,"Magreza",IF($K182&lt;=1,"Eutrofia",IF($K182&lt;=2,"Sobrepeso",IF($K182&lt;=3,"Obesidade","Obesidade grave")))))))</f>
        <v/>
      </c>
      <c r="M182" s="12">
        <f>IF(OR($S182="",$V182="",$T182="",$T182&lt;0,$T182&gt;228,$AG182=""),"—",ROUND(IF($AG182=0,LN($V182/$AH182)/$AI182,((($V182/$AH182)^$AG182)-1)/($AG182*$AI182)),2))</f>
        <v/>
      </c>
      <c r="N182">
        <f>IF(OR($M182="",$M182="—"),"",IF($M182&lt;-3,"Muito baixa",IF($M182&lt;-2,"Baixa","Adequada")))</f>
        <v/>
      </c>
      <c r="O182" s="12">
        <f>IF(OR($S182="",$F182="",$T182="",$T182&lt;0,$T182&gt;120,$AJ182=""),"—",ROUND(IF(ABS($AM182)&lt;=3,$AM182,IF($AM182&gt;3,3+($F182-$AO182)/($AO182-$AN182),-3+($F182-$AQ182)/($AP182-$AQ182))),2))</f>
        <v/>
      </c>
      <c r="P182">
        <f>IF(OR($O182="",$O182="—"),"",IF($O182&lt;-3,"Muito baixo",IF($O182&lt;-2,"Baixo",IF($O182&lt;=2,"Adequado","Elevado"))))</f>
        <v/>
      </c>
      <c r="Q182" s="12">
        <f>IF(OR($S182="",$F182="",$T182="",$T182&lt;0,$T182&gt;60,$AR182=""),"—",ROUND(IF(ABS($AU182)&lt;=3,$AU182,IF($AU182&gt;3,3+($F182-$AW182)/($AW182-$AV182),-3+($F182-$AY182)/($AX182-$AY182))),2))</f>
        <v/>
      </c>
      <c r="R182">
        <f>IF(OR($Q182="",$Q182="—"),"",IF($Q182&lt;-3,"Magreza acentuada",IF($Q182&lt;-2,"Magreza",IF($Q182&lt;=1,"Eutrofia",IF($Q182&lt;=2,"Risco de sobrepeso",IF($Q182&lt;=3,"Sobrepeso","Obesidade"))))))</f>
        <v/>
      </c>
      <c r="S182">
        <f>IF($C182="","",IF(UPPER(LEFT($C182,1))="M",1,IF(UPPER(LEFT($C182,1))="F",2,"")))</f>
        <v/>
      </c>
      <c r="T182">
        <f>IF(OR($D182="",$E182=""),"",DATEDIF($D182,$E182,"m"))</f>
        <v/>
      </c>
      <c r="U182">
        <f>IF(OR($D182="",$E182=""),"",$E182-$D182)</f>
        <v/>
      </c>
      <c r="V182">
        <f>IF(OR($G182="",$T182=""),"",IF($T182&lt;24,IF(LEFT(LOWER($H182),4)="em p",$G182+0.7,$G182),IF(LEFT(LOWER($H182),4)="deit",$G182-0.7,$G182)))</f>
        <v/>
      </c>
      <c r="W182">
        <f>IF(OR($S182="",$T182=""),"",$S182*1000000+IF($T182&lt;=60,$U182,$T182))</f>
        <v/>
      </c>
      <c r="X182">
        <f>IF(OR($S182="",$V182="",$T182&gt;60,$T182=""),"",$S182*1000000+ROUND($V182*10,0))</f>
        <v/>
      </c>
      <c r="Y182">
        <f>IF($W182="","",IFERROR(INDEX(IF($T182&lt;=60,imc05_l,imc519_l),MATCH($W182,IF($T182&lt;=60,imc05_k,imc519_k),1)),""))</f>
        <v/>
      </c>
      <c r="Z182">
        <f>IF($W182="","",IFERROR(INDEX(IF($T182&lt;=60,imc05_m,imc519_m),MATCH($W182,IF($T182&lt;=60,imc05_k,imc519_k),1)),""))</f>
        <v/>
      </c>
      <c r="AA182">
        <f>IF($W182="","",IFERROR(INDEX(IF($T182&lt;=60,imc05_s,imc519_s),MATCH($W182,IF($T182&lt;=60,imc05_k,imc519_k),1)),""))</f>
        <v/>
      </c>
      <c r="AB182">
        <f>IF($Y182="","",IF($Y182=0,LN($J182/$Z182)/$AA182,((($J182/$Z182)^$Y182)-1)/($Y182*$AA182)))</f>
        <v/>
      </c>
      <c r="AC182">
        <f>IF($Y182="","",IF($Y182=0,$Z182*EXP($AA182*2),$Z182*(1+$Y182*$AA182*2)^(1/$Y182)))</f>
        <v/>
      </c>
      <c r="AD182">
        <f>IF($Y182="","",IF($Y182=0,$Z182*EXP($AA182*3),$Z182*(1+$Y182*$AA182*3)^(1/$Y182)))</f>
        <v/>
      </c>
      <c r="AE182">
        <f>IF($Y182="","",IF($Y182=0,$Z182*EXP($AA182*-2),$Z182*(1+$Y182*$AA182*-2)^(1/$Y182)))</f>
        <v/>
      </c>
      <c r="AF182">
        <f>IF($Y182="","",IF($Y182=0,$Z182*EXP($AA182*-3),$Z182*(1+$Y182*$AA182*-3)^(1/$Y182)))</f>
        <v/>
      </c>
      <c r="AG182">
        <f>IF($W182="","",IFERROR(INDEX(IF($T182&lt;=60,est05_l,est519_l),MATCH($W182,IF($T182&lt;=60,est05_k,est519_k),1)),""))</f>
        <v/>
      </c>
      <c r="AH182">
        <f>IF($W182="","",IFERROR(INDEX(IF($T182&lt;=60,est05_m,est519_m),MATCH($W182,IF($T182&lt;=60,est05_k,est519_k),1)),""))</f>
        <v/>
      </c>
      <c r="AI182">
        <f>IF($W182="","",IFERROR(INDEX(IF($T182&lt;=60,est05_s,est519_s),MATCH($W182,IF($T182&lt;=60,est05_k,est519_k),1)),""))</f>
        <v/>
      </c>
      <c r="AJ182">
        <f>IF($W182="","",IFERROR(INDEX(IF($T182&lt;=60,peso05_l,peso510_l),MATCH($W182,IF($T182&lt;=60,peso05_k,peso510_k),1)),""))</f>
        <v/>
      </c>
      <c r="AK182">
        <f>IF($W182="","",IFERROR(INDEX(IF($T182&lt;=60,peso05_m,peso510_m),MATCH($W182,IF($T182&lt;=60,peso05_k,peso510_k),1)),""))</f>
        <v/>
      </c>
      <c r="AL182">
        <f>IF($W182="","",IFERROR(INDEX(IF($T182&lt;=60,peso05_s,peso510_s),MATCH($W182,IF($T182&lt;=60,peso05_k,peso510_k),1)),""))</f>
        <v/>
      </c>
      <c r="AM182">
        <f>IF($AJ182="","",IF($AJ182=0,LN($F182/$AK182)/$AL182,((($F182/$AK182)^$AJ182)-1)/($AJ182*$AL182)))</f>
        <v/>
      </c>
      <c r="AN182">
        <f>IF($AJ182="","",IF($AJ182=0,$AK182*EXP($AL182*2),$AK182*(1+$AJ182*$AL182*2)^(1/$AJ182)))</f>
        <v/>
      </c>
      <c r="AO182">
        <f>IF($AJ182="","",IF($AJ182=0,$AK182*EXP($AL182*3),$AK182*(1+$AJ182*$AL182*3)^(1/$AJ182)))</f>
        <v/>
      </c>
      <c r="AP182">
        <f>IF($AJ182="","",IF($AJ182=0,$AK182*EXP($AL182*-2),$AK182*(1+$AJ182*$AL182*-2)^(1/$AJ182)))</f>
        <v/>
      </c>
      <c r="AQ182">
        <f>IF($AJ182="","",IF($AJ182=0,$AK182*EXP($AL182*-3),$AK182*(1+$AJ182*$AL182*-3)^(1/$AJ182)))</f>
        <v/>
      </c>
      <c r="AR182">
        <f>IF(OR($X182="",$T182&gt;60),"",IFERROR(INDEX(IF($T182&lt;24,pcomp_l,palt_l),MATCH($X182,IF($T182&lt;24,pcomp_k,palt_k),1)),""))</f>
        <v/>
      </c>
      <c r="AS182">
        <f>IF(OR($X182="",$T182&gt;60),"",IFERROR(INDEX(IF($T182&lt;24,pcomp_m,palt_m),MATCH($X182,IF($T182&lt;24,pcomp_k,palt_k),1)),""))</f>
        <v/>
      </c>
      <c r="AT182">
        <f>IF(OR($X182="",$T182&gt;60),"",IFERROR(INDEX(IF($T182&lt;24,pcomp_s,palt_s),MATCH($X182,IF($T182&lt;24,pcomp_k,palt_k),1)),""))</f>
        <v/>
      </c>
      <c r="AU182">
        <f>IF($AR182="","",IF($AR182=0,LN($F182/$AS182)/$AT182,((($F182/$AS182)^$AR182)-1)/($AR182*$AT182)))</f>
        <v/>
      </c>
      <c r="AV182">
        <f>IF($AR182="","",IF($AR182=0,$AS182*EXP($AT182*2),$AS182*(1+$AR182*$AT182*2)^(1/$AR182)))</f>
        <v/>
      </c>
      <c r="AW182">
        <f>IF($AR182="","",IF($AR182=0,$AS182*EXP($AT182*3),$AS182*(1+$AR182*$AT182*3)^(1/$AR182)))</f>
        <v/>
      </c>
      <c r="AX182">
        <f>IF($AR182="","",IF($AR182=0,$AS182*EXP($AT182*-2),$AS182*(1+$AR182*$AT182*-2)^(1/$AR182)))</f>
        <v/>
      </c>
      <c r="AY182">
        <f>IF($AR182="","",IF($AR182=0,$AS182*EXP($AT182*-3),$AS182*(1+$AR182*$AT182*-3)^(1/$AR182)))</f>
        <v/>
      </c>
      <c r="AZ182">
        <f>IF(OR($A182="",$A182&lt;&gt;Ficha!$C$4),"",COUNTIF($A$2:$A182,Ficha!$C$4))</f>
        <v/>
      </c>
    </row>
    <row r="183">
      <c r="A183" s="8">
        <f>IF(INDEX(Banco!$A:$A,ROW())="","",INDEX(Banco!$A:$A,ROW()))</f>
        <v/>
      </c>
      <c r="B183" s="8">
        <f>IF(INDEX(Banco!$B:$B,ROW())="","",INDEX(Banco!$B:$B,ROW()))</f>
        <v/>
      </c>
      <c r="C183" s="8">
        <f>IF(INDEX(Banco!$C:$C,ROW())="","",INDEX(Banco!$C:$C,ROW()))</f>
        <v/>
      </c>
      <c r="D183" s="9">
        <f>IF(INDEX(Banco!$D:$D,ROW())="","",INDEX(Banco!$D:$D,ROW()))</f>
        <v/>
      </c>
      <c r="E183" s="9">
        <f>IF(INDEX(Banco!$E:$E,ROW())="","",INDEX(Banco!$E:$E,ROW()))</f>
        <v/>
      </c>
      <c r="F183" s="10">
        <f>IF(INDEX(Banco!$F:$F,ROW())="","",INDEX(Banco!$F:$F,ROW()))</f>
        <v/>
      </c>
      <c r="G183" s="10">
        <f>IF(INDEX(Banco!$G:$G,ROW())="","",INDEX(Banco!$G:$G,ROW()))</f>
        <v/>
      </c>
      <c r="H183" s="8">
        <f>IF(INDEX(Banco!$H:$H,ROW())="","",INDEX(Banco!$H:$H,ROW()))</f>
        <v/>
      </c>
      <c r="I183">
        <f>IF($T183="","",INT($T183/12)&amp;"a "&amp;MOD($T183,12)&amp;"m")</f>
        <v/>
      </c>
      <c r="J183" s="11">
        <f>IF(OR($F183="",$G183=""),"",ROUND($F183/($G183/100)^2,2))</f>
        <v/>
      </c>
      <c r="K183" s="12">
        <f>IF(OR($S183="",$J183="",$T183="",$T183&lt;0,$T183&gt;228,$Y183=""),"—",ROUND(IF(ABS($AB183)&lt;=3,$AB183,IF($AB183&gt;3,3+($J183-$AD183)/($AD183-$AC183),-3+($J183-$AF183)/($AE183-$AF183))),2))</f>
        <v/>
      </c>
      <c r="L183">
        <f>IF(OR($K183="",$K183="—"),"",IF($T183&lt;=60,IF($K183&lt;-3,"Magreza acentuada",IF($K183&lt;-2,"Magreza",IF($K183&lt;=1,"Eutrofia",IF($K183&lt;=2,"Risco de sobrepeso",IF($K183&lt;=3,"Sobrepeso","Obesidade"))))),IF($K183&lt;-3,"Magreza acentuada",IF($K183&lt;-2,"Magreza",IF($K183&lt;=1,"Eutrofia",IF($K183&lt;=2,"Sobrepeso",IF($K183&lt;=3,"Obesidade","Obesidade grave")))))))</f>
        <v/>
      </c>
      <c r="M183" s="12">
        <f>IF(OR($S183="",$V183="",$T183="",$T183&lt;0,$T183&gt;228,$AG183=""),"—",ROUND(IF($AG183=0,LN($V183/$AH183)/$AI183,((($V183/$AH183)^$AG183)-1)/($AG183*$AI183)),2))</f>
        <v/>
      </c>
      <c r="N183">
        <f>IF(OR($M183="",$M183="—"),"",IF($M183&lt;-3,"Muito baixa",IF($M183&lt;-2,"Baixa","Adequada")))</f>
        <v/>
      </c>
      <c r="O183" s="12">
        <f>IF(OR($S183="",$F183="",$T183="",$T183&lt;0,$T183&gt;120,$AJ183=""),"—",ROUND(IF(ABS($AM183)&lt;=3,$AM183,IF($AM183&gt;3,3+($F183-$AO183)/($AO183-$AN183),-3+($F183-$AQ183)/($AP183-$AQ183))),2))</f>
        <v/>
      </c>
      <c r="P183">
        <f>IF(OR($O183="",$O183="—"),"",IF($O183&lt;-3,"Muito baixo",IF($O183&lt;-2,"Baixo",IF($O183&lt;=2,"Adequado","Elevado"))))</f>
        <v/>
      </c>
      <c r="Q183" s="12">
        <f>IF(OR($S183="",$F183="",$T183="",$T183&lt;0,$T183&gt;60,$AR183=""),"—",ROUND(IF(ABS($AU183)&lt;=3,$AU183,IF($AU183&gt;3,3+($F183-$AW183)/($AW183-$AV183),-3+($F183-$AY183)/($AX183-$AY183))),2))</f>
        <v/>
      </c>
      <c r="R183">
        <f>IF(OR($Q183="",$Q183="—"),"",IF($Q183&lt;-3,"Magreza acentuada",IF($Q183&lt;-2,"Magreza",IF($Q183&lt;=1,"Eutrofia",IF($Q183&lt;=2,"Risco de sobrepeso",IF($Q183&lt;=3,"Sobrepeso","Obesidade"))))))</f>
        <v/>
      </c>
      <c r="S183">
        <f>IF($C183="","",IF(UPPER(LEFT($C183,1))="M",1,IF(UPPER(LEFT($C183,1))="F",2,"")))</f>
        <v/>
      </c>
      <c r="T183">
        <f>IF(OR($D183="",$E183=""),"",DATEDIF($D183,$E183,"m"))</f>
        <v/>
      </c>
      <c r="U183">
        <f>IF(OR($D183="",$E183=""),"",$E183-$D183)</f>
        <v/>
      </c>
      <c r="V183">
        <f>IF(OR($G183="",$T183=""),"",IF($T183&lt;24,IF(LEFT(LOWER($H183),4)="em p",$G183+0.7,$G183),IF(LEFT(LOWER($H183),4)="deit",$G183-0.7,$G183)))</f>
        <v/>
      </c>
      <c r="W183">
        <f>IF(OR($S183="",$T183=""),"",$S183*1000000+IF($T183&lt;=60,$U183,$T183))</f>
        <v/>
      </c>
      <c r="X183">
        <f>IF(OR($S183="",$V183="",$T183&gt;60,$T183=""),"",$S183*1000000+ROUND($V183*10,0))</f>
        <v/>
      </c>
      <c r="Y183">
        <f>IF($W183="","",IFERROR(INDEX(IF($T183&lt;=60,imc05_l,imc519_l),MATCH($W183,IF($T183&lt;=60,imc05_k,imc519_k),1)),""))</f>
        <v/>
      </c>
      <c r="Z183">
        <f>IF($W183="","",IFERROR(INDEX(IF($T183&lt;=60,imc05_m,imc519_m),MATCH($W183,IF($T183&lt;=60,imc05_k,imc519_k),1)),""))</f>
        <v/>
      </c>
      <c r="AA183">
        <f>IF($W183="","",IFERROR(INDEX(IF($T183&lt;=60,imc05_s,imc519_s),MATCH($W183,IF($T183&lt;=60,imc05_k,imc519_k),1)),""))</f>
        <v/>
      </c>
      <c r="AB183">
        <f>IF($Y183="","",IF($Y183=0,LN($J183/$Z183)/$AA183,((($J183/$Z183)^$Y183)-1)/($Y183*$AA183)))</f>
        <v/>
      </c>
      <c r="AC183">
        <f>IF($Y183="","",IF($Y183=0,$Z183*EXP($AA183*2),$Z183*(1+$Y183*$AA183*2)^(1/$Y183)))</f>
        <v/>
      </c>
      <c r="AD183">
        <f>IF($Y183="","",IF($Y183=0,$Z183*EXP($AA183*3),$Z183*(1+$Y183*$AA183*3)^(1/$Y183)))</f>
        <v/>
      </c>
      <c r="AE183">
        <f>IF($Y183="","",IF($Y183=0,$Z183*EXP($AA183*-2),$Z183*(1+$Y183*$AA183*-2)^(1/$Y183)))</f>
        <v/>
      </c>
      <c r="AF183">
        <f>IF($Y183="","",IF($Y183=0,$Z183*EXP($AA183*-3),$Z183*(1+$Y183*$AA183*-3)^(1/$Y183)))</f>
        <v/>
      </c>
      <c r="AG183">
        <f>IF($W183="","",IFERROR(INDEX(IF($T183&lt;=60,est05_l,est519_l),MATCH($W183,IF($T183&lt;=60,est05_k,est519_k),1)),""))</f>
        <v/>
      </c>
      <c r="AH183">
        <f>IF($W183="","",IFERROR(INDEX(IF($T183&lt;=60,est05_m,est519_m),MATCH($W183,IF($T183&lt;=60,est05_k,est519_k),1)),""))</f>
        <v/>
      </c>
      <c r="AI183">
        <f>IF($W183="","",IFERROR(INDEX(IF($T183&lt;=60,est05_s,est519_s),MATCH($W183,IF($T183&lt;=60,est05_k,est519_k),1)),""))</f>
        <v/>
      </c>
      <c r="AJ183">
        <f>IF($W183="","",IFERROR(INDEX(IF($T183&lt;=60,peso05_l,peso510_l),MATCH($W183,IF($T183&lt;=60,peso05_k,peso510_k),1)),""))</f>
        <v/>
      </c>
      <c r="AK183">
        <f>IF($W183="","",IFERROR(INDEX(IF($T183&lt;=60,peso05_m,peso510_m),MATCH($W183,IF($T183&lt;=60,peso05_k,peso510_k),1)),""))</f>
        <v/>
      </c>
      <c r="AL183">
        <f>IF($W183="","",IFERROR(INDEX(IF($T183&lt;=60,peso05_s,peso510_s),MATCH($W183,IF($T183&lt;=60,peso05_k,peso510_k),1)),""))</f>
        <v/>
      </c>
      <c r="AM183">
        <f>IF($AJ183="","",IF($AJ183=0,LN($F183/$AK183)/$AL183,((($F183/$AK183)^$AJ183)-1)/($AJ183*$AL183)))</f>
        <v/>
      </c>
      <c r="AN183">
        <f>IF($AJ183="","",IF($AJ183=0,$AK183*EXP($AL183*2),$AK183*(1+$AJ183*$AL183*2)^(1/$AJ183)))</f>
        <v/>
      </c>
      <c r="AO183">
        <f>IF($AJ183="","",IF($AJ183=0,$AK183*EXP($AL183*3),$AK183*(1+$AJ183*$AL183*3)^(1/$AJ183)))</f>
        <v/>
      </c>
      <c r="AP183">
        <f>IF($AJ183="","",IF($AJ183=0,$AK183*EXP($AL183*-2),$AK183*(1+$AJ183*$AL183*-2)^(1/$AJ183)))</f>
        <v/>
      </c>
      <c r="AQ183">
        <f>IF($AJ183="","",IF($AJ183=0,$AK183*EXP($AL183*-3),$AK183*(1+$AJ183*$AL183*-3)^(1/$AJ183)))</f>
        <v/>
      </c>
      <c r="AR183">
        <f>IF(OR($X183="",$T183&gt;60),"",IFERROR(INDEX(IF($T183&lt;24,pcomp_l,palt_l),MATCH($X183,IF($T183&lt;24,pcomp_k,palt_k),1)),""))</f>
        <v/>
      </c>
      <c r="AS183">
        <f>IF(OR($X183="",$T183&gt;60),"",IFERROR(INDEX(IF($T183&lt;24,pcomp_m,palt_m),MATCH($X183,IF($T183&lt;24,pcomp_k,palt_k),1)),""))</f>
        <v/>
      </c>
      <c r="AT183">
        <f>IF(OR($X183="",$T183&gt;60),"",IFERROR(INDEX(IF($T183&lt;24,pcomp_s,palt_s),MATCH($X183,IF($T183&lt;24,pcomp_k,palt_k),1)),""))</f>
        <v/>
      </c>
      <c r="AU183">
        <f>IF($AR183="","",IF($AR183=0,LN($F183/$AS183)/$AT183,((($F183/$AS183)^$AR183)-1)/($AR183*$AT183)))</f>
        <v/>
      </c>
      <c r="AV183">
        <f>IF($AR183="","",IF($AR183=0,$AS183*EXP($AT183*2),$AS183*(1+$AR183*$AT183*2)^(1/$AR183)))</f>
        <v/>
      </c>
      <c r="AW183">
        <f>IF($AR183="","",IF($AR183=0,$AS183*EXP($AT183*3),$AS183*(1+$AR183*$AT183*3)^(1/$AR183)))</f>
        <v/>
      </c>
      <c r="AX183">
        <f>IF($AR183="","",IF($AR183=0,$AS183*EXP($AT183*-2),$AS183*(1+$AR183*$AT183*-2)^(1/$AR183)))</f>
        <v/>
      </c>
      <c r="AY183">
        <f>IF($AR183="","",IF($AR183=0,$AS183*EXP($AT183*-3),$AS183*(1+$AR183*$AT183*-3)^(1/$AR183)))</f>
        <v/>
      </c>
      <c r="AZ183">
        <f>IF(OR($A183="",$A183&lt;&gt;Ficha!$C$4),"",COUNTIF($A$2:$A183,Ficha!$C$4))</f>
        <v/>
      </c>
    </row>
    <row r="184">
      <c r="A184" s="8">
        <f>IF(INDEX(Banco!$A:$A,ROW())="","",INDEX(Banco!$A:$A,ROW()))</f>
        <v/>
      </c>
      <c r="B184" s="8">
        <f>IF(INDEX(Banco!$B:$B,ROW())="","",INDEX(Banco!$B:$B,ROW()))</f>
        <v/>
      </c>
      <c r="C184" s="8">
        <f>IF(INDEX(Banco!$C:$C,ROW())="","",INDEX(Banco!$C:$C,ROW()))</f>
        <v/>
      </c>
      <c r="D184" s="9">
        <f>IF(INDEX(Banco!$D:$D,ROW())="","",INDEX(Banco!$D:$D,ROW()))</f>
        <v/>
      </c>
      <c r="E184" s="9">
        <f>IF(INDEX(Banco!$E:$E,ROW())="","",INDEX(Banco!$E:$E,ROW()))</f>
        <v/>
      </c>
      <c r="F184" s="10">
        <f>IF(INDEX(Banco!$F:$F,ROW())="","",INDEX(Banco!$F:$F,ROW()))</f>
        <v/>
      </c>
      <c r="G184" s="10">
        <f>IF(INDEX(Banco!$G:$G,ROW())="","",INDEX(Banco!$G:$G,ROW()))</f>
        <v/>
      </c>
      <c r="H184" s="8">
        <f>IF(INDEX(Banco!$H:$H,ROW())="","",INDEX(Banco!$H:$H,ROW()))</f>
        <v/>
      </c>
      <c r="I184">
        <f>IF($T184="","",INT($T184/12)&amp;"a "&amp;MOD($T184,12)&amp;"m")</f>
        <v/>
      </c>
      <c r="J184" s="11">
        <f>IF(OR($F184="",$G184=""),"",ROUND($F184/($G184/100)^2,2))</f>
        <v/>
      </c>
      <c r="K184" s="12">
        <f>IF(OR($S184="",$J184="",$T184="",$T184&lt;0,$T184&gt;228,$Y184=""),"—",ROUND(IF(ABS($AB184)&lt;=3,$AB184,IF($AB184&gt;3,3+($J184-$AD184)/($AD184-$AC184),-3+($J184-$AF184)/($AE184-$AF184))),2))</f>
        <v/>
      </c>
      <c r="L184">
        <f>IF(OR($K184="",$K184="—"),"",IF($T184&lt;=60,IF($K184&lt;-3,"Magreza acentuada",IF($K184&lt;-2,"Magreza",IF($K184&lt;=1,"Eutrofia",IF($K184&lt;=2,"Risco de sobrepeso",IF($K184&lt;=3,"Sobrepeso","Obesidade"))))),IF($K184&lt;-3,"Magreza acentuada",IF($K184&lt;-2,"Magreza",IF($K184&lt;=1,"Eutrofia",IF($K184&lt;=2,"Sobrepeso",IF($K184&lt;=3,"Obesidade","Obesidade grave")))))))</f>
        <v/>
      </c>
      <c r="M184" s="12">
        <f>IF(OR($S184="",$V184="",$T184="",$T184&lt;0,$T184&gt;228,$AG184=""),"—",ROUND(IF($AG184=0,LN($V184/$AH184)/$AI184,((($V184/$AH184)^$AG184)-1)/($AG184*$AI184)),2))</f>
        <v/>
      </c>
      <c r="N184">
        <f>IF(OR($M184="",$M184="—"),"",IF($M184&lt;-3,"Muito baixa",IF($M184&lt;-2,"Baixa","Adequada")))</f>
        <v/>
      </c>
      <c r="O184" s="12">
        <f>IF(OR($S184="",$F184="",$T184="",$T184&lt;0,$T184&gt;120,$AJ184=""),"—",ROUND(IF(ABS($AM184)&lt;=3,$AM184,IF($AM184&gt;3,3+($F184-$AO184)/($AO184-$AN184),-3+($F184-$AQ184)/($AP184-$AQ184))),2))</f>
        <v/>
      </c>
      <c r="P184">
        <f>IF(OR($O184="",$O184="—"),"",IF($O184&lt;-3,"Muito baixo",IF($O184&lt;-2,"Baixo",IF($O184&lt;=2,"Adequado","Elevado"))))</f>
        <v/>
      </c>
      <c r="Q184" s="12">
        <f>IF(OR($S184="",$F184="",$T184="",$T184&lt;0,$T184&gt;60,$AR184=""),"—",ROUND(IF(ABS($AU184)&lt;=3,$AU184,IF($AU184&gt;3,3+($F184-$AW184)/($AW184-$AV184),-3+($F184-$AY184)/($AX184-$AY184))),2))</f>
        <v/>
      </c>
      <c r="R184">
        <f>IF(OR($Q184="",$Q184="—"),"",IF($Q184&lt;-3,"Magreza acentuada",IF($Q184&lt;-2,"Magreza",IF($Q184&lt;=1,"Eutrofia",IF($Q184&lt;=2,"Risco de sobrepeso",IF($Q184&lt;=3,"Sobrepeso","Obesidade"))))))</f>
        <v/>
      </c>
      <c r="S184">
        <f>IF($C184="","",IF(UPPER(LEFT($C184,1))="M",1,IF(UPPER(LEFT($C184,1))="F",2,"")))</f>
        <v/>
      </c>
      <c r="T184">
        <f>IF(OR($D184="",$E184=""),"",DATEDIF($D184,$E184,"m"))</f>
        <v/>
      </c>
      <c r="U184">
        <f>IF(OR($D184="",$E184=""),"",$E184-$D184)</f>
        <v/>
      </c>
      <c r="V184">
        <f>IF(OR($G184="",$T184=""),"",IF($T184&lt;24,IF(LEFT(LOWER($H184),4)="em p",$G184+0.7,$G184),IF(LEFT(LOWER($H184),4)="deit",$G184-0.7,$G184)))</f>
        <v/>
      </c>
      <c r="W184">
        <f>IF(OR($S184="",$T184=""),"",$S184*1000000+IF($T184&lt;=60,$U184,$T184))</f>
        <v/>
      </c>
      <c r="X184">
        <f>IF(OR($S184="",$V184="",$T184&gt;60,$T184=""),"",$S184*1000000+ROUND($V184*10,0))</f>
        <v/>
      </c>
      <c r="Y184">
        <f>IF($W184="","",IFERROR(INDEX(IF($T184&lt;=60,imc05_l,imc519_l),MATCH($W184,IF($T184&lt;=60,imc05_k,imc519_k),1)),""))</f>
        <v/>
      </c>
      <c r="Z184">
        <f>IF($W184="","",IFERROR(INDEX(IF($T184&lt;=60,imc05_m,imc519_m),MATCH($W184,IF($T184&lt;=60,imc05_k,imc519_k),1)),""))</f>
        <v/>
      </c>
      <c r="AA184">
        <f>IF($W184="","",IFERROR(INDEX(IF($T184&lt;=60,imc05_s,imc519_s),MATCH($W184,IF($T184&lt;=60,imc05_k,imc519_k),1)),""))</f>
        <v/>
      </c>
      <c r="AB184">
        <f>IF($Y184="","",IF($Y184=0,LN($J184/$Z184)/$AA184,((($J184/$Z184)^$Y184)-1)/($Y184*$AA184)))</f>
        <v/>
      </c>
      <c r="AC184">
        <f>IF($Y184="","",IF($Y184=0,$Z184*EXP($AA184*2),$Z184*(1+$Y184*$AA184*2)^(1/$Y184)))</f>
        <v/>
      </c>
      <c r="AD184">
        <f>IF($Y184="","",IF($Y184=0,$Z184*EXP($AA184*3),$Z184*(1+$Y184*$AA184*3)^(1/$Y184)))</f>
        <v/>
      </c>
      <c r="AE184">
        <f>IF($Y184="","",IF($Y184=0,$Z184*EXP($AA184*-2),$Z184*(1+$Y184*$AA184*-2)^(1/$Y184)))</f>
        <v/>
      </c>
      <c r="AF184">
        <f>IF($Y184="","",IF($Y184=0,$Z184*EXP($AA184*-3),$Z184*(1+$Y184*$AA184*-3)^(1/$Y184)))</f>
        <v/>
      </c>
      <c r="AG184">
        <f>IF($W184="","",IFERROR(INDEX(IF($T184&lt;=60,est05_l,est519_l),MATCH($W184,IF($T184&lt;=60,est05_k,est519_k),1)),""))</f>
        <v/>
      </c>
      <c r="AH184">
        <f>IF($W184="","",IFERROR(INDEX(IF($T184&lt;=60,est05_m,est519_m),MATCH($W184,IF($T184&lt;=60,est05_k,est519_k),1)),""))</f>
        <v/>
      </c>
      <c r="AI184">
        <f>IF($W184="","",IFERROR(INDEX(IF($T184&lt;=60,est05_s,est519_s),MATCH($W184,IF($T184&lt;=60,est05_k,est519_k),1)),""))</f>
        <v/>
      </c>
      <c r="AJ184">
        <f>IF($W184="","",IFERROR(INDEX(IF($T184&lt;=60,peso05_l,peso510_l),MATCH($W184,IF($T184&lt;=60,peso05_k,peso510_k),1)),""))</f>
        <v/>
      </c>
      <c r="AK184">
        <f>IF($W184="","",IFERROR(INDEX(IF($T184&lt;=60,peso05_m,peso510_m),MATCH($W184,IF($T184&lt;=60,peso05_k,peso510_k),1)),""))</f>
        <v/>
      </c>
      <c r="AL184">
        <f>IF($W184="","",IFERROR(INDEX(IF($T184&lt;=60,peso05_s,peso510_s),MATCH($W184,IF($T184&lt;=60,peso05_k,peso510_k),1)),""))</f>
        <v/>
      </c>
      <c r="AM184">
        <f>IF($AJ184="","",IF($AJ184=0,LN($F184/$AK184)/$AL184,((($F184/$AK184)^$AJ184)-1)/($AJ184*$AL184)))</f>
        <v/>
      </c>
      <c r="AN184">
        <f>IF($AJ184="","",IF($AJ184=0,$AK184*EXP($AL184*2),$AK184*(1+$AJ184*$AL184*2)^(1/$AJ184)))</f>
        <v/>
      </c>
      <c r="AO184">
        <f>IF($AJ184="","",IF($AJ184=0,$AK184*EXP($AL184*3),$AK184*(1+$AJ184*$AL184*3)^(1/$AJ184)))</f>
        <v/>
      </c>
      <c r="AP184">
        <f>IF($AJ184="","",IF($AJ184=0,$AK184*EXP($AL184*-2),$AK184*(1+$AJ184*$AL184*-2)^(1/$AJ184)))</f>
        <v/>
      </c>
      <c r="AQ184">
        <f>IF($AJ184="","",IF($AJ184=0,$AK184*EXP($AL184*-3),$AK184*(1+$AJ184*$AL184*-3)^(1/$AJ184)))</f>
        <v/>
      </c>
      <c r="AR184">
        <f>IF(OR($X184="",$T184&gt;60),"",IFERROR(INDEX(IF($T184&lt;24,pcomp_l,palt_l),MATCH($X184,IF($T184&lt;24,pcomp_k,palt_k),1)),""))</f>
        <v/>
      </c>
      <c r="AS184">
        <f>IF(OR($X184="",$T184&gt;60),"",IFERROR(INDEX(IF($T184&lt;24,pcomp_m,palt_m),MATCH($X184,IF($T184&lt;24,pcomp_k,palt_k),1)),""))</f>
        <v/>
      </c>
      <c r="AT184">
        <f>IF(OR($X184="",$T184&gt;60),"",IFERROR(INDEX(IF($T184&lt;24,pcomp_s,palt_s),MATCH($X184,IF($T184&lt;24,pcomp_k,palt_k),1)),""))</f>
        <v/>
      </c>
      <c r="AU184">
        <f>IF($AR184="","",IF($AR184=0,LN($F184/$AS184)/$AT184,((($F184/$AS184)^$AR184)-1)/($AR184*$AT184)))</f>
        <v/>
      </c>
      <c r="AV184">
        <f>IF($AR184="","",IF($AR184=0,$AS184*EXP($AT184*2),$AS184*(1+$AR184*$AT184*2)^(1/$AR184)))</f>
        <v/>
      </c>
      <c r="AW184">
        <f>IF($AR184="","",IF($AR184=0,$AS184*EXP($AT184*3),$AS184*(1+$AR184*$AT184*3)^(1/$AR184)))</f>
        <v/>
      </c>
      <c r="AX184">
        <f>IF($AR184="","",IF($AR184=0,$AS184*EXP($AT184*-2),$AS184*(1+$AR184*$AT184*-2)^(1/$AR184)))</f>
        <v/>
      </c>
      <c r="AY184">
        <f>IF($AR184="","",IF($AR184=0,$AS184*EXP($AT184*-3),$AS184*(1+$AR184*$AT184*-3)^(1/$AR184)))</f>
        <v/>
      </c>
      <c r="AZ184">
        <f>IF(OR($A184="",$A184&lt;&gt;Ficha!$C$4),"",COUNTIF($A$2:$A184,Ficha!$C$4))</f>
        <v/>
      </c>
    </row>
    <row r="185">
      <c r="A185" s="8">
        <f>IF(INDEX(Banco!$A:$A,ROW())="","",INDEX(Banco!$A:$A,ROW()))</f>
        <v/>
      </c>
      <c r="B185" s="8">
        <f>IF(INDEX(Banco!$B:$B,ROW())="","",INDEX(Banco!$B:$B,ROW()))</f>
        <v/>
      </c>
      <c r="C185" s="8">
        <f>IF(INDEX(Banco!$C:$C,ROW())="","",INDEX(Banco!$C:$C,ROW()))</f>
        <v/>
      </c>
      <c r="D185" s="9">
        <f>IF(INDEX(Banco!$D:$D,ROW())="","",INDEX(Banco!$D:$D,ROW()))</f>
        <v/>
      </c>
      <c r="E185" s="9">
        <f>IF(INDEX(Banco!$E:$E,ROW())="","",INDEX(Banco!$E:$E,ROW()))</f>
        <v/>
      </c>
      <c r="F185" s="10">
        <f>IF(INDEX(Banco!$F:$F,ROW())="","",INDEX(Banco!$F:$F,ROW()))</f>
        <v/>
      </c>
      <c r="G185" s="10">
        <f>IF(INDEX(Banco!$G:$G,ROW())="","",INDEX(Banco!$G:$G,ROW()))</f>
        <v/>
      </c>
      <c r="H185" s="8">
        <f>IF(INDEX(Banco!$H:$H,ROW())="","",INDEX(Banco!$H:$H,ROW()))</f>
        <v/>
      </c>
      <c r="I185">
        <f>IF($T185="","",INT($T185/12)&amp;"a "&amp;MOD($T185,12)&amp;"m")</f>
        <v/>
      </c>
      <c r="J185" s="11">
        <f>IF(OR($F185="",$G185=""),"",ROUND($F185/($G185/100)^2,2))</f>
        <v/>
      </c>
      <c r="K185" s="12">
        <f>IF(OR($S185="",$J185="",$T185="",$T185&lt;0,$T185&gt;228,$Y185=""),"—",ROUND(IF(ABS($AB185)&lt;=3,$AB185,IF($AB185&gt;3,3+($J185-$AD185)/($AD185-$AC185),-3+($J185-$AF185)/($AE185-$AF185))),2))</f>
        <v/>
      </c>
      <c r="L185">
        <f>IF(OR($K185="",$K185="—"),"",IF($T185&lt;=60,IF($K185&lt;-3,"Magreza acentuada",IF($K185&lt;-2,"Magreza",IF($K185&lt;=1,"Eutrofia",IF($K185&lt;=2,"Risco de sobrepeso",IF($K185&lt;=3,"Sobrepeso","Obesidade"))))),IF($K185&lt;-3,"Magreza acentuada",IF($K185&lt;-2,"Magreza",IF($K185&lt;=1,"Eutrofia",IF($K185&lt;=2,"Sobrepeso",IF($K185&lt;=3,"Obesidade","Obesidade grave")))))))</f>
        <v/>
      </c>
      <c r="M185" s="12">
        <f>IF(OR($S185="",$V185="",$T185="",$T185&lt;0,$T185&gt;228,$AG185=""),"—",ROUND(IF($AG185=0,LN($V185/$AH185)/$AI185,((($V185/$AH185)^$AG185)-1)/($AG185*$AI185)),2))</f>
        <v/>
      </c>
      <c r="N185">
        <f>IF(OR($M185="",$M185="—"),"",IF($M185&lt;-3,"Muito baixa",IF($M185&lt;-2,"Baixa","Adequada")))</f>
        <v/>
      </c>
      <c r="O185" s="12">
        <f>IF(OR($S185="",$F185="",$T185="",$T185&lt;0,$T185&gt;120,$AJ185=""),"—",ROUND(IF(ABS($AM185)&lt;=3,$AM185,IF($AM185&gt;3,3+($F185-$AO185)/($AO185-$AN185),-3+($F185-$AQ185)/($AP185-$AQ185))),2))</f>
        <v/>
      </c>
      <c r="P185">
        <f>IF(OR($O185="",$O185="—"),"",IF($O185&lt;-3,"Muito baixo",IF($O185&lt;-2,"Baixo",IF($O185&lt;=2,"Adequado","Elevado"))))</f>
        <v/>
      </c>
      <c r="Q185" s="12">
        <f>IF(OR($S185="",$F185="",$T185="",$T185&lt;0,$T185&gt;60,$AR185=""),"—",ROUND(IF(ABS($AU185)&lt;=3,$AU185,IF($AU185&gt;3,3+($F185-$AW185)/($AW185-$AV185),-3+($F185-$AY185)/($AX185-$AY185))),2))</f>
        <v/>
      </c>
      <c r="R185">
        <f>IF(OR($Q185="",$Q185="—"),"",IF($Q185&lt;-3,"Magreza acentuada",IF($Q185&lt;-2,"Magreza",IF($Q185&lt;=1,"Eutrofia",IF($Q185&lt;=2,"Risco de sobrepeso",IF($Q185&lt;=3,"Sobrepeso","Obesidade"))))))</f>
        <v/>
      </c>
      <c r="S185">
        <f>IF($C185="","",IF(UPPER(LEFT($C185,1))="M",1,IF(UPPER(LEFT($C185,1))="F",2,"")))</f>
        <v/>
      </c>
      <c r="T185">
        <f>IF(OR($D185="",$E185=""),"",DATEDIF($D185,$E185,"m"))</f>
        <v/>
      </c>
      <c r="U185">
        <f>IF(OR($D185="",$E185=""),"",$E185-$D185)</f>
        <v/>
      </c>
      <c r="V185">
        <f>IF(OR($G185="",$T185=""),"",IF($T185&lt;24,IF(LEFT(LOWER($H185),4)="em p",$G185+0.7,$G185),IF(LEFT(LOWER($H185),4)="deit",$G185-0.7,$G185)))</f>
        <v/>
      </c>
      <c r="W185">
        <f>IF(OR($S185="",$T185=""),"",$S185*1000000+IF($T185&lt;=60,$U185,$T185))</f>
        <v/>
      </c>
      <c r="X185">
        <f>IF(OR($S185="",$V185="",$T185&gt;60,$T185=""),"",$S185*1000000+ROUND($V185*10,0))</f>
        <v/>
      </c>
      <c r="Y185">
        <f>IF($W185="","",IFERROR(INDEX(IF($T185&lt;=60,imc05_l,imc519_l),MATCH($W185,IF($T185&lt;=60,imc05_k,imc519_k),1)),""))</f>
        <v/>
      </c>
      <c r="Z185">
        <f>IF($W185="","",IFERROR(INDEX(IF($T185&lt;=60,imc05_m,imc519_m),MATCH($W185,IF($T185&lt;=60,imc05_k,imc519_k),1)),""))</f>
        <v/>
      </c>
      <c r="AA185">
        <f>IF($W185="","",IFERROR(INDEX(IF($T185&lt;=60,imc05_s,imc519_s),MATCH($W185,IF($T185&lt;=60,imc05_k,imc519_k),1)),""))</f>
        <v/>
      </c>
      <c r="AB185">
        <f>IF($Y185="","",IF($Y185=0,LN($J185/$Z185)/$AA185,((($J185/$Z185)^$Y185)-1)/($Y185*$AA185)))</f>
        <v/>
      </c>
      <c r="AC185">
        <f>IF($Y185="","",IF($Y185=0,$Z185*EXP($AA185*2),$Z185*(1+$Y185*$AA185*2)^(1/$Y185)))</f>
        <v/>
      </c>
      <c r="AD185">
        <f>IF($Y185="","",IF($Y185=0,$Z185*EXP($AA185*3),$Z185*(1+$Y185*$AA185*3)^(1/$Y185)))</f>
        <v/>
      </c>
      <c r="AE185">
        <f>IF($Y185="","",IF($Y185=0,$Z185*EXP($AA185*-2),$Z185*(1+$Y185*$AA185*-2)^(1/$Y185)))</f>
        <v/>
      </c>
      <c r="AF185">
        <f>IF($Y185="","",IF($Y185=0,$Z185*EXP($AA185*-3),$Z185*(1+$Y185*$AA185*-3)^(1/$Y185)))</f>
        <v/>
      </c>
      <c r="AG185">
        <f>IF($W185="","",IFERROR(INDEX(IF($T185&lt;=60,est05_l,est519_l),MATCH($W185,IF($T185&lt;=60,est05_k,est519_k),1)),""))</f>
        <v/>
      </c>
      <c r="AH185">
        <f>IF($W185="","",IFERROR(INDEX(IF($T185&lt;=60,est05_m,est519_m),MATCH($W185,IF($T185&lt;=60,est05_k,est519_k),1)),""))</f>
        <v/>
      </c>
      <c r="AI185">
        <f>IF($W185="","",IFERROR(INDEX(IF($T185&lt;=60,est05_s,est519_s),MATCH($W185,IF($T185&lt;=60,est05_k,est519_k),1)),""))</f>
        <v/>
      </c>
      <c r="AJ185">
        <f>IF($W185="","",IFERROR(INDEX(IF($T185&lt;=60,peso05_l,peso510_l),MATCH($W185,IF($T185&lt;=60,peso05_k,peso510_k),1)),""))</f>
        <v/>
      </c>
      <c r="AK185">
        <f>IF($W185="","",IFERROR(INDEX(IF($T185&lt;=60,peso05_m,peso510_m),MATCH($W185,IF($T185&lt;=60,peso05_k,peso510_k),1)),""))</f>
        <v/>
      </c>
      <c r="AL185">
        <f>IF($W185="","",IFERROR(INDEX(IF($T185&lt;=60,peso05_s,peso510_s),MATCH($W185,IF($T185&lt;=60,peso05_k,peso510_k),1)),""))</f>
        <v/>
      </c>
      <c r="AM185">
        <f>IF($AJ185="","",IF($AJ185=0,LN($F185/$AK185)/$AL185,((($F185/$AK185)^$AJ185)-1)/($AJ185*$AL185)))</f>
        <v/>
      </c>
      <c r="AN185">
        <f>IF($AJ185="","",IF($AJ185=0,$AK185*EXP($AL185*2),$AK185*(1+$AJ185*$AL185*2)^(1/$AJ185)))</f>
        <v/>
      </c>
      <c r="AO185">
        <f>IF($AJ185="","",IF($AJ185=0,$AK185*EXP($AL185*3),$AK185*(1+$AJ185*$AL185*3)^(1/$AJ185)))</f>
        <v/>
      </c>
      <c r="AP185">
        <f>IF($AJ185="","",IF($AJ185=0,$AK185*EXP($AL185*-2),$AK185*(1+$AJ185*$AL185*-2)^(1/$AJ185)))</f>
        <v/>
      </c>
      <c r="AQ185">
        <f>IF($AJ185="","",IF($AJ185=0,$AK185*EXP($AL185*-3),$AK185*(1+$AJ185*$AL185*-3)^(1/$AJ185)))</f>
        <v/>
      </c>
      <c r="AR185">
        <f>IF(OR($X185="",$T185&gt;60),"",IFERROR(INDEX(IF($T185&lt;24,pcomp_l,palt_l),MATCH($X185,IF($T185&lt;24,pcomp_k,palt_k),1)),""))</f>
        <v/>
      </c>
      <c r="AS185">
        <f>IF(OR($X185="",$T185&gt;60),"",IFERROR(INDEX(IF($T185&lt;24,pcomp_m,palt_m),MATCH($X185,IF($T185&lt;24,pcomp_k,palt_k),1)),""))</f>
        <v/>
      </c>
      <c r="AT185">
        <f>IF(OR($X185="",$T185&gt;60),"",IFERROR(INDEX(IF($T185&lt;24,pcomp_s,palt_s),MATCH($X185,IF($T185&lt;24,pcomp_k,palt_k),1)),""))</f>
        <v/>
      </c>
      <c r="AU185">
        <f>IF($AR185="","",IF($AR185=0,LN($F185/$AS185)/$AT185,((($F185/$AS185)^$AR185)-1)/($AR185*$AT185)))</f>
        <v/>
      </c>
      <c r="AV185">
        <f>IF($AR185="","",IF($AR185=0,$AS185*EXP($AT185*2),$AS185*(1+$AR185*$AT185*2)^(1/$AR185)))</f>
        <v/>
      </c>
      <c r="AW185">
        <f>IF($AR185="","",IF($AR185=0,$AS185*EXP($AT185*3),$AS185*(1+$AR185*$AT185*3)^(1/$AR185)))</f>
        <v/>
      </c>
      <c r="AX185">
        <f>IF($AR185="","",IF($AR185=0,$AS185*EXP($AT185*-2),$AS185*(1+$AR185*$AT185*-2)^(1/$AR185)))</f>
        <v/>
      </c>
      <c r="AY185">
        <f>IF($AR185="","",IF($AR185=0,$AS185*EXP($AT185*-3),$AS185*(1+$AR185*$AT185*-3)^(1/$AR185)))</f>
        <v/>
      </c>
      <c r="AZ185">
        <f>IF(OR($A185="",$A185&lt;&gt;Ficha!$C$4),"",COUNTIF($A$2:$A185,Ficha!$C$4))</f>
        <v/>
      </c>
    </row>
    <row r="186">
      <c r="A186" s="8">
        <f>IF(INDEX(Banco!$A:$A,ROW())="","",INDEX(Banco!$A:$A,ROW()))</f>
        <v/>
      </c>
      <c r="B186" s="8">
        <f>IF(INDEX(Banco!$B:$B,ROW())="","",INDEX(Banco!$B:$B,ROW()))</f>
        <v/>
      </c>
      <c r="C186" s="8">
        <f>IF(INDEX(Banco!$C:$C,ROW())="","",INDEX(Banco!$C:$C,ROW()))</f>
        <v/>
      </c>
      <c r="D186" s="9">
        <f>IF(INDEX(Banco!$D:$D,ROW())="","",INDEX(Banco!$D:$D,ROW()))</f>
        <v/>
      </c>
      <c r="E186" s="9">
        <f>IF(INDEX(Banco!$E:$E,ROW())="","",INDEX(Banco!$E:$E,ROW()))</f>
        <v/>
      </c>
      <c r="F186" s="10">
        <f>IF(INDEX(Banco!$F:$F,ROW())="","",INDEX(Banco!$F:$F,ROW()))</f>
        <v/>
      </c>
      <c r="G186" s="10">
        <f>IF(INDEX(Banco!$G:$G,ROW())="","",INDEX(Banco!$G:$G,ROW()))</f>
        <v/>
      </c>
      <c r="H186" s="8">
        <f>IF(INDEX(Banco!$H:$H,ROW())="","",INDEX(Banco!$H:$H,ROW()))</f>
        <v/>
      </c>
      <c r="I186">
        <f>IF($T186="","",INT($T186/12)&amp;"a "&amp;MOD($T186,12)&amp;"m")</f>
        <v/>
      </c>
      <c r="J186" s="11">
        <f>IF(OR($F186="",$G186=""),"",ROUND($F186/($G186/100)^2,2))</f>
        <v/>
      </c>
      <c r="K186" s="12">
        <f>IF(OR($S186="",$J186="",$T186="",$T186&lt;0,$T186&gt;228,$Y186=""),"—",ROUND(IF(ABS($AB186)&lt;=3,$AB186,IF($AB186&gt;3,3+($J186-$AD186)/($AD186-$AC186),-3+($J186-$AF186)/($AE186-$AF186))),2))</f>
        <v/>
      </c>
      <c r="L186">
        <f>IF(OR($K186="",$K186="—"),"",IF($T186&lt;=60,IF($K186&lt;-3,"Magreza acentuada",IF($K186&lt;-2,"Magreza",IF($K186&lt;=1,"Eutrofia",IF($K186&lt;=2,"Risco de sobrepeso",IF($K186&lt;=3,"Sobrepeso","Obesidade"))))),IF($K186&lt;-3,"Magreza acentuada",IF($K186&lt;-2,"Magreza",IF($K186&lt;=1,"Eutrofia",IF($K186&lt;=2,"Sobrepeso",IF($K186&lt;=3,"Obesidade","Obesidade grave")))))))</f>
        <v/>
      </c>
      <c r="M186" s="12">
        <f>IF(OR($S186="",$V186="",$T186="",$T186&lt;0,$T186&gt;228,$AG186=""),"—",ROUND(IF($AG186=0,LN($V186/$AH186)/$AI186,((($V186/$AH186)^$AG186)-1)/($AG186*$AI186)),2))</f>
        <v/>
      </c>
      <c r="N186">
        <f>IF(OR($M186="",$M186="—"),"",IF($M186&lt;-3,"Muito baixa",IF($M186&lt;-2,"Baixa","Adequada")))</f>
        <v/>
      </c>
      <c r="O186" s="12">
        <f>IF(OR($S186="",$F186="",$T186="",$T186&lt;0,$T186&gt;120,$AJ186=""),"—",ROUND(IF(ABS($AM186)&lt;=3,$AM186,IF($AM186&gt;3,3+($F186-$AO186)/($AO186-$AN186),-3+($F186-$AQ186)/($AP186-$AQ186))),2))</f>
        <v/>
      </c>
      <c r="P186">
        <f>IF(OR($O186="",$O186="—"),"",IF($O186&lt;-3,"Muito baixo",IF($O186&lt;-2,"Baixo",IF($O186&lt;=2,"Adequado","Elevado"))))</f>
        <v/>
      </c>
      <c r="Q186" s="12">
        <f>IF(OR($S186="",$F186="",$T186="",$T186&lt;0,$T186&gt;60,$AR186=""),"—",ROUND(IF(ABS($AU186)&lt;=3,$AU186,IF($AU186&gt;3,3+($F186-$AW186)/($AW186-$AV186),-3+($F186-$AY186)/($AX186-$AY186))),2))</f>
        <v/>
      </c>
      <c r="R186">
        <f>IF(OR($Q186="",$Q186="—"),"",IF($Q186&lt;-3,"Magreza acentuada",IF($Q186&lt;-2,"Magreza",IF($Q186&lt;=1,"Eutrofia",IF($Q186&lt;=2,"Risco de sobrepeso",IF($Q186&lt;=3,"Sobrepeso","Obesidade"))))))</f>
        <v/>
      </c>
      <c r="S186">
        <f>IF($C186="","",IF(UPPER(LEFT($C186,1))="M",1,IF(UPPER(LEFT($C186,1))="F",2,"")))</f>
        <v/>
      </c>
      <c r="T186">
        <f>IF(OR($D186="",$E186=""),"",DATEDIF($D186,$E186,"m"))</f>
        <v/>
      </c>
      <c r="U186">
        <f>IF(OR($D186="",$E186=""),"",$E186-$D186)</f>
        <v/>
      </c>
      <c r="V186">
        <f>IF(OR($G186="",$T186=""),"",IF($T186&lt;24,IF(LEFT(LOWER($H186),4)="em p",$G186+0.7,$G186),IF(LEFT(LOWER($H186),4)="deit",$G186-0.7,$G186)))</f>
        <v/>
      </c>
      <c r="W186">
        <f>IF(OR($S186="",$T186=""),"",$S186*1000000+IF($T186&lt;=60,$U186,$T186))</f>
        <v/>
      </c>
      <c r="X186">
        <f>IF(OR($S186="",$V186="",$T186&gt;60,$T186=""),"",$S186*1000000+ROUND($V186*10,0))</f>
        <v/>
      </c>
      <c r="Y186">
        <f>IF($W186="","",IFERROR(INDEX(IF($T186&lt;=60,imc05_l,imc519_l),MATCH($W186,IF($T186&lt;=60,imc05_k,imc519_k),1)),""))</f>
        <v/>
      </c>
      <c r="Z186">
        <f>IF($W186="","",IFERROR(INDEX(IF($T186&lt;=60,imc05_m,imc519_m),MATCH($W186,IF($T186&lt;=60,imc05_k,imc519_k),1)),""))</f>
        <v/>
      </c>
      <c r="AA186">
        <f>IF($W186="","",IFERROR(INDEX(IF($T186&lt;=60,imc05_s,imc519_s),MATCH($W186,IF($T186&lt;=60,imc05_k,imc519_k),1)),""))</f>
        <v/>
      </c>
      <c r="AB186">
        <f>IF($Y186="","",IF($Y186=0,LN($J186/$Z186)/$AA186,((($J186/$Z186)^$Y186)-1)/($Y186*$AA186)))</f>
        <v/>
      </c>
      <c r="AC186">
        <f>IF($Y186="","",IF($Y186=0,$Z186*EXP($AA186*2),$Z186*(1+$Y186*$AA186*2)^(1/$Y186)))</f>
        <v/>
      </c>
      <c r="AD186">
        <f>IF($Y186="","",IF($Y186=0,$Z186*EXP($AA186*3),$Z186*(1+$Y186*$AA186*3)^(1/$Y186)))</f>
        <v/>
      </c>
      <c r="AE186">
        <f>IF($Y186="","",IF($Y186=0,$Z186*EXP($AA186*-2),$Z186*(1+$Y186*$AA186*-2)^(1/$Y186)))</f>
        <v/>
      </c>
      <c r="AF186">
        <f>IF($Y186="","",IF($Y186=0,$Z186*EXP($AA186*-3),$Z186*(1+$Y186*$AA186*-3)^(1/$Y186)))</f>
        <v/>
      </c>
      <c r="AG186">
        <f>IF($W186="","",IFERROR(INDEX(IF($T186&lt;=60,est05_l,est519_l),MATCH($W186,IF($T186&lt;=60,est05_k,est519_k),1)),""))</f>
        <v/>
      </c>
      <c r="AH186">
        <f>IF($W186="","",IFERROR(INDEX(IF($T186&lt;=60,est05_m,est519_m),MATCH($W186,IF($T186&lt;=60,est05_k,est519_k),1)),""))</f>
        <v/>
      </c>
      <c r="AI186">
        <f>IF($W186="","",IFERROR(INDEX(IF($T186&lt;=60,est05_s,est519_s),MATCH($W186,IF($T186&lt;=60,est05_k,est519_k),1)),""))</f>
        <v/>
      </c>
      <c r="AJ186">
        <f>IF($W186="","",IFERROR(INDEX(IF($T186&lt;=60,peso05_l,peso510_l),MATCH($W186,IF($T186&lt;=60,peso05_k,peso510_k),1)),""))</f>
        <v/>
      </c>
      <c r="AK186">
        <f>IF($W186="","",IFERROR(INDEX(IF($T186&lt;=60,peso05_m,peso510_m),MATCH($W186,IF($T186&lt;=60,peso05_k,peso510_k),1)),""))</f>
        <v/>
      </c>
      <c r="AL186">
        <f>IF($W186="","",IFERROR(INDEX(IF($T186&lt;=60,peso05_s,peso510_s),MATCH($W186,IF($T186&lt;=60,peso05_k,peso510_k),1)),""))</f>
        <v/>
      </c>
      <c r="AM186">
        <f>IF($AJ186="","",IF($AJ186=0,LN($F186/$AK186)/$AL186,((($F186/$AK186)^$AJ186)-1)/($AJ186*$AL186)))</f>
        <v/>
      </c>
      <c r="AN186">
        <f>IF($AJ186="","",IF($AJ186=0,$AK186*EXP($AL186*2),$AK186*(1+$AJ186*$AL186*2)^(1/$AJ186)))</f>
        <v/>
      </c>
      <c r="AO186">
        <f>IF($AJ186="","",IF($AJ186=0,$AK186*EXP($AL186*3),$AK186*(1+$AJ186*$AL186*3)^(1/$AJ186)))</f>
        <v/>
      </c>
      <c r="AP186">
        <f>IF($AJ186="","",IF($AJ186=0,$AK186*EXP($AL186*-2),$AK186*(1+$AJ186*$AL186*-2)^(1/$AJ186)))</f>
        <v/>
      </c>
      <c r="AQ186">
        <f>IF($AJ186="","",IF($AJ186=0,$AK186*EXP($AL186*-3),$AK186*(1+$AJ186*$AL186*-3)^(1/$AJ186)))</f>
        <v/>
      </c>
      <c r="AR186">
        <f>IF(OR($X186="",$T186&gt;60),"",IFERROR(INDEX(IF($T186&lt;24,pcomp_l,palt_l),MATCH($X186,IF($T186&lt;24,pcomp_k,palt_k),1)),""))</f>
        <v/>
      </c>
      <c r="AS186">
        <f>IF(OR($X186="",$T186&gt;60),"",IFERROR(INDEX(IF($T186&lt;24,pcomp_m,palt_m),MATCH($X186,IF($T186&lt;24,pcomp_k,palt_k),1)),""))</f>
        <v/>
      </c>
      <c r="AT186">
        <f>IF(OR($X186="",$T186&gt;60),"",IFERROR(INDEX(IF($T186&lt;24,pcomp_s,palt_s),MATCH($X186,IF($T186&lt;24,pcomp_k,palt_k),1)),""))</f>
        <v/>
      </c>
      <c r="AU186">
        <f>IF($AR186="","",IF($AR186=0,LN($F186/$AS186)/$AT186,((($F186/$AS186)^$AR186)-1)/($AR186*$AT186)))</f>
        <v/>
      </c>
      <c r="AV186">
        <f>IF($AR186="","",IF($AR186=0,$AS186*EXP($AT186*2),$AS186*(1+$AR186*$AT186*2)^(1/$AR186)))</f>
        <v/>
      </c>
      <c r="AW186">
        <f>IF($AR186="","",IF($AR186=0,$AS186*EXP($AT186*3),$AS186*(1+$AR186*$AT186*3)^(1/$AR186)))</f>
        <v/>
      </c>
      <c r="AX186">
        <f>IF($AR186="","",IF($AR186=0,$AS186*EXP($AT186*-2),$AS186*(1+$AR186*$AT186*-2)^(1/$AR186)))</f>
        <v/>
      </c>
      <c r="AY186">
        <f>IF($AR186="","",IF($AR186=0,$AS186*EXP($AT186*-3),$AS186*(1+$AR186*$AT186*-3)^(1/$AR186)))</f>
        <v/>
      </c>
      <c r="AZ186">
        <f>IF(OR($A186="",$A186&lt;&gt;Ficha!$C$4),"",COUNTIF($A$2:$A186,Ficha!$C$4))</f>
        <v/>
      </c>
    </row>
    <row r="187">
      <c r="A187" s="8">
        <f>IF(INDEX(Banco!$A:$A,ROW())="","",INDEX(Banco!$A:$A,ROW()))</f>
        <v/>
      </c>
      <c r="B187" s="8">
        <f>IF(INDEX(Banco!$B:$B,ROW())="","",INDEX(Banco!$B:$B,ROW()))</f>
        <v/>
      </c>
      <c r="C187" s="8">
        <f>IF(INDEX(Banco!$C:$C,ROW())="","",INDEX(Banco!$C:$C,ROW()))</f>
        <v/>
      </c>
      <c r="D187" s="9">
        <f>IF(INDEX(Banco!$D:$D,ROW())="","",INDEX(Banco!$D:$D,ROW()))</f>
        <v/>
      </c>
      <c r="E187" s="9">
        <f>IF(INDEX(Banco!$E:$E,ROW())="","",INDEX(Banco!$E:$E,ROW()))</f>
        <v/>
      </c>
      <c r="F187" s="10">
        <f>IF(INDEX(Banco!$F:$F,ROW())="","",INDEX(Banco!$F:$F,ROW()))</f>
        <v/>
      </c>
      <c r="G187" s="10">
        <f>IF(INDEX(Banco!$G:$G,ROW())="","",INDEX(Banco!$G:$G,ROW()))</f>
        <v/>
      </c>
      <c r="H187" s="8">
        <f>IF(INDEX(Banco!$H:$H,ROW())="","",INDEX(Banco!$H:$H,ROW()))</f>
        <v/>
      </c>
      <c r="I187">
        <f>IF($T187="","",INT($T187/12)&amp;"a "&amp;MOD($T187,12)&amp;"m")</f>
        <v/>
      </c>
      <c r="J187" s="11">
        <f>IF(OR($F187="",$G187=""),"",ROUND($F187/($G187/100)^2,2))</f>
        <v/>
      </c>
      <c r="K187" s="12">
        <f>IF(OR($S187="",$J187="",$T187="",$T187&lt;0,$T187&gt;228,$Y187=""),"—",ROUND(IF(ABS($AB187)&lt;=3,$AB187,IF($AB187&gt;3,3+($J187-$AD187)/($AD187-$AC187),-3+($J187-$AF187)/($AE187-$AF187))),2))</f>
        <v/>
      </c>
      <c r="L187">
        <f>IF(OR($K187="",$K187="—"),"",IF($T187&lt;=60,IF($K187&lt;-3,"Magreza acentuada",IF($K187&lt;-2,"Magreza",IF($K187&lt;=1,"Eutrofia",IF($K187&lt;=2,"Risco de sobrepeso",IF($K187&lt;=3,"Sobrepeso","Obesidade"))))),IF($K187&lt;-3,"Magreza acentuada",IF($K187&lt;-2,"Magreza",IF($K187&lt;=1,"Eutrofia",IF($K187&lt;=2,"Sobrepeso",IF($K187&lt;=3,"Obesidade","Obesidade grave")))))))</f>
        <v/>
      </c>
      <c r="M187" s="12">
        <f>IF(OR($S187="",$V187="",$T187="",$T187&lt;0,$T187&gt;228,$AG187=""),"—",ROUND(IF($AG187=0,LN($V187/$AH187)/$AI187,((($V187/$AH187)^$AG187)-1)/($AG187*$AI187)),2))</f>
        <v/>
      </c>
      <c r="N187">
        <f>IF(OR($M187="",$M187="—"),"",IF($M187&lt;-3,"Muito baixa",IF($M187&lt;-2,"Baixa","Adequada")))</f>
        <v/>
      </c>
      <c r="O187" s="12">
        <f>IF(OR($S187="",$F187="",$T187="",$T187&lt;0,$T187&gt;120,$AJ187=""),"—",ROUND(IF(ABS($AM187)&lt;=3,$AM187,IF($AM187&gt;3,3+($F187-$AO187)/($AO187-$AN187),-3+($F187-$AQ187)/($AP187-$AQ187))),2))</f>
        <v/>
      </c>
      <c r="P187">
        <f>IF(OR($O187="",$O187="—"),"",IF($O187&lt;-3,"Muito baixo",IF($O187&lt;-2,"Baixo",IF($O187&lt;=2,"Adequado","Elevado"))))</f>
        <v/>
      </c>
      <c r="Q187" s="12">
        <f>IF(OR($S187="",$F187="",$T187="",$T187&lt;0,$T187&gt;60,$AR187=""),"—",ROUND(IF(ABS($AU187)&lt;=3,$AU187,IF($AU187&gt;3,3+($F187-$AW187)/($AW187-$AV187),-3+($F187-$AY187)/($AX187-$AY187))),2))</f>
        <v/>
      </c>
      <c r="R187">
        <f>IF(OR($Q187="",$Q187="—"),"",IF($Q187&lt;-3,"Magreza acentuada",IF($Q187&lt;-2,"Magreza",IF($Q187&lt;=1,"Eutrofia",IF($Q187&lt;=2,"Risco de sobrepeso",IF($Q187&lt;=3,"Sobrepeso","Obesidade"))))))</f>
        <v/>
      </c>
      <c r="S187">
        <f>IF($C187="","",IF(UPPER(LEFT($C187,1))="M",1,IF(UPPER(LEFT($C187,1))="F",2,"")))</f>
        <v/>
      </c>
      <c r="T187">
        <f>IF(OR($D187="",$E187=""),"",DATEDIF($D187,$E187,"m"))</f>
        <v/>
      </c>
      <c r="U187">
        <f>IF(OR($D187="",$E187=""),"",$E187-$D187)</f>
        <v/>
      </c>
      <c r="V187">
        <f>IF(OR($G187="",$T187=""),"",IF($T187&lt;24,IF(LEFT(LOWER($H187),4)="em p",$G187+0.7,$G187),IF(LEFT(LOWER($H187),4)="deit",$G187-0.7,$G187)))</f>
        <v/>
      </c>
      <c r="W187">
        <f>IF(OR($S187="",$T187=""),"",$S187*1000000+IF($T187&lt;=60,$U187,$T187))</f>
        <v/>
      </c>
      <c r="X187">
        <f>IF(OR($S187="",$V187="",$T187&gt;60,$T187=""),"",$S187*1000000+ROUND($V187*10,0))</f>
        <v/>
      </c>
      <c r="Y187">
        <f>IF($W187="","",IFERROR(INDEX(IF($T187&lt;=60,imc05_l,imc519_l),MATCH($W187,IF($T187&lt;=60,imc05_k,imc519_k),1)),""))</f>
        <v/>
      </c>
      <c r="Z187">
        <f>IF($W187="","",IFERROR(INDEX(IF($T187&lt;=60,imc05_m,imc519_m),MATCH($W187,IF($T187&lt;=60,imc05_k,imc519_k),1)),""))</f>
        <v/>
      </c>
      <c r="AA187">
        <f>IF($W187="","",IFERROR(INDEX(IF($T187&lt;=60,imc05_s,imc519_s),MATCH($W187,IF($T187&lt;=60,imc05_k,imc519_k),1)),""))</f>
        <v/>
      </c>
      <c r="AB187">
        <f>IF($Y187="","",IF($Y187=0,LN($J187/$Z187)/$AA187,((($J187/$Z187)^$Y187)-1)/($Y187*$AA187)))</f>
        <v/>
      </c>
      <c r="AC187">
        <f>IF($Y187="","",IF($Y187=0,$Z187*EXP($AA187*2),$Z187*(1+$Y187*$AA187*2)^(1/$Y187)))</f>
        <v/>
      </c>
      <c r="AD187">
        <f>IF($Y187="","",IF($Y187=0,$Z187*EXP($AA187*3),$Z187*(1+$Y187*$AA187*3)^(1/$Y187)))</f>
        <v/>
      </c>
      <c r="AE187">
        <f>IF($Y187="","",IF($Y187=0,$Z187*EXP($AA187*-2),$Z187*(1+$Y187*$AA187*-2)^(1/$Y187)))</f>
        <v/>
      </c>
      <c r="AF187">
        <f>IF($Y187="","",IF($Y187=0,$Z187*EXP($AA187*-3),$Z187*(1+$Y187*$AA187*-3)^(1/$Y187)))</f>
        <v/>
      </c>
      <c r="AG187">
        <f>IF($W187="","",IFERROR(INDEX(IF($T187&lt;=60,est05_l,est519_l),MATCH($W187,IF($T187&lt;=60,est05_k,est519_k),1)),""))</f>
        <v/>
      </c>
      <c r="AH187">
        <f>IF($W187="","",IFERROR(INDEX(IF($T187&lt;=60,est05_m,est519_m),MATCH($W187,IF($T187&lt;=60,est05_k,est519_k),1)),""))</f>
        <v/>
      </c>
      <c r="AI187">
        <f>IF($W187="","",IFERROR(INDEX(IF($T187&lt;=60,est05_s,est519_s),MATCH($W187,IF($T187&lt;=60,est05_k,est519_k),1)),""))</f>
        <v/>
      </c>
      <c r="AJ187">
        <f>IF($W187="","",IFERROR(INDEX(IF($T187&lt;=60,peso05_l,peso510_l),MATCH($W187,IF($T187&lt;=60,peso05_k,peso510_k),1)),""))</f>
        <v/>
      </c>
      <c r="AK187">
        <f>IF($W187="","",IFERROR(INDEX(IF($T187&lt;=60,peso05_m,peso510_m),MATCH($W187,IF($T187&lt;=60,peso05_k,peso510_k),1)),""))</f>
        <v/>
      </c>
      <c r="AL187">
        <f>IF($W187="","",IFERROR(INDEX(IF($T187&lt;=60,peso05_s,peso510_s),MATCH($W187,IF($T187&lt;=60,peso05_k,peso510_k),1)),""))</f>
        <v/>
      </c>
      <c r="AM187">
        <f>IF($AJ187="","",IF($AJ187=0,LN($F187/$AK187)/$AL187,((($F187/$AK187)^$AJ187)-1)/($AJ187*$AL187)))</f>
        <v/>
      </c>
      <c r="AN187">
        <f>IF($AJ187="","",IF($AJ187=0,$AK187*EXP($AL187*2),$AK187*(1+$AJ187*$AL187*2)^(1/$AJ187)))</f>
        <v/>
      </c>
      <c r="AO187">
        <f>IF($AJ187="","",IF($AJ187=0,$AK187*EXP($AL187*3),$AK187*(1+$AJ187*$AL187*3)^(1/$AJ187)))</f>
        <v/>
      </c>
      <c r="AP187">
        <f>IF($AJ187="","",IF($AJ187=0,$AK187*EXP($AL187*-2),$AK187*(1+$AJ187*$AL187*-2)^(1/$AJ187)))</f>
        <v/>
      </c>
      <c r="AQ187">
        <f>IF($AJ187="","",IF($AJ187=0,$AK187*EXP($AL187*-3),$AK187*(1+$AJ187*$AL187*-3)^(1/$AJ187)))</f>
        <v/>
      </c>
      <c r="AR187">
        <f>IF(OR($X187="",$T187&gt;60),"",IFERROR(INDEX(IF($T187&lt;24,pcomp_l,palt_l),MATCH($X187,IF($T187&lt;24,pcomp_k,palt_k),1)),""))</f>
        <v/>
      </c>
      <c r="AS187">
        <f>IF(OR($X187="",$T187&gt;60),"",IFERROR(INDEX(IF($T187&lt;24,pcomp_m,palt_m),MATCH($X187,IF($T187&lt;24,pcomp_k,palt_k),1)),""))</f>
        <v/>
      </c>
      <c r="AT187">
        <f>IF(OR($X187="",$T187&gt;60),"",IFERROR(INDEX(IF($T187&lt;24,pcomp_s,palt_s),MATCH($X187,IF($T187&lt;24,pcomp_k,palt_k),1)),""))</f>
        <v/>
      </c>
      <c r="AU187">
        <f>IF($AR187="","",IF($AR187=0,LN($F187/$AS187)/$AT187,((($F187/$AS187)^$AR187)-1)/($AR187*$AT187)))</f>
        <v/>
      </c>
      <c r="AV187">
        <f>IF($AR187="","",IF($AR187=0,$AS187*EXP($AT187*2),$AS187*(1+$AR187*$AT187*2)^(1/$AR187)))</f>
        <v/>
      </c>
      <c r="AW187">
        <f>IF($AR187="","",IF($AR187=0,$AS187*EXP($AT187*3),$AS187*(1+$AR187*$AT187*3)^(1/$AR187)))</f>
        <v/>
      </c>
      <c r="AX187">
        <f>IF($AR187="","",IF($AR187=0,$AS187*EXP($AT187*-2),$AS187*(1+$AR187*$AT187*-2)^(1/$AR187)))</f>
        <v/>
      </c>
      <c r="AY187">
        <f>IF($AR187="","",IF($AR187=0,$AS187*EXP($AT187*-3),$AS187*(1+$AR187*$AT187*-3)^(1/$AR187)))</f>
        <v/>
      </c>
      <c r="AZ187">
        <f>IF(OR($A187="",$A187&lt;&gt;Ficha!$C$4),"",COUNTIF($A$2:$A187,Ficha!$C$4))</f>
        <v/>
      </c>
    </row>
    <row r="188">
      <c r="A188" s="8">
        <f>IF(INDEX(Banco!$A:$A,ROW())="","",INDEX(Banco!$A:$A,ROW()))</f>
        <v/>
      </c>
      <c r="B188" s="8">
        <f>IF(INDEX(Banco!$B:$B,ROW())="","",INDEX(Banco!$B:$B,ROW()))</f>
        <v/>
      </c>
      <c r="C188" s="8">
        <f>IF(INDEX(Banco!$C:$C,ROW())="","",INDEX(Banco!$C:$C,ROW()))</f>
        <v/>
      </c>
      <c r="D188" s="9">
        <f>IF(INDEX(Banco!$D:$D,ROW())="","",INDEX(Banco!$D:$D,ROW()))</f>
        <v/>
      </c>
      <c r="E188" s="9">
        <f>IF(INDEX(Banco!$E:$E,ROW())="","",INDEX(Banco!$E:$E,ROW()))</f>
        <v/>
      </c>
      <c r="F188" s="10">
        <f>IF(INDEX(Banco!$F:$F,ROW())="","",INDEX(Banco!$F:$F,ROW()))</f>
        <v/>
      </c>
      <c r="G188" s="10">
        <f>IF(INDEX(Banco!$G:$G,ROW())="","",INDEX(Banco!$G:$G,ROW()))</f>
        <v/>
      </c>
      <c r="H188" s="8">
        <f>IF(INDEX(Banco!$H:$H,ROW())="","",INDEX(Banco!$H:$H,ROW()))</f>
        <v/>
      </c>
      <c r="I188">
        <f>IF($T188="","",INT($T188/12)&amp;"a "&amp;MOD($T188,12)&amp;"m")</f>
        <v/>
      </c>
      <c r="J188" s="11">
        <f>IF(OR($F188="",$G188=""),"",ROUND($F188/($G188/100)^2,2))</f>
        <v/>
      </c>
      <c r="K188" s="12">
        <f>IF(OR($S188="",$J188="",$T188="",$T188&lt;0,$T188&gt;228,$Y188=""),"—",ROUND(IF(ABS($AB188)&lt;=3,$AB188,IF($AB188&gt;3,3+($J188-$AD188)/($AD188-$AC188),-3+($J188-$AF188)/($AE188-$AF188))),2))</f>
        <v/>
      </c>
      <c r="L188">
        <f>IF(OR($K188="",$K188="—"),"",IF($T188&lt;=60,IF($K188&lt;-3,"Magreza acentuada",IF($K188&lt;-2,"Magreza",IF($K188&lt;=1,"Eutrofia",IF($K188&lt;=2,"Risco de sobrepeso",IF($K188&lt;=3,"Sobrepeso","Obesidade"))))),IF($K188&lt;-3,"Magreza acentuada",IF($K188&lt;-2,"Magreza",IF($K188&lt;=1,"Eutrofia",IF($K188&lt;=2,"Sobrepeso",IF($K188&lt;=3,"Obesidade","Obesidade grave")))))))</f>
        <v/>
      </c>
      <c r="M188" s="12">
        <f>IF(OR($S188="",$V188="",$T188="",$T188&lt;0,$T188&gt;228,$AG188=""),"—",ROUND(IF($AG188=0,LN($V188/$AH188)/$AI188,((($V188/$AH188)^$AG188)-1)/($AG188*$AI188)),2))</f>
        <v/>
      </c>
      <c r="N188">
        <f>IF(OR($M188="",$M188="—"),"",IF($M188&lt;-3,"Muito baixa",IF($M188&lt;-2,"Baixa","Adequada")))</f>
        <v/>
      </c>
      <c r="O188" s="12">
        <f>IF(OR($S188="",$F188="",$T188="",$T188&lt;0,$T188&gt;120,$AJ188=""),"—",ROUND(IF(ABS($AM188)&lt;=3,$AM188,IF($AM188&gt;3,3+($F188-$AO188)/($AO188-$AN188),-3+($F188-$AQ188)/($AP188-$AQ188))),2))</f>
        <v/>
      </c>
      <c r="P188">
        <f>IF(OR($O188="",$O188="—"),"",IF($O188&lt;-3,"Muito baixo",IF($O188&lt;-2,"Baixo",IF($O188&lt;=2,"Adequado","Elevado"))))</f>
        <v/>
      </c>
      <c r="Q188" s="12">
        <f>IF(OR($S188="",$F188="",$T188="",$T188&lt;0,$T188&gt;60,$AR188=""),"—",ROUND(IF(ABS($AU188)&lt;=3,$AU188,IF($AU188&gt;3,3+($F188-$AW188)/($AW188-$AV188),-3+($F188-$AY188)/($AX188-$AY188))),2))</f>
        <v/>
      </c>
      <c r="R188">
        <f>IF(OR($Q188="",$Q188="—"),"",IF($Q188&lt;-3,"Magreza acentuada",IF($Q188&lt;-2,"Magreza",IF($Q188&lt;=1,"Eutrofia",IF($Q188&lt;=2,"Risco de sobrepeso",IF($Q188&lt;=3,"Sobrepeso","Obesidade"))))))</f>
        <v/>
      </c>
      <c r="S188">
        <f>IF($C188="","",IF(UPPER(LEFT($C188,1))="M",1,IF(UPPER(LEFT($C188,1))="F",2,"")))</f>
        <v/>
      </c>
      <c r="T188">
        <f>IF(OR($D188="",$E188=""),"",DATEDIF($D188,$E188,"m"))</f>
        <v/>
      </c>
      <c r="U188">
        <f>IF(OR($D188="",$E188=""),"",$E188-$D188)</f>
        <v/>
      </c>
      <c r="V188">
        <f>IF(OR($G188="",$T188=""),"",IF($T188&lt;24,IF(LEFT(LOWER($H188),4)="em p",$G188+0.7,$G188),IF(LEFT(LOWER($H188),4)="deit",$G188-0.7,$G188)))</f>
        <v/>
      </c>
      <c r="W188">
        <f>IF(OR($S188="",$T188=""),"",$S188*1000000+IF($T188&lt;=60,$U188,$T188))</f>
        <v/>
      </c>
      <c r="X188">
        <f>IF(OR($S188="",$V188="",$T188&gt;60,$T188=""),"",$S188*1000000+ROUND($V188*10,0))</f>
        <v/>
      </c>
      <c r="Y188">
        <f>IF($W188="","",IFERROR(INDEX(IF($T188&lt;=60,imc05_l,imc519_l),MATCH($W188,IF($T188&lt;=60,imc05_k,imc519_k),1)),""))</f>
        <v/>
      </c>
      <c r="Z188">
        <f>IF($W188="","",IFERROR(INDEX(IF($T188&lt;=60,imc05_m,imc519_m),MATCH($W188,IF($T188&lt;=60,imc05_k,imc519_k),1)),""))</f>
        <v/>
      </c>
      <c r="AA188">
        <f>IF($W188="","",IFERROR(INDEX(IF($T188&lt;=60,imc05_s,imc519_s),MATCH($W188,IF($T188&lt;=60,imc05_k,imc519_k),1)),""))</f>
        <v/>
      </c>
      <c r="AB188">
        <f>IF($Y188="","",IF($Y188=0,LN($J188/$Z188)/$AA188,((($J188/$Z188)^$Y188)-1)/($Y188*$AA188)))</f>
        <v/>
      </c>
      <c r="AC188">
        <f>IF($Y188="","",IF($Y188=0,$Z188*EXP($AA188*2),$Z188*(1+$Y188*$AA188*2)^(1/$Y188)))</f>
        <v/>
      </c>
      <c r="AD188">
        <f>IF($Y188="","",IF($Y188=0,$Z188*EXP($AA188*3),$Z188*(1+$Y188*$AA188*3)^(1/$Y188)))</f>
        <v/>
      </c>
      <c r="AE188">
        <f>IF($Y188="","",IF($Y188=0,$Z188*EXP($AA188*-2),$Z188*(1+$Y188*$AA188*-2)^(1/$Y188)))</f>
        <v/>
      </c>
      <c r="AF188">
        <f>IF($Y188="","",IF($Y188=0,$Z188*EXP($AA188*-3),$Z188*(1+$Y188*$AA188*-3)^(1/$Y188)))</f>
        <v/>
      </c>
      <c r="AG188">
        <f>IF($W188="","",IFERROR(INDEX(IF($T188&lt;=60,est05_l,est519_l),MATCH($W188,IF($T188&lt;=60,est05_k,est519_k),1)),""))</f>
        <v/>
      </c>
      <c r="AH188">
        <f>IF($W188="","",IFERROR(INDEX(IF($T188&lt;=60,est05_m,est519_m),MATCH($W188,IF($T188&lt;=60,est05_k,est519_k),1)),""))</f>
        <v/>
      </c>
      <c r="AI188">
        <f>IF($W188="","",IFERROR(INDEX(IF($T188&lt;=60,est05_s,est519_s),MATCH($W188,IF($T188&lt;=60,est05_k,est519_k),1)),""))</f>
        <v/>
      </c>
      <c r="AJ188">
        <f>IF($W188="","",IFERROR(INDEX(IF($T188&lt;=60,peso05_l,peso510_l),MATCH($W188,IF($T188&lt;=60,peso05_k,peso510_k),1)),""))</f>
        <v/>
      </c>
      <c r="AK188">
        <f>IF($W188="","",IFERROR(INDEX(IF($T188&lt;=60,peso05_m,peso510_m),MATCH($W188,IF($T188&lt;=60,peso05_k,peso510_k),1)),""))</f>
        <v/>
      </c>
      <c r="AL188">
        <f>IF($W188="","",IFERROR(INDEX(IF($T188&lt;=60,peso05_s,peso510_s),MATCH($W188,IF($T188&lt;=60,peso05_k,peso510_k),1)),""))</f>
        <v/>
      </c>
      <c r="AM188">
        <f>IF($AJ188="","",IF($AJ188=0,LN($F188/$AK188)/$AL188,((($F188/$AK188)^$AJ188)-1)/($AJ188*$AL188)))</f>
        <v/>
      </c>
      <c r="AN188">
        <f>IF($AJ188="","",IF($AJ188=0,$AK188*EXP($AL188*2),$AK188*(1+$AJ188*$AL188*2)^(1/$AJ188)))</f>
        <v/>
      </c>
      <c r="AO188">
        <f>IF($AJ188="","",IF($AJ188=0,$AK188*EXP($AL188*3),$AK188*(1+$AJ188*$AL188*3)^(1/$AJ188)))</f>
        <v/>
      </c>
      <c r="AP188">
        <f>IF($AJ188="","",IF($AJ188=0,$AK188*EXP($AL188*-2),$AK188*(1+$AJ188*$AL188*-2)^(1/$AJ188)))</f>
        <v/>
      </c>
      <c r="AQ188">
        <f>IF($AJ188="","",IF($AJ188=0,$AK188*EXP($AL188*-3),$AK188*(1+$AJ188*$AL188*-3)^(1/$AJ188)))</f>
        <v/>
      </c>
      <c r="AR188">
        <f>IF(OR($X188="",$T188&gt;60),"",IFERROR(INDEX(IF($T188&lt;24,pcomp_l,palt_l),MATCH($X188,IF($T188&lt;24,pcomp_k,palt_k),1)),""))</f>
        <v/>
      </c>
      <c r="AS188">
        <f>IF(OR($X188="",$T188&gt;60),"",IFERROR(INDEX(IF($T188&lt;24,pcomp_m,palt_m),MATCH($X188,IF($T188&lt;24,pcomp_k,palt_k),1)),""))</f>
        <v/>
      </c>
      <c r="AT188">
        <f>IF(OR($X188="",$T188&gt;60),"",IFERROR(INDEX(IF($T188&lt;24,pcomp_s,palt_s),MATCH($X188,IF($T188&lt;24,pcomp_k,palt_k),1)),""))</f>
        <v/>
      </c>
      <c r="AU188">
        <f>IF($AR188="","",IF($AR188=0,LN($F188/$AS188)/$AT188,((($F188/$AS188)^$AR188)-1)/($AR188*$AT188)))</f>
        <v/>
      </c>
      <c r="AV188">
        <f>IF($AR188="","",IF($AR188=0,$AS188*EXP($AT188*2),$AS188*(1+$AR188*$AT188*2)^(1/$AR188)))</f>
        <v/>
      </c>
      <c r="AW188">
        <f>IF($AR188="","",IF($AR188=0,$AS188*EXP($AT188*3),$AS188*(1+$AR188*$AT188*3)^(1/$AR188)))</f>
        <v/>
      </c>
      <c r="AX188">
        <f>IF($AR188="","",IF($AR188=0,$AS188*EXP($AT188*-2),$AS188*(1+$AR188*$AT188*-2)^(1/$AR188)))</f>
        <v/>
      </c>
      <c r="AY188">
        <f>IF($AR188="","",IF($AR188=0,$AS188*EXP($AT188*-3),$AS188*(1+$AR188*$AT188*-3)^(1/$AR188)))</f>
        <v/>
      </c>
      <c r="AZ188">
        <f>IF(OR($A188="",$A188&lt;&gt;Ficha!$C$4),"",COUNTIF($A$2:$A188,Ficha!$C$4))</f>
        <v/>
      </c>
    </row>
    <row r="189">
      <c r="A189" s="8">
        <f>IF(INDEX(Banco!$A:$A,ROW())="","",INDEX(Banco!$A:$A,ROW()))</f>
        <v/>
      </c>
      <c r="B189" s="8">
        <f>IF(INDEX(Banco!$B:$B,ROW())="","",INDEX(Banco!$B:$B,ROW()))</f>
        <v/>
      </c>
      <c r="C189" s="8">
        <f>IF(INDEX(Banco!$C:$C,ROW())="","",INDEX(Banco!$C:$C,ROW()))</f>
        <v/>
      </c>
      <c r="D189" s="9">
        <f>IF(INDEX(Banco!$D:$D,ROW())="","",INDEX(Banco!$D:$D,ROW()))</f>
        <v/>
      </c>
      <c r="E189" s="9">
        <f>IF(INDEX(Banco!$E:$E,ROW())="","",INDEX(Banco!$E:$E,ROW()))</f>
        <v/>
      </c>
      <c r="F189" s="10">
        <f>IF(INDEX(Banco!$F:$F,ROW())="","",INDEX(Banco!$F:$F,ROW()))</f>
        <v/>
      </c>
      <c r="G189" s="10">
        <f>IF(INDEX(Banco!$G:$G,ROW())="","",INDEX(Banco!$G:$G,ROW()))</f>
        <v/>
      </c>
      <c r="H189" s="8">
        <f>IF(INDEX(Banco!$H:$H,ROW())="","",INDEX(Banco!$H:$H,ROW()))</f>
        <v/>
      </c>
      <c r="I189">
        <f>IF($T189="","",INT($T189/12)&amp;"a "&amp;MOD($T189,12)&amp;"m")</f>
        <v/>
      </c>
      <c r="J189" s="11">
        <f>IF(OR($F189="",$G189=""),"",ROUND($F189/($G189/100)^2,2))</f>
        <v/>
      </c>
      <c r="K189" s="12">
        <f>IF(OR($S189="",$J189="",$T189="",$T189&lt;0,$T189&gt;228,$Y189=""),"—",ROUND(IF(ABS($AB189)&lt;=3,$AB189,IF($AB189&gt;3,3+($J189-$AD189)/($AD189-$AC189),-3+($J189-$AF189)/($AE189-$AF189))),2))</f>
        <v/>
      </c>
      <c r="L189">
        <f>IF(OR($K189="",$K189="—"),"",IF($T189&lt;=60,IF($K189&lt;-3,"Magreza acentuada",IF($K189&lt;-2,"Magreza",IF($K189&lt;=1,"Eutrofia",IF($K189&lt;=2,"Risco de sobrepeso",IF($K189&lt;=3,"Sobrepeso","Obesidade"))))),IF($K189&lt;-3,"Magreza acentuada",IF($K189&lt;-2,"Magreza",IF($K189&lt;=1,"Eutrofia",IF($K189&lt;=2,"Sobrepeso",IF($K189&lt;=3,"Obesidade","Obesidade grave")))))))</f>
        <v/>
      </c>
      <c r="M189" s="12">
        <f>IF(OR($S189="",$V189="",$T189="",$T189&lt;0,$T189&gt;228,$AG189=""),"—",ROUND(IF($AG189=0,LN($V189/$AH189)/$AI189,((($V189/$AH189)^$AG189)-1)/($AG189*$AI189)),2))</f>
        <v/>
      </c>
      <c r="N189">
        <f>IF(OR($M189="",$M189="—"),"",IF($M189&lt;-3,"Muito baixa",IF($M189&lt;-2,"Baixa","Adequada")))</f>
        <v/>
      </c>
      <c r="O189" s="12">
        <f>IF(OR($S189="",$F189="",$T189="",$T189&lt;0,$T189&gt;120,$AJ189=""),"—",ROUND(IF(ABS($AM189)&lt;=3,$AM189,IF($AM189&gt;3,3+($F189-$AO189)/($AO189-$AN189),-3+($F189-$AQ189)/($AP189-$AQ189))),2))</f>
        <v/>
      </c>
      <c r="P189">
        <f>IF(OR($O189="",$O189="—"),"",IF($O189&lt;-3,"Muito baixo",IF($O189&lt;-2,"Baixo",IF($O189&lt;=2,"Adequado","Elevado"))))</f>
        <v/>
      </c>
      <c r="Q189" s="12">
        <f>IF(OR($S189="",$F189="",$T189="",$T189&lt;0,$T189&gt;60,$AR189=""),"—",ROUND(IF(ABS($AU189)&lt;=3,$AU189,IF($AU189&gt;3,3+($F189-$AW189)/($AW189-$AV189),-3+($F189-$AY189)/($AX189-$AY189))),2))</f>
        <v/>
      </c>
      <c r="R189">
        <f>IF(OR($Q189="",$Q189="—"),"",IF($Q189&lt;-3,"Magreza acentuada",IF($Q189&lt;-2,"Magreza",IF($Q189&lt;=1,"Eutrofia",IF($Q189&lt;=2,"Risco de sobrepeso",IF($Q189&lt;=3,"Sobrepeso","Obesidade"))))))</f>
        <v/>
      </c>
      <c r="S189">
        <f>IF($C189="","",IF(UPPER(LEFT($C189,1))="M",1,IF(UPPER(LEFT($C189,1))="F",2,"")))</f>
        <v/>
      </c>
      <c r="T189">
        <f>IF(OR($D189="",$E189=""),"",DATEDIF($D189,$E189,"m"))</f>
        <v/>
      </c>
      <c r="U189">
        <f>IF(OR($D189="",$E189=""),"",$E189-$D189)</f>
        <v/>
      </c>
      <c r="V189">
        <f>IF(OR($G189="",$T189=""),"",IF($T189&lt;24,IF(LEFT(LOWER($H189),4)="em p",$G189+0.7,$G189),IF(LEFT(LOWER($H189),4)="deit",$G189-0.7,$G189)))</f>
        <v/>
      </c>
      <c r="W189">
        <f>IF(OR($S189="",$T189=""),"",$S189*1000000+IF($T189&lt;=60,$U189,$T189))</f>
        <v/>
      </c>
      <c r="X189">
        <f>IF(OR($S189="",$V189="",$T189&gt;60,$T189=""),"",$S189*1000000+ROUND($V189*10,0))</f>
        <v/>
      </c>
      <c r="Y189">
        <f>IF($W189="","",IFERROR(INDEX(IF($T189&lt;=60,imc05_l,imc519_l),MATCH($W189,IF($T189&lt;=60,imc05_k,imc519_k),1)),""))</f>
        <v/>
      </c>
      <c r="Z189">
        <f>IF($W189="","",IFERROR(INDEX(IF($T189&lt;=60,imc05_m,imc519_m),MATCH($W189,IF($T189&lt;=60,imc05_k,imc519_k),1)),""))</f>
        <v/>
      </c>
      <c r="AA189">
        <f>IF($W189="","",IFERROR(INDEX(IF($T189&lt;=60,imc05_s,imc519_s),MATCH($W189,IF($T189&lt;=60,imc05_k,imc519_k),1)),""))</f>
        <v/>
      </c>
      <c r="AB189">
        <f>IF($Y189="","",IF($Y189=0,LN($J189/$Z189)/$AA189,((($J189/$Z189)^$Y189)-1)/($Y189*$AA189)))</f>
        <v/>
      </c>
      <c r="AC189">
        <f>IF($Y189="","",IF($Y189=0,$Z189*EXP($AA189*2),$Z189*(1+$Y189*$AA189*2)^(1/$Y189)))</f>
        <v/>
      </c>
      <c r="AD189">
        <f>IF($Y189="","",IF($Y189=0,$Z189*EXP($AA189*3),$Z189*(1+$Y189*$AA189*3)^(1/$Y189)))</f>
        <v/>
      </c>
      <c r="AE189">
        <f>IF($Y189="","",IF($Y189=0,$Z189*EXP($AA189*-2),$Z189*(1+$Y189*$AA189*-2)^(1/$Y189)))</f>
        <v/>
      </c>
      <c r="AF189">
        <f>IF($Y189="","",IF($Y189=0,$Z189*EXP($AA189*-3),$Z189*(1+$Y189*$AA189*-3)^(1/$Y189)))</f>
        <v/>
      </c>
      <c r="AG189">
        <f>IF($W189="","",IFERROR(INDEX(IF($T189&lt;=60,est05_l,est519_l),MATCH($W189,IF($T189&lt;=60,est05_k,est519_k),1)),""))</f>
        <v/>
      </c>
      <c r="AH189">
        <f>IF($W189="","",IFERROR(INDEX(IF($T189&lt;=60,est05_m,est519_m),MATCH($W189,IF($T189&lt;=60,est05_k,est519_k),1)),""))</f>
        <v/>
      </c>
      <c r="AI189">
        <f>IF($W189="","",IFERROR(INDEX(IF($T189&lt;=60,est05_s,est519_s),MATCH($W189,IF($T189&lt;=60,est05_k,est519_k),1)),""))</f>
        <v/>
      </c>
      <c r="AJ189">
        <f>IF($W189="","",IFERROR(INDEX(IF($T189&lt;=60,peso05_l,peso510_l),MATCH($W189,IF($T189&lt;=60,peso05_k,peso510_k),1)),""))</f>
        <v/>
      </c>
      <c r="AK189">
        <f>IF($W189="","",IFERROR(INDEX(IF($T189&lt;=60,peso05_m,peso510_m),MATCH($W189,IF($T189&lt;=60,peso05_k,peso510_k),1)),""))</f>
        <v/>
      </c>
      <c r="AL189">
        <f>IF($W189="","",IFERROR(INDEX(IF($T189&lt;=60,peso05_s,peso510_s),MATCH($W189,IF($T189&lt;=60,peso05_k,peso510_k),1)),""))</f>
        <v/>
      </c>
      <c r="AM189">
        <f>IF($AJ189="","",IF($AJ189=0,LN($F189/$AK189)/$AL189,((($F189/$AK189)^$AJ189)-1)/($AJ189*$AL189)))</f>
        <v/>
      </c>
      <c r="AN189">
        <f>IF($AJ189="","",IF($AJ189=0,$AK189*EXP($AL189*2),$AK189*(1+$AJ189*$AL189*2)^(1/$AJ189)))</f>
        <v/>
      </c>
      <c r="AO189">
        <f>IF($AJ189="","",IF($AJ189=0,$AK189*EXP($AL189*3),$AK189*(1+$AJ189*$AL189*3)^(1/$AJ189)))</f>
        <v/>
      </c>
      <c r="AP189">
        <f>IF($AJ189="","",IF($AJ189=0,$AK189*EXP($AL189*-2),$AK189*(1+$AJ189*$AL189*-2)^(1/$AJ189)))</f>
        <v/>
      </c>
      <c r="AQ189">
        <f>IF($AJ189="","",IF($AJ189=0,$AK189*EXP($AL189*-3),$AK189*(1+$AJ189*$AL189*-3)^(1/$AJ189)))</f>
        <v/>
      </c>
      <c r="AR189">
        <f>IF(OR($X189="",$T189&gt;60),"",IFERROR(INDEX(IF($T189&lt;24,pcomp_l,palt_l),MATCH($X189,IF($T189&lt;24,pcomp_k,palt_k),1)),""))</f>
        <v/>
      </c>
      <c r="AS189">
        <f>IF(OR($X189="",$T189&gt;60),"",IFERROR(INDEX(IF($T189&lt;24,pcomp_m,palt_m),MATCH($X189,IF($T189&lt;24,pcomp_k,palt_k),1)),""))</f>
        <v/>
      </c>
      <c r="AT189">
        <f>IF(OR($X189="",$T189&gt;60),"",IFERROR(INDEX(IF($T189&lt;24,pcomp_s,palt_s),MATCH($X189,IF($T189&lt;24,pcomp_k,palt_k),1)),""))</f>
        <v/>
      </c>
      <c r="AU189">
        <f>IF($AR189="","",IF($AR189=0,LN($F189/$AS189)/$AT189,((($F189/$AS189)^$AR189)-1)/($AR189*$AT189)))</f>
        <v/>
      </c>
      <c r="AV189">
        <f>IF($AR189="","",IF($AR189=0,$AS189*EXP($AT189*2),$AS189*(1+$AR189*$AT189*2)^(1/$AR189)))</f>
        <v/>
      </c>
      <c r="AW189">
        <f>IF($AR189="","",IF($AR189=0,$AS189*EXP($AT189*3),$AS189*(1+$AR189*$AT189*3)^(1/$AR189)))</f>
        <v/>
      </c>
      <c r="AX189">
        <f>IF($AR189="","",IF($AR189=0,$AS189*EXP($AT189*-2),$AS189*(1+$AR189*$AT189*-2)^(1/$AR189)))</f>
        <v/>
      </c>
      <c r="AY189">
        <f>IF($AR189="","",IF($AR189=0,$AS189*EXP($AT189*-3),$AS189*(1+$AR189*$AT189*-3)^(1/$AR189)))</f>
        <v/>
      </c>
      <c r="AZ189">
        <f>IF(OR($A189="",$A189&lt;&gt;Ficha!$C$4),"",COUNTIF($A$2:$A189,Ficha!$C$4))</f>
        <v/>
      </c>
    </row>
    <row r="190">
      <c r="A190" s="8">
        <f>IF(INDEX(Banco!$A:$A,ROW())="","",INDEX(Banco!$A:$A,ROW()))</f>
        <v/>
      </c>
      <c r="B190" s="8">
        <f>IF(INDEX(Banco!$B:$B,ROW())="","",INDEX(Banco!$B:$B,ROW()))</f>
        <v/>
      </c>
      <c r="C190" s="8">
        <f>IF(INDEX(Banco!$C:$C,ROW())="","",INDEX(Banco!$C:$C,ROW()))</f>
        <v/>
      </c>
      <c r="D190" s="9">
        <f>IF(INDEX(Banco!$D:$D,ROW())="","",INDEX(Banco!$D:$D,ROW()))</f>
        <v/>
      </c>
      <c r="E190" s="9">
        <f>IF(INDEX(Banco!$E:$E,ROW())="","",INDEX(Banco!$E:$E,ROW()))</f>
        <v/>
      </c>
      <c r="F190" s="10">
        <f>IF(INDEX(Banco!$F:$F,ROW())="","",INDEX(Banco!$F:$F,ROW()))</f>
        <v/>
      </c>
      <c r="G190" s="10">
        <f>IF(INDEX(Banco!$G:$G,ROW())="","",INDEX(Banco!$G:$G,ROW()))</f>
        <v/>
      </c>
      <c r="H190" s="8">
        <f>IF(INDEX(Banco!$H:$H,ROW())="","",INDEX(Banco!$H:$H,ROW()))</f>
        <v/>
      </c>
      <c r="I190">
        <f>IF($T190="","",INT($T190/12)&amp;"a "&amp;MOD($T190,12)&amp;"m")</f>
        <v/>
      </c>
      <c r="J190" s="11">
        <f>IF(OR($F190="",$G190=""),"",ROUND($F190/($G190/100)^2,2))</f>
        <v/>
      </c>
      <c r="K190" s="12">
        <f>IF(OR($S190="",$J190="",$T190="",$T190&lt;0,$T190&gt;228,$Y190=""),"—",ROUND(IF(ABS($AB190)&lt;=3,$AB190,IF($AB190&gt;3,3+($J190-$AD190)/($AD190-$AC190),-3+($J190-$AF190)/($AE190-$AF190))),2))</f>
        <v/>
      </c>
      <c r="L190">
        <f>IF(OR($K190="",$K190="—"),"",IF($T190&lt;=60,IF($K190&lt;-3,"Magreza acentuada",IF($K190&lt;-2,"Magreza",IF($K190&lt;=1,"Eutrofia",IF($K190&lt;=2,"Risco de sobrepeso",IF($K190&lt;=3,"Sobrepeso","Obesidade"))))),IF($K190&lt;-3,"Magreza acentuada",IF($K190&lt;-2,"Magreza",IF($K190&lt;=1,"Eutrofia",IF($K190&lt;=2,"Sobrepeso",IF($K190&lt;=3,"Obesidade","Obesidade grave")))))))</f>
        <v/>
      </c>
      <c r="M190" s="12">
        <f>IF(OR($S190="",$V190="",$T190="",$T190&lt;0,$T190&gt;228,$AG190=""),"—",ROUND(IF($AG190=0,LN($V190/$AH190)/$AI190,((($V190/$AH190)^$AG190)-1)/($AG190*$AI190)),2))</f>
        <v/>
      </c>
      <c r="N190">
        <f>IF(OR($M190="",$M190="—"),"",IF($M190&lt;-3,"Muito baixa",IF($M190&lt;-2,"Baixa","Adequada")))</f>
        <v/>
      </c>
      <c r="O190" s="12">
        <f>IF(OR($S190="",$F190="",$T190="",$T190&lt;0,$T190&gt;120,$AJ190=""),"—",ROUND(IF(ABS($AM190)&lt;=3,$AM190,IF($AM190&gt;3,3+($F190-$AO190)/($AO190-$AN190),-3+($F190-$AQ190)/($AP190-$AQ190))),2))</f>
        <v/>
      </c>
      <c r="P190">
        <f>IF(OR($O190="",$O190="—"),"",IF($O190&lt;-3,"Muito baixo",IF($O190&lt;-2,"Baixo",IF($O190&lt;=2,"Adequado","Elevado"))))</f>
        <v/>
      </c>
      <c r="Q190" s="12">
        <f>IF(OR($S190="",$F190="",$T190="",$T190&lt;0,$T190&gt;60,$AR190=""),"—",ROUND(IF(ABS($AU190)&lt;=3,$AU190,IF($AU190&gt;3,3+($F190-$AW190)/($AW190-$AV190),-3+($F190-$AY190)/($AX190-$AY190))),2))</f>
        <v/>
      </c>
      <c r="R190">
        <f>IF(OR($Q190="",$Q190="—"),"",IF($Q190&lt;-3,"Magreza acentuada",IF($Q190&lt;-2,"Magreza",IF($Q190&lt;=1,"Eutrofia",IF($Q190&lt;=2,"Risco de sobrepeso",IF($Q190&lt;=3,"Sobrepeso","Obesidade"))))))</f>
        <v/>
      </c>
      <c r="S190">
        <f>IF($C190="","",IF(UPPER(LEFT($C190,1))="M",1,IF(UPPER(LEFT($C190,1))="F",2,"")))</f>
        <v/>
      </c>
      <c r="T190">
        <f>IF(OR($D190="",$E190=""),"",DATEDIF($D190,$E190,"m"))</f>
        <v/>
      </c>
      <c r="U190">
        <f>IF(OR($D190="",$E190=""),"",$E190-$D190)</f>
        <v/>
      </c>
      <c r="V190">
        <f>IF(OR($G190="",$T190=""),"",IF($T190&lt;24,IF(LEFT(LOWER($H190),4)="em p",$G190+0.7,$G190),IF(LEFT(LOWER($H190),4)="deit",$G190-0.7,$G190)))</f>
        <v/>
      </c>
      <c r="W190">
        <f>IF(OR($S190="",$T190=""),"",$S190*1000000+IF($T190&lt;=60,$U190,$T190))</f>
        <v/>
      </c>
      <c r="X190">
        <f>IF(OR($S190="",$V190="",$T190&gt;60,$T190=""),"",$S190*1000000+ROUND($V190*10,0))</f>
        <v/>
      </c>
      <c r="Y190">
        <f>IF($W190="","",IFERROR(INDEX(IF($T190&lt;=60,imc05_l,imc519_l),MATCH($W190,IF($T190&lt;=60,imc05_k,imc519_k),1)),""))</f>
        <v/>
      </c>
      <c r="Z190">
        <f>IF($W190="","",IFERROR(INDEX(IF($T190&lt;=60,imc05_m,imc519_m),MATCH($W190,IF($T190&lt;=60,imc05_k,imc519_k),1)),""))</f>
        <v/>
      </c>
      <c r="AA190">
        <f>IF($W190="","",IFERROR(INDEX(IF($T190&lt;=60,imc05_s,imc519_s),MATCH($W190,IF($T190&lt;=60,imc05_k,imc519_k),1)),""))</f>
        <v/>
      </c>
      <c r="AB190">
        <f>IF($Y190="","",IF($Y190=0,LN($J190/$Z190)/$AA190,((($J190/$Z190)^$Y190)-1)/($Y190*$AA190)))</f>
        <v/>
      </c>
      <c r="AC190">
        <f>IF($Y190="","",IF($Y190=0,$Z190*EXP($AA190*2),$Z190*(1+$Y190*$AA190*2)^(1/$Y190)))</f>
        <v/>
      </c>
      <c r="AD190">
        <f>IF($Y190="","",IF($Y190=0,$Z190*EXP($AA190*3),$Z190*(1+$Y190*$AA190*3)^(1/$Y190)))</f>
        <v/>
      </c>
      <c r="AE190">
        <f>IF($Y190="","",IF($Y190=0,$Z190*EXP($AA190*-2),$Z190*(1+$Y190*$AA190*-2)^(1/$Y190)))</f>
        <v/>
      </c>
      <c r="AF190">
        <f>IF($Y190="","",IF($Y190=0,$Z190*EXP($AA190*-3),$Z190*(1+$Y190*$AA190*-3)^(1/$Y190)))</f>
        <v/>
      </c>
      <c r="AG190">
        <f>IF($W190="","",IFERROR(INDEX(IF($T190&lt;=60,est05_l,est519_l),MATCH($W190,IF($T190&lt;=60,est05_k,est519_k),1)),""))</f>
        <v/>
      </c>
      <c r="AH190">
        <f>IF($W190="","",IFERROR(INDEX(IF($T190&lt;=60,est05_m,est519_m),MATCH($W190,IF($T190&lt;=60,est05_k,est519_k),1)),""))</f>
        <v/>
      </c>
      <c r="AI190">
        <f>IF($W190="","",IFERROR(INDEX(IF($T190&lt;=60,est05_s,est519_s),MATCH($W190,IF($T190&lt;=60,est05_k,est519_k),1)),""))</f>
        <v/>
      </c>
      <c r="AJ190">
        <f>IF($W190="","",IFERROR(INDEX(IF($T190&lt;=60,peso05_l,peso510_l),MATCH($W190,IF($T190&lt;=60,peso05_k,peso510_k),1)),""))</f>
        <v/>
      </c>
      <c r="AK190">
        <f>IF($W190="","",IFERROR(INDEX(IF($T190&lt;=60,peso05_m,peso510_m),MATCH($W190,IF($T190&lt;=60,peso05_k,peso510_k),1)),""))</f>
        <v/>
      </c>
      <c r="AL190">
        <f>IF($W190="","",IFERROR(INDEX(IF($T190&lt;=60,peso05_s,peso510_s),MATCH($W190,IF($T190&lt;=60,peso05_k,peso510_k),1)),""))</f>
        <v/>
      </c>
      <c r="AM190">
        <f>IF($AJ190="","",IF($AJ190=0,LN($F190/$AK190)/$AL190,((($F190/$AK190)^$AJ190)-1)/($AJ190*$AL190)))</f>
        <v/>
      </c>
      <c r="AN190">
        <f>IF($AJ190="","",IF($AJ190=0,$AK190*EXP($AL190*2),$AK190*(1+$AJ190*$AL190*2)^(1/$AJ190)))</f>
        <v/>
      </c>
      <c r="AO190">
        <f>IF($AJ190="","",IF($AJ190=0,$AK190*EXP($AL190*3),$AK190*(1+$AJ190*$AL190*3)^(1/$AJ190)))</f>
        <v/>
      </c>
      <c r="AP190">
        <f>IF($AJ190="","",IF($AJ190=0,$AK190*EXP($AL190*-2),$AK190*(1+$AJ190*$AL190*-2)^(1/$AJ190)))</f>
        <v/>
      </c>
      <c r="AQ190">
        <f>IF($AJ190="","",IF($AJ190=0,$AK190*EXP($AL190*-3),$AK190*(1+$AJ190*$AL190*-3)^(1/$AJ190)))</f>
        <v/>
      </c>
      <c r="AR190">
        <f>IF(OR($X190="",$T190&gt;60),"",IFERROR(INDEX(IF($T190&lt;24,pcomp_l,palt_l),MATCH($X190,IF($T190&lt;24,pcomp_k,palt_k),1)),""))</f>
        <v/>
      </c>
      <c r="AS190">
        <f>IF(OR($X190="",$T190&gt;60),"",IFERROR(INDEX(IF($T190&lt;24,pcomp_m,palt_m),MATCH($X190,IF($T190&lt;24,pcomp_k,palt_k),1)),""))</f>
        <v/>
      </c>
      <c r="AT190">
        <f>IF(OR($X190="",$T190&gt;60),"",IFERROR(INDEX(IF($T190&lt;24,pcomp_s,palt_s),MATCH($X190,IF($T190&lt;24,pcomp_k,palt_k),1)),""))</f>
        <v/>
      </c>
      <c r="AU190">
        <f>IF($AR190="","",IF($AR190=0,LN($F190/$AS190)/$AT190,((($F190/$AS190)^$AR190)-1)/($AR190*$AT190)))</f>
        <v/>
      </c>
      <c r="AV190">
        <f>IF($AR190="","",IF($AR190=0,$AS190*EXP($AT190*2),$AS190*(1+$AR190*$AT190*2)^(1/$AR190)))</f>
        <v/>
      </c>
      <c r="AW190">
        <f>IF($AR190="","",IF($AR190=0,$AS190*EXP($AT190*3),$AS190*(1+$AR190*$AT190*3)^(1/$AR190)))</f>
        <v/>
      </c>
      <c r="AX190">
        <f>IF($AR190="","",IF($AR190=0,$AS190*EXP($AT190*-2),$AS190*(1+$AR190*$AT190*-2)^(1/$AR190)))</f>
        <v/>
      </c>
      <c r="AY190">
        <f>IF($AR190="","",IF($AR190=0,$AS190*EXP($AT190*-3),$AS190*(1+$AR190*$AT190*-3)^(1/$AR190)))</f>
        <v/>
      </c>
      <c r="AZ190">
        <f>IF(OR($A190="",$A190&lt;&gt;Ficha!$C$4),"",COUNTIF($A$2:$A190,Ficha!$C$4))</f>
        <v/>
      </c>
    </row>
    <row r="191">
      <c r="A191" s="8">
        <f>IF(INDEX(Banco!$A:$A,ROW())="","",INDEX(Banco!$A:$A,ROW()))</f>
        <v/>
      </c>
      <c r="B191" s="8">
        <f>IF(INDEX(Banco!$B:$B,ROW())="","",INDEX(Banco!$B:$B,ROW()))</f>
        <v/>
      </c>
      <c r="C191" s="8">
        <f>IF(INDEX(Banco!$C:$C,ROW())="","",INDEX(Banco!$C:$C,ROW()))</f>
        <v/>
      </c>
      <c r="D191" s="9">
        <f>IF(INDEX(Banco!$D:$D,ROW())="","",INDEX(Banco!$D:$D,ROW()))</f>
        <v/>
      </c>
      <c r="E191" s="9">
        <f>IF(INDEX(Banco!$E:$E,ROW())="","",INDEX(Banco!$E:$E,ROW()))</f>
        <v/>
      </c>
      <c r="F191" s="10">
        <f>IF(INDEX(Banco!$F:$F,ROW())="","",INDEX(Banco!$F:$F,ROW()))</f>
        <v/>
      </c>
      <c r="G191" s="10">
        <f>IF(INDEX(Banco!$G:$G,ROW())="","",INDEX(Banco!$G:$G,ROW()))</f>
        <v/>
      </c>
      <c r="H191" s="8">
        <f>IF(INDEX(Banco!$H:$H,ROW())="","",INDEX(Banco!$H:$H,ROW()))</f>
        <v/>
      </c>
      <c r="I191">
        <f>IF($T191="","",INT($T191/12)&amp;"a "&amp;MOD($T191,12)&amp;"m")</f>
        <v/>
      </c>
      <c r="J191" s="11">
        <f>IF(OR($F191="",$G191=""),"",ROUND($F191/($G191/100)^2,2))</f>
        <v/>
      </c>
      <c r="K191" s="12">
        <f>IF(OR($S191="",$J191="",$T191="",$T191&lt;0,$T191&gt;228,$Y191=""),"—",ROUND(IF(ABS($AB191)&lt;=3,$AB191,IF($AB191&gt;3,3+($J191-$AD191)/($AD191-$AC191),-3+($J191-$AF191)/($AE191-$AF191))),2))</f>
        <v/>
      </c>
      <c r="L191">
        <f>IF(OR($K191="",$K191="—"),"",IF($T191&lt;=60,IF($K191&lt;-3,"Magreza acentuada",IF($K191&lt;-2,"Magreza",IF($K191&lt;=1,"Eutrofia",IF($K191&lt;=2,"Risco de sobrepeso",IF($K191&lt;=3,"Sobrepeso","Obesidade"))))),IF($K191&lt;-3,"Magreza acentuada",IF($K191&lt;-2,"Magreza",IF($K191&lt;=1,"Eutrofia",IF($K191&lt;=2,"Sobrepeso",IF($K191&lt;=3,"Obesidade","Obesidade grave")))))))</f>
        <v/>
      </c>
      <c r="M191" s="12">
        <f>IF(OR($S191="",$V191="",$T191="",$T191&lt;0,$T191&gt;228,$AG191=""),"—",ROUND(IF($AG191=0,LN($V191/$AH191)/$AI191,((($V191/$AH191)^$AG191)-1)/($AG191*$AI191)),2))</f>
        <v/>
      </c>
      <c r="N191">
        <f>IF(OR($M191="",$M191="—"),"",IF($M191&lt;-3,"Muito baixa",IF($M191&lt;-2,"Baixa","Adequada")))</f>
        <v/>
      </c>
      <c r="O191" s="12">
        <f>IF(OR($S191="",$F191="",$T191="",$T191&lt;0,$T191&gt;120,$AJ191=""),"—",ROUND(IF(ABS($AM191)&lt;=3,$AM191,IF($AM191&gt;3,3+($F191-$AO191)/($AO191-$AN191),-3+($F191-$AQ191)/($AP191-$AQ191))),2))</f>
        <v/>
      </c>
      <c r="P191">
        <f>IF(OR($O191="",$O191="—"),"",IF($O191&lt;-3,"Muito baixo",IF($O191&lt;-2,"Baixo",IF($O191&lt;=2,"Adequado","Elevado"))))</f>
        <v/>
      </c>
      <c r="Q191" s="12">
        <f>IF(OR($S191="",$F191="",$T191="",$T191&lt;0,$T191&gt;60,$AR191=""),"—",ROUND(IF(ABS($AU191)&lt;=3,$AU191,IF($AU191&gt;3,3+($F191-$AW191)/($AW191-$AV191),-3+($F191-$AY191)/($AX191-$AY191))),2))</f>
        <v/>
      </c>
      <c r="R191">
        <f>IF(OR($Q191="",$Q191="—"),"",IF($Q191&lt;-3,"Magreza acentuada",IF($Q191&lt;-2,"Magreza",IF($Q191&lt;=1,"Eutrofia",IF($Q191&lt;=2,"Risco de sobrepeso",IF($Q191&lt;=3,"Sobrepeso","Obesidade"))))))</f>
        <v/>
      </c>
      <c r="S191">
        <f>IF($C191="","",IF(UPPER(LEFT($C191,1))="M",1,IF(UPPER(LEFT($C191,1))="F",2,"")))</f>
        <v/>
      </c>
      <c r="T191">
        <f>IF(OR($D191="",$E191=""),"",DATEDIF($D191,$E191,"m"))</f>
        <v/>
      </c>
      <c r="U191">
        <f>IF(OR($D191="",$E191=""),"",$E191-$D191)</f>
        <v/>
      </c>
      <c r="V191">
        <f>IF(OR($G191="",$T191=""),"",IF($T191&lt;24,IF(LEFT(LOWER($H191),4)="em p",$G191+0.7,$G191),IF(LEFT(LOWER($H191),4)="deit",$G191-0.7,$G191)))</f>
        <v/>
      </c>
      <c r="W191">
        <f>IF(OR($S191="",$T191=""),"",$S191*1000000+IF($T191&lt;=60,$U191,$T191))</f>
        <v/>
      </c>
      <c r="X191">
        <f>IF(OR($S191="",$V191="",$T191&gt;60,$T191=""),"",$S191*1000000+ROUND($V191*10,0))</f>
        <v/>
      </c>
      <c r="Y191">
        <f>IF($W191="","",IFERROR(INDEX(IF($T191&lt;=60,imc05_l,imc519_l),MATCH($W191,IF($T191&lt;=60,imc05_k,imc519_k),1)),""))</f>
        <v/>
      </c>
      <c r="Z191">
        <f>IF($W191="","",IFERROR(INDEX(IF($T191&lt;=60,imc05_m,imc519_m),MATCH($W191,IF($T191&lt;=60,imc05_k,imc519_k),1)),""))</f>
        <v/>
      </c>
      <c r="AA191">
        <f>IF($W191="","",IFERROR(INDEX(IF($T191&lt;=60,imc05_s,imc519_s),MATCH($W191,IF($T191&lt;=60,imc05_k,imc519_k),1)),""))</f>
        <v/>
      </c>
      <c r="AB191">
        <f>IF($Y191="","",IF($Y191=0,LN($J191/$Z191)/$AA191,((($J191/$Z191)^$Y191)-1)/($Y191*$AA191)))</f>
        <v/>
      </c>
      <c r="AC191">
        <f>IF($Y191="","",IF($Y191=0,$Z191*EXP($AA191*2),$Z191*(1+$Y191*$AA191*2)^(1/$Y191)))</f>
        <v/>
      </c>
      <c r="AD191">
        <f>IF($Y191="","",IF($Y191=0,$Z191*EXP($AA191*3),$Z191*(1+$Y191*$AA191*3)^(1/$Y191)))</f>
        <v/>
      </c>
      <c r="AE191">
        <f>IF($Y191="","",IF($Y191=0,$Z191*EXP($AA191*-2),$Z191*(1+$Y191*$AA191*-2)^(1/$Y191)))</f>
        <v/>
      </c>
      <c r="AF191">
        <f>IF($Y191="","",IF($Y191=0,$Z191*EXP($AA191*-3),$Z191*(1+$Y191*$AA191*-3)^(1/$Y191)))</f>
        <v/>
      </c>
      <c r="AG191">
        <f>IF($W191="","",IFERROR(INDEX(IF($T191&lt;=60,est05_l,est519_l),MATCH($W191,IF($T191&lt;=60,est05_k,est519_k),1)),""))</f>
        <v/>
      </c>
      <c r="AH191">
        <f>IF($W191="","",IFERROR(INDEX(IF($T191&lt;=60,est05_m,est519_m),MATCH($W191,IF($T191&lt;=60,est05_k,est519_k),1)),""))</f>
        <v/>
      </c>
      <c r="AI191">
        <f>IF($W191="","",IFERROR(INDEX(IF($T191&lt;=60,est05_s,est519_s),MATCH($W191,IF($T191&lt;=60,est05_k,est519_k),1)),""))</f>
        <v/>
      </c>
      <c r="AJ191">
        <f>IF($W191="","",IFERROR(INDEX(IF($T191&lt;=60,peso05_l,peso510_l),MATCH($W191,IF($T191&lt;=60,peso05_k,peso510_k),1)),""))</f>
        <v/>
      </c>
      <c r="AK191">
        <f>IF($W191="","",IFERROR(INDEX(IF($T191&lt;=60,peso05_m,peso510_m),MATCH($W191,IF($T191&lt;=60,peso05_k,peso510_k),1)),""))</f>
        <v/>
      </c>
      <c r="AL191">
        <f>IF($W191="","",IFERROR(INDEX(IF($T191&lt;=60,peso05_s,peso510_s),MATCH($W191,IF($T191&lt;=60,peso05_k,peso510_k),1)),""))</f>
        <v/>
      </c>
      <c r="AM191">
        <f>IF($AJ191="","",IF($AJ191=0,LN($F191/$AK191)/$AL191,((($F191/$AK191)^$AJ191)-1)/($AJ191*$AL191)))</f>
        <v/>
      </c>
      <c r="AN191">
        <f>IF($AJ191="","",IF($AJ191=0,$AK191*EXP($AL191*2),$AK191*(1+$AJ191*$AL191*2)^(1/$AJ191)))</f>
        <v/>
      </c>
      <c r="AO191">
        <f>IF($AJ191="","",IF($AJ191=0,$AK191*EXP($AL191*3),$AK191*(1+$AJ191*$AL191*3)^(1/$AJ191)))</f>
        <v/>
      </c>
      <c r="AP191">
        <f>IF($AJ191="","",IF($AJ191=0,$AK191*EXP($AL191*-2),$AK191*(1+$AJ191*$AL191*-2)^(1/$AJ191)))</f>
        <v/>
      </c>
      <c r="AQ191">
        <f>IF($AJ191="","",IF($AJ191=0,$AK191*EXP($AL191*-3),$AK191*(1+$AJ191*$AL191*-3)^(1/$AJ191)))</f>
        <v/>
      </c>
      <c r="AR191">
        <f>IF(OR($X191="",$T191&gt;60),"",IFERROR(INDEX(IF($T191&lt;24,pcomp_l,palt_l),MATCH($X191,IF($T191&lt;24,pcomp_k,palt_k),1)),""))</f>
        <v/>
      </c>
      <c r="AS191">
        <f>IF(OR($X191="",$T191&gt;60),"",IFERROR(INDEX(IF($T191&lt;24,pcomp_m,palt_m),MATCH($X191,IF($T191&lt;24,pcomp_k,palt_k),1)),""))</f>
        <v/>
      </c>
      <c r="AT191">
        <f>IF(OR($X191="",$T191&gt;60),"",IFERROR(INDEX(IF($T191&lt;24,pcomp_s,palt_s),MATCH($X191,IF($T191&lt;24,pcomp_k,palt_k),1)),""))</f>
        <v/>
      </c>
      <c r="AU191">
        <f>IF($AR191="","",IF($AR191=0,LN($F191/$AS191)/$AT191,((($F191/$AS191)^$AR191)-1)/($AR191*$AT191)))</f>
        <v/>
      </c>
      <c r="AV191">
        <f>IF($AR191="","",IF($AR191=0,$AS191*EXP($AT191*2),$AS191*(1+$AR191*$AT191*2)^(1/$AR191)))</f>
        <v/>
      </c>
      <c r="AW191">
        <f>IF($AR191="","",IF($AR191=0,$AS191*EXP($AT191*3),$AS191*(1+$AR191*$AT191*3)^(1/$AR191)))</f>
        <v/>
      </c>
      <c r="AX191">
        <f>IF($AR191="","",IF($AR191=0,$AS191*EXP($AT191*-2),$AS191*(1+$AR191*$AT191*-2)^(1/$AR191)))</f>
        <v/>
      </c>
      <c r="AY191">
        <f>IF($AR191="","",IF($AR191=0,$AS191*EXP($AT191*-3),$AS191*(1+$AR191*$AT191*-3)^(1/$AR191)))</f>
        <v/>
      </c>
      <c r="AZ191">
        <f>IF(OR($A191="",$A191&lt;&gt;Ficha!$C$4),"",COUNTIF($A$2:$A191,Ficha!$C$4))</f>
        <v/>
      </c>
    </row>
    <row r="192">
      <c r="A192" s="8">
        <f>IF(INDEX(Banco!$A:$A,ROW())="","",INDEX(Banco!$A:$A,ROW()))</f>
        <v/>
      </c>
      <c r="B192" s="8">
        <f>IF(INDEX(Banco!$B:$B,ROW())="","",INDEX(Banco!$B:$B,ROW()))</f>
        <v/>
      </c>
      <c r="C192" s="8">
        <f>IF(INDEX(Banco!$C:$C,ROW())="","",INDEX(Banco!$C:$C,ROW()))</f>
        <v/>
      </c>
      <c r="D192" s="9">
        <f>IF(INDEX(Banco!$D:$D,ROW())="","",INDEX(Banco!$D:$D,ROW()))</f>
        <v/>
      </c>
      <c r="E192" s="9">
        <f>IF(INDEX(Banco!$E:$E,ROW())="","",INDEX(Banco!$E:$E,ROW()))</f>
        <v/>
      </c>
      <c r="F192" s="10">
        <f>IF(INDEX(Banco!$F:$F,ROW())="","",INDEX(Banco!$F:$F,ROW()))</f>
        <v/>
      </c>
      <c r="G192" s="10">
        <f>IF(INDEX(Banco!$G:$G,ROW())="","",INDEX(Banco!$G:$G,ROW()))</f>
        <v/>
      </c>
      <c r="H192" s="8">
        <f>IF(INDEX(Banco!$H:$H,ROW())="","",INDEX(Banco!$H:$H,ROW()))</f>
        <v/>
      </c>
      <c r="I192">
        <f>IF($T192="","",INT($T192/12)&amp;"a "&amp;MOD($T192,12)&amp;"m")</f>
        <v/>
      </c>
      <c r="J192" s="11">
        <f>IF(OR($F192="",$G192=""),"",ROUND($F192/($G192/100)^2,2))</f>
        <v/>
      </c>
      <c r="K192" s="12">
        <f>IF(OR($S192="",$J192="",$T192="",$T192&lt;0,$T192&gt;228,$Y192=""),"—",ROUND(IF(ABS($AB192)&lt;=3,$AB192,IF($AB192&gt;3,3+($J192-$AD192)/($AD192-$AC192),-3+($J192-$AF192)/($AE192-$AF192))),2))</f>
        <v/>
      </c>
      <c r="L192">
        <f>IF(OR($K192="",$K192="—"),"",IF($T192&lt;=60,IF($K192&lt;-3,"Magreza acentuada",IF($K192&lt;-2,"Magreza",IF($K192&lt;=1,"Eutrofia",IF($K192&lt;=2,"Risco de sobrepeso",IF($K192&lt;=3,"Sobrepeso","Obesidade"))))),IF($K192&lt;-3,"Magreza acentuada",IF($K192&lt;-2,"Magreza",IF($K192&lt;=1,"Eutrofia",IF($K192&lt;=2,"Sobrepeso",IF($K192&lt;=3,"Obesidade","Obesidade grave")))))))</f>
        <v/>
      </c>
      <c r="M192" s="12">
        <f>IF(OR($S192="",$V192="",$T192="",$T192&lt;0,$T192&gt;228,$AG192=""),"—",ROUND(IF($AG192=0,LN($V192/$AH192)/$AI192,((($V192/$AH192)^$AG192)-1)/($AG192*$AI192)),2))</f>
        <v/>
      </c>
      <c r="N192">
        <f>IF(OR($M192="",$M192="—"),"",IF($M192&lt;-3,"Muito baixa",IF($M192&lt;-2,"Baixa","Adequada")))</f>
        <v/>
      </c>
      <c r="O192" s="12">
        <f>IF(OR($S192="",$F192="",$T192="",$T192&lt;0,$T192&gt;120,$AJ192=""),"—",ROUND(IF(ABS($AM192)&lt;=3,$AM192,IF($AM192&gt;3,3+($F192-$AO192)/($AO192-$AN192),-3+($F192-$AQ192)/($AP192-$AQ192))),2))</f>
        <v/>
      </c>
      <c r="P192">
        <f>IF(OR($O192="",$O192="—"),"",IF($O192&lt;-3,"Muito baixo",IF($O192&lt;-2,"Baixo",IF($O192&lt;=2,"Adequado","Elevado"))))</f>
        <v/>
      </c>
      <c r="Q192" s="12">
        <f>IF(OR($S192="",$F192="",$T192="",$T192&lt;0,$T192&gt;60,$AR192=""),"—",ROUND(IF(ABS($AU192)&lt;=3,$AU192,IF($AU192&gt;3,3+($F192-$AW192)/($AW192-$AV192),-3+($F192-$AY192)/($AX192-$AY192))),2))</f>
        <v/>
      </c>
      <c r="R192">
        <f>IF(OR($Q192="",$Q192="—"),"",IF($Q192&lt;-3,"Magreza acentuada",IF($Q192&lt;-2,"Magreza",IF($Q192&lt;=1,"Eutrofia",IF($Q192&lt;=2,"Risco de sobrepeso",IF($Q192&lt;=3,"Sobrepeso","Obesidade"))))))</f>
        <v/>
      </c>
      <c r="S192">
        <f>IF($C192="","",IF(UPPER(LEFT($C192,1))="M",1,IF(UPPER(LEFT($C192,1))="F",2,"")))</f>
        <v/>
      </c>
      <c r="T192">
        <f>IF(OR($D192="",$E192=""),"",DATEDIF($D192,$E192,"m"))</f>
        <v/>
      </c>
      <c r="U192">
        <f>IF(OR($D192="",$E192=""),"",$E192-$D192)</f>
        <v/>
      </c>
      <c r="V192">
        <f>IF(OR($G192="",$T192=""),"",IF($T192&lt;24,IF(LEFT(LOWER($H192),4)="em p",$G192+0.7,$G192),IF(LEFT(LOWER($H192),4)="deit",$G192-0.7,$G192)))</f>
        <v/>
      </c>
      <c r="W192">
        <f>IF(OR($S192="",$T192=""),"",$S192*1000000+IF($T192&lt;=60,$U192,$T192))</f>
        <v/>
      </c>
      <c r="X192">
        <f>IF(OR($S192="",$V192="",$T192&gt;60,$T192=""),"",$S192*1000000+ROUND($V192*10,0))</f>
        <v/>
      </c>
      <c r="Y192">
        <f>IF($W192="","",IFERROR(INDEX(IF($T192&lt;=60,imc05_l,imc519_l),MATCH($W192,IF($T192&lt;=60,imc05_k,imc519_k),1)),""))</f>
        <v/>
      </c>
      <c r="Z192">
        <f>IF($W192="","",IFERROR(INDEX(IF($T192&lt;=60,imc05_m,imc519_m),MATCH($W192,IF($T192&lt;=60,imc05_k,imc519_k),1)),""))</f>
        <v/>
      </c>
      <c r="AA192">
        <f>IF($W192="","",IFERROR(INDEX(IF($T192&lt;=60,imc05_s,imc519_s),MATCH($W192,IF($T192&lt;=60,imc05_k,imc519_k),1)),""))</f>
        <v/>
      </c>
      <c r="AB192">
        <f>IF($Y192="","",IF($Y192=0,LN($J192/$Z192)/$AA192,((($J192/$Z192)^$Y192)-1)/($Y192*$AA192)))</f>
        <v/>
      </c>
      <c r="AC192">
        <f>IF($Y192="","",IF($Y192=0,$Z192*EXP($AA192*2),$Z192*(1+$Y192*$AA192*2)^(1/$Y192)))</f>
        <v/>
      </c>
      <c r="AD192">
        <f>IF($Y192="","",IF($Y192=0,$Z192*EXP($AA192*3),$Z192*(1+$Y192*$AA192*3)^(1/$Y192)))</f>
        <v/>
      </c>
      <c r="AE192">
        <f>IF($Y192="","",IF($Y192=0,$Z192*EXP($AA192*-2),$Z192*(1+$Y192*$AA192*-2)^(1/$Y192)))</f>
        <v/>
      </c>
      <c r="AF192">
        <f>IF($Y192="","",IF($Y192=0,$Z192*EXP($AA192*-3),$Z192*(1+$Y192*$AA192*-3)^(1/$Y192)))</f>
        <v/>
      </c>
      <c r="AG192">
        <f>IF($W192="","",IFERROR(INDEX(IF($T192&lt;=60,est05_l,est519_l),MATCH($W192,IF($T192&lt;=60,est05_k,est519_k),1)),""))</f>
        <v/>
      </c>
      <c r="AH192">
        <f>IF($W192="","",IFERROR(INDEX(IF($T192&lt;=60,est05_m,est519_m),MATCH($W192,IF($T192&lt;=60,est05_k,est519_k),1)),""))</f>
        <v/>
      </c>
      <c r="AI192">
        <f>IF($W192="","",IFERROR(INDEX(IF($T192&lt;=60,est05_s,est519_s),MATCH($W192,IF($T192&lt;=60,est05_k,est519_k),1)),""))</f>
        <v/>
      </c>
      <c r="AJ192">
        <f>IF($W192="","",IFERROR(INDEX(IF($T192&lt;=60,peso05_l,peso510_l),MATCH($W192,IF($T192&lt;=60,peso05_k,peso510_k),1)),""))</f>
        <v/>
      </c>
      <c r="AK192">
        <f>IF($W192="","",IFERROR(INDEX(IF($T192&lt;=60,peso05_m,peso510_m),MATCH($W192,IF($T192&lt;=60,peso05_k,peso510_k),1)),""))</f>
        <v/>
      </c>
      <c r="AL192">
        <f>IF($W192="","",IFERROR(INDEX(IF($T192&lt;=60,peso05_s,peso510_s),MATCH($W192,IF($T192&lt;=60,peso05_k,peso510_k),1)),""))</f>
        <v/>
      </c>
      <c r="AM192">
        <f>IF($AJ192="","",IF($AJ192=0,LN($F192/$AK192)/$AL192,((($F192/$AK192)^$AJ192)-1)/($AJ192*$AL192)))</f>
        <v/>
      </c>
      <c r="AN192">
        <f>IF($AJ192="","",IF($AJ192=0,$AK192*EXP($AL192*2),$AK192*(1+$AJ192*$AL192*2)^(1/$AJ192)))</f>
        <v/>
      </c>
      <c r="AO192">
        <f>IF($AJ192="","",IF($AJ192=0,$AK192*EXP($AL192*3),$AK192*(1+$AJ192*$AL192*3)^(1/$AJ192)))</f>
        <v/>
      </c>
      <c r="AP192">
        <f>IF($AJ192="","",IF($AJ192=0,$AK192*EXP($AL192*-2),$AK192*(1+$AJ192*$AL192*-2)^(1/$AJ192)))</f>
        <v/>
      </c>
      <c r="AQ192">
        <f>IF($AJ192="","",IF($AJ192=0,$AK192*EXP($AL192*-3),$AK192*(1+$AJ192*$AL192*-3)^(1/$AJ192)))</f>
        <v/>
      </c>
      <c r="AR192">
        <f>IF(OR($X192="",$T192&gt;60),"",IFERROR(INDEX(IF($T192&lt;24,pcomp_l,palt_l),MATCH($X192,IF($T192&lt;24,pcomp_k,palt_k),1)),""))</f>
        <v/>
      </c>
      <c r="AS192">
        <f>IF(OR($X192="",$T192&gt;60),"",IFERROR(INDEX(IF($T192&lt;24,pcomp_m,palt_m),MATCH($X192,IF($T192&lt;24,pcomp_k,palt_k),1)),""))</f>
        <v/>
      </c>
      <c r="AT192">
        <f>IF(OR($X192="",$T192&gt;60),"",IFERROR(INDEX(IF($T192&lt;24,pcomp_s,palt_s),MATCH($X192,IF($T192&lt;24,pcomp_k,palt_k),1)),""))</f>
        <v/>
      </c>
      <c r="AU192">
        <f>IF($AR192="","",IF($AR192=0,LN($F192/$AS192)/$AT192,((($F192/$AS192)^$AR192)-1)/($AR192*$AT192)))</f>
        <v/>
      </c>
      <c r="AV192">
        <f>IF($AR192="","",IF($AR192=0,$AS192*EXP($AT192*2),$AS192*(1+$AR192*$AT192*2)^(1/$AR192)))</f>
        <v/>
      </c>
      <c r="AW192">
        <f>IF($AR192="","",IF($AR192=0,$AS192*EXP($AT192*3),$AS192*(1+$AR192*$AT192*3)^(1/$AR192)))</f>
        <v/>
      </c>
      <c r="AX192">
        <f>IF($AR192="","",IF($AR192=0,$AS192*EXP($AT192*-2),$AS192*(1+$AR192*$AT192*-2)^(1/$AR192)))</f>
        <v/>
      </c>
      <c r="AY192">
        <f>IF($AR192="","",IF($AR192=0,$AS192*EXP($AT192*-3),$AS192*(1+$AR192*$AT192*-3)^(1/$AR192)))</f>
        <v/>
      </c>
      <c r="AZ192">
        <f>IF(OR($A192="",$A192&lt;&gt;Ficha!$C$4),"",COUNTIF($A$2:$A192,Ficha!$C$4))</f>
        <v/>
      </c>
    </row>
    <row r="193">
      <c r="A193" s="8">
        <f>IF(INDEX(Banco!$A:$A,ROW())="","",INDEX(Banco!$A:$A,ROW()))</f>
        <v/>
      </c>
      <c r="B193" s="8">
        <f>IF(INDEX(Banco!$B:$B,ROW())="","",INDEX(Banco!$B:$B,ROW()))</f>
        <v/>
      </c>
      <c r="C193" s="8">
        <f>IF(INDEX(Banco!$C:$C,ROW())="","",INDEX(Banco!$C:$C,ROW()))</f>
        <v/>
      </c>
      <c r="D193" s="9">
        <f>IF(INDEX(Banco!$D:$D,ROW())="","",INDEX(Banco!$D:$D,ROW()))</f>
        <v/>
      </c>
      <c r="E193" s="9">
        <f>IF(INDEX(Banco!$E:$E,ROW())="","",INDEX(Banco!$E:$E,ROW()))</f>
        <v/>
      </c>
      <c r="F193" s="10">
        <f>IF(INDEX(Banco!$F:$F,ROW())="","",INDEX(Banco!$F:$F,ROW()))</f>
        <v/>
      </c>
      <c r="G193" s="10">
        <f>IF(INDEX(Banco!$G:$G,ROW())="","",INDEX(Banco!$G:$G,ROW()))</f>
        <v/>
      </c>
      <c r="H193" s="8">
        <f>IF(INDEX(Banco!$H:$H,ROW())="","",INDEX(Banco!$H:$H,ROW()))</f>
        <v/>
      </c>
      <c r="I193">
        <f>IF($T193="","",INT($T193/12)&amp;"a "&amp;MOD($T193,12)&amp;"m")</f>
        <v/>
      </c>
      <c r="J193" s="11">
        <f>IF(OR($F193="",$G193=""),"",ROUND($F193/($G193/100)^2,2))</f>
        <v/>
      </c>
      <c r="K193" s="12">
        <f>IF(OR($S193="",$J193="",$T193="",$T193&lt;0,$T193&gt;228,$Y193=""),"—",ROUND(IF(ABS($AB193)&lt;=3,$AB193,IF($AB193&gt;3,3+($J193-$AD193)/($AD193-$AC193),-3+($J193-$AF193)/($AE193-$AF193))),2))</f>
        <v/>
      </c>
      <c r="L193">
        <f>IF(OR($K193="",$K193="—"),"",IF($T193&lt;=60,IF($K193&lt;-3,"Magreza acentuada",IF($K193&lt;-2,"Magreza",IF($K193&lt;=1,"Eutrofia",IF($K193&lt;=2,"Risco de sobrepeso",IF($K193&lt;=3,"Sobrepeso","Obesidade"))))),IF($K193&lt;-3,"Magreza acentuada",IF($K193&lt;-2,"Magreza",IF($K193&lt;=1,"Eutrofia",IF($K193&lt;=2,"Sobrepeso",IF($K193&lt;=3,"Obesidade","Obesidade grave")))))))</f>
        <v/>
      </c>
      <c r="M193" s="12">
        <f>IF(OR($S193="",$V193="",$T193="",$T193&lt;0,$T193&gt;228,$AG193=""),"—",ROUND(IF($AG193=0,LN($V193/$AH193)/$AI193,((($V193/$AH193)^$AG193)-1)/($AG193*$AI193)),2))</f>
        <v/>
      </c>
      <c r="N193">
        <f>IF(OR($M193="",$M193="—"),"",IF($M193&lt;-3,"Muito baixa",IF($M193&lt;-2,"Baixa","Adequada")))</f>
        <v/>
      </c>
      <c r="O193" s="12">
        <f>IF(OR($S193="",$F193="",$T193="",$T193&lt;0,$T193&gt;120,$AJ193=""),"—",ROUND(IF(ABS($AM193)&lt;=3,$AM193,IF($AM193&gt;3,3+($F193-$AO193)/($AO193-$AN193),-3+($F193-$AQ193)/($AP193-$AQ193))),2))</f>
        <v/>
      </c>
      <c r="P193">
        <f>IF(OR($O193="",$O193="—"),"",IF($O193&lt;-3,"Muito baixo",IF($O193&lt;-2,"Baixo",IF($O193&lt;=2,"Adequado","Elevado"))))</f>
        <v/>
      </c>
      <c r="Q193" s="12">
        <f>IF(OR($S193="",$F193="",$T193="",$T193&lt;0,$T193&gt;60,$AR193=""),"—",ROUND(IF(ABS($AU193)&lt;=3,$AU193,IF($AU193&gt;3,3+($F193-$AW193)/($AW193-$AV193),-3+($F193-$AY193)/($AX193-$AY193))),2))</f>
        <v/>
      </c>
      <c r="R193">
        <f>IF(OR($Q193="",$Q193="—"),"",IF($Q193&lt;-3,"Magreza acentuada",IF($Q193&lt;-2,"Magreza",IF($Q193&lt;=1,"Eutrofia",IF($Q193&lt;=2,"Risco de sobrepeso",IF($Q193&lt;=3,"Sobrepeso","Obesidade"))))))</f>
        <v/>
      </c>
      <c r="S193">
        <f>IF($C193="","",IF(UPPER(LEFT($C193,1))="M",1,IF(UPPER(LEFT($C193,1))="F",2,"")))</f>
        <v/>
      </c>
      <c r="T193">
        <f>IF(OR($D193="",$E193=""),"",DATEDIF($D193,$E193,"m"))</f>
        <v/>
      </c>
      <c r="U193">
        <f>IF(OR($D193="",$E193=""),"",$E193-$D193)</f>
        <v/>
      </c>
      <c r="V193">
        <f>IF(OR($G193="",$T193=""),"",IF($T193&lt;24,IF(LEFT(LOWER($H193),4)="em p",$G193+0.7,$G193),IF(LEFT(LOWER($H193),4)="deit",$G193-0.7,$G193)))</f>
        <v/>
      </c>
      <c r="W193">
        <f>IF(OR($S193="",$T193=""),"",$S193*1000000+IF($T193&lt;=60,$U193,$T193))</f>
        <v/>
      </c>
      <c r="X193">
        <f>IF(OR($S193="",$V193="",$T193&gt;60,$T193=""),"",$S193*1000000+ROUND($V193*10,0))</f>
        <v/>
      </c>
      <c r="Y193">
        <f>IF($W193="","",IFERROR(INDEX(IF($T193&lt;=60,imc05_l,imc519_l),MATCH($W193,IF($T193&lt;=60,imc05_k,imc519_k),1)),""))</f>
        <v/>
      </c>
      <c r="Z193">
        <f>IF($W193="","",IFERROR(INDEX(IF($T193&lt;=60,imc05_m,imc519_m),MATCH($W193,IF($T193&lt;=60,imc05_k,imc519_k),1)),""))</f>
        <v/>
      </c>
      <c r="AA193">
        <f>IF($W193="","",IFERROR(INDEX(IF($T193&lt;=60,imc05_s,imc519_s),MATCH($W193,IF($T193&lt;=60,imc05_k,imc519_k),1)),""))</f>
        <v/>
      </c>
      <c r="AB193">
        <f>IF($Y193="","",IF($Y193=0,LN($J193/$Z193)/$AA193,((($J193/$Z193)^$Y193)-1)/($Y193*$AA193)))</f>
        <v/>
      </c>
      <c r="AC193">
        <f>IF($Y193="","",IF($Y193=0,$Z193*EXP($AA193*2),$Z193*(1+$Y193*$AA193*2)^(1/$Y193)))</f>
        <v/>
      </c>
      <c r="AD193">
        <f>IF($Y193="","",IF($Y193=0,$Z193*EXP($AA193*3),$Z193*(1+$Y193*$AA193*3)^(1/$Y193)))</f>
        <v/>
      </c>
      <c r="AE193">
        <f>IF($Y193="","",IF($Y193=0,$Z193*EXP($AA193*-2),$Z193*(1+$Y193*$AA193*-2)^(1/$Y193)))</f>
        <v/>
      </c>
      <c r="AF193">
        <f>IF($Y193="","",IF($Y193=0,$Z193*EXP($AA193*-3),$Z193*(1+$Y193*$AA193*-3)^(1/$Y193)))</f>
        <v/>
      </c>
      <c r="AG193">
        <f>IF($W193="","",IFERROR(INDEX(IF($T193&lt;=60,est05_l,est519_l),MATCH($W193,IF($T193&lt;=60,est05_k,est519_k),1)),""))</f>
        <v/>
      </c>
      <c r="AH193">
        <f>IF($W193="","",IFERROR(INDEX(IF($T193&lt;=60,est05_m,est519_m),MATCH($W193,IF($T193&lt;=60,est05_k,est519_k),1)),""))</f>
        <v/>
      </c>
      <c r="AI193">
        <f>IF($W193="","",IFERROR(INDEX(IF($T193&lt;=60,est05_s,est519_s),MATCH($W193,IF($T193&lt;=60,est05_k,est519_k),1)),""))</f>
        <v/>
      </c>
      <c r="AJ193">
        <f>IF($W193="","",IFERROR(INDEX(IF($T193&lt;=60,peso05_l,peso510_l),MATCH($W193,IF($T193&lt;=60,peso05_k,peso510_k),1)),""))</f>
        <v/>
      </c>
      <c r="AK193">
        <f>IF($W193="","",IFERROR(INDEX(IF($T193&lt;=60,peso05_m,peso510_m),MATCH($W193,IF($T193&lt;=60,peso05_k,peso510_k),1)),""))</f>
        <v/>
      </c>
      <c r="AL193">
        <f>IF($W193="","",IFERROR(INDEX(IF($T193&lt;=60,peso05_s,peso510_s),MATCH($W193,IF($T193&lt;=60,peso05_k,peso510_k),1)),""))</f>
        <v/>
      </c>
      <c r="AM193">
        <f>IF($AJ193="","",IF($AJ193=0,LN($F193/$AK193)/$AL193,((($F193/$AK193)^$AJ193)-1)/($AJ193*$AL193)))</f>
        <v/>
      </c>
      <c r="AN193">
        <f>IF($AJ193="","",IF($AJ193=0,$AK193*EXP($AL193*2),$AK193*(1+$AJ193*$AL193*2)^(1/$AJ193)))</f>
        <v/>
      </c>
      <c r="AO193">
        <f>IF($AJ193="","",IF($AJ193=0,$AK193*EXP($AL193*3),$AK193*(1+$AJ193*$AL193*3)^(1/$AJ193)))</f>
        <v/>
      </c>
      <c r="AP193">
        <f>IF($AJ193="","",IF($AJ193=0,$AK193*EXP($AL193*-2),$AK193*(1+$AJ193*$AL193*-2)^(1/$AJ193)))</f>
        <v/>
      </c>
      <c r="AQ193">
        <f>IF($AJ193="","",IF($AJ193=0,$AK193*EXP($AL193*-3),$AK193*(1+$AJ193*$AL193*-3)^(1/$AJ193)))</f>
        <v/>
      </c>
      <c r="AR193">
        <f>IF(OR($X193="",$T193&gt;60),"",IFERROR(INDEX(IF($T193&lt;24,pcomp_l,palt_l),MATCH($X193,IF($T193&lt;24,pcomp_k,palt_k),1)),""))</f>
        <v/>
      </c>
      <c r="AS193">
        <f>IF(OR($X193="",$T193&gt;60),"",IFERROR(INDEX(IF($T193&lt;24,pcomp_m,palt_m),MATCH($X193,IF($T193&lt;24,pcomp_k,palt_k),1)),""))</f>
        <v/>
      </c>
      <c r="AT193">
        <f>IF(OR($X193="",$T193&gt;60),"",IFERROR(INDEX(IF($T193&lt;24,pcomp_s,palt_s),MATCH($X193,IF($T193&lt;24,pcomp_k,palt_k),1)),""))</f>
        <v/>
      </c>
      <c r="AU193">
        <f>IF($AR193="","",IF($AR193=0,LN($F193/$AS193)/$AT193,((($F193/$AS193)^$AR193)-1)/($AR193*$AT193)))</f>
        <v/>
      </c>
      <c r="AV193">
        <f>IF($AR193="","",IF($AR193=0,$AS193*EXP($AT193*2),$AS193*(1+$AR193*$AT193*2)^(1/$AR193)))</f>
        <v/>
      </c>
      <c r="AW193">
        <f>IF($AR193="","",IF($AR193=0,$AS193*EXP($AT193*3),$AS193*(1+$AR193*$AT193*3)^(1/$AR193)))</f>
        <v/>
      </c>
      <c r="AX193">
        <f>IF($AR193="","",IF($AR193=0,$AS193*EXP($AT193*-2),$AS193*(1+$AR193*$AT193*-2)^(1/$AR193)))</f>
        <v/>
      </c>
      <c r="AY193">
        <f>IF($AR193="","",IF($AR193=0,$AS193*EXP($AT193*-3),$AS193*(1+$AR193*$AT193*-3)^(1/$AR193)))</f>
        <v/>
      </c>
      <c r="AZ193">
        <f>IF(OR($A193="",$A193&lt;&gt;Ficha!$C$4),"",COUNTIF($A$2:$A193,Ficha!$C$4))</f>
        <v/>
      </c>
    </row>
    <row r="194">
      <c r="A194" s="8">
        <f>IF(INDEX(Banco!$A:$A,ROW())="","",INDEX(Banco!$A:$A,ROW()))</f>
        <v/>
      </c>
      <c r="B194" s="8">
        <f>IF(INDEX(Banco!$B:$B,ROW())="","",INDEX(Banco!$B:$B,ROW()))</f>
        <v/>
      </c>
      <c r="C194" s="8">
        <f>IF(INDEX(Banco!$C:$C,ROW())="","",INDEX(Banco!$C:$C,ROW()))</f>
        <v/>
      </c>
      <c r="D194" s="9">
        <f>IF(INDEX(Banco!$D:$D,ROW())="","",INDEX(Banco!$D:$D,ROW()))</f>
        <v/>
      </c>
      <c r="E194" s="9">
        <f>IF(INDEX(Banco!$E:$E,ROW())="","",INDEX(Banco!$E:$E,ROW()))</f>
        <v/>
      </c>
      <c r="F194" s="10">
        <f>IF(INDEX(Banco!$F:$F,ROW())="","",INDEX(Banco!$F:$F,ROW()))</f>
        <v/>
      </c>
      <c r="G194" s="10">
        <f>IF(INDEX(Banco!$G:$G,ROW())="","",INDEX(Banco!$G:$G,ROW()))</f>
        <v/>
      </c>
      <c r="H194" s="8">
        <f>IF(INDEX(Banco!$H:$H,ROW())="","",INDEX(Banco!$H:$H,ROW()))</f>
        <v/>
      </c>
      <c r="I194">
        <f>IF($T194="","",INT($T194/12)&amp;"a "&amp;MOD($T194,12)&amp;"m")</f>
        <v/>
      </c>
      <c r="J194" s="11">
        <f>IF(OR($F194="",$G194=""),"",ROUND($F194/($G194/100)^2,2))</f>
        <v/>
      </c>
      <c r="K194" s="12">
        <f>IF(OR($S194="",$J194="",$T194="",$T194&lt;0,$T194&gt;228,$Y194=""),"—",ROUND(IF(ABS($AB194)&lt;=3,$AB194,IF($AB194&gt;3,3+($J194-$AD194)/($AD194-$AC194),-3+($J194-$AF194)/($AE194-$AF194))),2))</f>
        <v/>
      </c>
      <c r="L194">
        <f>IF(OR($K194="",$K194="—"),"",IF($T194&lt;=60,IF($K194&lt;-3,"Magreza acentuada",IF($K194&lt;-2,"Magreza",IF($K194&lt;=1,"Eutrofia",IF($K194&lt;=2,"Risco de sobrepeso",IF($K194&lt;=3,"Sobrepeso","Obesidade"))))),IF($K194&lt;-3,"Magreza acentuada",IF($K194&lt;-2,"Magreza",IF($K194&lt;=1,"Eutrofia",IF($K194&lt;=2,"Sobrepeso",IF($K194&lt;=3,"Obesidade","Obesidade grave")))))))</f>
        <v/>
      </c>
      <c r="M194" s="12">
        <f>IF(OR($S194="",$V194="",$T194="",$T194&lt;0,$T194&gt;228,$AG194=""),"—",ROUND(IF($AG194=0,LN($V194/$AH194)/$AI194,((($V194/$AH194)^$AG194)-1)/($AG194*$AI194)),2))</f>
        <v/>
      </c>
      <c r="N194">
        <f>IF(OR($M194="",$M194="—"),"",IF($M194&lt;-3,"Muito baixa",IF($M194&lt;-2,"Baixa","Adequada")))</f>
        <v/>
      </c>
      <c r="O194" s="12">
        <f>IF(OR($S194="",$F194="",$T194="",$T194&lt;0,$T194&gt;120,$AJ194=""),"—",ROUND(IF(ABS($AM194)&lt;=3,$AM194,IF($AM194&gt;3,3+($F194-$AO194)/($AO194-$AN194),-3+($F194-$AQ194)/($AP194-$AQ194))),2))</f>
        <v/>
      </c>
      <c r="P194">
        <f>IF(OR($O194="",$O194="—"),"",IF($O194&lt;-3,"Muito baixo",IF($O194&lt;-2,"Baixo",IF($O194&lt;=2,"Adequado","Elevado"))))</f>
        <v/>
      </c>
      <c r="Q194" s="12">
        <f>IF(OR($S194="",$F194="",$T194="",$T194&lt;0,$T194&gt;60,$AR194=""),"—",ROUND(IF(ABS($AU194)&lt;=3,$AU194,IF($AU194&gt;3,3+($F194-$AW194)/($AW194-$AV194),-3+($F194-$AY194)/($AX194-$AY194))),2))</f>
        <v/>
      </c>
      <c r="R194">
        <f>IF(OR($Q194="",$Q194="—"),"",IF($Q194&lt;-3,"Magreza acentuada",IF($Q194&lt;-2,"Magreza",IF($Q194&lt;=1,"Eutrofia",IF($Q194&lt;=2,"Risco de sobrepeso",IF($Q194&lt;=3,"Sobrepeso","Obesidade"))))))</f>
        <v/>
      </c>
      <c r="S194">
        <f>IF($C194="","",IF(UPPER(LEFT($C194,1))="M",1,IF(UPPER(LEFT($C194,1))="F",2,"")))</f>
        <v/>
      </c>
      <c r="T194">
        <f>IF(OR($D194="",$E194=""),"",DATEDIF($D194,$E194,"m"))</f>
        <v/>
      </c>
      <c r="U194">
        <f>IF(OR($D194="",$E194=""),"",$E194-$D194)</f>
        <v/>
      </c>
      <c r="V194">
        <f>IF(OR($G194="",$T194=""),"",IF($T194&lt;24,IF(LEFT(LOWER($H194),4)="em p",$G194+0.7,$G194),IF(LEFT(LOWER($H194),4)="deit",$G194-0.7,$G194)))</f>
        <v/>
      </c>
      <c r="W194">
        <f>IF(OR($S194="",$T194=""),"",$S194*1000000+IF($T194&lt;=60,$U194,$T194))</f>
        <v/>
      </c>
      <c r="X194">
        <f>IF(OR($S194="",$V194="",$T194&gt;60,$T194=""),"",$S194*1000000+ROUND($V194*10,0))</f>
        <v/>
      </c>
      <c r="Y194">
        <f>IF($W194="","",IFERROR(INDEX(IF($T194&lt;=60,imc05_l,imc519_l),MATCH($W194,IF($T194&lt;=60,imc05_k,imc519_k),1)),""))</f>
        <v/>
      </c>
      <c r="Z194">
        <f>IF($W194="","",IFERROR(INDEX(IF($T194&lt;=60,imc05_m,imc519_m),MATCH($W194,IF($T194&lt;=60,imc05_k,imc519_k),1)),""))</f>
        <v/>
      </c>
      <c r="AA194">
        <f>IF($W194="","",IFERROR(INDEX(IF($T194&lt;=60,imc05_s,imc519_s),MATCH($W194,IF($T194&lt;=60,imc05_k,imc519_k),1)),""))</f>
        <v/>
      </c>
      <c r="AB194">
        <f>IF($Y194="","",IF($Y194=0,LN($J194/$Z194)/$AA194,((($J194/$Z194)^$Y194)-1)/($Y194*$AA194)))</f>
        <v/>
      </c>
      <c r="AC194">
        <f>IF($Y194="","",IF($Y194=0,$Z194*EXP($AA194*2),$Z194*(1+$Y194*$AA194*2)^(1/$Y194)))</f>
        <v/>
      </c>
      <c r="AD194">
        <f>IF($Y194="","",IF($Y194=0,$Z194*EXP($AA194*3),$Z194*(1+$Y194*$AA194*3)^(1/$Y194)))</f>
        <v/>
      </c>
      <c r="AE194">
        <f>IF($Y194="","",IF($Y194=0,$Z194*EXP($AA194*-2),$Z194*(1+$Y194*$AA194*-2)^(1/$Y194)))</f>
        <v/>
      </c>
      <c r="AF194">
        <f>IF($Y194="","",IF($Y194=0,$Z194*EXP($AA194*-3),$Z194*(1+$Y194*$AA194*-3)^(1/$Y194)))</f>
        <v/>
      </c>
      <c r="AG194">
        <f>IF($W194="","",IFERROR(INDEX(IF($T194&lt;=60,est05_l,est519_l),MATCH($W194,IF($T194&lt;=60,est05_k,est519_k),1)),""))</f>
        <v/>
      </c>
      <c r="AH194">
        <f>IF($W194="","",IFERROR(INDEX(IF($T194&lt;=60,est05_m,est519_m),MATCH($W194,IF($T194&lt;=60,est05_k,est519_k),1)),""))</f>
        <v/>
      </c>
      <c r="AI194">
        <f>IF($W194="","",IFERROR(INDEX(IF($T194&lt;=60,est05_s,est519_s),MATCH($W194,IF($T194&lt;=60,est05_k,est519_k),1)),""))</f>
        <v/>
      </c>
      <c r="AJ194">
        <f>IF($W194="","",IFERROR(INDEX(IF($T194&lt;=60,peso05_l,peso510_l),MATCH($W194,IF($T194&lt;=60,peso05_k,peso510_k),1)),""))</f>
        <v/>
      </c>
      <c r="AK194">
        <f>IF($W194="","",IFERROR(INDEX(IF($T194&lt;=60,peso05_m,peso510_m),MATCH($W194,IF($T194&lt;=60,peso05_k,peso510_k),1)),""))</f>
        <v/>
      </c>
      <c r="AL194">
        <f>IF($W194="","",IFERROR(INDEX(IF($T194&lt;=60,peso05_s,peso510_s),MATCH($W194,IF($T194&lt;=60,peso05_k,peso510_k),1)),""))</f>
        <v/>
      </c>
      <c r="AM194">
        <f>IF($AJ194="","",IF($AJ194=0,LN($F194/$AK194)/$AL194,((($F194/$AK194)^$AJ194)-1)/($AJ194*$AL194)))</f>
        <v/>
      </c>
      <c r="AN194">
        <f>IF($AJ194="","",IF($AJ194=0,$AK194*EXP($AL194*2),$AK194*(1+$AJ194*$AL194*2)^(1/$AJ194)))</f>
        <v/>
      </c>
      <c r="AO194">
        <f>IF($AJ194="","",IF($AJ194=0,$AK194*EXP($AL194*3),$AK194*(1+$AJ194*$AL194*3)^(1/$AJ194)))</f>
        <v/>
      </c>
      <c r="AP194">
        <f>IF($AJ194="","",IF($AJ194=0,$AK194*EXP($AL194*-2),$AK194*(1+$AJ194*$AL194*-2)^(1/$AJ194)))</f>
        <v/>
      </c>
      <c r="AQ194">
        <f>IF($AJ194="","",IF($AJ194=0,$AK194*EXP($AL194*-3),$AK194*(1+$AJ194*$AL194*-3)^(1/$AJ194)))</f>
        <v/>
      </c>
      <c r="AR194">
        <f>IF(OR($X194="",$T194&gt;60),"",IFERROR(INDEX(IF($T194&lt;24,pcomp_l,palt_l),MATCH($X194,IF($T194&lt;24,pcomp_k,palt_k),1)),""))</f>
        <v/>
      </c>
      <c r="AS194">
        <f>IF(OR($X194="",$T194&gt;60),"",IFERROR(INDEX(IF($T194&lt;24,pcomp_m,palt_m),MATCH($X194,IF($T194&lt;24,pcomp_k,palt_k),1)),""))</f>
        <v/>
      </c>
      <c r="AT194">
        <f>IF(OR($X194="",$T194&gt;60),"",IFERROR(INDEX(IF($T194&lt;24,pcomp_s,palt_s),MATCH($X194,IF($T194&lt;24,pcomp_k,palt_k),1)),""))</f>
        <v/>
      </c>
      <c r="AU194">
        <f>IF($AR194="","",IF($AR194=0,LN($F194/$AS194)/$AT194,((($F194/$AS194)^$AR194)-1)/($AR194*$AT194)))</f>
        <v/>
      </c>
      <c r="AV194">
        <f>IF($AR194="","",IF($AR194=0,$AS194*EXP($AT194*2),$AS194*(1+$AR194*$AT194*2)^(1/$AR194)))</f>
        <v/>
      </c>
      <c r="AW194">
        <f>IF($AR194="","",IF($AR194=0,$AS194*EXP($AT194*3),$AS194*(1+$AR194*$AT194*3)^(1/$AR194)))</f>
        <v/>
      </c>
      <c r="AX194">
        <f>IF($AR194="","",IF($AR194=0,$AS194*EXP($AT194*-2),$AS194*(1+$AR194*$AT194*-2)^(1/$AR194)))</f>
        <v/>
      </c>
      <c r="AY194">
        <f>IF($AR194="","",IF($AR194=0,$AS194*EXP($AT194*-3),$AS194*(1+$AR194*$AT194*-3)^(1/$AR194)))</f>
        <v/>
      </c>
      <c r="AZ194">
        <f>IF(OR($A194="",$A194&lt;&gt;Ficha!$C$4),"",COUNTIF($A$2:$A194,Ficha!$C$4))</f>
        <v/>
      </c>
    </row>
    <row r="195">
      <c r="A195" s="8">
        <f>IF(INDEX(Banco!$A:$A,ROW())="","",INDEX(Banco!$A:$A,ROW()))</f>
        <v/>
      </c>
      <c r="B195" s="8">
        <f>IF(INDEX(Banco!$B:$B,ROW())="","",INDEX(Banco!$B:$B,ROW()))</f>
        <v/>
      </c>
      <c r="C195" s="8">
        <f>IF(INDEX(Banco!$C:$C,ROW())="","",INDEX(Banco!$C:$C,ROW()))</f>
        <v/>
      </c>
      <c r="D195" s="9">
        <f>IF(INDEX(Banco!$D:$D,ROW())="","",INDEX(Banco!$D:$D,ROW()))</f>
        <v/>
      </c>
      <c r="E195" s="9">
        <f>IF(INDEX(Banco!$E:$E,ROW())="","",INDEX(Banco!$E:$E,ROW()))</f>
        <v/>
      </c>
      <c r="F195" s="10">
        <f>IF(INDEX(Banco!$F:$F,ROW())="","",INDEX(Banco!$F:$F,ROW()))</f>
        <v/>
      </c>
      <c r="G195" s="10">
        <f>IF(INDEX(Banco!$G:$G,ROW())="","",INDEX(Banco!$G:$G,ROW()))</f>
        <v/>
      </c>
      <c r="H195" s="8">
        <f>IF(INDEX(Banco!$H:$H,ROW())="","",INDEX(Banco!$H:$H,ROW()))</f>
        <v/>
      </c>
      <c r="I195">
        <f>IF($T195="","",INT($T195/12)&amp;"a "&amp;MOD($T195,12)&amp;"m")</f>
        <v/>
      </c>
      <c r="J195" s="11">
        <f>IF(OR($F195="",$G195=""),"",ROUND($F195/($G195/100)^2,2))</f>
        <v/>
      </c>
      <c r="K195" s="12">
        <f>IF(OR($S195="",$J195="",$T195="",$T195&lt;0,$T195&gt;228,$Y195=""),"—",ROUND(IF(ABS($AB195)&lt;=3,$AB195,IF($AB195&gt;3,3+($J195-$AD195)/($AD195-$AC195),-3+($J195-$AF195)/($AE195-$AF195))),2))</f>
        <v/>
      </c>
      <c r="L195">
        <f>IF(OR($K195="",$K195="—"),"",IF($T195&lt;=60,IF($K195&lt;-3,"Magreza acentuada",IF($K195&lt;-2,"Magreza",IF($K195&lt;=1,"Eutrofia",IF($K195&lt;=2,"Risco de sobrepeso",IF($K195&lt;=3,"Sobrepeso","Obesidade"))))),IF($K195&lt;-3,"Magreza acentuada",IF($K195&lt;-2,"Magreza",IF($K195&lt;=1,"Eutrofia",IF($K195&lt;=2,"Sobrepeso",IF($K195&lt;=3,"Obesidade","Obesidade grave")))))))</f>
        <v/>
      </c>
      <c r="M195" s="12">
        <f>IF(OR($S195="",$V195="",$T195="",$T195&lt;0,$T195&gt;228,$AG195=""),"—",ROUND(IF($AG195=0,LN($V195/$AH195)/$AI195,((($V195/$AH195)^$AG195)-1)/($AG195*$AI195)),2))</f>
        <v/>
      </c>
      <c r="N195">
        <f>IF(OR($M195="",$M195="—"),"",IF($M195&lt;-3,"Muito baixa",IF($M195&lt;-2,"Baixa","Adequada")))</f>
        <v/>
      </c>
      <c r="O195" s="12">
        <f>IF(OR($S195="",$F195="",$T195="",$T195&lt;0,$T195&gt;120,$AJ195=""),"—",ROUND(IF(ABS($AM195)&lt;=3,$AM195,IF($AM195&gt;3,3+($F195-$AO195)/($AO195-$AN195),-3+($F195-$AQ195)/($AP195-$AQ195))),2))</f>
        <v/>
      </c>
      <c r="P195">
        <f>IF(OR($O195="",$O195="—"),"",IF($O195&lt;-3,"Muito baixo",IF($O195&lt;-2,"Baixo",IF($O195&lt;=2,"Adequado","Elevado"))))</f>
        <v/>
      </c>
      <c r="Q195" s="12">
        <f>IF(OR($S195="",$F195="",$T195="",$T195&lt;0,$T195&gt;60,$AR195=""),"—",ROUND(IF(ABS($AU195)&lt;=3,$AU195,IF($AU195&gt;3,3+($F195-$AW195)/($AW195-$AV195),-3+($F195-$AY195)/($AX195-$AY195))),2))</f>
        <v/>
      </c>
      <c r="R195">
        <f>IF(OR($Q195="",$Q195="—"),"",IF($Q195&lt;-3,"Magreza acentuada",IF($Q195&lt;-2,"Magreza",IF($Q195&lt;=1,"Eutrofia",IF($Q195&lt;=2,"Risco de sobrepeso",IF($Q195&lt;=3,"Sobrepeso","Obesidade"))))))</f>
        <v/>
      </c>
      <c r="S195">
        <f>IF($C195="","",IF(UPPER(LEFT($C195,1))="M",1,IF(UPPER(LEFT($C195,1))="F",2,"")))</f>
        <v/>
      </c>
      <c r="T195">
        <f>IF(OR($D195="",$E195=""),"",DATEDIF($D195,$E195,"m"))</f>
        <v/>
      </c>
      <c r="U195">
        <f>IF(OR($D195="",$E195=""),"",$E195-$D195)</f>
        <v/>
      </c>
      <c r="V195">
        <f>IF(OR($G195="",$T195=""),"",IF($T195&lt;24,IF(LEFT(LOWER($H195),4)="em p",$G195+0.7,$G195),IF(LEFT(LOWER($H195),4)="deit",$G195-0.7,$G195)))</f>
        <v/>
      </c>
      <c r="W195">
        <f>IF(OR($S195="",$T195=""),"",$S195*1000000+IF($T195&lt;=60,$U195,$T195))</f>
        <v/>
      </c>
      <c r="X195">
        <f>IF(OR($S195="",$V195="",$T195&gt;60,$T195=""),"",$S195*1000000+ROUND($V195*10,0))</f>
        <v/>
      </c>
      <c r="Y195">
        <f>IF($W195="","",IFERROR(INDEX(IF($T195&lt;=60,imc05_l,imc519_l),MATCH($W195,IF($T195&lt;=60,imc05_k,imc519_k),1)),""))</f>
        <v/>
      </c>
      <c r="Z195">
        <f>IF($W195="","",IFERROR(INDEX(IF($T195&lt;=60,imc05_m,imc519_m),MATCH($W195,IF($T195&lt;=60,imc05_k,imc519_k),1)),""))</f>
        <v/>
      </c>
      <c r="AA195">
        <f>IF($W195="","",IFERROR(INDEX(IF($T195&lt;=60,imc05_s,imc519_s),MATCH($W195,IF($T195&lt;=60,imc05_k,imc519_k),1)),""))</f>
        <v/>
      </c>
      <c r="AB195">
        <f>IF($Y195="","",IF($Y195=0,LN($J195/$Z195)/$AA195,((($J195/$Z195)^$Y195)-1)/($Y195*$AA195)))</f>
        <v/>
      </c>
      <c r="AC195">
        <f>IF($Y195="","",IF($Y195=0,$Z195*EXP($AA195*2),$Z195*(1+$Y195*$AA195*2)^(1/$Y195)))</f>
        <v/>
      </c>
      <c r="AD195">
        <f>IF($Y195="","",IF($Y195=0,$Z195*EXP($AA195*3),$Z195*(1+$Y195*$AA195*3)^(1/$Y195)))</f>
        <v/>
      </c>
      <c r="AE195">
        <f>IF($Y195="","",IF($Y195=0,$Z195*EXP($AA195*-2),$Z195*(1+$Y195*$AA195*-2)^(1/$Y195)))</f>
        <v/>
      </c>
      <c r="AF195">
        <f>IF($Y195="","",IF($Y195=0,$Z195*EXP($AA195*-3),$Z195*(1+$Y195*$AA195*-3)^(1/$Y195)))</f>
        <v/>
      </c>
      <c r="AG195">
        <f>IF($W195="","",IFERROR(INDEX(IF($T195&lt;=60,est05_l,est519_l),MATCH($W195,IF($T195&lt;=60,est05_k,est519_k),1)),""))</f>
        <v/>
      </c>
      <c r="AH195">
        <f>IF($W195="","",IFERROR(INDEX(IF($T195&lt;=60,est05_m,est519_m),MATCH($W195,IF($T195&lt;=60,est05_k,est519_k),1)),""))</f>
        <v/>
      </c>
      <c r="AI195">
        <f>IF($W195="","",IFERROR(INDEX(IF($T195&lt;=60,est05_s,est519_s),MATCH($W195,IF($T195&lt;=60,est05_k,est519_k),1)),""))</f>
        <v/>
      </c>
      <c r="AJ195">
        <f>IF($W195="","",IFERROR(INDEX(IF($T195&lt;=60,peso05_l,peso510_l),MATCH($W195,IF($T195&lt;=60,peso05_k,peso510_k),1)),""))</f>
        <v/>
      </c>
      <c r="AK195">
        <f>IF($W195="","",IFERROR(INDEX(IF($T195&lt;=60,peso05_m,peso510_m),MATCH($W195,IF($T195&lt;=60,peso05_k,peso510_k),1)),""))</f>
        <v/>
      </c>
      <c r="AL195">
        <f>IF($W195="","",IFERROR(INDEX(IF($T195&lt;=60,peso05_s,peso510_s),MATCH($W195,IF($T195&lt;=60,peso05_k,peso510_k),1)),""))</f>
        <v/>
      </c>
      <c r="AM195">
        <f>IF($AJ195="","",IF($AJ195=0,LN($F195/$AK195)/$AL195,((($F195/$AK195)^$AJ195)-1)/($AJ195*$AL195)))</f>
        <v/>
      </c>
      <c r="AN195">
        <f>IF($AJ195="","",IF($AJ195=0,$AK195*EXP($AL195*2),$AK195*(1+$AJ195*$AL195*2)^(1/$AJ195)))</f>
        <v/>
      </c>
      <c r="AO195">
        <f>IF($AJ195="","",IF($AJ195=0,$AK195*EXP($AL195*3),$AK195*(1+$AJ195*$AL195*3)^(1/$AJ195)))</f>
        <v/>
      </c>
      <c r="AP195">
        <f>IF($AJ195="","",IF($AJ195=0,$AK195*EXP($AL195*-2),$AK195*(1+$AJ195*$AL195*-2)^(1/$AJ195)))</f>
        <v/>
      </c>
      <c r="AQ195">
        <f>IF($AJ195="","",IF($AJ195=0,$AK195*EXP($AL195*-3),$AK195*(1+$AJ195*$AL195*-3)^(1/$AJ195)))</f>
        <v/>
      </c>
      <c r="AR195">
        <f>IF(OR($X195="",$T195&gt;60),"",IFERROR(INDEX(IF($T195&lt;24,pcomp_l,palt_l),MATCH($X195,IF($T195&lt;24,pcomp_k,palt_k),1)),""))</f>
        <v/>
      </c>
      <c r="AS195">
        <f>IF(OR($X195="",$T195&gt;60),"",IFERROR(INDEX(IF($T195&lt;24,pcomp_m,palt_m),MATCH($X195,IF($T195&lt;24,pcomp_k,palt_k),1)),""))</f>
        <v/>
      </c>
      <c r="AT195">
        <f>IF(OR($X195="",$T195&gt;60),"",IFERROR(INDEX(IF($T195&lt;24,pcomp_s,palt_s),MATCH($X195,IF($T195&lt;24,pcomp_k,palt_k),1)),""))</f>
        <v/>
      </c>
      <c r="AU195">
        <f>IF($AR195="","",IF($AR195=0,LN($F195/$AS195)/$AT195,((($F195/$AS195)^$AR195)-1)/($AR195*$AT195)))</f>
        <v/>
      </c>
      <c r="AV195">
        <f>IF($AR195="","",IF($AR195=0,$AS195*EXP($AT195*2),$AS195*(1+$AR195*$AT195*2)^(1/$AR195)))</f>
        <v/>
      </c>
      <c r="AW195">
        <f>IF($AR195="","",IF($AR195=0,$AS195*EXP($AT195*3),$AS195*(1+$AR195*$AT195*3)^(1/$AR195)))</f>
        <v/>
      </c>
      <c r="AX195">
        <f>IF($AR195="","",IF($AR195=0,$AS195*EXP($AT195*-2),$AS195*(1+$AR195*$AT195*-2)^(1/$AR195)))</f>
        <v/>
      </c>
      <c r="AY195">
        <f>IF($AR195="","",IF($AR195=0,$AS195*EXP($AT195*-3),$AS195*(1+$AR195*$AT195*-3)^(1/$AR195)))</f>
        <v/>
      </c>
      <c r="AZ195">
        <f>IF(OR($A195="",$A195&lt;&gt;Ficha!$C$4),"",COUNTIF($A$2:$A195,Ficha!$C$4))</f>
        <v/>
      </c>
    </row>
    <row r="196">
      <c r="A196" s="8">
        <f>IF(INDEX(Banco!$A:$A,ROW())="","",INDEX(Banco!$A:$A,ROW()))</f>
        <v/>
      </c>
      <c r="B196" s="8">
        <f>IF(INDEX(Banco!$B:$B,ROW())="","",INDEX(Banco!$B:$B,ROW()))</f>
        <v/>
      </c>
      <c r="C196" s="8">
        <f>IF(INDEX(Banco!$C:$C,ROW())="","",INDEX(Banco!$C:$C,ROW()))</f>
        <v/>
      </c>
      <c r="D196" s="9">
        <f>IF(INDEX(Banco!$D:$D,ROW())="","",INDEX(Banco!$D:$D,ROW()))</f>
        <v/>
      </c>
      <c r="E196" s="9">
        <f>IF(INDEX(Banco!$E:$E,ROW())="","",INDEX(Banco!$E:$E,ROW()))</f>
        <v/>
      </c>
      <c r="F196" s="10">
        <f>IF(INDEX(Banco!$F:$F,ROW())="","",INDEX(Banco!$F:$F,ROW()))</f>
        <v/>
      </c>
      <c r="G196" s="10">
        <f>IF(INDEX(Banco!$G:$G,ROW())="","",INDEX(Banco!$G:$G,ROW()))</f>
        <v/>
      </c>
      <c r="H196" s="8">
        <f>IF(INDEX(Banco!$H:$H,ROW())="","",INDEX(Banco!$H:$H,ROW()))</f>
        <v/>
      </c>
      <c r="I196">
        <f>IF($T196="","",INT($T196/12)&amp;"a "&amp;MOD($T196,12)&amp;"m")</f>
        <v/>
      </c>
      <c r="J196" s="11">
        <f>IF(OR($F196="",$G196=""),"",ROUND($F196/($G196/100)^2,2))</f>
        <v/>
      </c>
      <c r="K196" s="12">
        <f>IF(OR($S196="",$J196="",$T196="",$T196&lt;0,$T196&gt;228,$Y196=""),"—",ROUND(IF(ABS($AB196)&lt;=3,$AB196,IF($AB196&gt;3,3+($J196-$AD196)/($AD196-$AC196),-3+($J196-$AF196)/($AE196-$AF196))),2))</f>
        <v/>
      </c>
      <c r="L196">
        <f>IF(OR($K196="",$K196="—"),"",IF($T196&lt;=60,IF($K196&lt;-3,"Magreza acentuada",IF($K196&lt;-2,"Magreza",IF($K196&lt;=1,"Eutrofia",IF($K196&lt;=2,"Risco de sobrepeso",IF($K196&lt;=3,"Sobrepeso","Obesidade"))))),IF($K196&lt;-3,"Magreza acentuada",IF($K196&lt;-2,"Magreza",IF($K196&lt;=1,"Eutrofia",IF($K196&lt;=2,"Sobrepeso",IF($K196&lt;=3,"Obesidade","Obesidade grave")))))))</f>
        <v/>
      </c>
      <c r="M196" s="12">
        <f>IF(OR($S196="",$V196="",$T196="",$T196&lt;0,$T196&gt;228,$AG196=""),"—",ROUND(IF($AG196=0,LN($V196/$AH196)/$AI196,((($V196/$AH196)^$AG196)-1)/($AG196*$AI196)),2))</f>
        <v/>
      </c>
      <c r="N196">
        <f>IF(OR($M196="",$M196="—"),"",IF($M196&lt;-3,"Muito baixa",IF($M196&lt;-2,"Baixa","Adequada")))</f>
        <v/>
      </c>
      <c r="O196" s="12">
        <f>IF(OR($S196="",$F196="",$T196="",$T196&lt;0,$T196&gt;120,$AJ196=""),"—",ROUND(IF(ABS($AM196)&lt;=3,$AM196,IF($AM196&gt;3,3+($F196-$AO196)/($AO196-$AN196),-3+($F196-$AQ196)/($AP196-$AQ196))),2))</f>
        <v/>
      </c>
      <c r="P196">
        <f>IF(OR($O196="",$O196="—"),"",IF($O196&lt;-3,"Muito baixo",IF($O196&lt;-2,"Baixo",IF($O196&lt;=2,"Adequado","Elevado"))))</f>
        <v/>
      </c>
      <c r="Q196" s="12">
        <f>IF(OR($S196="",$F196="",$T196="",$T196&lt;0,$T196&gt;60,$AR196=""),"—",ROUND(IF(ABS($AU196)&lt;=3,$AU196,IF($AU196&gt;3,3+($F196-$AW196)/($AW196-$AV196),-3+($F196-$AY196)/($AX196-$AY196))),2))</f>
        <v/>
      </c>
      <c r="R196">
        <f>IF(OR($Q196="",$Q196="—"),"",IF($Q196&lt;-3,"Magreza acentuada",IF($Q196&lt;-2,"Magreza",IF($Q196&lt;=1,"Eutrofia",IF($Q196&lt;=2,"Risco de sobrepeso",IF($Q196&lt;=3,"Sobrepeso","Obesidade"))))))</f>
        <v/>
      </c>
      <c r="S196">
        <f>IF($C196="","",IF(UPPER(LEFT($C196,1))="M",1,IF(UPPER(LEFT($C196,1))="F",2,"")))</f>
        <v/>
      </c>
      <c r="T196">
        <f>IF(OR($D196="",$E196=""),"",DATEDIF($D196,$E196,"m"))</f>
        <v/>
      </c>
      <c r="U196">
        <f>IF(OR($D196="",$E196=""),"",$E196-$D196)</f>
        <v/>
      </c>
      <c r="V196">
        <f>IF(OR($G196="",$T196=""),"",IF($T196&lt;24,IF(LEFT(LOWER($H196),4)="em p",$G196+0.7,$G196),IF(LEFT(LOWER($H196),4)="deit",$G196-0.7,$G196)))</f>
        <v/>
      </c>
      <c r="W196">
        <f>IF(OR($S196="",$T196=""),"",$S196*1000000+IF($T196&lt;=60,$U196,$T196))</f>
        <v/>
      </c>
      <c r="X196">
        <f>IF(OR($S196="",$V196="",$T196&gt;60,$T196=""),"",$S196*1000000+ROUND($V196*10,0))</f>
        <v/>
      </c>
      <c r="Y196">
        <f>IF($W196="","",IFERROR(INDEX(IF($T196&lt;=60,imc05_l,imc519_l),MATCH($W196,IF($T196&lt;=60,imc05_k,imc519_k),1)),""))</f>
        <v/>
      </c>
      <c r="Z196">
        <f>IF($W196="","",IFERROR(INDEX(IF($T196&lt;=60,imc05_m,imc519_m),MATCH($W196,IF($T196&lt;=60,imc05_k,imc519_k),1)),""))</f>
        <v/>
      </c>
      <c r="AA196">
        <f>IF($W196="","",IFERROR(INDEX(IF($T196&lt;=60,imc05_s,imc519_s),MATCH($W196,IF($T196&lt;=60,imc05_k,imc519_k),1)),""))</f>
        <v/>
      </c>
      <c r="AB196">
        <f>IF($Y196="","",IF($Y196=0,LN($J196/$Z196)/$AA196,((($J196/$Z196)^$Y196)-1)/($Y196*$AA196)))</f>
        <v/>
      </c>
      <c r="AC196">
        <f>IF($Y196="","",IF($Y196=0,$Z196*EXP($AA196*2),$Z196*(1+$Y196*$AA196*2)^(1/$Y196)))</f>
        <v/>
      </c>
      <c r="AD196">
        <f>IF($Y196="","",IF($Y196=0,$Z196*EXP($AA196*3),$Z196*(1+$Y196*$AA196*3)^(1/$Y196)))</f>
        <v/>
      </c>
      <c r="AE196">
        <f>IF($Y196="","",IF($Y196=0,$Z196*EXP($AA196*-2),$Z196*(1+$Y196*$AA196*-2)^(1/$Y196)))</f>
        <v/>
      </c>
      <c r="AF196">
        <f>IF($Y196="","",IF($Y196=0,$Z196*EXP($AA196*-3),$Z196*(1+$Y196*$AA196*-3)^(1/$Y196)))</f>
        <v/>
      </c>
      <c r="AG196">
        <f>IF($W196="","",IFERROR(INDEX(IF($T196&lt;=60,est05_l,est519_l),MATCH($W196,IF($T196&lt;=60,est05_k,est519_k),1)),""))</f>
        <v/>
      </c>
      <c r="AH196">
        <f>IF($W196="","",IFERROR(INDEX(IF($T196&lt;=60,est05_m,est519_m),MATCH($W196,IF($T196&lt;=60,est05_k,est519_k),1)),""))</f>
        <v/>
      </c>
      <c r="AI196">
        <f>IF($W196="","",IFERROR(INDEX(IF($T196&lt;=60,est05_s,est519_s),MATCH($W196,IF($T196&lt;=60,est05_k,est519_k),1)),""))</f>
        <v/>
      </c>
      <c r="AJ196">
        <f>IF($W196="","",IFERROR(INDEX(IF($T196&lt;=60,peso05_l,peso510_l),MATCH($W196,IF($T196&lt;=60,peso05_k,peso510_k),1)),""))</f>
        <v/>
      </c>
      <c r="AK196">
        <f>IF($W196="","",IFERROR(INDEX(IF($T196&lt;=60,peso05_m,peso510_m),MATCH($W196,IF($T196&lt;=60,peso05_k,peso510_k),1)),""))</f>
        <v/>
      </c>
      <c r="AL196">
        <f>IF($W196="","",IFERROR(INDEX(IF($T196&lt;=60,peso05_s,peso510_s),MATCH($W196,IF($T196&lt;=60,peso05_k,peso510_k),1)),""))</f>
        <v/>
      </c>
      <c r="AM196">
        <f>IF($AJ196="","",IF($AJ196=0,LN($F196/$AK196)/$AL196,((($F196/$AK196)^$AJ196)-1)/($AJ196*$AL196)))</f>
        <v/>
      </c>
      <c r="AN196">
        <f>IF($AJ196="","",IF($AJ196=0,$AK196*EXP($AL196*2),$AK196*(1+$AJ196*$AL196*2)^(1/$AJ196)))</f>
        <v/>
      </c>
      <c r="AO196">
        <f>IF($AJ196="","",IF($AJ196=0,$AK196*EXP($AL196*3),$AK196*(1+$AJ196*$AL196*3)^(1/$AJ196)))</f>
        <v/>
      </c>
      <c r="AP196">
        <f>IF($AJ196="","",IF($AJ196=0,$AK196*EXP($AL196*-2),$AK196*(1+$AJ196*$AL196*-2)^(1/$AJ196)))</f>
        <v/>
      </c>
      <c r="AQ196">
        <f>IF($AJ196="","",IF($AJ196=0,$AK196*EXP($AL196*-3),$AK196*(1+$AJ196*$AL196*-3)^(1/$AJ196)))</f>
        <v/>
      </c>
      <c r="AR196">
        <f>IF(OR($X196="",$T196&gt;60),"",IFERROR(INDEX(IF($T196&lt;24,pcomp_l,palt_l),MATCH($X196,IF($T196&lt;24,pcomp_k,palt_k),1)),""))</f>
        <v/>
      </c>
      <c r="AS196">
        <f>IF(OR($X196="",$T196&gt;60),"",IFERROR(INDEX(IF($T196&lt;24,pcomp_m,palt_m),MATCH($X196,IF($T196&lt;24,pcomp_k,palt_k),1)),""))</f>
        <v/>
      </c>
      <c r="AT196">
        <f>IF(OR($X196="",$T196&gt;60),"",IFERROR(INDEX(IF($T196&lt;24,pcomp_s,palt_s),MATCH($X196,IF($T196&lt;24,pcomp_k,palt_k),1)),""))</f>
        <v/>
      </c>
      <c r="AU196">
        <f>IF($AR196="","",IF($AR196=0,LN($F196/$AS196)/$AT196,((($F196/$AS196)^$AR196)-1)/($AR196*$AT196)))</f>
        <v/>
      </c>
      <c r="AV196">
        <f>IF($AR196="","",IF($AR196=0,$AS196*EXP($AT196*2),$AS196*(1+$AR196*$AT196*2)^(1/$AR196)))</f>
        <v/>
      </c>
      <c r="AW196">
        <f>IF($AR196="","",IF($AR196=0,$AS196*EXP($AT196*3),$AS196*(1+$AR196*$AT196*3)^(1/$AR196)))</f>
        <v/>
      </c>
      <c r="AX196">
        <f>IF($AR196="","",IF($AR196=0,$AS196*EXP($AT196*-2),$AS196*(1+$AR196*$AT196*-2)^(1/$AR196)))</f>
        <v/>
      </c>
      <c r="AY196">
        <f>IF($AR196="","",IF($AR196=0,$AS196*EXP($AT196*-3),$AS196*(1+$AR196*$AT196*-3)^(1/$AR196)))</f>
        <v/>
      </c>
      <c r="AZ196">
        <f>IF(OR($A196="",$A196&lt;&gt;Ficha!$C$4),"",COUNTIF($A$2:$A196,Ficha!$C$4))</f>
        <v/>
      </c>
    </row>
    <row r="197">
      <c r="A197" s="8">
        <f>IF(INDEX(Banco!$A:$A,ROW())="","",INDEX(Banco!$A:$A,ROW()))</f>
        <v/>
      </c>
      <c r="B197" s="8">
        <f>IF(INDEX(Banco!$B:$B,ROW())="","",INDEX(Banco!$B:$B,ROW()))</f>
        <v/>
      </c>
      <c r="C197" s="8">
        <f>IF(INDEX(Banco!$C:$C,ROW())="","",INDEX(Banco!$C:$C,ROW()))</f>
        <v/>
      </c>
      <c r="D197" s="9">
        <f>IF(INDEX(Banco!$D:$D,ROW())="","",INDEX(Banco!$D:$D,ROW()))</f>
        <v/>
      </c>
      <c r="E197" s="9">
        <f>IF(INDEX(Banco!$E:$E,ROW())="","",INDEX(Banco!$E:$E,ROW()))</f>
        <v/>
      </c>
      <c r="F197" s="10">
        <f>IF(INDEX(Banco!$F:$F,ROW())="","",INDEX(Banco!$F:$F,ROW()))</f>
        <v/>
      </c>
      <c r="G197" s="10">
        <f>IF(INDEX(Banco!$G:$G,ROW())="","",INDEX(Banco!$G:$G,ROW()))</f>
        <v/>
      </c>
      <c r="H197" s="8">
        <f>IF(INDEX(Banco!$H:$H,ROW())="","",INDEX(Banco!$H:$H,ROW()))</f>
        <v/>
      </c>
      <c r="I197">
        <f>IF($T197="","",INT($T197/12)&amp;"a "&amp;MOD($T197,12)&amp;"m")</f>
        <v/>
      </c>
      <c r="J197" s="11">
        <f>IF(OR($F197="",$G197=""),"",ROUND($F197/($G197/100)^2,2))</f>
        <v/>
      </c>
      <c r="K197" s="12">
        <f>IF(OR($S197="",$J197="",$T197="",$T197&lt;0,$T197&gt;228,$Y197=""),"—",ROUND(IF(ABS($AB197)&lt;=3,$AB197,IF($AB197&gt;3,3+($J197-$AD197)/($AD197-$AC197),-3+($J197-$AF197)/($AE197-$AF197))),2))</f>
        <v/>
      </c>
      <c r="L197">
        <f>IF(OR($K197="",$K197="—"),"",IF($T197&lt;=60,IF($K197&lt;-3,"Magreza acentuada",IF($K197&lt;-2,"Magreza",IF($K197&lt;=1,"Eutrofia",IF($K197&lt;=2,"Risco de sobrepeso",IF($K197&lt;=3,"Sobrepeso","Obesidade"))))),IF($K197&lt;-3,"Magreza acentuada",IF($K197&lt;-2,"Magreza",IF($K197&lt;=1,"Eutrofia",IF($K197&lt;=2,"Sobrepeso",IF($K197&lt;=3,"Obesidade","Obesidade grave")))))))</f>
        <v/>
      </c>
      <c r="M197" s="12">
        <f>IF(OR($S197="",$V197="",$T197="",$T197&lt;0,$T197&gt;228,$AG197=""),"—",ROUND(IF($AG197=0,LN($V197/$AH197)/$AI197,((($V197/$AH197)^$AG197)-1)/($AG197*$AI197)),2))</f>
        <v/>
      </c>
      <c r="N197">
        <f>IF(OR($M197="",$M197="—"),"",IF($M197&lt;-3,"Muito baixa",IF($M197&lt;-2,"Baixa","Adequada")))</f>
        <v/>
      </c>
      <c r="O197" s="12">
        <f>IF(OR($S197="",$F197="",$T197="",$T197&lt;0,$T197&gt;120,$AJ197=""),"—",ROUND(IF(ABS($AM197)&lt;=3,$AM197,IF($AM197&gt;3,3+($F197-$AO197)/($AO197-$AN197),-3+($F197-$AQ197)/($AP197-$AQ197))),2))</f>
        <v/>
      </c>
      <c r="P197">
        <f>IF(OR($O197="",$O197="—"),"",IF($O197&lt;-3,"Muito baixo",IF($O197&lt;-2,"Baixo",IF($O197&lt;=2,"Adequado","Elevado"))))</f>
        <v/>
      </c>
      <c r="Q197" s="12">
        <f>IF(OR($S197="",$F197="",$T197="",$T197&lt;0,$T197&gt;60,$AR197=""),"—",ROUND(IF(ABS($AU197)&lt;=3,$AU197,IF($AU197&gt;3,3+($F197-$AW197)/($AW197-$AV197),-3+($F197-$AY197)/($AX197-$AY197))),2))</f>
        <v/>
      </c>
      <c r="R197">
        <f>IF(OR($Q197="",$Q197="—"),"",IF($Q197&lt;-3,"Magreza acentuada",IF($Q197&lt;-2,"Magreza",IF($Q197&lt;=1,"Eutrofia",IF($Q197&lt;=2,"Risco de sobrepeso",IF($Q197&lt;=3,"Sobrepeso","Obesidade"))))))</f>
        <v/>
      </c>
      <c r="S197">
        <f>IF($C197="","",IF(UPPER(LEFT($C197,1))="M",1,IF(UPPER(LEFT($C197,1))="F",2,"")))</f>
        <v/>
      </c>
      <c r="T197">
        <f>IF(OR($D197="",$E197=""),"",DATEDIF($D197,$E197,"m"))</f>
        <v/>
      </c>
      <c r="U197">
        <f>IF(OR($D197="",$E197=""),"",$E197-$D197)</f>
        <v/>
      </c>
      <c r="V197">
        <f>IF(OR($G197="",$T197=""),"",IF($T197&lt;24,IF(LEFT(LOWER($H197),4)="em p",$G197+0.7,$G197),IF(LEFT(LOWER($H197),4)="deit",$G197-0.7,$G197)))</f>
        <v/>
      </c>
      <c r="W197">
        <f>IF(OR($S197="",$T197=""),"",$S197*1000000+IF($T197&lt;=60,$U197,$T197))</f>
        <v/>
      </c>
      <c r="X197">
        <f>IF(OR($S197="",$V197="",$T197&gt;60,$T197=""),"",$S197*1000000+ROUND($V197*10,0))</f>
        <v/>
      </c>
      <c r="Y197">
        <f>IF($W197="","",IFERROR(INDEX(IF($T197&lt;=60,imc05_l,imc519_l),MATCH($W197,IF($T197&lt;=60,imc05_k,imc519_k),1)),""))</f>
        <v/>
      </c>
      <c r="Z197">
        <f>IF($W197="","",IFERROR(INDEX(IF($T197&lt;=60,imc05_m,imc519_m),MATCH($W197,IF($T197&lt;=60,imc05_k,imc519_k),1)),""))</f>
        <v/>
      </c>
      <c r="AA197">
        <f>IF($W197="","",IFERROR(INDEX(IF($T197&lt;=60,imc05_s,imc519_s),MATCH($W197,IF($T197&lt;=60,imc05_k,imc519_k),1)),""))</f>
        <v/>
      </c>
      <c r="AB197">
        <f>IF($Y197="","",IF($Y197=0,LN($J197/$Z197)/$AA197,((($J197/$Z197)^$Y197)-1)/($Y197*$AA197)))</f>
        <v/>
      </c>
      <c r="AC197">
        <f>IF($Y197="","",IF($Y197=0,$Z197*EXP($AA197*2),$Z197*(1+$Y197*$AA197*2)^(1/$Y197)))</f>
        <v/>
      </c>
      <c r="AD197">
        <f>IF($Y197="","",IF($Y197=0,$Z197*EXP($AA197*3),$Z197*(1+$Y197*$AA197*3)^(1/$Y197)))</f>
        <v/>
      </c>
      <c r="AE197">
        <f>IF($Y197="","",IF($Y197=0,$Z197*EXP($AA197*-2),$Z197*(1+$Y197*$AA197*-2)^(1/$Y197)))</f>
        <v/>
      </c>
      <c r="AF197">
        <f>IF($Y197="","",IF($Y197=0,$Z197*EXP($AA197*-3),$Z197*(1+$Y197*$AA197*-3)^(1/$Y197)))</f>
        <v/>
      </c>
      <c r="AG197">
        <f>IF($W197="","",IFERROR(INDEX(IF($T197&lt;=60,est05_l,est519_l),MATCH($W197,IF($T197&lt;=60,est05_k,est519_k),1)),""))</f>
        <v/>
      </c>
      <c r="AH197">
        <f>IF($W197="","",IFERROR(INDEX(IF($T197&lt;=60,est05_m,est519_m),MATCH($W197,IF($T197&lt;=60,est05_k,est519_k),1)),""))</f>
        <v/>
      </c>
      <c r="AI197">
        <f>IF($W197="","",IFERROR(INDEX(IF($T197&lt;=60,est05_s,est519_s),MATCH($W197,IF($T197&lt;=60,est05_k,est519_k),1)),""))</f>
        <v/>
      </c>
      <c r="AJ197">
        <f>IF($W197="","",IFERROR(INDEX(IF($T197&lt;=60,peso05_l,peso510_l),MATCH($W197,IF($T197&lt;=60,peso05_k,peso510_k),1)),""))</f>
        <v/>
      </c>
      <c r="AK197">
        <f>IF($W197="","",IFERROR(INDEX(IF($T197&lt;=60,peso05_m,peso510_m),MATCH($W197,IF($T197&lt;=60,peso05_k,peso510_k),1)),""))</f>
        <v/>
      </c>
      <c r="AL197">
        <f>IF($W197="","",IFERROR(INDEX(IF($T197&lt;=60,peso05_s,peso510_s),MATCH($W197,IF($T197&lt;=60,peso05_k,peso510_k),1)),""))</f>
        <v/>
      </c>
      <c r="AM197">
        <f>IF($AJ197="","",IF($AJ197=0,LN($F197/$AK197)/$AL197,((($F197/$AK197)^$AJ197)-1)/($AJ197*$AL197)))</f>
        <v/>
      </c>
      <c r="AN197">
        <f>IF($AJ197="","",IF($AJ197=0,$AK197*EXP($AL197*2),$AK197*(1+$AJ197*$AL197*2)^(1/$AJ197)))</f>
        <v/>
      </c>
      <c r="AO197">
        <f>IF($AJ197="","",IF($AJ197=0,$AK197*EXP($AL197*3),$AK197*(1+$AJ197*$AL197*3)^(1/$AJ197)))</f>
        <v/>
      </c>
      <c r="AP197">
        <f>IF($AJ197="","",IF($AJ197=0,$AK197*EXP($AL197*-2),$AK197*(1+$AJ197*$AL197*-2)^(1/$AJ197)))</f>
        <v/>
      </c>
      <c r="AQ197">
        <f>IF($AJ197="","",IF($AJ197=0,$AK197*EXP($AL197*-3),$AK197*(1+$AJ197*$AL197*-3)^(1/$AJ197)))</f>
        <v/>
      </c>
      <c r="AR197">
        <f>IF(OR($X197="",$T197&gt;60),"",IFERROR(INDEX(IF($T197&lt;24,pcomp_l,palt_l),MATCH($X197,IF($T197&lt;24,pcomp_k,palt_k),1)),""))</f>
        <v/>
      </c>
      <c r="AS197">
        <f>IF(OR($X197="",$T197&gt;60),"",IFERROR(INDEX(IF($T197&lt;24,pcomp_m,palt_m),MATCH($X197,IF($T197&lt;24,pcomp_k,palt_k),1)),""))</f>
        <v/>
      </c>
      <c r="AT197">
        <f>IF(OR($X197="",$T197&gt;60),"",IFERROR(INDEX(IF($T197&lt;24,pcomp_s,palt_s),MATCH($X197,IF($T197&lt;24,pcomp_k,palt_k),1)),""))</f>
        <v/>
      </c>
      <c r="AU197">
        <f>IF($AR197="","",IF($AR197=0,LN($F197/$AS197)/$AT197,((($F197/$AS197)^$AR197)-1)/($AR197*$AT197)))</f>
        <v/>
      </c>
      <c r="AV197">
        <f>IF($AR197="","",IF($AR197=0,$AS197*EXP($AT197*2),$AS197*(1+$AR197*$AT197*2)^(1/$AR197)))</f>
        <v/>
      </c>
      <c r="AW197">
        <f>IF($AR197="","",IF($AR197=0,$AS197*EXP($AT197*3),$AS197*(1+$AR197*$AT197*3)^(1/$AR197)))</f>
        <v/>
      </c>
      <c r="AX197">
        <f>IF($AR197="","",IF($AR197=0,$AS197*EXP($AT197*-2),$AS197*(1+$AR197*$AT197*-2)^(1/$AR197)))</f>
        <v/>
      </c>
      <c r="AY197">
        <f>IF($AR197="","",IF($AR197=0,$AS197*EXP($AT197*-3),$AS197*(1+$AR197*$AT197*-3)^(1/$AR197)))</f>
        <v/>
      </c>
      <c r="AZ197">
        <f>IF(OR($A197="",$A197&lt;&gt;Ficha!$C$4),"",COUNTIF($A$2:$A197,Ficha!$C$4))</f>
        <v/>
      </c>
    </row>
    <row r="198">
      <c r="A198" s="8">
        <f>IF(INDEX(Banco!$A:$A,ROW())="","",INDEX(Banco!$A:$A,ROW()))</f>
        <v/>
      </c>
      <c r="B198" s="8">
        <f>IF(INDEX(Banco!$B:$B,ROW())="","",INDEX(Banco!$B:$B,ROW()))</f>
        <v/>
      </c>
      <c r="C198" s="8">
        <f>IF(INDEX(Banco!$C:$C,ROW())="","",INDEX(Banco!$C:$C,ROW()))</f>
        <v/>
      </c>
      <c r="D198" s="9">
        <f>IF(INDEX(Banco!$D:$D,ROW())="","",INDEX(Banco!$D:$D,ROW()))</f>
        <v/>
      </c>
      <c r="E198" s="9">
        <f>IF(INDEX(Banco!$E:$E,ROW())="","",INDEX(Banco!$E:$E,ROW()))</f>
        <v/>
      </c>
      <c r="F198" s="10">
        <f>IF(INDEX(Banco!$F:$F,ROW())="","",INDEX(Banco!$F:$F,ROW()))</f>
        <v/>
      </c>
      <c r="G198" s="10">
        <f>IF(INDEX(Banco!$G:$G,ROW())="","",INDEX(Banco!$G:$G,ROW()))</f>
        <v/>
      </c>
      <c r="H198" s="8">
        <f>IF(INDEX(Banco!$H:$H,ROW())="","",INDEX(Banco!$H:$H,ROW()))</f>
        <v/>
      </c>
      <c r="I198">
        <f>IF($T198="","",INT($T198/12)&amp;"a "&amp;MOD($T198,12)&amp;"m")</f>
        <v/>
      </c>
      <c r="J198" s="11">
        <f>IF(OR($F198="",$G198=""),"",ROUND($F198/($G198/100)^2,2))</f>
        <v/>
      </c>
      <c r="K198" s="12">
        <f>IF(OR($S198="",$J198="",$T198="",$T198&lt;0,$T198&gt;228,$Y198=""),"—",ROUND(IF(ABS($AB198)&lt;=3,$AB198,IF($AB198&gt;3,3+($J198-$AD198)/($AD198-$AC198),-3+($J198-$AF198)/($AE198-$AF198))),2))</f>
        <v/>
      </c>
      <c r="L198">
        <f>IF(OR($K198="",$K198="—"),"",IF($T198&lt;=60,IF($K198&lt;-3,"Magreza acentuada",IF($K198&lt;-2,"Magreza",IF($K198&lt;=1,"Eutrofia",IF($K198&lt;=2,"Risco de sobrepeso",IF($K198&lt;=3,"Sobrepeso","Obesidade"))))),IF($K198&lt;-3,"Magreza acentuada",IF($K198&lt;-2,"Magreza",IF($K198&lt;=1,"Eutrofia",IF($K198&lt;=2,"Sobrepeso",IF($K198&lt;=3,"Obesidade","Obesidade grave")))))))</f>
        <v/>
      </c>
      <c r="M198" s="12">
        <f>IF(OR($S198="",$V198="",$T198="",$T198&lt;0,$T198&gt;228,$AG198=""),"—",ROUND(IF($AG198=0,LN($V198/$AH198)/$AI198,((($V198/$AH198)^$AG198)-1)/($AG198*$AI198)),2))</f>
        <v/>
      </c>
      <c r="N198">
        <f>IF(OR($M198="",$M198="—"),"",IF($M198&lt;-3,"Muito baixa",IF($M198&lt;-2,"Baixa","Adequada")))</f>
        <v/>
      </c>
      <c r="O198" s="12">
        <f>IF(OR($S198="",$F198="",$T198="",$T198&lt;0,$T198&gt;120,$AJ198=""),"—",ROUND(IF(ABS($AM198)&lt;=3,$AM198,IF($AM198&gt;3,3+($F198-$AO198)/($AO198-$AN198),-3+($F198-$AQ198)/($AP198-$AQ198))),2))</f>
        <v/>
      </c>
      <c r="P198">
        <f>IF(OR($O198="",$O198="—"),"",IF($O198&lt;-3,"Muito baixo",IF($O198&lt;-2,"Baixo",IF($O198&lt;=2,"Adequado","Elevado"))))</f>
        <v/>
      </c>
      <c r="Q198" s="12">
        <f>IF(OR($S198="",$F198="",$T198="",$T198&lt;0,$T198&gt;60,$AR198=""),"—",ROUND(IF(ABS($AU198)&lt;=3,$AU198,IF($AU198&gt;3,3+($F198-$AW198)/($AW198-$AV198),-3+($F198-$AY198)/($AX198-$AY198))),2))</f>
        <v/>
      </c>
      <c r="R198">
        <f>IF(OR($Q198="",$Q198="—"),"",IF($Q198&lt;-3,"Magreza acentuada",IF($Q198&lt;-2,"Magreza",IF($Q198&lt;=1,"Eutrofia",IF($Q198&lt;=2,"Risco de sobrepeso",IF($Q198&lt;=3,"Sobrepeso","Obesidade"))))))</f>
        <v/>
      </c>
      <c r="S198">
        <f>IF($C198="","",IF(UPPER(LEFT($C198,1))="M",1,IF(UPPER(LEFT($C198,1))="F",2,"")))</f>
        <v/>
      </c>
      <c r="T198">
        <f>IF(OR($D198="",$E198=""),"",DATEDIF($D198,$E198,"m"))</f>
        <v/>
      </c>
      <c r="U198">
        <f>IF(OR($D198="",$E198=""),"",$E198-$D198)</f>
        <v/>
      </c>
      <c r="V198">
        <f>IF(OR($G198="",$T198=""),"",IF($T198&lt;24,IF(LEFT(LOWER($H198),4)="em p",$G198+0.7,$G198),IF(LEFT(LOWER($H198),4)="deit",$G198-0.7,$G198)))</f>
        <v/>
      </c>
      <c r="W198">
        <f>IF(OR($S198="",$T198=""),"",$S198*1000000+IF($T198&lt;=60,$U198,$T198))</f>
        <v/>
      </c>
      <c r="X198">
        <f>IF(OR($S198="",$V198="",$T198&gt;60,$T198=""),"",$S198*1000000+ROUND($V198*10,0))</f>
        <v/>
      </c>
      <c r="Y198">
        <f>IF($W198="","",IFERROR(INDEX(IF($T198&lt;=60,imc05_l,imc519_l),MATCH($W198,IF($T198&lt;=60,imc05_k,imc519_k),1)),""))</f>
        <v/>
      </c>
      <c r="Z198">
        <f>IF($W198="","",IFERROR(INDEX(IF($T198&lt;=60,imc05_m,imc519_m),MATCH($W198,IF($T198&lt;=60,imc05_k,imc519_k),1)),""))</f>
        <v/>
      </c>
      <c r="AA198">
        <f>IF($W198="","",IFERROR(INDEX(IF($T198&lt;=60,imc05_s,imc519_s),MATCH($W198,IF($T198&lt;=60,imc05_k,imc519_k),1)),""))</f>
        <v/>
      </c>
      <c r="AB198">
        <f>IF($Y198="","",IF($Y198=0,LN($J198/$Z198)/$AA198,((($J198/$Z198)^$Y198)-1)/($Y198*$AA198)))</f>
        <v/>
      </c>
      <c r="AC198">
        <f>IF($Y198="","",IF($Y198=0,$Z198*EXP($AA198*2),$Z198*(1+$Y198*$AA198*2)^(1/$Y198)))</f>
        <v/>
      </c>
      <c r="AD198">
        <f>IF($Y198="","",IF($Y198=0,$Z198*EXP($AA198*3),$Z198*(1+$Y198*$AA198*3)^(1/$Y198)))</f>
        <v/>
      </c>
      <c r="AE198">
        <f>IF($Y198="","",IF($Y198=0,$Z198*EXP($AA198*-2),$Z198*(1+$Y198*$AA198*-2)^(1/$Y198)))</f>
        <v/>
      </c>
      <c r="AF198">
        <f>IF($Y198="","",IF($Y198=0,$Z198*EXP($AA198*-3),$Z198*(1+$Y198*$AA198*-3)^(1/$Y198)))</f>
        <v/>
      </c>
      <c r="AG198">
        <f>IF($W198="","",IFERROR(INDEX(IF($T198&lt;=60,est05_l,est519_l),MATCH($W198,IF($T198&lt;=60,est05_k,est519_k),1)),""))</f>
        <v/>
      </c>
      <c r="AH198">
        <f>IF($W198="","",IFERROR(INDEX(IF($T198&lt;=60,est05_m,est519_m),MATCH($W198,IF($T198&lt;=60,est05_k,est519_k),1)),""))</f>
        <v/>
      </c>
      <c r="AI198">
        <f>IF($W198="","",IFERROR(INDEX(IF($T198&lt;=60,est05_s,est519_s),MATCH($W198,IF($T198&lt;=60,est05_k,est519_k),1)),""))</f>
        <v/>
      </c>
      <c r="AJ198">
        <f>IF($W198="","",IFERROR(INDEX(IF($T198&lt;=60,peso05_l,peso510_l),MATCH($W198,IF($T198&lt;=60,peso05_k,peso510_k),1)),""))</f>
        <v/>
      </c>
      <c r="AK198">
        <f>IF($W198="","",IFERROR(INDEX(IF($T198&lt;=60,peso05_m,peso510_m),MATCH($W198,IF($T198&lt;=60,peso05_k,peso510_k),1)),""))</f>
        <v/>
      </c>
      <c r="AL198">
        <f>IF($W198="","",IFERROR(INDEX(IF($T198&lt;=60,peso05_s,peso510_s),MATCH($W198,IF($T198&lt;=60,peso05_k,peso510_k),1)),""))</f>
        <v/>
      </c>
      <c r="AM198">
        <f>IF($AJ198="","",IF($AJ198=0,LN($F198/$AK198)/$AL198,((($F198/$AK198)^$AJ198)-1)/($AJ198*$AL198)))</f>
        <v/>
      </c>
      <c r="AN198">
        <f>IF($AJ198="","",IF($AJ198=0,$AK198*EXP($AL198*2),$AK198*(1+$AJ198*$AL198*2)^(1/$AJ198)))</f>
        <v/>
      </c>
      <c r="AO198">
        <f>IF($AJ198="","",IF($AJ198=0,$AK198*EXP($AL198*3),$AK198*(1+$AJ198*$AL198*3)^(1/$AJ198)))</f>
        <v/>
      </c>
      <c r="AP198">
        <f>IF($AJ198="","",IF($AJ198=0,$AK198*EXP($AL198*-2),$AK198*(1+$AJ198*$AL198*-2)^(1/$AJ198)))</f>
        <v/>
      </c>
      <c r="AQ198">
        <f>IF($AJ198="","",IF($AJ198=0,$AK198*EXP($AL198*-3),$AK198*(1+$AJ198*$AL198*-3)^(1/$AJ198)))</f>
        <v/>
      </c>
      <c r="AR198">
        <f>IF(OR($X198="",$T198&gt;60),"",IFERROR(INDEX(IF($T198&lt;24,pcomp_l,palt_l),MATCH($X198,IF($T198&lt;24,pcomp_k,palt_k),1)),""))</f>
        <v/>
      </c>
      <c r="AS198">
        <f>IF(OR($X198="",$T198&gt;60),"",IFERROR(INDEX(IF($T198&lt;24,pcomp_m,palt_m),MATCH($X198,IF($T198&lt;24,pcomp_k,palt_k),1)),""))</f>
        <v/>
      </c>
      <c r="AT198">
        <f>IF(OR($X198="",$T198&gt;60),"",IFERROR(INDEX(IF($T198&lt;24,pcomp_s,palt_s),MATCH($X198,IF($T198&lt;24,pcomp_k,palt_k),1)),""))</f>
        <v/>
      </c>
      <c r="AU198">
        <f>IF($AR198="","",IF($AR198=0,LN($F198/$AS198)/$AT198,((($F198/$AS198)^$AR198)-1)/($AR198*$AT198)))</f>
        <v/>
      </c>
      <c r="AV198">
        <f>IF($AR198="","",IF($AR198=0,$AS198*EXP($AT198*2),$AS198*(1+$AR198*$AT198*2)^(1/$AR198)))</f>
        <v/>
      </c>
      <c r="AW198">
        <f>IF($AR198="","",IF($AR198=0,$AS198*EXP($AT198*3),$AS198*(1+$AR198*$AT198*3)^(1/$AR198)))</f>
        <v/>
      </c>
      <c r="AX198">
        <f>IF($AR198="","",IF($AR198=0,$AS198*EXP($AT198*-2),$AS198*(1+$AR198*$AT198*-2)^(1/$AR198)))</f>
        <v/>
      </c>
      <c r="AY198">
        <f>IF($AR198="","",IF($AR198=0,$AS198*EXP($AT198*-3),$AS198*(1+$AR198*$AT198*-3)^(1/$AR198)))</f>
        <v/>
      </c>
      <c r="AZ198">
        <f>IF(OR($A198="",$A198&lt;&gt;Ficha!$C$4),"",COUNTIF($A$2:$A198,Ficha!$C$4))</f>
        <v/>
      </c>
    </row>
    <row r="199">
      <c r="A199" s="8">
        <f>IF(INDEX(Banco!$A:$A,ROW())="","",INDEX(Banco!$A:$A,ROW()))</f>
        <v/>
      </c>
      <c r="B199" s="8">
        <f>IF(INDEX(Banco!$B:$B,ROW())="","",INDEX(Banco!$B:$B,ROW()))</f>
        <v/>
      </c>
      <c r="C199" s="8">
        <f>IF(INDEX(Banco!$C:$C,ROW())="","",INDEX(Banco!$C:$C,ROW()))</f>
        <v/>
      </c>
      <c r="D199" s="9">
        <f>IF(INDEX(Banco!$D:$D,ROW())="","",INDEX(Banco!$D:$D,ROW()))</f>
        <v/>
      </c>
      <c r="E199" s="9">
        <f>IF(INDEX(Banco!$E:$E,ROW())="","",INDEX(Banco!$E:$E,ROW()))</f>
        <v/>
      </c>
      <c r="F199" s="10">
        <f>IF(INDEX(Banco!$F:$F,ROW())="","",INDEX(Banco!$F:$F,ROW()))</f>
        <v/>
      </c>
      <c r="G199" s="10">
        <f>IF(INDEX(Banco!$G:$G,ROW())="","",INDEX(Banco!$G:$G,ROW()))</f>
        <v/>
      </c>
      <c r="H199" s="8">
        <f>IF(INDEX(Banco!$H:$H,ROW())="","",INDEX(Banco!$H:$H,ROW()))</f>
        <v/>
      </c>
      <c r="I199">
        <f>IF($T199="","",INT($T199/12)&amp;"a "&amp;MOD($T199,12)&amp;"m")</f>
        <v/>
      </c>
      <c r="J199" s="11">
        <f>IF(OR($F199="",$G199=""),"",ROUND($F199/($G199/100)^2,2))</f>
        <v/>
      </c>
      <c r="K199" s="12">
        <f>IF(OR($S199="",$J199="",$T199="",$T199&lt;0,$T199&gt;228,$Y199=""),"—",ROUND(IF(ABS($AB199)&lt;=3,$AB199,IF($AB199&gt;3,3+($J199-$AD199)/($AD199-$AC199),-3+($J199-$AF199)/($AE199-$AF199))),2))</f>
        <v/>
      </c>
      <c r="L199">
        <f>IF(OR($K199="",$K199="—"),"",IF($T199&lt;=60,IF($K199&lt;-3,"Magreza acentuada",IF($K199&lt;-2,"Magreza",IF($K199&lt;=1,"Eutrofia",IF($K199&lt;=2,"Risco de sobrepeso",IF($K199&lt;=3,"Sobrepeso","Obesidade"))))),IF($K199&lt;-3,"Magreza acentuada",IF($K199&lt;-2,"Magreza",IF($K199&lt;=1,"Eutrofia",IF($K199&lt;=2,"Sobrepeso",IF($K199&lt;=3,"Obesidade","Obesidade grave")))))))</f>
        <v/>
      </c>
      <c r="M199" s="12">
        <f>IF(OR($S199="",$V199="",$T199="",$T199&lt;0,$T199&gt;228,$AG199=""),"—",ROUND(IF($AG199=0,LN($V199/$AH199)/$AI199,((($V199/$AH199)^$AG199)-1)/($AG199*$AI199)),2))</f>
        <v/>
      </c>
      <c r="N199">
        <f>IF(OR($M199="",$M199="—"),"",IF($M199&lt;-3,"Muito baixa",IF($M199&lt;-2,"Baixa","Adequada")))</f>
        <v/>
      </c>
      <c r="O199" s="12">
        <f>IF(OR($S199="",$F199="",$T199="",$T199&lt;0,$T199&gt;120,$AJ199=""),"—",ROUND(IF(ABS($AM199)&lt;=3,$AM199,IF($AM199&gt;3,3+($F199-$AO199)/($AO199-$AN199),-3+($F199-$AQ199)/($AP199-$AQ199))),2))</f>
        <v/>
      </c>
      <c r="P199">
        <f>IF(OR($O199="",$O199="—"),"",IF($O199&lt;-3,"Muito baixo",IF($O199&lt;-2,"Baixo",IF($O199&lt;=2,"Adequado","Elevado"))))</f>
        <v/>
      </c>
      <c r="Q199" s="12">
        <f>IF(OR($S199="",$F199="",$T199="",$T199&lt;0,$T199&gt;60,$AR199=""),"—",ROUND(IF(ABS($AU199)&lt;=3,$AU199,IF($AU199&gt;3,3+($F199-$AW199)/($AW199-$AV199),-3+($F199-$AY199)/($AX199-$AY199))),2))</f>
        <v/>
      </c>
      <c r="R199">
        <f>IF(OR($Q199="",$Q199="—"),"",IF($Q199&lt;-3,"Magreza acentuada",IF($Q199&lt;-2,"Magreza",IF($Q199&lt;=1,"Eutrofia",IF($Q199&lt;=2,"Risco de sobrepeso",IF($Q199&lt;=3,"Sobrepeso","Obesidade"))))))</f>
        <v/>
      </c>
      <c r="S199">
        <f>IF($C199="","",IF(UPPER(LEFT($C199,1))="M",1,IF(UPPER(LEFT($C199,1))="F",2,"")))</f>
        <v/>
      </c>
      <c r="T199">
        <f>IF(OR($D199="",$E199=""),"",DATEDIF($D199,$E199,"m"))</f>
        <v/>
      </c>
      <c r="U199">
        <f>IF(OR($D199="",$E199=""),"",$E199-$D199)</f>
        <v/>
      </c>
      <c r="V199">
        <f>IF(OR($G199="",$T199=""),"",IF($T199&lt;24,IF(LEFT(LOWER($H199),4)="em p",$G199+0.7,$G199),IF(LEFT(LOWER($H199),4)="deit",$G199-0.7,$G199)))</f>
        <v/>
      </c>
      <c r="W199">
        <f>IF(OR($S199="",$T199=""),"",$S199*1000000+IF($T199&lt;=60,$U199,$T199))</f>
        <v/>
      </c>
      <c r="X199">
        <f>IF(OR($S199="",$V199="",$T199&gt;60,$T199=""),"",$S199*1000000+ROUND($V199*10,0))</f>
        <v/>
      </c>
      <c r="Y199">
        <f>IF($W199="","",IFERROR(INDEX(IF($T199&lt;=60,imc05_l,imc519_l),MATCH($W199,IF($T199&lt;=60,imc05_k,imc519_k),1)),""))</f>
        <v/>
      </c>
      <c r="Z199">
        <f>IF($W199="","",IFERROR(INDEX(IF($T199&lt;=60,imc05_m,imc519_m),MATCH($W199,IF($T199&lt;=60,imc05_k,imc519_k),1)),""))</f>
        <v/>
      </c>
      <c r="AA199">
        <f>IF($W199="","",IFERROR(INDEX(IF($T199&lt;=60,imc05_s,imc519_s),MATCH($W199,IF($T199&lt;=60,imc05_k,imc519_k),1)),""))</f>
        <v/>
      </c>
      <c r="AB199">
        <f>IF($Y199="","",IF($Y199=0,LN($J199/$Z199)/$AA199,((($J199/$Z199)^$Y199)-1)/($Y199*$AA199)))</f>
        <v/>
      </c>
      <c r="AC199">
        <f>IF($Y199="","",IF($Y199=0,$Z199*EXP($AA199*2),$Z199*(1+$Y199*$AA199*2)^(1/$Y199)))</f>
        <v/>
      </c>
      <c r="AD199">
        <f>IF($Y199="","",IF($Y199=0,$Z199*EXP($AA199*3),$Z199*(1+$Y199*$AA199*3)^(1/$Y199)))</f>
        <v/>
      </c>
      <c r="AE199">
        <f>IF($Y199="","",IF($Y199=0,$Z199*EXP($AA199*-2),$Z199*(1+$Y199*$AA199*-2)^(1/$Y199)))</f>
        <v/>
      </c>
      <c r="AF199">
        <f>IF($Y199="","",IF($Y199=0,$Z199*EXP($AA199*-3),$Z199*(1+$Y199*$AA199*-3)^(1/$Y199)))</f>
        <v/>
      </c>
      <c r="AG199">
        <f>IF($W199="","",IFERROR(INDEX(IF($T199&lt;=60,est05_l,est519_l),MATCH($W199,IF($T199&lt;=60,est05_k,est519_k),1)),""))</f>
        <v/>
      </c>
      <c r="AH199">
        <f>IF($W199="","",IFERROR(INDEX(IF($T199&lt;=60,est05_m,est519_m),MATCH($W199,IF($T199&lt;=60,est05_k,est519_k),1)),""))</f>
        <v/>
      </c>
      <c r="AI199">
        <f>IF($W199="","",IFERROR(INDEX(IF($T199&lt;=60,est05_s,est519_s),MATCH($W199,IF($T199&lt;=60,est05_k,est519_k),1)),""))</f>
        <v/>
      </c>
      <c r="AJ199">
        <f>IF($W199="","",IFERROR(INDEX(IF($T199&lt;=60,peso05_l,peso510_l),MATCH($W199,IF($T199&lt;=60,peso05_k,peso510_k),1)),""))</f>
        <v/>
      </c>
      <c r="AK199">
        <f>IF($W199="","",IFERROR(INDEX(IF($T199&lt;=60,peso05_m,peso510_m),MATCH($W199,IF($T199&lt;=60,peso05_k,peso510_k),1)),""))</f>
        <v/>
      </c>
      <c r="AL199">
        <f>IF($W199="","",IFERROR(INDEX(IF($T199&lt;=60,peso05_s,peso510_s),MATCH($W199,IF($T199&lt;=60,peso05_k,peso510_k),1)),""))</f>
        <v/>
      </c>
      <c r="AM199">
        <f>IF($AJ199="","",IF($AJ199=0,LN($F199/$AK199)/$AL199,((($F199/$AK199)^$AJ199)-1)/($AJ199*$AL199)))</f>
        <v/>
      </c>
      <c r="AN199">
        <f>IF($AJ199="","",IF($AJ199=0,$AK199*EXP($AL199*2),$AK199*(1+$AJ199*$AL199*2)^(1/$AJ199)))</f>
        <v/>
      </c>
      <c r="AO199">
        <f>IF($AJ199="","",IF($AJ199=0,$AK199*EXP($AL199*3),$AK199*(1+$AJ199*$AL199*3)^(1/$AJ199)))</f>
        <v/>
      </c>
      <c r="AP199">
        <f>IF($AJ199="","",IF($AJ199=0,$AK199*EXP($AL199*-2),$AK199*(1+$AJ199*$AL199*-2)^(1/$AJ199)))</f>
        <v/>
      </c>
      <c r="AQ199">
        <f>IF($AJ199="","",IF($AJ199=0,$AK199*EXP($AL199*-3),$AK199*(1+$AJ199*$AL199*-3)^(1/$AJ199)))</f>
        <v/>
      </c>
      <c r="AR199">
        <f>IF(OR($X199="",$T199&gt;60),"",IFERROR(INDEX(IF($T199&lt;24,pcomp_l,palt_l),MATCH($X199,IF($T199&lt;24,pcomp_k,palt_k),1)),""))</f>
        <v/>
      </c>
      <c r="AS199">
        <f>IF(OR($X199="",$T199&gt;60),"",IFERROR(INDEX(IF($T199&lt;24,pcomp_m,palt_m),MATCH($X199,IF($T199&lt;24,pcomp_k,palt_k),1)),""))</f>
        <v/>
      </c>
      <c r="AT199">
        <f>IF(OR($X199="",$T199&gt;60),"",IFERROR(INDEX(IF($T199&lt;24,pcomp_s,palt_s),MATCH($X199,IF($T199&lt;24,pcomp_k,palt_k),1)),""))</f>
        <v/>
      </c>
      <c r="AU199">
        <f>IF($AR199="","",IF($AR199=0,LN($F199/$AS199)/$AT199,((($F199/$AS199)^$AR199)-1)/($AR199*$AT199)))</f>
        <v/>
      </c>
      <c r="AV199">
        <f>IF($AR199="","",IF($AR199=0,$AS199*EXP($AT199*2),$AS199*(1+$AR199*$AT199*2)^(1/$AR199)))</f>
        <v/>
      </c>
      <c r="AW199">
        <f>IF($AR199="","",IF($AR199=0,$AS199*EXP($AT199*3),$AS199*(1+$AR199*$AT199*3)^(1/$AR199)))</f>
        <v/>
      </c>
      <c r="AX199">
        <f>IF($AR199="","",IF($AR199=0,$AS199*EXP($AT199*-2),$AS199*(1+$AR199*$AT199*-2)^(1/$AR199)))</f>
        <v/>
      </c>
      <c r="AY199">
        <f>IF($AR199="","",IF($AR199=0,$AS199*EXP($AT199*-3),$AS199*(1+$AR199*$AT199*-3)^(1/$AR199)))</f>
        <v/>
      </c>
      <c r="AZ199">
        <f>IF(OR($A199="",$A199&lt;&gt;Ficha!$C$4),"",COUNTIF($A$2:$A199,Ficha!$C$4))</f>
        <v/>
      </c>
    </row>
    <row r="200">
      <c r="A200" s="8">
        <f>IF(INDEX(Banco!$A:$A,ROW())="","",INDEX(Banco!$A:$A,ROW()))</f>
        <v/>
      </c>
      <c r="B200" s="8">
        <f>IF(INDEX(Banco!$B:$B,ROW())="","",INDEX(Banco!$B:$B,ROW()))</f>
        <v/>
      </c>
      <c r="C200" s="8">
        <f>IF(INDEX(Banco!$C:$C,ROW())="","",INDEX(Banco!$C:$C,ROW()))</f>
        <v/>
      </c>
      <c r="D200" s="9">
        <f>IF(INDEX(Banco!$D:$D,ROW())="","",INDEX(Banco!$D:$D,ROW()))</f>
        <v/>
      </c>
      <c r="E200" s="9">
        <f>IF(INDEX(Banco!$E:$E,ROW())="","",INDEX(Banco!$E:$E,ROW()))</f>
        <v/>
      </c>
      <c r="F200" s="10">
        <f>IF(INDEX(Banco!$F:$F,ROW())="","",INDEX(Banco!$F:$F,ROW()))</f>
        <v/>
      </c>
      <c r="G200" s="10">
        <f>IF(INDEX(Banco!$G:$G,ROW())="","",INDEX(Banco!$G:$G,ROW()))</f>
        <v/>
      </c>
      <c r="H200" s="8">
        <f>IF(INDEX(Banco!$H:$H,ROW())="","",INDEX(Banco!$H:$H,ROW()))</f>
        <v/>
      </c>
      <c r="I200">
        <f>IF($T200="","",INT($T200/12)&amp;"a "&amp;MOD($T200,12)&amp;"m")</f>
        <v/>
      </c>
      <c r="J200" s="11">
        <f>IF(OR($F200="",$G200=""),"",ROUND($F200/($G200/100)^2,2))</f>
        <v/>
      </c>
      <c r="K200" s="12">
        <f>IF(OR($S200="",$J200="",$T200="",$T200&lt;0,$T200&gt;228,$Y200=""),"—",ROUND(IF(ABS($AB200)&lt;=3,$AB200,IF($AB200&gt;3,3+($J200-$AD200)/($AD200-$AC200),-3+($J200-$AF200)/($AE200-$AF200))),2))</f>
        <v/>
      </c>
      <c r="L200">
        <f>IF(OR($K200="",$K200="—"),"",IF($T200&lt;=60,IF($K200&lt;-3,"Magreza acentuada",IF($K200&lt;-2,"Magreza",IF($K200&lt;=1,"Eutrofia",IF($K200&lt;=2,"Risco de sobrepeso",IF($K200&lt;=3,"Sobrepeso","Obesidade"))))),IF($K200&lt;-3,"Magreza acentuada",IF($K200&lt;-2,"Magreza",IF($K200&lt;=1,"Eutrofia",IF($K200&lt;=2,"Sobrepeso",IF($K200&lt;=3,"Obesidade","Obesidade grave")))))))</f>
        <v/>
      </c>
      <c r="M200" s="12">
        <f>IF(OR($S200="",$V200="",$T200="",$T200&lt;0,$T200&gt;228,$AG200=""),"—",ROUND(IF($AG200=0,LN($V200/$AH200)/$AI200,((($V200/$AH200)^$AG200)-1)/($AG200*$AI200)),2))</f>
        <v/>
      </c>
      <c r="N200">
        <f>IF(OR($M200="",$M200="—"),"",IF($M200&lt;-3,"Muito baixa",IF($M200&lt;-2,"Baixa","Adequada")))</f>
        <v/>
      </c>
      <c r="O200" s="12">
        <f>IF(OR($S200="",$F200="",$T200="",$T200&lt;0,$T200&gt;120,$AJ200=""),"—",ROUND(IF(ABS($AM200)&lt;=3,$AM200,IF($AM200&gt;3,3+($F200-$AO200)/($AO200-$AN200),-3+($F200-$AQ200)/($AP200-$AQ200))),2))</f>
        <v/>
      </c>
      <c r="P200">
        <f>IF(OR($O200="",$O200="—"),"",IF($O200&lt;-3,"Muito baixo",IF($O200&lt;-2,"Baixo",IF($O200&lt;=2,"Adequado","Elevado"))))</f>
        <v/>
      </c>
      <c r="Q200" s="12">
        <f>IF(OR($S200="",$F200="",$T200="",$T200&lt;0,$T200&gt;60,$AR200=""),"—",ROUND(IF(ABS($AU200)&lt;=3,$AU200,IF($AU200&gt;3,3+($F200-$AW200)/($AW200-$AV200),-3+($F200-$AY200)/($AX200-$AY200))),2))</f>
        <v/>
      </c>
      <c r="R200">
        <f>IF(OR($Q200="",$Q200="—"),"",IF($Q200&lt;-3,"Magreza acentuada",IF($Q200&lt;-2,"Magreza",IF($Q200&lt;=1,"Eutrofia",IF($Q200&lt;=2,"Risco de sobrepeso",IF($Q200&lt;=3,"Sobrepeso","Obesidade"))))))</f>
        <v/>
      </c>
      <c r="S200">
        <f>IF($C200="","",IF(UPPER(LEFT($C200,1))="M",1,IF(UPPER(LEFT($C200,1))="F",2,"")))</f>
        <v/>
      </c>
      <c r="T200">
        <f>IF(OR($D200="",$E200=""),"",DATEDIF($D200,$E200,"m"))</f>
        <v/>
      </c>
      <c r="U200">
        <f>IF(OR($D200="",$E200=""),"",$E200-$D200)</f>
        <v/>
      </c>
      <c r="V200">
        <f>IF(OR($G200="",$T200=""),"",IF($T200&lt;24,IF(LEFT(LOWER($H200),4)="em p",$G200+0.7,$G200),IF(LEFT(LOWER($H200),4)="deit",$G200-0.7,$G200)))</f>
        <v/>
      </c>
      <c r="W200">
        <f>IF(OR($S200="",$T200=""),"",$S200*1000000+IF($T200&lt;=60,$U200,$T200))</f>
        <v/>
      </c>
      <c r="X200">
        <f>IF(OR($S200="",$V200="",$T200&gt;60,$T200=""),"",$S200*1000000+ROUND($V200*10,0))</f>
        <v/>
      </c>
      <c r="Y200">
        <f>IF($W200="","",IFERROR(INDEX(IF($T200&lt;=60,imc05_l,imc519_l),MATCH($W200,IF($T200&lt;=60,imc05_k,imc519_k),1)),""))</f>
        <v/>
      </c>
      <c r="Z200">
        <f>IF($W200="","",IFERROR(INDEX(IF($T200&lt;=60,imc05_m,imc519_m),MATCH($W200,IF($T200&lt;=60,imc05_k,imc519_k),1)),""))</f>
        <v/>
      </c>
      <c r="AA200">
        <f>IF($W200="","",IFERROR(INDEX(IF($T200&lt;=60,imc05_s,imc519_s),MATCH($W200,IF($T200&lt;=60,imc05_k,imc519_k),1)),""))</f>
        <v/>
      </c>
      <c r="AB200">
        <f>IF($Y200="","",IF($Y200=0,LN($J200/$Z200)/$AA200,((($J200/$Z200)^$Y200)-1)/($Y200*$AA200)))</f>
        <v/>
      </c>
      <c r="AC200">
        <f>IF($Y200="","",IF($Y200=0,$Z200*EXP($AA200*2),$Z200*(1+$Y200*$AA200*2)^(1/$Y200)))</f>
        <v/>
      </c>
      <c r="AD200">
        <f>IF($Y200="","",IF($Y200=0,$Z200*EXP($AA200*3),$Z200*(1+$Y200*$AA200*3)^(1/$Y200)))</f>
        <v/>
      </c>
      <c r="AE200">
        <f>IF($Y200="","",IF($Y200=0,$Z200*EXP($AA200*-2),$Z200*(1+$Y200*$AA200*-2)^(1/$Y200)))</f>
        <v/>
      </c>
      <c r="AF200">
        <f>IF($Y200="","",IF($Y200=0,$Z200*EXP($AA200*-3),$Z200*(1+$Y200*$AA200*-3)^(1/$Y200)))</f>
        <v/>
      </c>
      <c r="AG200">
        <f>IF($W200="","",IFERROR(INDEX(IF($T200&lt;=60,est05_l,est519_l),MATCH($W200,IF($T200&lt;=60,est05_k,est519_k),1)),""))</f>
        <v/>
      </c>
      <c r="AH200">
        <f>IF($W200="","",IFERROR(INDEX(IF($T200&lt;=60,est05_m,est519_m),MATCH($W200,IF($T200&lt;=60,est05_k,est519_k),1)),""))</f>
        <v/>
      </c>
      <c r="AI200">
        <f>IF($W200="","",IFERROR(INDEX(IF($T200&lt;=60,est05_s,est519_s),MATCH($W200,IF($T200&lt;=60,est05_k,est519_k),1)),""))</f>
        <v/>
      </c>
      <c r="AJ200">
        <f>IF($W200="","",IFERROR(INDEX(IF($T200&lt;=60,peso05_l,peso510_l),MATCH($W200,IF($T200&lt;=60,peso05_k,peso510_k),1)),""))</f>
        <v/>
      </c>
      <c r="AK200">
        <f>IF($W200="","",IFERROR(INDEX(IF($T200&lt;=60,peso05_m,peso510_m),MATCH($W200,IF($T200&lt;=60,peso05_k,peso510_k),1)),""))</f>
        <v/>
      </c>
      <c r="AL200">
        <f>IF($W200="","",IFERROR(INDEX(IF($T200&lt;=60,peso05_s,peso510_s),MATCH($W200,IF($T200&lt;=60,peso05_k,peso510_k),1)),""))</f>
        <v/>
      </c>
      <c r="AM200">
        <f>IF($AJ200="","",IF($AJ200=0,LN($F200/$AK200)/$AL200,((($F200/$AK200)^$AJ200)-1)/($AJ200*$AL200)))</f>
        <v/>
      </c>
      <c r="AN200">
        <f>IF($AJ200="","",IF($AJ200=0,$AK200*EXP($AL200*2),$AK200*(1+$AJ200*$AL200*2)^(1/$AJ200)))</f>
        <v/>
      </c>
      <c r="AO200">
        <f>IF($AJ200="","",IF($AJ200=0,$AK200*EXP($AL200*3),$AK200*(1+$AJ200*$AL200*3)^(1/$AJ200)))</f>
        <v/>
      </c>
      <c r="AP200">
        <f>IF($AJ200="","",IF($AJ200=0,$AK200*EXP($AL200*-2),$AK200*(1+$AJ200*$AL200*-2)^(1/$AJ200)))</f>
        <v/>
      </c>
      <c r="AQ200">
        <f>IF($AJ200="","",IF($AJ200=0,$AK200*EXP($AL200*-3),$AK200*(1+$AJ200*$AL200*-3)^(1/$AJ200)))</f>
        <v/>
      </c>
      <c r="AR200">
        <f>IF(OR($X200="",$T200&gt;60),"",IFERROR(INDEX(IF($T200&lt;24,pcomp_l,palt_l),MATCH($X200,IF($T200&lt;24,pcomp_k,palt_k),1)),""))</f>
        <v/>
      </c>
      <c r="AS200">
        <f>IF(OR($X200="",$T200&gt;60),"",IFERROR(INDEX(IF($T200&lt;24,pcomp_m,palt_m),MATCH($X200,IF($T200&lt;24,pcomp_k,palt_k),1)),""))</f>
        <v/>
      </c>
      <c r="AT200">
        <f>IF(OR($X200="",$T200&gt;60),"",IFERROR(INDEX(IF($T200&lt;24,pcomp_s,palt_s),MATCH($X200,IF($T200&lt;24,pcomp_k,palt_k),1)),""))</f>
        <v/>
      </c>
      <c r="AU200">
        <f>IF($AR200="","",IF($AR200=0,LN($F200/$AS200)/$AT200,((($F200/$AS200)^$AR200)-1)/($AR200*$AT200)))</f>
        <v/>
      </c>
      <c r="AV200">
        <f>IF($AR200="","",IF($AR200=0,$AS200*EXP($AT200*2),$AS200*(1+$AR200*$AT200*2)^(1/$AR200)))</f>
        <v/>
      </c>
      <c r="AW200">
        <f>IF($AR200="","",IF($AR200=0,$AS200*EXP($AT200*3),$AS200*(1+$AR200*$AT200*3)^(1/$AR200)))</f>
        <v/>
      </c>
      <c r="AX200">
        <f>IF($AR200="","",IF($AR200=0,$AS200*EXP($AT200*-2),$AS200*(1+$AR200*$AT200*-2)^(1/$AR200)))</f>
        <v/>
      </c>
      <c r="AY200">
        <f>IF($AR200="","",IF($AR200=0,$AS200*EXP($AT200*-3),$AS200*(1+$AR200*$AT200*-3)^(1/$AR200)))</f>
        <v/>
      </c>
      <c r="AZ200">
        <f>IF(OR($A200="",$A200&lt;&gt;Ficha!$C$4),"",COUNTIF($A$2:$A200,Ficha!$C$4))</f>
        <v/>
      </c>
    </row>
    <row r="201">
      <c r="A201" s="8">
        <f>IF(INDEX(Banco!$A:$A,ROW())="","",INDEX(Banco!$A:$A,ROW()))</f>
        <v/>
      </c>
      <c r="B201" s="8">
        <f>IF(INDEX(Banco!$B:$B,ROW())="","",INDEX(Banco!$B:$B,ROW()))</f>
        <v/>
      </c>
      <c r="C201" s="8">
        <f>IF(INDEX(Banco!$C:$C,ROW())="","",INDEX(Banco!$C:$C,ROW()))</f>
        <v/>
      </c>
      <c r="D201" s="9">
        <f>IF(INDEX(Banco!$D:$D,ROW())="","",INDEX(Banco!$D:$D,ROW()))</f>
        <v/>
      </c>
      <c r="E201" s="9">
        <f>IF(INDEX(Banco!$E:$E,ROW())="","",INDEX(Banco!$E:$E,ROW()))</f>
        <v/>
      </c>
      <c r="F201" s="10">
        <f>IF(INDEX(Banco!$F:$F,ROW())="","",INDEX(Banco!$F:$F,ROW()))</f>
        <v/>
      </c>
      <c r="G201" s="10">
        <f>IF(INDEX(Banco!$G:$G,ROW())="","",INDEX(Banco!$G:$G,ROW()))</f>
        <v/>
      </c>
      <c r="H201" s="8">
        <f>IF(INDEX(Banco!$H:$H,ROW())="","",INDEX(Banco!$H:$H,ROW()))</f>
        <v/>
      </c>
      <c r="I201">
        <f>IF($T201="","",INT($T201/12)&amp;"a "&amp;MOD($T201,12)&amp;"m")</f>
        <v/>
      </c>
      <c r="J201" s="11">
        <f>IF(OR($F201="",$G201=""),"",ROUND($F201/($G201/100)^2,2))</f>
        <v/>
      </c>
      <c r="K201" s="12">
        <f>IF(OR($S201="",$J201="",$T201="",$T201&lt;0,$T201&gt;228,$Y201=""),"—",ROUND(IF(ABS($AB201)&lt;=3,$AB201,IF($AB201&gt;3,3+($J201-$AD201)/($AD201-$AC201),-3+($J201-$AF201)/($AE201-$AF201))),2))</f>
        <v/>
      </c>
      <c r="L201">
        <f>IF(OR($K201="",$K201="—"),"",IF($T201&lt;=60,IF($K201&lt;-3,"Magreza acentuada",IF($K201&lt;-2,"Magreza",IF($K201&lt;=1,"Eutrofia",IF($K201&lt;=2,"Risco de sobrepeso",IF($K201&lt;=3,"Sobrepeso","Obesidade"))))),IF($K201&lt;-3,"Magreza acentuada",IF($K201&lt;-2,"Magreza",IF($K201&lt;=1,"Eutrofia",IF($K201&lt;=2,"Sobrepeso",IF($K201&lt;=3,"Obesidade","Obesidade grave")))))))</f>
        <v/>
      </c>
      <c r="M201" s="12">
        <f>IF(OR($S201="",$V201="",$T201="",$T201&lt;0,$T201&gt;228,$AG201=""),"—",ROUND(IF($AG201=0,LN($V201/$AH201)/$AI201,((($V201/$AH201)^$AG201)-1)/($AG201*$AI201)),2))</f>
        <v/>
      </c>
      <c r="N201">
        <f>IF(OR($M201="",$M201="—"),"",IF($M201&lt;-3,"Muito baixa",IF($M201&lt;-2,"Baixa","Adequada")))</f>
        <v/>
      </c>
      <c r="O201" s="12">
        <f>IF(OR($S201="",$F201="",$T201="",$T201&lt;0,$T201&gt;120,$AJ201=""),"—",ROUND(IF(ABS($AM201)&lt;=3,$AM201,IF($AM201&gt;3,3+($F201-$AO201)/($AO201-$AN201),-3+($F201-$AQ201)/($AP201-$AQ201))),2))</f>
        <v/>
      </c>
      <c r="P201">
        <f>IF(OR($O201="",$O201="—"),"",IF($O201&lt;-3,"Muito baixo",IF($O201&lt;-2,"Baixo",IF($O201&lt;=2,"Adequado","Elevado"))))</f>
        <v/>
      </c>
      <c r="Q201" s="12">
        <f>IF(OR($S201="",$F201="",$T201="",$T201&lt;0,$T201&gt;60,$AR201=""),"—",ROUND(IF(ABS($AU201)&lt;=3,$AU201,IF($AU201&gt;3,3+($F201-$AW201)/($AW201-$AV201),-3+($F201-$AY201)/($AX201-$AY201))),2))</f>
        <v/>
      </c>
      <c r="R201">
        <f>IF(OR($Q201="",$Q201="—"),"",IF($Q201&lt;-3,"Magreza acentuada",IF($Q201&lt;-2,"Magreza",IF($Q201&lt;=1,"Eutrofia",IF($Q201&lt;=2,"Risco de sobrepeso",IF($Q201&lt;=3,"Sobrepeso","Obesidade"))))))</f>
        <v/>
      </c>
      <c r="S201">
        <f>IF($C201="","",IF(UPPER(LEFT($C201,1))="M",1,IF(UPPER(LEFT($C201,1))="F",2,"")))</f>
        <v/>
      </c>
      <c r="T201">
        <f>IF(OR($D201="",$E201=""),"",DATEDIF($D201,$E201,"m"))</f>
        <v/>
      </c>
      <c r="U201">
        <f>IF(OR($D201="",$E201=""),"",$E201-$D201)</f>
        <v/>
      </c>
      <c r="V201">
        <f>IF(OR($G201="",$T201=""),"",IF($T201&lt;24,IF(LEFT(LOWER($H201),4)="em p",$G201+0.7,$G201),IF(LEFT(LOWER($H201),4)="deit",$G201-0.7,$G201)))</f>
        <v/>
      </c>
      <c r="W201">
        <f>IF(OR($S201="",$T201=""),"",$S201*1000000+IF($T201&lt;=60,$U201,$T201))</f>
        <v/>
      </c>
      <c r="X201">
        <f>IF(OR($S201="",$V201="",$T201&gt;60,$T201=""),"",$S201*1000000+ROUND($V201*10,0))</f>
        <v/>
      </c>
      <c r="Y201">
        <f>IF($W201="","",IFERROR(INDEX(IF($T201&lt;=60,imc05_l,imc519_l),MATCH($W201,IF($T201&lt;=60,imc05_k,imc519_k),1)),""))</f>
        <v/>
      </c>
      <c r="Z201">
        <f>IF($W201="","",IFERROR(INDEX(IF($T201&lt;=60,imc05_m,imc519_m),MATCH($W201,IF($T201&lt;=60,imc05_k,imc519_k),1)),""))</f>
        <v/>
      </c>
      <c r="AA201">
        <f>IF($W201="","",IFERROR(INDEX(IF($T201&lt;=60,imc05_s,imc519_s),MATCH($W201,IF($T201&lt;=60,imc05_k,imc519_k),1)),""))</f>
        <v/>
      </c>
      <c r="AB201">
        <f>IF($Y201="","",IF($Y201=0,LN($J201/$Z201)/$AA201,((($J201/$Z201)^$Y201)-1)/($Y201*$AA201)))</f>
        <v/>
      </c>
      <c r="AC201">
        <f>IF($Y201="","",IF($Y201=0,$Z201*EXP($AA201*2),$Z201*(1+$Y201*$AA201*2)^(1/$Y201)))</f>
        <v/>
      </c>
      <c r="AD201">
        <f>IF($Y201="","",IF($Y201=0,$Z201*EXP($AA201*3),$Z201*(1+$Y201*$AA201*3)^(1/$Y201)))</f>
        <v/>
      </c>
      <c r="AE201">
        <f>IF($Y201="","",IF($Y201=0,$Z201*EXP($AA201*-2),$Z201*(1+$Y201*$AA201*-2)^(1/$Y201)))</f>
        <v/>
      </c>
      <c r="AF201">
        <f>IF($Y201="","",IF($Y201=0,$Z201*EXP($AA201*-3),$Z201*(1+$Y201*$AA201*-3)^(1/$Y201)))</f>
        <v/>
      </c>
      <c r="AG201">
        <f>IF($W201="","",IFERROR(INDEX(IF($T201&lt;=60,est05_l,est519_l),MATCH($W201,IF($T201&lt;=60,est05_k,est519_k),1)),""))</f>
        <v/>
      </c>
      <c r="AH201">
        <f>IF($W201="","",IFERROR(INDEX(IF($T201&lt;=60,est05_m,est519_m),MATCH($W201,IF($T201&lt;=60,est05_k,est519_k),1)),""))</f>
        <v/>
      </c>
      <c r="AI201">
        <f>IF($W201="","",IFERROR(INDEX(IF($T201&lt;=60,est05_s,est519_s),MATCH($W201,IF($T201&lt;=60,est05_k,est519_k),1)),""))</f>
        <v/>
      </c>
      <c r="AJ201">
        <f>IF($W201="","",IFERROR(INDEX(IF($T201&lt;=60,peso05_l,peso510_l),MATCH($W201,IF($T201&lt;=60,peso05_k,peso510_k),1)),""))</f>
        <v/>
      </c>
      <c r="AK201">
        <f>IF($W201="","",IFERROR(INDEX(IF($T201&lt;=60,peso05_m,peso510_m),MATCH($W201,IF($T201&lt;=60,peso05_k,peso510_k),1)),""))</f>
        <v/>
      </c>
      <c r="AL201">
        <f>IF($W201="","",IFERROR(INDEX(IF($T201&lt;=60,peso05_s,peso510_s),MATCH($W201,IF($T201&lt;=60,peso05_k,peso510_k),1)),""))</f>
        <v/>
      </c>
      <c r="AM201">
        <f>IF($AJ201="","",IF($AJ201=0,LN($F201/$AK201)/$AL201,((($F201/$AK201)^$AJ201)-1)/($AJ201*$AL201)))</f>
        <v/>
      </c>
      <c r="AN201">
        <f>IF($AJ201="","",IF($AJ201=0,$AK201*EXP($AL201*2),$AK201*(1+$AJ201*$AL201*2)^(1/$AJ201)))</f>
        <v/>
      </c>
      <c r="AO201">
        <f>IF($AJ201="","",IF($AJ201=0,$AK201*EXP($AL201*3),$AK201*(1+$AJ201*$AL201*3)^(1/$AJ201)))</f>
        <v/>
      </c>
      <c r="AP201">
        <f>IF($AJ201="","",IF($AJ201=0,$AK201*EXP($AL201*-2),$AK201*(1+$AJ201*$AL201*-2)^(1/$AJ201)))</f>
        <v/>
      </c>
      <c r="AQ201">
        <f>IF($AJ201="","",IF($AJ201=0,$AK201*EXP($AL201*-3),$AK201*(1+$AJ201*$AL201*-3)^(1/$AJ201)))</f>
        <v/>
      </c>
      <c r="AR201">
        <f>IF(OR($X201="",$T201&gt;60),"",IFERROR(INDEX(IF($T201&lt;24,pcomp_l,palt_l),MATCH($X201,IF($T201&lt;24,pcomp_k,palt_k),1)),""))</f>
        <v/>
      </c>
      <c r="AS201">
        <f>IF(OR($X201="",$T201&gt;60),"",IFERROR(INDEX(IF($T201&lt;24,pcomp_m,palt_m),MATCH($X201,IF($T201&lt;24,pcomp_k,palt_k),1)),""))</f>
        <v/>
      </c>
      <c r="AT201">
        <f>IF(OR($X201="",$T201&gt;60),"",IFERROR(INDEX(IF($T201&lt;24,pcomp_s,palt_s),MATCH($X201,IF($T201&lt;24,pcomp_k,palt_k),1)),""))</f>
        <v/>
      </c>
      <c r="AU201">
        <f>IF($AR201="","",IF($AR201=0,LN($F201/$AS201)/$AT201,((($F201/$AS201)^$AR201)-1)/($AR201*$AT201)))</f>
        <v/>
      </c>
      <c r="AV201">
        <f>IF($AR201="","",IF($AR201=0,$AS201*EXP($AT201*2),$AS201*(1+$AR201*$AT201*2)^(1/$AR201)))</f>
        <v/>
      </c>
      <c r="AW201">
        <f>IF($AR201="","",IF($AR201=0,$AS201*EXP($AT201*3),$AS201*(1+$AR201*$AT201*3)^(1/$AR201)))</f>
        <v/>
      </c>
      <c r="AX201">
        <f>IF($AR201="","",IF($AR201=0,$AS201*EXP($AT201*-2),$AS201*(1+$AR201*$AT201*-2)^(1/$AR201)))</f>
        <v/>
      </c>
      <c r="AY201">
        <f>IF($AR201="","",IF($AR201=0,$AS201*EXP($AT201*-3),$AS201*(1+$AR201*$AT201*-3)^(1/$AR201)))</f>
        <v/>
      </c>
      <c r="AZ201">
        <f>IF(OR($A201="",$A201&lt;&gt;Ficha!$C$4),"",COUNTIF($A$2:$A201,Ficha!$C$4))</f>
        <v/>
      </c>
    </row>
    <row r="202">
      <c r="A202" s="8">
        <f>IF(INDEX(Banco!$A:$A,ROW())="","",INDEX(Banco!$A:$A,ROW()))</f>
        <v/>
      </c>
      <c r="B202" s="8">
        <f>IF(INDEX(Banco!$B:$B,ROW())="","",INDEX(Banco!$B:$B,ROW()))</f>
        <v/>
      </c>
      <c r="C202" s="8">
        <f>IF(INDEX(Banco!$C:$C,ROW())="","",INDEX(Banco!$C:$C,ROW()))</f>
        <v/>
      </c>
      <c r="D202" s="9">
        <f>IF(INDEX(Banco!$D:$D,ROW())="","",INDEX(Banco!$D:$D,ROW()))</f>
        <v/>
      </c>
      <c r="E202" s="9">
        <f>IF(INDEX(Banco!$E:$E,ROW())="","",INDEX(Banco!$E:$E,ROW()))</f>
        <v/>
      </c>
      <c r="F202" s="10">
        <f>IF(INDEX(Banco!$F:$F,ROW())="","",INDEX(Banco!$F:$F,ROW()))</f>
        <v/>
      </c>
      <c r="G202" s="10">
        <f>IF(INDEX(Banco!$G:$G,ROW())="","",INDEX(Banco!$G:$G,ROW()))</f>
        <v/>
      </c>
      <c r="H202" s="8">
        <f>IF(INDEX(Banco!$H:$H,ROW())="","",INDEX(Banco!$H:$H,ROW()))</f>
        <v/>
      </c>
      <c r="I202">
        <f>IF($T202="","",INT($T202/12)&amp;"a "&amp;MOD($T202,12)&amp;"m")</f>
        <v/>
      </c>
      <c r="J202" s="11">
        <f>IF(OR($F202="",$G202=""),"",ROUND($F202/($G202/100)^2,2))</f>
        <v/>
      </c>
      <c r="K202" s="12">
        <f>IF(OR($S202="",$J202="",$T202="",$T202&lt;0,$T202&gt;228,$Y202=""),"—",ROUND(IF(ABS($AB202)&lt;=3,$AB202,IF($AB202&gt;3,3+($J202-$AD202)/($AD202-$AC202),-3+($J202-$AF202)/($AE202-$AF202))),2))</f>
        <v/>
      </c>
      <c r="L202">
        <f>IF(OR($K202="",$K202="—"),"",IF($T202&lt;=60,IF($K202&lt;-3,"Magreza acentuada",IF($K202&lt;-2,"Magreza",IF($K202&lt;=1,"Eutrofia",IF($K202&lt;=2,"Risco de sobrepeso",IF($K202&lt;=3,"Sobrepeso","Obesidade"))))),IF($K202&lt;-3,"Magreza acentuada",IF($K202&lt;-2,"Magreza",IF($K202&lt;=1,"Eutrofia",IF($K202&lt;=2,"Sobrepeso",IF($K202&lt;=3,"Obesidade","Obesidade grave")))))))</f>
        <v/>
      </c>
      <c r="M202" s="12">
        <f>IF(OR($S202="",$V202="",$T202="",$T202&lt;0,$T202&gt;228,$AG202=""),"—",ROUND(IF($AG202=0,LN($V202/$AH202)/$AI202,((($V202/$AH202)^$AG202)-1)/($AG202*$AI202)),2))</f>
        <v/>
      </c>
      <c r="N202">
        <f>IF(OR($M202="",$M202="—"),"",IF($M202&lt;-3,"Muito baixa",IF($M202&lt;-2,"Baixa","Adequada")))</f>
        <v/>
      </c>
      <c r="O202" s="12">
        <f>IF(OR($S202="",$F202="",$T202="",$T202&lt;0,$T202&gt;120,$AJ202=""),"—",ROUND(IF(ABS($AM202)&lt;=3,$AM202,IF($AM202&gt;3,3+($F202-$AO202)/($AO202-$AN202),-3+($F202-$AQ202)/($AP202-$AQ202))),2))</f>
        <v/>
      </c>
      <c r="P202">
        <f>IF(OR($O202="",$O202="—"),"",IF($O202&lt;-3,"Muito baixo",IF($O202&lt;-2,"Baixo",IF($O202&lt;=2,"Adequado","Elevado"))))</f>
        <v/>
      </c>
      <c r="Q202" s="12">
        <f>IF(OR($S202="",$F202="",$T202="",$T202&lt;0,$T202&gt;60,$AR202=""),"—",ROUND(IF(ABS($AU202)&lt;=3,$AU202,IF($AU202&gt;3,3+($F202-$AW202)/($AW202-$AV202),-3+($F202-$AY202)/($AX202-$AY202))),2))</f>
        <v/>
      </c>
      <c r="R202">
        <f>IF(OR($Q202="",$Q202="—"),"",IF($Q202&lt;-3,"Magreza acentuada",IF($Q202&lt;-2,"Magreza",IF($Q202&lt;=1,"Eutrofia",IF($Q202&lt;=2,"Risco de sobrepeso",IF($Q202&lt;=3,"Sobrepeso","Obesidade"))))))</f>
        <v/>
      </c>
      <c r="S202">
        <f>IF($C202="","",IF(UPPER(LEFT($C202,1))="M",1,IF(UPPER(LEFT($C202,1))="F",2,"")))</f>
        <v/>
      </c>
      <c r="T202">
        <f>IF(OR($D202="",$E202=""),"",DATEDIF($D202,$E202,"m"))</f>
        <v/>
      </c>
      <c r="U202">
        <f>IF(OR($D202="",$E202=""),"",$E202-$D202)</f>
        <v/>
      </c>
      <c r="V202">
        <f>IF(OR($G202="",$T202=""),"",IF($T202&lt;24,IF(LEFT(LOWER($H202),4)="em p",$G202+0.7,$G202),IF(LEFT(LOWER($H202),4)="deit",$G202-0.7,$G202)))</f>
        <v/>
      </c>
      <c r="W202">
        <f>IF(OR($S202="",$T202=""),"",$S202*1000000+IF($T202&lt;=60,$U202,$T202))</f>
        <v/>
      </c>
      <c r="X202">
        <f>IF(OR($S202="",$V202="",$T202&gt;60,$T202=""),"",$S202*1000000+ROUND($V202*10,0))</f>
        <v/>
      </c>
      <c r="Y202">
        <f>IF($W202="","",IFERROR(INDEX(IF($T202&lt;=60,imc05_l,imc519_l),MATCH($W202,IF($T202&lt;=60,imc05_k,imc519_k),1)),""))</f>
        <v/>
      </c>
      <c r="Z202">
        <f>IF($W202="","",IFERROR(INDEX(IF($T202&lt;=60,imc05_m,imc519_m),MATCH($W202,IF($T202&lt;=60,imc05_k,imc519_k),1)),""))</f>
        <v/>
      </c>
      <c r="AA202">
        <f>IF($W202="","",IFERROR(INDEX(IF($T202&lt;=60,imc05_s,imc519_s),MATCH($W202,IF($T202&lt;=60,imc05_k,imc519_k),1)),""))</f>
        <v/>
      </c>
      <c r="AB202">
        <f>IF($Y202="","",IF($Y202=0,LN($J202/$Z202)/$AA202,((($J202/$Z202)^$Y202)-1)/($Y202*$AA202)))</f>
        <v/>
      </c>
      <c r="AC202">
        <f>IF($Y202="","",IF($Y202=0,$Z202*EXP($AA202*2),$Z202*(1+$Y202*$AA202*2)^(1/$Y202)))</f>
        <v/>
      </c>
      <c r="AD202">
        <f>IF($Y202="","",IF($Y202=0,$Z202*EXP($AA202*3),$Z202*(1+$Y202*$AA202*3)^(1/$Y202)))</f>
        <v/>
      </c>
      <c r="AE202">
        <f>IF($Y202="","",IF($Y202=0,$Z202*EXP($AA202*-2),$Z202*(1+$Y202*$AA202*-2)^(1/$Y202)))</f>
        <v/>
      </c>
      <c r="AF202">
        <f>IF($Y202="","",IF($Y202=0,$Z202*EXP($AA202*-3),$Z202*(1+$Y202*$AA202*-3)^(1/$Y202)))</f>
        <v/>
      </c>
      <c r="AG202">
        <f>IF($W202="","",IFERROR(INDEX(IF($T202&lt;=60,est05_l,est519_l),MATCH($W202,IF($T202&lt;=60,est05_k,est519_k),1)),""))</f>
        <v/>
      </c>
      <c r="AH202">
        <f>IF($W202="","",IFERROR(INDEX(IF($T202&lt;=60,est05_m,est519_m),MATCH($W202,IF($T202&lt;=60,est05_k,est519_k),1)),""))</f>
        <v/>
      </c>
      <c r="AI202">
        <f>IF($W202="","",IFERROR(INDEX(IF($T202&lt;=60,est05_s,est519_s),MATCH($W202,IF($T202&lt;=60,est05_k,est519_k),1)),""))</f>
        <v/>
      </c>
      <c r="AJ202">
        <f>IF($W202="","",IFERROR(INDEX(IF($T202&lt;=60,peso05_l,peso510_l),MATCH($W202,IF($T202&lt;=60,peso05_k,peso510_k),1)),""))</f>
        <v/>
      </c>
      <c r="AK202">
        <f>IF($W202="","",IFERROR(INDEX(IF($T202&lt;=60,peso05_m,peso510_m),MATCH($W202,IF($T202&lt;=60,peso05_k,peso510_k),1)),""))</f>
        <v/>
      </c>
      <c r="AL202">
        <f>IF($W202="","",IFERROR(INDEX(IF($T202&lt;=60,peso05_s,peso510_s),MATCH($W202,IF($T202&lt;=60,peso05_k,peso510_k),1)),""))</f>
        <v/>
      </c>
      <c r="AM202">
        <f>IF($AJ202="","",IF($AJ202=0,LN($F202/$AK202)/$AL202,((($F202/$AK202)^$AJ202)-1)/($AJ202*$AL202)))</f>
        <v/>
      </c>
      <c r="AN202">
        <f>IF($AJ202="","",IF($AJ202=0,$AK202*EXP($AL202*2),$AK202*(1+$AJ202*$AL202*2)^(1/$AJ202)))</f>
        <v/>
      </c>
      <c r="AO202">
        <f>IF($AJ202="","",IF($AJ202=0,$AK202*EXP($AL202*3),$AK202*(1+$AJ202*$AL202*3)^(1/$AJ202)))</f>
        <v/>
      </c>
      <c r="AP202">
        <f>IF($AJ202="","",IF($AJ202=0,$AK202*EXP($AL202*-2),$AK202*(1+$AJ202*$AL202*-2)^(1/$AJ202)))</f>
        <v/>
      </c>
      <c r="AQ202">
        <f>IF($AJ202="","",IF($AJ202=0,$AK202*EXP($AL202*-3),$AK202*(1+$AJ202*$AL202*-3)^(1/$AJ202)))</f>
        <v/>
      </c>
      <c r="AR202">
        <f>IF(OR($X202="",$T202&gt;60),"",IFERROR(INDEX(IF($T202&lt;24,pcomp_l,palt_l),MATCH($X202,IF($T202&lt;24,pcomp_k,palt_k),1)),""))</f>
        <v/>
      </c>
      <c r="AS202">
        <f>IF(OR($X202="",$T202&gt;60),"",IFERROR(INDEX(IF($T202&lt;24,pcomp_m,palt_m),MATCH($X202,IF($T202&lt;24,pcomp_k,palt_k),1)),""))</f>
        <v/>
      </c>
      <c r="AT202">
        <f>IF(OR($X202="",$T202&gt;60),"",IFERROR(INDEX(IF($T202&lt;24,pcomp_s,palt_s),MATCH($X202,IF($T202&lt;24,pcomp_k,palt_k),1)),""))</f>
        <v/>
      </c>
      <c r="AU202">
        <f>IF($AR202="","",IF($AR202=0,LN($F202/$AS202)/$AT202,((($F202/$AS202)^$AR202)-1)/($AR202*$AT202)))</f>
        <v/>
      </c>
      <c r="AV202">
        <f>IF($AR202="","",IF($AR202=0,$AS202*EXP($AT202*2),$AS202*(1+$AR202*$AT202*2)^(1/$AR202)))</f>
        <v/>
      </c>
      <c r="AW202">
        <f>IF($AR202="","",IF($AR202=0,$AS202*EXP($AT202*3),$AS202*(1+$AR202*$AT202*3)^(1/$AR202)))</f>
        <v/>
      </c>
      <c r="AX202">
        <f>IF($AR202="","",IF($AR202=0,$AS202*EXP($AT202*-2),$AS202*(1+$AR202*$AT202*-2)^(1/$AR202)))</f>
        <v/>
      </c>
      <c r="AY202">
        <f>IF($AR202="","",IF($AR202=0,$AS202*EXP($AT202*-3),$AS202*(1+$AR202*$AT202*-3)^(1/$AR202)))</f>
        <v/>
      </c>
      <c r="AZ202">
        <f>IF(OR($A202="",$A202&lt;&gt;Ficha!$C$4),"",COUNTIF($A$2:$A202,Ficha!$C$4))</f>
        <v/>
      </c>
    </row>
    <row r="203">
      <c r="A203" s="8">
        <f>IF(INDEX(Banco!$A:$A,ROW())="","",INDEX(Banco!$A:$A,ROW()))</f>
        <v/>
      </c>
      <c r="B203" s="8">
        <f>IF(INDEX(Banco!$B:$B,ROW())="","",INDEX(Banco!$B:$B,ROW()))</f>
        <v/>
      </c>
      <c r="C203" s="8">
        <f>IF(INDEX(Banco!$C:$C,ROW())="","",INDEX(Banco!$C:$C,ROW()))</f>
        <v/>
      </c>
      <c r="D203" s="9">
        <f>IF(INDEX(Banco!$D:$D,ROW())="","",INDEX(Banco!$D:$D,ROW()))</f>
        <v/>
      </c>
      <c r="E203" s="9">
        <f>IF(INDEX(Banco!$E:$E,ROW())="","",INDEX(Banco!$E:$E,ROW()))</f>
        <v/>
      </c>
      <c r="F203" s="10">
        <f>IF(INDEX(Banco!$F:$F,ROW())="","",INDEX(Banco!$F:$F,ROW()))</f>
        <v/>
      </c>
      <c r="G203" s="10">
        <f>IF(INDEX(Banco!$G:$G,ROW())="","",INDEX(Banco!$G:$G,ROW()))</f>
        <v/>
      </c>
      <c r="H203" s="8">
        <f>IF(INDEX(Banco!$H:$H,ROW())="","",INDEX(Banco!$H:$H,ROW()))</f>
        <v/>
      </c>
      <c r="I203">
        <f>IF($T203="","",INT($T203/12)&amp;"a "&amp;MOD($T203,12)&amp;"m")</f>
        <v/>
      </c>
      <c r="J203" s="11">
        <f>IF(OR($F203="",$G203=""),"",ROUND($F203/($G203/100)^2,2))</f>
        <v/>
      </c>
      <c r="K203" s="12">
        <f>IF(OR($S203="",$J203="",$T203="",$T203&lt;0,$T203&gt;228,$Y203=""),"—",ROUND(IF(ABS($AB203)&lt;=3,$AB203,IF($AB203&gt;3,3+($J203-$AD203)/($AD203-$AC203),-3+($J203-$AF203)/($AE203-$AF203))),2))</f>
        <v/>
      </c>
      <c r="L203">
        <f>IF(OR($K203="",$K203="—"),"",IF($T203&lt;=60,IF($K203&lt;-3,"Magreza acentuada",IF($K203&lt;-2,"Magreza",IF($K203&lt;=1,"Eutrofia",IF($K203&lt;=2,"Risco de sobrepeso",IF($K203&lt;=3,"Sobrepeso","Obesidade"))))),IF($K203&lt;-3,"Magreza acentuada",IF($K203&lt;-2,"Magreza",IF($K203&lt;=1,"Eutrofia",IF($K203&lt;=2,"Sobrepeso",IF($K203&lt;=3,"Obesidade","Obesidade grave")))))))</f>
        <v/>
      </c>
      <c r="M203" s="12">
        <f>IF(OR($S203="",$V203="",$T203="",$T203&lt;0,$T203&gt;228,$AG203=""),"—",ROUND(IF($AG203=0,LN($V203/$AH203)/$AI203,((($V203/$AH203)^$AG203)-1)/($AG203*$AI203)),2))</f>
        <v/>
      </c>
      <c r="N203">
        <f>IF(OR($M203="",$M203="—"),"",IF($M203&lt;-3,"Muito baixa",IF($M203&lt;-2,"Baixa","Adequada")))</f>
        <v/>
      </c>
      <c r="O203" s="12">
        <f>IF(OR($S203="",$F203="",$T203="",$T203&lt;0,$T203&gt;120,$AJ203=""),"—",ROUND(IF(ABS($AM203)&lt;=3,$AM203,IF($AM203&gt;3,3+($F203-$AO203)/($AO203-$AN203),-3+($F203-$AQ203)/($AP203-$AQ203))),2))</f>
        <v/>
      </c>
      <c r="P203">
        <f>IF(OR($O203="",$O203="—"),"",IF($O203&lt;-3,"Muito baixo",IF($O203&lt;-2,"Baixo",IF($O203&lt;=2,"Adequado","Elevado"))))</f>
        <v/>
      </c>
      <c r="Q203" s="12">
        <f>IF(OR($S203="",$F203="",$T203="",$T203&lt;0,$T203&gt;60,$AR203=""),"—",ROUND(IF(ABS($AU203)&lt;=3,$AU203,IF($AU203&gt;3,3+($F203-$AW203)/($AW203-$AV203),-3+($F203-$AY203)/($AX203-$AY203))),2))</f>
        <v/>
      </c>
      <c r="R203">
        <f>IF(OR($Q203="",$Q203="—"),"",IF($Q203&lt;-3,"Magreza acentuada",IF($Q203&lt;-2,"Magreza",IF($Q203&lt;=1,"Eutrofia",IF($Q203&lt;=2,"Risco de sobrepeso",IF($Q203&lt;=3,"Sobrepeso","Obesidade"))))))</f>
        <v/>
      </c>
      <c r="S203">
        <f>IF($C203="","",IF(UPPER(LEFT($C203,1))="M",1,IF(UPPER(LEFT($C203,1))="F",2,"")))</f>
        <v/>
      </c>
      <c r="T203">
        <f>IF(OR($D203="",$E203=""),"",DATEDIF($D203,$E203,"m"))</f>
        <v/>
      </c>
      <c r="U203">
        <f>IF(OR($D203="",$E203=""),"",$E203-$D203)</f>
        <v/>
      </c>
      <c r="V203">
        <f>IF(OR($G203="",$T203=""),"",IF($T203&lt;24,IF(LEFT(LOWER($H203),4)="em p",$G203+0.7,$G203),IF(LEFT(LOWER($H203),4)="deit",$G203-0.7,$G203)))</f>
        <v/>
      </c>
      <c r="W203">
        <f>IF(OR($S203="",$T203=""),"",$S203*1000000+IF($T203&lt;=60,$U203,$T203))</f>
        <v/>
      </c>
      <c r="X203">
        <f>IF(OR($S203="",$V203="",$T203&gt;60,$T203=""),"",$S203*1000000+ROUND($V203*10,0))</f>
        <v/>
      </c>
      <c r="Y203">
        <f>IF($W203="","",IFERROR(INDEX(IF($T203&lt;=60,imc05_l,imc519_l),MATCH($W203,IF($T203&lt;=60,imc05_k,imc519_k),1)),""))</f>
        <v/>
      </c>
      <c r="Z203">
        <f>IF($W203="","",IFERROR(INDEX(IF($T203&lt;=60,imc05_m,imc519_m),MATCH($W203,IF($T203&lt;=60,imc05_k,imc519_k),1)),""))</f>
        <v/>
      </c>
      <c r="AA203">
        <f>IF($W203="","",IFERROR(INDEX(IF($T203&lt;=60,imc05_s,imc519_s),MATCH($W203,IF($T203&lt;=60,imc05_k,imc519_k),1)),""))</f>
        <v/>
      </c>
      <c r="AB203">
        <f>IF($Y203="","",IF($Y203=0,LN($J203/$Z203)/$AA203,((($J203/$Z203)^$Y203)-1)/($Y203*$AA203)))</f>
        <v/>
      </c>
      <c r="AC203">
        <f>IF($Y203="","",IF($Y203=0,$Z203*EXP($AA203*2),$Z203*(1+$Y203*$AA203*2)^(1/$Y203)))</f>
        <v/>
      </c>
      <c r="AD203">
        <f>IF($Y203="","",IF($Y203=0,$Z203*EXP($AA203*3),$Z203*(1+$Y203*$AA203*3)^(1/$Y203)))</f>
        <v/>
      </c>
      <c r="AE203">
        <f>IF($Y203="","",IF($Y203=0,$Z203*EXP($AA203*-2),$Z203*(1+$Y203*$AA203*-2)^(1/$Y203)))</f>
        <v/>
      </c>
      <c r="AF203">
        <f>IF($Y203="","",IF($Y203=0,$Z203*EXP($AA203*-3),$Z203*(1+$Y203*$AA203*-3)^(1/$Y203)))</f>
        <v/>
      </c>
      <c r="AG203">
        <f>IF($W203="","",IFERROR(INDEX(IF($T203&lt;=60,est05_l,est519_l),MATCH($W203,IF($T203&lt;=60,est05_k,est519_k),1)),""))</f>
        <v/>
      </c>
      <c r="AH203">
        <f>IF($W203="","",IFERROR(INDEX(IF($T203&lt;=60,est05_m,est519_m),MATCH($W203,IF($T203&lt;=60,est05_k,est519_k),1)),""))</f>
        <v/>
      </c>
      <c r="AI203">
        <f>IF($W203="","",IFERROR(INDEX(IF($T203&lt;=60,est05_s,est519_s),MATCH($W203,IF($T203&lt;=60,est05_k,est519_k),1)),""))</f>
        <v/>
      </c>
      <c r="AJ203">
        <f>IF($W203="","",IFERROR(INDEX(IF($T203&lt;=60,peso05_l,peso510_l),MATCH($W203,IF($T203&lt;=60,peso05_k,peso510_k),1)),""))</f>
        <v/>
      </c>
      <c r="AK203">
        <f>IF($W203="","",IFERROR(INDEX(IF($T203&lt;=60,peso05_m,peso510_m),MATCH($W203,IF($T203&lt;=60,peso05_k,peso510_k),1)),""))</f>
        <v/>
      </c>
      <c r="AL203">
        <f>IF($W203="","",IFERROR(INDEX(IF($T203&lt;=60,peso05_s,peso510_s),MATCH($W203,IF($T203&lt;=60,peso05_k,peso510_k),1)),""))</f>
        <v/>
      </c>
      <c r="AM203">
        <f>IF($AJ203="","",IF($AJ203=0,LN($F203/$AK203)/$AL203,((($F203/$AK203)^$AJ203)-1)/($AJ203*$AL203)))</f>
        <v/>
      </c>
      <c r="AN203">
        <f>IF($AJ203="","",IF($AJ203=0,$AK203*EXP($AL203*2),$AK203*(1+$AJ203*$AL203*2)^(1/$AJ203)))</f>
        <v/>
      </c>
      <c r="AO203">
        <f>IF($AJ203="","",IF($AJ203=0,$AK203*EXP($AL203*3),$AK203*(1+$AJ203*$AL203*3)^(1/$AJ203)))</f>
        <v/>
      </c>
      <c r="AP203">
        <f>IF($AJ203="","",IF($AJ203=0,$AK203*EXP($AL203*-2),$AK203*(1+$AJ203*$AL203*-2)^(1/$AJ203)))</f>
        <v/>
      </c>
      <c r="AQ203">
        <f>IF($AJ203="","",IF($AJ203=0,$AK203*EXP($AL203*-3),$AK203*(1+$AJ203*$AL203*-3)^(1/$AJ203)))</f>
        <v/>
      </c>
      <c r="AR203">
        <f>IF(OR($X203="",$T203&gt;60),"",IFERROR(INDEX(IF($T203&lt;24,pcomp_l,palt_l),MATCH($X203,IF($T203&lt;24,pcomp_k,palt_k),1)),""))</f>
        <v/>
      </c>
      <c r="AS203">
        <f>IF(OR($X203="",$T203&gt;60),"",IFERROR(INDEX(IF($T203&lt;24,pcomp_m,palt_m),MATCH($X203,IF($T203&lt;24,pcomp_k,palt_k),1)),""))</f>
        <v/>
      </c>
      <c r="AT203">
        <f>IF(OR($X203="",$T203&gt;60),"",IFERROR(INDEX(IF($T203&lt;24,pcomp_s,palt_s),MATCH($X203,IF($T203&lt;24,pcomp_k,palt_k),1)),""))</f>
        <v/>
      </c>
      <c r="AU203">
        <f>IF($AR203="","",IF($AR203=0,LN($F203/$AS203)/$AT203,((($F203/$AS203)^$AR203)-1)/($AR203*$AT203)))</f>
        <v/>
      </c>
      <c r="AV203">
        <f>IF($AR203="","",IF($AR203=0,$AS203*EXP($AT203*2),$AS203*(1+$AR203*$AT203*2)^(1/$AR203)))</f>
        <v/>
      </c>
      <c r="AW203">
        <f>IF($AR203="","",IF($AR203=0,$AS203*EXP($AT203*3),$AS203*(1+$AR203*$AT203*3)^(1/$AR203)))</f>
        <v/>
      </c>
      <c r="AX203">
        <f>IF($AR203="","",IF($AR203=0,$AS203*EXP($AT203*-2),$AS203*(1+$AR203*$AT203*-2)^(1/$AR203)))</f>
        <v/>
      </c>
      <c r="AY203">
        <f>IF($AR203="","",IF($AR203=0,$AS203*EXP($AT203*-3),$AS203*(1+$AR203*$AT203*-3)^(1/$AR203)))</f>
        <v/>
      </c>
      <c r="AZ203">
        <f>IF(OR($A203="",$A203&lt;&gt;Ficha!$C$4),"",COUNTIF($A$2:$A203,Ficha!$C$4))</f>
        <v/>
      </c>
    </row>
    <row r="204">
      <c r="A204" s="8">
        <f>IF(INDEX(Banco!$A:$A,ROW())="","",INDEX(Banco!$A:$A,ROW()))</f>
        <v/>
      </c>
      <c r="B204" s="8">
        <f>IF(INDEX(Banco!$B:$B,ROW())="","",INDEX(Banco!$B:$B,ROW()))</f>
        <v/>
      </c>
      <c r="C204" s="8">
        <f>IF(INDEX(Banco!$C:$C,ROW())="","",INDEX(Banco!$C:$C,ROW()))</f>
        <v/>
      </c>
      <c r="D204" s="9">
        <f>IF(INDEX(Banco!$D:$D,ROW())="","",INDEX(Banco!$D:$D,ROW()))</f>
        <v/>
      </c>
      <c r="E204" s="9">
        <f>IF(INDEX(Banco!$E:$E,ROW())="","",INDEX(Banco!$E:$E,ROW()))</f>
        <v/>
      </c>
      <c r="F204" s="10">
        <f>IF(INDEX(Banco!$F:$F,ROW())="","",INDEX(Banco!$F:$F,ROW()))</f>
        <v/>
      </c>
      <c r="G204" s="10">
        <f>IF(INDEX(Banco!$G:$G,ROW())="","",INDEX(Banco!$G:$G,ROW()))</f>
        <v/>
      </c>
      <c r="H204" s="8">
        <f>IF(INDEX(Banco!$H:$H,ROW())="","",INDEX(Banco!$H:$H,ROW()))</f>
        <v/>
      </c>
      <c r="I204">
        <f>IF($T204="","",INT($T204/12)&amp;"a "&amp;MOD($T204,12)&amp;"m")</f>
        <v/>
      </c>
      <c r="J204" s="11">
        <f>IF(OR($F204="",$G204=""),"",ROUND($F204/($G204/100)^2,2))</f>
        <v/>
      </c>
      <c r="K204" s="12">
        <f>IF(OR($S204="",$J204="",$T204="",$T204&lt;0,$T204&gt;228,$Y204=""),"—",ROUND(IF(ABS($AB204)&lt;=3,$AB204,IF($AB204&gt;3,3+($J204-$AD204)/($AD204-$AC204),-3+($J204-$AF204)/($AE204-$AF204))),2))</f>
        <v/>
      </c>
      <c r="L204">
        <f>IF(OR($K204="",$K204="—"),"",IF($T204&lt;=60,IF($K204&lt;-3,"Magreza acentuada",IF($K204&lt;-2,"Magreza",IF($K204&lt;=1,"Eutrofia",IF($K204&lt;=2,"Risco de sobrepeso",IF($K204&lt;=3,"Sobrepeso","Obesidade"))))),IF($K204&lt;-3,"Magreza acentuada",IF($K204&lt;-2,"Magreza",IF($K204&lt;=1,"Eutrofia",IF($K204&lt;=2,"Sobrepeso",IF($K204&lt;=3,"Obesidade","Obesidade grave")))))))</f>
        <v/>
      </c>
      <c r="M204" s="12">
        <f>IF(OR($S204="",$V204="",$T204="",$T204&lt;0,$T204&gt;228,$AG204=""),"—",ROUND(IF($AG204=0,LN($V204/$AH204)/$AI204,((($V204/$AH204)^$AG204)-1)/($AG204*$AI204)),2))</f>
        <v/>
      </c>
      <c r="N204">
        <f>IF(OR($M204="",$M204="—"),"",IF($M204&lt;-3,"Muito baixa",IF($M204&lt;-2,"Baixa","Adequada")))</f>
        <v/>
      </c>
      <c r="O204" s="12">
        <f>IF(OR($S204="",$F204="",$T204="",$T204&lt;0,$T204&gt;120,$AJ204=""),"—",ROUND(IF(ABS($AM204)&lt;=3,$AM204,IF($AM204&gt;3,3+($F204-$AO204)/($AO204-$AN204),-3+($F204-$AQ204)/($AP204-$AQ204))),2))</f>
        <v/>
      </c>
      <c r="P204">
        <f>IF(OR($O204="",$O204="—"),"",IF($O204&lt;-3,"Muito baixo",IF($O204&lt;-2,"Baixo",IF($O204&lt;=2,"Adequado","Elevado"))))</f>
        <v/>
      </c>
      <c r="Q204" s="12">
        <f>IF(OR($S204="",$F204="",$T204="",$T204&lt;0,$T204&gt;60,$AR204=""),"—",ROUND(IF(ABS($AU204)&lt;=3,$AU204,IF($AU204&gt;3,3+($F204-$AW204)/($AW204-$AV204),-3+($F204-$AY204)/($AX204-$AY204))),2))</f>
        <v/>
      </c>
      <c r="R204">
        <f>IF(OR($Q204="",$Q204="—"),"",IF($Q204&lt;-3,"Magreza acentuada",IF($Q204&lt;-2,"Magreza",IF($Q204&lt;=1,"Eutrofia",IF($Q204&lt;=2,"Risco de sobrepeso",IF($Q204&lt;=3,"Sobrepeso","Obesidade"))))))</f>
        <v/>
      </c>
      <c r="S204">
        <f>IF($C204="","",IF(UPPER(LEFT($C204,1))="M",1,IF(UPPER(LEFT($C204,1))="F",2,"")))</f>
        <v/>
      </c>
      <c r="T204">
        <f>IF(OR($D204="",$E204=""),"",DATEDIF($D204,$E204,"m"))</f>
        <v/>
      </c>
      <c r="U204">
        <f>IF(OR($D204="",$E204=""),"",$E204-$D204)</f>
        <v/>
      </c>
      <c r="V204">
        <f>IF(OR($G204="",$T204=""),"",IF($T204&lt;24,IF(LEFT(LOWER($H204),4)="em p",$G204+0.7,$G204),IF(LEFT(LOWER($H204),4)="deit",$G204-0.7,$G204)))</f>
        <v/>
      </c>
      <c r="W204">
        <f>IF(OR($S204="",$T204=""),"",$S204*1000000+IF($T204&lt;=60,$U204,$T204))</f>
        <v/>
      </c>
      <c r="X204">
        <f>IF(OR($S204="",$V204="",$T204&gt;60,$T204=""),"",$S204*1000000+ROUND($V204*10,0))</f>
        <v/>
      </c>
      <c r="Y204">
        <f>IF($W204="","",IFERROR(INDEX(IF($T204&lt;=60,imc05_l,imc519_l),MATCH($W204,IF($T204&lt;=60,imc05_k,imc519_k),1)),""))</f>
        <v/>
      </c>
      <c r="Z204">
        <f>IF($W204="","",IFERROR(INDEX(IF($T204&lt;=60,imc05_m,imc519_m),MATCH($W204,IF($T204&lt;=60,imc05_k,imc519_k),1)),""))</f>
        <v/>
      </c>
      <c r="AA204">
        <f>IF($W204="","",IFERROR(INDEX(IF($T204&lt;=60,imc05_s,imc519_s),MATCH($W204,IF($T204&lt;=60,imc05_k,imc519_k),1)),""))</f>
        <v/>
      </c>
      <c r="AB204">
        <f>IF($Y204="","",IF($Y204=0,LN($J204/$Z204)/$AA204,((($J204/$Z204)^$Y204)-1)/($Y204*$AA204)))</f>
        <v/>
      </c>
      <c r="AC204">
        <f>IF($Y204="","",IF($Y204=0,$Z204*EXP($AA204*2),$Z204*(1+$Y204*$AA204*2)^(1/$Y204)))</f>
        <v/>
      </c>
      <c r="AD204">
        <f>IF($Y204="","",IF($Y204=0,$Z204*EXP($AA204*3),$Z204*(1+$Y204*$AA204*3)^(1/$Y204)))</f>
        <v/>
      </c>
      <c r="AE204">
        <f>IF($Y204="","",IF($Y204=0,$Z204*EXP($AA204*-2),$Z204*(1+$Y204*$AA204*-2)^(1/$Y204)))</f>
        <v/>
      </c>
      <c r="AF204">
        <f>IF($Y204="","",IF($Y204=0,$Z204*EXP($AA204*-3),$Z204*(1+$Y204*$AA204*-3)^(1/$Y204)))</f>
        <v/>
      </c>
      <c r="AG204">
        <f>IF($W204="","",IFERROR(INDEX(IF($T204&lt;=60,est05_l,est519_l),MATCH($W204,IF($T204&lt;=60,est05_k,est519_k),1)),""))</f>
        <v/>
      </c>
      <c r="AH204">
        <f>IF($W204="","",IFERROR(INDEX(IF($T204&lt;=60,est05_m,est519_m),MATCH($W204,IF($T204&lt;=60,est05_k,est519_k),1)),""))</f>
        <v/>
      </c>
      <c r="AI204">
        <f>IF($W204="","",IFERROR(INDEX(IF($T204&lt;=60,est05_s,est519_s),MATCH($W204,IF($T204&lt;=60,est05_k,est519_k),1)),""))</f>
        <v/>
      </c>
      <c r="AJ204">
        <f>IF($W204="","",IFERROR(INDEX(IF($T204&lt;=60,peso05_l,peso510_l),MATCH($W204,IF($T204&lt;=60,peso05_k,peso510_k),1)),""))</f>
        <v/>
      </c>
      <c r="AK204">
        <f>IF($W204="","",IFERROR(INDEX(IF($T204&lt;=60,peso05_m,peso510_m),MATCH($W204,IF($T204&lt;=60,peso05_k,peso510_k),1)),""))</f>
        <v/>
      </c>
      <c r="AL204">
        <f>IF($W204="","",IFERROR(INDEX(IF($T204&lt;=60,peso05_s,peso510_s),MATCH($W204,IF($T204&lt;=60,peso05_k,peso510_k),1)),""))</f>
        <v/>
      </c>
      <c r="AM204">
        <f>IF($AJ204="","",IF($AJ204=0,LN($F204/$AK204)/$AL204,((($F204/$AK204)^$AJ204)-1)/($AJ204*$AL204)))</f>
        <v/>
      </c>
      <c r="AN204">
        <f>IF($AJ204="","",IF($AJ204=0,$AK204*EXP($AL204*2),$AK204*(1+$AJ204*$AL204*2)^(1/$AJ204)))</f>
        <v/>
      </c>
      <c r="AO204">
        <f>IF($AJ204="","",IF($AJ204=0,$AK204*EXP($AL204*3),$AK204*(1+$AJ204*$AL204*3)^(1/$AJ204)))</f>
        <v/>
      </c>
      <c r="AP204">
        <f>IF($AJ204="","",IF($AJ204=0,$AK204*EXP($AL204*-2),$AK204*(1+$AJ204*$AL204*-2)^(1/$AJ204)))</f>
        <v/>
      </c>
      <c r="AQ204">
        <f>IF($AJ204="","",IF($AJ204=0,$AK204*EXP($AL204*-3),$AK204*(1+$AJ204*$AL204*-3)^(1/$AJ204)))</f>
        <v/>
      </c>
      <c r="AR204">
        <f>IF(OR($X204="",$T204&gt;60),"",IFERROR(INDEX(IF($T204&lt;24,pcomp_l,palt_l),MATCH($X204,IF($T204&lt;24,pcomp_k,palt_k),1)),""))</f>
        <v/>
      </c>
      <c r="AS204">
        <f>IF(OR($X204="",$T204&gt;60),"",IFERROR(INDEX(IF($T204&lt;24,pcomp_m,palt_m),MATCH($X204,IF($T204&lt;24,pcomp_k,palt_k),1)),""))</f>
        <v/>
      </c>
      <c r="AT204">
        <f>IF(OR($X204="",$T204&gt;60),"",IFERROR(INDEX(IF($T204&lt;24,pcomp_s,palt_s),MATCH($X204,IF($T204&lt;24,pcomp_k,palt_k),1)),""))</f>
        <v/>
      </c>
      <c r="AU204">
        <f>IF($AR204="","",IF($AR204=0,LN($F204/$AS204)/$AT204,((($F204/$AS204)^$AR204)-1)/($AR204*$AT204)))</f>
        <v/>
      </c>
      <c r="AV204">
        <f>IF($AR204="","",IF($AR204=0,$AS204*EXP($AT204*2),$AS204*(1+$AR204*$AT204*2)^(1/$AR204)))</f>
        <v/>
      </c>
      <c r="AW204">
        <f>IF($AR204="","",IF($AR204=0,$AS204*EXP($AT204*3),$AS204*(1+$AR204*$AT204*3)^(1/$AR204)))</f>
        <v/>
      </c>
      <c r="AX204">
        <f>IF($AR204="","",IF($AR204=0,$AS204*EXP($AT204*-2),$AS204*(1+$AR204*$AT204*-2)^(1/$AR204)))</f>
        <v/>
      </c>
      <c r="AY204">
        <f>IF($AR204="","",IF($AR204=0,$AS204*EXP($AT204*-3),$AS204*(1+$AR204*$AT204*-3)^(1/$AR204)))</f>
        <v/>
      </c>
      <c r="AZ204">
        <f>IF(OR($A204="",$A204&lt;&gt;Ficha!$C$4),"",COUNTIF($A$2:$A204,Ficha!$C$4))</f>
        <v/>
      </c>
    </row>
    <row r="205">
      <c r="A205" s="8">
        <f>IF(INDEX(Banco!$A:$A,ROW())="","",INDEX(Banco!$A:$A,ROW()))</f>
        <v/>
      </c>
      <c r="B205" s="8">
        <f>IF(INDEX(Banco!$B:$B,ROW())="","",INDEX(Banco!$B:$B,ROW()))</f>
        <v/>
      </c>
      <c r="C205" s="8">
        <f>IF(INDEX(Banco!$C:$C,ROW())="","",INDEX(Banco!$C:$C,ROW()))</f>
        <v/>
      </c>
      <c r="D205" s="9">
        <f>IF(INDEX(Banco!$D:$D,ROW())="","",INDEX(Banco!$D:$D,ROW()))</f>
        <v/>
      </c>
      <c r="E205" s="9">
        <f>IF(INDEX(Banco!$E:$E,ROW())="","",INDEX(Banco!$E:$E,ROW()))</f>
        <v/>
      </c>
      <c r="F205" s="10">
        <f>IF(INDEX(Banco!$F:$F,ROW())="","",INDEX(Banco!$F:$F,ROW()))</f>
        <v/>
      </c>
      <c r="G205" s="10">
        <f>IF(INDEX(Banco!$G:$G,ROW())="","",INDEX(Banco!$G:$G,ROW()))</f>
        <v/>
      </c>
      <c r="H205" s="8">
        <f>IF(INDEX(Banco!$H:$H,ROW())="","",INDEX(Banco!$H:$H,ROW()))</f>
        <v/>
      </c>
      <c r="I205">
        <f>IF($T205="","",INT($T205/12)&amp;"a "&amp;MOD($T205,12)&amp;"m")</f>
        <v/>
      </c>
      <c r="J205" s="11">
        <f>IF(OR($F205="",$G205=""),"",ROUND($F205/($G205/100)^2,2))</f>
        <v/>
      </c>
      <c r="K205" s="12">
        <f>IF(OR($S205="",$J205="",$T205="",$T205&lt;0,$T205&gt;228,$Y205=""),"—",ROUND(IF(ABS($AB205)&lt;=3,$AB205,IF($AB205&gt;3,3+($J205-$AD205)/($AD205-$AC205),-3+($J205-$AF205)/($AE205-$AF205))),2))</f>
        <v/>
      </c>
      <c r="L205">
        <f>IF(OR($K205="",$K205="—"),"",IF($T205&lt;=60,IF($K205&lt;-3,"Magreza acentuada",IF($K205&lt;-2,"Magreza",IF($K205&lt;=1,"Eutrofia",IF($K205&lt;=2,"Risco de sobrepeso",IF($K205&lt;=3,"Sobrepeso","Obesidade"))))),IF($K205&lt;-3,"Magreza acentuada",IF($K205&lt;-2,"Magreza",IF($K205&lt;=1,"Eutrofia",IF($K205&lt;=2,"Sobrepeso",IF($K205&lt;=3,"Obesidade","Obesidade grave")))))))</f>
        <v/>
      </c>
      <c r="M205" s="12">
        <f>IF(OR($S205="",$V205="",$T205="",$T205&lt;0,$T205&gt;228,$AG205=""),"—",ROUND(IF($AG205=0,LN($V205/$AH205)/$AI205,((($V205/$AH205)^$AG205)-1)/($AG205*$AI205)),2))</f>
        <v/>
      </c>
      <c r="N205">
        <f>IF(OR($M205="",$M205="—"),"",IF($M205&lt;-3,"Muito baixa",IF($M205&lt;-2,"Baixa","Adequada")))</f>
        <v/>
      </c>
      <c r="O205" s="12">
        <f>IF(OR($S205="",$F205="",$T205="",$T205&lt;0,$T205&gt;120,$AJ205=""),"—",ROUND(IF(ABS($AM205)&lt;=3,$AM205,IF($AM205&gt;3,3+($F205-$AO205)/($AO205-$AN205),-3+($F205-$AQ205)/($AP205-$AQ205))),2))</f>
        <v/>
      </c>
      <c r="P205">
        <f>IF(OR($O205="",$O205="—"),"",IF($O205&lt;-3,"Muito baixo",IF($O205&lt;-2,"Baixo",IF($O205&lt;=2,"Adequado","Elevado"))))</f>
        <v/>
      </c>
      <c r="Q205" s="12">
        <f>IF(OR($S205="",$F205="",$T205="",$T205&lt;0,$T205&gt;60,$AR205=""),"—",ROUND(IF(ABS($AU205)&lt;=3,$AU205,IF($AU205&gt;3,3+($F205-$AW205)/($AW205-$AV205),-3+($F205-$AY205)/($AX205-$AY205))),2))</f>
        <v/>
      </c>
      <c r="R205">
        <f>IF(OR($Q205="",$Q205="—"),"",IF($Q205&lt;-3,"Magreza acentuada",IF($Q205&lt;-2,"Magreza",IF($Q205&lt;=1,"Eutrofia",IF($Q205&lt;=2,"Risco de sobrepeso",IF($Q205&lt;=3,"Sobrepeso","Obesidade"))))))</f>
        <v/>
      </c>
      <c r="S205">
        <f>IF($C205="","",IF(UPPER(LEFT($C205,1))="M",1,IF(UPPER(LEFT($C205,1))="F",2,"")))</f>
        <v/>
      </c>
      <c r="T205">
        <f>IF(OR($D205="",$E205=""),"",DATEDIF($D205,$E205,"m"))</f>
        <v/>
      </c>
      <c r="U205">
        <f>IF(OR($D205="",$E205=""),"",$E205-$D205)</f>
        <v/>
      </c>
      <c r="V205">
        <f>IF(OR($G205="",$T205=""),"",IF($T205&lt;24,IF(LEFT(LOWER($H205),4)="em p",$G205+0.7,$G205),IF(LEFT(LOWER($H205),4)="deit",$G205-0.7,$G205)))</f>
        <v/>
      </c>
      <c r="W205">
        <f>IF(OR($S205="",$T205=""),"",$S205*1000000+IF($T205&lt;=60,$U205,$T205))</f>
        <v/>
      </c>
      <c r="X205">
        <f>IF(OR($S205="",$V205="",$T205&gt;60,$T205=""),"",$S205*1000000+ROUND($V205*10,0))</f>
        <v/>
      </c>
      <c r="Y205">
        <f>IF($W205="","",IFERROR(INDEX(IF($T205&lt;=60,imc05_l,imc519_l),MATCH($W205,IF($T205&lt;=60,imc05_k,imc519_k),1)),""))</f>
        <v/>
      </c>
      <c r="Z205">
        <f>IF($W205="","",IFERROR(INDEX(IF($T205&lt;=60,imc05_m,imc519_m),MATCH($W205,IF($T205&lt;=60,imc05_k,imc519_k),1)),""))</f>
        <v/>
      </c>
      <c r="AA205">
        <f>IF($W205="","",IFERROR(INDEX(IF($T205&lt;=60,imc05_s,imc519_s),MATCH($W205,IF($T205&lt;=60,imc05_k,imc519_k),1)),""))</f>
        <v/>
      </c>
      <c r="AB205">
        <f>IF($Y205="","",IF($Y205=0,LN($J205/$Z205)/$AA205,((($J205/$Z205)^$Y205)-1)/($Y205*$AA205)))</f>
        <v/>
      </c>
      <c r="AC205">
        <f>IF($Y205="","",IF($Y205=0,$Z205*EXP($AA205*2),$Z205*(1+$Y205*$AA205*2)^(1/$Y205)))</f>
        <v/>
      </c>
      <c r="AD205">
        <f>IF($Y205="","",IF($Y205=0,$Z205*EXP($AA205*3),$Z205*(1+$Y205*$AA205*3)^(1/$Y205)))</f>
        <v/>
      </c>
      <c r="AE205">
        <f>IF($Y205="","",IF($Y205=0,$Z205*EXP($AA205*-2),$Z205*(1+$Y205*$AA205*-2)^(1/$Y205)))</f>
        <v/>
      </c>
      <c r="AF205">
        <f>IF($Y205="","",IF($Y205=0,$Z205*EXP($AA205*-3),$Z205*(1+$Y205*$AA205*-3)^(1/$Y205)))</f>
        <v/>
      </c>
      <c r="AG205">
        <f>IF($W205="","",IFERROR(INDEX(IF($T205&lt;=60,est05_l,est519_l),MATCH($W205,IF($T205&lt;=60,est05_k,est519_k),1)),""))</f>
        <v/>
      </c>
      <c r="AH205">
        <f>IF($W205="","",IFERROR(INDEX(IF($T205&lt;=60,est05_m,est519_m),MATCH($W205,IF($T205&lt;=60,est05_k,est519_k),1)),""))</f>
        <v/>
      </c>
      <c r="AI205">
        <f>IF($W205="","",IFERROR(INDEX(IF($T205&lt;=60,est05_s,est519_s),MATCH($W205,IF($T205&lt;=60,est05_k,est519_k),1)),""))</f>
        <v/>
      </c>
      <c r="AJ205">
        <f>IF($W205="","",IFERROR(INDEX(IF($T205&lt;=60,peso05_l,peso510_l),MATCH($W205,IF($T205&lt;=60,peso05_k,peso510_k),1)),""))</f>
        <v/>
      </c>
      <c r="AK205">
        <f>IF($W205="","",IFERROR(INDEX(IF($T205&lt;=60,peso05_m,peso510_m),MATCH($W205,IF($T205&lt;=60,peso05_k,peso510_k),1)),""))</f>
        <v/>
      </c>
      <c r="AL205">
        <f>IF($W205="","",IFERROR(INDEX(IF($T205&lt;=60,peso05_s,peso510_s),MATCH($W205,IF($T205&lt;=60,peso05_k,peso510_k),1)),""))</f>
        <v/>
      </c>
      <c r="AM205">
        <f>IF($AJ205="","",IF($AJ205=0,LN($F205/$AK205)/$AL205,((($F205/$AK205)^$AJ205)-1)/($AJ205*$AL205)))</f>
        <v/>
      </c>
      <c r="AN205">
        <f>IF($AJ205="","",IF($AJ205=0,$AK205*EXP($AL205*2),$AK205*(1+$AJ205*$AL205*2)^(1/$AJ205)))</f>
        <v/>
      </c>
      <c r="AO205">
        <f>IF($AJ205="","",IF($AJ205=0,$AK205*EXP($AL205*3),$AK205*(1+$AJ205*$AL205*3)^(1/$AJ205)))</f>
        <v/>
      </c>
      <c r="AP205">
        <f>IF($AJ205="","",IF($AJ205=0,$AK205*EXP($AL205*-2),$AK205*(1+$AJ205*$AL205*-2)^(1/$AJ205)))</f>
        <v/>
      </c>
      <c r="AQ205">
        <f>IF($AJ205="","",IF($AJ205=0,$AK205*EXP($AL205*-3),$AK205*(1+$AJ205*$AL205*-3)^(1/$AJ205)))</f>
        <v/>
      </c>
      <c r="AR205">
        <f>IF(OR($X205="",$T205&gt;60),"",IFERROR(INDEX(IF($T205&lt;24,pcomp_l,palt_l),MATCH($X205,IF($T205&lt;24,pcomp_k,palt_k),1)),""))</f>
        <v/>
      </c>
      <c r="AS205">
        <f>IF(OR($X205="",$T205&gt;60),"",IFERROR(INDEX(IF($T205&lt;24,pcomp_m,palt_m),MATCH($X205,IF($T205&lt;24,pcomp_k,palt_k),1)),""))</f>
        <v/>
      </c>
      <c r="AT205">
        <f>IF(OR($X205="",$T205&gt;60),"",IFERROR(INDEX(IF($T205&lt;24,pcomp_s,palt_s),MATCH($X205,IF($T205&lt;24,pcomp_k,palt_k),1)),""))</f>
        <v/>
      </c>
      <c r="AU205">
        <f>IF($AR205="","",IF($AR205=0,LN($F205/$AS205)/$AT205,((($F205/$AS205)^$AR205)-1)/($AR205*$AT205)))</f>
        <v/>
      </c>
      <c r="AV205">
        <f>IF($AR205="","",IF($AR205=0,$AS205*EXP($AT205*2),$AS205*(1+$AR205*$AT205*2)^(1/$AR205)))</f>
        <v/>
      </c>
      <c r="AW205">
        <f>IF($AR205="","",IF($AR205=0,$AS205*EXP($AT205*3),$AS205*(1+$AR205*$AT205*3)^(1/$AR205)))</f>
        <v/>
      </c>
      <c r="AX205">
        <f>IF($AR205="","",IF($AR205=0,$AS205*EXP($AT205*-2),$AS205*(1+$AR205*$AT205*-2)^(1/$AR205)))</f>
        <v/>
      </c>
      <c r="AY205">
        <f>IF($AR205="","",IF($AR205=0,$AS205*EXP($AT205*-3),$AS205*(1+$AR205*$AT205*-3)^(1/$AR205)))</f>
        <v/>
      </c>
      <c r="AZ205">
        <f>IF(OR($A205="",$A205&lt;&gt;Ficha!$C$4),"",COUNTIF($A$2:$A205,Ficha!$C$4))</f>
        <v/>
      </c>
    </row>
    <row r="206">
      <c r="A206" s="8">
        <f>IF(INDEX(Banco!$A:$A,ROW())="","",INDEX(Banco!$A:$A,ROW()))</f>
        <v/>
      </c>
      <c r="B206" s="8">
        <f>IF(INDEX(Banco!$B:$B,ROW())="","",INDEX(Banco!$B:$B,ROW()))</f>
        <v/>
      </c>
      <c r="C206" s="8">
        <f>IF(INDEX(Banco!$C:$C,ROW())="","",INDEX(Banco!$C:$C,ROW()))</f>
        <v/>
      </c>
      <c r="D206" s="9">
        <f>IF(INDEX(Banco!$D:$D,ROW())="","",INDEX(Banco!$D:$D,ROW()))</f>
        <v/>
      </c>
      <c r="E206" s="9">
        <f>IF(INDEX(Banco!$E:$E,ROW())="","",INDEX(Banco!$E:$E,ROW()))</f>
        <v/>
      </c>
      <c r="F206" s="10">
        <f>IF(INDEX(Banco!$F:$F,ROW())="","",INDEX(Banco!$F:$F,ROW()))</f>
        <v/>
      </c>
      <c r="G206" s="10">
        <f>IF(INDEX(Banco!$G:$G,ROW())="","",INDEX(Banco!$G:$G,ROW()))</f>
        <v/>
      </c>
      <c r="H206" s="8">
        <f>IF(INDEX(Banco!$H:$H,ROW())="","",INDEX(Banco!$H:$H,ROW()))</f>
        <v/>
      </c>
      <c r="I206">
        <f>IF($T206="","",INT($T206/12)&amp;"a "&amp;MOD($T206,12)&amp;"m")</f>
        <v/>
      </c>
      <c r="J206" s="11">
        <f>IF(OR($F206="",$G206=""),"",ROUND($F206/($G206/100)^2,2))</f>
        <v/>
      </c>
      <c r="K206" s="12">
        <f>IF(OR($S206="",$J206="",$T206="",$T206&lt;0,$T206&gt;228,$Y206=""),"—",ROUND(IF(ABS($AB206)&lt;=3,$AB206,IF($AB206&gt;3,3+($J206-$AD206)/($AD206-$AC206),-3+($J206-$AF206)/($AE206-$AF206))),2))</f>
        <v/>
      </c>
      <c r="L206">
        <f>IF(OR($K206="",$K206="—"),"",IF($T206&lt;=60,IF($K206&lt;-3,"Magreza acentuada",IF($K206&lt;-2,"Magreza",IF($K206&lt;=1,"Eutrofia",IF($K206&lt;=2,"Risco de sobrepeso",IF($K206&lt;=3,"Sobrepeso","Obesidade"))))),IF($K206&lt;-3,"Magreza acentuada",IF($K206&lt;-2,"Magreza",IF($K206&lt;=1,"Eutrofia",IF($K206&lt;=2,"Sobrepeso",IF($K206&lt;=3,"Obesidade","Obesidade grave")))))))</f>
        <v/>
      </c>
      <c r="M206" s="12">
        <f>IF(OR($S206="",$V206="",$T206="",$T206&lt;0,$T206&gt;228,$AG206=""),"—",ROUND(IF($AG206=0,LN($V206/$AH206)/$AI206,((($V206/$AH206)^$AG206)-1)/($AG206*$AI206)),2))</f>
        <v/>
      </c>
      <c r="N206">
        <f>IF(OR($M206="",$M206="—"),"",IF($M206&lt;-3,"Muito baixa",IF($M206&lt;-2,"Baixa","Adequada")))</f>
        <v/>
      </c>
      <c r="O206" s="12">
        <f>IF(OR($S206="",$F206="",$T206="",$T206&lt;0,$T206&gt;120,$AJ206=""),"—",ROUND(IF(ABS($AM206)&lt;=3,$AM206,IF($AM206&gt;3,3+($F206-$AO206)/($AO206-$AN206),-3+($F206-$AQ206)/($AP206-$AQ206))),2))</f>
        <v/>
      </c>
      <c r="P206">
        <f>IF(OR($O206="",$O206="—"),"",IF($O206&lt;-3,"Muito baixo",IF($O206&lt;-2,"Baixo",IF($O206&lt;=2,"Adequado","Elevado"))))</f>
        <v/>
      </c>
      <c r="Q206" s="12">
        <f>IF(OR($S206="",$F206="",$T206="",$T206&lt;0,$T206&gt;60,$AR206=""),"—",ROUND(IF(ABS($AU206)&lt;=3,$AU206,IF($AU206&gt;3,3+($F206-$AW206)/($AW206-$AV206),-3+($F206-$AY206)/($AX206-$AY206))),2))</f>
        <v/>
      </c>
      <c r="R206">
        <f>IF(OR($Q206="",$Q206="—"),"",IF($Q206&lt;-3,"Magreza acentuada",IF($Q206&lt;-2,"Magreza",IF($Q206&lt;=1,"Eutrofia",IF($Q206&lt;=2,"Risco de sobrepeso",IF($Q206&lt;=3,"Sobrepeso","Obesidade"))))))</f>
        <v/>
      </c>
      <c r="S206">
        <f>IF($C206="","",IF(UPPER(LEFT($C206,1))="M",1,IF(UPPER(LEFT($C206,1))="F",2,"")))</f>
        <v/>
      </c>
      <c r="T206">
        <f>IF(OR($D206="",$E206=""),"",DATEDIF($D206,$E206,"m"))</f>
        <v/>
      </c>
      <c r="U206">
        <f>IF(OR($D206="",$E206=""),"",$E206-$D206)</f>
        <v/>
      </c>
      <c r="V206">
        <f>IF(OR($G206="",$T206=""),"",IF($T206&lt;24,IF(LEFT(LOWER($H206),4)="em p",$G206+0.7,$G206),IF(LEFT(LOWER($H206),4)="deit",$G206-0.7,$G206)))</f>
        <v/>
      </c>
      <c r="W206">
        <f>IF(OR($S206="",$T206=""),"",$S206*1000000+IF($T206&lt;=60,$U206,$T206))</f>
        <v/>
      </c>
      <c r="X206">
        <f>IF(OR($S206="",$V206="",$T206&gt;60,$T206=""),"",$S206*1000000+ROUND($V206*10,0))</f>
        <v/>
      </c>
      <c r="Y206">
        <f>IF($W206="","",IFERROR(INDEX(IF($T206&lt;=60,imc05_l,imc519_l),MATCH($W206,IF($T206&lt;=60,imc05_k,imc519_k),1)),""))</f>
        <v/>
      </c>
      <c r="Z206">
        <f>IF($W206="","",IFERROR(INDEX(IF($T206&lt;=60,imc05_m,imc519_m),MATCH($W206,IF($T206&lt;=60,imc05_k,imc519_k),1)),""))</f>
        <v/>
      </c>
      <c r="AA206">
        <f>IF($W206="","",IFERROR(INDEX(IF($T206&lt;=60,imc05_s,imc519_s),MATCH($W206,IF($T206&lt;=60,imc05_k,imc519_k),1)),""))</f>
        <v/>
      </c>
      <c r="AB206">
        <f>IF($Y206="","",IF($Y206=0,LN($J206/$Z206)/$AA206,((($J206/$Z206)^$Y206)-1)/($Y206*$AA206)))</f>
        <v/>
      </c>
      <c r="AC206">
        <f>IF($Y206="","",IF($Y206=0,$Z206*EXP($AA206*2),$Z206*(1+$Y206*$AA206*2)^(1/$Y206)))</f>
        <v/>
      </c>
      <c r="AD206">
        <f>IF($Y206="","",IF($Y206=0,$Z206*EXP($AA206*3),$Z206*(1+$Y206*$AA206*3)^(1/$Y206)))</f>
        <v/>
      </c>
      <c r="AE206">
        <f>IF($Y206="","",IF($Y206=0,$Z206*EXP($AA206*-2),$Z206*(1+$Y206*$AA206*-2)^(1/$Y206)))</f>
        <v/>
      </c>
      <c r="AF206">
        <f>IF($Y206="","",IF($Y206=0,$Z206*EXP($AA206*-3),$Z206*(1+$Y206*$AA206*-3)^(1/$Y206)))</f>
        <v/>
      </c>
      <c r="AG206">
        <f>IF($W206="","",IFERROR(INDEX(IF($T206&lt;=60,est05_l,est519_l),MATCH($W206,IF($T206&lt;=60,est05_k,est519_k),1)),""))</f>
        <v/>
      </c>
      <c r="AH206">
        <f>IF($W206="","",IFERROR(INDEX(IF($T206&lt;=60,est05_m,est519_m),MATCH($W206,IF($T206&lt;=60,est05_k,est519_k),1)),""))</f>
        <v/>
      </c>
      <c r="AI206">
        <f>IF($W206="","",IFERROR(INDEX(IF($T206&lt;=60,est05_s,est519_s),MATCH($W206,IF($T206&lt;=60,est05_k,est519_k),1)),""))</f>
        <v/>
      </c>
      <c r="AJ206">
        <f>IF($W206="","",IFERROR(INDEX(IF($T206&lt;=60,peso05_l,peso510_l),MATCH($W206,IF($T206&lt;=60,peso05_k,peso510_k),1)),""))</f>
        <v/>
      </c>
      <c r="AK206">
        <f>IF($W206="","",IFERROR(INDEX(IF($T206&lt;=60,peso05_m,peso510_m),MATCH($W206,IF($T206&lt;=60,peso05_k,peso510_k),1)),""))</f>
        <v/>
      </c>
      <c r="AL206">
        <f>IF($W206="","",IFERROR(INDEX(IF($T206&lt;=60,peso05_s,peso510_s),MATCH($W206,IF($T206&lt;=60,peso05_k,peso510_k),1)),""))</f>
        <v/>
      </c>
      <c r="AM206">
        <f>IF($AJ206="","",IF($AJ206=0,LN($F206/$AK206)/$AL206,((($F206/$AK206)^$AJ206)-1)/($AJ206*$AL206)))</f>
        <v/>
      </c>
      <c r="AN206">
        <f>IF($AJ206="","",IF($AJ206=0,$AK206*EXP($AL206*2),$AK206*(1+$AJ206*$AL206*2)^(1/$AJ206)))</f>
        <v/>
      </c>
      <c r="AO206">
        <f>IF($AJ206="","",IF($AJ206=0,$AK206*EXP($AL206*3),$AK206*(1+$AJ206*$AL206*3)^(1/$AJ206)))</f>
        <v/>
      </c>
      <c r="AP206">
        <f>IF($AJ206="","",IF($AJ206=0,$AK206*EXP($AL206*-2),$AK206*(1+$AJ206*$AL206*-2)^(1/$AJ206)))</f>
        <v/>
      </c>
      <c r="AQ206">
        <f>IF($AJ206="","",IF($AJ206=0,$AK206*EXP($AL206*-3),$AK206*(1+$AJ206*$AL206*-3)^(1/$AJ206)))</f>
        <v/>
      </c>
      <c r="AR206">
        <f>IF(OR($X206="",$T206&gt;60),"",IFERROR(INDEX(IF($T206&lt;24,pcomp_l,palt_l),MATCH($X206,IF($T206&lt;24,pcomp_k,palt_k),1)),""))</f>
        <v/>
      </c>
      <c r="AS206">
        <f>IF(OR($X206="",$T206&gt;60),"",IFERROR(INDEX(IF($T206&lt;24,pcomp_m,palt_m),MATCH($X206,IF($T206&lt;24,pcomp_k,palt_k),1)),""))</f>
        <v/>
      </c>
      <c r="AT206">
        <f>IF(OR($X206="",$T206&gt;60),"",IFERROR(INDEX(IF($T206&lt;24,pcomp_s,palt_s),MATCH($X206,IF($T206&lt;24,pcomp_k,palt_k),1)),""))</f>
        <v/>
      </c>
      <c r="AU206">
        <f>IF($AR206="","",IF($AR206=0,LN($F206/$AS206)/$AT206,((($F206/$AS206)^$AR206)-1)/($AR206*$AT206)))</f>
        <v/>
      </c>
      <c r="AV206">
        <f>IF($AR206="","",IF($AR206=0,$AS206*EXP($AT206*2),$AS206*(1+$AR206*$AT206*2)^(1/$AR206)))</f>
        <v/>
      </c>
      <c r="AW206">
        <f>IF($AR206="","",IF($AR206=0,$AS206*EXP($AT206*3),$AS206*(1+$AR206*$AT206*3)^(1/$AR206)))</f>
        <v/>
      </c>
      <c r="AX206">
        <f>IF($AR206="","",IF($AR206=0,$AS206*EXP($AT206*-2),$AS206*(1+$AR206*$AT206*-2)^(1/$AR206)))</f>
        <v/>
      </c>
      <c r="AY206">
        <f>IF($AR206="","",IF($AR206=0,$AS206*EXP($AT206*-3),$AS206*(1+$AR206*$AT206*-3)^(1/$AR206)))</f>
        <v/>
      </c>
      <c r="AZ206">
        <f>IF(OR($A206="",$A206&lt;&gt;Ficha!$C$4),"",COUNTIF($A$2:$A206,Ficha!$C$4))</f>
        <v/>
      </c>
    </row>
    <row r="207">
      <c r="A207" s="8">
        <f>IF(INDEX(Banco!$A:$A,ROW())="","",INDEX(Banco!$A:$A,ROW()))</f>
        <v/>
      </c>
      <c r="B207" s="8">
        <f>IF(INDEX(Banco!$B:$B,ROW())="","",INDEX(Banco!$B:$B,ROW()))</f>
        <v/>
      </c>
      <c r="C207" s="8">
        <f>IF(INDEX(Banco!$C:$C,ROW())="","",INDEX(Banco!$C:$C,ROW()))</f>
        <v/>
      </c>
      <c r="D207" s="9">
        <f>IF(INDEX(Banco!$D:$D,ROW())="","",INDEX(Banco!$D:$D,ROW()))</f>
        <v/>
      </c>
      <c r="E207" s="9">
        <f>IF(INDEX(Banco!$E:$E,ROW())="","",INDEX(Banco!$E:$E,ROW()))</f>
        <v/>
      </c>
      <c r="F207" s="10">
        <f>IF(INDEX(Banco!$F:$F,ROW())="","",INDEX(Banco!$F:$F,ROW()))</f>
        <v/>
      </c>
      <c r="G207" s="10">
        <f>IF(INDEX(Banco!$G:$G,ROW())="","",INDEX(Banco!$G:$G,ROW()))</f>
        <v/>
      </c>
      <c r="H207" s="8">
        <f>IF(INDEX(Banco!$H:$H,ROW())="","",INDEX(Banco!$H:$H,ROW()))</f>
        <v/>
      </c>
      <c r="I207">
        <f>IF($T207="","",INT($T207/12)&amp;"a "&amp;MOD($T207,12)&amp;"m")</f>
        <v/>
      </c>
      <c r="J207" s="11">
        <f>IF(OR($F207="",$G207=""),"",ROUND($F207/($G207/100)^2,2))</f>
        <v/>
      </c>
      <c r="K207" s="12">
        <f>IF(OR($S207="",$J207="",$T207="",$T207&lt;0,$T207&gt;228,$Y207=""),"—",ROUND(IF(ABS($AB207)&lt;=3,$AB207,IF($AB207&gt;3,3+($J207-$AD207)/($AD207-$AC207),-3+($J207-$AF207)/($AE207-$AF207))),2))</f>
        <v/>
      </c>
      <c r="L207">
        <f>IF(OR($K207="",$K207="—"),"",IF($T207&lt;=60,IF($K207&lt;-3,"Magreza acentuada",IF($K207&lt;-2,"Magreza",IF($K207&lt;=1,"Eutrofia",IF($K207&lt;=2,"Risco de sobrepeso",IF($K207&lt;=3,"Sobrepeso","Obesidade"))))),IF($K207&lt;-3,"Magreza acentuada",IF($K207&lt;-2,"Magreza",IF($K207&lt;=1,"Eutrofia",IF($K207&lt;=2,"Sobrepeso",IF($K207&lt;=3,"Obesidade","Obesidade grave")))))))</f>
        <v/>
      </c>
      <c r="M207" s="12">
        <f>IF(OR($S207="",$V207="",$T207="",$T207&lt;0,$T207&gt;228,$AG207=""),"—",ROUND(IF($AG207=0,LN($V207/$AH207)/$AI207,((($V207/$AH207)^$AG207)-1)/($AG207*$AI207)),2))</f>
        <v/>
      </c>
      <c r="N207">
        <f>IF(OR($M207="",$M207="—"),"",IF($M207&lt;-3,"Muito baixa",IF($M207&lt;-2,"Baixa","Adequada")))</f>
        <v/>
      </c>
      <c r="O207" s="12">
        <f>IF(OR($S207="",$F207="",$T207="",$T207&lt;0,$T207&gt;120,$AJ207=""),"—",ROUND(IF(ABS($AM207)&lt;=3,$AM207,IF($AM207&gt;3,3+($F207-$AO207)/($AO207-$AN207),-3+($F207-$AQ207)/($AP207-$AQ207))),2))</f>
        <v/>
      </c>
      <c r="P207">
        <f>IF(OR($O207="",$O207="—"),"",IF($O207&lt;-3,"Muito baixo",IF($O207&lt;-2,"Baixo",IF($O207&lt;=2,"Adequado","Elevado"))))</f>
        <v/>
      </c>
      <c r="Q207" s="12">
        <f>IF(OR($S207="",$F207="",$T207="",$T207&lt;0,$T207&gt;60,$AR207=""),"—",ROUND(IF(ABS($AU207)&lt;=3,$AU207,IF($AU207&gt;3,3+($F207-$AW207)/($AW207-$AV207),-3+($F207-$AY207)/($AX207-$AY207))),2))</f>
        <v/>
      </c>
      <c r="R207">
        <f>IF(OR($Q207="",$Q207="—"),"",IF($Q207&lt;-3,"Magreza acentuada",IF($Q207&lt;-2,"Magreza",IF($Q207&lt;=1,"Eutrofia",IF($Q207&lt;=2,"Risco de sobrepeso",IF($Q207&lt;=3,"Sobrepeso","Obesidade"))))))</f>
        <v/>
      </c>
      <c r="S207">
        <f>IF($C207="","",IF(UPPER(LEFT($C207,1))="M",1,IF(UPPER(LEFT($C207,1))="F",2,"")))</f>
        <v/>
      </c>
      <c r="T207">
        <f>IF(OR($D207="",$E207=""),"",DATEDIF($D207,$E207,"m"))</f>
        <v/>
      </c>
      <c r="U207">
        <f>IF(OR($D207="",$E207=""),"",$E207-$D207)</f>
        <v/>
      </c>
      <c r="V207">
        <f>IF(OR($G207="",$T207=""),"",IF($T207&lt;24,IF(LEFT(LOWER($H207),4)="em p",$G207+0.7,$G207),IF(LEFT(LOWER($H207),4)="deit",$G207-0.7,$G207)))</f>
        <v/>
      </c>
      <c r="W207">
        <f>IF(OR($S207="",$T207=""),"",$S207*1000000+IF($T207&lt;=60,$U207,$T207))</f>
        <v/>
      </c>
      <c r="X207">
        <f>IF(OR($S207="",$V207="",$T207&gt;60,$T207=""),"",$S207*1000000+ROUND($V207*10,0))</f>
        <v/>
      </c>
      <c r="Y207">
        <f>IF($W207="","",IFERROR(INDEX(IF($T207&lt;=60,imc05_l,imc519_l),MATCH($W207,IF($T207&lt;=60,imc05_k,imc519_k),1)),""))</f>
        <v/>
      </c>
      <c r="Z207">
        <f>IF($W207="","",IFERROR(INDEX(IF($T207&lt;=60,imc05_m,imc519_m),MATCH($W207,IF($T207&lt;=60,imc05_k,imc519_k),1)),""))</f>
        <v/>
      </c>
      <c r="AA207">
        <f>IF($W207="","",IFERROR(INDEX(IF($T207&lt;=60,imc05_s,imc519_s),MATCH($W207,IF($T207&lt;=60,imc05_k,imc519_k),1)),""))</f>
        <v/>
      </c>
      <c r="AB207">
        <f>IF($Y207="","",IF($Y207=0,LN($J207/$Z207)/$AA207,((($J207/$Z207)^$Y207)-1)/($Y207*$AA207)))</f>
        <v/>
      </c>
      <c r="AC207">
        <f>IF($Y207="","",IF($Y207=0,$Z207*EXP($AA207*2),$Z207*(1+$Y207*$AA207*2)^(1/$Y207)))</f>
        <v/>
      </c>
      <c r="AD207">
        <f>IF($Y207="","",IF($Y207=0,$Z207*EXP($AA207*3),$Z207*(1+$Y207*$AA207*3)^(1/$Y207)))</f>
        <v/>
      </c>
      <c r="AE207">
        <f>IF($Y207="","",IF($Y207=0,$Z207*EXP($AA207*-2),$Z207*(1+$Y207*$AA207*-2)^(1/$Y207)))</f>
        <v/>
      </c>
      <c r="AF207">
        <f>IF($Y207="","",IF($Y207=0,$Z207*EXP($AA207*-3),$Z207*(1+$Y207*$AA207*-3)^(1/$Y207)))</f>
        <v/>
      </c>
      <c r="AG207">
        <f>IF($W207="","",IFERROR(INDEX(IF($T207&lt;=60,est05_l,est519_l),MATCH($W207,IF($T207&lt;=60,est05_k,est519_k),1)),""))</f>
        <v/>
      </c>
      <c r="AH207">
        <f>IF($W207="","",IFERROR(INDEX(IF($T207&lt;=60,est05_m,est519_m),MATCH($W207,IF($T207&lt;=60,est05_k,est519_k),1)),""))</f>
        <v/>
      </c>
      <c r="AI207">
        <f>IF($W207="","",IFERROR(INDEX(IF($T207&lt;=60,est05_s,est519_s),MATCH($W207,IF($T207&lt;=60,est05_k,est519_k),1)),""))</f>
        <v/>
      </c>
      <c r="AJ207">
        <f>IF($W207="","",IFERROR(INDEX(IF($T207&lt;=60,peso05_l,peso510_l),MATCH($W207,IF($T207&lt;=60,peso05_k,peso510_k),1)),""))</f>
        <v/>
      </c>
      <c r="AK207">
        <f>IF($W207="","",IFERROR(INDEX(IF($T207&lt;=60,peso05_m,peso510_m),MATCH($W207,IF($T207&lt;=60,peso05_k,peso510_k),1)),""))</f>
        <v/>
      </c>
      <c r="AL207">
        <f>IF($W207="","",IFERROR(INDEX(IF($T207&lt;=60,peso05_s,peso510_s),MATCH($W207,IF($T207&lt;=60,peso05_k,peso510_k),1)),""))</f>
        <v/>
      </c>
      <c r="AM207">
        <f>IF($AJ207="","",IF($AJ207=0,LN($F207/$AK207)/$AL207,((($F207/$AK207)^$AJ207)-1)/($AJ207*$AL207)))</f>
        <v/>
      </c>
      <c r="AN207">
        <f>IF($AJ207="","",IF($AJ207=0,$AK207*EXP($AL207*2),$AK207*(1+$AJ207*$AL207*2)^(1/$AJ207)))</f>
        <v/>
      </c>
      <c r="AO207">
        <f>IF($AJ207="","",IF($AJ207=0,$AK207*EXP($AL207*3),$AK207*(1+$AJ207*$AL207*3)^(1/$AJ207)))</f>
        <v/>
      </c>
      <c r="AP207">
        <f>IF($AJ207="","",IF($AJ207=0,$AK207*EXP($AL207*-2),$AK207*(1+$AJ207*$AL207*-2)^(1/$AJ207)))</f>
        <v/>
      </c>
      <c r="AQ207">
        <f>IF($AJ207="","",IF($AJ207=0,$AK207*EXP($AL207*-3),$AK207*(1+$AJ207*$AL207*-3)^(1/$AJ207)))</f>
        <v/>
      </c>
      <c r="AR207">
        <f>IF(OR($X207="",$T207&gt;60),"",IFERROR(INDEX(IF($T207&lt;24,pcomp_l,palt_l),MATCH($X207,IF($T207&lt;24,pcomp_k,palt_k),1)),""))</f>
        <v/>
      </c>
      <c r="AS207">
        <f>IF(OR($X207="",$T207&gt;60),"",IFERROR(INDEX(IF($T207&lt;24,pcomp_m,palt_m),MATCH($X207,IF($T207&lt;24,pcomp_k,palt_k),1)),""))</f>
        <v/>
      </c>
      <c r="AT207">
        <f>IF(OR($X207="",$T207&gt;60),"",IFERROR(INDEX(IF($T207&lt;24,pcomp_s,palt_s),MATCH($X207,IF($T207&lt;24,pcomp_k,palt_k),1)),""))</f>
        <v/>
      </c>
      <c r="AU207">
        <f>IF($AR207="","",IF($AR207=0,LN($F207/$AS207)/$AT207,((($F207/$AS207)^$AR207)-1)/($AR207*$AT207)))</f>
        <v/>
      </c>
      <c r="AV207">
        <f>IF($AR207="","",IF($AR207=0,$AS207*EXP($AT207*2),$AS207*(1+$AR207*$AT207*2)^(1/$AR207)))</f>
        <v/>
      </c>
      <c r="AW207">
        <f>IF($AR207="","",IF($AR207=0,$AS207*EXP($AT207*3),$AS207*(1+$AR207*$AT207*3)^(1/$AR207)))</f>
        <v/>
      </c>
      <c r="AX207">
        <f>IF($AR207="","",IF($AR207=0,$AS207*EXP($AT207*-2),$AS207*(1+$AR207*$AT207*-2)^(1/$AR207)))</f>
        <v/>
      </c>
      <c r="AY207">
        <f>IF($AR207="","",IF($AR207=0,$AS207*EXP($AT207*-3),$AS207*(1+$AR207*$AT207*-3)^(1/$AR207)))</f>
        <v/>
      </c>
      <c r="AZ207">
        <f>IF(OR($A207="",$A207&lt;&gt;Ficha!$C$4),"",COUNTIF($A$2:$A207,Ficha!$C$4))</f>
        <v/>
      </c>
    </row>
    <row r="208">
      <c r="A208" s="8">
        <f>IF(INDEX(Banco!$A:$A,ROW())="","",INDEX(Banco!$A:$A,ROW()))</f>
        <v/>
      </c>
      <c r="B208" s="8">
        <f>IF(INDEX(Banco!$B:$B,ROW())="","",INDEX(Banco!$B:$B,ROW()))</f>
        <v/>
      </c>
      <c r="C208" s="8">
        <f>IF(INDEX(Banco!$C:$C,ROW())="","",INDEX(Banco!$C:$C,ROW()))</f>
        <v/>
      </c>
      <c r="D208" s="9">
        <f>IF(INDEX(Banco!$D:$D,ROW())="","",INDEX(Banco!$D:$D,ROW()))</f>
        <v/>
      </c>
      <c r="E208" s="9">
        <f>IF(INDEX(Banco!$E:$E,ROW())="","",INDEX(Banco!$E:$E,ROW()))</f>
        <v/>
      </c>
      <c r="F208" s="10">
        <f>IF(INDEX(Banco!$F:$F,ROW())="","",INDEX(Banco!$F:$F,ROW()))</f>
        <v/>
      </c>
      <c r="G208" s="10">
        <f>IF(INDEX(Banco!$G:$G,ROW())="","",INDEX(Banco!$G:$G,ROW()))</f>
        <v/>
      </c>
      <c r="H208" s="8">
        <f>IF(INDEX(Banco!$H:$H,ROW())="","",INDEX(Banco!$H:$H,ROW()))</f>
        <v/>
      </c>
      <c r="I208">
        <f>IF($T208="","",INT($T208/12)&amp;"a "&amp;MOD($T208,12)&amp;"m")</f>
        <v/>
      </c>
      <c r="J208" s="11">
        <f>IF(OR($F208="",$G208=""),"",ROUND($F208/($G208/100)^2,2))</f>
        <v/>
      </c>
      <c r="K208" s="12">
        <f>IF(OR($S208="",$J208="",$T208="",$T208&lt;0,$T208&gt;228,$Y208=""),"—",ROUND(IF(ABS($AB208)&lt;=3,$AB208,IF($AB208&gt;3,3+($J208-$AD208)/($AD208-$AC208),-3+($J208-$AF208)/($AE208-$AF208))),2))</f>
        <v/>
      </c>
      <c r="L208">
        <f>IF(OR($K208="",$K208="—"),"",IF($T208&lt;=60,IF($K208&lt;-3,"Magreza acentuada",IF($K208&lt;-2,"Magreza",IF($K208&lt;=1,"Eutrofia",IF($K208&lt;=2,"Risco de sobrepeso",IF($K208&lt;=3,"Sobrepeso","Obesidade"))))),IF($K208&lt;-3,"Magreza acentuada",IF($K208&lt;-2,"Magreza",IF($K208&lt;=1,"Eutrofia",IF($K208&lt;=2,"Sobrepeso",IF($K208&lt;=3,"Obesidade","Obesidade grave")))))))</f>
        <v/>
      </c>
      <c r="M208" s="12">
        <f>IF(OR($S208="",$V208="",$T208="",$T208&lt;0,$T208&gt;228,$AG208=""),"—",ROUND(IF($AG208=0,LN($V208/$AH208)/$AI208,((($V208/$AH208)^$AG208)-1)/($AG208*$AI208)),2))</f>
        <v/>
      </c>
      <c r="N208">
        <f>IF(OR($M208="",$M208="—"),"",IF($M208&lt;-3,"Muito baixa",IF($M208&lt;-2,"Baixa","Adequada")))</f>
        <v/>
      </c>
      <c r="O208" s="12">
        <f>IF(OR($S208="",$F208="",$T208="",$T208&lt;0,$T208&gt;120,$AJ208=""),"—",ROUND(IF(ABS($AM208)&lt;=3,$AM208,IF($AM208&gt;3,3+($F208-$AO208)/($AO208-$AN208),-3+($F208-$AQ208)/($AP208-$AQ208))),2))</f>
        <v/>
      </c>
      <c r="P208">
        <f>IF(OR($O208="",$O208="—"),"",IF($O208&lt;-3,"Muito baixo",IF($O208&lt;-2,"Baixo",IF($O208&lt;=2,"Adequado","Elevado"))))</f>
        <v/>
      </c>
      <c r="Q208" s="12">
        <f>IF(OR($S208="",$F208="",$T208="",$T208&lt;0,$T208&gt;60,$AR208=""),"—",ROUND(IF(ABS($AU208)&lt;=3,$AU208,IF($AU208&gt;3,3+($F208-$AW208)/($AW208-$AV208),-3+($F208-$AY208)/($AX208-$AY208))),2))</f>
        <v/>
      </c>
      <c r="R208">
        <f>IF(OR($Q208="",$Q208="—"),"",IF($Q208&lt;-3,"Magreza acentuada",IF($Q208&lt;-2,"Magreza",IF($Q208&lt;=1,"Eutrofia",IF($Q208&lt;=2,"Risco de sobrepeso",IF($Q208&lt;=3,"Sobrepeso","Obesidade"))))))</f>
        <v/>
      </c>
      <c r="S208">
        <f>IF($C208="","",IF(UPPER(LEFT($C208,1))="M",1,IF(UPPER(LEFT($C208,1))="F",2,"")))</f>
        <v/>
      </c>
      <c r="T208">
        <f>IF(OR($D208="",$E208=""),"",DATEDIF($D208,$E208,"m"))</f>
        <v/>
      </c>
      <c r="U208">
        <f>IF(OR($D208="",$E208=""),"",$E208-$D208)</f>
        <v/>
      </c>
      <c r="V208">
        <f>IF(OR($G208="",$T208=""),"",IF($T208&lt;24,IF(LEFT(LOWER($H208),4)="em p",$G208+0.7,$G208),IF(LEFT(LOWER($H208),4)="deit",$G208-0.7,$G208)))</f>
        <v/>
      </c>
      <c r="W208">
        <f>IF(OR($S208="",$T208=""),"",$S208*1000000+IF($T208&lt;=60,$U208,$T208))</f>
        <v/>
      </c>
      <c r="X208">
        <f>IF(OR($S208="",$V208="",$T208&gt;60,$T208=""),"",$S208*1000000+ROUND($V208*10,0))</f>
        <v/>
      </c>
      <c r="Y208">
        <f>IF($W208="","",IFERROR(INDEX(IF($T208&lt;=60,imc05_l,imc519_l),MATCH($W208,IF($T208&lt;=60,imc05_k,imc519_k),1)),""))</f>
        <v/>
      </c>
      <c r="Z208">
        <f>IF($W208="","",IFERROR(INDEX(IF($T208&lt;=60,imc05_m,imc519_m),MATCH($W208,IF($T208&lt;=60,imc05_k,imc519_k),1)),""))</f>
        <v/>
      </c>
      <c r="AA208">
        <f>IF($W208="","",IFERROR(INDEX(IF($T208&lt;=60,imc05_s,imc519_s),MATCH($W208,IF($T208&lt;=60,imc05_k,imc519_k),1)),""))</f>
        <v/>
      </c>
      <c r="AB208">
        <f>IF($Y208="","",IF($Y208=0,LN($J208/$Z208)/$AA208,((($J208/$Z208)^$Y208)-1)/($Y208*$AA208)))</f>
        <v/>
      </c>
      <c r="AC208">
        <f>IF($Y208="","",IF($Y208=0,$Z208*EXP($AA208*2),$Z208*(1+$Y208*$AA208*2)^(1/$Y208)))</f>
        <v/>
      </c>
      <c r="AD208">
        <f>IF($Y208="","",IF($Y208=0,$Z208*EXP($AA208*3),$Z208*(1+$Y208*$AA208*3)^(1/$Y208)))</f>
        <v/>
      </c>
      <c r="AE208">
        <f>IF($Y208="","",IF($Y208=0,$Z208*EXP($AA208*-2),$Z208*(1+$Y208*$AA208*-2)^(1/$Y208)))</f>
        <v/>
      </c>
      <c r="AF208">
        <f>IF($Y208="","",IF($Y208=0,$Z208*EXP($AA208*-3),$Z208*(1+$Y208*$AA208*-3)^(1/$Y208)))</f>
        <v/>
      </c>
      <c r="AG208">
        <f>IF($W208="","",IFERROR(INDEX(IF($T208&lt;=60,est05_l,est519_l),MATCH($W208,IF($T208&lt;=60,est05_k,est519_k),1)),""))</f>
        <v/>
      </c>
      <c r="AH208">
        <f>IF($W208="","",IFERROR(INDEX(IF($T208&lt;=60,est05_m,est519_m),MATCH($W208,IF($T208&lt;=60,est05_k,est519_k),1)),""))</f>
        <v/>
      </c>
      <c r="AI208">
        <f>IF($W208="","",IFERROR(INDEX(IF($T208&lt;=60,est05_s,est519_s),MATCH($W208,IF($T208&lt;=60,est05_k,est519_k),1)),""))</f>
        <v/>
      </c>
      <c r="AJ208">
        <f>IF($W208="","",IFERROR(INDEX(IF($T208&lt;=60,peso05_l,peso510_l),MATCH($W208,IF($T208&lt;=60,peso05_k,peso510_k),1)),""))</f>
        <v/>
      </c>
      <c r="AK208">
        <f>IF($W208="","",IFERROR(INDEX(IF($T208&lt;=60,peso05_m,peso510_m),MATCH($W208,IF($T208&lt;=60,peso05_k,peso510_k),1)),""))</f>
        <v/>
      </c>
      <c r="AL208">
        <f>IF($W208="","",IFERROR(INDEX(IF($T208&lt;=60,peso05_s,peso510_s),MATCH($W208,IF($T208&lt;=60,peso05_k,peso510_k),1)),""))</f>
        <v/>
      </c>
      <c r="AM208">
        <f>IF($AJ208="","",IF($AJ208=0,LN($F208/$AK208)/$AL208,((($F208/$AK208)^$AJ208)-1)/($AJ208*$AL208)))</f>
        <v/>
      </c>
      <c r="AN208">
        <f>IF($AJ208="","",IF($AJ208=0,$AK208*EXP($AL208*2),$AK208*(1+$AJ208*$AL208*2)^(1/$AJ208)))</f>
        <v/>
      </c>
      <c r="AO208">
        <f>IF($AJ208="","",IF($AJ208=0,$AK208*EXP($AL208*3),$AK208*(1+$AJ208*$AL208*3)^(1/$AJ208)))</f>
        <v/>
      </c>
      <c r="AP208">
        <f>IF($AJ208="","",IF($AJ208=0,$AK208*EXP($AL208*-2),$AK208*(1+$AJ208*$AL208*-2)^(1/$AJ208)))</f>
        <v/>
      </c>
      <c r="AQ208">
        <f>IF($AJ208="","",IF($AJ208=0,$AK208*EXP($AL208*-3),$AK208*(1+$AJ208*$AL208*-3)^(1/$AJ208)))</f>
        <v/>
      </c>
      <c r="AR208">
        <f>IF(OR($X208="",$T208&gt;60),"",IFERROR(INDEX(IF($T208&lt;24,pcomp_l,palt_l),MATCH($X208,IF($T208&lt;24,pcomp_k,palt_k),1)),""))</f>
        <v/>
      </c>
      <c r="AS208">
        <f>IF(OR($X208="",$T208&gt;60),"",IFERROR(INDEX(IF($T208&lt;24,pcomp_m,palt_m),MATCH($X208,IF($T208&lt;24,pcomp_k,palt_k),1)),""))</f>
        <v/>
      </c>
      <c r="AT208">
        <f>IF(OR($X208="",$T208&gt;60),"",IFERROR(INDEX(IF($T208&lt;24,pcomp_s,palt_s),MATCH($X208,IF($T208&lt;24,pcomp_k,palt_k),1)),""))</f>
        <v/>
      </c>
      <c r="AU208">
        <f>IF($AR208="","",IF($AR208=0,LN($F208/$AS208)/$AT208,((($F208/$AS208)^$AR208)-1)/($AR208*$AT208)))</f>
        <v/>
      </c>
      <c r="AV208">
        <f>IF($AR208="","",IF($AR208=0,$AS208*EXP($AT208*2),$AS208*(1+$AR208*$AT208*2)^(1/$AR208)))</f>
        <v/>
      </c>
      <c r="AW208">
        <f>IF($AR208="","",IF($AR208=0,$AS208*EXP($AT208*3),$AS208*(1+$AR208*$AT208*3)^(1/$AR208)))</f>
        <v/>
      </c>
      <c r="AX208">
        <f>IF($AR208="","",IF($AR208=0,$AS208*EXP($AT208*-2),$AS208*(1+$AR208*$AT208*-2)^(1/$AR208)))</f>
        <v/>
      </c>
      <c r="AY208">
        <f>IF($AR208="","",IF($AR208=0,$AS208*EXP($AT208*-3),$AS208*(1+$AR208*$AT208*-3)^(1/$AR208)))</f>
        <v/>
      </c>
      <c r="AZ208">
        <f>IF(OR($A208="",$A208&lt;&gt;Ficha!$C$4),"",COUNTIF($A$2:$A208,Ficha!$C$4))</f>
        <v/>
      </c>
    </row>
    <row r="209">
      <c r="A209" s="8">
        <f>IF(INDEX(Banco!$A:$A,ROW())="","",INDEX(Banco!$A:$A,ROW()))</f>
        <v/>
      </c>
      <c r="B209" s="8">
        <f>IF(INDEX(Banco!$B:$B,ROW())="","",INDEX(Banco!$B:$B,ROW()))</f>
        <v/>
      </c>
      <c r="C209" s="8">
        <f>IF(INDEX(Banco!$C:$C,ROW())="","",INDEX(Banco!$C:$C,ROW()))</f>
        <v/>
      </c>
      <c r="D209" s="9">
        <f>IF(INDEX(Banco!$D:$D,ROW())="","",INDEX(Banco!$D:$D,ROW()))</f>
        <v/>
      </c>
      <c r="E209" s="9">
        <f>IF(INDEX(Banco!$E:$E,ROW())="","",INDEX(Banco!$E:$E,ROW()))</f>
        <v/>
      </c>
      <c r="F209" s="10">
        <f>IF(INDEX(Banco!$F:$F,ROW())="","",INDEX(Banco!$F:$F,ROW()))</f>
        <v/>
      </c>
      <c r="G209" s="10">
        <f>IF(INDEX(Banco!$G:$G,ROW())="","",INDEX(Banco!$G:$G,ROW()))</f>
        <v/>
      </c>
      <c r="H209" s="8">
        <f>IF(INDEX(Banco!$H:$H,ROW())="","",INDEX(Banco!$H:$H,ROW()))</f>
        <v/>
      </c>
      <c r="I209">
        <f>IF($T209="","",INT($T209/12)&amp;"a "&amp;MOD($T209,12)&amp;"m")</f>
        <v/>
      </c>
      <c r="J209" s="11">
        <f>IF(OR($F209="",$G209=""),"",ROUND($F209/($G209/100)^2,2))</f>
        <v/>
      </c>
      <c r="K209" s="12">
        <f>IF(OR($S209="",$J209="",$T209="",$T209&lt;0,$T209&gt;228,$Y209=""),"—",ROUND(IF(ABS($AB209)&lt;=3,$AB209,IF($AB209&gt;3,3+($J209-$AD209)/($AD209-$AC209),-3+($J209-$AF209)/($AE209-$AF209))),2))</f>
        <v/>
      </c>
      <c r="L209">
        <f>IF(OR($K209="",$K209="—"),"",IF($T209&lt;=60,IF($K209&lt;-3,"Magreza acentuada",IF($K209&lt;-2,"Magreza",IF($K209&lt;=1,"Eutrofia",IF($K209&lt;=2,"Risco de sobrepeso",IF($K209&lt;=3,"Sobrepeso","Obesidade"))))),IF($K209&lt;-3,"Magreza acentuada",IF($K209&lt;-2,"Magreza",IF($K209&lt;=1,"Eutrofia",IF($K209&lt;=2,"Sobrepeso",IF($K209&lt;=3,"Obesidade","Obesidade grave")))))))</f>
        <v/>
      </c>
      <c r="M209" s="12">
        <f>IF(OR($S209="",$V209="",$T209="",$T209&lt;0,$T209&gt;228,$AG209=""),"—",ROUND(IF($AG209=0,LN($V209/$AH209)/$AI209,((($V209/$AH209)^$AG209)-1)/($AG209*$AI209)),2))</f>
        <v/>
      </c>
      <c r="N209">
        <f>IF(OR($M209="",$M209="—"),"",IF($M209&lt;-3,"Muito baixa",IF($M209&lt;-2,"Baixa","Adequada")))</f>
        <v/>
      </c>
      <c r="O209" s="12">
        <f>IF(OR($S209="",$F209="",$T209="",$T209&lt;0,$T209&gt;120,$AJ209=""),"—",ROUND(IF(ABS($AM209)&lt;=3,$AM209,IF($AM209&gt;3,3+($F209-$AO209)/($AO209-$AN209),-3+($F209-$AQ209)/($AP209-$AQ209))),2))</f>
        <v/>
      </c>
      <c r="P209">
        <f>IF(OR($O209="",$O209="—"),"",IF($O209&lt;-3,"Muito baixo",IF($O209&lt;-2,"Baixo",IF($O209&lt;=2,"Adequado","Elevado"))))</f>
        <v/>
      </c>
      <c r="Q209" s="12">
        <f>IF(OR($S209="",$F209="",$T209="",$T209&lt;0,$T209&gt;60,$AR209=""),"—",ROUND(IF(ABS($AU209)&lt;=3,$AU209,IF($AU209&gt;3,3+($F209-$AW209)/($AW209-$AV209),-3+($F209-$AY209)/($AX209-$AY209))),2))</f>
        <v/>
      </c>
      <c r="R209">
        <f>IF(OR($Q209="",$Q209="—"),"",IF($Q209&lt;-3,"Magreza acentuada",IF($Q209&lt;-2,"Magreza",IF($Q209&lt;=1,"Eutrofia",IF($Q209&lt;=2,"Risco de sobrepeso",IF($Q209&lt;=3,"Sobrepeso","Obesidade"))))))</f>
        <v/>
      </c>
      <c r="S209">
        <f>IF($C209="","",IF(UPPER(LEFT($C209,1))="M",1,IF(UPPER(LEFT($C209,1))="F",2,"")))</f>
        <v/>
      </c>
      <c r="T209">
        <f>IF(OR($D209="",$E209=""),"",DATEDIF($D209,$E209,"m"))</f>
        <v/>
      </c>
      <c r="U209">
        <f>IF(OR($D209="",$E209=""),"",$E209-$D209)</f>
        <v/>
      </c>
      <c r="V209">
        <f>IF(OR($G209="",$T209=""),"",IF($T209&lt;24,IF(LEFT(LOWER($H209),4)="em p",$G209+0.7,$G209),IF(LEFT(LOWER($H209),4)="deit",$G209-0.7,$G209)))</f>
        <v/>
      </c>
      <c r="W209">
        <f>IF(OR($S209="",$T209=""),"",$S209*1000000+IF($T209&lt;=60,$U209,$T209))</f>
        <v/>
      </c>
      <c r="X209">
        <f>IF(OR($S209="",$V209="",$T209&gt;60,$T209=""),"",$S209*1000000+ROUND($V209*10,0))</f>
        <v/>
      </c>
      <c r="Y209">
        <f>IF($W209="","",IFERROR(INDEX(IF($T209&lt;=60,imc05_l,imc519_l),MATCH($W209,IF($T209&lt;=60,imc05_k,imc519_k),1)),""))</f>
        <v/>
      </c>
      <c r="Z209">
        <f>IF($W209="","",IFERROR(INDEX(IF($T209&lt;=60,imc05_m,imc519_m),MATCH($W209,IF($T209&lt;=60,imc05_k,imc519_k),1)),""))</f>
        <v/>
      </c>
      <c r="AA209">
        <f>IF($W209="","",IFERROR(INDEX(IF($T209&lt;=60,imc05_s,imc519_s),MATCH($W209,IF($T209&lt;=60,imc05_k,imc519_k),1)),""))</f>
        <v/>
      </c>
      <c r="AB209">
        <f>IF($Y209="","",IF($Y209=0,LN($J209/$Z209)/$AA209,((($J209/$Z209)^$Y209)-1)/($Y209*$AA209)))</f>
        <v/>
      </c>
      <c r="AC209">
        <f>IF($Y209="","",IF($Y209=0,$Z209*EXP($AA209*2),$Z209*(1+$Y209*$AA209*2)^(1/$Y209)))</f>
        <v/>
      </c>
      <c r="AD209">
        <f>IF($Y209="","",IF($Y209=0,$Z209*EXP($AA209*3),$Z209*(1+$Y209*$AA209*3)^(1/$Y209)))</f>
        <v/>
      </c>
      <c r="AE209">
        <f>IF($Y209="","",IF($Y209=0,$Z209*EXP($AA209*-2),$Z209*(1+$Y209*$AA209*-2)^(1/$Y209)))</f>
        <v/>
      </c>
      <c r="AF209">
        <f>IF($Y209="","",IF($Y209=0,$Z209*EXP($AA209*-3),$Z209*(1+$Y209*$AA209*-3)^(1/$Y209)))</f>
        <v/>
      </c>
      <c r="AG209">
        <f>IF($W209="","",IFERROR(INDEX(IF($T209&lt;=60,est05_l,est519_l),MATCH($W209,IF($T209&lt;=60,est05_k,est519_k),1)),""))</f>
        <v/>
      </c>
      <c r="AH209">
        <f>IF($W209="","",IFERROR(INDEX(IF($T209&lt;=60,est05_m,est519_m),MATCH($W209,IF($T209&lt;=60,est05_k,est519_k),1)),""))</f>
        <v/>
      </c>
      <c r="AI209">
        <f>IF($W209="","",IFERROR(INDEX(IF($T209&lt;=60,est05_s,est519_s),MATCH($W209,IF($T209&lt;=60,est05_k,est519_k),1)),""))</f>
        <v/>
      </c>
      <c r="AJ209">
        <f>IF($W209="","",IFERROR(INDEX(IF($T209&lt;=60,peso05_l,peso510_l),MATCH($W209,IF($T209&lt;=60,peso05_k,peso510_k),1)),""))</f>
        <v/>
      </c>
      <c r="AK209">
        <f>IF($W209="","",IFERROR(INDEX(IF($T209&lt;=60,peso05_m,peso510_m),MATCH($W209,IF($T209&lt;=60,peso05_k,peso510_k),1)),""))</f>
        <v/>
      </c>
      <c r="AL209">
        <f>IF($W209="","",IFERROR(INDEX(IF($T209&lt;=60,peso05_s,peso510_s),MATCH($W209,IF($T209&lt;=60,peso05_k,peso510_k),1)),""))</f>
        <v/>
      </c>
      <c r="AM209">
        <f>IF($AJ209="","",IF($AJ209=0,LN($F209/$AK209)/$AL209,((($F209/$AK209)^$AJ209)-1)/($AJ209*$AL209)))</f>
        <v/>
      </c>
      <c r="AN209">
        <f>IF($AJ209="","",IF($AJ209=0,$AK209*EXP($AL209*2),$AK209*(1+$AJ209*$AL209*2)^(1/$AJ209)))</f>
        <v/>
      </c>
      <c r="AO209">
        <f>IF($AJ209="","",IF($AJ209=0,$AK209*EXP($AL209*3),$AK209*(1+$AJ209*$AL209*3)^(1/$AJ209)))</f>
        <v/>
      </c>
      <c r="AP209">
        <f>IF($AJ209="","",IF($AJ209=0,$AK209*EXP($AL209*-2),$AK209*(1+$AJ209*$AL209*-2)^(1/$AJ209)))</f>
        <v/>
      </c>
      <c r="AQ209">
        <f>IF($AJ209="","",IF($AJ209=0,$AK209*EXP($AL209*-3),$AK209*(1+$AJ209*$AL209*-3)^(1/$AJ209)))</f>
        <v/>
      </c>
      <c r="AR209">
        <f>IF(OR($X209="",$T209&gt;60),"",IFERROR(INDEX(IF($T209&lt;24,pcomp_l,palt_l),MATCH($X209,IF($T209&lt;24,pcomp_k,palt_k),1)),""))</f>
        <v/>
      </c>
      <c r="AS209">
        <f>IF(OR($X209="",$T209&gt;60),"",IFERROR(INDEX(IF($T209&lt;24,pcomp_m,palt_m),MATCH($X209,IF($T209&lt;24,pcomp_k,palt_k),1)),""))</f>
        <v/>
      </c>
      <c r="AT209">
        <f>IF(OR($X209="",$T209&gt;60),"",IFERROR(INDEX(IF($T209&lt;24,pcomp_s,palt_s),MATCH($X209,IF($T209&lt;24,pcomp_k,palt_k),1)),""))</f>
        <v/>
      </c>
      <c r="AU209">
        <f>IF($AR209="","",IF($AR209=0,LN($F209/$AS209)/$AT209,((($F209/$AS209)^$AR209)-1)/($AR209*$AT209)))</f>
        <v/>
      </c>
      <c r="AV209">
        <f>IF($AR209="","",IF($AR209=0,$AS209*EXP($AT209*2),$AS209*(1+$AR209*$AT209*2)^(1/$AR209)))</f>
        <v/>
      </c>
      <c r="AW209">
        <f>IF($AR209="","",IF($AR209=0,$AS209*EXP($AT209*3),$AS209*(1+$AR209*$AT209*3)^(1/$AR209)))</f>
        <v/>
      </c>
      <c r="AX209">
        <f>IF($AR209="","",IF($AR209=0,$AS209*EXP($AT209*-2),$AS209*(1+$AR209*$AT209*-2)^(1/$AR209)))</f>
        <v/>
      </c>
      <c r="AY209">
        <f>IF($AR209="","",IF($AR209=0,$AS209*EXP($AT209*-3),$AS209*(1+$AR209*$AT209*-3)^(1/$AR209)))</f>
        <v/>
      </c>
      <c r="AZ209">
        <f>IF(OR($A209="",$A209&lt;&gt;Ficha!$C$4),"",COUNTIF($A$2:$A209,Ficha!$C$4))</f>
        <v/>
      </c>
    </row>
    <row r="210">
      <c r="A210" s="8">
        <f>IF(INDEX(Banco!$A:$A,ROW())="","",INDEX(Banco!$A:$A,ROW()))</f>
        <v/>
      </c>
      <c r="B210" s="8">
        <f>IF(INDEX(Banco!$B:$B,ROW())="","",INDEX(Banco!$B:$B,ROW()))</f>
        <v/>
      </c>
      <c r="C210" s="8">
        <f>IF(INDEX(Banco!$C:$C,ROW())="","",INDEX(Banco!$C:$C,ROW()))</f>
        <v/>
      </c>
      <c r="D210" s="9">
        <f>IF(INDEX(Banco!$D:$D,ROW())="","",INDEX(Banco!$D:$D,ROW()))</f>
        <v/>
      </c>
      <c r="E210" s="9">
        <f>IF(INDEX(Banco!$E:$E,ROW())="","",INDEX(Banco!$E:$E,ROW()))</f>
        <v/>
      </c>
      <c r="F210" s="10">
        <f>IF(INDEX(Banco!$F:$F,ROW())="","",INDEX(Banco!$F:$F,ROW()))</f>
        <v/>
      </c>
      <c r="G210" s="10">
        <f>IF(INDEX(Banco!$G:$G,ROW())="","",INDEX(Banco!$G:$G,ROW()))</f>
        <v/>
      </c>
      <c r="H210" s="8">
        <f>IF(INDEX(Banco!$H:$H,ROW())="","",INDEX(Banco!$H:$H,ROW()))</f>
        <v/>
      </c>
      <c r="I210">
        <f>IF($T210="","",INT($T210/12)&amp;"a "&amp;MOD($T210,12)&amp;"m")</f>
        <v/>
      </c>
      <c r="J210" s="11">
        <f>IF(OR($F210="",$G210=""),"",ROUND($F210/($G210/100)^2,2))</f>
        <v/>
      </c>
      <c r="K210" s="12">
        <f>IF(OR($S210="",$J210="",$T210="",$T210&lt;0,$T210&gt;228,$Y210=""),"—",ROUND(IF(ABS($AB210)&lt;=3,$AB210,IF($AB210&gt;3,3+($J210-$AD210)/($AD210-$AC210),-3+($J210-$AF210)/($AE210-$AF210))),2))</f>
        <v/>
      </c>
      <c r="L210">
        <f>IF(OR($K210="",$K210="—"),"",IF($T210&lt;=60,IF($K210&lt;-3,"Magreza acentuada",IF($K210&lt;-2,"Magreza",IF($K210&lt;=1,"Eutrofia",IF($K210&lt;=2,"Risco de sobrepeso",IF($K210&lt;=3,"Sobrepeso","Obesidade"))))),IF($K210&lt;-3,"Magreza acentuada",IF($K210&lt;-2,"Magreza",IF($K210&lt;=1,"Eutrofia",IF($K210&lt;=2,"Sobrepeso",IF($K210&lt;=3,"Obesidade","Obesidade grave")))))))</f>
        <v/>
      </c>
      <c r="M210" s="12">
        <f>IF(OR($S210="",$V210="",$T210="",$T210&lt;0,$T210&gt;228,$AG210=""),"—",ROUND(IF($AG210=0,LN($V210/$AH210)/$AI210,((($V210/$AH210)^$AG210)-1)/($AG210*$AI210)),2))</f>
        <v/>
      </c>
      <c r="N210">
        <f>IF(OR($M210="",$M210="—"),"",IF($M210&lt;-3,"Muito baixa",IF($M210&lt;-2,"Baixa","Adequada")))</f>
        <v/>
      </c>
      <c r="O210" s="12">
        <f>IF(OR($S210="",$F210="",$T210="",$T210&lt;0,$T210&gt;120,$AJ210=""),"—",ROUND(IF(ABS($AM210)&lt;=3,$AM210,IF($AM210&gt;3,3+($F210-$AO210)/($AO210-$AN210),-3+($F210-$AQ210)/($AP210-$AQ210))),2))</f>
        <v/>
      </c>
      <c r="P210">
        <f>IF(OR($O210="",$O210="—"),"",IF($O210&lt;-3,"Muito baixo",IF($O210&lt;-2,"Baixo",IF($O210&lt;=2,"Adequado","Elevado"))))</f>
        <v/>
      </c>
      <c r="Q210" s="12">
        <f>IF(OR($S210="",$F210="",$T210="",$T210&lt;0,$T210&gt;60,$AR210=""),"—",ROUND(IF(ABS($AU210)&lt;=3,$AU210,IF($AU210&gt;3,3+($F210-$AW210)/($AW210-$AV210),-3+($F210-$AY210)/($AX210-$AY210))),2))</f>
        <v/>
      </c>
      <c r="R210">
        <f>IF(OR($Q210="",$Q210="—"),"",IF($Q210&lt;-3,"Magreza acentuada",IF($Q210&lt;-2,"Magreza",IF($Q210&lt;=1,"Eutrofia",IF($Q210&lt;=2,"Risco de sobrepeso",IF($Q210&lt;=3,"Sobrepeso","Obesidade"))))))</f>
        <v/>
      </c>
      <c r="S210">
        <f>IF($C210="","",IF(UPPER(LEFT($C210,1))="M",1,IF(UPPER(LEFT($C210,1))="F",2,"")))</f>
        <v/>
      </c>
      <c r="T210">
        <f>IF(OR($D210="",$E210=""),"",DATEDIF($D210,$E210,"m"))</f>
        <v/>
      </c>
      <c r="U210">
        <f>IF(OR($D210="",$E210=""),"",$E210-$D210)</f>
        <v/>
      </c>
      <c r="V210">
        <f>IF(OR($G210="",$T210=""),"",IF($T210&lt;24,IF(LEFT(LOWER($H210),4)="em p",$G210+0.7,$G210),IF(LEFT(LOWER($H210),4)="deit",$G210-0.7,$G210)))</f>
        <v/>
      </c>
      <c r="W210">
        <f>IF(OR($S210="",$T210=""),"",$S210*1000000+IF($T210&lt;=60,$U210,$T210))</f>
        <v/>
      </c>
      <c r="X210">
        <f>IF(OR($S210="",$V210="",$T210&gt;60,$T210=""),"",$S210*1000000+ROUND($V210*10,0))</f>
        <v/>
      </c>
      <c r="Y210">
        <f>IF($W210="","",IFERROR(INDEX(IF($T210&lt;=60,imc05_l,imc519_l),MATCH($W210,IF($T210&lt;=60,imc05_k,imc519_k),1)),""))</f>
        <v/>
      </c>
      <c r="Z210">
        <f>IF($W210="","",IFERROR(INDEX(IF($T210&lt;=60,imc05_m,imc519_m),MATCH($W210,IF($T210&lt;=60,imc05_k,imc519_k),1)),""))</f>
        <v/>
      </c>
      <c r="AA210">
        <f>IF($W210="","",IFERROR(INDEX(IF($T210&lt;=60,imc05_s,imc519_s),MATCH($W210,IF($T210&lt;=60,imc05_k,imc519_k),1)),""))</f>
        <v/>
      </c>
      <c r="AB210">
        <f>IF($Y210="","",IF($Y210=0,LN($J210/$Z210)/$AA210,((($J210/$Z210)^$Y210)-1)/($Y210*$AA210)))</f>
        <v/>
      </c>
      <c r="AC210">
        <f>IF($Y210="","",IF($Y210=0,$Z210*EXP($AA210*2),$Z210*(1+$Y210*$AA210*2)^(1/$Y210)))</f>
        <v/>
      </c>
      <c r="AD210">
        <f>IF($Y210="","",IF($Y210=0,$Z210*EXP($AA210*3),$Z210*(1+$Y210*$AA210*3)^(1/$Y210)))</f>
        <v/>
      </c>
      <c r="AE210">
        <f>IF($Y210="","",IF($Y210=0,$Z210*EXP($AA210*-2),$Z210*(1+$Y210*$AA210*-2)^(1/$Y210)))</f>
        <v/>
      </c>
      <c r="AF210">
        <f>IF($Y210="","",IF($Y210=0,$Z210*EXP($AA210*-3),$Z210*(1+$Y210*$AA210*-3)^(1/$Y210)))</f>
        <v/>
      </c>
      <c r="AG210">
        <f>IF($W210="","",IFERROR(INDEX(IF($T210&lt;=60,est05_l,est519_l),MATCH($W210,IF($T210&lt;=60,est05_k,est519_k),1)),""))</f>
        <v/>
      </c>
      <c r="AH210">
        <f>IF($W210="","",IFERROR(INDEX(IF($T210&lt;=60,est05_m,est519_m),MATCH($W210,IF($T210&lt;=60,est05_k,est519_k),1)),""))</f>
        <v/>
      </c>
      <c r="AI210">
        <f>IF($W210="","",IFERROR(INDEX(IF($T210&lt;=60,est05_s,est519_s),MATCH($W210,IF($T210&lt;=60,est05_k,est519_k),1)),""))</f>
        <v/>
      </c>
      <c r="AJ210">
        <f>IF($W210="","",IFERROR(INDEX(IF($T210&lt;=60,peso05_l,peso510_l),MATCH($W210,IF($T210&lt;=60,peso05_k,peso510_k),1)),""))</f>
        <v/>
      </c>
      <c r="AK210">
        <f>IF($W210="","",IFERROR(INDEX(IF($T210&lt;=60,peso05_m,peso510_m),MATCH($W210,IF($T210&lt;=60,peso05_k,peso510_k),1)),""))</f>
        <v/>
      </c>
      <c r="AL210">
        <f>IF($W210="","",IFERROR(INDEX(IF($T210&lt;=60,peso05_s,peso510_s),MATCH($W210,IF($T210&lt;=60,peso05_k,peso510_k),1)),""))</f>
        <v/>
      </c>
      <c r="AM210">
        <f>IF($AJ210="","",IF($AJ210=0,LN($F210/$AK210)/$AL210,((($F210/$AK210)^$AJ210)-1)/($AJ210*$AL210)))</f>
        <v/>
      </c>
      <c r="AN210">
        <f>IF($AJ210="","",IF($AJ210=0,$AK210*EXP($AL210*2),$AK210*(1+$AJ210*$AL210*2)^(1/$AJ210)))</f>
        <v/>
      </c>
      <c r="AO210">
        <f>IF($AJ210="","",IF($AJ210=0,$AK210*EXP($AL210*3),$AK210*(1+$AJ210*$AL210*3)^(1/$AJ210)))</f>
        <v/>
      </c>
      <c r="AP210">
        <f>IF($AJ210="","",IF($AJ210=0,$AK210*EXP($AL210*-2),$AK210*(1+$AJ210*$AL210*-2)^(1/$AJ210)))</f>
        <v/>
      </c>
      <c r="AQ210">
        <f>IF($AJ210="","",IF($AJ210=0,$AK210*EXP($AL210*-3),$AK210*(1+$AJ210*$AL210*-3)^(1/$AJ210)))</f>
        <v/>
      </c>
      <c r="AR210">
        <f>IF(OR($X210="",$T210&gt;60),"",IFERROR(INDEX(IF($T210&lt;24,pcomp_l,palt_l),MATCH($X210,IF($T210&lt;24,pcomp_k,palt_k),1)),""))</f>
        <v/>
      </c>
      <c r="AS210">
        <f>IF(OR($X210="",$T210&gt;60),"",IFERROR(INDEX(IF($T210&lt;24,pcomp_m,palt_m),MATCH($X210,IF($T210&lt;24,pcomp_k,palt_k),1)),""))</f>
        <v/>
      </c>
      <c r="AT210">
        <f>IF(OR($X210="",$T210&gt;60),"",IFERROR(INDEX(IF($T210&lt;24,pcomp_s,palt_s),MATCH($X210,IF($T210&lt;24,pcomp_k,palt_k),1)),""))</f>
        <v/>
      </c>
      <c r="AU210">
        <f>IF($AR210="","",IF($AR210=0,LN($F210/$AS210)/$AT210,((($F210/$AS210)^$AR210)-1)/($AR210*$AT210)))</f>
        <v/>
      </c>
      <c r="AV210">
        <f>IF($AR210="","",IF($AR210=0,$AS210*EXP($AT210*2),$AS210*(1+$AR210*$AT210*2)^(1/$AR210)))</f>
        <v/>
      </c>
      <c r="AW210">
        <f>IF($AR210="","",IF($AR210=0,$AS210*EXP($AT210*3),$AS210*(1+$AR210*$AT210*3)^(1/$AR210)))</f>
        <v/>
      </c>
      <c r="AX210">
        <f>IF($AR210="","",IF($AR210=0,$AS210*EXP($AT210*-2),$AS210*(1+$AR210*$AT210*-2)^(1/$AR210)))</f>
        <v/>
      </c>
      <c r="AY210">
        <f>IF($AR210="","",IF($AR210=0,$AS210*EXP($AT210*-3),$AS210*(1+$AR210*$AT210*-3)^(1/$AR210)))</f>
        <v/>
      </c>
      <c r="AZ210">
        <f>IF(OR($A210="",$A210&lt;&gt;Ficha!$C$4),"",COUNTIF($A$2:$A210,Ficha!$C$4))</f>
        <v/>
      </c>
    </row>
    <row r="211">
      <c r="A211" s="8">
        <f>IF(INDEX(Banco!$A:$A,ROW())="","",INDEX(Banco!$A:$A,ROW()))</f>
        <v/>
      </c>
      <c r="B211" s="8">
        <f>IF(INDEX(Banco!$B:$B,ROW())="","",INDEX(Banco!$B:$B,ROW()))</f>
        <v/>
      </c>
      <c r="C211" s="8">
        <f>IF(INDEX(Banco!$C:$C,ROW())="","",INDEX(Banco!$C:$C,ROW()))</f>
        <v/>
      </c>
      <c r="D211" s="9">
        <f>IF(INDEX(Banco!$D:$D,ROW())="","",INDEX(Banco!$D:$D,ROW()))</f>
        <v/>
      </c>
      <c r="E211" s="9">
        <f>IF(INDEX(Banco!$E:$E,ROW())="","",INDEX(Banco!$E:$E,ROW()))</f>
        <v/>
      </c>
      <c r="F211" s="10">
        <f>IF(INDEX(Banco!$F:$F,ROW())="","",INDEX(Banco!$F:$F,ROW()))</f>
        <v/>
      </c>
      <c r="G211" s="10">
        <f>IF(INDEX(Banco!$G:$G,ROW())="","",INDEX(Banco!$G:$G,ROW()))</f>
        <v/>
      </c>
      <c r="H211" s="8">
        <f>IF(INDEX(Banco!$H:$H,ROW())="","",INDEX(Banco!$H:$H,ROW()))</f>
        <v/>
      </c>
      <c r="I211">
        <f>IF($T211="","",INT($T211/12)&amp;"a "&amp;MOD($T211,12)&amp;"m")</f>
        <v/>
      </c>
      <c r="J211" s="11">
        <f>IF(OR($F211="",$G211=""),"",ROUND($F211/($G211/100)^2,2))</f>
        <v/>
      </c>
      <c r="K211" s="12">
        <f>IF(OR($S211="",$J211="",$T211="",$T211&lt;0,$T211&gt;228,$Y211=""),"—",ROUND(IF(ABS($AB211)&lt;=3,$AB211,IF($AB211&gt;3,3+($J211-$AD211)/($AD211-$AC211),-3+($J211-$AF211)/($AE211-$AF211))),2))</f>
        <v/>
      </c>
      <c r="L211">
        <f>IF(OR($K211="",$K211="—"),"",IF($T211&lt;=60,IF($K211&lt;-3,"Magreza acentuada",IF($K211&lt;-2,"Magreza",IF($K211&lt;=1,"Eutrofia",IF($K211&lt;=2,"Risco de sobrepeso",IF($K211&lt;=3,"Sobrepeso","Obesidade"))))),IF($K211&lt;-3,"Magreza acentuada",IF($K211&lt;-2,"Magreza",IF($K211&lt;=1,"Eutrofia",IF($K211&lt;=2,"Sobrepeso",IF($K211&lt;=3,"Obesidade","Obesidade grave")))))))</f>
        <v/>
      </c>
      <c r="M211" s="12">
        <f>IF(OR($S211="",$V211="",$T211="",$T211&lt;0,$T211&gt;228,$AG211=""),"—",ROUND(IF($AG211=0,LN($V211/$AH211)/$AI211,((($V211/$AH211)^$AG211)-1)/($AG211*$AI211)),2))</f>
        <v/>
      </c>
      <c r="N211">
        <f>IF(OR($M211="",$M211="—"),"",IF($M211&lt;-3,"Muito baixa",IF($M211&lt;-2,"Baixa","Adequada")))</f>
        <v/>
      </c>
      <c r="O211" s="12">
        <f>IF(OR($S211="",$F211="",$T211="",$T211&lt;0,$T211&gt;120,$AJ211=""),"—",ROUND(IF(ABS($AM211)&lt;=3,$AM211,IF($AM211&gt;3,3+($F211-$AO211)/($AO211-$AN211),-3+($F211-$AQ211)/($AP211-$AQ211))),2))</f>
        <v/>
      </c>
      <c r="P211">
        <f>IF(OR($O211="",$O211="—"),"",IF($O211&lt;-3,"Muito baixo",IF($O211&lt;-2,"Baixo",IF($O211&lt;=2,"Adequado","Elevado"))))</f>
        <v/>
      </c>
      <c r="Q211" s="12">
        <f>IF(OR($S211="",$F211="",$T211="",$T211&lt;0,$T211&gt;60,$AR211=""),"—",ROUND(IF(ABS($AU211)&lt;=3,$AU211,IF($AU211&gt;3,3+($F211-$AW211)/($AW211-$AV211),-3+($F211-$AY211)/($AX211-$AY211))),2))</f>
        <v/>
      </c>
      <c r="R211">
        <f>IF(OR($Q211="",$Q211="—"),"",IF($Q211&lt;-3,"Magreza acentuada",IF($Q211&lt;-2,"Magreza",IF($Q211&lt;=1,"Eutrofia",IF($Q211&lt;=2,"Risco de sobrepeso",IF($Q211&lt;=3,"Sobrepeso","Obesidade"))))))</f>
        <v/>
      </c>
      <c r="S211">
        <f>IF($C211="","",IF(UPPER(LEFT($C211,1))="M",1,IF(UPPER(LEFT($C211,1))="F",2,"")))</f>
        <v/>
      </c>
      <c r="T211">
        <f>IF(OR($D211="",$E211=""),"",DATEDIF($D211,$E211,"m"))</f>
        <v/>
      </c>
      <c r="U211">
        <f>IF(OR($D211="",$E211=""),"",$E211-$D211)</f>
        <v/>
      </c>
      <c r="V211">
        <f>IF(OR($G211="",$T211=""),"",IF($T211&lt;24,IF(LEFT(LOWER($H211),4)="em p",$G211+0.7,$G211),IF(LEFT(LOWER($H211),4)="deit",$G211-0.7,$G211)))</f>
        <v/>
      </c>
      <c r="W211">
        <f>IF(OR($S211="",$T211=""),"",$S211*1000000+IF($T211&lt;=60,$U211,$T211))</f>
        <v/>
      </c>
      <c r="X211">
        <f>IF(OR($S211="",$V211="",$T211&gt;60,$T211=""),"",$S211*1000000+ROUND($V211*10,0))</f>
        <v/>
      </c>
      <c r="Y211">
        <f>IF($W211="","",IFERROR(INDEX(IF($T211&lt;=60,imc05_l,imc519_l),MATCH($W211,IF($T211&lt;=60,imc05_k,imc519_k),1)),""))</f>
        <v/>
      </c>
      <c r="Z211">
        <f>IF($W211="","",IFERROR(INDEX(IF($T211&lt;=60,imc05_m,imc519_m),MATCH($W211,IF($T211&lt;=60,imc05_k,imc519_k),1)),""))</f>
        <v/>
      </c>
      <c r="AA211">
        <f>IF($W211="","",IFERROR(INDEX(IF($T211&lt;=60,imc05_s,imc519_s),MATCH($W211,IF($T211&lt;=60,imc05_k,imc519_k),1)),""))</f>
        <v/>
      </c>
      <c r="AB211">
        <f>IF($Y211="","",IF($Y211=0,LN($J211/$Z211)/$AA211,((($J211/$Z211)^$Y211)-1)/($Y211*$AA211)))</f>
        <v/>
      </c>
      <c r="AC211">
        <f>IF($Y211="","",IF($Y211=0,$Z211*EXP($AA211*2),$Z211*(1+$Y211*$AA211*2)^(1/$Y211)))</f>
        <v/>
      </c>
      <c r="AD211">
        <f>IF($Y211="","",IF($Y211=0,$Z211*EXP($AA211*3),$Z211*(1+$Y211*$AA211*3)^(1/$Y211)))</f>
        <v/>
      </c>
      <c r="AE211">
        <f>IF($Y211="","",IF($Y211=0,$Z211*EXP($AA211*-2),$Z211*(1+$Y211*$AA211*-2)^(1/$Y211)))</f>
        <v/>
      </c>
      <c r="AF211">
        <f>IF($Y211="","",IF($Y211=0,$Z211*EXP($AA211*-3),$Z211*(1+$Y211*$AA211*-3)^(1/$Y211)))</f>
        <v/>
      </c>
      <c r="AG211">
        <f>IF($W211="","",IFERROR(INDEX(IF($T211&lt;=60,est05_l,est519_l),MATCH($W211,IF($T211&lt;=60,est05_k,est519_k),1)),""))</f>
        <v/>
      </c>
      <c r="AH211">
        <f>IF($W211="","",IFERROR(INDEX(IF($T211&lt;=60,est05_m,est519_m),MATCH($W211,IF($T211&lt;=60,est05_k,est519_k),1)),""))</f>
        <v/>
      </c>
      <c r="AI211">
        <f>IF($W211="","",IFERROR(INDEX(IF($T211&lt;=60,est05_s,est519_s),MATCH($W211,IF($T211&lt;=60,est05_k,est519_k),1)),""))</f>
        <v/>
      </c>
      <c r="AJ211">
        <f>IF($W211="","",IFERROR(INDEX(IF($T211&lt;=60,peso05_l,peso510_l),MATCH($W211,IF($T211&lt;=60,peso05_k,peso510_k),1)),""))</f>
        <v/>
      </c>
      <c r="AK211">
        <f>IF($W211="","",IFERROR(INDEX(IF($T211&lt;=60,peso05_m,peso510_m),MATCH($W211,IF($T211&lt;=60,peso05_k,peso510_k),1)),""))</f>
        <v/>
      </c>
      <c r="AL211">
        <f>IF($W211="","",IFERROR(INDEX(IF($T211&lt;=60,peso05_s,peso510_s),MATCH($W211,IF($T211&lt;=60,peso05_k,peso510_k),1)),""))</f>
        <v/>
      </c>
      <c r="AM211">
        <f>IF($AJ211="","",IF($AJ211=0,LN($F211/$AK211)/$AL211,((($F211/$AK211)^$AJ211)-1)/($AJ211*$AL211)))</f>
        <v/>
      </c>
      <c r="AN211">
        <f>IF($AJ211="","",IF($AJ211=0,$AK211*EXP($AL211*2),$AK211*(1+$AJ211*$AL211*2)^(1/$AJ211)))</f>
        <v/>
      </c>
      <c r="AO211">
        <f>IF($AJ211="","",IF($AJ211=0,$AK211*EXP($AL211*3),$AK211*(1+$AJ211*$AL211*3)^(1/$AJ211)))</f>
        <v/>
      </c>
      <c r="AP211">
        <f>IF($AJ211="","",IF($AJ211=0,$AK211*EXP($AL211*-2),$AK211*(1+$AJ211*$AL211*-2)^(1/$AJ211)))</f>
        <v/>
      </c>
      <c r="AQ211">
        <f>IF($AJ211="","",IF($AJ211=0,$AK211*EXP($AL211*-3),$AK211*(1+$AJ211*$AL211*-3)^(1/$AJ211)))</f>
        <v/>
      </c>
      <c r="AR211">
        <f>IF(OR($X211="",$T211&gt;60),"",IFERROR(INDEX(IF($T211&lt;24,pcomp_l,palt_l),MATCH($X211,IF($T211&lt;24,pcomp_k,palt_k),1)),""))</f>
        <v/>
      </c>
      <c r="AS211">
        <f>IF(OR($X211="",$T211&gt;60),"",IFERROR(INDEX(IF($T211&lt;24,pcomp_m,palt_m),MATCH($X211,IF($T211&lt;24,pcomp_k,palt_k),1)),""))</f>
        <v/>
      </c>
      <c r="AT211">
        <f>IF(OR($X211="",$T211&gt;60),"",IFERROR(INDEX(IF($T211&lt;24,pcomp_s,palt_s),MATCH($X211,IF($T211&lt;24,pcomp_k,palt_k),1)),""))</f>
        <v/>
      </c>
      <c r="AU211">
        <f>IF($AR211="","",IF($AR211=0,LN($F211/$AS211)/$AT211,((($F211/$AS211)^$AR211)-1)/($AR211*$AT211)))</f>
        <v/>
      </c>
      <c r="AV211">
        <f>IF($AR211="","",IF($AR211=0,$AS211*EXP($AT211*2),$AS211*(1+$AR211*$AT211*2)^(1/$AR211)))</f>
        <v/>
      </c>
      <c r="AW211">
        <f>IF($AR211="","",IF($AR211=0,$AS211*EXP($AT211*3),$AS211*(1+$AR211*$AT211*3)^(1/$AR211)))</f>
        <v/>
      </c>
      <c r="AX211">
        <f>IF($AR211="","",IF($AR211=0,$AS211*EXP($AT211*-2),$AS211*(1+$AR211*$AT211*-2)^(1/$AR211)))</f>
        <v/>
      </c>
      <c r="AY211">
        <f>IF($AR211="","",IF($AR211=0,$AS211*EXP($AT211*-3),$AS211*(1+$AR211*$AT211*-3)^(1/$AR211)))</f>
        <v/>
      </c>
      <c r="AZ211">
        <f>IF(OR($A211="",$A211&lt;&gt;Ficha!$C$4),"",COUNTIF($A$2:$A211,Ficha!$C$4))</f>
        <v/>
      </c>
    </row>
    <row r="212">
      <c r="A212" s="8">
        <f>IF(INDEX(Banco!$A:$A,ROW())="","",INDEX(Banco!$A:$A,ROW()))</f>
        <v/>
      </c>
      <c r="B212" s="8">
        <f>IF(INDEX(Banco!$B:$B,ROW())="","",INDEX(Banco!$B:$B,ROW()))</f>
        <v/>
      </c>
      <c r="C212" s="8">
        <f>IF(INDEX(Banco!$C:$C,ROW())="","",INDEX(Banco!$C:$C,ROW()))</f>
        <v/>
      </c>
      <c r="D212" s="9">
        <f>IF(INDEX(Banco!$D:$D,ROW())="","",INDEX(Banco!$D:$D,ROW()))</f>
        <v/>
      </c>
      <c r="E212" s="9">
        <f>IF(INDEX(Banco!$E:$E,ROW())="","",INDEX(Banco!$E:$E,ROW()))</f>
        <v/>
      </c>
      <c r="F212" s="10">
        <f>IF(INDEX(Banco!$F:$F,ROW())="","",INDEX(Banco!$F:$F,ROW()))</f>
        <v/>
      </c>
      <c r="G212" s="10">
        <f>IF(INDEX(Banco!$G:$G,ROW())="","",INDEX(Banco!$G:$G,ROW()))</f>
        <v/>
      </c>
      <c r="H212" s="8">
        <f>IF(INDEX(Banco!$H:$H,ROW())="","",INDEX(Banco!$H:$H,ROW()))</f>
        <v/>
      </c>
      <c r="I212">
        <f>IF($T212="","",INT($T212/12)&amp;"a "&amp;MOD($T212,12)&amp;"m")</f>
        <v/>
      </c>
      <c r="J212" s="11">
        <f>IF(OR($F212="",$G212=""),"",ROUND($F212/($G212/100)^2,2))</f>
        <v/>
      </c>
      <c r="K212" s="12">
        <f>IF(OR($S212="",$J212="",$T212="",$T212&lt;0,$T212&gt;228,$Y212=""),"—",ROUND(IF(ABS($AB212)&lt;=3,$AB212,IF($AB212&gt;3,3+($J212-$AD212)/($AD212-$AC212),-3+($J212-$AF212)/($AE212-$AF212))),2))</f>
        <v/>
      </c>
      <c r="L212">
        <f>IF(OR($K212="",$K212="—"),"",IF($T212&lt;=60,IF($K212&lt;-3,"Magreza acentuada",IF($K212&lt;-2,"Magreza",IF($K212&lt;=1,"Eutrofia",IF($K212&lt;=2,"Risco de sobrepeso",IF($K212&lt;=3,"Sobrepeso","Obesidade"))))),IF($K212&lt;-3,"Magreza acentuada",IF($K212&lt;-2,"Magreza",IF($K212&lt;=1,"Eutrofia",IF($K212&lt;=2,"Sobrepeso",IF($K212&lt;=3,"Obesidade","Obesidade grave")))))))</f>
        <v/>
      </c>
      <c r="M212" s="12">
        <f>IF(OR($S212="",$V212="",$T212="",$T212&lt;0,$T212&gt;228,$AG212=""),"—",ROUND(IF($AG212=0,LN($V212/$AH212)/$AI212,((($V212/$AH212)^$AG212)-1)/($AG212*$AI212)),2))</f>
        <v/>
      </c>
      <c r="N212">
        <f>IF(OR($M212="",$M212="—"),"",IF($M212&lt;-3,"Muito baixa",IF($M212&lt;-2,"Baixa","Adequada")))</f>
        <v/>
      </c>
      <c r="O212" s="12">
        <f>IF(OR($S212="",$F212="",$T212="",$T212&lt;0,$T212&gt;120,$AJ212=""),"—",ROUND(IF(ABS($AM212)&lt;=3,$AM212,IF($AM212&gt;3,3+($F212-$AO212)/($AO212-$AN212),-3+($F212-$AQ212)/($AP212-$AQ212))),2))</f>
        <v/>
      </c>
      <c r="P212">
        <f>IF(OR($O212="",$O212="—"),"",IF($O212&lt;-3,"Muito baixo",IF($O212&lt;-2,"Baixo",IF($O212&lt;=2,"Adequado","Elevado"))))</f>
        <v/>
      </c>
      <c r="Q212" s="12">
        <f>IF(OR($S212="",$F212="",$T212="",$T212&lt;0,$T212&gt;60,$AR212=""),"—",ROUND(IF(ABS($AU212)&lt;=3,$AU212,IF($AU212&gt;3,3+($F212-$AW212)/($AW212-$AV212),-3+($F212-$AY212)/($AX212-$AY212))),2))</f>
        <v/>
      </c>
      <c r="R212">
        <f>IF(OR($Q212="",$Q212="—"),"",IF($Q212&lt;-3,"Magreza acentuada",IF($Q212&lt;-2,"Magreza",IF($Q212&lt;=1,"Eutrofia",IF($Q212&lt;=2,"Risco de sobrepeso",IF($Q212&lt;=3,"Sobrepeso","Obesidade"))))))</f>
        <v/>
      </c>
      <c r="S212">
        <f>IF($C212="","",IF(UPPER(LEFT($C212,1))="M",1,IF(UPPER(LEFT($C212,1))="F",2,"")))</f>
        <v/>
      </c>
      <c r="T212">
        <f>IF(OR($D212="",$E212=""),"",DATEDIF($D212,$E212,"m"))</f>
        <v/>
      </c>
      <c r="U212">
        <f>IF(OR($D212="",$E212=""),"",$E212-$D212)</f>
        <v/>
      </c>
      <c r="V212">
        <f>IF(OR($G212="",$T212=""),"",IF($T212&lt;24,IF(LEFT(LOWER($H212),4)="em p",$G212+0.7,$G212),IF(LEFT(LOWER($H212),4)="deit",$G212-0.7,$G212)))</f>
        <v/>
      </c>
      <c r="W212">
        <f>IF(OR($S212="",$T212=""),"",$S212*1000000+IF($T212&lt;=60,$U212,$T212))</f>
        <v/>
      </c>
      <c r="X212">
        <f>IF(OR($S212="",$V212="",$T212&gt;60,$T212=""),"",$S212*1000000+ROUND($V212*10,0))</f>
        <v/>
      </c>
      <c r="Y212">
        <f>IF($W212="","",IFERROR(INDEX(IF($T212&lt;=60,imc05_l,imc519_l),MATCH($W212,IF($T212&lt;=60,imc05_k,imc519_k),1)),""))</f>
        <v/>
      </c>
      <c r="Z212">
        <f>IF($W212="","",IFERROR(INDEX(IF($T212&lt;=60,imc05_m,imc519_m),MATCH($W212,IF($T212&lt;=60,imc05_k,imc519_k),1)),""))</f>
        <v/>
      </c>
      <c r="AA212">
        <f>IF($W212="","",IFERROR(INDEX(IF($T212&lt;=60,imc05_s,imc519_s),MATCH($W212,IF($T212&lt;=60,imc05_k,imc519_k),1)),""))</f>
        <v/>
      </c>
      <c r="AB212">
        <f>IF($Y212="","",IF($Y212=0,LN($J212/$Z212)/$AA212,((($J212/$Z212)^$Y212)-1)/($Y212*$AA212)))</f>
        <v/>
      </c>
      <c r="AC212">
        <f>IF($Y212="","",IF($Y212=0,$Z212*EXP($AA212*2),$Z212*(1+$Y212*$AA212*2)^(1/$Y212)))</f>
        <v/>
      </c>
      <c r="AD212">
        <f>IF($Y212="","",IF($Y212=0,$Z212*EXP($AA212*3),$Z212*(1+$Y212*$AA212*3)^(1/$Y212)))</f>
        <v/>
      </c>
      <c r="AE212">
        <f>IF($Y212="","",IF($Y212=0,$Z212*EXP($AA212*-2),$Z212*(1+$Y212*$AA212*-2)^(1/$Y212)))</f>
        <v/>
      </c>
      <c r="AF212">
        <f>IF($Y212="","",IF($Y212=0,$Z212*EXP($AA212*-3),$Z212*(1+$Y212*$AA212*-3)^(1/$Y212)))</f>
        <v/>
      </c>
      <c r="AG212">
        <f>IF($W212="","",IFERROR(INDEX(IF($T212&lt;=60,est05_l,est519_l),MATCH($W212,IF($T212&lt;=60,est05_k,est519_k),1)),""))</f>
        <v/>
      </c>
      <c r="AH212">
        <f>IF($W212="","",IFERROR(INDEX(IF($T212&lt;=60,est05_m,est519_m),MATCH($W212,IF($T212&lt;=60,est05_k,est519_k),1)),""))</f>
        <v/>
      </c>
      <c r="AI212">
        <f>IF($W212="","",IFERROR(INDEX(IF($T212&lt;=60,est05_s,est519_s),MATCH($W212,IF($T212&lt;=60,est05_k,est519_k),1)),""))</f>
        <v/>
      </c>
      <c r="AJ212">
        <f>IF($W212="","",IFERROR(INDEX(IF($T212&lt;=60,peso05_l,peso510_l),MATCH($W212,IF($T212&lt;=60,peso05_k,peso510_k),1)),""))</f>
        <v/>
      </c>
      <c r="AK212">
        <f>IF($W212="","",IFERROR(INDEX(IF($T212&lt;=60,peso05_m,peso510_m),MATCH($W212,IF($T212&lt;=60,peso05_k,peso510_k),1)),""))</f>
        <v/>
      </c>
      <c r="AL212">
        <f>IF($W212="","",IFERROR(INDEX(IF($T212&lt;=60,peso05_s,peso510_s),MATCH($W212,IF($T212&lt;=60,peso05_k,peso510_k),1)),""))</f>
        <v/>
      </c>
      <c r="AM212">
        <f>IF($AJ212="","",IF($AJ212=0,LN($F212/$AK212)/$AL212,((($F212/$AK212)^$AJ212)-1)/($AJ212*$AL212)))</f>
        <v/>
      </c>
      <c r="AN212">
        <f>IF($AJ212="","",IF($AJ212=0,$AK212*EXP($AL212*2),$AK212*(1+$AJ212*$AL212*2)^(1/$AJ212)))</f>
        <v/>
      </c>
      <c r="AO212">
        <f>IF($AJ212="","",IF($AJ212=0,$AK212*EXP($AL212*3),$AK212*(1+$AJ212*$AL212*3)^(1/$AJ212)))</f>
        <v/>
      </c>
      <c r="AP212">
        <f>IF($AJ212="","",IF($AJ212=0,$AK212*EXP($AL212*-2),$AK212*(1+$AJ212*$AL212*-2)^(1/$AJ212)))</f>
        <v/>
      </c>
      <c r="AQ212">
        <f>IF($AJ212="","",IF($AJ212=0,$AK212*EXP($AL212*-3),$AK212*(1+$AJ212*$AL212*-3)^(1/$AJ212)))</f>
        <v/>
      </c>
      <c r="AR212">
        <f>IF(OR($X212="",$T212&gt;60),"",IFERROR(INDEX(IF($T212&lt;24,pcomp_l,palt_l),MATCH($X212,IF($T212&lt;24,pcomp_k,palt_k),1)),""))</f>
        <v/>
      </c>
      <c r="AS212">
        <f>IF(OR($X212="",$T212&gt;60),"",IFERROR(INDEX(IF($T212&lt;24,pcomp_m,palt_m),MATCH($X212,IF($T212&lt;24,pcomp_k,palt_k),1)),""))</f>
        <v/>
      </c>
      <c r="AT212">
        <f>IF(OR($X212="",$T212&gt;60),"",IFERROR(INDEX(IF($T212&lt;24,pcomp_s,palt_s),MATCH($X212,IF($T212&lt;24,pcomp_k,palt_k),1)),""))</f>
        <v/>
      </c>
      <c r="AU212">
        <f>IF($AR212="","",IF($AR212=0,LN($F212/$AS212)/$AT212,((($F212/$AS212)^$AR212)-1)/($AR212*$AT212)))</f>
        <v/>
      </c>
      <c r="AV212">
        <f>IF($AR212="","",IF($AR212=0,$AS212*EXP($AT212*2),$AS212*(1+$AR212*$AT212*2)^(1/$AR212)))</f>
        <v/>
      </c>
      <c r="AW212">
        <f>IF($AR212="","",IF($AR212=0,$AS212*EXP($AT212*3),$AS212*(1+$AR212*$AT212*3)^(1/$AR212)))</f>
        <v/>
      </c>
      <c r="AX212">
        <f>IF($AR212="","",IF($AR212=0,$AS212*EXP($AT212*-2),$AS212*(1+$AR212*$AT212*-2)^(1/$AR212)))</f>
        <v/>
      </c>
      <c r="AY212">
        <f>IF($AR212="","",IF($AR212=0,$AS212*EXP($AT212*-3),$AS212*(1+$AR212*$AT212*-3)^(1/$AR212)))</f>
        <v/>
      </c>
      <c r="AZ212">
        <f>IF(OR($A212="",$A212&lt;&gt;Ficha!$C$4),"",COUNTIF($A$2:$A212,Ficha!$C$4))</f>
        <v/>
      </c>
    </row>
    <row r="213">
      <c r="A213" s="8">
        <f>IF(INDEX(Banco!$A:$A,ROW())="","",INDEX(Banco!$A:$A,ROW()))</f>
        <v/>
      </c>
      <c r="B213" s="8">
        <f>IF(INDEX(Banco!$B:$B,ROW())="","",INDEX(Banco!$B:$B,ROW()))</f>
        <v/>
      </c>
      <c r="C213" s="8">
        <f>IF(INDEX(Banco!$C:$C,ROW())="","",INDEX(Banco!$C:$C,ROW()))</f>
        <v/>
      </c>
      <c r="D213" s="9">
        <f>IF(INDEX(Banco!$D:$D,ROW())="","",INDEX(Banco!$D:$D,ROW()))</f>
        <v/>
      </c>
      <c r="E213" s="9">
        <f>IF(INDEX(Banco!$E:$E,ROW())="","",INDEX(Banco!$E:$E,ROW()))</f>
        <v/>
      </c>
      <c r="F213" s="10">
        <f>IF(INDEX(Banco!$F:$F,ROW())="","",INDEX(Banco!$F:$F,ROW()))</f>
        <v/>
      </c>
      <c r="G213" s="10">
        <f>IF(INDEX(Banco!$G:$G,ROW())="","",INDEX(Banco!$G:$G,ROW()))</f>
        <v/>
      </c>
      <c r="H213" s="8">
        <f>IF(INDEX(Banco!$H:$H,ROW())="","",INDEX(Banco!$H:$H,ROW()))</f>
        <v/>
      </c>
      <c r="I213">
        <f>IF($T213="","",INT($T213/12)&amp;"a "&amp;MOD($T213,12)&amp;"m")</f>
        <v/>
      </c>
      <c r="J213" s="11">
        <f>IF(OR($F213="",$G213=""),"",ROUND($F213/($G213/100)^2,2))</f>
        <v/>
      </c>
      <c r="K213" s="12">
        <f>IF(OR($S213="",$J213="",$T213="",$T213&lt;0,$T213&gt;228,$Y213=""),"—",ROUND(IF(ABS($AB213)&lt;=3,$AB213,IF($AB213&gt;3,3+($J213-$AD213)/($AD213-$AC213),-3+($J213-$AF213)/($AE213-$AF213))),2))</f>
        <v/>
      </c>
      <c r="L213">
        <f>IF(OR($K213="",$K213="—"),"",IF($T213&lt;=60,IF($K213&lt;-3,"Magreza acentuada",IF($K213&lt;-2,"Magreza",IF($K213&lt;=1,"Eutrofia",IF($K213&lt;=2,"Risco de sobrepeso",IF($K213&lt;=3,"Sobrepeso","Obesidade"))))),IF($K213&lt;-3,"Magreza acentuada",IF($K213&lt;-2,"Magreza",IF($K213&lt;=1,"Eutrofia",IF($K213&lt;=2,"Sobrepeso",IF($K213&lt;=3,"Obesidade","Obesidade grave")))))))</f>
        <v/>
      </c>
      <c r="M213" s="12">
        <f>IF(OR($S213="",$V213="",$T213="",$T213&lt;0,$T213&gt;228,$AG213=""),"—",ROUND(IF($AG213=0,LN($V213/$AH213)/$AI213,((($V213/$AH213)^$AG213)-1)/($AG213*$AI213)),2))</f>
        <v/>
      </c>
      <c r="N213">
        <f>IF(OR($M213="",$M213="—"),"",IF($M213&lt;-3,"Muito baixa",IF($M213&lt;-2,"Baixa","Adequada")))</f>
        <v/>
      </c>
      <c r="O213" s="12">
        <f>IF(OR($S213="",$F213="",$T213="",$T213&lt;0,$T213&gt;120,$AJ213=""),"—",ROUND(IF(ABS($AM213)&lt;=3,$AM213,IF($AM213&gt;3,3+($F213-$AO213)/($AO213-$AN213),-3+($F213-$AQ213)/($AP213-$AQ213))),2))</f>
        <v/>
      </c>
      <c r="P213">
        <f>IF(OR($O213="",$O213="—"),"",IF($O213&lt;-3,"Muito baixo",IF($O213&lt;-2,"Baixo",IF($O213&lt;=2,"Adequado","Elevado"))))</f>
        <v/>
      </c>
      <c r="Q213" s="12">
        <f>IF(OR($S213="",$F213="",$T213="",$T213&lt;0,$T213&gt;60,$AR213=""),"—",ROUND(IF(ABS($AU213)&lt;=3,$AU213,IF($AU213&gt;3,3+($F213-$AW213)/($AW213-$AV213),-3+($F213-$AY213)/($AX213-$AY213))),2))</f>
        <v/>
      </c>
      <c r="R213">
        <f>IF(OR($Q213="",$Q213="—"),"",IF($Q213&lt;-3,"Magreza acentuada",IF($Q213&lt;-2,"Magreza",IF($Q213&lt;=1,"Eutrofia",IF($Q213&lt;=2,"Risco de sobrepeso",IF($Q213&lt;=3,"Sobrepeso","Obesidade"))))))</f>
        <v/>
      </c>
      <c r="S213">
        <f>IF($C213="","",IF(UPPER(LEFT($C213,1))="M",1,IF(UPPER(LEFT($C213,1))="F",2,"")))</f>
        <v/>
      </c>
      <c r="T213">
        <f>IF(OR($D213="",$E213=""),"",DATEDIF($D213,$E213,"m"))</f>
        <v/>
      </c>
      <c r="U213">
        <f>IF(OR($D213="",$E213=""),"",$E213-$D213)</f>
        <v/>
      </c>
      <c r="V213">
        <f>IF(OR($G213="",$T213=""),"",IF($T213&lt;24,IF(LEFT(LOWER($H213),4)="em p",$G213+0.7,$G213),IF(LEFT(LOWER($H213),4)="deit",$G213-0.7,$G213)))</f>
        <v/>
      </c>
      <c r="W213">
        <f>IF(OR($S213="",$T213=""),"",$S213*1000000+IF($T213&lt;=60,$U213,$T213))</f>
        <v/>
      </c>
      <c r="X213">
        <f>IF(OR($S213="",$V213="",$T213&gt;60,$T213=""),"",$S213*1000000+ROUND($V213*10,0))</f>
        <v/>
      </c>
      <c r="Y213">
        <f>IF($W213="","",IFERROR(INDEX(IF($T213&lt;=60,imc05_l,imc519_l),MATCH($W213,IF($T213&lt;=60,imc05_k,imc519_k),1)),""))</f>
        <v/>
      </c>
      <c r="Z213">
        <f>IF($W213="","",IFERROR(INDEX(IF($T213&lt;=60,imc05_m,imc519_m),MATCH($W213,IF($T213&lt;=60,imc05_k,imc519_k),1)),""))</f>
        <v/>
      </c>
      <c r="AA213">
        <f>IF($W213="","",IFERROR(INDEX(IF($T213&lt;=60,imc05_s,imc519_s),MATCH($W213,IF($T213&lt;=60,imc05_k,imc519_k),1)),""))</f>
        <v/>
      </c>
      <c r="AB213">
        <f>IF($Y213="","",IF($Y213=0,LN($J213/$Z213)/$AA213,((($J213/$Z213)^$Y213)-1)/($Y213*$AA213)))</f>
        <v/>
      </c>
      <c r="AC213">
        <f>IF($Y213="","",IF($Y213=0,$Z213*EXP($AA213*2),$Z213*(1+$Y213*$AA213*2)^(1/$Y213)))</f>
        <v/>
      </c>
      <c r="AD213">
        <f>IF($Y213="","",IF($Y213=0,$Z213*EXP($AA213*3),$Z213*(1+$Y213*$AA213*3)^(1/$Y213)))</f>
        <v/>
      </c>
      <c r="AE213">
        <f>IF($Y213="","",IF($Y213=0,$Z213*EXP($AA213*-2),$Z213*(1+$Y213*$AA213*-2)^(1/$Y213)))</f>
        <v/>
      </c>
      <c r="AF213">
        <f>IF($Y213="","",IF($Y213=0,$Z213*EXP($AA213*-3),$Z213*(1+$Y213*$AA213*-3)^(1/$Y213)))</f>
        <v/>
      </c>
      <c r="AG213">
        <f>IF($W213="","",IFERROR(INDEX(IF($T213&lt;=60,est05_l,est519_l),MATCH($W213,IF($T213&lt;=60,est05_k,est519_k),1)),""))</f>
        <v/>
      </c>
      <c r="AH213">
        <f>IF($W213="","",IFERROR(INDEX(IF($T213&lt;=60,est05_m,est519_m),MATCH($W213,IF($T213&lt;=60,est05_k,est519_k),1)),""))</f>
        <v/>
      </c>
      <c r="AI213">
        <f>IF($W213="","",IFERROR(INDEX(IF($T213&lt;=60,est05_s,est519_s),MATCH($W213,IF($T213&lt;=60,est05_k,est519_k),1)),""))</f>
        <v/>
      </c>
      <c r="AJ213">
        <f>IF($W213="","",IFERROR(INDEX(IF($T213&lt;=60,peso05_l,peso510_l),MATCH($W213,IF($T213&lt;=60,peso05_k,peso510_k),1)),""))</f>
        <v/>
      </c>
      <c r="AK213">
        <f>IF($W213="","",IFERROR(INDEX(IF($T213&lt;=60,peso05_m,peso510_m),MATCH($W213,IF($T213&lt;=60,peso05_k,peso510_k),1)),""))</f>
        <v/>
      </c>
      <c r="AL213">
        <f>IF($W213="","",IFERROR(INDEX(IF($T213&lt;=60,peso05_s,peso510_s),MATCH($W213,IF($T213&lt;=60,peso05_k,peso510_k),1)),""))</f>
        <v/>
      </c>
      <c r="AM213">
        <f>IF($AJ213="","",IF($AJ213=0,LN($F213/$AK213)/$AL213,((($F213/$AK213)^$AJ213)-1)/($AJ213*$AL213)))</f>
        <v/>
      </c>
      <c r="AN213">
        <f>IF($AJ213="","",IF($AJ213=0,$AK213*EXP($AL213*2),$AK213*(1+$AJ213*$AL213*2)^(1/$AJ213)))</f>
        <v/>
      </c>
      <c r="AO213">
        <f>IF($AJ213="","",IF($AJ213=0,$AK213*EXP($AL213*3),$AK213*(1+$AJ213*$AL213*3)^(1/$AJ213)))</f>
        <v/>
      </c>
      <c r="AP213">
        <f>IF($AJ213="","",IF($AJ213=0,$AK213*EXP($AL213*-2),$AK213*(1+$AJ213*$AL213*-2)^(1/$AJ213)))</f>
        <v/>
      </c>
      <c r="AQ213">
        <f>IF($AJ213="","",IF($AJ213=0,$AK213*EXP($AL213*-3),$AK213*(1+$AJ213*$AL213*-3)^(1/$AJ213)))</f>
        <v/>
      </c>
      <c r="AR213">
        <f>IF(OR($X213="",$T213&gt;60),"",IFERROR(INDEX(IF($T213&lt;24,pcomp_l,palt_l),MATCH($X213,IF($T213&lt;24,pcomp_k,palt_k),1)),""))</f>
        <v/>
      </c>
      <c r="AS213">
        <f>IF(OR($X213="",$T213&gt;60),"",IFERROR(INDEX(IF($T213&lt;24,pcomp_m,palt_m),MATCH($X213,IF($T213&lt;24,pcomp_k,palt_k),1)),""))</f>
        <v/>
      </c>
      <c r="AT213">
        <f>IF(OR($X213="",$T213&gt;60),"",IFERROR(INDEX(IF($T213&lt;24,pcomp_s,palt_s),MATCH($X213,IF($T213&lt;24,pcomp_k,palt_k),1)),""))</f>
        <v/>
      </c>
      <c r="AU213">
        <f>IF($AR213="","",IF($AR213=0,LN($F213/$AS213)/$AT213,((($F213/$AS213)^$AR213)-1)/($AR213*$AT213)))</f>
        <v/>
      </c>
      <c r="AV213">
        <f>IF($AR213="","",IF($AR213=0,$AS213*EXP($AT213*2),$AS213*(1+$AR213*$AT213*2)^(1/$AR213)))</f>
        <v/>
      </c>
      <c r="AW213">
        <f>IF($AR213="","",IF($AR213=0,$AS213*EXP($AT213*3),$AS213*(1+$AR213*$AT213*3)^(1/$AR213)))</f>
        <v/>
      </c>
      <c r="AX213">
        <f>IF($AR213="","",IF($AR213=0,$AS213*EXP($AT213*-2),$AS213*(1+$AR213*$AT213*-2)^(1/$AR213)))</f>
        <v/>
      </c>
      <c r="AY213">
        <f>IF($AR213="","",IF($AR213=0,$AS213*EXP($AT213*-3),$AS213*(1+$AR213*$AT213*-3)^(1/$AR213)))</f>
        <v/>
      </c>
      <c r="AZ213">
        <f>IF(OR($A213="",$A213&lt;&gt;Ficha!$C$4),"",COUNTIF($A$2:$A213,Ficha!$C$4))</f>
        <v/>
      </c>
    </row>
    <row r="214">
      <c r="A214" s="8">
        <f>IF(INDEX(Banco!$A:$A,ROW())="","",INDEX(Banco!$A:$A,ROW()))</f>
        <v/>
      </c>
      <c r="B214" s="8">
        <f>IF(INDEX(Banco!$B:$B,ROW())="","",INDEX(Banco!$B:$B,ROW()))</f>
        <v/>
      </c>
      <c r="C214" s="8">
        <f>IF(INDEX(Banco!$C:$C,ROW())="","",INDEX(Banco!$C:$C,ROW()))</f>
        <v/>
      </c>
      <c r="D214" s="9">
        <f>IF(INDEX(Banco!$D:$D,ROW())="","",INDEX(Banco!$D:$D,ROW()))</f>
        <v/>
      </c>
      <c r="E214" s="9">
        <f>IF(INDEX(Banco!$E:$E,ROW())="","",INDEX(Banco!$E:$E,ROW()))</f>
        <v/>
      </c>
      <c r="F214" s="10">
        <f>IF(INDEX(Banco!$F:$F,ROW())="","",INDEX(Banco!$F:$F,ROW()))</f>
        <v/>
      </c>
      <c r="G214" s="10">
        <f>IF(INDEX(Banco!$G:$G,ROW())="","",INDEX(Banco!$G:$G,ROW()))</f>
        <v/>
      </c>
      <c r="H214" s="8">
        <f>IF(INDEX(Banco!$H:$H,ROW())="","",INDEX(Banco!$H:$H,ROW()))</f>
        <v/>
      </c>
      <c r="I214">
        <f>IF($T214="","",INT($T214/12)&amp;"a "&amp;MOD($T214,12)&amp;"m")</f>
        <v/>
      </c>
      <c r="J214" s="11">
        <f>IF(OR($F214="",$G214=""),"",ROUND($F214/($G214/100)^2,2))</f>
        <v/>
      </c>
      <c r="K214" s="12">
        <f>IF(OR($S214="",$J214="",$T214="",$T214&lt;0,$T214&gt;228,$Y214=""),"—",ROUND(IF(ABS($AB214)&lt;=3,$AB214,IF($AB214&gt;3,3+($J214-$AD214)/($AD214-$AC214),-3+($J214-$AF214)/($AE214-$AF214))),2))</f>
        <v/>
      </c>
      <c r="L214">
        <f>IF(OR($K214="",$K214="—"),"",IF($T214&lt;=60,IF($K214&lt;-3,"Magreza acentuada",IF($K214&lt;-2,"Magreza",IF($K214&lt;=1,"Eutrofia",IF($K214&lt;=2,"Risco de sobrepeso",IF($K214&lt;=3,"Sobrepeso","Obesidade"))))),IF($K214&lt;-3,"Magreza acentuada",IF($K214&lt;-2,"Magreza",IF($K214&lt;=1,"Eutrofia",IF($K214&lt;=2,"Sobrepeso",IF($K214&lt;=3,"Obesidade","Obesidade grave")))))))</f>
        <v/>
      </c>
      <c r="M214" s="12">
        <f>IF(OR($S214="",$V214="",$T214="",$T214&lt;0,$T214&gt;228,$AG214=""),"—",ROUND(IF($AG214=0,LN($V214/$AH214)/$AI214,((($V214/$AH214)^$AG214)-1)/($AG214*$AI214)),2))</f>
        <v/>
      </c>
      <c r="N214">
        <f>IF(OR($M214="",$M214="—"),"",IF($M214&lt;-3,"Muito baixa",IF($M214&lt;-2,"Baixa","Adequada")))</f>
        <v/>
      </c>
      <c r="O214" s="12">
        <f>IF(OR($S214="",$F214="",$T214="",$T214&lt;0,$T214&gt;120,$AJ214=""),"—",ROUND(IF(ABS($AM214)&lt;=3,$AM214,IF($AM214&gt;3,3+($F214-$AO214)/($AO214-$AN214),-3+($F214-$AQ214)/($AP214-$AQ214))),2))</f>
        <v/>
      </c>
      <c r="P214">
        <f>IF(OR($O214="",$O214="—"),"",IF($O214&lt;-3,"Muito baixo",IF($O214&lt;-2,"Baixo",IF($O214&lt;=2,"Adequado","Elevado"))))</f>
        <v/>
      </c>
      <c r="Q214" s="12">
        <f>IF(OR($S214="",$F214="",$T214="",$T214&lt;0,$T214&gt;60,$AR214=""),"—",ROUND(IF(ABS($AU214)&lt;=3,$AU214,IF($AU214&gt;3,3+($F214-$AW214)/($AW214-$AV214),-3+($F214-$AY214)/($AX214-$AY214))),2))</f>
        <v/>
      </c>
      <c r="R214">
        <f>IF(OR($Q214="",$Q214="—"),"",IF($Q214&lt;-3,"Magreza acentuada",IF($Q214&lt;-2,"Magreza",IF($Q214&lt;=1,"Eutrofia",IF($Q214&lt;=2,"Risco de sobrepeso",IF($Q214&lt;=3,"Sobrepeso","Obesidade"))))))</f>
        <v/>
      </c>
      <c r="S214">
        <f>IF($C214="","",IF(UPPER(LEFT($C214,1))="M",1,IF(UPPER(LEFT($C214,1))="F",2,"")))</f>
        <v/>
      </c>
      <c r="T214">
        <f>IF(OR($D214="",$E214=""),"",DATEDIF($D214,$E214,"m"))</f>
        <v/>
      </c>
      <c r="U214">
        <f>IF(OR($D214="",$E214=""),"",$E214-$D214)</f>
        <v/>
      </c>
      <c r="V214">
        <f>IF(OR($G214="",$T214=""),"",IF($T214&lt;24,IF(LEFT(LOWER($H214),4)="em p",$G214+0.7,$G214),IF(LEFT(LOWER($H214),4)="deit",$G214-0.7,$G214)))</f>
        <v/>
      </c>
      <c r="W214">
        <f>IF(OR($S214="",$T214=""),"",$S214*1000000+IF($T214&lt;=60,$U214,$T214))</f>
        <v/>
      </c>
      <c r="X214">
        <f>IF(OR($S214="",$V214="",$T214&gt;60,$T214=""),"",$S214*1000000+ROUND($V214*10,0))</f>
        <v/>
      </c>
      <c r="Y214">
        <f>IF($W214="","",IFERROR(INDEX(IF($T214&lt;=60,imc05_l,imc519_l),MATCH($W214,IF($T214&lt;=60,imc05_k,imc519_k),1)),""))</f>
        <v/>
      </c>
      <c r="Z214">
        <f>IF($W214="","",IFERROR(INDEX(IF($T214&lt;=60,imc05_m,imc519_m),MATCH($W214,IF($T214&lt;=60,imc05_k,imc519_k),1)),""))</f>
        <v/>
      </c>
      <c r="AA214">
        <f>IF($W214="","",IFERROR(INDEX(IF($T214&lt;=60,imc05_s,imc519_s),MATCH($W214,IF($T214&lt;=60,imc05_k,imc519_k),1)),""))</f>
        <v/>
      </c>
      <c r="AB214">
        <f>IF($Y214="","",IF($Y214=0,LN($J214/$Z214)/$AA214,((($J214/$Z214)^$Y214)-1)/($Y214*$AA214)))</f>
        <v/>
      </c>
      <c r="AC214">
        <f>IF($Y214="","",IF($Y214=0,$Z214*EXP($AA214*2),$Z214*(1+$Y214*$AA214*2)^(1/$Y214)))</f>
        <v/>
      </c>
      <c r="AD214">
        <f>IF($Y214="","",IF($Y214=0,$Z214*EXP($AA214*3),$Z214*(1+$Y214*$AA214*3)^(1/$Y214)))</f>
        <v/>
      </c>
      <c r="AE214">
        <f>IF($Y214="","",IF($Y214=0,$Z214*EXP($AA214*-2),$Z214*(1+$Y214*$AA214*-2)^(1/$Y214)))</f>
        <v/>
      </c>
      <c r="AF214">
        <f>IF($Y214="","",IF($Y214=0,$Z214*EXP($AA214*-3),$Z214*(1+$Y214*$AA214*-3)^(1/$Y214)))</f>
        <v/>
      </c>
      <c r="AG214">
        <f>IF($W214="","",IFERROR(INDEX(IF($T214&lt;=60,est05_l,est519_l),MATCH($W214,IF($T214&lt;=60,est05_k,est519_k),1)),""))</f>
        <v/>
      </c>
      <c r="AH214">
        <f>IF($W214="","",IFERROR(INDEX(IF($T214&lt;=60,est05_m,est519_m),MATCH($W214,IF($T214&lt;=60,est05_k,est519_k),1)),""))</f>
        <v/>
      </c>
      <c r="AI214">
        <f>IF($W214="","",IFERROR(INDEX(IF($T214&lt;=60,est05_s,est519_s),MATCH($W214,IF($T214&lt;=60,est05_k,est519_k),1)),""))</f>
        <v/>
      </c>
      <c r="AJ214">
        <f>IF($W214="","",IFERROR(INDEX(IF($T214&lt;=60,peso05_l,peso510_l),MATCH($W214,IF($T214&lt;=60,peso05_k,peso510_k),1)),""))</f>
        <v/>
      </c>
      <c r="AK214">
        <f>IF($W214="","",IFERROR(INDEX(IF($T214&lt;=60,peso05_m,peso510_m),MATCH($W214,IF($T214&lt;=60,peso05_k,peso510_k),1)),""))</f>
        <v/>
      </c>
      <c r="AL214">
        <f>IF($W214="","",IFERROR(INDEX(IF($T214&lt;=60,peso05_s,peso510_s),MATCH($W214,IF($T214&lt;=60,peso05_k,peso510_k),1)),""))</f>
        <v/>
      </c>
      <c r="AM214">
        <f>IF($AJ214="","",IF($AJ214=0,LN($F214/$AK214)/$AL214,((($F214/$AK214)^$AJ214)-1)/($AJ214*$AL214)))</f>
        <v/>
      </c>
      <c r="AN214">
        <f>IF($AJ214="","",IF($AJ214=0,$AK214*EXP($AL214*2),$AK214*(1+$AJ214*$AL214*2)^(1/$AJ214)))</f>
        <v/>
      </c>
      <c r="AO214">
        <f>IF($AJ214="","",IF($AJ214=0,$AK214*EXP($AL214*3),$AK214*(1+$AJ214*$AL214*3)^(1/$AJ214)))</f>
        <v/>
      </c>
      <c r="AP214">
        <f>IF($AJ214="","",IF($AJ214=0,$AK214*EXP($AL214*-2),$AK214*(1+$AJ214*$AL214*-2)^(1/$AJ214)))</f>
        <v/>
      </c>
      <c r="AQ214">
        <f>IF($AJ214="","",IF($AJ214=0,$AK214*EXP($AL214*-3),$AK214*(1+$AJ214*$AL214*-3)^(1/$AJ214)))</f>
        <v/>
      </c>
      <c r="AR214">
        <f>IF(OR($X214="",$T214&gt;60),"",IFERROR(INDEX(IF($T214&lt;24,pcomp_l,palt_l),MATCH($X214,IF($T214&lt;24,pcomp_k,palt_k),1)),""))</f>
        <v/>
      </c>
      <c r="AS214">
        <f>IF(OR($X214="",$T214&gt;60),"",IFERROR(INDEX(IF($T214&lt;24,pcomp_m,palt_m),MATCH($X214,IF($T214&lt;24,pcomp_k,palt_k),1)),""))</f>
        <v/>
      </c>
      <c r="AT214">
        <f>IF(OR($X214="",$T214&gt;60),"",IFERROR(INDEX(IF($T214&lt;24,pcomp_s,palt_s),MATCH($X214,IF($T214&lt;24,pcomp_k,palt_k),1)),""))</f>
        <v/>
      </c>
      <c r="AU214">
        <f>IF($AR214="","",IF($AR214=0,LN($F214/$AS214)/$AT214,((($F214/$AS214)^$AR214)-1)/($AR214*$AT214)))</f>
        <v/>
      </c>
      <c r="AV214">
        <f>IF($AR214="","",IF($AR214=0,$AS214*EXP($AT214*2),$AS214*(1+$AR214*$AT214*2)^(1/$AR214)))</f>
        <v/>
      </c>
      <c r="AW214">
        <f>IF($AR214="","",IF($AR214=0,$AS214*EXP($AT214*3),$AS214*(1+$AR214*$AT214*3)^(1/$AR214)))</f>
        <v/>
      </c>
      <c r="AX214">
        <f>IF($AR214="","",IF($AR214=0,$AS214*EXP($AT214*-2),$AS214*(1+$AR214*$AT214*-2)^(1/$AR214)))</f>
        <v/>
      </c>
      <c r="AY214">
        <f>IF($AR214="","",IF($AR214=0,$AS214*EXP($AT214*-3),$AS214*(1+$AR214*$AT214*-3)^(1/$AR214)))</f>
        <v/>
      </c>
      <c r="AZ214">
        <f>IF(OR($A214="",$A214&lt;&gt;Ficha!$C$4),"",COUNTIF($A$2:$A214,Ficha!$C$4))</f>
        <v/>
      </c>
    </row>
    <row r="215">
      <c r="A215" s="8">
        <f>IF(INDEX(Banco!$A:$A,ROW())="","",INDEX(Banco!$A:$A,ROW()))</f>
        <v/>
      </c>
      <c r="B215" s="8">
        <f>IF(INDEX(Banco!$B:$B,ROW())="","",INDEX(Banco!$B:$B,ROW()))</f>
        <v/>
      </c>
      <c r="C215" s="8">
        <f>IF(INDEX(Banco!$C:$C,ROW())="","",INDEX(Banco!$C:$C,ROW()))</f>
        <v/>
      </c>
      <c r="D215" s="9">
        <f>IF(INDEX(Banco!$D:$D,ROW())="","",INDEX(Banco!$D:$D,ROW()))</f>
        <v/>
      </c>
      <c r="E215" s="9">
        <f>IF(INDEX(Banco!$E:$E,ROW())="","",INDEX(Banco!$E:$E,ROW()))</f>
        <v/>
      </c>
      <c r="F215" s="10">
        <f>IF(INDEX(Banco!$F:$F,ROW())="","",INDEX(Banco!$F:$F,ROW()))</f>
        <v/>
      </c>
      <c r="G215" s="10">
        <f>IF(INDEX(Banco!$G:$G,ROW())="","",INDEX(Banco!$G:$G,ROW()))</f>
        <v/>
      </c>
      <c r="H215" s="8">
        <f>IF(INDEX(Banco!$H:$H,ROW())="","",INDEX(Banco!$H:$H,ROW()))</f>
        <v/>
      </c>
      <c r="I215">
        <f>IF($T215="","",INT($T215/12)&amp;"a "&amp;MOD($T215,12)&amp;"m")</f>
        <v/>
      </c>
      <c r="J215" s="11">
        <f>IF(OR($F215="",$G215=""),"",ROUND($F215/($G215/100)^2,2))</f>
        <v/>
      </c>
      <c r="K215" s="12">
        <f>IF(OR($S215="",$J215="",$T215="",$T215&lt;0,$T215&gt;228,$Y215=""),"—",ROUND(IF(ABS($AB215)&lt;=3,$AB215,IF($AB215&gt;3,3+($J215-$AD215)/($AD215-$AC215),-3+($J215-$AF215)/($AE215-$AF215))),2))</f>
        <v/>
      </c>
      <c r="L215">
        <f>IF(OR($K215="",$K215="—"),"",IF($T215&lt;=60,IF($K215&lt;-3,"Magreza acentuada",IF($K215&lt;-2,"Magreza",IF($K215&lt;=1,"Eutrofia",IF($K215&lt;=2,"Risco de sobrepeso",IF($K215&lt;=3,"Sobrepeso","Obesidade"))))),IF($K215&lt;-3,"Magreza acentuada",IF($K215&lt;-2,"Magreza",IF($K215&lt;=1,"Eutrofia",IF($K215&lt;=2,"Sobrepeso",IF($K215&lt;=3,"Obesidade","Obesidade grave")))))))</f>
        <v/>
      </c>
      <c r="M215" s="12">
        <f>IF(OR($S215="",$V215="",$T215="",$T215&lt;0,$T215&gt;228,$AG215=""),"—",ROUND(IF($AG215=0,LN($V215/$AH215)/$AI215,((($V215/$AH215)^$AG215)-1)/($AG215*$AI215)),2))</f>
        <v/>
      </c>
      <c r="N215">
        <f>IF(OR($M215="",$M215="—"),"",IF($M215&lt;-3,"Muito baixa",IF($M215&lt;-2,"Baixa","Adequada")))</f>
        <v/>
      </c>
      <c r="O215" s="12">
        <f>IF(OR($S215="",$F215="",$T215="",$T215&lt;0,$T215&gt;120,$AJ215=""),"—",ROUND(IF(ABS($AM215)&lt;=3,$AM215,IF($AM215&gt;3,3+($F215-$AO215)/($AO215-$AN215),-3+($F215-$AQ215)/($AP215-$AQ215))),2))</f>
        <v/>
      </c>
      <c r="P215">
        <f>IF(OR($O215="",$O215="—"),"",IF($O215&lt;-3,"Muito baixo",IF($O215&lt;-2,"Baixo",IF($O215&lt;=2,"Adequado","Elevado"))))</f>
        <v/>
      </c>
      <c r="Q215" s="12">
        <f>IF(OR($S215="",$F215="",$T215="",$T215&lt;0,$T215&gt;60,$AR215=""),"—",ROUND(IF(ABS($AU215)&lt;=3,$AU215,IF($AU215&gt;3,3+($F215-$AW215)/($AW215-$AV215),-3+($F215-$AY215)/($AX215-$AY215))),2))</f>
        <v/>
      </c>
      <c r="R215">
        <f>IF(OR($Q215="",$Q215="—"),"",IF($Q215&lt;-3,"Magreza acentuada",IF($Q215&lt;-2,"Magreza",IF($Q215&lt;=1,"Eutrofia",IF($Q215&lt;=2,"Risco de sobrepeso",IF($Q215&lt;=3,"Sobrepeso","Obesidade"))))))</f>
        <v/>
      </c>
      <c r="S215">
        <f>IF($C215="","",IF(UPPER(LEFT($C215,1))="M",1,IF(UPPER(LEFT($C215,1))="F",2,"")))</f>
        <v/>
      </c>
      <c r="T215">
        <f>IF(OR($D215="",$E215=""),"",DATEDIF($D215,$E215,"m"))</f>
        <v/>
      </c>
      <c r="U215">
        <f>IF(OR($D215="",$E215=""),"",$E215-$D215)</f>
        <v/>
      </c>
      <c r="V215">
        <f>IF(OR($G215="",$T215=""),"",IF($T215&lt;24,IF(LEFT(LOWER($H215),4)="em p",$G215+0.7,$G215),IF(LEFT(LOWER($H215),4)="deit",$G215-0.7,$G215)))</f>
        <v/>
      </c>
      <c r="W215">
        <f>IF(OR($S215="",$T215=""),"",$S215*1000000+IF($T215&lt;=60,$U215,$T215))</f>
        <v/>
      </c>
      <c r="X215">
        <f>IF(OR($S215="",$V215="",$T215&gt;60,$T215=""),"",$S215*1000000+ROUND($V215*10,0))</f>
        <v/>
      </c>
      <c r="Y215">
        <f>IF($W215="","",IFERROR(INDEX(IF($T215&lt;=60,imc05_l,imc519_l),MATCH($W215,IF($T215&lt;=60,imc05_k,imc519_k),1)),""))</f>
        <v/>
      </c>
      <c r="Z215">
        <f>IF($W215="","",IFERROR(INDEX(IF($T215&lt;=60,imc05_m,imc519_m),MATCH($W215,IF($T215&lt;=60,imc05_k,imc519_k),1)),""))</f>
        <v/>
      </c>
      <c r="AA215">
        <f>IF($W215="","",IFERROR(INDEX(IF($T215&lt;=60,imc05_s,imc519_s),MATCH($W215,IF($T215&lt;=60,imc05_k,imc519_k),1)),""))</f>
        <v/>
      </c>
      <c r="AB215">
        <f>IF($Y215="","",IF($Y215=0,LN($J215/$Z215)/$AA215,((($J215/$Z215)^$Y215)-1)/($Y215*$AA215)))</f>
        <v/>
      </c>
      <c r="AC215">
        <f>IF($Y215="","",IF($Y215=0,$Z215*EXP($AA215*2),$Z215*(1+$Y215*$AA215*2)^(1/$Y215)))</f>
        <v/>
      </c>
      <c r="AD215">
        <f>IF($Y215="","",IF($Y215=0,$Z215*EXP($AA215*3),$Z215*(1+$Y215*$AA215*3)^(1/$Y215)))</f>
        <v/>
      </c>
      <c r="AE215">
        <f>IF($Y215="","",IF($Y215=0,$Z215*EXP($AA215*-2),$Z215*(1+$Y215*$AA215*-2)^(1/$Y215)))</f>
        <v/>
      </c>
      <c r="AF215">
        <f>IF($Y215="","",IF($Y215=0,$Z215*EXP($AA215*-3),$Z215*(1+$Y215*$AA215*-3)^(1/$Y215)))</f>
        <v/>
      </c>
      <c r="AG215">
        <f>IF($W215="","",IFERROR(INDEX(IF($T215&lt;=60,est05_l,est519_l),MATCH($W215,IF($T215&lt;=60,est05_k,est519_k),1)),""))</f>
        <v/>
      </c>
      <c r="AH215">
        <f>IF($W215="","",IFERROR(INDEX(IF($T215&lt;=60,est05_m,est519_m),MATCH($W215,IF($T215&lt;=60,est05_k,est519_k),1)),""))</f>
        <v/>
      </c>
      <c r="AI215">
        <f>IF($W215="","",IFERROR(INDEX(IF($T215&lt;=60,est05_s,est519_s),MATCH($W215,IF($T215&lt;=60,est05_k,est519_k),1)),""))</f>
        <v/>
      </c>
      <c r="AJ215">
        <f>IF($W215="","",IFERROR(INDEX(IF($T215&lt;=60,peso05_l,peso510_l),MATCH($W215,IF($T215&lt;=60,peso05_k,peso510_k),1)),""))</f>
        <v/>
      </c>
      <c r="AK215">
        <f>IF($W215="","",IFERROR(INDEX(IF($T215&lt;=60,peso05_m,peso510_m),MATCH($W215,IF($T215&lt;=60,peso05_k,peso510_k),1)),""))</f>
        <v/>
      </c>
      <c r="AL215">
        <f>IF($W215="","",IFERROR(INDEX(IF($T215&lt;=60,peso05_s,peso510_s),MATCH($W215,IF($T215&lt;=60,peso05_k,peso510_k),1)),""))</f>
        <v/>
      </c>
      <c r="AM215">
        <f>IF($AJ215="","",IF($AJ215=0,LN($F215/$AK215)/$AL215,((($F215/$AK215)^$AJ215)-1)/($AJ215*$AL215)))</f>
        <v/>
      </c>
      <c r="AN215">
        <f>IF($AJ215="","",IF($AJ215=0,$AK215*EXP($AL215*2),$AK215*(1+$AJ215*$AL215*2)^(1/$AJ215)))</f>
        <v/>
      </c>
      <c r="AO215">
        <f>IF($AJ215="","",IF($AJ215=0,$AK215*EXP($AL215*3),$AK215*(1+$AJ215*$AL215*3)^(1/$AJ215)))</f>
        <v/>
      </c>
      <c r="AP215">
        <f>IF($AJ215="","",IF($AJ215=0,$AK215*EXP($AL215*-2),$AK215*(1+$AJ215*$AL215*-2)^(1/$AJ215)))</f>
        <v/>
      </c>
      <c r="AQ215">
        <f>IF($AJ215="","",IF($AJ215=0,$AK215*EXP($AL215*-3),$AK215*(1+$AJ215*$AL215*-3)^(1/$AJ215)))</f>
        <v/>
      </c>
      <c r="AR215">
        <f>IF(OR($X215="",$T215&gt;60),"",IFERROR(INDEX(IF($T215&lt;24,pcomp_l,palt_l),MATCH($X215,IF($T215&lt;24,pcomp_k,palt_k),1)),""))</f>
        <v/>
      </c>
      <c r="AS215">
        <f>IF(OR($X215="",$T215&gt;60),"",IFERROR(INDEX(IF($T215&lt;24,pcomp_m,palt_m),MATCH($X215,IF($T215&lt;24,pcomp_k,palt_k),1)),""))</f>
        <v/>
      </c>
      <c r="AT215">
        <f>IF(OR($X215="",$T215&gt;60),"",IFERROR(INDEX(IF($T215&lt;24,pcomp_s,palt_s),MATCH($X215,IF($T215&lt;24,pcomp_k,palt_k),1)),""))</f>
        <v/>
      </c>
      <c r="AU215">
        <f>IF($AR215="","",IF($AR215=0,LN($F215/$AS215)/$AT215,((($F215/$AS215)^$AR215)-1)/($AR215*$AT215)))</f>
        <v/>
      </c>
      <c r="AV215">
        <f>IF($AR215="","",IF($AR215=0,$AS215*EXP($AT215*2),$AS215*(1+$AR215*$AT215*2)^(1/$AR215)))</f>
        <v/>
      </c>
      <c r="AW215">
        <f>IF($AR215="","",IF($AR215=0,$AS215*EXP($AT215*3),$AS215*(1+$AR215*$AT215*3)^(1/$AR215)))</f>
        <v/>
      </c>
      <c r="AX215">
        <f>IF($AR215="","",IF($AR215=0,$AS215*EXP($AT215*-2),$AS215*(1+$AR215*$AT215*-2)^(1/$AR215)))</f>
        <v/>
      </c>
      <c r="AY215">
        <f>IF($AR215="","",IF($AR215=0,$AS215*EXP($AT215*-3),$AS215*(1+$AR215*$AT215*-3)^(1/$AR215)))</f>
        <v/>
      </c>
      <c r="AZ215">
        <f>IF(OR($A215="",$A215&lt;&gt;Ficha!$C$4),"",COUNTIF($A$2:$A215,Ficha!$C$4))</f>
        <v/>
      </c>
    </row>
    <row r="216">
      <c r="A216" s="8">
        <f>IF(INDEX(Banco!$A:$A,ROW())="","",INDEX(Banco!$A:$A,ROW()))</f>
        <v/>
      </c>
      <c r="B216" s="8">
        <f>IF(INDEX(Banco!$B:$B,ROW())="","",INDEX(Banco!$B:$B,ROW()))</f>
        <v/>
      </c>
      <c r="C216" s="8">
        <f>IF(INDEX(Banco!$C:$C,ROW())="","",INDEX(Banco!$C:$C,ROW()))</f>
        <v/>
      </c>
      <c r="D216" s="9">
        <f>IF(INDEX(Banco!$D:$D,ROW())="","",INDEX(Banco!$D:$D,ROW()))</f>
        <v/>
      </c>
      <c r="E216" s="9">
        <f>IF(INDEX(Banco!$E:$E,ROW())="","",INDEX(Banco!$E:$E,ROW()))</f>
        <v/>
      </c>
      <c r="F216" s="10">
        <f>IF(INDEX(Banco!$F:$F,ROW())="","",INDEX(Banco!$F:$F,ROW()))</f>
        <v/>
      </c>
      <c r="G216" s="10">
        <f>IF(INDEX(Banco!$G:$G,ROW())="","",INDEX(Banco!$G:$G,ROW()))</f>
        <v/>
      </c>
      <c r="H216" s="8">
        <f>IF(INDEX(Banco!$H:$H,ROW())="","",INDEX(Banco!$H:$H,ROW()))</f>
        <v/>
      </c>
      <c r="I216">
        <f>IF($T216="","",INT($T216/12)&amp;"a "&amp;MOD($T216,12)&amp;"m")</f>
        <v/>
      </c>
      <c r="J216" s="11">
        <f>IF(OR($F216="",$G216=""),"",ROUND($F216/($G216/100)^2,2))</f>
        <v/>
      </c>
      <c r="K216" s="12">
        <f>IF(OR($S216="",$J216="",$T216="",$T216&lt;0,$T216&gt;228,$Y216=""),"—",ROUND(IF(ABS($AB216)&lt;=3,$AB216,IF($AB216&gt;3,3+($J216-$AD216)/($AD216-$AC216),-3+($J216-$AF216)/($AE216-$AF216))),2))</f>
        <v/>
      </c>
      <c r="L216">
        <f>IF(OR($K216="",$K216="—"),"",IF($T216&lt;=60,IF($K216&lt;-3,"Magreza acentuada",IF($K216&lt;-2,"Magreza",IF($K216&lt;=1,"Eutrofia",IF($K216&lt;=2,"Risco de sobrepeso",IF($K216&lt;=3,"Sobrepeso","Obesidade"))))),IF($K216&lt;-3,"Magreza acentuada",IF($K216&lt;-2,"Magreza",IF($K216&lt;=1,"Eutrofia",IF($K216&lt;=2,"Sobrepeso",IF($K216&lt;=3,"Obesidade","Obesidade grave")))))))</f>
        <v/>
      </c>
      <c r="M216" s="12">
        <f>IF(OR($S216="",$V216="",$T216="",$T216&lt;0,$T216&gt;228,$AG216=""),"—",ROUND(IF($AG216=0,LN($V216/$AH216)/$AI216,((($V216/$AH216)^$AG216)-1)/($AG216*$AI216)),2))</f>
        <v/>
      </c>
      <c r="N216">
        <f>IF(OR($M216="",$M216="—"),"",IF($M216&lt;-3,"Muito baixa",IF($M216&lt;-2,"Baixa","Adequada")))</f>
        <v/>
      </c>
      <c r="O216" s="12">
        <f>IF(OR($S216="",$F216="",$T216="",$T216&lt;0,$T216&gt;120,$AJ216=""),"—",ROUND(IF(ABS($AM216)&lt;=3,$AM216,IF($AM216&gt;3,3+($F216-$AO216)/($AO216-$AN216),-3+($F216-$AQ216)/($AP216-$AQ216))),2))</f>
        <v/>
      </c>
      <c r="P216">
        <f>IF(OR($O216="",$O216="—"),"",IF($O216&lt;-3,"Muito baixo",IF($O216&lt;-2,"Baixo",IF($O216&lt;=2,"Adequado","Elevado"))))</f>
        <v/>
      </c>
      <c r="Q216" s="12">
        <f>IF(OR($S216="",$F216="",$T216="",$T216&lt;0,$T216&gt;60,$AR216=""),"—",ROUND(IF(ABS($AU216)&lt;=3,$AU216,IF($AU216&gt;3,3+($F216-$AW216)/($AW216-$AV216),-3+($F216-$AY216)/($AX216-$AY216))),2))</f>
        <v/>
      </c>
      <c r="R216">
        <f>IF(OR($Q216="",$Q216="—"),"",IF($Q216&lt;-3,"Magreza acentuada",IF($Q216&lt;-2,"Magreza",IF($Q216&lt;=1,"Eutrofia",IF($Q216&lt;=2,"Risco de sobrepeso",IF($Q216&lt;=3,"Sobrepeso","Obesidade"))))))</f>
        <v/>
      </c>
      <c r="S216">
        <f>IF($C216="","",IF(UPPER(LEFT($C216,1))="M",1,IF(UPPER(LEFT($C216,1))="F",2,"")))</f>
        <v/>
      </c>
      <c r="T216">
        <f>IF(OR($D216="",$E216=""),"",DATEDIF($D216,$E216,"m"))</f>
        <v/>
      </c>
      <c r="U216">
        <f>IF(OR($D216="",$E216=""),"",$E216-$D216)</f>
        <v/>
      </c>
      <c r="V216">
        <f>IF(OR($G216="",$T216=""),"",IF($T216&lt;24,IF(LEFT(LOWER($H216),4)="em p",$G216+0.7,$G216),IF(LEFT(LOWER($H216),4)="deit",$G216-0.7,$G216)))</f>
        <v/>
      </c>
      <c r="W216">
        <f>IF(OR($S216="",$T216=""),"",$S216*1000000+IF($T216&lt;=60,$U216,$T216))</f>
        <v/>
      </c>
      <c r="X216">
        <f>IF(OR($S216="",$V216="",$T216&gt;60,$T216=""),"",$S216*1000000+ROUND($V216*10,0))</f>
        <v/>
      </c>
      <c r="Y216">
        <f>IF($W216="","",IFERROR(INDEX(IF($T216&lt;=60,imc05_l,imc519_l),MATCH($W216,IF($T216&lt;=60,imc05_k,imc519_k),1)),""))</f>
        <v/>
      </c>
      <c r="Z216">
        <f>IF($W216="","",IFERROR(INDEX(IF($T216&lt;=60,imc05_m,imc519_m),MATCH($W216,IF($T216&lt;=60,imc05_k,imc519_k),1)),""))</f>
        <v/>
      </c>
      <c r="AA216">
        <f>IF($W216="","",IFERROR(INDEX(IF($T216&lt;=60,imc05_s,imc519_s),MATCH($W216,IF($T216&lt;=60,imc05_k,imc519_k),1)),""))</f>
        <v/>
      </c>
      <c r="AB216">
        <f>IF($Y216="","",IF($Y216=0,LN($J216/$Z216)/$AA216,((($J216/$Z216)^$Y216)-1)/($Y216*$AA216)))</f>
        <v/>
      </c>
      <c r="AC216">
        <f>IF($Y216="","",IF($Y216=0,$Z216*EXP($AA216*2),$Z216*(1+$Y216*$AA216*2)^(1/$Y216)))</f>
        <v/>
      </c>
      <c r="AD216">
        <f>IF($Y216="","",IF($Y216=0,$Z216*EXP($AA216*3),$Z216*(1+$Y216*$AA216*3)^(1/$Y216)))</f>
        <v/>
      </c>
      <c r="AE216">
        <f>IF($Y216="","",IF($Y216=0,$Z216*EXP($AA216*-2),$Z216*(1+$Y216*$AA216*-2)^(1/$Y216)))</f>
        <v/>
      </c>
      <c r="AF216">
        <f>IF($Y216="","",IF($Y216=0,$Z216*EXP($AA216*-3),$Z216*(1+$Y216*$AA216*-3)^(1/$Y216)))</f>
        <v/>
      </c>
      <c r="AG216">
        <f>IF($W216="","",IFERROR(INDEX(IF($T216&lt;=60,est05_l,est519_l),MATCH($W216,IF($T216&lt;=60,est05_k,est519_k),1)),""))</f>
        <v/>
      </c>
      <c r="AH216">
        <f>IF($W216="","",IFERROR(INDEX(IF($T216&lt;=60,est05_m,est519_m),MATCH($W216,IF($T216&lt;=60,est05_k,est519_k),1)),""))</f>
        <v/>
      </c>
      <c r="AI216">
        <f>IF($W216="","",IFERROR(INDEX(IF($T216&lt;=60,est05_s,est519_s),MATCH($W216,IF($T216&lt;=60,est05_k,est519_k),1)),""))</f>
        <v/>
      </c>
      <c r="AJ216">
        <f>IF($W216="","",IFERROR(INDEX(IF($T216&lt;=60,peso05_l,peso510_l),MATCH($W216,IF($T216&lt;=60,peso05_k,peso510_k),1)),""))</f>
        <v/>
      </c>
      <c r="AK216">
        <f>IF($W216="","",IFERROR(INDEX(IF($T216&lt;=60,peso05_m,peso510_m),MATCH($W216,IF($T216&lt;=60,peso05_k,peso510_k),1)),""))</f>
        <v/>
      </c>
      <c r="AL216">
        <f>IF($W216="","",IFERROR(INDEX(IF($T216&lt;=60,peso05_s,peso510_s),MATCH($W216,IF($T216&lt;=60,peso05_k,peso510_k),1)),""))</f>
        <v/>
      </c>
      <c r="AM216">
        <f>IF($AJ216="","",IF($AJ216=0,LN($F216/$AK216)/$AL216,((($F216/$AK216)^$AJ216)-1)/($AJ216*$AL216)))</f>
        <v/>
      </c>
      <c r="AN216">
        <f>IF($AJ216="","",IF($AJ216=0,$AK216*EXP($AL216*2),$AK216*(1+$AJ216*$AL216*2)^(1/$AJ216)))</f>
        <v/>
      </c>
      <c r="AO216">
        <f>IF($AJ216="","",IF($AJ216=0,$AK216*EXP($AL216*3),$AK216*(1+$AJ216*$AL216*3)^(1/$AJ216)))</f>
        <v/>
      </c>
      <c r="AP216">
        <f>IF($AJ216="","",IF($AJ216=0,$AK216*EXP($AL216*-2),$AK216*(1+$AJ216*$AL216*-2)^(1/$AJ216)))</f>
        <v/>
      </c>
      <c r="AQ216">
        <f>IF($AJ216="","",IF($AJ216=0,$AK216*EXP($AL216*-3),$AK216*(1+$AJ216*$AL216*-3)^(1/$AJ216)))</f>
        <v/>
      </c>
      <c r="AR216">
        <f>IF(OR($X216="",$T216&gt;60),"",IFERROR(INDEX(IF($T216&lt;24,pcomp_l,palt_l),MATCH($X216,IF($T216&lt;24,pcomp_k,palt_k),1)),""))</f>
        <v/>
      </c>
      <c r="AS216">
        <f>IF(OR($X216="",$T216&gt;60),"",IFERROR(INDEX(IF($T216&lt;24,pcomp_m,palt_m),MATCH($X216,IF($T216&lt;24,pcomp_k,palt_k),1)),""))</f>
        <v/>
      </c>
      <c r="AT216">
        <f>IF(OR($X216="",$T216&gt;60),"",IFERROR(INDEX(IF($T216&lt;24,pcomp_s,palt_s),MATCH($X216,IF($T216&lt;24,pcomp_k,palt_k),1)),""))</f>
        <v/>
      </c>
      <c r="AU216">
        <f>IF($AR216="","",IF($AR216=0,LN($F216/$AS216)/$AT216,((($F216/$AS216)^$AR216)-1)/($AR216*$AT216)))</f>
        <v/>
      </c>
      <c r="AV216">
        <f>IF($AR216="","",IF($AR216=0,$AS216*EXP($AT216*2),$AS216*(1+$AR216*$AT216*2)^(1/$AR216)))</f>
        <v/>
      </c>
      <c r="AW216">
        <f>IF($AR216="","",IF($AR216=0,$AS216*EXP($AT216*3),$AS216*(1+$AR216*$AT216*3)^(1/$AR216)))</f>
        <v/>
      </c>
      <c r="AX216">
        <f>IF($AR216="","",IF($AR216=0,$AS216*EXP($AT216*-2),$AS216*(1+$AR216*$AT216*-2)^(1/$AR216)))</f>
        <v/>
      </c>
      <c r="AY216">
        <f>IF($AR216="","",IF($AR216=0,$AS216*EXP($AT216*-3),$AS216*(1+$AR216*$AT216*-3)^(1/$AR216)))</f>
        <v/>
      </c>
      <c r="AZ216">
        <f>IF(OR($A216="",$A216&lt;&gt;Ficha!$C$4),"",COUNTIF($A$2:$A216,Ficha!$C$4))</f>
        <v/>
      </c>
    </row>
    <row r="217">
      <c r="A217" s="8">
        <f>IF(INDEX(Banco!$A:$A,ROW())="","",INDEX(Banco!$A:$A,ROW()))</f>
        <v/>
      </c>
      <c r="B217" s="8">
        <f>IF(INDEX(Banco!$B:$B,ROW())="","",INDEX(Banco!$B:$B,ROW()))</f>
        <v/>
      </c>
      <c r="C217" s="8">
        <f>IF(INDEX(Banco!$C:$C,ROW())="","",INDEX(Banco!$C:$C,ROW()))</f>
        <v/>
      </c>
      <c r="D217" s="9">
        <f>IF(INDEX(Banco!$D:$D,ROW())="","",INDEX(Banco!$D:$D,ROW()))</f>
        <v/>
      </c>
      <c r="E217" s="9">
        <f>IF(INDEX(Banco!$E:$E,ROW())="","",INDEX(Banco!$E:$E,ROW()))</f>
        <v/>
      </c>
      <c r="F217" s="10">
        <f>IF(INDEX(Banco!$F:$F,ROW())="","",INDEX(Banco!$F:$F,ROW()))</f>
        <v/>
      </c>
      <c r="G217" s="10">
        <f>IF(INDEX(Banco!$G:$G,ROW())="","",INDEX(Banco!$G:$G,ROW()))</f>
        <v/>
      </c>
      <c r="H217" s="8">
        <f>IF(INDEX(Banco!$H:$H,ROW())="","",INDEX(Banco!$H:$H,ROW()))</f>
        <v/>
      </c>
      <c r="I217">
        <f>IF($T217="","",INT($T217/12)&amp;"a "&amp;MOD($T217,12)&amp;"m")</f>
        <v/>
      </c>
      <c r="J217" s="11">
        <f>IF(OR($F217="",$G217=""),"",ROUND($F217/($G217/100)^2,2))</f>
        <v/>
      </c>
      <c r="K217" s="12">
        <f>IF(OR($S217="",$J217="",$T217="",$T217&lt;0,$T217&gt;228,$Y217=""),"—",ROUND(IF(ABS($AB217)&lt;=3,$AB217,IF($AB217&gt;3,3+($J217-$AD217)/($AD217-$AC217),-3+($J217-$AF217)/($AE217-$AF217))),2))</f>
        <v/>
      </c>
      <c r="L217">
        <f>IF(OR($K217="",$K217="—"),"",IF($T217&lt;=60,IF($K217&lt;-3,"Magreza acentuada",IF($K217&lt;-2,"Magreza",IF($K217&lt;=1,"Eutrofia",IF($K217&lt;=2,"Risco de sobrepeso",IF($K217&lt;=3,"Sobrepeso","Obesidade"))))),IF($K217&lt;-3,"Magreza acentuada",IF($K217&lt;-2,"Magreza",IF($K217&lt;=1,"Eutrofia",IF($K217&lt;=2,"Sobrepeso",IF($K217&lt;=3,"Obesidade","Obesidade grave")))))))</f>
        <v/>
      </c>
      <c r="M217" s="12">
        <f>IF(OR($S217="",$V217="",$T217="",$T217&lt;0,$T217&gt;228,$AG217=""),"—",ROUND(IF($AG217=0,LN($V217/$AH217)/$AI217,((($V217/$AH217)^$AG217)-1)/($AG217*$AI217)),2))</f>
        <v/>
      </c>
      <c r="N217">
        <f>IF(OR($M217="",$M217="—"),"",IF($M217&lt;-3,"Muito baixa",IF($M217&lt;-2,"Baixa","Adequada")))</f>
        <v/>
      </c>
      <c r="O217" s="12">
        <f>IF(OR($S217="",$F217="",$T217="",$T217&lt;0,$T217&gt;120,$AJ217=""),"—",ROUND(IF(ABS($AM217)&lt;=3,$AM217,IF($AM217&gt;3,3+($F217-$AO217)/($AO217-$AN217),-3+($F217-$AQ217)/($AP217-$AQ217))),2))</f>
        <v/>
      </c>
      <c r="P217">
        <f>IF(OR($O217="",$O217="—"),"",IF($O217&lt;-3,"Muito baixo",IF($O217&lt;-2,"Baixo",IF($O217&lt;=2,"Adequado","Elevado"))))</f>
        <v/>
      </c>
      <c r="Q217" s="12">
        <f>IF(OR($S217="",$F217="",$T217="",$T217&lt;0,$T217&gt;60,$AR217=""),"—",ROUND(IF(ABS($AU217)&lt;=3,$AU217,IF($AU217&gt;3,3+($F217-$AW217)/($AW217-$AV217),-3+($F217-$AY217)/($AX217-$AY217))),2))</f>
        <v/>
      </c>
      <c r="R217">
        <f>IF(OR($Q217="",$Q217="—"),"",IF($Q217&lt;-3,"Magreza acentuada",IF($Q217&lt;-2,"Magreza",IF($Q217&lt;=1,"Eutrofia",IF($Q217&lt;=2,"Risco de sobrepeso",IF($Q217&lt;=3,"Sobrepeso","Obesidade"))))))</f>
        <v/>
      </c>
      <c r="S217">
        <f>IF($C217="","",IF(UPPER(LEFT($C217,1))="M",1,IF(UPPER(LEFT($C217,1))="F",2,"")))</f>
        <v/>
      </c>
      <c r="T217">
        <f>IF(OR($D217="",$E217=""),"",DATEDIF($D217,$E217,"m"))</f>
        <v/>
      </c>
      <c r="U217">
        <f>IF(OR($D217="",$E217=""),"",$E217-$D217)</f>
        <v/>
      </c>
      <c r="V217">
        <f>IF(OR($G217="",$T217=""),"",IF($T217&lt;24,IF(LEFT(LOWER($H217),4)="em p",$G217+0.7,$G217),IF(LEFT(LOWER($H217),4)="deit",$G217-0.7,$G217)))</f>
        <v/>
      </c>
      <c r="W217">
        <f>IF(OR($S217="",$T217=""),"",$S217*1000000+IF($T217&lt;=60,$U217,$T217))</f>
        <v/>
      </c>
      <c r="X217">
        <f>IF(OR($S217="",$V217="",$T217&gt;60,$T217=""),"",$S217*1000000+ROUND($V217*10,0))</f>
        <v/>
      </c>
      <c r="Y217">
        <f>IF($W217="","",IFERROR(INDEX(IF($T217&lt;=60,imc05_l,imc519_l),MATCH($W217,IF($T217&lt;=60,imc05_k,imc519_k),1)),""))</f>
        <v/>
      </c>
      <c r="Z217">
        <f>IF($W217="","",IFERROR(INDEX(IF($T217&lt;=60,imc05_m,imc519_m),MATCH($W217,IF($T217&lt;=60,imc05_k,imc519_k),1)),""))</f>
        <v/>
      </c>
      <c r="AA217">
        <f>IF($W217="","",IFERROR(INDEX(IF($T217&lt;=60,imc05_s,imc519_s),MATCH($W217,IF($T217&lt;=60,imc05_k,imc519_k),1)),""))</f>
        <v/>
      </c>
      <c r="AB217">
        <f>IF($Y217="","",IF($Y217=0,LN($J217/$Z217)/$AA217,((($J217/$Z217)^$Y217)-1)/($Y217*$AA217)))</f>
        <v/>
      </c>
      <c r="AC217">
        <f>IF($Y217="","",IF($Y217=0,$Z217*EXP($AA217*2),$Z217*(1+$Y217*$AA217*2)^(1/$Y217)))</f>
        <v/>
      </c>
      <c r="AD217">
        <f>IF($Y217="","",IF($Y217=0,$Z217*EXP($AA217*3),$Z217*(1+$Y217*$AA217*3)^(1/$Y217)))</f>
        <v/>
      </c>
      <c r="AE217">
        <f>IF($Y217="","",IF($Y217=0,$Z217*EXP($AA217*-2),$Z217*(1+$Y217*$AA217*-2)^(1/$Y217)))</f>
        <v/>
      </c>
      <c r="AF217">
        <f>IF($Y217="","",IF($Y217=0,$Z217*EXP($AA217*-3),$Z217*(1+$Y217*$AA217*-3)^(1/$Y217)))</f>
        <v/>
      </c>
      <c r="AG217">
        <f>IF($W217="","",IFERROR(INDEX(IF($T217&lt;=60,est05_l,est519_l),MATCH($W217,IF($T217&lt;=60,est05_k,est519_k),1)),""))</f>
        <v/>
      </c>
      <c r="AH217">
        <f>IF($W217="","",IFERROR(INDEX(IF($T217&lt;=60,est05_m,est519_m),MATCH($W217,IF($T217&lt;=60,est05_k,est519_k),1)),""))</f>
        <v/>
      </c>
      <c r="AI217">
        <f>IF($W217="","",IFERROR(INDEX(IF($T217&lt;=60,est05_s,est519_s),MATCH($W217,IF($T217&lt;=60,est05_k,est519_k),1)),""))</f>
        <v/>
      </c>
      <c r="AJ217">
        <f>IF($W217="","",IFERROR(INDEX(IF($T217&lt;=60,peso05_l,peso510_l),MATCH($W217,IF($T217&lt;=60,peso05_k,peso510_k),1)),""))</f>
        <v/>
      </c>
      <c r="AK217">
        <f>IF($W217="","",IFERROR(INDEX(IF($T217&lt;=60,peso05_m,peso510_m),MATCH($W217,IF($T217&lt;=60,peso05_k,peso510_k),1)),""))</f>
        <v/>
      </c>
      <c r="AL217">
        <f>IF($W217="","",IFERROR(INDEX(IF($T217&lt;=60,peso05_s,peso510_s),MATCH($W217,IF($T217&lt;=60,peso05_k,peso510_k),1)),""))</f>
        <v/>
      </c>
      <c r="AM217">
        <f>IF($AJ217="","",IF($AJ217=0,LN($F217/$AK217)/$AL217,((($F217/$AK217)^$AJ217)-1)/($AJ217*$AL217)))</f>
        <v/>
      </c>
      <c r="AN217">
        <f>IF($AJ217="","",IF($AJ217=0,$AK217*EXP($AL217*2),$AK217*(1+$AJ217*$AL217*2)^(1/$AJ217)))</f>
        <v/>
      </c>
      <c r="AO217">
        <f>IF($AJ217="","",IF($AJ217=0,$AK217*EXP($AL217*3),$AK217*(1+$AJ217*$AL217*3)^(1/$AJ217)))</f>
        <v/>
      </c>
      <c r="AP217">
        <f>IF($AJ217="","",IF($AJ217=0,$AK217*EXP($AL217*-2),$AK217*(1+$AJ217*$AL217*-2)^(1/$AJ217)))</f>
        <v/>
      </c>
      <c r="AQ217">
        <f>IF($AJ217="","",IF($AJ217=0,$AK217*EXP($AL217*-3),$AK217*(1+$AJ217*$AL217*-3)^(1/$AJ217)))</f>
        <v/>
      </c>
      <c r="AR217">
        <f>IF(OR($X217="",$T217&gt;60),"",IFERROR(INDEX(IF($T217&lt;24,pcomp_l,palt_l),MATCH($X217,IF($T217&lt;24,pcomp_k,palt_k),1)),""))</f>
        <v/>
      </c>
      <c r="AS217">
        <f>IF(OR($X217="",$T217&gt;60),"",IFERROR(INDEX(IF($T217&lt;24,pcomp_m,palt_m),MATCH($X217,IF($T217&lt;24,pcomp_k,palt_k),1)),""))</f>
        <v/>
      </c>
      <c r="AT217">
        <f>IF(OR($X217="",$T217&gt;60),"",IFERROR(INDEX(IF($T217&lt;24,pcomp_s,palt_s),MATCH($X217,IF($T217&lt;24,pcomp_k,palt_k),1)),""))</f>
        <v/>
      </c>
      <c r="AU217">
        <f>IF($AR217="","",IF($AR217=0,LN($F217/$AS217)/$AT217,((($F217/$AS217)^$AR217)-1)/($AR217*$AT217)))</f>
        <v/>
      </c>
      <c r="AV217">
        <f>IF($AR217="","",IF($AR217=0,$AS217*EXP($AT217*2),$AS217*(1+$AR217*$AT217*2)^(1/$AR217)))</f>
        <v/>
      </c>
      <c r="AW217">
        <f>IF($AR217="","",IF($AR217=0,$AS217*EXP($AT217*3),$AS217*(1+$AR217*$AT217*3)^(1/$AR217)))</f>
        <v/>
      </c>
      <c r="AX217">
        <f>IF($AR217="","",IF($AR217=0,$AS217*EXP($AT217*-2),$AS217*(1+$AR217*$AT217*-2)^(1/$AR217)))</f>
        <v/>
      </c>
      <c r="AY217">
        <f>IF($AR217="","",IF($AR217=0,$AS217*EXP($AT217*-3),$AS217*(1+$AR217*$AT217*-3)^(1/$AR217)))</f>
        <v/>
      </c>
      <c r="AZ217">
        <f>IF(OR($A217="",$A217&lt;&gt;Ficha!$C$4),"",COUNTIF($A$2:$A217,Ficha!$C$4))</f>
        <v/>
      </c>
    </row>
    <row r="218">
      <c r="A218" s="8">
        <f>IF(INDEX(Banco!$A:$A,ROW())="","",INDEX(Banco!$A:$A,ROW()))</f>
        <v/>
      </c>
      <c r="B218" s="8">
        <f>IF(INDEX(Banco!$B:$B,ROW())="","",INDEX(Banco!$B:$B,ROW()))</f>
        <v/>
      </c>
      <c r="C218" s="8">
        <f>IF(INDEX(Banco!$C:$C,ROW())="","",INDEX(Banco!$C:$C,ROW()))</f>
        <v/>
      </c>
      <c r="D218" s="9">
        <f>IF(INDEX(Banco!$D:$D,ROW())="","",INDEX(Banco!$D:$D,ROW()))</f>
        <v/>
      </c>
      <c r="E218" s="9">
        <f>IF(INDEX(Banco!$E:$E,ROW())="","",INDEX(Banco!$E:$E,ROW()))</f>
        <v/>
      </c>
      <c r="F218" s="10">
        <f>IF(INDEX(Banco!$F:$F,ROW())="","",INDEX(Banco!$F:$F,ROW()))</f>
        <v/>
      </c>
      <c r="G218" s="10">
        <f>IF(INDEX(Banco!$G:$G,ROW())="","",INDEX(Banco!$G:$G,ROW()))</f>
        <v/>
      </c>
      <c r="H218" s="8">
        <f>IF(INDEX(Banco!$H:$H,ROW())="","",INDEX(Banco!$H:$H,ROW()))</f>
        <v/>
      </c>
      <c r="I218">
        <f>IF($T218="","",INT($T218/12)&amp;"a "&amp;MOD($T218,12)&amp;"m")</f>
        <v/>
      </c>
      <c r="J218" s="11">
        <f>IF(OR($F218="",$G218=""),"",ROUND($F218/($G218/100)^2,2))</f>
        <v/>
      </c>
      <c r="K218" s="12">
        <f>IF(OR($S218="",$J218="",$T218="",$T218&lt;0,$T218&gt;228,$Y218=""),"—",ROUND(IF(ABS($AB218)&lt;=3,$AB218,IF($AB218&gt;3,3+($J218-$AD218)/($AD218-$AC218),-3+($J218-$AF218)/($AE218-$AF218))),2))</f>
        <v/>
      </c>
      <c r="L218">
        <f>IF(OR($K218="",$K218="—"),"",IF($T218&lt;=60,IF($K218&lt;-3,"Magreza acentuada",IF($K218&lt;-2,"Magreza",IF($K218&lt;=1,"Eutrofia",IF($K218&lt;=2,"Risco de sobrepeso",IF($K218&lt;=3,"Sobrepeso","Obesidade"))))),IF($K218&lt;-3,"Magreza acentuada",IF($K218&lt;-2,"Magreza",IF($K218&lt;=1,"Eutrofia",IF($K218&lt;=2,"Sobrepeso",IF($K218&lt;=3,"Obesidade","Obesidade grave")))))))</f>
        <v/>
      </c>
      <c r="M218" s="12">
        <f>IF(OR($S218="",$V218="",$T218="",$T218&lt;0,$T218&gt;228,$AG218=""),"—",ROUND(IF($AG218=0,LN($V218/$AH218)/$AI218,((($V218/$AH218)^$AG218)-1)/($AG218*$AI218)),2))</f>
        <v/>
      </c>
      <c r="N218">
        <f>IF(OR($M218="",$M218="—"),"",IF($M218&lt;-3,"Muito baixa",IF($M218&lt;-2,"Baixa","Adequada")))</f>
        <v/>
      </c>
      <c r="O218" s="12">
        <f>IF(OR($S218="",$F218="",$T218="",$T218&lt;0,$T218&gt;120,$AJ218=""),"—",ROUND(IF(ABS($AM218)&lt;=3,$AM218,IF($AM218&gt;3,3+($F218-$AO218)/($AO218-$AN218),-3+($F218-$AQ218)/($AP218-$AQ218))),2))</f>
        <v/>
      </c>
      <c r="P218">
        <f>IF(OR($O218="",$O218="—"),"",IF($O218&lt;-3,"Muito baixo",IF($O218&lt;-2,"Baixo",IF($O218&lt;=2,"Adequado","Elevado"))))</f>
        <v/>
      </c>
      <c r="Q218" s="12">
        <f>IF(OR($S218="",$F218="",$T218="",$T218&lt;0,$T218&gt;60,$AR218=""),"—",ROUND(IF(ABS($AU218)&lt;=3,$AU218,IF($AU218&gt;3,3+($F218-$AW218)/($AW218-$AV218),-3+($F218-$AY218)/($AX218-$AY218))),2))</f>
        <v/>
      </c>
      <c r="R218">
        <f>IF(OR($Q218="",$Q218="—"),"",IF($Q218&lt;-3,"Magreza acentuada",IF($Q218&lt;-2,"Magreza",IF($Q218&lt;=1,"Eutrofia",IF($Q218&lt;=2,"Risco de sobrepeso",IF($Q218&lt;=3,"Sobrepeso","Obesidade"))))))</f>
        <v/>
      </c>
      <c r="S218">
        <f>IF($C218="","",IF(UPPER(LEFT($C218,1))="M",1,IF(UPPER(LEFT($C218,1))="F",2,"")))</f>
        <v/>
      </c>
      <c r="T218">
        <f>IF(OR($D218="",$E218=""),"",DATEDIF($D218,$E218,"m"))</f>
        <v/>
      </c>
      <c r="U218">
        <f>IF(OR($D218="",$E218=""),"",$E218-$D218)</f>
        <v/>
      </c>
      <c r="V218">
        <f>IF(OR($G218="",$T218=""),"",IF($T218&lt;24,IF(LEFT(LOWER($H218),4)="em p",$G218+0.7,$G218),IF(LEFT(LOWER($H218),4)="deit",$G218-0.7,$G218)))</f>
        <v/>
      </c>
      <c r="W218">
        <f>IF(OR($S218="",$T218=""),"",$S218*1000000+IF($T218&lt;=60,$U218,$T218))</f>
        <v/>
      </c>
      <c r="X218">
        <f>IF(OR($S218="",$V218="",$T218&gt;60,$T218=""),"",$S218*1000000+ROUND($V218*10,0))</f>
        <v/>
      </c>
      <c r="Y218">
        <f>IF($W218="","",IFERROR(INDEX(IF($T218&lt;=60,imc05_l,imc519_l),MATCH($W218,IF($T218&lt;=60,imc05_k,imc519_k),1)),""))</f>
        <v/>
      </c>
      <c r="Z218">
        <f>IF($W218="","",IFERROR(INDEX(IF($T218&lt;=60,imc05_m,imc519_m),MATCH($W218,IF($T218&lt;=60,imc05_k,imc519_k),1)),""))</f>
        <v/>
      </c>
      <c r="AA218">
        <f>IF($W218="","",IFERROR(INDEX(IF($T218&lt;=60,imc05_s,imc519_s),MATCH($W218,IF($T218&lt;=60,imc05_k,imc519_k),1)),""))</f>
        <v/>
      </c>
      <c r="AB218">
        <f>IF($Y218="","",IF($Y218=0,LN($J218/$Z218)/$AA218,((($J218/$Z218)^$Y218)-1)/($Y218*$AA218)))</f>
        <v/>
      </c>
      <c r="AC218">
        <f>IF($Y218="","",IF($Y218=0,$Z218*EXP($AA218*2),$Z218*(1+$Y218*$AA218*2)^(1/$Y218)))</f>
        <v/>
      </c>
      <c r="AD218">
        <f>IF($Y218="","",IF($Y218=0,$Z218*EXP($AA218*3),$Z218*(1+$Y218*$AA218*3)^(1/$Y218)))</f>
        <v/>
      </c>
      <c r="AE218">
        <f>IF($Y218="","",IF($Y218=0,$Z218*EXP($AA218*-2),$Z218*(1+$Y218*$AA218*-2)^(1/$Y218)))</f>
        <v/>
      </c>
      <c r="AF218">
        <f>IF($Y218="","",IF($Y218=0,$Z218*EXP($AA218*-3),$Z218*(1+$Y218*$AA218*-3)^(1/$Y218)))</f>
        <v/>
      </c>
      <c r="AG218">
        <f>IF($W218="","",IFERROR(INDEX(IF($T218&lt;=60,est05_l,est519_l),MATCH($W218,IF($T218&lt;=60,est05_k,est519_k),1)),""))</f>
        <v/>
      </c>
      <c r="AH218">
        <f>IF($W218="","",IFERROR(INDEX(IF($T218&lt;=60,est05_m,est519_m),MATCH($W218,IF($T218&lt;=60,est05_k,est519_k),1)),""))</f>
        <v/>
      </c>
      <c r="AI218">
        <f>IF($W218="","",IFERROR(INDEX(IF($T218&lt;=60,est05_s,est519_s),MATCH($W218,IF($T218&lt;=60,est05_k,est519_k),1)),""))</f>
        <v/>
      </c>
      <c r="AJ218">
        <f>IF($W218="","",IFERROR(INDEX(IF($T218&lt;=60,peso05_l,peso510_l),MATCH($W218,IF($T218&lt;=60,peso05_k,peso510_k),1)),""))</f>
        <v/>
      </c>
      <c r="AK218">
        <f>IF($W218="","",IFERROR(INDEX(IF($T218&lt;=60,peso05_m,peso510_m),MATCH($W218,IF($T218&lt;=60,peso05_k,peso510_k),1)),""))</f>
        <v/>
      </c>
      <c r="AL218">
        <f>IF($W218="","",IFERROR(INDEX(IF($T218&lt;=60,peso05_s,peso510_s),MATCH($W218,IF($T218&lt;=60,peso05_k,peso510_k),1)),""))</f>
        <v/>
      </c>
      <c r="AM218">
        <f>IF($AJ218="","",IF($AJ218=0,LN($F218/$AK218)/$AL218,((($F218/$AK218)^$AJ218)-1)/($AJ218*$AL218)))</f>
        <v/>
      </c>
      <c r="AN218">
        <f>IF($AJ218="","",IF($AJ218=0,$AK218*EXP($AL218*2),$AK218*(1+$AJ218*$AL218*2)^(1/$AJ218)))</f>
        <v/>
      </c>
      <c r="AO218">
        <f>IF($AJ218="","",IF($AJ218=0,$AK218*EXP($AL218*3),$AK218*(1+$AJ218*$AL218*3)^(1/$AJ218)))</f>
        <v/>
      </c>
      <c r="AP218">
        <f>IF($AJ218="","",IF($AJ218=0,$AK218*EXP($AL218*-2),$AK218*(1+$AJ218*$AL218*-2)^(1/$AJ218)))</f>
        <v/>
      </c>
      <c r="AQ218">
        <f>IF($AJ218="","",IF($AJ218=0,$AK218*EXP($AL218*-3),$AK218*(1+$AJ218*$AL218*-3)^(1/$AJ218)))</f>
        <v/>
      </c>
      <c r="AR218">
        <f>IF(OR($X218="",$T218&gt;60),"",IFERROR(INDEX(IF($T218&lt;24,pcomp_l,palt_l),MATCH($X218,IF($T218&lt;24,pcomp_k,palt_k),1)),""))</f>
        <v/>
      </c>
      <c r="AS218">
        <f>IF(OR($X218="",$T218&gt;60),"",IFERROR(INDEX(IF($T218&lt;24,pcomp_m,palt_m),MATCH($X218,IF($T218&lt;24,pcomp_k,palt_k),1)),""))</f>
        <v/>
      </c>
      <c r="AT218">
        <f>IF(OR($X218="",$T218&gt;60),"",IFERROR(INDEX(IF($T218&lt;24,pcomp_s,palt_s),MATCH($X218,IF($T218&lt;24,pcomp_k,palt_k),1)),""))</f>
        <v/>
      </c>
      <c r="AU218">
        <f>IF($AR218="","",IF($AR218=0,LN($F218/$AS218)/$AT218,((($F218/$AS218)^$AR218)-1)/($AR218*$AT218)))</f>
        <v/>
      </c>
      <c r="AV218">
        <f>IF($AR218="","",IF($AR218=0,$AS218*EXP($AT218*2),$AS218*(1+$AR218*$AT218*2)^(1/$AR218)))</f>
        <v/>
      </c>
      <c r="AW218">
        <f>IF($AR218="","",IF($AR218=0,$AS218*EXP($AT218*3),$AS218*(1+$AR218*$AT218*3)^(1/$AR218)))</f>
        <v/>
      </c>
      <c r="AX218">
        <f>IF($AR218="","",IF($AR218=0,$AS218*EXP($AT218*-2),$AS218*(1+$AR218*$AT218*-2)^(1/$AR218)))</f>
        <v/>
      </c>
      <c r="AY218">
        <f>IF($AR218="","",IF($AR218=0,$AS218*EXP($AT218*-3),$AS218*(1+$AR218*$AT218*-3)^(1/$AR218)))</f>
        <v/>
      </c>
      <c r="AZ218">
        <f>IF(OR($A218="",$A218&lt;&gt;Ficha!$C$4),"",COUNTIF($A$2:$A218,Ficha!$C$4))</f>
        <v/>
      </c>
    </row>
    <row r="219">
      <c r="A219" s="8">
        <f>IF(INDEX(Banco!$A:$A,ROW())="","",INDEX(Banco!$A:$A,ROW()))</f>
        <v/>
      </c>
      <c r="B219" s="8">
        <f>IF(INDEX(Banco!$B:$B,ROW())="","",INDEX(Banco!$B:$B,ROW()))</f>
        <v/>
      </c>
      <c r="C219" s="8">
        <f>IF(INDEX(Banco!$C:$C,ROW())="","",INDEX(Banco!$C:$C,ROW()))</f>
        <v/>
      </c>
      <c r="D219" s="9">
        <f>IF(INDEX(Banco!$D:$D,ROW())="","",INDEX(Banco!$D:$D,ROW()))</f>
        <v/>
      </c>
      <c r="E219" s="9">
        <f>IF(INDEX(Banco!$E:$E,ROW())="","",INDEX(Banco!$E:$E,ROW()))</f>
        <v/>
      </c>
      <c r="F219" s="10">
        <f>IF(INDEX(Banco!$F:$F,ROW())="","",INDEX(Banco!$F:$F,ROW()))</f>
        <v/>
      </c>
      <c r="G219" s="10">
        <f>IF(INDEX(Banco!$G:$G,ROW())="","",INDEX(Banco!$G:$G,ROW()))</f>
        <v/>
      </c>
      <c r="H219" s="8">
        <f>IF(INDEX(Banco!$H:$H,ROW())="","",INDEX(Banco!$H:$H,ROW()))</f>
        <v/>
      </c>
      <c r="I219">
        <f>IF($T219="","",INT($T219/12)&amp;"a "&amp;MOD($T219,12)&amp;"m")</f>
        <v/>
      </c>
      <c r="J219" s="11">
        <f>IF(OR($F219="",$G219=""),"",ROUND($F219/($G219/100)^2,2))</f>
        <v/>
      </c>
      <c r="K219" s="12">
        <f>IF(OR($S219="",$J219="",$T219="",$T219&lt;0,$T219&gt;228,$Y219=""),"—",ROUND(IF(ABS($AB219)&lt;=3,$AB219,IF($AB219&gt;3,3+($J219-$AD219)/($AD219-$AC219),-3+($J219-$AF219)/($AE219-$AF219))),2))</f>
        <v/>
      </c>
      <c r="L219">
        <f>IF(OR($K219="",$K219="—"),"",IF($T219&lt;=60,IF($K219&lt;-3,"Magreza acentuada",IF($K219&lt;-2,"Magreza",IF($K219&lt;=1,"Eutrofia",IF($K219&lt;=2,"Risco de sobrepeso",IF($K219&lt;=3,"Sobrepeso","Obesidade"))))),IF($K219&lt;-3,"Magreza acentuada",IF($K219&lt;-2,"Magreza",IF($K219&lt;=1,"Eutrofia",IF($K219&lt;=2,"Sobrepeso",IF($K219&lt;=3,"Obesidade","Obesidade grave")))))))</f>
        <v/>
      </c>
      <c r="M219" s="12">
        <f>IF(OR($S219="",$V219="",$T219="",$T219&lt;0,$T219&gt;228,$AG219=""),"—",ROUND(IF($AG219=0,LN($V219/$AH219)/$AI219,((($V219/$AH219)^$AG219)-1)/($AG219*$AI219)),2))</f>
        <v/>
      </c>
      <c r="N219">
        <f>IF(OR($M219="",$M219="—"),"",IF($M219&lt;-3,"Muito baixa",IF($M219&lt;-2,"Baixa","Adequada")))</f>
        <v/>
      </c>
      <c r="O219" s="12">
        <f>IF(OR($S219="",$F219="",$T219="",$T219&lt;0,$T219&gt;120,$AJ219=""),"—",ROUND(IF(ABS($AM219)&lt;=3,$AM219,IF($AM219&gt;3,3+($F219-$AO219)/($AO219-$AN219),-3+($F219-$AQ219)/($AP219-$AQ219))),2))</f>
        <v/>
      </c>
      <c r="P219">
        <f>IF(OR($O219="",$O219="—"),"",IF($O219&lt;-3,"Muito baixo",IF($O219&lt;-2,"Baixo",IF($O219&lt;=2,"Adequado","Elevado"))))</f>
        <v/>
      </c>
      <c r="Q219" s="12">
        <f>IF(OR($S219="",$F219="",$T219="",$T219&lt;0,$T219&gt;60,$AR219=""),"—",ROUND(IF(ABS($AU219)&lt;=3,$AU219,IF($AU219&gt;3,3+($F219-$AW219)/($AW219-$AV219),-3+($F219-$AY219)/($AX219-$AY219))),2))</f>
        <v/>
      </c>
      <c r="R219">
        <f>IF(OR($Q219="",$Q219="—"),"",IF($Q219&lt;-3,"Magreza acentuada",IF($Q219&lt;-2,"Magreza",IF($Q219&lt;=1,"Eutrofia",IF($Q219&lt;=2,"Risco de sobrepeso",IF($Q219&lt;=3,"Sobrepeso","Obesidade"))))))</f>
        <v/>
      </c>
      <c r="S219">
        <f>IF($C219="","",IF(UPPER(LEFT($C219,1))="M",1,IF(UPPER(LEFT($C219,1))="F",2,"")))</f>
        <v/>
      </c>
      <c r="T219">
        <f>IF(OR($D219="",$E219=""),"",DATEDIF($D219,$E219,"m"))</f>
        <v/>
      </c>
      <c r="U219">
        <f>IF(OR($D219="",$E219=""),"",$E219-$D219)</f>
        <v/>
      </c>
      <c r="V219">
        <f>IF(OR($G219="",$T219=""),"",IF($T219&lt;24,IF(LEFT(LOWER($H219),4)="em p",$G219+0.7,$G219),IF(LEFT(LOWER($H219),4)="deit",$G219-0.7,$G219)))</f>
        <v/>
      </c>
      <c r="W219">
        <f>IF(OR($S219="",$T219=""),"",$S219*1000000+IF($T219&lt;=60,$U219,$T219))</f>
        <v/>
      </c>
      <c r="X219">
        <f>IF(OR($S219="",$V219="",$T219&gt;60,$T219=""),"",$S219*1000000+ROUND($V219*10,0))</f>
        <v/>
      </c>
      <c r="Y219">
        <f>IF($W219="","",IFERROR(INDEX(IF($T219&lt;=60,imc05_l,imc519_l),MATCH($W219,IF($T219&lt;=60,imc05_k,imc519_k),1)),""))</f>
        <v/>
      </c>
      <c r="Z219">
        <f>IF($W219="","",IFERROR(INDEX(IF($T219&lt;=60,imc05_m,imc519_m),MATCH($W219,IF($T219&lt;=60,imc05_k,imc519_k),1)),""))</f>
        <v/>
      </c>
      <c r="AA219">
        <f>IF($W219="","",IFERROR(INDEX(IF($T219&lt;=60,imc05_s,imc519_s),MATCH($W219,IF($T219&lt;=60,imc05_k,imc519_k),1)),""))</f>
        <v/>
      </c>
      <c r="AB219">
        <f>IF($Y219="","",IF($Y219=0,LN($J219/$Z219)/$AA219,((($J219/$Z219)^$Y219)-1)/($Y219*$AA219)))</f>
        <v/>
      </c>
      <c r="AC219">
        <f>IF($Y219="","",IF($Y219=0,$Z219*EXP($AA219*2),$Z219*(1+$Y219*$AA219*2)^(1/$Y219)))</f>
        <v/>
      </c>
      <c r="AD219">
        <f>IF($Y219="","",IF($Y219=0,$Z219*EXP($AA219*3),$Z219*(1+$Y219*$AA219*3)^(1/$Y219)))</f>
        <v/>
      </c>
      <c r="AE219">
        <f>IF($Y219="","",IF($Y219=0,$Z219*EXP($AA219*-2),$Z219*(1+$Y219*$AA219*-2)^(1/$Y219)))</f>
        <v/>
      </c>
      <c r="AF219">
        <f>IF($Y219="","",IF($Y219=0,$Z219*EXP($AA219*-3),$Z219*(1+$Y219*$AA219*-3)^(1/$Y219)))</f>
        <v/>
      </c>
      <c r="AG219">
        <f>IF($W219="","",IFERROR(INDEX(IF($T219&lt;=60,est05_l,est519_l),MATCH($W219,IF($T219&lt;=60,est05_k,est519_k),1)),""))</f>
        <v/>
      </c>
      <c r="AH219">
        <f>IF($W219="","",IFERROR(INDEX(IF($T219&lt;=60,est05_m,est519_m),MATCH($W219,IF($T219&lt;=60,est05_k,est519_k),1)),""))</f>
        <v/>
      </c>
      <c r="AI219">
        <f>IF($W219="","",IFERROR(INDEX(IF($T219&lt;=60,est05_s,est519_s),MATCH($W219,IF($T219&lt;=60,est05_k,est519_k),1)),""))</f>
        <v/>
      </c>
      <c r="AJ219">
        <f>IF($W219="","",IFERROR(INDEX(IF($T219&lt;=60,peso05_l,peso510_l),MATCH($W219,IF($T219&lt;=60,peso05_k,peso510_k),1)),""))</f>
        <v/>
      </c>
      <c r="AK219">
        <f>IF($W219="","",IFERROR(INDEX(IF($T219&lt;=60,peso05_m,peso510_m),MATCH($W219,IF($T219&lt;=60,peso05_k,peso510_k),1)),""))</f>
        <v/>
      </c>
      <c r="AL219">
        <f>IF($W219="","",IFERROR(INDEX(IF($T219&lt;=60,peso05_s,peso510_s),MATCH($W219,IF($T219&lt;=60,peso05_k,peso510_k),1)),""))</f>
        <v/>
      </c>
      <c r="AM219">
        <f>IF($AJ219="","",IF($AJ219=0,LN($F219/$AK219)/$AL219,((($F219/$AK219)^$AJ219)-1)/($AJ219*$AL219)))</f>
        <v/>
      </c>
      <c r="AN219">
        <f>IF($AJ219="","",IF($AJ219=0,$AK219*EXP($AL219*2),$AK219*(1+$AJ219*$AL219*2)^(1/$AJ219)))</f>
        <v/>
      </c>
      <c r="AO219">
        <f>IF($AJ219="","",IF($AJ219=0,$AK219*EXP($AL219*3),$AK219*(1+$AJ219*$AL219*3)^(1/$AJ219)))</f>
        <v/>
      </c>
      <c r="AP219">
        <f>IF($AJ219="","",IF($AJ219=0,$AK219*EXP($AL219*-2),$AK219*(1+$AJ219*$AL219*-2)^(1/$AJ219)))</f>
        <v/>
      </c>
      <c r="AQ219">
        <f>IF($AJ219="","",IF($AJ219=0,$AK219*EXP($AL219*-3),$AK219*(1+$AJ219*$AL219*-3)^(1/$AJ219)))</f>
        <v/>
      </c>
      <c r="AR219">
        <f>IF(OR($X219="",$T219&gt;60),"",IFERROR(INDEX(IF($T219&lt;24,pcomp_l,palt_l),MATCH($X219,IF($T219&lt;24,pcomp_k,palt_k),1)),""))</f>
        <v/>
      </c>
      <c r="AS219">
        <f>IF(OR($X219="",$T219&gt;60),"",IFERROR(INDEX(IF($T219&lt;24,pcomp_m,palt_m),MATCH($X219,IF($T219&lt;24,pcomp_k,palt_k),1)),""))</f>
        <v/>
      </c>
      <c r="AT219">
        <f>IF(OR($X219="",$T219&gt;60),"",IFERROR(INDEX(IF($T219&lt;24,pcomp_s,palt_s),MATCH($X219,IF($T219&lt;24,pcomp_k,palt_k),1)),""))</f>
        <v/>
      </c>
      <c r="AU219">
        <f>IF($AR219="","",IF($AR219=0,LN($F219/$AS219)/$AT219,((($F219/$AS219)^$AR219)-1)/($AR219*$AT219)))</f>
        <v/>
      </c>
      <c r="AV219">
        <f>IF($AR219="","",IF($AR219=0,$AS219*EXP($AT219*2),$AS219*(1+$AR219*$AT219*2)^(1/$AR219)))</f>
        <v/>
      </c>
      <c r="AW219">
        <f>IF($AR219="","",IF($AR219=0,$AS219*EXP($AT219*3),$AS219*(1+$AR219*$AT219*3)^(1/$AR219)))</f>
        <v/>
      </c>
      <c r="AX219">
        <f>IF($AR219="","",IF($AR219=0,$AS219*EXP($AT219*-2),$AS219*(1+$AR219*$AT219*-2)^(1/$AR219)))</f>
        <v/>
      </c>
      <c r="AY219">
        <f>IF($AR219="","",IF($AR219=0,$AS219*EXP($AT219*-3),$AS219*(1+$AR219*$AT219*-3)^(1/$AR219)))</f>
        <v/>
      </c>
      <c r="AZ219">
        <f>IF(OR($A219="",$A219&lt;&gt;Ficha!$C$4),"",COUNTIF($A$2:$A219,Ficha!$C$4))</f>
        <v/>
      </c>
    </row>
    <row r="220">
      <c r="A220" s="8">
        <f>IF(INDEX(Banco!$A:$A,ROW())="","",INDEX(Banco!$A:$A,ROW()))</f>
        <v/>
      </c>
      <c r="B220" s="8">
        <f>IF(INDEX(Banco!$B:$B,ROW())="","",INDEX(Banco!$B:$B,ROW()))</f>
        <v/>
      </c>
      <c r="C220" s="8">
        <f>IF(INDEX(Banco!$C:$C,ROW())="","",INDEX(Banco!$C:$C,ROW()))</f>
        <v/>
      </c>
      <c r="D220" s="9">
        <f>IF(INDEX(Banco!$D:$D,ROW())="","",INDEX(Banco!$D:$D,ROW()))</f>
        <v/>
      </c>
      <c r="E220" s="9">
        <f>IF(INDEX(Banco!$E:$E,ROW())="","",INDEX(Banco!$E:$E,ROW()))</f>
        <v/>
      </c>
      <c r="F220" s="10">
        <f>IF(INDEX(Banco!$F:$F,ROW())="","",INDEX(Banco!$F:$F,ROW()))</f>
        <v/>
      </c>
      <c r="G220" s="10">
        <f>IF(INDEX(Banco!$G:$G,ROW())="","",INDEX(Banco!$G:$G,ROW()))</f>
        <v/>
      </c>
      <c r="H220" s="8">
        <f>IF(INDEX(Banco!$H:$H,ROW())="","",INDEX(Banco!$H:$H,ROW()))</f>
        <v/>
      </c>
      <c r="I220">
        <f>IF($T220="","",INT($T220/12)&amp;"a "&amp;MOD($T220,12)&amp;"m")</f>
        <v/>
      </c>
      <c r="J220" s="11">
        <f>IF(OR($F220="",$G220=""),"",ROUND($F220/($G220/100)^2,2))</f>
        <v/>
      </c>
      <c r="K220" s="12">
        <f>IF(OR($S220="",$J220="",$T220="",$T220&lt;0,$T220&gt;228,$Y220=""),"—",ROUND(IF(ABS($AB220)&lt;=3,$AB220,IF($AB220&gt;3,3+($J220-$AD220)/($AD220-$AC220),-3+($J220-$AF220)/($AE220-$AF220))),2))</f>
        <v/>
      </c>
      <c r="L220">
        <f>IF(OR($K220="",$K220="—"),"",IF($T220&lt;=60,IF($K220&lt;-3,"Magreza acentuada",IF($K220&lt;-2,"Magreza",IF($K220&lt;=1,"Eutrofia",IF($K220&lt;=2,"Risco de sobrepeso",IF($K220&lt;=3,"Sobrepeso","Obesidade"))))),IF($K220&lt;-3,"Magreza acentuada",IF($K220&lt;-2,"Magreza",IF($K220&lt;=1,"Eutrofia",IF($K220&lt;=2,"Sobrepeso",IF($K220&lt;=3,"Obesidade","Obesidade grave")))))))</f>
        <v/>
      </c>
      <c r="M220" s="12">
        <f>IF(OR($S220="",$V220="",$T220="",$T220&lt;0,$T220&gt;228,$AG220=""),"—",ROUND(IF($AG220=0,LN($V220/$AH220)/$AI220,((($V220/$AH220)^$AG220)-1)/($AG220*$AI220)),2))</f>
        <v/>
      </c>
      <c r="N220">
        <f>IF(OR($M220="",$M220="—"),"",IF($M220&lt;-3,"Muito baixa",IF($M220&lt;-2,"Baixa","Adequada")))</f>
        <v/>
      </c>
      <c r="O220" s="12">
        <f>IF(OR($S220="",$F220="",$T220="",$T220&lt;0,$T220&gt;120,$AJ220=""),"—",ROUND(IF(ABS($AM220)&lt;=3,$AM220,IF($AM220&gt;3,3+($F220-$AO220)/($AO220-$AN220),-3+($F220-$AQ220)/($AP220-$AQ220))),2))</f>
        <v/>
      </c>
      <c r="P220">
        <f>IF(OR($O220="",$O220="—"),"",IF($O220&lt;-3,"Muito baixo",IF($O220&lt;-2,"Baixo",IF($O220&lt;=2,"Adequado","Elevado"))))</f>
        <v/>
      </c>
      <c r="Q220" s="12">
        <f>IF(OR($S220="",$F220="",$T220="",$T220&lt;0,$T220&gt;60,$AR220=""),"—",ROUND(IF(ABS($AU220)&lt;=3,$AU220,IF($AU220&gt;3,3+($F220-$AW220)/($AW220-$AV220),-3+($F220-$AY220)/($AX220-$AY220))),2))</f>
        <v/>
      </c>
      <c r="R220">
        <f>IF(OR($Q220="",$Q220="—"),"",IF($Q220&lt;-3,"Magreza acentuada",IF($Q220&lt;-2,"Magreza",IF($Q220&lt;=1,"Eutrofia",IF($Q220&lt;=2,"Risco de sobrepeso",IF($Q220&lt;=3,"Sobrepeso","Obesidade"))))))</f>
        <v/>
      </c>
      <c r="S220">
        <f>IF($C220="","",IF(UPPER(LEFT($C220,1))="M",1,IF(UPPER(LEFT($C220,1))="F",2,"")))</f>
        <v/>
      </c>
      <c r="T220">
        <f>IF(OR($D220="",$E220=""),"",DATEDIF($D220,$E220,"m"))</f>
        <v/>
      </c>
      <c r="U220">
        <f>IF(OR($D220="",$E220=""),"",$E220-$D220)</f>
        <v/>
      </c>
      <c r="V220">
        <f>IF(OR($G220="",$T220=""),"",IF($T220&lt;24,IF(LEFT(LOWER($H220),4)="em p",$G220+0.7,$G220),IF(LEFT(LOWER($H220),4)="deit",$G220-0.7,$G220)))</f>
        <v/>
      </c>
      <c r="W220">
        <f>IF(OR($S220="",$T220=""),"",$S220*1000000+IF($T220&lt;=60,$U220,$T220))</f>
        <v/>
      </c>
      <c r="X220">
        <f>IF(OR($S220="",$V220="",$T220&gt;60,$T220=""),"",$S220*1000000+ROUND($V220*10,0))</f>
        <v/>
      </c>
      <c r="Y220">
        <f>IF($W220="","",IFERROR(INDEX(IF($T220&lt;=60,imc05_l,imc519_l),MATCH($W220,IF($T220&lt;=60,imc05_k,imc519_k),1)),""))</f>
        <v/>
      </c>
      <c r="Z220">
        <f>IF($W220="","",IFERROR(INDEX(IF($T220&lt;=60,imc05_m,imc519_m),MATCH($W220,IF($T220&lt;=60,imc05_k,imc519_k),1)),""))</f>
        <v/>
      </c>
      <c r="AA220">
        <f>IF($W220="","",IFERROR(INDEX(IF($T220&lt;=60,imc05_s,imc519_s),MATCH($W220,IF($T220&lt;=60,imc05_k,imc519_k),1)),""))</f>
        <v/>
      </c>
      <c r="AB220">
        <f>IF($Y220="","",IF($Y220=0,LN($J220/$Z220)/$AA220,((($J220/$Z220)^$Y220)-1)/($Y220*$AA220)))</f>
        <v/>
      </c>
      <c r="AC220">
        <f>IF($Y220="","",IF($Y220=0,$Z220*EXP($AA220*2),$Z220*(1+$Y220*$AA220*2)^(1/$Y220)))</f>
        <v/>
      </c>
      <c r="AD220">
        <f>IF($Y220="","",IF($Y220=0,$Z220*EXP($AA220*3),$Z220*(1+$Y220*$AA220*3)^(1/$Y220)))</f>
        <v/>
      </c>
      <c r="AE220">
        <f>IF($Y220="","",IF($Y220=0,$Z220*EXP($AA220*-2),$Z220*(1+$Y220*$AA220*-2)^(1/$Y220)))</f>
        <v/>
      </c>
      <c r="AF220">
        <f>IF($Y220="","",IF($Y220=0,$Z220*EXP($AA220*-3),$Z220*(1+$Y220*$AA220*-3)^(1/$Y220)))</f>
        <v/>
      </c>
      <c r="AG220">
        <f>IF($W220="","",IFERROR(INDEX(IF($T220&lt;=60,est05_l,est519_l),MATCH($W220,IF($T220&lt;=60,est05_k,est519_k),1)),""))</f>
        <v/>
      </c>
      <c r="AH220">
        <f>IF($W220="","",IFERROR(INDEX(IF($T220&lt;=60,est05_m,est519_m),MATCH($W220,IF($T220&lt;=60,est05_k,est519_k),1)),""))</f>
        <v/>
      </c>
      <c r="AI220">
        <f>IF($W220="","",IFERROR(INDEX(IF($T220&lt;=60,est05_s,est519_s),MATCH($W220,IF($T220&lt;=60,est05_k,est519_k),1)),""))</f>
        <v/>
      </c>
      <c r="AJ220">
        <f>IF($W220="","",IFERROR(INDEX(IF($T220&lt;=60,peso05_l,peso510_l),MATCH($W220,IF($T220&lt;=60,peso05_k,peso510_k),1)),""))</f>
        <v/>
      </c>
      <c r="AK220">
        <f>IF($W220="","",IFERROR(INDEX(IF($T220&lt;=60,peso05_m,peso510_m),MATCH($W220,IF($T220&lt;=60,peso05_k,peso510_k),1)),""))</f>
        <v/>
      </c>
      <c r="AL220">
        <f>IF($W220="","",IFERROR(INDEX(IF($T220&lt;=60,peso05_s,peso510_s),MATCH($W220,IF($T220&lt;=60,peso05_k,peso510_k),1)),""))</f>
        <v/>
      </c>
      <c r="AM220">
        <f>IF($AJ220="","",IF($AJ220=0,LN($F220/$AK220)/$AL220,((($F220/$AK220)^$AJ220)-1)/($AJ220*$AL220)))</f>
        <v/>
      </c>
      <c r="AN220">
        <f>IF($AJ220="","",IF($AJ220=0,$AK220*EXP($AL220*2),$AK220*(1+$AJ220*$AL220*2)^(1/$AJ220)))</f>
        <v/>
      </c>
      <c r="AO220">
        <f>IF($AJ220="","",IF($AJ220=0,$AK220*EXP($AL220*3),$AK220*(1+$AJ220*$AL220*3)^(1/$AJ220)))</f>
        <v/>
      </c>
      <c r="AP220">
        <f>IF($AJ220="","",IF($AJ220=0,$AK220*EXP($AL220*-2),$AK220*(1+$AJ220*$AL220*-2)^(1/$AJ220)))</f>
        <v/>
      </c>
      <c r="AQ220">
        <f>IF($AJ220="","",IF($AJ220=0,$AK220*EXP($AL220*-3),$AK220*(1+$AJ220*$AL220*-3)^(1/$AJ220)))</f>
        <v/>
      </c>
      <c r="AR220">
        <f>IF(OR($X220="",$T220&gt;60),"",IFERROR(INDEX(IF($T220&lt;24,pcomp_l,palt_l),MATCH($X220,IF($T220&lt;24,pcomp_k,palt_k),1)),""))</f>
        <v/>
      </c>
      <c r="AS220">
        <f>IF(OR($X220="",$T220&gt;60),"",IFERROR(INDEX(IF($T220&lt;24,pcomp_m,palt_m),MATCH($X220,IF($T220&lt;24,pcomp_k,palt_k),1)),""))</f>
        <v/>
      </c>
      <c r="AT220">
        <f>IF(OR($X220="",$T220&gt;60),"",IFERROR(INDEX(IF($T220&lt;24,pcomp_s,palt_s),MATCH($X220,IF($T220&lt;24,pcomp_k,palt_k),1)),""))</f>
        <v/>
      </c>
      <c r="AU220">
        <f>IF($AR220="","",IF($AR220=0,LN($F220/$AS220)/$AT220,((($F220/$AS220)^$AR220)-1)/($AR220*$AT220)))</f>
        <v/>
      </c>
      <c r="AV220">
        <f>IF($AR220="","",IF($AR220=0,$AS220*EXP($AT220*2),$AS220*(1+$AR220*$AT220*2)^(1/$AR220)))</f>
        <v/>
      </c>
      <c r="AW220">
        <f>IF($AR220="","",IF($AR220=0,$AS220*EXP($AT220*3),$AS220*(1+$AR220*$AT220*3)^(1/$AR220)))</f>
        <v/>
      </c>
      <c r="AX220">
        <f>IF($AR220="","",IF($AR220=0,$AS220*EXP($AT220*-2),$AS220*(1+$AR220*$AT220*-2)^(1/$AR220)))</f>
        <v/>
      </c>
      <c r="AY220">
        <f>IF($AR220="","",IF($AR220=0,$AS220*EXP($AT220*-3),$AS220*(1+$AR220*$AT220*-3)^(1/$AR220)))</f>
        <v/>
      </c>
      <c r="AZ220">
        <f>IF(OR($A220="",$A220&lt;&gt;Ficha!$C$4),"",COUNTIF($A$2:$A220,Ficha!$C$4))</f>
        <v/>
      </c>
    </row>
    <row r="221">
      <c r="A221" s="8">
        <f>IF(INDEX(Banco!$A:$A,ROW())="","",INDEX(Banco!$A:$A,ROW()))</f>
        <v/>
      </c>
      <c r="B221" s="8">
        <f>IF(INDEX(Banco!$B:$B,ROW())="","",INDEX(Banco!$B:$B,ROW()))</f>
        <v/>
      </c>
      <c r="C221" s="8">
        <f>IF(INDEX(Banco!$C:$C,ROW())="","",INDEX(Banco!$C:$C,ROW()))</f>
        <v/>
      </c>
      <c r="D221" s="9">
        <f>IF(INDEX(Banco!$D:$D,ROW())="","",INDEX(Banco!$D:$D,ROW()))</f>
        <v/>
      </c>
      <c r="E221" s="9">
        <f>IF(INDEX(Banco!$E:$E,ROW())="","",INDEX(Banco!$E:$E,ROW()))</f>
        <v/>
      </c>
      <c r="F221" s="10">
        <f>IF(INDEX(Banco!$F:$F,ROW())="","",INDEX(Banco!$F:$F,ROW()))</f>
        <v/>
      </c>
      <c r="G221" s="10">
        <f>IF(INDEX(Banco!$G:$G,ROW())="","",INDEX(Banco!$G:$G,ROW()))</f>
        <v/>
      </c>
      <c r="H221" s="8">
        <f>IF(INDEX(Banco!$H:$H,ROW())="","",INDEX(Banco!$H:$H,ROW()))</f>
        <v/>
      </c>
      <c r="I221">
        <f>IF($T221="","",INT($T221/12)&amp;"a "&amp;MOD($T221,12)&amp;"m")</f>
        <v/>
      </c>
      <c r="J221" s="11">
        <f>IF(OR($F221="",$G221=""),"",ROUND($F221/($G221/100)^2,2))</f>
        <v/>
      </c>
      <c r="K221" s="12">
        <f>IF(OR($S221="",$J221="",$T221="",$T221&lt;0,$T221&gt;228,$Y221=""),"—",ROUND(IF(ABS($AB221)&lt;=3,$AB221,IF($AB221&gt;3,3+($J221-$AD221)/($AD221-$AC221),-3+($J221-$AF221)/($AE221-$AF221))),2))</f>
        <v/>
      </c>
      <c r="L221">
        <f>IF(OR($K221="",$K221="—"),"",IF($T221&lt;=60,IF($K221&lt;-3,"Magreza acentuada",IF($K221&lt;-2,"Magreza",IF($K221&lt;=1,"Eutrofia",IF($K221&lt;=2,"Risco de sobrepeso",IF($K221&lt;=3,"Sobrepeso","Obesidade"))))),IF($K221&lt;-3,"Magreza acentuada",IF($K221&lt;-2,"Magreza",IF($K221&lt;=1,"Eutrofia",IF($K221&lt;=2,"Sobrepeso",IF($K221&lt;=3,"Obesidade","Obesidade grave")))))))</f>
        <v/>
      </c>
      <c r="M221" s="12">
        <f>IF(OR($S221="",$V221="",$T221="",$T221&lt;0,$T221&gt;228,$AG221=""),"—",ROUND(IF($AG221=0,LN($V221/$AH221)/$AI221,((($V221/$AH221)^$AG221)-1)/($AG221*$AI221)),2))</f>
        <v/>
      </c>
      <c r="N221">
        <f>IF(OR($M221="",$M221="—"),"",IF($M221&lt;-3,"Muito baixa",IF($M221&lt;-2,"Baixa","Adequada")))</f>
        <v/>
      </c>
      <c r="O221" s="12">
        <f>IF(OR($S221="",$F221="",$T221="",$T221&lt;0,$T221&gt;120,$AJ221=""),"—",ROUND(IF(ABS($AM221)&lt;=3,$AM221,IF($AM221&gt;3,3+($F221-$AO221)/($AO221-$AN221),-3+($F221-$AQ221)/($AP221-$AQ221))),2))</f>
        <v/>
      </c>
      <c r="P221">
        <f>IF(OR($O221="",$O221="—"),"",IF($O221&lt;-3,"Muito baixo",IF($O221&lt;-2,"Baixo",IF($O221&lt;=2,"Adequado","Elevado"))))</f>
        <v/>
      </c>
      <c r="Q221" s="12">
        <f>IF(OR($S221="",$F221="",$T221="",$T221&lt;0,$T221&gt;60,$AR221=""),"—",ROUND(IF(ABS($AU221)&lt;=3,$AU221,IF($AU221&gt;3,3+($F221-$AW221)/($AW221-$AV221),-3+($F221-$AY221)/($AX221-$AY221))),2))</f>
        <v/>
      </c>
      <c r="R221">
        <f>IF(OR($Q221="",$Q221="—"),"",IF($Q221&lt;-3,"Magreza acentuada",IF($Q221&lt;-2,"Magreza",IF($Q221&lt;=1,"Eutrofia",IF($Q221&lt;=2,"Risco de sobrepeso",IF($Q221&lt;=3,"Sobrepeso","Obesidade"))))))</f>
        <v/>
      </c>
      <c r="S221">
        <f>IF($C221="","",IF(UPPER(LEFT($C221,1))="M",1,IF(UPPER(LEFT($C221,1))="F",2,"")))</f>
        <v/>
      </c>
      <c r="T221">
        <f>IF(OR($D221="",$E221=""),"",DATEDIF($D221,$E221,"m"))</f>
        <v/>
      </c>
      <c r="U221">
        <f>IF(OR($D221="",$E221=""),"",$E221-$D221)</f>
        <v/>
      </c>
      <c r="V221">
        <f>IF(OR($G221="",$T221=""),"",IF($T221&lt;24,IF(LEFT(LOWER($H221),4)="em p",$G221+0.7,$G221),IF(LEFT(LOWER($H221),4)="deit",$G221-0.7,$G221)))</f>
        <v/>
      </c>
      <c r="W221">
        <f>IF(OR($S221="",$T221=""),"",$S221*1000000+IF($T221&lt;=60,$U221,$T221))</f>
        <v/>
      </c>
      <c r="X221">
        <f>IF(OR($S221="",$V221="",$T221&gt;60,$T221=""),"",$S221*1000000+ROUND($V221*10,0))</f>
        <v/>
      </c>
      <c r="Y221">
        <f>IF($W221="","",IFERROR(INDEX(IF($T221&lt;=60,imc05_l,imc519_l),MATCH($W221,IF($T221&lt;=60,imc05_k,imc519_k),1)),""))</f>
        <v/>
      </c>
      <c r="Z221">
        <f>IF($W221="","",IFERROR(INDEX(IF($T221&lt;=60,imc05_m,imc519_m),MATCH($W221,IF($T221&lt;=60,imc05_k,imc519_k),1)),""))</f>
        <v/>
      </c>
      <c r="AA221">
        <f>IF($W221="","",IFERROR(INDEX(IF($T221&lt;=60,imc05_s,imc519_s),MATCH($W221,IF($T221&lt;=60,imc05_k,imc519_k),1)),""))</f>
        <v/>
      </c>
      <c r="AB221">
        <f>IF($Y221="","",IF($Y221=0,LN($J221/$Z221)/$AA221,((($J221/$Z221)^$Y221)-1)/($Y221*$AA221)))</f>
        <v/>
      </c>
      <c r="AC221">
        <f>IF($Y221="","",IF($Y221=0,$Z221*EXP($AA221*2),$Z221*(1+$Y221*$AA221*2)^(1/$Y221)))</f>
        <v/>
      </c>
      <c r="AD221">
        <f>IF($Y221="","",IF($Y221=0,$Z221*EXP($AA221*3),$Z221*(1+$Y221*$AA221*3)^(1/$Y221)))</f>
        <v/>
      </c>
      <c r="AE221">
        <f>IF($Y221="","",IF($Y221=0,$Z221*EXP($AA221*-2),$Z221*(1+$Y221*$AA221*-2)^(1/$Y221)))</f>
        <v/>
      </c>
      <c r="AF221">
        <f>IF($Y221="","",IF($Y221=0,$Z221*EXP($AA221*-3),$Z221*(1+$Y221*$AA221*-3)^(1/$Y221)))</f>
        <v/>
      </c>
      <c r="AG221">
        <f>IF($W221="","",IFERROR(INDEX(IF($T221&lt;=60,est05_l,est519_l),MATCH($W221,IF($T221&lt;=60,est05_k,est519_k),1)),""))</f>
        <v/>
      </c>
      <c r="AH221">
        <f>IF($W221="","",IFERROR(INDEX(IF($T221&lt;=60,est05_m,est519_m),MATCH($W221,IF($T221&lt;=60,est05_k,est519_k),1)),""))</f>
        <v/>
      </c>
      <c r="AI221">
        <f>IF($W221="","",IFERROR(INDEX(IF($T221&lt;=60,est05_s,est519_s),MATCH($W221,IF($T221&lt;=60,est05_k,est519_k),1)),""))</f>
        <v/>
      </c>
      <c r="AJ221">
        <f>IF($W221="","",IFERROR(INDEX(IF($T221&lt;=60,peso05_l,peso510_l),MATCH($W221,IF($T221&lt;=60,peso05_k,peso510_k),1)),""))</f>
        <v/>
      </c>
      <c r="AK221">
        <f>IF($W221="","",IFERROR(INDEX(IF($T221&lt;=60,peso05_m,peso510_m),MATCH($W221,IF($T221&lt;=60,peso05_k,peso510_k),1)),""))</f>
        <v/>
      </c>
      <c r="AL221">
        <f>IF($W221="","",IFERROR(INDEX(IF($T221&lt;=60,peso05_s,peso510_s),MATCH($W221,IF($T221&lt;=60,peso05_k,peso510_k),1)),""))</f>
        <v/>
      </c>
      <c r="AM221">
        <f>IF($AJ221="","",IF($AJ221=0,LN($F221/$AK221)/$AL221,((($F221/$AK221)^$AJ221)-1)/($AJ221*$AL221)))</f>
        <v/>
      </c>
      <c r="AN221">
        <f>IF($AJ221="","",IF($AJ221=0,$AK221*EXP($AL221*2),$AK221*(1+$AJ221*$AL221*2)^(1/$AJ221)))</f>
        <v/>
      </c>
      <c r="AO221">
        <f>IF($AJ221="","",IF($AJ221=0,$AK221*EXP($AL221*3),$AK221*(1+$AJ221*$AL221*3)^(1/$AJ221)))</f>
        <v/>
      </c>
      <c r="AP221">
        <f>IF($AJ221="","",IF($AJ221=0,$AK221*EXP($AL221*-2),$AK221*(1+$AJ221*$AL221*-2)^(1/$AJ221)))</f>
        <v/>
      </c>
      <c r="AQ221">
        <f>IF($AJ221="","",IF($AJ221=0,$AK221*EXP($AL221*-3),$AK221*(1+$AJ221*$AL221*-3)^(1/$AJ221)))</f>
        <v/>
      </c>
      <c r="AR221">
        <f>IF(OR($X221="",$T221&gt;60),"",IFERROR(INDEX(IF($T221&lt;24,pcomp_l,palt_l),MATCH($X221,IF($T221&lt;24,pcomp_k,palt_k),1)),""))</f>
        <v/>
      </c>
      <c r="AS221">
        <f>IF(OR($X221="",$T221&gt;60),"",IFERROR(INDEX(IF($T221&lt;24,pcomp_m,palt_m),MATCH($X221,IF($T221&lt;24,pcomp_k,palt_k),1)),""))</f>
        <v/>
      </c>
      <c r="AT221">
        <f>IF(OR($X221="",$T221&gt;60),"",IFERROR(INDEX(IF($T221&lt;24,pcomp_s,palt_s),MATCH($X221,IF($T221&lt;24,pcomp_k,palt_k),1)),""))</f>
        <v/>
      </c>
      <c r="AU221">
        <f>IF($AR221="","",IF($AR221=0,LN($F221/$AS221)/$AT221,((($F221/$AS221)^$AR221)-1)/($AR221*$AT221)))</f>
        <v/>
      </c>
      <c r="AV221">
        <f>IF($AR221="","",IF($AR221=0,$AS221*EXP($AT221*2),$AS221*(1+$AR221*$AT221*2)^(1/$AR221)))</f>
        <v/>
      </c>
      <c r="AW221">
        <f>IF($AR221="","",IF($AR221=0,$AS221*EXP($AT221*3),$AS221*(1+$AR221*$AT221*3)^(1/$AR221)))</f>
        <v/>
      </c>
      <c r="AX221">
        <f>IF($AR221="","",IF($AR221=0,$AS221*EXP($AT221*-2),$AS221*(1+$AR221*$AT221*-2)^(1/$AR221)))</f>
        <v/>
      </c>
      <c r="AY221">
        <f>IF($AR221="","",IF($AR221=0,$AS221*EXP($AT221*-3),$AS221*(1+$AR221*$AT221*-3)^(1/$AR221)))</f>
        <v/>
      </c>
      <c r="AZ221">
        <f>IF(OR($A221="",$A221&lt;&gt;Ficha!$C$4),"",COUNTIF($A$2:$A221,Ficha!$C$4))</f>
        <v/>
      </c>
    </row>
    <row r="222">
      <c r="A222" s="8">
        <f>IF(INDEX(Banco!$A:$A,ROW())="","",INDEX(Banco!$A:$A,ROW()))</f>
        <v/>
      </c>
      <c r="B222" s="8">
        <f>IF(INDEX(Banco!$B:$B,ROW())="","",INDEX(Banco!$B:$B,ROW()))</f>
        <v/>
      </c>
      <c r="C222" s="8">
        <f>IF(INDEX(Banco!$C:$C,ROW())="","",INDEX(Banco!$C:$C,ROW()))</f>
        <v/>
      </c>
      <c r="D222" s="9">
        <f>IF(INDEX(Banco!$D:$D,ROW())="","",INDEX(Banco!$D:$D,ROW()))</f>
        <v/>
      </c>
      <c r="E222" s="9">
        <f>IF(INDEX(Banco!$E:$E,ROW())="","",INDEX(Banco!$E:$E,ROW()))</f>
        <v/>
      </c>
      <c r="F222" s="10">
        <f>IF(INDEX(Banco!$F:$F,ROW())="","",INDEX(Banco!$F:$F,ROW()))</f>
        <v/>
      </c>
      <c r="G222" s="10">
        <f>IF(INDEX(Banco!$G:$G,ROW())="","",INDEX(Banco!$G:$G,ROW()))</f>
        <v/>
      </c>
      <c r="H222" s="8">
        <f>IF(INDEX(Banco!$H:$H,ROW())="","",INDEX(Banco!$H:$H,ROW()))</f>
        <v/>
      </c>
      <c r="I222">
        <f>IF($T222="","",INT($T222/12)&amp;"a "&amp;MOD($T222,12)&amp;"m")</f>
        <v/>
      </c>
      <c r="J222" s="11">
        <f>IF(OR($F222="",$G222=""),"",ROUND($F222/($G222/100)^2,2))</f>
        <v/>
      </c>
      <c r="K222" s="12">
        <f>IF(OR($S222="",$J222="",$T222="",$T222&lt;0,$T222&gt;228,$Y222=""),"—",ROUND(IF(ABS($AB222)&lt;=3,$AB222,IF($AB222&gt;3,3+($J222-$AD222)/($AD222-$AC222),-3+($J222-$AF222)/($AE222-$AF222))),2))</f>
        <v/>
      </c>
      <c r="L222">
        <f>IF(OR($K222="",$K222="—"),"",IF($T222&lt;=60,IF($K222&lt;-3,"Magreza acentuada",IF($K222&lt;-2,"Magreza",IF($K222&lt;=1,"Eutrofia",IF($K222&lt;=2,"Risco de sobrepeso",IF($K222&lt;=3,"Sobrepeso","Obesidade"))))),IF($K222&lt;-3,"Magreza acentuada",IF($K222&lt;-2,"Magreza",IF($K222&lt;=1,"Eutrofia",IF($K222&lt;=2,"Sobrepeso",IF($K222&lt;=3,"Obesidade","Obesidade grave")))))))</f>
        <v/>
      </c>
      <c r="M222" s="12">
        <f>IF(OR($S222="",$V222="",$T222="",$T222&lt;0,$T222&gt;228,$AG222=""),"—",ROUND(IF($AG222=0,LN($V222/$AH222)/$AI222,((($V222/$AH222)^$AG222)-1)/($AG222*$AI222)),2))</f>
        <v/>
      </c>
      <c r="N222">
        <f>IF(OR($M222="",$M222="—"),"",IF($M222&lt;-3,"Muito baixa",IF($M222&lt;-2,"Baixa","Adequada")))</f>
        <v/>
      </c>
      <c r="O222" s="12">
        <f>IF(OR($S222="",$F222="",$T222="",$T222&lt;0,$T222&gt;120,$AJ222=""),"—",ROUND(IF(ABS($AM222)&lt;=3,$AM222,IF($AM222&gt;3,3+($F222-$AO222)/($AO222-$AN222),-3+($F222-$AQ222)/($AP222-$AQ222))),2))</f>
        <v/>
      </c>
      <c r="P222">
        <f>IF(OR($O222="",$O222="—"),"",IF($O222&lt;-3,"Muito baixo",IF($O222&lt;-2,"Baixo",IF($O222&lt;=2,"Adequado","Elevado"))))</f>
        <v/>
      </c>
      <c r="Q222" s="12">
        <f>IF(OR($S222="",$F222="",$T222="",$T222&lt;0,$T222&gt;60,$AR222=""),"—",ROUND(IF(ABS($AU222)&lt;=3,$AU222,IF($AU222&gt;3,3+($F222-$AW222)/($AW222-$AV222),-3+($F222-$AY222)/($AX222-$AY222))),2))</f>
        <v/>
      </c>
      <c r="R222">
        <f>IF(OR($Q222="",$Q222="—"),"",IF($Q222&lt;-3,"Magreza acentuada",IF($Q222&lt;-2,"Magreza",IF($Q222&lt;=1,"Eutrofia",IF($Q222&lt;=2,"Risco de sobrepeso",IF($Q222&lt;=3,"Sobrepeso","Obesidade"))))))</f>
        <v/>
      </c>
      <c r="S222">
        <f>IF($C222="","",IF(UPPER(LEFT($C222,1))="M",1,IF(UPPER(LEFT($C222,1))="F",2,"")))</f>
        <v/>
      </c>
      <c r="T222">
        <f>IF(OR($D222="",$E222=""),"",DATEDIF($D222,$E222,"m"))</f>
        <v/>
      </c>
      <c r="U222">
        <f>IF(OR($D222="",$E222=""),"",$E222-$D222)</f>
        <v/>
      </c>
      <c r="V222">
        <f>IF(OR($G222="",$T222=""),"",IF($T222&lt;24,IF(LEFT(LOWER($H222),4)="em p",$G222+0.7,$G222),IF(LEFT(LOWER($H222),4)="deit",$G222-0.7,$G222)))</f>
        <v/>
      </c>
      <c r="W222">
        <f>IF(OR($S222="",$T222=""),"",$S222*1000000+IF($T222&lt;=60,$U222,$T222))</f>
        <v/>
      </c>
      <c r="X222">
        <f>IF(OR($S222="",$V222="",$T222&gt;60,$T222=""),"",$S222*1000000+ROUND($V222*10,0))</f>
        <v/>
      </c>
      <c r="Y222">
        <f>IF($W222="","",IFERROR(INDEX(IF($T222&lt;=60,imc05_l,imc519_l),MATCH($W222,IF($T222&lt;=60,imc05_k,imc519_k),1)),""))</f>
        <v/>
      </c>
      <c r="Z222">
        <f>IF($W222="","",IFERROR(INDEX(IF($T222&lt;=60,imc05_m,imc519_m),MATCH($W222,IF($T222&lt;=60,imc05_k,imc519_k),1)),""))</f>
        <v/>
      </c>
      <c r="AA222">
        <f>IF($W222="","",IFERROR(INDEX(IF($T222&lt;=60,imc05_s,imc519_s),MATCH($W222,IF($T222&lt;=60,imc05_k,imc519_k),1)),""))</f>
        <v/>
      </c>
      <c r="AB222">
        <f>IF($Y222="","",IF($Y222=0,LN($J222/$Z222)/$AA222,((($J222/$Z222)^$Y222)-1)/($Y222*$AA222)))</f>
        <v/>
      </c>
      <c r="AC222">
        <f>IF($Y222="","",IF($Y222=0,$Z222*EXP($AA222*2),$Z222*(1+$Y222*$AA222*2)^(1/$Y222)))</f>
        <v/>
      </c>
      <c r="AD222">
        <f>IF($Y222="","",IF($Y222=0,$Z222*EXP($AA222*3),$Z222*(1+$Y222*$AA222*3)^(1/$Y222)))</f>
        <v/>
      </c>
      <c r="AE222">
        <f>IF($Y222="","",IF($Y222=0,$Z222*EXP($AA222*-2),$Z222*(1+$Y222*$AA222*-2)^(1/$Y222)))</f>
        <v/>
      </c>
      <c r="AF222">
        <f>IF($Y222="","",IF($Y222=0,$Z222*EXP($AA222*-3),$Z222*(1+$Y222*$AA222*-3)^(1/$Y222)))</f>
        <v/>
      </c>
      <c r="AG222">
        <f>IF($W222="","",IFERROR(INDEX(IF($T222&lt;=60,est05_l,est519_l),MATCH($W222,IF($T222&lt;=60,est05_k,est519_k),1)),""))</f>
        <v/>
      </c>
      <c r="AH222">
        <f>IF($W222="","",IFERROR(INDEX(IF($T222&lt;=60,est05_m,est519_m),MATCH($W222,IF($T222&lt;=60,est05_k,est519_k),1)),""))</f>
        <v/>
      </c>
      <c r="AI222">
        <f>IF($W222="","",IFERROR(INDEX(IF($T222&lt;=60,est05_s,est519_s),MATCH($W222,IF($T222&lt;=60,est05_k,est519_k),1)),""))</f>
        <v/>
      </c>
      <c r="AJ222">
        <f>IF($W222="","",IFERROR(INDEX(IF($T222&lt;=60,peso05_l,peso510_l),MATCH($W222,IF($T222&lt;=60,peso05_k,peso510_k),1)),""))</f>
        <v/>
      </c>
      <c r="AK222">
        <f>IF($W222="","",IFERROR(INDEX(IF($T222&lt;=60,peso05_m,peso510_m),MATCH($W222,IF($T222&lt;=60,peso05_k,peso510_k),1)),""))</f>
        <v/>
      </c>
      <c r="AL222">
        <f>IF($W222="","",IFERROR(INDEX(IF($T222&lt;=60,peso05_s,peso510_s),MATCH($W222,IF($T222&lt;=60,peso05_k,peso510_k),1)),""))</f>
        <v/>
      </c>
      <c r="AM222">
        <f>IF($AJ222="","",IF($AJ222=0,LN($F222/$AK222)/$AL222,((($F222/$AK222)^$AJ222)-1)/($AJ222*$AL222)))</f>
        <v/>
      </c>
      <c r="AN222">
        <f>IF($AJ222="","",IF($AJ222=0,$AK222*EXP($AL222*2),$AK222*(1+$AJ222*$AL222*2)^(1/$AJ222)))</f>
        <v/>
      </c>
      <c r="AO222">
        <f>IF($AJ222="","",IF($AJ222=0,$AK222*EXP($AL222*3),$AK222*(1+$AJ222*$AL222*3)^(1/$AJ222)))</f>
        <v/>
      </c>
      <c r="AP222">
        <f>IF($AJ222="","",IF($AJ222=0,$AK222*EXP($AL222*-2),$AK222*(1+$AJ222*$AL222*-2)^(1/$AJ222)))</f>
        <v/>
      </c>
      <c r="AQ222">
        <f>IF($AJ222="","",IF($AJ222=0,$AK222*EXP($AL222*-3),$AK222*(1+$AJ222*$AL222*-3)^(1/$AJ222)))</f>
        <v/>
      </c>
      <c r="AR222">
        <f>IF(OR($X222="",$T222&gt;60),"",IFERROR(INDEX(IF($T222&lt;24,pcomp_l,palt_l),MATCH($X222,IF($T222&lt;24,pcomp_k,palt_k),1)),""))</f>
        <v/>
      </c>
      <c r="AS222">
        <f>IF(OR($X222="",$T222&gt;60),"",IFERROR(INDEX(IF($T222&lt;24,pcomp_m,palt_m),MATCH($X222,IF($T222&lt;24,pcomp_k,palt_k),1)),""))</f>
        <v/>
      </c>
      <c r="AT222">
        <f>IF(OR($X222="",$T222&gt;60),"",IFERROR(INDEX(IF($T222&lt;24,pcomp_s,palt_s),MATCH($X222,IF($T222&lt;24,pcomp_k,palt_k),1)),""))</f>
        <v/>
      </c>
      <c r="AU222">
        <f>IF($AR222="","",IF($AR222=0,LN($F222/$AS222)/$AT222,((($F222/$AS222)^$AR222)-1)/($AR222*$AT222)))</f>
        <v/>
      </c>
      <c r="AV222">
        <f>IF($AR222="","",IF($AR222=0,$AS222*EXP($AT222*2),$AS222*(1+$AR222*$AT222*2)^(1/$AR222)))</f>
        <v/>
      </c>
      <c r="AW222">
        <f>IF($AR222="","",IF($AR222=0,$AS222*EXP($AT222*3),$AS222*(1+$AR222*$AT222*3)^(1/$AR222)))</f>
        <v/>
      </c>
      <c r="AX222">
        <f>IF($AR222="","",IF($AR222=0,$AS222*EXP($AT222*-2),$AS222*(1+$AR222*$AT222*-2)^(1/$AR222)))</f>
        <v/>
      </c>
      <c r="AY222">
        <f>IF($AR222="","",IF($AR222=0,$AS222*EXP($AT222*-3),$AS222*(1+$AR222*$AT222*-3)^(1/$AR222)))</f>
        <v/>
      </c>
      <c r="AZ222">
        <f>IF(OR($A222="",$A222&lt;&gt;Ficha!$C$4),"",COUNTIF($A$2:$A222,Ficha!$C$4))</f>
        <v/>
      </c>
    </row>
    <row r="223">
      <c r="A223" s="8">
        <f>IF(INDEX(Banco!$A:$A,ROW())="","",INDEX(Banco!$A:$A,ROW()))</f>
        <v/>
      </c>
      <c r="B223" s="8">
        <f>IF(INDEX(Banco!$B:$B,ROW())="","",INDEX(Banco!$B:$B,ROW()))</f>
        <v/>
      </c>
      <c r="C223" s="8">
        <f>IF(INDEX(Banco!$C:$C,ROW())="","",INDEX(Banco!$C:$C,ROW()))</f>
        <v/>
      </c>
      <c r="D223" s="9">
        <f>IF(INDEX(Banco!$D:$D,ROW())="","",INDEX(Banco!$D:$D,ROW()))</f>
        <v/>
      </c>
      <c r="E223" s="9">
        <f>IF(INDEX(Banco!$E:$E,ROW())="","",INDEX(Banco!$E:$E,ROW()))</f>
        <v/>
      </c>
      <c r="F223" s="10">
        <f>IF(INDEX(Banco!$F:$F,ROW())="","",INDEX(Banco!$F:$F,ROW()))</f>
        <v/>
      </c>
      <c r="G223" s="10">
        <f>IF(INDEX(Banco!$G:$G,ROW())="","",INDEX(Banco!$G:$G,ROW()))</f>
        <v/>
      </c>
      <c r="H223" s="8">
        <f>IF(INDEX(Banco!$H:$H,ROW())="","",INDEX(Banco!$H:$H,ROW()))</f>
        <v/>
      </c>
      <c r="I223">
        <f>IF($T223="","",INT($T223/12)&amp;"a "&amp;MOD($T223,12)&amp;"m")</f>
        <v/>
      </c>
      <c r="J223" s="11">
        <f>IF(OR($F223="",$G223=""),"",ROUND($F223/($G223/100)^2,2))</f>
        <v/>
      </c>
      <c r="K223" s="12">
        <f>IF(OR($S223="",$J223="",$T223="",$T223&lt;0,$T223&gt;228,$Y223=""),"—",ROUND(IF(ABS($AB223)&lt;=3,$AB223,IF($AB223&gt;3,3+($J223-$AD223)/($AD223-$AC223),-3+($J223-$AF223)/($AE223-$AF223))),2))</f>
        <v/>
      </c>
      <c r="L223">
        <f>IF(OR($K223="",$K223="—"),"",IF($T223&lt;=60,IF($K223&lt;-3,"Magreza acentuada",IF($K223&lt;-2,"Magreza",IF($K223&lt;=1,"Eutrofia",IF($K223&lt;=2,"Risco de sobrepeso",IF($K223&lt;=3,"Sobrepeso","Obesidade"))))),IF($K223&lt;-3,"Magreza acentuada",IF($K223&lt;-2,"Magreza",IF($K223&lt;=1,"Eutrofia",IF($K223&lt;=2,"Sobrepeso",IF($K223&lt;=3,"Obesidade","Obesidade grave")))))))</f>
        <v/>
      </c>
      <c r="M223" s="12">
        <f>IF(OR($S223="",$V223="",$T223="",$T223&lt;0,$T223&gt;228,$AG223=""),"—",ROUND(IF($AG223=0,LN($V223/$AH223)/$AI223,((($V223/$AH223)^$AG223)-1)/($AG223*$AI223)),2))</f>
        <v/>
      </c>
      <c r="N223">
        <f>IF(OR($M223="",$M223="—"),"",IF($M223&lt;-3,"Muito baixa",IF($M223&lt;-2,"Baixa","Adequada")))</f>
        <v/>
      </c>
      <c r="O223" s="12">
        <f>IF(OR($S223="",$F223="",$T223="",$T223&lt;0,$T223&gt;120,$AJ223=""),"—",ROUND(IF(ABS($AM223)&lt;=3,$AM223,IF($AM223&gt;3,3+($F223-$AO223)/($AO223-$AN223),-3+($F223-$AQ223)/($AP223-$AQ223))),2))</f>
        <v/>
      </c>
      <c r="P223">
        <f>IF(OR($O223="",$O223="—"),"",IF($O223&lt;-3,"Muito baixo",IF($O223&lt;-2,"Baixo",IF($O223&lt;=2,"Adequado","Elevado"))))</f>
        <v/>
      </c>
      <c r="Q223" s="12">
        <f>IF(OR($S223="",$F223="",$T223="",$T223&lt;0,$T223&gt;60,$AR223=""),"—",ROUND(IF(ABS($AU223)&lt;=3,$AU223,IF($AU223&gt;3,3+($F223-$AW223)/($AW223-$AV223),-3+($F223-$AY223)/($AX223-$AY223))),2))</f>
        <v/>
      </c>
      <c r="R223">
        <f>IF(OR($Q223="",$Q223="—"),"",IF($Q223&lt;-3,"Magreza acentuada",IF($Q223&lt;-2,"Magreza",IF($Q223&lt;=1,"Eutrofia",IF($Q223&lt;=2,"Risco de sobrepeso",IF($Q223&lt;=3,"Sobrepeso","Obesidade"))))))</f>
        <v/>
      </c>
      <c r="S223">
        <f>IF($C223="","",IF(UPPER(LEFT($C223,1))="M",1,IF(UPPER(LEFT($C223,1))="F",2,"")))</f>
        <v/>
      </c>
      <c r="T223">
        <f>IF(OR($D223="",$E223=""),"",DATEDIF($D223,$E223,"m"))</f>
        <v/>
      </c>
      <c r="U223">
        <f>IF(OR($D223="",$E223=""),"",$E223-$D223)</f>
        <v/>
      </c>
      <c r="V223">
        <f>IF(OR($G223="",$T223=""),"",IF($T223&lt;24,IF(LEFT(LOWER($H223),4)="em p",$G223+0.7,$G223),IF(LEFT(LOWER($H223),4)="deit",$G223-0.7,$G223)))</f>
        <v/>
      </c>
      <c r="W223">
        <f>IF(OR($S223="",$T223=""),"",$S223*1000000+IF($T223&lt;=60,$U223,$T223))</f>
        <v/>
      </c>
      <c r="X223">
        <f>IF(OR($S223="",$V223="",$T223&gt;60,$T223=""),"",$S223*1000000+ROUND($V223*10,0))</f>
        <v/>
      </c>
      <c r="Y223">
        <f>IF($W223="","",IFERROR(INDEX(IF($T223&lt;=60,imc05_l,imc519_l),MATCH($W223,IF($T223&lt;=60,imc05_k,imc519_k),1)),""))</f>
        <v/>
      </c>
      <c r="Z223">
        <f>IF($W223="","",IFERROR(INDEX(IF($T223&lt;=60,imc05_m,imc519_m),MATCH($W223,IF($T223&lt;=60,imc05_k,imc519_k),1)),""))</f>
        <v/>
      </c>
      <c r="AA223">
        <f>IF($W223="","",IFERROR(INDEX(IF($T223&lt;=60,imc05_s,imc519_s),MATCH($W223,IF($T223&lt;=60,imc05_k,imc519_k),1)),""))</f>
        <v/>
      </c>
      <c r="AB223">
        <f>IF($Y223="","",IF($Y223=0,LN($J223/$Z223)/$AA223,((($J223/$Z223)^$Y223)-1)/($Y223*$AA223)))</f>
        <v/>
      </c>
      <c r="AC223">
        <f>IF($Y223="","",IF($Y223=0,$Z223*EXP($AA223*2),$Z223*(1+$Y223*$AA223*2)^(1/$Y223)))</f>
        <v/>
      </c>
      <c r="AD223">
        <f>IF($Y223="","",IF($Y223=0,$Z223*EXP($AA223*3),$Z223*(1+$Y223*$AA223*3)^(1/$Y223)))</f>
        <v/>
      </c>
      <c r="AE223">
        <f>IF($Y223="","",IF($Y223=0,$Z223*EXP($AA223*-2),$Z223*(1+$Y223*$AA223*-2)^(1/$Y223)))</f>
        <v/>
      </c>
      <c r="AF223">
        <f>IF($Y223="","",IF($Y223=0,$Z223*EXP($AA223*-3),$Z223*(1+$Y223*$AA223*-3)^(1/$Y223)))</f>
        <v/>
      </c>
      <c r="AG223">
        <f>IF($W223="","",IFERROR(INDEX(IF($T223&lt;=60,est05_l,est519_l),MATCH($W223,IF($T223&lt;=60,est05_k,est519_k),1)),""))</f>
        <v/>
      </c>
      <c r="AH223">
        <f>IF($W223="","",IFERROR(INDEX(IF($T223&lt;=60,est05_m,est519_m),MATCH($W223,IF($T223&lt;=60,est05_k,est519_k),1)),""))</f>
        <v/>
      </c>
      <c r="AI223">
        <f>IF($W223="","",IFERROR(INDEX(IF($T223&lt;=60,est05_s,est519_s),MATCH($W223,IF($T223&lt;=60,est05_k,est519_k),1)),""))</f>
        <v/>
      </c>
      <c r="AJ223">
        <f>IF($W223="","",IFERROR(INDEX(IF($T223&lt;=60,peso05_l,peso510_l),MATCH($W223,IF($T223&lt;=60,peso05_k,peso510_k),1)),""))</f>
        <v/>
      </c>
      <c r="AK223">
        <f>IF($W223="","",IFERROR(INDEX(IF($T223&lt;=60,peso05_m,peso510_m),MATCH($W223,IF($T223&lt;=60,peso05_k,peso510_k),1)),""))</f>
        <v/>
      </c>
      <c r="AL223">
        <f>IF($W223="","",IFERROR(INDEX(IF($T223&lt;=60,peso05_s,peso510_s),MATCH($W223,IF($T223&lt;=60,peso05_k,peso510_k),1)),""))</f>
        <v/>
      </c>
      <c r="AM223">
        <f>IF($AJ223="","",IF($AJ223=0,LN($F223/$AK223)/$AL223,((($F223/$AK223)^$AJ223)-1)/($AJ223*$AL223)))</f>
        <v/>
      </c>
      <c r="AN223">
        <f>IF($AJ223="","",IF($AJ223=0,$AK223*EXP($AL223*2),$AK223*(1+$AJ223*$AL223*2)^(1/$AJ223)))</f>
        <v/>
      </c>
      <c r="AO223">
        <f>IF($AJ223="","",IF($AJ223=0,$AK223*EXP($AL223*3),$AK223*(1+$AJ223*$AL223*3)^(1/$AJ223)))</f>
        <v/>
      </c>
      <c r="AP223">
        <f>IF($AJ223="","",IF($AJ223=0,$AK223*EXP($AL223*-2),$AK223*(1+$AJ223*$AL223*-2)^(1/$AJ223)))</f>
        <v/>
      </c>
      <c r="AQ223">
        <f>IF($AJ223="","",IF($AJ223=0,$AK223*EXP($AL223*-3),$AK223*(1+$AJ223*$AL223*-3)^(1/$AJ223)))</f>
        <v/>
      </c>
      <c r="AR223">
        <f>IF(OR($X223="",$T223&gt;60),"",IFERROR(INDEX(IF($T223&lt;24,pcomp_l,palt_l),MATCH($X223,IF($T223&lt;24,pcomp_k,palt_k),1)),""))</f>
        <v/>
      </c>
      <c r="AS223">
        <f>IF(OR($X223="",$T223&gt;60),"",IFERROR(INDEX(IF($T223&lt;24,pcomp_m,palt_m),MATCH($X223,IF($T223&lt;24,pcomp_k,palt_k),1)),""))</f>
        <v/>
      </c>
      <c r="AT223">
        <f>IF(OR($X223="",$T223&gt;60),"",IFERROR(INDEX(IF($T223&lt;24,pcomp_s,palt_s),MATCH($X223,IF($T223&lt;24,pcomp_k,palt_k),1)),""))</f>
        <v/>
      </c>
      <c r="AU223">
        <f>IF($AR223="","",IF($AR223=0,LN($F223/$AS223)/$AT223,((($F223/$AS223)^$AR223)-1)/($AR223*$AT223)))</f>
        <v/>
      </c>
      <c r="AV223">
        <f>IF($AR223="","",IF($AR223=0,$AS223*EXP($AT223*2),$AS223*(1+$AR223*$AT223*2)^(1/$AR223)))</f>
        <v/>
      </c>
      <c r="AW223">
        <f>IF($AR223="","",IF($AR223=0,$AS223*EXP($AT223*3),$AS223*(1+$AR223*$AT223*3)^(1/$AR223)))</f>
        <v/>
      </c>
      <c r="AX223">
        <f>IF($AR223="","",IF($AR223=0,$AS223*EXP($AT223*-2),$AS223*(1+$AR223*$AT223*-2)^(1/$AR223)))</f>
        <v/>
      </c>
      <c r="AY223">
        <f>IF($AR223="","",IF($AR223=0,$AS223*EXP($AT223*-3),$AS223*(1+$AR223*$AT223*-3)^(1/$AR223)))</f>
        <v/>
      </c>
      <c r="AZ223">
        <f>IF(OR($A223="",$A223&lt;&gt;Ficha!$C$4),"",COUNTIF($A$2:$A223,Ficha!$C$4))</f>
        <v/>
      </c>
    </row>
    <row r="224">
      <c r="A224" s="8">
        <f>IF(INDEX(Banco!$A:$A,ROW())="","",INDEX(Banco!$A:$A,ROW()))</f>
        <v/>
      </c>
      <c r="B224" s="8">
        <f>IF(INDEX(Banco!$B:$B,ROW())="","",INDEX(Banco!$B:$B,ROW()))</f>
        <v/>
      </c>
      <c r="C224" s="8">
        <f>IF(INDEX(Banco!$C:$C,ROW())="","",INDEX(Banco!$C:$C,ROW()))</f>
        <v/>
      </c>
      <c r="D224" s="9">
        <f>IF(INDEX(Banco!$D:$D,ROW())="","",INDEX(Banco!$D:$D,ROW()))</f>
        <v/>
      </c>
      <c r="E224" s="9">
        <f>IF(INDEX(Banco!$E:$E,ROW())="","",INDEX(Banco!$E:$E,ROW()))</f>
        <v/>
      </c>
      <c r="F224" s="10">
        <f>IF(INDEX(Banco!$F:$F,ROW())="","",INDEX(Banco!$F:$F,ROW()))</f>
        <v/>
      </c>
      <c r="G224" s="10">
        <f>IF(INDEX(Banco!$G:$G,ROW())="","",INDEX(Banco!$G:$G,ROW()))</f>
        <v/>
      </c>
      <c r="H224" s="8">
        <f>IF(INDEX(Banco!$H:$H,ROW())="","",INDEX(Banco!$H:$H,ROW()))</f>
        <v/>
      </c>
      <c r="I224">
        <f>IF($T224="","",INT($T224/12)&amp;"a "&amp;MOD($T224,12)&amp;"m")</f>
        <v/>
      </c>
      <c r="J224" s="11">
        <f>IF(OR($F224="",$G224=""),"",ROUND($F224/($G224/100)^2,2))</f>
        <v/>
      </c>
      <c r="K224" s="12">
        <f>IF(OR($S224="",$J224="",$T224="",$T224&lt;0,$T224&gt;228,$Y224=""),"—",ROUND(IF(ABS($AB224)&lt;=3,$AB224,IF($AB224&gt;3,3+($J224-$AD224)/($AD224-$AC224),-3+($J224-$AF224)/($AE224-$AF224))),2))</f>
        <v/>
      </c>
      <c r="L224">
        <f>IF(OR($K224="",$K224="—"),"",IF($T224&lt;=60,IF($K224&lt;-3,"Magreza acentuada",IF($K224&lt;-2,"Magreza",IF($K224&lt;=1,"Eutrofia",IF($K224&lt;=2,"Risco de sobrepeso",IF($K224&lt;=3,"Sobrepeso","Obesidade"))))),IF($K224&lt;-3,"Magreza acentuada",IF($K224&lt;-2,"Magreza",IF($K224&lt;=1,"Eutrofia",IF($K224&lt;=2,"Sobrepeso",IF($K224&lt;=3,"Obesidade","Obesidade grave")))))))</f>
        <v/>
      </c>
      <c r="M224" s="12">
        <f>IF(OR($S224="",$V224="",$T224="",$T224&lt;0,$T224&gt;228,$AG224=""),"—",ROUND(IF($AG224=0,LN($V224/$AH224)/$AI224,((($V224/$AH224)^$AG224)-1)/($AG224*$AI224)),2))</f>
        <v/>
      </c>
      <c r="N224">
        <f>IF(OR($M224="",$M224="—"),"",IF($M224&lt;-3,"Muito baixa",IF($M224&lt;-2,"Baixa","Adequada")))</f>
        <v/>
      </c>
      <c r="O224" s="12">
        <f>IF(OR($S224="",$F224="",$T224="",$T224&lt;0,$T224&gt;120,$AJ224=""),"—",ROUND(IF(ABS($AM224)&lt;=3,$AM224,IF($AM224&gt;3,3+($F224-$AO224)/($AO224-$AN224),-3+($F224-$AQ224)/($AP224-$AQ224))),2))</f>
        <v/>
      </c>
      <c r="P224">
        <f>IF(OR($O224="",$O224="—"),"",IF($O224&lt;-3,"Muito baixo",IF($O224&lt;-2,"Baixo",IF($O224&lt;=2,"Adequado","Elevado"))))</f>
        <v/>
      </c>
      <c r="Q224" s="12">
        <f>IF(OR($S224="",$F224="",$T224="",$T224&lt;0,$T224&gt;60,$AR224=""),"—",ROUND(IF(ABS($AU224)&lt;=3,$AU224,IF($AU224&gt;3,3+($F224-$AW224)/($AW224-$AV224),-3+($F224-$AY224)/($AX224-$AY224))),2))</f>
        <v/>
      </c>
      <c r="R224">
        <f>IF(OR($Q224="",$Q224="—"),"",IF($Q224&lt;-3,"Magreza acentuada",IF($Q224&lt;-2,"Magreza",IF($Q224&lt;=1,"Eutrofia",IF($Q224&lt;=2,"Risco de sobrepeso",IF($Q224&lt;=3,"Sobrepeso","Obesidade"))))))</f>
        <v/>
      </c>
      <c r="S224">
        <f>IF($C224="","",IF(UPPER(LEFT($C224,1))="M",1,IF(UPPER(LEFT($C224,1))="F",2,"")))</f>
        <v/>
      </c>
      <c r="T224">
        <f>IF(OR($D224="",$E224=""),"",DATEDIF($D224,$E224,"m"))</f>
        <v/>
      </c>
      <c r="U224">
        <f>IF(OR($D224="",$E224=""),"",$E224-$D224)</f>
        <v/>
      </c>
      <c r="V224">
        <f>IF(OR($G224="",$T224=""),"",IF($T224&lt;24,IF(LEFT(LOWER($H224),4)="em p",$G224+0.7,$G224),IF(LEFT(LOWER($H224),4)="deit",$G224-0.7,$G224)))</f>
        <v/>
      </c>
      <c r="W224">
        <f>IF(OR($S224="",$T224=""),"",$S224*1000000+IF($T224&lt;=60,$U224,$T224))</f>
        <v/>
      </c>
      <c r="X224">
        <f>IF(OR($S224="",$V224="",$T224&gt;60,$T224=""),"",$S224*1000000+ROUND($V224*10,0))</f>
        <v/>
      </c>
      <c r="Y224">
        <f>IF($W224="","",IFERROR(INDEX(IF($T224&lt;=60,imc05_l,imc519_l),MATCH($W224,IF($T224&lt;=60,imc05_k,imc519_k),1)),""))</f>
        <v/>
      </c>
      <c r="Z224">
        <f>IF($W224="","",IFERROR(INDEX(IF($T224&lt;=60,imc05_m,imc519_m),MATCH($W224,IF($T224&lt;=60,imc05_k,imc519_k),1)),""))</f>
        <v/>
      </c>
      <c r="AA224">
        <f>IF($W224="","",IFERROR(INDEX(IF($T224&lt;=60,imc05_s,imc519_s),MATCH($W224,IF($T224&lt;=60,imc05_k,imc519_k),1)),""))</f>
        <v/>
      </c>
      <c r="AB224">
        <f>IF($Y224="","",IF($Y224=0,LN($J224/$Z224)/$AA224,((($J224/$Z224)^$Y224)-1)/($Y224*$AA224)))</f>
        <v/>
      </c>
      <c r="AC224">
        <f>IF($Y224="","",IF($Y224=0,$Z224*EXP($AA224*2),$Z224*(1+$Y224*$AA224*2)^(1/$Y224)))</f>
        <v/>
      </c>
      <c r="AD224">
        <f>IF($Y224="","",IF($Y224=0,$Z224*EXP($AA224*3),$Z224*(1+$Y224*$AA224*3)^(1/$Y224)))</f>
        <v/>
      </c>
      <c r="AE224">
        <f>IF($Y224="","",IF($Y224=0,$Z224*EXP($AA224*-2),$Z224*(1+$Y224*$AA224*-2)^(1/$Y224)))</f>
        <v/>
      </c>
      <c r="AF224">
        <f>IF($Y224="","",IF($Y224=0,$Z224*EXP($AA224*-3),$Z224*(1+$Y224*$AA224*-3)^(1/$Y224)))</f>
        <v/>
      </c>
      <c r="AG224">
        <f>IF($W224="","",IFERROR(INDEX(IF($T224&lt;=60,est05_l,est519_l),MATCH($W224,IF($T224&lt;=60,est05_k,est519_k),1)),""))</f>
        <v/>
      </c>
      <c r="AH224">
        <f>IF($W224="","",IFERROR(INDEX(IF($T224&lt;=60,est05_m,est519_m),MATCH($W224,IF($T224&lt;=60,est05_k,est519_k),1)),""))</f>
        <v/>
      </c>
      <c r="AI224">
        <f>IF($W224="","",IFERROR(INDEX(IF($T224&lt;=60,est05_s,est519_s),MATCH($W224,IF($T224&lt;=60,est05_k,est519_k),1)),""))</f>
        <v/>
      </c>
      <c r="AJ224">
        <f>IF($W224="","",IFERROR(INDEX(IF($T224&lt;=60,peso05_l,peso510_l),MATCH($W224,IF($T224&lt;=60,peso05_k,peso510_k),1)),""))</f>
        <v/>
      </c>
      <c r="AK224">
        <f>IF($W224="","",IFERROR(INDEX(IF($T224&lt;=60,peso05_m,peso510_m),MATCH($W224,IF($T224&lt;=60,peso05_k,peso510_k),1)),""))</f>
        <v/>
      </c>
      <c r="AL224">
        <f>IF($W224="","",IFERROR(INDEX(IF($T224&lt;=60,peso05_s,peso510_s),MATCH($W224,IF($T224&lt;=60,peso05_k,peso510_k),1)),""))</f>
        <v/>
      </c>
      <c r="AM224">
        <f>IF($AJ224="","",IF($AJ224=0,LN($F224/$AK224)/$AL224,((($F224/$AK224)^$AJ224)-1)/($AJ224*$AL224)))</f>
        <v/>
      </c>
      <c r="AN224">
        <f>IF($AJ224="","",IF($AJ224=0,$AK224*EXP($AL224*2),$AK224*(1+$AJ224*$AL224*2)^(1/$AJ224)))</f>
        <v/>
      </c>
      <c r="AO224">
        <f>IF($AJ224="","",IF($AJ224=0,$AK224*EXP($AL224*3),$AK224*(1+$AJ224*$AL224*3)^(1/$AJ224)))</f>
        <v/>
      </c>
      <c r="AP224">
        <f>IF($AJ224="","",IF($AJ224=0,$AK224*EXP($AL224*-2),$AK224*(1+$AJ224*$AL224*-2)^(1/$AJ224)))</f>
        <v/>
      </c>
      <c r="AQ224">
        <f>IF($AJ224="","",IF($AJ224=0,$AK224*EXP($AL224*-3),$AK224*(1+$AJ224*$AL224*-3)^(1/$AJ224)))</f>
        <v/>
      </c>
      <c r="AR224">
        <f>IF(OR($X224="",$T224&gt;60),"",IFERROR(INDEX(IF($T224&lt;24,pcomp_l,palt_l),MATCH($X224,IF($T224&lt;24,pcomp_k,palt_k),1)),""))</f>
        <v/>
      </c>
      <c r="AS224">
        <f>IF(OR($X224="",$T224&gt;60),"",IFERROR(INDEX(IF($T224&lt;24,pcomp_m,palt_m),MATCH($X224,IF($T224&lt;24,pcomp_k,palt_k),1)),""))</f>
        <v/>
      </c>
      <c r="AT224">
        <f>IF(OR($X224="",$T224&gt;60),"",IFERROR(INDEX(IF($T224&lt;24,pcomp_s,palt_s),MATCH($X224,IF($T224&lt;24,pcomp_k,palt_k),1)),""))</f>
        <v/>
      </c>
      <c r="AU224">
        <f>IF($AR224="","",IF($AR224=0,LN($F224/$AS224)/$AT224,((($F224/$AS224)^$AR224)-1)/($AR224*$AT224)))</f>
        <v/>
      </c>
      <c r="AV224">
        <f>IF($AR224="","",IF($AR224=0,$AS224*EXP($AT224*2),$AS224*(1+$AR224*$AT224*2)^(1/$AR224)))</f>
        <v/>
      </c>
      <c r="AW224">
        <f>IF($AR224="","",IF($AR224=0,$AS224*EXP($AT224*3),$AS224*(1+$AR224*$AT224*3)^(1/$AR224)))</f>
        <v/>
      </c>
      <c r="AX224">
        <f>IF($AR224="","",IF($AR224=0,$AS224*EXP($AT224*-2),$AS224*(1+$AR224*$AT224*-2)^(1/$AR224)))</f>
        <v/>
      </c>
      <c r="AY224">
        <f>IF($AR224="","",IF($AR224=0,$AS224*EXP($AT224*-3),$AS224*(1+$AR224*$AT224*-3)^(1/$AR224)))</f>
        <v/>
      </c>
      <c r="AZ224">
        <f>IF(OR($A224="",$A224&lt;&gt;Ficha!$C$4),"",COUNTIF($A$2:$A224,Ficha!$C$4))</f>
        <v/>
      </c>
    </row>
    <row r="225">
      <c r="A225" s="8">
        <f>IF(INDEX(Banco!$A:$A,ROW())="","",INDEX(Banco!$A:$A,ROW()))</f>
        <v/>
      </c>
      <c r="B225" s="8">
        <f>IF(INDEX(Banco!$B:$B,ROW())="","",INDEX(Banco!$B:$B,ROW()))</f>
        <v/>
      </c>
      <c r="C225" s="8">
        <f>IF(INDEX(Banco!$C:$C,ROW())="","",INDEX(Banco!$C:$C,ROW()))</f>
        <v/>
      </c>
      <c r="D225" s="9">
        <f>IF(INDEX(Banco!$D:$D,ROW())="","",INDEX(Banco!$D:$D,ROW()))</f>
        <v/>
      </c>
      <c r="E225" s="9">
        <f>IF(INDEX(Banco!$E:$E,ROW())="","",INDEX(Banco!$E:$E,ROW()))</f>
        <v/>
      </c>
      <c r="F225" s="10">
        <f>IF(INDEX(Banco!$F:$F,ROW())="","",INDEX(Banco!$F:$F,ROW()))</f>
        <v/>
      </c>
      <c r="G225" s="10">
        <f>IF(INDEX(Banco!$G:$G,ROW())="","",INDEX(Banco!$G:$G,ROW()))</f>
        <v/>
      </c>
      <c r="H225" s="8">
        <f>IF(INDEX(Banco!$H:$H,ROW())="","",INDEX(Banco!$H:$H,ROW()))</f>
        <v/>
      </c>
      <c r="I225">
        <f>IF($T225="","",INT($T225/12)&amp;"a "&amp;MOD($T225,12)&amp;"m")</f>
        <v/>
      </c>
      <c r="J225" s="11">
        <f>IF(OR($F225="",$G225=""),"",ROUND($F225/($G225/100)^2,2))</f>
        <v/>
      </c>
      <c r="K225" s="12">
        <f>IF(OR($S225="",$J225="",$T225="",$T225&lt;0,$T225&gt;228,$Y225=""),"—",ROUND(IF(ABS($AB225)&lt;=3,$AB225,IF($AB225&gt;3,3+($J225-$AD225)/($AD225-$AC225),-3+($J225-$AF225)/($AE225-$AF225))),2))</f>
        <v/>
      </c>
      <c r="L225">
        <f>IF(OR($K225="",$K225="—"),"",IF($T225&lt;=60,IF($K225&lt;-3,"Magreza acentuada",IF($K225&lt;-2,"Magreza",IF($K225&lt;=1,"Eutrofia",IF($K225&lt;=2,"Risco de sobrepeso",IF($K225&lt;=3,"Sobrepeso","Obesidade"))))),IF($K225&lt;-3,"Magreza acentuada",IF($K225&lt;-2,"Magreza",IF($K225&lt;=1,"Eutrofia",IF($K225&lt;=2,"Sobrepeso",IF($K225&lt;=3,"Obesidade","Obesidade grave")))))))</f>
        <v/>
      </c>
      <c r="M225" s="12">
        <f>IF(OR($S225="",$V225="",$T225="",$T225&lt;0,$T225&gt;228,$AG225=""),"—",ROUND(IF($AG225=0,LN($V225/$AH225)/$AI225,((($V225/$AH225)^$AG225)-1)/($AG225*$AI225)),2))</f>
        <v/>
      </c>
      <c r="N225">
        <f>IF(OR($M225="",$M225="—"),"",IF($M225&lt;-3,"Muito baixa",IF($M225&lt;-2,"Baixa","Adequada")))</f>
        <v/>
      </c>
      <c r="O225" s="12">
        <f>IF(OR($S225="",$F225="",$T225="",$T225&lt;0,$T225&gt;120,$AJ225=""),"—",ROUND(IF(ABS($AM225)&lt;=3,$AM225,IF($AM225&gt;3,3+($F225-$AO225)/($AO225-$AN225),-3+($F225-$AQ225)/($AP225-$AQ225))),2))</f>
        <v/>
      </c>
      <c r="P225">
        <f>IF(OR($O225="",$O225="—"),"",IF($O225&lt;-3,"Muito baixo",IF($O225&lt;-2,"Baixo",IF($O225&lt;=2,"Adequado","Elevado"))))</f>
        <v/>
      </c>
      <c r="Q225" s="12">
        <f>IF(OR($S225="",$F225="",$T225="",$T225&lt;0,$T225&gt;60,$AR225=""),"—",ROUND(IF(ABS($AU225)&lt;=3,$AU225,IF($AU225&gt;3,3+($F225-$AW225)/($AW225-$AV225),-3+($F225-$AY225)/($AX225-$AY225))),2))</f>
        <v/>
      </c>
      <c r="R225">
        <f>IF(OR($Q225="",$Q225="—"),"",IF($Q225&lt;-3,"Magreza acentuada",IF($Q225&lt;-2,"Magreza",IF($Q225&lt;=1,"Eutrofia",IF($Q225&lt;=2,"Risco de sobrepeso",IF($Q225&lt;=3,"Sobrepeso","Obesidade"))))))</f>
        <v/>
      </c>
      <c r="S225">
        <f>IF($C225="","",IF(UPPER(LEFT($C225,1))="M",1,IF(UPPER(LEFT($C225,1))="F",2,"")))</f>
        <v/>
      </c>
      <c r="T225">
        <f>IF(OR($D225="",$E225=""),"",DATEDIF($D225,$E225,"m"))</f>
        <v/>
      </c>
      <c r="U225">
        <f>IF(OR($D225="",$E225=""),"",$E225-$D225)</f>
        <v/>
      </c>
      <c r="V225">
        <f>IF(OR($G225="",$T225=""),"",IF($T225&lt;24,IF(LEFT(LOWER($H225),4)="em p",$G225+0.7,$G225),IF(LEFT(LOWER($H225),4)="deit",$G225-0.7,$G225)))</f>
        <v/>
      </c>
      <c r="W225">
        <f>IF(OR($S225="",$T225=""),"",$S225*1000000+IF($T225&lt;=60,$U225,$T225))</f>
        <v/>
      </c>
      <c r="X225">
        <f>IF(OR($S225="",$V225="",$T225&gt;60,$T225=""),"",$S225*1000000+ROUND($V225*10,0))</f>
        <v/>
      </c>
      <c r="Y225">
        <f>IF($W225="","",IFERROR(INDEX(IF($T225&lt;=60,imc05_l,imc519_l),MATCH($W225,IF($T225&lt;=60,imc05_k,imc519_k),1)),""))</f>
        <v/>
      </c>
      <c r="Z225">
        <f>IF($W225="","",IFERROR(INDEX(IF($T225&lt;=60,imc05_m,imc519_m),MATCH($W225,IF($T225&lt;=60,imc05_k,imc519_k),1)),""))</f>
        <v/>
      </c>
      <c r="AA225">
        <f>IF($W225="","",IFERROR(INDEX(IF($T225&lt;=60,imc05_s,imc519_s),MATCH($W225,IF($T225&lt;=60,imc05_k,imc519_k),1)),""))</f>
        <v/>
      </c>
      <c r="AB225">
        <f>IF($Y225="","",IF($Y225=0,LN($J225/$Z225)/$AA225,((($J225/$Z225)^$Y225)-1)/($Y225*$AA225)))</f>
        <v/>
      </c>
      <c r="AC225">
        <f>IF($Y225="","",IF($Y225=0,$Z225*EXP($AA225*2),$Z225*(1+$Y225*$AA225*2)^(1/$Y225)))</f>
        <v/>
      </c>
      <c r="AD225">
        <f>IF($Y225="","",IF($Y225=0,$Z225*EXP($AA225*3),$Z225*(1+$Y225*$AA225*3)^(1/$Y225)))</f>
        <v/>
      </c>
      <c r="AE225">
        <f>IF($Y225="","",IF($Y225=0,$Z225*EXP($AA225*-2),$Z225*(1+$Y225*$AA225*-2)^(1/$Y225)))</f>
        <v/>
      </c>
      <c r="AF225">
        <f>IF($Y225="","",IF($Y225=0,$Z225*EXP($AA225*-3),$Z225*(1+$Y225*$AA225*-3)^(1/$Y225)))</f>
        <v/>
      </c>
      <c r="AG225">
        <f>IF($W225="","",IFERROR(INDEX(IF($T225&lt;=60,est05_l,est519_l),MATCH($W225,IF($T225&lt;=60,est05_k,est519_k),1)),""))</f>
        <v/>
      </c>
      <c r="AH225">
        <f>IF($W225="","",IFERROR(INDEX(IF($T225&lt;=60,est05_m,est519_m),MATCH($W225,IF($T225&lt;=60,est05_k,est519_k),1)),""))</f>
        <v/>
      </c>
      <c r="AI225">
        <f>IF($W225="","",IFERROR(INDEX(IF($T225&lt;=60,est05_s,est519_s),MATCH($W225,IF($T225&lt;=60,est05_k,est519_k),1)),""))</f>
        <v/>
      </c>
      <c r="AJ225">
        <f>IF($W225="","",IFERROR(INDEX(IF($T225&lt;=60,peso05_l,peso510_l),MATCH($W225,IF($T225&lt;=60,peso05_k,peso510_k),1)),""))</f>
        <v/>
      </c>
      <c r="AK225">
        <f>IF($W225="","",IFERROR(INDEX(IF($T225&lt;=60,peso05_m,peso510_m),MATCH($W225,IF($T225&lt;=60,peso05_k,peso510_k),1)),""))</f>
        <v/>
      </c>
      <c r="AL225">
        <f>IF($W225="","",IFERROR(INDEX(IF($T225&lt;=60,peso05_s,peso510_s),MATCH($W225,IF($T225&lt;=60,peso05_k,peso510_k),1)),""))</f>
        <v/>
      </c>
      <c r="AM225">
        <f>IF($AJ225="","",IF($AJ225=0,LN($F225/$AK225)/$AL225,((($F225/$AK225)^$AJ225)-1)/($AJ225*$AL225)))</f>
        <v/>
      </c>
      <c r="AN225">
        <f>IF($AJ225="","",IF($AJ225=0,$AK225*EXP($AL225*2),$AK225*(1+$AJ225*$AL225*2)^(1/$AJ225)))</f>
        <v/>
      </c>
      <c r="AO225">
        <f>IF($AJ225="","",IF($AJ225=0,$AK225*EXP($AL225*3),$AK225*(1+$AJ225*$AL225*3)^(1/$AJ225)))</f>
        <v/>
      </c>
      <c r="AP225">
        <f>IF($AJ225="","",IF($AJ225=0,$AK225*EXP($AL225*-2),$AK225*(1+$AJ225*$AL225*-2)^(1/$AJ225)))</f>
        <v/>
      </c>
      <c r="AQ225">
        <f>IF($AJ225="","",IF($AJ225=0,$AK225*EXP($AL225*-3),$AK225*(1+$AJ225*$AL225*-3)^(1/$AJ225)))</f>
        <v/>
      </c>
      <c r="AR225">
        <f>IF(OR($X225="",$T225&gt;60),"",IFERROR(INDEX(IF($T225&lt;24,pcomp_l,palt_l),MATCH($X225,IF($T225&lt;24,pcomp_k,palt_k),1)),""))</f>
        <v/>
      </c>
      <c r="AS225">
        <f>IF(OR($X225="",$T225&gt;60),"",IFERROR(INDEX(IF($T225&lt;24,pcomp_m,palt_m),MATCH($X225,IF($T225&lt;24,pcomp_k,palt_k),1)),""))</f>
        <v/>
      </c>
      <c r="AT225">
        <f>IF(OR($X225="",$T225&gt;60),"",IFERROR(INDEX(IF($T225&lt;24,pcomp_s,palt_s),MATCH($X225,IF($T225&lt;24,pcomp_k,palt_k),1)),""))</f>
        <v/>
      </c>
      <c r="AU225">
        <f>IF($AR225="","",IF($AR225=0,LN($F225/$AS225)/$AT225,((($F225/$AS225)^$AR225)-1)/($AR225*$AT225)))</f>
        <v/>
      </c>
      <c r="AV225">
        <f>IF($AR225="","",IF($AR225=0,$AS225*EXP($AT225*2),$AS225*(1+$AR225*$AT225*2)^(1/$AR225)))</f>
        <v/>
      </c>
      <c r="AW225">
        <f>IF($AR225="","",IF($AR225=0,$AS225*EXP($AT225*3),$AS225*(1+$AR225*$AT225*3)^(1/$AR225)))</f>
        <v/>
      </c>
      <c r="AX225">
        <f>IF($AR225="","",IF($AR225=0,$AS225*EXP($AT225*-2),$AS225*(1+$AR225*$AT225*-2)^(1/$AR225)))</f>
        <v/>
      </c>
      <c r="AY225">
        <f>IF($AR225="","",IF($AR225=0,$AS225*EXP($AT225*-3),$AS225*(1+$AR225*$AT225*-3)^(1/$AR225)))</f>
        <v/>
      </c>
      <c r="AZ225">
        <f>IF(OR($A225="",$A225&lt;&gt;Ficha!$C$4),"",COUNTIF($A$2:$A225,Ficha!$C$4))</f>
        <v/>
      </c>
    </row>
    <row r="226">
      <c r="A226" s="8">
        <f>IF(INDEX(Banco!$A:$A,ROW())="","",INDEX(Banco!$A:$A,ROW()))</f>
        <v/>
      </c>
      <c r="B226" s="8">
        <f>IF(INDEX(Banco!$B:$B,ROW())="","",INDEX(Banco!$B:$B,ROW()))</f>
        <v/>
      </c>
      <c r="C226" s="8">
        <f>IF(INDEX(Banco!$C:$C,ROW())="","",INDEX(Banco!$C:$C,ROW()))</f>
        <v/>
      </c>
      <c r="D226" s="9">
        <f>IF(INDEX(Banco!$D:$D,ROW())="","",INDEX(Banco!$D:$D,ROW()))</f>
        <v/>
      </c>
      <c r="E226" s="9">
        <f>IF(INDEX(Banco!$E:$E,ROW())="","",INDEX(Banco!$E:$E,ROW()))</f>
        <v/>
      </c>
      <c r="F226" s="10">
        <f>IF(INDEX(Banco!$F:$F,ROW())="","",INDEX(Banco!$F:$F,ROW()))</f>
        <v/>
      </c>
      <c r="G226" s="10">
        <f>IF(INDEX(Banco!$G:$G,ROW())="","",INDEX(Banco!$G:$G,ROW()))</f>
        <v/>
      </c>
      <c r="H226" s="8">
        <f>IF(INDEX(Banco!$H:$H,ROW())="","",INDEX(Banco!$H:$H,ROW()))</f>
        <v/>
      </c>
      <c r="I226">
        <f>IF($T226="","",INT($T226/12)&amp;"a "&amp;MOD($T226,12)&amp;"m")</f>
        <v/>
      </c>
      <c r="J226" s="11">
        <f>IF(OR($F226="",$G226=""),"",ROUND($F226/($G226/100)^2,2))</f>
        <v/>
      </c>
      <c r="K226" s="12">
        <f>IF(OR($S226="",$J226="",$T226="",$T226&lt;0,$T226&gt;228,$Y226=""),"—",ROUND(IF(ABS($AB226)&lt;=3,$AB226,IF($AB226&gt;3,3+($J226-$AD226)/($AD226-$AC226),-3+($J226-$AF226)/($AE226-$AF226))),2))</f>
        <v/>
      </c>
      <c r="L226">
        <f>IF(OR($K226="",$K226="—"),"",IF($T226&lt;=60,IF($K226&lt;-3,"Magreza acentuada",IF($K226&lt;-2,"Magreza",IF($K226&lt;=1,"Eutrofia",IF($K226&lt;=2,"Risco de sobrepeso",IF($K226&lt;=3,"Sobrepeso","Obesidade"))))),IF($K226&lt;-3,"Magreza acentuada",IF($K226&lt;-2,"Magreza",IF($K226&lt;=1,"Eutrofia",IF($K226&lt;=2,"Sobrepeso",IF($K226&lt;=3,"Obesidade","Obesidade grave")))))))</f>
        <v/>
      </c>
      <c r="M226" s="12">
        <f>IF(OR($S226="",$V226="",$T226="",$T226&lt;0,$T226&gt;228,$AG226=""),"—",ROUND(IF($AG226=0,LN($V226/$AH226)/$AI226,((($V226/$AH226)^$AG226)-1)/($AG226*$AI226)),2))</f>
        <v/>
      </c>
      <c r="N226">
        <f>IF(OR($M226="",$M226="—"),"",IF($M226&lt;-3,"Muito baixa",IF($M226&lt;-2,"Baixa","Adequada")))</f>
        <v/>
      </c>
      <c r="O226" s="12">
        <f>IF(OR($S226="",$F226="",$T226="",$T226&lt;0,$T226&gt;120,$AJ226=""),"—",ROUND(IF(ABS($AM226)&lt;=3,$AM226,IF($AM226&gt;3,3+($F226-$AO226)/($AO226-$AN226),-3+($F226-$AQ226)/($AP226-$AQ226))),2))</f>
        <v/>
      </c>
      <c r="P226">
        <f>IF(OR($O226="",$O226="—"),"",IF($O226&lt;-3,"Muito baixo",IF($O226&lt;-2,"Baixo",IF($O226&lt;=2,"Adequado","Elevado"))))</f>
        <v/>
      </c>
      <c r="Q226" s="12">
        <f>IF(OR($S226="",$F226="",$T226="",$T226&lt;0,$T226&gt;60,$AR226=""),"—",ROUND(IF(ABS($AU226)&lt;=3,$AU226,IF($AU226&gt;3,3+($F226-$AW226)/($AW226-$AV226),-3+($F226-$AY226)/($AX226-$AY226))),2))</f>
        <v/>
      </c>
      <c r="R226">
        <f>IF(OR($Q226="",$Q226="—"),"",IF($Q226&lt;-3,"Magreza acentuada",IF($Q226&lt;-2,"Magreza",IF($Q226&lt;=1,"Eutrofia",IF($Q226&lt;=2,"Risco de sobrepeso",IF($Q226&lt;=3,"Sobrepeso","Obesidade"))))))</f>
        <v/>
      </c>
      <c r="S226">
        <f>IF($C226="","",IF(UPPER(LEFT($C226,1))="M",1,IF(UPPER(LEFT($C226,1))="F",2,"")))</f>
        <v/>
      </c>
      <c r="T226">
        <f>IF(OR($D226="",$E226=""),"",DATEDIF($D226,$E226,"m"))</f>
        <v/>
      </c>
      <c r="U226">
        <f>IF(OR($D226="",$E226=""),"",$E226-$D226)</f>
        <v/>
      </c>
      <c r="V226">
        <f>IF(OR($G226="",$T226=""),"",IF($T226&lt;24,IF(LEFT(LOWER($H226),4)="em p",$G226+0.7,$G226),IF(LEFT(LOWER($H226),4)="deit",$G226-0.7,$G226)))</f>
        <v/>
      </c>
      <c r="W226">
        <f>IF(OR($S226="",$T226=""),"",$S226*1000000+IF($T226&lt;=60,$U226,$T226))</f>
        <v/>
      </c>
      <c r="X226">
        <f>IF(OR($S226="",$V226="",$T226&gt;60,$T226=""),"",$S226*1000000+ROUND($V226*10,0))</f>
        <v/>
      </c>
      <c r="Y226">
        <f>IF($W226="","",IFERROR(INDEX(IF($T226&lt;=60,imc05_l,imc519_l),MATCH($W226,IF($T226&lt;=60,imc05_k,imc519_k),1)),""))</f>
        <v/>
      </c>
      <c r="Z226">
        <f>IF($W226="","",IFERROR(INDEX(IF($T226&lt;=60,imc05_m,imc519_m),MATCH($W226,IF($T226&lt;=60,imc05_k,imc519_k),1)),""))</f>
        <v/>
      </c>
      <c r="AA226">
        <f>IF($W226="","",IFERROR(INDEX(IF($T226&lt;=60,imc05_s,imc519_s),MATCH($W226,IF($T226&lt;=60,imc05_k,imc519_k),1)),""))</f>
        <v/>
      </c>
      <c r="AB226">
        <f>IF($Y226="","",IF($Y226=0,LN($J226/$Z226)/$AA226,((($J226/$Z226)^$Y226)-1)/($Y226*$AA226)))</f>
        <v/>
      </c>
      <c r="AC226">
        <f>IF($Y226="","",IF($Y226=0,$Z226*EXP($AA226*2),$Z226*(1+$Y226*$AA226*2)^(1/$Y226)))</f>
        <v/>
      </c>
      <c r="AD226">
        <f>IF($Y226="","",IF($Y226=0,$Z226*EXP($AA226*3),$Z226*(1+$Y226*$AA226*3)^(1/$Y226)))</f>
        <v/>
      </c>
      <c r="AE226">
        <f>IF($Y226="","",IF($Y226=0,$Z226*EXP($AA226*-2),$Z226*(1+$Y226*$AA226*-2)^(1/$Y226)))</f>
        <v/>
      </c>
      <c r="AF226">
        <f>IF($Y226="","",IF($Y226=0,$Z226*EXP($AA226*-3),$Z226*(1+$Y226*$AA226*-3)^(1/$Y226)))</f>
        <v/>
      </c>
      <c r="AG226">
        <f>IF($W226="","",IFERROR(INDEX(IF($T226&lt;=60,est05_l,est519_l),MATCH($W226,IF($T226&lt;=60,est05_k,est519_k),1)),""))</f>
        <v/>
      </c>
      <c r="AH226">
        <f>IF($W226="","",IFERROR(INDEX(IF($T226&lt;=60,est05_m,est519_m),MATCH($W226,IF($T226&lt;=60,est05_k,est519_k),1)),""))</f>
        <v/>
      </c>
      <c r="AI226">
        <f>IF($W226="","",IFERROR(INDEX(IF($T226&lt;=60,est05_s,est519_s),MATCH($W226,IF($T226&lt;=60,est05_k,est519_k),1)),""))</f>
        <v/>
      </c>
      <c r="AJ226">
        <f>IF($W226="","",IFERROR(INDEX(IF($T226&lt;=60,peso05_l,peso510_l),MATCH($W226,IF($T226&lt;=60,peso05_k,peso510_k),1)),""))</f>
        <v/>
      </c>
      <c r="AK226">
        <f>IF($W226="","",IFERROR(INDEX(IF($T226&lt;=60,peso05_m,peso510_m),MATCH($W226,IF($T226&lt;=60,peso05_k,peso510_k),1)),""))</f>
        <v/>
      </c>
      <c r="AL226">
        <f>IF($W226="","",IFERROR(INDEX(IF($T226&lt;=60,peso05_s,peso510_s),MATCH($W226,IF($T226&lt;=60,peso05_k,peso510_k),1)),""))</f>
        <v/>
      </c>
      <c r="AM226">
        <f>IF($AJ226="","",IF($AJ226=0,LN($F226/$AK226)/$AL226,((($F226/$AK226)^$AJ226)-1)/($AJ226*$AL226)))</f>
        <v/>
      </c>
      <c r="AN226">
        <f>IF($AJ226="","",IF($AJ226=0,$AK226*EXP($AL226*2),$AK226*(1+$AJ226*$AL226*2)^(1/$AJ226)))</f>
        <v/>
      </c>
      <c r="AO226">
        <f>IF($AJ226="","",IF($AJ226=0,$AK226*EXP($AL226*3),$AK226*(1+$AJ226*$AL226*3)^(1/$AJ226)))</f>
        <v/>
      </c>
      <c r="AP226">
        <f>IF($AJ226="","",IF($AJ226=0,$AK226*EXP($AL226*-2),$AK226*(1+$AJ226*$AL226*-2)^(1/$AJ226)))</f>
        <v/>
      </c>
      <c r="AQ226">
        <f>IF($AJ226="","",IF($AJ226=0,$AK226*EXP($AL226*-3),$AK226*(1+$AJ226*$AL226*-3)^(1/$AJ226)))</f>
        <v/>
      </c>
      <c r="AR226">
        <f>IF(OR($X226="",$T226&gt;60),"",IFERROR(INDEX(IF($T226&lt;24,pcomp_l,palt_l),MATCH($X226,IF($T226&lt;24,pcomp_k,palt_k),1)),""))</f>
        <v/>
      </c>
      <c r="AS226">
        <f>IF(OR($X226="",$T226&gt;60),"",IFERROR(INDEX(IF($T226&lt;24,pcomp_m,palt_m),MATCH($X226,IF($T226&lt;24,pcomp_k,palt_k),1)),""))</f>
        <v/>
      </c>
      <c r="AT226">
        <f>IF(OR($X226="",$T226&gt;60),"",IFERROR(INDEX(IF($T226&lt;24,pcomp_s,palt_s),MATCH($X226,IF($T226&lt;24,pcomp_k,palt_k),1)),""))</f>
        <v/>
      </c>
      <c r="AU226">
        <f>IF($AR226="","",IF($AR226=0,LN($F226/$AS226)/$AT226,((($F226/$AS226)^$AR226)-1)/($AR226*$AT226)))</f>
        <v/>
      </c>
      <c r="AV226">
        <f>IF($AR226="","",IF($AR226=0,$AS226*EXP($AT226*2),$AS226*(1+$AR226*$AT226*2)^(1/$AR226)))</f>
        <v/>
      </c>
      <c r="AW226">
        <f>IF($AR226="","",IF($AR226=0,$AS226*EXP($AT226*3),$AS226*(1+$AR226*$AT226*3)^(1/$AR226)))</f>
        <v/>
      </c>
      <c r="AX226">
        <f>IF($AR226="","",IF($AR226=0,$AS226*EXP($AT226*-2),$AS226*(1+$AR226*$AT226*-2)^(1/$AR226)))</f>
        <v/>
      </c>
      <c r="AY226">
        <f>IF($AR226="","",IF($AR226=0,$AS226*EXP($AT226*-3),$AS226*(1+$AR226*$AT226*-3)^(1/$AR226)))</f>
        <v/>
      </c>
      <c r="AZ226">
        <f>IF(OR($A226="",$A226&lt;&gt;Ficha!$C$4),"",COUNTIF($A$2:$A226,Ficha!$C$4))</f>
        <v/>
      </c>
    </row>
    <row r="227">
      <c r="A227" s="8">
        <f>IF(INDEX(Banco!$A:$A,ROW())="","",INDEX(Banco!$A:$A,ROW()))</f>
        <v/>
      </c>
      <c r="B227" s="8">
        <f>IF(INDEX(Banco!$B:$B,ROW())="","",INDEX(Banco!$B:$B,ROW()))</f>
        <v/>
      </c>
      <c r="C227" s="8">
        <f>IF(INDEX(Banco!$C:$C,ROW())="","",INDEX(Banco!$C:$C,ROW()))</f>
        <v/>
      </c>
      <c r="D227" s="9">
        <f>IF(INDEX(Banco!$D:$D,ROW())="","",INDEX(Banco!$D:$D,ROW()))</f>
        <v/>
      </c>
      <c r="E227" s="9">
        <f>IF(INDEX(Banco!$E:$E,ROW())="","",INDEX(Banco!$E:$E,ROW()))</f>
        <v/>
      </c>
      <c r="F227" s="10">
        <f>IF(INDEX(Banco!$F:$F,ROW())="","",INDEX(Banco!$F:$F,ROW()))</f>
        <v/>
      </c>
      <c r="G227" s="10">
        <f>IF(INDEX(Banco!$G:$G,ROW())="","",INDEX(Banco!$G:$G,ROW()))</f>
        <v/>
      </c>
      <c r="H227" s="8">
        <f>IF(INDEX(Banco!$H:$H,ROW())="","",INDEX(Banco!$H:$H,ROW()))</f>
        <v/>
      </c>
      <c r="I227">
        <f>IF($T227="","",INT($T227/12)&amp;"a "&amp;MOD($T227,12)&amp;"m")</f>
        <v/>
      </c>
      <c r="J227" s="11">
        <f>IF(OR($F227="",$G227=""),"",ROUND($F227/($G227/100)^2,2))</f>
        <v/>
      </c>
      <c r="K227" s="12">
        <f>IF(OR($S227="",$J227="",$T227="",$T227&lt;0,$T227&gt;228,$Y227=""),"—",ROUND(IF(ABS($AB227)&lt;=3,$AB227,IF($AB227&gt;3,3+($J227-$AD227)/($AD227-$AC227),-3+($J227-$AF227)/($AE227-$AF227))),2))</f>
        <v/>
      </c>
      <c r="L227">
        <f>IF(OR($K227="",$K227="—"),"",IF($T227&lt;=60,IF($K227&lt;-3,"Magreza acentuada",IF($K227&lt;-2,"Magreza",IF($K227&lt;=1,"Eutrofia",IF($K227&lt;=2,"Risco de sobrepeso",IF($K227&lt;=3,"Sobrepeso","Obesidade"))))),IF($K227&lt;-3,"Magreza acentuada",IF($K227&lt;-2,"Magreza",IF($K227&lt;=1,"Eutrofia",IF($K227&lt;=2,"Sobrepeso",IF($K227&lt;=3,"Obesidade","Obesidade grave")))))))</f>
        <v/>
      </c>
      <c r="M227" s="12">
        <f>IF(OR($S227="",$V227="",$T227="",$T227&lt;0,$T227&gt;228,$AG227=""),"—",ROUND(IF($AG227=0,LN($V227/$AH227)/$AI227,((($V227/$AH227)^$AG227)-1)/($AG227*$AI227)),2))</f>
        <v/>
      </c>
      <c r="N227">
        <f>IF(OR($M227="",$M227="—"),"",IF($M227&lt;-3,"Muito baixa",IF($M227&lt;-2,"Baixa","Adequada")))</f>
        <v/>
      </c>
      <c r="O227" s="12">
        <f>IF(OR($S227="",$F227="",$T227="",$T227&lt;0,$T227&gt;120,$AJ227=""),"—",ROUND(IF(ABS($AM227)&lt;=3,$AM227,IF($AM227&gt;3,3+($F227-$AO227)/($AO227-$AN227),-3+($F227-$AQ227)/($AP227-$AQ227))),2))</f>
        <v/>
      </c>
      <c r="P227">
        <f>IF(OR($O227="",$O227="—"),"",IF($O227&lt;-3,"Muito baixo",IF($O227&lt;-2,"Baixo",IF($O227&lt;=2,"Adequado","Elevado"))))</f>
        <v/>
      </c>
      <c r="Q227" s="12">
        <f>IF(OR($S227="",$F227="",$T227="",$T227&lt;0,$T227&gt;60,$AR227=""),"—",ROUND(IF(ABS($AU227)&lt;=3,$AU227,IF($AU227&gt;3,3+($F227-$AW227)/($AW227-$AV227),-3+($F227-$AY227)/($AX227-$AY227))),2))</f>
        <v/>
      </c>
      <c r="R227">
        <f>IF(OR($Q227="",$Q227="—"),"",IF($Q227&lt;-3,"Magreza acentuada",IF($Q227&lt;-2,"Magreza",IF($Q227&lt;=1,"Eutrofia",IF($Q227&lt;=2,"Risco de sobrepeso",IF($Q227&lt;=3,"Sobrepeso","Obesidade"))))))</f>
        <v/>
      </c>
      <c r="S227">
        <f>IF($C227="","",IF(UPPER(LEFT($C227,1))="M",1,IF(UPPER(LEFT($C227,1))="F",2,"")))</f>
        <v/>
      </c>
      <c r="T227">
        <f>IF(OR($D227="",$E227=""),"",DATEDIF($D227,$E227,"m"))</f>
        <v/>
      </c>
      <c r="U227">
        <f>IF(OR($D227="",$E227=""),"",$E227-$D227)</f>
        <v/>
      </c>
      <c r="V227">
        <f>IF(OR($G227="",$T227=""),"",IF($T227&lt;24,IF(LEFT(LOWER($H227),4)="em p",$G227+0.7,$G227),IF(LEFT(LOWER($H227),4)="deit",$G227-0.7,$G227)))</f>
        <v/>
      </c>
      <c r="W227">
        <f>IF(OR($S227="",$T227=""),"",$S227*1000000+IF($T227&lt;=60,$U227,$T227))</f>
        <v/>
      </c>
      <c r="X227">
        <f>IF(OR($S227="",$V227="",$T227&gt;60,$T227=""),"",$S227*1000000+ROUND($V227*10,0))</f>
        <v/>
      </c>
      <c r="Y227">
        <f>IF($W227="","",IFERROR(INDEX(IF($T227&lt;=60,imc05_l,imc519_l),MATCH($W227,IF($T227&lt;=60,imc05_k,imc519_k),1)),""))</f>
        <v/>
      </c>
      <c r="Z227">
        <f>IF($W227="","",IFERROR(INDEX(IF($T227&lt;=60,imc05_m,imc519_m),MATCH($W227,IF($T227&lt;=60,imc05_k,imc519_k),1)),""))</f>
        <v/>
      </c>
      <c r="AA227">
        <f>IF($W227="","",IFERROR(INDEX(IF($T227&lt;=60,imc05_s,imc519_s),MATCH($W227,IF($T227&lt;=60,imc05_k,imc519_k),1)),""))</f>
        <v/>
      </c>
      <c r="AB227">
        <f>IF($Y227="","",IF($Y227=0,LN($J227/$Z227)/$AA227,((($J227/$Z227)^$Y227)-1)/($Y227*$AA227)))</f>
        <v/>
      </c>
      <c r="AC227">
        <f>IF($Y227="","",IF($Y227=0,$Z227*EXP($AA227*2),$Z227*(1+$Y227*$AA227*2)^(1/$Y227)))</f>
        <v/>
      </c>
      <c r="AD227">
        <f>IF($Y227="","",IF($Y227=0,$Z227*EXP($AA227*3),$Z227*(1+$Y227*$AA227*3)^(1/$Y227)))</f>
        <v/>
      </c>
      <c r="AE227">
        <f>IF($Y227="","",IF($Y227=0,$Z227*EXP($AA227*-2),$Z227*(1+$Y227*$AA227*-2)^(1/$Y227)))</f>
        <v/>
      </c>
      <c r="AF227">
        <f>IF($Y227="","",IF($Y227=0,$Z227*EXP($AA227*-3),$Z227*(1+$Y227*$AA227*-3)^(1/$Y227)))</f>
        <v/>
      </c>
      <c r="AG227">
        <f>IF($W227="","",IFERROR(INDEX(IF($T227&lt;=60,est05_l,est519_l),MATCH($W227,IF($T227&lt;=60,est05_k,est519_k),1)),""))</f>
        <v/>
      </c>
      <c r="AH227">
        <f>IF($W227="","",IFERROR(INDEX(IF($T227&lt;=60,est05_m,est519_m),MATCH($W227,IF($T227&lt;=60,est05_k,est519_k),1)),""))</f>
        <v/>
      </c>
      <c r="AI227">
        <f>IF($W227="","",IFERROR(INDEX(IF($T227&lt;=60,est05_s,est519_s),MATCH($W227,IF($T227&lt;=60,est05_k,est519_k),1)),""))</f>
        <v/>
      </c>
      <c r="AJ227">
        <f>IF($W227="","",IFERROR(INDEX(IF($T227&lt;=60,peso05_l,peso510_l),MATCH($W227,IF($T227&lt;=60,peso05_k,peso510_k),1)),""))</f>
        <v/>
      </c>
      <c r="AK227">
        <f>IF($W227="","",IFERROR(INDEX(IF($T227&lt;=60,peso05_m,peso510_m),MATCH($W227,IF($T227&lt;=60,peso05_k,peso510_k),1)),""))</f>
        <v/>
      </c>
      <c r="AL227">
        <f>IF($W227="","",IFERROR(INDEX(IF($T227&lt;=60,peso05_s,peso510_s),MATCH($W227,IF($T227&lt;=60,peso05_k,peso510_k),1)),""))</f>
        <v/>
      </c>
      <c r="AM227">
        <f>IF($AJ227="","",IF($AJ227=0,LN($F227/$AK227)/$AL227,((($F227/$AK227)^$AJ227)-1)/($AJ227*$AL227)))</f>
        <v/>
      </c>
      <c r="AN227">
        <f>IF($AJ227="","",IF($AJ227=0,$AK227*EXP($AL227*2),$AK227*(1+$AJ227*$AL227*2)^(1/$AJ227)))</f>
        <v/>
      </c>
      <c r="AO227">
        <f>IF($AJ227="","",IF($AJ227=0,$AK227*EXP($AL227*3),$AK227*(1+$AJ227*$AL227*3)^(1/$AJ227)))</f>
        <v/>
      </c>
      <c r="AP227">
        <f>IF($AJ227="","",IF($AJ227=0,$AK227*EXP($AL227*-2),$AK227*(1+$AJ227*$AL227*-2)^(1/$AJ227)))</f>
        <v/>
      </c>
      <c r="AQ227">
        <f>IF($AJ227="","",IF($AJ227=0,$AK227*EXP($AL227*-3),$AK227*(1+$AJ227*$AL227*-3)^(1/$AJ227)))</f>
        <v/>
      </c>
      <c r="AR227">
        <f>IF(OR($X227="",$T227&gt;60),"",IFERROR(INDEX(IF($T227&lt;24,pcomp_l,palt_l),MATCH($X227,IF($T227&lt;24,pcomp_k,palt_k),1)),""))</f>
        <v/>
      </c>
      <c r="AS227">
        <f>IF(OR($X227="",$T227&gt;60),"",IFERROR(INDEX(IF($T227&lt;24,pcomp_m,palt_m),MATCH($X227,IF($T227&lt;24,pcomp_k,palt_k),1)),""))</f>
        <v/>
      </c>
      <c r="AT227">
        <f>IF(OR($X227="",$T227&gt;60),"",IFERROR(INDEX(IF($T227&lt;24,pcomp_s,palt_s),MATCH($X227,IF($T227&lt;24,pcomp_k,palt_k),1)),""))</f>
        <v/>
      </c>
      <c r="AU227">
        <f>IF($AR227="","",IF($AR227=0,LN($F227/$AS227)/$AT227,((($F227/$AS227)^$AR227)-1)/($AR227*$AT227)))</f>
        <v/>
      </c>
      <c r="AV227">
        <f>IF($AR227="","",IF($AR227=0,$AS227*EXP($AT227*2),$AS227*(1+$AR227*$AT227*2)^(1/$AR227)))</f>
        <v/>
      </c>
      <c r="AW227">
        <f>IF($AR227="","",IF($AR227=0,$AS227*EXP($AT227*3),$AS227*(1+$AR227*$AT227*3)^(1/$AR227)))</f>
        <v/>
      </c>
      <c r="AX227">
        <f>IF($AR227="","",IF($AR227=0,$AS227*EXP($AT227*-2),$AS227*(1+$AR227*$AT227*-2)^(1/$AR227)))</f>
        <v/>
      </c>
      <c r="AY227">
        <f>IF($AR227="","",IF($AR227=0,$AS227*EXP($AT227*-3),$AS227*(1+$AR227*$AT227*-3)^(1/$AR227)))</f>
        <v/>
      </c>
      <c r="AZ227">
        <f>IF(OR($A227="",$A227&lt;&gt;Ficha!$C$4),"",COUNTIF($A$2:$A227,Ficha!$C$4))</f>
        <v/>
      </c>
    </row>
    <row r="228">
      <c r="A228" s="8">
        <f>IF(INDEX(Banco!$A:$A,ROW())="","",INDEX(Banco!$A:$A,ROW()))</f>
        <v/>
      </c>
      <c r="B228" s="8">
        <f>IF(INDEX(Banco!$B:$B,ROW())="","",INDEX(Banco!$B:$B,ROW()))</f>
        <v/>
      </c>
      <c r="C228" s="8">
        <f>IF(INDEX(Banco!$C:$C,ROW())="","",INDEX(Banco!$C:$C,ROW()))</f>
        <v/>
      </c>
      <c r="D228" s="9">
        <f>IF(INDEX(Banco!$D:$D,ROW())="","",INDEX(Banco!$D:$D,ROW()))</f>
        <v/>
      </c>
      <c r="E228" s="9">
        <f>IF(INDEX(Banco!$E:$E,ROW())="","",INDEX(Banco!$E:$E,ROW()))</f>
        <v/>
      </c>
      <c r="F228" s="10">
        <f>IF(INDEX(Banco!$F:$F,ROW())="","",INDEX(Banco!$F:$F,ROW()))</f>
        <v/>
      </c>
      <c r="G228" s="10">
        <f>IF(INDEX(Banco!$G:$G,ROW())="","",INDEX(Banco!$G:$G,ROW()))</f>
        <v/>
      </c>
      <c r="H228" s="8">
        <f>IF(INDEX(Banco!$H:$H,ROW())="","",INDEX(Banco!$H:$H,ROW()))</f>
        <v/>
      </c>
      <c r="I228">
        <f>IF($T228="","",INT($T228/12)&amp;"a "&amp;MOD($T228,12)&amp;"m")</f>
        <v/>
      </c>
      <c r="J228" s="11">
        <f>IF(OR($F228="",$G228=""),"",ROUND($F228/($G228/100)^2,2))</f>
        <v/>
      </c>
      <c r="K228" s="12">
        <f>IF(OR($S228="",$J228="",$T228="",$T228&lt;0,$T228&gt;228,$Y228=""),"—",ROUND(IF(ABS($AB228)&lt;=3,$AB228,IF($AB228&gt;3,3+($J228-$AD228)/($AD228-$AC228),-3+($J228-$AF228)/($AE228-$AF228))),2))</f>
        <v/>
      </c>
      <c r="L228">
        <f>IF(OR($K228="",$K228="—"),"",IF($T228&lt;=60,IF($K228&lt;-3,"Magreza acentuada",IF($K228&lt;-2,"Magreza",IF($K228&lt;=1,"Eutrofia",IF($K228&lt;=2,"Risco de sobrepeso",IF($K228&lt;=3,"Sobrepeso","Obesidade"))))),IF($K228&lt;-3,"Magreza acentuada",IF($K228&lt;-2,"Magreza",IF($K228&lt;=1,"Eutrofia",IF($K228&lt;=2,"Sobrepeso",IF($K228&lt;=3,"Obesidade","Obesidade grave")))))))</f>
        <v/>
      </c>
      <c r="M228" s="12">
        <f>IF(OR($S228="",$V228="",$T228="",$T228&lt;0,$T228&gt;228,$AG228=""),"—",ROUND(IF($AG228=0,LN($V228/$AH228)/$AI228,((($V228/$AH228)^$AG228)-1)/($AG228*$AI228)),2))</f>
        <v/>
      </c>
      <c r="N228">
        <f>IF(OR($M228="",$M228="—"),"",IF($M228&lt;-3,"Muito baixa",IF($M228&lt;-2,"Baixa","Adequada")))</f>
        <v/>
      </c>
      <c r="O228" s="12">
        <f>IF(OR($S228="",$F228="",$T228="",$T228&lt;0,$T228&gt;120,$AJ228=""),"—",ROUND(IF(ABS($AM228)&lt;=3,$AM228,IF($AM228&gt;3,3+($F228-$AO228)/($AO228-$AN228),-3+($F228-$AQ228)/($AP228-$AQ228))),2))</f>
        <v/>
      </c>
      <c r="P228">
        <f>IF(OR($O228="",$O228="—"),"",IF($O228&lt;-3,"Muito baixo",IF($O228&lt;-2,"Baixo",IF($O228&lt;=2,"Adequado","Elevado"))))</f>
        <v/>
      </c>
      <c r="Q228" s="12">
        <f>IF(OR($S228="",$F228="",$T228="",$T228&lt;0,$T228&gt;60,$AR228=""),"—",ROUND(IF(ABS($AU228)&lt;=3,$AU228,IF($AU228&gt;3,3+($F228-$AW228)/($AW228-$AV228),-3+($F228-$AY228)/($AX228-$AY228))),2))</f>
        <v/>
      </c>
      <c r="R228">
        <f>IF(OR($Q228="",$Q228="—"),"",IF($Q228&lt;-3,"Magreza acentuada",IF($Q228&lt;-2,"Magreza",IF($Q228&lt;=1,"Eutrofia",IF($Q228&lt;=2,"Risco de sobrepeso",IF($Q228&lt;=3,"Sobrepeso","Obesidade"))))))</f>
        <v/>
      </c>
      <c r="S228">
        <f>IF($C228="","",IF(UPPER(LEFT($C228,1))="M",1,IF(UPPER(LEFT($C228,1))="F",2,"")))</f>
        <v/>
      </c>
      <c r="T228">
        <f>IF(OR($D228="",$E228=""),"",DATEDIF($D228,$E228,"m"))</f>
        <v/>
      </c>
      <c r="U228">
        <f>IF(OR($D228="",$E228=""),"",$E228-$D228)</f>
        <v/>
      </c>
      <c r="V228">
        <f>IF(OR($G228="",$T228=""),"",IF($T228&lt;24,IF(LEFT(LOWER($H228),4)="em p",$G228+0.7,$G228),IF(LEFT(LOWER($H228),4)="deit",$G228-0.7,$G228)))</f>
        <v/>
      </c>
      <c r="W228">
        <f>IF(OR($S228="",$T228=""),"",$S228*1000000+IF($T228&lt;=60,$U228,$T228))</f>
        <v/>
      </c>
      <c r="X228">
        <f>IF(OR($S228="",$V228="",$T228&gt;60,$T228=""),"",$S228*1000000+ROUND($V228*10,0))</f>
        <v/>
      </c>
      <c r="Y228">
        <f>IF($W228="","",IFERROR(INDEX(IF($T228&lt;=60,imc05_l,imc519_l),MATCH($W228,IF($T228&lt;=60,imc05_k,imc519_k),1)),""))</f>
        <v/>
      </c>
      <c r="Z228">
        <f>IF($W228="","",IFERROR(INDEX(IF($T228&lt;=60,imc05_m,imc519_m),MATCH($W228,IF($T228&lt;=60,imc05_k,imc519_k),1)),""))</f>
        <v/>
      </c>
      <c r="AA228">
        <f>IF($W228="","",IFERROR(INDEX(IF($T228&lt;=60,imc05_s,imc519_s),MATCH($W228,IF($T228&lt;=60,imc05_k,imc519_k),1)),""))</f>
        <v/>
      </c>
      <c r="AB228">
        <f>IF($Y228="","",IF($Y228=0,LN($J228/$Z228)/$AA228,((($J228/$Z228)^$Y228)-1)/($Y228*$AA228)))</f>
        <v/>
      </c>
      <c r="AC228">
        <f>IF($Y228="","",IF($Y228=0,$Z228*EXP($AA228*2),$Z228*(1+$Y228*$AA228*2)^(1/$Y228)))</f>
        <v/>
      </c>
      <c r="AD228">
        <f>IF($Y228="","",IF($Y228=0,$Z228*EXP($AA228*3),$Z228*(1+$Y228*$AA228*3)^(1/$Y228)))</f>
        <v/>
      </c>
      <c r="AE228">
        <f>IF($Y228="","",IF($Y228=0,$Z228*EXP($AA228*-2),$Z228*(1+$Y228*$AA228*-2)^(1/$Y228)))</f>
        <v/>
      </c>
      <c r="AF228">
        <f>IF($Y228="","",IF($Y228=0,$Z228*EXP($AA228*-3),$Z228*(1+$Y228*$AA228*-3)^(1/$Y228)))</f>
        <v/>
      </c>
      <c r="AG228">
        <f>IF($W228="","",IFERROR(INDEX(IF($T228&lt;=60,est05_l,est519_l),MATCH($W228,IF($T228&lt;=60,est05_k,est519_k),1)),""))</f>
        <v/>
      </c>
      <c r="AH228">
        <f>IF($W228="","",IFERROR(INDEX(IF($T228&lt;=60,est05_m,est519_m),MATCH($W228,IF($T228&lt;=60,est05_k,est519_k),1)),""))</f>
        <v/>
      </c>
      <c r="AI228">
        <f>IF($W228="","",IFERROR(INDEX(IF($T228&lt;=60,est05_s,est519_s),MATCH($W228,IF($T228&lt;=60,est05_k,est519_k),1)),""))</f>
        <v/>
      </c>
      <c r="AJ228">
        <f>IF($W228="","",IFERROR(INDEX(IF($T228&lt;=60,peso05_l,peso510_l),MATCH($W228,IF($T228&lt;=60,peso05_k,peso510_k),1)),""))</f>
        <v/>
      </c>
      <c r="AK228">
        <f>IF($W228="","",IFERROR(INDEX(IF($T228&lt;=60,peso05_m,peso510_m),MATCH($W228,IF($T228&lt;=60,peso05_k,peso510_k),1)),""))</f>
        <v/>
      </c>
      <c r="AL228">
        <f>IF($W228="","",IFERROR(INDEX(IF($T228&lt;=60,peso05_s,peso510_s),MATCH($W228,IF($T228&lt;=60,peso05_k,peso510_k),1)),""))</f>
        <v/>
      </c>
      <c r="AM228">
        <f>IF($AJ228="","",IF($AJ228=0,LN($F228/$AK228)/$AL228,((($F228/$AK228)^$AJ228)-1)/($AJ228*$AL228)))</f>
        <v/>
      </c>
      <c r="AN228">
        <f>IF($AJ228="","",IF($AJ228=0,$AK228*EXP($AL228*2),$AK228*(1+$AJ228*$AL228*2)^(1/$AJ228)))</f>
        <v/>
      </c>
      <c r="AO228">
        <f>IF($AJ228="","",IF($AJ228=0,$AK228*EXP($AL228*3),$AK228*(1+$AJ228*$AL228*3)^(1/$AJ228)))</f>
        <v/>
      </c>
      <c r="AP228">
        <f>IF($AJ228="","",IF($AJ228=0,$AK228*EXP($AL228*-2),$AK228*(1+$AJ228*$AL228*-2)^(1/$AJ228)))</f>
        <v/>
      </c>
      <c r="AQ228">
        <f>IF($AJ228="","",IF($AJ228=0,$AK228*EXP($AL228*-3),$AK228*(1+$AJ228*$AL228*-3)^(1/$AJ228)))</f>
        <v/>
      </c>
      <c r="AR228">
        <f>IF(OR($X228="",$T228&gt;60),"",IFERROR(INDEX(IF($T228&lt;24,pcomp_l,palt_l),MATCH($X228,IF($T228&lt;24,pcomp_k,palt_k),1)),""))</f>
        <v/>
      </c>
      <c r="AS228">
        <f>IF(OR($X228="",$T228&gt;60),"",IFERROR(INDEX(IF($T228&lt;24,pcomp_m,palt_m),MATCH($X228,IF($T228&lt;24,pcomp_k,palt_k),1)),""))</f>
        <v/>
      </c>
      <c r="AT228">
        <f>IF(OR($X228="",$T228&gt;60),"",IFERROR(INDEX(IF($T228&lt;24,pcomp_s,palt_s),MATCH($X228,IF($T228&lt;24,pcomp_k,palt_k),1)),""))</f>
        <v/>
      </c>
      <c r="AU228">
        <f>IF($AR228="","",IF($AR228=0,LN($F228/$AS228)/$AT228,((($F228/$AS228)^$AR228)-1)/($AR228*$AT228)))</f>
        <v/>
      </c>
      <c r="AV228">
        <f>IF($AR228="","",IF($AR228=0,$AS228*EXP($AT228*2),$AS228*(1+$AR228*$AT228*2)^(1/$AR228)))</f>
        <v/>
      </c>
      <c r="AW228">
        <f>IF($AR228="","",IF($AR228=0,$AS228*EXP($AT228*3),$AS228*(1+$AR228*$AT228*3)^(1/$AR228)))</f>
        <v/>
      </c>
      <c r="AX228">
        <f>IF($AR228="","",IF($AR228=0,$AS228*EXP($AT228*-2),$AS228*(1+$AR228*$AT228*-2)^(1/$AR228)))</f>
        <v/>
      </c>
      <c r="AY228">
        <f>IF($AR228="","",IF($AR228=0,$AS228*EXP($AT228*-3),$AS228*(1+$AR228*$AT228*-3)^(1/$AR228)))</f>
        <v/>
      </c>
      <c r="AZ228">
        <f>IF(OR($A228="",$A228&lt;&gt;Ficha!$C$4),"",COUNTIF($A$2:$A228,Ficha!$C$4))</f>
        <v/>
      </c>
    </row>
    <row r="229">
      <c r="A229" s="8">
        <f>IF(INDEX(Banco!$A:$A,ROW())="","",INDEX(Banco!$A:$A,ROW()))</f>
        <v/>
      </c>
      <c r="B229" s="8">
        <f>IF(INDEX(Banco!$B:$B,ROW())="","",INDEX(Banco!$B:$B,ROW()))</f>
        <v/>
      </c>
      <c r="C229" s="8">
        <f>IF(INDEX(Banco!$C:$C,ROW())="","",INDEX(Banco!$C:$C,ROW()))</f>
        <v/>
      </c>
      <c r="D229" s="9">
        <f>IF(INDEX(Banco!$D:$D,ROW())="","",INDEX(Banco!$D:$D,ROW()))</f>
        <v/>
      </c>
      <c r="E229" s="9">
        <f>IF(INDEX(Banco!$E:$E,ROW())="","",INDEX(Banco!$E:$E,ROW()))</f>
        <v/>
      </c>
      <c r="F229" s="10">
        <f>IF(INDEX(Banco!$F:$F,ROW())="","",INDEX(Banco!$F:$F,ROW()))</f>
        <v/>
      </c>
      <c r="G229" s="10">
        <f>IF(INDEX(Banco!$G:$G,ROW())="","",INDEX(Banco!$G:$G,ROW()))</f>
        <v/>
      </c>
      <c r="H229" s="8">
        <f>IF(INDEX(Banco!$H:$H,ROW())="","",INDEX(Banco!$H:$H,ROW()))</f>
        <v/>
      </c>
      <c r="I229">
        <f>IF($T229="","",INT($T229/12)&amp;"a "&amp;MOD($T229,12)&amp;"m")</f>
        <v/>
      </c>
      <c r="J229" s="11">
        <f>IF(OR($F229="",$G229=""),"",ROUND($F229/($G229/100)^2,2))</f>
        <v/>
      </c>
      <c r="K229" s="12">
        <f>IF(OR($S229="",$J229="",$T229="",$T229&lt;0,$T229&gt;228,$Y229=""),"—",ROUND(IF(ABS($AB229)&lt;=3,$AB229,IF($AB229&gt;3,3+($J229-$AD229)/($AD229-$AC229),-3+($J229-$AF229)/($AE229-$AF229))),2))</f>
        <v/>
      </c>
      <c r="L229">
        <f>IF(OR($K229="",$K229="—"),"",IF($T229&lt;=60,IF($K229&lt;-3,"Magreza acentuada",IF($K229&lt;-2,"Magreza",IF($K229&lt;=1,"Eutrofia",IF($K229&lt;=2,"Risco de sobrepeso",IF($K229&lt;=3,"Sobrepeso","Obesidade"))))),IF($K229&lt;-3,"Magreza acentuada",IF($K229&lt;-2,"Magreza",IF($K229&lt;=1,"Eutrofia",IF($K229&lt;=2,"Sobrepeso",IF($K229&lt;=3,"Obesidade","Obesidade grave")))))))</f>
        <v/>
      </c>
      <c r="M229" s="12">
        <f>IF(OR($S229="",$V229="",$T229="",$T229&lt;0,$T229&gt;228,$AG229=""),"—",ROUND(IF($AG229=0,LN($V229/$AH229)/$AI229,((($V229/$AH229)^$AG229)-1)/($AG229*$AI229)),2))</f>
        <v/>
      </c>
      <c r="N229">
        <f>IF(OR($M229="",$M229="—"),"",IF($M229&lt;-3,"Muito baixa",IF($M229&lt;-2,"Baixa","Adequada")))</f>
        <v/>
      </c>
      <c r="O229" s="12">
        <f>IF(OR($S229="",$F229="",$T229="",$T229&lt;0,$T229&gt;120,$AJ229=""),"—",ROUND(IF(ABS($AM229)&lt;=3,$AM229,IF($AM229&gt;3,3+($F229-$AO229)/($AO229-$AN229),-3+($F229-$AQ229)/($AP229-$AQ229))),2))</f>
        <v/>
      </c>
      <c r="P229">
        <f>IF(OR($O229="",$O229="—"),"",IF($O229&lt;-3,"Muito baixo",IF($O229&lt;-2,"Baixo",IF($O229&lt;=2,"Adequado","Elevado"))))</f>
        <v/>
      </c>
      <c r="Q229" s="12">
        <f>IF(OR($S229="",$F229="",$T229="",$T229&lt;0,$T229&gt;60,$AR229=""),"—",ROUND(IF(ABS($AU229)&lt;=3,$AU229,IF($AU229&gt;3,3+($F229-$AW229)/($AW229-$AV229),-3+($F229-$AY229)/($AX229-$AY229))),2))</f>
        <v/>
      </c>
      <c r="R229">
        <f>IF(OR($Q229="",$Q229="—"),"",IF($Q229&lt;-3,"Magreza acentuada",IF($Q229&lt;-2,"Magreza",IF($Q229&lt;=1,"Eutrofia",IF($Q229&lt;=2,"Risco de sobrepeso",IF($Q229&lt;=3,"Sobrepeso","Obesidade"))))))</f>
        <v/>
      </c>
      <c r="S229">
        <f>IF($C229="","",IF(UPPER(LEFT($C229,1))="M",1,IF(UPPER(LEFT($C229,1))="F",2,"")))</f>
        <v/>
      </c>
      <c r="T229">
        <f>IF(OR($D229="",$E229=""),"",DATEDIF($D229,$E229,"m"))</f>
        <v/>
      </c>
      <c r="U229">
        <f>IF(OR($D229="",$E229=""),"",$E229-$D229)</f>
        <v/>
      </c>
      <c r="V229">
        <f>IF(OR($G229="",$T229=""),"",IF($T229&lt;24,IF(LEFT(LOWER($H229),4)="em p",$G229+0.7,$G229),IF(LEFT(LOWER($H229),4)="deit",$G229-0.7,$G229)))</f>
        <v/>
      </c>
      <c r="W229">
        <f>IF(OR($S229="",$T229=""),"",$S229*1000000+IF($T229&lt;=60,$U229,$T229))</f>
        <v/>
      </c>
      <c r="X229">
        <f>IF(OR($S229="",$V229="",$T229&gt;60,$T229=""),"",$S229*1000000+ROUND($V229*10,0))</f>
        <v/>
      </c>
      <c r="Y229">
        <f>IF($W229="","",IFERROR(INDEX(IF($T229&lt;=60,imc05_l,imc519_l),MATCH($W229,IF($T229&lt;=60,imc05_k,imc519_k),1)),""))</f>
        <v/>
      </c>
      <c r="Z229">
        <f>IF($W229="","",IFERROR(INDEX(IF($T229&lt;=60,imc05_m,imc519_m),MATCH($W229,IF($T229&lt;=60,imc05_k,imc519_k),1)),""))</f>
        <v/>
      </c>
      <c r="AA229">
        <f>IF($W229="","",IFERROR(INDEX(IF($T229&lt;=60,imc05_s,imc519_s),MATCH($W229,IF($T229&lt;=60,imc05_k,imc519_k),1)),""))</f>
        <v/>
      </c>
      <c r="AB229">
        <f>IF($Y229="","",IF($Y229=0,LN($J229/$Z229)/$AA229,((($J229/$Z229)^$Y229)-1)/($Y229*$AA229)))</f>
        <v/>
      </c>
      <c r="AC229">
        <f>IF($Y229="","",IF($Y229=0,$Z229*EXP($AA229*2),$Z229*(1+$Y229*$AA229*2)^(1/$Y229)))</f>
        <v/>
      </c>
      <c r="AD229">
        <f>IF($Y229="","",IF($Y229=0,$Z229*EXP($AA229*3),$Z229*(1+$Y229*$AA229*3)^(1/$Y229)))</f>
        <v/>
      </c>
      <c r="AE229">
        <f>IF($Y229="","",IF($Y229=0,$Z229*EXP($AA229*-2),$Z229*(1+$Y229*$AA229*-2)^(1/$Y229)))</f>
        <v/>
      </c>
      <c r="AF229">
        <f>IF($Y229="","",IF($Y229=0,$Z229*EXP($AA229*-3),$Z229*(1+$Y229*$AA229*-3)^(1/$Y229)))</f>
        <v/>
      </c>
      <c r="AG229">
        <f>IF($W229="","",IFERROR(INDEX(IF($T229&lt;=60,est05_l,est519_l),MATCH($W229,IF($T229&lt;=60,est05_k,est519_k),1)),""))</f>
        <v/>
      </c>
      <c r="AH229">
        <f>IF($W229="","",IFERROR(INDEX(IF($T229&lt;=60,est05_m,est519_m),MATCH($W229,IF($T229&lt;=60,est05_k,est519_k),1)),""))</f>
        <v/>
      </c>
      <c r="AI229">
        <f>IF($W229="","",IFERROR(INDEX(IF($T229&lt;=60,est05_s,est519_s),MATCH($W229,IF($T229&lt;=60,est05_k,est519_k),1)),""))</f>
        <v/>
      </c>
      <c r="AJ229">
        <f>IF($W229="","",IFERROR(INDEX(IF($T229&lt;=60,peso05_l,peso510_l),MATCH($W229,IF($T229&lt;=60,peso05_k,peso510_k),1)),""))</f>
        <v/>
      </c>
      <c r="AK229">
        <f>IF($W229="","",IFERROR(INDEX(IF($T229&lt;=60,peso05_m,peso510_m),MATCH($W229,IF($T229&lt;=60,peso05_k,peso510_k),1)),""))</f>
        <v/>
      </c>
      <c r="AL229">
        <f>IF($W229="","",IFERROR(INDEX(IF($T229&lt;=60,peso05_s,peso510_s),MATCH($W229,IF($T229&lt;=60,peso05_k,peso510_k),1)),""))</f>
        <v/>
      </c>
      <c r="AM229">
        <f>IF($AJ229="","",IF($AJ229=0,LN($F229/$AK229)/$AL229,((($F229/$AK229)^$AJ229)-1)/($AJ229*$AL229)))</f>
        <v/>
      </c>
      <c r="AN229">
        <f>IF($AJ229="","",IF($AJ229=0,$AK229*EXP($AL229*2),$AK229*(1+$AJ229*$AL229*2)^(1/$AJ229)))</f>
        <v/>
      </c>
      <c r="AO229">
        <f>IF($AJ229="","",IF($AJ229=0,$AK229*EXP($AL229*3),$AK229*(1+$AJ229*$AL229*3)^(1/$AJ229)))</f>
        <v/>
      </c>
      <c r="AP229">
        <f>IF($AJ229="","",IF($AJ229=0,$AK229*EXP($AL229*-2),$AK229*(1+$AJ229*$AL229*-2)^(1/$AJ229)))</f>
        <v/>
      </c>
      <c r="AQ229">
        <f>IF($AJ229="","",IF($AJ229=0,$AK229*EXP($AL229*-3),$AK229*(1+$AJ229*$AL229*-3)^(1/$AJ229)))</f>
        <v/>
      </c>
      <c r="AR229">
        <f>IF(OR($X229="",$T229&gt;60),"",IFERROR(INDEX(IF($T229&lt;24,pcomp_l,palt_l),MATCH($X229,IF($T229&lt;24,pcomp_k,palt_k),1)),""))</f>
        <v/>
      </c>
      <c r="AS229">
        <f>IF(OR($X229="",$T229&gt;60),"",IFERROR(INDEX(IF($T229&lt;24,pcomp_m,palt_m),MATCH($X229,IF($T229&lt;24,pcomp_k,palt_k),1)),""))</f>
        <v/>
      </c>
      <c r="AT229">
        <f>IF(OR($X229="",$T229&gt;60),"",IFERROR(INDEX(IF($T229&lt;24,pcomp_s,palt_s),MATCH($X229,IF($T229&lt;24,pcomp_k,palt_k),1)),""))</f>
        <v/>
      </c>
      <c r="AU229">
        <f>IF($AR229="","",IF($AR229=0,LN($F229/$AS229)/$AT229,((($F229/$AS229)^$AR229)-1)/($AR229*$AT229)))</f>
        <v/>
      </c>
      <c r="AV229">
        <f>IF($AR229="","",IF($AR229=0,$AS229*EXP($AT229*2),$AS229*(1+$AR229*$AT229*2)^(1/$AR229)))</f>
        <v/>
      </c>
      <c r="AW229">
        <f>IF($AR229="","",IF($AR229=0,$AS229*EXP($AT229*3),$AS229*(1+$AR229*$AT229*3)^(1/$AR229)))</f>
        <v/>
      </c>
      <c r="AX229">
        <f>IF($AR229="","",IF($AR229=0,$AS229*EXP($AT229*-2),$AS229*(1+$AR229*$AT229*-2)^(1/$AR229)))</f>
        <v/>
      </c>
      <c r="AY229">
        <f>IF($AR229="","",IF($AR229=0,$AS229*EXP($AT229*-3),$AS229*(1+$AR229*$AT229*-3)^(1/$AR229)))</f>
        <v/>
      </c>
      <c r="AZ229">
        <f>IF(OR($A229="",$A229&lt;&gt;Ficha!$C$4),"",COUNTIF($A$2:$A229,Ficha!$C$4))</f>
        <v/>
      </c>
    </row>
    <row r="230">
      <c r="A230" s="8">
        <f>IF(INDEX(Banco!$A:$A,ROW())="","",INDEX(Banco!$A:$A,ROW()))</f>
        <v/>
      </c>
      <c r="B230" s="8">
        <f>IF(INDEX(Banco!$B:$B,ROW())="","",INDEX(Banco!$B:$B,ROW()))</f>
        <v/>
      </c>
      <c r="C230" s="8">
        <f>IF(INDEX(Banco!$C:$C,ROW())="","",INDEX(Banco!$C:$C,ROW()))</f>
        <v/>
      </c>
      <c r="D230" s="9">
        <f>IF(INDEX(Banco!$D:$D,ROW())="","",INDEX(Banco!$D:$D,ROW()))</f>
        <v/>
      </c>
      <c r="E230" s="9">
        <f>IF(INDEX(Banco!$E:$E,ROW())="","",INDEX(Banco!$E:$E,ROW()))</f>
        <v/>
      </c>
      <c r="F230" s="10">
        <f>IF(INDEX(Banco!$F:$F,ROW())="","",INDEX(Banco!$F:$F,ROW()))</f>
        <v/>
      </c>
      <c r="G230" s="10">
        <f>IF(INDEX(Banco!$G:$G,ROW())="","",INDEX(Banco!$G:$G,ROW()))</f>
        <v/>
      </c>
      <c r="H230" s="8">
        <f>IF(INDEX(Banco!$H:$H,ROW())="","",INDEX(Banco!$H:$H,ROW()))</f>
        <v/>
      </c>
      <c r="I230">
        <f>IF($T230="","",INT($T230/12)&amp;"a "&amp;MOD($T230,12)&amp;"m")</f>
        <v/>
      </c>
      <c r="J230" s="11">
        <f>IF(OR($F230="",$G230=""),"",ROUND($F230/($G230/100)^2,2))</f>
        <v/>
      </c>
      <c r="K230" s="12">
        <f>IF(OR($S230="",$J230="",$T230="",$T230&lt;0,$T230&gt;228,$Y230=""),"—",ROUND(IF(ABS($AB230)&lt;=3,$AB230,IF($AB230&gt;3,3+($J230-$AD230)/($AD230-$AC230),-3+($J230-$AF230)/($AE230-$AF230))),2))</f>
        <v/>
      </c>
      <c r="L230">
        <f>IF(OR($K230="",$K230="—"),"",IF($T230&lt;=60,IF($K230&lt;-3,"Magreza acentuada",IF($K230&lt;-2,"Magreza",IF($K230&lt;=1,"Eutrofia",IF($K230&lt;=2,"Risco de sobrepeso",IF($K230&lt;=3,"Sobrepeso","Obesidade"))))),IF($K230&lt;-3,"Magreza acentuada",IF($K230&lt;-2,"Magreza",IF($K230&lt;=1,"Eutrofia",IF($K230&lt;=2,"Sobrepeso",IF($K230&lt;=3,"Obesidade","Obesidade grave")))))))</f>
        <v/>
      </c>
      <c r="M230" s="12">
        <f>IF(OR($S230="",$V230="",$T230="",$T230&lt;0,$T230&gt;228,$AG230=""),"—",ROUND(IF($AG230=0,LN($V230/$AH230)/$AI230,((($V230/$AH230)^$AG230)-1)/($AG230*$AI230)),2))</f>
        <v/>
      </c>
      <c r="N230">
        <f>IF(OR($M230="",$M230="—"),"",IF($M230&lt;-3,"Muito baixa",IF($M230&lt;-2,"Baixa","Adequada")))</f>
        <v/>
      </c>
      <c r="O230" s="12">
        <f>IF(OR($S230="",$F230="",$T230="",$T230&lt;0,$T230&gt;120,$AJ230=""),"—",ROUND(IF(ABS($AM230)&lt;=3,$AM230,IF($AM230&gt;3,3+($F230-$AO230)/($AO230-$AN230),-3+($F230-$AQ230)/($AP230-$AQ230))),2))</f>
        <v/>
      </c>
      <c r="P230">
        <f>IF(OR($O230="",$O230="—"),"",IF($O230&lt;-3,"Muito baixo",IF($O230&lt;-2,"Baixo",IF($O230&lt;=2,"Adequado","Elevado"))))</f>
        <v/>
      </c>
      <c r="Q230" s="12">
        <f>IF(OR($S230="",$F230="",$T230="",$T230&lt;0,$T230&gt;60,$AR230=""),"—",ROUND(IF(ABS($AU230)&lt;=3,$AU230,IF($AU230&gt;3,3+($F230-$AW230)/($AW230-$AV230),-3+($F230-$AY230)/($AX230-$AY230))),2))</f>
        <v/>
      </c>
      <c r="R230">
        <f>IF(OR($Q230="",$Q230="—"),"",IF($Q230&lt;-3,"Magreza acentuada",IF($Q230&lt;-2,"Magreza",IF($Q230&lt;=1,"Eutrofia",IF($Q230&lt;=2,"Risco de sobrepeso",IF($Q230&lt;=3,"Sobrepeso","Obesidade"))))))</f>
        <v/>
      </c>
      <c r="S230">
        <f>IF($C230="","",IF(UPPER(LEFT($C230,1))="M",1,IF(UPPER(LEFT($C230,1))="F",2,"")))</f>
        <v/>
      </c>
      <c r="T230">
        <f>IF(OR($D230="",$E230=""),"",DATEDIF($D230,$E230,"m"))</f>
        <v/>
      </c>
      <c r="U230">
        <f>IF(OR($D230="",$E230=""),"",$E230-$D230)</f>
        <v/>
      </c>
      <c r="V230">
        <f>IF(OR($G230="",$T230=""),"",IF($T230&lt;24,IF(LEFT(LOWER($H230),4)="em p",$G230+0.7,$G230),IF(LEFT(LOWER($H230),4)="deit",$G230-0.7,$G230)))</f>
        <v/>
      </c>
      <c r="W230">
        <f>IF(OR($S230="",$T230=""),"",$S230*1000000+IF($T230&lt;=60,$U230,$T230))</f>
        <v/>
      </c>
      <c r="X230">
        <f>IF(OR($S230="",$V230="",$T230&gt;60,$T230=""),"",$S230*1000000+ROUND($V230*10,0))</f>
        <v/>
      </c>
      <c r="Y230">
        <f>IF($W230="","",IFERROR(INDEX(IF($T230&lt;=60,imc05_l,imc519_l),MATCH($W230,IF($T230&lt;=60,imc05_k,imc519_k),1)),""))</f>
        <v/>
      </c>
      <c r="Z230">
        <f>IF($W230="","",IFERROR(INDEX(IF($T230&lt;=60,imc05_m,imc519_m),MATCH($W230,IF($T230&lt;=60,imc05_k,imc519_k),1)),""))</f>
        <v/>
      </c>
      <c r="AA230">
        <f>IF($W230="","",IFERROR(INDEX(IF($T230&lt;=60,imc05_s,imc519_s),MATCH($W230,IF($T230&lt;=60,imc05_k,imc519_k),1)),""))</f>
        <v/>
      </c>
      <c r="AB230">
        <f>IF($Y230="","",IF($Y230=0,LN($J230/$Z230)/$AA230,((($J230/$Z230)^$Y230)-1)/($Y230*$AA230)))</f>
        <v/>
      </c>
      <c r="AC230">
        <f>IF($Y230="","",IF($Y230=0,$Z230*EXP($AA230*2),$Z230*(1+$Y230*$AA230*2)^(1/$Y230)))</f>
        <v/>
      </c>
      <c r="AD230">
        <f>IF($Y230="","",IF($Y230=0,$Z230*EXP($AA230*3),$Z230*(1+$Y230*$AA230*3)^(1/$Y230)))</f>
        <v/>
      </c>
      <c r="AE230">
        <f>IF($Y230="","",IF($Y230=0,$Z230*EXP($AA230*-2),$Z230*(1+$Y230*$AA230*-2)^(1/$Y230)))</f>
        <v/>
      </c>
      <c r="AF230">
        <f>IF($Y230="","",IF($Y230=0,$Z230*EXP($AA230*-3),$Z230*(1+$Y230*$AA230*-3)^(1/$Y230)))</f>
        <v/>
      </c>
      <c r="AG230">
        <f>IF($W230="","",IFERROR(INDEX(IF($T230&lt;=60,est05_l,est519_l),MATCH($W230,IF($T230&lt;=60,est05_k,est519_k),1)),""))</f>
        <v/>
      </c>
      <c r="AH230">
        <f>IF($W230="","",IFERROR(INDEX(IF($T230&lt;=60,est05_m,est519_m),MATCH($W230,IF($T230&lt;=60,est05_k,est519_k),1)),""))</f>
        <v/>
      </c>
      <c r="AI230">
        <f>IF($W230="","",IFERROR(INDEX(IF($T230&lt;=60,est05_s,est519_s),MATCH($W230,IF($T230&lt;=60,est05_k,est519_k),1)),""))</f>
        <v/>
      </c>
      <c r="AJ230">
        <f>IF($W230="","",IFERROR(INDEX(IF($T230&lt;=60,peso05_l,peso510_l),MATCH($W230,IF($T230&lt;=60,peso05_k,peso510_k),1)),""))</f>
        <v/>
      </c>
      <c r="AK230">
        <f>IF($W230="","",IFERROR(INDEX(IF($T230&lt;=60,peso05_m,peso510_m),MATCH($W230,IF($T230&lt;=60,peso05_k,peso510_k),1)),""))</f>
        <v/>
      </c>
      <c r="AL230">
        <f>IF($W230="","",IFERROR(INDEX(IF($T230&lt;=60,peso05_s,peso510_s),MATCH($W230,IF($T230&lt;=60,peso05_k,peso510_k),1)),""))</f>
        <v/>
      </c>
      <c r="AM230">
        <f>IF($AJ230="","",IF($AJ230=0,LN($F230/$AK230)/$AL230,((($F230/$AK230)^$AJ230)-1)/($AJ230*$AL230)))</f>
        <v/>
      </c>
      <c r="AN230">
        <f>IF($AJ230="","",IF($AJ230=0,$AK230*EXP($AL230*2),$AK230*(1+$AJ230*$AL230*2)^(1/$AJ230)))</f>
        <v/>
      </c>
      <c r="AO230">
        <f>IF($AJ230="","",IF($AJ230=0,$AK230*EXP($AL230*3),$AK230*(1+$AJ230*$AL230*3)^(1/$AJ230)))</f>
        <v/>
      </c>
      <c r="AP230">
        <f>IF($AJ230="","",IF($AJ230=0,$AK230*EXP($AL230*-2),$AK230*(1+$AJ230*$AL230*-2)^(1/$AJ230)))</f>
        <v/>
      </c>
      <c r="AQ230">
        <f>IF($AJ230="","",IF($AJ230=0,$AK230*EXP($AL230*-3),$AK230*(1+$AJ230*$AL230*-3)^(1/$AJ230)))</f>
        <v/>
      </c>
      <c r="AR230">
        <f>IF(OR($X230="",$T230&gt;60),"",IFERROR(INDEX(IF($T230&lt;24,pcomp_l,palt_l),MATCH($X230,IF($T230&lt;24,pcomp_k,palt_k),1)),""))</f>
        <v/>
      </c>
      <c r="AS230">
        <f>IF(OR($X230="",$T230&gt;60),"",IFERROR(INDEX(IF($T230&lt;24,pcomp_m,palt_m),MATCH($X230,IF($T230&lt;24,pcomp_k,palt_k),1)),""))</f>
        <v/>
      </c>
      <c r="AT230">
        <f>IF(OR($X230="",$T230&gt;60),"",IFERROR(INDEX(IF($T230&lt;24,pcomp_s,palt_s),MATCH($X230,IF($T230&lt;24,pcomp_k,palt_k),1)),""))</f>
        <v/>
      </c>
      <c r="AU230">
        <f>IF($AR230="","",IF($AR230=0,LN($F230/$AS230)/$AT230,((($F230/$AS230)^$AR230)-1)/($AR230*$AT230)))</f>
        <v/>
      </c>
      <c r="AV230">
        <f>IF($AR230="","",IF($AR230=0,$AS230*EXP($AT230*2),$AS230*(1+$AR230*$AT230*2)^(1/$AR230)))</f>
        <v/>
      </c>
      <c r="AW230">
        <f>IF($AR230="","",IF($AR230=0,$AS230*EXP($AT230*3),$AS230*(1+$AR230*$AT230*3)^(1/$AR230)))</f>
        <v/>
      </c>
      <c r="AX230">
        <f>IF($AR230="","",IF($AR230=0,$AS230*EXP($AT230*-2),$AS230*(1+$AR230*$AT230*-2)^(1/$AR230)))</f>
        <v/>
      </c>
      <c r="AY230">
        <f>IF($AR230="","",IF($AR230=0,$AS230*EXP($AT230*-3),$AS230*(1+$AR230*$AT230*-3)^(1/$AR230)))</f>
        <v/>
      </c>
      <c r="AZ230">
        <f>IF(OR($A230="",$A230&lt;&gt;Ficha!$C$4),"",COUNTIF($A$2:$A230,Ficha!$C$4))</f>
        <v/>
      </c>
    </row>
    <row r="231">
      <c r="A231" s="8">
        <f>IF(INDEX(Banco!$A:$A,ROW())="","",INDEX(Banco!$A:$A,ROW()))</f>
        <v/>
      </c>
      <c r="B231" s="8">
        <f>IF(INDEX(Banco!$B:$B,ROW())="","",INDEX(Banco!$B:$B,ROW()))</f>
        <v/>
      </c>
      <c r="C231" s="8">
        <f>IF(INDEX(Banco!$C:$C,ROW())="","",INDEX(Banco!$C:$C,ROW()))</f>
        <v/>
      </c>
      <c r="D231" s="9">
        <f>IF(INDEX(Banco!$D:$D,ROW())="","",INDEX(Banco!$D:$D,ROW()))</f>
        <v/>
      </c>
      <c r="E231" s="9">
        <f>IF(INDEX(Banco!$E:$E,ROW())="","",INDEX(Banco!$E:$E,ROW()))</f>
        <v/>
      </c>
      <c r="F231" s="10">
        <f>IF(INDEX(Banco!$F:$F,ROW())="","",INDEX(Banco!$F:$F,ROW()))</f>
        <v/>
      </c>
      <c r="G231" s="10">
        <f>IF(INDEX(Banco!$G:$G,ROW())="","",INDEX(Banco!$G:$G,ROW()))</f>
        <v/>
      </c>
      <c r="H231" s="8">
        <f>IF(INDEX(Banco!$H:$H,ROW())="","",INDEX(Banco!$H:$H,ROW()))</f>
        <v/>
      </c>
      <c r="I231">
        <f>IF($T231="","",INT($T231/12)&amp;"a "&amp;MOD($T231,12)&amp;"m")</f>
        <v/>
      </c>
      <c r="J231" s="11">
        <f>IF(OR($F231="",$G231=""),"",ROUND($F231/($G231/100)^2,2))</f>
        <v/>
      </c>
      <c r="K231" s="12">
        <f>IF(OR($S231="",$J231="",$T231="",$T231&lt;0,$T231&gt;228,$Y231=""),"—",ROUND(IF(ABS($AB231)&lt;=3,$AB231,IF($AB231&gt;3,3+($J231-$AD231)/($AD231-$AC231),-3+($J231-$AF231)/($AE231-$AF231))),2))</f>
        <v/>
      </c>
      <c r="L231">
        <f>IF(OR($K231="",$K231="—"),"",IF($T231&lt;=60,IF($K231&lt;-3,"Magreza acentuada",IF($K231&lt;-2,"Magreza",IF($K231&lt;=1,"Eutrofia",IF($K231&lt;=2,"Risco de sobrepeso",IF($K231&lt;=3,"Sobrepeso","Obesidade"))))),IF($K231&lt;-3,"Magreza acentuada",IF($K231&lt;-2,"Magreza",IF($K231&lt;=1,"Eutrofia",IF($K231&lt;=2,"Sobrepeso",IF($K231&lt;=3,"Obesidade","Obesidade grave")))))))</f>
        <v/>
      </c>
      <c r="M231" s="12">
        <f>IF(OR($S231="",$V231="",$T231="",$T231&lt;0,$T231&gt;228,$AG231=""),"—",ROUND(IF($AG231=0,LN($V231/$AH231)/$AI231,((($V231/$AH231)^$AG231)-1)/($AG231*$AI231)),2))</f>
        <v/>
      </c>
      <c r="N231">
        <f>IF(OR($M231="",$M231="—"),"",IF($M231&lt;-3,"Muito baixa",IF($M231&lt;-2,"Baixa","Adequada")))</f>
        <v/>
      </c>
      <c r="O231" s="12">
        <f>IF(OR($S231="",$F231="",$T231="",$T231&lt;0,$T231&gt;120,$AJ231=""),"—",ROUND(IF(ABS($AM231)&lt;=3,$AM231,IF($AM231&gt;3,3+($F231-$AO231)/($AO231-$AN231),-3+($F231-$AQ231)/($AP231-$AQ231))),2))</f>
        <v/>
      </c>
      <c r="P231">
        <f>IF(OR($O231="",$O231="—"),"",IF($O231&lt;-3,"Muito baixo",IF($O231&lt;-2,"Baixo",IF($O231&lt;=2,"Adequado","Elevado"))))</f>
        <v/>
      </c>
      <c r="Q231" s="12">
        <f>IF(OR($S231="",$F231="",$T231="",$T231&lt;0,$T231&gt;60,$AR231=""),"—",ROUND(IF(ABS($AU231)&lt;=3,$AU231,IF($AU231&gt;3,3+($F231-$AW231)/($AW231-$AV231),-3+($F231-$AY231)/($AX231-$AY231))),2))</f>
        <v/>
      </c>
      <c r="R231">
        <f>IF(OR($Q231="",$Q231="—"),"",IF($Q231&lt;-3,"Magreza acentuada",IF($Q231&lt;-2,"Magreza",IF($Q231&lt;=1,"Eutrofia",IF($Q231&lt;=2,"Risco de sobrepeso",IF($Q231&lt;=3,"Sobrepeso","Obesidade"))))))</f>
        <v/>
      </c>
      <c r="S231">
        <f>IF($C231="","",IF(UPPER(LEFT($C231,1))="M",1,IF(UPPER(LEFT($C231,1))="F",2,"")))</f>
        <v/>
      </c>
      <c r="T231">
        <f>IF(OR($D231="",$E231=""),"",DATEDIF($D231,$E231,"m"))</f>
        <v/>
      </c>
      <c r="U231">
        <f>IF(OR($D231="",$E231=""),"",$E231-$D231)</f>
        <v/>
      </c>
      <c r="V231">
        <f>IF(OR($G231="",$T231=""),"",IF($T231&lt;24,IF(LEFT(LOWER($H231),4)="em p",$G231+0.7,$G231),IF(LEFT(LOWER($H231),4)="deit",$G231-0.7,$G231)))</f>
        <v/>
      </c>
      <c r="W231">
        <f>IF(OR($S231="",$T231=""),"",$S231*1000000+IF($T231&lt;=60,$U231,$T231))</f>
        <v/>
      </c>
      <c r="X231">
        <f>IF(OR($S231="",$V231="",$T231&gt;60,$T231=""),"",$S231*1000000+ROUND($V231*10,0))</f>
        <v/>
      </c>
      <c r="Y231">
        <f>IF($W231="","",IFERROR(INDEX(IF($T231&lt;=60,imc05_l,imc519_l),MATCH($W231,IF($T231&lt;=60,imc05_k,imc519_k),1)),""))</f>
        <v/>
      </c>
      <c r="Z231">
        <f>IF($W231="","",IFERROR(INDEX(IF($T231&lt;=60,imc05_m,imc519_m),MATCH($W231,IF($T231&lt;=60,imc05_k,imc519_k),1)),""))</f>
        <v/>
      </c>
      <c r="AA231">
        <f>IF($W231="","",IFERROR(INDEX(IF($T231&lt;=60,imc05_s,imc519_s),MATCH($W231,IF($T231&lt;=60,imc05_k,imc519_k),1)),""))</f>
        <v/>
      </c>
      <c r="AB231">
        <f>IF($Y231="","",IF($Y231=0,LN($J231/$Z231)/$AA231,((($J231/$Z231)^$Y231)-1)/($Y231*$AA231)))</f>
        <v/>
      </c>
      <c r="AC231">
        <f>IF($Y231="","",IF($Y231=0,$Z231*EXP($AA231*2),$Z231*(1+$Y231*$AA231*2)^(1/$Y231)))</f>
        <v/>
      </c>
      <c r="AD231">
        <f>IF($Y231="","",IF($Y231=0,$Z231*EXP($AA231*3),$Z231*(1+$Y231*$AA231*3)^(1/$Y231)))</f>
        <v/>
      </c>
      <c r="AE231">
        <f>IF($Y231="","",IF($Y231=0,$Z231*EXP($AA231*-2),$Z231*(1+$Y231*$AA231*-2)^(1/$Y231)))</f>
        <v/>
      </c>
      <c r="AF231">
        <f>IF($Y231="","",IF($Y231=0,$Z231*EXP($AA231*-3),$Z231*(1+$Y231*$AA231*-3)^(1/$Y231)))</f>
        <v/>
      </c>
      <c r="AG231">
        <f>IF($W231="","",IFERROR(INDEX(IF($T231&lt;=60,est05_l,est519_l),MATCH($W231,IF($T231&lt;=60,est05_k,est519_k),1)),""))</f>
        <v/>
      </c>
      <c r="AH231">
        <f>IF($W231="","",IFERROR(INDEX(IF($T231&lt;=60,est05_m,est519_m),MATCH($W231,IF($T231&lt;=60,est05_k,est519_k),1)),""))</f>
        <v/>
      </c>
      <c r="AI231">
        <f>IF($W231="","",IFERROR(INDEX(IF($T231&lt;=60,est05_s,est519_s),MATCH($W231,IF($T231&lt;=60,est05_k,est519_k),1)),""))</f>
        <v/>
      </c>
      <c r="AJ231">
        <f>IF($W231="","",IFERROR(INDEX(IF($T231&lt;=60,peso05_l,peso510_l),MATCH($W231,IF($T231&lt;=60,peso05_k,peso510_k),1)),""))</f>
        <v/>
      </c>
      <c r="AK231">
        <f>IF($W231="","",IFERROR(INDEX(IF($T231&lt;=60,peso05_m,peso510_m),MATCH($W231,IF($T231&lt;=60,peso05_k,peso510_k),1)),""))</f>
        <v/>
      </c>
      <c r="AL231">
        <f>IF($W231="","",IFERROR(INDEX(IF($T231&lt;=60,peso05_s,peso510_s),MATCH($W231,IF($T231&lt;=60,peso05_k,peso510_k),1)),""))</f>
        <v/>
      </c>
      <c r="AM231">
        <f>IF($AJ231="","",IF($AJ231=0,LN($F231/$AK231)/$AL231,((($F231/$AK231)^$AJ231)-1)/($AJ231*$AL231)))</f>
        <v/>
      </c>
      <c r="AN231">
        <f>IF($AJ231="","",IF($AJ231=0,$AK231*EXP($AL231*2),$AK231*(1+$AJ231*$AL231*2)^(1/$AJ231)))</f>
        <v/>
      </c>
      <c r="AO231">
        <f>IF($AJ231="","",IF($AJ231=0,$AK231*EXP($AL231*3),$AK231*(1+$AJ231*$AL231*3)^(1/$AJ231)))</f>
        <v/>
      </c>
      <c r="AP231">
        <f>IF($AJ231="","",IF($AJ231=0,$AK231*EXP($AL231*-2),$AK231*(1+$AJ231*$AL231*-2)^(1/$AJ231)))</f>
        <v/>
      </c>
      <c r="AQ231">
        <f>IF($AJ231="","",IF($AJ231=0,$AK231*EXP($AL231*-3),$AK231*(1+$AJ231*$AL231*-3)^(1/$AJ231)))</f>
        <v/>
      </c>
      <c r="AR231">
        <f>IF(OR($X231="",$T231&gt;60),"",IFERROR(INDEX(IF($T231&lt;24,pcomp_l,palt_l),MATCH($X231,IF($T231&lt;24,pcomp_k,palt_k),1)),""))</f>
        <v/>
      </c>
      <c r="AS231">
        <f>IF(OR($X231="",$T231&gt;60),"",IFERROR(INDEX(IF($T231&lt;24,pcomp_m,palt_m),MATCH($X231,IF($T231&lt;24,pcomp_k,palt_k),1)),""))</f>
        <v/>
      </c>
      <c r="AT231">
        <f>IF(OR($X231="",$T231&gt;60),"",IFERROR(INDEX(IF($T231&lt;24,pcomp_s,palt_s),MATCH($X231,IF($T231&lt;24,pcomp_k,palt_k),1)),""))</f>
        <v/>
      </c>
      <c r="AU231">
        <f>IF($AR231="","",IF($AR231=0,LN($F231/$AS231)/$AT231,((($F231/$AS231)^$AR231)-1)/($AR231*$AT231)))</f>
        <v/>
      </c>
      <c r="AV231">
        <f>IF($AR231="","",IF($AR231=0,$AS231*EXP($AT231*2),$AS231*(1+$AR231*$AT231*2)^(1/$AR231)))</f>
        <v/>
      </c>
      <c r="AW231">
        <f>IF($AR231="","",IF($AR231=0,$AS231*EXP($AT231*3),$AS231*(1+$AR231*$AT231*3)^(1/$AR231)))</f>
        <v/>
      </c>
      <c r="AX231">
        <f>IF($AR231="","",IF($AR231=0,$AS231*EXP($AT231*-2),$AS231*(1+$AR231*$AT231*-2)^(1/$AR231)))</f>
        <v/>
      </c>
      <c r="AY231">
        <f>IF($AR231="","",IF($AR231=0,$AS231*EXP($AT231*-3),$AS231*(1+$AR231*$AT231*-3)^(1/$AR231)))</f>
        <v/>
      </c>
      <c r="AZ231">
        <f>IF(OR($A231="",$A231&lt;&gt;Ficha!$C$4),"",COUNTIF($A$2:$A231,Ficha!$C$4))</f>
        <v/>
      </c>
    </row>
    <row r="232">
      <c r="A232" s="8">
        <f>IF(INDEX(Banco!$A:$A,ROW())="","",INDEX(Banco!$A:$A,ROW()))</f>
        <v/>
      </c>
      <c r="B232" s="8">
        <f>IF(INDEX(Banco!$B:$B,ROW())="","",INDEX(Banco!$B:$B,ROW()))</f>
        <v/>
      </c>
      <c r="C232" s="8">
        <f>IF(INDEX(Banco!$C:$C,ROW())="","",INDEX(Banco!$C:$C,ROW()))</f>
        <v/>
      </c>
      <c r="D232" s="9">
        <f>IF(INDEX(Banco!$D:$D,ROW())="","",INDEX(Banco!$D:$D,ROW()))</f>
        <v/>
      </c>
      <c r="E232" s="9">
        <f>IF(INDEX(Banco!$E:$E,ROW())="","",INDEX(Banco!$E:$E,ROW()))</f>
        <v/>
      </c>
      <c r="F232" s="10">
        <f>IF(INDEX(Banco!$F:$F,ROW())="","",INDEX(Banco!$F:$F,ROW()))</f>
        <v/>
      </c>
      <c r="G232" s="10">
        <f>IF(INDEX(Banco!$G:$G,ROW())="","",INDEX(Banco!$G:$G,ROW()))</f>
        <v/>
      </c>
      <c r="H232" s="8">
        <f>IF(INDEX(Banco!$H:$H,ROW())="","",INDEX(Banco!$H:$H,ROW()))</f>
        <v/>
      </c>
      <c r="I232">
        <f>IF($T232="","",INT($T232/12)&amp;"a "&amp;MOD($T232,12)&amp;"m")</f>
        <v/>
      </c>
      <c r="J232" s="11">
        <f>IF(OR($F232="",$G232=""),"",ROUND($F232/($G232/100)^2,2))</f>
        <v/>
      </c>
      <c r="K232" s="12">
        <f>IF(OR($S232="",$J232="",$T232="",$T232&lt;0,$T232&gt;228,$Y232=""),"—",ROUND(IF(ABS($AB232)&lt;=3,$AB232,IF($AB232&gt;3,3+($J232-$AD232)/($AD232-$AC232),-3+($J232-$AF232)/($AE232-$AF232))),2))</f>
        <v/>
      </c>
      <c r="L232">
        <f>IF(OR($K232="",$K232="—"),"",IF($T232&lt;=60,IF($K232&lt;-3,"Magreza acentuada",IF($K232&lt;-2,"Magreza",IF($K232&lt;=1,"Eutrofia",IF($K232&lt;=2,"Risco de sobrepeso",IF($K232&lt;=3,"Sobrepeso","Obesidade"))))),IF($K232&lt;-3,"Magreza acentuada",IF($K232&lt;-2,"Magreza",IF($K232&lt;=1,"Eutrofia",IF($K232&lt;=2,"Sobrepeso",IF($K232&lt;=3,"Obesidade","Obesidade grave")))))))</f>
        <v/>
      </c>
      <c r="M232" s="12">
        <f>IF(OR($S232="",$V232="",$T232="",$T232&lt;0,$T232&gt;228,$AG232=""),"—",ROUND(IF($AG232=0,LN($V232/$AH232)/$AI232,((($V232/$AH232)^$AG232)-1)/($AG232*$AI232)),2))</f>
        <v/>
      </c>
      <c r="N232">
        <f>IF(OR($M232="",$M232="—"),"",IF($M232&lt;-3,"Muito baixa",IF($M232&lt;-2,"Baixa","Adequada")))</f>
        <v/>
      </c>
      <c r="O232" s="12">
        <f>IF(OR($S232="",$F232="",$T232="",$T232&lt;0,$T232&gt;120,$AJ232=""),"—",ROUND(IF(ABS($AM232)&lt;=3,$AM232,IF($AM232&gt;3,3+($F232-$AO232)/($AO232-$AN232),-3+($F232-$AQ232)/($AP232-$AQ232))),2))</f>
        <v/>
      </c>
      <c r="P232">
        <f>IF(OR($O232="",$O232="—"),"",IF($O232&lt;-3,"Muito baixo",IF($O232&lt;-2,"Baixo",IF($O232&lt;=2,"Adequado","Elevado"))))</f>
        <v/>
      </c>
      <c r="Q232" s="12">
        <f>IF(OR($S232="",$F232="",$T232="",$T232&lt;0,$T232&gt;60,$AR232=""),"—",ROUND(IF(ABS($AU232)&lt;=3,$AU232,IF($AU232&gt;3,3+($F232-$AW232)/($AW232-$AV232),-3+($F232-$AY232)/($AX232-$AY232))),2))</f>
        <v/>
      </c>
      <c r="R232">
        <f>IF(OR($Q232="",$Q232="—"),"",IF($Q232&lt;-3,"Magreza acentuada",IF($Q232&lt;-2,"Magreza",IF($Q232&lt;=1,"Eutrofia",IF($Q232&lt;=2,"Risco de sobrepeso",IF($Q232&lt;=3,"Sobrepeso","Obesidade"))))))</f>
        <v/>
      </c>
      <c r="S232">
        <f>IF($C232="","",IF(UPPER(LEFT($C232,1))="M",1,IF(UPPER(LEFT($C232,1))="F",2,"")))</f>
        <v/>
      </c>
      <c r="T232">
        <f>IF(OR($D232="",$E232=""),"",DATEDIF($D232,$E232,"m"))</f>
        <v/>
      </c>
      <c r="U232">
        <f>IF(OR($D232="",$E232=""),"",$E232-$D232)</f>
        <v/>
      </c>
      <c r="V232">
        <f>IF(OR($G232="",$T232=""),"",IF($T232&lt;24,IF(LEFT(LOWER($H232),4)="em p",$G232+0.7,$G232),IF(LEFT(LOWER($H232),4)="deit",$G232-0.7,$G232)))</f>
        <v/>
      </c>
      <c r="W232">
        <f>IF(OR($S232="",$T232=""),"",$S232*1000000+IF($T232&lt;=60,$U232,$T232))</f>
        <v/>
      </c>
      <c r="X232">
        <f>IF(OR($S232="",$V232="",$T232&gt;60,$T232=""),"",$S232*1000000+ROUND($V232*10,0))</f>
        <v/>
      </c>
      <c r="Y232">
        <f>IF($W232="","",IFERROR(INDEX(IF($T232&lt;=60,imc05_l,imc519_l),MATCH($W232,IF($T232&lt;=60,imc05_k,imc519_k),1)),""))</f>
        <v/>
      </c>
      <c r="Z232">
        <f>IF($W232="","",IFERROR(INDEX(IF($T232&lt;=60,imc05_m,imc519_m),MATCH($W232,IF($T232&lt;=60,imc05_k,imc519_k),1)),""))</f>
        <v/>
      </c>
      <c r="AA232">
        <f>IF($W232="","",IFERROR(INDEX(IF($T232&lt;=60,imc05_s,imc519_s),MATCH($W232,IF($T232&lt;=60,imc05_k,imc519_k),1)),""))</f>
        <v/>
      </c>
      <c r="AB232">
        <f>IF($Y232="","",IF($Y232=0,LN($J232/$Z232)/$AA232,((($J232/$Z232)^$Y232)-1)/($Y232*$AA232)))</f>
        <v/>
      </c>
      <c r="AC232">
        <f>IF($Y232="","",IF($Y232=0,$Z232*EXP($AA232*2),$Z232*(1+$Y232*$AA232*2)^(1/$Y232)))</f>
        <v/>
      </c>
      <c r="AD232">
        <f>IF($Y232="","",IF($Y232=0,$Z232*EXP($AA232*3),$Z232*(1+$Y232*$AA232*3)^(1/$Y232)))</f>
        <v/>
      </c>
      <c r="AE232">
        <f>IF($Y232="","",IF($Y232=0,$Z232*EXP($AA232*-2),$Z232*(1+$Y232*$AA232*-2)^(1/$Y232)))</f>
        <v/>
      </c>
      <c r="AF232">
        <f>IF($Y232="","",IF($Y232=0,$Z232*EXP($AA232*-3),$Z232*(1+$Y232*$AA232*-3)^(1/$Y232)))</f>
        <v/>
      </c>
      <c r="AG232">
        <f>IF($W232="","",IFERROR(INDEX(IF($T232&lt;=60,est05_l,est519_l),MATCH($W232,IF($T232&lt;=60,est05_k,est519_k),1)),""))</f>
        <v/>
      </c>
      <c r="AH232">
        <f>IF($W232="","",IFERROR(INDEX(IF($T232&lt;=60,est05_m,est519_m),MATCH($W232,IF($T232&lt;=60,est05_k,est519_k),1)),""))</f>
        <v/>
      </c>
      <c r="AI232">
        <f>IF($W232="","",IFERROR(INDEX(IF($T232&lt;=60,est05_s,est519_s),MATCH($W232,IF($T232&lt;=60,est05_k,est519_k),1)),""))</f>
        <v/>
      </c>
      <c r="AJ232">
        <f>IF($W232="","",IFERROR(INDEX(IF($T232&lt;=60,peso05_l,peso510_l),MATCH($W232,IF($T232&lt;=60,peso05_k,peso510_k),1)),""))</f>
        <v/>
      </c>
      <c r="AK232">
        <f>IF($W232="","",IFERROR(INDEX(IF($T232&lt;=60,peso05_m,peso510_m),MATCH($W232,IF($T232&lt;=60,peso05_k,peso510_k),1)),""))</f>
        <v/>
      </c>
      <c r="AL232">
        <f>IF($W232="","",IFERROR(INDEX(IF($T232&lt;=60,peso05_s,peso510_s),MATCH($W232,IF($T232&lt;=60,peso05_k,peso510_k),1)),""))</f>
        <v/>
      </c>
      <c r="AM232">
        <f>IF($AJ232="","",IF($AJ232=0,LN($F232/$AK232)/$AL232,((($F232/$AK232)^$AJ232)-1)/($AJ232*$AL232)))</f>
        <v/>
      </c>
      <c r="AN232">
        <f>IF($AJ232="","",IF($AJ232=0,$AK232*EXP($AL232*2),$AK232*(1+$AJ232*$AL232*2)^(1/$AJ232)))</f>
        <v/>
      </c>
      <c r="AO232">
        <f>IF($AJ232="","",IF($AJ232=0,$AK232*EXP($AL232*3),$AK232*(1+$AJ232*$AL232*3)^(1/$AJ232)))</f>
        <v/>
      </c>
      <c r="AP232">
        <f>IF($AJ232="","",IF($AJ232=0,$AK232*EXP($AL232*-2),$AK232*(1+$AJ232*$AL232*-2)^(1/$AJ232)))</f>
        <v/>
      </c>
      <c r="AQ232">
        <f>IF($AJ232="","",IF($AJ232=0,$AK232*EXP($AL232*-3),$AK232*(1+$AJ232*$AL232*-3)^(1/$AJ232)))</f>
        <v/>
      </c>
      <c r="AR232">
        <f>IF(OR($X232="",$T232&gt;60),"",IFERROR(INDEX(IF($T232&lt;24,pcomp_l,palt_l),MATCH($X232,IF($T232&lt;24,pcomp_k,palt_k),1)),""))</f>
        <v/>
      </c>
      <c r="AS232">
        <f>IF(OR($X232="",$T232&gt;60),"",IFERROR(INDEX(IF($T232&lt;24,pcomp_m,palt_m),MATCH($X232,IF($T232&lt;24,pcomp_k,palt_k),1)),""))</f>
        <v/>
      </c>
      <c r="AT232">
        <f>IF(OR($X232="",$T232&gt;60),"",IFERROR(INDEX(IF($T232&lt;24,pcomp_s,palt_s),MATCH($X232,IF($T232&lt;24,pcomp_k,palt_k),1)),""))</f>
        <v/>
      </c>
      <c r="AU232">
        <f>IF($AR232="","",IF($AR232=0,LN($F232/$AS232)/$AT232,((($F232/$AS232)^$AR232)-1)/($AR232*$AT232)))</f>
        <v/>
      </c>
      <c r="AV232">
        <f>IF($AR232="","",IF($AR232=0,$AS232*EXP($AT232*2),$AS232*(1+$AR232*$AT232*2)^(1/$AR232)))</f>
        <v/>
      </c>
      <c r="AW232">
        <f>IF($AR232="","",IF($AR232=0,$AS232*EXP($AT232*3),$AS232*(1+$AR232*$AT232*3)^(1/$AR232)))</f>
        <v/>
      </c>
      <c r="AX232">
        <f>IF($AR232="","",IF($AR232=0,$AS232*EXP($AT232*-2),$AS232*(1+$AR232*$AT232*-2)^(1/$AR232)))</f>
        <v/>
      </c>
      <c r="AY232">
        <f>IF($AR232="","",IF($AR232=0,$AS232*EXP($AT232*-3),$AS232*(1+$AR232*$AT232*-3)^(1/$AR232)))</f>
        <v/>
      </c>
      <c r="AZ232">
        <f>IF(OR($A232="",$A232&lt;&gt;Ficha!$C$4),"",COUNTIF($A$2:$A232,Ficha!$C$4))</f>
        <v/>
      </c>
    </row>
    <row r="233">
      <c r="A233" s="8">
        <f>IF(INDEX(Banco!$A:$A,ROW())="","",INDEX(Banco!$A:$A,ROW()))</f>
        <v/>
      </c>
      <c r="B233" s="8">
        <f>IF(INDEX(Banco!$B:$B,ROW())="","",INDEX(Banco!$B:$B,ROW()))</f>
        <v/>
      </c>
      <c r="C233" s="8">
        <f>IF(INDEX(Banco!$C:$C,ROW())="","",INDEX(Banco!$C:$C,ROW()))</f>
        <v/>
      </c>
      <c r="D233" s="9">
        <f>IF(INDEX(Banco!$D:$D,ROW())="","",INDEX(Banco!$D:$D,ROW()))</f>
        <v/>
      </c>
      <c r="E233" s="9">
        <f>IF(INDEX(Banco!$E:$E,ROW())="","",INDEX(Banco!$E:$E,ROW()))</f>
        <v/>
      </c>
      <c r="F233" s="10">
        <f>IF(INDEX(Banco!$F:$F,ROW())="","",INDEX(Banco!$F:$F,ROW()))</f>
        <v/>
      </c>
      <c r="G233" s="10">
        <f>IF(INDEX(Banco!$G:$G,ROW())="","",INDEX(Banco!$G:$G,ROW()))</f>
        <v/>
      </c>
      <c r="H233" s="8">
        <f>IF(INDEX(Banco!$H:$H,ROW())="","",INDEX(Banco!$H:$H,ROW()))</f>
        <v/>
      </c>
      <c r="I233">
        <f>IF($T233="","",INT($T233/12)&amp;"a "&amp;MOD($T233,12)&amp;"m")</f>
        <v/>
      </c>
      <c r="J233" s="11">
        <f>IF(OR($F233="",$G233=""),"",ROUND($F233/($G233/100)^2,2))</f>
        <v/>
      </c>
      <c r="K233" s="12">
        <f>IF(OR($S233="",$J233="",$T233="",$T233&lt;0,$T233&gt;228,$Y233=""),"—",ROUND(IF(ABS($AB233)&lt;=3,$AB233,IF($AB233&gt;3,3+($J233-$AD233)/($AD233-$AC233),-3+($J233-$AF233)/($AE233-$AF233))),2))</f>
        <v/>
      </c>
      <c r="L233">
        <f>IF(OR($K233="",$K233="—"),"",IF($T233&lt;=60,IF($K233&lt;-3,"Magreza acentuada",IF($K233&lt;-2,"Magreza",IF($K233&lt;=1,"Eutrofia",IF($K233&lt;=2,"Risco de sobrepeso",IF($K233&lt;=3,"Sobrepeso","Obesidade"))))),IF($K233&lt;-3,"Magreza acentuada",IF($K233&lt;-2,"Magreza",IF($K233&lt;=1,"Eutrofia",IF($K233&lt;=2,"Sobrepeso",IF($K233&lt;=3,"Obesidade","Obesidade grave")))))))</f>
        <v/>
      </c>
      <c r="M233" s="12">
        <f>IF(OR($S233="",$V233="",$T233="",$T233&lt;0,$T233&gt;228,$AG233=""),"—",ROUND(IF($AG233=0,LN($V233/$AH233)/$AI233,((($V233/$AH233)^$AG233)-1)/($AG233*$AI233)),2))</f>
        <v/>
      </c>
      <c r="N233">
        <f>IF(OR($M233="",$M233="—"),"",IF($M233&lt;-3,"Muito baixa",IF($M233&lt;-2,"Baixa","Adequada")))</f>
        <v/>
      </c>
      <c r="O233" s="12">
        <f>IF(OR($S233="",$F233="",$T233="",$T233&lt;0,$T233&gt;120,$AJ233=""),"—",ROUND(IF(ABS($AM233)&lt;=3,$AM233,IF($AM233&gt;3,3+($F233-$AO233)/($AO233-$AN233),-3+($F233-$AQ233)/($AP233-$AQ233))),2))</f>
        <v/>
      </c>
      <c r="P233">
        <f>IF(OR($O233="",$O233="—"),"",IF($O233&lt;-3,"Muito baixo",IF($O233&lt;-2,"Baixo",IF($O233&lt;=2,"Adequado","Elevado"))))</f>
        <v/>
      </c>
      <c r="Q233" s="12">
        <f>IF(OR($S233="",$F233="",$T233="",$T233&lt;0,$T233&gt;60,$AR233=""),"—",ROUND(IF(ABS($AU233)&lt;=3,$AU233,IF($AU233&gt;3,3+($F233-$AW233)/($AW233-$AV233),-3+($F233-$AY233)/($AX233-$AY233))),2))</f>
        <v/>
      </c>
      <c r="R233">
        <f>IF(OR($Q233="",$Q233="—"),"",IF($Q233&lt;-3,"Magreza acentuada",IF($Q233&lt;-2,"Magreza",IF($Q233&lt;=1,"Eutrofia",IF($Q233&lt;=2,"Risco de sobrepeso",IF($Q233&lt;=3,"Sobrepeso","Obesidade"))))))</f>
        <v/>
      </c>
      <c r="S233">
        <f>IF($C233="","",IF(UPPER(LEFT($C233,1))="M",1,IF(UPPER(LEFT($C233,1))="F",2,"")))</f>
        <v/>
      </c>
      <c r="T233">
        <f>IF(OR($D233="",$E233=""),"",DATEDIF($D233,$E233,"m"))</f>
        <v/>
      </c>
      <c r="U233">
        <f>IF(OR($D233="",$E233=""),"",$E233-$D233)</f>
        <v/>
      </c>
      <c r="V233">
        <f>IF(OR($G233="",$T233=""),"",IF($T233&lt;24,IF(LEFT(LOWER($H233),4)="em p",$G233+0.7,$G233),IF(LEFT(LOWER($H233),4)="deit",$G233-0.7,$G233)))</f>
        <v/>
      </c>
      <c r="W233">
        <f>IF(OR($S233="",$T233=""),"",$S233*1000000+IF($T233&lt;=60,$U233,$T233))</f>
        <v/>
      </c>
      <c r="X233">
        <f>IF(OR($S233="",$V233="",$T233&gt;60,$T233=""),"",$S233*1000000+ROUND($V233*10,0))</f>
        <v/>
      </c>
      <c r="Y233">
        <f>IF($W233="","",IFERROR(INDEX(IF($T233&lt;=60,imc05_l,imc519_l),MATCH($W233,IF($T233&lt;=60,imc05_k,imc519_k),1)),""))</f>
        <v/>
      </c>
      <c r="Z233">
        <f>IF($W233="","",IFERROR(INDEX(IF($T233&lt;=60,imc05_m,imc519_m),MATCH($W233,IF($T233&lt;=60,imc05_k,imc519_k),1)),""))</f>
        <v/>
      </c>
      <c r="AA233">
        <f>IF($W233="","",IFERROR(INDEX(IF($T233&lt;=60,imc05_s,imc519_s),MATCH($W233,IF($T233&lt;=60,imc05_k,imc519_k),1)),""))</f>
        <v/>
      </c>
      <c r="AB233">
        <f>IF($Y233="","",IF($Y233=0,LN($J233/$Z233)/$AA233,((($J233/$Z233)^$Y233)-1)/($Y233*$AA233)))</f>
        <v/>
      </c>
      <c r="AC233">
        <f>IF($Y233="","",IF($Y233=0,$Z233*EXP($AA233*2),$Z233*(1+$Y233*$AA233*2)^(1/$Y233)))</f>
        <v/>
      </c>
      <c r="AD233">
        <f>IF($Y233="","",IF($Y233=0,$Z233*EXP($AA233*3),$Z233*(1+$Y233*$AA233*3)^(1/$Y233)))</f>
        <v/>
      </c>
      <c r="AE233">
        <f>IF($Y233="","",IF($Y233=0,$Z233*EXP($AA233*-2),$Z233*(1+$Y233*$AA233*-2)^(1/$Y233)))</f>
        <v/>
      </c>
      <c r="AF233">
        <f>IF($Y233="","",IF($Y233=0,$Z233*EXP($AA233*-3),$Z233*(1+$Y233*$AA233*-3)^(1/$Y233)))</f>
        <v/>
      </c>
      <c r="AG233">
        <f>IF($W233="","",IFERROR(INDEX(IF($T233&lt;=60,est05_l,est519_l),MATCH($W233,IF($T233&lt;=60,est05_k,est519_k),1)),""))</f>
        <v/>
      </c>
      <c r="AH233">
        <f>IF($W233="","",IFERROR(INDEX(IF($T233&lt;=60,est05_m,est519_m),MATCH($W233,IF($T233&lt;=60,est05_k,est519_k),1)),""))</f>
        <v/>
      </c>
      <c r="AI233">
        <f>IF($W233="","",IFERROR(INDEX(IF($T233&lt;=60,est05_s,est519_s),MATCH($W233,IF($T233&lt;=60,est05_k,est519_k),1)),""))</f>
        <v/>
      </c>
      <c r="AJ233">
        <f>IF($W233="","",IFERROR(INDEX(IF($T233&lt;=60,peso05_l,peso510_l),MATCH($W233,IF($T233&lt;=60,peso05_k,peso510_k),1)),""))</f>
        <v/>
      </c>
      <c r="AK233">
        <f>IF($W233="","",IFERROR(INDEX(IF($T233&lt;=60,peso05_m,peso510_m),MATCH($W233,IF($T233&lt;=60,peso05_k,peso510_k),1)),""))</f>
        <v/>
      </c>
      <c r="AL233">
        <f>IF($W233="","",IFERROR(INDEX(IF($T233&lt;=60,peso05_s,peso510_s),MATCH($W233,IF($T233&lt;=60,peso05_k,peso510_k),1)),""))</f>
        <v/>
      </c>
      <c r="AM233">
        <f>IF($AJ233="","",IF($AJ233=0,LN($F233/$AK233)/$AL233,((($F233/$AK233)^$AJ233)-1)/($AJ233*$AL233)))</f>
        <v/>
      </c>
      <c r="AN233">
        <f>IF($AJ233="","",IF($AJ233=0,$AK233*EXP($AL233*2),$AK233*(1+$AJ233*$AL233*2)^(1/$AJ233)))</f>
        <v/>
      </c>
      <c r="AO233">
        <f>IF($AJ233="","",IF($AJ233=0,$AK233*EXP($AL233*3),$AK233*(1+$AJ233*$AL233*3)^(1/$AJ233)))</f>
        <v/>
      </c>
      <c r="AP233">
        <f>IF($AJ233="","",IF($AJ233=0,$AK233*EXP($AL233*-2),$AK233*(1+$AJ233*$AL233*-2)^(1/$AJ233)))</f>
        <v/>
      </c>
      <c r="AQ233">
        <f>IF($AJ233="","",IF($AJ233=0,$AK233*EXP($AL233*-3),$AK233*(1+$AJ233*$AL233*-3)^(1/$AJ233)))</f>
        <v/>
      </c>
      <c r="AR233">
        <f>IF(OR($X233="",$T233&gt;60),"",IFERROR(INDEX(IF($T233&lt;24,pcomp_l,palt_l),MATCH($X233,IF($T233&lt;24,pcomp_k,palt_k),1)),""))</f>
        <v/>
      </c>
      <c r="AS233">
        <f>IF(OR($X233="",$T233&gt;60),"",IFERROR(INDEX(IF($T233&lt;24,pcomp_m,palt_m),MATCH($X233,IF($T233&lt;24,pcomp_k,palt_k),1)),""))</f>
        <v/>
      </c>
      <c r="AT233">
        <f>IF(OR($X233="",$T233&gt;60),"",IFERROR(INDEX(IF($T233&lt;24,pcomp_s,palt_s),MATCH($X233,IF($T233&lt;24,pcomp_k,palt_k),1)),""))</f>
        <v/>
      </c>
      <c r="AU233">
        <f>IF($AR233="","",IF($AR233=0,LN($F233/$AS233)/$AT233,((($F233/$AS233)^$AR233)-1)/($AR233*$AT233)))</f>
        <v/>
      </c>
      <c r="AV233">
        <f>IF($AR233="","",IF($AR233=0,$AS233*EXP($AT233*2),$AS233*(1+$AR233*$AT233*2)^(1/$AR233)))</f>
        <v/>
      </c>
      <c r="AW233">
        <f>IF($AR233="","",IF($AR233=0,$AS233*EXP($AT233*3),$AS233*(1+$AR233*$AT233*3)^(1/$AR233)))</f>
        <v/>
      </c>
      <c r="AX233">
        <f>IF($AR233="","",IF($AR233=0,$AS233*EXP($AT233*-2),$AS233*(1+$AR233*$AT233*-2)^(1/$AR233)))</f>
        <v/>
      </c>
      <c r="AY233">
        <f>IF($AR233="","",IF($AR233=0,$AS233*EXP($AT233*-3),$AS233*(1+$AR233*$AT233*-3)^(1/$AR233)))</f>
        <v/>
      </c>
      <c r="AZ233">
        <f>IF(OR($A233="",$A233&lt;&gt;Ficha!$C$4),"",COUNTIF($A$2:$A233,Ficha!$C$4))</f>
        <v/>
      </c>
    </row>
    <row r="234">
      <c r="A234" s="8">
        <f>IF(INDEX(Banco!$A:$A,ROW())="","",INDEX(Banco!$A:$A,ROW()))</f>
        <v/>
      </c>
      <c r="B234" s="8">
        <f>IF(INDEX(Banco!$B:$B,ROW())="","",INDEX(Banco!$B:$B,ROW()))</f>
        <v/>
      </c>
      <c r="C234" s="8">
        <f>IF(INDEX(Banco!$C:$C,ROW())="","",INDEX(Banco!$C:$C,ROW()))</f>
        <v/>
      </c>
      <c r="D234" s="9">
        <f>IF(INDEX(Banco!$D:$D,ROW())="","",INDEX(Banco!$D:$D,ROW()))</f>
        <v/>
      </c>
      <c r="E234" s="9">
        <f>IF(INDEX(Banco!$E:$E,ROW())="","",INDEX(Banco!$E:$E,ROW()))</f>
        <v/>
      </c>
      <c r="F234" s="10">
        <f>IF(INDEX(Banco!$F:$F,ROW())="","",INDEX(Banco!$F:$F,ROW()))</f>
        <v/>
      </c>
      <c r="G234" s="10">
        <f>IF(INDEX(Banco!$G:$G,ROW())="","",INDEX(Banco!$G:$G,ROW()))</f>
        <v/>
      </c>
      <c r="H234" s="8">
        <f>IF(INDEX(Banco!$H:$H,ROW())="","",INDEX(Banco!$H:$H,ROW()))</f>
        <v/>
      </c>
      <c r="I234">
        <f>IF($T234="","",INT($T234/12)&amp;"a "&amp;MOD($T234,12)&amp;"m")</f>
        <v/>
      </c>
      <c r="J234" s="11">
        <f>IF(OR($F234="",$G234=""),"",ROUND($F234/($G234/100)^2,2))</f>
        <v/>
      </c>
      <c r="K234" s="12">
        <f>IF(OR($S234="",$J234="",$T234="",$T234&lt;0,$T234&gt;228,$Y234=""),"—",ROUND(IF(ABS($AB234)&lt;=3,$AB234,IF($AB234&gt;3,3+($J234-$AD234)/($AD234-$AC234),-3+($J234-$AF234)/($AE234-$AF234))),2))</f>
        <v/>
      </c>
      <c r="L234">
        <f>IF(OR($K234="",$K234="—"),"",IF($T234&lt;=60,IF($K234&lt;-3,"Magreza acentuada",IF($K234&lt;-2,"Magreza",IF($K234&lt;=1,"Eutrofia",IF($K234&lt;=2,"Risco de sobrepeso",IF($K234&lt;=3,"Sobrepeso","Obesidade"))))),IF($K234&lt;-3,"Magreza acentuada",IF($K234&lt;-2,"Magreza",IF($K234&lt;=1,"Eutrofia",IF($K234&lt;=2,"Sobrepeso",IF($K234&lt;=3,"Obesidade","Obesidade grave")))))))</f>
        <v/>
      </c>
      <c r="M234" s="12">
        <f>IF(OR($S234="",$V234="",$T234="",$T234&lt;0,$T234&gt;228,$AG234=""),"—",ROUND(IF($AG234=0,LN($V234/$AH234)/$AI234,((($V234/$AH234)^$AG234)-1)/($AG234*$AI234)),2))</f>
        <v/>
      </c>
      <c r="N234">
        <f>IF(OR($M234="",$M234="—"),"",IF($M234&lt;-3,"Muito baixa",IF($M234&lt;-2,"Baixa","Adequada")))</f>
        <v/>
      </c>
      <c r="O234" s="12">
        <f>IF(OR($S234="",$F234="",$T234="",$T234&lt;0,$T234&gt;120,$AJ234=""),"—",ROUND(IF(ABS($AM234)&lt;=3,$AM234,IF($AM234&gt;3,3+($F234-$AO234)/($AO234-$AN234),-3+($F234-$AQ234)/($AP234-$AQ234))),2))</f>
        <v/>
      </c>
      <c r="P234">
        <f>IF(OR($O234="",$O234="—"),"",IF($O234&lt;-3,"Muito baixo",IF($O234&lt;-2,"Baixo",IF($O234&lt;=2,"Adequado","Elevado"))))</f>
        <v/>
      </c>
      <c r="Q234" s="12">
        <f>IF(OR($S234="",$F234="",$T234="",$T234&lt;0,$T234&gt;60,$AR234=""),"—",ROUND(IF(ABS($AU234)&lt;=3,$AU234,IF($AU234&gt;3,3+($F234-$AW234)/($AW234-$AV234),-3+($F234-$AY234)/($AX234-$AY234))),2))</f>
        <v/>
      </c>
      <c r="R234">
        <f>IF(OR($Q234="",$Q234="—"),"",IF($Q234&lt;-3,"Magreza acentuada",IF($Q234&lt;-2,"Magreza",IF($Q234&lt;=1,"Eutrofia",IF($Q234&lt;=2,"Risco de sobrepeso",IF($Q234&lt;=3,"Sobrepeso","Obesidade"))))))</f>
        <v/>
      </c>
      <c r="S234">
        <f>IF($C234="","",IF(UPPER(LEFT($C234,1))="M",1,IF(UPPER(LEFT($C234,1))="F",2,"")))</f>
        <v/>
      </c>
      <c r="T234">
        <f>IF(OR($D234="",$E234=""),"",DATEDIF($D234,$E234,"m"))</f>
        <v/>
      </c>
      <c r="U234">
        <f>IF(OR($D234="",$E234=""),"",$E234-$D234)</f>
        <v/>
      </c>
      <c r="V234">
        <f>IF(OR($G234="",$T234=""),"",IF($T234&lt;24,IF(LEFT(LOWER($H234),4)="em p",$G234+0.7,$G234),IF(LEFT(LOWER($H234),4)="deit",$G234-0.7,$G234)))</f>
        <v/>
      </c>
      <c r="W234">
        <f>IF(OR($S234="",$T234=""),"",$S234*1000000+IF($T234&lt;=60,$U234,$T234))</f>
        <v/>
      </c>
      <c r="X234">
        <f>IF(OR($S234="",$V234="",$T234&gt;60,$T234=""),"",$S234*1000000+ROUND($V234*10,0))</f>
        <v/>
      </c>
      <c r="Y234">
        <f>IF($W234="","",IFERROR(INDEX(IF($T234&lt;=60,imc05_l,imc519_l),MATCH($W234,IF($T234&lt;=60,imc05_k,imc519_k),1)),""))</f>
        <v/>
      </c>
      <c r="Z234">
        <f>IF($W234="","",IFERROR(INDEX(IF($T234&lt;=60,imc05_m,imc519_m),MATCH($W234,IF($T234&lt;=60,imc05_k,imc519_k),1)),""))</f>
        <v/>
      </c>
      <c r="AA234">
        <f>IF($W234="","",IFERROR(INDEX(IF($T234&lt;=60,imc05_s,imc519_s),MATCH($W234,IF($T234&lt;=60,imc05_k,imc519_k),1)),""))</f>
        <v/>
      </c>
      <c r="AB234">
        <f>IF($Y234="","",IF($Y234=0,LN($J234/$Z234)/$AA234,((($J234/$Z234)^$Y234)-1)/($Y234*$AA234)))</f>
        <v/>
      </c>
      <c r="AC234">
        <f>IF($Y234="","",IF($Y234=0,$Z234*EXP($AA234*2),$Z234*(1+$Y234*$AA234*2)^(1/$Y234)))</f>
        <v/>
      </c>
      <c r="AD234">
        <f>IF($Y234="","",IF($Y234=0,$Z234*EXP($AA234*3),$Z234*(1+$Y234*$AA234*3)^(1/$Y234)))</f>
        <v/>
      </c>
      <c r="AE234">
        <f>IF($Y234="","",IF($Y234=0,$Z234*EXP($AA234*-2),$Z234*(1+$Y234*$AA234*-2)^(1/$Y234)))</f>
        <v/>
      </c>
      <c r="AF234">
        <f>IF($Y234="","",IF($Y234=0,$Z234*EXP($AA234*-3),$Z234*(1+$Y234*$AA234*-3)^(1/$Y234)))</f>
        <v/>
      </c>
      <c r="AG234">
        <f>IF($W234="","",IFERROR(INDEX(IF($T234&lt;=60,est05_l,est519_l),MATCH($W234,IF($T234&lt;=60,est05_k,est519_k),1)),""))</f>
        <v/>
      </c>
      <c r="AH234">
        <f>IF($W234="","",IFERROR(INDEX(IF($T234&lt;=60,est05_m,est519_m),MATCH($W234,IF($T234&lt;=60,est05_k,est519_k),1)),""))</f>
        <v/>
      </c>
      <c r="AI234">
        <f>IF($W234="","",IFERROR(INDEX(IF($T234&lt;=60,est05_s,est519_s),MATCH($W234,IF($T234&lt;=60,est05_k,est519_k),1)),""))</f>
        <v/>
      </c>
      <c r="AJ234">
        <f>IF($W234="","",IFERROR(INDEX(IF($T234&lt;=60,peso05_l,peso510_l),MATCH($W234,IF($T234&lt;=60,peso05_k,peso510_k),1)),""))</f>
        <v/>
      </c>
      <c r="AK234">
        <f>IF($W234="","",IFERROR(INDEX(IF($T234&lt;=60,peso05_m,peso510_m),MATCH($W234,IF($T234&lt;=60,peso05_k,peso510_k),1)),""))</f>
        <v/>
      </c>
      <c r="AL234">
        <f>IF($W234="","",IFERROR(INDEX(IF($T234&lt;=60,peso05_s,peso510_s),MATCH($W234,IF($T234&lt;=60,peso05_k,peso510_k),1)),""))</f>
        <v/>
      </c>
      <c r="AM234">
        <f>IF($AJ234="","",IF($AJ234=0,LN($F234/$AK234)/$AL234,((($F234/$AK234)^$AJ234)-1)/($AJ234*$AL234)))</f>
        <v/>
      </c>
      <c r="AN234">
        <f>IF($AJ234="","",IF($AJ234=0,$AK234*EXP($AL234*2),$AK234*(1+$AJ234*$AL234*2)^(1/$AJ234)))</f>
        <v/>
      </c>
      <c r="AO234">
        <f>IF($AJ234="","",IF($AJ234=0,$AK234*EXP($AL234*3),$AK234*(1+$AJ234*$AL234*3)^(1/$AJ234)))</f>
        <v/>
      </c>
      <c r="AP234">
        <f>IF($AJ234="","",IF($AJ234=0,$AK234*EXP($AL234*-2),$AK234*(1+$AJ234*$AL234*-2)^(1/$AJ234)))</f>
        <v/>
      </c>
      <c r="AQ234">
        <f>IF($AJ234="","",IF($AJ234=0,$AK234*EXP($AL234*-3),$AK234*(1+$AJ234*$AL234*-3)^(1/$AJ234)))</f>
        <v/>
      </c>
      <c r="AR234">
        <f>IF(OR($X234="",$T234&gt;60),"",IFERROR(INDEX(IF($T234&lt;24,pcomp_l,palt_l),MATCH($X234,IF($T234&lt;24,pcomp_k,palt_k),1)),""))</f>
        <v/>
      </c>
      <c r="AS234">
        <f>IF(OR($X234="",$T234&gt;60),"",IFERROR(INDEX(IF($T234&lt;24,pcomp_m,palt_m),MATCH($X234,IF($T234&lt;24,pcomp_k,palt_k),1)),""))</f>
        <v/>
      </c>
      <c r="AT234">
        <f>IF(OR($X234="",$T234&gt;60),"",IFERROR(INDEX(IF($T234&lt;24,pcomp_s,palt_s),MATCH($X234,IF($T234&lt;24,pcomp_k,palt_k),1)),""))</f>
        <v/>
      </c>
      <c r="AU234">
        <f>IF($AR234="","",IF($AR234=0,LN($F234/$AS234)/$AT234,((($F234/$AS234)^$AR234)-1)/($AR234*$AT234)))</f>
        <v/>
      </c>
      <c r="AV234">
        <f>IF($AR234="","",IF($AR234=0,$AS234*EXP($AT234*2),$AS234*(1+$AR234*$AT234*2)^(1/$AR234)))</f>
        <v/>
      </c>
      <c r="AW234">
        <f>IF($AR234="","",IF($AR234=0,$AS234*EXP($AT234*3),$AS234*(1+$AR234*$AT234*3)^(1/$AR234)))</f>
        <v/>
      </c>
      <c r="AX234">
        <f>IF($AR234="","",IF($AR234=0,$AS234*EXP($AT234*-2),$AS234*(1+$AR234*$AT234*-2)^(1/$AR234)))</f>
        <v/>
      </c>
      <c r="AY234">
        <f>IF($AR234="","",IF($AR234=0,$AS234*EXP($AT234*-3),$AS234*(1+$AR234*$AT234*-3)^(1/$AR234)))</f>
        <v/>
      </c>
      <c r="AZ234">
        <f>IF(OR($A234="",$A234&lt;&gt;Ficha!$C$4),"",COUNTIF($A$2:$A234,Ficha!$C$4))</f>
        <v/>
      </c>
    </row>
    <row r="235">
      <c r="A235" s="8">
        <f>IF(INDEX(Banco!$A:$A,ROW())="","",INDEX(Banco!$A:$A,ROW()))</f>
        <v/>
      </c>
      <c r="B235" s="8">
        <f>IF(INDEX(Banco!$B:$B,ROW())="","",INDEX(Banco!$B:$B,ROW()))</f>
        <v/>
      </c>
      <c r="C235" s="8">
        <f>IF(INDEX(Banco!$C:$C,ROW())="","",INDEX(Banco!$C:$C,ROW()))</f>
        <v/>
      </c>
      <c r="D235" s="9">
        <f>IF(INDEX(Banco!$D:$D,ROW())="","",INDEX(Banco!$D:$D,ROW()))</f>
        <v/>
      </c>
      <c r="E235" s="9">
        <f>IF(INDEX(Banco!$E:$E,ROW())="","",INDEX(Banco!$E:$E,ROW()))</f>
        <v/>
      </c>
      <c r="F235" s="10">
        <f>IF(INDEX(Banco!$F:$F,ROW())="","",INDEX(Banco!$F:$F,ROW()))</f>
        <v/>
      </c>
      <c r="G235" s="10">
        <f>IF(INDEX(Banco!$G:$G,ROW())="","",INDEX(Banco!$G:$G,ROW()))</f>
        <v/>
      </c>
      <c r="H235" s="8">
        <f>IF(INDEX(Banco!$H:$H,ROW())="","",INDEX(Banco!$H:$H,ROW()))</f>
        <v/>
      </c>
      <c r="I235">
        <f>IF($T235="","",INT($T235/12)&amp;"a "&amp;MOD($T235,12)&amp;"m")</f>
        <v/>
      </c>
      <c r="J235" s="11">
        <f>IF(OR($F235="",$G235=""),"",ROUND($F235/($G235/100)^2,2))</f>
        <v/>
      </c>
      <c r="K235" s="12">
        <f>IF(OR($S235="",$J235="",$T235="",$T235&lt;0,$T235&gt;228,$Y235=""),"—",ROUND(IF(ABS($AB235)&lt;=3,$AB235,IF($AB235&gt;3,3+($J235-$AD235)/($AD235-$AC235),-3+($J235-$AF235)/($AE235-$AF235))),2))</f>
        <v/>
      </c>
      <c r="L235">
        <f>IF(OR($K235="",$K235="—"),"",IF($T235&lt;=60,IF($K235&lt;-3,"Magreza acentuada",IF($K235&lt;-2,"Magreza",IF($K235&lt;=1,"Eutrofia",IF($K235&lt;=2,"Risco de sobrepeso",IF($K235&lt;=3,"Sobrepeso","Obesidade"))))),IF($K235&lt;-3,"Magreza acentuada",IF($K235&lt;-2,"Magreza",IF($K235&lt;=1,"Eutrofia",IF($K235&lt;=2,"Sobrepeso",IF($K235&lt;=3,"Obesidade","Obesidade grave")))))))</f>
        <v/>
      </c>
      <c r="M235" s="12">
        <f>IF(OR($S235="",$V235="",$T235="",$T235&lt;0,$T235&gt;228,$AG235=""),"—",ROUND(IF($AG235=0,LN($V235/$AH235)/$AI235,((($V235/$AH235)^$AG235)-1)/($AG235*$AI235)),2))</f>
        <v/>
      </c>
      <c r="N235">
        <f>IF(OR($M235="",$M235="—"),"",IF($M235&lt;-3,"Muito baixa",IF($M235&lt;-2,"Baixa","Adequada")))</f>
        <v/>
      </c>
      <c r="O235" s="12">
        <f>IF(OR($S235="",$F235="",$T235="",$T235&lt;0,$T235&gt;120,$AJ235=""),"—",ROUND(IF(ABS($AM235)&lt;=3,$AM235,IF($AM235&gt;3,3+($F235-$AO235)/($AO235-$AN235),-3+($F235-$AQ235)/($AP235-$AQ235))),2))</f>
        <v/>
      </c>
      <c r="P235">
        <f>IF(OR($O235="",$O235="—"),"",IF($O235&lt;-3,"Muito baixo",IF($O235&lt;-2,"Baixo",IF($O235&lt;=2,"Adequado","Elevado"))))</f>
        <v/>
      </c>
      <c r="Q235" s="12">
        <f>IF(OR($S235="",$F235="",$T235="",$T235&lt;0,$T235&gt;60,$AR235=""),"—",ROUND(IF(ABS($AU235)&lt;=3,$AU235,IF($AU235&gt;3,3+($F235-$AW235)/($AW235-$AV235),-3+($F235-$AY235)/($AX235-$AY235))),2))</f>
        <v/>
      </c>
      <c r="R235">
        <f>IF(OR($Q235="",$Q235="—"),"",IF($Q235&lt;-3,"Magreza acentuada",IF($Q235&lt;-2,"Magreza",IF($Q235&lt;=1,"Eutrofia",IF($Q235&lt;=2,"Risco de sobrepeso",IF($Q235&lt;=3,"Sobrepeso","Obesidade"))))))</f>
        <v/>
      </c>
      <c r="S235">
        <f>IF($C235="","",IF(UPPER(LEFT($C235,1))="M",1,IF(UPPER(LEFT($C235,1))="F",2,"")))</f>
        <v/>
      </c>
      <c r="T235">
        <f>IF(OR($D235="",$E235=""),"",DATEDIF($D235,$E235,"m"))</f>
        <v/>
      </c>
      <c r="U235">
        <f>IF(OR($D235="",$E235=""),"",$E235-$D235)</f>
        <v/>
      </c>
      <c r="V235">
        <f>IF(OR($G235="",$T235=""),"",IF($T235&lt;24,IF(LEFT(LOWER($H235),4)="em p",$G235+0.7,$G235),IF(LEFT(LOWER($H235),4)="deit",$G235-0.7,$G235)))</f>
        <v/>
      </c>
      <c r="W235">
        <f>IF(OR($S235="",$T235=""),"",$S235*1000000+IF($T235&lt;=60,$U235,$T235))</f>
        <v/>
      </c>
      <c r="X235">
        <f>IF(OR($S235="",$V235="",$T235&gt;60,$T235=""),"",$S235*1000000+ROUND($V235*10,0))</f>
        <v/>
      </c>
      <c r="Y235">
        <f>IF($W235="","",IFERROR(INDEX(IF($T235&lt;=60,imc05_l,imc519_l),MATCH($W235,IF($T235&lt;=60,imc05_k,imc519_k),1)),""))</f>
        <v/>
      </c>
      <c r="Z235">
        <f>IF($W235="","",IFERROR(INDEX(IF($T235&lt;=60,imc05_m,imc519_m),MATCH($W235,IF($T235&lt;=60,imc05_k,imc519_k),1)),""))</f>
        <v/>
      </c>
      <c r="AA235">
        <f>IF($W235="","",IFERROR(INDEX(IF($T235&lt;=60,imc05_s,imc519_s),MATCH($W235,IF($T235&lt;=60,imc05_k,imc519_k),1)),""))</f>
        <v/>
      </c>
      <c r="AB235">
        <f>IF($Y235="","",IF($Y235=0,LN($J235/$Z235)/$AA235,((($J235/$Z235)^$Y235)-1)/($Y235*$AA235)))</f>
        <v/>
      </c>
      <c r="AC235">
        <f>IF($Y235="","",IF($Y235=0,$Z235*EXP($AA235*2),$Z235*(1+$Y235*$AA235*2)^(1/$Y235)))</f>
        <v/>
      </c>
      <c r="AD235">
        <f>IF($Y235="","",IF($Y235=0,$Z235*EXP($AA235*3),$Z235*(1+$Y235*$AA235*3)^(1/$Y235)))</f>
        <v/>
      </c>
      <c r="AE235">
        <f>IF($Y235="","",IF($Y235=0,$Z235*EXP($AA235*-2),$Z235*(1+$Y235*$AA235*-2)^(1/$Y235)))</f>
        <v/>
      </c>
      <c r="AF235">
        <f>IF($Y235="","",IF($Y235=0,$Z235*EXP($AA235*-3),$Z235*(1+$Y235*$AA235*-3)^(1/$Y235)))</f>
        <v/>
      </c>
      <c r="AG235">
        <f>IF($W235="","",IFERROR(INDEX(IF($T235&lt;=60,est05_l,est519_l),MATCH($W235,IF($T235&lt;=60,est05_k,est519_k),1)),""))</f>
        <v/>
      </c>
      <c r="AH235">
        <f>IF($W235="","",IFERROR(INDEX(IF($T235&lt;=60,est05_m,est519_m),MATCH($W235,IF($T235&lt;=60,est05_k,est519_k),1)),""))</f>
        <v/>
      </c>
      <c r="AI235">
        <f>IF($W235="","",IFERROR(INDEX(IF($T235&lt;=60,est05_s,est519_s),MATCH($W235,IF($T235&lt;=60,est05_k,est519_k),1)),""))</f>
        <v/>
      </c>
      <c r="AJ235">
        <f>IF($W235="","",IFERROR(INDEX(IF($T235&lt;=60,peso05_l,peso510_l),MATCH($W235,IF($T235&lt;=60,peso05_k,peso510_k),1)),""))</f>
        <v/>
      </c>
      <c r="AK235">
        <f>IF($W235="","",IFERROR(INDEX(IF($T235&lt;=60,peso05_m,peso510_m),MATCH($W235,IF($T235&lt;=60,peso05_k,peso510_k),1)),""))</f>
        <v/>
      </c>
      <c r="AL235">
        <f>IF($W235="","",IFERROR(INDEX(IF($T235&lt;=60,peso05_s,peso510_s),MATCH($W235,IF($T235&lt;=60,peso05_k,peso510_k),1)),""))</f>
        <v/>
      </c>
      <c r="AM235">
        <f>IF($AJ235="","",IF($AJ235=0,LN($F235/$AK235)/$AL235,((($F235/$AK235)^$AJ235)-1)/($AJ235*$AL235)))</f>
        <v/>
      </c>
      <c r="AN235">
        <f>IF($AJ235="","",IF($AJ235=0,$AK235*EXP($AL235*2),$AK235*(1+$AJ235*$AL235*2)^(1/$AJ235)))</f>
        <v/>
      </c>
      <c r="AO235">
        <f>IF($AJ235="","",IF($AJ235=0,$AK235*EXP($AL235*3),$AK235*(1+$AJ235*$AL235*3)^(1/$AJ235)))</f>
        <v/>
      </c>
      <c r="AP235">
        <f>IF($AJ235="","",IF($AJ235=0,$AK235*EXP($AL235*-2),$AK235*(1+$AJ235*$AL235*-2)^(1/$AJ235)))</f>
        <v/>
      </c>
      <c r="AQ235">
        <f>IF($AJ235="","",IF($AJ235=0,$AK235*EXP($AL235*-3),$AK235*(1+$AJ235*$AL235*-3)^(1/$AJ235)))</f>
        <v/>
      </c>
      <c r="AR235">
        <f>IF(OR($X235="",$T235&gt;60),"",IFERROR(INDEX(IF($T235&lt;24,pcomp_l,palt_l),MATCH($X235,IF($T235&lt;24,pcomp_k,palt_k),1)),""))</f>
        <v/>
      </c>
      <c r="AS235">
        <f>IF(OR($X235="",$T235&gt;60),"",IFERROR(INDEX(IF($T235&lt;24,pcomp_m,palt_m),MATCH($X235,IF($T235&lt;24,pcomp_k,palt_k),1)),""))</f>
        <v/>
      </c>
      <c r="AT235">
        <f>IF(OR($X235="",$T235&gt;60),"",IFERROR(INDEX(IF($T235&lt;24,pcomp_s,palt_s),MATCH($X235,IF($T235&lt;24,pcomp_k,palt_k),1)),""))</f>
        <v/>
      </c>
      <c r="AU235">
        <f>IF($AR235="","",IF($AR235=0,LN($F235/$AS235)/$AT235,((($F235/$AS235)^$AR235)-1)/($AR235*$AT235)))</f>
        <v/>
      </c>
      <c r="AV235">
        <f>IF($AR235="","",IF($AR235=0,$AS235*EXP($AT235*2),$AS235*(1+$AR235*$AT235*2)^(1/$AR235)))</f>
        <v/>
      </c>
      <c r="AW235">
        <f>IF($AR235="","",IF($AR235=0,$AS235*EXP($AT235*3),$AS235*(1+$AR235*$AT235*3)^(1/$AR235)))</f>
        <v/>
      </c>
      <c r="AX235">
        <f>IF($AR235="","",IF($AR235=0,$AS235*EXP($AT235*-2),$AS235*(1+$AR235*$AT235*-2)^(1/$AR235)))</f>
        <v/>
      </c>
      <c r="AY235">
        <f>IF($AR235="","",IF($AR235=0,$AS235*EXP($AT235*-3),$AS235*(1+$AR235*$AT235*-3)^(1/$AR235)))</f>
        <v/>
      </c>
      <c r="AZ235">
        <f>IF(OR($A235="",$A235&lt;&gt;Ficha!$C$4),"",COUNTIF($A$2:$A235,Ficha!$C$4))</f>
        <v/>
      </c>
    </row>
    <row r="236">
      <c r="A236" s="8">
        <f>IF(INDEX(Banco!$A:$A,ROW())="","",INDEX(Banco!$A:$A,ROW()))</f>
        <v/>
      </c>
      <c r="B236" s="8">
        <f>IF(INDEX(Banco!$B:$B,ROW())="","",INDEX(Banco!$B:$B,ROW()))</f>
        <v/>
      </c>
      <c r="C236" s="8">
        <f>IF(INDEX(Banco!$C:$C,ROW())="","",INDEX(Banco!$C:$C,ROW()))</f>
        <v/>
      </c>
      <c r="D236" s="9">
        <f>IF(INDEX(Banco!$D:$D,ROW())="","",INDEX(Banco!$D:$D,ROW()))</f>
        <v/>
      </c>
      <c r="E236" s="9">
        <f>IF(INDEX(Banco!$E:$E,ROW())="","",INDEX(Banco!$E:$E,ROW()))</f>
        <v/>
      </c>
      <c r="F236" s="10">
        <f>IF(INDEX(Banco!$F:$F,ROW())="","",INDEX(Banco!$F:$F,ROW()))</f>
        <v/>
      </c>
      <c r="G236" s="10">
        <f>IF(INDEX(Banco!$G:$G,ROW())="","",INDEX(Banco!$G:$G,ROW()))</f>
        <v/>
      </c>
      <c r="H236" s="8">
        <f>IF(INDEX(Banco!$H:$H,ROW())="","",INDEX(Banco!$H:$H,ROW()))</f>
        <v/>
      </c>
      <c r="I236">
        <f>IF($T236="","",INT($T236/12)&amp;"a "&amp;MOD($T236,12)&amp;"m")</f>
        <v/>
      </c>
      <c r="J236" s="11">
        <f>IF(OR($F236="",$G236=""),"",ROUND($F236/($G236/100)^2,2))</f>
        <v/>
      </c>
      <c r="K236" s="12">
        <f>IF(OR($S236="",$J236="",$T236="",$T236&lt;0,$T236&gt;228,$Y236=""),"—",ROUND(IF(ABS($AB236)&lt;=3,$AB236,IF($AB236&gt;3,3+($J236-$AD236)/($AD236-$AC236),-3+($J236-$AF236)/($AE236-$AF236))),2))</f>
        <v/>
      </c>
      <c r="L236">
        <f>IF(OR($K236="",$K236="—"),"",IF($T236&lt;=60,IF($K236&lt;-3,"Magreza acentuada",IF($K236&lt;-2,"Magreza",IF($K236&lt;=1,"Eutrofia",IF($K236&lt;=2,"Risco de sobrepeso",IF($K236&lt;=3,"Sobrepeso","Obesidade"))))),IF($K236&lt;-3,"Magreza acentuada",IF($K236&lt;-2,"Magreza",IF($K236&lt;=1,"Eutrofia",IF($K236&lt;=2,"Sobrepeso",IF($K236&lt;=3,"Obesidade","Obesidade grave")))))))</f>
        <v/>
      </c>
      <c r="M236" s="12">
        <f>IF(OR($S236="",$V236="",$T236="",$T236&lt;0,$T236&gt;228,$AG236=""),"—",ROUND(IF($AG236=0,LN($V236/$AH236)/$AI236,((($V236/$AH236)^$AG236)-1)/($AG236*$AI236)),2))</f>
        <v/>
      </c>
      <c r="N236">
        <f>IF(OR($M236="",$M236="—"),"",IF($M236&lt;-3,"Muito baixa",IF($M236&lt;-2,"Baixa","Adequada")))</f>
        <v/>
      </c>
      <c r="O236" s="12">
        <f>IF(OR($S236="",$F236="",$T236="",$T236&lt;0,$T236&gt;120,$AJ236=""),"—",ROUND(IF(ABS($AM236)&lt;=3,$AM236,IF($AM236&gt;3,3+($F236-$AO236)/($AO236-$AN236),-3+($F236-$AQ236)/($AP236-$AQ236))),2))</f>
        <v/>
      </c>
      <c r="P236">
        <f>IF(OR($O236="",$O236="—"),"",IF($O236&lt;-3,"Muito baixo",IF($O236&lt;-2,"Baixo",IF($O236&lt;=2,"Adequado","Elevado"))))</f>
        <v/>
      </c>
      <c r="Q236" s="12">
        <f>IF(OR($S236="",$F236="",$T236="",$T236&lt;0,$T236&gt;60,$AR236=""),"—",ROUND(IF(ABS($AU236)&lt;=3,$AU236,IF($AU236&gt;3,3+($F236-$AW236)/($AW236-$AV236),-3+($F236-$AY236)/($AX236-$AY236))),2))</f>
        <v/>
      </c>
      <c r="R236">
        <f>IF(OR($Q236="",$Q236="—"),"",IF($Q236&lt;-3,"Magreza acentuada",IF($Q236&lt;-2,"Magreza",IF($Q236&lt;=1,"Eutrofia",IF($Q236&lt;=2,"Risco de sobrepeso",IF($Q236&lt;=3,"Sobrepeso","Obesidade"))))))</f>
        <v/>
      </c>
      <c r="S236">
        <f>IF($C236="","",IF(UPPER(LEFT($C236,1))="M",1,IF(UPPER(LEFT($C236,1))="F",2,"")))</f>
        <v/>
      </c>
      <c r="T236">
        <f>IF(OR($D236="",$E236=""),"",DATEDIF($D236,$E236,"m"))</f>
        <v/>
      </c>
      <c r="U236">
        <f>IF(OR($D236="",$E236=""),"",$E236-$D236)</f>
        <v/>
      </c>
      <c r="V236">
        <f>IF(OR($G236="",$T236=""),"",IF($T236&lt;24,IF(LEFT(LOWER($H236),4)="em p",$G236+0.7,$G236),IF(LEFT(LOWER($H236),4)="deit",$G236-0.7,$G236)))</f>
        <v/>
      </c>
      <c r="W236">
        <f>IF(OR($S236="",$T236=""),"",$S236*1000000+IF($T236&lt;=60,$U236,$T236))</f>
        <v/>
      </c>
      <c r="X236">
        <f>IF(OR($S236="",$V236="",$T236&gt;60,$T236=""),"",$S236*1000000+ROUND($V236*10,0))</f>
        <v/>
      </c>
      <c r="Y236">
        <f>IF($W236="","",IFERROR(INDEX(IF($T236&lt;=60,imc05_l,imc519_l),MATCH($W236,IF($T236&lt;=60,imc05_k,imc519_k),1)),""))</f>
        <v/>
      </c>
      <c r="Z236">
        <f>IF($W236="","",IFERROR(INDEX(IF($T236&lt;=60,imc05_m,imc519_m),MATCH($W236,IF($T236&lt;=60,imc05_k,imc519_k),1)),""))</f>
        <v/>
      </c>
      <c r="AA236">
        <f>IF($W236="","",IFERROR(INDEX(IF($T236&lt;=60,imc05_s,imc519_s),MATCH($W236,IF($T236&lt;=60,imc05_k,imc519_k),1)),""))</f>
        <v/>
      </c>
      <c r="AB236">
        <f>IF($Y236="","",IF($Y236=0,LN($J236/$Z236)/$AA236,((($J236/$Z236)^$Y236)-1)/($Y236*$AA236)))</f>
        <v/>
      </c>
      <c r="AC236">
        <f>IF($Y236="","",IF($Y236=0,$Z236*EXP($AA236*2),$Z236*(1+$Y236*$AA236*2)^(1/$Y236)))</f>
        <v/>
      </c>
      <c r="AD236">
        <f>IF($Y236="","",IF($Y236=0,$Z236*EXP($AA236*3),$Z236*(1+$Y236*$AA236*3)^(1/$Y236)))</f>
        <v/>
      </c>
      <c r="AE236">
        <f>IF($Y236="","",IF($Y236=0,$Z236*EXP($AA236*-2),$Z236*(1+$Y236*$AA236*-2)^(1/$Y236)))</f>
        <v/>
      </c>
      <c r="AF236">
        <f>IF($Y236="","",IF($Y236=0,$Z236*EXP($AA236*-3),$Z236*(1+$Y236*$AA236*-3)^(1/$Y236)))</f>
        <v/>
      </c>
      <c r="AG236">
        <f>IF($W236="","",IFERROR(INDEX(IF($T236&lt;=60,est05_l,est519_l),MATCH($W236,IF($T236&lt;=60,est05_k,est519_k),1)),""))</f>
        <v/>
      </c>
      <c r="AH236">
        <f>IF($W236="","",IFERROR(INDEX(IF($T236&lt;=60,est05_m,est519_m),MATCH($W236,IF($T236&lt;=60,est05_k,est519_k),1)),""))</f>
        <v/>
      </c>
      <c r="AI236">
        <f>IF($W236="","",IFERROR(INDEX(IF($T236&lt;=60,est05_s,est519_s),MATCH($W236,IF($T236&lt;=60,est05_k,est519_k),1)),""))</f>
        <v/>
      </c>
      <c r="AJ236">
        <f>IF($W236="","",IFERROR(INDEX(IF($T236&lt;=60,peso05_l,peso510_l),MATCH($W236,IF($T236&lt;=60,peso05_k,peso510_k),1)),""))</f>
        <v/>
      </c>
      <c r="AK236">
        <f>IF($W236="","",IFERROR(INDEX(IF($T236&lt;=60,peso05_m,peso510_m),MATCH($W236,IF($T236&lt;=60,peso05_k,peso510_k),1)),""))</f>
        <v/>
      </c>
      <c r="AL236">
        <f>IF($W236="","",IFERROR(INDEX(IF($T236&lt;=60,peso05_s,peso510_s),MATCH($W236,IF($T236&lt;=60,peso05_k,peso510_k),1)),""))</f>
        <v/>
      </c>
      <c r="AM236">
        <f>IF($AJ236="","",IF($AJ236=0,LN($F236/$AK236)/$AL236,((($F236/$AK236)^$AJ236)-1)/($AJ236*$AL236)))</f>
        <v/>
      </c>
      <c r="AN236">
        <f>IF($AJ236="","",IF($AJ236=0,$AK236*EXP($AL236*2),$AK236*(1+$AJ236*$AL236*2)^(1/$AJ236)))</f>
        <v/>
      </c>
      <c r="AO236">
        <f>IF($AJ236="","",IF($AJ236=0,$AK236*EXP($AL236*3),$AK236*(1+$AJ236*$AL236*3)^(1/$AJ236)))</f>
        <v/>
      </c>
      <c r="AP236">
        <f>IF($AJ236="","",IF($AJ236=0,$AK236*EXP($AL236*-2),$AK236*(1+$AJ236*$AL236*-2)^(1/$AJ236)))</f>
        <v/>
      </c>
      <c r="AQ236">
        <f>IF($AJ236="","",IF($AJ236=0,$AK236*EXP($AL236*-3),$AK236*(1+$AJ236*$AL236*-3)^(1/$AJ236)))</f>
        <v/>
      </c>
      <c r="AR236">
        <f>IF(OR($X236="",$T236&gt;60),"",IFERROR(INDEX(IF($T236&lt;24,pcomp_l,palt_l),MATCH($X236,IF($T236&lt;24,pcomp_k,palt_k),1)),""))</f>
        <v/>
      </c>
      <c r="AS236">
        <f>IF(OR($X236="",$T236&gt;60),"",IFERROR(INDEX(IF($T236&lt;24,pcomp_m,palt_m),MATCH($X236,IF($T236&lt;24,pcomp_k,palt_k),1)),""))</f>
        <v/>
      </c>
      <c r="AT236">
        <f>IF(OR($X236="",$T236&gt;60),"",IFERROR(INDEX(IF($T236&lt;24,pcomp_s,palt_s),MATCH($X236,IF($T236&lt;24,pcomp_k,palt_k),1)),""))</f>
        <v/>
      </c>
      <c r="AU236">
        <f>IF($AR236="","",IF($AR236=0,LN($F236/$AS236)/$AT236,((($F236/$AS236)^$AR236)-1)/($AR236*$AT236)))</f>
        <v/>
      </c>
      <c r="AV236">
        <f>IF($AR236="","",IF($AR236=0,$AS236*EXP($AT236*2),$AS236*(1+$AR236*$AT236*2)^(1/$AR236)))</f>
        <v/>
      </c>
      <c r="AW236">
        <f>IF($AR236="","",IF($AR236=0,$AS236*EXP($AT236*3),$AS236*(1+$AR236*$AT236*3)^(1/$AR236)))</f>
        <v/>
      </c>
      <c r="AX236">
        <f>IF($AR236="","",IF($AR236=0,$AS236*EXP($AT236*-2),$AS236*(1+$AR236*$AT236*-2)^(1/$AR236)))</f>
        <v/>
      </c>
      <c r="AY236">
        <f>IF($AR236="","",IF($AR236=0,$AS236*EXP($AT236*-3),$AS236*(1+$AR236*$AT236*-3)^(1/$AR236)))</f>
        <v/>
      </c>
      <c r="AZ236">
        <f>IF(OR($A236="",$A236&lt;&gt;Ficha!$C$4),"",COUNTIF($A$2:$A236,Ficha!$C$4))</f>
        <v/>
      </c>
    </row>
    <row r="237">
      <c r="A237" s="8">
        <f>IF(INDEX(Banco!$A:$A,ROW())="","",INDEX(Banco!$A:$A,ROW()))</f>
        <v/>
      </c>
      <c r="B237" s="8">
        <f>IF(INDEX(Banco!$B:$B,ROW())="","",INDEX(Banco!$B:$B,ROW()))</f>
        <v/>
      </c>
      <c r="C237" s="8">
        <f>IF(INDEX(Banco!$C:$C,ROW())="","",INDEX(Banco!$C:$C,ROW()))</f>
        <v/>
      </c>
      <c r="D237" s="9">
        <f>IF(INDEX(Banco!$D:$D,ROW())="","",INDEX(Banco!$D:$D,ROW()))</f>
        <v/>
      </c>
      <c r="E237" s="9">
        <f>IF(INDEX(Banco!$E:$E,ROW())="","",INDEX(Banco!$E:$E,ROW()))</f>
        <v/>
      </c>
      <c r="F237" s="10">
        <f>IF(INDEX(Banco!$F:$F,ROW())="","",INDEX(Banco!$F:$F,ROW()))</f>
        <v/>
      </c>
      <c r="G237" s="10">
        <f>IF(INDEX(Banco!$G:$G,ROW())="","",INDEX(Banco!$G:$G,ROW()))</f>
        <v/>
      </c>
      <c r="H237" s="8">
        <f>IF(INDEX(Banco!$H:$H,ROW())="","",INDEX(Banco!$H:$H,ROW()))</f>
        <v/>
      </c>
      <c r="I237">
        <f>IF($T237="","",INT($T237/12)&amp;"a "&amp;MOD($T237,12)&amp;"m")</f>
        <v/>
      </c>
      <c r="J237" s="11">
        <f>IF(OR($F237="",$G237=""),"",ROUND($F237/($G237/100)^2,2))</f>
        <v/>
      </c>
      <c r="K237" s="12">
        <f>IF(OR($S237="",$J237="",$T237="",$T237&lt;0,$T237&gt;228,$Y237=""),"—",ROUND(IF(ABS($AB237)&lt;=3,$AB237,IF($AB237&gt;3,3+($J237-$AD237)/($AD237-$AC237),-3+($J237-$AF237)/($AE237-$AF237))),2))</f>
        <v/>
      </c>
      <c r="L237">
        <f>IF(OR($K237="",$K237="—"),"",IF($T237&lt;=60,IF($K237&lt;-3,"Magreza acentuada",IF($K237&lt;-2,"Magreza",IF($K237&lt;=1,"Eutrofia",IF($K237&lt;=2,"Risco de sobrepeso",IF($K237&lt;=3,"Sobrepeso","Obesidade"))))),IF($K237&lt;-3,"Magreza acentuada",IF($K237&lt;-2,"Magreza",IF($K237&lt;=1,"Eutrofia",IF($K237&lt;=2,"Sobrepeso",IF($K237&lt;=3,"Obesidade","Obesidade grave")))))))</f>
        <v/>
      </c>
      <c r="M237" s="12">
        <f>IF(OR($S237="",$V237="",$T237="",$T237&lt;0,$T237&gt;228,$AG237=""),"—",ROUND(IF($AG237=0,LN($V237/$AH237)/$AI237,((($V237/$AH237)^$AG237)-1)/($AG237*$AI237)),2))</f>
        <v/>
      </c>
      <c r="N237">
        <f>IF(OR($M237="",$M237="—"),"",IF($M237&lt;-3,"Muito baixa",IF($M237&lt;-2,"Baixa","Adequada")))</f>
        <v/>
      </c>
      <c r="O237" s="12">
        <f>IF(OR($S237="",$F237="",$T237="",$T237&lt;0,$T237&gt;120,$AJ237=""),"—",ROUND(IF(ABS($AM237)&lt;=3,$AM237,IF($AM237&gt;3,3+($F237-$AO237)/($AO237-$AN237),-3+($F237-$AQ237)/($AP237-$AQ237))),2))</f>
        <v/>
      </c>
      <c r="P237">
        <f>IF(OR($O237="",$O237="—"),"",IF($O237&lt;-3,"Muito baixo",IF($O237&lt;-2,"Baixo",IF($O237&lt;=2,"Adequado","Elevado"))))</f>
        <v/>
      </c>
      <c r="Q237" s="12">
        <f>IF(OR($S237="",$F237="",$T237="",$T237&lt;0,$T237&gt;60,$AR237=""),"—",ROUND(IF(ABS($AU237)&lt;=3,$AU237,IF($AU237&gt;3,3+($F237-$AW237)/($AW237-$AV237),-3+($F237-$AY237)/($AX237-$AY237))),2))</f>
        <v/>
      </c>
      <c r="R237">
        <f>IF(OR($Q237="",$Q237="—"),"",IF($Q237&lt;-3,"Magreza acentuada",IF($Q237&lt;-2,"Magreza",IF($Q237&lt;=1,"Eutrofia",IF($Q237&lt;=2,"Risco de sobrepeso",IF($Q237&lt;=3,"Sobrepeso","Obesidade"))))))</f>
        <v/>
      </c>
      <c r="S237">
        <f>IF($C237="","",IF(UPPER(LEFT($C237,1))="M",1,IF(UPPER(LEFT($C237,1))="F",2,"")))</f>
        <v/>
      </c>
      <c r="T237">
        <f>IF(OR($D237="",$E237=""),"",DATEDIF($D237,$E237,"m"))</f>
        <v/>
      </c>
      <c r="U237">
        <f>IF(OR($D237="",$E237=""),"",$E237-$D237)</f>
        <v/>
      </c>
      <c r="V237">
        <f>IF(OR($G237="",$T237=""),"",IF($T237&lt;24,IF(LEFT(LOWER($H237),4)="em p",$G237+0.7,$G237),IF(LEFT(LOWER($H237),4)="deit",$G237-0.7,$G237)))</f>
        <v/>
      </c>
      <c r="W237">
        <f>IF(OR($S237="",$T237=""),"",$S237*1000000+IF($T237&lt;=60,$U237,$T237))</f>
        <v/>
      </c>
      <c r="X237">
        <f>IF(OR($S237="",$V237="",$T237&gt;60,$T237=""),"",$S237*1000000+ROUND($V237*10,0))</f>
        <v/>
      </c>
      <c r="Y237">
        <f>IF($W237="","",IFERROR(INDEX(IF($T237&lt;=60,imc05_l,imc519_l),MATCH($W237,IF($T237&lt;=60,imc05_k,imc519_k),1)),""))</f>
        <v/>
      </c>
      <c r="Z237">
        <f>IF($W237="","",IFERROR(INDEX(IF($T237&lt;=60,imc05_m,imc519_m),MATCH($W237,IF($T237&lt;=60,imc05_k,imc519_k),1)),""))</f>
        <v/>
      </c>
      <c r="AA237">
        <f>IF($W237="","",IFERROR(INDEX(IF($T237&lt;=60,imc05_s,imc519_s),MATCH($W237,IF($T237&lt;=60,imc05_k,imc519_k),1)),""))</f>
        <v/>
      </c>
      <c r="AB237">
        <f>IF($Y237="","",IF($Y237=0,LN($J237/$Z237)/$AA237,((($J237/$Z237)^$Y237)-1)/($Y237*$AA237)))</f>
        <v/>
      </c>
      <c r="AC237">
        <f>IF($Y237="","",IF($Y237=0,$Z237*EXP($AA237*2),$Z237*(1+$Y237*$AA237*2)^(1/$Y237)))</f>
        <v/>
      </c>
      <c r="AD237">
        <f>IF($Y237="","",IF($Y237=0,$Z237*EXP($AA237*3),$Z237*(1+$Y237*$AA237*3)^(1/$Y237)))</f>
        <v/>
      </c>
      <c r="AE237">
        <f>IF($Y237="","",IF($Y237=0,$Z237*EXP($AA237*-2),$Z237*(1+$Y237*$AA237*-2)^(1/$Y237)))</f>
        <v/>
      </c>
      <c r="AF237">
        <f>IF($Y237="","",IF($Y237=0,$Z237*EXP($AA237*-3),$Z237*(1+$Y237*$AA237*-3)^(1/$Y237)))</f>
        <v/>
      </c>
      <c r="AG237">
        <f>IF($W237="","",IFERROR(INDEX(IF($T237&lt;=60,est05_l,est519_l),MATCH($W237,IF($T237&lt;=60,est05_k,est519_k),1)),""))</f>
        <v/>
      </c>
      <c r="AH237">
        <f>IF($W237="","",IFERROR(INDEX(IF($T237&lt;=60,est05_m,est519_m),MATCH($W237,IF($T237&lt;=60,est05_k,est519_k),1)),""))</f>
        <v/>
      </c>
      <c r="AI237">
        <f>IF($W237="","",IFERROR(INDEX(IF($T237&lt;=60,est05_s,est519_s),MATCH($W237,IF($T237&lt;=60,est05_k,est519_k),1)),""))</f>
        <v/>
      </c>
      <c r="AJ237">
        <f>IF($W237="","",IFERROR(INDEX(IF($T237&lt;=60,peso05_l,peso510_l),MATCH($W237,IF($T237&lt;=60,peso05_k,peso510_k),1)),""))</f>
        <v/>
      </c>
      <c r="AK237">
        <f>IF($W237="","",IFERROR(INDEX(IF($T237&lt;=60,peso05_m,peso510_m),MATCH($W237,IF($T237&lt;=60,peso05_k,peso510_k),1)),""))</f>
        <v/>
      </c>
      <c r="AL237">
        <f>IF($W237="","",IFERROR(INDEX(IF($T237&lt;=60,peso05_s,peso510_s),MATCH($W237,IF($T237&lt;=60,peso05_k,peso510_k),1)),""))</f>
        <v/>
      </c>
      <c r="AM237">
        <f>IF($AJ237="","",IF($AJ237=0,LN($F237/$AK237)/$AL237,((($F237/$AK237)^$AJ237)-1)/($AJ237*$AL237)))</f>
        <v/>
      </c>
      <c r="AN237">
        <f>IF($AJ237="","",IF($AJ237=0,$AK237*EXP($AL237*2),$AK237*(1+$AJ237*$AL237*2)^(1/$AJ237)))</f>
        <v/>
      </c>
      <c r="AO237">
        <f>IF($AJ237="","",IF($AJ237=0,$AK237*EXP($AL237*3),$AK237*(1+$AJ237*$AL237*3)^(1/$AJ237)))</f>
        <v/>
      </c>
      <c r="AP237">
        <f>IF($AJ237="","",IF($AJ237=0,$AK237*EXP($AL237*-2),$AK237*(1+$AJ237*$AL237*-2)^(1/$AJ237)))</f>
        <v/>
      </c>
      <c r="AQ237">
        <f>IF($AJ237="","",IF($AJ237=0,$AK237*EXP($AL237*-3),$AK237*(1+$AJ237*$AL237*-3)^(1/$AJ237)))</f>
        <v/>
      </c>
      <c r="AR237">
        <f>IF(OR($X237="",$T237&gt;60),"",IFERROR(INDEX(IF($T237&lt;24,pcomp_l,palt_l),MATCH($X237,IF($T237&lt;24,pcomp_k,palt_k),1)),""))</f>
        <v/>
      </c>
      <c r="AS237">
        <f>IF(OR($X237="",$T237&gt;60),"",IFERROR(INDEX(IF($T237&lt;24,pcomp_m,palt_m),MATCH($X237,IF($T237&lt;24,pcomp_k,palt_k),1)),""))</f>
        <v/>
      </c>
      <c r="AT237">
        <f>IF(OR($X237="",$T237&gt;60),"",IFERROR(INDEX(IF($T237&lt;24,pcomp_s,palt_s),MATCH($X237,IF($T237&lt;24,pcomp_k,palt_k),1)),""))</f>
        <v/>
      </c>
      <c r="AU237">
        <f>IF($AR237="","",IF($AR237=0,LN($F237/$AS237)/$AT237,((($F237/$AS237)^$AR237)-1)/($AR237*$AT237)))</f>
        <v/>
      </c>
      <c r="AV237">
        <f>IF($AR237="","",IF($AR237=0,$AS237*EXP($AT237*2),$AS237*(1+$AR237*$AT237*2)^(1/$AR237)))</f>
        <v/>
      </c>
      <c r="AW237">
        <f>IF($AR237="","",IF($AR237=0,$AS237*EXP($AT237*3),$AS237*(1+$AR237*$AT237*3)^(1/$AR237)))</f>
        <v/>
      </c>
      <c r="AX237">
        <f>IF($AR237="","",IF($AR237=0,$AS237*EXP($AT237*-2),$AS237*(1+$AR237*$AT237*-2)^(1/$AR237)))</f>
        <v/>
      </c>
      <c r="AY237">
        <f>IF($AR237="","",IF($AR237=0,$AS237*EXP($AT237*-3),$AS237*(1+$AR237*$AT237*-3)^(1/$AR237)))</f>
        <v/>
      </c>
      <c r="AZ237">
        <f>IF(OR($A237="",$A237&lt;&gt;Ficha!$C$4),"",COUNTIF($A$2:$A237,Ficha!$C$4))</f>
        <v/>
      </c>
    </row>
    <row r="238">
      <c r="A238" s="8">
        <f>IF(INDEX(Banco!$A:$A,ROW())="","",INDEX(Banco!$A:$A,ROW()))</f>
        <v/>
      </c>
      <c r="B238" s="8">
        <f>IF(INDEX(Banco!$B:$B,ROW())="","",INDEX(Banco!$B:$B,ROW()))</f>
        <v/>
      </c>
      <c r="C238" s="8">
        <f>IF(INDEX(Banco!$C:$C,ROW())="","",INDEX(Banco!$C:$C,ROW()))</f>
        <v/>
      </c>
      <c r="D238" s="9">
        <f>IF(INDEX(Banco!$D:$D,ROW())="","",INDEX(Banco!$D:$D,ROW()))</f>
        <v/>
      </c>
      <c r="E238" s="9">
        <f>IF(INDEX(Banco!$E:$E,ROW())="","",INDEX(Banco!$E:$E,ROW()))</f>
        <v/>
      </c>
      <c r="F238" s="10">
        <f>IF(INDEX(Banco!$F:$F,ROW())="","",INDEX(Banco!$F:$F,ROW()))</f>
        <v/>
      </c>
      <c r="G238" s="10">
        <f>IF(INDEX(Banco!$G:$G,ROW())="","",INDEX(Banco!$G:$G,ROW()))</f>
        <v/>
      </c>
      <c r="H238" s="8">
        <f>IF(INDEX(Banco!$H:$H,ROW())="","",INDEX(Banco!$H:$H,ROW()))</f>
        <v/>
      </c>
      <c r="I238">
        <f>IF($T238="","",INT($T238/12)&amp;"a "&amp;MOD($T238,12)&amp;"m")</f>
        <v/>
      </c>
      <c r="J238" s="11">
        <f>IF(OR($F238="",$G238=""),"",ROUND($F238/($G238/100)^2,2))</f>
        <v/>
      </c>
      <c r="K238" s="12">
        <f>IF(OR($S238="",$J238="",$T238="",$T238&lt;0,$T238&gt;228,$Y238=""),"—",ROUND(IF(ABS($AB238)&lt;=3,$AB238,IF($AB238&gt;3,3+($J238-$AD238)/($AD238-$AC238),-3+($J238-$AF238)/($AE238-$AF238))),2))</f>
        <v/>
      </c>
      <c r="L238">
        <f>IF(OR($K238="",$K238="—"),"",IF($T238&lt;=60,IF($K238&lt;-3,"Magreza acentuada",IF($K238&lt;-2,"Magreza",IF($K238&lt;=1,"Eutrofia",IF($K238&lt;=2,"Risco de sobrepeso",IF($K238&lt;=3,"Sobrepeso","Obesidade"))))),IF($K238&lt;-3,"Magreza acentuada",IF($K238&lt;-2,"Magreza",IF($K238&lt;=1,"Eutrofia",IF($K238&lt;=2,"Sobrepeso",IF($K238&lt;=3,"Obesidade","Obesidade grave")))))))</f>
        <v/>
      </c>
      <c r="M238" s="12">
        <f>IF(OR($S238="",$V238="",$T238="",$T238&lt;0,$T238&gt;228,$AG238=""),"—",ROUND(IF($AG238=0,LN($V238/$AH238)/$AI238,((($V238/$AH238)^$AG238)-1)/($AG238*$AI238)),2))</f>
        <v/>
      </c>
      <c r="N238">
        <f>IF(OR($M238="",$M238="—"),"",IF($M238&lt;-3,"Muito baixa",IF($M238&lt;-2,"Baixa","Adequada")))</f>
        <v/>
      </c>
      <c r="O238" s="12">
        <f>IF(OR($S238="",$F238="",$T238="",$T238&lt;0,$T238&gt;120,$AJ238=""),"—",ROUND(IF(ABS($AM238)&lt;=3,$AM238,IF($AM238&gt;3,3+($F238-$AO238)/($AO238-$AN238),-3+($F238-$AQ238)/($AP238-$AQ238))),2))</f>
        <v/>
      </c>
      <c r="P238">
        <f>IF(OR($O238="",$O238="—"),"",IF($O238&lt;-3,"Muito baixo",IF($O238&lt;-2,"Baixo",IF($O238&lt;=2,"Adequado","Elevado"))))</f>
        <v/>
      </c>
      <c r="Q238" s="12">
        <f>IF(OR($S238="",$F238="",$T238="",$T238&lt;0,$T238&gt;60,$AR238=""),"—",ROUND(IF(ABS($AU238)&lt;=3,$AU238,IF($AU238&gt;3,3+($F238-$AW238)/($AW238-$AV238),-3+($F238-$AY238)/($AX238-$AY238))),2))</f>
        <v/>
      </c>
      <c r="R238">
        <f>IF(OR($Q238="",$Q238="—"),"",IF($Q238&lt;-3,"Magreza acentuada",IF($Q238&lt;-2,"Magreza",IF($Q238&lt;=1,"Eutrofia",IF($Q238&lt;=2,"Risco de sobrepeso",IF($Q238&lt;=3,"Sobrepeso","Obesidade"))))))</f>
        <v/>
      </c>
      <c r="S238">
        <f>IF($C238="","",IF(UPPER(LEFT($C238,1))="M",1,IF(UPPER(LEFT($C238,1))="F",2,"")))</f>
        <v/>
      </c>
      <c r="T238">
        <f>IF(OR($D238="",$E238=""),"",DATEDIF($D238,$E238,"m"))</f>
        <v/>
      </c>
      <c r="U238">
        <f>IF(OR($D238="",$E238=""),"",$E238-$D238)</f>
        <v/>
      </c>
      <c r="V238">
        <f>IF(OR($G238="",$T238=""),"",IF($T238&lt;24,IF(LEFT(LOWER($H238),4)="em p",$G238+0.7,$G238),IF(LEFT(LOWER($H238),4)="deit",$G238-0.7,$G238)))</f>
        <v/>
      </c>
      <c r="W238">
        <f>IF(OR($S238="",$T238=""),"",$S238*1000000+IF($T238&lt;=60,$U238,$T238))</f>
        <v/>
      </c>
      <c r="X238">
        <f>IF(OR($S238="",$V238="",$T238&gt;60,$T238=""),"",$S238*1000000+ROUND($V238*10,0))</f>
        <v/>
      </c>
      <c r="Y238">
        <f>IF($W238="","",IFERROR(INDEX(IF($T238&lt;=60,imc05_l,imc519_l),MATCH($W238,IF($T238&lt;=60,imc05_k,imc519_k),1)),""))</f>
        <v/>
      </c>
      <c r="Z238">
        <f>IF($W238="","",IFERROR(INDEX(IF($T238&lt;=60,imc05_m,imc519_m),MATCH($W238,IF($T238&lt;=60,imc05_k,imc519_k),1)),""))</f>
        <v/>
      </c>
      <c r="AA238">
        <f>IF($W238="","",IFERROR(INDEX(IF($T238&lt;=60,imc05_s,imc519_s),MATCH($W238,IF($T238&lt;=60,imc05_k,imc519_k),1)),""))</f>
        <v/>
      </c>
      <c r="AB238">
        <f>IF($Y238="","",IF($Y238=0,LN($J238/$Z238)/$AA238,((($J238/$Z238)^$Y238)-1)/($Y238*$AA238)))</f>
        <v/>
      </c>
      <c r="AC238">
        <f>IF($Y238="","",IF($Y238=0,$Z238*EXP($AA238*2),$Z238*(1+$Y238*$AA238*2)^(1/$Y238)))</f>
        <v/>
      </c>
      <c r="AD238">
        <f>IF($Y238="","",IF($Y238=0,$Z238*EXP($AA238*3),$Z238*(1+$Y238*$AA238*3)^(1/$Y238)))</f>
        <v/>
      </c>
      <c r="AE238">
        <f>IF($Y238="","",IF($Y238=0,$Z238*EXP($AA238*-2),$Z238*(1+$Y238*$AA238*-2)^(1/$Y238)))</f>
        <v/>
      </c>
      <c r="AF238">
        <f>IF($Y238="","",IF($Y238=0,$Z238*EXP($AA238*-3),$Z238*(1+$Y238*$AA238*-3)^(1/$Y238)))</f>
        <v/>
      </c>
      <c r="AG238">
        <f>IF($W238="","",IFERROR(INDEX(IF($T238&lt;=60,est05_l,est519_l),MATCH($W238,IF($T238&lt;=60,est05_k,est519_k),1)),""))</f>
        <v/>
      </c>
      <c r="AH238">
        <f>IF($W238="","",IFERROR(INDEX(IF($T238&lt;=60,est05_m,est519_m),MATCH($W238,IF($T238&lt;=60,est05_k,est519_k),1)),""))</f>
        <v/>
      </c>
      <c r="AI238">
        <f>IF($W238="","",IFERROR(INDEX(IF($T238&lt;=60,est05_s,est519_s),MATCH($W238,IF($T238&lt;=60,est05_k,est519_k),1)),""))</f>
        <v/>
      </c>
      <c r="AJ238">
        <f>IF($W238="","",IFERROR(INDEX(IF($T238&lt;=60,peso05_l,peso510_l),MATCH($W238,IF($T238&lt;=60,peso05_k,peso510_k),1)),""))</f>
        <v/>
      </c>
      <c r="AK238">
        <f>IF($W238="","",IFERROR(INDEX(IF($T238&lt;=60,peso05_m,peso510_m),MATCH($W238,IF($T238&lt;=60,peso05_k,peso510_k),1)),""))</f>
        <v/>
      </c>
      <c r="AL238">
        <f>IF($W238="","",IFERROR(INDEX(IF($T238&lt;=60,peso05_s,peso510_s),MATCH($W238,IF($T238&lt;=60,peso05_k,peso510_k),1)),""))</f>
        <v/>
      </c>
      <c r="AM238">
        <f>IF($AJ238="","",IF($AJ238=0,LN($F238/$AK238)/$AL238,((($F238/$AK238)^$AJ238)-1)/($AJ238*$AL238)))</f>
        <v/>
      </c>
      <c r="AN238">
        <f>IF($AJ238="","",IF($AJ238=0,$AK238*EXP($AL238*2),$AK238*(1+$AJ238*$AL238*2)^(1/$AJ238)))</f>
        <v/>
      </c>
      <c r="AO238">
        <f>IF($AJ238="","",IF($AJ238=0,$AK238*EXP($AL238*3),$AK238*(1+$AJ238*$AL238*3)^(1/$AJ238)))</f>
        <v/>
      </c>
      <c r="AP238">
        <f>IF($AJ238="","",IF($AJ238=0,$AK238*EXP($AL238*-2),$AK238*(1+$AJ238*$AL238*-2)^(1/$AJ238)))</f>
        <v/>
      </c>
      <c r="AQ238">
        <f>IF($AJ238="","",IF($AJ238=0,$AK238*EXP($AL238*-3),$AK238*(1+$AJ238*$AL238*-3)^(1/$AJ238)))</f>
        <v/>
      </c>
      <c r="AR238">
        <f>IF(OR($X238="",$T238&gt;60),"",IFERROR(INDEX(IF($T238&lt;24,pcomp_l,palt_l),MATCH($X238,IF($T238&lt;24,pcomp_k,palt_k),1)),""))</f>
        <v/>
      </c>
      <c r="AS238">
        <f>IF(OR($X238="",$T238&gt;60),"",IFERROR(INDEX(IF($T238&lt;24,pcomp_m,palt_m),MATCH($X238,IF($T238&lt;24,pcomp_k,palt_k),1)),""))</f>
        <v/>
      </c>
      <c r="AT238">
        <f>IF(OR($X238="",$T238&gt;60),"",IFERROR(INDEX(IF($T238&lt;24,pcomp_s,palt_s),MATCH($X238,IF($T238&lt;24,pcomp_k,palt_k),1)),""))</f>
        <v/>
      </c>
      <c r="AU238">
        <f>IF($AR238="","",IF($AR238=0,LN($F238/$AS238)/$AT238,((($F238/$AS238)^$AR238)-1)/($AR238*$AT238)))</f>
        <v/>
      </c>
      <c r="AV238">
        <f>IF($AR238="","",IF($AR238=0,$AS238*EXP($AT238*2),$AS238*(1+$AR238*$AT238*2)^(1/$AR238)))</f>
        <v/>
      </c>
      <c r="AW238">
        <f>IF($AR238="","",IF($AR238=0,$AS238*EXP($AT238*3),$AS238*(1+$AR238*$AT238*3)^(1/$AR238)))</f>
        <v/>
      </c>
      <c r="AX238">
        <f>IF($AR238="","",IF($AR238=0,$AS238*EXP($AT238*-2),$AS238*(1+$AR238*$AT238*-2)^(1/$AR238)))</f>
        <v/>
      </c>
      <c r="AY238">
        <f>IF($AR238="","",IF($AR238=0,$AS238*EXP($AT238*-3),$AS238*(1+$AR238*$AT238*-3)^(1/$AR238)))</f>
        <v/>
      </c>
      <c r="AZ238">
        <f>IF(OR($A238="",$A238&lt;&gt;Ficha!$C$4),"",COUNTIF($A$2:$A238,Ficha!$C$4))</f>
        <v/>
      </c>
    </row>
    <row r="239">
      <c r="A239" s="8">
        <f>IF(INDEX(Banco!$A:$A,ROW())="","",INDEX(Banco!$A:$A,ROW()))</f>
        <v/>
      </c>
      <c r="B239" s="8">
        <f>IF(INDEX(Banco!$B:$B,ROW())="","",INDEX(Banco!$B:$B,ROW()))</f>
        <v/>
      </c>
      <c r="C239" s="8">
        <f>IF(INDEX(Banco!$C:$C,ROW())="","",INDEX(Banco!$C:$C,ROW()))</f>
        <v/>
      </c>
      <c r="D239" s="9">
        <f>IF(INDEX(Banco!$D:$D,ROW())="","",INDEX(Banco!$D:$D,ROW()))</f>
        <v/>
      </c>
      <c r="E239" s="9">
        <f>IF(INDEX(Banco!$E:$E,ROW())="","",INDEX(Banco!$E:$E,ROW()))</f>
        <v/>
      </c>
      <c r="F239" s="10">
        <f>IF(INDEX(Banco!$F:$F,ROW())="","",INDEX(Banco!$F:$F,ROW()))</f>
        <v/>
      </c>
      <c r="G239" s="10">
        <f>IF(INDEX(Banco!$G:$G,ROW())="","",INDEX(Banco!$G:$G,ROW()))</f>
        <v/>
      </c>
      <c r="H239" s="8">
        <f>IF(INDEX(Banco!$H:$H,ROW())="","",INDEX(Banco!$H:$H,ROW()))</f>
        <v/>
      </c>
      <c r="I239">
        <f>IF($T239="","",INT($T239/12)&amp;"a "&amp;MOD($T239,12)&amp;"m")</f>
        <v/>
      </c>
      <c r="J239" s="11">
        <f>IF(OR($F239="",$G239=""),"",ROUND($F239/($G239/100)^2,2))</f>
        <v/>
      </c>
      <c r="K239" s="12">
        <f>IF(OR($S239="",$J239="",$T239="",$T239&lt;0,$T239&gt;228,$Y239=""),"—",ROUND(IF(ABS($AB239)&lt;=3,$AB239,IF($AB239&gt;3,3+($J239-$AD239)/($AD239-$AC239),-3+($J239-$AF239)/($AE239-$AF239))),2))</f>
        <v/>
      </c>
      <c r="L239">
        <f>IF(OR($K239="",$K239="—"),"",IF($T239&lt;=60,IF($K239&lt;-3,"Magreza acentuada",IF($K239&lt;-2,"Magreza",IF($K239&lt;=1,"Eutrofia",IF($K239&lt;=2,"Risco de sobrepeso",IF($K239&lt;=3,"Sobrepeso","Obesidade"))))),IF($K239&lt;-3,"Magreza acentuada",IF($K239&lt;-2,"Magreza",IF($K239&lt;=1,"Eutrofia",IF($K239&lt;=2,"Sobrepeso",IF($K239&lt;=3,"Obesidade","Obesidade grave")))))))</f>
        <v/>
      </c>
      <c r="M239" s="12">
        <f>IF(OR($S239="",$V239="",$T239="",$T239&lt;0,$T239&gt;228,$AG239=""),"—",ROUND(IF($AG239=0,LN($V239/$AH239)/$AI239,((($V239/$AH239)^$AG239)-1)/($AG239*$AI239)),2))</f>
        <v/>
      </c>
      <c r="N239">
        <f>IF(OR($M239="",$M239="—"),"",IF($M239&lt;-3,"Muito baixa",IF($M239&lt;-2,"Baixa","Adequada")))</f>
        <v/>
      </c>
      <c r="O239" s="12">
        <f>IF(OR($S239="",$F239="",$T239="",$T239&lt;0,$T239&gt;120,$AJ239=""),"—",ROUND(IF(ABS($AM239)&lt;=3,$AM239,IF($AM239&gt;3,3+($F239-$AO239)/($AO239-$AN239),-3+($F239-$AQ239)/($AP239-$AQ239))),2))</f>
        <v/>
      </c>
      <c r="P239">
        <f>IF(OR($O239="",$O239="—"),"",IF($O239&lt;-3,"Muito baixo",IF($O239&lt;-2,"Baixo",IF($O239&lt;=2,"Adequado","Elevado"))))</f>
        <v/>
      </c>
      <c r="Q239" s="12">
        <f>IF(OR($S239="",$F239="",$T239="",$T239&lt;0,$T239&gt;60,$AR239=""),"—",ROUND(IF(ABS($AU239)&lt;=3,$AU239,IF($AU239&gt;3,3+($F239-$AW239)/($AW239-$AV239),-3+($F239-$AY239)/($AX239-$AY239))),2))</f>
        <v/>
      </c>
      <c r="R239">
        <f>IF(OR($Q239="",$Q239="—"),"",IF($Q239&lt;-3,"Magreza acentuada",IF($Q239&lt;-2,"Magreza",IF($Q239&lt;=1,"Eutrofia",IF($Q239&lt;=2,"Risco de sobrepeso",IF($Q239&lt;=3,"Sobrepeso","Obesidade"))))))</f>
        <v/>
      </c>
      <c r="S239">
        <f>IF($C239="","",IF(UPPER(LEFT($C239,1))="M",1,IF(UPPER(LEFT($C239,1))="F",2,"")))</f>
        <v/>
      </c>
      <c r="T239">
        <f>IF(OR($D239="",$E239=""),"",DATEDIF($D239,$E239,"m"))</f>
        <v/>
      </c>
      <c r="U239">
        <f>IF(OR($D239="",$E239=""),"",$E239-$D239)</f>
        <v/>
      </c>
      <c r="V239">
        <f>IF(OR($G239="",$T239=""),"",IF($T239&lt;24,IF(LEFT(LOWER($H239),4)="em p",$G239+0.7,$G239),IF(LEFT(LOWER($H239),4)="deit",$G239-0.7,$G239)))</f>
        <v/>
      </c>
      <c r="W239">
        <f>IF(OR($S239="",$T239=""),"",$S239*1000000+IF($T239&lt;=60,$U239,$T239))</f>
        <v/>
      </c>
      <c r="X239">
        <f>IF(OR($S239="",$V239="",$T239&gt;60,$T239=""),"",$S239*1000000+ROUND($V239*10,0))</f>
        <v/>
      </c>
      <c r="Y239">
        <f>IF($W239="","",IFERROR(INDEX(IF($T239&lt;=60,imc05_l,imc519_l),MATCH($W239,IF($T239&lt;=60,imc05_k,imc519_k),1)),""))</f>
        <v/>
      </c>
      <c r="Z239">
        <f>IF($W239="","",IFERROR(INDEX(IF($T239&lt;=60,imc05_m,imc519_m),MATCH($W239,IF($T239&lt;=60,imc05_k,imc519_k),1)),""))</f>
        <v/>
      </c>
      <c r="AA239">
        <f>IF($W239="","",IFERROR(INDEX(IF($T239&lt;=60,imc05_s,imc519_s),MATCH($W239,IF($T239&lt;=60,imc05_k,imc519_k),1)),""))</f>
        <v/>
      </c>
      <c r="AB239">
        <f>IF($Y239="","",IF($Y239=0,LN($J239/$Z239)/$AA239,((($J239/$Z239)^$Y239)-1)/($Y239*$AA239)))</f>
        <v/>
      </c>
      <c r="AC239">
        <f>IF($Y239="","",IF($Y239=0,$Z239*EXP($AA239*2),$Z239*(1+$Y239*$AA239*2)^(1/$Y239)))</f>
        <v/>
      </c>
      <c r="AD239">
        <f>IF($Y239="","",IF($Y239=0,$Z239*EXP($AA239*3),$Z239*(1+$Y239*$AA239*3)^(1/$Y239)))</f>
        <v/>
      </c>
      <c r="AE239">
        <f>IF($Y239="","",IF($Y239=0,$Z239*EXP($AA239*-2),$Z239*(1+$Y239*$AA239*-2)^(1/$Y239)))</f>
        <v/>
      </c>
      <c r="AF239">
        <f>IF($Y239="","",IF($Y239=0,$Z239*EXP($AA239*-3),$Z239*(1+$Y239*$AA239*-3)^(1/$Y239)))</f>
        <v/>
      </c>
      <c r="AG239">
        <f>IF($W239="","",IFERROR(INDEX(IF($T239&lt;=60,est05_l,est519_l),MATCH($W239,IF($T239&lt;=60,est05_k,est519_k),1)),""))</f>
        <v/>
      </c>
      <c r="AH239">
        <f>IF($W239="","",IFERROR(INDEX(IF($T239&lt;=60,est05_m,est519_m),MATCH($W239,IF($T239&lt;=60,est05_k,est519_k),1)),""))</f>
        <v/>
      </c>
      <c r="AI239">
        <f>IF($W239="","",IFERROR(INDEX(IF($T239&lt;=60,est05_s,est519_s),MATCH($W239,IF($T239&lt;=60,est05_k,est519_k),1)),""))</f>
        <v/>
      </c>
      <c r="AJ239">
        <f>IF($W239="","",IFERROR(INDEX(IF($T239&lt;=60,peso05_l,peso510_l),MATCH($W239,IF($T239&lt;=60,peso05_k,peso510_k),1)),""))</f>
        <v/>
      </c>
      <c r="AK239">
        <f>IF($W239="","",IFERROR(INDEX(IF($T239&lt;=60,peso05_m,peso510_m),MATCH($W239,IF($T239&lt;=60,peso05_k,peso510_k),1)),""))</f>
        <v/>
      </c>
      <c r="AL239">
        <f>IF($W239="","",IFERROR(INDEX(IF($T239&lt;=60,peso05_s,peso510_s),MATCH($W239,IF($T239&lt;=60,peso05_k,peso510_k),1)),""))</f>
        <v/>
      </c>
      <c r="AM239">
        <f>IF($AJ239="","",IF($AJ239=0,LN($F239/$AK239)/$AL239,((($F239/$AK239)^$AJ239)-1)/($AJ239*$AL239)))</f>
        <v/>
      </c>
      <c r="AN239">
        <f>IF($AJ239="","",IF($AJ239=0,$AK239*EXP($AL239*2),$AK239*(1+$AJ239*$AL239*2)^(1/$AJ239)))</f>
        <v/>
      </c>
      <c r="AO239">
        <f>IF($AJ239="","",IF($AJ239=0,$AK239*EXP($AL239*3),$AK239*(1+$AJ239*$AL239*3)^(1/$AJ239)))</f>
        <v/>
      </c>
      <c r="AP239">
        <f>IF($AJ239="","",IF($AJ239=0,$AK239*EXP($AL239*-2),$AK239*(1+$AJ239*$AL239*-2)^(1/$AJ239)))</f>
        <v/>
      </c>
      <c r="AQ239">
        <f>IF($AJ239="","",IF($AJ239=0,$AK239*EXP($AL239*-3),$AK239*(1+$AJ239*$AL239*-3)^(1/$AJ239)))</f>
        <v/>
      </c>
      <c r="AR239">
        <f>IF(OR($X239="",$T239&gt;60),"",IFERROR(INDEX(IF($T239&lt;24,pcomp_l,palt_l),MATCH($X239,IF($T239&lt;24,pcomp_k,palt_k),1)),""))</f>
        <v/>
      </c>
      <c r="AS239">
        <f>IF(OR($X239="",$T239&gt;60),"",IFERROR(INDEX(IF($T239&lt;24,pcomp_m,palt_m),MATCH($X239,IF($T239&lt;24,pcomp_k,palt_k),1)),""))</f>
        <v/>
      </c>
      <c r="AT239">
        <f>IF(OR($X239="",$T239&gt;60),"",IFERROR(INDEX(IF($T239&lt;24,pcomp_s,palt_s),MATCH($X239,IF($T239&lt;24,pcomp_k,palt_k),1)),""))</f>
        <v/>
      </c>
      <c r="AU239">
        <f>IF($AR239="","",IF($AR239=0,LN($F239/$AS239)/$AT239,((($F239/$AS239)^$AR239)-1)/($AR239*$AT239)))</f>
        <v/>
      </c>
      <c r="AV239">
        <f>IF($AR239="","",IF($AR239=0,$AS239*EXP($AT239*2),$AS239*(1+$AR239*$AT239*2)^(1/$AR239)))</f>
        <v/>
      </c>
      <c r="AW239">
        <f>IF($AR239="","",IF($AR239=0,$AS239*EXP($AT239*3),$AS239*(1+$AR239*$AT239*3)^(1/$AR239)))</f>
        <v/>
      </c>
      <c r="AX239">
        <f>IF($AR239="","",IF($AR239=0,$AS239*EXP($AT239*-2),$AS239*(1+$AR239*$AT239*-2)^(1/$AR239)))</f>
        <v/>
      </c>
      <c r="AY239">
        <f>IF($AR239="","",IF($AR239=0,$AS239*EXP($AT239*-3),$AS239*(1+$AR239*$AT239*-3)^(1/$AR239)))</f>
        <v/>
      </c>
      <c r="AZ239">
        <f>IF(OR($A239="",$A239&lt;&gt;Ficha!$C$4),"",COUNTIF($A$2:$A239,Ficha!$C$4))</f>
        <v/>
      </c>
    </row>
    <row r="240">
      <c r="A240" s="8">
        <f>IF(INDEX(Banco!$A:$A,ROW())="","",INDEX(Banco!$A:$A,ROW()))</f>
        <v/>
      </c>
      <c r="B240" s="8">
        <f>IF(INDEX(Banco!$B:$B,ROW())="","",INDEX(Banco!$B:$B,ROW()))</f>
        <v/>
      </c>
      <c r="C240" s="8">
        <f>IF(INDEX(Banco!$C:$C,ROW())="","",INDEX(Banco!$C:$C,ROW()))</f>
        <v/>
      </c>
      <c r="D240" s="9">
        <f>IF(INDEX(Banco!$D:$D,ROW())="","",INDEX(Banco!$D:$D,ROW()))</f>
        <v/>
      </c>
      <c r="E240" s="9">
        <f>IF(INDEX(Banco!$E:$E,ROW())="","",INDEX(Banco!$E:$E,ROW()))</f>
        <v/>
      </c>
      <c r="F240" s="10">
        <f>IF(INDEX(Banco!$F:$F,ROW())="","",INDEX(Banco!$F:$F,ROW()))</f>
        <v/>
      </c>
      <c r="G240" s="10">
        <f>IF(INDEX(Banco!$G:$G,ROW())="","",INDEX(Banco!$G:$G,ROW()))</f>
        <v/>
      </c>
      <c r="H240" s="8">
        <f>IF(INDEX(Banco!$H:$H,ROW())="","",INDEX(Banco!$H:$H,ROW()))</f>
        <v/>
      </c>
      <c r="I240">
        <f>IF($T240="","",INT($T240/12)&amp;"a "&amp;MOD($T240,12)&amp;"m")</f>
        <v/>
      </c>
      <c r="J240" s="11">
        <f>IF(OR($F240="",$G240=""),"",ROUND($F240/($G240/100)^2,2))</f>
        <v/>
      </c>
      <c r="K240" s="12">
        <f>IF(OR($S240="",$J240="",$T240="",$T240&lt;0,$T240&gt;228,$Y240=""),"—",ROUND(IF(ABS($AB240)&lt;=3,$AB240,IF($AB240&gt;3,3+($J240-$AD240)/($AD240-$AC240),-3+($J240-$AF240)/($AE240-$AF240))),2))</f>
        <v/>
      </c>
      <c r="L240">
        <f>IF(OR($K240="",$K240="—"),"",IF($T240&lt;=60,IF($K240&lt;-3,"Magreza acentuada",IF($K240&lt;-2,"Magreza",IF($K240&lt;=1,"Eutrofia",IF($K240&lt;=2,"Risco de sobrepeso",IF($K240&lt;=3,"Sobrepeso","Obesidade"))))),IF($K240&lt;-3,"Magreza acentuada",IF($K240&lt;-2,"Magreza",IF($K240&lt;=1,"Eutrofia",IF($K240&lt;=2,"Sobrepeso",IF($K240&lt;=3,"Obesidade","Obesidade grave")))))))</f>
        <v/>
      </c>
      <c r="M240" s="12">
        <f>IF(OR($S240="",$V240="",$T240="",$T240&lt;0,$T240&gt;228,$AG240=""),"—",ROUND(IF($AG240=0,LN($V240/$AH240)/$AI240,((($V240/$AH240)^$AG240)-1)/($AG240*$AI240)),2))</f>
        <v/>
      </c>
      <c r="N240">
        <f>IF(OR($M240="",$M240="—"),"",IF($M240&lt;-3,"Muito baixa",IF($M240&lt;-2,"Baixa","Adequada")))</f>
        <v/>
      </c>
      <c r="O240" s="12">
        <f>IF(OR($S240="",$F240="",$T240="",$T240&lt;0,$T240&gt;120,$AJ240=""),"—",ROUND(IF(ABS($AM240)&lt;=3,$AM240,IF($AM240&gt;3,3+($F240-$AO240)/($AO240-$AN240),-3+($F240-$AQ240)/($AP240-$AQ240))),2))</f>
        <v/>
      </c>
      <c r="P240">
        <f>IF(OR($O240="",$O240="—"),"",IF($O240&lt;-3,"Muito baixo",IF($O240&lt;-2,"Baixo",IF($O240&lt;=2,"Adequado","Elevado"))))</f>
        <v/>
      </c>
      <c r="Q240" s="12">
        <f>IF(OR($S240="",$F240="",$T240="",$T240&lt;0,$T240&gt;60,$AR240=""),"—",ROUND(IF(ABS($AU240)&lt;=3,$AU240,IF($AU240&gt;3,3+($F240-$AW240)/($AW240-$AV240),-3+($F240-$AY240)/($AX240-$AY240))),2))</f>
        <v/>
      </c>
      <c r="R240">
        <f>IF(OR($Q240="",$Q240="—"),"",IF($Q240&lt;-3,"Magreza acentuada",IF($Q240&lt;-2,"Magreza",IF($Q240&lt;=1,"Eutrofia",IF($Q240&lt;=2,"Risco de sobrepeso",IF($Q240&lt;=3,"Sobrepeso","Obesidade"))))))</f>
        <v/>
      </c>
      <c r="S240">
        <f>IF($C240="","",IF(UPPER(LEFT($C240,1))="M",1,IF(UPPER(LEFT($C240,1))="F",2,"")))</f>
        <v/>
      </c>
      <c r="T240">
        <f>IF(OR($D240="",$E240=""),"",DATEDIF($D240,$E240,"m"))</f>
        <v/>
      </c>
      <c r="U240">
        <f>IF(OR($D240="",$E240=""),"",$E240-$D240)</f>
        <v/>
      </c>
      <c r="V240">
        <f>IF(OR($G240="",$T240=""),"",IF($T240&lt;24,IF(LEFT(LOWER($H240),4)="em p",$G240+0.7,$G240),IF(LEFT(LOWER($H240),4)="deit",$G240-0.7,$G240)))</f>
        <v/>
      </c>
      <c r="W240">
        <f>IF(OR($S240="",$T240=""),"",$S240*1000000+IF($T240&lt;=60,$U240,$T240))</f>
        <v/>
      </c>
      <c r="X240">
        <f>IF(OR($S240="",$V240="",$T240&gt;60,$T240=""),"",$S240*1000000+ROUND($V240*10,0))</f>
        <v/>
      </c>
      <c r="Y240">
        <f>IF($W240="","",IFERROR(INDEX(IF($T240&lt;=60,imc05_l,imc519_l),MATCH($W240,IF($T240&lt;=60,imc05_k,imc519_k),1)),""))</f>
        <v/>
      </c>
      <c r="Z240">
        <f>IF($W240="","",IFERROR(INDEX(IF($T240&lt;=60,imc05_m,imc519_m),MATCH($W240,IF($T240&lt;=60,imc05_k,imc519_k),1)),""))</f>
        <v/>
      </c>
      <c r="AA240">
        <f>IF($W240="","",IFERROR(INDEX(IF($T240&lt;=60,imc05_s,imc519_s),MATCH($W240,IF($T240&lt;=60,imc05_k,imc519_k),1)),""))</f>
        <v/>
      </c>
      <c r="AB240">
        <f>IF($Y240="","",IF($Y240=0,LN($J240/$Z240)/$AA240,((($J240/$Z240)^$Y240)-1)/($Y240*$AA240)))</f>
        <v/>
      </c>
      <c r="AC240">
        <f>IF($Y240="","",IF($Y240=0,$Z240*EXP($AA240*2),$Z240*(1+$Y240*$AA240*2)^(1/$Y240)))</f>
        <v/>
      </c>
      <c r="AD240">
        <f>IF($Y240="","",IF($Y240=0,$Z240*EXP($AA240*3),$Z240*(1+$Y240*$AA240*3)^(1/$Y240)))</f>
        <v/>
      </c>
      <c r="AE240">
        <f>IF($Y240="","",IF($Y240=0,$Z240*EXP($AA240*-2),$Z240*(1+$Y240*$AA240*-2)^(1/$Y240)))</f>
        <v/>
      </c>
      <c r="AF240">
        <f>IF($Y240="","",IF($Y240=0,$Z240*EXP($AA240*-3),$Z240*(1+$Y240*$AA240*-3)^(1/$Y240)))</f>
        <v/>
      </c>
      <c r="AG240">
        <f>IF($W240="","",IFERROR(INDEX(IF($T240&lt;=60,est05_l,est519_l),MATCH($W240,IF($T240&lt;=60,est05_k,est519_k),1)),""))</f>
        <v/>
      </c>
      <c r="AH240">
        <f>IF($W240="","",IFERROR(INDEX(IF($T240&lt;=60,est05_m,est519_m),MATCH($W240,IF($T240&lt;=60,est05_k,est519_k),1)),""))</f>
        <v/>
      </c>
      <c r="AI240">
        <f>IF($W240="","",IFERROR(INDEX(IF($T240&lt;=60,est05_s,est519_s),MATCH($W240,IF($T240&lt;=60,est05_k,est519_k),1)),""))</f>
        <v/>
      </c>
      <c r="AJ240">
        <f>IF($W240="","",IFERROR(INDEX(IF($T240&lt;=60,peso05_l,peso510_l),MATCH($W240,IF($T240&lt;=60,peso05_k,peso510_k),1)),""))</f>
        <v/>
      </c>
      <c r="AK240">
        <f>IF($W240="","",IFERROR(INDEX(IF($T240&lt;=60,peso05_m,peso510_m),MATCH($W240,IF($T240&lt;=60,peso05_k,peso510_k),1)),""))</f>
        <v/>
      </c>
      <c r="AL240">
        <f>IF($W240="","",IFERROR(INDEX(IF($T240&lt;=60,peso05_s,peso510_s),MATCH($W240,IF($T240&lt;=60,peso05_k,peso510_k),1)),""))</f>
        <v/>
      </c>
      <c r="AM240">
        <f>IF($AJ240="","",IF($AJ240=0,LN($F240/$AK240)/$AL240,((($F240/$AK240)^$AJ240)-1)/($AJ240*$AL240)))</f>
        <v/>
      </c>
      <c r="AN240">
        <f>IF($AJ240="","",IF($AJ240=0,$AK240*EXP($AL240*2),$AK240*(1+$AJ240*$AL240*2)^(1/$AJ240)))</f>
        <v/>
      </c>
      <c r="AO240">
        <f>IF($AJ240="","",IF($AJ240=0,$AK240*EXP($AL240*3),$AK240*(1+$AJ240*$AL240*3)^(1/$AJ240)))</f>
        <v/>
      </c>
      <c r="AP240">
        <f>IF($AJ240="","",IF($AJ240=0,$AK240*EXP($AL240*-2),$AK240*(1+$AJ240*$AL240*-2)^(1/$AJ240)))</f>
        <v/>
      </c>
      <c r="AQ240">
        <f>IF($AJ240="","",IF($AJ240=0,$AK240*EXP($AL240*-3),$AK240*(1+$AJ240*$AL240*-3)^(1/$AJ240)))</f>
        <v/>
      </c>
      <c r="AR240">
        <f>IF(OR($X240="",$T240&gt;60),"",IFERROR(INDEX(IF($T240&lt;24,pcomp_l,palt_l),MATCH($X240,IF($T240&lt;24,pcomp_k,palt_k),1)),""))</f>
        <v/>
      </c>
      <c r="AS240">
        <f>IF(OR($X240="",$T240&gt;60),"",IFERROR(INDEX(IF($T240&lt;24,pcomp_m,palt_m),MATCH($X240,IF($T240&lt;24,pcomp_k,palt_k),1)),""))</f>
        <v/>
      </c>
      <c r="AT240">
        <f>IF(OR($X240="",$T240&gt;60),"",IFERROR(INDEX(IF($T240&lt;24,pcomp_s,palt_s),MATCH($X240,IF($T240&lt;24,pcomp_k,palt_k),1)),""))</f>
        <v/>
      </c>
      <c r="AU240">
        <f>IF($AR240="","",IF($AR240=0,LN($F240/$AS240)/$AT240,((($F240/$AS240)^$AR240)-1)/($AR240*$AT240)))</f>
        <v/>
      </c>
      <c r="AV240">
        <f>IF($AR240="","",IF($AR240=0,$AS240*EXP($AT240*2),$AS240*(1+$AR240*$AT240*2)^(1/$AR240)))</f>
        <v/>
      </c>
      <c r="AW240">
        <f>IF($AR240="","",IF($AR240=0,$AS240*EXP($AT240*3),$AS240*(1+$AR240*$AT240*3)^(1/$AR240)))</f>
        <v/>
      </c>
      <c r="AX240">
        <f>IF($AR240="","",IF($AR240=0,$AS240*EXP($AT240*-2),$AS240*(1+$AR240*$AT240*-2)^(1/$AR240)))</f>
        <v/>
      </c>
      <c r="AY240">
        <f>IF($AR240="","",IF($AR240=0,$AS240*EXP($AT240*-3),$AS240*(1+$AR240*$AT240*-3)^(1/$AR240)))</f>
        <v/>
      </c>
      <c r="AZ240">
        <f>IF(OR($A240="",$A240&lt;&gt;Ficha!$C$4),"",COUNTIF($A$2:$A240,Ficha!$C$4))</f>
        <v/>
      </c>
    </row>
    <row r="241">
      <c r="A241" s="8">
        <f>IF(INDEX(Banco!$A:$A,ROW())="","",INDEX(Banco!$A:$A,ROW()))</f>
        <v/>
      </c>
      <c r="B241" s="8">
        <f>IF(INDEX(Banco!$B:$B,ROW())="","",INDEX(Banco!$B:$B,ROW()))</f>
        <v/>
      </c>
      <c r="C241" s="8">
        <f>IF(INDEX(Banco!$C:$C,ROW())="","",INDEX(Banco!$C:$C,ROW()))</f>
        <v/>
      </c>
      <c r="D241" s="9">
        <f>IF(INDEX(Banco!$D:$D,ROW())="","",INDEX(Banco!$D:$D,ROW()))</f>
        <v/>
      </c>
      <c r="E241" s="9">
        <f>IF(INDEX(Banco!$E:$E,ROW())="","",INDEX(Banco!$E:$E,ROW()))</f>
        <v/>
      </c>
      <c r="F241" s="10">
        <f>IF(INDEX(Banco!$F:$F,ROW())="","",INDEX(Banco!$F:$F,ROW()))</f>
        <v/>
      </c>
      <c r="G241" s="10">
        <f>IF(INDEX(Banco!$G:$G,ROW())="","",INDEX(Banco!$G:$G,ROW()))</f>
        <v/>
      </c>
      <c r="H241" s="8">
        <f>IF(INDEX(Banco!$H:$H,ROW())="","",INDEX(Banco!$H:$H,ROW()))</f>
        <v/>
      </c>
      <c r="I241">
        <f>IF($T241="","",INT($T241/12)&amp;"a "&amp;MOD($T241,12)&amp;"m")</f>
        <v/>
      </c>
      <c r="J241" s="11">
        <f>IF(OR($F241="",$G241=""),"",ROUND($F241/($G241/100)^2,2))</f>
        <v/>
      </c>
      <c r="K241" s="12">
        <f>IF(OR($S241="",$J241="",$T241="",$T241&lt;0,$T241&gt;228,$Y241=""),"—",ROUND(IF(ABS($AB241)&lt;=3,$AB241,IF($AB241&gt;3,3+($J241-$AD241)/($AD241-$AC241),-3+($J241-$AF241)/($AE241-$AF241))),2))</f>
        <v/>
      </c>
      <c r="L241">
        <f>IF(OR($K241="",$K241="—"),"",IF($T241&lt;=60,IF($K241&lt;-3,"Magreza acentuada",IF($K241&lt;-2,"Magreza",IF($K241&lt;=1,"Eutrofia",IF($K241&lt;=2,"Risco de sobrepeso",IF($K241&lt;=3,"Sobrepeso","Obesidade"))))),IF($K241&lt;-3,"Magreza acentuada",IF($K241&lt;-2,"Magreza",IF($K241&lt;=1,"Eutrofia",IF($K241&lt;=2,"Sobrepeso",IF($K241&lt;=3,"Obesidade","Obesidade grave")))))))</f>
        <v/>
      </c>
      <c r="M241" s="12">
        <f>IF(OR($S241="",$V241="",$T241="",$T241&lt;0,$T241&gt;228,$AG241=""),"—",ROUND(IF($AG241=0,LN($V241/$AH241)/$AI241,((($V241/$AH241)^$AG241)-1)/($AG241*$AI241)),2))</f>
        <v/>
      </c>
      <c r="N241">
        <f>IF(OR($M241="",$M241="—"),"",IF($M241&lt;-3,"Muito baixa",IF($M241&lt;-2,"Baixa","Adequada")))</f>
        <v/>
      </c>
      <c r="O241" s="12">
        <f>IF(OR($S241="",$F241="",$T241="",$T241&lt;0,$T241&gt;120,$AJ241=""),"—",ROUND(IF(ABS($AM241)&lt;=3,$AM241,IF($AM241&gt;3,3+($F241-$AO241)/($AO241-$AN241),-3+($F241-$AQ241)/($AP241-$AQ241))),2))</f>
        <v/>
      </c>
      <c r="P241">
        <f>IF(OR($O241="",$O241="—"),"",IF($O241&lt;-3,"Muito baixo",IF($O241&lt;-2,"Baixo",IF($O241&lt;=2,"Adequado","Elevado"))))</f>
        <v/>
      </c>
      <c r="Q241" s="12">
        <f>IF(OR($S241="",$F241="",$T241="",$T241&lt;0,$T241&gt;60,$AR241=""),"—",ROUND(IF(ABS($AU241)&lt;=3,$AU241,IF($AU241&gt;3,3+($F241-$AW241)/($AW241-$AV241),-3+($F241-$AY241)/($AX241-$AY241))),2))</f>
        <v/>
      </c>
      <c r="R241">
        <f>IF(OR($Q241="",$Q241="—"),"",IF($Q241&lt;-3,"Magreza acentuada",IF($Q241&lt;-2,"Magreza",IF($Q241&lt;=1,"Eutrofia",IF($Q241&lt;=2,"Risco de sobrepeso",IF($Q241&lt;=3,"Sobrepeso","Obesidade"))))))</f>
        <v/>
      </c>
      <c r="S241">
        <f>IF($C241="","",IF(UPPER(LEFT($C241,1))="M",1,IF(UPPER(LEFT($C241,1))="F",2,"")))</f>
        <v/>
      </c>
      <c r="T241">
        <f>IF(OR($D241="",$E241=""),"",DATEDIF($D241,$E241,"m"))</f>
        <v/>
      </c>
      <c r="U241">
        <f>IF(OR($D241="",$E241=""),"",$E241-$D241)</f>
        <v/>
      </c>
      <c r="V241">
        <f>IF(OR($G241="",$T241=""),"",IF($T241&lt;24,IF(LEFT(LOWER($H241),4)="em p",$G241+0.7,$G241),IF(LEFT(LOWER($H241),4)="deit",$G241-0.7,$G241)))</f>
        <v/>
      </c>
      <c r="W241">
        <f>IF(OR($S241="",$T241=""),"",$S241*1000000+IF($T241&lt;=60,$U241,$T241))</f>
        <v/>
      </c>
      <c r="X241">
        <f>IF(OR($S241="",$V241="",$T241&gt;60,$T241=""),"",$S241*1000000+ROUND($V241*10,0))</f>
        <v/>
      </c>
      <c r="Y241">
        <f>IF($W241="","",IFERROR(INDEX(IF($T241&lt;=60,imc05_l,imc519_l),MATCH($W241,IF($T241&lt;=60,imc05_k,imc519_k),1)),""))</f>
        <v/>
      </c>
      <c r="Z241">
        <f>IF($W241="","",IFERROR(INDEX(IF($T241&lt;=60,imc05_m,imc519_m),MATCH($W241,IF($T241&lt;=60,imc05_k,imc519_k),1)),""))</f>
        <v/>
      </c>
      <c r="AA241">
        <f>IF($W241="","",IFERROR(INDEX(IF($T241&lt;=60,imc05_s,imc519_s),MATCH($W241,IF($T241&lt;=60,imc05_k,imc519_k),1)),""))</f>
        <v/>
      </c>
      <c r="AB241">
        <f>IF($Y241="","",IF($Y241=0,LN($J241/$Z241)/$AA241,((($J241/$Z241)^$Y241)-1)/($Y241*$AA241)))</f>
        <v/>
      </c>
      <c r="AC241">
        <f>IF($Y241="","",IF($Y241=0,$Z241*EXP($AA241*2),$Z241*(1+$Y241*$AA241*2)^(1/$Y241)))</f>
        <v/>
      </c>
      <c r="AD241">
        <f>IF($Y241="","",IF($Y241=0,$Z241*EXP($AA241*3),$Z241*(1+$Y241*$AA241*3)^(1/$Y241)))</f>
        <v/>
      </c>
      <c r="AE241">
        <f>IF($Y241="","",IF($Y241=0,$Z241*EXP($AA241*-2),$Z241*(1+$Y241*$AA241*-2)^(1/$Y241)))</f>
        <v/>
      </c>
      <c r="AF241">
        <f>IF($Y241="","",IF($Y241=0,$Z241*EXP($AA241*-3),$Z241*(1+$Y241*$AA241*-3)^(1/$Y241)))</f>
        <v/>
      </c>
      <c r="AG241">
        <f>IF($W241="","",IFERROR(INDEX(IF($T241&lt;=60,est05_l,est519_l),MATCH($W241,IF($T241&lt;=60,est05_k,est519_k),1)),""))</f>
        <v/>
      </c>
      <c r="AH241">
        <f>IF($W241="","",IFERROR(INDEX(IF($T241&lt;=60,est05_m,est519_m),MATCH($W241,IF($T241&lt;=60,est05_k,est519_k),1)),""))</f>
        <v/>
      </c>
      <c r="AI241">
        <f>IF($W241="","",IFERROR(INDEX(IF($T241&lt;=60,est05_s,est519_s),MATCH($W241,IF($T241&lt;=60,est05_k,est519_k),1)),""))</f>
        <v/>
      </c>
      <c r="AJ241">
        <f>IF($W241="","",IFERROR(INDEX(IF($T241&lt;=60,peso05_l,peso510_l),MATCH($W241,IF($T241&lt;=60,peso05_k,peso510_k),1)),""))</f>
        <v/>
      </c>
      <c r="AK241">
        <f>IF($W241="","",IFERROR(INDEX(IF($T241&lt;=60,peso05_m,peso510_m),MATCH($W241,IF($T241&lt;=60,peso05_k,peso510_k),1)),""))</f>
        <v/>
      </c>
      <c r="AL241">
        <f>IF($W241="","",IFERROR(INDEX(IF($T241&lt;=60,peso05_s,peso510_s),MATCH($W241,IF($T241&lt;=60,peso05_k,peso510_k),1)),""))</f>
        <v/>
      </c>
      <c r="AM241">
        <f>IF($AJ241="","",IF($AJ241=0,LN($F241/$AK241)/$AL241,((($F241/$AK241)^$AJ241)-1)/($AJ241*$AL241)))</f>
        <v/>
      </c>
      <c r="AN241">
        <f>IF($AJ241="","",IF($AJ241=0,$AK241*EXP($AL241*2),$AK241*(1+$AJ241*$AL241*2)^(1/$AJ241)))</f>
        <v/>
      </c>
      <c r="AO241">
        <f>IF($AJ241="","",IF($AJ241=0,$AK241*EXP($AL241*3),$AK241*(1+$AJ241*$AL241*3)^(1/$AJ241)))</f>
        <v/>
      </c>
      <c r="AP241">
        <f>IF($AJ241="","",IF($AJ241=0,$AK241*EXP($AL241*-2),$AK241*(1+$AJ241*$AL241*-2)^(1/$AJ241)))</f>
        <v/>
      </c>
      <c r="AQ241">
        <f>IF($AJ241="","",IF($AJ241=0,$AK241*EXP($AL241*-3),$AK241*(1+$AJ241*$AL241*-3)^(1/$AJ241)))</f>
        <v/>
      </c>
      <c r="AR241">
        <f>IF(OR($X241="",$T241&gt;60),"",IFERROR(INDEX(IF($T241&lt;24,pcomp_l,palt_l),MATCH($X241,IF($T241&lt;24,pcomp_k,palt_k),1)),""))</f>
        <v/>
      </c>
      <c r="AS241">
        <f>IF(OR($X241="",$T241&gt;60),"",IFERROR(INDEX(IF($T241&lt;24,pcomp_m,palt_m),MATCH($X241,IF($T241&lt;24,pcomp_k,palt_k),1)),""))</f>
        <v/>
      </c>
      <c r="AT241">
        <f>IF(OR($X241="",$T241&gt;60),"",IFERROR(INDEX(IF($T241&lt;24,pcomp_s,palt_s),MATCH($X241,IF($T241&lt;24,pcomp_k,palt_k),1)),""))</f>
        <v/>
      </c>
      <c r="AU241">
        <f>IF($AR241="","",IF($AR241=0,LN($F241/$AS241)/$AT241,((($F241/$AS241)^$AR241)-1)/($AR241*$AT241)))</f>
        <v/>
      </c>
      <c r="AV241">
        <f>IF($AR241="","",IF($AR241=0,$AS241*EXP($AT241*2),$AS241*(1+$AR241*$AT241*2)^(1/$AR241)))</f>
        <v/>
      </c>
      <c r="AW241">
        <f>IF($AR241="","",IF($AR241=0,$AS241*EXP($AT241*3),$AS241*(1+$AR241*$AT241*3)^(1/$AR241)))</f>
        <v/>
      </c>
      <c r="AX241">
        <f>IF($AR241="","",IF($AR241=0,$AS241*EXP($AT241*-2),$AS241*(1+$AR241*$AT241*-2)^(1/$AR241)))</f>
        <v/>
      </c>
      <c r="AY241">
        <f>IF($AR241="","",IF($AR241=0,$AS241*EXP($AT241*-3),$AS241*(1+$AR241*$AT241*-3)^(1/$AR241)))</f>
        <v/>
      </c>
      <c r="AZ241">
        <f>IF(OR($A241="",$A241&lt;&gt;Ficha!$C$4),"",COUNTIF($A$2:$A241,Ficha!$C$4))</f>
        <v/>
      </c>
    </row>
    <row r="242">
      <c r="A242" s="8">
        <f>IF(INDEX(Banco!$A:$A,ROW())="","",INDEX(Banco!$A:$A,ROW()))</f>
        <v/>
      </c>
      <c r="B242" s="8">
        <f>IF(INDEX(Banco!$B:$B,ROW())="","",INDEX(Banco!$B:$B,ROW()))</f>
        <v/>
      </c>
      <c r="C242" s="8">
        <f>IF(INDEX(Banco!$C:$C,ROW())="","",INDEX(Banco!$C:$C,ROW()))</f>
        <v/>
      </c>
      <c r="D242" s="9">
        <f>IF(INDEX(Banco!$D:$D,ROW())="","",INDEX(Banco!$D:$D,ROW()))</f>
        <v/>
      </c>
      <c r="E242" s="9">
        <f>IF(INDEX(Banco!$E:$E,ROW())="","",INDEX(Banco!$E:$E,ROW()))</f>
        <v/>
      </c>
      <c r="F242" s="10">
        <f>IF(INDEX(Banco!$F:$F,ROW())="","",INDEX(Banco!$F:$F,ROW()))</f>
        <v/>
      </c>
      <c r="G242" s="10">
        <f>IF(INDEX(Banco!$G:$G,ROW())="","",INDEX(Banco!$G:$G,ROW()))</f>
        <v/>
      </c>
      <c r="H242" s="8">
        <f>IF(INDEX(Banco!$H:$H,ROW())="","",INDEX(Banco!$H:$H,ROW()))</f>
        <v/>
      </c>
      <c r="I242">
        <f>IF($T242="","",INT($T242/12)&amp;"a "&amp;MOD($T242,12)&amp;"m")</f>
        <v/>
      </c>
      <c r="J242" s="11">
        <f>IF(OR($F242="",$G242=""),"",ROUND($F242/($G242/100)^2,2))</f>
        <v/>
      </c>
      <c r="K242" s="12">
        <f>IF(OR($S242="",$J242="",$T242="",$T242&lt;0,$T242&gt;228,$Y242=""),"—",ROUND(IF(ABS($AB242)&lt;=3,$AB242,IF($AB242&gt;3,3+($J242-$AD242)/($AD242-$AC242),-3+($J242-$AF242)/($AE242-$AF242))),2))</f>
        <v/>
      </c>
      <c r="L242">
        <f>IF(OR($K242="",$K242="—"),"",IF($T242&lt;=60,IF($K242&lt;-3,"Magreza acentuada",IF($K242&lt;-2,"Magreza",IF($K242&lt;=1,"Eutrofia",IF($K242&lt;=2,"Risco de sobrepeso",IF($K242&lt;=3,"Sobrepeso","Obesidade"))))),IF($K242&lt;-3,"Magreza acentuada",IF($K242&lt;-2,"Magreza",IF($K242&lt;=1,"Eutrofia",IF($K242&lt;=2,"Sobrepeso",IF($K242&lt;=3,"Obesidade","Obesidade grave")))))))</f>
        <v/>
      </c>
      <c r="M242" s="12">
        <f>IF(OR($S242="",$V242="",$T242="",$T242&lt;0,$T242&gt;228,$AG242=""),"—",ROUND(IF($AG242=0,LN($V242/$AH242)/$AI242,((($V242/$AH242)^$AG242)-1)/($AG242*$AI242)),2))</f>
        <v/>
      </c>
      <c r="N242">
        <f>IF(OR($M242="",$M242="—"),"",IF($M242&lt;-3,"Muito baixa",IF($M242&lt;-2,"Baixa","Adequada")))</f>
        <v/>
      </c>
      <c r="O242" s="12">
        <f>IF(OR($S242="",$F242="",$T242="",$T242&lt;0,$T242&gt;120,$AJ242=""),"—",ROUND(IF(ABS($AM242)&lt;=3,$AM242,IF($AM242&gt;3,3+($F242-$AO242)/($AO242-$AN242),-3+($F242-$AQ242)/($AP242-$AQ242))),2))</f>
        <v/>
      </c>
      <c r="P242">
        <f>IF(OR($O242="",$O242="—"),"",IF($O242&lt;-3,"Muito baixo",IF($O242&lt;-2,"Baixo",IF($O242&lt;=2,"Adequado","Elevado"))))</f>
        <v/>
      </c>
      <c r="Q242" s="12">
        <f>IF(OR($S242="",$F242="",$T242="",$T242&lt;0,$T242&gt;60,$AR242=""),"—",ROUND(IF(ABS($AU242)&lt;=3,$AU242,IF($AU242&gt;3,3+($F242-$AW242)/($AW242-$AV242),-3+($F242-$AY242)/($AX242-$AY242))),2))</f>
        <v/>
      </c>
      <c r="R242">
        <f>IF(OR($Q242="",$Q242="—"),"",IF($Q242&lt;-3,"Magreza acentuada",IF($Q242&lt;-2,"Magreza",IF($Q242&lt;=1,"Eutrofia",IF($Q242&lt;=2,"Risco de sobrepeso",IF($Q242&lt;=3,"Sobrepeso","Obesidade"))))))</f>
        <v/>
      </c>
      <c r="S242">
        <f>IF($C242="","",IF(UPPER(LEFT($C242,1))="M",1,IF(UPPER(LEFT($C242,1))="F",2,"")))</f>
        <v/>
      </c>
      <c r="T242">
        <f>IF(OR($D242="",$E242=""),"",DATEDIF($D242,$E242,"m"))</f>
        <v/>
      </c>
      <c r="U242">
        <f>IF(OR($D242="",$E242=""),"",$E242-$D242)</f>
        <v/>
      </c>
      <c r="V242">
        <f>IF(OR($G242="",$T242=""),"",IF($T242&lt;24,IF(LEFT(LOWER($H242),4)="em p",$G242+0.7,$G242),IF(LEFT(LOWER($H242),4)="deit",$G242-0.7,$G242)))</f>
        <v/>
      </c>
      <c r="W242">
        <f>IF(OR($S242="",$T242=""),"",$S242*1000000+IF($T242&lt;=60,$U242,$T242))</f>
        <v/>
      </c>
      <c r="X242">
        <f>IF(OR($S242="",$V242="",$T242&gt;60,$T242=""),"",$S242*1000000+ROUND($V242*10,0))</f>
        <v/>
      </c>
      <c r="Y242">
        <f>IF($W242="","",IFERROR(INDEX(IF($T242&lt;=60,imc05_l,imc519_l),MATCH($W242,IF($T242&lt;=60,imc05_k,imc519_k),1)),""))</f>
        <v/>
      </c>
      <c r="Z242">
        <f>IF($W242="","",IFERROR(INDEX(IF($T242&lt;=60,imc05_m,imc519_m),MATCH($W242,IF($T242&lt;=60,imc05_k,imc519_k),1)),""))</f>
        <v/>
      </c>
      <c r="AA242">
        <f>IF($W242="","",IFERROR(INDEX(IF($T242&lt;=60,imc05_s,imc519_s),MATCH($W242,IF($T242&lt;=60,imc05_k,imc519_k),1)),""))</f>
        <v/>
      </c>
      <c r="AB242">
        <f>IF($Y242="","",IF($Y242=0,LN($J242/$Z242)/$AA242,((($J242/$Z242)^$Y242)-1)/($Y242*$AA242)))</f>
        <v/>
      </c>
      <c r="AC242">
        <f>IF($Y242="","",IF($Y242=0,$Z242*EXP($AA242*2),$Z242*(1+$Y242*$AA242*2)^(1/$Y242)))</f>
        <v/>
      </c>
      <c r="AD242">
        <f>IF($Y242="","",IF($Y242=0,$Z242*EXP($AA242*3),$Z242*(1+$Y242*$AA242*3)^(1/$Y242)))</f>
        <v/>
      </c>
      <c r="AE242">
        <f>IF($Y242="","",IF($Y242=0,$Z242*EXP($AA242*-2),$Z242*(1+$Y242*$AA242*-2)^(1/$Y242)))</f>
        <v/>
      </c>
      <c r="AF242">
        <f>IF($Y242="","",IF($Y242=0,$Z242*EXP($AA242*-3),$Z242*(1+$Y242*$AA242*-3)^(1/$Y242)))</f>
        <v/>
      </c>
      <c r="AG242">
        <f>IF($W242="","",IFERROR(INDEX(IF($T242&lt;=60,est05_l,est519_l),MATCH($W242,IF($T242&lt;=60,est05_k,est519_k),1)),""))</f>
        <v/>
      </c>
      <c r="AH242">
        <f>IF($W242="","",IFERROR(INDEX(IF($T242&lt;=60,est05_m,est519_m),MATCH($W242,IF($T242&lt;=60,est05_k,est519_k),1)),""))</f>
        <v/>
      </c>
      <c r="AI242">
        <f>IF($W242="","",IFERROR(INDEX(IF($T242&lt;=60,est05_s,est519_s),MATCH($W242,IF($T242&lt;=60,est05_k,est519_k),1)),""))</f>
        <v/>
      </c>
      <c r="AJ242">
        <f>IF($W242="","",IFERROR(INDEX(IF($T242&lt;=60,peso05_l,peso510_l),MATCH($W242,IF($T242&lt;=60,peso05_k,peso510_k),1)),""))</f>
        <v/>
      </c>
      <c r="AK242">
        <f>IF($W242="","",IFERROR(INDEX(IF($T242&lt;=60,peso05_m,peso510_m),MATCH($W242,IF($T242&lt;=60,peso05_k,peso510_k),1)),""))</f>
        <v/>
      </c>
      <c r="AL242">
        <f>IF($W242="","",IFERROR(INDEX(IF($T242&lt;=60,peso05_s,peso510_s),MATCH($W242,IF($T242&lt;=60,peso05_k,peso510_k),1)),""))</f>
        <v/>
      </c>
      <c r="AM242">
        <f>IF($AJ242="","",IF($AJ242=0,LN($F242/$AK242)/$AL242,((($F242/$AK242)^$AJ242)-1)/($AJ242*$AL242)))</f>
        <v/>
      </c>
      <c r="AN242">
        <f>IF($AJ242="","",IF($AJ242=0,$AK242*EXP($AL242*2),$AK242*(1+$AJ242*$AL242*2)^(1/$AJ242)))</f>
        <v/>
      </c>
      <c r="AO242">
        <f>IF($AJ242="","",IF($AJ242=0,$AK242*EXP($AL242*3),$AK242*(1+$AJ242*$AL242*3)^(1/$AJ242)))</f>
        <v/>
      </c>
      <c r="AP242">
        <f>IF($AJ242="","",IF($AJ242=0,$AK242*EXP($AL242*-2),$AK242*(1+$AJ242*$AL242*-2)^(1/$AJ242)))</f>
        <v/>
      </c>
      <c r="AQ242">
        <f>IF($AJ242="","",IF($AJ242=0,$AK242*EXP($AL242*-3),$AK242*(1+$AJ242*$AL242*-3)^(1/$AJ242)))</f>
        <v/>
      </c>
      <c r="AR242">
        <f>IF(OR($X242="",$T242&gt;60),"",IFERROR(INDEX(IF($T242&lt;24,pcomp_l,palt_l),MATCH($X242,IF($T242&lt;24,pcomp_k,palt_k),1)),""))</f>
        <v/>
      </c>
      <c r="AS242">
        <f>IF(OR($X242="",$T242&gt;60),"",IFERROR(INDEX(IF($T242&lt;24,pcomp_m,palt_m),MATCH($X242,IF($T242&lt;24,pcomp_k,palt_k),1)),""))</f>
        <v/>
      </c>
      <c r="AT242">
        <f>IF(OR($X242="",$T242&gt;60),"",IFERROR(INDEX(IF($T242&lt;24,pcomp_s,palt_s),MATCH($X242,IF($T242&lt;24,pcomp_k,palt_k),1)),""))</f>
        <v/>
      </c>
      <c r="AU242">
        <f>IF($AR242="","",IF($AR242=0,LN($F242/$AS242)/$AT242,((($F242/$AS242)^$AR242)-1)/($AR242*$AT242)))</f>
        <v/>
      </c>
      <c r="AV242">
        <f>IF($AR242="","",IF($AR242=0,$AS242*EXP($AT242*2),$AS242*(1+$AR242*$AT242*2)^(1/$AR242)))</f>
        <v/>
      </c>
      <c r="AW242">
        <f>IF($AR242="","",IF($AR242=0,$AS242*EXP($AT242*3),$AS242*(1+$AR242*$AT242*3)^(1/$AR242)))</f>
        <v/>
      </c>
      <c r="AX242">
        <f>IF($AR242="","",IF($AR242=0,$AS242*EXP($AT242*-2),$AS242*(1+$AR242*$AT242*-2)^(1/$AR242)))</f>
        <v/>
      </c>
      <c r="AY242">
        <f>IF($AR242="","",IF($AR242=0,$AS242*EXP($AT242*-3),$AS242*(1+$AR242*$AT242*-3)^(1/$AR242)))</f>
        <v/>
      </c>
      <c r="AZ242">
        <f>IF(OR($A242="",$A242&lt;&gt;Ficha!$C$4),"",COUNTIF($A$2:$A242,Ficha!$C$4))</f>
        <v/>
      </c>
    </row>
    <row r="243">
      <c r="A243" s="8">
        <f>IF(INDEX(Banco!$A:$A,ROW())="","",INDEX(Banco!$A:$A,ROW()))</f>
        <v/>
      </c>
      <c r="B243" s="8">
        <f>IF(INDEX(Banco!$B:$B,ROW())="","",INDEX(Banco!$B:$B,ROW()))</f>
        <v/>
      </c>
      <c r="C243" s="8">
        <f>IF(INDEX(Banco!$C:$C,ROW())="","",INDEX(Banco!$C:$C,ROW()))</f>
        <v/>
      </c>
      <c r="D243" s="9">
        <f>IF(INDEX(Banco!$D:$D,ROW())="","",INDEX(Banco!$D:$D,ROW()))</f>
        <v/>
      </c>
      <c r="E243" s="9">
        <f>IF(INDEX(Banco!$E:$E,ROW())="","",INDEX(Banco!$E:$E,ROW()))</f>
        <v/>
      </c>
      <c r="F243" s="10">
        <f>IF(INDEX(Banco!$F:$F,ROW())="","",INDEX(Banco!$F:$F,ROW()))</f>
        <v/>
      </c>
      <c r="G243" s="10">
        <f>IF(INDEX(Banco!$G:$G,ROW())="","",INDEX(Banco!$G:$G,ROW()))</f>
        <v/>
      </c>
      <c r="H243" s="8">
        <f>IF(INDEX(Banco!$H:$H,ROW())="","",INDEX(Banco!$H:$H,ROW()))</f>
        <v/>
      </c>
      <c r="I243">
        <f>IF($T243="","",INT($T243/12)&amp;"a "&amp;MOD($T243,12)&amp;"m")</f>
        <v/>
      </c>
      <c r="J243" s="11">
        <f>IF(OR($F243="",$G243=""),"",ROUND($F243/($G243/100)^2,2))</f>
        <v/>
      </c>
      <c r="K243" s="12">
        <f>IF(OR($S243="",$J243="",$T243="",$T243&lt;0,$T243&gt;228,$Y243=""),"—",ROUND(IF(ABS($AB243)&lt;=3,$AB243,IF($AB243&gt;3,3+($J243-$AD243)/($AD243-$AC243),-3+($J243-$AF243)/($AE243-$AF243))),2))</f>
        <v/>
      </c>
      <c r="L243">
        <f>IF(OR($K243="",$K243="—"),"",IF($T243&lt;=60,IF($K243&lt;-3,"Magreza acentuada",IF($K243&lt;-2,"Magreza",IF($K243&lt;=1,"Eutrofia",IF($K243&lt;=2,"Risco de sobrepeso",IF($K243&lt;=3,"Sobrepeso","Obesidade"))))),IF($K243&lt;-3,"Magreza acentuada",IF($K243&lt;-2,"Magreza",IF($K243&lt;=1,"Eutrofia",IF($K243&lt;=2,"Sobrepeso",IF($K243&lt;=3,"Obesidade","Obesidade grave")))))))</f>
        <v/>
      </c>
      <c r="M243" s="12">
        <f>IF(OR($S243="",$V243="",$T243="",$T243&lt;0,$T243&gt;228,$AG243=""),"—",ROUND(IF($AG243=0,LN($V243/$AH243)/$AI243,((($V243/$AH243)^$AG243)-1)/($AG243*$AI243)),2))</f>
        <v/>
      </c>
      <c r="N243">
        <f>IF(OR($M243="",$M243="—"),"",IF($M243&lt;-3,"Muito baixa",IF($M243&lt;-2,"Baixa","Adequada")))</f>
        <v/>
      </c>
      <c r="O243" s="12">
        <f>IF(OR($S243="",$F243="",$T243="",$T243&lt;0,$T243&gt;120,$AJ243=""),"—",ROUND(IF(ABS($AM243)&lt;=3,$AM243,IF($AM243&gt;3,3+($F243-$AO243)/($AO243-$AN243),-3+($F243-$AQ243)/($AP243-$AQ243))),2))</f>
        <v/>
      </c>
      <c r="P243">
        <f>IF(OR($O243="",$O243="—"),"",IF($O243&lt;-3,"Muito baixo",IF($O243&lt;-2,"Baixo",IF($O243&lt;=2,"Adequado","Elevado"))))</f>
        <v/>
      </c>
      <c r="Q243" s="12">
        <f>IF(OR($S243="",$F243="",$T243="",$T243&lt;0,$T243&gt;60,$AR243=""),"—",ROUND(IF(ABS($AU243)&lt;=3,$AU243,IF($AU243&gt;3,3+($F243-$AW243)/($AW243-$AV243),-3+($F243-$AY243)/($AX243-$AY243))),2))</f>
        <v/>
      </c>
      <c r="R243">
        <f>IF(OR($Q243="",$Q243="—"),"",IF($Q243&lt;-3,"Magreza acentuada",IF($Q243&lt;-2,"Magreza",IF($Q243&lt;=1,"Eutrofia",IF($Q243&lt;=2,"Risco de sobrepeso",IF($Q243&lt;=3,"Sobrepeso","Obesidade"))))))</f>
        <v/>
      </c>
      <c r="S243">
        <f>IF($C243="","",IF(UPPER(LEFT($C243,1))="M",1,IF(UPPER(LEFT($C243,1))="F",2,"")))</f>
        <v/>
      </c>
      <c r="T243">
        <f>IF(OR($D243="",$E243=""),"",DATEDIF($D243,$E243,"m"))</f>
        <v/>
      </c>
      <c r="U243">
        <f>IF(OR($D243="",$E243=""),"",$E243-$D243)</f>
        <v/>
      </c>
      <c r="V243">
        <f>IF(OR($G243="",$T243=""),"",IF($T243&lt;24,IF(LEFT(LOWER($H243),4)="em p",$G243+0.7,$G243),IF(LEFT(LOWER($H243),4)="deit",$G243-0.7,$G243)))</f>
        <v/>
      </c>
      <c r="W243">
        <f>IF(OR($S243="",$T243=""),"",$S243*1000000+IF($T243&lt;=60,$U243,$T243))</f>
        <v/>
      </c>
      <c r="X243">
        <f>IF(OR($S243="",$V243="",$T243&gt;60,$T243=""),"",$S243*1000000+ROUND($V243*10,0))</f>
        <v/>
      </c>
      <c r="Y243">
        <f>IF($W243="","",IFERROR(INDEX(IF($T243&lt;=60,imc05_l,imc519_l),MATCH($W243,IF($T243&lt;=60,imc05_k,imc519_k),1)),""))</f>
        <v/>
      </c>
      <c r="Z243">
        <f>IF($W243="","",IFERROR(INDEX(IF($T243&lt;=60,imc05_m,imc519_m),MATCH($W243,IF($T243&lt;=60,imc05_k,imc519_k),1)),""))</f>
        <v/>
      </c>
      <c r="AA243">
        <f>IF($W243="","",IFERROR(INDEX(IF($T243&lt;=60,imc05_s,imc519_s),MATCH($W243,IF($T243&lt;=60,imc05_k,imc519_k),1)),""))</f>
        <v/>
      </c>
      <c r="AB243">
        <f>IF($Y243="","",IF($Y243=0,LN($J243/$Z243)/$AA243,((($J243/$Z243)^$Y243)-1)/($Y243*$AA243)))</f>
        <v/>
      </c>
      <c r="AC243">
        <f>IF($Y243="","",IF($Y243=0,$Z243*EXP($AA243*2),$Z243*(1+$Y243*$AA243*2)^(1/$Y243)))</f>
        <v/>
      </c>
      <c r="AD243">
        <f>IF($Y243="","",IF($Y243=0,$Z243*EXP($AA243*3),$Z243*(1+$Y243*$AA243*3)^(1/$Y243)))</f>
        <v/>
      </c>
      <c r="AE243">
        <f>IF($Y243="","",IF($Y243=0,$Z243*EXP($AA243*-2),$Z243*(1+$Y243*$AA243*-2)^(1/$Y243)))</f>
        <v/>
      </c>
      <c r="AF243">
        <f>IF($Y243="","",IF($Y243=0,$Z243*EXP($AA243*-3),$Z243*(1+$Y243*$AA243*-3)^(1/$Y243)))</f>
        <v/>
      </c>
      <c r="AG243">
        <f>IF($W243="","",IFERROR(INDEX(IF($T243&lt;=60,est05_l,est519_l),MATCH($W243,IF($T243&lt;=60,est05_k,est519_k),1)),""))</f>
        <v/>
      </c>
      <c r="AH243">
        <f>IF($W243="","",IFERROR(INDEX(IF($T243&lt;=60,est05_m,est519_m),MATCH($W243,IF($T243&lt;=60,est05_k,est519_k),1)),""))</f>
        <v/>
      </c>
      <c r="AI243">
        <f>IF($W243="","",IFERROR(INDEX(IF($T243&lt;=60,est05_s,est519_s),MATCH($W243,IF($T243&lt;=60,est05_k,est519_k),1)),""))</f>
        <v/>
      </c>
      <c r="AJ243">
        <f>IF($W243="","",IFERROR(INDEX(IF($T243&lt;=60,peso05_l,peso510_l),MATCH($W243,IF($T243&lt;=60,peso05_k,peso510_k),1)),""))</f>
        <v/>
      </c>
      <c r="AK243">
        <f>IF($W243="","",IFERROR(INDEX(IF($T243&lt;=60,peso05_m,peso510_m),MATCH($W243,IF($T243&lt;=60,peso05_k,peso510_k),1)),""))</f>
        <v/>
      </c>
      <c r="AL243">
        <f>IF($W243="","",IFERROR(INDEX(IF($T243&lt;=60,peso05_s,peso510_s),MATCH($W243,IF($T243&lt;=60,peso05_k,peso510_k),1)),""))</f>
        <v/>
      </c>
      <c r="AM243">
        <f>IF($AJ243="","",IF($AJ243=0,LN($F243/$AK243)/$AL243,((($F243/$AK243)^$AJ243)-1)/($AJ243*$AL243)))</f>
        <v/>
      </c>
      <c r="AN243">
        <f>IF($AJ243="","",IF($AJ243=0,$AK243*EXP($AL243*2),$AK243*(1+$AJ243*$AL243*2)^(1/$AJ243)))</f>
        <v/>
      </c>
      <c r="AO243">
        <f>IF($AJ243="","",IF($AJ243=0,$AK243*EXP($AL243*3),$AK243*(1+$AJ243*$AL243*3)^(1/$AJ243)))</f>
        <v/>
      </c>
      <c r="AP243">
        <f>IF($AJ243="","",IF($AJ243=0,$AK243*EXP($AL243*-2),$AK243*(1+$AJ243*$AL243*-2)^(1/$AJ243)))</f>
        <v/>
      </c>
      <c r="AQ243">
        <f>IF($AJ243="","",IF($AJ243=0,$AK243*EXP($AL243*-3),$AK243*(1+$AJ243*$AL243*-3)^(1/$AJ243)))</f>
        <v/>
      </c>
      <c r="AR243">
        <f>IF(OR($X243="",$T243&gt;60),"",IFERROR(INDEX(IF($T243&lt;24,pcomp_l,palt_l),MATCH($X243,IF($T243&lt;24,pcomp_k,palt_k),1)),""))</f>
        <v/>
      </c>
      <c r="AS243">
        <f>IF(OR($X243="",$T243&gt;60),"",IFERROR(INDEX(IF($T243&lt;24,pcomp_m,palt_m),MATCH($X243,IF($T243&lt;24,pcomp_k,palt_k),1)),""))</f>
        <v/>
      </c>
      <c r="AT243">
        <f>IF(OR($X243="",$T243&gt;60),"",IFERROR(INDEX(IF($T243&lt;24,pcomp_s,palt_s),MATCH($X243,IF($T243&lt;24,pcomp_k,palt_k),1)),""))</f>
        <v/>
      </c>
      <c r="AU243">
        <f>IF($AR243="","",IF($AR243=0,LN($F243/$AS243)/$AT243,((($F243/$AS243)^$AR243)-1)/($AR243*$AT243)))</f>
        <v/>
      </c>
      <c r="AV243">
        <f>IF($AR243="","",IF($AR243=0,$AS243*EXP($AT243*2),$AS243*(1+$AR243*$AT243*2)^(1/$AR243)))</f>
        <v/>
      </c>
      <c r="AW243">
        <f>IF($AR243="","",IF($AR243=0,$AS243*EXP($AT243*3),$AS243*(1+$AR243*$AT243*3)^(1/$AR243)))</f>
        <v/>
      </c>
      <c r="AX243">
        <f>IF($AR243="","",IF($AR243=0,$AS243*EXP($AT243*-2),$AS243*(1+$AR243*$AT243*-2)^(1/$AR243)))</f>
        <v/>
      </c>
      <c r="AY243">
        <f>IF($AR243="","",IF($AR243=0,$AS243*EXP($AT243*-3),$AS243*(1+$AR243*$AT243*-3)^(1/$AR243)))</f>
        <v/>
      </c>
      <c r="AZ243">
        <f>IF(OR($A243="",$A243&lt;&gt;Ficha!$C$4),"",COUNTIF($A$2:$A243,Ficha!$C$4))</f>
        <v/>
      </c>
    </row>
    <row r="244">
      <c r="A244" s="8">
        <f>IF(INDEX(Banco!$A:$A,ROW())="","",INDEX(Banco!$A:$A,ROW()))</f>
        <v/>
      </c>
      <c r="B244" s="8">
        <f>IF(INDEX(Banco!$B:$B,ROW())="","",INDEX(Banco!$B:$B,ROW()))</f>
        <v/>
      </c>
      <c r="C244" s="8">
        <f>IF(INDEX(Banco!$C:$C,ROW())="","",INDEX(Banco!$C:$C,ROW()))</f>
        <v/>
      </c>
      <c r="D244" s="9">
        <f>IF(INDEX(Banco!$D:$D,ROW())="","",INDEX(Banco!$D:$D,ROW()))</f>
        <v/>
      </c>
      <c r="E244" s="9">
        <f>IF(INDEX(Banco!$E:$E,ROW())="","",INDEX(Banco!$E:$E,ROW()))</f>
        <v/>
      </c>
      <c r="F244" s="10">
        <f>IF(INDEX(Banco!$F:$F,ROW())="","",INDEX(Banco!$F:$F,ROW()))</f>
        <v/>
      </c>
      <c r="G244" s="10">
        <f>IF(INDEX(Banco!$G:$G,ROW())="","",INDEX(Banco!$G:$G,ROW()))</f>
        <v/>
      </c>
      <c r="H244" s="8">
        <f>IF(INDEX(Banco!$H:$H,ROW())="","",INDEX(Banco!$H:$H,ROW()))</f>
        <v/>
      </c>
      <c r="I244">
        <f>IF($T244="","",INT($T244/12)&amp;"a "&amp;MOD($T244,12)&amp;"m")</f>
        <v/>
      </c>
      <c r="J244" s="11">
        <f>IF(OR($F244="",$G244=""),"",ROUND($F244/($G244/100)^2,2))</f>
        <v/>
      </c>
      <c r="K244" s="12">
        <f>IF(OR($S244="",$J244="",$T244="",$T244&lt;0,$T244&gt;228,$Y244=""),"—",ROUND(IF(ABS($AB244)&lt;=3,$AB244,IF($AB244&gt;3,3+($J244-$AD244)/($AD244-$AC244),-3+($J244-$AF244)/($AE244-$AF244))),2))</f>
        <v/>
      </c>
      <c r="L244">
        <f>IF(OR($K244="",$K244="—"),"",IF($T244&lt;=60,IF($K244&lt;-3,"Magreza acentuada",IF($K244&lt;-2,"Magreza",IF($K244&lt;=1,"Eutrofia",IF($K244&lt;=2,"Risco de sobrepeso",IF($K244&lt;=3,"Sobrepeso","Obesidade"))))),IF($K244&lt;-3,"Magreza acentuada",IF($K244&lt;-2,"Magreza",IF($K244&lt;=1,"Eutrofia",IF($K244&lt;=2,"Sobrepeso",IF($K244&lt;=3,"Obesidade","Obesidade grave")))))))</f>
        <v/>
      </c>
      <c r="M244" s="12">
        <f>IF(OR($S244="",$V244="",$T244="",$T244&lt;0,$T244&gt;228,$AG244=""),"—",ROUND(IF($AG244=0,LN($V244/$AH244)/$AI244,((($V244/$AH244)^$AG244)-1)/($AG244*$AI244)),2))</f>
        <v/>
      </c>
      <c r="N244">
        <f>IF(OR($M244="",$M244="—"),"",IF($M244&lt;-3,"Muito baixa",IF($M244&lt;-2,"Baixa","Adequada")))</f>
        <v/>
      </c>
      <c r="O244" s="12">
        <f>IF(OR($S244="",$F244="",$T244="",$T244&lt;0,$T244&gt;120,$AJ244=""),"—",ROUND(IF(ABS($AM244)&lt;=3,$AM244,IF($AM244&gt;3,3+($F244-$AO244)/($AO244-$AN244),-3+($F244-$AQ244)/($AP244-$AQ244))),2))</f>
        <v/>
      </c>
      <c r="P244">
        <f>IF(OR($O244="",$O244="—"),"",IF($O244&lt;-3,"Muito baixo",IF($O244&lt;-2,"Baixo",IF($O244&lt;=2,"Adequado","Elevado"))))</f>
        <v/>
      </c>
      <c r="Q244" s="12">
        <f>IF(OR($S244="",$F244="",$T244="",$T244&lt;0,$T244&gt;60,$AR244=""),"—",ROUND(IF(ABS($AU244)&lt;=3,$AU244,IF($AU244&gt;3,3+($F244-$AW244)/($AW244-$AV244),-3+($F244-$AY244)/($AX244-$AY244))),2))</f>
        <v/>
      </c>
      <c r="R244">
        <f>IF(OR($Q244="",$Q244="—"),"",IF($Q244&lt;-3,"Magreza acentuada",IF($Q244&lt;-2,"Magreza",IF($Q244&lt;=1,"Eutrofia",IF($Q244&lt;=2,"Risco de sobrepeso",IF($Q244&lt;=3,"Sobrepeso","Obesidade"))))))</f>
        <v/>
      </c>
      <c r="S244">
        <f>IF($C244="","",IF(UPPER(LEFT($C244,1))="M",1,IF(UPPER(LEFT($C244,1))="F",2,"")))</f>
        <v/>
      </c>
      <c r="T244">
        <f>IF(OR($D244="",$E244=""),"",DATEDIF($D244,$E244,"m"))</f>
        <v/>
      </c>
      <c r="U244">
        <f>IF(OR($D244="",$E244=""),"",$E244-$D244)</f>
        <v/>
      </c>
      <c r="V244">
        <f>IF(OR($G244="",$T244=""),"",IF($T244&lt;24,IF(LEFT(LOWER($H244),4)="em p",$G244+0.7,$G244),IF(LEFT(LOWER($H244),4)="deit",$G244-0.7,$G244)))</f>
        <v/>
      </c>
      <c r="W244">
        <f>IF(OR($S244="",$T244=""),"",$S244*1000000+IF($T244&lt;=60,$U244,$T244))</f>
        <v/>
      </c>
      <c r="X244">
        <f>IF(OR($S244="",$V244="",$T244&gt;60,$T244=""),"",$S244*1000000+ROUND($V244*10,0))</f>
        <v/>
      </c>
      <c r="Y244">
        <f>IF($W244="","",IFERROR(INDEX(IF($T244&lt;=60,imc05_l,imc519_l),MATCH($W244,IF($T244&lt;=60,imc05_k,imc519_k),1)),""))</f>
        <v/>
      </c>
      <c r="Z244">
        <f>IF($W244="","",IFERROR(INDEX(IF($T244&lt;=60,imc05_m,imc519_m),MATCH($W244,IF($T244&lt;=60,imc05_k,imc519_k),1)),""))</f>
        <v/>
      </c>
      <c r="AA244">
        <f>IF($W244="","",IFERROR(INDEX(IF($T244&lt;=60,imc05_s,imc519_s),MATCH($W244,IF($T244&lt;=60,imc05_k,imc519_k),1)),""))</f>
        <v/>
      </c>
      <c r="AB244">
        <f>IF($Y244="","",IF($Y244=0,LN($J244/$Z244)/$AA244,((($J244/$Z244)^$Y244)-1)/($Y244*$AA244)))</f>
        <v/>
      </c>
      <c r="AC244">
        <f>IF($Y244="","",IF($Y244=0,$Z244*EXP($AA244*2),$Z244*(1+$Y244*$AA244*2)^(1/$Y244)))</f>
        <v/>
      </c>
      <c r="AD244">
        <f>IF($Y244="","",IF($Y244=0,$Z244*EXP($AA244*3),$Z244*(1+$Y244*$AA244*3)^(1/$Y244)))</f>
        <v/>
      </c>
      <c r="AE244">
        <f>IF($Y244="","",IF($Y244=0,$Z244*EXP($AA244*-2),$Z244*(1+$Y244*$AA244*-2)^(1/$Y244)))</f>
        <v/>
      </c>
      <c r="AF244">
        <f>IF($Y244="","",IF($Y244=0,$Z244*EXP($AA244*-3),$Z244*(1+$Y244*$AA244*-3)^(1/$Y244)))</f>
        <v/>
      </c>
      <c r="AG244">
        <f>IF($W244="","",IFERROR(INDEX(IF($T244&lt;=60,est05_l,est519_l),MATCH($W244,IF($T244&lt;=60,est05_k,est519_k),1)),""))</f>
        <v/>
      </c>
      <c r="AH244">
        <f>IF($W244="","",IFERROR(INDEX(IF($T244&lt;=60,est05_m,est519_m),MATCH($W244,IF($T244&lt;=60,est05_k,est519_k),1)),""))</f>
        <v/>
      </c>
      <c r="AI244">
        <f>IF($W244="","",IFERROR(INDEX(IF($T244&lt;=60,est05_s,est519_s),MATCH($W244,IF($T244&lt;=60,est05_k,est519_k),1)),""))</f>
        <v/>
      </c>
      <c r="AJ244">
        <f>IF($W244="","",IFERROR(INDEX(IF($T244&lt;=60,peso05_l,peso510_l),MATCH($W244,IF($T244&lt;=60,peso05_k,peso510_k),1)),""))</f>
        <v/>
      </c>
      <c r="AK244">
        <f>IF($W244="","",IFERROR(INDEX(IF($T244&lt;=60,peso05_m,peso510_m),MATCH($W244,IF($T244&lt;=60,peso05_k,peso510_k),1)),""))</f>
        <v/>
      </c>
      <c r="AL244">
        <f>IF($W244="","",IFERROR(INDEX(IF($T244&lt;=60,peso05_s,peso510_s),MATCH($W244,IF($T244&lt;=60,peso05_k,peso510_k),1)),""))</f>
        <v/>
      </c>
      <c r="AM244">
        <f>IF($AJ244="","",IF($AJ244=0,LN($F244/$AK244)/$AL244,((($F244/$AK244)^$AJ244)-1)/($AJ244*$AL244)))</f>
        <v/>
      </c>
      <c r="AN244">
        <f>IF($AJ244="","",IF($AJ244=0,$AK244*EXP($AL244*2),$AK244*(1+$AJ244*$AL244*2)^(1/$AJ244)))</f>
        <v/>
      </c>
      <c r="AO244">
        <f>IF($AJ244="","",IF($AJ244=0,$AK244*EXP($AL244*3),$AK244*(1+$AJ244*$AL244*3)^(1/$AJ244)))</f>
        <v/>
      </c>
      <c r="AP244">
        <f>IF($AJ244="","",IF($AJ244=0,$AK244*EXP($AL244*-2),$AK244*(1+$AJ244*$AL244*-2)^(1/$AJ244)))</f>
        <v/>
      </c>
      <c r="AQ244">
        <f>IF($AJ244="","",IF($AJ244=0,$AK244*EXP($AL244*-3),$AK244*(1+$AJ244*$AL244*-3)^(1/$AJ244)))</f>
        <v/>
      </c>
      <c r="AR244">
        <f>IF(OR($X244="",$T244&gt;60),"",IFERROR(INDEX(IF($T244&lt;24,pcomp_l,palt_l),MATCH($X244,IF($T244&lt;24,pcomp_k,palt_k),1)),""))</f>
        <v/>
      </c>
      <c r="AS244">
        <f>IF(OR($X244="",$T244&gt;60),"",IFERROR(INDEX(IF($T244&lt;24,pcomp_m,palt_m),MATCH($X244,IF($T244&lt;24,pcomp_k,palt_k),1)),""))</f>
        <v/>
      </c>
      <c r="AT244">
        <f>IF(OR($X244="",$T244&gt;60),"",IFERROR(INDEX(IF($T244&lt;24,pcomp_s,palt_s),MATCH($X244,IF($T244&lt;24,pcomp_k,palt_k),1)),""))</f>
        <v/>
      </c>
      <c r="AU244">
        <f>IF($AR244="","",IF($AR244=0,LN($F244/$AS244)/$AT244,((($F244/$AS244)^$AR244)-1)/($AR244*$AT244)))</f>
        <v/>
      </c>
      <c r="AV244">
        <f>IF($AR244="","",IF($AR244=0,$AS244*EXP($AT244*2),$AS244*(1+$AR244*$AT244*2)^(1/$AR244)))</f>
        <v/>
      </c>
      <c r="AW244">
        <f>IF($AR244="","",IF($AR244=0,$AS244*EXP($AT244*3),$AS244*(1+$AR244*$AT244*3)^(1/$AR244)))</f>
        <v/>
      </c>
      <c r="AX244">
        <f>IF($AR244="","",IF($AR244=0,$AS244*EXP($AT244*-2),$AS244*(1+$AR244*$AT244*-2)^(1/$AR244)))</f>
        <v/>
      </c>
      <c r="AY244">
        <f>IF($AR244="","",IF($AR244=0,$AS244*EXP($AT244*-3),$AS244*(1+$AR244*$AT244*-3)^(1/$AR244)))</f>
        <v/>
      </c>
      <c r="AZ244">
        <f>IF(OR($A244="",$A244&lt;&gt;Ficha!$C$4),"",COUNTIF($A$2:$A244,Ficha!$C$4))</f>
        <v/>
      </c>
    </row>
    <row r="245">
      <c r="A245" s="8">
        <f>IF(INDEX(Banco!$A:$A,ROW())="","",INDEX(Banco!$A:$A,ROW()))</f>
        <v/>
      </c>
      <c r="B245" s="8">
        <f>IF(INDEX(Banco!$B:$B,ROW())="","",INDEX(Banco!$B:$B,ROW()))</f>
        <v/>
      </c>
      <c r="C245" s="8">
        <f>IF(INDEX(Banco!$C:$C,ROW())="","",INDEX(Banco!$C:$C,ROW()))</f>
        <v/>
      </c>
      <c r="D245" s="9">
        <f>IF(INDEX(Banco!$D:$D,ROW())="","",INDEX(Banco!$D:$D,ROW()))</f>
        <v/>
      </c>
      <c r="E245" s="9">
        <f>IF(INDEX(Banco!$E:$E,ROW())="","",INDEX(Banco!$E:$E,ROW()))</f>
        <v/>
      </c>
      <c r="F245" s="10">
        <f>IF(INDEX(Banco!$F:$F,ROW())="","",INDEX(Banco!$F:$F,ROW()))</f>
        <v/>
      </c>
      <c r="G245" s="10">
        <f>IF(INDEX(Banco!$G:$G,ROW())="","",INDEX(Banco!$G:$G,ROW()))</f>
        <v/>
      </c>
      <c r="H245" s="8">
        <f>IF(INDEX(Banco!$H:$H,ROW())="","",INDEX(Banco!$H:$H,ROW()))</f>
        <v/>
      </c>
      <c r="I245">
        <f>IF($T245="","",INT($T245/12)&amp;"a "&amp;MOD($T245,12)&amp;"m")</f>
        <v/>
      </c>
      <c r="J245" s="11">
        <f>IF(OR($F245="",$G245=""),"",ROUND($F245/($G245/100)^2,2))</f>
        <v/>
      </c>
      <c r="K245" s="12">
        <f>IF(OR($S245="",$J245="",$T245="",$T245&lt;0,$T245&gt;228,$Y245=""),"—",ROUND(IF(ABS($AB245)&lt;=3,$AB245,IF($AB245&gt;3,3+($J245-$AD245)/($AD245-$AC245),-3+($J245-$AF245)/($AE245-$AF245))),2))</f>
        <v/>
      </c>
      <c r="L245">
        <f>IF(OR($K245="",$K245="—"),"",IF($T245&lt;=60,IF($K245&lt;-3,"Magreza acentuada",IF($K245&lt;-2,"Magreza",IF($K245&lt;=1,"Eutrofia",IF($K245&lt;=2,"Risco de sobrepeso",IF($K245&lt;=3,"Sobrepeso","Obesidade"))))),IF($K245&lt;-3,"Magreza acentuada",IF($K245&lt;-2,"Magreza",IF($K245&lt;=1,"Eutrofia",IF($K245&lt;=2,"Sobrepeso",IF($K245&lt;=3,"Obesidade","Obesidade grave")))))))</f>
        <v/>
      </c>
      <c r="M245" s="12">
        <f>IF(OR($S245="",$V245="",$T245="",$T245&lt;0,$T245&gt;228,$AG245=""),"—",ROUND(IF($AG245=0,LN($V245/$AH245)/$AI245,((($V245/$AH245)^$AG245)-1)/($AG245*$AI245)),2))</f>
        <v/>
      </c>
      <c r="N245">
        <f>IF(OR($M245="",$M245="—"),"",IF($M245&lt;-3,"Muito baixa",IF($M245&lt;-2,"Baixa","Adequada")))</f>
        <v/>
      </c>
      <c r="O245" s="12">
        <f>IF(OR($S245="",$F245="",$T245="",$T245&lt;0,$T245&gt;120,$AJ245=""),"—",ROUND(IF(ABS($AM245)&lt;=3,$AM245,IF($AM245&gt;3,3+($F245-$AO245)/($AO245-$AN245),-3+($F245-$AQ245)/($AP245-$AQ245))),2))</f>
        <v/>
      </c>
      <c r="P245">
        <f>IF(OR($O245="",$O245="—"),"",IF($O245&lt;-3,"Muito baixo",IF($O245&lt;-2,"Baixo",IF($O245&lt;=2,"Adequado","Elevado"))))</f>
        <v/>
      </c>
      <c r="Q245" s="12">
        <f>IF(OR($S245="",$F245="",$T245="",$T245&lt;0,$T245&gt;60,$AR245=""),"—",ROUND(IF(ABS($AU245)&lt;=3,$AU245,IF($AU245&gt;3,3+($F245-$AW245)/($AW245-$AV245),-3+($F245-$AY245)/($AX245-$AY245))),2))</f>
        <v/>
      </c>
      <c r="R245">
        <f>IF(OR($Q245="",$Q245="—"),"",IF($Q245&lt;-3,"Magreza acentuada",IF($Q245&lt;-2,"Magreza",IF($Q245&lt;=1,"Eutrofia",IF($Q245&lt;=2,"Risco de sobrepeso",IF($Q245&lt;=3,"Sobrepeso","Obesidade"))))))</f>
        <v/>
      </c>
      <c r="S245">
        <f>IF($C245="","",IF(UPPER(LEFT($C245,1))="M",1,IF(UPPER(LEFT($C245,1))="F",2,"")))</f>
        <v/>
      </c>
      <c r="T245">
        <f>IF(OR($D245="",$E245=""),"",DATEDIF($D245,$E245,"m"))</f>
        <v/>
      </c>
      <c r="U245">
        <f>IF(OR($D245="",$E245=""),"",$E245-$D245)</f>
        <v/>
      </c>
      <c r="V245">
        <f>IF(OR($G245="",$T245=""),"",IF($T245&lt;24,IF(LEFT(LOWER($H245),4)="em p",$G245+0.7,$G245),IF(LEFT(LOWER($H245),4)="deit",$G245-0.7,$G245)))</f>
        <v/>
      </c>
      <c r="W245">
        <f>IF(OR($S245="",$T245=""),"",$S245*1000000+IF($T245&lt;=60,$U245,$T245))</f>
        <v/>
      </c>
      <c r="X245">
        <f>IF(OR($S245="",$V245="",$T245&gt;60,$T245=""),"",$S245*1000000+ROUND($V245*10,0))</f>
        <v/>
      </c>
      <c r="Y245">
        <f>IF($W245="","",IFERROR(INDEX(IF($T245&lt;=60,imc05_l,imc519_l),MATCH($W245,IF($T245&lt;=60,imc05_k,imc519_k),1)),""))</f>
        <v/>
      </c>
      <c r="Z245">
        <f>IF($W245="","",IFERROR(INDEX(IF($T245&lt;=60,imc05_m,imc519_m),MATCH($W245,IF($T245&lt;=60,imc05_k,imc519_k),1)),""))</f>
        <v/>
      </c>
      <c r="AA245">
        <f>IF($W245="","",IFERROR(INDEX(IF($T245&lt;=60,imc05_s,imc519_s),MATCH($W245,IF($T245&lt;=60,imc05_k,imc519_k),1)),""))</f>
        <v/>
      </c>
      <c r="AB245">
        <f>IF($Y245="","",IF($Y245=0,LN($J245/$Z245)/$AA245,((($J245/$Z245)^$Y245)-1)/($Y245*$AA245)))</f>
        <v/>
      </c>
      <c r="AC245">
        <f>IF($Y245="","",IF($Y245=0,$Z245*EXP($AA245*2),$Z245*(1+$Y245*$AA245*2)^(1/$Y245)))</f>
        <v/>
      </c>
      <c r="AD245">
        <f>IF($Y245="","",IF($Y245=0,$Z245*EXP($AA245*3),$Z245*(1+$Y245*$AA245*3)^(1/$Y245)))</f>
        <v/>
      </c>
      <c r="AE245">
        <f>IF($Y245="","",IF($Y245=0,$Z245*EXP($AA245*-2),$Z245*(1+$Y245*$AA245*-2)^(1/$Y245)))</f>
        <v/>
      </c>
      <c r="AF245">
        <f>IF($Y245="","",IF($Y245=0,$Z245*EXP($AA245*-3),$Z245*(1+$Y245*$AA245*-3)^(1/$Y245)))</f>
        <v/>
      </c>
      <c r="AG245">
        <f>IF($W245="","",IFERROR(INDEX(IF($T245&lt;=60,est05_l,est519_l),MATCH($W245,IF($T245&lt;=60,est05_k,est519_k),1)),""))</f>
        <v/>
      </c>
      <c r="AH245">
        <f>IF($W245="","",IFERROR(INDEX(IF($T245&lt;=60,est05_m,est519_m),MATCH($W245,IF($T245&lt;=60,est05_k,est519_k),1)),""))</f>
        <v/>
      </c>
      <c r="AI245">
        <f>IF($W245="","",IFERROR(INDEX(IF($T245&lt;=60,est05_s,est519_s),MATCH($W245,IF($T245&lt;=60,est05_k,est519_k),1)),""))</f>
        <v/>
      </c>
      <c r="AJ245">
        <f>IF($W245="","",IFERROR(INDEX(IF($T245&lt;=60,peso05_l,peso510_l),MATCH($W245,IF($T245&lt;=60,peso05_k,peso510_k),1)),""))</f>
        <v/>
      </c>
      <c r="AK245">
        <f>IF($W245="","",IFERROR(INDEX(IF($T245&lt;=60,peso05_m,peso510_m),MATCH($W245,IF($T245&lt;=60,peso05_k,peso510_k),1)),""))</f>
        <v/>
      </c>
      <c r="AL245">
        <f>IF($W245="","",IFERROR(INDEX(IF($T245&lt;=60,peso05_s,peso510_s),MATCH($W245,IF($T245&lt;=60,peso05_k,peso510_k),1)),""))</f>
        <v/>
      </c>
      <c r="AM245">
        <f>IF($AJ245="","",IF($AJ245=0,LN($F245/$AK245)/$AL245,((($F245/$AK245)^$AJ245)-1)/($AJ245*$AL245)))</f>
        <v/>
      </c>
      <c r="AN245">
        <f>IF($AJ245="","",IF($AJ245=0,$AK245*EXP($AL245*2),$AK245*(1+$AJ245*$AL245*2)^(1/$AJ245)))</f>
        <v/>
      </c>
      <c r="AO245">
        <f>IF($AJ245="","",IF($AJ245=0,$AK245*EXP($AL245*3),$AK245*(1+$AJ245*$AL245*3)^(1/$AJ245)))</f>
        <v/>
      </c>
      <c r="AP245">
        <f>IF($AJ245="","",IF($AJ245=0,$AK245*EXP($AL245*-2),$AK245*(1+$AJ245*$AL245*-2)^(1/$AJ245)))</f>
        <v/>
      </c>
      <c r="AQ245">
        <f>IF($AJ245="","",IF($AJ245=0,$AK245*EXP($AL245*-3),$AK245*(1+$AJ245*$AL245*-3)^(1/$AJ245)))</f>
        <v/>
      </c>
      <c r="AR245">
        <f>IF(OR($X245="",$T245&gt;60),"",IFERROR(INDEX(IF($T245&lt;24,pcomp_l,palt_l),MATCH($X245,IF($T245&lt;24,pcomp_k,palt_k),1)),""))</f>
        <v/>
      </c>
      <c r="AS245">
        <f>IF(OR($X245="",$T245&gt;60),"",IFERROR(INDEX(IF($T245&lt;24,pcomp_m,palt_m),MATCH($X245,IF($T245&lt;24,pcomp_k,palt_k),1)),""))</f>
        <v/>
      </c>
      <c r="AT245">
        <f>IF(OR($X245="",$T245&gt;60),"",IFERROR(INDEX(IF($T245&lt;24,pcomp_s,palt_s),MATCH($X245,IF($T245&lt;24,pcomp_k,palt_k),1)),""))</f>
        <v/>
      </c>
      <c r="AU245">
        <f>IF($AR245="","",IF($AR245=0,LN($F245/$AS245)/$AT245,((($F245/$AS245)^$AR245)-1)/($AR245*$AT245)))</f>
        <v/>
      </c>
      <c r="AV245">
        <f>IF($AR245="","",IF($AR245=0,$AS245*EXP($AT245*2),$AS245*(1+$AR245*$AT245*2)^(1/$AR245)))</f>
        <v/>
      </c>
      <c r="AW245">
        <f>IF($AR245="","",IF($AR245=0,$AS245*EXP($AT245*3),$AS245*(1+$AR245*$AT245*3)^(1/$AR245)))</f>
        <v/>
      </c>
      <c r="AX245">
        <f>IF($AR245="","",IF($AR245=0,$AS245*EXP($AT245*-2),$AS245*(1+$AR245*$AT245*-2)^(1/$AR245)))</f>
        <v/>
      </c>
      <c r="AY245">
        <f>IF($AR245="","",IF($AR245=0,$AS245*EXP($AT245*-3),$AS245*(1+$AR245*$AT245*-3)^(1/$AR245)))</f>
        <v/>
      </c>
      <c r="AZ245">
        <f>IF(OR($A245="",$A245&lt;&gt;Ficha!$C$4),"",COUNTIF($A$2:$A245,Ficha!$C$4))</f>
        <v/>
      </c>
    </row>
    <row r="246">
      <c r="A246" s="8">
        <f>IF(INDEX(Banco!$A:$A,ROW())="","",INDEX(Banco!$A:$A,ROW()))</f>
        <v/>
      </c>
      <c r="B246" s="8">
        <f>IF(INDEX(Banco!$B:$B,ROW())="","",INDEX(Banco!$B:$B,ROW()))</f>
        <v/>
      </c>
      <c r="C246" s="8">
        <f>IF(INDEX(Banco!$C:$C,ROW())="","",INDEX(Banco!$C:$C,ROW()))</f>
        <v/>
      </c>
      <c r="D246" s="9">
        <f>IF(INDEX(Banco!$D:$D,ROW())="","",INDEX(Banco!$D:$D,ROW()))</f>
        <v/>
      </c>
      <c r="E246" s="9">
        <f>IF(INDEX(Banco!$E:$E,ROW())="","",INDEX(Banco!$E:$E,ROW()))</f>
        <v/>
      </c>
      <c r="F246" s="10">
        <f>IF(INDEX(Banco!$F:$F,ROW())="","",INDEX(Banco!$F:$F,ROW()))</f>
        <v/>
      </c>
      <c r="G246" s="10">
        <f>IF(INDEX(Banco!$G:$G,ROW())="","",INDEX(Banco!$G:$G,ROW()))</f>
        <v/>
      </c>
      <c r="H246" s="8">
        <f>IF(INDEX(Banco!$H:$H,ROW())="","",INDEX(Banco!$H:$H,ROW()))</f>
        <v/>
      </c>
      <c r="I246">
        <f>IF($T246="","",INT($T246/12)&amp;"a "&amp;MOD($T246,12)&amp;"m")</f>
        <v/>
      </c>
      <c r="J246" s="11">
        <f>IF(OR($F246="",$G246=""),"",ROUND($F246/($G246/100)^2,2))</f>
        <v/>
      </c>
      <c r="K246" s="12">
        <f>IF(OR($S246="",$J246="",$T246="",$T246&lt;0,$T246&gt;228,$Y246=""),"—",ROUND(IF(ABS($AB246)&lt;=3,$AB246,IF($AB246&gt;3,3+($J246-$AD246)/($AD246-$AC246),-3+($J246-$AF246)/($AE246-$AF246))),2))</f>
        <v/>
      </c>
      <c r="L246">
        <f>IF(OR($K246="",$K246="—"),"",IF($T246&lt;=60,IF($K246&lt;-3,"Magreza acentuada",IF($K246&lt;-2,"Magreza",IF($K246&lt;=1,"Eutrofia",IF($K246&lt;=2,"Risco de sobrepeso",IF($K246&lt;=3,"Sobrepeso","Obesidade"))))),IF($K246&lt;-3,"Magreza acentuada",IF($K246&lt;-2,"Magreza",IF($K246&lt;=1,"Eutrofia",IF($K246&lt;=2,"Sobrepeso",IF($K246&lt;=3,"Obesidade","Obesidade grave")))))))</f>
        <v/>
      </c>
      <c r="M246" s="12">
        <f>IF(OR($S246="",$V246="",$T246="",$T246&lt;0,$T246&gt;228,$AG246=""),"—",ROUND(IF($AG246=0,LN($V246/$AH246)/$AI246,((($V246/$AH246)^$AG246)-1)/($AG246*$AI246)),2))</f>
        <v/>
      </c>
      <c r="N246">
        <f>IF(OR($M246="",$M246="—"),"",IF($M246&lt;-3,"Muito baixa",IF($M246&lt;-2,"Baixa","Adequada")))</f>
        <v/>
      </c>
      <c r="O246" s="12">
        <f>IF(OR($S246="",$F246="",$T246="",$T246&lt;0,$T246&gt;120,$AJ246=""),"—",ROUND(IF(ABS($AM246)&lt;=3,$AM246,IF($AM246&gt;3,3+($F246-$AO246)/($AO246-$AN246),-3+($F246-$AQ246)/($AP246-$AQ246))),2))</f>
        <v/>
      </c>
      <c r="P246">
        <f>IF(OR($O246="",$O246="—"),"",IF($O246&lt;-3,"Muito baixo",IF($O246&lt;-2,"Baixo",IF($O246&lt;=2,"Adequado","Elevado"))))</f>
        <v/>
      </c>
      <c r="Q246" s="12">
        <f>IF(OR($S246="",$F246="",$T246="",$T246&lt;0,$T246&gt;60,$AR246=""),"—",ROUND(IF(ABS($AU246)&lt;=3,$AU246,IF($AU246&gt;3,3+($F246-$AW246)/($AW246-$AV246),-3+($F246-$AY246)/($AX246-$AY246))),2))</f>
        <v/>
      </c>
      <c r="R246">
        <f>IF(OR($Q246="",$Q246="—"),"",IF($Q246&lt;-3,"Magreza acentuada",IF($Q246&lt;-2,"Magreza",IF($Q246&lt;=1,"Eutrofia",IF($Q246&lt;=2,"Risco de sobrepeso",IF($Q246&lt;=3,"Sobrepeso","Obesidade"))))))</f>
        <v/>
      </c>
      <c r="S246">
        <f>IF($C246="","",IF(UPPER(LEFT($C246,1))="M",1,IF(UPPER(LEFT($C246,1))="F",2,"")))</f>
        <v/>
      </c>
      <c r="T246">
        <f>IF(OR($D246="",$E246=""),"",DATEDIF($D246,$E246,"m"))</f>
        <v/>
      </c>
      <c r="U246">
        <f>IF(OR($D246="",$E246=""),"",$E246-$D246)</f>
        <v/>
      </c>
      <c r="V246">
        <f>IF(OR($G246="",$T246=""),"",IF($T246&lt;24,IF(LEFT(LOWER($H246),4)="em p",$G246+0.7,$G246),IF(LEFT(LOWER($H246),4)="deit",$G246-0.7,$G246)))</f>
        <v/>
      </c>
      <c r="W246">
        <f>IF(OR($S246="",$T246=""),"",$S246*1000000+IF($T246&lt;=60,$U246,$T246))</f>
        <v/>
      </c>
      <c r="X246">
        <f>IF(OR($S246="",$V246="",$T246&gt;60,$T246=""),"",$S246*1000000+ROUND($V246*10,0))</f>
        <v/>
      </c>
      <c r="Y246">
        <f>IF($W246="","",IFERROR(INDEX(IF($T246&lt;=60,imc05_l,imc519_l),MATCH($W246,IF($T246&lt;=60,imc05_k,imc519_k),1)),""))</f>
        <v/>
      </c>
      <c r="Z246">
        <f>IF($W246="","",IFERROR(INDEX(IF($T246&lt;=60,imc05_m,imc519_m),MATCH($W246,IF($T246&lt;=60,imc05_k,imc519_k),1)),""))</f>
        <v/>
      </c>
      <c r="AA246">
        <f>IF($W246="","",IFERROR(INDEX(IF($T246&lt;=60,imc05_s,imc519_s),MATCH($W246,IF($T246&lt;=60,imc05_k,imc519_k),1)),""))</f>
        <v/>
      </c>
      <c r="AB246">
        <f>IF($Y246="","",IF($Y246=0,LN($J246/$Z246)/$AA246,((($J246/$Z246)^$Y246)-1)/($Y246*$AA246)))</f>
        <v/>
      </c>
      <c r="AC246">
        <f>IF($Y246="","",IF($Y246=0,$Z246*EXP($AA246*2),$Z246*(1+$Y246*$AA246*2)^(1/$Y246)))</f>
        <v/>
      </c>
      <c r="AD246">
        <f>IF($Y246="","",IF($Y246=0,$Z246*EXP($AA246*3),$Z246*(1+$Y246*$AA246*3)^(1/$Y246)))</f>
        <v/>
      </c>
      <c r="AE246">
        <f>IF($Y246="","",IF($Y246=0,$Z246*EXP($AA246*-2),$Z246*(1+$Y246*$AA246*-2)^(1/$Y246)))</f>
        <v/>
      </c>
      <c r="AF246">
        <f>IF($Y246="","",IF($Y246=0,$Z246*EXP($AA246*-3),$Z246*(1+$Y246*$AA246*-3)^(1/$Y246)))</f>
        <v/>
      </c>
      <c r="AG246">
        <f>IF($W246="","",IFERROR(INDEX(IF($T246&lt;=60,est05_l,est519_l),MATCH($W246,IF($T246&lt;=60,est05_k,est519_k),1)),""))</f>
        <v/>
      </c>
      <c r="AH246">
        <f>IF($W246="","",IFERROR(INDEX(IF($T246&lt;=60,est05_m,est519_m),MATCH($W246,IF($T246&lt;=60,est05_k,est519_k),1)),""))</f>
        <v/>
      </c>
      <c r="AI246">
        <f>IF($W246="","",IFERROR(INDEX(IF($T246&lt;=60,est05_s,est519_s),MATCH($W246,IF($T246&lt;=60,est05_k,est519_k),1)),""))</f>
        <v/>
      </c>
      <c r="AJ246">
        <f>IF($W246="","",IFERROR(INDEX(IF($T246&lt;=60,peso05_l,peso510_l),MATCH($W246,IF($T246&lt;=60,peso05_k,peso510_k),1)),""))</f>
        <v/>
      </c>
      <c r="AK246">
        <f>IF($W246="","",IFERROR(INDEX(IF($T246&lt;=60,peso05_m,peso510_m),MATCH($W246,IF($T246&lt;=60,peso05_k,peso510_k),1)),""))</f>
        <v/>
      </c>
      <c r="AL246">
        <f>IF($W246="","",IFERROR(INDEX(IF($T246&lt;=60,peso05_s,peso510_s),MATCH($W246,IF($T246&lt;=60,peso05_k,peso510_k),1)),""))</f>
        <v/>
      </c>
      <c r="AM246">
        <f>IF($AJ246="","",IF($AJ246=0,LN($F246/$AK246)/$AL246,((($F246/$AK246)^$AJ246)-1)/($AJ246*$AL246)))</f>
        <v/>
      </c>
      <c r="AN246">
        <f>IF($AJ246="","",IF($AJ246=0,$AK246*EXP($AL246*2),$AK246*(1+$AJ246*$AL246*2)^(1/$AJ246)))</f>
        <v/>
      </c>
      <c r="AO246">
        <f>IF($AJ246="","",IF($AJ246=0,$AK246*EXP($AL246*3),$AK246*(1+$AJ246*$AL246*3)^(1/$AJ246)))</f>
        <v/>
      </c>
      <c r="AP246">
        <f>IF($AJ246="","",IF($AJ246=0,$AK246*EXP($AL246*-2),$AK246*(1+$AJ246*$AL246*-2)^(1/$AJ246)))</f>
        <v/>
      </c>
      <c r="AQ246">
        <f>IF($AJ246="","",IF($AJ246=0,$AK246*EXP($AL246*-3),$AK246*(1+$AJ246*$AL246*-3)^(1/$AJ246)))</f>
        <v/>
      </c>
      <c r="AR246">
        <f>IF(OR($X246="",$T246&gt;60),"",IFERROR(INDEX(IF($T246&lt;24,pcomp_l,palt_l),MATCH($X246,IF($T246&lt;24,pcomp_k,palt_k),1)),""))</f>
        <v/>
      </c>
      <c r="AS246">
        <f>IF(OR($X246="",$T246&gt;60),"",IFERROR(INDEX(IF($T246&lt;24,pcomp_m,palt_m),MATCH($X246,IF($T246&lt;24,pcomp_k,palt_k),1)),""))</f>
        <v/>
      </c>
      <c r="AT246">
        <f>IF(OR($X246="",$T246&gt;60),"",IFERROR(INDEX(IF($T246&lt;24,pcomp_s,palt_s),MATCH($X246,IF($T246&lt;24,pcomp_k,palt_k),1)),""))</f>
        <v/>
      </c>
      <c r="AU246">
        <f>IF($AR246="","",IF($AR246=0,LN($F246/$AS246)/$AT246,((($F246/$AS246)^$AR246)-1)/($AR246*$AT246)))</f>
        <v/>
      </c>
      <c r="AV246">
        <f>IF($AR246="","",IF($AR246=0,$AS246*EXP($AT246*2),$AS246*(1+$AR246*$AT246*2)^(1/$AR246)))</f>
        <v/>
      </c>
      <c r="AW246">
        <f>IF($AR246="","",IF($AR246=0,$AS246*EXP($AT246*3),$AS246*(1+$AR246*$AT246*3)^(1/$AR246)))</f>
        <v/>
      </c>
      <c r="AX246">
        <f>IF($AR246="","",IF($AR246=0,$AS246*EXP($AT246*-2),$AS246*(1+$AR246*$AT246*-2)^(1/$AR246)))</f>
        <v/>
      </c>
      <c r="AY246">
        <f>IF($AR246="","",IF($AR246=0,$AS246*EXP($AT246*-3),$AS246*(1+$AR246*$AT246*-3)^(1/$AR246)))</f>
        <v/>
      </c>
      <c r="AZ246">
        <f>IF(OR($A246="",$A246&lt;&gt;Ficha!$C$4),"",COUNTIF($A$2:$A246,Ficha!$C$4))</f>
        <v/>
      </c>
    </row>
    <row r="247">
      <c r="A247" s="8">
        <f>IF(INDEX(Banco!$A:$A,ROW())="","",INDEX(Banco!$A:$A,ROW()))</f>
        <v/>
      </c>
      <c r="B247" s="8">
        <f>IF(INDEX(Banco!$B:$B,ROW())="","",INDEX(Banco!$B:$B,ROW()))</f>
        <v/>
      </c>
      <c r="C247" s="8">
        <f>IF(INDEX(Banco!$C:$C,ROW())="","",INDEX(Banco!$C:$C,ROW()))</f>
        <v/>
      </c>
      <c r="D247" s="9">
        <f>IF(INDEX(Banco!$D:$D,ROW())="","",INDEX(Banco!$D:$D,ROW()))</f>
        <v/>
      </c>
      <c r="E247" s="9">
        <f>IF(INDEX(Banco!$E:$E,ROW())="","",INDEX(Banco!$E:$E,ROW()))</f>
        <v/>
      </c>
      <c r="F247" s="10">
        <f>IF(INDEX(Banco!$F:$F,ROW())="","",INDEX(Banco!$F:$F,ROW()))</f>
        <v/>
      </c>
      <c r="G247" s="10">
        <f>IF(INDEX(Banco!$G:$G,ROW())="","",INDEX(Banco!$G:$G,ROW()))</f>
        <v/>
      </c>
      <c r="H247" s="8">
        <f>IF(INDEX(Banco!$H:$H,ROW())="","",INDEX(Banco!$H:$H,ROW()))</f>
        <v/>
      </c>
      <c r="I247">
        <f>IF($T247="","",INT($T247/12)&amp;"a "&amp;MOD($T247,12)&amp;"m")</f>
        <v/>
      </c>
      <c r="J247" s="11">
        <f>IF(OR($F247="",$G247=""),"",ROUND($F247/($G247/100)^2,2))</f>
        <v/>
      </c>
      <c r="K247" s="12">
        <f>IF(OR($S247="",$J247="",$T247="",$T247&lt;0,$T247&gt;228,$Y247=""),"—",ROUND(IF(ABS($AB247)&lt;=3,$AB247,IF($AB247&gt;3,3+($J247-$AD247)/($AD247-$AC247),-3+($J247-$AF247)/($AE247-$AF247))),2))</f>
        <v/>
      </c>
      <c r="L247">
        <f>IF(OR($K247="",$K247="—"),"",IF($T247&lt;=60,IF($K247&lt;-3,"Magreza acentuada",IF($K247&lt;-2,"Magreza",IF($K247&lt;=1,"Eutrofia",IF($K247&lt;=2,"Risco de sobrepeso",IF($K247&lt;=3,"Sobrepeso","Obesidade"))))),IF($K247&lt;-3,"Magreza acentuada",IF($K247&lt;-2,"Magreza",IF($K247&lt;=1,"Eutrofia",IF($K247&lt;=2,"Sobrepeso",IF($K247&lt;=3,"Obesidade","Obesidade grave")))))))</f>
        <v/>
      </c>
      <c r="M247" s="12">
        <f>IF(OR($S247="",$V247="",$T247="",$T247&lt;0,$T247&gt;228,$AG247=""),"—",ROUND(IF($AG247=0,LN($V247/$AH247)/$AI247,((($V247/$AH247)^$AG247)-1)/($AG247*$AI247)),2))</f>
        <v/>
      </c>
      <c r="N247">
        <f>IF(OR($M247="",$M247="—"),"",IF($M247&lt;-3,"Muito baixa",IF($M247&lt;-2,"Baixa","Adequada")))</f>
        <v/>
      </c>
      <c r="O247" s="12">
        <f>IF(OR($S247="",$F247="",$T247="",$T247&lt;0,$T247&gt;120,$AJ247=""),"—",ROUND(IF(ABS($AM247)&lt;=3,$AM247,IF($AM247&gt;3,3+($F247-$AO247)/($AO247-$AN247),-3+($F247-$AQ247)/($AP247-$AQ247))),2))</f>
        <v/>
      </c>
      <c r="P247">
        <f>IF(OR($O247="",$O247="—"),"",IF($O247&lt;-3,"Muito baixo",IF($O247&lt;-2,"Baixo",IF($O247&lt;=2,"Adequado","Elevado"))))</f>
        <v/>
      </c>
      <c r="Q247" s="12">
        <f>IF(OR($S247="",$F247="",$T247="",$T247&lt;0,$T247&gt;60,$AR247=""),"—",ROUND(IF(ABS($AU247)&lt;=3,$AU247,IF($AU247&gt;3,3+($F247-$AW247)/($AW247-$AV247),-3+($F247-$AY247)/($AX247-$AY247))),2))</f>
        <v/>
      </c>
      <c r="R247">
        <f>IF(OR($Q247="",$Q247="—"),"",IF($Q247&lt;-3,"Magreza acentuada",IF($Q247&lt;-2,"Magreza",IF($Q247&lt;=1,"Eutrofia",IF($Q247&lt;=2,"Risco de sobrepeso",IF($Q247&lt;=3,"Sobrepeso","Obesidade"))))))</f>
        <v/>
      </c>
      <c r="S247">
        <f>IF($C247="","",IF(UPPER(LEFT($C247,1))="M",1,IF(UPPER(LEFT($C247,1))="F",2,"")))</f>
        <v/>
      </c>
      <c r="T247">
        <f>IF(OR($D247="",$E247=""),"",DATEDIF($D247,$E247,"m"))</f>
        <v/>
      </c>
      <c r="U247">
        <f>IF(OR($D247="",$E247=""),"",$E247-$D247)</f>
        <v/>
      </c>
      <c r="V247">
        <f>IF(OR($G247="",$T247=""),"",IF($T247&lt;24,IF(LEFT(LOWER($H247),4)="em p",$G247+0.7,$G247),IF(LEFT(LOWER($H247),4)="deit",$G247-0.7,$G247)))</f>
        <v/>
      </c>
      <c r="W247">
        <f>IF(OR($S247="",$T247=""),"",$S247*1000000+IF($T247&lt;=60,$U247,$T247))</f>
        <v/>
      </c>
      <c r="X247">
        <f>IF(OR($S247="",$V247="",$T247&gt;60,$T247=""),"",$S247*1000000+ROUND($V247*10,0))</f>
        <v/>
      </c>
      <c r="Y247">
        <f>IF($W247="","",IFERROR(INDEX(IF($T247&lt;=60,imc05_l,imc519_l),MATCH($W247,IF($T247&lt;=60,imc05_k,imc519_k),1)),""))</f>
        <v/>
      </c>
      <c r="Z247">
        <f>IF($W247="","",IFERROR(INDEX(IF($T247&lt;=60,imc05_m,imc519_m),MATCH($W247,IF($T247&lt;=60,imc05_k,imc519_k),1)),""))</f>
        <v/>
      </c>
      <c r="AA247">
        <f>IF($W247="","",IFERROR(INDEX(IF($T247&lt;=60,imc05_s,imc519_s),MATCH($W247,IF($T247&lt;=60,imc05_k,imc519_k),1)),""))</f>
        <v/>
      </c>
      <c r="AB247">
        <f>IF($Y247="","",IF($Y247=0,LN($J247/$Z247)/$AA247,((($J247/$Z247)^$Y247)-1)/($Y247*$AA247)))</f>
        <v/>
      </c>
      <c r="AC247">
        <f>IF($Y247="","",IF($Y247=0,$Z247*EXP($AA247*2),$Z247*(1+$Y247*$AA247*2)^(1/$Y247)))</f>
        <v/>
      </c>
      <c r="AD247">
        <f>IF($Y247="","",IF($Y247=0,$Z247*EXP($AA247*3),$Z247*(1+$Y247*$AA247*3)^(1/$Y247)))</f>
        <v/>
      </c>
      <c r="AE247">
        <f>IF($Y247="","",IF($Y247=0,$Z247*EXP($AA247*-2),$Z247*(1+$Y247*$AA247*-2)^(1/$Y247)))</f>
        <v/>
      </c>
      <c r="AF247">
        <f>IF($Y247="","",IF($Y247=0,$Z247*EXP($AA247*-3),$Z247*(1+$Y247*$AA247*-3)^(1/$Y247)))</f>
        <v/>
      </c>
      <c r="AG247">
        <f>IF($W247="","",IFERROR(INDEX(IF($T247&lt;=60,est05_l,est519_l),MATCH($W247,IF($T247&lt;=60,est05_k,est519_k),1)),""))</f>
        <v/>
      </c>
      <c r="AH247">
        <f>IF($W247="","",IFERROR(INDEX(IF($T247&lt;=60,est05_m,est519_m),MATCH($W247,IF($T247&lt;=60,est05_k,est519_k),1)),""))</f>
        <v/>
      </c>
      <c r="AI247">
        <f>IF($W247="","",IFERROR(INDEX(IF($T247&lt;=60,est05_s,est519_s),MATCH($W247,IF($T247&lt;=60,est05_k,est519_k),1)),""))</f>
        <v/>
      </c>
      <c r="AJ247">
        <f>IF($W247="","",IFERROR(INDEX(IF($T247&lt;=60,peso05_l,peso510_l),MATCH($W247,IF($T247&lt;=60,peso05_k,peso510_k),1)),""))</f>
        <v/>
      </c>
      <c r="AK247">
        <f>IF($W247="","",IFERROR(INDEX(IF($T247&lt;=60,peso05_m,peso510_m),MATCH($W247,IF($T247&lt;=60,peso05_k,peso510_k),1)),""))</f>
        <v/>
      </c>
      <c r="AL247">
        <f>IF($W247="","",IFERROR(INDEX(IF($T247&lt;=60,peso05_s,peso510_s),MATCH($W247,IF($T247&lt;=60,peso05_k,peso510_k),1)),""))</f>
        <v/>
      </c>
      <c r="AM247">
        <f>IF($AJ247="","",IF($AJ247=0,LN($F247/$AK247)/$AL247,((($F247/$AK247)^$AJ247)-1)/($AJ247*$AL247)))</f>
        <v/>
      </c>
      <c r="AN247">
        <f>IF($AJ247="","",IF($AJ247=0,$AK247*EXP($AL247*2),$AK247*(1+$AJ247*$AL247*2)^(1/$AJ247)))</f>
        <v/>
      </c>
      <c r="AO247">
        <f>IF($AJ247="","",IF($AJ247=0,$AK247*EXP($AL247*3),$AK247*(1+$AJ247*$AL247*3)^(1/$AJ247)))</f>
        <v/>
      </c>
      <c r="AP247">
        <f>IF($AJ247="","",IF($AJ247=0,$AK247*EXP($AL247*-2),$AK247*(1+$AJ247*$AL247*-2)^(1/$AJ247)))</f>
        <v/>
      </c>
      <c r="AQ247">
        <f>IF($AJ247="","",IF($AJ247=0,$AK247*EXP($AL247*-3),$AK247*(1+$AJ247*$AL247*-3)^(1/$AJ247)))</f>
        <v/>
      </c>
      <c r="AR247">
        <f>IF(OR($X247="",$T247&gt;60),"",IFERROR(INDEX(IF($T247&lt;24,pcomp_l,palt_l),MATCH($X247,IF($T247&lt;24,pcomp_k,palt_k),1)),""))</f>
        <v/>
      </c>
      <c r="AS247">
        <f>IF(OR($X247="",$T247&gt;60),"",IFERROR(INDEX(IF($T247&lt;24,pcomp_m,palt_m),MATCH($X247,IF($T247&lt;24,pcomp_k,palt_k),1)),""))</f>
        <v/>
      </c>
      <c r="AT247">
        <f>IF(OR($X247="",$T247&gt;60),"",IFERROR(INDEX(IF($T247&lt;24,pcomp_s,palt_s),MATCH($X247,IF($T247&lt;24,pcomp_k,palt_k),1)),""))</f>
        <v/>
      </c>
      <c r="AU247">
        <f>IF($AR247="","",IF($AR247=0,LN($F247/$AS247)/$AT247,((($F247/$AS247)^$AR247)-1)/($AR247*$AT247)))</f>
        <v/>
      </c>
      <c r="AV247">
        <f>IF($AR247="","",IF($AR247=0,$AS247*EXP($AT247*2),$AS247*(1+$AR247*$AT247*2)^(1/$AR247)))</f>
        <v/>
      </c>
      <c r="AW247">
        <f>IF($AR247="","",IF($AR247=0,$AS247*EXP($AT247*3),$AS247*(1+$AR247*$AT247*3)^(1/$AR247)))</f>
        <v/>
      </c>
      <c r="AX247">
        <f>IF($AR247="","",IF($AR247=0,$AS247*EXP($AT247*-2),$AS247*(1+$AR247*$AT247*-2)^(1/$AR247)))</f>
        <v/>
      </c>
      <c r="AY247">
        <f>IF($AR247="","",IF($AR247=0,$AS247*EXP($AT247*-3),$AS247*(1+$AR247*$AT247*-3)^(1/$AR247)))</f>
        <v/>
      </c>
      <c r="AZ247">
        <f>IF(OR($A247="",$A247&lt;&gt;Ficha!$C$4),"",COUNTIF($A$2:$A247,Ficha!$C$4))</f>
        <v/>
      </c>
    </row>
    <row r="248">
      <c r="A248" s="8">
        <f>IF(INDEX(Banco!$A:$A,ROW())="","",INDEX(Banco!$A:$A,ROW()))</f>
        <v/>
      </c>
      <c r="B248" s="8">
        <f>IF(INDEX(Banco!$B:$B,ROW())="","",INDEX(Banco!$B:$B,ROW()))</f>
        <v/>
      </c>
      <c r="C248" s="8">
        <f>IF(INDEX(Banco!$C:$C,ROW())="","",INDEX(Banco!$C:$C,ROW()))</f>
        <v/>
      </c>
      <c r="D248" s="9">
        <f>IF(INDEX(Banco!$D:$D,ROW())="","",INDEX(Banco!$D:$D,ROW()))</f>
        <v/>
      </c>
      <c r="E248" s="9">
        <f>IF(INDEX(Banco!$E:$E,ROW())="","",INDEX(Banco!$E:$E,ROW()))</f>
        <v/>
      </c>
      <c r="F248" s="10">
        <f>IF(INDEX(Banco!$F:$F,ROW())="","",INDEX(Banco!$F:$F,ROW()))</f>
        <v/>
      </c>
      <c r="G248" s="10">
        <f>IF(INDEX(Banco!$G:$G,ROW())="","",INDEX(Banco!$G:$G,ROW()))</f>
        <v/>
      </c>
      <c r="H248" s="8">
        <f>IF(INDEX(Banco!$H:$H,ROW())="","",INDEX(Banco!$H:$H,ROW()))</f>
        <v/>
      </c>
      <c r="I248">
        <f>IF($T248="","",INT($T248/12)&amp;"a "&amp;MOD($T248,12)&amp;"m")</f>
        <v/>
      </c>
      <c r="J248" s="11">
        <f>IF(OR($F248="",$G248=""),"",ROUND($F248/($G248/100)^2,2))</f>
        <v/>
      </c>
      <c r="K248" s="12">
        <f>IF(OR($S248="",$J248="",$T248="",$T248&lt;0,$T248&gt;228,$Y248=""),"—",ROUND(IF(ABS($AB248)&lt;=3,$AB248,IF($AB248&gt;3,3+($J248-$AD248)/($AD248-$AC248),-3+($J248-$AF248)/($AE248-$AF248))),2))</f>
        <v/>
      </c>
      <c r="L248">
        <f>IF(OR($K248="",$K248="—"),"",IF($T248&lt;=60,IF($K248&lt;-3,"Magreza acentuada",IF($K248&lt;-2,"Magreza",IF($K248&lt;=1,"Eutrofia",IF($K248&lt;=2,"Risco de sobrepeso",IF($K248&lt;=3,"Sobrepeso","Obesidade"))))),IF($K248&lt;-3,"Magreza acentuada",IF($K248&lt;-2,"Magreza",IF($K248&lt;=1,"Eutrofia",IF($K248&lt;=2,"Sobrepeso",IF($K248&lt;=3,"Obesidade","Obesidade grave")))))))</f>
        <v/>
      </c>
      <c r="M248" s="12">
        <f>IF(OR($S248="",$V248="",$T248="",$T248&lt;0,$T248&gt;228,$AG248=""),"—",ROUND(IF($AG248=0,LN($V248/$AH248)/$AI248,((($V248/$AH248)^$AG248)-1)/($AG248*$AI248)),2))</f>
        <v/>
      </c>
      <c r="N248">
        <f>IF(OR($M248="",$M248="—"),"",IF($M248&lt;-3,"Muito baixa",IF($M248&lt;-2,"Baixa","Adequada")))</f>
        <v/>
      </c>
      <c r="O248" s="12">
        <f>IF(OR($S248="",$F248="",$T248="",$T248&lt;0,$T248&gt;120,$AJ248=""),"—",ROUND(IF(ABS($AM248)&lt;=3,$AM248,IF($AM248&gt;3,3+($F248-$AO248)/($AO248-$AN248),-3+($F248-$AQ248)/($AP248-$AQ248))),2))</f>
        <v/>
      </c>
      <c r="P248">
        <f>IF(OR($O248="",$O248="—"),"",IF($O248&lt;-3,"Muito baixo",IF($O248&lt;-2,"Baixo",IF($O248&lt;=2,"Adequado","Elevado"))))</f>
        <v/>
      </c>
      <c r="Q248" s="12">
        <f>IF(OR($S248="",$F248="",$T248="",$T248&lt;0,$T248&gt;60,$AR248=""),"—",ROUND(IF(ABS($AU248)&lt;=3,$AU248,IF($AU248&gt;3,3+($F248-$AW248)/($AW248-$AV248),-3+($F248-$AY248)/($AX248-$AY248))),2))</f>
        <v/>
      </c>
      <c r="R248">
        <f>IF(OR($Q248="",$Q248="—"),"",IF($Q248&lt;-3,"Magreza acentuada",IF($Q248&lt;-2,"Magreza",IF($Q248&lt;=1,"Eutrofia",IF($Q248&lt;=2,"Risco de sobrepeso",IF($Q248&lt;=3,"Sobrepeso","Obesidade"))))))</f>
        <v/>
      </c>
      <c r="S248">
        <f>IF($C248="","",IF(UPPER(LEFT($C248,1))="M",1,IF(UPPER(LEFT($C248,1))="F",2,"")))</f>
        <v/>
      </c>
      <c r="T248">
        <f>IF(OR($D248="",$E248=""),"",DATEDIF($D248,$E248,"m"))</f>
        <v/>
      </c>
      <c r="U248">
        <f>IF(OR($D248="",$E248=""),"",$E248-$D248)</f>
        <v/>
      </c>
      <c r="V248">
        <f>IF(OR($G248="",$T248=""),"",IF($T248&lt;24,IF(LEFT(LOWER($H248),4)="em p",$G248+0.7,$G248),IF(LEFT(LOWER($H248),4)="deit",$G248-0.7,$G248)))</f>
        <v/>
      </c>
      <c r="W248">
        <f>IF(OR($S248="",$T248=""),"",$S248*1000000+IF($T248&lt;=60,$U248,$T248))</f>
        <v/>
      </c>
      <c r="X248">
        <f>IF(OR($S248="",$V248="",$T248&gt;60,$T248=""),"",$S248*1000000+ROUND($V248*10,0))</f>
        <v/>
      </c>
      <c r="Y248">
        <f>IF($W248="","",IFERROR(INDEX(IF($T248&lt;=60,imc05_l,imc519_l),MATCH($W248,IF($T248&lt;=60,imc05_k,imc519_k),1)),""))</f>
        <v/>
      </c>
      <c r="Z248">
        <f>IF($W248="","",IFERROR(INDEX(IF($T248&lt;=60,imc05_m,imc519_m),MATCH($W248,IF($T248&lt;=60,imc05_k,imc519_k),1)),""))</f>
        <v/>
      </c>
      <c r="AA248">
        <f>IF($W248="","",IFERROR(INDEX(IF($T248&lt;=60,imc05_s,imc519_s),MATCH($W248,IF($T248&lt;=60,imc05_k,imc519_k),1)),""))</f>
        <v/>
      </c>
      <c r="AB248">
        <f>IF($Y248="","",IF($Y248=0,LN($J248/$Z248)/$AA248,((($J248/$Z248)^$Y248)-1)/($Y248*$AA248)))</f>
        <v/>
      </c>
      <c r="AC248">
        <f>IF($Y248="","",IF($Y248=0,$Z248*EXP($AA248*2),$Z248*(1+$Y248*$AA248*2)^(1/$Y248)))</f>
        <v/>
      </c>
      <c r="AD248">
        <f>IF($Y248="","",IF($Y248=0,$Z248*EXP($AA248*3),$Z248*(1+$Y248*$AA248*3)^(1/$Y248)))</f>
        <v/>
      </c>
      <c r="AE248">
        <f>IF($Y248="","",IF($Y248=0,$Z248*EXP($AA248*-2),$Z248*(1+$Y248*$AA248*-2)^(1/$Y248)))</f>
        <v/>
      </c>
      <c r="AF248">
        <f>IF($Y248="","",IF($Y248=0,$Z248*EXP($AA248*-3),$Z248*(1+$Y248*$AA248*-3)^(1/$Y248)))</f>
        <v/>
      </c>
      <c r="AG248">
        <f>IF($W248="","",IFERROR(INDEX(IF($T248&lt;=60,est05_l,est519_l),MATCH($W248,IF($T248&lt;=60,est05_k,est519_k),1)),""))</f>
        <v/>
      </c>
      <c r="AH248">
        <f>IF($W248="","",IFERROR(INDEX(IF($T248&lt;=60,est05_m,est519_m),MATCH($W248,IF($T248&lt;=60,est05_k,est519_k),1)),""))</f>
        <v/>
      </c>
      <c r="AI248">
        <f>IF($W248="","",IFERROR(INDEX(IF($T248&lt;=60,est05_s,est519_s),MATCH($W248,IF($T248&lt;=60,est05_k,est519_k),1)),""))</f>
        <v/>
      </c>
      <c r="AJ248">
        <f>IF($W248="","",IFERROR(INDEX(IF($T248&lt;=60,peso05_l,peso510_l),MATCH($W248,IF($T248&lt;=60,peso05_k,peso510_k),1)),""))</f>
        <v/>
      </c>
      <c r="AK248">
        <f>IF($W248="","",IFERROR(INDEX(IF($T248&lt;=60,peso05_m,peso510_m),MATCH($W248,IF($T248&lt;=60,peso05_k,peso510_k),1)),""))</f>
        <v/>
      </c>
      <c r="AL248">
        <f>IF($W248="","",IFERROR(INDEX(IF($T248&lt;=60,peso05_s,peso510_s),MATCH($W248,IF($T248&lt;=60,peso05_k,peso510_k),1)),""))</f>
        <v/>
      </c>
      <c r="AM248">
        <f>IF($AJ248="","",IF($AJ248=0,LN($F248/$AK248)/$AL248,((($F248/$AK248)^$AJ248)-1)/($AJ248*$AL248)))</f>
        <v/>
      </c>
      <c r="AN248">
        <f>IF($AJ248="","",IF($AJ248=0,$AK248*EXP($AL248*2),$AK248*(1+$AJ248*$AL248*2)^(1/$AJ248)))</f>
        <v/>
      </c>
      <c r="AO248">
        <f>IF($AJ248="","",IF($AJ248=0,$AK248*EXP($AL248*3),$AK248*(1+$AJ248*$AL248*3)^(1/$AJ248)))</f>
        <v/>
      </c>
      <c r="AP248">
        <f>IF($AJ248="","",IF($AJ248=0,$AK248*EXP($AL248*-2),$AK248*(1+$AJ248*$AL248*-2)^(1/$AJ248)))</f>
        <v/>
      </c>
      <c r="AQ248">
        <f>IF($AJ248="","",IF($AJ248=0,$AK248*EXP($AL248*-3),$AK248*(1+$AJ248*$AL248*-3)^(1/$AJ248)))</f>
        <v/>
      </c>
      <c r="AR248">
        <f>IF(OR($X248="",$T248&gt;60),"",IFERROR(INDEX(IF($T248&lt;24,pcomp_l,palt_l),MATCH($X248,IF($T248&lt;24,pcomp_k,palt_k),1)),""))</f>
        <v/>
      </c>
      <c r="AS248">
        <f>IF(OR($X248="",$T248&gt;60),"",IFERROR(INDEX(IF($T248&lt;24,pcomp_m,palt_m),MATCH($X248,IF($T248&lt;24,pcomp_k,palt_k),1)),""))</f>
        <v/>
      </c>
      <c r="AT248">
        <f>IF(OR($X248="",$T248&gt;60),"",IFERROR(INDEX(IF($T248&lt;24,pcomp_s,palt_s),MATCH($X248,IF($T248&lt;24,pcomp_k,palt_k),1)),""))</f>
        <v/>
      </c>
      <c r="AU248">
        <f>IF($AR248="","",IF($AR248=0,LN($F248/$AS248)/$AT248,((($F248/$AS248)^$AR248)-1)/($AR248*$AT248)))</f>
        <v/>
      </c>
      <c r="AV248">
        <f>IF($AR248="","",IF($AR248=0,$AS248*EXP($AT248*2),$AS248*(1+$AR248*$AT248*2)^(1/$AR248)))</f>
        <v/>
      </c>
      <c r="AW248">
        <f>IF($AR248="","",IF($AR248=0,$AS248*EXP($AT248*3),$AS248*(1+$AR248*$AT248*3)^(1/$AR248)))</f>
        <v/>
      </c>
      <c r="AX248">
        <f>IF($AR248="","",IF($AR248=0,$AS248*EXP($AT248*-2),$AS248*(1+$AR248*$AT248*-2)^(1/$AR248)))</f>
        <v/>
      </c>
      <c r="AY248">
        <f>IF($AR248="","",IF($AR248=0,$AS248*EXP($AT248*-3),$AS248*(1+$AR248*$AT248*-3)^(1/$AR248)))</f>
        <v/>
      </c>
      <c r="AZ248">
        <f>IF(OR($A248="",$A248&lt;&gt;Ficha!$C$4),"",COUNTIF($A$2:$A248,Ficha!$C$4))</f>
        <v/>
      </c>
    </row>
    <row r="249">
      <c r="A249" s="8">
        <f>IF(INDEX(Banco!$A:$A,ROW())="","",INDEX(Banco!$A:$A,ROW()))</f>
        <v/>
      </c>
      <c r="B249" s="8">
        <f>IF(INDEX(Banco!$B:$B,ROW())="","",INDEX(Banco!$B:$B,ROW()))</f>
        <v/>
      </c>
      <c r="C249" s="8">
        <f>IF(INDEX(Banco!$C:$C,ROW())="","",INDEX(Banco!$C:$C,ROW()))</f>
        <v/>
      </c>
      <c r="D249" s="9">
        <f>IF(INDEX(Banco!$D:$D,ROW())="","",INDEX(Banco!$D:$D,ROW()))</f>
        <v/>
      </c>
      <c r="E249" s="9">
        <f>IF(INDEX(Banco!$E:$E,ROW())="","",INDEX(Banco!$E:$E,ROW()))</f>
        <v/>
      </c>
      <c r="F249" s="10">
        <f>IF(INDEX(Banco!$F:$F,ROW())="","",INDEX(Banco!$F:$F,ROW()))</f>
        <v/>
      </c>
      <c r="G249" s="10">
        <f>IF(INDEX(Banco!$G:$G,ROW())="","",INDEX(Banco!$G:$G,ROW()))</f>
        <v/>
      </c>
      <c r="H249" s="8">
        <f>IF(INDEX(Banco!$H:$H,ROW())="","",INDEX(Banco!$H:$H,ROW()))</f>
        <v/>
      </c>
      <c r="I249">
        <f>IF($T249="","",INT($T249/12)&amp;"a "&amp;MOD($T249,12)&amp;"m")</f>
        <v/>
      </c>
      <c r="J249" s="11">
        <f>IF(OR($F249="",$G249=""),"",ROUND($F249/($G249/100)^2,2))</f>
        <v/>
      </c>
      <c r="K249" s="12">
        <f>IF(OR($S249="",$J249="",$T249="",$T249&lt;0,$T249&gt;228,$Y249=""),"—",ROUND(IF(ABS($AB249)&lt;=3,$AB249,IF($AB249&gt;3,3+($J249-$AD249)/($AD249-$AC249),-3+($J249-$AF249)/($AE249-$AF249))),2))</f>
        <v/>
      </c>
      <c r="L249">
        <f>IF(OR($K249="",$K249="—"),"",IF($T249&lt;=60,IF($K249&lt;-3,"Magreza acentuada",IF($K249&lt;-2,"Magreza",IF($K249&lt;=1,"Eutrofia",IF($K249&lt;=2,"Risco de sobrepeso",IF($K249&lt;=3,"Sobrepeso","Obesidade"))))),IF($K249&lt;-3,"Magreza acentuada",IF($K249&lt;-2,"Magreza",IF($K249&lt;=1,"Eutrofia",IF($K249&lt;=2,"Sobrepeso",IF($K249&lt;=3,"Obesidade","Obesidade grave")))))))</f>
        <v/>
      </c>
      <c r="M249" s="12">
        <f>IF(OR($S249="",$V249="",$T249="",$T249&lt;0,$T249&gt;228,$AG249=""),"—",ROUND(IF($AG249=0,LN($V249/$AH249)/$AI249,((($V249/$AH249)^$AG249)-1)/($AG249*$AI249)),2))</f>
        <v/>
      </c>
      <c r="N249">
        <f>IF(OR($M249="",$M249="—"),"",IF($M249&lt;-3,"Muito baixa",IF($M249&lt;-2,"Baixa","Adequada")))</f>
        <v/>
      </c>
      <c r="O249" s="12">
        <f>IF(OR($S249="",$F249="",$T249="",$T249&lt;0,$T249&gt;120,$AJ249=""),"—",ROUND(IF(ABS($AM249)&lt;=3,$AM249,IF($AM249&gt;3,3+($F249-$AO249)/($AO249-$AN249),-3+($F249-$AQ249)/($AP249-$AQ249))),2))</f>
        <v/>
      </c>
      <c r="P249">
        <f>IF(OR($O249="",$O249="—"),"",IF($O249&lt;-3,"Muito baixo",IF($O249&lt;-2,"Baixo",IF($O249&lt;=2,"Adequado","Elevado"))))</f>
        <v/>
      </c>
      <c r="Q249" s="12">
        <f>IF(OR($S249="",$F249="",$T249="",$T249&lt;0,$T249&gt;60,$AR249=""),"—",ROUND(IF(ABS($AU249)&lt;=3,$AU249,IF($AU249&gt;3,3+($F249-$AW249)/($AW249-$AV249),-3+($F249-$AY249)/($AX249-$AY249))),2))</f>
        <v/>
      </c>
      <c r="R249">
        <f>IF(OR($Q249="",$Q249="—"),"",IF($Q249&lt;-3,"Magreza acentuada",IF($Q249&lt;-2,"Magreza",IF($Q249&lt;=1,"Eutrofia",IF($Q249&lt;=2,"Risco de sobrepeso",IF($Q249&lt;=3,"Sobrepeso","Obesidade"))))))</f>
        <v/>
      </c>
      <c r="S249">
        <f>IF($C249="","",IF(UPPER(LEFT($C249,1))="M",1,IF(UPPER(LEFT($C249,1))="F",2,"")))</f>
        <v/>
      </c>
      <c r="T249">
        <f>IF(OR($D249="",$E249=""),"",DATEDIF($D249,$E249,"m"))</f>
        <v/>
      </c>
      <c r="U249">
        <f>IF(OR($D249="",$E249=""),"",$E249-$D249)</f>
        <v/>
      </c>
      <c r="V249">
        <f>IF(OR($G249="",$T249=""),"",IF($T249&lt;24,IF(LEFT(LOWER($H249),4)="em p",$G249+0.7,$G249),IF(LEFT(LOWER($H249),4)="deit",$G249-0.7,$G249)))</f>
        <v/>
      </c>
      <c r="W249">
        <f>IF(OR($S249="",$T249=""),"",$S249*1000000+IF($T249&lt;=60,$U249,$T249))</f>
        <v/>
      </c>
      <c r="X249">
        <f>IF(OR($S249="",$V249="",$T249&gt;60,$T249=""),"",$S249*1000000+ROUND($V249*10,0))</f>
        <v/>
      </c>
      <c r="Y249">
        <f>IF($W249="","",IFERROR(INDEX(IF($T249&lt;=60,imc05_l,imc519_l),MATCH($W249,IF($T249&lt;=60,imc05_k,imc519_k),1)),""))</f>
        <v/>
      </c>
      <c r="Z249">
        <f>IF($W249="","",IFERROR(INDEX(IF($T249&lt;=60,imc05_m,imc519_m),MATCH($W249,IF($T249&lt;=60,imc05_k,imc519_k),1)),""))</f>
        <v/>
      </c>
      <c r="AA249">
        <f>IF($W249="","",IFERROR(INDEX(IF($T249&lt;=60,imc05_s,imc519_s),MATCH($W249,IF($T249&lt;=60,imc05_k,imc519_k),1)),""))</f>
        <v/>
      </c>
      <c r="AB249">
        <f>IF($Y249="","",IF($Y249=0,LN($J249/$Z249)/$AA249,((($J249/$Z249)^$Y249)-1)/($Y249*$AA249)))</f>
        <v/>
      </c>
      <c r="AC249">
        <f>IF($Y249="","",IF($Y249=0,$Z249*EXP($AA249*2),$Z249*(1+$Y249*$AA249*2)^(1/$Y249)))</f>
        <v/>
      </c>
      <c r="AD249">
        <f>IF($Y249="","",IF($Y249=0,$Z249*EXP($AA249*3),$Z249*(1+$Y249*$AA249*3)^(1/$Y249)))</f>
        <v/>
      </c>
      <c r="AE249">
        <f>IF($Y249="","",IF($Y249=0,$Z249*EXP($AA249*-2),$Z249*(1+$Y249*$AA249*-2)^(1/$Y249)))</f>
        <v/>
      </c>
      <c r="AF249">
        <f>IF($Y249="","",IF($Y249=0,$Z249*EXP($AA249*-3),$Z249*(1+$Y249*$AA249*-3)^(1/$Y249)))</f>
        <v/>
      </c>
      <c r="AG249">
        <f>IF($W249="","",IFERROR(INDEX(IF($T249&lt;=60,est05_l,est519_l),MATCH($W249,IF($T249&lt;=60,est05_k,est519_k),1)),""))</f>
        <v/>
      </c>
      <c r="AH249">
        <f>IF($W249="","",IFERROR(INDEX(IF($T249&lt;=60,est05_m,est519_m),MATCH($W249,IF($T249&lt;=60,est05_k,est519_k),1)),""))</f>
        <v/>
      </c>
      <c r="AI249">
        <f>IF($W249="","",IFERROR(INDEX(IF($T249&lt;=60,est05_s,est519_s),MATCH($W249,IF($T249&lt;=60,est05_k,est519_k),1)),""))</f>
        <v/>
      </c>
      <c r="AJ249">
        <f>IF($W249="","",IFERROR(INDEX(IF($T249&lt;=60,peso05_l,peso510_l),MATCH($W249,IF($T249&lt;=60,peso05_k,peso510_k),1)),""))</f>
        <v/>
      </c>
      <c r="AK249">
        <f>IF($W249="","",IFERROR(INDEX(IF($T249&lt;=60,peso05_m,peso510_m),MATCH($W249,IF($T249&lt;=60,peso05_k,peso510_k),1)),""))</f>
        <v/>
      </c>
      <c r="AL249">
        <f>IF($W249="","",IFERROR(INDEX(IF($T249&lt;=60,peso05_s,peso510_s),MATCH($W249,IF($T249&lt;=60,peso05_k,peso510_k),1)),""))</f>
        <v/>
      </c>
      <c r="AM249">
        <f>IF($AJ249="","",IF($AJ249=0,LN($F249/$AK249)/$AL249,((($F249/$AK249)^$AJ249)-1)/($AJ249*$AL249)))</f>
        <v/>
      </c>
      <c r="AN249">
        <f>IF($AJ249="","",IF($AJ249=0,$AK249*EXP($AL249*2),$AK249*(1+$AJ249*$AL249*2)^(1/$AJ249)))</f>
        <v/>
      </c>
      <c r="AO249">
        <f>IF($AJ249="","",IF($AJ249=0,$AK249*EXP($AL249*3),$AK249*(1+$AJ249*$AL249*3)^(1/$AJ249)))</f>
        <v/>
      </c>
      <c r="AP249">
        <f>IF($AJ249="","",IF($AJ249=0,$AK249*EXP($AL249*-2),$AK249*(1+$AJ249*$AL249*-2)^(1/$AJ249)))</f>
        <v/>
      </c>
      <c r="AQ249">
        <f>IF($AJ249="","",IF($AJ249=0,$AK249*EXP($AL249*-3),$AK249*(1+$AJ249*$AL249*-3)^(1/$AJ249)))</f>
        <v/>
      </c>
      <c r="AR249">
        <f>IF(OR($X249="",$T249&gt;60),"",IFERROR(INDEX(IF($T249&lt;24,pcomp_l,palt_l),MATCH($X249,IF($T249&lt;24,pcomp_k,palt_k),1)),""))</f>
        <v/>
      </c>
      <c r="AS249">
        <f>IF(OR($X249="",$T249&gt;60),"",IFERROR(INDEX(IF($T249&lt;24,pcomp_m,palt_m),MATCH($X249,IF($T249&lt;24,pcomp_k,palt_k),1)),""))</f>
        <v/>
      </c>
      <c r="AT249">
        <f>IF(OR($X249="",$T249&gt;60),"",IFERROR(INDEX(IF($T249&lt;24,pcomp_s,palt_s),MATCH($X249,IF($T249&lt;24,pcomp_k,palt_k),1)),""))</f>
        <v/>
      </c>
      <c r="AU249">
        <f>IF($AR249="","",IF($AR249=0,LN($F249/$AS249)/$AT249,((($F249/$AS249)^$AR249)-1)/($AR249*$AT249)))</f>
        <v/>
      </c>
      <c r="AV249">
        <f>IF($AR249="","",IF($AR249=0,$AS249*EXP($AT249*2),$AS249*(1+$AR249*$AT249*2)^(1/$AR249)))</f>
        <v/>
      </c>
      <c r="AW249">
        <f>IF($AR249="","",IF($AR249=0,$AS249*EXP($AT249*3),$AS249*(1+$AR249*$AT249*3)^(1/$AR249)))</f>
        <v/>
      </c>
      <c r="AX249">
        <f>IF($AR249="","",IF($AR249=0,$AS249*EXP($AT249*-2),$AS249*(1+$AR249*$AT249*-2)^(1/$AR249)))</f>
        <v/>
      </c>
      <c r="AY249">
        <f>IF($AR249="","",IF($AR249=0,$AS249*EXP($AT249*-3),$AS249*(1+$AR249*$AT249*-3)^(1/$AR249)))</f>
        <v/>
      </c>
      <c r="AZ249">
        <f>IF(OR($A249="",$A249&lt;&gt;Ficha!$C$4),"",COUNTIF($A$2:$A249,Ficha!$C$4))</f>
        <v/>
      </c>
    </row>
    <row r="250">
      <c r="A250" s="8">
        <f>IF(INDEX(Banco!$A:$A,ROW())="","",INDEX(Banco!$A:$A,ROW()))</f>
        <v/>
      </c>
      <c r="B250" s="8">
        <f>IF(INDEX(Banco!$B:$B,ROW())="","",INDEX(Banco!$B:$B,ROW()))</f>
        <v/>
      </c>
      <c r="C250" s="8">
        <f>IF(INDEX(Banco!$C:$C,ROW())="","",INDEX(Banco!$C:$C,ROW()))</f>
        <v/>
      </c>
      <c r="D250" s="9">
        <f>IF(INDEX(Banco!$D:$D,ROW())="","",INDEX(Banco!$D:$D,ROW()))</f>
        <v/>
      </c>
      <c r="E250" s="9">
        <f>IF(INDEX(Banco!$E:$E,ROW())="","",INDEX(Banco!$E:$E,ROW()))</f>
        <v/>
      </c>
      <c r="F250" s="10">
        <f>IF(INDEX(Banco!$F:$F,ROW())="","",INDEX(Banco!$F:$F,ROW()))</f>
        <v/>
      </c>
      <c r="G250" s="10">
        <f>IF(INDEX(Banco!$G:$G,ROW())="","",INDEX(Banco!$G:$G,ROW()))</f>
        <v/>
      </c>
      <c r="H250" s="8">
        <f>IF(INDEX(Banco!$H:$H,ROW())="","",INDEX(Banco!$H:$H,ROW()))</f>
        <v/>
      </c>
      <c r="I250">
        <f>IF($T250="","",INT($T250/12)&amp;"a "&amp;MOD($T250,12)&amp;"m")</f>
        <v/>
      </c>
      <c r="J250" s="11">
        <f>IF(OR($F250="",$G250=""),"",ROUND($F250/($G250/100)^2,2))</f>
        <v/>
      </c>
      <c r="K250" s="12">
        <f>IF(OR($S250="",$J250="",$T250="",$T250&lt;0,$T250&gt;228,$Y250=""),"—",ROUND(IF(ABS($AB250)&lt;=3,$AB250,IF($AB250&gt;3,3+($J250-$AD250)/($AD250-$AC250),-3+($J250-$AF250)/($AE250-$AF250))),2))</f>
        <v/>
      </c>
      <c r="L250">
        <f>IF(OR($K250="",$K250="—"),"",IF($T250&lt;=60,IF($K250&lt;-3,"Magreza acentuada",IF($K250&lt;-2,"Magreza",IF($K250&lt;=1,"Eutrofia",IF($K250&lt;=2,"Risco de sobrepeso",IF($K250&lt;=3,"Sobrepeso","Obesidade"))))),IF($K250&lt;-3,"Magreza acentuada",IF($K250&lt;-2,"Magreza",IF($K250&lt;=1,"Eutrofia",IF($K250&lt;=2,"Sobrepeso",IF($K250&lt;=3,"Obesidade","Obesidade grave")))))))</f>
        <v/>
      </c>
      <c r="M250" s="12">
        <f>IF(OR($S250="",$V250="",$T250="",$T250&lt;0,$T250&gt;228,$AG250=""),"—",ROUND(IF($AG250=0,LN($V250/$AH250)/$AI250,((($V250/$AH250)^$AG250)-1)/($AG250*$AI250)),2))</f>
        <v/>
      </c>
      <c r="N250">
        <f>IF(OR($M250="",$M250="—"),"",IF($M250&lt;-3,"Muito baixa",IF($M250&lt;-2,"Baixa","Adequada")))</f>
        <v/>
      </c>
      <c r="O250" s="12">
        <f>IF(OR($S250="",$F250="",$T250="",$T250&lt;0,$T250&gt;120,$AJ250=""),"—",ROUND(IF(ABS($AM250)&lt;=3,$AM250,IF($AM250&gt;3,3+($F250-$AO250)/($AO250-$AN250),-3+($F250-$AQ250)/($AP250-$AQ250))),2))</f>
        <v/>
      </c>
      <c r="P250">
        <f>IF(OR($O250="",$O250="—"),"",IF($O250&lt;-3,"Muito baixo",IF($O250&lt;-2,"Baixo",IF($O250&lt;=2,"Adequado","Elevado"))))</f>
        <v/>
      </c>
      <c r="Q250" s="12">
        <f>IF(OR($S250="",$F250="",$T250="",$T250&lt;0,$T250&gt;60,$AR250=""),"—",ROUND(IF(ABS($AU250)&lt;=3,$AU250,IF($AU250&gt;3,3+($F250-$AW250)/($AW250-$AV250),-3+($F250-$AY250)/($AX250-$AY250))),2))</f>
        <v/>
      </c>
      <c r="R250">
        <f>IF(OR($Q250="",$Q250="—"),"",IF($Q250&lt;-3,"Magreza acentuada",IF($Q250&lt;-2,"Magreza",IF($Q250&lt;=1,"Eutrofia",IF($Q250&lt;=2,"Risco de sobrepeso",IF($Q250&lt;=3,"Sobrepeso","Obesidade"))))))</f>
        <v/>
      </c>
      <c r="S250">
        <f>IF($C250="","",IF(UPPER(LEFT($C250,1))="M",1,IF(UPPER(LEFT($C250,1))="F",2,"")))</f>
        <v/>
      </c>
      <c r="T250">
        <f>IF(OR($D250="",$E250=""),"",DATEDIF($D250,$E250,"m"))</f>
        <v/>
      </c>
      <c r="U250">
        <f>IF(OR($D250="",$E250=""),"",$E250-$D250)</f>
        <v/>
      </c>
      <c r="V250">
        <f>IF(OR($G250="",$T250=""),"",IF($T250&lt;24,IF(LEFT(LOWER($H250),4)="em p",$G250+0.7,$G250),IF(LEFT(LOWER($H250),4)="deit",$G250-0.7,$G250)))</f>
        <v/>
      </c>
      <c r="W250">
        <f>IF(OR($S250="",$T250=""),"",$S250*1000000+IF($T250&lt;=60,$U250,$T250))</f>
        <v/>
      </c>
      <c r="X250">
        <f>IF(OR($S250="",$V250="",$T250&gt;60,$T250=""),"",$S250*1000000+ROUND($V250*10,0))</f>
        <v/>
      </c>
      <c r="Y250">
        <f>IF($W250="","",IFERROR(INDEX(IF($T250&lt;=60,imc05_l,imc519_l),MATCH($W250,IF($T250&lt;=60,imc05_k,imc519_k),1)),""))</f>
        <v/>
      </c>
      <c r="Z250">
        <f>IF($W250="","",IFERROR(INDEX(IF($T250&lt;=60,imc05_m,imc519_m),MATCH($W250,IF($T250&lt;=60,imc05_k,imc519_k),1)),""))</f>
        <v/>
      </c>
      <c r="AA250">
        <f>IF($W250="","",IFERROR(INDEX(IF($T250&lt;=60,imc05_s,imc519_s),MATCH($W250,IF($T250&lt;=60,imc05_k,imc519_k),1)),""))</f>
        <v/>
      </c>
      <c r="AB250">
        <f>IF($Y250="","",IF($Y250=0,LN($J250/$Z250)/$AA250,((($J250/$Z250)^$Y250)-1)/($Y250*$AA250)))</f>
        <v/>
      </c>
      <c r="AC250">
        <f>IF($Y250="","",IF($Y250=0,$Z250*EXP($AA250*2),$Z250*(1+$Y250*$AA250*2)^(1/$Y250)))</f>
        <v/>
      </c>
      <c r="AD250">
        <f>IF($Y250="","",IF($Y250=0,$Z250*EXP($AA250*3),$Z250*(1+$Y250*$AA250*3)^(1/$Y250)))</f>
        <v/>
      </c>
      <c r="AE250">
        <f>IF($Y250="","",IF($Y250=0,$Z250*EXP($AA250*-2),$Z250*(1+$Y250*$AA250*-2)^(1/$Y250)))</f>
        <v/>
      </c>
      <c r="AF250">
        <f>IF($Y250="","",IF($Y250=0,$Z250*EXP($AA250*-3),$Z250*(1+$Y250*$AA250*-3)^(1/$Y250)))</f>
        <v/>
      </c>
      <c r="AG250">
        <f>IF($W250="","",IFERROR(INDEX(IF($T250&lt;=60,est05_l,est519_l),MATCH($W250,IF($T250&lt;=60,est05_k,est519_k),1)),""))</f>
        <v/>
      </c>
      <c r="AH250">
        <f>IF($W250="","",IFERROR(INDEX(IF($T250&lt;=60,est05_m,est519_m),MATCH($W250,IF($T250&lt;=60,est05_k,est519_k),1)),""))</f>
        <v/>
      </c>
      <c r="AI250">
        <f>IF($W250="","",IFERROR(INDEX(IF($T250&lt;=60,est05_s,est519_s),MATCH($W250,IF($T250&lt;=60,est05_k,est519_k),1)),""))</f>
        <v/>
      </c>
      <c r="AJ250">
        <f>IF($W250="","",IFERROR(INDEX(IF($T250&lt;=60,peso05_l,peso510_l),MATCH($W250,IF($T250&lt;=60,peso05_k,peso510_k),1)),""))</f>
        <v/>
      </c>
      <c r="AK250">
        <f>IF($W250="","",IFERROR(INDEX(IF($T250&lt;=60,peso05_m,peso510_m),MATCH($W250,IF($T250&lt;=60,peso05_k,peso510_k),1)),""))</f>
        <v/>
      </c>
      <c r="AL250">
        <f>IF($W250="","",IFERROR(INDEX(IF($T250&lt;=60,peso05_s,peso510_s),MATCH($W250,IF($T250&lt;=60,peso05_k,peso510_k),1)),""))</f>
        <v/>
      </c>
      <c r="AM250">
        <f>IF($AJ250="","",IF($AJ250=0,LN($F250/$AK250)/$AL250,((($F250/$AK250)^$AJ250)-1)/($AJ250*$AL250)))</f>
        <v/>
      </c>
      <c r="AN250">
        <f>IF($AJ250="","",IF($AJ250=0,$AK250*EXP($AL250*2),$AK250*(1+$AJ250*$AL250*2)^(1/$AJ250)))</f>
        <v/>
      </c>
      <c r="AO250">
        <f>IF($AJ250="","",IF($AJ250=0,$AK250*EXP($AL250*3),$AK250*(1+$AJ250*$AL250*3)^(1/$AJ250)))</f>
        <v/>
      </c>
      <c r="AP250">
        <f>IF($AJ250="","",IF($AJ250=0,$AK250*EXP($AL250*-2),$AK250*(1+$AJ250*$AL250*-2)^(1/$AJ250)))</f>
        <v/>
      </c>
      <c r="AQ250">
        <f>IF($AJ250="","",IF($AJ250=0,$AK250*EXP($AL250*-3),$AK250*(1+$AJ250*$AL250*-3)^(1/$AJ250)))</f>
        <v/>
      </c>
      <c r="AR250">
        <f>IF(OR($X250="",$T250&gt;60),"",IFERROR(INDEX(IF($T250&lt;24,pcomp_l,palt_l),MATCH($X250,IF($T250&lt;24,pcomp_k,palt_k),1)),""))</f>
        <v/>
      </c>
      <c r="AS250">
        <f>IF(OR($X250="",$T250&gt;60),"",IFERROR(INDEX(IF($T250&lt;24,pcomp_m,palt_m),MATCH($X250,IF($T250&lt;24,pcomp_k,palt_k),1)),""))</f>
        <v/>
      </c>
      <c r="AT250">
        <f>IF(OR($X250="",$T250&gt;60),"",IFERROR(INDEX(IF($T250&lt;24,pcomp_s,palt_s),MATCH($X250,IF($T250&lt;24,pcomp_k,palt_k),1)),""))</f>
        <v/>
      </c>
      <c r="AU250">
        <f>IF($AR250="","",IF($AR250=0,LN($F250/$AS250)/$AT250,((($F250/$AS250)^$AR250)-1)/($AR250*$AT250)))</f>
        <v/>
      </c>
      <c r="AV250">
        <f>IF($AR250="","",IF($AR250=0,$AS250*EXP($AT250*2),$AS250*(1+$AR250*$AT250*2)^(1/$AR250)))</f>
        <v/>
      </c>
      <c r="AW250">
        <f>IF($AR250="","",IF($AR250=0,$AS250*EXP($AT250*3),$AS250*(1+$AR250*$AT250*3)^(1/$AR250)))</f>
        <v/>
      </c>
      <c r="AX250">
        <f>IF($AR250="","",IF($AR250=0,$AS250*EXP($AT250*-2),$AS250*(1+$AR250*$AT250*-2)^(1/$AR250)))</f>
        <v/>
      </c>
      <c r="AY250">
        <f>IF($AR250="","",IF($AR250=0,$AS250*EXP($AT250*-3),$AS250*(1+$AR250*$AT250*-3)^(1/$AR250)))</f>
        <v/>
      </c>
      <c r="AZ250">
        <f>IF(OR($A250="",$A250&lt;&gt;Ficha!$C$4),"",COUNTIF($A$2:$A250,Ficha!$C$4))</f>
        <v/>
      </c>
    </row>
    <row r="251">
      <c r="A251" s="8">
        <f>IF(INDEX(Banco!$A:$A,ROW())="","",INDEX(Banco!$A:$A,ROW()))</f>
        <v/>
      </c>
      <c r="B251" s="8">
        <f>IF(INDEX(Banco!$B:$B,ROW())="","",INDEX(Banco!$B:$B,ROW()))</f>
        <v/>
      </c>
      <c r="C251" s="8">
        <f>IF(INDEX(Banco!$C:$C,ROW())="","",INDEX(Banco!$C:$C,ROW()))</f>
        <v/>
      </c>
      <c r="D251" s="9">
        <f>IF(INDEX(Banco!$D:$D,ROW())="","",INDEX(Banco!$D:$D,ROW()))</f>
        <v/>
      </c>
      <c r="E251" s="9">
        <f>IF(INDEX(Banco!$E:$E,ROW())="","",INDEX(Banco!$E:$E,ROW()))</f>
        <v/>
      </c>
      <c r="F251" s="10">
        <f>IF(INDEX(Banco!$F:$F,ROW())="","",INDEX(Banco!$F:$F,ROW()))</f>
        <v/>
      </c>
      <c r="G251" s="10">
        <f>IF(INDEX(Banco!$G:$G,ROW())="","",INDEX(Banco!$G:$G,ROW()))</f>
        <v/>
      </c>
      <c r="H251" s="8">
        <f>IF(INDEX(Banco!$H:$H,ROW())="","",INDEX(Banco!$H:$H,ROW()))</f>
        <v/>
      </c>
      <c r="I251">
        <f>IF($T251="","",INT($T251/12)&amp;"a "&amp;MOD($T251,12)&amp;"m")</f>
        <v/>
      </c>
      <c r="J251" s="11">
        <f>IF(OR($F251="",$G251=""),"",ROUND($F251/($G251/100)^2,2))</f>
        <v/>
      </c>
      <c r="K251" s="12">
        <f>IF(OR($S251="",$J251="",$T251="",$T251&lt;0,$T251&gt;228,$Y251=""),"—",ROUND(IF(ABS($AB251)&lt;=3,$AB251,IF($AB251&gt;3,3+($J251-$AD251)/($AD251-$AC251),-3+($J251-$AF251)/($AE251-$AF251))),2))</f>
        <v/>
      </c>
      <c r="L251">
        <f>IF(OR($K251="",$K251="—"),"",IF($T251&lt;=60,IF($K251&lt;-3,"Magreza acentuada",IF($K251&lt;-2,"Magreza",IF($K251&lt;=1,"Eutrofia",IF($K251&lt;=2,"Risco de sobrepeso",IF($K251&lt;=3,"Sobrepeso","Obesidade"))))),IF($K251&lt;-3,"Magreza acentuada",IF($K251&lt;-2,"Magreza",IF($K251&lt;=1,"Eutrofia",IF($K251&lt;=2,"Sobrepeso",IF($K251&lt;=3,"Obesidade","Obesidade grave")))))))</f>
        <v/>
      </c>
      <c r="M251" s="12">
        <f>IF(OR($S251="",$V251="",$T251="",$T251&lt;0,$T251&gt;228,$AG251=""),"—",ROUND(IF($AG251=0,LN($V251/$AH251)/$AI251,((($V251/$AH251)^$AG251)-1)/($AG251*$AI251)),2))</f>
        <v/>
      </c>
      <c r="N251">
        <f>IF(OR($M251="",$M251="—"),"",IF($M251&lt;-3,"Muito baixa",IF($M251&lt;-2,"Baixa","Adequada")))</f>
        <v/>
      </c>
      <c r="O251" s="12">
        <f>IF(OR($S251="",$F251="",$T251="",$T251&lt;0,$T251&gt;120,$AJ251=""),"—",ROUND(IF(ABS($AM251)&lt;=3,$AM251,IF($AM251&gt;3,3+($F251-$AO251)/($AO251-$AN251),-3+($F251-$AQ251)/($AP251-$AQ251))),2))</f>
        <v/>
      </c>
      <c r="P251">
        <f>IF(OR($O251="",$O251="—"),"",IF($O251&lt;-3,"Muito baixo",IF($O251&lt;-2,"Baixo",IF($O251&lt;=2,"Adequado","Elevado"))))</f>
        <v/>
      </c>
      <c r="Q251" s="12">
        <f>IF(OR($S251="",$F251="",$T251="",$T251&lt;0,$T251&gt;60,$AR251=""),"—",ROUND(IF(ABS($AU251)&lt;=3,$AU251,IF($AU251&gt;3,3+($F251-$AW251)/($AW251-$AV251),-3+($F251-$AY251)/($AX251-$AY251))),2))</f>
        <v/>
      </c>
      <c r="R251">
        <f>IF(OR($Q251="",$Q251="—"),"",IF($Q251&lt;-3,"Magreza acentuada",IF($Q251&lt;-2,"Magreza",IF($Q251&lt;=1,"Eutrofia",IF($Q251&lt;=2,"Risco de sobrepeso",IF($Q251&lt;=3,"Sobrepeso","Obesidade"))))))</f>
        <v/>
      </c>
      <c r="S251">
        <f>IF($C251="","",IF(UPPER(LEFT($C251,1))="M",1,IF(UPPER(LEFT($C251,1))="F",2,"")))</f>
        <v/>
      </c>
      <c r="T251">
        <f>IF(OR($D251="",$E251=""),"",DATEDIF($D251,$E251,"m"))</f>
        <v/>
      </c>
      <c r="U251">
        <f>IF(OR($D251="",$E251=""),"",$E251-$D251)</f>
        <v/>
      </c>
      <c r="V251">
        <f>IF(OR($G251="",$T251=""),"",IF($T251&lt;24,IF(LEFT(LOWER($H251),4)="em p",$G251+0.7,$G251),IF(LEFT(LOWER($H251),4)="deit",$G251-0.7,$G251)))</f>
        <v/>
      </c>
      <c r="W251">
        <f>IF(OR($S251="",$T251=""),"",$S251*1000000+IF($T251&lt;=60,$U251,$T251))</f>
        <v/>
      </c>
      <c r="X251">
        <f>IF(OR($S251="",$V251="",$T251&gt;60,$T251=""),"",$S251*1000000+ROUND($V251*10,0))</f>
        <v/>
      </c>
      <c r="Y251">
        <f>IF($W251="","",IFERROR(INDEX(IF($T251&lt;=60,imc05_l,imc519_l),MATCH($W251,IF($T251&lt;=60,imc05_k,imc519_k),1)),""))</f>
        <v/>
      </c>
      <c r="Z251">
        <f>IF($W251="","",IFERROR(INDEX(IF($T251&lt;=60,imc05_m,imc519_m),MATCH($W251,IF($T251&lt;=60,imc05_k,imc519_k),1)),""))</f>
        <v/>
      </c>
      <c r="AA251">
        <f>IF($W251="","",IFERROR(INDEX(IF($T251&lt;=60,imc05_s,imc519_s),MATCH($W251,IF($T251&lt;=60,imc05_k,imc519_k),1)),""))</f>
        <v/>
      </c>
      <c r="AB251">
        <f>IF($Y251="","",IF($Y251=0,LN($J251/$Z251)/$AA251,((($J251/$Z251)^$Y251)-1)/($Y251*$AA251)))</f>
        <v/>
      </c>
      <c r="AC251">
        <f>IF($Y251="","",IF($Y251=0,$Z251*EXP($AA251*2),$Z251*(1+$Y251*$AA251*2)^(1/$Y251)))</f>
        <v/>
      </c>
      <c r="AD251">
        <f>IF($Y251="","",IF($Y251=0,$Z251*EXP($AA251*3),$Z251*(1+$Y251*$AA251*3)^(1/$Y251)))</f>
        <v/>
      </c>
      <c r="AE251">
        <f>IF($Y251="","",IF($Y251=0,$Z251*EXP($AA251*-2),$Z251*(1+$Y251*$AA251*-2)^(1/$Y251)))</f>
        <v/>
      </c>
      <c r="AF251">
        <f>IF($Y251="","",IF($Y251=0,$Z251*EXP($AA251*-3),$Z251*(1+$Y251*$AA251*-3)^(1/$Y251)))</f>
        <v/>
      </c>
      <c r="AG251">
        <f>IF($W251="","",IFERROR(INDEX(IF($T251&lt;=60,est05_l,est519_l),MATCH($W251,IF($T251&lt;=60,est05_k,est519_k),1)),""))</f>
        <v/>
      </c>
      <c r="AH251">
        <f>IF($W251="","",IFERROR(INDEX(IF($T251&lt;=60,est05_m,est519_m),MATCH($W251,IF($T251&lt;=60,est05_k,est519_k),1)),""))</f>
        <v/>
      </c>
      <c r="AI251">
        <f>IF($W251="","",IFERROR(INDEX(IF($T251&lt;=60,est05_s,est519_s),MATCH($W251,IF($T251&lt;=60,est05_k,est519_k),1)),""))</f>
        <v/>
      </c>
      <c r="AJ251">
        <f>IF($W251="","",IFERROR(INDEX(IF($T251&lt;=60,peso05_l,peso510_l),MATCH($W251,IF($T251&lt;=60,peso05_k,peso510_k),1)),""))</f>
        <v/>
      </c>
      <c r="AK251">
        <f>IF($W251="","",IFERROR(INDEX(IF($T251&lt;=60,peso05_m,peso510_m),MATCH($W251,IF($T251&lt;=60,peso05_k,peso510_k),1)),""))</f>
        <v/>
      </c>
      <c r="AL251">
        <f>IF($W251="","",IFERROR(INDEX(IF($T251&lt;=60,peso05_s,peso510_s),MATCH($W251,IF($T251&lt;=60,peso05_k,peso510_k),1)),""))</f>
        <v/>
      </c>
      <c r="AM251">
        <f>IF($AJ251="","",IF($AJ251=0,LN($F251/$AK251)/$AL251,((($F251/$AK251)^$AJ251)-1)/($AJ251*$AL251)))</f>
        <v/>
      </c>
      <c r="AN251">
        <f>IF($AJ251="","",IF($AJ251=0,$AK251*EXP($AL251*2),$AK251*(1+$AJ251*$AL251*2)^(1/$AJ251)))</f>
        <v/>
      </c>
      <c r="AO251">
        <f>IF($AJ251="","",IF($AJ251=0,$AK251*EXP($AL251*3),$AK251*(1+$AJ251*$AL251*3)^(1/$AJ251)))</f>
        <v/>
      </c>
      <c r="AP251">
        <f>IF($AJ251="","",IF($AJ251=0,$AK251*EXP($AL251*-2),$AK251*(1+$AJ251*$AL251*-2)^(1/$AJ251)))</f>
        <v/>
      </c>
      <c r="AQ251">
        <f>IF($AJ251="","",IF($AJ251=0,$AK251*EXP($AL251*-3),$AK251*(1+$AJ251*$AL251*-3)^(1/$AJ251)))</f>
        <v/>
      </c>
      <c r="AR251">
        <f>IF(OR($X251="",$T251&gt;60),"",IFERROR(INDEX(IF($T251&lt;24,pcomp_l,palt_l),MATCH($X251,IF($T251&lt;24,pcomp_k,palt_k),1)),""))</f>
        <v/>
      </c>
      <c r="AS251">
        <f>IF(OR($X251="",$T251&gt;60),"",IFERROR(INDEX(IF($T251&lt;24,pcomp_m,palt_m),MATCH($X251,IF($T251&lt;24,pcomp_k,palt_k),1)),""))</f>
        <v/>
      </c>
      <c r="AT251">
        <f>IF(OR($X251="",$T251&gt;60),"",IFERROR(INDEX(IF($T251&lt;24,pcomp_s,palt_s),MATCH($X251,IF($T251&lt;24,pcomp_k,palt_k),1)),""))</f>
        <v/>
      </c>
      <c r="AU251">
        <f>IF($AR251="","",IF($AR251=0,LN($F251/$AS251)/$AT251,((($F251/$AS251)^$AR251)-1)/($AR251*$AT251)))</f>
        <v/>
      </c>
      <c r="AV251">
        <f>IF($AR251="","",IF($AR251=0,$AS251*EXP($AT251*2),$AS251*(1+$AR251*$AT251*2)^(1/$AR251)))</f>
        <v/>
      </c>
      <c r="AW251">
        <f>IF($AR251="","",IF($AR251=0,$AS251*EXP($AT251*3),$AS251*(1+$AR251*$AT251*3)^(1/$AR251)))</f>
        <v/>
      </c>
      <c r="AX251">
        <f>IF($AR251="","",IF($AR251=0,$AS251*EXP($AT251*-2),$AS251*(1+$AR251*$AT251*-2)^(1/$AR251)))</f>
        <v/>
      </c>
      <c r="AY251">
        <f>IF($AR251="","",IF($AR251=0,$AS251*EXP($AT251*-3),$AS251*(1+$AR251*$AT251*-3)^(1/$AR251)))</f>
        <v/>
      </c>
      <c r="AZ251">
        <f>IF(OR($A251="",$A251&lt;&gt;Ficha!$C$4),"",COUNTIF($A$2:$A251,Ficha!$C$4))</f>
        <v/>
      </c>
    </row>
    <row r="252">
      <c r="A252" s="8">
        <f>IF(INDEX(Banco!$A:$A,ROW())="","",INDEX(Banco!$A:$A,ROW()))</f>
        <v/>
      </c>
      <c r="B252" s="8">
        <f>IF(INDEX(Banco!$B:$B,ROW())="","",INDEX(Banco!$B:$B,ROW()))</f>
        <v/>
      </c>
      <c r="C252" s="8">
        <f>IF(INDEX(Banco!$C:$C,ROW())="","",INDEX(Banco!$C:$C,ROW()))</f>
        <v/>
      </c>
      <c r="D252" s="9">
        <f>IF(INDEX(Banco!$D:$D,ROW())="","",INDEX(Banco!$D:$D,ROW()))</f>
        <v/>
      </c>
      <c r="E252" s="9">
        <f>IF(INDEX(Banco!$E:$E,ROW())="","",INDEX(Banco!$E:$E,ROW()))</f>
        <v/>
      </c>
      <c r="F252" s="10">
        <f>IF(INDEX(Banco!$F:$F,ROW())="","",INDEX(Banco!$F:$F,ROW()))</f>
        <v/>
      </c>
      <c r="G252" s="10">
        <f>IF(INDEX(Banco!$G:$G,ROW())="","",INDEX(Banco!$G:$G,ROW()))</f>
        <v/>
      </c>
      <c r="H252" s="8">
        <f>IF(INDEX(Banco!$H:$H,ROW())="","",INDEX(Banco!$H:$H,ROW()))</f>
        <v/>
      </c>
      <c r="I252">
        <f>IF($T252="","",INT($T252/12)&amp;"a "&amp;MOD($T252,12)&amp;"m")</f>
        <v/>
      </c>
      <c r="J252" s="11">
        <f>IF(OR($F252="",$G252=""),"",ROUND($F252/($G252/100)^2,2))</f>
        <v/>
      </c>
      <c r="K252" s="12">
        <f>IF(OR($S252="",$J252="",$T252="",$T252&lt;0,$T252&gt;228,$Y252=""),"—",ROUND(IF(ABS($AB252)&lt;=3,$AB252,IF($AB252&gt;3,3+($J252-$AD252)/($AD252-$AC252),-3+($J252-$AF252)/($AE252-$AF252))),2))</f>
        <v/>
      </c>
      <c r="L252">
        <f>IF(OR($K252="",$K252="—"),"",IF($T252&lt;=60,IF($K252&lt;-3,"Magreza acentuada",IF($K252&lt;-2,"Magreza",IF($K252&lt;=1,"Eutrofia",IF($K252&lt;=2,"Risco de sobrepeso",IF($K252&lt;=3,"Sobrepeso","Obesidade"))))),IF($K252&lt;-3,"Magreza acentuada",IF($K252&lt;-2,"Magreza",IF($K252&lt;=1,"Eutrofia",IF($K252&lt;=2,"Sobrepeso",IF($K252&lt;=3,"Obesidade","Obesidade grave")))))))</f>
        <v/>
      </c>
      <c r="M252" s="12">
        <f>IF(OR($S252="",$V252="",$T252="",$T252&lt;0,$T252&gt;228,$AG252=""),"—",ROUND(IF($AG252=0,LN($V252/$AH252)/$AI252,((($V252/$AH252)^$AG252)-1)/($AG252*$AI252)),2))</f>
        <v/>
      </c>
      <c r="N252">
        <f>IF(OR($M252="",$M252="—"),"",IF($M252&lt;-3,"Muito baixa",IF($M252&lt;-2,"Baixa","Adequada")))</f>
        <v/>
      </c>
      <c r="O252" s="12">
        <f>IF(OR($S252="",$F252="",$T252="",$T252&lt;0,$T252&gt;120,$AJ252=""),"—",ROUND(IF(ABS($AM252)&lt;=3,$AM252,IF($AM252&gt;3,3+($F252-$AO252)/($AO252-$AN252),-3+($F252-$AQ252)/($AP252-$AQ252))),2))</f>
        <v/>
      </c>
      <c r="P252">
        <f>IF(OR($O252="",$O252="—"),"",IF($O252&lt;-3,"Muito baixo",IF($O252&lt;-2,"Baixo",IF($O252&lt;=2,"Adequado","Elevado"))))</f>
        <v/>
      </c>
      <c r="Q252" s="12">
        <f>IF(OR($S252="",$F252="",$T252="",$T252&lt;0,$T252&gt;60,$AR252=""),"—",ROUND(IF(ABS($AU252)&lt;=3,$AU252,IF($AU252&gt;3,3+($F252-$AW252)/($AW252-$AV252),-3+($F252-$AY252)/($AX252-$AY252))),2))</f>
        <v/>
      </c>
      <c r="R252">
        <f>IF(OR($Q252="",$Q252="—"),"",IF($Q252&lt;-3,"Magreza acentuada",IF($Q252&lt;-2,"Magreza",IF($Q252&lt;=1,"Eutrofia",IF($Q252&lt;=2,"Risco de sobrepeso",IF($Q252&lt;=3,"Sobrepeso","Obesidade"))))))</f>
        <v/>
      </c>
      <c r="S252">
        <f>IF($C252="","",IF(UPPER(LEFT($C252,1))="M",1,IF(UPPER(LEFT($C252,1))="F",2,"")))</f>
        <v/>
      </c>
      <c r="T252">
        <f>IF(OR($D252="",$E252=""),"",DATEDIF($D252,$E252,"m"))</f>
        <v/>
      </c>
      <c r="U252">
        <f>IF(OR($D252="",$E252=""),"",$E252-$D252)</f>
        <v/>
      </c>
      <c r="V252">
        <f>IF(OR($G252="",$T252=""),"",IF($T252&lt;24,IF(LEFT(LOWER($H252),4)="em p",$G252+0.7,$G252),IF(LEFT(LOWER($H252),4)="deit",$G252-0.7,$G252)))</f>
        <v/>
      </c>
      <c r="W252">
        <f>IF(OR($S252="",$T252=""),"",$S252*1000000+IF($T252&lt;=60,$U252,$T252))</f>
        <v/>
      </c>
      <c r="X252">
        <f>IF(OR($S252="",$V252="",$T252&gt;60,$T252=""),"",$S252*1000000+ROUND($V252*10,0))</f>
        <v/>
      </c>
      <c r="Y252">
        <f>IF($W252="","",IFERROR(INDEX(IF($T252&lt;=60,imc05_l,imc519_l),MATCH($W252,IF($T252&lt;=60,imc05_k,imc519_k),1)),""))</f>
        <v/>
      </c>
      <c r="Z252">
        <f>IF($W252="","",IFERROR(INDEX(IF($T252&lt;=60,imc05_m,imc519_m),MATCH($W252,IF($T252&lt;=60,imc05_k,imc519_k),1)),""))</f>
        <v/>
      </c>
      <c r="AA252">
        <f>IF($W252="","",IFERROR(INDEX(IF($T252&lt;=60,imc05_s,imc519_s),MATCH($W252,IF($T252&lt;=60,imc05_k,imc519_k),1)),""))</f>
        <v/>
      </c>
      <c r="AB252">
        <f>IF($Y252="","",IF($Y252=0,LN($J252/$Z252)/$AA252,((($J252/$Z252)^$Y252)-1)/($Y252*$AA252)))</f>
        <v/>
      </c>
      <c r="AC252">
        <f>IF($Y252="","",IF($Y252=0,$Z252*EXP($AA252*2),$Z252*(1+$Y252*$AA252*2)^(1/$Y252)))</f>
        <v/>
      </c>
      <c r="AD252">
        <f>IF($Y252="","",IF($Y252=0,$Z252*EXP($AA252*3),$Z252*(1+$Y252*$AA252*3)^(1/$Y252)))</f>
        <v/>
      </c>
      <c r="AE252">
        <f>IF($Y252="","",IF($Y252=0,$Z252*EXP($AA252*-2),$Z252*(1+$Y252*$AA252*-2)^(1/$Y252)))</f>
        <v/>
      </c>
      <c r="AF252">
        <f>IF($Y252="","",IF($Y252=0,$Z252*EXP($AA252*-3),$Z252*(1+$Y252*$AA252*-3)^(1/$Y252)))</f>
        <v/>
      </c>
      <c r="AG252">
        <f>IF($W252="","",IFERROR(INDEX(IF($T252&lt;=60,est05_l,est519_l),MATCH($W252,IF($T252&lt;=60,est05_k,est519_k),1)),""))</f>
        <v/>
      </c>
      <c r="AH252">
        <f>IF($W252="","",IFERROR(INDEX(IF($T252&lt;=60,est05_m,est519_m),MATCH($W252,IF($T252&lt;=60,est05_k,est519_k),1)),""))</f>
        <v/>
      </c>
      <c r="AI252">
        <f>IF($W252="","",IFERROR(INDEX(IF($T252&lt;=60,est05_s,est519_s),MATCH($W252,IF($T252&lt;=60,est05_k,est519_k),1)),""))</f>
        <v/>
      </c>
      <c r="AJ252">
        <f>IF($W252="","",IFERROR(INDEX(IF($T252&lt;=60,peso05_l,peso510_l),MATCH($W252,IF($T252&lt;=60,peso05_k,peso510_k),1)),""))</f>
        <v/>
      </c>
      <c r="AK252">
        <f>IF($W252="","",IFERROR(INDEX(IF($T252&lt;=60,peso05_m,peso510_m),MATCH($W252,IF($T252&lt;=60,peso05_k,peso510_k),1)),""))</f>
        <v/>
      </c>
      <c r="AL252">
        <f>IF($W252="","",IFERROR(INDEX(IF($T252&lt;=60,peso05_s,peso510_s),MATCH($W252,IF($T252&lt;=60,peso05_k,peso510_k),1)),""))</f>
        <v/>
      </c>
      <c r="AM252">
        <f>IF($AJ252="","",IF($AJ252=0,LN($F252/$AK252)/$AL252,((($F252/$AK252)^$AJ252)-1)/($AJ252*$AL252)))</f>
        <v/>
      </c>
      <c r="AN252">
        <f>IF($AJ252="","",IF($AJ252=0,$AK252*EXP($AL252*2),$AK252*(1+$AJ252*$AL252*2)^(1/$AJ252)))</f>
        <v/>
      </c>
      <c r="AO252">
        <f>IF($AJ252="","",IF($AJ252=0,$AK252*EXP($AL252*3),$AK252*(1+$AJ252*$AL252*3)^(1/$AJ252)))</f>
        <v/>
      </c>
      <c r="AP252">
        <f>IF($AJ252="","",IF($AJ252=0,$AK252*EXP($AL252*-2),$AK252*(1+$AJ252*$AL252*-2)^(1/$AJ252)))</f>
        <v/>
      </c>
      <c r="AQ252">
        <f>IF($AJ252="","",IF($AJ252=0,$AK252*EXP($AL252*-3),$AK252*(1+$AJ252*$AL252*-3)^(1/$AJ252)))</f>
        <v/>
      </c>
      <c r="AR252">
        <f>IF(OR($X252="",$T252&gt;60),"",IFERROR(INDEX(IF($T252&lt;24,pcomp_l,palt_l),MATCH($X252,IF($T252&lt;24,pcomp_k,palt_k),1)),""))</f>
        <v/>
      </c>
      <c r="AS252">
        <f>IF(OR($X252="",$T252&gt;60),"",IFERROR(INDEX(IF($T252&lt;24,pcomp_m,palt_m),MATCH($X252,IF($T252&lt;24,pcomp_k,palt_k),1)),""))</f>
        <v/>
      </c>
      <c r="AT252">
        <f>IF(OR($X252="",$T252&gt;60),"",IFERROR(INDEX(IF($T252&lt;24,pcomp_s,palt_s),MATCH($X252,IF($T252&lt;24,pcomp_k,palt_k),1)),""))</f>
        <v/>
      </c>
      <c r="AU252">
        <f>IF($AR252="","",IF($AR252=0,LN($F252/$AS252)/$AT252,((($F252/$AS252)^$AR252)-1)/($AR252*$AT252)))</f>
        <v/>
      </c>
      <c r="AV252">
        <f>IF($AR252="","",IF($AR252=0,$AS252*EXP($AT252*2),$AS252*(1+$AR252*$AT252*2)^(1/$AR252)))</f>
        <v/>
      </c>
      <c r="AW252">
        <f>IF($AR252="","",IF($AR252=0,$AS252*EXP($AT252*3),$AS252*(1+$AR252*$AT252*3)^(1/$AR252)))</f>
        <v/>
      </c>
      <c r="AX252">
        <f>IF($AR252="","",IF($AR252=0,$AS252*EXP($AT252*-2),$AS252*(1+$AR252*$AT252*-2)^(1/$AR252)))</f>
        <v/>
      </c>
      <c r="AY252">
        <f>IF($AR252="","",IF($AR252=0,$AS252*EXP($AT252*-3),$AS252*(1+$AR252*$AT252*-3)^(1/$AR252)))</f>
        <v/>
      </c>
      <c r="AZ252">
        <f>IF(OR($A252="",$A252&lt;&gt;Ficha!$C$4),"",COUNTIF($A$2:$A252,Ficha!$C$4))</f>
        <v/>
      </c>
    </row>
    <row r="253">
      <c r="A253" s="8">
        <f>IF(INDEX(Banco!$A:$A,ROW())="","",INDEX(Banco!$A:$A,ROW()))</f>
        <v/>
      </c>
      <c r="B253" s="8">
        <f>IF(INDEX(Banco!$B:$B,ROW())="","",INDEX(Banco!$B:$B,ROW()))</f>
        <v/>
      </c>
      <c r="C253" s="8">
        <f>IF(INDEX(Banco!$C:$C,ROW())="","",INDEX(Banco!$C:$C,ROW()))</f>
        <v/>
      </c>
      <c r="D253" s="9">
        <f>IF(INDEX(Banco!$D:$D,ROW())="","",INDEX(Banco!$D:$D,ROW()))</f>
        <v/>
      </c>
      <c r="E253" s="9">
        <f>IF(INDEX(Banco!$E:$E,ROW())="","",INDEX(Banco!$E:$E,ROW()))</f>
        <v/>
      </c>
      <c r="F253" s="10">
        <f>IF(INDEX(Banco!$F:$F,ROW())="","",INDEX(Banco!$F:$F,ROW()))</f>
        <v/>
      </c>
      <c r="G253" s="10">
        <f>IF(INDEX(Banco!$G:$G,ROW())="","",INDEX(Banco!$G:$G,ROW()))</f>
        <v/>
      </c>
      <c r="H253" s="8">
        <f>IF(INDEX(Banco!$H:$H,ROW())="","",INDEX(Banco!$H:$H,ROW()))</f>
        <v/>
      </c>
      <c r="I253">
        <f>IF($T253="","",INT($T253/12)&amp;"a "&amp;MOD($T253,12)&amp;"m")</f>
        <v/>
      </c>
      <c r="J253" s="11">
        <f>IF(OR($F253="",$G253=""),"",ROUND($F253/($G253/100)^2,2))</f>
        <v/>
      </c>
      <c r="K253" s="12">
        <f>IF(OR($S253="",$J253="",$T253="",$T253&lt;0,$T253&gt;228,$Y253=""),"—",ROUND(IF(ABS($AB253)&lt;=3,$AB253,IF($AB253&gt;3,3+($J253-$AD253)/($AD253-$AC253),-3+($J253-$AF253)/($AE253-$AF253))),2))</f>
        <v/>
      </c>
      <c r="L253">
        <f>IF(OR($K253="",$K253="—"),"",IF($T253&lt;=60,IF($K253&lt;-3,"Magreza acentuada",IF($K253&lt;-2,"Magreza",IF($K253&lt;=1,"Eutrofia",IF($K253&lt;=2,"Risco de sobrepeso",IF($K253&lt;=3,"Sobrepeso","Obesidade"))))),IF($K253&lt;-3,"Magreza acentuada",IF($K253&lt;-2,"Magreza",IF($K253&lt;=1,"Eutrofia",IF($K253&lt;=2,"Sobrepeso",IF($K253&lt;=3,"Obesidade","Obesidade grave")))))))</f>
        <v/>
      </c>
      <c r="M253" s="12">
        <f>IF(OR($S253="",$V253="",$T253="",$T253&lt;0,$T253&gt;228,$AG253=""),"—",ROUND(IF($AG253=0,LN($V253/$AH253)/$AI253,((($V253/$AH253)^$AG253)-1)/($AG253*$AI253)),2))</f>
        <v/>
      </c>
      <c r="N253">
        <f>IF(OR($M253="",$M253="—"),"",IF($M253&lt;-3,"Muito baixa",IF($M253&lt;-2,"Baixa","Adequada")))</f>
        <v/>
      </c>
      <c r="O253" s="12">
        <f>IF(OR($S253="",$F253="",$T253="",$T253&lt;0,$T253&gt;120,$AJ253=""),"—",ROUND(IF(ABS($AM253)&lt;=3,$AM253,IF($AM253&gt;3,3+($F253-$AO253)/($AO253-$AN253),-3+($F253-$AQ253)/($AP253-$AQ253))),2))</f>
        <v/>
      </c>
      <c r="P253">
        <f>IF(OR($O253="",$O253="—"),"",IF($O253&lt;-3,"Muito baixo",IF($O253&lt;-2,"Baixo",IF($O253&lt;=2,"Adequado","Elevado"))))</f>
        <v/>
      </c>
      <c r="Q253" s="12">
        <f>IF(OR($S253="",$F253="",$T253="",$T253&lt;0,$T253&gt;60,$AR253=""),"—",ROUND(IF(ABS($AU253)&lt;=3,$AU253,IF($AU253&gt;3,3+($F253-$AW253)/($AW253-$AV253),-3+($F253-$AY253)/($AX253-$AY253))),2))</f>
        <v/>
      </c>
      <c r="R253">
        <f>IF(OR($Q253="",$Q253="—"),"",IF($Q253&lt;-3,"Magreza acentuada",IF($Q253&lt;-2,"Magreza",IF($Q253&lt;=1,"Eutrofia",IF($Q253&lt;=2,"Risco de sobrepeso",IF($Q253&lt;=3,"Sobrepeso","Obesidade"))))))</f>
        <v/>
      </c>
      <c r="S253">
        <f>IF($C253="","",IF(UPPER(LEFT($C253,1))="M",1,IF(UPPER(LEFT($C253,1))="F",2,"")))</f>
        <v/>
      </c>
      <c r="T253">
        <f>IF(OR($D253="",$E253=""),"",DATEDIF($D253,$E253,"m"))</f>
        <v/>
      </c>
      <c r="U253">
        <f>IF(OR($D253="",$E253=""),"",$E253-$D253)</f>
        <v/>
      </c>
      <c r="V253">
        <f>IF(OR($G253="",$T253=""),"",IF($T253&lt;24,IF(LEFT(LOWER($H253),4)="em p",$G253+0.7,$G253),IF(LEFT(LOWER($H253),4)="deit",$G253-0.7,$G253)))</f>
        <v/>
      </c>
      <c r="W253">
        <f>IF(OR($S253="",$T253=""),"",$S253*1000000+IF($T253&lt;=60,$U253,$T253))</f>
        <v/>
      </c>
      <c r="X253">
        <f>IF(OR($S253="",$V253="",$T253&gt;60,$T253=""),"",$S253*1000000+ROUND($V253*10,0))</f>
        <v/>
      </c>
      <c r="Y253">
        <f>IF($W253="","",IFERROR(INDEX(IF($T253&lt;=60,imc05_l,imc519_l),MATCH($W253,IF($T253&lt;=60,imc05_k,imc519_k),1)),""))</f>
        <v/>
      </c>
      <c r="Z253">
        <f>IF($W253="","",IFERROR(INDEX(IF($T253&lt;=60,imc05_m,imc519_m),MATCH($W253,IF($T253&lt;=60,imc05_k,imc519_k),1)),""))</f>
        <v/>
      </c>
      <c r="AA253">
        <f>IF($W253="","",IFERROR(INDEX(IF($T253&lt;=60,imc05_s,imc519_s),MATCH($W253,IF($T253&lt;=60,imc05_k,imc519_k),1)),""))</f>
        <v/>
      </c>
      <c r="AB253">
        <f>IF($Y253="","",IF($Y253=0,LN($J253/$Z253)/$AA253,((($J253/$Z253)^$Y253)-1)/($Y253*$AA253)))</f>
        <v/>
      </c>
      <c r="AC253">
        <f>IF($Y253="","",IF($Y253=0,$Z253*EXP($AA253*2),$Z253*(1+$Y253*$AA253*2)^(1/$Y253)))</f>
        <v/>
      </c>
      <c r="AD253">
        <f>IF($Y253="","",IF($Y253=0,$Z253*EXP($AA253*3),$Z253*(1+$Y253*$AA253*3)^(1/$Y253)))</f>
        <v/>
      </c>
      <c r="AE253">
        <f>IF($Y253="","",IF($Y253=0,$Z253*EXP($AA253*-2),$Z253*(1+$Y253*$AA253*-2)^(1/$Y253)))</f>
        <v/>
      </c>
      <c r="AF253">
        <f>IF($Y253="","",IF($Y253=0,$Z253*EXP($AA253*-3),$Z253*(1+$Y253*$AA253*-3)^(1/$Y253)))</f>
        <v/>
      </c>
      <c r="AG253">
        <f>IF($W253="","",IFERROR(INDEX(IF($T253&lt;=60,est05_l,est519_l),MATCH($W253,IF($T253&lt;=60,est05_k,est519_k),1)),""))</f>
        <v/>
      </c>
      <c r="AH253">
        <f>IF($W253="","",IFERROR(INDEX(IF($T253&lt;=60,est05_m,est519_m),MATCH($W253,IF($T253&lt;=60,est05_k,est519_k),1)),""))</f>
        <v/>
      </c>
      <c r="AI253">
        <f>IF($W253="","",IFERROR(INDEX(IF($T253&lt;=60,est05_s,est519_s),MATCH($W253,IF($T253&lt;=60,est05_k,est519_k),1)),""))</f>
        <v/>
      </c>
      <c r="AJ253">
        <f>IF($W253="","",IFERROR(INDEX(IF($T253&lt;=60,peso05_l,peso510_l),MATCH($W253,IF($T253&lt;=60,peso05_k,peso510_k),1)),""))</f>
        <v/>
      </c>
      <c r="AK253">
        <f>IF($W253="","",IFERROR(INDEX(IF($T253&lt;=60,peso05_m,peso510_m),MATCH($W253,IF($T253&lt;=60,peso05_k,peso510_k),1)),""))</f>
        <v/>
      </c>
      <c r="AL253">
        <f>IF($W253="","",IFERROR(INDEX(IF($T253&lt;=60,peso05_s,peso510_s),MATCH($W253,IF($T253&lt;=60,peso05_k,peso510_k),1)),""))</f>
        <v/>
      </c>
      <c r="AM253">
        <f>IF($AJ253="","",IF($AJ253=0,LN($F253/$AK253)/$AL253,((($F253/$AK253)^$AJ253)-1)/($AJ253*$AL253)))</f>
        <v/>
      </c>
      <c r="AN253">
        <f>IF($AJ253="","",IF($AJ253=0,$AK253*EXP($AL253*2),$AK253*(1+$AJ253*$AL253*2)^(1/$AJ253)))</f>
        <v/>
      </c>
      <c r="AO253">
        <f>IF($AJ253="","",IF($AJ253=0,$AK253*EXP($AL253*3),$AK253*(1+$AJ253*$AL253*3)^(1/$AJ253)))</f>
        <v/>
      </c>
      <c r="AP253">
        <f>IF($AJ253="","",IF($AJ253=0,$AK253*EXP($AL253*-2),$AK253*(1+$AJ253*$AL253*-2)^(1/$AJ253)))</f>
        <v/>
      </c>
      <c r="AQ253">
        <f>IF($AJ253="","",IF($AJ253=0,$AK253*EXP($AL253*-3),$AK253*(1+$AJ253*$AL253*-3)^(1/$AJ253)))</f>
        <v/>
      </c>
      <c r="AR253">
        <f>IF(OR($X253="",$T253&gt;60),"",IFERROR(INDEX(IF($T253&lt;24,pcomp_l,palt_l),MATCH($X253,IF($T253&lt;24,pcomp_k,palt_k),1)),""))</f>
        <v/>
      </c>
      <c r="AS253">
        <f>IF(OR($X253="",$T253&gt;60),"",IFERROR(INDEX(IF($T253&lt;24,pcomp_m,palt_m),MATCH($X253,IF($T253&lt;24,pcomp_k,palt_k),1)),""))</f>
        <v/>
      </c>
      <c r="AT253">
        <f>IF(OR($X253="",$T253&gt;60),"",IFERROR(INDEX(IF($T253&lt;24,pcomp_s,palt_s),MATCH($X253,IF($T253&lt;24,pcomp_k,palt_k),1)),""))</f>
        <v/>
      </c>
      <c r="AU253">
        <f>IF($AR253="","",IF($AR253=0,LN($F253/$AS253)/$AT253,((($F253/$AS253)^$AR253)-1)/($AR253*$AT253)))</f>
        <v/>
      </c>
      <c r="AV253">
        <f>IF($AR253="","",IF($AR253=0,$AS253*EXP($AT253*2),$AS253*(1+$AR253*$AT253*2)^(1/$AR253)))</f>
        <v/>
      </c>
      <c r="AW253">
        <f>IF($AR253="","",IF($AR253=0,$AS253*EXP($AT253*3),$AS253*(1+$AR253*$AT253*3)^(1/$AR253)))</f>
        <v/>
      </c>
      <c r="AX253">
        <f>IF($AR253="","",IF($AR253=0,$AS253*EXP($AT253*-2),$AS253*(1+$AR253*$AT253*-2)^(1/$AR253)))</f>
        <v/>
      </c>
      <c r="AY253">
        <f>IF($AR253="","",IF($AR253=0,$AS253*EXP($AT253*-3),$AS253*(1+$AR253*$AT253*-3)^(1/$AR253)))</f>
        <v/>
      </c>
      <c r="AZ253">
        <f>IF(OR($A253="",$A253&lt;&gt;Ficha!$C$4),"",COUNTIF($A$2:$A253,Ficha!$C$4))</f>
        <v/>
      </c>
    </row>
    <row r="254">
      <c r="A254" s="8">
        <f>IF(INDEX(Banco!$A:$A,ROW())="","",INDEX(Banco!$A:$A,ROW()))</f>
        <v/>
      </c>
      <c r="B254" s="8">
        <f>IF(INDEX(Banco!$B:$B,ROW())="","",INDEX(Banco!$B:$B,ROW()))</f>
        <v/>
      </c>
      <c r="C254" s="8">
        <f>IF(INDEX(Banco!$C:$C,ROW())="","",INDEX(Banco!$C:$C,ROW()))</f>
        <v/>
      </c>
      <c r="D254" s="9">
        <f>IF(INDEX(Banco!$D:$D,ROW())="","",INDEX(Banco!$D:$D,ROW()))</f>
        <v/>
      </c>
      <c r="E254" s="9">
        <f>IF(INDEX(Banco!$E:$E,ROW())="","",INDEX(Banco!$E:$E,ROW()))</f>
        <v/>
      </c>
      <c r="F254" s="10">
        <f>IF(INDEX(Banco!$F:$F,ROW())="","",INDEX(Banco!$F:$F,ROW()))</f>
        <v/>
      </c>
      <c r="G254" s="10">
        <f>IF(INDEX(Banco!$G:$G,ROW())="","",INDEX(Banco!$G:$G,ROW()))</f>
        <v/>
      </c>
      <c r="H254" s="8">
        <f>IF(INDEX(Banco!$H:$H,ROW())="","",INDEX(Banco!$H:$H,ROW()))</f>
        <v/>
      </c>
      <c r="I254">
        <f>IF($T254="","",INT($T254/12)&amp;"a "&amp;MOD($T254,12)&amp;"m")</f>
        <v/>
      </c>
      <c r="J254" s="11">
        <f>IF(OR($F254="",$G254=""),"",ROUND($F254/($G254/100)^2,2))</f>
        <v/>
      </c>
      <c r="K254" s="12">
        <f>IF(OR($S254="",$J254="",$T254="",$T254&lt;0,$T254&gt;228,$Y254=""),"—",ROUND(IF(ABS($AB254)&lt;=3,$AB254,IF($AB254&gt;3,3+($J254-$AD254)/($AD254-$AC254),-3+($J254-$AF254)/($AE254-$AF254))),2))</f>
        <v/>
      </c>
      <c r="L254">
        <f>IF(OR($K254="",$K254="—"),"",IF($T254&lt;=60,IF($K254&lt;-3,"Magreza acentuada",IF($K254&lt;-2,"Magreza",IF($K254&lt;=1,"Eutrofia",IF($K254&lt;=2,"Risco de sobrepeso",IF($K254&lt;=3,"Sobrepeso","Obesidade"))))),IF($K254&lt;-3,"Magreza acentuada",IF($K254&lt;-2,"Magreza",IF($K254&lt;=1,"Eutrofia",IF($K254&lt;=2,"Sobrepeso",IF($K254&lt;=3,"Obesidade","Obesidade grave")))))))</f>
        <v/>
      </c>
      <c r="M254" s="12">
        <f>IF(OR($S254="",$V254="",$T254="",$T254&lt;0,$T254&gt;228,$AG254=""),"—",ROUND(IF($AG254=0,LN($V254/$AH254)/$AI254,((($V254/$AH254)^$AG254)-1)/($AG254*$AI254)),2))</f>
        <v/>
      </c>
      <c r="N254">
        <f>IF(OR($M254="",$M254="—"),"",IF($M254&lt;-3,"Muito baixa",IF($M254&lt;-2,"Baixa","Adequada")))</f>
        <v/>
      </c>
      <c r="O254" s="12">
        <f>IF(OR($S254="",$F254="",$T254="",$T254&lt;0,$T254&gt;120,$AJ254=""),"—",ROUND(IF(ABS($AM254)&lt;=3,$AM254,IF($AM254&gt;3,3+($F254-$AO254)/($AO254-$AN254),-3+($F254-$AQ254)/($AP254-$AQ254))),2))</f>
        <v/>
      </c>
      <c r="P254">
        <f>IF(OR($O254="",$O254="—"),"",IF($O254&lt;-3,"Muito baixo",IF($O254&lt;-2,"Baixo",IF($O254&lt;=2,"Adequado","Elevado"))))</f>
        <v/>
      </c>
      <c r="Q254" s="12">
        <f>IF(OR($S254="",$F254="",$T254="",$T254&lt;0,$T254&gt;60,$AR254=""),"—",ROUND(IF(ABS($AU254)&lt;=3,$AU254,IF($AU254&gt;3,3+($F254-$AW254)/($AW254-$AV254),-3+($F254-$AY254)/($AX254-$AY254))),2))</f>
        <v/>
      </c>
      <c r="R254">
        <f>IF(OR($Q254="",$Q254="—"),"",IF($Q254&lt;-3,"Magreza acentuada",IF($Q254&lt;-2,"Magreza",IF($Q254&lt;=1,"Eutrofia",IF($Q254&lt;=2,"Risco de sobrepeso",IF($Q254&lt;=3,"Sobrepeso","Obesidade"))))))</f>
        <v/>
      </c>
      <c r="S254">
        <f>IF($C254="","",IF(UPPER(LEFT($C254,1))="M",1,IF(UPPER(LEFT($C254,1))="F",2,"")))</f>
        <v/>
      </c>
      <c r="T254">
        <f>IF(OR($D254="",$E254=""),"",DATEDIF($D254,$E254,"m"))</f>
        <v/>
      </c>
      <c r="U254">
        <f>IF(OR($D254="",$E254=""),"",$E254-$D254)</f>
        <v/>
      </c>
      <c r="V254">
        <f>IF(OR($G254="",$T254=""),"",IF($T254&lt;24,IF(LEFT(LOWER($H254),4)="em p",$G254+0.7,$G254),IF(LEFT(LOWER($H254),4)="deit",$G254-0.7,$G254)))</f>
        <v/>
      </c>
      <c r="W254">
        <f>IF(OR($S254="",$T254=""),"",$S254*1000000+IF($T254&lt;=60,$U254,$T254))</f>
        <v/>
      </c>
      <c r="X254">
        <f>IF(OR($S254="",$V254="",$T254&gt;60,$T254=""),"",$S254*1000000+ROUND($V254*10,0))</f>
        <v/>
      </c>
      <c r="Y254">
        <f>IF($W254="","",IFERROR(INDEX(IF($T254&lt;=60,imc05_l,imc519_l),MATCH($W254,IF($T254&lt;=60,imc05_k,imc519_k),1)),""))</f>
        <v/>
      </c>
      <c r="Z254">
        <f>IF($W254="","",IFERROR(INDEX(IF($T254&lt;=60,imc05_m,imc519_m),MATCH($W254,IF($T254&lt;=60,imc05_k,imc519_k),1)),""))</f>
        <v/>
      </c>
      <c r="AA254">
        <f>IF($W254="","",IFERROR(INDEX(IF($T254&lt;=60,imc05_s,imc519_s),MATCH($W254,IF($T254&lt;=60,imc05_k,imc519_k),1)),""))</f>
        <v/>
      </c>
      <c r="AB254">
        <f>IF($Y254="","",IF($Y254=0,LN($J254/$Z254)/$AA254,((($J254/$Z254)^$Y254)-1)/($Y254*$AA254)))</f>
        <v/>
      </c>
      <c r="AC254">
        <f>IF($Y254="","",IF($Y254=0,$Z254*EXP($AA254*2),$Z254*(1+$Y254*$AA254*2)^(1/$Y254)))</f>
        <v/>
      </c>
      <c r="AD254">
        <f>IF($Y254="","",IF($Y254=0,$Z254*EXP($AA254*3),$Z254*(1+$Y254*$AA254*3)^(1/$Y254)))</f>
        <v/>
      </c>
      <c r="AE254">
        <f>IF($Y254="","",IF($Y254=0,$Z254*EXP($AA254*-2),$Z254*(1+$Y254*$AA254*-2)^(1/$Y254)))</f>
        <v/>
      </c>
      <c r="AF254">
        <f>IF($Y254="","",IF($Y254=0,$Z254*EXP($AA254*-3),$Z254*(1+$Y254*$AA254*-3)^(1/$Y254)))</f>
        <v/>
      </c>
      <c r="AG254">
        <f>IF($W254="","",IFERROR(INDEX(IF($T254&lt;=60,est05_l,est519_l),MATCH($W254,IF($T254&lt;=60,est05_k,est519_k),1)),""))</f>
        <v/>
      </c>
      <c r="AH254">
        <f>IF($W254="","",IFERROR(INDEX(IF($T254&lt;=60,est05_m,est519_m),MATCH($W254,IF($T254&lt;=60,est05_k,est519_k),1)),""))</f>
        <v/>
      </c>
      <c r="AI254">
        <f>IF($W254="","",IFERROR(INDEX(IF($T254&lt;=60,est05_s,est519_s),MATCH($W254,IF($T254&lt;=60,est05_k,est519_k),1)),""))</f>
        <v/>
      </c>
      <c r="AJ254">
        <f>IF($W254="","",IFERROR(INDEX(IF($T254&lt;=60,peso05_l,peso510_l),MATCH($W254,IF($T254&lt;=60,peso05_k,peso510_k),1)),""))</f>
        <v/>
      </c>
      <c r="AK254">
        <f>IF($W254="","",IFERROR(INDEX(IF($T254&lt;=60,peso05_m,peso510_m),MATCH($W254,IF($T254&lt;=60,peso05_k,peso510_k),1)),""))</f>
        <v/>
      </c>
      <c r="AL254">
        <f>IF($W254="","",IFERROR(INDEX(IF($T254&lt;=60,peso05_s,peso510_s),MATCH($W254,IF($T254&lt;=60,peso05_k,peso510_k),1)),""))</f>
        <v/>
      </c>
      <c r="AM254">
        <f>IF($AJ254="","",IF($AJ254=0,LN($F254/$AK254)/$AL254,((($F254/$AK254)^$AJ254)-1)/($AJ254*$AL254)))</f>
        <v/>
      </c>
      <c r="AN254">
        <f>IF($AJ254="","",IF($AJ254=0,$AK254*EXP($AL254*2),$AK254*(1+$AJ254*$AL254*2)^(1/$AJ254)))</f>
        <v/>
      </c>
      <c r="AO254">
        <f>IF($AJ254="","",IF($AJ254=0,$AK254*EXP($AL254*3),$AK254*(1+$AJ254*$AL254*3)^(1/$AJ254)))</f>
        <v/>
      </c>
      <c r="AP254">
        <f>IF($AJ254="","",IF($AJ254=0,$AK254*EXP($AL254*-2),$AK254*(1+$AJ254*$AL254*-2)^(1/$AJ254)))</f>
        <v/>
      </c>
      <c r="AQ254">
        <f>IF($AJ254="","",IF($AJ254=0,$AK254*EXP($AL254*-3),$AK254*(1+$AJ254*$AL254*-3)^(1/$AJ254)))</f>
        <v/>
      </c>
      <c r="AR254">
        <f>IF(OR($X254="",$T254&gt;60),"",IFERROR(INDEX(IF($T254&lt;24,pcomp_l,palt_l),MATCH($X254,IF($T254&lt;24,pcomp_k,palt_k),1)),""))</f>
        <v/>
      </c>
      <c r="AS254">
        <f>IF(OR($X254="",$T254&gt;60),"",IFERROR(INDEX(IF($T254&lt;24,pcomp_m,palt_m),MATCH($X254,IF($T254&lt;24,pcomp_k,palt_k),1)),""))</f>
        <v/>
      </c>
      <c r="AT254">
        <f>IF(OR($X254="",$T254&gt;60),"",IFERROR(INDEX(IF($T254&lt;24,pcomp_s,palt_s),MATCH($X254,IF($T254&lt;24,pcomp_k,palt_k),1)),""))</f>
        <v/>
      </c>
      <c r="AU254">
        <f>IF($AR254="","",IF($AR254=0,LN($F254/$AS254)/$AT254,((($F254/$AS254)^$AR254)-1)/($AR254*$AT254)))</f>
        <v/>
      </c>
      <c r="AV254">
        <f>IF($AR254="","",IF($AR254=0,$AS254*EXP($AT254*2),$AS254*(1+$AR254*$AT254*2)^(1/$AR254)))</f>
        <v/>
      </c>
      <c r="AW254">
        <f>IF($AR254="","",IF($AR254=0,$AS254*EXP($AT254*3),$AS254*(1+$AR254*$AT254*3)^(1/$AR254)))</f>
        <v/>
      </c>
      <c r="AX254">
        <f>IF($AR254="","",IF($AR254=0,$AS254*EXP($AT254*-2),$AS254*(1+$AR254*$AT254*-2)^(1/$AR254)))</f>
        <v/>
      </c>
      <c r="AY254">
        <f>IF($AR254="","",IF($AR254=0,$AS254*EXP($AT254*-3),$AS254*(1+$AR254*$AT254*-3)^(1/$AR254)))</f>
        <v/>
      </c>
      <c r="AZ254">
        <f>IF(OR($A254="",$A254&lt;&gt;Ficha!$C$4),"",COUNTIF($A$2:$A254,Ficha!$C$4))</f>
        <v/>
      </c>
    </row>
    <row r="255">
      <c r="A255" s="8">
        <f>IF(INDEX(Banco!$A:$A,ROW())="","",INDEX(Banco!$A:$A,ROW()))</f>
        <v/>
      </c>
      <c r="B255" s="8">
        <f>IF(INDEX(Banco!$B:$B,ROW())="","",INDEX(Banco!$B:$B,ROW()))</f>
        <v/>
      </c>
      <c r="C255" s="8">
        <f>IF(INDEX(Banco!$C:$C,ROW())="","",INDEX(Banco!$C:$C,ROW()))</f>
        <v/>
      </c>
      <c r="D255" s="9">
        <f>IF(INDEX(Banco!$D:$D,ROW())="","",INDEX(Banco!$D:$D,ROW()))</f>
        <v/>
      </c>
      <c r="E255" s="9">
        <f>IF(INDEX(Banco!$E:$E,ROW())="","",INDEX(Banco!$E:$E,ROW()))</f>
        <v/>
      </c>
      <c r="F255" s="10">
        <f>IF(INDEX(Banco!$F:$F,ROW())="","",INDEX(Banco!$F:$F,ROW()))</f>
        <v/>
      </c>
      <c r="G255" s="10">
        <f>IF(INDEX(Banco!$G:$G,ROW())="","",INDEX(Banco!$G:$G,ROW()))</f>
        <v/>
      </c>
      <c r="H255" s="8">
        <f>IF(INDEX(Banco!$H:$H,ROW())="","",INDEX(Banco!$H:$H,ROW()))</f>
        <v/>
      </c>
      <c r="I255">
        <f>IF($T255="","",INT($T255/12)&amp;"a "&amp;MOD($T255,12)&amp;"m")</f>
        <v/>
      </c>
      <c r="J255" s="11">
        <f>IF(OR($F255="",$G255=""),"",ROUND($F255/($G255/100)^2,2))</f>
        <v/>
      </c>
      <c r="K255" s="12">
        <f>IF(OR($S255="",$J255="",$T255="",$T255&lt;0,$T255&gt;228,$Y255=""),"—",ROUND(IF(ABS($AB255)&lt;=3,$AB255,IF($AB255&gt;3,3+($J255-$AD255)/($AD255-$AC255),-3+($J255-$AF255)/($AE255-$AF255))),2))</f>
        <v/>
      </c>
      <c r="L255">
        <f>IF(OR($K255="",$K255="—"),"",IF($T255&lt;=60,IF($K255&lt;-3,"Magreza acentuada",IF($K255&lt;-2,"Magreza",IF($K255&lt;=1,"Eutrofia",IF($K255&lt;=2,"Risco de sobrepeso",IF($K255&lt;=3,"Sobrepeso","Obesidade"))))),IF($K255&lt;-3,"Magreza acentuada",IF($K255&lt;-2,"Magreza",IF($K255&lt;=1,"Eutrofia",IF($K255&lt;=2,"Sobrepeso",IF($K255&lt;=3,"Obesidade","Obesidade grave")))))))</f>
        <v/>
      </c>
      <c r="M255" s="12">
        <f>IF(OR($S255="",$V255="",$T255="",$T255&lt;0,$T255&gt;228,$AG255=""),"—",ROUND(IF($AG255=0,LN($V255/$AH255)/$AI255,((($V255/$AH255)^$AG255)-1)/($AG255*$AI255)),2))</f>
        <v/>
      </c>
      <c r="N255">
        <f>IF(OR($M255="",$M255="—"),"",IF($M255&lt;-3,"Muito baixa",IF($M255&lt;-2,"Baixa","Adequada")))</f>
        <v/>
      </c>
      <c r="O255" s="12">
        <f>IF(OR($S255="",$F255="",$T255="",$T255&lt;0,$T255&gt;120,$AJ255=""),"—",ROUND(IF(ABS($AM255)&lt;=3,$AM255,IF($AM255&gt;3,3+($F255-$AO255)/($AO255-$AN255),-3+($F255-$AQ255)/($AP255-$AQ255))),2))</f>
        <v/>
      </c>
      <c r="P255">
        <f>IF(OR($O255="",$O255="—"),"",IF($O255&lt;-3,"Muito baixo",IF($O255&lt;-2,"Baixo",IF($O255&lt;=2,"Adequado","Elevado"))))</f>
        <v/>
      </c>
      <c r="Q255" s="12">
        <f>IF(OR($S255="",$F255="",$T255="",$T255&lt;0,$T255&gt;60,$AR255=""),"—",ROUND(IF(ABS($AU255)&lt;=3,$AU255,IF($AU255&gt;3,3+($F255-$AW255)/($AW255-$AV255),-3+($F255-$AY255)/($AX255-$AY255))),2))</f>
        <v/>
      </c>
      <c r="R255">
        <f>IF(OR($Q255="",$Q255="—"),"",IF($Q255&lt;-3,"Magreza acentuada",IF($Q255&lt;-2,"Magreza",IF($Q255&lt;=1,"Eutrofia",IF($Q255&lt;=2,"Risco de sobrepeso",IF($Q255&lt;=3,"Sobrepeso","Obesidade"))))))</f>
        <v/>
      </c>
      <c r="S255">
        <f>IF($C255="","",IF(UPPER(LEFT($C255,1))="M",1,IF(UPPER(LEFT($C255,1))="F",2,"")))</f>
        <v/>
      </c>
      <c r="T255">
        <f>IF(OR($D255="",$E255=""),"",DATEDIF($D255,$E255,"m"))</f>
        <v/>
      </c>
      <c r="U255">
        <f>IF(OR($D255="",$E255=""),"",$E255-$D255)</f>
        <v/>
      </c>
      <c r="V255">
        <f>IF(OR($G255="",$T255=""),"",IF($T255&lt;24,IF(LEFT(LOWER($H255),4)="em p",$G255+0.7,$G255),IF(LEFT(LOWER($H255),4)="deit",$G255-0.7,$G255)))</f>
        <v/>
      </c>
      <c r="W255">
        <f>IF(OR($S255="",$T255=""),"",$S255*1000000+IF($T255&lt;=60,$U255,$T255))</f>
        <v/>
      </c>
      <c r="X255">
        <f>IF(OR($S255="",$V255="",$T255&gt;60,$T255=""),"",$S255*1000000+ROUND($V255*10,0))</f>
        <v/>
      </c>
      <c r="Y255">
        <f>IF($W255="","",IFERROR(INDEX(IF($T255&lt;=60,imc05_l,imc519_l),MATCH($W255,IF($T255&lt;=60,imc05_k,imc519_k),1)),""))</f>
        <v/>
      </c>
      <c r="Z255">
        <f>IF($W255="","",IFERROR(INDEX(IF($T255&lt;=60,imc05_m,imc519_m),MATCH($W255,IF($T255&lt;=60,imc05_k,imc519_k),1)),""))</f>
        <v/>
      </c>
      <c r="AA255">
        <f>IF($W255="","",IFERROR(INDEX(IF($T255&lt;=60,imc05_s,imc519_s),MATCH($W255,IF($T255&lt;=60,imc05_k,imc519_k),1)),""))</f>
        <v/>
      </c>
      <c r="AB255">
        <f>IF($Y255="","",IF($Y255=0,LN($J255/$Z255)/$AA255,((($J255/$Z255)^$Y255)-1)/($Y255*$AA255)))</f>
        <v/>
      </c>
      <c r="AC255">
        <f>IF($Y255="","",IF($Y255=0,$Z255*EXP($AA255*2),$Z255*(1+$Y255*$AA255*2)^(1/$Y255)))</f>
        <v/>
      </c>
      <c r="AD255">
        <f>IF($Y255="","",IF($Y255=0,$Z255*EXP($AA255*3),$Z255*(1+$Y255*$AA255*3)^(1/$Y255)))</f>
        <v/>
      </c>
      <c r="AE255">
        <f>IF($Y255="","",IF($Y255=0,$Z255*EXP($AA255*-2),$Z255*(1+$Y255*$AA255*-2)^(1/$Y255)))</f>
        <v/>
      </c>
      <c r="AF255">
        <f>IF($Y255="","",IF($Y255=0,$Z255*EXP($AA255*-3),$Z255*(1+$Y255*$AA255*-3)^(1/$Y255)))</f>
        <v/>
      </c>
      <c r="AG255">
        <f>IF($W255="","",IFERROR(INDEX(IF($T255&lt;=60,est05_l,est519_l),MATCH($W255,IF($T255&lt;=60,est05_k,est519_k),1)),""))</f>
        <v/>
      </c>
      <c r="AH255">
        <f>IF($W255="","",IFERROR(INDEX(IF($T255&lt;=60,est05_m,est519_m),MATCH($W255,IF($T255&lt;=60,est05_k,est519_k),1)),""))</f>
        <v/>
      </c>
      <c r="AI255">
        <f>IF($W255="","",IFERROR(INDEX(IF($T255&lt;=60,est05_s,est519_s),MATCH($W255,IF($T255&lt;=60,est05_k,est519_k),1)),""))</f>
        <v/>
      </c>
      <c r="AJ255">
        <f>IF($W255="","",IFERROR(INDEX(IF($T255&lt;=60,peso05_l,peso510_l),MATCH($W255,IF($T255&lt;=60,peso05_k,peso510_k),1)),""))</f>
        <v/>
      </c>
      <c r="AK255">
        <f>IF($W255="","",IFERROR(INDEX(IF($T255&lt;=60,peso05_m,peso510_m),MATCH($W255,IF($T255&lt;=60,peso05_k,peso510_k),1)),""))</f>
        <v/>
      </c>
      <c r="AL255">
        <f>IF($W255="","",IFERROR(INDEX(IF($T255&lt;=60,peso05_s,peso510_s),MATCH($W255,IF($T255&lt;=60,peso05_k,peso510_k),1)),""))</f>
        <v/>
      </c>
      <c r="AM255">
        <f>IF($AJ255="","",IF($AJ255=0,LN($F255/$AK255)/$AL255,((($F255/$AK255)^$AJ255)-1)/($AJ255*$AL255)))</f>
        <v/>
      </c>
      <c r="AN255">
        <f>IF($AJ255="","",IF($AJ255=0,$AK255*EXP($AL255*2),$AK255*(1+$AJ255*$AL255*2)^(1/$AJ255)))</f>
        <v/>
      </c>
      <c r="AO255">
        <f>IF($AJ255="","",IF($AJ255=0,$AK255*EXP($AL255*3),$AK255*(1+$AJ255*$AL255*3)^(1/$AJ255)))</f>
        <v/>
      </c>
      <c r="AP255">
        <f>IF($AJ255="","",IF($AJ255=0,$AK255*EXP($AL255*-2),$AK255*(1+$AJ255*$AL255*-2)^(1/$AJ255)))</f>
        <v/>
      </c>
      <c r="AQ255">
        <f>IF($AJ255="","",IF($AJ255=0,$AK255*EXP($AL255*-3),$AK255*(1+$AJ255*$AL255*-3)^(1/$AJ255)))</f>
        <v/>
      </c>
      <c r="AR255">
        <f>IF(OR($X255="",$T255&gt;60),"",IFERROR(INDEX(IF($T255&lt;24,pcomp_l,palt_l),MATCH($X255,IF($T255&lt;24,pcomp_k,palt_k),1)),""))</f>
        <v/>
      </c>
      <c r="AS255">
        <f>IF(OR($X255="",$T255&gt;60),"",IFERROR(INDEX(IF($T255&lt;24,pcomp_m,palt_m),MATCH($X255,IF($T255&lt;24,pcomp_k,palt_k),1)),""))</f>
        <v/>
      </c>
      <c r="AT255">
        <f>IF(OR($X255="",$T255&gt;60),"",IFERROR(INDEX(IF($T255&lt;24,pcomp_s,palt_s),MATCH($X255,IF($T255&lt;24,pcomp_k,palt_k),1)),""))</f>
        <v/>
      </c>
      <c r="AU255">
        <f>IF($AR255="","",IF($AR255=0,LN($F255/$AS255)/$AT255,((($F255/$AS255)^$AR255)-1)/($AR255*$AT255)))</f>
        <v/>
      </c>
      <c r="AV255">
        <f>IF($AR255="","",IF($AR255=0,$AS255*EXP($AT255*2),$AS255*(1+$AR255*$AT255*2)^(1/$AR255)))</f>
        <v/>
      </c>
      <c r="AW255">
        <f>IF($AR255="","",IF($AR255=0,$AS255*EXP($AT255*3),$AS255*(1+$AR255*$AT255*3)^(1/$AR255)))</f>
        <v/>
      </c>
      <c r="AX255">
        <f>IF($AR255="","",IF($AR255=0,$AS255*EXP($AT255*-2),$AS255*(1+$AR255*$AT255*-2)^(1/$AR255)))</f>
        <v/>
      </c>
      <c r="AY255">
        <f>IF($AR255="","",IF($AR255=0,$AS255*EXP($AT255*-3),$AS255*(1+$AR255*$AT255*-3)^(1/$AR255)))</f>
        <v/>
      </c>
      <c r="AZ255">
        <f>IF(OR($A255="",$A255&lt;&gt;Ficha!$C$4),"",COUNTIF($A$2:$A255,Ficha!$C$4))</f>
        <v/>
      </c>
    </row>
    <row r="256">
      <c r="A256" s="8">
        <f>IF(INDEX(Banco!$A:$A,ROW())="","",INDEX(Banco!$A:$A,ROW()))</f>
        <v/>
      </c>
      <c r="B256" s="8">
        <f>IF(INDEX(Banco!$B:$B,ROW())="","",INDEX(Banco!$B:$B,ROW()))</f>
        <v/>
      </c>
      <c r="C256" s="8">
        <f>IF(INDEX(Banco!$C:$C,ROW())="","",INDEX(Banco!$C:$C,ROW()))</f>
        <v/>
      </c>
      <c r="D256" s="9">
        <f>IF(INDEX(Banco!$D:$D,ROW())="","",INDEX(Banco!$D:$D,ROW()))</f>
        <v/>
      </c>
      <c r="E256" s="9">
        <f>IF(INDEX(Banco!$E:$E,ROW())="","",INDEX(Banco!$E:$E,ROW()))</f>
        <v/>
      </c>
      <c r="F256" s="10">
        <f>IF(INDEX(Banco!$F:$F,ROW())="","",INDEX(Banco!$F:$F,ROW()))</f>
        <v/>
      </c>
      <c r="G256" s="10">
        <f>IF(INDEX(Banco!$G:$G,ROW())="","",INDEX(Banco!$G:$G,ROW()))</f>
        <v/>
      </c>
      <c r="H256" s="8">
        <f>IF(INDEX(Banco!$H:$H,ROW())="","",INDEX(Banco!$H:$H,ROW()))</f>
        <v/>
      </c>
      <c r="I256">
        <f>IF($T256="","",INT($T256/12)&amp;"a "&amp;MOD($T256,12)&amp;"m")</f>
        <v/>
      </c>
      <c r="J256" s="11">
        <f>IF(OR($F256="",$G256=""),"",ROUND($F256/($G256/100)^2,2))</f>
        <v/>
      </c>
      <c r="K256" s="12">
        <f>IF(OR($S256="",$J256="",$T256="",$T256&lt;0,$T256&gt;228,$Y256=""),"—",ROUND(IF(ABS($AB256)&lt;=3,$AB256,IF($AB256&gt;3,3+($J256-$AD256)/($AD256-$AC256),-3+($J256-$AF256)/($AE256-$AF256))),2))</f>
        <v/>
      </c>
      <c r="L256">
        <f>IF(OR($K256="",$K256="—"),"",IF($T256&lt;=60,IF($K256&lt;-3,"Magreza acentuada",IF($K256&lt;-2,"Magreza",IF($K256&lt;=1,"Eutrofia",IF($K256&lt;=2,"Risco de sobrepeso",IF($K256&lt;=3,"Sobrepeso","Obesidade"))))),IF($K256&lt;-3,"Magreza acentuada",IF($K256&lt;-2,"Magreza",IF($K256&lt;=1,"Eutrofia",IF($K256&lt;=2,"Sobrepeso",IF($K256&lt;=3,"Obesidade","Obesidade grave")))))))</f>
        <v/>
      </c>
      <c r="M256" s="12">
        <f>IF(OR($S256="",$V256="",$T256="",$T256&lt;0,$T256&gt;228,$AG256=""),"—",ROUND(IF($AG256=0,LN($V256/$AH256)/$AI256,((($V256/$AH256)^$AG256)-1)/($AG256*$AI256)),2))</f>
        <v/>
      </c>
      <c r="N256">
        <f>IF(OR($M256="",$M256="—"),"",IF($M256&lt;-3,"Muito baixa",IF($M256&lt;-2,"Baixa","Adequada")))</f>
        <v/>
      </c>
      <c r="O256" s="12">
        <f>IF(OR($S256="",$F256="",$T256="",$T256&lt;0,$T256&gt;120,$AJ256=""),"—",ROUND(IF(ABS($AM256)&lt;=3,$AM256,IF($AM256&gt;3,3+($F256-$AO256)/($AO256-$AN256),-3+($F256-$AQ256)/($AP256-$AQ256))),2))</f>
        <v/>
      </c>
      <c r="P256">
        <f>IF(OR($O256="",$O256="—"),"",IF($O256&lt;-3,"Muito baixo",IF($O256&lt;-2,"Baixo",IF($O256&lt;=2,"Adequado","Elevado"))))</f>
        <v/>
      </c>
      <c r="Q256" s="12">
        <f>IF(OR($S256="",$F256="",$T256="",$T256&lt;0,$T256&gt;60,$AR256=""),"—",ROUND(IF(ABS($AU256)&lt;=3,$AU256,IF($AU256&gt;3,3+($F256-$AW256)/($AW256-$AV256),-3+($F256-$AY256)/($AX256-$AY256))),2))</f>
        <v/>
      </c>
      <c r="R256">
        <f>IF(OR($Q256="",$Q256="—"),"",IF($Q256&lt;-3,"Magreza acentuada",IF($Q256&lt;-2,"Magreza",IF($Q256&lt;=1,"Eutrofia",IF($Q256&lt;=2,"Risco de sobrepeso",IF($Q256&lt;=3,"Sobrepeso","Obesidade"))))))</f>
        <v/>
      </c>
      <c r="S256">
        <f>IF($C256="","",IF(UPPER(LEFT($C256,1))="M",1,IF(UPPER(LEFT($C256,1))="F",2,"")))</f>
        <v/>
      </c>
      <c r="T256">
        <f>IF(OR($D256="",$E256=""),"",DATEDIF($D256,$E256,"m"))</f>
        <v/>
      </c>
      <c r="U256">
        <f>IF(OR($D256="",$E256=""),"",$E256-$D256)</f>
        <v/>
      </c>
      <c r="V256">
        <f>IF(OR($G256="",$T256=""),"",IF($T256&lt;24,IF(LEFT(LOWER($H256),4)="em p",$G256+0.7,$G256),IF(LEFT(LOWER($H256),4)="deit",$G256-0.7,$G256)))</f>
        <v/>
      </c>
      <c r="W256">
        <f>IF(OR($S256="",$T256=""),"",$S256*1000000+IF($T256&lt;=60,$U256,$T256))</f>
        <v/>
      </c>
      <c r="X256">
        <f>IF(OR($S256="",$V256="",$T256&gt;60,$T256=""),"",$S256*1000000+ROUND($V256*10,0))</f>
        <v/>
      </c>
      <c r="Y256">
        <f>IF($W256="","",IFERROR(INDEX(IF($T256&lt;=60,imc05_l,imc519_l),MATCH($W256,IF($T256&lt;=60,imc05_k,imc519_k),1)),""))</f>
        <v/>
      </c>
      <c r="Z256">
        <f>IF($W256="","",IFERROR(INDEX(IF($T256&lt;=60,imc05_m,imc519_m),MATCH($W256,IF($T256&lt;=60,imc05_k,imc519_k),1)),""))</f>
        <v/>
      </c>
      <c r="AA256">
        <f>IF($W256="","",IFERROR(INDEX(IF($T256&lt;=60,imc05_s,imc519_s),MATCH($W256,IF($T256&lt;=60,imc05_k,imc519_k),1)),""))</f>
        <v/>
      </c>
      <c r="AB256">
        <f>IF($Y256="","",IF($Y256=0,LN($J256/$Z256)/$AA256,((($J256/$Z256)^$Y256)-1)/($Y256*$AA256)))</f>
        <v/>
      </c>
      <c r="AC256">
        <f>IF($Y256="","",IF($Y256=0,$Z256*EXP($AA256*2),$Z256*(1+$Y256*$AA256*2)^(1/$Y256)))</f>
        <v/>
      </c>
      <c r="AD256">
        <f>IF($Y256="","",IF($Y256=0,$Z256*EXP($AA256*3),$Z256*(1+$Y256*$AA256*3)^(1/$Y256)))</f>
        <v/>
      </c>
      <c r="AE256">
        <f>IF($Y256="","",IF($Y256=0,$Z256*EXP($AA256*-2),$Z256*(1+$Y256*$AA256*-2)^(1/$Y256)))</f>
        <v/>
      </c>
      <c r="AF256">
        <f>IF($Y256="","",IF($Y256=0,$Z256*EXP($AA256*-3),$Z256*(1+$Y256*$AA256*-3)^(1/$Y256)))</f>
        <v/>
      </c>
      <c r="AG256">
        <f>IF($W256="","",IFERROR(INDEX(IF($T256&lt;=60,est05_l,est519_l),MATCH($W256,IF($T256&lt;=60,est05_k,est519_k),1)),""))</f>
        <v/>
      </c>
      <c r="AH256">
        <f>IF($W256="","",IFERROR(INDEX(IF($T256&lt;=60,est05_m,est519_m),MATCH($W256,IF($T256&lt;=60,est05_k,est519_k),1)),""))</f>
        <v/>
      </c>
      <c r="AI256">
        <f>IF($W256="","",IFERROR(INDEX(IF($T256&lt;=60,est05_s,est519_s),MATCH($W256,IF($T256&lt;=60,est05_k,est519_k),1)),""))</f>
        <v/>
      </c>
      <c r="AJ256">
        <f>IF($W256="","",IFERROR(INDEX(IF($T256&lt;=60,peso05_l,peso510_l),MATCH($W256,IF($T256&lt;=60,peso05_k,peso510_k),1)),""))</f>
        <v/>
      </c>
      <c r="AK256">
        <f>IF($W256="","",IFERROR(INDEX(IF($T256&lt;=60,peso05_m,peso510_m),MATCH($W256,IF($T256&lt;=60,peso05_k,peso510_k),1)),""))</f>
        <v/>
      </c>
      <c r="AL256">
        <f>IF($W256="","",IFERROR(INDEX(IF($T256&lt;=60,peso05_s,peso510_s),MATCH($W256,IF($T256&lt;=60,peso05_k,peso510_k),1)),""))</f>
        <v/>
      </c>
      <c r="AM256">
        <f>IF($AJ256="","",IF($AJ256=0,LN($F256/$AK256)/$AL256,((($F256/$AK256)^$AJ256)-1)/($AJ256*$AL256)))</f>
        <v/>
      </c>
      <c r="AN256">
        <f>IF($AJ256="","",IF($AJ256=0,$AK256*EXP($AL256*2),$AK256*(1+$AJ256*$AL256*2)^(1/$AJ256)))</f>
        <v/>
      </c>
      <c r="AO256">
        <f>IF($AJ256="","",IF($AJ256=0,$AK256*EXP($AL256*3),$AK256*(1+$AJ256*$AL256*3)^(1/$AJ256)))</f>
        <v/>
      </c>
      <c r="AP256">
        <f>IF($AJ256="","",IF($AJ256=0,$AK256*EXP($AL256*-2),$AK256*(1+$AJ256*$AL256*-2)^(1/$AJ256)))</f>
        <v/>
      </c>
      <c r="AQ256">
        <f>IF($AJ256="","",IF($AJ256=0,$AK256*EXP($AL256*-3),$AK256*(1+$AJ256*$AL256*-3)^(1/$AJ256)))</f>
        <v/>
      </c>
      <c r="AR256">
        <f>IF(OR($X256="",$T256&gt;60),"",IFERROR(INDEX(IF($T256&lt;24,pcomp_l,palt_l),MATCH($X256,IF($T256&lt;24,pcomp_k,palt_k),1)),""))</f>
        <v/>
      </c>
      <c r="AS256">
        <f>IF(OR($X256="",$T256&gt;60),"",IFERROR(INDEX(IF($T256&lt;24,pcomp_m,palt_m),MATCH($X256,IF($T256&lt;24,pcomp_k,palt_k),1)),""))</f>
        <v/>
      </c>
      <c r="AT256">
        <f>IF(OR($X256="",$T256&gt;60),"",IFERROR(INDEX(IF($T256&lt;24,pcomp_s,palt_s),MATCH($X256,IF($T256&lt;24,pcomp_k,palt_k),1)),""))</f>
        <v/>
      </c>
      <c r="AU256">
        <f>IF($AR256="","",IF($AR256=0,LN($F256/$AS256)/$AT256,((($F256/$AS256)^$AR256)-1)/($AR256*$AT256)))</f>
        <v/>
      </c>
      <c r="AV256">
        <f>IF($AR256="","",IF($AR256=0,$AS256*EXP($AT256*2),$AS256*(1+$AR256*$AT256*2)^(1/$AR256)))</f>
        <v/>
      </c>
      <c r="AW256">
        <f>IF($AR256="","",IF($AR256=0,$AS256*EXP($AT256*3),$AS256*(1+$AR256*$AT256*3)^(1/$AR256)))</f>
        <v/>
      </c>
      <c r="AX256">
        <f>IF($AR256="","",IF($AR256=0,$AS256*EXP($AT256*-2),$AS256*(1+$AR256*$AT256*-2)^(1/$AR256)))</f>
        <v/>
      </c>
      <c r="AY256">
        <f>IF($AR256="","",IF($AR256=0,$AS256*EXP($AT256*-3),$AS256*(1+$AR256*$AT256*-3)^(1/$AR256)))</f>
        <v/>
      </c>
      <c r="AZ256">
        <f>IF(OR($A256="",$A256&lt;&gt;Ficha!$C$4),"",COUNTIF($A$2:$A256,Ficha!$C$4))</f>
        <v/>
      </c>
    </row>
    <row r="257">
      <c r="A257" s="8">
        <f>IF(INDEX(Banco!$A:$A,ROW())="","",INDEX(Banco!$A:$A,ROW()))</f>
        <v/>
      </c>
      <c r="B257" s="8">
        <f>IF(INDEX(Banco!$B:$B,ROW())="","",INDEX(Banco!$B:$B,ROW()))</f>
        <v/>
      </c>
      <c r="C257" s="8">
        <f>IF(INDEX(Banco!$C:$C,ROW())="","",INDEX(Banco!$C:$C,ROW()))</f>
        <v/>
      </c>
      <c r="D257" s="9">
        <f>IF(INDEX(Banco!$D:$D,ROW())="","",INDEX(Banco!$D:$D,ROW()))</f>
        <v/>
      </c>
      <c r="E257" s="9">
        <f>IF(INDEX(Banco!$E:$E,ROW())="","",INDEX(Banco!$E:$E,ROW()))</f>
        <v/>
      </c>
      <c r="F257" s="10">
        <f>IF(INDEX(Banco!$F:$F,ROW())="","",INDEX(Banco!$F:$F,ROW()))</f>
        <v/>
      </c>
      <c r="G257" s="10">
        <f>IF(INDEX(Banco!$G:$G,ROW())="","",INDEX(Banco!$G:$G,ROW()))</f>
        <v/>
      </c>
      <c r="H257" s="8">
        <f>IF(INDEX(Banco!$H:$H,ROW())="","",INDEX(Banco!$H:$H,ROW()))</f>
        <v/>
      </c>
      <c r="I257">
        <f>IF($T257="","",INT($T257/12)&amp;"a "&amp;MOD($T257,12)&amp;"m")</f>
        <v/>
      </c>
      <c r="J257" s="11">
        <f>IF(OR($F257="",$G257=""),"",ROUND($F257/($G257/100)^2,2))</f>
        <v/>
      </c>
      <c r="K257" s="12">
        <f>IF(OR($S257="",$J257="",$T257="",$T257&lt;0,$T257&gt;228,$Y257=""),"—",ROUND(IF(ABS($AB257)&lt;=3,$AB257,IF($AB257&gt;3,3+($J257-$AD257)/($AD257-$AC257),-3+($J257-$AF257)/($AE257-$AF257))),2))</f>
        <v/>
      </c>
      <c r="L257">
        <f>IF(OR($K257="",$K257="—"),"",IF($T257&lt;=60,IF($K257&lt;-3,"Magreza acentuada",IF($K257&lt;-2,"Magreza",IF($K257&lt;=1,"Eutrofia",IF($K257&lt;=2,"Risco de sobrepeso",IF($K257&lt;=3,"Sobrepeso","Obesidade"))))),IF($K257&lt;-3,"Magreza acentuada",IF($K257&lt;-2,"Magreza",IF($K257&lt;=1,"Eutrofia",IF($K257&lt;=2,"Sobrepeso",IF($K257&lt;=3,"Obesidade","Obesidade grave")))))))</f>
        <v/>
      </c>
      <c r="M257" s="12">
        <f>IF(OR($S257="",$V257="",$T257="",$T257&lt;0,$T257&gt;228,$AG257=""),"—",ROUND(IF($AG257=0,LN($V257/$AH257)/$AI257,((($V257/$AH257)^$AG257)-1)/($AG257*$AI257)),2))</f>
        <v/>
      </c>
      <c r="N257">
        <f>IF(OR($M257="",$M257="—"),"",IF($M257&lt;-3,"Muito baixa",IF($M257&lt;-2,"Baixa","Adequada")))</f>
        <v/>
      </c>
      <c r="O257" s="12">
        <f>IF(OR($S257="",$F257="",$T257="",$T257&lt;0,$T257&gt;120,$AJ257=""),"—",ROUND(IF(ABS($AM257)&lt;=3,$AM257,IF($AM257&gt;3,3+($F257-$AO257)/($AO257-$AN257),-3+($F257-$AQ257)/($AP257-$AQ257))),2))</f>
        <v/>
      </c>
      <c r="P257">
        <f>IF(OR($O257="",$O257="—"),"",IF($O257&lt;-3,"Muito baixo",IF($O257&lt;-2,"Baixo",IF($O257&lt;=2,"Adequado","Elevado"))))</f>
        <v/>
      </c>
      <c r="Q257" s="12">
        <f>IF(OR($S257="",$F257="",$T257="",$T257&lt;0,$T257&gt;60,$AR257=""),"—",ROUND(IF(ABS($AU257)&lt;=3,$AU257,IF($AU257&gt;3,3+($F257-$AW257)/($AW257-$AV257),-3+($F257-$AY257)/($AX257-$AY257))),2))</f>
        <v/>
      </c>
      <c r="R257">
        <f>IF(OR($Q257="",$Q257="—"),"",IF($Q257&lt;-3,"Magreza acentuada",IF($Q257&lt;-2,"Magreza",IF($Q257&lt;=1,"Eutrofia",IF($Q257&lt;=2,"Risco de sobrepeso",IF($Q257&lt;=3,"Sobrepeso","Obesidade"))))))</f>
        <v/>
      </c>
      <c r="S257">
        <f>IF($C257="","",IF(UPPER(LEFT($C257,1))="M",1,IF(UPPER(LEFT($C257,1))="F",2,"")))</f>
        <v/>
      </c>
      <c r="T257">
        <f>IF(OR($D257="",$E257=""),"",DATEDIF($D257,$E257,"m"))</f>
        <v/>
      </c>
      <c r="U257">
        <f>IF(OR($D257="",$E257=""),"",$E257-$D257)</f>
        <v/>
      </c>
      <c r="V257">
        <f>IF(OR($G257="",$T257=""),"",IF($T257&lt;24,IF(LEFT(LOWER($H257),4)="em p",$G257+0.7,$G257),IF(LEFT(LOWER($H257),4)="deit",$G257-0.7,$G257)))</f>
        <v/>
      </c>
      <c r="W257">
        <f>IF(OR($S257="",$T257=""),"",$S257*1000000+IF($T257&lt;=60,$U257,$T257))</f>
        <v/>
      </c>
      <c r="X257">
        <f>IF(OR($S257="",$V257="",$T257&gt;60,$T257=""),"",$S257*1000000+ROUND($V257*10,0))</f>
        <v/>
      </c>
      <c r="Y257">
        <f>IF($W257="","",IFERROR(INDEX(IF($T257&lt;=60,imc05_l,imc519_l),MATCH($W257,IF($T257&lt;=60,imc05_k,imc519_k),1)),""))</f>
        <v/>
      </c>
      <c r="Z257">
        <f>IF($W257="","",IFERROR(INDEX(IF($T257&lt;=60,imc05_m,imc519_m),MATCH($W257,IF($T257&lt;=60,imc05_k,imc519_k),1)),""))</f>
        <v/>
      </c>
      <c r="AA257">
        <f>IF($W257="","",IFERROR(INDEX(IF($T257&lt;=60,imc05_s,imc519_s),MATCH($W257,IF($T257&lt;=60,imc05_k,imc519_k),1)),""))</f>
        <v/>
      </c>
      <c r="AB257">
        <f>IF($Y257="","",IF($Y257=0,LN($J257/$Z257)/$AA257,((($J257/$Z257)^$Y257)-1)/($Y257*$AA257)))</f>
        <v/>
      </c>
      <c r="AC257">
        <f>IF($Y257="","",IF($Y257=0,$Z257*EXP($AA257*2),$Z257*(1+$Y257*$AA257*2)^(1/$Y257)))</f>
        <v/>
      </c>
      <c r="AD257">
        <f>IF($Y257="","",IF($Y257=0,$Z257*EXP($AA257*3),$Z257*(1+$Y257*$AA257*3)^(1/$Y257)))</f>
        <v/>
      </c>
      <c r="AE257">
        <f>IF($Y257="","",IF($Y257=0,$Z257*EXP($AA257*-2),$Z257*(1+$Y257*$AA257*-2)^(1/$Y257)))</f>
        <v/>
      </c>
      <c r="AF257">
        <f>IF($Y257="","",IF($Y257=0,$Z257*EXP($AA257*-3),$Z257*(1+$Y257*$AA257*-3)^(1/$Y257)))</f>
        <v/>
      </c>
      <c r="AG257">
        <f>IF($W257="","",IFERROR(INDEX(IF($T257&lt;=60,est05_l,est519_l),MATCH($W257,IF($T257&lt;=60,est05_k,est519_k),1)),""))</f>
        <v/>
      </c>
      <c r="AH257">
        <f>IF($W257="","",IFERROR(INDEX(IF($T257&lt;=60,est05_m,est519_m),MATCH($W257,IF($T257&lt;=60,est05_k,est519_k),1)),""))</f>
        <v/>
      </c>
      <c r="AI257">
        <f>IF($W257="","",IFERROR(INDEX(IF($T257&lt;=60,est05_s,est519_s),MATCH($W257,IF($T257&lt;=60,est05_k,est519_k),1)),""))</f>
        <v/>
      </c>
      <c r="AJ257">
        <f>IF($W257="","",IFERROR(INDEX(IF($T257&lt;=60,peso05_l,peso510_l),MATCH($W257,IF($T257&lt;=60,peso05_k,peso510_k),1)),""))</f>
        <v/>
      </c>
      <c r="AK257">
        <f>IF($W257="","",IFERROR(INDEX(IF($T257&lt;=60,peso05_m,peso510_m),MATCH($W257,IF($T257&lt;=60,peso05_k,peso510_k),1)),""))</f>
        <v/>
      </c>
      <c r="AL257">
        <f>IF($W257="","",IFERROR(INDEX(IF($T257&lt;=60,peso05_s,peso510_s),MATCH($W257,IF($T257&lt;=60,peso05_k,peso510_k),1)),""))</f>
        <v/>
      </c>
      <c r="AM257">
        <f>IF($AJ257="","",IF($AJ257=0,LN($F257/$AK257)/$AL257,((($F257/$AK257)^$AJ257)-1)/($AJ257*$AL257)))</f>
        <v/>
      </c>
      <c r="AN257">
        <f>IF($AJ257="","",IF($AJ257=0,$AK257*EXP($AL257*2),$AK257*(1+$AJ257*$AL257*2)^(1/$AJ257)))</f>
        <v/>
      </c>
      <c r="AO257">
        <f>IF($AJ257="","",IF($AJ257=0,$AK257*EXP($AL257*3),$AK257*(1+$AJ257*$AL257*3)^(1/$AJ257)))</f>
        <v/>
      </c>
      <c r="AP257">
        <f>IF($AJ257="","",IF($AJ257=0,$AK257*EXP($AL257*-2),$AK257*(1+$AJ257*$AL257*-2)^(1/$AJ257)))</f>
        <v/>
      </c>
      <c r="AQ257">
        <f>IF($AJ257="","",IF($AJ257=0,$AK257*EXP($AL257*-3),$AK257*(1+$AJ257*$AL257*-3)^(1/$AJ257)))</f>
        <v/>
      </c>
      <c r="AR257">
        <f>IF(OR($X257="",$T257&gt;60),"",IFERROR(INDEX(IF($T257&lt;24,pcomp_l,palt_l),MATCH($X257,IF($T257&lt;24,pcomp_k,palt_k),1)),""))</f>
        <v/>
      </c>
      <c r="AS257">
        <f>IF(OR($X257="",$T257&gt;60),"",IFERROR(INDEX(IF($T257&lt;24,pcomp_m,palt_m),MATCH($X257,IF($T257&lt;24,pcomp_k,palt_k),1)),""))</f>
        <v/>
      </c>
      <c r="AT257">
        <f>IF(OR($X257="",$T257&gt;60),"",IFERROR(INDEX(IF($T257&lt;24,pcomp_s,palt_s),MATCH($X257,IF($T257&lt;24,pcomp_k,palt_k),1)),""))</f>
        <v/>
      </c>
      <c r="AU257">
        <f>IF($AR257="","",IF($AR257=0,LN($F257/$AS257)/$AT257,((($F257/$AS257)^$AR257)-1)/($AR257*$AT257)))</f>
        <v/>
      </c>
      <c r="AV257">
        <f>IF($AR257="","",IF($AR257=0,$AS257*EXP($AT257*2),$AS257*(1+$AR257*$AT257*2)^(1/$AR257)))</f>
        <v/>
      </c>
      <c r="AW257">
        <f>IF($AR257="","",IF($AR257=0,$AS257*EXP($AT257*3),$AS257*(1+$AR257*$AT257*3)^(1/$AR257)))</f>
        <v/>
      </c>
      <c r="AX257">
        <f>IF($AR257="","",IF($AR257=0,$AS257*EXP($AT257*-2),$AS257*(1+$AR257*$AT257*-2)^(1/$AR257)))</f>
        <v/>
      </c>
      <c r="AY257">
        <f>IF($AR257="","",IF($AR257=0,$AS257*EXP($AT257*-3),$AS257*(1+$AR257*$AT257*-3)^(1/$AR257)))</f>
        <v/>
      </c>
      <c r="AZ257">
        <f>IF(OR($A257="",$A257&lt;&gt;Ficha!$C$4),"",COUNTIF($A$2:$A257,Ficha!$C$4))</f>
        <v/>
      </c>
    </row>
    <row r="258">
      <c r="A258" s="8">
        <f>IF(INDEX(Banco!$A:$A,ROW())="","",INDEX(Banco!$A:$A,ROW()))</f>
        <v/>
      </c>
      <c r="B258" s="8">
        <f>IF(INDEX(Banco!$B:$B,ROW())="","",INDEX(Banco!$B:$B,ROW()))</f>
        <v/>
      </c>
      <c r="C258" s="8">
        <f>IF(INDEX(Banco!$C:$C,ROW())="","",INDEX(Banco!$C:$C,ROW()))</f>
        <v/>
      </c>
      <c r="D258" s="9">
        <f>IF(INDEX(Banco!$D:$D,ROW())="","",INDEX(Banco!$D:$D,ROW()))</f>
        <v/>
      </c>
      <c r="E258" s="9">
        <f>IF(INDEX(Banco!$E:$E,ROW())="","",INDEX(Banco!$E:$E,ROW()))</f>
        <v/>
      </c>
      <c r="F258" s="10">
        <f>IF(INDEX(Banco!$F:$F,ROW())="","",INDEX(Banco!$F:$F,ROW()))</f>
        <v/>
      </c>
      <c r="G258" s="10">
        <f>IF(INDEX(Banco!$G:$G,ROW())="","",INDEX(Banco!$G:$G,ROW()))</f>
        <v/>
      </c>
      <c r="H258" s="8">
        <f>IF(INDEX(Banco!$H:$H,ROW())="","",INDEX(Banco!$H:$H,ROW()))</f>
        <v/>
      </c>
      <c r="I258">
        <f>IF($T258="","",INT($T258/12)&amp;"a "&amp;MOD($T258,12)&amp;"m")</f>
        <v/>
      </c>
      <c r="J258" s="11">
        <f>IF(OR($F258="",$G258=""),"",ROUND($F258/($G258/100)^2,2))</f>
        <v/>
      </c>
      <c r="K258" s="12">
        <f>IF(OR($S258="",$J258="",$T258="",$T258&lt;0,$T258&gt;228,$Y258=""),"—",ROUND(IF(ABS($AB258)&lt;=3,$AB258,IF($AB258&gt;3,3+($J258-$AD258)/($AD258-$AC258),-3+($J258-$AF258)/($AE258-$AF258))),2))</f>
        <v/>
      </c>
      <c r="L258">
        <f>IF(OR($K258="",$K258="—"),"",IF($T258&lt;=60,IF($K258&lt;-3,"Magreza acentuada",IF($K258&lt;-2,"Magreza",IF($K258&lt;=1,"Eutrofia",IF($K258&lt;=2,"Risco de sobrepeso",IF($K258&lt;=3,"Sobrepeso","Obesidade"))))),IF($K258&lt;-3,"Magreza acentuada",IF($K258&lt;-2,"Magreza",IF($K258&lt;=1,"Eutrofia",IF($K258&lt;=2,"Sobrepeso",IF($K258&lt;=3,"Obesidade","Obesidade grave")))))))</f>
        <v/>
      </c>
      <c r="M258" s="12">
        <f>IF(OR($S258="",$V258="",$T258="",$T258&lt;0,$T258&gt;228,$AG258=""),"—",ROUND(IF($AG258=0,LN($V258/$AH258)/$AI258,((($V258/$AH258)^$AG258)-1)/($AG258*$AI258)),2))</f>
        <v/>
      </c>
      <c r="N258">
        <f>IF(OR($M258="",$M258="—"),"",IF($M258&lt;-3,"Muito baixa",IF($M258&lt;-2,"Baixa","Adequada")))</f>
        <v/>
      </c>
      <c r="O258" s="12">
        <f>IF(OR($S258="",$F258="",$T258="",$T258&lt;0,$T258&gt;120,$AJ258=""),"—",ROUND(IF(ABS($AM258)&lt;=3,$AM258,IF($AM258&gt;3,3+($F258-$AO258)/($AO258-$AN258),-3+($F258-$AQ258)/($AP258-$AQ258))),2))</f>
        <v/>
      </c>
      <c r="P258">
        <f>IF(OR($O258="",$O258="—"),"",IF($O258&lt;-3,"Muito baixo",IF($O258&lt;-2,"Baixo",IF($O258&lt;=2,"Adequado","Elevado"))))</f>
        <v/>
      </c>
      <c r="Q258" s="12">
        <f>IF(OR($S258="",$F258="",$T258="",$T258&lt;0,$T258&gt;60,$AR258=""),"—",ROUND(IF(ABS($AU258)&lt;=3,$AU258,IF($AU258&gt;3,3+($F258-$AW258)/($AW258-$AV258),-3+($F258-$AY258)/($AX258-$AY258))),2))</f>
        <v/>
      </c>
      <c r="R258">
        <f>IF(OR($Q258="",$Q258="—"),"",IF($Q258&lt;-3,"Magreza acentuada",IF($Q258&lt;-2,"Magreza",IF($Q258&lt;=1,"Eutrofia",IF($Q258&lt;=2,"Risco de sobrepeso",IF($Q258&lt;=3,"Sobrepeso","Obesidade"))))))</f>
        <v/>
      </c>
      <c r="S258">
        <f>IF($C258="","",IF(UPPER(LEFT($C258,1))="M",1,IF(UPPER(LEFT($C258,1))="F",2,"")))</f>
        <v/>
      </c>
      <c r="T258">
        <f>IF(OR($D258="",$E258=""),"",DATEDIF($D258,$E258,"m"))</f>
        <v/>
      </c>
      <c r="U258">
        <f>IF(OR($D258="",$E258=""),"",$E258-$D258)</f>
        <v/>
      </c>
      <c r="V258">
        <f>IF(OR($G258="",$T258=""),"",IF($T258&lt;24,IF(LEFT(LOWER($H258),4)="em p",$G258+0.7,$G258),IF(LEFT(LOWER($H258),4)="deit",$G258-0.7,$G258)))</f>
        <v/>
      </c>
      <c r="W258">
        <f>IF(OR($S258="",$T258=""),"",$S258*1000000+IF($T258&lt;=60,$U258,$T258))</f>
        <v/>
      </c>
      <c r="X258">
        <f>IF(OR($S258="",$V258="",$T258&gt;60,$T258=""),"",$S258*1000000+ROUND($V258*10,0))</f>
        <v/>
      </c>
      <c r="Y258">
        <f>IF($W258="","",IFERROR(INDEX(IF($T258&lt;=60,imc05_l,imc519_l),MATCH($W258,IF($T258&lt;=60,imc05_k,imc519_k),1)),""))</f>
        <v/>
      </c>
      <c r="Z258">
        <f>IF($W258="","",IFERROR(INDEX(IF($T258&lt;=60,imc05_m,imc519_m),MATCH($W258,IF($T258&lt;=60,imc05_k,imc519_k),1)),""))</f>
        <v/>
      </c>
      <c r="AA258">
        <f>IF($W258="","",IFERROR(INDEX(IF($T258&lt;=60,imc05_s,imc519_s),MATCH($W258,IF($T258&lt;=60,imc05_k,imc519_k),1)),""))</f>
        <v/>
      </c>
      <c r="AB258">
        <f>IF($Y258="","",IF($Y258=0,LN($J258/$Z258)/$AA258,((($J258/$Z258)^$Y258)-1)/($Y258*$AA258)))</f>
        <v/>
      </c>
      <c r="AC258">
        <f>IF($Y258="","",IF($Y258=0,$Z258*EXP($AA258*2),$Z258*(1+$Y258*$AA258*2)^(1/$Y258)))</f>
        <v/>
      </c>
      <c r="AD258">
        <f>IF($Y258="","",IF($Y258=0,$Z258*EXP($AA258*3),$Z258*(1+$Y258*$AA258*3)^(1/$Y258)))</f>
        <v/>
      </c>
      <c r="AE258">
        <f>IF($Y258="","",IF($Y258=0,$Z258*EXP($AA258*-2),$Z258*(1+$Y258*$AA258*-2)^(1/$Y258)))</f>
        <v/>
      </c>
      <c r="AF258">
        <f>IF($Y258="","",IF($Y258=0,$Z258*EXP($AA258*-3),$Z258*(1+$Y258*$AA258*-3)^(1/$Y258)))</f>
        <v/>
      </c>
      <c r="AG258">
        <f>IF($W258="","",IFERROR(INDEX(IF($T258&lt;=60,est05_l,est519_l),MATCH($W258,IF($T258&lt;=60,est05_k,est519_k),1)),""))</f>
        <v/>
      </c>
      <c r="AH258">
        <f>IF($W258="","",IFERROR(INDEX(IF($T258&lt;=60,est05_m,est519_m),MATCH($W258,IF($T258&lt;=60,est05_k,est519_k),1)),""))</f>
        <v/>
      </c>
      <c r="AI258">
        <f>IF($W258="","",IFERROR(INDEX(IF($T258&lt;=60,est05_s,est519_s),MATCH($W258,IF($T258&lt;=60,est05_k,est519_k),1)),""))</f>
        <v/>
      </c>
      <c r="AJ258">
        <f>IF($W258="","",IFERROR(INDEX(IF($T258&lt;=60,peso05_l,peso510_l),MATCH($W258,IF($T258&lt;=60,peso05_k,peso510_k),1)),""))</f>
        <v/>
      </c>
      <c r="AK258">
        <f>IF($W258="","",IFERROR(INDEX(IF($T258&lt;=60,peso05_m,peso510_m),MATCH($W258,IF($T258&lt;=60,peso05_k,peso510_k),1)),""))</f>
        <v/>
      </c>
      <c r="AL258">
        <f>IF($W258="","",IFERROR(INDEX(IF($T258&lt;=60,peso05_s,peso510_s),MATCH($W258,IF($T258&lt;=60,peso05_k,peso510_k),1)),""))</f>
        <v/>
      </c>
      <c r="AM258">
        <f>IF($AJ258="","",IF($AJ258=0,LN($F258/$AK258)/$AL258,((($F258/$AK258)^$AJ258)-1)/($AJ258*$AL258)))</f>
        <v/>
      </c>
      <c r="AN258">
        <f>IF($AJ258="","",IF($AJ258=0,$AK258*EXP($AL258*2),$AK258*(1+$AJ258*$AL258*2)^(1/$AJ258)))</f>
        <v/>
      </c>
      <c r="AO258">
        <f>IF($AJ258="","",IF($AJ258=0,$AK258*EXP($AL258*3),$AK258*(1+$AJ258*$AL258*3)^(1/$AJ258)))</f>
        <v/>
      </c>
      <c r="AP258">
        <f>IF($AJ258="","",IF($AJ258=0,$AK258*EXP($AL258*-2),$AK258*(1+$AJ258*$AL258*-2)^(1/$AJ258)))</f>
        <v/>
      </c>
      <c r="AQ258">
        <f>IF($AJ258="","",IF($AJ258=0,$AK258*EXP($AL258*-3),$AK258*(1+$AJ258*$AL258*-3)^(1/$AJ258)))</f>
        <v/>
      </c>
      <c r="AR258">
        <f>IF(OR($X258="",$T258&gt;60),"",IFERROR(INDEX(IF($T258&lt;24,pcomp_l,palt_l),MATCH($X258,IF($T258&lt;24,pcomp_k,palt_k),1)),""))</f>
        <v/>
      </c>
      <c r="AS258">
        <f>IF(OR($X258="",$T258&gt;60),"",IFERROR(INDEX(IF($T258&lt;24,pcomp_m,palt_m),MATCH($X258,IF($T258&lt;24,pcomp_k,palt_k),1)),""))</f>
        <v/>
      </c>
      <c r="AT258">
        <f>IF(OR($X258="",$T258&gt;60),"",IFERROR(INDEX(IF($T258&lt;24,pcomp_s,palt_s),MATCH($X258,IF($T258&lt;24,pcomp_k,palt_k),1)),""))</f>
        <v/>
      </c>
      <c r="AU258">
        <f>IF($AR258="","",IF($AR258=0,LN($F258/$AS258)/$AT258,((($F258/$AS258)^$AR258)-1)/($AR258*$AT258)))</f>
        <v/>
      </c>
      <c r="AV258">
        <f>IF($AR258="","",IF($AR258=0,$AS258*EXP($AT258*2),$AS258*(1+$AR258*$AT258*2)^(1/$AR258)))</f>
        <v/>
      </c>
      <c r="AW258">
        <f>IF($AR258="","",IF($AR258=0,$AS258*EXP($AT258*3),$AS258*(1+$AR258*$AT258*3)^(1/$AR258)))</f>
        <v/>
      </c>
      <c r="AX258">
        <f>IF($AR258="","",IF($AR258=0,$AS258*EXP($AT258*-2),$AS258*(1+$AR258*$AT258*-2)^(1/$AR258)))</f>
        <v/>
      </c>
      <c r="AY258">
        <f>IF($AR258="","",IF($AR258=0,$AS258*EXP($AT258*-3),$AS258*(1+$AR258*$AT258*-3)^(1/$AR258)))</f>
        <v/>
      </c>
      <c r="AZ258">
        <f>IF(OR($A258="",$A258&lt;&gt;Ficha!$C$4),"",COUNTIF($A$2:$A258,Ficha!$C$4))</f>
        <v/>
      </c>
    </row>
    <row r="259">
      <c r="A259" s="8">
        <f>IF(INDEX(Banco!$A:$A,ROW())="","",INDEX(Banco!$A:$A,ROW()))</f>
        <v/>
      </c>
      <c r="B259" s="8">
        <f>IF(INDEX(Banco!$B:$B,ROW())="","",INDEX(Banco!$B:$B,ROW()))</f>
        <v/>
      </c>
      <c r="C259" s="8">
        <f>IF(INDEX(Banco!$C:$C,ROW())="","",INDEX(Banco!$C:$C,ROW()))</f>
        <v/>
      </c>
      <c r="D259" s="9">
        <f>IF(INDEX(Banco!$D:$D,ROW())="","",INDEX(Banco!$D:$D,ROW()))</f>
        <v/>
      </c>
      <c r="E259" s="9">
        <f>IF(INDEX(Banco!$E:$E,ROW())="","",INDEX(Banco!$E:$E,ROW()))</f>
        <v/>
      </c>
      <c r="F259" s="10">
        <f>IF(INDEX(Banco!$F:$F,ROW())="","",INDEX(Banco!$F:$F,ROW()))</f>
        <v/>
      </c>
      <c r="G259" s="10">
        <f>IF(INDEX(Banco!$G:$G,ROW())="","",INDEX(Banco!$G:$G,ROW()))</f>
        <v/>
      </c>
      <c r="H259" s="8">
        <f>IF(INDEX(Banco!$H:$H,ROW())="","",INDEX(Banco!$H:$H,ROW()))</f>
        <v/>
      </c>
      <c r="I259">
        <f>IF($T259="","",INT($T259/12)&amp;"a "&amp;MOD($T259,12)&amp;"m")</f>
        <v/>
      </c>
      <c r="J259" s="11">
        <f>IF(OR($F259="",$G259=""),"",ROUND($F259/($G259/100)^2,2))</f>
        <v/>
      </c>
      <c r="K259" s="12">
        <f>IF(OR($S259="",$J259="",$T259="",$T259&lt;0,$T259&gt;228,$Y259=""),"—",ROUND(IF(ABS($AB259)&lt;=3,$AB259,IF($AB259&gt;3,3+($J259-$AD259)/($AD259-$AC259),-3+($J259-$AF259)/($AE259-$AF259))),2))</f>
        <v/>
      </c>
      <c r="L259">
        <f>IF(OR($K259="",$K259="—"),"",IF($T259&lt;=60,IF($K259&lt;-3,"Magreza acentuada",IF($K259&lt;-2,"Magreza",IF($K259&lt;=1,"Eutrofia",IF($K259&lt;=2,"Risco de sobrepeso",IF($K259&lt;=3,"Sobrepeso","Obesidade"))))),IF($K259&lt;-3,"Magreza acentuada",IF($K259&lt;-2,"Magreza",IF($K259&lt;=1,"Eutrofia",IF($K259&lt;=2,"Sobrepeso",IF($K259&lt;=3,"Obesidade","Obesidade grave")))))))</f>
        <v/>
      </c>
      <c r="M259" s="12">
        <f>IF(OR($S259="",$V259="",$T259="",$T259&lt;0,$T259&gt;228,$AG259=""),"—",ROUND(IF($AG259=0,LN($V259/$AH259)/$AI259,((($V259/$AH259)^$AG259)-1)/($AG259*$AI259)),2))</f>
        <v/>
      </c>
      <c r="N259">
        <f>IF(OR($M259="",$M259="—"),"",IF($M259&lt;-3,"Muito baixa",IF($M259&lt;-2,"Baixa","Adequada")))</f>
        <v/>
      </c>
      <c r="O259" s="12">
        <f>IF(OR($S259="",$F259="",$T259="",$T259&lt;0,$T259&gt;120,$AJ259=""),"—",ROUND(IF(ABS($AM259)&lt;=3,$AM259,IF($AM259&gt;3,3+($F259-$AO259)/($AO259-$AN259),-3+($F259-$AQ259)/($AP259-$AQ259))),2))</f>
        <v/>
      </c>
      <c r="P259">
        <f>IF(OR($O259="",$O259="—"),"",IF($O259&lt;-3,"Muito baixo",IF($O259&lt;-2,"Baixo",IF($O259&lt;=2,"Adequado","Elevado"))))</f>
        <v/>
      </c>
      <c r="Q259" s="12">
        <f>IF(OR($S259="",$F259="",$T259="",$T259&lt;0,$T259&gt;60,$AR259=""),"—",ROUND(IF(ABS($AU259)&lt;=3,$AU259,IF($AU259&gt;3,3+($F259-$AW259)/($AW259-$AV259),-3+($F259-$AY259)/($AX259-$AY259))),2))</f>
        <v/>
      </c>
      <c r="R259">
        <f>IF(OR($Q259="",$Q259="—"),"",IF($Q259&lt;-3,"Magreza acentuada",IF($Q259&lt;-2,"Magreza",IF($Q259&lt;=1,"Eutrofia",IF($Q259&lt;=2,"Risco de sobrepeso",IF($Q259&lt;=3,"Sobrepeso","Obesidade"))))))</f>
        <v/>
      </c>
      <c r="S259">
        <f>IF($C259="","",IF(UPPER(LEFT($C259,1))="M",1,IF(UPPER(LEFT($C259,1))="F",2,"")))</f>
        <v/>
      </c>
      <c r="T259">
        <f>IF(OR($D259="",$E259=""),"",DATEDIF($D259,$E259,"m"))</f>
        <v/>
      </c>
      <c r="U259">
        <f>IF(OR($D259="",$E259=""),"",$E259-$D259)</f>
        <v/>
      </c>
      <c r="V259">
        <f>IF(OR($G259="",$T259=""),"",IF($T259&lt;24,IF(LEFT(LOWER($H259),4)="em p",$G259+0.7,$G259),IF(LEFT(LOWER($H259),4)="deit",$G259-0.7,$G259)))</f>
        <v/>
      </c>
      <c r="W259">
        <f>IF(OR($S259="",$T259=""),"",$S259*1000000+IF($T259&lt;=60,$U259,$T259))</f>
        <v/>
      </c>
      <c r="X259">
        <f>IF(OR($S259="",$V259="",$T259&gt;60,$T259=""),"",$S259*1000000+ROUND($V259*10,0))</f>
        <v/>
      </c>
      <c r="Y259">
        <f>IF($W259="","",IFERROR(INDEX(IF($T259&lt;=60,imc05_l,imc519_l),MATCH($W259,IF($T259&lt;=60,imc05_k,imc519_k),1)),""))</f>
        <v/>
      </c>
      <c r="Z259">
        <f>IF($W259="","",IFERROR(INDEX(IF($T259&lt;=60,imc05_m,imc519_m),MATCH($W259,IF($T259&lt;=60,imc05_k,imc519_k),1)),""))</f>
        <v/>
      </c>
      <c r="AA259">
        <f>IF($W259="","",IFERROR(INDEX(IF($T259&lt;=60,imc05_s,imc519_s),MATCH($W259,IF($T259&lt;=60,imc05_k,imc519_k),1)),""))</f>
        <v/>
      </c>
      <c r="AB259">
        <f>IF($Y259="","",IF($Y259=0,LN($J259/$Z259)/$AA259,((($J259/$Z259)^$Y259)-1)/($Y259*$AA259)))</f>
        <v/>
      </c>
      <c r="AC259">
        <f>IF($Y259="","",IF($Y259=0,$Z259*EXP($AA259*2),$Z259*(1+$Y259*$AA259*2)^(1/$Y259)))</f>
        <v/>
      </c>
      <c r="AD259">
        <f>IF($Y259="","",IF($Y259=0,$Z259*EXP($AA259*3),$Z259*(1+$Y259*$AA259*3)^(1/$Y259)))</f>
        <v/>
      </c>
      <c r="AE259">
        <f>IF($Y259="","",IF($Y259=0,$Z259*EXP($AA259*-2),$Z259*(1+$Y259*$AA259*-2)^(1/$Y259)))</f>
        <v/>
      </c>
      <c r="AF259">
        <f>IF($Y259="","",IF($Y259=0,$Z259*EXP($AA259*-3),$Z259*(1+$Y259*$AA259*-3)^(1/$Y259)))</f>
        <v/>
      </c>
      <c r="AG259">
        <f>IF($W259="","",IFERROR(INDEX(IF($T259&lt;=60,est05_l,est519_l),MATCH($W259,IF($T259&lt;=60,est05_k,est519_k),1)),""))</f>
        <v/>
      </c>
      <c r="AH259">
        <f>IF($W259="","",IFERROR(INDEX(IF($T259&lt;=60,est05_m,est519_m),MATCH($W259,IF($T259&lt;=60,est05_k,est519_k),1)),""))</f>
        <v/>
      </c>
      <c r="AI259">
        <f>IF($W259="","",IFERROR(INDEX(IF($T259&lt;=60,est05_s,est519_s),MATCH($W259,IF($T259&lt;=60,est05_k,est519_k),1)),""))</f>
        <v/>
      </c>
      <c r="AJ259">
        <f>IF($W259="","",IFERROR(INDEX(IF($T259&lt;=60,peso05_l,peso510_l),MATCH($W259,IF($T259&lt;=60,peso05_k,peso510_k),1)),""))</f>
        <v/>
      </c>
      <c r="AK259">
        <f>IF($W259="","",IFERROR(INDEX(IF($T259&lt;=60,peso05_m,peso510_m),MATCH($W259,IF($T259&lt;=60,peso05_k,peso510_k),1)),""))</f>
        <v/>
      </c>
      <c r="AL259">
        <f>IF($W259="","",IFERROR(INDEX(IF($T259&lt;=60,peso05_s,peso510_s),MATCH($W259,IF($T259&lt;=60,peso05_k,peso510_k),1)),""))</f>
        <v/>
      </c>
      <c r="AM259">
        <f>IF($AJ259="","",IF($AJ259=0,LN($F259/$AK259)/$AL259,((($F259/$AK259)^$AJ259)-1)/($AJ259*$AL259)))</f>
        <v/>
      </c>
      <c r="AN259">
        <f>IF($AJ259="","",IF($AJ259=0,$AK259*EXP($AL259*2),$AK259*(1+$AJ259*$AL259*2)^(1/$AJ259)))</f>
        <v/>
      </c>
      <c r="AO259">
        <f>IF($AJ259="","",IF($AJ259=0,$AK259*EXP($AL259*3),$AK259*(1+$AJ259*$AL259*3)^(1/$AJ259)))</f>
        <v/>
      </c>
      <c r="AP259">
        <f>IF($AJ259="","",IF($AJ259=0,$AK259*EXP($AL259*-2),$AK259*(1+$AJ259*$AL259*-2)^(1/$AJ259)))</f>
        <v/>
      </c>
      <c r="AQ259">
        <f>IF($AJ259="","",IF($AJ259=0,$AK259*EXP($AL259*-3),$AK259*(1+$AJ259*$AL259*-3)^(1/$AJ259)))</f>
        <v/>
      </c>
      <c r="AR259">
        <f>IF(OR($X259="",$T259&gt;60),"",IFERROR(INDEX(IF($T259&lt;24,pcomp_l,palt_l),MATCH($X259,IF($T259&lt;24,pcomp_k,palt_k),1)),""))</f>
        <v/>
      </c>
      <c r="AS259">
        <f>IF(OR($X259="",$T259&gt;60),"",IFERROR(INDEX(IF($T259&lt;24,pcomp_m,palt_m),MATCH($X259,IF($T259&lt;24,pcomp_k,palt_k),1)),""))</f>
        <v/>
      </c>
      <c r="AT259">
        <f>IF(OR($X259="",$T259&gt;60),"",IFERROR(INDEX(IF($T259&lt;24,pcomp_s,palt_s),MATCH($X259,IF($T259&lt;24,pcomp_k,palt_k),1)),""))</f>
        <v/>
      </c>
      <c r="AU259">
        <f>IF($AR259="","",IF($AR259=0,LN($F259/$AS259)/$AT259,((($F259/$AS259)^$AR259)-1)/($AR259*$AT259)))</f>
        <v/>
      </c>
      <c r="AV259">
        <f>IF($AR259="","",IF($AR259=0,$AS259*EXP($AT259*2),$AS259*(1+$AR259*$AT259*2)^(1/$AR259)))</f>
        <v/>
      </c>
      <c r="AW259">
        <f>IF($AR259="","",IF($AR259=0,$AS259*EXP($AT259*3),$AS259*(1+$AR259*$AT259*3)^(1/$AR259)))</f>
        <v/>
      </c>
      <c r="AX259">
        <f>IF($AR259="","",IF($AR259=0,$AS259*EXP($AT259*-2),$AS259*(1+$AR259*$AT259*-2)^(1/$AR259)))</f>
        <v/>
      </c>
      <c r="AY259">
        <f>IF($AR259="","",IF($AR259=0,$AS259*EXP($AT259*-3),$AS259*(1+$AR259*$AT259*-3)^(1/$AR259)))</f>
        <v/>
      </c>
      <c r="AZ259">
        <f>IF(OR($A259="",$A259&lt;&gt;Ficha!$C$4),"",COUNTIF($A$2:$A259,Ficha!$C$4))</f>
        <v/>
      </c>
    </row>
    <row r="260">
      <c r="A260" s="8">
        <f>IF(INDEX(Banco!$A:$A,ROW())="","",INDEX(Banco!$A:$A,ROW()))</f>
        <v/>
      </c>
      <c r="B260" s="8">
        <f>IF(INDEX(Banco!$B:$B,ROW())="","",INDEX(Banco!$B:$B,ROW()))</f>
        <v/>
      </c>
      <c r="C260" s="8">
        <f>IF(INDEX(Banco!$C:$C,ROW())="","",INDEX(Banco!$C:$C,ROW()))</f>
        <v/>
      </c>
      <c r="D260" s="9">
        <f>IF(INDEX(Banco!$D:$D,ROW())="","",INDEX(Banco!$D:$D,ROW()))</f>
        <v/>
      </c>
      <c r="E260" s="9">
        <f>IF(INDEX(Banco!$E:$E,ROW())="","",INDEX(Banco!$E:$E,ROW()))</f>
        <v/>
      </c>
      <c r="F260" s="10">
        <f>IF(INDEX(Banco!$F:$F,ROW())="","",INDEX(Banco!$F:$F,ROW()))</f>
        <v/>
      </c>
      <c r="G260" s="10">
        <f>IF(INDEX(Banco!$G:$G,ROW())="","",INDEX(Banco!$G:$G,ROW()))</f>
        <v/>
      </c>
      <c r="H260" s="8">
        <f>IF(INDEX(Banco!$H:$H,ROW())="","",INDEX(Banco!$H:$H,ROW()))</f>
        <v/>
      </c>
      <c r="I260">
        <f>IF($T260="","",INT($T260/12)&amp;"a "&amp;MOD($T260,12)&amp;"m")</f>
        <v/>
      </c>
      <c r="J260" s="11">
        <f>IF(OR($F260="",$G260=""),"",ROUND($F260/($G260/100)^2,2))</f>
        <v/>
      </c>
      <c r="K260" s="12">
        <f>IF(OR($S260="",$J260="",$T260="",$T260&lt;0,$T260&gt;228,$Y260=""),"—",ROUND(IF(ABS($AB260)&lt;=3,$AB260,IF($AB260&gt;3,3+($J260-$AD260)/($AD260-$AC260),-3+($J260-$AF260)/($AE260-$AF260))),2))</f>
        <v/>
      </c>
      <c r="L260">
        <f>IF(OR($K260="",$K260="—"),"",IF($T260&lt;=60,IF($K260&lt;-3,"Magreza acentuada",IF($K260&lt;-2,"Magreza",IF($K260&lt;=1,"Eutrofia",IF($K260&lt;=2,"Risco de sobrepeso",IF($K260&lt;=3,"Sobrepeso","Obesidade"))))),IF($K260&lt;-3,"Magreza acentuada",IF($K260&lt;-2,"Magreza",IF($K260&lt;=1,"Eutrofia",IF($K260&lt;=2,"Sobrepeso",IF($K260&lt;=3,"Obesidade","Obesidade grave")))))))</f>
        <v/>
      </c>
      <c r="M260" s="12">
        <f>IF(OR($S260="",$V260="",$T260="",$T260&lt;0,$T260&gt;228,$AG260=""),"—",ROUND(IF($AG260=0,LN($V260/$AH260)/$AI260,((($V260/$AH260)^$AG260)-1)/($AG260*$AI260)),2))</f>
        <v/>
      </c>
      <c r="N260">
        <f>IF(OR($M260="",$M260="—"),"",IF($M260&lt;-3,"Muito baixa",IF($M260&lt;-2,"Baixa","Adequada")))</f>
        <v/>
      </c>
      <c r="O260" s="12">
        <f>IF(OR($S260="",$F260="",$T260="",$T260&lt;0,$T260&gt;120,$AJ260=""),"—",ROUND(IF(ABS($AM260)&lt;=3,$AM260,IF($AM260&gt;3,3+($F260-$AO260)/($AO260-$AN260),-3+($F260-$AQ260)/($AP260-$AQ260))),2))</f>
        <v/>
      </c>
      <c r="P260">
        <f>IF(OR($O260="",$O260="—"),"",IF($O260&lt;-3,"Muito baixo",IF($O260&lt;-2,"Baixo",IF($O260&lt;=2,"Adequado","Elevado"))))</f>
        <v/>
      </c>
      <c r="Q260" s="12">
        <f>IF(OR($S260="",$F260="",$T260="",$T260&lt;0,$T260&gt;60,$AR260=""),"—",ROUND(IF(ABS($AU260)&lt;=3,$AU260,IF($AU260&gt;3,3+($F260-$AW260)/($AW260-$AV260),-3+($F260-$AY260)/($AX260-$AY260))),2))</f>
        <v/>
      </c>
      <c r="R260">
        <f>IF(OR($Q260="",$Q260="—"),"",IF($Q260&lt;-3,"Magreza acentuada",IF($Q260&lt;-2,"Magreza",IF($Q260&lt;=1,"Eutrofia",IF($Q260&lt;=2,"Risco de sobrepeso",IF($Q260&lt;=3,"Sobrepeso","Obesidade"))))))</f>
        <v/>
      </c>
      <c r="S260">
        <f>IF($C260="","",IF(UPPER(LEFT($C260,1))="M",1,IF(UPPER(LEFT($C260,1))="F",2,"")))</f>
        <v/>
      </c>
      <c r="T260">
        <f>IF(OR($D260="",$E260=""),"",DATEDIF($D260,$E260,"m"))</f>
        <v/>
      </c>
      <c r="U260">
        <f>IF(OR($D260="",$E260=""),"",$E260-$D260)</f>
        <v/>
      </c>
      <c r="V260">
        <f>IF(OR($G260="",$T260=""),"",IF($T260&lt;24,IF(LEFT(LOWER($H260),4)="em p",$G260+0.7,$G260),IF(LEFT(LOWER($H260),4)="deit",$G260-0.7,$G260)))</f>
        <v/>
      </c>
      <c r="W260">
        <f>IF(OR($S260="",$T260=""),"",$S260*1000000+IF($T260&lt;=60,$U260,$T260))</f>
        <v/>
      </c>
      <c r="X260">
        <f>IF(OR($S260="",$V260="",$T260&gt;60,$T260=""),"",$S260*1000000+ROUND($V260*10,0))</f>
        <v/>
      </c>
      <c r="Y260">
        <f>IF($W260="","",IFERROR(INDEX(IF($T260&lt;=60,imc05_l,imc519_l),MATCH($W260,IF($T260&lt;=60,imc05_k,imc519_k),1)),""))</f>
        <v/>
      </c>
      <c r="Z260">
        <f>IF($W260="","",IFERROR(INDEX(IF($T260&lt;=60,imc05_m,imc519_m),MATCH($W260,IF($T260&lt;=60,imc05_k,imc519_k),1)),""))</f>
        <v/>
      </c>
      <c r="AA260">
        <f>IF($W260="","",IFERROR(INDEX(IF($T260&lt;=60,imc05_s,imc519_s),MATCH($W260,IF($T260&lt;=60,imc05_k,imc519_k),1)),""))</f>
        <v/>
      </c>
      <c r="AB260">
        <f>IF($Y260="","",IF($Y260=0,LN($J260/$Z260)/$AA260,((($J260/$Z260)^$Y260)-1)/($Y260*$AA260)))</f>
        <v/>
      </c>
      <c r="AC260">
        <f>IF($Y260="","",IF($Y260=0,$Z260*EXP($AA260*2),$Z260*(1+$Y260*$AA260*2)^(1/$Y260)))</f>
        <v/>
      </c>
      <c r="AD260">
        <f>IF($Y260="","",IF($Y260=0,$Z260*EXP($AA260*3),$Z260*(1+$Y260*$AA260*3)^(1/$Y260)))</f>
        <v/>
      </c>
      <c r="AE260">
        <f>IF($Y260="","",IF($Y260=0,$Z260*EXP($AA260*-2),$Z260*(1+$Y260*$AA260*-2)^(1/$Y260)))</f>
        <v/>
      </c>
      <c r="AF260">
        <f>IF($Y260="","",IF($Y260=0,$Z260*EXP($AA260*-3),$Z260*(1+$Y260*$AA260*-3)^(1/$Y260)))</f>
        <v/>
      </c>
      <c r="AG260">
        <f>IF($W260="","",IFERROR(INDEX(IF($T260&lt;=60,est05_l,est519_l),MATCH($W260,IF($T260&lt;=60,est05_k,est519_k),1)),""))</f>
        <v/>
      </c>
      <c r="AH260">
        <f>IF($W260="","",IFERROR(INDEX(IF($T260&lt;=60,est05_m,est519_m),MATCH($W260,IF($T260&lt;=60,est05_k,est519_k),1)),""))</f>
        <v/>
      </c>
      <c r="AI260">
        <f>IF($W260="","",IFERROR(INDEX(IF($T260&lt;=60,est05_s,est519_s),MATCH($W260,IF($T260&lt;=60,est05_k,est519_k),1)),""))</f>
        <v/>
      </c>
      <c r="AJ260">
        <f>IF($W260="","",IFERROR(INDEX(IF($T260&lt;=60,peso05_l,peso510_l),MATCH($W260,IF($T260&lt;=60,peso05_k,peso510_k),1)),""))</f>
        <v/>
      </c>
      <c r="AK260">
        <f>IF($W260="","",IFERROR(INDEX(IF($T260&lt;=60,peso05_m,peso510_m),MATCH($W260,IF($T260&lt;=60,peso05_k,peso510_k),1)),""))</f>
        <v/>
      </c>
      <c r="AL260">
        <f>IF($W260="","",IFERROR(INDEX(IF($T260&lt;=60,peso05_s,peso510_s),MATCH($W260,IF($T260&lt;=60,peso05_k,peso510_k),1)),""))</f>
        <v/>
      </c>
      <c r="AM260">
        <f>IF($AJ260="","",IF($AJ260=0,LN($F260/$AK260)/$AL260,((($F260/$AK260)^$AJ260)-1)/($AJ260*$AL260)))</f>
        <v/>
      </c>
      <c r="AN260">
        <f>IF($AJ260="","",IF($AJ260=0,$AK260*EXP($AL260*2),$AK260*(1+$AJ260*$AL260*2)^(1/$AJ260)))</f>
        <v/>
      </c>
      <c r="AO260">
        <f>IF($AJ260="","",IF($AJ260=0,$AK260*EXP($AL260*3),$AK260*(1+$AJ260*$AL260*3)^(1/$AJ260)))</f>
        <v/>
      </c>
      <c r="AP260">
        <f>IF($AJ260="","",IF($AJ260=0,$AK260*EXP($AL260*-2),$AK260*(1+$AJ260*$AL260*-2)^(1/$AJ260)))</f>
        <v/>
      </c>
      <c r="AQ260">
        <f>IF($AJ260="","",IF($AJ260=0,$AK260*EXP($AL260*-3),$AK260*(1+$AJ260*$AL260*-3)^(1/$AJ260)))</f>
        <v/>
      </c>
      <c r="AR260">
        <f>IF(OR($X260="",$T260&gt;60),"",IFERROR(INDEX(IF($T260&lt;24,pcomp_l,palt_l),MATCH($X260,IF($T260&lt;24,pcomp_k,palt_k),1)),""))</f>
        <v/>
      </c>
      <c r="AS260">
        <f>IF(OR($X260="",$T260&gt;60),"",IFERROR(INDEX(IF($T260&lt;24,pcomp_m,palt_m),MATCH($X260,IF($T260&lt;24,pcomp_k,palt_k),1)),""))</f>
        <v/>
      </c>
      <c r="AT260">
        <f>IF(OR($X260="",$T260&gt;60),"",IFERROR(INDEX(IF($T260&lt;24,pcomp_s,palt_s),MATCH($X260,IF($T260&lt;24,pcomp_k,palt_k),1)),""))</f>
        <v/>
      </c>
      <c r="AU260">
        <f>IF($AR260="","",IF($AR260=0,LN($F260/$AS260)/$AT260,((($F260/$AS260)^$AR260)-1)/($AR260*$AT260)))</f>
        <v/>
      </c>
      <c r="AV260">
        <f>IF($AR260="","",IF($AR260=0,$AS260*EXP($AT260*2),$AS260*(1+$AR260*$AT260*2)^(1/$AR260)))</f>
        <v/>
      </c>
      <c r="AW260">
        <f>IF($AR260="","",IF($AR260=0,$AS260*EXP($AT260*3),$AS260*(1+$AR260*$AT260*3)^(1/$AR260)))</f>
        <v/>
      </c>
      <c r="AX260">
        <f>IF($AR260="","",IF($AR260=0,$AS260*EXP($AT260*-2),$AS260*(1+$AR260*$AT260*-2)^(1/$AR260)))</f>
        <v/>
      </c>
      <c r="AY260">
        <f>IF($AR260="","",IF($AR260=0,$AS260*EXP($AT260*-3),$AS260*(1+$AR260*$AT260*-3)^(1/$AR260)))</f>
        <v/>
      </c>
      <c r="AZ260">
        <f>IF(OR($A260="",$A260&lt;&gt;Ficha!$C$4),"",COUNTIF($A$2:$A260,Ficha!$C$4))</f>
        <v/>
      </c>
    </row>
    <row r="261">
      <c r="A261" s="8">
        <f>IF(INDEX(Banco!$A:$A,ROW())="","",INDEX(Banco!$A:$A,ROW()))</f>
        <v/>
      </c>
      <c r="B261" s="8">
        <f>IF(INDEX(Banco!$B:$B,ROW())="","",INDEX(Banco!$B:$B,ROW()))</f>
        <v/>
      </c>
      <c r="C261" s="8">
        <f>IF(INDEX(Banco!$C:$C,ROW())="","",INDEX(Banco!$C:$C,ROW()))</f>
        <v/>
      </c>
      <c r="D261" s="9">
        <f>IF(INDEX(Banco!$D:$D,ROW())="","",INDEX(Banco!$D:$D,ROW()))</f>
        <v/>
      </c>
      <c r="E261" s="9">
        <f>IF(INDEX(Banco!$E:$E,ROW())="","",INDEX(Banco!$E:$E,ROW()))</f>
        <v/>
      </c>
      <c r="F261" s="10">
        <f>IF(INDEX(Banco!$F:$F,ROW())="","",INDEX(Banco!$F:$F,ROW()))</f>
        <v/>
      </c>
      <c r="G261" s="10">
        <f>IF(INDEX(Banco!$G:$G,ROW())="","",INDEX(Banco!$G:$G,ROW()))</f>
        <v/>
      </c>
      <c r="H261" s="8">
        <f>IF(INDEX(Banco!$H:$H,ROW())="","",INDEX(Banco!$H:$H,ROW()))</f>
        <v/>
      </c>
      <c r="I261">
        <f>IF($T261="","",INT($T261/12)&amp;"a "&amp;MOD($T261,12)&amp;"m")</f>
        <v/>
      </c>
      <c r="J261" s="11">
        <f>IF(OR($F261="",$G261=""),"",ROUND($F261/($G261/100)^2,2))</f>
        <v/>
      </c>
      <c r="K261" s="12">
        <f>IF(OR($S261="",$J261="",$T261="",$T261&lt;0,$T261&gt;228,$Y261=""),"—",ROUND(IF(ABS($AB261)&lt;=3,$AB261,IF($AB261&gt;3,3+($J261-$AD261)/($AD261-$AC261),-3+($J261-$AF261)/($AE261-$AF261))),2))</f>
        <v/>
      </c>
      <c r="L261">
        <f>IF(OR($K261="",$K261="—"),"",IF($T261&lt;=60,IF($K261&lt;-3,"Magreza acentuada",IF($K261&lt;-2,"Magreza",IF($K261&lt;=1,"Eutrofia",IF($K261&lt;=2,"Risco de sobrepeso",IF($K261&lt;=3,"Sobrepeso","Obesidade"))))),IF($K261&lt;-3,"Magreza acentuada",IF($K261&lt;-2,"Magreza",IF($K261&lt;=1,"Eutrofia",IF($K261&lt;=2,"Sobrepeso",IF($K261&lt;=3,"Obesidade","Obesidade grave")))))))</f>
        <v/>
      </c>
      <c r="M261" s="12">
        <f>IF(OR($S261="",$V261="",$T261="",$T261&lt;0,$T261&gt;228,$AG261=""),"—",ROUND(IF($AG261=0,LN($V261/$AH261)/$AI261,((($V261/$AH261)^$AG261)-1)/($AG261*$AI261)),2))</f>
        <v/>
      </c>
      <c r="N261">
        <f>IF(OR($M261="",$M261="—"),"",IF($M261&lt;-3,"Muito baixa",IF($M261&lt;-2,"Baixa","Adequada")))</f>
        <v/>
      </c>
      <c r="O261" s="12">
        <f>IF(OR($S261="",$F261="",$T261="",$T261&lt;0,$T261&gt;120,$AJ261=""),"—",ROUND(IF(ABS($AM261)&lt;=3,$AM261,IF($AM261&gt;3,3+($F261-$AO261)/($AO261-$AN261),-3+($F261-$AQ261)/($AP261-$AQ261))),2))</f>
        <v/>
      </c>
      <c r="P261">
        <f>IF(OR($O261="",$O261="—"),"",IF($O261&lt;-3,"Muito baixo",IF($O261&lt;-2,"Baixo",IF($O261&lt;=2,"Adequado","Elevado"))))</f>
        <v/>
      </c>
      <c r="Q261" s="12">
        <f>IF(OR($S261="",$F261="",$T261="",$T261&lt;0,$T261&gt;60,$AR261=""),"—",ROUND(IF(ABS($AU261)&lt;=3,$AU261,IF($AU261&gt;3,3+($F261-$AW261)/($AW261-$AV261),-3+($F261-$AY261)/($AX261-$AY261))),2))</f>
        <v/>
      </c>
      <c r="R261">
        <f>IF(OR($Q261="",$Q261="—"),"",IF($Q261&lt;-3,"Magreza acentuada",IF($Q261&lt;-2,"Magreza",IF($Q261&lt;=1,"Eutrofia",IF($Q261&lt;=2,"Risco de sobrepeso",IF($Q261&lt;=3,"Sobrepeso","Obesidade"))))))</f>
        <v/>
      </c>
      <c r="S261">
        <f>IF($C261="","",IF(UPPER(LEFT($C261,1))="M",1,IF(UPPER(LEFT($C261,1))="F",2,"")))</f>
        <v/>
      </c>
      <c r="T261">
        <f>IF(OR($D261="",$E261=""),"",DATEDIF($D261,$E261,"m"))</f>
        <v/>
      </c>
      <c r="U261">
        <f>IF(OR($D261="",$E261=""),"",$E261-$D261)</f>
        <v/>
      </c>
      <c r="V261">
        <f>IF(OR($G261="",$T261=""),"",IF($T261&lt;24,IF(LEFT(LOWER($H261),4)="em p",$G261+0.7,$G261),IF(LEFT(LOWER($H261),4)="deit",$G261-0.7,$G261)))</f>
        <v/>
      </c>
      <c r="W261">
        <f>IF(OR($S261="",$T261=""),"",$S261*1000000+IF($T261&lt;=60,$U261,$T261))</f>
        <v/>
      </c>
      <c r="X261">
        <f>IF(OR($S261="",$V261="",$T261&gt;60,$T261=""),"",$S261*1000000+ROUND($V261*10,0))</f>
        <v/>
      </c>
      <c r="Y261">
        <f>IF($W261="","",IFERROR(INDEX(IF($T261&lt;=60,imc05_l,imc519_l),MATCH($W261,IF($T261&lt;=60,imc05_k,imc519_k),1)),""))</f>
        <v/>
      </c>
      <c r="Z261">
        <f>IF($W261="","",IFERROR(INDEX(IF($T261&lt;=60,imc05_m,imc519_m),MATCH($W261,IF($T261&lt;=60,imc05_k,imc519_k),1)),""))</f>
        <v/>
      </c>
      <c r="AA261">
        <f>IF($W261="","",IFERROR(INDEX(IF($T261&lt;=60,imc05_s,imc519_s),MATCH($W261,IF($T261&lt;=60,imc05_k,imc519_k),1)),""))</f>
        <v/>
      </c>
      <c r="AB261">
        <f>IF($Y261="","",IF($Y261=0,LN($J261/$Z261)/$AA261,((($J261/$Z261)^$Y261)-1)/($Y261*$AA261)))</f>
        <v/>
      </c>
      <c r="AC261">
        <f>IF($Y261="","",IF($Y261=0,$Z261*EXP($AA261*2),$Z261*(1+$Y261*$AA261*2)^(1/$Y261)))</f>
        <v/>
      </c>
      <c r="AD261">
        <f>IF($Y261="","",IF($Y261=0,$Z261*EXP($AA261*3),$Z261*(1+$Y261*$AA261*3)^(1/$Y261)))</f>
        <v/>
      </c>
      <c r="AE261">
        <f>IF($Y261="","",IF($Y261=0,$Z261*EXP($AA261*-2),$Z261*(1+$Y261*$AA261*-2)^(1/$Y261)))</f>
        <v/>
      </c>
      <c r="AF261">
        <f>IF($Y261="","",IF($Y261=0,$Z261*EXP($AA261*-3),$Z261*(1+$Y261*$AA261*-3)^(1/$Y261)))</f>
        <v/>
      </c>
      <c r="AG261">
        <f>IF($W261="","",IFERROR(INDEX(IF($T261&lt;=60,est05_l,est519_l),MATCH($W261,IF($T261&lt;=60,est05_k,est519_k),1)),""))</f>
        <v/>
      </c>
      <c r="AH261">
        <f>IF($W261="","",IFERROR(INDEX(IF($T261&lt;=60,est05_m,est519_m),MATCH($W261,IF($T261&lt;=60,est05_k,est519_k),1)),""))</f>
        <v/>
      </c>
      <c r="AI261">
        <f>IF($W261="","",IFERROR(INDEX(IF($T261&lt;=60,est05_s,est519_s),MATCH($W261,IF($T261&lt;=60,est05_k,est519_k),1)),""))</f>
        <v/>
      </c>
      <c r="AJ261">
        <f>IF($W261="","",IFERROR(INDEX(IF($T261&lt;=60,peso05_l,peso510_l),MATCH($W261,IF($T261&lt;=60,peso05_k,peso510_k),1)),""))</f>
        <v/>
      </c>
      <c r="AK261">
        <f>IF($W261="","",IFERROR(INDEX(IF($T261&lt;=60,peso05_m,peso510_m),MATCH($W261,IF($T261&lt;=60,peso05_k,peso510_k),1)),""))</f>
        <v/>
      </c>
      <c r="AL261">
        <f>IF($W261="","",IFERROR(INDEX(IF($T261&lt;=60,peso05_s,peso510_s),MATCH($W261,IF($T261&lt;=60,peso05_k,peso510_k),1)),""))</f>
        <v/>
      </c>
      <c r="AM261">
        <f>IF($AJ261="","",IF($AJ261=0,LN($F261/$AK261)/$AL261,((($F261/$AK261)^$AJ261)-1)/($AJ261*$AL261)))</f>
        <v/>
      </c>
      <c r="AN261">
        <f>IF($AJ261="","",IF($AJ261=0,$AK261*EXP($AL261*2),$AK261*(1+$AJ261*$AL261*2)^(1/$AJ261)))</f>
        <v/>
      </c>
      <c r="AO261">
        <f>IF($AJ261="","",IF($AJ261=0,$AK261*EXP($AL261*3),$AK261*(1+$AJ261*$AL261*3)^(1/$AJ261)))</f>
        <v/>
      </c>
      <c r="AP261">
        <f>IF($AJ261="","",IF($AJ261=0,$AK261*EXP($AL261*-2),$AK261*(1+$AJ261*$AL261*-2)^(1/$AJ261)))</f>
        <v/>
      </c>
      <c r="AQ261">
        <f>IF($AJ261="","",IF($AJ261=0,$AK261*EXP($AL261*-3),$AK261*(1+$AJ261*$AL261*-3)^(1/$AJ261)))</f>
        <v/>
      </c>
      <c r="AR261">
        <f>IF(OR($X261="",$T261&gt;60),"",IFERROR(INDEX(IF($T261&lt;24,pcomp_l,palt_l),MATCH($X261,IF($T261&lt;24,pcomp_k,palt_k),1)),""))</f>
        <v/>
      </c>
      <c r="AS261">
        <f>IF(OR($X261="",$T261&gt;60),"",IFERROR(INDEX(IF($T261&lt;24,pcomp_m,palt_m),MATCH($X261,IF($T261&lt;24,pcomp_k,palt_k),1)),""))</f>
        <v/>
      </c>
      <c r="AT261">
        <f>IF(OR($X261="",$T261&gt;60),"",IFERROR(INDEX(IF($T261&lt;24,pcomp_s,palt_s),MATCH($X261,IF($T261&lt;24,pcomp_k,palt_k),1)),""))</f>
        <v/>
      </c>
      <c r="AU261">
        <f>IF($AR261="","",IF($AR261=0,LN($F261/$AS261)/$AT261,((($F261/$AS261)^$AR261)-1)/($AR261*$AT261)))</f>
        <v/>
      </c>
      <c r="AV261">
        <f>IF($AR261="","",IF($AR261=0,$AS261*EXP($AT261*2),$AS261*(1+$AR261*$AT261*2)^(1/$AR261)))</f>
        <v/>
      </c>
      <c r="AW261">
        <f>IF($AR261="","",IF($AR261=0,$AS261*EXP($AT261*3),$AS261*(1+$AR261*$AT261*3)^(1/$AR261)))</f>
        <v/>
      </c>
      <c r="AX261">
        <f>IF($AR261="","",IF($AR261=0,$AS261*EXP($AT261*-2),$AS261*(1+$AR261*$AT261*-2)^(1/$AR261)))</f>
        <v/>
      </c>
      <c r="AY261">
        <f>IF($AR261="","",IF($AR261=0,$AS261*EXP($AT261*-3),$AS261*(1+$AR261*$AT261*-3)^(1/$AR261)))</f>
        <v/>
      </c>
      <c r="AZ261">
        <f>IF(OR($A261="",$A261&lt;&gt;Ficha!$C$4),"",COUNTIF($A$2:$A261,Ficha!$C$4))</f>
        <v/>
      </c>
    </row>
    <row r="262">
      <c r="A262" s="8">
        <f>IF(INDEX(Banco!$A:$A,ROW())="","",INDEX(Banco!$A:$A,ROW()))</f>
        <v/>
      </c>
      <c r="B262" s="8">
        <f>IF(INDEX(Banco!$B:$B,ROW())="","",INDEX(Banco!$B:$B,ROW()))</f>
        <v/>
      </c>
      <c r="C262" s="8">
        <f>IF(INDEX(Banco!$C:$C,ROW())="","",INDEX(Banco!$C:$C,ROW()))</f>
        <v/>
      </c>
      <c r="D262" s="9">
        <f>IF(INDEX(Banco!$D:$D,ROW())="","",INDEX(Banco!$D:$D,ROW()))</f>
        <v/>
      </c>
      <c r="E262" s="9">
        <f>IF(INDEX(Banco!$E:$E,ROW())="","",INDEX(Banco!$E:$E,ROW()))</f>
        <v/>
      </c>
      <c r="F262" s="10">
        <f>IF(INDEX(Banco!$F:$F,ROW())="","",INDEX(Banco!$F:$F,ROW()))</f>
        <v/>
      </c>
      <c r="G262" s="10">
        <f>IF(INDEX(Banco!$G:$G,ROW())="","",INDEX(Banco!$G:$G,ROW()))</f>
        <v/>
      </c>
      <c r="H262" s="8">
        <f>IF(INDEX(Banco!$H:$H,ROW())="","",INDEX(Banco!$H:$H,ROW()))</f>
        <v/>
      </c>
      <c r="I262">
        <f>IF($T262="","",INT($T262/12)&amp;"a "&amp;MOD($T262,12)&amp;"m")</f>
        <v/>
      </c>
      <c r="J262" s="11">
        <f>IF(OR($F262="",$G262=""),"",ROUND($F262/($G262/100)^2,2))</f>
        <v/>
      </c>
      <c r="K262" s="12">
        <f>IF(OR($S262="",$J262="",$T262="",$T262&lt;0,$T262&gt;228,$Y262=""),"—",ROUND(IF(ABS($AB262)&lt;=3,$AB262,IF($AB262&gt;3,3+($J262-$AD262)/($AD262-$AC262),-3+($J262-$AF262)/($AE262-$AF262))),2))</f>
        <v/>
      </c>
      <c r="L262">
        <f>IF(OR($K262="",$K262="—"),"",IF($T262&lt;=60,IF($K262&lt;-3,"Magreza acentuada",IF($K262&lt;-2,"Magreza",IF($K262&lt;=1,"Eutrofia",IF($K262&lt;=2,"Risco de sobrepeso",IF($K262&lt;=3,"Sobrepeso","Obesidade"))))),IF($K262&lt;-3,"Magreza acentuada",IF($K262&lt;-2,"Magreza",IF($K262&lt;=1,"Eutrofia",IF($K262&lt;=2,"Sobrepeso",IF($K262&lt;=3,"Obesidade","Obesidade grave")))))))</f>
        <v/>
      </c>
      <c r="M262" s="12">
        <f>IF(OR($S262="",$V262="",$T262="",$T262&lt;0,$T262&gt;228,$AG262=""),"—",ROUND(IF($AG262=0,LN($V262/$AH262)/$AI262,((($V262/$AH262)^$AG262)-1)/($AG262*$AI262)),2))</f>
        <v/>
      </c>
      <c r="N262">
        <f>IF(OR($M262="",$M262="—"),"",IF($M262&lt;-3,"Muito baixa",IF($M262&lt;-2,"Baixa","Adequada")))</f>
        <v/>
      </c>
      <c r="O262" s="12">
        <f>IF(OR($S262="",$F262="",$T262="",$T262&lt;0,$T262&gt;120,$AJ262=""),"—",ROUND(IF(ABS($AM262)&lt;=3,$AM262,IF($AM262&gt;3,3+($F262-$AO262)/($AO262-$AN262),-3+($F262-$AQ262)/($AP262-$AQ262))),2))</f>
        <v/>
      </c>
      <c r="P262">
        <f>IF(OR($O262="",$O262="—"),"",IF($O262&lt;-3,"Muito baixo",IF($O262&lt;-2,"Baixo",IF($O262&lt;=2,"Adequado","Elevado"))))</f>
        <v/>
      </c>
      <c r="Q262" s="12">
        <f>IF(OR($S262="",$F262="",$T262="",$T262&lt;0,$T262&gt;60,$AR262=""),"—",ROUND(IF(ABS($AU262)&lt;=3,$AU262,IF($AU262&gt;3,3+($F262-$AW262)/($AW262-$AV262),-3+($F262-$AY262)/($AX262-$AY262))),2))</f>
        <v/>
      </c>
      <c r="R262">
        <f>IF(OR($Q262="",$Q262="—"),"",IF($Q262&lt;-3,"Magreza acentuada",IF($Q262&lt;-2,"Magreza",IF($Q262&lt;=1,"Eutrofia",IF($Q262&lt;=2,"Risco de sobrepeso",IF($Q262&lt;=3,"Sobrepeso","Obesidade"))))))</f>
        <v/>
      </c>
      <c r="S262">
        <f>IF($C262="","",IF(UPPER(LEFT($C262,1))="M",1,IF(UPPER(LEFT($C262,1))="F",2,"")))</f>
        <v/>
      </c>
      <c r="T262">
        <f>IF(OR($D262="",$E262=""),"",DATEDIF($D262,$E262,"m"))</f>
        <v/>
      </c>
      <c r="U262">
        <f>IF(OR($D262="",$E262=""),"",$E262-$D262)</f>
        <v/>
      </c>
      <c r="V262">
        <f>IF(OR($G262="",$T262=""),"",IF($T262&lt;24,IF(LEFT(LOWER($H262),4)="em p",$G262+0.7,$G262),IF(LEFT(LOWER($H262),4)="deit",$G262-0.7,$G262)))</f>
        <v/>
      </c>
      <c r="W262">
        <f>IF(OR($S262="",$T262=""),"",$S262*1000000+IF($T262&lt;=60,$U262,$T262))</f>
        <v/>
      </c>
      <c r="X262">
        <f>IF(OR($S262="",$V262="",$T262&gt;60,$T262=""),"",$S262*1000000+ROUND($V262*10,0))</f>
        <v/>
      </c>
      <c r="Y262">
        <f>IF($W262="","",IFERROR(INDEX(IF($T262&lt;=60,imc05_l,imc519_l),MATCH($W262,IF($T262&lt;=60,imc05_k,imc519_k),1)),""))</f>
        <v/>
      </c>
      <c r="Z262">
        <f>IF($W262="","",IFERROR(INDEX(IF($T262&lt;=60,imc05_m,imc519_m),MATCH($W262,IF($T262&lt;=60,imc05_k,imc519_k),1)),""))</f>
        <v/>
      </c>
      <c r="AA262">
        <f>IF($W262="","",IFERROR(INDEX(IF($T262&lt;=60,imc05_s,imc519_s),MATCH($W262,IF($T262&lt;=60,imc05_k,imc519_k),1)),""))</f>
        <v/>
      </c>
      <c r="AB262">
        <f>IF($Y262="","",IF($Y262=0,LN($J262/$Z262)/$AA262,((($J262/$Z262)^$Y262)-1)/($Y262*$AA262)))</f>
        <v/>
      </c>
      <c r="AC262">
        <f>IF($Y262="","",IF($Y262=0,$Z262*EXP($AA262*2),$Z262*(1+$Y262*$AA262*2)^(1/$Y262)))</f>
        <v/>
      </c>
      <c r="AD262">
        <f>IF($Y262="","",IF($Y262=0,$Z262*EXP($AA262*3),$Z262*(1+$Y262*$AA262*3)^(1/$Y262)))</f>
        <v/>
      </c>
      <c r="AE262">
        <f>IF($Y262="","",IF($Y262=0,$Z262*EXP($AA262*-2),$Z262*(1+$Y262*$AA262*-2)^(1/$Y262)))</f>
        <v/>
      </c>
      <c r="AF262">
        <f>IF($Y262="","",IF($Y262=0,$Z262*EXP($AA262*-3),$Z262*(1+$Y262*$AA262*-3)^(1/$Y262)))</f>
        <v/>
      </c>
      <c r="AG262">
        <f>IF($W262="","",IFERROR(INDEX(IF($T262&lt;=60,est05_l,est519_l),MATCH($W262,IF($T262&lt;=60,est05_k,est519_k),1)),""))</f>
        <v/>
      </c>
      <c r="AH262">
        <f>IF($W262="","",IFERROR(INDEX(IF($T262&lt;=60,est05_m,est519_m),MATCH($W262,IF($T262&lt;=60,est05_k,est519_k),1)),""))</f>
        <v/>
      </c>
      <c r="AI262">
        <f>IF($W262="","",IFERROR(INDEX(IF($T262&lt;=60,est05_s,est519_s),MATCH($W262,IF($T262&lt;=60,est05_k,est519_k),1)),""))</f>
        <v/>
      </c>
      <c r="AJ262">
        <f>IF($W262="","",IFERROR(INDEX(IF($T262&lt;=60,peso05_l,peso510_l),MATCH($W262,IF($T262&lt;=60,peso05_k,peso510_k),1)),""))</f>
        <v/>
      </c>
      <c r="AK262">
        <f>IF($W262="","",IFERROR(INDEX(IF($T262&lt;=60,peso05_m,peso510_m),MATCH($W262,IF($T262&lt;=60,peso05_k,peso510_k),1)),""))</f>
        <v/>
      </c>
      <c r="AL262">
        <f>IF($W262="","",IFERROR(INDEX(IF($T262&lt;=60,peso05_s,peso510_s),MATCH($W262,IF($T262&lt;=60,peso05_k,peso510_k),1)),""))</f>
        <v/>
      </c>
      <c r="AM262">
        <f>IF($AJ262="","",IF($AJ262=0,LN($F262/$AK262)/$AL262,((($F262/$AK262)^$AJ262)-1)/($AJ262*$AL262)))</f>
        <v/>
      </c>
      <c r="AN262">
        <f>IF($AJ262="","",IF($AJ262=0,$AK262*EXP($AL262*2),$AK262*(1+$AJ262*$AL262*2)^(1/$AJ262)))</f>
        <v/>
      </c>
      <c r="AO262">
        <f>IF($AJ262="","",IF($AJ262=0,$AK262*EXP($AL262*3),$AK262*(1+$AJ262*$AL262*3)^(1/$AJ262)))</f>
        <v/>
      </c>
      <c r="AP262">
        <f>IF($AJ262="","",IF($AJ262=0,$AK262*EXP($AL262*-2),$AK262*(1+$AJ262*$AL262*-2)^(1/$AJ262)))</f>
        <v/>
      </c>
      <c r="AQ262">
        <f>IF($AJ262="","",IF($AJ262=0,$AK262*EXP($AL262*-3),$AK262*(1+$AJ262*$AL262*-3)^(1/$AJ262)))</f>
        <v/>
      </c>
      <c r="AR262">
        <f>IF(OR($X262="",$T262&gt;60),"",IFERROR(INDEX(IF($T262&lt;24,pcomp_l,palt_l),MATCH($X262,IF($T262&lt;24,pcomp_k,palt_k),1)),""))</f>
        <v/>
      </c>
      <c r="AS262">
        <f>IF(OR($X262="",$T262&gt;60),"",IFERROR(INDEX(IF($T262&lt;24,pcomp_m,palt_m),MATCH($X262,IF($T262&lt;24,pcomp_k,palt_k),1)),""))</f>
        <v/>
      </c>
      <c r="AT262">
        <f>IF(OR($X262="",$T262&gt;60),"",IFERROR(INDEX(IF($T262&lt;24,pcomp_s,palt_s),MATCH($X262,IF($T262&lt;24,pcomp_k,palt_k),1)),""))</f>
        <v/>
      </c>
      <c r="AU262">
        <f>IF($AR262="","",IF($AR262=0,LN($F262/$AS262)/$AT262,((($F262/$AS262)^$AR262)-1)/($AR262*$AT262)))</f>
        <v/>
      </c>
      <c r="AV262">
        <f>IF($AR262="","",IF($AR262=0,$AS262*EXP($AT262*2),$AS262*(1+$AR262*$AT262*2)^(1/$AR262)))</f>
        <v/>
      </c>
      <c r="AW262">
        <f>IF($AR262="","",IF($AR262=0,$AS262*EXP($AT262*3),$AS262*(1+$AR262*$AT262*3)^(1/$AR262)))</f>
        <v/>
      </c>
      <c r="AX262">
        <f>IF($AR262="","",IF($AR262=0,$AS262*EXP($AT262*-2),$AS262*(1+$AR262*$AT262*-2)^(1/$AR262)))</f>
        <v/>
      </c>
      <c r="AY262">
        <f>IF($AR262="","",IF($AR262=0,$AS262*EXP($AT262*-3),$AS262*(1+$AR262*$AT262*-3)^(1/$AR262)))</f>
        <v/>
      </c>
      <c r="AZ262">
        <f>IF(OR($A262="",$A262&lt;&gt;Ficha!$C$4),"",COUNTIF($A$2:$A262,Ficha!$C$4))</f>
        <v/>
      </c>
    </row>
    <row r="263">
      <c r="A263" s="8">
        <f>IF(INDEX(Banco!$A:$A,ROW())="","",INDEX(Banco!$A:$A,ROW()))</f>
        <v/>
      </c>
      <c r="B263" s="8">
        <f>IF(INDEX(Banco!$B:$B,ROW())="","",INDEX(Banco!$B:$B,ROW()))</f>
        <v/>
      </c>
      <c r="C263" s="8">
        <f>IF(INDEX(Banco!$C:$C,ROW())="","",INDEX(Banco!$C:$C,ROW()))</f>
        <v/>
      </c>
      <c r="D263" s="9">
        <f>IF(INDEX(Banco!$D:$D,ROW())="","",INDEX(Banco!$D:$D,ROW()))</f>
        <v/>
      </c>
      <c r="E263" s="9">
        <f>IF(INDEX(Banco!$E:$E,ROW())="","",INDEX(Banco!$E:$E,ROW()))</f>
        <v/>
      </c>
      <c r="F263" s="10">
        <f>IF(INDEX(Banco!$F:$F,ROW())="","",INDEX(Banco!$F:$F,ROW()))</f>
        <v/>
      </c>
      <c r="G263" s="10">
        <f>IF(INDEX(Banco!$G:$G,ROW())="","",INDEX(Banco!$G:$G,ROW()))</f>
        <v/>
      </c>
      <c r="H263" s="8">
        <f>IF(INDEX(Banco!$H:$H,ROW())="","",INDEX(Banco!$H:$H,ROW()))</f>
        <v/>
      </c>
      <c r="I263">
        <f>IF($T263="","",INT($T263/12)&amp;"a "&amp;MOD($T263,12)&amp;"m")</f>
        <v/>
      </c>
      <c r="J263" s="11">
        <f>IF(OR($F263="",$G263=""),"",ROUND($F263/($G263/100)^2,2))</f>
        <v/>
      </c>
      <c r="K263" s="12">
        <f>IF(OR($S263="",$J263="",$T263="",$T263&lt;0,$T263&gt;228,$Y263=""),"—",ROUND(IF(ABS($AB263)&lt;=3,$AB263,IF($AB263&gt;3,3+($J263-$AD263)/($AD263-$AC263),-3+($J263-$AF263)/($AE263-$AF263))),2))</f>
        <v/>
      </c>
      <c r="L263">
        <f>IF(OR($K263="",$K263="—"),"",IF($T263&lt;=60,IF($K263&lt;-3,"Magreza acentuada",IF($K263&lt;-2,"Magreza",IF($K263&lt;=1,"Eutrofia",IF($K263&lt;=2,"Risco de sobrepeso",IF($K263&lt;=3,"Sobrepeso","Obesidade"))))),IF($K263&lt;-3,"Magreza acentuada",IF($K263&lt;-2,"Magreza",IF($K263&lt;=1,"Eutrofia",IF($K263&lt;=2,"Sobrepeso",IF($K263&lt;=3,"Obesidade","Obesidade grave")))))))</f>
        <v/>
      </c>
      <c r="M263" s="12">
        <f>IF(OR($S263="",$V263="",$T263="",$T263&lt;0,$T263&gt;228,$AG263=""),"—",ROUND(IF($AG263=0,LN($V263/$AH263)/$AI263,((($V263/$AH263)^$AG263)-1)/($AG263*$AI263)),2))</f>
        <v/>
      </c>
      <c r="N263">
        <f>IF(OR($M263="",$M263="—"),"",IF($M263&lt;-3,"Muito baixa",IF($M263&lt;-2,"Baixa","Adequada")))</f>
        <v/>
      </c>
      <c r="O263" s="12">
        <f>IF(OR($S263="",$F263="",$T263="",$T263&lt;0,$T263&gt;120,$AJ263=""),"—",ROUND(IF(ABS($AM263)&lt;=3,$AM263,IF($AM263&gt;3,3+($F263-$AO263)/($AO263-$AN263),-3+($F263-$AQ263)/($AP263-$AQ263))),2))</f>
        <v/>
      </c>
      <c r="P263">
        <f>IF(OR($O263="",$O263="—"),"",IF($O263&lt;-3,"Muito baixo",IF($O263&lt;-2,"Baixo",IF($O263&lt;=2,"Adequado","Elevado"))))</f>
        <v/>
      </c>
      <c r="Q263" s="12">
        <f>IF(OR($S263="",$F263="",$T263="",$T263&lt;0,$T263&gt;60,$AR263=""),"—",ROUND(IF(ABS($AU263)&lt;=3,$AU263,IF($AU263&gt;3,3+($F263-$AW263)/($AW263-$AV263),-3+($F263-$AY263)/($AX263-$AY263))),2))</f>
        <v/>
      </c>
      <c r="R263">
        <f>IF(OR($Q263="",$Q263="—"),"",IF($Q263&lt;-3,"Magreza acentuada",IF($Q263&lt;-2,"Magreza",IF($Q263&lt;=1,"Eutrofia",IF($Q263&lt;=2,"Risco de sobrepeso",IF($Q263&lt;=3,"Sobrepeso","Obesidade"))))))</f>
        <v/>
      </c>
      <c r="S263">
        <f>IF($C263="","",IF(UPPER(LEFT($C263,1))="M",1,IF(UPPER(LEFT($C263,1))="F",2,"")))</f>
        <v/>
      </c>
      <c r="T263">
        <f>IF(OR($D263="",$E263=""),"",DATEDIF($D263,$E263,"m"))</f>
        <v/>
      </c>
      <c r="U263">
        <f>IF(OR($D263="",$E263=""),"",$E263-$D263)</f>
        <v/>
      </c>
      <c r="V263">
        <f>IF(OR($G263="",$T263=""),"",IF($T263&lt;24,IF(LEFT(LOWER($H263),4)="em p",$G263+0.7,$G263),IF(LEFT(LOWER($H263),4)="deit",$G263-0.7,$G263)))</f>
        <v/>
      </c>
      <c r="W263">
        <f>IF(OR($S263="",$T263=""),"",$S263*1000000+IF($T263&lt;=60,$U263,$T263))</f>
        <v/>
      </c>
      <c r="X263">
        <f>IF(OR($S263="",$V263="",$T263&gt;60,$T263=""),"",$S263*1000000+ROUND($V263*10,0))</f>
        <v/>
      </c>
      <c r="Y263">
        <f>IF($W263="","",IFERROR(INDEX(IF($T263&lt;=60,imc05_l,imc519_l),MATCH($W263,IF($T263&lt;=60,imc05_k,imc519_k),1)),""))</f>
        <v/>
      </c>
      <c r="Z263">
        <f>IF($W263="","",IFERROR(INDEX(IF($T263&lt;=60,imc05_m,imc519_m),MATCH($W263,IF($T263&lt;=60,imc05_k,imc519_k),1)),""))</f>
        <v/>
      </c>
      <c r="AA263">
        <f>IF($W263="","",IFERROR(INDEX(IF($T263&lt;=60,imc05_s,imc519_s),MATCH($W263,IF($T263&lt;=60,imc05_k,imc519_k),1)),""))</f>
        <v/>
      </c>
      <c r="AB263">
        <f>IF($Y263="","",IF($Y263=0,LN($J263/$Z263)/$AA263,((($J263/$Z263)^$Y263)-1)/($Y263*$AA263)))</f>
        <v/>
      </c>
      <c r="AC263">
        <f>IF($Y263="","",IF($Y263=0,$Z263*EXP($AA263*2),$Z263*(1+$Y263*$AA263*2)^(1/$Y263)))</f>
        <v/>
      </c>
      <c r="AD263">
        <f>IF($Y263="","",IF($Y263=0,$Z263*EXP($AA263*3),$Z263*(1+$Y263*$AA263*3)^(1/$Y263)))</f>
        <v/>
      </c>
      <c r="AE263">
        <f>IF($Y263="","",IF($Y263=0,$Z263*EXP($AA263*-2),$Z263*(1+$Y263*$AA263*-2)^(1/$Y263)))</f>
        <v/>
      </c>
      <c r="AF263">
        <f>IF($Y263="","",IF($Y263=0,$Z263*EXP($AA263*-3),$Z263*(1+$Y263*$AA263*-3)^(1/$Y263)))</f>
        <v/>
      </c>
      <c r="AG263">
        <f>IF($W263="","",IFERROR(INDEX(IF($T263&lt;=60,est05_l,est519_l),MATCH($W263,IF($T263&lt;=60,est05_k,est519_k),1)),""))</f>
        <v/>
      </c>
      <c r="AH263">
        <f>IF($W263="","",IFERROR(INDEX(IF($T263&lt;=60,est05_m,est519_m),MATCH($W263,IF($T263&lt;=60,est05_k,est519_k),1)),""))</f>
        <v/>
      </c>
      <c r="AI263">
        <f>IF($W263="","",IFERROR(INDEX(IF($T263&lt;=60,est05_s,est519_s),MATCH($W263,IF($T263&lt;=60,est05_k,est519_k),1)),""))</f>
        <v/>
      </c>
      <c r="AJ263">
        <f>IF($W263="","",IFERROR(INDEX(IF($T263&lt;=60,peso05_l,peso510_l),MATCH($W263,IF($T263&lt;=60,peso05_k,peso510_k),1)),""))</f>
        <v/>
      </c>
      <c r="AK263">
        <f>IF($W263="","",IFERROR(INDEX(IF($T263&lt;=60,peso05_m,peso510_m),MATCH($W263,IF($T263&lt;=60,peso05_k,peso510_k),1)),""))</f>
        <v/>
      </c>
      <c r="AL263">
        <f>IF($W263="","",IFERROR(INDEX(IF($T263&lt;=60,peso05_s,peso510_s),MATCH($W263,IF($T263&lt;=60,peso05_k,peso510_k),1)),""))</f>
        <v/>
      </c>
      <c r="AM263">
        <f>IF($AJ263="","",IF($AJ263=0,LN($F263/$AK263)/$AL263,((($F263/$AK263)^$AJ263)-1)/($AJ263*$AL263)))</f>
        <v/>
      </c>
      <c r="AN263">
        <f>IF($AJ263="","",IF($AJ263=0,$AK263*EXP($AL263*2),$AK263*(1+$AJ263*$AL263*2)^(1/$AJ263)))</f>
        <v/>
      </c>
      <c r="AO263">
        <f>IF($AJ263="","",IF($AJ263=0,$AK263*EXP($AL263*3),$AK263*(1+$AJ263*$AL263*3)^(1/$AJ263)))</f>
        <v/>
      </c>
      <c r="AP263">
        <f>IF($AJ263="","",IF($AJ263=0,$AK263*EXP($AL263*-2),$AK263*(1+$AJ263*$AL263*-2)^(1/$AJ263)))</f>
        <v/>
      </c>
      <c r="AQ263">
        <f>IF($AJ263="","",IF($AJ263=0,$AK263*EXP($AL263*-3),$AK263*(1+$AJ263*$AL263*-3)^(1/$AJ263)))</f>
        <v/>
      </c>
      <c r="AR263">
        <f>IF(OR($X263="",$T263&gt;60),"",IFERROR(INDEX(IF($T263&lt;24,pcomp_l,palt_l),MATCH($X263,IF($T263&lt;24,pcomp_k,palt_k),1)),""))</f>
        <v/>
      </c>
      <c r="AS263">
        <f>IF(OR($X263="",$T263&gt;60),"",IFERROR(INDEX(IF($T263&lt;24,pcomp_m,palt_m),MATCH($X263,IF($T263&lt;24,pcomp_k,palt_k),1)),""))</f>
        <v/>
      </c>
      <c r="AT263">
        <f>IF(OR($X263="",$T263&gt;60),"",IFERROR(INDEX(IF($T263&lt;24,pcomp_s,palt_s),MATCH($X263,IF($T263&lt;24,pcomp_k,palt_k),1)),""))</f>
        <v/>
      </c>
      <c r="AU263">
        <f>IF($AR263="","",IF($AR263=0,LN($F263/$AS263)/$AT263,((($F263/$AS263)^$AR263)-1)/($AR263*$AT263)))</f>
        <v/>
      </c>
      <c r="AV263">
        <f>IF($AR263="","",IF($AR263=0,$AS263*EXP($AT263*2),$AS263*(1+$AR263*$AT263*2)^(1/$AR263)))</f>
        <v/>
      </c>
      <c r="AW263">
        <f>IF($AR263="","",IF($AR263=0,$AS263*EXP($AT263*3),$AS263*(1+$AR263*$AT263*3)^(1/$AR263)))</f>
        <v/>
      </c>
      <c r="AX263">
        <f>IF($AR263="","",IF($AR263=0,$AS263*EXP($AT263*-2),$AS263*(1+$AR263*$AT263*-2)^(1/$AR263)))</f>
        <v/>
      </c>
      <c r="AY263">
        <f>IF($AR263="","",IF($AR263=0,$AS263*EXP($AT263*-3),$AS263*(1+$AR263*$AT263*-3)^(1/$AR263)))</f>
        <v/>
      </c>
      <c r="AZ263">
        <f>IF(OR($A263="",$A263&lt;&gt;Ficha!$C$4),"",COUNTIF($A$2:$A263,Ficha!$C$4))</f>
        <v/>
      </c>
    </row>
    <row r="264">
      <c r="A264" s="8">
        <f>IF(INDEX(Banco!$A:$A,ROW())="","",INDEX(Banco!$A:$A,ROW()))</f>
        <v/>
      </c>
      <c r="B264" s="8">
        <f>IF(INDEX(Banco!$B:$B,ROW())="","",INDEX(Banco!$B:$B,ROW()))</f>
        <v/>
      </c>
      <c r="C264" s="8">
        <f>IF(INDEX(Banco!$C:$C,ROW())="","",INDEX(Banco!$C:$C,ROW()))</f>
        <v/>
      </c>
      <c r="D264" s="9">
        <f>IF(INDEX(Banco!$D:$D,ROW())="","",INDEX(Banco!$D:$D,ROW()))</f>
        <v/>
      </c>
      <c r="E264" s="9">
        <f>IF(INDEX(Banco!$E:$E,ROW())="","",INDEX(Banco!$E:$E,ROW()))</f>
        <v/>
      </c>
      <c r="F264" s="10">
        <f>IF(INDEX(Banco!$F:$F,ROW())="","",INDEX(Banco!$F:$F,ROW()))</f>
        <v/>
      </c>
      <c r="G264" s="10">
        <f>IF(INDEX(Banco!$G:$G,ROW())="","",INDEX(Banco!$G:$G,ROW()))</f>
        <v/>
      </c>
      <c r="H264" s="8">
        <f>IF(INDEX(Banco!$H:$H,ROW())="","",INDEX(Banco!$H:$H,ROW()))</f>
        <v/>
      </c>
      <c r="I264">
        <f>IF($T264="","",INT($T264/12)&amp;"a "&amp;MOD($T264,12)&amp;"m")</f>
        <v/>
      </c>
      <c r="J264" s="11">
        <f>IF(OR($F264="",$G264=""),"",ROUND($F264/($G264/100)^2,2))</f>
        <v/>
      </c>
      <c r="K264" s="12">
        <f>IF(OR($S264="",$J264="",$T264="",$T264&lt;0,$T264&gt;228,$Y264=""),"—",ROUND(IF(ABS($AB264)&lt;=3,$AB264,IF($AB264&gt;3,3+($J264-$AD264)/($AD264-$AC264),-3+($J264-$AF264)/($AE264-$AF264))),2))</f>
        <v/>
      </c>
      <c r="L264">
        <f>IF(OR($K264="",$K264="—"),"",IF($T264&lt;=60,IF($K264&lt;-3,"Magreza acentuada",IF($K264&lt;-2,"Magreza",IF($K264&lt;=1,"Eutrofia",IF($K264&lt;=2,"Risco de sobrepeso",IF($K264&lt;=3,"Sobrepeso","Obesidade"))))),IF($K264&lt;-3,"Magreza acentuada",IF($K264&lt;-2,"Magreza",IF($K264&lt;=1,"Eutrofia",IF($K264&lt;=2,"Sobrepeso",IF($K264&lt;=3,"Obesidade","Obesidade grave")))))))</f>
        <v/>
      </c>
      <c r="M264" s="12">
        <f>IF(OR($S264="",$V264="",$T264="",$T264&lt;0,$T264&gt;228,$AG264=""),"—",ROUND(IF($AG264=0,LN($V264/$AH264)/$AI264,((($V264/$AH264)^$AG264)-1)/($AG264*$AI264)),2))</f>
        <v/>
      </c>
      <c r="N264">
        <f>IF(OR($M264="",$M264="—"),"",IF($M264&lt;-3,"Muito baixa",IF($M264&lt;-2,"Baixa","Adequada")))</f>
        <v/>
      </c>
      <c r="O264" s="12">
        <f>IF(OR($S264="",$F264="",$T264="",$T264&lt;0,$T264&gt;120,$AJ264=""),"—",ROUND(IF(ABS($AM264)&lt;=3,$AM264,IF($AM264&gt;3,3+($F264-$AO264)/($AO264-$AN264),-3+($F264-$AQ264)/($AP264-$AQ264))),2))</f>
        <v/>
      </c>
      <c r="P264">
        <f>IF(OR($O264="",$O264="—"),"",IF($O264&lt;-3,"Muito baixo",IF($O264&lt;-2,"Baixo",IF($O264&lt;=2,"Adequado","Elevado"))))</f>
        <v/>
      </c>
      <c r="Q264" s="12">
        <f>IF(OR($S264="",$F264="",$T264="",$T264&lt;0,$T264&gt;60,$AR264=""),"—",ROUND(IF(ABS($AU264)&lt;=3,$AU264,IF($AU264&gt;3,3+($F264-$AW264)/($AW264-$AV264),-3+($F264-$AY264)/($AX264-$AY264))),2))</f>
        <v/>
      </c>
      <c r="R264">
        <f>IF(OR($Q264="",$Q264="—"),"",IF($Q264&lt;-3,"Magreza acentuada",IF($Q264&lt;-2,"Magreza",IF($Q264&lt;=1,"Eutrofia",IF($Q264&lt;=2,"Risco de sobrepeso",IF($Q264&lt;=3,"Sobrepeso","Obesidade"))))))</f>
        <v/>
      </c>
      <c r="S264">
        <f>IF($C264="","",IF(UPPER(LEFT($C264,1))="M",1,IF(UPPER(LEFT($C264,1))="F",2,"")))</f>
        <v/>
      </c>
      <c r="T264">
        <f>IF(OR($D264="",$E264=""),"",DATEDIF($D264,$E264,"m"))</f>
        <v/>
      </c>
      <c r="U264">
        <f>IF(OR($D264="",$E264=""),"",$E264-$D264)</f>
        <v/>
      </c>
      <c r="V264">
        <f>IF(OR($G264="",$T264=""),"",IF($T264&lt;24,IF(LEFT(LOWER($H264),4)="em p",$G264+0.7,$G264),IF(LEFT(LOWER($H264),4)="deit",$G264-0.7,$G264)))</f>
        <v/>
      </c>
      <c r="W264">
        <f>IF(OR($S264="",$T264=""),"",$S264*1000000+IF($T264&lt;=60,$U264,$T264))</f>
        <v/>
      </c>
      <c r="X264">
        <f>IF(OR($S264="",$V264="",$T264&gt;60,$T264=""),"",$S264*1000000+ROUND($V264*10,0))</f>
        <v/>
      </c>
      <c r="Y264">
        <f>IF($W264="","",IFERROR(INDEX(IF($T264&lt;=60,imc05_l,imc519_l),MATCH($W264,IF($T264&lt;=60,imc05_k,imc519_k),1)),""))</f>
        <v/>
      </c>
      <c r="Z264">
        <f>IF($W264="","",IFERROR(INDEX(IF($T264&lt;=60,imc05_m,imc519_m),MATCH($W264,IF($T264&lt;=60,imc05_k,imc519_k),1)),""))</f>
        <v/>
      </c>
      <c r="AA264">
        <f>IF($W264="","",IFERROR(INDEX(IF($T264&lt;=60,imc05_s,imc519_s),MATCH($W264,IF($T264&lt;=60,imc05_k,imc519_k),1)),""))</f>
        <v/>
      </c>
      <c r="AB264">
        <f>IF($Y264="","",IF($Y264=0,LN($J264/$Z264)/$AA264,((($J264/$Z264)^$Y264)-1)/($Y264*$AA264)))</f>
        <v/>
      </c>
      <c r="AC264">
        <f>IF($Y264="","",IF($Y264=0,$Z264*EXP($AA264*2),$Z264*(1+$Y264*$AA264*2)^(1/$Y264)))</f>
        <v/>
      </c>
      <c r="AD264">
        <f>IF($Y264="","",IF($Y264=0,$Z264*EXP($AA264*3),$Z264*(1+$Y264*$AA264*3)^(1/$Y264)))</f>
        <v/>
      </c>
      <c r="AE264">
        <f>IF($Y264="","",IF($Y264=0,$Z264*EXP($AA264*-2),$Z264*(1+$Y264*$AA264*-2)^(1/$Y264)))</f>
        <v/>
      </c>
      <c r="AF264">
        <f>IF($Y264="","",IF($Y264=0,$Z264*EXP($AA264*-3),$Z264*(1+$Y264*$AA264*-3)^(1/$Y264)))</f>
        <v/>
      </c>
      <c r="AG264">
        <f>IF($W264="","",IFERROR(INDEX(IF($T264&lt;=60,est05_l,est519_l),MATCH($W264,IF($T264&lt;=60,est05_k,est519_k),1)),""))</f>
        <v/>
      </c>
      <c r="AH264">
        <f>IF($W264="","",IFERROR(INDEX(IF($T264&lt;=60,est05_m,est519_m),MATCH($W264,IF($T264&lt;=60,est05_k,est519_k),1)),""))</f>
        <v/>
      </c>
      <c r="AI264">
        <f>IF($W264="","",IFERROR(INDEX(IF($T264&lt;=60,est05_s,est519_s),MATCH($W264,IF($T264&lt;=60,est05_k,est519_k),1)),""))</f>
        <v/>
      </c>
      <c r="AJ264">
        <f>IF($W264="","",IFERROR(INDEX(IF($T264&lt;=60,peso05_l,peso510_l),MATCH($W264,IF($T264&lt;=60,peso05_k,peso510_k),1)),""))</f>
        <v/>
      </c>
      <c r="AK264">
        <f>IF($W264="","",IFERROR(INDEX(IF($T264&lt;=60,peso05_m,peso510_m),MATCH($W264,IF($T264&lt;=60,peso05_k,peso510_k),1)),""))</f>
        <v/>
      </c>
      <c r="AL264">
        <f>IF($W264="","",IFERROR(INDEX(IF($T264&lt;=60,peso05_s,peso510_s),MATCH($W264,IF($T264&lt;=60,peso05_k,peso510_k),1)),""))</f>
        <v/>
      </c>
      <c r="AM264">
        <f>IF($AJ264="","",IF($AJ264=0,LN($F264/$AK264)/$AL264,((($F264/$AK264)^$AJ264)-1)/($AJ264*$AL264)))</f>
        <v/>
      </c>
      <c r="AN264">
        <f>IF($AJ264="","",IF($AJ264=0,$AK264*EXP($AL264*2),$AK264*(1+$AJ264*$AL264*2)^(1/$AJ264)))</f>
        <v/>
      </c>
      <c r="AO264">
        <f>IF($AJ264="","",IF($AJ264=0,$AK264*EXP($AL264*3),$AK264*(1+$AJ264*$AL264*3)^(1/$AJ264)))</f>
        <v/>
      </c>
      <c r="AP264">
        <f>IF($AJ264="","",IF($AJ264=0,$AK264*EXP($AL264*-2),$AK264*(1+$AJ264*$AL264*-2)^(1/$AJ264)))</f>
        <v/>
      </c>
      <c r="AQ264">
        <f>IF($AJ264="","",IF($AJ264=0,$AK264*EXP($AL264*-3),$AK264*(1+$AJ264*$AL264*-3)^(1/$AJ264)))</f>
        <v/>
      </c>
      <c r="AR264">
        <f>IF(OR($X264="",$T264&gt;60),"",IFERROR(INDEX(IF($T264&lt;24,pcomp_l,palt_l),MATCH($X264,IF($T264&lt;24,pcomp_k,palt_k),1)),""))</f>
        <v/>
      </c>
      <c r="AS264">
        <f>IF(OR($X264="",$T264&gt;60),"",IFERROR(INDEX(IF($T264&lt;24,pcomp_m,palt_m),MATCH($X264,IF($T264&lt;24,pcomp_k,palt_k),1)),""))</f>
        <v/>
      </c>
      <c r="AT264">
        <f>IF(OR($X264="",$T264&gt;60),"",IFERROR(INDEX(IF($T264&lt;24,pcomp_s,palt_s),MATCH($X264,IF($T264&lt;24,pcomp_k,palt_k),1)),""))</f>
        <v/>
      </c>
      <c r="AU264">
        <f>IF($AR264="","",IF($AR264=0,LN($F264/$AS264)/$AT264,((($F264/$AS264)^$AR264)-1)/($AR264*$AT264)))</f>
        <v/>
      </c>
      <c r="AV264">
        <f>IF($AR264="","",IF($AR264=0,$AS264*EXP($AT264*2),$AS264*(1+$AR264*$AT264*2)^(1/$AR264)))</f>
        <v/>
      </c>
      <c r="AW264">
        <f>IF($AR264="","",IF($AR264=0,$AS264*EXP($AT264*3),$AS264*(1+$AR264*$AT264*3)^(1/$AR264)))</f>
        <v/>
      </c>
      <c r="AX264">
        <f>IF($AR264="","",IF($AR264=0,$AS264*EXP($AT264*-2),$AS264*(1+$AR264*$AT264*-2)^(1/$AR264)))</f>
        <v/>
      </c>
      <c r="AY264">
        <f>IF($AR264="","",IF($AR264=0,$AS264*EXP($AT264*-3),$AS264*(1+$AR264*$AT264*-3)^(1/$AR264)))</f>
        <v/>
      </c>
      <c r="AZ264">
        <f>IF(OR($A264="",$A264&lt;&gt;Ficha!$C$4),"",COUNTIF($A$2:$A264,Ficha!$C$4))</f>
        <v/>
      </c>
    </row>
    <row r="265">
      <c r="A265" s="8">
        <f>IF(INDEX(Banco!$A:$A,ROW())="","",INDEX(Banco!$A:$A,ROW()))</f>
        <v/>
      </c>
      <c r="B265" s="8">
        <f>IF(INDEX(Banco!$B:$B,ROW())="","",INDEX(Banco!$B:$B,ROW()))</f>
        <v/>
      </c>
      <c r="C265" s="8">
        <f>IF(INDEX(Banco!$C:$C,ROW())="","",INDEX(Banco!$C:$C,ROW()))</f>
        <v/>
      </c>
      <c r="D265" s="9">
        <f>IF(INDEX(Banco!$D:$D,ROW())="","",INDEX(Banco!$D:$D,ROW()))</f>
        <v/>
      </c>
      <c r="E265" s="9">
        <f>IF(INDEX(Banco!$E:$E,ROW())="","",INDEX(Banco!$E:$E,ROW()))</f>
        <v/>
      </c>
      <c r="F265" s="10">
        <f>IF(INDEX(Banco!$F:$F,ROW())="","",INDEX(Banco!$F:$F,ROW()))</f>
        <v/>
      </c>
      <c r="G265" s="10">
        <f>IF(INDEX(Banco!$G:$G,ROW())="","",INDEX(Banco!$G:$G,ROW()))</f>
        <v/>
      </c>
      <c r="H265" s="8">
        <f>IF(INDEX(Banco!$H:$H,ROW())="","",INDEX(Banco!$H:$H,ROW()))</f>
        <v/>
      </c>
      <c r="I265">
        <f>IF($T265="","",INT($T265/12)&amp;"a "&amp;MOD($T265,12)&amp;"m")</f>
        <v/>
      </c>
      <c r="J265" s="11">
        <f>IF(OR($F265="",$G265=""),"",ROUND($F265/($G265/100)^2,2))</f>
        <v/>
      </c>
      <c r="K265" s="12">
        <f>IF(OR($S265="",$J265="",$T265="",$T265&lt;0,$T265&gt;228,$Y265=""),"—",ROUND(IF(ABS($AB265)&lt;=3,$AB265,IF($AB265&gt;3,3+($J265-$AD265)/($AD265-$AC265),-3+($J265-$AF265)/($AE265-$AF265))),2))</f>
        <v/>
      </c>
      <c r="L265">
        <f>IF(OR($K265="",$K265="—"),"",IF($T265&lt;=60,IF($K265&lt;-3,"Magreza acentuada",IF($K265&lt;-2,"Magreza",IF($K265&lt;=1,"Eutrofia",IF($K265&lt;=2,"Risco de sobrepeso",IF($K265&lt;=3,"Sobrepeso","Obesidade"))))),IF($K265&lt;-3,"Magreza acentuada",IF($K265&lt;-2,"Magreza",IF($K265&lt;=1,"Eutrofia",IF($K265&lt;=2,"Sobrepeso",IF($K265&lt;=3,"Obesidade","Obesidade grave")))))))</f>
        <v/>
      </c>
      <c r="M265" s="12">
        <f>IF(OR($S265="",$V265="",$T265="",$T265&lt;0,$T265&gt;228,$AG265=""),"—",ROUND(IF($AG265=0,LN($V265/$AH265)/$AI265,((($V265/$AH265)^$AG265)-1)/($AG265*$AI265)),2))</f>
        <v/>
      </c>
      <c r="N265">
        <f>IF(OR($M265="",$M265="—"),"",IF($M265&lt;-3,"Muito baixa",IF($M265&lt;-2,"Baixa","Adequada")))</f>
        <v/>
      </c>
      <c r="O265" s="12">
        <f>IF(OR($S265="",$F265="",$T265="",$T265&lt;0,$T265&gt;120,$AJ265=""),"—",ROUND(IF(ABS($AM265)&lt;=3,$AM265,IF($AM265&gt;3,3+($F265-$AO265)/($AO265-$AN265),-3+($F265-$AQ265)/($AP265-$AQ265))),2))</f>
        <v/>
      </c>
      <c r="P265">
        <f>IF(OR($O265="",$O265="—"),"",IF($O265&lt;-3,"Muito baixo",IF($O265&lt;-2,"Baixo",IF($O265&lt;=2,"Adequado","Elevado"))))</f>
        <v/>
      </c>
      <c r="Q265" s="12">
        <f>IF(OR($S265="",$F265="",$T265="",$T265&lt;0,$T265&gt;60,$AR265=""),"—",ROUND(IF(ABS($AU265)&lt;=3,$AU265,IF($AU265&gt;3,3+($F265-$AW265)/($AW265-$AV265),-3+($F265-$AY265)/($AX265-$AY265))),2))</f>
        <v/>
      </c>
      <c r="R265">
        <f>IF(OR($Q265="",$Q265="—"),"",IF($Q265&lt;-3,"Magreza acentuada",IF($Q265&lt;-2,"Magreza",IF($Q265&lt;=1,"Eutrofia",IF($Q265&lt;=2,"Risco de sobrepeso",IF($Q265&lt;=3,"Sobrepeso","Obesidade"))))))</f>
        <v/>
      </c>
      <c r="S265">
        <f>IF($C265="","",IF(UPPER(LEFT($C265,1))="M",1,IF(UPPER(LEFT($C265,1))="F",2,"")))</f>
        <v/>
      </c>
      <c r="T265">
        <f>IF(OR($D265="",$E265=""),"",DATEDIF($D265,$E265,"m"))</f>
        <v/>
      </c>
      <c r="U265">
        <f>IF(OR($D265="",$E265=""),"",$E265-$D265)</f>
        <v/>
      </c>
      <c r="V265">
        <f>IF(OR($G265="",$T265=""),"",IF($T265&lt;24,IF(LEFT(LOWER($H265),4)="em p",$G265+0.7,$G265),IF(LEFT(LOWER($H265),4)="deit",$G265-0.7,$G265)))</f>
        <v/>
      </c>
      <c r="W265">
        <f>IF(OR($S265="",$T265=""),"",$S265*1000000+IF($T265&lt;=60,$U265,$T265))</f>
        <v/>
      </c>
      <c r="X265">
        <f>IF(OR($S265="",$V265="",$T265&gt;60,$T265=""),"",$S265*1000000+ROUND($V265*10,0))</f>
        <v/>
      </c>
      <c r="Y265">
        <f>IF($W265="","",IFERROR(INDEX(IF($T265&lt;=60,imc05_l,imc519_l),MATCH($W265,IF($T265&lt;=60,imc05_k,imc519_k),1)),""))</f>
        <v/>
      </c>
      <c r="Z265">
        <f>IF($W265="","",IFERROR(INDEX(IF($T265&lt;=60,imc05_m,imc519_m),MATCH($W265,IF($T265&lt;=60,imc05_k,imc519_k),1)),""))</f>
        <v/>
      </c>
      <c r="AA265">
        <f>IF($W265="","",IFERROR(INDEX(IF($T265&lt;=60,imc05_s,imc519_s),MATCH($W265,IF($T265&lt;=60,imc05_k,imc519_k),1)),""))</f>
        <v/>
      </c>
      <c r="AB265">
        <f>IF($Y265="","",IF($Y265=0,LN($J265/$Z265)/$AA265,((($J265/$Z265)^$Y265)-1)/($Y265*$AA265)))</f>
        <v/>
      </c>
      <c r="AC265">
        <f>IF($Y265="","",IF($Y265=0,$Z265*EXP($AA265*2),$Z265*(1+$Y265*$AA265*2)^(1/$Y265)))</f>
        <v/>
      </c>
      <c r="AD265">
        <f>IF($Y265="","",IF($Y265=0,$Z265*EXP($AA265*3),$Z265*(1+$Y265*$AA265*3)^(1/$Y265)))</f>
        <v/>
      </c>
      <c r="AE265">
        <f>IF($Y265="","",IF($Y265=0,$Z265*EXP($AA265*-2),$Z265*(1+$Y265*$AA265*-2)^(1/$Y265)))</f>
        <v/>
      </c>
      <c r="AF265">
        <f>IF($Y265="","",IF($Y265=0,$Z265*EXP($AA265*-3),$Z265*(1+$Y265*$AA265*-3)^(1/$Y265)))</f>
        <v/>
      </c>
      <c r="AG265">
        <f>IF($W265="","",IFERROR(INDEX(IF($T265&lt;=60,est05_l,est519_l),MATCH($W265,IF($T265&lt;=60,est05_k,est519_k),1)),""))</f>
        <v/>
      </c>
      <c r="AH265">
        <f>IF($W265="","",IFERROR(INDEX(IF($T265&lt;=60,est05_m,est519_m),MATCH($W265,IF($T265&lt;=60,est05_k,est519_k),1)),""))</f>
        <v/>
      </c>
      <c r="AI265">
        <f>IF($W265="","",IFERROR(INDEX(IF($T265&lt;=60,est05_s,est519_s),MATCH($W265,IF($T265&lt;=60,est05_k,est519_k),1)),""))</f>
        <v/>
      </c>
      <c r="AJ265">
        <f>IF($W265="","",IFERROR(INDEX(IF($T265&lt;=60,peso05_l,peso510_l),MATCH($W265,IF($T265&lt;=60,peso05_k,peso510_k),1)),""))</f>
        <v/>
      </c>
      <c r="AK265">
        <f>IF($W265="","",IFERROR(INDEX(IF($T265&lt;=60,peso05_m,peso510_m),MATCH($W265,IF($T265&lt;=60,peso05_k,peso510_k),1)),""))</f>
        <v/>
      </c>
      <c r="AL265">
        <f>IF($W265="","",IFERROR(INDEX(IF($T265&lt;=60,peso05_s,peso510_s),MATCH($W265,IF($T265&lt;=60,peso05_k,peso510_k),1)),""))</f>
        <v/>
      </c>
      <c r="AM265">
        <f>IF($AJ265="","",IF($AJ265=0,LN($F265/$AK265)/$AL265,((($F265/$AK265)^$AJ265)-1)/($AJ265*$AL265)))</f>
        <v/>
      </c>
      <c r="AN265">
        <f>IF($AJ265="","",IF($AJ265=0,$AK265*EXP($AL265*2),$AK265*(1+$AJ265*$AL265*2)^(1/$AJ265)))</f>
        <v/>
      </c>
      <c r="AO265">
        <f>IF($AJ265="","",IF($AJ265=0,$AK265*EXP($AL265*3),$AK265*(1+$AJ265*$AL265*3)^(1/$AJ265)))</f>
        <v/>
      </c>
      <c r="AP265">
        <f>IF($AJ265="","",IF($AJ265=0,$AK265*EXP($AL265*-2),$AK265*(1+$AJ265*$AL265*-2)^(1/$AJ265)))</f>
        <v/>
      </c>
      <c r="AQ265">
        <f>IF($AJ265="","",IF($AJ265=0,$AK265*EXP($AL265*-3),$AK265*(1+$AJ265*$AL265*-3)^(1/$AJ265)))</f>
        <v/>
      </c>
      <c r="AR265">
        <f>IF(OR($X265="",$T265&gt;60),"",IFERROR(INDEX(IF($T265&lt;24,pcomp_l,palt_l),MATCH($X265,IF($T265&lt;24,pcomp_k,palt_k),1)),""))</f>
        <v/>
      </c>
      <c r="AS265">
        <f>IF(OR($X265="",$T265&gt;60),"",IFERROR(INDEX(IF($T265&lt;24,pcomp_m,palt_m),MATCH($X265,IF($T265&lt;24,pcomp_k,palt_k),1)),""))</f>
        <v/>
      </c>
      <c r="AT265">
        <f>IF(OR($X265="",$T265&gt;60),"",IFERROR(INDEX(IF($T265&lt;24,pcomp_s,palt_s),MATCH($X265,IF($T265&lt;24,pcomp_k,palt_k),1)),""))</f>
        <v/>
      </c>
      <c r="AU265">
        <f>IF($AR265="","",IF($AR265=0,LN($F265/$AS265)/$AT265,((($F265/$AS265)^$AR265)-1)/($AR265*$AT265)))</f>
        <v/>
      </c>
      <c r="AV265">
        <f>IF($AR265="","",IF($AR265=0,$AS265*EXP($AT265*2),$AS265*(1+$AR265*$AT265*2)^(1/$AR265)))</f>
        <v/>
      </c>
      <c r="AW265">
        <f>IF($AR265="","",IF($AR265=0,$AS265*EXP($AT265*3),$AS265*(1+$AR265*$AT265*3)^(1/$AR265)))</f>
        <v/>
      </c>
      <c r="AX265">
        <f>IF($AR265="","",IF($AR265=0,$AS265*EXP($AT265*-2),$AS265*(1+$AR265*$AT265*-2)^(1/$AR265)))</f>
        <v/>
      </c>
      <c r="AY265">
        <f>IF($AR265="","",IF($AR265=0,$AS265*EXP($AT265*-3),$AS265*(1+$AR265*$AT265*-3)^(1/$AR265)))</f>
        <v/>
      </c>
      <c r="AZ265">
        <f>IF(OR($A265="",$A265&lt;&gt;Ficha!$C$4),"",COUNTIF($A$2:$A265,Ficha!$C$4))</f>
        <v/>
      </c>
    </row>
    <row r="266">
      <c r="A266" s="8">
        <f>IF(INDEX(Banco!$A:$A,ROW())="","",INDEX(Banco!$A:$A,ROW()))</f>
        <v/>
      </c>
      <c r="B266" s="8">
        <f>IF(INDEX(Banco!$B:$B,ROW())="","",INDEX(Banco!$B:$B,ROW()))</f>
        <v/>
      </c>
      <c r="C266" s="8">
        <f>IF(INDEX(Banco!$C:$C,ROW())="","",INDEX(Banco!$C:$C,ROW()))</f>
        <v/>
      </c>
      <c r="D266" s="9">
        <f>IF(INDEX(Banco!$D:$D,ROW())="","",INDEX(Banco!$D:$D,ROW()))</f>
        <v/>
      </c>
      <c r="E266" s="9">
        <f>IF(INDEX(Banco!$E:$E,ROW())="","",INDEX(Banco!$E:$E,ROW()))</f>
        <v/>
      </c>
      <c r="F266" s="10">
        <f>IF(INDEX(Banco!$F:$F,ROW())="","",INDEX(Banco!$F:$F,ROW()))</f>
        <v/>
      </c>
      <c r="G266" s="10">
        <f>IF(INDEX(Banco!$G:$G,ROW())="","",INDEX(Banco!$G:$G,ROW()))</f>
        <v/>
      </c>
      <c r="H266" s="8">
        <f>IF(INDEX(Banco!$H:$H,ROW())="","",INDEX(Banco!$H:$H,ROW()))</f>
        <v/>
      </c>
      <c r="I266">
        <f>IF($T266="","",INT($T266/12)&amp;"a "&amp;MOD($T266,12)&amp;"m")</f>
        <v/>
      </c>
      <c r="J266" s="11">
        <f>IF(OR($F266="",$G266=""),"",ROUND($F266/($G266/100)^2,2))</f>
        <v/>
      </c>
      <c r="K266" s="12">
        <f>IF(OR($S266="",$J266="",$T266="",$T266&lt;0,$T266&gt;228,$Y266=""),"—",ROUND(IF(ABS($AB266)&lt;=3,$AB266,IF($AB266&gt;3,3+($J266-$AD266)/($AD266-$AC266),-3+($J266-$AF266)/($AE266-$AF266))),2))</f>
        <v/>
      </c>
      <c r="L266">
        <f>IF(OR($K266="",$K266="—"),"",IF($T266&lt;=60,IF($K266&lt;-3,"Magreza acentuada",IF($K266&lt;-2,"Magreza",IF($K266&lt;=1,"Eutrofia",IF($K266&lt;=2,"Risco de sobrepeso",IF($K266&lt;=3,"Sobrepeso","Obesidade"))))),IF($K266&lt;-3,"Magreza acentuada",IF($K266&lt;-2,"Magreza",IF($K266&lt;=1,"Eutrofia",IF($K266&lt;=2,"Sobrepeso",IF($K266&lt;=3,"Obesidade","Obesidade grave")))))))</f>
        <v/>
      </c>
      <c r="M266" s="12">
        <f>IF(OR($S266="",$V266="",$T266="",$T266&lt;0,$T266&gt;228,$AG266=""),"—",ROUND(IF($AG266=0,LN($V266/$AH266)/$AI266,((($V266/$AH266)^$AG266)-1)/($AG266*$AI266)),2))</f>
        <v/>
      </c>
      <c r="N266">
        <f>IF(OR($M266="",$M266="—"),"",IF($M266&lt;-3,"Muito baixa",IF($M266&lt;-2,"Baixa","Adequada")))</f>
        <v/>
      </c>
      <c r="O266" s="12">
        <f>IF(OR($S266="",$F266="",$T266="",$T266&lt;0,$T266&gt;120,$AJ266=""),"—",ROUND(IF(ABS($AM266)&lt;=3,$AM266,IF($AM266&gt;3,3+($F266-$AO266)/($AO266-$AN266),-3+($F266-$AQ266)/($AP266-$AQ266))),2))</f>
        <v/>
      </c>
      <c r="P266">
        <f>IF(OR($O266="",$O266="—"),"",IF($O266&lt;-3,"Muito baixo",IF($O266&lt;-2,"Baixo",IF($O266&lt;=2,"Adequado","Elevado"))))</f>
        <v/>
      </c>
      <c r="Q266" s="12">
        <f>IF(OR($S266="",$F266="",$T266="",$T266&lt;0,$T266&gt;60,$AR266=""),"—",ROUND(IF(ABS($AU266)&lt;=3,$AU266,IF($AU266&gt;3,3+($F266-$AW266)/($AW266-$AV266),-3+($F266-$AY266)/($AX266-$AY266))),2))</f>
        <v/>
      </c>
      <c r="R266">
        <f>IF(OR($Q266="",$Q266="—"),"",IF($Q266&lt;-3,"Magreza acentuada",IF($Q266&lt;-2,"Magreza",IF($Q266&lt;=1,"Eutrofia",IF($Q266&lt;=2,"Risco de sobrepeso",IF($Q266&lt;=3,"Sobrepeso","Obesidade"))))))</f>
        <v/>
      </c>
      <c r="S266">
        <f>IF($C266="","",IF(UPPER(LEFT($C266,1))="M",1,IF(UPPER(LEFT($C266,1))="F",2,"")))</f>
        <v/>
      </c>
      <c r="T266">
        <f>IF(OR($D266="",$E266=""),"",DATEDIF($D266,$E266,"m"))</f>
        <v/>
      </c>
      <c r="U266">
        <f>IF(OR($D266="",$E266=""),"",$E266-$D266)</f>
        <v/>
      </c>
      <c r="V266">
        <f>IF(OR($G266="",$T266=""),"",IF($T266&lt;24,IF(LEFT(LOWER($H266),4)="em p",$G266+0.7,$G266),IF(LEFT(LOWER($H266),4)="deit",$G266-0.7,$G266)))</f>
        <v/>
      </c>
      <c r="W266">
        <f>IF(OR($S266="",$T266=""),"",$S266*1000000+IF($T266&lt;=60,$U266,$T266))</f>
        <v/>
      </c>
      <c r="X266">
        <f>IF(OR($S266="",$V266="",$T266&gt;60,$T266=""),"",$S266*1000000+ROUND($V266*10,0))</f>
        <v/>
      </c>
      <c r="Y266">
        <f>IF($W266="","",IFERROR(INDEX(IF($T266&lt;=60,imc05_l,imc519_l),MATCH($W266,IF($T266&lt;=60,imc05_k,imc519_k),1)),""))</f>
        <v/>
      </c>
      <c r="Z266">
        <f>IF($W266="","",IFERROR(INDEX(IF($T266&lt;=60,imc05_m,imc519_m),MATCH($W266,IF($T266&lt;=60,imc05_k,imc519_k),1)),""))</f>
        <v/>
      </c>
      <c r="AA266">
        <f>IF($W266="","",IFERROR(INDEX(IF($T266&lt;=60,imc05_s,imc519_s),MATCH($W266,IF($T266&lt;=60,imc05_k,imc519_k),1)),""))</f>
        <v/>
      </c>
      <c r="AB266">
        <f>IF($Y266="","",IF($Y266=0,LN($J266/$Z266)/$AA266,((($J266/$Z266)^$Y266)-1)/($Y266*$AA266)))</f>
        <v/>
      </c>
      <c r="AC266">
        <f>IF($Y266="","",IF($Y266=0,$Z266*EXP($AA266*2),$Z266*(1+$Y266*$AA266*2)^(1/$Y266)))</f>
        <v/>
      </c>
      <c r="AD266">
        <f>IF($Y266="","",IF($Y266=0,$Z266*EXP($AA266*3),$Z266*(1+$Y266*$AA266*3)^(1/$Y266)))</f>
        <v/>
      </c>
      <c r="AE266">
        <f>IF($Y266="","",IF($Y266=0,$Z266*EXP($AA266*-2),$Z266*(1+$Y266*$AA266*-2)^(1/$Y266)))</f>
        <v/>
      </c>
      <c r="AF266">
        <f>IF($Y266="","",IF($Y266=0,$Z266*EXP($AA266*-3),$Z266*(1+$Y266*$AA266*-3)^(1/$Y266)))</f>
        <v/>
      </c>
      <c r="AG266">
        <f>IF($W266="","",IFERROR(INDEX(IF($T266&lt;=60,est05_l,est519_l),MATCH($W266,IF($T266&lt;=60,est05_k,est519_k),1)),""))</f>
        <v/>
      </c>
      <c r="AH266">
        <f>IF($W266="","",IFERROR(INDEX(IF($T266&lt;=60,est05_m,est519_m),MATCH($W266,IF($T266&lt;=60,est05_k,est519_k),1)),""))</f>
        <v/>
      </c>
      <c r="AI266">
        <f>IF($W266="","",IFERROR(INDEX(IF($T266&lt;=60,est05_s,est519_s),MATCH($W266,IF($T266&lt;=60,est05_k,est519_k),1)),""))</f>
        <v/>
      </c>
      <c r="AJ266">
        <f>IF($W266="","",IFERROR(INDEX(IF($T266&lt;=60,peso05_l,peso510_l),MATCH($W266,IF($T266&lt;=60,peso05_k,peso510_k),1)),""))</f>
        <v/>
      </c>
      <c r="AK266">
        <f>IF($W266="","",IFERROR(INDEX(IF($T266&lt;=60,peso05_m,peso510_m),MATCH($W266,IF($T266&lt;=60,peso05_k,peso510_k),1)),""))</f>
        <v/>
      </c>
      <c r="AL266">
        <f>IF($W266="","",IFERROR(INDEX(IF($T266&lt;=60,peso05_s,peso510_s),MATCH($W266,IF($T266&lt;=60,peso05_k,peso510_k),1)),""))</f>
        <v/>
      </c>
      <c r="AM266">
        <f>IF($AJ266="","",IF($AJ266=0,LN($F266/$AK266)/$AL266,((($F266/$AK266)^$AJ266)-1)/($AJ266*$AL266)))</f>
        <v/>
      </c>
      <c r="AN266">
        <f>IF($AJ266="","",IF($AJ266=0,$AK266*EXP($AL266*2),$AK266*(1+$AJ266*$AL266*2)^(1/$AJ266)))</f>
        <v/>
      </c>
      <c r="AO266">
        <f>IF($AJ266="","",IF($AJ266=0,$AK266*EXP($AL266*3),$AK266*(1+$AJ266*$AL266*3)^(1/$AJ266)))</f>
        <v/>
      </c>
      <c r="AP266">
        <f>IF($AJ266="","",IF($AJ266=0,$AK266*EXP($AL266*-2),$AK266*(1+$AJ266*$AL266*-2)^(1/$AJ266)))</f>
        <v/>
      </c>
      <c r="AQ266">
        <f>IF($AJ266="","",IF($AJ266=0,$AK266*EXP($AL266*-3),$AK266*(1+$AJ266*$AL266*-3)^(1/$AJ266)))</f>
        <v/>
      </c>
      <c r="AR266">
        <f>IF(OR($X266="",$T266&gt;60),"",IFERROR(INDEX(IF($T266&lt;24,pcomp_l,palt_l),MATCH($X266,IF($T266&lt;24,pcomp_k,palt_k),1)),""))</f>
        <v/>
      </c>
      <c r="AS266">
        <f>IF(OR($X266="",$T266&gt;60),"",IFERROR(INDEX(IF($T266&lt;24,pcomp_m,palt_m),MATCH($X266,IF($T266&lt;24,pcomp_k,palt_k),1)),""))</f>
        <v/>
      </c>
      <c r="AT266">
        <f>IF(OR($X266="",$T266&gt;60),"",IFERROR(INDEX(IF($T266&lt;24,pcomp_s,palt_s),MATCH($X266,IF($T266&lt;24,pcomp_k,palt_k),1)),""))</f>
        <v/>
      </c>
      <c r="AU266">
        <f>IF($AR266="","",IF($AR266=0,LN($F266/$AS266)/$AT266,((($F266/$AS266)^$AR266)-1)/($AR266*$AT266)))</f>
        <v/>
      </c>
      <c r="AV266">
        <f>IF($AR266="","",IF($AR266=0,$AS266*EXP($AT266*2),$AS266*(1+$AR266*$AT266*2)^(1/$AR266)))</f>
        <v/>
      </c>
      <c r="AW266">
        <f>IF($AR266="","",IF($AR266=0,$AS266*EXP($AT266*3),$AS266*(1+$AR266*$AT266*3)^(1/$AR266)))</f>
        <v/>
      </c>
      <c r="AX266">
        <f>IF($AR266="","",IF($AR266=0,$AS266*EXP($AT266*-2),$AS266*(1+$AR266*$AT266*-2)^(1/$AR266)))</f>
        <v/>
      </c>
      <c r="AY266">
        <f>IF($AR266="","",IF($AR266=0,$AS266*EXP($AT266*-3),$AS266*(1+$AR266*$AT266*-3)^(1/$AR266)))</f>
        <v/>
      </c>
      <c r="AZ266">
        <f>IF(OR($A266="",$A266&lt;&gt;Ficha!$C$4),"",COUNTIF($A$2:$A266,Ficha!$C$4))</f>
        <v/>
      </c>
    </row>
    <row r="267">
      <c r="A267" s="8">
        <f>IF(INDEX(Banco!$A:$A,ROW())="","",INDEX(Banco!$A:$A,ROW()))</f>
        <v/>
      </c>
      <c r="B267" s="8">
        <f>IF(INDEX(Banco!$B:$B,ROW())="","",INDEX(Banco!$B:$B,ROW()))</f>
        <v/>
      </c>
      <c r="C267" s="8">
        <f>IF(INDEX(Banco!$C:$C,ROW())="","",INDEX(Banco!$C:$C,ROW()))</f>
        <v/>
      </c>
      <c r="D267" s="9">
        <f>IF(INDEX(Banco!$D:$D,ROW())="","",INDEX(Banco!$D:$D,ROW()))</f>
        <v/>
      </c>
      <c r="E267" s="9">
        <f>IF(INDEX(Banco!$E:$E,ROW())="","",INDEX(Banco!$E:$E,ROW()))</f>
        <v/>
      </c>
      <c r="F267" s="10">
        <f>IF(INDEX(Banco!$F:$F,ROW())="","",INDEX(Banco!$F:$F,ROW()))</f>
        <v/>
      </c>
      <c r="G267" s="10">
        <f>IF(INDEX(Banco!$G:$G,ROW())="","",INDEX(Banco!$G:$G,ROW()))</f>
        <v/>
      </c>
      <c r="H267" s="8">
        <f>IF(INDEX(Banco!$H:$H,ROW())="","",INDEX(Banco!$H:$H,ROW()))</f>
        <v/>
      </c>
      <c r="I267">
        <f>IF($T267="","",INT($T267/12)&amp;"a "&amp;MOD($T267,12)&amp;"m")</f>
        <v/>
      </c>
      <c r="J267" s="11">
        <f>IF(OR($F267="",$G267=""),"",ROUND($F267/($G267/100)^2,2))</f>
        <v/>
      </c>
      <c r="K267" s="12">
        <f>IF(OR($S267="",$J267="",$T267="",$T267&lt;0,$T267&gt;228,$Y267=""),"—",ROUND(IF(ABS($AB267)&lt;=3,$AB267,IF($AB267&gt;3,3+($J267-$AD267)/($AD267-$AC267),-3+($J267-$AF267)/($AE267-$AF267))),2))</f>
        <v/>
      </c>
      <c r="L267">
        <f>IF(OR($K267="",$K267="—"),"",IF($T267&lt;=60,IF($K267&lt;-3,"Magreza acentuada",IF($K267&lt;-2,"Magreza",IF($K267&lt;=1,"Eutrofia",IF($K267&lt;=2,"Risco de sobrepeso",IF($K267&lt;=3,"Sobrepeso","Obesidade"))))),IF($K267&lt;-3,"Magreza acentuada",IF($K267&lt;-2,"Magreza",IF($K267&lt;=1,"Eutrofia",IF($K267&lt;=2,"Sobrepeso",IF($K267&lt;=3,"Obesidade","Obesidade grave")))))))</f>
        <v/>
      </c>
      <c r="M267" s="12">
        <f>IF(OR($S267="",$V267="",$T267="",$T267&lt;0,$T267&gt;228,$AG267=""),"—",ROUND(IF($AG267=0,LN($V267/$AH267)/$AI267,((($V267/$AH267)^$AG267)-1)/($AG267*$AI267)),2))</f>
        <v/>
      </c>
      <c r="N267">
        <f>IF(OR($M267="",$M267="—"),"",IF($M267&lt;-3,"Muito baixa",IF($M267&lt;-2,"Baixa","Adequada")))</f>
        <v/>
      </c>
      <c r="O267" s="12">
        <f>IF(OR($S267="",$F267="",$T267="",$T267&lt;0,$T267&gt;120,$AJ267=""),"—",ROUND(IF(ABS($AM267)&lt;=3,$AM267,IF($AM267&gt;3,3+($F267-$AO267)/($AO267-$AN267),-3+($F267-$AQ267)/($AP267-$AQ267))),2))</f>
        <v/>
      </c>
      <c r="P267">
        <f>IF(OR($O267="",$O267="—"),"",IF($O267&lt;-3,"Muito baixo",IF($O267&lt;-2,"Baixo",IF($O267&lt;=2,"Adequado","Elevado"))))</f>
        <v/>
      </c>
      <c r="Q267" s="12">
        <f>IF(OR($S267="",$F267="",$T267="",$T267&lt;0,$T267&gt;60,$AR267=""),"—",ROUND(IF(ABS($AU267)&lt;=3,$AU267,IF($AU267&gt;3,3+($F267-$AW267)/($AW267-$AV267),-3+($F267-$AY267)/($AX267-$AY267))),2))</f>
        <v/>
      </c>
      <c r="R267">
        <f>IF(OR($Q267="",$Q267="—"),"",IF($Q267&lt;-3,"Magreza acentuada",IF($Q267&lt;-2,"Magreza",IF($Q267&lt;=1,"Eutrofia",IF($Q267&lt;=2,"Risco de sobrepeso",IF($Q267&lt;=3,"Sobrepeso","Obesidade"))))))</f>
        <v/>
      </c>
      <c r="S267">
        <f>IF($C267="","",IF(UPPER(LEFT($C267,1))="M",1,IF(UPPER(LEFT($C267,1))="F",2,"")))</f>
        <v/>
      </c>
      <c r="T267">
        <f>IF(OR($D267="",$E267=""),"",DATEDIF($D267,$E267,"m"))</f>
        <v/>
      </c>
      <c r="U267">
        <f>IF(OR($D267="",$E267=""),"",$E267-$D267)</f>
        <v/>
      </c>
      <c r="V267">
        <f>IF(OR($G267="",$T267=""),"",IF($T267&lt;24,IF(LEFT(LOWER($H267),4)="em p",$G267+0.7,$G267),IF(LEFT(LOWER($H267),4)="deit",$G267-0.7,$G267)))</f>
        <v/>
      </c>
      <c r="W267">
        <f>IF(OR($S267="",$T267=""),"",$S267*1000000+IF($T267&lt;=60,$U267,$T267))</f>
        <v/>
      </c>
      <c r="X267">
        <f>IF(OR($S267="",$V267="",$T267&gt;60,$T267=""),"",$S267*1000000+ROUND($V267*10,0))</f>
        <v/>
      </c>
      <c r="Y267">
        <f>IF($W267="","",IFERROR(INDEX(IF($T267&lt;=60,imc05_l,imc519_l),MATCH($W267,IF($T267&lt;=60,imc05_k,imc519_k),1)),""))</f>
        <v/>
      </c>
      <c r="Z267">
        <f>IF($W267="","",IFERROR(INDEX(IF($T267&lt;=60,imc05_m,imc519_m),MATCH($W267,IF($T267&lt;=60,imc05_k,imc519_k),1)),""))</f>
        <v/>
      </c>
      <c r="AA267">
        <f>IF($W267="","",IFERROR(INDEX(IF($T267&lt;=60,imc05_s,imc519_s),MATCH($W267,IF($T267&lt;=60,imc05_k,imc519_k),1)),""))</f>
        <v/>
      </c>
      <c r="AB267">
        <f>IF($Y267="","",IF($Y267=0,LN($J267/$Z267)/$AA267,((($J267/$Z267)^$Y267)-1)/($Y267*$AA267)))</f>
        <v/>
      </c>
      <c r="AC267">
        <f>IF($Y267="","",IF($Y267=0,$Z267*EXP($AA267*2),$Z267*(1+$Y267*$AA267*2)^(1/$Y267)))</f>
        <v/>
      </c>
      <c r="AD267">
        <f>IF($Y267="","",IF($Y267=0,$Z267*EXP($AA267*3),$Z267*(1+$Y267*$AA267*3)^(1/$Y267)))</f>
        <v/>
      </c>
      <c r="AE267">
        <f>IF($Y267="","",IF($Y267=0,$Z267*EXP($AA267*-2),$Z267*(1+$Y267*$AA267*-2)^(1/$Y267)))</f>
        <v/>
      </c>
      <c r="AF267">
        <f>IF($Y267="","",IF($Y267=0,$Z267*EXP($AA267*-3),$Z267*(1+$Y267*$AA267*-3)^(1/$Y267)))</f>
        <v/>
      </c>
      <c r="AG267">
        <f>IF($W267="","",IFERROR(INDEX(IF($T267&lt;=60,est05_l,est519_l),MATCH($W267,IF($T267&lt;=60,est05_k,est519_k),1)),""))</f>
        <v/>
      </c>
      <c r="AH267">
        <f>IF($W267="","",IFERROR(INDEX(IF($T267&lt;=60,est05_m,est519_m),MATCH($W267,IF($T267&lt;=60,est05_k,est519_k),1)),""))</f>
        <v/>
      </c>
      <c r="AI267">
        <f>IF($W267="","",IFERROR(INDEX(IF($T267&lt;=60,est05_s,est519_s),MATCH($W267,IF($T267&lt;=60,est05_k,est519_k),1)),""))</f>
        <v/>
      </c>
      <c r="AJ267">
        <f>IF($W267="","",IFERROR(INDEX(IF($T267&lt;=60,peso05_l,peso510_l),MATCH($W267,IF($T267&lt;=60,peso05_k,peso510_k),1)),""))</f>
        <v/>
      </c>
      <c r="AK267">
        <f>IF($W267="","",IFERROR(INDEX(IF($T267&lt;=60,peso05_m,peso510_m),MATCH($W267,IF($T267&lt;=60,peso05_k,peso510_k),1)),""))</f>
        <v/>
      </c>
      <c r="AL267">
        <f>IF($W267="","",IFERROR(INDEX(IF($T267&lt;=60,peso05_s,peso510_s),MATCH($W267,IF($T267&lt;=60,peso05_k,peso510_k),1)),""))</f>
        <v/>
      </c>
      <c r="AM267">
        <f>IF($AJ267="","",IF($AJ267=0,LN($F267/$AK267)/$AL267,((($F267/$AK267)^$AJ267)-1)/($AJ267*$AL267)))</f>
        <v/>
      </c>
      <c r="AN267">
        <f>IF($AJ267="","",IF($AJ267=0,$AK267*EXP($AL267*2),$AK267*(1+$AJ267*$AL267*2)^(1/$AJ267)))</f>
        <v/>
      </c>
      <c r="AO267">
        <f>IF($AJ267="","",IF($AJ267=0,$AK267*EXP($AL267*3),$AK267*(1+$AJ267*$AL267*3)^(1/$AJ267)))</f>
        <v/>
      </c>
      <c r="AP267">
        <f>IF($AJ267="","",IF($AJ267=0,$AK267*EXP($AL267*-2),$AK267*(1+$AJ267*$AL267*-2)^(1/$AJ267)))</f>
        <v/>
      </c>
      <c r="AQ267">
        <f>IF($AJ267="","",IF($AJ267=0,$AK267*EXP($AL267*-3),$AK267*(1+$AJ267*$AL267*-3)^(1/$AJ267)))</f>
        <v/>
      </c>
      <c r="AR267">
        <f>IF(OR($X267="",$T267&gt;60),"",IFERROR(INDEX(IF($T267&lt;24,pcomp_l,palt_l),MATCH($X267,IF($T267&lt;24,pcomp_k,palt_k),1)),""))</f>
        <v/>
      </c>
      <c r="AS267">
        <f>IF(OR($X267="",$T267&gt;60),"",IFERROR(INDEX(IF($T267&lt;24,pcomp_m,palt_m),MATCH($X267,IF($T267&lt;24,pcomp_k,palt_k),1)),""))</f>
        <v/>
      </c>
      <c r="AT267">
        <f>IF(OR($X267="",$T267&gt;60),"",IFERROR(INDEX(IF($T267&lt;24,pcomp_s,palt_s),MATCH($X267,IF($T267&lt;24,pcomp_k,palt_k),1)),""))</f>
        <v/>
      </c>
      <c r="AU267">
        <f>IF($AR267="","",IF($AR267=0,LN($F267/$AS267)/$AT267,((($F267/$AS267)^$AR267)-1)/($AR267*$AT267)))</f>
        <v/>
      </c>
      <c r="AV267">
        <f>IF($AR267="","",IF($AR267=0,$AS267*EXP($AT267*2),$AS267*(1+$AR267*$AT267*2)^(1/$AR267)))</f>
        <v/>
      </c>
      <c r="AW267">
        <f>IF($AR267="","",IF($AR267=0,$AS267*EXP($AT267*3),$AS267*(1+$AR267*$AT267*3)^(1/$AR267)))</f>
        <v/>
      </c>
      <c r="AX267">
        <f>IF($AR267="","",IF($AR267=0,$AS267*EXP($AT267*-2),$AS267*(1+$AR267*$AT267*-2)^(1/$AR267)))</f>
        <v/>
      </c>
      <c r="AY267">
        <f>IF($AR267="","",IF($AR267=0,$AS267*EXP($AT267*-3),$AS267*(1+$AR267*$AT267*-3)^(1/$AR267)))</f>
        <v/>
      </c>
      <c r="AZ267">
        <f>IF(OR($A267="",$A267&lt;&gt;Ficha!$C$4),"",COUNTIF($A$2:$A267,Ficha!$C$4))</f>
        <v/>
      </c>
    </row>
    <row r="268">
      <c r="A268" s="8">
        <f>IF(INDEX(Banco!$A:$A,ROW())="","",INDEX(Banco!$A:$A,ROW()))</f>
        <v/>
      </c>
      <c r="B268" s="8">
        <f>IF(INDEX(Banco!$B:$B,ROW())="","",INDEX(Banco!$B:$B,ROW()))</f>
        <v/>
      </c>
      <c r="C268" s="8">
        <f>IF(INDEX(Banco!$C:$C,ROW())="","",INDEX(Banco!$C:$C,ROW()))</f>
        <v/>
      </c>
      <c r="D268" s="9">
        <f>IF(INDEX(Banco!$D:$D,ROW())="","",INDEX(Banco!$D:$D,ROW()))</f>
        <v/>
      </c>
      <c r="E268" s="9">
        <f>IF(INDEX(Banco!$E:$E,ROW())="","",INDEX(Banco!$E:$E,ROW()))</f>
        <v/>
      </c>
      <c r="F268" s="10">
        <f>IF(INDEX(Banco!$F:$F,ROW())="","",INDEX(Banco!$F:$F,ROW()))</f>
        <v/>
      </c>
      <c r="G268" s="10">
        <f>IF(INDEX(Banco!$G:$G,ROW())="","",INDEX(Banco!$G:$G,ROW()))</f>
        <v/>
      </c>
      <c r="H268" s="8">
        <f>IF(INDEX(Banco!$H:$H,ROW())="","",INDEX(Banco!$H:$H,ROW()))</f>
        <v/>
      </c>
      <c r="I268">
        <f>IF($T268="","",INT($T268/12)&amp;"a "&amp;MOD($T268,12)&amp;"m")</f>
        <v/>
      </c>
      <c r="J268" s="11">
        <f>IF(OR($F268="",$G268=""),"",ROUND($F268/($G268/100)^2,2))</f>
        <v/>
      </c>
      <c r="K268" s="12">
        <f>IF(OR($S268="",$J268="",$T268="",$T268&lt;0,$T268&gt;228,$Y268=""),"—",ROUND(IF(ABS($AB268)&lt;=3,$AB268,IF($AB268&gt;3,3+($J268-$AD268)/($AD268-$AC268),-3+($J268-$AF268)/($AE268-$AF268))),2))</f>
        <v/>
      </c>
      <c r="L268">
        <f>IF(OR($K268="",$K268="—"),"",IF($T268&lt;=60,IF($K268&lt;-3,"Magreza acentuada",IF($K268&lt;-2,"Magreza",IF($K268&lt;=1,"Eutrofia",IF($K268&lt;=2,"Risco de sobrepeso",IF($K268&lt;=3,"Sobrepeso","Obesidade"))))),IF($K268&lt;-3,"Magreza acentuada",IF($K268&lt;-2,"Magreza",IF($K268&lt;=1,"Eutrofia",IF($K268&lt;=2,"Sobrepeso",IF($K268&lt;=3,"Obesidade","Obesidade grave")))))))</f>
        <v/>
      </c>
      <c r="M268" s="12">
        <f>IF(OR($S268="",$V268="",$T268="",$T268&lt;0,$T268&gt;228,$AG268=""),"—",ROUND(IF($AG268=0,LN($V268/$AH268)/$AI268,((($V268/$AH268)^$AG268)-1)/($AG268*$AI268)),2))</f>
        <v/>
      </c>
      <c r="N268">
        <f>IF(OR($M268="",$M268="—"),"",IF($M268&lt;-3,"Muito baixa",IF($M268&lt;-2,"Baixa","Adequada")))</f>
        <v/>
      </c>
      <c r="O268" s="12">
        <f>IF(OR($S268="",$F268="",$T268="",$T268&lt;0,$T268&gt;120,$AJ268=""),"—",ROUND(IF(ABS($AM268)&lt;=3,$AM268,IF($AM268&gt;3,3+($F268-$AO268)/($AO268-$AN268),-3+($F268-$AQ268)/($AP268-$AQ268))),2))</f>
        <v/>
      </c>
      <c r="P268">
        <f>IF(OR($O268="",$O268="—"),"",IF($O268&lt;-3,"Muito baixo",IF($O268&lt;-2,"Baixo",IF($O268&lt;=2,"Adequado","Elevado"))))</f>
        <v/>
      </c>
      <c r="Q268" s="12">
        <f>IF(OR($S268="",$F268="",$T268="",$T268&lt;0,$T268&gt;60,$AR268=""),"—",ROUND(IF(ABS($AU268)&lt;=3,$AU268,IF($AU268&gt;3,3+($F268-$AW268)/($AW268-$AV268),-3+($F268-$AY268)/($AX268-$AY268))),2))</f>
        <v/>
      </c>
      <c r="R268">
        <f>IF(OR($Q268="",$Q268="—"),"",IF($Q268&lt;-3,"Magreza acentuada",IF($Q268&lt;-2,"Magreza",IF($Q268&lt;=1,"Eutrofia",IF($Q268&lt;=2,"Risco de sobrepeso",IF($Q268&lt;=3,"Sobrepeso","Obesidade"))))))</f>
        <v/>
      </c>
      <c r="S268">
        <f>IF($C268="","",IF(UPPER(LEFT($C268,1))="M",1,IF(UPPER(LEFT($C268,1))="F",2,"")))</f>
        <v/>
      </c>
      <c r="T268">
        <f>IF(OR($D268="",$E268=""),"",DATEDIF($D268,$E268,"m"))</f>
        <v/>
      </c>
      <c r="U268">
        <f>IF(OR($D268="",$E268=""),"",$E268-$D268)</f>
        <v/>
      </c>
      <c r="V268">
        <f>IF(OR($G268="",$T268=""),"",IF($T268&lt;24,IF(LEFT(LOWER($H268),4)="em p",$G268+0.7,$G268),IF(LEFT(LOWER($H268),4)="deit",$G268-0.7,$G268)))</f>
        <v/>
      </c>
      <c r="W268">
        <f>IF(OR($S268="",$T268=""),"",$S268*1000000+IF($T268&lt;=60,$U268,$T268))</f>
        <v/>
      </c>
      <c r="X268">
        <f>IF(OR($S268="",$V268="",$T268&gt;60,$T268=""),"",$S268*1000000+ROUND($V268*10,0))</f>
        <v/>
      </c>
      <c r="Y268">
        <f>IF($W268="","",IFERROR(INDEX(IF($T268&lt;=60,imc05_l,imc519_l),MATCH($W268,IF($T268&lt;=60,imc05_k,imc519_k),1)),""))</f>
        <v/>
      </c>
      <c r="Z268">
        <f>IF($W268="","",IFERROR(INDEX(IF($T268&lt;=60,imc05_m,imc519_m),MATCH($W268,IF($T268&lt;=60,imc05_k,imc519_k),1)),""))</f>
        <v/>
      </c>
      <c r="AA268">
        <f>IF($W268="","",IFERROR(INDEX(IF($T268&lt;=60,imc05_s,imc519_s),MATCH($W268,IF($T268&lt;=60,imc05_k,imc519_k),1)),""))</f>
        <v/>
      </c>
      <c r="AB268">
        <f>IF($Y268="","",IF($Y268=0,LN($J268/$Z268)/$AA268,((($J268/$Z268)^$Y268)-1)/($Y268*$AA268)))</f>
        <v/>
      </c>
      <c r="AC268">
        <f>IF($Y268="","",IF($Y268=0,$Z268*EXP($AA268*2),$Z268*(1+$Y268*$AA268*2)^(1/$Y268)))</f>
        <v/>
      </c>
      <c r="AD268">
        <f>IF($Y268="","",IF($Y268=0,$Z268*EXP($AA268*3),$Z268*(1+$Y268*$AA268*3)^(1/$Y268)))</f>
        <v/>
      </c>
      <c r="AE268">
        <f>IF($Y268="","",IF($Y268=0,$Z268*EXP($AA268*-2),$Z268*(1+$Y268*$AA268*-2)^(1/$Y268)))</f>
        <v/>
      </c>
      <c r="AF268">
        <f>IF($Y268="","",IF($Y268=0,$Z268*EXP($AA268*-3),$Z268*(1+$Y268*$AA268*-3)^(1/$Y268)))</f>
        <v/>
      </c>
      <c r="AG268">
        <f>IF($W268="","",IFERROR(INDEX(IF($T268&lt;=60,est05_l,est519_l),MATCH($W268,IF($T268&lt;=60,est05_k,est519_k),1)),""))</f>
        <v/>
      </c>
      <c r="AH268">
        <f>IF($W268="","",IFERROR(INDEX(IF($T268&lt;=60,est05_m,est519_m),MATCH($W268,IF($T268&lt;=60,est05_k,est519_k),1)),""))</f>
        <v/>
      </c>
      <c r="AI268">
        <f>IF($W268="","",IFERROR(INDEX(IF($T268&lt;=60,est05_s,est519_s),MATCH($W268,IF($T268&lt;=60,est05_k,est519_k),1)),""))</f>
        <v/>
      </c>
      <c r="AJ268">
        <f>IF($W268="","",IFERROR(INDEX(IF($T268&lt;=60,peso05_l,peso510_l),MATCH($W268,IF($T268&lt;=60,peso05_k,peso510_k),1)),""))</f>
        <v/>
      </c>
      <c r="AK268">
        <f>IF($W268="","",IFERROR(INDEX(IF($T268&lt;=60,peso05_m,peso510_m),MATCH($W268,IF($T268&lt;=60,peso05_k,peso510_k),1)),""))</f>
        <v/>
      </c>
      <c r="AL268">
        <f>IF($W268="","",IFERROR(INDEX(IF($T268&lt;=60,peso05_s,peso510_s),MATCH($W268,IF($T268&lt;=60,peso05_k,peso510_k),1)),""))</f>
        <v/>
      </c>
      <c r="AM268">
        <f>IF($AJ268="","",IF($AJ268=0,LN($F268/$AK268)/$AL268,((($F268/$AK268)^$AJ268)-1)/($AJ268*$AL268)))</f>
        <v/>
      </c>
      <c r="AN268">
        <f>IF($AJ268="","",IF($AJ268=0,$AK268*EXP($AL268*2),$AK268*(1+$AJ268*$AL268*2)^(1/$AJ268)))</f>
        <v/>
      </c>
      <c r="AO268">
        <f>IF($AJ268="","",IF($AJ268=0,$AK268*EXP($AL268*3),$AK268*(1+$AJ268*$AL268*3)^(1/$AJ268)))</f>
        <v/>
      </c>
      <c r="AP268">
        <f>IF($AJ268="","",IF($AJ268=0,$AK268*EXP($AL268*-2),$AK268*(1+$AJ268*$AL268*-2)^(1/$AJ268)))</f>
        <v/>
      </c>
      <c r="AQ268">
        <f>IF($AJ268="","",IF($AJ268=0,$AK268*EXP($AL268*-3),$AK268*(1+$AJ268*$AL268*-3)^(1/$AJ268)))</f>
        <v/>
      </c>
      <c r="AR268">
        <f>IF(OR($X268="",$T268&gt;60),"",IFERROR(INDEX(IF($T268&lt;24,pcomp_l,palt_l),MATCH($X268,IF($T268&lt;24,pcomp_k,palt_k),1)),""))</f>
        <v/>
      </c>
      <c r="AS268">
        <f>IF(OR($X268="",$T268&gt;60),"",IFERROR(INDEX(IF($T268&lt;24,pcomp_m,palt_m),MATCH($X268,IF($T268&lt;24,pcomp_k,palt_k),1)),""))</f>
        <v/>
      </c>
      <c r="AT268">
        <f>IF(OR($X268="",$T268&gt;60),"",IFERROR(INDEX(IF($T268&lt;24,pcomp_s,palt_s),MATCH($X268,IF($T268&lt;24,pcomp_k,palt_k),1)),""))</f>
        <v/>
      </c>
      <c r="AU268">
        <f>IF($AR268="","",IF($AR268=0,LN($F268/$AS268)/$AT268,((($F268/$AS268)^$AR268)-1)/($AR268*$AT268)))</f>
        <v/>
      </c>
      <c r="AV268">
        <f>IF($AR268="","",IF($AR268=0,$AS268*EXP($AT268*2),$AS268*(1+$AR268*$AT268*2)^(1/$AR268)))</f>
        <v/>
      </c>
      <c r="AW268">
        <f>IF($AR268="","",IF($AR268=0,$AS268*EXP($AT268*3),$AS268*(1+$AR268*$AT268*3)^(1/$AR268)))</f>
        <v/>
      </c>
      <c r="AX268">
        <f>IF($AR268="","",IF($AR268=0,$AS268*EXP($AT268*-2),$AS268*(1+$AR268*$AT268*-2)^(1/$AR268)))</f>
        <v/>
      </c>
      <c r="AY268">
        <f>IF($AR268="","",IF($AR268=0,$AS268*EXP($AT268*-3),$AS268*(1+$AR268*$AT268*-3)^(1/$AR268)))</f>
        <v/>
      </c>
      <c r="AZ268">
        <f>IF(OR($A268="",$A268&lt;&gt;Ficha!$C$4),"",COUNTIF($A$2:$A268,Ficha!$C$4))</f>
        <v/>
      </c>
    </row>
    <row r="269">
      <c r="A269" s="8">
        <f>IF(INDEX(Banco!$A:$A,ROW())="","",INDEX(Banco!$A:$A,ROW()))</f>
        <v/>
      </c>
      <c r="B269" s="8">
        <f>IF(INDEX(Banco!$B:$B,ROW())="","",INDEX(Banco!$B:$B,ROW()))</f>
        <v/>
      </c>
      <c r="C269" s="8">
        <f>IF(INDEX(Banco!$C:$C,ROW())="","",INDEX(Banco!$C:$C,ROW()))</f>
        <v/>
      </c>
      <c r="D269" s="9">
        <f>IF(INDEX(Banco!$D:$D,ROW())="","",INDEX(Banco!$D:$D,ROW()))</f>
        <v/>
      </c>
      <c r="E269" s="9">
        <f>IF(INDEX(Banco!$E:$E,ROW())="","",INDEX(Banco!$E:$E,ROW()))</f>
        <v/>
      </c>
      <c r="F269" s="10">
        <f>IF(INDEX(Banco!$F:$F,ROW())="","",INDEX(Banco!$F:$F,ROW()))</f>
        <v/>
      </c>
      <c r="G269" s="10">
        <f>IF(INDEX(Banco!$G:$G,ROW())="","",INDEX(Banco!$G:$G,ROW()))</f>
        <v/>
      </c>
      <c r="H269" s="8">
        <f>IF(INDEX(Banco!$H:$H,ROW())="","",INDEX(Banco!$H:$H,ROW()))</f>
        <v/>
      </c>
      <c r="I269">
        <f>IF($T269="","",INT($T269/12)&amp;"a "&amp;MOD($T269,12)&amp;"m")</f>
        <v/>
      </c>
      <c r="J269" s="11">
        <f>IF(OR($F269="",$G269=""),"",ROUND($F269/($G269/100)^2,2))</f>
        <v/>
      </c>
      <c r="K269" s="12">
        <f>IF(OR($S269="",$J269="",$T269="",$T269&lt;0,$T269&gt;228,$Y269=""),"—",ROUND(IF(ABS($AB269)&lt;=3,$AB269,IF($AB269&gt;3,3+($J269-$AD269)/($AD269-$AC269),-3+($J269-$AF269)/($AE269-$AF269))),2))</f>
        <v/>
      </c>
      <c r="L269">
        <f>IF(OR($K269="",$K269="—"),"",IF($T269&lt;=60,IF($K269&lt;-3,"Magreza acentuada",IF($K269&lt;-2,"Magreza",IF($K269&lt;=1,"Eutrofia",IF($K269&lt;=2,"Risco de sobrepeso",IF($K269&lt;=3,"Sobrepeso","Obesidade"))))),IF($K269&lt;-3,"Magreza acentuada",IF($K269&lt;-2,"Magreza",IF($K269&lt;=1,"Eutrofia",IF($K269&lt;=2,"Sobrepeso",IF($K269&lt;=3,"Obesidade","Obesidade grave")))))))</f>
        <v/>
      </c>
      <c r="M269" s="12">
        <f>IF(OR($S269="",$V269="",$T269="",$T269&lt;0,$T269&gt;228,$AG269=""),"—",ROUND(IF($AG269=0,LN($V269/$AH269)/$AI269,((($V269/$AH269)^$AG269)-1)/($AG269*$AI269)),2))</f>
        <v/>
      </c>
      <c r="N269">
        <f>IF(OR($M269="",$M269="—"),"",IF($M269&lt;-3,"Muito baixa",IF($M269&lt;-2,"Baixa","Adequada")))</f>
        <v/>
      </c>
      <c r="O269" s="12">
        <f>IF(OR($S269="",$F269="",$T269="",$T269&lt;0,$T269&gt;120,$AJ269=""),"—",ROUND(IF(ABS($AM269)&lt;=3,$AM269,IF($AM269&gt;3,3+($F269-$AO269)/($AO269-$AN269),-3+($F269-$AQ269)/($AP269-$AQ269))),2))</f>
        <v/>
      </c>
      <c r="P269">
        <f>IF(OR($O269="",$O269="—"),"",IF($O269&lt;-3,"Muito baixo",IF($O269&lt;-2,"Baixo",IF($O269&lt;=2,"Adequado","Elevado"))))</f>
        <v/>
      </c>
      <c r="Q269" s="12">
        <f>IF(OR($S269="",$F269="",$T269="",$T269&lt;0,$T269&gt;60,$AR269=""),"—",ROUND(IF(ABS($AU269)&lt;=3,$AU269,IF($AU269&gt;3,3+($F269-$AW269)/($AW269-$AV269),-3+($F269-$AY269)/($AX269-$AY269))),2))</f>
        <v/>
      </c>
      <c r="R269">
        <f>IF(OR($Q269="",$Q269="—"),"",IF($Q269&lt;-3,"Magreza acentuada",IF($Q269&lt;-2,"Magreza",IF($Q269&lt;=1,"Eutrofia",IF($Q269&lt;=2,"Risco de sobrepeso",IF($Q269&lt;=3,"Sobrepeso","Obesidade"))))))</f>
        <v/>
      </c>
      <c r="S269">
        <f>IF($C269="","",IF(UPPER(LEFT($C269,1))="M",1,IF(UPPER(LEFT($C269,1))="F",2,"")))</f>
        <v/>
      </c>
      <c r="T269">
        <f>IF(OR($D269="",$E269=""),"",DATEDIF($D269,$E269,"m"))</f>
        <v/>
      </c>
      <c r="U269">
        <f>IF(OR($D269="",$E269=""),"",$E269-$D269)</f>
        <v/>
      </c>
      <c r="V269">
        <f>IF(OR($G269="",$T269=""),"",IF($T269&lt;24,IF(LEFT(LOWER($H269),4)="em p",$G269+0.7,$G269),IF(LEFT(LOWER($H269),4)="deit",$G269-0.7,$G269)))</f>
        <v/>
      </c>
      <c r="W269">
        <f>IF(OR($S269="",$T269=""),"",$S269*1000000+IF($T269&lt;=60,$U269,$T269))</f>
        <v/>
      </c>
      <c r="X269">
        <f>IF(OR($S269="",$V269="",$T269&gt;60,$T269=""),"",$S269*1000000+ROUND($V269*10,0))</f>
        <v/>
      </c>
      <c r="Y269">
        <f>IF($W269="","",IFERROR(INDEX(IF($T269&lt;=60,imc05_l,imc519_l),MATCH($W269,IF($T269&lt;=60,imc05_k,imc519_k),1)),""))</f>
        <v/>
      </c>
      <c r="Z269">
        <f>IF($W269="","",IFERROR(INDEX(IF($T269&lt;=60,imc05_m,imc519_m),MATCH($W269,IF($T269&lt;=60,imc05_k,imc519_k),1)),""))</f>
        <v/>
      </c>
      <c r="AA269">
        <f>IF($W269="","",IFERROR(INDEX(IF($T269&lt;=60,imc05_s,imc519_s),MATCH($W269,IF($T269&lt;=60,imc05_k,imc519_k),1)),""))</f>
        <v/>
      </c>
      <c r="AB269">
        <f>IF($Y269="","",IF($Y269=0,LN($J269/$Z269)/$AA269,((($J269/$Z269)^$Y269)-1)/($Y269*$AA269)))</f>
        <v/>
      </c>
      <c r="AC269">
        <f>IF($Y269="","",IF($Y269=0,$Z269*EXP($AA269*2),$Z269*(1+$Y269*$AA269*2)^(1/$Y269)))</f>
        <v/>
      </c>
      <c r="AD269">
        <f>IF($Y269="","",IF($Y269=0,$Z269*EXP($AA269*3),$Z269*(1+$Y269*$AA269*3)^(1/$Y269)))</f>
        <v/>
      </c>
      <c r="AE269">
        <f>IF($Y269="","",IF($Y269=0,$Z269*EXP($AA269*-2),$Z269*(1+$Y269*$AA269*-2)^(1/$Y269)))</f>
        <v/>
      </c>
      <c r="AF269">
        <f>IF($Y269="","",IF($Y269=0,$Z269*EXP($AA269*-3),$Z269*(1+$Y269*$AA269*-3)^(1/$Y269)))</f>
        <v/>
      </c>
      <c r="AG269">
        <f>IF($W269="","",IFERROR(INDEX(IF($T269&lt;=60,est05_l,est519_l),MATCH($W269,IF($T269&lt;=60,est05_k,est519_k),1)),""))</f>
        <v/>
      </c>
      <c r="AH269">
        <f>IF($W269="","",IFERROR(INDEX(IF($T269&lt;=60,est05_m,est519_m),MATCH($W269,IF($T269&lt;=60,est05_k,est519_k),1)),""))</f>
        <v/>
      </c>
      <c r="AI269">
        <f>IF($W269="","",IFERROR(INDEX(IF($T269&lt;=60,est05_s,est519_s),MATCH($W269,IF($T269&lt;=60,est05_k,est519_k),1)),""))</f>
        <v/>
      </c>
      <c r="AJ269">
        <f>IF($W269="","",IFERROR(INDEX(IF($T269&lt;=60,peso05_l,peso510_l),MATCH($W269,IF($T269&lt;=60,peso05_k,peso510_k),1)),""))</f>
        <v/>
      </c>
      <c r="AK269">
        <f>IF($W269="","",IFERROR(INDEX(IF($T269&lt;=60,peso05_m,peso510_m),MATCH($W269,IF($T269&lt;=60,peso05_k,peso510_k),1)),""))</f>
        <v/>
      </c>
      <c r="AL269">
        <f>IF($W269="","",IFERROR(INDEX(IF($T269&lt;=60,peso05_s,peso510_s),MATCH($W269,IF($T269&lt;=60,peso05_k,peso510_k),1)),""))</f>
        <v/>
      </c>
      <c r="AM269">
        <f>IF($AJ269="","",IF($AJ269=0,LN($F269/$AK269)/$AL269,((($F269/$AK269)^$AJ269)-1)/($AJ269*$AL269)))</f>
        <v/>
      </c>
      <c r="AN269">
        <f>IF($AJ269="","",IF($AJ269=0,$AK269*EXP($AL269*2),$AK269*(1+$AJ269*$AL269*2)^(1/$AJ269)))</f>
        <v/>
      </c>
      <c r="AO269">
        <f>IF($AJ269="","",IF($AJ269=0,$AK269*EXP($AL269*3),$AK269*(1+$AJ269*$AL269*3)^(1/$AJ269)))</f>
        <v/>
      </c>
      <c r="AP269">
        <f>IF($AJ269="","",IF($AJ269=0,$AK269*EXP($AL269*-2),$AK269*(1+$AJ269*$AL269*-2)^(1/$AJ269)))</f>
        <v/>
      </c>
      <c r="AQ269">
        <f>IF($AJ269="","",IF($AJ269=0,$AK269*EXP($AL269*-3),$AK269*(1+$AJ269*$AL269*-3)^(1/$AJ269)))</f>
        <v/>
      </c>
      <c r="AR269">
        <f>IF(OR($X269="",$T269&gt;60),"",IFERROR(INDEX(IF($T269&lt;24,pcomp_l,palt_l),MATCH($X269,IF($T269&lt;24,pcomp_k,palt_k),1)),""))</f>
        <v/>
      </c>
      <c r="AS269">
        <f>IF(OR($X269="",$T269&gt;60),"",IFERROR(INDEX(IF($T269&lt;24,pcomp_m,palt_m),MATCH($X269,IF($T269&lt;24,pcomp_k,palt_k),1)),""))</f>
        <v/>
      </c>
      <c r="AT269">
        <f>IF(OR($X269="",$T269&gt;60),"",IFERROR(INDEX(IF($T269&lt;24,pcomp_s,palt_s),MATCH($X269,IF($T269&lt;24,pcomp_k,palt_k),1)),""))</f>
        <v/>
      </c>
      <c r="AU269">
        <f>IF($AR269="","",IF($AR269=0,LN($F269/$AS269)/$AT269,((($F269/$AS269)^$AR269)-1)/($AR269*$AT269)))</f>
        <v/>
      </c>
      <c r="AV269">
        <f>IF($AR269="","",IF($AR269=0,$AS269*EXP($AT269*2),$AS269*(1+$AR269*$AT269*2)^(1/$AR269)))</f>
        <v/>
      </c>
      <c r="AW269">
        <f>IF($AR269="","",IF($AR269=0,$AS269*EXP($AT269*3),$AS269*(1+$AR269*$AT269*3)^(1/$AR269)))</f>
        <v/>
      </c>
      <c r="AX269">
        <f>IF($AR269="","",IF($AR269=0,$AS269*EXP($AT269*-2),$AS269*(1+$AR269*$AT269*-2)^(1/$AR269)))</f>
        <v/>
      </c>
      <c r="AY269">
        <f>IF($AR269="","",IF($AR269=0,$AS269*EXP($AT269*-3),$AS269*(1+$AR269*$AT269*-3)^(1/$AR269)))</f>
        <v/>
      </c>
      <c r="AZ269">
        <f>IF(OR($A269="",$A269&lt;&gt;Ficha!$C$4),"",COUNTIF($A$2:$A269,Ficha!$C$4))</f>
        <v/>
      </c>
    </row>
    <row r="270">
      <c r="A270" s="8">
        <f>IF(INDEX(Banco!$A:$A,ROW())="","",INDEX(Banco!$A:$A,ROW()))</f>
        <v/>
      </c>
      <c r="B270" s="8">
        <f>IF(INDEX(Banco!$B:$B,ROW())="","",INDEX(Banco!$B:$B,ROW()))</f>
        <v/>
      </c>
      <c r="C270" s="8">
        <f>IF(INDEX(Banco!$C:$C,ROW())="","",INDEX(Banco!$C:$C,ROW()))</f>
        <v/>
      </c>
      <c r="D270" s="9">
        <f>IF(INDEX(Banco!$D:$D,ROW())="","",INDEX(Banco!$D:$D,ROW()))</f>
        <v/>
      </c>
      <c r="E270" s="9">
        <f>IF(INDEX(Banco!$E:$E,ROW())="","",INDEX(Banco!$E:$E,ROW()))</f>
        <v/>
      </c>
      <c r="F270" s="10">
        <f>IF(INDEX(Banco!$F:$F,ROW())="","",INDEX(Banco!$F:$F,ROW()))</f>
        <v/>
      </c>
      <c r="G270" s="10">
        <f>IF(INDEX(Banco!$G:$G,ROW())="","",INDEX(Banco!$G:$G,ROW()))</f>
        <v/>
      </c>
      <c r="H270" s="8">
        <f>IF(INDEX(Banco!$H:$H,ROW())="","",INDEX(Banco!$H:$H,ROW()))</f>
        <v/>
      </c>
      <c r="I270">
        <f>IF($T270="","",INT($T270/12)&amp;"a "&amp;MOD($T270,12)&amp;"m")</f>
        <v/>
      </c>
      <c r="J270" s="11">
        <f>IF(OR($F270="",$G270=""),"",ROUND($F270/($G270/100)^2,2))</f>
        <v/>
      </c>
      <c r="K270" s="12">
        <f>IF(OR($S270="",$J270="",$T270="",$T270&lt;0,$T270&gt;228,$Y270=""),"—",ROUND(IF(ABS($AB270)&lt;=3,$AB270,IF($AB270&gt;3,3+($J270-$AD270)/($AD270-$AC270),-3+($J270-$AF270)/($AE270-$AF270))),2))</f>
        <v/>
      </c>
      <c r="L270">
        <f>IF(OR($K270="",$K270="—"),"",IF($T270&lt;=60,IF($K270&lt;-3,"Magreza acentuada",IF($K270&lt;-2,"Magreza",IF($K270&lt;=1,"Eutrofia",IF($K270&lt;=2,"Risco de sobrepeso",IF($K270&lt;=3,"Sobrepeso","Obesidade"))))),IF($K270&lt;-3,"Magreza acentuada",IF($K270&lt;-2,"Magreza",IF($K270&lt;=1,"Eutrofia",IF($K270&lt;=2,"Sobrepeso",IF($K270&lt;=3,"Obesidade","Obesidade grave")))))))</f>
        <v/>
      </c>
      <c r="M270" s="12">
        <f>IF(OR($S270="",$V270="",$T270="",$T270&lt;0,$T270&gt;228,$AG270=""),"—",ROUND(IF($AG270=0,LN($V270/$AH270)/$AI270,((($V270/$AH270)^$AG270)-1)/($AG270*$AI270)),2))</f>
        <v/>
      </c>
      <c r="N270">
        <f>IF(OR($M270="",$M270="—"),"",IF($M270&lt;-3,"Muito baixa",IF($M270&lt;-2,"Baixa","Adequada")))</f>
        <v/>
      </c>
      <c r="O270" s="12">
        <f>IF(OR($S270="",$F270="",$T270="",$T270&lt;0,$T270&gt;120,$AJ270=""),"—",ROUND(IF(ABS($AM270)&lt;=3,$AM270,IF($AM270&gt;3,3+($F270-$AO270)/($AO270-$AN270),-3+($F270-$AQ270)/($AP270-$AQ270))),2))</f>
        <v/>
      </c>
      <c r="P270">
        <f>IF(OR($O270="",$O270="—"),"",IF($O270&lt;-3,"Muito baixo",IF($O270&lt;-2,"Baixo",IF($O270&lt;=2,"Adequado","Elevado"))))</f>
        <v/>
      </c>
      <c r="Q270" s="12">
        <f>IF(OR($S270="",$F270="",$T270="",$T270&lt;0,$T270&gt;60,$AR270=""),"—",ROUND(IF(ABS($AU270)&lt;=3,$AU270,IF($AU270&gt;3,3+($F270-$AW270)/($AW270-$AV270),-3+($F270-$AY270)/($AX270-$AY270))),2))</f>
        <v/>
      </c>
      <c r="R270">
        <f>IF(OR($Q270="",$Q270="—"),"",IF($Q270&lt;-3,"Magreza acentuada",IF($Q270&lt;-2,"Magreza",IF($Q270&lt;=1,"Eutrofia",IF($Q270&lt;=2,"Risco de sobrepeso",IF($Q270&lt;=3,"Sobrepeso","Obesidade"))))))</f>
        <v/>
      </c>
      <c r="S270">
        <f>IF($C270="","",IF(UPPER(LEFT($C270,1))="M",1,IF(UPPER(LEFT($C270,1))="F",2,"")))</f>
        <v/>
      </c>
      <c r="T270">
        <f>IF(OR($D270="",$E270=""),"",DATEDIF($D270,$E270,"m"))</f>
        <v/>
      </c>
      <c r="U270">
        <f>IF(OR($D270="",$E270=""),"",$E270-$D270)</f>
        <v/>
      </c>
      <c r="V270">
        <f>IF(OR($G270="",$T270=""),"",IF($T270&lt;24,IF(LEFT(LOWER($H270),4)="em p",$G270+0.7,$G270),IF(LEFT(LOWER($H270),4)="deit",$G270-0.7,$G270)))</f>
        <v/>
      </c>
      <c r="W270">
        <f>IF(OR($S270="",$T270=""),"",$S270*1000000+IF($T270&lt;=60,$U270,$T270))</f>
        <v/>
      </c>
      <c r="X270">
        <f>IF(OR($S270="",$V270="",$T270&gt;60,$T270=""),"",$S270*1000000+ROUND($V270*10,0))</f>
        <v/>
      </c>
      <c r="Y270">
        <f>IF($W270="","",IFERROR(INDEX(IF($T270&lt;=60,imc05_l,imc519_l),MATCH($W270,IF($T270&lt;=60,imc05_k,imc519_k),1)),""))</f>
        <v/>
      </c>
      <c r="Z270">
        <f>IF($W270="","",IFERROR(INDEX(IF($T270&lt;=60,imc05_m,imc519_m),MATCH($W270,IF($T270&lt;=60,imc05_k,imc519_k),1)),""))</f>
        <v/>
      </c>
      <c r="AA270">
        <f>IF($W270="","",IFERROR(INDEX(IF($T270&lt;=60,imc05_s,imc519_s),MATCH($W270,IF($T270&lt;=60,imc05_k,imc519_k),1)),""))</f>
        <v/>
      </c>
      <c r="AB270">
        <f>IF($Y270="","",IF($Y270=0,LN($J270/$Z270)/$AA270,((($J270/$Z270)^$Y270)-1)/($Y270*$AA270)))</f>
        <v/>
      </c>
      <c r="AC270">
        <f>IF($Y270="","",IF($Y270=0,$Z270*EXP($AA270*2),$Z270*(1+$Y270*$AA270*2)^(1/$Y270)))</f>
        <v/>
      </c>
      <c r="AD270">
        <f>IF($Y270="","",IF($Y270=0,$Z270*EXP($AA270*3),$Z270*(1+$Y270*$AA270*3)^(1/$Y270)))</f>
        <v/>
      </c>
      <c r="AE270">
        <f>IF($Y270="","",IF($Y270=0,$Z270*EXP($AA270*-2),$Z270*(1+$Y270*$AA270*-2)^(1/$Y270)))</f>
        <v/>
      </c>
      <c r="AF270">
        <f>IF($Y270="","",IF($Y270=0,$Z270*EXP($AA270*-3),$Z270*(1+$Y270*$AA270*-3)^(1/$Y270)))</f>
        <v/>
      </c>
      <c r="AG270">
        <f>IF($W270="","",IFERROR(INDEX(IF($T270&lt;=60,est05_l,est519_l),MATCH($W270,IF($T270&lt;=60,est05_k,est519_k),1)),""))</f>
        <v/>
      </c>
      <c r="AH270">
        <f>IF($W270="","",IFERROR(INDEX(IF($T270&lt;=60,est05_m,est519_m),MATCH($W270,IF($T270&lt;=60,est05_k,est519_k),1)),""))</f>
        <v/>
      </c>
      <c r="AI270">
        <f>IF($W270="","",IFERROR(INDEX(IF($T270&lt;=60,est05_s,est519_s),MATCH($W270,IF($T270&lt;=60,est05_k,est519_k),1)),""))</f>
        <v/>
      </c>
      <c r="AJ270">
        <f>IF($W270="","",IFERROR(INDEX(IF($T270&lt;=60,peso05_l,peso510_l),MATCH($W270,IF($T270&lt;=60,peso05_k,peso510_k),1)),""))</f>
        <v/>
      </c>
      <c r="AK270">
        <f>IF($W270="","",IFERROR(INDEX(IF($T270&lt;=60,peso05_m,peso510_m),MATCH($W270,IF($T270&lt;=60,peso05_k,peso510_k),1)),""))</f>
        <v/>
      </c>
      <c r="AL270">
        <f>IF($W270="","",IFERROR(INDEX(IF($T270&lt;=60,peso05_s,peso510_s),MATCH($W270,IF($T270&lt;=60,peso05_k,peso510_k),1)),""))</f>
        <v/>
      </c>
      <c r="AM270">
        <f>IF($AJ270="","",IF($AJ270=0,LN($F270/$AK270)/$AL270,((($F270/$AK270)^$AJ270)-1)/($AJ270*$AL270)))</f>
        <v/>
      </c>
      <c r="AN270">
        <f>IF($AJ270="","",IF($AJ270=0,$AK270*EXP($AL270*2),$AK270*(1+$AJ270*$AL270*2)^(1/$AJ270)))</f>
        <v/>
      </c>
      <c r="AO270">
        <f>IF($AJ270="","",IF($AJ270=0,$AK270*EXP($AL270*3),$AK270*(1+$AJ270*$AL270*3)^(1/$AJ270)))</f>
        <v/>
      </c>
      <c r="AP270">
        <f>IF($AJ270="","",IF($AJ270=0,$AK270*EXP($AL270*-2),$AK270*(1+$AJ270*$AL270*-2)^(1/$AJ270)))</f>
        <v/>
      </c>
      <c r="AQ270">
        <f>IF($AJ270="","",IF($AJ270=0,$AK270*EXP($AL270*-3),$AK270*(1+$AJ270*$AL270*-3)^(1/$AJ270)))</f>
        <v/>
      </c>
      <c r="AR270">
        <f>IF(OR($X270="",$T270&gt;60),"",IFERROR(INDEX(IF($T270&lt;24,pcomp_l,palt_l),MATCH($X270,IF($T270&lt;24,pcomp_k,palt_k),1)),""))</f>
        <v/>
      </c>
      <c r="AS270">
        <f>IF(OR($X270="",$T270&gt;60),"",IFERROR(INDEX(IF($T270&lt;24,pcomp_m,palt_m),MATCH($X270,IF($T270&lt;24,pcomp_k,palt_k),1)),""))</f>
        <v/>
      </c>
      <c r="AT270">
        <f>IF(OR($X270="",$T270&gt;60),"",IFERROR(INDEX(IF($T270&lt;24,pcomp_s,palt_s),MATCH($X270,IF($T270&lt;24,pcomp_k,palt_k),1)),""))</f>
        <v/>
      </c>
      <c r="AU270">
        <f>IF($AR270="","",IF($AR270=0,LN($F270/$AS270)/$AT270,((($F270/$AS270)^$AR270)-1)/($AR270*$AT270)))</f>
        <v/>
      </c>
      <c r="AV270">
        <f>IF($AR270="","",IF($AR270=0,$AS270*EXP($AT270*2),$AS270*(1+$AR270*$AT270*2)^(1/$AR270)))</f>
        <v/>
      </c>
      <c r="AW270">
        <f>IF($AR270="","",IF($AR270=0,$AS270*EXP($AT270*3),$AS270*(1+$AR270*$AT270*3)^(1/$AR270)))</f>
        <v/>
      </c>
      <c r="AX270">
        <f>IF($AR270="","",IF($AR270=0,$AS270*EXP($AT270*-2),$AS270*(1+$AR270*$AT270*-2)^(1/$AR270)))</f>
        <v/>
      </c>
      <c r="AY270">
        <f>IF($AR270="","",IF($AR270=0,$AS270*EXP($AT270*-3),$AS270*(1+$AR270*$AT270*-3)^(1/$AR270)))</f>
        <v/>
      </c>
      <c r="AZ270">
        <f>IF(OR($A270="",$A270&lt;&gt;Ficha!$C$4),"",COUNTIF($A$2:$A270,Ficha!$C$4))</f>
        <v/>
      </c>
    </row>
    <row r="271">
      <c r="A271" s="8">
        <f>IF(INDEX(Banco!$A:$A,ROW())="","",INDEX(Banco!$A:$A,ROW()))</f>
        <v/>
      </c>
      <c r="B271" s="8">
        <f>IF(INDEX(Banco!$B:$B,ROW())="","",INDEX(Banco!$B:$B,ROW()))</f>
        <v/>
      </c>
      <c r="C271" s="8">
        <f>IF(INDEX(Banco!$C:$C,ROW())="","",INDEX(Banco!$C:$C,ROW()))</f>
        <v/>
      </c>
      <c r="D271" s="9">
        <f>IF(INDEX(Banco!$D:$D,ROW())="","",INDEX(Banco!$D:$D,ROW()))</f>
        <v/>
      </c>
      <c r="E271" s="9">
        <f>IF(INDEX(Banco!$E:$E,ROW())="","",INDEX(Banco!$E:$E,ROW()))</f>
        <v/>
      </c>
      <c r="F271" s="10">
        <f>IF(INDEX(Banco!$F:$F,ROW())="","",INDEX(Banco!$F:$F,ROW()))</f>
        <v/>
      </c>
      <c r="G271" s="10">
        <f>IF(INDEX(Banco!$G:$G,ROW())="","",INDEX(Banco!$G:$G,ROW()))</f>
        <v/>
      </c>
      <c r="H271" s="8">
        <f>IF(INDEX(Banco!$H:$H,ROW())="","",INDEX(Banco!$H:$H,ROW()))</f>
        <v/>
      </c>
      <c r="I271">
        <f>IF($T271="","",INT($T271/12)&amp;"a "&amp;MOD($T271,12)&amp;"m")</f>
        <v/>
      </c>
      <c r="J271" s="11">
        <f>IF(OR($F271="",$G271=""),"",ROUND($F271/($G271/100)^2,2))</f>
        <v/>
      </c>
      <c r="K271" s="12">
        <f>IF(OR($S271="",$J271="",$T271="",$T271&lt;0,$T271&gt;228,$Y271=""),"—",ROUND(IF(ABS($AB271)&lt;=3,$AB271,IF($AB271&gt;3,3+($J271-$AD271)/($AD271-$AC271),-3+($J271-$AF271)/($AE271-$AF271))),2))</f>
        <v/>
      </c>
      <c r="L271">
        <f>IF(OR($K271="",$K271="—"),"",IF($T271&lt;=60,IF($K271&lt;-3,"Magreza acentuada",IF($K271&lt;-2,"Magreza",IF($K271&lt;=1,"Eutrofia",IF($K271&lt;=2,"Risco de sobrepeso",IF($K271&lt;=3,"Sobrepeso","Obesidade"))))),IF($K271&lt;-3,"Magreza acentuada",IF($K271&lt;-2,"Magreza",IF($K271&lt;=1,"Eutrofia",IF($K271&lt;=2,"Sobrepeso",IF($K271&lt;=3,"Obesidade","Obesidade grave")))))))</f>
        <v/>
      </c>
      <c r="M271" s="12">
        <f>IF(OR($S271="",$V271="",$T271="",$T271&lt;0,$T271&gt;228,$AG271=""),"—",ROUND(IF($AG271=0,LN($V271/$AH271)/$AI271,((($V271/$AH271)^$AG271)-1)/($AG271*$AI271)),2))</f>
        <v/>
      </c>
      <c r="N271">
        <f>IF(OR($M271="",$M271="—"),"",IF($M271&lt;-3,"Muito baixa",IF($M271&lt;-2,"Baixa","Adequada")))</f>
        <v/>
      </c>
      <c r="O271" s="12">
        <f>IF(OR($S271="",$F271="",$T271="",$T271&lt;0,$T271&gt;120,$AJ271=""),"—",ROUND(IF(ABS($AM271)&lt;=3,$AM271,IF($AM271&gt;3,3+($F271-$AO271)/($AO271-$AN271),-3+($F271-$AQ271)/($AP271-$AQ271))),2))</f>
        <v/>
      </c>
      <c r="P271">
        <f>IF(OR($O271="",$O271="—"),"",IF($O271&lt;-3,"Muito baixo",IF($O271&lt;-2,"Baixo",IF($O271&lt;=2,"Adequado","Elevado"))))</f>
        <v/>
      </c>
      <c r="Q271" s="12">
        <f>IF(OR($S271="",$F271="",$T271="",$T271&lt;0,$T271&gt;60,$AR271=""),"—",ROUND(IF(ABS($AU271)&lt;=3,$AU271,IF($AU271&gt;3,3+($F271-$AW271)/($AW271-$AV271),-3+($F271-$AY271)/($AX271-$AY271))),2))</f>
        <v/>
      </c>
      <c r="R271">
        <f>IF(OR($Q271="",$Q271="—"),"",IF($Q271&lt;-3,"Magreza acentuada",IF($Q271&lt;-2,"Magreza",IF($Q271&lt;=1,"Eutrofia",IF($Q271&lt;=2,"Risco de sobrepeso",IF($Q271&lt;=3,"Sobrepeso","Obesidade"))))))</f>
        <v/>
      </c>
      <c r="S271">
        <f>IF($C271="","",IF(UPPER(LEFT($C271,1))="M",1,IF(UPPER(LEFT($C271,1))="F",2,"")))</f>
        <v/>
      </c>
      <c r="T271">
        <f>IF(OR($D271="",$E271=""),"",DATEDIF($D271,$E271,"m"))</f>
        <v/>
      </c>
      <c r="U271">
        <f>IF(OR($D271="",$E271=""),"",$E271-$D271)</f>
        <v/>
      </c>
      <c r="V271">
        <f>IF(OR($G271="",$T271=""),"",IF($T271&lt;24,IF(LEFT(LOWER($H271),4)="em p",$G271+0.7,$G271),IF(LEFT(LOWER($H271),4)="deit",$G271-0.7,$G271)))</f>
        <v/>
      </c>
      <c r="W271">
        <f>IF(OR($S271="",$T271=""),"",$S271*1000000+IF($T271&lt;=60,$U271,$T271))</f>
        <v/>
      </c>
      <c r="X271">
        <f>IF(OR($S271="",$V271="",$T271&gt;60,$T271=""),"",$S271*1000000+ROUND($V271*10,0))</f>
        <v/>
      </c>
      <c r="Y271">
        <f>IF($W271="","",IFERROR(INDEX(IF($T271&lt;=60,imc05_l,imc519_l),MATCH($W271,IF($T271&lt;=60,imc05_k,imc519_k),1)),""))</f>
        <v/>
      </c>
      <c r="Z271">
        <f>IF($W271="","",IFERROR(INDEX(IF($T271&lt;=60,imc05_m,imc519_m),MATCH($W271,IF($T271&lt;=60,imc05_k,imc519_k),1)),""))</f>
        <v/>
      </c>
      <c r="AA271">
        <f>IF($W271="","",IFERROR(INDEX(IF($T271&lt;=60,imc05_s,imc519_s),MATCH($W271,IF($T271&lt;=60,imc05_k,imc519_k),1)),""))</f>
        <v/>
      </c>
      <c r="AB271">
        <f>IF($Y271="","",IF($Y271=0,LN($J271/$Z271)/$AA271,((($J271/$Z271)^$Y271)-1)/($Y271*$AA271)))</f>
        <v/>
      </c>
      <c r="AC271">
        <f>IF($Y271="","",IF($Y271=0,$Z271*EXP($AA271*2),$Z271*(1+$Y271*$AA271*2)^(1/$Y271)))</f>
        <v/>
      </c>
      <c r="AD271">
        <f>IF($Y271="","",IF($Y271=0,$Z271*EXP($AA271*3),$Z271*(1+$Y271*$AA271*3)^(1/$Y271)))</f>
        <v/>
      </c>
      <c r="AE271">
        <f>IF($Y271="","",IF($Y271=0,$Z271*EXP($AA271*-2),$Z271*(1+$Y271*$AA271*-2)^(1/$Y271)))</f>
        <v/>
      </c>
      <c r="AF271">
        <f>IF($Y271="","",IF($Y271=0,$Z271*EXP($AA271*-3),$Z271*(1+$Y271*$AA271*-3)^(1/$Y271)))</f>
        <v/>
      </c>
      <c r="AG271">
        <f>IF($W271="","",IFERROR(INDEX(IF($T271&lt;=60,est05_l,est519_l),MATCH($W271,IF($T271&lt;=60,est05_k,est519_k),1)),""))</f>
        <v/>
      </c>
      <c r="AH271">
        <f>IF($W271="","",IFERROR(INDEX(IF($T271&lt;=60,est05_m,est519_m),MATCH($W271,IF($T271&lt;=60,est05_k,est519_k),1)),""))</f>
        <v/>
      </c>
      <c r="AI271">
        <f>IF($W271="","",IFERROR(INDEX(IF($T271&lt;=60,est05_s,est519_s),MATCH($W271,IF($T271&lt;=60,est05_k,est519_k),1)),""))</f>
        <v/>
      </c>
      <c r="AJ271">
        <f>IF($W271="","",IFERROR(INDEX(IF($T271&lt;=60,peso05_l,peso510_l),MATCH($W271,IF($T271&lt;=60,peso05_k,peso510_k),1)),""))</f>
        <v/>
      </c>
      <c r="AK271">
        <f>IF($W271="","",IFERROR(INDEX(IF($T271&lt;=60,peso05_m,peso510_m),MATCH($W271,IF($T271&lt;=60,peso05_k,peso510_k),1)),""))</f>
        <v/>
      </c>
      <c r="AL271">
        <f>IF($W271="","",IFERROR(INDEX(IF($T271&lt;=60,peso05_s,peso510_s),MATCH($W271,IF($T271&lt;=60,peso05_k,peso510_k),1)),""))</f>
        <v/>
      </c>
      <c r="AM271">
        <f>IF($AJ271="","",IF($AJ271=0,LN($F271/$AK271)/$AL271,((($F271/$AK271)^$AJ271)-1)/($AJ271*$AL271)))</f>
        <v/>
      </c>
      <c r="AN271">
        <f>IF($AJ271="","",IF($AJ271=0,$AK271*EXP($AL271*2),$AK271*(1+$AJ271*$AL271*2)^(1/$AJ271)))</f>
        <v/>
      </c>
      <c r="AO271">
        <f>IF($AJ271="","",IF($AJ271=0,$AK271*EXP($AL271*3),$AK271*(1+$AJ271*$AL271*3)^(1/$AJ271)))</f>
        <v/>
      </c>
      <c r="AP271">
        <f>IF($AJ271="","",IF($AJ271=0,$AK271*EXP($AL271*-2),$AK271*(1+$AJ271*$AL271*-2)^(1/$AJ271)))</f>
        <v/>
      </c>
      <c r="AQ271">
        <f>IF($AJ271="","",IF($AJ271=0,$AK271*EXP($AL271*-3),$AK271*(1+$AJ271*$AL271*-3)^(1/$AJ271)))</f>
        <v/>
      </c>
      <c r="AR271">
        <f>IF(OR($X271="",$T271&gt;60),"",IFERROR(INDEX(IF($T271&lt;24,pcomp_l,palt_l),MATCH($X271,IF($T271&lt;24,pcomp_k,palt_k),1)),""))</f>
        <v/>
      </c>
      <c r="AS271">
        <f>IF(OR($X271="",$T271&gt;60),"",IFERROR(INDEX(IF($T271&lt;24,pcomp_m,palt_m),MATCH($X271,IF($T271&lt;24,pcomp_k,palt_k),1)),""))</f>
        <v/>
      </c>
      <c r="AT271">
        <f>IF(OR($X271="",$T271&gt;60),"",IFERROR(INDEX(IF($T271&lt;24,pcomp_s,palt_s),MATCH($X271,IF($T271&lt;24,pcomp_k,palt_k),1)),""))</f>
        <v/>
      </c>
      <c r="AU271">
        <f>IF($AR271="","",IF($AR271=0,LN($F271/$AS271)/$AT271,((($F271/$AS271)^$AR271)-1)/($AR271*$AT271)))</f>
        <v/>
      </c>
      <c r="AV271">
        <f>IF($AR271="","",IF($AR271=0,$AS271*EXP($AT271*2),$AS271*(1+$AR271*$AT271*2)^(1/$AR271)))</f>
        <v/>
      </c>
      <c r="AW271">
        <f>IF($AR271="","",IF($AR271=0,$AS271*EXP($AT271*3),$AS271*(1+$AR271*$AT271*3)^(1/$AR271)))</f>
        <v/>
      </c>
      <c r="AX271">
        <f>IF($AR271="","",IF($AR271=0,$AS271*EXP($AT271*-2),$AS271*(1+$AR271*$AT271*-2)^(1/$AR271)))</f>
        <v/>
      </c>
      <c r="AY271">
        <f>IF($AR271="","",IF($AR271=0,$AS271*EXP($AT271*-3),$AS271*(1+$AR271*$AT271*-3)^(1/$AR271)))</f>
        <v/>
      </c>
      <c r="AZ271">
        <f>IF(OR($A271="",$A271&lt;&gt;Ficha!$C$4),"",COUNTIF($A$2:$A271,Ficha!$C$4))</f>
        <v/>
      </c>
    </row>
    <row r="272">
      <c r="A272" s="8">
        <f>IF(INDEX(Banco!$A:$A,ROW())="","",INDEX(Banco!$A:$A,ROW()))</f>
        <v/>
      </c>
      <c r="B272" s="8">
        <f>IF(INDEX(Banco!$B:$B,ROW())="","",INDEX(Banco!$B:$B,ROW()))</f>
        <v/>
      </c>
      <c r="C272" s="8">
        <f>IF(INDEX(Banco!$C:$C,ROW())="","",INDEX(Banco!$C:$C,ROW()))</f>
        <v/>
      </c>
      <c r="D272" s="9">
        <f>IF(INDEX(Banco!$D:$D,ROW())="","",INDEX(Banco!$D:$D,ROW()))</f>
        <v/>
      </c>
      <c r="E272" s="9">
        <f>IF(INDEX(Banco!$E:$E,ROW())="","",INDEX(Banco!$E:$E,ROW()))</f>
        <v/>
      </c>
      <c r="F272" s="10">
        <f>IF(INDEX(Banco!$F:$F,ROW())="","",INDEX(Banco!$F:$F,ROW()))</f>
        <v/>
      </c>
      <c r="G272" s="10">
        <f>IF(INDEX(Banco!$G:$G,ROW())="","",INDEX(Banco!$G:$G,ROW()))</f>
        <v/>
      </c>
      <c r="H272" s="8">
        <f>IF(INDEX(Banco!$H:$H,ROW())="","",INDEX(Banco!$H:$H,ROW()))</f>
        <v/>
      </c>
      <c r="I272">
        <f>IF($T272="","",INT($T272/12)&amp;"a "&amp;MOD($T272,12)&amp;"m")</f>
        <v/>
      </c>
      <c r="J272" s="11">
        <f>IF(OR($F272="",$G272=""),"",ROUND($F272/($G272/100)^2,2))</f>
        <v/>
      </c>
      <c r="K272" s="12">
        <f>IF(OR($S272="",$J272="",$T272="",$T272&lt;0,$T272&gt;228,$Y272=""),"—",ROUND(IF(ABS($AB272)&lt;=3,$AB272,IF($AB272&gt;3,3+($J272-$AD272)/($AD272-$AC272),-3+($J272-$AF272)/($AE272-$AF272))),2))</f>
        <v/>
      </c>
      <c r="L272">
        <f>IF(OR($K272="",$K272="—"),"",IF($T272&lt;=60,IF($K272&lt;-3,"Magreza acentuada",IF($K272&lt;-2,"Magreza",IF($K272&lt;=1,"Eutrofia",IF($K272&lt;=2,"Risco de sobrepeso",IF($K272&lt;=3,"Sobrepeso","Obesidade"))))),IF($K272&lt;-3,"Magreza acentuada",IF($K272&lt;-2,"Magreza",IF($K272&lt;=1,"Eutrofia",IF($K272&lt;=2,"Sobrepeso",IF($K272&lt;=3,"Obesidade","Obesidade grave")))))))</f>
        <v/>
      </c>
      <c r="M272" s="12">
        <f>IF(OR($S272="",$V272="",$T272="",$T272&lt;0,$T272&gt;228,$AG272=""),"—",ROUND(IF($AG272=0,LN($V272/$AH272)/$AI272,((($V272/$AH272)^$AG272)-1)/($AG272*$AI272)),2))</f>
        <v/>
      </c>
      <c r="N272">
        <f>IF(OR($M272="",$M272="—"),"",IF($M272&lt;-3,"Muito baixa",IF($M272&lt;-2,"Baixa","Adequada")))</f>
        <v/>
      </c>
      <c r="O272" s="12">
        <f>IF(OR($S272="",$F272="",$T272="",$T272&lt;0,$T272&gt;120,$AJ272=""),"—",ROUND(IF(ABS($AM272)&lt;=3,$AM272,IF($AM272&gt;3,3+($F272-$AO272)/($AO272-$AN272),-3+($F272-$AQ272)/($AP272-$AQ272))),2))</f>
        <v/>
      </c>
      <c r="P272">
        <f>IF(OR($O272="",$O272="—"),"",IF($O272&lt;-3,"Muito baixo",IF($O272&lt;-2,"Baixo",IF($O272&lt;=2,"Adequado","Elevado"))))</f>
        <v/>
      </c>
      <c r="Q272" s="12">
        <f>IF(OR($S272="",$F272="",$T272="",$T272&lt;0,$T272&gt;60,$AR272=""),"—",ROUND(IF(ABS($AU272)&lt;=3,$AU272,IF($AU272&gt;3,3+($F272-$AW272)/($AW272-$AV272),-3+($F272-$AY272)/($AX272-$AY272))),2))</f>
        <v/>
      </c>
      <c r="R272">
        <f>IF(OR($Q272="",$Q272="—"),"",IF($Q272&lt;-3,"Magreza acentuada",IF($Q272&lt;-2,"Magreza",IF($Q272&lt;=1,"Eutrofia",IF($Q272&lt;=2,"Risco de sobrepeso",IF($Q272&lt;=3,"Sobrepeso","Obesidade"))))))</f>
        <v/>
      </c>
      <c r="S272">
        <f>IF($C272="","",IF(UPPER(LEFT($C272,1))="M",1,IF(UPPER(LEFT($C272,1))="F",2,"")))</f>
        <v/>
      </c>
      <c r="T272">
        <f>IF(OR($D272="",$E272=""),"",DATEDIF($D272,$E272,"m"))</f>
        <v/>
      </c>
      <c r="U272">
        <f>IF(OR($D272="",$E272=""),"",$E272-$D272)</f>
        <v/>
      </c>
      <c r="V272">
        <f>IF(OR($G272="",$T272=""),"",IF($T272&lt;24,IF(LEFT(LOWER($H272),4)="em p",$G272+0.7,$G272),IF(LEFT(LOWER($H272),4)="deit",$G272-0.7,$G272)))</f>
        <v/>
      </c>
      <c r="W272">
        <f>IF(OR($S272="",$T272=""),"",$S272*1000000+IF($T272&lt;=60,$U272,$T272))</f>
        <v/>
      </c>
      <c r="X272">
        <f>IF(OR($S272="",$V272="",$T272&gt;60,$T272=""),"",$S272*1000000+ROUND($V272*10,0))</f>
        <v/>
      </c>
      <c r="Y272">
        <f>IF($W272="","",IFERROR(INDEX(IF($T272&lt;=60,imc05_l,imc519_l),MATCH($W272,IF($T272&lt;=60,imc05_k,imc519_k),1)),""))</f>
        <v/>
      </c>
      <c r="Z272">
        <f>IF($W272="","",IFERROR(INDEX(IF($T272&lt;=60,imc05_m,imc519_m),MATCH($W272,IF($T272&lt;=60,imc05_k,imc519_k),1)),""))</f>
        <v/>
      </c>
      <c r="AA272">
        <f>IF($W272="","",IFERROR(INDEX(IF($T272&lt;=60,imc05_s,imc519_s),MATCH($W272,IF($T272&lt;=60,imc05_k,imc519_k),1)),""))</f>
        <v/>
      </c>
      <c r="AB272">
        <f>IF($Y272="","",IF($Y272=0,LN($J272/$Z272)/$AA272,((($J272/$Z272)^$Y272)-1)/($Y272*$AA272)))</f>
        <v/>
      </c>
      <c r="AC272">
        <f>IF($Y272="","",IF($Y272=0,$Z272*EXP($AA272*2),$Z272*(1+$Y272*$AA272*2)^(1/$Y272)))</f>
        <v/>
      </c>
      <c r="AD272">
        <f>IF($Y272="","",IF($Y272=0,$Z272*EXP($AA272*3),$Z272*(1+$Y272*$AA272*3)^(1/$Y272)))</f>
        <v/>
      </c>
      <c r="AE272">
        <f>IF($Y272="","",IF($Y272=0,$Z272*EXP($AA272*-2),$Z272*(1+$Y272*$AA272*-2)^(1/$Y272)))</f>
        <v/>
      </c>
      <c r="AF272">
        <f>IF($Y272="","",IF($Y272=0,$Z272*EXP($AA272*-3),$Z272*(1+$Y272*$AA272*-3)^(1/$Y272)))</f>
        <v/>
      </c>
      <c r="AG272">
        <f>IF($W272="","",IFERROR(INDEX(IF($T272&lt;=60,est05_l,est519_l),MATCH($W272,IF($T272&lt;=60,est05_k,est519_k),1)),""))</f>
        <v/>
      </c>
      <c r="AH272">
        <f>IF($W272="","",IFERROR(INDEX(IF($T272&lt;=60,est05_m,est519_m),MATCH($W272,IF($T272&lt;=60,est05_k,est519_k),1)),""))</f>
        <v/>
      </c>
      <c r="AI272">
        <f>IF($W272="","",IFERROR(INDEX(IF($T272&lt;=60,est05_s,est519_s),MATCH($W272,IF($T272&lt;=60,est05_k,est519_k),1)),""))</f>
        <v/>
      </c>
      <c r="AJ272">
        <f>IF($W272="","",IFERROR(INDEX(IF($T272&lt;=60,peso05_l,peso510_l),MATCH($W272,IF($T272&lt;=60,peso05_k,peso510_k),1)),""))</f>
        <v/>
      </c>
      <c r="AK272">
        <f>IF($W272="","",IFERROR(INDEX(IF($T272&lt;=60,peso05_m,peso510_m),MATCH($W272,IF($T272&lt;=60,peso05_k,peso510_k),1)),""))</f>
        <v/>
      </c>
      <c r="AL272">
        <f>IF($W272="","",IFERROR(INDEX(IF($T272&lt;=60,peso05_s,peso510_s),MATCH($W272,IF($T272&lt;=60,peso05_k,peso510_k),1)),""))</f>
        <v/>
      </c>
      <c r="AM272">
        <f>IF($AJ272="","",IF($AJ272=0,LN($F272/$AK272)/$AL272,((($F272/$AK272)^$AJ272)-1)/($AJ272*$AL272)))</f>
        <v/>
      </c>
      <c r="AN272">
        <f>IF($AJ272="","",IF($AJ272=0,$AK272*EXP($AL272*2),$AK272*(1+$AJ272*$AL272*2)^(1/$AJ272)))</f>
        <v/>
      </c>
      <c r="AO272">
        <f>IF($AJ272="","",IF($AJ272=0,$AK272*EXP($AL272*3),$AK272*(1+$AJ272*$AL272*3)^(1/$AJ272)))</f>
        <v/>
      </c>
      <c r="AP272">
        <f>IF($AJ272="","",IF($AJ272=0,$AK272*EXP($AL272*-2),$AK272*(1+$AJ272*$AL272*-2)^(1/$AJ272)))</f>
        <v/>
      </c>
      <c r="AQ272">
        <f>IF($AJ272="","",IF($AJ272=0,$AK272*EXP($AL272*-3),$AK272*(1+$AJ272*$AL272*-3)^(1/$AJ272)))</f>
        <v/>
      </c>
      <c r="AR272">
        <f>IF(OR($X272="",$T272&gt;60),"",IFERROR(INDEX(IF($T272&lt;24,pcomp_l,palt_l),MATCH($X272,IF($T272&lt;24,pcomp_k,palt_k),1)),""))</f>
        <v/>
      </c>
      <c r="AS272">
        <f>IF(OR($X272="",$T272&gt;60),"",IFERROR(INDEX(IF($T272&lt;24,pcomp_m,palt_m),MATCH($X272,IF($T272&lt;24,pcomp_k,palt_k),1)),""))</f>
        <v/>
      </c>
      <c r="AT272">
        <f>IF(OR($X272="",$T272&gt;60),"",IFERROR(INDEX(IF($T272&lt;24,pcomp_s,palt_s),MATCH($X272,IF($T272&lt;24,pcomp_k,palt_k),1)),""))</f>
        <v/>
      </c>
      <c r="AU272">
        <f>IF($AR272="","",IF($AR272=0,LN($F272/$AS272)/$AT272,((($F272/$AS272)^$AR272)-1)/($AR272*$AT272)))</f>
        <v/>
      </c>
      <c r="AV272">
        <f>IF($AR272="","",IF($AR272=0,$AS272*EXP($AT272*2),$AS272*(1+$AR272*$AT272*2)^(1/$AR272)))</f>
        <v/>
      </c>
      <c r="AW272">
        <f>IF($AR272="","",IF($AR272=0,$AS272*EXP($AT272*3),$AS272*(1+$AR272*$AT272*3)^(1/$AR272)))</f>
        <v/>
      </c>
      <c r="AX272">
        <f>IF($AR272="","",IF($AR272=0,$AS272*EXP($AT272*-2),$AS272*(1+$AR272*$AT272*-2)^(1/$AR272)))</f>
        <v/>
      </c>
      <c r="AY272">
        <f>IF($AR272="","",IF($AR272=0,$AS272*EXP($AT272*-3),$AS272*(1+$AR272*$AT272*-3)^(1/$AR272)))</f>
        <v/>
      </c>
      <c r="AZ272">
        <f>IF(OR($A272="",$A272&lt;&gt;Ficha!$C$4),"",COUNTIF($A$2:$A272,Ficha!$C$4))</f>
        <v/>
      </c>
    </row>
    <row r="273">
      <c r="A273" s="8">
        <f>IF(INDEX(Banco!$A:$A,ROW())="","",INDEX(Banco!$A:$A,ROW()))</f>
        <v/>
      </c>
      <c r="B273" s="8">
        <f>IF(INDEX(Banco!$B:$B,ROW())="","",INDEX(Banco!$B:$B,ROW()))</f>
        <v/>
      </c>
      <c r="C273" s="8">
        <f>IF(INDEX(Banco!$C:$C,ROW())="","",INDEX(Banco!$C:$C,ROW()))</f>
        <v/>
      </c>
      <c r="D273" s="9">
        <f>IF(INDEX(Banco!$D:$D,ROW())="","",INDEX(Banco!$D:$D,ROW()))</f>
        <v/>
      </c>
      <c r="E273" s="9">
        <f>IF(INDEX(Banco!$E:$E,ROW())="","",INDEX(Banco!$E:$E,ROW()))</f>
        <v/>
      </c>
      <c r="F273" s="10">
        <f>IF(INDEX(Banco!$F:$F,ROW())="","",INDEX(Banco!$F:$F,ROW()))</f>
        <v/>
      </c>
      <c r="G273" s="10">
        <f>IF(INDEX(Banco!$G:$G,ROW())="","",INDEX(Banco!$G:$G,ROW()))</f>
        <v/>
      </c>
      <c r="H273" s="8">
        <f>IF(INDEX(Banco!$H:$H,ROW())="","",INDEX(Banco!$H:$H,ROW()))</f>
        <v/>
      </c>
      <c r="I273">
        <f>IF($T273="","",INT($T273/12)&amp;"a "&amp;MOD($T273,12)&amp;"m")</f>
        <v/>
      </c>
      <c r="J273" s="11">
        <f>IF(OR($F273="",$G273=""),"",ROUND($F273/($G273/100)^2,2))</f>
        <v/>
      </c>
      <c r="K273" s="12">
        <f>IF(OR($S273="",$J273="",$T273="",$T273&lt;0,$T273&gt;228,$Y273=""),"—",ROUND(IF(ABS($AB273)&lt;=3,$AB273,IF($AB273&gt;3,3+($J273-$AD273)/($AD273-$AC273),-3+($J273-$AF273)/($AE273-$AF273))),2))</f>
        <v/>
      </c>
      <c r="L273">
        <f>IF(OR($K273="",$K273="—"),"",IF($T273&lt;=60,IF($K273&lt;-3,"Magreza acentuada",IF($K273&lt;-2,"Magreza",IF($K273&lt;=1,"Eutrofia",IF($K273&lt;=2,"Risco de sobrepeso",IF($K273&lt;=3,"Sobrepeso","Obesidade"))))),IF($K273&lt;-3,"Magreza acentuada",IF($K273&lt;-2,"Magreza",IF($K273&lt;=1,"Eutrofia",IF($K273&lt;=2,"Sobrepeso",IF($K273&lt;=3,"Obesidade","Obesidade grave")))))))</f>
        <v/>
      </c>
      <c r="M273" s="12">
        <f>IF(OR($S273="",$V273="",$T273="",$T273&lt;0,$T273&gt;228,$AG273=""),"—",ROUND(IF($AG273=0,LN($V273/$AH273)/$AI273,((($V273/$AH273)^$AG273)-1)/($AG273*$AI273)),2))</f>
        <v/>
      </c>
      <c r="N273">
        <f>IF(OR($M273="",$M273="—"),"",IF($M273&lt;-3,"Muito baixa",IF($M273&lt;-2,"Baixa","Adequada")))</f>
        <v/>
      </c>
      <c r="O273" s="12">
        <f>IF(OR($S273="",$F273="",$T273="",$T273&lt;0,$T273&gt;120,$AJ273=""),"—",ROUND(IF(ABS($AM273)&lt;=3,$AM273,IF($AM273&gt;3,3+($F273-$AO273)/($AO273-$AN273),-3+($F273-$AQ273)/($AP273-$AQ273))),2))</f>
        <v/>
      </c>
      <c r="P273">
        <f>IF(OR($O273="",$O273="—"),"",IF($O273&lt;-3,"Muito baixo",IF($O273&lt;-2,"Baixo",IF($O273&lt;=2,"Adequado","Elevado"))))</f>
        <v/>
      </c>
      <c r="Q273" s="12">
        <f>IF(OR($S273="",$F273="",$T273="",$T273&lt;0,$T273&gt;60,$AR273=""),"—",ROUND(IF(ABS($AU273)&lt;=3,$AU273,IF($AU273&gt;3,3+($F273-$AW273)/($AW273-$AV273),-3+($F273-$AY273)/($AX273-$AY273))),2))</f>
        <v/>
      </c>
      <c r="R273">
        <f>IF(OR($Q273="",$Q273="—"),"",IF($Q273&lt;-3,"Magreza acentuada",IF($Q273&lt;-2,"Magreza",IF($Q273&lt;=1,"Eutrofia",IF($Q273&lt;=2,"Risco de sobrepeso",IF($Q273&lt;=3,"Sobrepeso","Obesidade"))))))</f>
        <v/>
      </c>
      <c r="S273">
        <f>IF($C273="","",IF(UPPER(LEFT($C273,1))="M",1,IF(UPPER(LEFT($C273,1))="F",2,"")))</f>
        <v/>
      </c>
      <c r="T273">
        <f>IF(OR($D273="",$E273=""),"",DATEDIF($D273,$E273,"m"))</f>
        <v/>
      </c>
      <c r="U273">
        <f>IF(OR($D273="",$E273=""),"",$E273-$D273)</f>
        <v/>
      </c>
      <c r="V273">
        <f>IF(OR($G273="",$T273=""),"",IF($T273&lt;24,IF(LEFT(LOWER($H273),4)="em p",$G273+0.7,$G273),IF(LEFT(LOWER($H273),4)="deit",$G273-0.7,$G273)))</f>
        <v/>
      </c>
      <c r="W273">
        <f>IF(OR($S273="",$T273=""),"",$S273*1000000+IF($T273&lt;=60,$U273,$T273))</f>
        <v/>
      </c>
      <c r="X273">
        <f>IF(OR($S273="",$V273="",$T273&gt;60,$T273=""),"",$S273*1000000+ROUND($V273*10,0))</f>
        <v/>
      </c>
      <c r="Y273">
        <f>IF($W273="","",IFERROR(INDEX(IF($T273&lt;=60,imc05_l,imc519_l),MATCH($W273,IF($T273&lt;=60,imc05_k,imc519_k),1)),""))</f>
        <v/>
      </c>
      <c r="Z273">
        <f>IF($W273="","",IFERROR(INDEX(IF($T273&lt;=60,imc05_m,imc519_m),MATCH($W273,IF($T273&lt;=60,imc05_k,imc519_k),1)),""))</f>
        <v/>
      </c>
      <c r="AA273">
        <f>IF($W273="","",IFERROR(INDEX(IF($T273&lt;=60,imc05_s,imc519_s),MATCH($W273,IF($T273&lt;=60,imc05_k,imc519_k),1)),""))</f>
        <v/>
      </c>
      <c r="AB273">
        <f>IF($Y273="","",IF($Y273=0,LN($J273/$Z273)/$AA273,((($J273/$Z273)^$Y273)-1)/($Y273*$AA273)))</f>
        <v/>
      </c>
      <c r="AC273">
        <f>IF($Y273="","",IF($Y273=0,$Z273*EXP($AA273*2),$Z273*(1+$Y273*$AA273*2)^(1/$Y273)))</f>
        <v/>
      </c>
      <c r="AD273">
        <f>IF($Y273="","",IF($Y273=0,$Z273*EXP($AA273*3),$Z273*(1+$Y273*$AA273*3)^(1/$Y273)))</f>
        <v/>
      </c>
      <c r="AE273">
        <f>IF($Y273="","",IF($Y273=0,$Z273*EXP($AA273*-2),$Z273*(1+$Y273*$AA273*-2)^(1/$Y273)))</f>
        <v/>
      </c>
      <c r="AF273">
        <f>IF($Y273="","",IF($Y273=0,$Z273*EXP($AA273*-3),$Z273*(1+$Y273*$AA273*-3)^(1/$Y273)))</f>
        <v/>
      </c>
      <c r="AG273">
        <f>IF($W273="","",IFERROR(INDEX(IF($T273&lt;=60,est05_l,est519_l),MATCH($W273,IF($T273&lt;=60,est05_k,est519_k),1)),""))</f>
        <v/>
      </c>
      <c r="AH273">
        <f>IF($W273="","",IFERROR(INDEX(IF($T273&lt;=60,est05_m,est519_m),MATCH($W273,IF($T273&lt;=60,est05_k,est519_k),1)),""))</f>
        <v/>
      </c>
      <c r="AI273">
        <f>IF($W273="","",IFERROR(INDEX(IF($T273&lt;=60,est05_s,est519_s),MATCH($W273,IF($T273&lt;=60,est05_k,est519_k),1)),""))</f>
        <v/>
      </c>
      <c r="AJ273">
        <f>IF($W273="","",IFERROR(INDEX(IF($T273&lt;=60,peso05_l,peso510_l),MATCH($W273,IF($T273&lt;=60,peso05_k,peso510_k),1)),""))</f>
        <v/>
      </c>
      <c r="AK273">
        <f>IF($W273="","",IFERROR(INDEX(IF($T273&lt;=60,peso05_m,peso510_m),MATCH($W273,IF($T273&lt;=60,peso05_k,peso510_k),1)),""))</f>
        <v/>
      </c>
      <c r="AL273">
        <f>IF($W273="","",IFERROR(INDEX(IF($T273&lt;=60,peso05_s,peso510_s),MATCH($W273,IF($T273&lt;=60,peso05_k,peso510_k),1)),""))</f>
        <v/>
      </c>
      <c r="AM273">
        <f>IF($AJ273="","",IF($AJ273=0,LN($F273/$AK273)/$AL273,((($F273/$AK273)^$AJ273)-1)/($AJ273*$AL273)))</f>
        <v/>
      </c>
      <c r="AN273">
        <f>IF($AJ273="","",IF($AJ273=0,$AK273*EXP($AL273*2),$AK273*(1+$AJ273*$AL273*2)^(1/$AJ273)))</f>
        <v/>
      </c>
      <c r="AO273">
        <f>IF($AJ273="","",IF($AJ273=0,$AK273*EXP($AL273*3),$AK273*(1+$AJ273*$AL273*3)^(1/$AJ273)))</f>
        <v/>
      </c>
      <c r="AP273">
        <f>IF($AJ273="","",IF($AJ273=0,$AK273*EXP($AL273*-2),$AK273*(1+$AJ273*$AL273*-2)^(1/$AJ273)))</f>
        <v/>
      </c>
      <c r="AQ273">
        <f>IF($AJ273="","",IF($AJ273=0,$AK273*EXP($AL273*-3),$AK273*(1+$AJ273*$AL273*-3)^(1/$AJ273)))</f>
        <v/>
      </c>
      <c r="AR273">
        <f>IF(OR($X273="",$T273&gt;60),"",IFERROR(INDEX(IF($T273&lt;24,pcomp_l,palt_l),MATCH($X273,IF($T273&lt;24,pcomp_k,palt_k),1)),""))</f>
        <v/>
      </c>
      <c r="AS273">
        <f>IF(OR($X273="",$T273&gt;60),"",IFERROR(INDEX(IF($T273&lt;24,pcomp_m,palt_m),MATCH($X273,IF($T273&lt;24,pcomp_k,palt_k),1)),""))</f>
        <v/>
      </c>
      <c r="AT273">
        <f>IF(OR($X273="",$T273&gt;60),"",IFERROR(INDEX(IF($T273&lt;24,pcomp_s,palt_s),MATCH($X273,IF($T273&lt;24,pcomp_k,palt_k),1)),""))</f>
        <v/>
      </c>
      <c r="AU273">
        <f>IF($AR273="","",IF($AR273=0,LN($F273/$AS273)/$AT273,((($F273/$AS273)^$AR273)-1)/($AR273*$AT273)))</f>
        <v/>
      </c>
      <c r="AV273">
        <f>IF($AR273="","",IF($AR273=0,$AS273*EXP($AT273*2),$AS273*(1+$AR273*$AT273*2)^(1/$AR273)))</f>
        <v/>
      </c>
      <c r="AW273">
        <f>IF($AR273="","",IF($AR273=0,$AS273*EXP($AT273*3),$AS273*(1+$AR273*$AT273*3)^(1/$AR273)))</f>
        <v/>
      </c>
      <c r="AX273">
        <f>IF($AR273="","",IF($AR273=0,$AS273*EXP($AT273*-2),$AS273*(1+$AR273*$AT273*-2)^(1/$AR273)))</f>
        <v/>
      </c>
      <c r="AY273">
        <f>IF($AR273="","",IF($AR273=0,$AS273*EXP($AT273*-3),$AS273*(1+$AR273*$AT273*-3)^(1/$AR273)))</f>
        <v/>
      </c>
      <c r="AZ273">
        <f>IF(OR($A273="",$A273&lt;&gt;Ficha!$C$4),"",COUNTIF($A$2:$A273,Ficha!$C$4))</f>
        <v/>
      </c>
    </row>
    <row r="274">
      <c r="A274" s="8">
        <f>IF(INDEX(Banco!$A:$A,ROW())="","",INDEX(Banco!$A:$A,ROW()))</f>
        <v/>
      </c>
      <c r="B274" s="8">
        <f>IF(INDEX(Banco!$B:$B,ROW())="","",INDEX(Banco!$B:$B,ROW()))</f>
        <v/>
      </c>
      <c r="C274" s="8">
        <f>IF(INDEX(Banco!$C:$C,ROW())="","",INDEX(Banco!$C:$C,ROW()))</f>
        <v/>
      </c>
      <c r="D274" s="9">
        <f>IF(INDEX(Banco!$D:$D,ROW())="","",INDEX(Banco!$D:$D,ROW()))</f>
        <v/>
      </c>
      <c r="E274" s="9">
        <f>IF(INDEX(Banco!$E:$E,ROW())="","",INDEX(Banco!$E:$E,ROW()))</f>
        <v/>
      </c>
      <c r="F274" s="10">
        <f>IF(INDEX(Banco!$F:$F,ROW())="","",INDEX(Banco!$F:$F,ROW()))</f>
        <v/>
      </c>
      <c r="G274" s="10">
        <f>IF(INDEX(Banco!$G:$G,ROW())="","",INDEX(Banco!$G:$G,ROW()))</f>
        <v/>
      </c>
      <c r="H274" s="8">
        <f>IF(INDEX(Banco!$H:$H,ROW())="","",INDEX(Banco!$H:$H,ROW()))</f>
        <v/>
      </c>
      <c r="I274">
        <f>IF($T274="","",INT($T274/12)&amp;"a "&amp;MOD($T274,12)&amp;"m")</f>
        <v/>
      </c>
      <c r="J274" s="11">
        <f>IF(OR($F274="",$G274=""),"",ROUND($F274/($G274/100)^2,2))</f>
        <v/>
      </c>
      <c r="K274" s="12">
        <f>IF(OR($S274="",$J274="",$T274="",$T274&lt;0,$T274&gt;228,$Y274=""),"—",ROUND(IF(ABS($AB274)&lt;=3,$AB274,IF($AB274&gt;3,3+($J274-$AD274)/($AD274-$AC274),-3+($J274-$AF274)/($AE274-$AF274))),2))</f>
        <v/>
      </c>
      <c r="L274">
        <f>IF(OR($K274="",$K274="—"),"",IF($T274&lt;=60,IF($K274&lt;-3,"Magreza acentuada",IF($K274&lt;-2,"Magreza",IF($K274&lt;=1,"Eutrofia",IF($K274&lt;=2,"Risco de sobrepeso",IF($K274&lt;=3,"Sobrepeso","Obesidade"))))),IF($K274&lt;-3,"Magreza acentuada",IF($K274&lt;-2,"Magreza",IF($K274&lt;=1,"Eutrofia",IF($K274&lt;=2,"Sobrepeso",IF($K274&lt;=3,"Obesidade","Obesidade grave")))))))</f>
        <v/>
      </c>
      <c r="M274" s="12">
        <f>IF(OR($S274="",$V274="",$T274="",$T274&lt;0,$T274&gt;228,$AG274=""),"—",ROUND(IF($AG274=0,LN($V274/$AH274)/$AI274,((($V274/$AH274)^$AG274)-1)/($AG274*$AI274)),2))</f>
        <v/>
      </c>
      <c r="N274">
        <f>IF(OR($M274="",$M274="—"),"",IF($M274&lt;-3,"Muito baixa",IF($M274&lt;-2,"Baixa","Adequada")))</f>
        <v/>
      </c>
      <c r="O274" s="12">
        <f>IF(OR($S274="",$F274="",$T274="",$T274&lt;0,$T274&gt;120,$AJ274=""),"—",ROUND(IF(ABS($AM274)&lt;=3,$AM274,IF($AM274&gt;3,3+($F274-$AO274)/($AO274-$AN274),-3+($F274-$AQ274)/($AP274-$AQ274))),2))</f>
        <v/>
      </c>
      <c r="P274">
        <f>IF(OR($O274="",$O274="—"),"",IF($O274&lt;-3,"Muito baixo",IF($O274&lt;-2,"Baixo",IF($O274&lt;=2,"Adequado","Elevado"))))</f>
        <v/>
      </c>
      <c r="Q274" s="12">
        <f>IF(OR($S274="",$F274="",$T274="",$T274&lt;0,$T274&gt;60,$AR274=""),"—",ROUND(IF(ABS($AU274)&lt;=3,$AU274,IF($AU274&gt;3,3+($F274-$AW274)/($AW274-$AV274),-3+($F274-$AY274)/($AX274-$AY274))),2))</f>
        <v/>
      </c>
      <c r="R274">
        <f>IF(OR($Q274="",$Q274="—"),"",IF($Q274&lt;-3,"Magreza acentuada",IF($Q274&lt;-2,"Magreza",IF($Q274&lt;=1,"Eutrofia",IF($Q274&lt;=2,"Risco de sobrepeso",IF($Q274&lt;=3,"Sobrepeso","Obesidade"))))))</f>
        <v/>
      </c>
      <c r="S274">
        <f>IF($C274="","",IF(UPPER(LEFT($C274,1))="M",1,IF(UPPER(LEFT($C274,1))="F",2,"")))</f>
        <v/>
      </c>
      <c r="T274">
        <f>IF(OR($D274="",$E274=""),"",DATEDIF($D274,$E274,"m"))</f>
        <v/>
      </c>
      <c r="U274">
        <f>IF(OR($D274="",$E274=""),"",$E274-$D274)</f>
        <v/>
      </c>
      <c r="V274">
        <f>IF(OR($G274="",$T274=""),"",IF($T274&lt;24,IF(LEFT(LOWER($H274),4)="em p",$G274+0.7,$G274),IF(LEFT(LOWER($H274),4)="deit",$G274-0.7,$G274)))</f>
        <v/>
      </c>
      <c r="W274">
        <f>IF(OR($S274="",$T274=""),"",$S274*1000000+IF($T274&lt;=60,$U274,$T274))</f>
        <v/>
      </c>
      <c r="X274">
        <f>IF(OR($S274="",$V274="",$T274&gt;60,$T274=""),"",$S274*1000000+ROUND($V274*10,0))</f>
        <v/>
      </c>
      <c r="Y274">
        <f>IF($W274="","",IFERROR(INDEX(IF($T274&lt;=60,imc05_l,imc519_l),MATCH($W274,IF($T274&lt;=60,imc05_k,imc519_k),1)),""))</f>
        <v/>
      </c>
      <c r="Z274">
        <f>IF($W274="","",IFERROR(INDEX(IF($T274&lt;=60,imc05_m,imc519_m),MATCH($W274,IF($T274&lt;=60,imc05_k,imc519_k),1)),""))</f>
        <v/>
      </c>
      <c r="AA274">
        <f>IF($W274="","",IFERROR(INDEX(IF($T274&lt;=60,imc05_s,imc519_s),MATCH($W274,IF($T274&lt;=60,imc05_k,imc519_k),1)),""))</f>
        <v/>
      </c>
      <c r="AB274">
        <f>IF($Y274="","",IF($Y274=0,LN($J274/$Z274)/$AA274,((($J274/$Z274)^$Y274)-1)/($Y274*$AA274)))</f>
        <v/>
      </c>
      <c r="AC274">
        <f>IF($Y274="","",IF($Y274=0,$Z274*EXP($AA274*2),$Z274*(1+$Y274*$AA274*2)^(1/$Y274)))</f>
        <v/>
      </c>
      <c r="AD274">
        <f>IF($Y274="","",IF($Y274=0,$Z274*EXP($AA274*3),$Z274*(1+$Y274*$AA274*3)^(1/$Y274)))</f>
        <v/>
      </c>
      <c r="AE274">
        <f>IF($Y274="","",IF($Y274=0,$Z274*EXP($AA274*-2),$Z274*(1+$Y274*$AA274*-2)^(1/$Y274)))</f>
        <v/>
      </c>
      <c r="AF274">
        <f>IF($Y274="","",IF($Y274=0,$Z274*EXP($AA274*-3),$Z274*(1+$Y274*$AA274*-3)^(1/$Y274)))</f>
        <v/>
      </c>
      <c r="AG274">
        <f>IF($W274="","",IFERROR(INDEX(IF($T274&lt;=60,est05_l,est519_l),MATCH($W274,IF($T274&lt;=60,est05_k,est519_k),1)),""))</f>
        <v/>
      </c>
      <c r="AH274">
        <f>IF($W274="","",IFERROR(INDEX(IF($T274&lt;=60,est05_m,est519_m),MATCH($W274,IF($T274&lt;=60,est05_k,est519_k),1)),""))</f>
        <v/>
      </c>
      <c r="AI274">
        <f>IF($W274="","",IFERROR(INDEX(IF($T274&lt;=60,est05_s,est519_s),MATCH($W274,IF($T274&lt;=60,est05_k,est519_k),1)),""))</f>
        <v/>
      </c>
      <c r="AJ274">
        <f>IF($W274="","",IFERROR(INDEX(IF($T274&lt;=60,peso05_l,peso510_l),MATCH($W274,IF($T274&lt;=60,peso05_k,peso510_k),1)),""))</f>
        <v/>
      </c>
      <c r="AK274">
        <f>IF($W274="","",IFERROR(INDEX(IF($T274&lt;=60,peso05_m,peso510_m),MATCH($W274,IF($T274&lt;=60,peso05_k,peso510_k),1)),""))</f>
        <v/>
      </c>
      <c r="AL274">
        <f>IF($W274="","",IFERROR(INDEX(IF($T274&lt;=60,peso05_s,peso510_s),MATCH($W274,IF($T274&lt;=60,peso05_k,peso510_k),1)),""))</f>
        <v/>
      </c>
      <c r="AM274">
        <f>IF($AJ274="","",IF($AJ274=0,LN($F274/$AK274)/$AL274,((($F274/$AK274)^$AJ274)-1)/($AJ274*$AL274)))</f>
        <v/>
      </c>
      <c r="AN274">
        <f>IF($AJ274="","",IF($AJ274=0,$AK274*EXP($AL274*2),$AK274*(1+$AJ274*$AL274*2)^(1/$AJ274)))</f>
        <v/>
      </c>
      <c r="AO274">
        <f>IF($AJ274="","",IF($AJ274=0,$AK274*EXP($AL274*3),$AK274*(1+$AJ274*$AL274*3)^(1/$AJ274)))</f>
        <v/>
      </c>
      <c r="AP274">
        <f>IF($AJ274="","",IF($AJ274=0,$AK274*EXP($AL274*-2),$AK274*(1+$AJ274*$AL274*-2)^(1/$AJ274)))</f>
        <v/>
      </c>
      <c r="AQ274">
        <f>IF($AJ274="","",IF($AJ274=0,$AK274*EXP($AL274*-3),$AK274*(1+$AJ274*$AL274*-3)^(1/$AJ274)))</f>
        <v/>
      </c>
      <c r="AR274">
        <f>IF(OR($X274="",$T274&gt;60),"",IFERROR(INDEX(IF($T274&lt;24,pcomp_l,palt_l),MATCH($X274,IF($T274&lt;24,pcomp_k,palt_k),1)),""))</f>
        <v/>
      </c>
      <c r="AS274">
        <f>IF(OR($X274="",$T274&gt;60),"",IFERROR(INDEX(IF($T274&lt;24,pcomp_m,palt_m),MATCH($X274,IF($T274&lt;24,pcomp_k,palt_k),1)),""))</f>
        <v/>
      </c>
      <c r="AT274">
        <f>IF(OR($X274="",$T274&gt;60),"",IFERROR(INDEX(IF($T274&lt;24,pcomp_s,palt_s),MATCH($X274,IF($T274&lt;24,pcomp_k,palt_k),1)),""))</f>
        <v/>
      </c>
      <c r="AU274">
        <f>IF($AR274="","",IF($AR274=0,LN($F274/$AS274)/$AT274,((($F274/$AS274)^$AR274)-1)/($AR274*$AT274)))</f>
        <v/>
      </c>
      <c r="AV274">
        <f>IF($AR274="","",IF($AR274=0,$AS274*EXP($AT274*2),$AS274*(1+$AR274*$AT274*2)^(1/$AR274)))</f>
        <v/>
      </c>
      <c r="AW274">
        <f>IF($AR274="","",IF($AR274=0,$AS274*EXP($AT274*3),$AS274*(1+$AR274*$AT274*3)^(1/$AR274)))</f>
        <v/>
      </c>
      <c r="AX274">
        <f>IF($AR274="","",IF($AR274=0,$AS274*EXP($AT274*-2),$AS274*(1+$AR274*$AT274*-2)^(1/$AR274)))</f>
        <v/>
      </c>
      <c r="AY274">
        <f>IF($AR274="","",IF($AR274=0,$AS274*EXP($AT274*-3),$AS274*(1+$AR274*$AT274*-3)^(1/$AR274)))</f>
        <v/>
      </c>
      <c r="AZ274">
        <f>IF(OR($A274="",$A274&lt;&gt;Ficha!$C$4),"",COUNTIF($A$2:$A274,Ficha!$C$4))</f>
        <v/>
      </c>
    </row>
    <row r="275">
      <c r="A275" s="8">
        <f>IF(INDEX(Banco!$A:$A,ROW())="","",INDEX(Banco!$A:$A,ROW()))</f>
        <v/>
      </c>
      <c r="B275" s="8">
        <f>IF(INDEX(Banco!$B:$B,ROW())="","",INDEX(Banco!$B:$B,ROW()))</f>
        <v/>
      </c>
      <c r="C275" s="8">
        <f>IF(INDEX(Banco!$C:$C,ROW())="","",INDEX(Banco!$C:$C,ROW()))</f>
        <v/>
      </c>
      <c r="D275" s="9">
        <f>IF(INDEX(Banco!$D:$D,ROW())="","",INDEX(Banco!$D:$D,ROW()))</f>
        <v/>
      </c>
      <c r="E275" s="9">
        <f>IF(INDEX(Banco!$E:$E,ROW())="","",INDEX(Banco!$E:$E,ROW()))</f>
        <v/>
      </c>
      <c r="F275" s="10">
        <f>IF(INDEX(Banco!$F:$F,ROW())="","",INDEX(Banco!$F:$F,ROW()))</f>
        <v/>
      </c>
      <c r="G275" s="10">
        <f>IF(INDEX(Banco!$G:$G,ROW())="","",INDEX(Banco!$G:$G,ROW()))</f>
        <v/>
      </c>
      <c r="H275" s="8">
        <f>IF(INDEX(Banco!$H:$H,ROW())="","",INDEX(Banco!$H:$H,ROW()))</f>
        <v/>
      </c>
      <c r="I275">
        <f>IF($T275="","",INT($T275/12)&amp;"a "&amp;MOD($T275,12)&amp;"m")</f>
        <v/>
      </c>
      <c r="J275" s="11">
        <f>IF(OR($F275="",$G275=""),"",ROUND($F275/($G275/100)^2,2))</f>
        <v/>
      </c>
      <c r="K275" s="12">
        <f>IF(OR($S275="",$J275="",$T275="",$T275&lt;0,$T275&gt;228,$Y275=""),"—",ROUND(IF(ABS($AB275)&lt;=3,$AB275,IF($AB275&gt;3,3+($J275-$AD275)/($AD275-$AC275),-3+($J275-$AF275)/($AE275-$AF275))),2))</f>
        <v/>
      </c>
      <c r="L275">
        <f>IF(OR($K275="",$K275="—"),"",IF($T275&lt;=60,IF($K275&lt;-3,"Magreza acentuada",IF($K275&lt;-2,"Magreza",IF($K275&lt;=1,"Eutrofia",IF($K275&lt;=2,"Risco de sobrepeso",IF($K275&lt;=3,"Sobrepeso","Obesidade"))))),IF($K275&lt;-3,"Magreza acentuada",IF($K275&lt;-2,"Magreza",IF($K275&lt;=1,"Eutrofia",IF($K275&lt;=2,"Sobrepeso",IF($K275&lt;=3,"Obesidade","Obesidade grave")))))))</f>
        <v/>
      </c>
      <c r="M275" s="12">
        <f>IF(OR($S275="",$V275="",$T275="",$T275&lt;0,$T275&gt;228,$AG275=""),"—",ROUND(IF($AG275=0,LN($V275/$AH275)/$AI275,((($V275/$AH275)^$AG275)-1)/($AG275*$AI275)),2))</f>
        <v/>
      </c>
      <c r="N275">
        <f>IF(OR($M275="",$M275="—"),"",IF($M275&lt;-3,"Muito baixa",IF($M275&lt;-2,"Baixa","Adequada")))</f>
        <v/>
      </c>
      <c r="O275" s="12">
        <f>IF(OR($S275="",$F275="",$T275="",$T275&lt;0,$T275&gt;120,$AJ275=""),"—",ROUND(IF(ABS($AM275)&lt;=3,$AM275,IF($AM275&gt;3,3+($F275-$AO275)/($AO275-$AN275),-3+($F275-$AQ275)/($AP275-$AQ275))),2))</f>
        <v/>
      </c>
      <c r="P275">
        <f>IF(OR($O275="",$O275="—"),"",IF($O275&lt;-3,"Muito baixo",IF($O275&lt;-2,"Baixo",IF($O275&lt;=2,"Adequado","Elevado"))))</f>
        <v/>
      </c>
      <c r="Q275" s="12">
        <f>IF(OR($S275="",$F275="",$T275="",$T275&lt;0,$T275&gt;60,$AR275=""),"—",ROUND(IF(ABS($AU275)&lt;=3,$AU275,IF($AU275&gt;3,3+($F275-$AW275)/($AW275-$AV275),-3+($F275-$AY275)/($AX275-$AY275))),2))</f>
        <v/>
      </c>
      <c r="R275">
        <f>IF(OR($Q275="",$Q275="—"),"",IF($Q275&lt;-3,"Magreza acentuada",IF($Q275&lt;-2,"Magreza",IF($Q275&lt;=1,"Eutrofia",IF($Q275&lt;=2,"Risco de sobrepeso",IF($Q275&lt;=3,"Sobrepeso","Obesidade"))))))</f>
        <v/>
      </c>
      <c r="S275">
        <f>IF($C275="","",IF(UPPER(LEFT($C275,1))="M",1,IF(UPPER(LEFT($C275,1))="F",2,"")))</f>
        <v/>
      </c>
      <c r="T275">
        <f>IF(OR($D275="",$E275=""),"",DATEDIF($D275,$E275,"m"))</f>
        <v/>
      </c>
      <c r="U275">
        <f>IF(OR($D275="",$E275=""),"",$E275-$D275)</f>
        <v/>
      </c>
      <c r="V275">
        <f>IF(OR($G275="",$T275=""),"",IF($T275&lt;24,IF(LEFT(LOWER($H275),4)="em p",$G275+0.7,$G275),IF(LEFT(LOWER($H275),4)="deit",$G275-0.7,$G275)))</f>
        <v/>
      </c>
      <c r="W275">
        <f>IF(OR($S275="",$T275=""),"",$S275*1000000+IF($T275&lt;=60,$U275,$T275))</f>
        <v/>
      </c>
      <c r="X275">
        <f>IF(OR($S275="",$V275="",$T275&gt;60,$T275=""),"",$S275*1000000+ROUND($V275*10,0))</f>
        <v/>
      </c>
      <c r="Y275">
        <f>IF($W275="","",IFERROR(INDEX(IF($T275&lt;=60,imc05_l,imc519_l),MATCH($W275,IF($T275&lt;=60,imc05_k,imc519_k),1)),""))</f>
        <v/>
      </c>
      <c r="Z275">
        <f>IF($W275="","",IFERROR(INDEX(IF($T275&lt;=60,imc05_m,imc519_m),MATCH($W275,IF($T275&lt;=60,imc05_k,imc519_k),1)),""))</f>
        <v/>
      </c>
      <c r="AA275">
        <f>IF($W275="","",IFERROR(INDEX(IF($T275&lt;=60,imc05_s,imc519_s),MATCH($W275,IF($T275&lt;=60,imc05_k,imc519_k),1)),""))</f>
        <v/>
      </c>
      <c r="AB275">
        <f>IF($Y275="","",IF($Y275=0,LN($J275/$Z275)/$AA275,((($J275/$Z275)^$Y275)-1)/($Y275*$AA275)))</f>
        <v/>
      </c>
      <c r="AC275">
        <f>IF($Y275="","",IF($Y275=0,$Z275*EXP($AA275*2),$Z275*(1+$Y275*$AA275*2)^(1/$Y275)))</f>
        <v/>
      </c>
      <c r="AD275">
        <f>IF($Y275="","",IF($Y275=0,$Z275*EXP($AA275*3),$Z275*(1+$Y275*$AA275*3)^(1/$Y275)))</f>
        <v/>
      </c>
      <c r="AE275">
        <f>IF($Y275="","",IF($Y275=0,$Z275*EXP($AA275*-2),$Z275*(1+$Y275*$AA275*-2)^(1/$Y275)))</f>
        <v/>
      </c>
      <c r="AF275">
        <f>IF($Y275="","",IF($Y275=0,$Z275*EXP($AA275*-3),$Z275*(1+$Y275*$AA275*-3)^(1/$Y275)))</f>
        <v/>
      </c>
      <c r="AG275">
        <f>IF($W275="","",IFERROR(INDEX(IF($T275&lt;=60,est05_l,est519_l),MATCH($W275,IF($T275&lt;=60,est05_k,est519_k),1)),""))</f>
        <v/>
      </c>
      <c r="AH275">
        <f>IF($W275="","",IFERROR(INDEX(IF($T275&lt;=60,est05_m,est519_m),MATCH($W275,IF($T275&lt;=60,est05_k,est519_k),1)),""))</f>
        <v/>
      </c>
      <c r="AI275">
        <f>IF($W275="","",IFERROR(INDEX(IF($T275&lt;=60,est05_s,est519_s),MATCH($W275,IF($T275&lt;=60,est05_k,est519_k),1)),""))</f>
        <v/>
      </c>
      <c r="AJ275">
        <f>IF($W275="","",IFERROR(INDEX(IF($T275&lt;=60,peso05_l,peso510_l),MATCH($W275,IF($T275&lt;=60,peso05_k,peso510_k),1)),""))</f>
        <v/>
      </c>
      <c r="AK275">
        <f>IF($W275="","",IFERROR(INDEX(IF($T275&lt;=60,peso05_m,peso510_m),MATCH($W275,IF($T275&lt;=60,peso05_k,peso510_k),1)),""))</f>
        <v/>
      </c>
      <c r="AL275">
        <f>IF($W275="","",IFERROR(INDEX(IF($T275&lt;=60,peso05_s,peso510_s),MATCH($W275,IF($T275&lt;=60,peso05_k,peso510_k),1)),""))</f>
        <v/>
      </c>
      <c r="AM275">
        <f>IF($AJ275="","",IF($AJ275=0,LN($F275/$AK275)/$AL275,((($F275/$AK275)^$AJ275)-1)/($AJ275*$AL275)))</f>
        <v/>
      </c>
      <c r="AN275">
        <f>IF($AJ275="","",IF($AJ275=0,$AK275*EXP($AL275*2),$AK275*(1+$AJ275*$AL275*2)^(1/$AJ275)))</f>
        <v/>
      </c>
      <c r="AO275">
        <f>IF($AJ275="","",IF($AJ275=0,$AK275*EXP($AL275*3),$AK275*(1+$AJ275*$AL275*3)^(1/$AJ275)))</f>
        <v/>
      </c>
      <c r="AP275">
        <f>IF($AJ275="","",IF($AJ275=0,$AK275*EXP($AL275*-2),$AK275*(1+$AJ275*$AL275*-2)^(1/$AJ275)))</f>
        <v/>
      </c>
      <c r="AQ275">
        <f>IF($AJ275="","",IF($AJ275=0,$AK275*EXP($AL275*-3),$AK275*(1+$AJ275*$AL275*-3)^(1/$AJ275)))</f>
        <v/>
      </c>
      <c r="AR275">
        <f>IF(OR($X275="",$T275&gt;60),"",IFERROR(INDEX(IF($T275&lt;24,pcomp_l,palt_l),MATCH($X275,IF($T275&lt;24,pcomp_k,palt_k),1)),""))</f>
        <v/>
      </c>
      <c r="AS275">
        <f>IF(OR($X275="",$T275&gt;60),"",IFERROR(INDEX(IF($T275&lt;24,pcomp_m,palt_m),MATCH($X275,IF($T275&lt;24,pcomp_k,palt_k),1)),""))</f>
        <v/>
      </c>
      <c r="AT275">
        <f>IF(OR($X275="",$T275&gt;60),"",IFERROR(INDEX(IF($T275&lt;24,pcomp_s,palt_s),MATCH($X275,IF($T275&lt;24,pcomp_k,palt_k),1)),""))</f>
        <v/>
      </c>
      <c r="AU275">
        <f>IF($AR275="","",IF($AR275=0,LN($F275/$AS275)/$AT275,((($F275/$AS275)^$AR275)-1)/($AR275*$AT275)))</f>
        <v/>
      </c>
      <c r="AV275">
        <f>IF($AR275="","",IF($AR275=0,$AS275*EXP($AT275*2),$AS275*(1+$AR275*$AT275*2)^(1/$AR275)))</f>
        <v/>
      </c>
      <c r="AW275">
        <f>IF($AR275="","",IF($AR275=0,$AS275*EXP($AT275*3),$AS275*(1+$AR275*$AT275*3)^(1/$AR275)))</f>
        <v/>
      </c>
      <c r="AX275">
        <f>IF($AR275="","",IF($AR275=0,$AS275*EXP($AT275*-2),$AS275*(1+$AR275*$AT275*-2)^(1/$AR275)))</f>
        <v/>
      </c>
      <c r="AY275">
        <f>IF($AR275="","",IF($AR275=0,$AS275*EXP($AT275*-3),$AS275*(1+$AR275*$AT275*-3)^(1/$AR275)))</f>
        <v/>
      </c>
      <c r="AZ275">
        <f>IF(OR($A275="",$A275&lt;&gt;Ficha!$C$4),"",COUNTIF($A$2:$A275,Ficha!$C$4))</f>
        <v/>
      </c>
    </row>
    <row r="276">
      <c r="A276" s="8">
        <f>IF(INDEX(Banco!$A:$A,ROW())="","",INDEX(Banco!$A:$A,ROW()))</f>
        <v/>
      </c>
      <c r="B276" s="8">
        <f>IF(INDEX(Banco!$B:$B,ROW())="","",INDEX(Banco!$B:$B,ROW()))</f>
        <v/>
      </c>
      <c r="C276" s="8">
        <f>IF(INDEX(Banco!$C:$C,ROW())="","",INDEX(Banco!$C:$C,ROW()))</f>
        <v/>
      </c>
      <c r="D276" s="9">
        <f>IF(INDEX(Banco!$D:$D,ROW())="","",INDEX(Banco!$D:$D,ROW()))</f>
        <v/>
      </c>
      <c r="E276" s="9">
        <f>IF(INDEX(Banco!$E:$E,ROW())="","",INDEX(Banco!$E:$E,ROW()))</f>
        <v/>
      </c>
      <c r="F276" s="10">
        <f>IF(INDEX(Banco!$F:$F,ROW())="","",INDEX(Banco!$F:$F,ROW()))</f>
        <v/>
      </c>
      <c r="G276" s="10">
        <f>IF(INDEX(Banco!$G:$G,ROW())="","",INDEX(Banco!$G:$G,ROW()))</f>
        <v/>
      </c>
      <c r="H276" s="8">
        <f>IF(INDEX(Banco!$H:$H,ROW())="","",INDEX(Banco!$H:$H,ROW()))</f>
        <v/>
      </c>
      <c r="I276">
        <f>IF($T276="","",INT($T276/12)&amp;"a "&amp;MOD($T276,12)&amp;"m")</f>
        <v/>
      </c>
      <c r="J276" s="11">
        <f>IF(OR($F276="",$G276=""),"",ROUND($F276/($G276/100)^2,2))</f>
        <v/>
      </c>
      <c r="K276" s="12">
        <f>IF(OR($S276="",$J276="",$T276="",$T276&lt;0,$T276&gt;228,$Y276=""),"—",ROUND(IF(ABS($AB276)&lt;=3,$AB276,IF($AB276&gt;3,3+($J276-$AD276)/($AD276-$AC276),-3+($J276-$AF276)/($AE276-$AF276))),2))</f>
        <v/>
      </c>
      <c r="L276">
        <f>IF(OR($K276="",$K276="—"),"",IF($T276&lt;=60,IF($K276&lt;-3,"Magreza acentuada",IF($K276&lt;-2,"Magreza",IF($K276&lt;=1,"Eutrofia",IF($K276&lt;=2,"Risco de sobrepeso",IF($K276&lt;=3,"Sobrepeso","Obesidade"))))),IF($K276&lt;-3,"Magreza acentuada",IF($K276&lt;-2,"Magreza",IF($K276&lt;=1,"Eutrofia",IF($K276&lt;=2,"Sobrepeso",IF($K276&lt;=3,"Obesidade","Obesidade grave")))))))</f>
        <v/>
      </c>
      <c r="M276" s="12">
        <f>IF(OR($S276="",$V276="",$T276="",$T276&lt;0,$T276&gt;228,$AG276=""),"—",ROUND(IF($AG276=0,LN($V276/$AH276)/$AI276,((($V276/$AH276)^$AG276)-1)/($AG276*$AI276)),2))</f>
        <v/>
      </c>
      <c r="N276">
        <f>IF(OR($M276="",$M276="—"),"",IF($M276&lt;-3,"Muito baixa",IF($M276&lt;-2,"Baixa","Adequada")))</f>
        <v/>
      </c>
      <c r="O276" s="12">
        <f>IF(OR($S276="",$F276="",$T276="",$T276&lt;0,$T276&gt;120,$AJ276=""),"—",ROUND(IF(ABS($AM276)&lt;=3,$AM276,IF($AM276&gt;3,3+($F276-$AO276)/($AO276-$AN276),-3+($F276-$AQ276)/($AP276-$AQ276))),2))</f>
        <v/>
      </c>
      <c r="P276">
        <f>IF(OR($O276="",$O276="—"),"",IF($O276&lt;-3,"Muito baixo",IF($O276&lt;-2,"Baixo",IF($O276&lt;=2,"Adequado","Elevado"))))</f>
        <v/>
      </c>
      <c r="Q276" s="12">
        <f>IF(OR($S276="",$F276="",$T276="",$T276&lt;0,$T276&gt;60,$AR276=""),"—",ROUND(IF(ABS($AU276)&lt;=3,$AU276,IF($AU276&gt;3,3+($F276-$AW276)/($AW276-$AV276),-3+($F276-$AY276)/($AX276-$AY276))),2))</f>
        <v/>
      </c>
      <c r="R276">
        <f>IF(OR($Q276="",$Q276="—"),"",IF($Q276&lt;-3,"Magreza acentuada",IF($Q276&lt;-2,"Magreza",IF($Q276&lt;=1,"Eutrofia",IF($Q276&lt;=2,"Risco de sobrepeso",IF($Q276&lt;=3,"Sobrepeso","Obesidade"))))))</f>
        <v/>
      </c>
      <c r="S276">
        <f>IF($C276="","",IF(UPPER(LEFT($C276,1))="M",1,IF(UPPER(LEFT($C276,1))="F",2,"")))</f>
        <v/>
      </c>
      <c r="T276">
        <f>IF(OR($D276="",$E276=""),"",DATEDIF($D276,$E276,"m"))</f>
        <v/>
      </c>
      <c r="U276">
        <f>IF(OR($D276="",$E276=""),"",$E276-$D276)</f>
        <v/>
      </c>
      <c r="V276">
        <f>IF(OR($G276="",$T276=""),"",IF($T276&lt;24,IF(LEFT(LOWER($H276),4)="em p",$G276+0.7,$G276),IF(LEFT(LOWER($H276),4)="deit",$G276-0.7,$G276)))</f>
        <v/>
      </c>
      <c r="W276">
        <f>IF(OR($S276="",$T276=""),"",$S276*1000000+IF($T276&lt;=60,$U276,$T276))</f>
        <v/>
      </c>
      <c r="X276">
        <f>IF(OR($S276="",$V276="",$T276&gt;60,$T276=""),"",$S276*1000000+ROUND($V276*10,0))</f>
        <v/>
      </c>
      <c r="Y276">
        <f>IF($W276="","",IFERROR(INDEX(IF($T276&lt;=60,imc05_l,imc519_l),MATCH($W276,IF($T276&lt;=60,imc05_k,imc519_k),1)),""))</f>
        <v/>
      </c>
      <c r="Z276">
        <f>IF($W276="","",IFERROR(INDEX(IF($T276&lt;=60,imc05_m,imc519_m),MATCH($W276,IF($T276&lt;=60,imc05_k,imc519_k),1)),""))</f>
        <v/>
      </c>
      <c r="AA276">
        <f>IF($W276="","",IFERROR(INDEX(IF($T276&lt;=60,imc05_s,imc519_s),MATCH($W276,IF($T276&lt;=60,imc05_k,imc519_k),1)),""))</f>
        <v/>
      </c>
      <c r="AB276">
        <f>IF($Y276="","",IF($Y276=0,LN($J276/$Z276)/$AA276,((($J276/$Z276)^$Y276)-1)/($Y276*$AA276)))</f>
        <v/>
      </c>
      <c r="AC276">
        <f>IF($Y276="","",IF($Y276=0,$Z276*EXP($AA276*2),$Z276*(1+$Y276*$AA276*2)^(1/$Y276)))</f>
        <v/>
      </c>
      <c r="AD276">
        <f>IF($Y276="","",IF($Y276=0,$Z276*EXP($AA276*3),$Z276*(1+$Y276*$AA276*3)^(1/$Y276)))</f>
        <v/>
      </c>
      <c r="AE276">
        <f>IF($Y276="","",IF($Y276=0,$Z276*EXP($AA276*-2),$Z276*(1+$Y276*$AA276*-2)^(1/$Y276)))</f>
        <v/>
      </c>
      <c r="AF276">
        <f>IF($Y276="","",IF($Y276=0,$Z276*EXP($AA276*-3),$Z276*(1+$Y276*$AA276*-3)^(1/$Y276)))</f>
        <v/>
      </c>
      <c r="AG276">
        <f>IF($W276="","",IFERROR(INDEX(IF($T276&lt;=60,est05_l,est519_l),MATCH($W276,IF($T276&lt;=60,est05_k,est519_k),1)),""))</f>
        <v/>
      </c>
      <c r="AH276">
        <f>IF($W276="","",IFERROR(INDEX(IF($T276&lt;=60,est05_m,est519_m),MATCH($W276,IF($T276&lt;=60,est05_k,est519_k),1)),""))</f>
        <v/>
      </c>
      <c r="AI276">
        <f>IF($W276="","",IFERROR(INDEX(IF($T276&lt;=60,est05_s,est519_s),MATCH($W276,IF($T276&lt;=60,est05_k,est519_k),1)),""))</f>
        <v/>
      </c>
      <c r="AJ276">
        <f>IF($W276="","",IFERROR(INDEX(IF($T276&lt;=60,peso05_l,peso510_l),MATCH($W276,IF($T276&lt;=60,peso05_k,peso510_k),1)),""))</f>
        <v/>
      </c>
      <c r="AK276">
        <f>IF($W276="","",IFERROR(INDEX(IF($T276&lt;=60,peso05_m,peso510_m),MATCH($W276,IF($T276&lt;=60,peso05_k,peso510_k),1)),""))</f>
        <v/>
      </c>
      <c r="AL276">
        <f>IF($W276="","",IFERROR(INDEX(IF($T276&lt;=60,peso05_s,peso510_s),MATCH($W276,IF($T276&lt;=60,peso05_k,peso510_k),1)),""))</f>
        <v/>
      </c>
      <c r="AM276">
        <f>IF($AJ276="","",IF($AJ276=0,LN($F276/$AK276)/$AL276,((($F276/$AK276)^$AJ276)-1)/($AJ276*$AL276)))</f>
        <v/>
      </c>
      <c r="AN276">
        <f>IF($AJ276="","",IF($AJ276=0,$AK276*EXP($AL276*2),$AK276*(1+$AJ276*$AL276*2)^(1/$AJ276)))</f>
        <v/>
      </c>
      <c r="AO276">
        <f>IF($AJ276="","",IF($AJ276=0,$AK276*EXP($AL276*3),$AK276*(1+$AJ276*$AL276*3)^(1/$AJ276)))</f>
        <v/>
      </c>
      <c r="AP276">
        <f>IF($AJ276="","",IF($AJ276=0,$AK276*EXP($AL276*-2),$AK276*(1+$AJ276*$AL276*-2)^(1/$AJ276)))</f>
        <v/>
      </c>
      <c r="AQ276">
        <f>IF($AJ276="","",IF($AJ276=0,$AK276*EXP($AL276*-3),$AK276*(1+$AJ276*$AL276*-3)^(1/$AJ276)))</f>
        <v/>
      </c>
      <c r="AR276">
        <f>IF(OR($X276="",$T276&gt;60),"",IFERROR(INDEX(IF($T276&lt;24,pcomp_l,palt_l),MATCH($X276,IF($T276&lt;24,pcomp_k,palt_k),1)),""))</f>
        <v/>
      </c>
      <c r="AS276">
        <f>IF(OR($X276="",$T276&gt;60),"",IFERROR(INDEX(IF($T276&lt;24,pcomp_m,palt_m),MATCH($X276,IF($T276&lt;24,pcomp_k,palt_k),1)),""))</f>
        <v/>
      </c>
      <c r="AT276">
        <f>IF(OR($X276="",$T276&gt;60),"",IFERROR(INDEX(IF($T276&lt;24,pcomp_s,palt_s),MATCH($X276,IF($T276&lt;24,pcomp_k,palt_k),1)),""))</f>
        <v/>
      </c>
      <c r="AU276">
        <f>IF($AR276="","",IF($AR276=0,LN($F276/$AS276)/$AT276,((($F276/$AS276)^$AR276)-1)/($AR276*$AT276)))</f>
        <v/>
      </c>
      <c r="AV276">
        <f>IF($AR276="","",IF($AR276=0,$AS276*EXP($AT276*2),$AS276*(1+$AR276*$AT276*2)^(1/$AR276)))</f>
        <v/>
      </c>
      <c r="AW276">
        <f>IF($AR276="","",IF($AR276=0,$AS276*EXP($AT276*3),$AS276*(1+$AR276*$AT276*3)^(1/$AR276)))</f>
        <v/>
      </c>
      <c r="AX276">
        <f>IF($AR276="","",IF($AR276=0,$AS276*EXP($AT276*-2),$AS276*(1+$AR276*$AT276*-2)^(1/$AR276)))</f>
        <v/>
      </c>
      <c r="AY276">
        <f>IF($AR276="","",IF($AR276=0,$AS276*EXP($AT276*-3),$AS276*(1+$AR276*$AT276*-3)^(1/$AR276)))</f>
        <v/>
      </c>
      <c r="AZ276">
        <f>IF(OR($A276="",$A276&lt;&gt;Ficha!$C$4),"",COUNTIF($A$2:$A276,Ficha!$C$4))</f>
        <v/>
      </c>
    </row>
    <row r="277">
      <c r="A277" s="8">
        <f>IF(INDEX(Banco!$A:$A,ROW())="","",INDEX(Banco!$A:$A,ROW()))</f>
        <v/>
      </c>
      <c r="B277" s="8">
        <f>IF(INDEX(Banco!$B:$B,ROW())="","",INDEX(Banco!$B:$B,ROW()))</f>
        <v/>
      </c>
      <c r="C277" s="8">
        <f>IF(INDEX(Banco!$C:$C,ROW())="","",INDEX(Banco!$C:$C,ROW()))</f>
        <v/>
      </c>
      <c r="D277" s="9">
        <f>IF(INDEX(Banco!$D:$D,ROW())="","",INDEX(Banco!$D:$D,ROW()))</f>
        <v/>
      </c>
      <c r="E277" s="9">
        <f>IF(INDEX(Banco!$E:$E,ROW())="","",INDEX(Banco!$E:$E,ROW()))</f>
        <v/>
      </c>
      <c r="F277" s="10">
        <f>IF(INDEX(Banco!$F:$F,ROW())="","",INDEX(Banco!$F:$F,ROW()))</f>
        <v/>
      </c>
      <c r="G277" s="10">
        <f>IF(INDEX(Banco!$G:$G,ROW())="","",INDEX(Banco!$G:$G,ROW()))</f>
        <v/>
      </c>
      <c r="H277" s="8">
        <f>IF(INDEX(Banco!$H:$H,ROW())="","",INDEX(Banco!$H:$H,ROW()))</f>
        <v/>
      </c>
      <c r="I277">
        <f>IF($T277="","",INT($T277/12)&amp;"a "&amp;MOD($T277,12)&amp;"m")</f>
        <v/>
      </c>
      <c r="J277" s="11">
        <f>IF(OR($F277="",$G277=""),"",ROUND($F277/($G277/100)^2,2))</f>
        <v/>
      </c>
      <c r="K277" s="12">
        <f>IF(OR($S277="",$J277="",$T277="",$T277&lt;0,$T277&gt;228,$Y277=""),"—",ROUND(IF(ABS($AB277)&lt;=3,$AB277,IF($AB277&gt;3,3+($J277-$AD277)/($AD277-$AC277),-3+($J277-$AF277)/($AE277-$AF277))),2))</f>
        <v/>
      </c>
      <c r="L277">
        <f>IF(OR($K277="",$K277="—"),"",IF($T277&lt;=60,IF($K277&lt;-3,"Magreza acentuada",IF($K277&lt;-2,"Magreza",IF($K277&lt;=1,"Eutrofia",IF($K277&lt;=2,"Risco de sobrepeso",IF($K277&lt;=3,"Sobrepeso","Obesidade"))))),IF($K277&lt;-3,"Magreza acentuada",IF($K277&lt;-2,"Magreza",IF($K277&lt;=1,"Eutrofia",IF($K277&lt;=2,"Sobrepeso",IF($K277&lt;=3,"Obesidade","Obesidade grave")))))))</f>
        <v/>
      </c>
      <c r="M277" s="12">
        <f>IF(OR($S277="",$V277="",$T277="",$T277&lt;0,$T277&gt;228,$AG277=""),"—",ROUND(IF($AG277=0,LN($V277/$AH277)/$AI277,((($V277/$AH277)^$AG277)-1)/($AG277*$AI277)),2))</f>
        <v/>
      </c>
      <c r="N277">
        <f>IF(OR($M277="",$M277="—"),"",IF($M277&lt;-3,"Muito baixa",IF($M277&lt;-2,"Baixa","Adequada")))</f>
        <v/>
      </c>
      <c r="O277" s="12">
        <f>IF(OR($S277="",$F277="",$T277="",$T277&lt;0,$T277&gt;120,$AJ277=""),"—",ROUND(IF(ABS($AM277)&lt;=3,$AM277,IF($AM277&gt;3,3+($F277-$AO277)/($AO277-$AN277),-3+($F277-$AQ277)/($AP277-$AQ277))),2))</f>
        <v/>
      </c>
      <c r="P277">
        <f>IF(OR($O277="",$O277="—"),"",IF($O277&lt;-3,"Muito baixo",IF($O277&lt;-2,"Baixo",IF($O277&lt;=2,"Adequado","Elevado"))))</f>
        <v/>
      </c>
      <c r="Q277" s="12">
        <f>IF(OR($S277="",$F277="",$T277="",$T277&lt;0,$T277&gt;60,$AR277=""),"—",ROUND(IF(ABS($AU277)&lt;=3,$AU277,IF($AU277&gt;3,3+($F277-$AW277)/($AW277-$AV277),-3+($F277-$AY277)/($AX277-$AY277))),2))</f>
        <v/>
      </c>
      <c r="R277">
        <f>IF(OR($Q277="",$Q277="—"),"",IF($Q277&lt;-3,"Magreza acentuada",IF($Q277&lt;-2,"Magreza",IF($Q277&lt;=1,"Eutrofia",IF($Q277&lt;=2,"Risco de sobrepeso",IF($Q277&lt;=3,"Sobrepeso","Obesidade"))))))</f>
        <v/>
      </c>
      <c r="S277">
        <f>IF($C277="","",IF(UPPER(LEFT($C277,1))="M",1,IF(UPPER(LEFT($C277,1))="F",2,"")))</f>
        <v/>
      </c>
      <c r="T277">
        <f>IF(OR($D277="",$E277=""),"",DATEDIF($D277,$E277,"m"))</f>
        <v/>
      </c>
      <c r="U277">
        <f>IF(OR($D277="",$E277=""),"",$E277-$D277)</f>
        <v/>
      </c>
      <c r="V277">
        <f>IF(OR($G277="",$T277=""),"",IF($T277&lt;24,IF(LEFT(LOWER($H277),4)="em p",$G277+0.7,$G277),IF(LEFT(LOWER($H277),4)="deit",$G277-0.7,$G277)))</f>
        <v/>
      </c>
      <c r="W277">
        <f>IF(OR($S277="",$T277=""),"",$S277*1000000+IF($T277&lt;=60,$U277,$T277))</f>
        <v/>
      </c>
      <c r="X277">
        <f>IF(OR($S277="",$V277="",$T277&gt;60,$T277=""),"",$S277*1000000+ROUND($V277*10,0))</f>
        <v/>
      </c>
      <c r="Y277">
        <f>IF($W277="","",IFERROR(INDEX(IF($T277&lt;=60,imc05_l,imc519_l),MATCH($W277,IF($T277&lt;=60,imc05_k,imc519_k),1)),""))</f>
        <v/>
      </c>
      <c r="Z277">
        <f>IF($W277="","",IFERROR(INDEX(IF($T277&lt;=60,imc05_m,imc519_m),MATCH($W277,IF($T277&lt;=60,imc05_k,imc519_k),1)),""))</f>
        <v/>
      </c>
      <c r="AA277">
        <f>IF($W277="","",IFERROR(INDEX(IF($T277&lt;=60,imc05_s,imc519_s),MATCH($W277,IF($T277&lt;=60,imc05_k,imc519_k),1)),""))</f>
        <v/>
      </c>
      <c r="AB277">
        <f>IF($Y277="","",IF($Y277=0,LN($J277/$Z277)/$AA277,((($J277/$Z277)^$Y277)-1)/($Y277*$AA277)))</f>
        <v/>
      </c>
      <c r="AC277">
        <f>IF($Y277="","",IF($Y277=0,$Z277*EXP($AA277*2),$Z277*(1+$Y277*$AA277*2)^(1/$Y277)))</f>
        <v/>
      </c>
      <c r="AD277">
        <f>IF($Y277="","",IF($Y277=0,$Z277*EXP($AA277*3),$Z277*(1+$Y277*$AA277*3)^(1/$Y277)))</f>
        <v/>
      </c>
      <c r="AE277">
        <f>IF($Y277="","",IF($Y277=0,$Z277*EXP($AA277*-2),$Z277*(1+$Y277*$AA277*-2)^(1/$Y277)))</f>
        <v/>
      </c>
      <c r="AF277">
        <f>IF($Y277="","",IF($Y277=0,$Z277*EXP($AA277*-3),$Z277*(1+$Y277*$AA277*-3)^(1/$Y277)))</f>
        <v/>
      </c>
      <c r="AG277">
        <f>IF($W277="","",IFERROR(INDEX(IF($T277&lt;=60,est05_l,est519_l),MATCH($W277,IF($T277&lt;=60,est05_k,est519_k),1)),""))</f>
        <v/>
      </c>
      <c r="AH277">
        <f>IF($W277="","",IFERROR(INDEX(IF($T277&lt;=60,est05_m,est519_m),MATCH($W277,IF($T277&lt;=60,est05_k,est519_k),1)),""))</f>
        <v/>
      </c>
      <c r="AI277">
        <f>IF($W277="","",IFERROR(INDEX(IF($T277&lt;=60,est05_s,est519_s),MATCH($W277,IF($T277&lt;=60,est05_k,est519_k),1)),""))</f>
        <v/>
      </c>
      <c r="AJ277">
        <f>IF($W277="","",IFERROR(INDEX(IF($T277&lt;=60,peso05_l,peso510_l),MATCH($W277,IF($T277&lt;=60,peso05_k,peso510_k),1)),""))</f>
        <v/>
      </c>
      <c r="AK277">
        <f>IF($W277="","",IFERROR(INDEX(IF($T277&lt;=60,peso05_m,peso510_m),MATCH($W277,IF($T277&lt;=60,peso05_k,peso510_k),1)),""))</f>
        <v/>
      </c>
      <c r="AL277">
        <f>IF($W277="","",IFERROR(INDEX(IF($T277&lt;=60,peso05_s,peso510_s),MATCH($W277,IF($T277&lt;=60,peso05_k,peso510_k),1)),""))</f>
        <v/>
      </c>
      <c r="AM277">
        <f>IF($AJ277="","",IF($AJ277=0,LN($F277/$AK277)/$AL277,((($F277/$AK277)^$AJ277)-1)/($AJ277*$AL277)))</f>
        <v/>
      </c>
      <c r="AN277">
        <f>IF($AJ277="","",IF($AJ277=0,$AK277*EXP($AL277*2),$AK277*(1+$AJ277*$AL277*2)^(1/$AJ277)))</f>
        <v/>
      </c>
      <c r="AO277">
        <f>IF($AJ277="","",IF($AJ277=0,$AK277*EXP($AL277*3),$AK277*(1+$AJ277*$AL277*3)^(1/$AJ277)))</f>
        <v/>
      </c>
      <c r="AP277">
        <f>IF($AJ277="","",IF($AJ277=0,$AK277*EXP($AL277*-2),$AK277*(1+$AJ277*$AL277*-2)^(1/$AJ277)))</f>
        <v/>
      </c>
      <c r="AQ277">
        <f>IF($AJ277="","",IF($AJ277=0,$AK277*EXP($AL277*-3),$AK277*(1+$AJ277*$AL277*-3)^(1/$AJ277)))</f>
        <v/>
      </c>
      <c r="AR277">
        <f>IF(OR($X277="",$T277&gt;60),"",IFERROR(INDEX(IF($T277&lt;24,pcomp_l,palt_l),MATCH($X277,IF($T277&lt;24,pcomp_k,palt_k),1)),""))</f>
        <v/>
      </c>
      <c r="AS277">
        <f>IF(OR($X277="",$T277&gt;60),"",IFERROR(INDEX(IF($T277&lt;24,pcomp_m,palt_m),MATCH($X277,IF($T277&lt;24,pcomp_k,palt_k),1)),""))</f>
        <v/>
      </c>
      <c r="AT277">
        <f>IF(OR($X277="",$T277&gt;60),"",IFERROR(INDEX(IF($T277&lt;24,pcomp_s,palt_s),MATCH($X277,IF($T277&lt;24,pcomp_k,palt_k),1)),""))</f>
        <v/>
      </c>
      <c r="AU277">
        <f>IF($AR277="","",IF($AR277=0,LN($F277/$AS277)/$AT277,((($F277/$AS277)^$AR277)-1)/($AR277*$AT277)))</f>
        <v/>
      </c>
      <c r="AV277">
        <f>IF($AR277="","",IF($AR277=0,$AS277*EXP($AT277*2),$AS277*(1+$AR277*$AT277*2)^(1/$AR277)))</f>
        <v/>
      </c>
      <c r="AW277">
        <f>IF($AR277="","",IF($AR277=0,$AS277*EXP($AT277*3),$AS277*(1+$AR277*$AT277*3)^(1/$AR277)))</f>
        <v/>
      </c>
      <c r="AX277">
        <f>IF($AR277="","",IF($AR277=0,$AS277*EXP($AT277*-2),$AS277*(1+$AR277*$AT277*-2)^(1/$AR277)))</f>
        <v/>
      </c>
      <c r="AY277">
        <f>IF($AR277="","",IF($AR277=0,$AS277*EXP($AT277*-3),$AS277*(1+$AR277*$AT277*-3)^(1/$AR277)))</f>
        <v/>
      </c>
      <c r="AZ277">
        <f>IF(OR($A277="",$A277&lt;&gt;Ficha!$C$4),"",COUNTIF($A$2:$A277,Ficha!$C$4))</f>
        <v/>
      </c>
    </row>
    <row r="278">
      <c r="A278" s="8">
        <f>IF(INDEX(Banco!$A:$A,ROW())="","",INDEX(Banco!$A:$A,ROW()))</f>
        <v/>
      </c>
      <c r="B278" s="8">
        <f>IF(INDEX(Banco!$B:$B,ROW())="","",INDEX(Banco!$B:$B,ROW()))</f>
        <v/>
      </c>
      <c r="C278" s="8">
        <f>IF(INDEX(Banco!$C:$C,ROW())="","",INDEX(Banco!$C:$C,ROW()))</f>
        <v/>
      </c>
      <c r="D278" s="9">
        <f>IF(INDEX(Banco!$D:$D,ROW())="","",INDEX(Banco!$D:$D,ROW()))</f>
        <v/>
      </c>
      <c r="E278" s="9">
        <f>IF(INDEX(Banco!$E:$E,ROW())="","",INDEX(Banco!$E:$E,ROW()))</f>
        <v/>
      </c>
      <c r="F278" s="10">
        <f>IF(INDEX(Banco!$F:$F,ROW())="","",INDEX(Banco!$F:$F,ROW()))</f>
        <v/>
      </c>
      <c r="G278" s="10">
        <f>IF(INDEX(Banco!$G:$G,ROW())="","",INDEX(Banco!$G:$G,ROW()))</f>
        <v/>
      </c>
      <c r="H278" s="8">
        <f>IF(INDEX(Banco!$H:$H,ROW())="","",INDEX(Banco!$H:$H,ROW()))</f>
        <v/>
      </c>
      <c r="I278">
        <f>IF($T278="","",INT($T278/12)&amp;"a "&amp;MOD($T278,12)&amp;"m")</f>
        <v/>
      </c>
      <c r="J278" s="11">
        <f>IF(OR($F278="",$G278=""),"",ROUND($F278/($G278/100)^2,2))</f>
        <v/>
      </c>
      <c r="K278" s="12">
        <f>IF(OR($S278="",$J278="",$T278="",$T278&lt;0,$T278&gt;228,$Y278=""),"—",ROUND(IF(ABS($AB278)&lt;=3,$AB278,IF($AB278&gt;3,3+($J278-$AD278)/($AD278-$AC278),-3+($J278-$AF278)/($AE278-$AF278))),2))</f>
        <v/>
      </c>
      <c r="L278">
        <f>IF(OR($K278="",$K278="—"),"",IF($T278&lt;=60,IF($K278&lt;-3,"Magreza acentuada",IF($K278&lt;-2,"Magreza",IF($K278&lt;=1,"Eutrofia",IF($K278&lt;=2,"Risco de sobrepeso",IF($K278&lt;=3,"Sobrepeso","Obesidade"))))),IF($K278&lt;-3,"Magreza acentuada",IF($K278&lt;-2,"Magreza",IF($K278&lt;=1,"Eutrofia",IF($K278&lt;=2,"Sobrepeso",IF($K278&lt;=3,"Obesidade","Obesidade grave")))))))</f>
        <v/>
      </c>
      <c r="M278" s="12">
        <f>IF(OR($S278="",$V278="",$T278="",$T278&lt;0,$T278&gt;228,$AG278=""),"—",ROUND(IF($AG278=0,LN($V278/$AH278)/$AI278,((($V278/$AH278)^$AG278)-1)/($AG278*$AI278)),2))</f>
        <v/>
      </c>
      <c r="N278">
        <f>IF(OR($M278="",$M278="—"),"",IF($M278&lt;-3,"Muito baixa",IF($M278&lt;-2,"Baixa","Adequada")))</f>
        <v/>
      </c>
      <c r="O278" s="12">
        <f>IF(OR($S278="",$F278="",$T278="",$T278&lt;0,$T278&gt;120,$AJ278=""),"—",ROUND(IF(ABS($AM278)&lt;=3,$AM278,IF($AM278&gt;3,3+($F278-$AO278)/($AO278-$AN278),-3+($F278-$AQ278)/($AP278-$AQ278))),2))</f>
        <v/>
      </c>
      <c r="P278">
        <f>IF(OR($O278="",$O278="—"),"",IF($O278&lt;-3,"Muito baixo",IF($O278&lt;-2,"Baixo",IF($O278&lt;=2,"Adequado","Elevado"))))</f>
        <v/>
      </c>
      <c r="Q278" s="12">
        <f>IF(OR($S278="",$F278="",$T278="",$T278&lt;0,$T278&gt;60,$AR278=""),"—",ROUND(IF(ABS($AU278)&lt;=3,$AU278,IF($AU278&gt;3,3+($F278-$AW278)/($AW278-$AV278),-3+($F278-$AY278)/($AX278-$AY278))),2))</f>
        <v/>
      </c>
      <c r="R278">
        <f>IF(OR($Q278="",$Q278="—"),"",IF($Q278&lt;-3,"Magreza acentuada",IF($Q278&lt;-2,"Magreza",IF($Q278&lt;=1,"Eutrofia",IF($Q278&lt;=2,"Risco de sobrepeso",IF($Q278&lt;=3,"Sobrepeso","Obesidade"))))))</f>
        <v/>
      </c>
      <c r="S278">
        <f>IF($C278="","",IF(UPPER(LEFT($C278,1))="M",1,IF(UPPER(LEFT($C278,1))="F",2,"")))</f>
        <v/>
      </c>
      <c r="T278">
        <f>IF(OR($D278="",$E278=""),"",DATEDIF($D278,$E278,"m"))</f>
        <v/>
      </c>
      <c r="U278">
        <f>IF(OR($D278="",$E278=""),"",$E278-$D278)</f>
        <v/>
      </c>
      <c r="V278">
        <f>IF(OR($G278="",$T278=""),"",IF($T278&lt;24,IF(LEFT(LOWER($H278),4)="em p",$G278+0.7,$G278),IF(LEFT(LOWER($H278),4)="deit",$G278-0.7,$G278)))</f>
        <v/>
      </c>
      <c r="W278">
        <f>IF(OR($S278="",$T278=""),"",$S278*1000000+IF($T278&lt;=60,$U278,$T278))</f>
        <v/>
      </c>
      <c r="X278">
        <f>IF(OR($S278="",$V278="",$T278&gt;60,$T278=""),"",$S278*1000000+ROUND($V278*10,0))</f>
        <v/>
      </c>
      <c r="Y278">
        <f>IF($W278="","",IFERROR(INDEX(IF($T278&lt;=60,imc05_l,imc519_l),MATCH($W278,IF($T278&lt;=60,imc05_k,imc519_k),1)),""))</f>
        <v/>
      </c>
      <c r="Z278">
        <f>IF($W278="","",IFERROR(INDEX(IF($T278&lt;=60,imc05_m,imc519_m),MATCH($W278,IF($T278&lt;=60,imc05_k,imc519_k),1)),""))</f>
        <v/>
      </c>
      <c r="AA278">
        <f>IF($W278="","",IFERROR(INDEX(IF($T278&lt;=60,imc05_s,imc519_s),MATCH($W278,IF($T278&lt;=60,imc05_k,imc519_k),1)),""))</f>
        <v/>
      </c>
      <c r="AB278">
        <f>IF($Y278="","",IF($Y278=0,LN($J278/$Z278)/$AA278,((($J278/$Z278)^$Y278)-1)/($Y278*$AA278)))</f>
        <v/>
      </c>
      <c r="AC278">
        <f>IF($Y278="","",IF($Y278=0,$Z278*EXP($AA278*2),$Z278*(1+$Y278*$AA278*2)^(1/$Y278)))</f>
        <v/>
      </c>
      <c r="AD278">
        <f>IF($Y278="","",IF($Y278=0,$Z278*EXP($AA278*3),$Z278*(1+$Y278*$AA278*3)^(1/$Y278)))</f>
        <v/>
      </c>
      <c r="AE278">
        <f>IF($Y278="","",IF($Y278=0,$Z278*EXP($AA278*-2),$Z278*(1+$Y278*$AA278*-2)^(1/$Y278)))</f>
        <v/>
      </c>
      <c r="AF278">
        <f>IF($Y278="","",IF($Y278=0,$Z278*EXP($AA278*-3),$Z278*(1+$Y278*$AA278*-3)^(1/$Y278)))</f>
        <v/>
      </c>
      <c r="AG278">
        <f>IF($W278="","",IFERROR(INDEX(IF($T278&lt;=60,est05_l,est519_l),MATCH($W278,IF($T278&lt;=60,est05_k,est519_k),1)),""))</f>
        <v/>
      </c>
      <c r="AH278">
        <f>IF($W278="","",IFERROR(INDEX(IF($T278&lt;=60,est05_m,est519_m),MATCH($W278,IF($T278&lt;=60,est05_k,est519_k),1)),""))</f>
        <v/>
      </c>
      <c r="AI278">
        <f>IF($W278="","",IFERROR(INDEX(IF($T278&lt;=60,est05_s,est519_s),MATCH($W278,IF($T278&lt;=60,est05_k,est519_k),1)),""))</f>
        <v/>
      </c>
      <c r="AJ278">
        <f>IF($W278="","",IFERROR(INDEX(IF($T278&lt;=60,peso05_l,peso510_l),MATCH($W278,IF($T278&lt;=60,peso05_k,peso510_k),1)),""))</f>
        <v/>
      </c>
      <c r="AK278">
        <f>IF($W278="","",IFERROR(INDEX(IF($T278&lt;=60,peso05_m,peso510_m),MATCH($W278,IF($T278&lt;=60,peso05_k,peso510_k),1)),""))</f>
        <v/>
      </c>
      <c r="AL278">
        <f>IF($W278="","",IFERROR(INDEX(IF($T278&lt;=60,peso05_s,peso510_s),MATCH($W278,IF($T278&lt;=60,peso05_k,peso510_k),1)),""))</f>
        <v/>
      </c>
      <c r="AM278">
        <f>IF($AJ278="","",IF($AJ278=0,LN($F278/$AK278)/$AL278,((($F278/$AK278)^$AJ278)-1)/($AJ278*$AL278)))</f>
        <v/>
      </c>
      <c r="AN278">
        <f>IF($AJ278="","",IF($AJ278=0,$AK278*EXP($AL278*2),$AK278*(1+$AJ278*$AL278*2)^(1/$AJ278)))</f>
        <v/>
      </c>
      <c r="AO278">
        <f>IF($AJ278="","",IF($AJ278=0,$AK278*EXP($AL278*3),$AK278*(1+$AJ278*$AL278*3)^(1/$AJ278)))</f>
        <v/>
      </c>
      <c r="AP278">
        <f>IF($AJ278="","",IF($AJ278=0,$AK278*EXP($AL278*-2),$AK278*(1+$AJ278*$AL278*-2)^(1/$AJ278)))</f>
        <v/>
      </c>
      <c r="AQ278">
        <f>IF($AJ278="","",IF($AJ278=0,$AK278*EXP($AL278*-3),$AK278*(1+$AJ278*$AL278*-3)^(1/$AJ278)))</f>
        <v/>
      </c>
      <c r="AR278">
        <f>IF(OR($X278="",$T278&gt;60),"",IFERROR(INDEX(IF($T278&lt;24,pcomp_l,palt_l),MATCH($X278,IF($T278&lt;24,pcomp_k,palt_k),1)),""))</f>
        <v/>
      </c>
      <c r="AS278">
        <f>IF(OR($X278="",$T278&gt;60),"",IFERROR(INDEX(IF($T278&lt;24,pcomp_m,palt_m),MATCH($X278,IF($T278&lt;24,pcomp_k,palt_k),1)),""))</f>
        <v/>
      </c>
      <c r="AT278">
        <f>IF(OR($X278="",$T278&gt;60),"",IFERROR(INDEX(IF($T278&lt;24,pcomp_s,palt_s),MATCH($X278,IF($T278&lt;24,pcomp_k,palt_k),1)),""))</f>
        <v/>
      </c>
      <c r="AU278">
        <f>IF($AR278="","",IF($AR278=0,LN($F278/$AS278)/$AT278,((($F278/$AS278)^$AR278)-1)/($AR278*$AT278)))</f>
        <v/>
      </c>
      <c r="AV278">
        <f>IF($AR278="","",IF($AR278=0,$AS278*EXP($AT278*2),$AS278*(1+$AR278*$AT278*2)^(1/$AR278)))</f>
        <v/>
      </c>
      <c r="AW278">
        <f>IF($AR278="","",IF($AR278=0,$AS278*EXP($AT278*3),$AS278*(1+$AR278*$AT278*3)^(1/$AR278)))</f>
        <v/>
      </c>
      <c r="AX278">
        <f>IF($AR278="","",IF($AR278=0,$AS278*EXP($AT278*-2),$AS278*(1+$AR278*$AT278*-2)^(1/$AR278)))</f>
        <v/>
      </c>
      <c r="AY278">
        <f>IF($AR278="","",IF($AR278=0,$AS278*EXP($AT278*-3),$AS278*(1+$AR278*$AT278*-3)^(1/$AR278)))</f>
        <v/>
      </c>
      <c r="AZ278">
        <f>IF(OR($A278="",$A278&lt;&gt;Ficha!$C$4),"",COUNTIF($A$2:$A278,Ficha!$C$4))</f>
        <v/>
      </c>
    </row>
    <row r="279">
      <c r="A279" s="8">
        <f>IF(INDEX(Banco!$A:$A,ROW())="","",INDEX(Banco!$A:$A,ROW()))</f>
        <v/>
      </c>
      <c r="B279" s="8">
        <f>IF(INDEX(Banco!$B:$B,ROW())="","",INDEX(Banco!$B:$B,ROW()))</f>
        <v/>
      </c>
      <c r="C279" s="8">
        <f>IF(INDEX(Banco!$C:$C,ROW())="","",INDEX(Banco!$C:$C,ROW()))</f>
        <v/>
      </c>
      <c r="D279" s="9">
        <f>IF(INDEX(Banco!$D:$D,ROW())="","",INDEX(Banco!$D:$D,ROW()))</f>
        <v/>
      </c>
      <c r="E279" s="9">
        <f>IF(INDEX(Banco!$E:$E,ROW())="","",INDEX(Banco!$E:$E,ROW()))</f>
        <v/>
      </c>
      <c r="F279" s="10">
        <f>IF(INDEX(Banco!$F:$F,ROW())="","",INDEX(Banco!$F:$F,ROW()))</f>
        <v/>
      </c>
      <c r="G279" s="10">
        <f>IF(INDEX(Banco!$G:$G,ROW())="","",INDEX(Banco!$G:$G,ROW()))</f>
        <v/>
      </c>
      <c r="H279" s="8">
        <f>IF(INDEX(Banco!$H:$H,ROW())="","",INDEX(Banco!$H:$H,ROW()))</f>
        <v/>
      </c>
      <c r="I279">
        <f>IF($T279="","",INT($T279/12)&amp;"a "&amp;MOD($T279,12)&amp;"m")</f>
        <v/>
      </c>
      <c r="J279" s="11">
        <f>IF(OR($F279="",$G279=""),"",ROUND($F279/($G279/100)^2,2))</f>
        <v/>
      </c>
      <c r="K279" s="12">
        <f>IF(OR($S279="",$J279="",$T279="",$T279&lt;0,$T279&gt;228,$Y279=""),"—",ROUND(IF(ABS($AB279)&lt;=3,$AB279,IF($AB279&gt;3,3+($J279-$AD279)/($AD279-$AC279),-3+($J279-$AF279)/($AE279-$AF279))),2))</f>
        <v/>
      </c>
      <c r="L279">
        <f>IF(OR($K279="",$K279="—"),"",IF($T279&lt;=60,IF($K279&lt;-3,"Magreza acentuada",IF($K279&lt;-2,"Magreza",IF($K279&lt;=1,"Eutrofia",IF($K279&lt;=2,"Risco de sobrepeso",IF($K279&lt;=3,"Sobrepeso","Obesidade"))))),IF($K279&lt;-3,"Magreza acentuada",IF($K279&lt;-2,"Magreza",IF($K279&lt;=1,"Eutrofia",IF($K279&lt;=2,"Sobrepeso",IF($K279&lt;=3,"Obesidade","Obesidade grave")))))))</f>
        <v/>
      </c>
      <c r="M279" s="12">
        <f>IF(OR($S279="",$V279="",$T279="",$T279&lt;0,$T279&gt;228,$AG279=""),"—",ROUND(IF($AG279=0,LN($V279/$AH279)/$AI279,((($V279/$AH279)^$AG279)-1)/($AG279*$AI279)),2))</f>
        <v/>
      </c>
      <c r="N279">
        <f>IF(OR($M279="",$M279="—"),"",IF($M279&lt;-3,"Muito baixa",IF($M279&lt;-2,"Baixa","Adequada")))</f>
        <v/>
      </c>
      <c r="O279" s="12">
        <f>IF(OR($S279="",$F279="",$T279="",$T279&lt;0,$T279&gt;120,$AJ279=""),"—",ROUND(IF(ABS($AM279)&lt;=3,$AM279,IF($AM279&gt;3,3+($F279-$AO279)/($AO279-$AN279),-3+($F279-$AQ279)/($AP279-$AQ279))),2))</f>
        <v/>
      </c>
      <c r="P279">
        <f>IF(OR($O279="",$O279="—"),"",IF($O279&lt;-3,"Muito baixo",IF($O279&lt;-2,"Baixo",IF($O279&lt;=2,"Adequado","Elevado"))))</f>
        <v/>
      </c>
      <c r="Q279" s="12">
        <f>IF(OR($S279="",$F279="",$T279="",$T279&lt;0,$T279&gt;60,$AR279=""),"—",ROUND(IF(ABS($AU279)&lt;=3,$AU279,IF($AU279&gt;3,3+($F279-$AW279)/($AW279-$AV279),-3+($F279-$AY279)/($AX279-$AY279))),2))</f>
        <v/>
      </c>
      <c r="R279">
        <f>IF(OR($Q279="",$Q279="—"),"",IF($Q279&lt;-3,"Magreza acentuada",IF($Q279&lt;-2,"Magreza",IF($Q279&lt;=1,"Eutrofia",IF($Q279&lt;=2,"Risco de sobrepeso",IF($Q279&lt;=3,"Sobrepeso","Obesidade"))))))</f>
        <v/>
      </c>
      <c r="S279">
        <f>IF($C279="","",IF(UPPER(LEFT($C279,1))="M",1,IF(UPPER(LEFT($C279,1))="F",2,"")))</f>
        <v/>
      </c>
      <c r="T279">
        <f>IF(OR($D279="",$E279=""),"",DATEDIF($D279,$E279,"m"))</f>
        <v/>
      </c>
      <c r="U279">
        <f>IF(OR($D279="",$E279=""),"",$E279-$D279)</f>
        <v/>
      </c>
      <c r="V279">
        <f>IF(OR($G279="",$T279=""),"",IF($T279&lt;24,IF(LEFT(LOWER($H279),4)="em p",$G279+0.7,$G279),IF(LEFT(LOWER($H279),4)="deit",$G279-0.7,$G279)))</f>
        <v/>
      </c>
      <c r="W279">
        <f>IF(OR($S279="",$T279=""),"",$S279*1000000+IF($T279&lt;=60,$U279,$T279))</f>
        <v/>
      </c>
      <c r="X279">
        <f>IF(OR($S279="",$V279="",$T279&gt;60,$T279=""),"",$S279*1000000+ROUND($V279*10,0))</f>
        <v/>
      </c>
      <c r="Y279">
        <f>IF($W279="","",IFERROR(INDEX(IF($T279&lt;=60,imc05_l,imc519_l),MATCH($W279,IF($T279&lt;=60,imc05_k,imc519_k),1)),""))</f>
        <v/>
      </c>
      <c r="Z279">
        <f>IF($W279="","",IFERROR(INDEX(IF($T279&lt;=60,imc05_m,imc519_m),MATCH($W279,IF($T279&lt;=60,imc05_k,imc519_k),1)),""))</f>
        <v/>
      </c>
      <c r="AA279">
        <f>IF($W279="","",IFERROR(INDEX(IF($T279&lt;=60,imc05_s,imc519_s),MATCH($W279,IF($T279&lt;=60,imc05_k,imc519_k),1)),""))</f>
        <v/>
      </c>
      <c r="AB279">
        <f>IF($Y279="","",IF($Y279=0,LN($J279/$Z279)/$AA279,((($J279/$Z279)^$Y279)-1)/($Y279*$AA279)))</f>
        <v/>
      </c>
      <c r="AC279">
        <f>IF($Y279="","",IF($Y279=0,$Z279*EXP($AA279*2),$Z279*(1+$Y279*$AA279*2)^(1/$Y279)))</f>
        <v/>
      </c>
      <c r="AD279">
        <f>IF($Y279="","",IF($Y279=0,$Z279*EXP($AA279*3),$Z279*(1+$Y279*$AA279*3)^(1/$Y279)))</f>
        <v/>
      </c>
      <c r="AE279">
        <f>IF($Y279="","",IF($Y279=0,$Z279*EXP($AA279*-2),$Z279*(1+$Y279*$AA279*-2)^(1/$Y279)))</f>
        <v/>
      </c>
      <c r="AF279">
        <f>IF($Y279="","",IF($Y279=0,$Z279*EXP($AA279*-3),$Z279*(1+$Y279*$AA279*-3)^(1/$Y279)))</f>
        <v/>
      </c>
      <c r="AG279">
        <f>IF($W279="","",IFERROR(INDEX(IF($T279&lt;=60,est05_l,est519_l),MATCH($W279,IF($T279&lt;=60,est05_k,est519_k),1)),""))</f>
        <v/>
      </c>
      <c r="AH279">
        <f>IF($W279="","",IFERROR(INDEX(IF($T279&lt;=60,est05_m,est519_m),MATCH($W279,IF($T279&lt;=60,est05_k,est519_k),1)),""))</f>
        <v/>
      </c>
      <c r="AI279">
        <f>IF($W279="","",IFERROR(INDEX(IF($T279&lt;=60,est05_s,est519_s),MATCH($W279,IF($T279&lt;=60,est05_k,est519_k),1)),""))</f>
        <v/>
      </c>
      <c r="AJ279">
        <f>IF($W279="","",IFERROR(INDEX(IF($T279&lt;=60,peso05_l,peso510_l),MATCH($W279,IF($T279&lt;=60,peso05_k,peso510_k),1)),""))</f>
        <v/>
      </c>
      <c r="AK279">
        <f>IF($W279="","",IFERROR(INDEX(IF($T279&lt;=60,peso05_m,peso510_m),MATCH($W279,IF($T279&lt;=60,peso05_k,peso510_k),1)),""))</f>
        <v/>
      </c>
      <c r="AL279">
        <f>IF($W279="","",IFERROR(INDEX(IF($T279&lt;=60,peso05_s,peso510_s),MATCH($W279,IF($T279&lt;=60,peso05_k,peso510_k),1)),""))</f>
        <v/>
      </c>
      <c r="AM279">
        <f>IF($AJ279="","",IF($AJ279=0,LN($F279/$AK279)/$AL279,((($F279/$AK279)^$AJ279)-1)/($AJ279*$AL279)))</f>
        <v/>
      </c>
      <c r="AN279">
        <f>IF($AJ279="","",IF($AJ279=0,$AK279*EXP($AL279*2),$AK279*(1+$AJ279*$AL279*2)^(1/$AJ279)))</f>
        <v/>
      </c>
      <c r="AO279">
        <f>IF($AJ279="","",IF($AJ279=0,$AK279*EXP($AL279*3),$AK279*(1+$AJ279*$AL279*3)^(1/$AJ279)))</f>
        <v/>
      </c>
      <c r="AP279">
        <f>IF($AJ279="","",IF($AJ279=0,$AK279*EXP($AL279*-2),$AK279*(1+$AJ279*$AL279*-2)^(1/$AJ279)))</f>
        <v/>
      </c>
      <c r="AQ279">
        <f>IF($AJ279="","",IF($AJ279=0,$AK279*EXP($AL279*-3),$AK279*(1+$AJ279*$AL279*-3)^(1/$AJ279)))</f>
        <v/>
      </c>
      <c r="AR279">
        <f>IF(OR($X279="",$T279&gt;60),"",IFERROR(INDEX(IF($T279&lt;24,pcomp_l,palt_l),MATCH($X279,IF($T279&lt;24,pcomp_k,palt_k),1)),""))</f>
        <v/>
      </c>
      <c r="AS279">
        <f>IF(OR($X279="",$T279&gt;60),"",IFERROR(INDEX(IF($T279&lt;24,pcomp_m,palt_m),MATCH($X279,IF($T279&lt;24,pcomp_k,palt_k),1)),""))</f>
        <v/>
      </c>
      <c r="AT279">
        <f>IF(OR($X279="",$T279&gt;60),"",IFERROR(INDEX(IF($T279&lt;24,pcomp_s,palt_s),MATCH($X279,IF($T279&lt;24,pcomp_k,palt_k),1)),""))</f>
        <v/>
      </c>
      <c r="AU279">
        <f>IF($AR279="","",IF($AR279=0,LN($F279/$AS279)/$AT279,((($F279/$AS279)^$AR279)-1)/($AR279*$AT279)))</f>
        <v/>
      </c>
      <c r="AV279">
        <f>IF($AR279="","",IF($AR279=0,$AS279*EXP($AT279*2),$AS279*(1+$AR279*$AT279*2)^(1/$AR279)))</f>
        <v/>
      </c>
      <c r="AW279">
        <f>IF($AR279="","",IF($AR279=0,$AS279*EXP($AT279*3),$AS279*(1+$AR279*$AT279*3)^(1/$AR279)))</f>
        <v/>
      </c>
      <c r="AX279">
        <f>IF($AR279="","",IF($AR279=0,$AS279*EXP($AT279*-2),$AS279*(1+$AR279*$AT279*-2)^(1/$AR279)))</f>
        <v/>
      </c>
      <c r="AY279">
        <f>IF($AR279="","",IF($AR279=0,$AS279*EXP($AT279*-3),$AS279*(1+$AR279*$AT279*-3)^(1/$AR279)))</f>
        <v/>
      </c>
      <c r="AZ279">
        <f>IF(OR($A279="",$A279&lt;&gt;Ficha!$C$4),"",COUNTIF($A$2:$A279,Ficha!$C$4))</f>
        <v/>
      </c>
    </row>
    <row r="280">
      <c r="A280" s="8">
        <f>IF(INDEX(Banco!$A:$A,ROW())="","",INDEX(Banco!$A:$A,ROW()))</f>
        <v/>
      </c>
      <c r="B280" s="8">
        <f>IF(INDEX(Banco!$B:$B,ROW())="","",INDEX(Banco!$B:$B,ROW()))</f>
        <v/>
      </c>
      <c r="C280" s="8">
        <f>IF(INDEX(Banco!$C:$C,ROW())="","",INDEX(Banco!$C:$C,ROW()))</f>
        <v/>
      </c>
      <c r="D280" s="9">
        <f>IF(INDEX(Banco!$D:$D,ROW())="","",INDEX(Banco!$D:$D,ROW()))</f>
        <v/>
      </c>
      <c r="E280" s="9">
        <f>IF(INDEX(Banco!$E:$E,ROW())="","",INDEX(Banco!$E:$E,ROW()))</f>
        <v/>
      </c>
      <c r="F280" s="10">
        <f>IF(INDEX(Banco!$F:$F,ROW())="","",INDEX(Banco!$F:$F,ROW()))</f>
        <v/>
      </c>
      <c r="G280" s="10">
        <f>IF(INDEX(Banco!$G:$G,ROW())="","",INDEX(Banco!$G:$G,ROW()))</f>
        <v/>
      </c>
      <c r="H280" s="8">
        <f>IF(INDEX(Banco!$H:$H,ROW())="","",INDEX(Banco!$H:$H,ROW()))</f>
        <v/>
      </c>
      <c r="I280">
        <f>IF($T280="","",INT($T280/12)&amp;"a "&amp;MOD($T280,12)&amp;"m")</f>
        <v/>
      </c>
      <c r="J280" s="11">
        <f>IF(OR($F280="",$G280=""),"",ROUND($F280/($G280/100)^2,2))</f>
        <v/>
      </c>
      <c r="K280" s="12">
        <f>IF(OR($S280="",$J280="",$T280="",$T280&lt;0,$T280&gt;228,$Y280=""),"—",ROUND(IF(ABS($AB280)&lt;=3,$AB280,IF($AB280&gt;3,3+($J280-$AD280)/($AD280-$AC280),-3+($J280-$AF280)/($AE280-$AF280))),2))</f>
        <v/>
      </c>
      <c r="L280">
        <f>IF(OR($K280="",$K280="—"),"",IF($T280&lt;=60,IF($K280&lt;-3,"Magreza acentuada",IF($K280&lt;-2,"Magreza",IF($K280&lt;=1,"Eutrofia",IF($K280&lt;=2,"Risco de sobrepeso",IF($K280&lt;=3,"Sobrepeso","Obesidade"))))),IF($K280&lt;-3,"Magreza acentuada",IF($K280&lt;-2,"Magreza",IF($K280&lt;=1,"Eutrofia",IF($K280&lt;=2,"Sobrepeso",IF($K280&lt;=3,"Obesidade","Obesidade grave")))))))</f>
        <v/>
      </c>
      <c r="M280" s="12">
        <f>IF(OR($S280="",$V280="",$T280="",$T280&lt;0,$T280&gt;228,$AG280=""),"—",ROUND(IF($AG280=0,LN($V280/$AH280)/$AI280,((($V280/$AH280)^$AG280)-1)/($AG280*$AI280)),2))</f>
        <v/>
      </c>
      <c r="N280">
        <f>IF(OR($M280="",$M280="—"),"",IF($M280&lt;-3,"Muito baixa",IF($M280&lt;-2,"Baixa","Adequada")))</f>
        <v/>
      </c>
      <c r="O280" s="12">
        <f>IF(OR($S280="",$F280="",$T280="",$T280&lt;0,$T280&gt;120,$AJ280=""),"—",ROUND(IF(ABS($AM280)&lt;=3,$AM280,IF($AM280&gt;3,3+($F280-$AO280)/($AO280-$AN280),-3+($F280-$AQ280)/($AP280-$AQ280))),2))</f>
        <v/>
      </c>
      <c r="P280">
        <f>IF(OR($O280="",$O280="—"),"",IF($O280&lt;-3,"Muito baixo",IF($O280&lt;-2,"Baixo",IF($O280&lt;=2,"Adequado","Elevado"))))</f>
        <v/>
      </c>
      <c r="Q280" s="12">
        <f>IF(OR($S280="",$F280="",$T280="",$T280&lt;0,$T280&gt;60,$AR280=""),"—",ROUND(IF(ABS($AU280)&lt;=3,$AU280,IF($AU280&gt;3,3+($F280-$AW280)/($AW280-$AV280),-3+($F280-$AY280)/($AX280-$AY280))),2))</f>
        <v/>
      </c>
      <c r="R280">
        <f>IF(OR($Q280="",$Q280="—"),"",IF($Q280&lt;-3,"Magreza acentuada",IF($Q280&lt;-2,"Magreza",IF($Q280&lt;=1,"Eutrofia",IF($Q280&lt;=2,"Risco de sobrepeso",IF($Q280&lt;=3,"Sobrepeso","Obesidade"))))))</f>
        <v/>
      </c>
      <c r="S280">
        <f>IF($C280="","",IF(UPPER(LEFT($C280,1))="M",1,IF(UPPER(LEFT($C280,1))="F",2,"")))</f>
        <v/>
      </c>
      <c r="T280">
        <f>IF(OR($D280="",$E280=""),"",DATEDIF($D280,$E280,"m"))</f>
        <v/>
      </c>
      <c r="U280">
        <f>IF(OR($D280="",$E280=""),"",$E280-$D280)</f>
        <v/>
      </c>
      <c r="V280">
        <f>IF(OR($G280="",$T280=""),"",IF($T280&lt;24,IF(LEFT(LOWER($H280),4)="em p",$G280+0.7,$G280),IF(LEFT(LOWER($H280),4)="deit",$G280-0.7,$G280)))</f>
        <v/>
      </c>
      <c r="W280">
        <f>IF(OR($S280="",$T280=""),"",$S280*1000000+IF($T280&lt;=60,$U280,$T280))</f>
        <v/>
      </c>
      <c r="X280">
        <f>IF(OR($S280="",$V280="",$T280&gt;60,$T280=""),"",$S280*1000000+ROUND($V280*10,0))</f>
        <v/>
      </c>
      <c r="Y280">
        <f>IF($W280="","",IFERROR(INDEX(IF($T280&lt;=60,imc05_l,imc519_l),MATCH($W280,IF($T280&lt;=60,imc05_k,imc519_k),1)),""))</f>
        <v/>
      </c>
      <c r="Z280">
        <f>IF($W280="","",IFERROR(INDEX(IF($T280&lt;=60,imc05_m,imc519_m),MATCH($W280,IF($T280&lt;=60,imc05_k,imc519_k),1)),""))</f>
        <v/>
      </c>
      <c r="AA280">
        <f>IF($W280="","",IFERROR(INDEX(IF($T280&lt;=60,imc05_s,imc519_s),MATCH($W280,IF($T280&lt;=60,imc05_k,imc519_k),1)),""))</f>
        <v/>
      </c>
      <c r="AB280">
        <f>IF($Y280="","",IF($Y280=0,LN($J280/$Z280)/$AA280,((($J280/$Z280)^$Y280)-1)/($Y280*$AA280)))</f>
        <v/>
      </c>
      <c r="AC280">
        <f>IF($Y280="","",IF($Y280=0,$Z280*EXP($AA280*2),$Z280*(1+$Y280*$AA280*2)^(1/$Y280)))</f>
        <v/>
      </c>
      <c r="AD280">
        <f>IF($Y280="","",IF($Y280=0,$Z280*EXP($AA280*3),$Z280*(1+$Y280*$AA280*3)^(1/$Y280)))</f>
        <v/>
      </c>
      <c r="AE280">
        <f>IF($Y280="","",IF($Y280=0,$Z280*EXP($AA280*-2),$Z280*(1+$Y280*$AA280*-2)^(1/$Y280)))</f>
        <v/>
      </c>
      <c r="AF280">
        <f>IF($Y280="","",IF($Y280=0,$Z280*EXP($AA280*-3),$Z280*(1+$Y280*$AA280*-3)^(1/$Y280)))</f>
        <v/>
      </c>
      <c r="AG280">
        <f>IF($W280="","",IFERROR(INDEX(IF($T280&lt;=60,est05_l,est519_l),MATCH($W280,IF($T280&lt;=60,est05_k,est519_k),1)),""))</f>
        <v/>
      </c>
      <c r="AH280">
        <f>IF($W280="","",IFERROR(INDEX(IF($T280&lt;=60,est05_m,est519_m),MATCH($W280,IF($T280&lt;=60,est05_k,est519_k),1)),""))</f>
        <v/>
      </c>
      <c r="AI280">
        <f>IF($W280="","",IFERROR(INDEX(IF($T280&lt;=60,est05_s,est519_s),MATCH($W280,IF($T280&lt;=60,est05_k,est519_k),1)),""))</f>
        <v/>
      </c>
      <c r="AJ280">
        <f>IF($W280="","",IFERROR(INDEX(IF($T280&lt;=60,peso05_l,peso510_l),MATCH($W280,IF($T280&lt;=60,peso05_k,peso510_k),1)),""))</f>
        <v/>
      </c>
      <c r="AK280">
        <f>IF($W280="","",IFERROR(INDEX(IF($T280&lt;=60,peso05_m,peso510_m),MATCH($W280,IF($T280&lt;=60,peso05_k,peso510_k),1)),""))</f>
        <v/>
      </c>
      <c r="AL280">
        <f>IF($W280="","",IFERROR(INDEX(IF($T280&lt;=60,peso05_s,peso510_s),MATCH($W280,IF($T280&lt;=60,peso05_k,peso510_k),1)),""))</f>
        <v/>
      </c>
      <c r="AM280">
        <f>IF($AJ280="","",IF($AJ280=0,LN($F280/$AK280)/$AL280,((($F280/$AK280)^$AJ280)-1)/($AJ280*$AL280)))</f>
        <v/>
      </c>
      <c r="AN280">
        <f>IF($AJ280="","",IF($AJ280=0,$AK280*EXP($AL280*2),$AK280*(1+$AJ280*$AL280*2)^(1/$AJ280)))</f>
        <v/>
      </c>
      <c r="AO280">
        <f>IF($AJ280="","",IF($AJ280=0,$AK280*EXP($AL280*3),$AK280*(1+$AJ280*$AL280*3)^(1/$AJ280)))</f>
        <v/>
      </c>
      <c r="AP280">
        <f>IF($AJ280="","",IF($AJ280=0,$AK280*EXP($AL280*-2),$AK280*(1+$AJ280*$AL280*-2)^(1/$AJ280)))</f>
        <v/>
      </c>
      <c r="AQ280">
        <f>IF($AJ280="","",IF($AJ280=0,$AK280*EXP($AL280*-3),$AK280*(1+$AJ280*$AL280*-3)^(1/$AJ280)))</f>
        <v/>
      </c>
      <c r="AR280">
        <f>IF(OR($X280="",$T280&gt;60),"",IFERROR(INDEX(IF($T280&lt;24,pcomp_l,palt_l),MATCH($X280,IF($T280&lt;24,pcomp_k,palt_k),1)),""))</f>
        <v/>
      </c>
      <c r="AS280">
        <f>IF(OR($X280="",$T280&gt;60),"",IFERROR(INDEX(IF($T280&lt;24,pcomp_m,palt_m),MATCH($X280,IF($T280&lt;24,pcomp_k,palt_k),1)),""))</f>
        <v/>
      </c>
      <c r="AT280">
        <f>IF(OR($X280="",$T280&gt;60),"",IFERROR(INDEX(IF($T280&lt;24,pcomp_s,palt_s),MATCH($X280,IF($T280&lt;24,pcomp_k,palt_k),1)),""))</f>
        <v/>
      </c>
      <c r="AU280">
        <f>IF($AR280="","",IF($AR280=0,LN($F280/$AS280)/$AT280,((($F280/$AS280)^$AR280)-1)/($AR280*$AT280)))</f>
        <v/>
      </c>
      <c r="AV280">
        <f>IF($AR280="","",IF($AR280=0,$AS280*EXP($AT280*2),$AS280*(1+$AR280*$AT280*2)^(1/$AR280)))</f>
        <v/>
      </c>
      <c r="AW280">
        <f>IF($AR280="","",IF($AR280=0,$AS280*EXP($AT280*3),$AS280*(1+$AR280*$AT280*3)^(1/$AR280)))</f>
        <v/>
      </c>
      <c r="AX280">
        <f>IF($AR280="","",IF($AR280=0,$AS280*EXP($AT280*-2),$AS280*(1+$AR280*$AT280*-2)^(1/$AR280)))</f>
        <v/>
      </c>
      <c r="AY280">
        <f>IF($AR280="","",IF($AR280=0,$AS280*EXP($AT280*-3),$AS280*(1+$AR280*$AT280*-3)^(1/$AR280)))</f>
        <v/>
      </c>
      <c r="AZ280">
        <f>IF(OR($A280="",$A280&lt;&gt;Ficha!$C$4),"",COUNTIF($A$2:$A280,Ficha!$C$4))</f>
        <v/>
      </c>
    </row>
    <row r="281">
      <c r="A281" s="8">
        <f>IF(INDEX(Banco!$A:$A,ROW())="","",INDEX(Banco!$A:$A,ROW()))</f>
        <v/>
      </c>
      <c r="B281" s="8">
        <f>IF(INDEX(Banco!$B:$B,ROW())="","",INDEX(Banco!$B:$B,ROW()))</f>
        <v/>
      </c>
      <c r="C281" s="8">
        <f>IF(INDEX(Banco!$C:$C,ROW())="","",INDEX(Banco!$C:$C,ROW()))</f>
        <v/>
      </c>
      <c r="D281" s="9">
        <f>IF(INDEX(Banco!$D:$D,ROW())="","",INDEX(Banco!$D:$D,ROW()))</f>
        <v/>
      </c>
      <c r="E281" s="9">
        <f>IF(INDEX(Banco!$E:$E,ROW())="","",INDEX(Banco!$E:$E,ROW()))</f>
        <v/>
      </c>
      <c r="F281" s="10">
        <f>IF(INDEX(Banco!$F:$F,ROW())="","",INDEX(Banco!$F:$F,ROW()))</f>
        <v/>
      </c>
      <c r="G281" s="10">
        <f>IF(INDEX(Banco!$G:$G,ROW())="","",INDEX(Banco!$G:$G,ROW()))</f>
        <v/>
      </c>
      <c r="H281" s="8">
        <f>IF(INDEX(Banco!$H:$H,ROW())="","",INDEX(Banco!$H:$H,ROW()))</f>
        <v/>
      </c>
      <c r="I281">
        <f>IF($T281="","",INT($T281/12)&amp;"a "&amp;MOD($T281,12)&amp;"m")</f>
        <v/>
      </c>
      <c r="J281" s="11">
        <f>IF(OR($F281="",$G281=""),"",ROUND($F281/($G281/100)^2,2))</f>
        <v/>
      </c>
      <c r="K281" s="12">
        <f>IF(OR($S281="",$J281="",$T281="",$T281&lt;0,$T281&gt;228,$Y281=""),"—",ROUND(IF(ABS($AB281)&lt;=3,$AB281,IF($AB281&gt;3,3+($J281-$AD281)/($AD281-$AC281),-3+($J281-$AF281)/($AE281-$AF281))),2))</f>
        <v/>
      </c>
      <c r="L281">
        <f>IF(OR($K281="",$K281="—"),"",IF($T281&lt;=60,IF($K281&lt;-3,"Magreza acentuada",IF($K281&lt;-2,"Magreza",IF($K281&lt;=1,"Eutrofia",IF($K281&lt;=2,"Risco de sobrepeso",IF($K281&lt;=3,"Sobrepeso","Obesidade"))))),IF($K281&lt;-3,"Magreza acentuada",IF($K281&lt;-2,"Magreza",IF($K281&lt;=1,"Eutrofia",IF($K281&lt;=2,"Sobrepeso",IF($K281&lt;=3,"Obesidade","Obesidade grave")))))))</f>
        <v/>
      </c>
      <c r="M281" s="12">
        <f>IF(OR($S281="",$V281="",$T281="",$T281&lt;0,$T281&gt;228,$AG281=""),"—",ROUND(IF($AG281=0,LN($V281/$AH281)/$AI281,((($V281/$AH281)^$AG281)-1)/($AG281*$AI281)),2))</f>
        <v/>
      </c>
      <c r="N281">
        <f>IF(OR($M281="",$M281="—"),"",IF($M281&lt;-3,"Muito baixa",IF($M281&lt;-2,"Baixa","Adequada")))</f>
        <v/>
      </c>
      <c r="O281" s="12">
        <f>IF(OR($S281="",$F281="",$T281="",$T281&lt;0,$T281&gt;120,$AJ281=""),"—",ROUND(IF(ABS($AM281)&lt;=3,$AM281,IF($AM281&gt;3,3+($F281-$AO281)/($AO281-$AN281),-3+($F281-$AQ281)/($AP281-$AQ281))),2))</f>
        <v/>
      </c>
      <c r="P281">
        <f>IF(OR($O281="",$O281="—"),"",IF($O281&lt;-3,"Muito baixo",IF($O281&lt;-2,"Baixo",IF($O281&lt;=2,"Adequado","Elevado"))))</f>
        <v/>
      </c>
      <c r="Q281" s="12">
        <f>IF(OR($S281="",$F281="",$T281="",$T281&lt;0,$T281&gt;60,$AR281=""),"—",ROUND(IF(ABS($AU281)&lt;=3,$AU281,IF($AU281&gt;3,3+($F281-$AW281)/($AW281-$AV281),-3+($F281-$AY281)/($AX281-$AY281))),2))</f>
        <v/>
      </c>
      <c r="R281">
        <f>IF(OR($Q281="",$Q281="—"),"",IF($Q281&lt;-3,"Magreza acentuada",IF($Q281&lt;-2,"Magreza",IF($Q281&lt;=1,"Eutrofia",IF($Q281&lt;=2,"Risco de sobrepeso",IF($Q281&lt;=3,"Sobrepeso","Obesidade"))))))</f>
        <v/>
      </c>
      <c r="S281">
        <f>IF($C281="","",IF(UPPER(LEFT($C281,1))="M",1,IF(UPPER(LEFT($C281,1))="F",2,"")))</f>
        <v/>
      </c>
      <c r="T281">
        <f>IF(OR($D281="",$E281=""),"",DATEDIF($D281,$E281,"m"))</f>
        <v/>
      </c>
      <c r="U281">
        <f>IF(OR($D281="",$E281=""),"",$E281-$D281)</f>
        <v/>
      </c>
      <c r="V281">
        <f>IF(OR($G281="",$T281=""),"",IF($T281&lt;24,IF(LEFT(LOWER($H281),4)="em p",$G281+0.7,$G281),IF(LEFT(LOWER($H281),4)="deit",$G281-0.7,$G281)))</f>
        <v/>
      </c>
      <c r="W281">
        <f>IF(OR($S281="",$T281=""),"",$S281*1000000+IF($T281&lt;=60,$U281,$T281))</f>
        <v/>
      </c>
      <c r="X281">
        <f>IF(OR($S281="",$V281="",$T281&gt;60,$T281=""),"",$S281*1000000+ROUND($V281*10,0))</f>
        <v/>
      </c>
      <c r="Y281">
        <f>IF($W281="","",IFERROR(INDEX(IF($T281&lt;=60,imc05_l,imc519_l),MATCH($W281,IF($T281&lt;=60,imc05_k,imc519_k),1)),""))</f>
        <v/>
      </c>
      <c r="Z281">
        <f>IF($W281="","",IFERROR(INDEX(IF($T281&lt;=60,imc05_m,imc519_m),MATCH($W281,IF($T281&lt;=60,imc05_k,imc519_k),1)),""))</f>
        <v/>
      </c>
      <c r="AA281">
        <f>IF($W281="","",IFERROR(INDEX(IF($T281&lt;=60,imc05_s,imc519_s),MATCH($W281,IF($T281&lt;=60,imc05_k,imc519_k),1)),""))</f>
        <v/>
      </c>
      <c r="AB281">
        <f>IF($Y281="","",IF($Y281=0,LN($J281/$Z281)/$AA281,((($J281/$Z281)^$Y281)-1)/($Y281*$AA281)))</f>
        <v/>
      </c>
      <c r="AC281">
        <f>IF($Y281="","",IF($Y281=0,$Z281*EXP($AA281*2),$Z281*(1+$Y281*$AA281*2)^(1/$Y281)))</f>
        <v/>
      </c>
      <c r="AD281">
        <f>IF($Y281="","",IF($Y281=0,$Z281*EXP($AA281*3),$Z281*(1+$Y281*$AA281*3)^(1/$Y281)))</f>
        <v/>
      </c>
      <c r="AE281">
        <f>IF($Y281="","",IF($Y281=0,$Z281*EXP($AA281*-2),$Z281*(1+$Y281*$AA281*-2)^(1/$Y281)))</f>
        <v/>
      </c>
      <c r="AF281">
        <f>IF($Y281="","",IF($Y281=0,$Z281*EXP($AA281*-3),$Z281*(1+$Y281*$AA281*-3)^(1/$Y281)))</f>
        <v/>
      </c>
      <c r="AG281">
        <f>IF($W281="","",IFERROR(INDEX(IF($T281&lt;=60,est05_l,est519_l),MATCH($W281,IF($T281&lt;=60,est05_k,est519_k),1)),""))</f>
        <v/>
      </c>
      <c r="AH281">
        <f>IF($W281="","",IFERROR(INDEX(IF($T281&lt;=60,est05_m,est519_m),MATCH($W281,IF($T281&lt;=60,est05_k,est519_k),1)),""))</f>
        <v/>
      </c>
      <c r="AI281">
        <f>IF($W281="","",IFERROR(INDEX(IF($T281&lt;=60,est05_s,est519_s),MATCH($W281,IF($T281&lt;=60,est05_k,est519_k),1)),""))</f>
        <v/>
      </c>
      <c r="AJ281">
        <f>IF($W281="","",IFERROR(INDEX(IF($T281&lt;=60,peso05_l,peso510_l),MATCH($W281,IF($T281&lt;=60,peso05_k,peso510_k),1)),""))</f>
        <v/>
      </c>
      <c r="AK281">
        <f>IF($W281="","",IFERROR(INDEX(IF($T281&lt;=60,peso05_m,peso510_m),MATCH($W281,IF($T281&lt;=60,peso05_k,peso510_k),1)),""))</f>
        <v/>
      </c>
      <c r="AL281">
        <f>IF($W281="","",IFERROR(INDEX(IF($T281&lt;=60,peso05_s,peso510_s),MATCH($W281,IF($T281&lt;=60,peso05_k,peso510_k),1)),""))</f>
        <v/>
      </c>
      <c r="AM281">
        <f>IF($AJ281="","",IF($AJ281=0,LN($F281/$AK281)/$AL281,((($F281/$AK281)^$AJ281)-1)/($AJ281*$AL281)))</f>
        <v/>
      </c>
      <c r="AN281">
        <f>IF($AJ281="","",IF($AJ281=0,$AK281*EXP($AL281*2),$AK281*(1+$AJ281*$AL281*2)^(1/$AJ281)))</f>
        <v/>
      </c>
      <c r="AO281">
        <f>IF($AJ281="","",IF($AJ281=0,$AK281*EXP($AL281*3),$AK281*(1+$AJ281*$AL281*3)^(1/$AJ281)))</f>
        <v/>
      </c>
      <c r="AP281">
        <f>IF($AJ281="","",IF($AJ281=0,$AK281*EXP($AL281*-2),$AK281*(1+$AJ281*$AL281*-2)^(1/$AJ281)))</f>
        <v/>
      </c>
      <c r="AQ281">
        <f>IF($AJ281="","",IF($AJ281=0,$AK281*EXP($AL281*-3),$AK281*(1+$AJ281*$AL281*-3)^(1/$AJ281)))</f>
        <v/>
      </c>
      <c r="AR281">
        <f>IF(OR($X281="",$T281&gt;60),"",IFERROR(INDEX(IF($T281&lt;24,pcomp_l,palt_l),MATCH($X281,IF($T281&lt;24,pcomp_k,palt_k),1)),""))</f>
        <v/>
      </c>
      <c r="AS281">
        <f>IF(OR($X281="",$T281&gt;60),"",IFERROR(INDEX(IF($T281&lt;24,pcomp_m,palt_m),MATCH($X281,IF($T281&lt;24,pcomp_k,palt_k),1)),""))</f>
        <v/>
      </c>
      <c r="AT281">
        <f>IF(OR($X281="",$T281&gt;60),"",IFERROR(INDEX(IF($T281&lt;24,pcomp_s,palt_s),MATCH($X281,IF($T281&lt;24,pcomp_k,palt_k),1)),""))</f>
        <v/>
      </c>
      <c r="AU281">
        <f>IF($AR281="","",IF($AR281=0,LN($F281/$AS281)/$AT281,((($F281/$AS281)^$AR281)-1)/($AR281*$AT281)))</f>
        <v/>
      </c>
      <c r="AV281">
        <f>IF($AR281="","",IF($AR281=0,$AS281*EXP($AT281*2),$AS281*(1+$AR281*$AT281*2)^(1/$AR281)))</f>
        <v/>
      </c>
      <c r="AW281">
        <f>IF($AR281="","",IF($AR281=0,$AS281*EXP($AT281*3),$AS281*(1+$AR281*$AT281*3)^(1/$AR281)))</f>
        <v/>
      </c>
      <c r="AX281">
        <f>IF($AR281="","",IF($AR281=0,$AS281*EXP($AT281*-2),$AS281*(1+$AR281*$AT281*-2)^(1/$AR281)))</f>
        <v/>
      </c>
      <c r="AY281">
        <f>IF($AR281="","",IF($AR281=0,$AS281*EXP($AT281*-3),$AS281*(1+$AR281*$AT281*-3)^(1/$AR281)))</f>
        <v/>
      </c>
      <c r="AZ281">
        <f>IF(OR($A281="",$A281&lt;&gt;Ficha!$C$4),"",COUNTIF($A$2:$A281,Ficha!$C$4))</f>
        <v/>
      </c>
    </row>
    <row r="282">
      <c r="A282" s="8">
        <f>IF(INDEX(Banco!$A:$A,ROW())="","",INDEX(Banco!$A:$A,ROW()))</f>
        <v/>
      </c>
      <c r="B282" s="8">
        <f>IF(INDEX(Banco!$B:$B,ROW())="","",INDEX(Banco!$B:$B,ROW()))</f>
        <v/>
      </c>
      <c r="C282" s="8">
        <f>IF(INDEX(Banco!$C:$C,ROW())="","",INDEX(Banco!$C:$C,ROW()))</f>
        <v/>
      </c>
      <c r="D282" s="9">
        <f>IF(INDEX(Banco!$D:$D,ROW())="","",INDEX(Banco!$D:$D,ROW()))</f>
        <v/>
      </c>
      <c r="E282" s="9">
        <f>IF(INDEX(Banco!$E:$E,ROW())="","",INDEX(Banco!$E:$E,ROW()))</f>
        <v/>
      </c>
      <c r="F282" s="10">
        <f>IF(INDEX(Banco!$F:$F,ROW())="","",INDEX(Banco!$F:$F,ROW()))</f>
        <v/>
      </c>
      <c r="G282" s="10">
        <f>IF(INDEX(Banco!$G:$G,ROW())="","",INDEX(Banco!$G:$G,ROW()))</f>
        <v/>
      </c>
      <c r="H282" s="8">
        <f>IF(INDEX(Banco!$H:$H,ROW())="","",INDEX(Banco!$H:$H,ROW()))</f>
        <v/>
      </c>
      <c r="I282">
        <f>IF($T282="","",INT($T282/12)&amp;"a "&amp;MOD($T282,12)&amp;"m")</f>
        <v/>
      </c>
      <c r="J282" s="11">
        <f>IF(OR($F282="",$G282=""),"",ROUND($F282/($G282/100)^2,2))</f>
        <v/>
      </c>
      <c r="K282" s="12">
        <f>IF(OR($S282="",$J282="",$T282="",$T282&lt;0,$T282&gt;228,$Y282=""),"—",ROUND(IF(ABS($AB282)&lt;=3,$AB282,IF($AB282&gt;3,3+($J282-$AD282)/($AD282-$AC282),-3+($J282-$AF282)/($AE282-$AF282))),2))</f>
        <v/>
      </c>
      <c r="L282">
        <f>IF(OR($K282="",$K282="—"),"",IF($T282&lt;=60,IF($K282&lt;-3,"Magreza acentuada",IF($K282&lt;-2,"Magreza",IF($K282&lt;=1,"Eutrofia",IF($K282&lt;=2,"Risco de sobrepeso",IF($K282&lt;=3,"Sobrepeso","Obesidade"))))),IF($K282&lt;-3,"Magreza acentuada",IF($K282&lt;-2,"Magreza",IF($K282&lt;=1,"Eutrofia",IF($K282&lt;=2,"Sobrepeso",IF($K282&lt;=3,"Obesidade","Obesidade grave")))))))</f>
        <v/>
      </c>
      <c r="M282" s="12">
        <f>IF(OR($S282="",$V282="",$T282="",$T282&lt;0,$T282&gt;228,$AG282=""),"—",ROUND(IF($AG282=0,LN($V282/$AH282)/$AI282,((($V282/$AH282)^$AG282)-1)/($AG282*$AI282)),2))</f>
        <v/>
      </c>
      <c r="N282">
        <f>IF(OR($M282="",$M282="—"),"",IF($M282&lt;-3,"Muito baixa",IF($M282&lt;-2,"Baixa","Adequada")))</f>
        <v/>
      </c>
      <c r="O282" s="12">
        <f>IF(OR($S282="",$F282="",$T282="",$T282&lt;0,$T282&gt;120,$AJ282=""),"—",ROUND(IF(ABS($AM282)&lt;=3,$AM282,IF($AM282&gt;3,3+($F282-$AO282)/($AO282-$AN282),-3+($F282-$AQ282)/($AP282-$AQ282))),2))</f>
        <v/>
      </c>
      <c r="P282">
        <f>IF(OR($O282="",$O282="—"),"",IF($O282&lt;-3,"Muito baixo",IF($O282&lt;-2,"Baixo",IF($O282&lt;=2,"Adequado","Elevado"))))</f>
        <v/>
      </c>
      <c r="Q282" s="12">
        <f>IF(OR($S282="",$F282="",$T282="",$T282&lt;0,$T282&gt;60,$AR282=""),"—",ROUND(IF(ABS($AU282)&lt;=3,$AU282,IF($AU282&gt;3,3+($F282-$AW282)/($AW282-$AV282),-3+($F282-$AY282)/($AX282-$AY282))),2))</f>
        <v/>
      </c>
      <c r="R282">
        <f>IF(OR($Q282="",$Q282="—"),"",IF($Q282&lt;-3,"Magreza acentuada",IF($Q282&lt;-2,"Magreza",IF($Q282&lt;=1,"Eutrofia",IF($Q282&lt;=2,"Risco de sobrepeso",IF($Q282&lt;=3,"Sobrepeso","Obesidade"))))))</f>
        <v/>
      </c>
      <c r="S282">
        <f>IF($C282="","",IF(UPPER(LEFT($C282,1))="M",1,IF(UPPER(LEFT($C282,1))="F",2,"")))</f>
        <v/>
      </c>
      <c r="T282">
        <f>IF(OR($D282="",$E282=""),"",DATEDIF($D282,$E282,"m"))</f>
        <v/>
      </c>
      <c r="U282">
        <f>IF(OR($D282="",$E282=""),"",$E282-$D282)</f>
        <v/>
      </c>
      <c r="V282">
        <f>IF(OR($G282="",$T282=""),"",IF($T282&lt;24,IF(LEFT(LOWER($H282),4)="em p",$G282+0.7,$G282),IF(LEFT(LOWER($H282),4)="deit",$G282-0.7,$G282)))</f>
        <v/>
      </c>
      <c r="W282">
        <f>IF(OR($S282="",$T282=""),"",$S282*1000000+IF($T282&lt;=60,$U282,$T282))</f>
        <v/>
      </c>
      <c r="X282">
        <f>IF(OR($S282="",$V282="",$T282&gt;60,$T282=""),"",$S282*1000000+ROUND($V282*10,0))</f>
        <v/>
      </c>
      <c r="Y282">
        <f>IF($W282="","",IFERROR(INDEX(IF($T282&lt;=60,imc05_l,imc519_l),MATCH($W282,IF($T282&lt;=60,imc05_k,imc519_k),1)),""))</f>
        <v/>
      </c>
      <c r="Z282">
        <f>IF($W282="","",IFERROR(INDEX(IF($T282&lt;=60,imc05_m,imc519_m),MATCH($W282,IF($T282&lt;=60,imc05_k,imc519_k),1)),""))</f>
        <v/>
      </c>
      <c r="AA282">
        <f>IF($W282="","",IFERROR(INDEX(IF($T282&lt;=60,imc05_s,imc519_s),MATCH($W282,IF($T282&lt;=60,imc05_k,imc519_k),1)),""))</f>
        <v/>
      </c>
      <c r="AB282">
        <f>IF($Y282="","",IF($Y282=0,LN($J282/$Z282)/$AA282,((($J282/$Z282)^$Y282)-1)/($Y282*$AA282)))</f>
        <v/>
      </c>
      <c r="AC282">
        <f>IF($Y282="","",IF($Y282=0,$Z282*EXP($AA282*2),$Z282*(1+$Y282*$AA282*2)^(1/$Y282)))</f>
        <v/>
      </c>
      <c r="AD282">
        <f>IF($Y282="","",IF($Y282=0,$Z282*EXP($AA282*3),$Z282*(1+$Y282*$AA282*3)^(1/$Y282)))</f>
        <v/>
      </c>
      <c r="AE282">
        <f>IF($Y282="","",IF($Y282=0,$Z282*EXP($AA282*-2),$Z282*(1+$Y282*$AA282*-2)^(1/$Y282)))</f>
        <v/>
      </c>
      <c r="AF282">
        <f>IF($Y282="","",IF($Y282=0,$Z282*EXP($AA282*-3),$Z282*(1+$Y282*$AA282*-3)^(1/$Y282)))</f>
        <v/>
      </c>
      <c r="AG282">
        <f>IF($W282="","",IFERROR(INDEX(IF($T282&lt;=60,est05_l,est519_l),MATCH($W282,IF($T282&lt;=60,est05_k,est519_k),1)),""))</f>
        <v/>
      </c>
      <c r="AH282">
        <f>IF($W282="","",IFERROR(INDEX(IF($T282&lt;=60,est05_m,est519_m),MATCH($W282,IF($T282&lt;=60,est05_k,est519_k),1)),""))</f>
        <v/>
      </c>
      <c r="AI282">
        <f>IF($W282="","",IFERROR(INDEX(IF($T282&lt;=60,est05_s,est519_s),MATCH($W282,IF($T282&lt;=60,est05_k,est519_k),1)),""))</f>
        <v/>
      </c>
      <c r="AJ282">
        <f>IF($W282="","",IFERROR(INDEX(IF($T282&lt;=60,peso05_l,peso510_l),MATCH($W282,IF($T282&lt;=60,peso05_k,peso510_k),1)),""))</f>
        <v/>
      </c>
      <c r="AK282">
        <f>IF($W282="","",IFERROR(INDEX(IF($T282&lt;=60,peso05_m,peso510_m),MATCH($W282,IF($T282&lt;=60,peso05_k,peso510_k),1)),""))</f>
        <v/>
      </c>
      <c r="AL282">
        <f>IF($W282="","",IFERROR(INDEX(IF($T282&lt;=60,peso05_s,peso510_s),MATCH($W282,IF($T282&lt;=60,peso05_k,peso510_k),1)),""))</f>
        <v/>
      </c>
      <c r="AM282">
        <f>IF($AJ282="","",IF($AJ282=0,LN($F282/$AK282)/$AL282,((($F282/$AK282)^$AJ282)-1)/($AJ282*$AL282)))</f>
        <v/>
      </c>
      <c r="AN282">
        <f>IF($AJ282="","",IF($AJ282=0,$AK282*EXP($AL282*2),$AK282*(1+$AJ282*$AL282*2)^(1/$AJ282)))</f>
        <v/>
      </c>
      <c r="AO282">
        <f>IF($AJ282="","",IF($AJ282=0,$AK282*EXP($AL282*3),$AK282*(1+$AJ282*$AL282*3)^(1/$AJ282)))</f>
        <v/>
      </c>
      <c r="AP282">
        <f>IF($AJ282="","",IF($AJ282=0,$AK282*EXP($AL282*-2),$AK282*(1+$AJ282*$AL282*-2)^(1/$AJ282)))</f>
        <v/>
      </c>
      <c r="AQ282">
        <f>IF($AJ282="","",IF($AJ282=0,$AK282*EXP($AL282*-3),$AK282*(1+$AJ282*$AL282*-3)^(1/$AJ282)))</f>
        <v/>
      </c>
      <c r="AR282">
        <f>IF(OR($X282="",$T282&gt;60),"",IFERROR(INDEX(IF($T282&lt;24,pcomp_l,palt_l),MATCH($X282,IF($T282&lt;24,pcomp_k,palt_k),1)),""))</f>
        <v/>
      </c>
      <c r="AS282">
        <f>IF(OR($X282="",$T282&gt;60),"",IFERROR(INDEX(IF($T282&lt;24,pcomp_m,palt_m),MATCH($X282,IF($T282&lt;24,pcomp_k,palt_k),1)),""))</f>
        <v/>
      </c>
      <c r="AT282">
        <f>IF(OR($X282="",$T282&gt;60),"",IFERROR(INDEX(IF($T282&lt;24,pcomp_s,palt_s),MATCH($X282,IF($T282&lt;24,pcomp_k,palt_k),1)),""))</f>
        <v/>
      </c>
      <c r="AU282">
        <f>IF($AR282="","",IF($AR282=0,LN($F282/$AS282)/$AT282,((($F282/$AS282)^$AR282)-1)/($AR282*$AT282)))</f>
        <v/>
      </c>
      <c r="AV282">
        <f>IF($AR282="","",IF($AR282=0,$AS282*EXP($AT282*2),$AS282*(1+$AR282*$AT282*2)^(1/$AR282)))</f>
        <v/>
      </c>
      <c r="AW282">
        <f>IF($AR282="","",IF($AR282=0,$AS282*EXP($AT282*3),$AS282*(1+$AR282*$AT282*3)^(1/$AR282)))</f>
        <v/>
      </c>
      <c r="AX282">
        <f>IF($AR282="","",IF($AR282=0,$AS282*EXP($AT282*-2),$AS282*(1+$AR282*$AT282*-2)^(1/$AR282)))</f>
        <v/>
      </c>
      <c r="AY282">
        <f>IF($AR282="","",IF($AR282=0,$AS282*EXP($AT282*-3),$AS282*(1+$AR282*$AT282*-3)^(1/$AR282)))</f>
        <v/>
      </c>
      <c r="AZ282">
        <f>IF(OR($A282="",$A282&lt;&gt;Ficha!$C$4),"",COUNTIF($A$2:$A282,Ficha!$C$4))</f>
        <v/>
      </c>
    </row>
    <row r="283">
      <c r="A283" s="8">
        <f>IF(INDEX(Banco!$A:$A,ROW())="","",INDEX(Banco!$A:$A,ROW()))</f>
        <v/>
      </c>
      <c r="B283" s="8">
        <f>IF(INDEX(Banco!$B:$B,ROW())="","",INDEX(Banco!$B:$B,ROW()))</f>
        <v/>
      </c>
      <c r="C283" s="8">
        <f>IF(INDEX(Banco!$C:$C,ROW())="","",INDEX(Banco!$C:$C,ROW()))</f>
        <v/>
      </c>
      <c r="D283" s="9">
        <f>IF(INDEX(Banco!$D:$D,ROW())="","",INDEX(Banco!$D:$D,ROW()))</f>
        <v/>
      </c>
      <c r="E283" s="9">
        <f>IF(INDEX(Banco!$E:$E,ROW())="","",INDEX(Banco!$E:$E,ROW()))</f>
        <v/>
      </c>
      <c r="F283" s="10">
        <f>IF(INDEX(Banco!$F:$F,ROW())="","",INDEX(Banco!$F:$F,ROW()))</f>
        <v/>
      </c>
      <c r="G283" s="10">
        <f>IF(INDEX(Banco!$G:$G,ROW())="","",INDEX(Banco!$G:$G,ROW()))</f>
        <v/>
      </c>
      <c r="H283" s="8">
        <f>IF(INDEX(Banco!$H:$H,ROW())="","",INDEX(Banco!$H:$H,ROW()))</f>
        <v/>
      </c>
      <c r="I283">
        <f>IF($T283="","",INT($T283/12)&amp;"a "&amp;MOD($T283,12)&amp;"m")</f>
        <v/>
      </c>
      <c r="J283" s="11">
        <f>IF(OR($F283="",$G283=""),"",ROUND($F283/($G283/100)^2,2))</f>
        <v/>
      </c>
      <c r="K283" s="12">
        <f>IF(OR($S283="",$J283="",$T283="",$T283&lt;0,$T283&gt;228,$Y283=""),"—",ROUND(IF(ABS($AB283)&lt;=3,$AB283,IF($AB283&gt;3,3+($J283-$AD283)/($AD283-$AC283),-3+($J283-$AF283)/($AE283-$AF283))),2))</f>
        <v/>
      </c>
      <c r="L283">
        <f>IF(OR($K283="",$K283="—"),"",IF($T283&lt;=60,IF($K283&lt;-3,"Magreza acentuada",IF($K283&lt;-2,"Magreza",IF($K283&lt;=1,"Eutrofia",IF($K283&lt;=2,"Risco de sobrepeso",IF($K283&lt;=3,"Sobrepeso","Obesidade"))))),IF($K283&lt;-3,"Magreza acentuada",IF($K283&lt;-2,"Magreza",IF($K283&lt;=1,"Eutrofia",IF($K283&lt;=2,"Sobrepeso",IF($K283&lt;=3,"Obesidade","Obesidade grave")))))))</f>
        <v/>
      </c>
      <c r="M283" s="12">
        <f>IF(OR($S283="",$V283="",$T283="",$T283&lt;0,$T283&gt;228,$AG283=""),"—",ROUND(IF($AG283=0,LN($V283/$AH283)/$AI283,((($V283/$AH283)^$AG283)-1)/($AG283*$AI283)),2))</f>
        <v/>
      </c>
      <c r="N283">
        <f>IF(OR($M283="",$M283="—"),"",IF($M283&lt;-3,"Muito baixa",IF($M283&lt;-2,"Baixa","Adequada")))</f>
        <v/>
      </c>
      <c r="O283" s="12">
        <f>IF(OR($S283="",$F283="",$T283="",$T283&lt;0,$T283&gt;120,$AJ283=""),"—",ROUND(IF(ABS($AM283)&lt;=3,$AM283,IF($AM283&gt;3,3+($F283-$AO283)/($AO283-$AN283),-3+($F283-$AQ283)/($AP283-$AQ283))),2))</f>
        <v/>
      </c>
      <c r="P283">
        <f>IF(OR($O283="",$O283="—"),"",IF($O283&lt;-3,"Muito baixo",IF($O283&lt;-2,"Baixo",IF($O283&lt;=2,"Adequado","Elevado"))))</f>
        <v/>
      </c>
      <c r="Q283" s="12">
        <f>IF(OR($S283="",$F283="",$T283="",$T283&lt;0,$T283&gt;60,$AR283=""),"—",ROUND(IF(ABS($AU283)&lt;=3,$AU283,IF($AU283&gt;3,3+($F283-$AW283)/($AW283-$AV283),-3+($F283-$AY283)/($AX283-$AY283))),2))</f>
        <v/>
      </c>
      <c r="R283">
        <f>IF(OR($Q283="",$Q283="—"),"",IF($Q283&lt;-3,"Magreza acentuada",IF($Q283&lt;-2,"Magreza",IF($Q283&lt;=1,"Eutrofia",IF($Q283&lt;=2,"Risco de sobrepeso",IF($Q283&lt;=3,"Sobrepeso","Obesidade"))))))</f>
        <v/>
      </c>
      <c r="S283">
        <f>IF($C283="","",IF(UPPER(LEFT($C283,1))="M",1,IF(UPPER(LEFT($C283,1))="F",2,"")))</f>
        <v/>
      </c>
      <c r="T283">
        <f>IF(OR($D283="",$E283=""),"",DATEDIF($D283,$E283,"m"))</f>
        <v/>
      </c>
      <c r="U283">
        <f>IF(OR($D283="",$E283=""),"",$E283-$D283)</f>
        <v/>
      </c>
      <c r="V283">
        <f>IF(OR($G283="",$T283=""),"",IF($T283&lt;24,IF(LEFT(LOWER($H283),4)="em p",$G283+0.7,$G283),IF(LEFT(LOWER($H283),4)="deit",$G283-0.7,$G283)))</f>
        <v/>
      </c>
      <c r="W283">
        <f>IF(OR($S283="",$T283=""),"",$S283*1000000+IF($T283&lt;=60,$U283,$T283))</f>
        <v/>
      </c>
      <c r="X283">
        <f>IF(OR($S283="",$V283="",$T283&gt;60,$T283=""),"",$S283*1000000+ROUND($V283*10,0))</f>
        <v/>
      </c>
      <c r="Y283">
        <f>IF($W283="","",IFERROR(INDEX(IF($T283&lt;=60,imc05_l,imc519_l),MATCH($W283,IF($T283&lt;=60,imc05_k,imc519_k),1)),""))</f>
        <v/>
      </c>
      <c r="Z283">
        <f>IF($W283="","",IFERROR(INDEX(IF($T283&lt;=60,imc05_m,imc519_m),MATCH($W283,IF($T283&lt;=60,imc05_k,imc519_k),1)),""))</f>
        <v/>
      </c>
      <c r="AA283">
        <f>IF($W283="","",IFERROR(INDEX(IF($T283&lt;=60,imc05_s,imc519_s),MATCH($W283,IF($T283&lt;=60,imc05_k,imc519_k),1)),""))</f>
        <v/>
      </c>
      <c r="AB283">
        <f>IF($Y283="","",IF($Y283=0,LN($J283/$Z283)/$AA283,((($J283/$Z283)^$Y283)-1)/($Y283*$AA283)))</f>
        <v/>
      </c>
      <c r="AC283">
        <f>IF($Y283="","",IF($Y283=0,$Z283*EXP($AA283*2),$Z283*(1+$Y283*$AA283*2)^(1/$Y283)))</f>
        <v/>
      </c>
      <c r="AD283">
        <f>IF($Y283="","",IF($Y283=0,$Z283*EXP($AA283*3),$Z283*(1+$Y283*$AA283*3)^(1/$Y283)))</f>
        <v/>
      </c>
      <c r="AE283">
        <f>IF($Y283="","",IF($Y283=0,$Z283*EXP($AA283*-2),$Z283*(1+$Y283*$AA283*-2)^(1/$Y283)))</f>
        <v/>
      </c>
      <c r="AF283">
        <f>IF($Y283="","",IF($Y283=0,$Z283*EXP($AA283*-3),$Z283*(1+$Y283*$AA283*-3)^(1/$Y283)))</f>
        <v/>
      </c>
      <c r="AG283">
        <f>IF($W283="","",IFERROR(INDEX(IF($T283&lt;=60,est05_l,est519_l),MATCH($W283,IF($T283&lt;=60,est05_k,est519_k),1)),""))</f>
        <v/>
      </c>
      <c r="AH283">
        <f>IF($W283="","",IFERROR(INDEX(IF($T283&lt;=60,est05_m,est519_m),MATCH($W283,IF($T283&lt;=60,est05_k,est519_k),1)),""))</f>
        <v/>
      </c>
      <c r="AI283">
        <f>IF($W283="","",IFERROR(INDEX(IF($T283&lt;=60,est05_s,est519_s),MATCH($W283,IF($T283&lt;=60,est05_k,est519_k),1)),""))</f>
        <v/>
      </c>
      <c r="AJ283">
        <f>IF($W283="","",IFERROR(INDEX(IF($T283&lt;=60,peso05_l,peso510_l),MATCH($W283,IF($T283&lt;=60,peso05_k,peso510_k),1)),""))</f>
        <v/>
      </c>
      <c r="AK283">
        <f>IF($W283="","",IFERROR(INDEX(IF($T283&lt;=60,peso05_m,peso510_m),MATCH($W283,IF($T283&lt;=60,peso05_k,peso510_k),1)),""))</f>
        <v/>
      </c>
      <c r="AL283">
        <f>IF($W283="","",IFERROR(INDEX(IF($T283&lt;=60,peso05_s,peso510_s),MATCH($W283,IF($T283&lt;=60,peso05_k,peso510_k),1)),""))</f>
        <v/>
      </c>
      <c r="AM283">
        <f>IF($AJ283="","",IF($AJ283=0,LN($F283/$AK283)/$AL283,((($F283/$AK283)^$AJ283)-1)/($AJ283*$AL283)))</f>
        <v/>
      </c>
      <c r="AN283">
        <f>IF($AJ283="","",IF($AJ283=0,$AK283*EXP($AL283*2),$AK283*(1+$AJ283*$AL283*2)^(1/$AJ283)))</f>
        <v/>
      </c>
      <c r="AO283">
        <f>IF($AJ283="","",IF($AJ283=0,$AK283*EXP($AL283*3),$AK283*(1+$AJ283*$AL283*3)^(1/$AJ283)))</f>
        <v/>
      </c>
      <c r="AP283">
        <f>IF($AJ283="","",IF($AJ283=0,$AK283*EXP($AL283*-2),$AK283*(1+$AJ283*$AL283*-2)^(1/$AJ283)))</f>
        <v/>
      </c>
      <c r="AQ283">
        <f>IF($AJ283="","",IF($AJ283=0,$AK283*EXP($AL283*-3),$AK283*(1+$AJ283*$AL283*-3)^(1/$AJ283)))</f>
        <v/>
      </c>
      <c r="AR283">
        <f>IF(OR($X283="",$T283&gt;60),"",IFERROR(INDEX(IF($T283&lt;24,pcomp_l,palt_l),MATCH($X283,IF($T283&lt;24,pcomp_k,palt_k),1)),""))</f>
        <v/>
      </c>
      <c r="AS283">
        <f>IF(OR($X283="",$T283&gt;60),"",IFERROR(INDEX(IF($T283&lt;24,pcomp_m,palt_m),MATCH($X283,IF($T283&lt;24,pcomp_k,palt_k),1)),""))</f>
        <v/>
      </c>
      <c r="AT283">
        <f>IF(OR($X283="",$T283&gt;60),"",IFERROR(INDEX(IF($T283&lt;24,pcomp_s,palt_s),MATCH($X283,IF($T283&lt;24,pcomp_k,palt_k),1)),""))</f>
        <v/>
      </c>
      <c r="AU283">
        <f>IF($AR283="","",IF($AR283=0,LN($F283/$AS283)/$AT283,((($F283/$AS283)^$AR283)-1)/($AR283*$AT283)))</f>
        <v/>
      </c>
      <c r="AV283">
        <f>IF($AR283="","",IF($AR283=0,$AS283*EXP($AT283*2),$AS283*(1+$AR283*$AT283*2)^(1/$AR283)))</f>
        <v/>
      </c>
      <c r="AW283">
        <f>IF($AR283="","",IF($AR283=0,$AS283*EXP($AT283*3),$AS283*(1+$AR283*$AT283*3)^(1/$AR283)))</f>
        <v/>
      </c>
      <c r="AX283">
        <f>IF($AR283="","",IF($AR283=0,$AS283*EXP($AT283*-2),$AS283*(1+$AR283*$AT283*-2)^(1/$AR283)))</f>
        <v/>
      </c>
      <c r="AY283">
        <f>IF($AR283="","",IF($AR283=0,$AS283*EXP($AT283*-3),$AS283*(1+$AR283*$AT283*-3)^(1/$AR283)))</f>
        <v/>
      </c>
      <c r="AZ283">
        <f>IF(OR($A283="",$A283&lt;&gt;Ficha!$C$4),"",COUNTIF($A$2:$A283,Ficha!$C$4))</f>
        <v/>
      </c>
    </row>
    <row r="284">
      <c r="A284" s="8">
        <f>IF(INDEX(Banco!$A:$A,ROW())="","",INDEX(Banco!$A:$A,ROW()))</f>
        <v/>
      </c>
      <c r="B284" s="8">
        <f>IF(INDEX(Banco!$B:$B,ROW())="","",INDEX(Banco!$B:$B,ROW()))</f>
        <v/>
      </c>
      <c r="C284" s="8">
        <f>IF(INDEX(Banco!$C:$C,ROW())="","",INDEX(Banco!$C:$C,ROW()))</f>
        <v/>
      </c>
      <c r="D284" s="9">
        <f>IF(INDEX(Banco!$D:$D,ROW())="","",INDEX(Banco!$D:$D,ROW()))</f>
        <v/>
      </c>
      <c r="E284" s="9">
        <f>IF(INDEX(Banco!$E:$E,ROW())="","",INDEX(Banco!$E:$E,ROW()))</f>
        <v/>
      </c>
      <c r="F284" s="10">
        <f>IF(INDEX(Banco!$F:$F,ROW())="","",INDEX(Banco!$F:$F,ROW()))</f>
        <v/>
      </c>
      <c r="G284" s="10">
        <f>IF(INDEX(Banco!$G:$G,ROW())="","",INDEX(Banco!$G:$G,ROW()))</f>
        <v/>
      </c>
      <c r="H284" s="8">
        <f>IF(INDEX(Banco!$H:$H,ROW())="","",INDEX(Banco!$H:$H,ROW()))</f>
        <v/>
      </c>
      <c r="I284">
        <f>IF($T284="","",INT($T284/12)&amp;"a "&amp;MOD($T284,12)&amp;"m")</f>
        <v/>
      </c>
      <c r="J284" s="11">
        <f>IF(OR($F284="",$G284=""),"",ROUND($F284/($G284/100)^2,2))</f>
        <v/>
      </c>
      <c r="K284" s="12">
        <f>IF(OR($S284="",$J284="",$T284="",$T284&lt;0,$T284&gt;228,$Y284=""),"—",ROUND(IF(ABS($AB284)&lt;=3,$AB284,IF($AB284&gt;3,3+($J284-$AD284)/($AD284-$AC284),-3+($J284-$AF284)/($AE284-$AF284))),2))</f>
        <v/>
      </c>
      <c r="L284">
        <f>IF(OR($K284="",$K284="—"),"",IF($T284&lt;=60,IF($K284&lt;-3,"Magreza acentuada",IF($K284&lt;-2,"Magreza",IF($K284&lt;=1,"Eutrofia",IF($K284&lt;=2,"Risco de sobrepeso",IF($K284&lt;=3,"Sobrepeso","Obesidade"))))),IF($K284&lt;-3,"Magreza acentuada",IF($K284&lt;-2,"Magreza",IF($K284&lt;=1,"Eutrofia",IF($K284&lt;=2,"Sobrepeso",IF($K284&lt;=3,"Obesidade","Obesidade grave")))))))</f>
        <v/>
      </c>
      <c r="M284" s="12">
        <f>IF(OR($S284="",$V284="",$T284="",$T284&lt;0,$T284&gt;228,$AG284=""),"—",ROUND(IF($AG284=0,LN($V284/$AH284)/$AI284,((($V284/$AH284)^$AG284)-1)/($AG284*$AI284)),2))</f>
        <v/>
      </c>
      <c r="N284">
        <f>IF(OR($M284="",$M284="—"),"",IF($M284&lt;-3,"Muito baixa",IF($M284&lt;-2,"Baixa","Adequada")))</f>
        <v/>
      </c>
      <c r="O284" s="12">
        <f>IF(OR($S284="",$F284="",$T284="",$T284&lt;0,$T284&gt;120,$AJ284=""),"—",ROUND(IF(ABS($AM284)&lt;=3,$AM284,IF($AM284&gt;3,3+($F284-$AO284)/($AO284-$AN284),-3+($F284-$AQ284)/($AP284-$AQ284))),2))</f>
        <v/>
      </c>
      <c r="P284">
        <f>IF(OR($O284="",$O284="—"),"",IF($O284&lt;-3,"Muito baixo",IF($O284&lt;-2,"Baixo",IF($O284&lt;=2,"Adequado","Elevado"))))</f>
        <v/>
      </c>
      <c r="Q284" s="12">
        <f>IF(OR($S284="",$F284="",$T284="",$T284&lt;0,$T284&gt;60,$AR284=""),"—",ROUND(IF(ABS($AU284)&lt;=3,$AU284,IF($AU284&gt;3,3+($F284-$AW284)/($AW284-$AV284),-3+($F284-$AY284)/($AX284-$AY284))),2))</f>
        <v/>
      </c>
      <c r="R284">
        <f>IF(OR($Q284="",$Q284="—"),"",IF($Q284&lt;-3,"Magreza acentuada",IF($Q284&lt;-2,"Magreza",IF($Q284&lt;=1,"Eutrofia",IF($Q284&lt;=2,"Risco de sobrepeso",IF($Q284&lt;=3,"Sobrepeso","Obesidade"))))))</f>
        <v/>
      </c>
      <c r="S284">
        <f>IF($C284="","",IF(UPPER(LEFT($C284,1))="M",1,IF(UPPER(LEFT($C284,1))="F",2,"")))</f>
        <v/>
      </c>
      <c r="T284">
        <f>IF(OR($D284="",$E284=""),"",DATEDIF($D284,$E284,"m"))</f>
        <v/>
      </c>
      <c r="U284">
        <f>IF(OR($D284="",$E284=""),"",$E284-$D284)</f>
        <v/>
      </c>
      <c r="V284">
        <f>IF(OR($G284="",$T284=""),"",IF($T284&lt;24,IF(LEFT(LOWER($H284),4)="em p",$G284+0.7,$G284),IF(LEFT(LOWER($H284),4)="deit",$G284-0.7,$G284)))</f>
        <v/>
      </c>
      <c r="W284">
        <f>IF(OR($S284="",$T284=""),"",$S284*1000000+IF($T284&lt;=60,$U284,$T284))</f>
        <v/>
      </c>
      <c r="X284">
        <f>IF(OR($S284="",$V284="",$T284&gt;60,$T284=""),"",$S284*1000000+ROUND($V284*10,0))</f>
        <v/>
      </c>
      <c r="Y284">
        <f>IF($W284="","",IFERROR(INDEX(IF($T284&lt;=60,imc05_l,imc519_l),MATCH($W284,IF($T284&lt;=60,imc05_k,imc519_k),1)),""))</f>
        <v/>
      </c>
      <c r="Z284">
        <f>IF($W284="","",IFERROR(INDEX(IF($T284&lt;=60,imc05_m,imc519_m),MATCH($W284,IF($T284&lt;=60,imc05_k,imc519_k),1)),""))</f>
        <v/>
      </c>
      <c r="AA284">
        <f>IF($W284="","",IFERROR(INDEX(IF($T284&lt;=60,imc05_s,imc519_s),MATCH($W284,IF($T284&lt;=60,imc05_k,imc519_k),1)),""))</f>
        <v/>
      </c>
      <c r="AB284">
        <f>IF($Y284="","",IF($Y284=0,LN($J284/$Z284)/$AA284,((($J284/$Z284)^$Y284)-1)/($Y284*$AA284)))</f>
        <v/>
      </c>
      <c r="AC284">
        <f>IF($Y284="","",IF($Y284=0,$Z284*EXP($AA284*2),$Z284*(1+$Y284*$AA284*2)^(1/$Y284)))</f>
        <v/>
      </c>
      <c r="AD284">
        <f>IF($Y284="","",IF($Y284=0,$Z284*EXP($AA284*3),$Z284*(1+$Y284*$AA284*3)^(1/$Y284)))</f>
        <v/>
      </c>
      <c r="AE284">
        <f>IF($Y284="","",IF($Y284=0,$Z284*EXP($AA284*-2),$Z284*(1+$Y284*$AA284*-2)^(1/$Y284)))</f>
        <v/>
      </c>
      <c r="AF284">
        <f>IF($Y284="","",IF($Y284=0,$Z284*EXP($AA284*-3),$Z284*(1+$Y284*$AA284*-3)^(1/$Y284)))</f>
        <v/>
      </c>
      <c r="AG284">
        <f>IF($W284="","",IFERROR(INDEX(IF($T284&lt;=60,est05_l,est519_l),MATCH($W284,IF($T284&lt;=60,est05_k,est519_k),1)),""))</f>
        <v/>
      </c>
      <c r="AH284">
        <f>IF($W284="","",IFERROR(INDEX(IF($T284&lt;=60,est05_m,est519_m),MATCH($W284,IF($T284&lt;=60,est05_k,est519_k),1)),""))</f>
        <v/>
      </c>
      <c r="AI284">
        <f>IF($W284="","",IFERROR(INDEX(IF($T284&lt;=60,est05_s,est519_s),MATCH($W284,IF($T284&lt;=60,est05_k,est519_k),1)),""))</f>
        <v/>
      </c>
      <c r="AJ284">
        <f>IF($W284="","",IFERROR(INDEX(IF($T284&lt;=60,peso05_l,peso510_l),MATCH($W284,IF($T284&lt;=60,peso05_k,peso510_k),1)),""))</f>
        <v/>
      </c>
      <c r="AK284">
        <f>IF($W284="","",IFERROR(INDEX(IF($T284&lt;=60,peso05_m,peso510_m),MATCH($W284,IF($T284&lt;=60,peso05_k,peso510_k),1)),""))</f>
        <v/>
      </c>
      <c r="AL284">
        <f>IF($W284="","",IFERROR(INDEX(IF($T284&lt;=60,peso05_s,peso510_s),MATCH($W284,IF($T284&lt;=60,peso05_k,peso510_k),1)),""))</f>
        <v/>
      </c>
      <c r="AM284">
        <f>IF($AJ284="","",IF($AJ284=0,LN($F284/$AK284)/$AL284,((($F284/$AK284)^$AJ284)-1)/($AJ284*$AL284)))</f>
        <v/>
      </c>
      <c r="AN284">
        <f>IF($AJ284="","",IF($AJ284=0,$AK284*EXP($AL284*2),$AK284*(1+$AJ284*$AL284*2)^(1/$AJ284)))</f>
        <v/>
      </c>
      <c r="AO284">
        <f>IF($AJ284="","",IF($AJ284=0,$AK284*EXP($AL284*3),$AK284*(1+$AJ284*$AL284*3)^(1/$AJ284)))</f>
        <v/>
      </c>
      <c r="AP284">
        <f>IF($AJ284="","",IF($AJ284=0,$AK284*EXP($AL284*-2),$AK284*(1+$AJ284*$AL284*-2)^(1/$AJ284)))</f>
        <v/>
      </c>
      <c r="AQ284">
        <f>IF($AJ284="","",IF($AJ284=0,$AK284*EXP($AL284*-3),$AK284*(1+$AJ284*$AL284*-3)^(1/$AJ284)))</f>
        <v/>
      </c>
      <c r="AR284">
        <f>IF(OR($X284="",$T284&gt;60),"",IFERROR(INDEX(IF($T284&lt;24,pcomp_l,palt_l),MATCH($X284,IF($T284&lt;24,pcomp_k,palt_k),1)),""))</f>
        <v/>
      </c>
      <c r="AS284">
        <f>IF(OR($X284="",$T284&gt;60),"",IFERROR(INDEX(IF($T284&lt;24,pcomp_m,palt_m),MATCH($X284,IF($T284&lt;24,pcomp_k,palt_k),1)),""))</f>
        <v/>
      </c>
      <c r="AT284">
        <f>IF(OR($X284="",$T284&gt;60),"",IFERROR(INDEX(IF($T284&lt;24,pcomp_s,palt_s),MATCH($X284,IF($T284&lt;24,pcomp_k,palt_k),1)),""))</f>
        <v/>
      </c>
      <c r="AU284">
        <f>IF($AR284="","",IF($AR284=0,LN($F284/$AS284)/$AT284,((($F284/$AS284)^$AR284)-1)/($AR284*$AT284)))</f>
        <v/>
      </c>
      <c r="AV284">
        <f>IF($AR284="","",IF($AR284=0,$AS284*EXP($AT284*2),$AS284*(1+$AR284*$AT284*2)^(1/$AR284)))</f>
        <v/>
      </c>
      <c r="AW284">
        <f>IF($AR284="","",IF($AR284=0,$AS284*EXP($AT284*3),$AS284*(1+$AR284*$AT284*3)^(1/$AR284)))</f>
        <v/>
      </c>
      <c r="AX284">
        <f>IF($AR284="","",IF($AR284=0,$AS284*EXP($AT284*-2),$AS284*(1+$AR284*$AT284*-2)^(1/$AR284)))</f>
        <v/>
      </c>
      <c r="AY284">
        <f>IF($AR284="","",IF($AR284=0,$AS284*EXP($AT284*-3),$AS284*(1+$AR284*$AT284*-3)^(1/$AR284)))</f>
        <v/>
      </c>
      <c r="AZ284">
        <f>IF(OR($A284="",$A284&lt;&gt;Ficha!$C$4),"",COUNTIF($A$2:$A284,Ficha!$C$4))</f>
        <v/>
      </c>
    </row>
    <row r="285">
      <c r="A285" s="8">
        <f>IF(INDEX(Banco!$A:$A,ROW())="","",INDEX(Banco!$A:$A,ROW()))</f>
        <v/>
      </c>
      <c r="B285" s="8">
        <f>IF(INDEX(Banco!$B:$B,ROW())="","",INDEX(Banco!$B:$B,ROW()))</f>
        <v/>
      </c>
      <c r="C285" s="8">
        <f>IF(INDEX(Banco!$C:$C,ROW())="","",INDEX(Banco!$C:$C,ROW()))</f>
        <v/>
      </c>
      <c r="D285" s="9">
        <f>IF(INDEX(Banco!$D:$D,ROW())="","",INDEX(Banco!$D:$D,ROW()))</f>
        <v/>
      </c>
      <c r="E285" s="9">
        <f>IF(INDEX(Banco!$E:$E,ROW())="","",INDEX(Banco!$E:$E,ROW()))</f>
        <v/>
      </c>
      <c r="F285" s="10">
        <f>IF(INDEX(Banco!$F:$F,ROW())="","",INDEX(Banco!$F:$F,ROW()))</f>
        <v/>
      </c>
      <c r="G285" s="10">
        <f>IF(INDEX(Banco!$G:$G,ROW())="","",INDEX(Banco!$G:$G,ROW()))</f>
        <v/>
      </c>
      <c r="H285" s="8">
        <f>IF(INDEX(Banco!$H:$H,ROW())="","",INDEX(Banco!$H:$H,ROW()))</f>
        <v/>
      </c>
      <c r="I285">
        <f>IF($T285="","",INT($T285/12)&amp;"a "&amp;MOD($T285,12)&amp;"m")</f>
        <v/>
      </c>
      <c r="J285" s="11">
        <f>IF(OR($F285="",$G285=""),"",ROUND($F285/($G285/100)^2,2))</f>
        <v/>
      </c>
      <c r="K285" s="12">
        <f>IF(OR($S285="",$J285="",$T285="",$T285&lt;0,$T285&gt;228,$Y285=""),"—",ROUND(IF(ABS($AB285)&lt;=3,$AB285,IF($AB285&gt;3,3+($J285-$AD285)/($AD285-$AC285),-3+($J285-$AF285)/($AE285-$AF285))),2))</f>
        <v/>
      </c>
      <c r="L285">
        <f>IF(OR($K285="",$K285="—"),"",IF($T285&lt;=60,IF($K285&lt;-3,"Magreza acentuada",IF($K285&lt;-2,"Magreza",IF($K285&lt;=1,"Eutrofia",IF($K285&lt;=2,"Risco de sobrepeso",IF($K285&lt;=3,"Sobrepeso","Obesidade"))))),IF($K285&lt;-3,"Magreza acentuada",IF($K285&lt;-2,"Magreza",IF($K285&lt;=1,"Eutrofia",IF($K285&lt;=2,"Sobrepeso",IF($K285&lt;=3,"Obesidade","Obesidade grave")))))))</f>
        <v/>
      </c>
      <c r="M285" s="12">
        <f>IF(OR($S285="",$V285="",$T285="",$T285&lt;0,$T285&gt;228,$AG285=""),"—",ROUND(IF($AG285=0,LN($V285/$AH285)/$AI285,((($V285/$AH285)^$AG285)-1)/($AG285*$AI285)),2))</f>
        <v/>
      </c>
      <c r="N285">
        <f>IF(OR($M285="",$M285="—"),"",IF($M285&lt;-3,"Muito baixa",IF($M285&lt;-2,"Baixa","Adequada")))</f>
        <v/>
      </c>
      <c r="O285" s="12">
        <f>IF(OR($S285="",$F285="",$T285="",$T285&lt;0,$T285&gt;120,$AJ285=""),"—",ROUND(IF(ABS($AM285)&lt;=3,$AM285,IF($AM285&gt;3,3+($F285-$AO285)/($AO285-$AN285),-3+($F285-$AQ285)/($AP285-$AQ285))),2))</f>
        <v/>
      </c>
      <c r="P285">
        <f>IF(OR($O285="",$O285="—"),"",IF($O285&lt;-3,"Muito baixo",IF($O285&lt;-2,"Baixo",IF($O285&lt;=2,"Adequado","Elevado"))))</f>
        <v/>
      </c>
      <c r="Q285" s="12">
        <f>IF(OR($S285="",$F285="",$T285="",$T285&lt;0,$T285&gt;60,$AR285=""),"—",ROUND(IF(ABS($AU285)&lt;=3,$AU285,IF($AU285&gt;3,3+($F285-$AW285)/($AW285-$AV285),-3+($F285-$AY285)/($AX285-$AY285))),2))</f>
        <v/>
      </c>
      <c r="R285">
        <f>IF(OR($Q285="",$Q285="—"),"",IF($Q285&lt;-3,"Magreza acentuada",IF($Q285&lt;-2,"Magreza",IF($Q285&lt;=1,"Eutrofia",IF($Q285&lt;=2,"Risco de sobrepeso",IF($Q285&lt;=3,"Sobrepeso","Obesidade"))))))</f>
        <v/>
      </c>
      <c r="S285">
        <f>IF($C285="","",IF(UPPER(LEFT($C285,1))="M",1,IF(UPPER(LEFT($C285,1))="F",2,"")))</f>
        <v/>
      </c>
      <c r="T285">
        <f>IF(OR($D285="",$E285=""),"",DATEDIF($D285,$E285,"m"))</f>
        <v/>
      </c>
      <c r="U285">
        <f>IF(OR($D285="",$E285=""),"",$E285-$D285)</f>
        <v/>
      </c>
      <c r="V285">
        <f>IF(OR($G285="",$T285=""),"",IF($T285&lt;24,IF(LEFT(LOWER($H285),4)="em p",$G285+0.7,$G285),IF(LEFT(LOWER($H285),4)="deit",$G285-0.7,$G285)))</f>
        <v/>
      </c>
      <c r="W285">
        <f>IF(OR($S285="",$T285=""),"",$S285*1000000+IF($T285&lt;=60,$U285,$T285))</f>
        <v/>
      </c>
      <c r="X285">
        <f>IF(OR($S285="",$V285="",$T285&gt;60,$T285=""),"",$S285*1000000+ROUND($V285*10,0))</f>
        <v/>
      </c>
      <c r="Y285">
        <f>IF($W285="","",IFERROR(INDEX(IF($T285&lt;=60,imc05_l,imc519_l),MATCH($W285,IF($T285&lt;=60,imc05_k,imc519_k),1)),""))</f>
        <v/>
      </c>
      <c r="Z285">
        <f>IF($W285="","",IFERROR(INDEX(IF($T285&lt;=60,imc05_m,imc519_m),MATCH($W285,IF($T285&lt;=60,imc05_k,imc519_k),1)),""))</f>
        <v/>
      </c>
      <c r="AA285">
        <f>IF($W285="","",IFERROR(INDEX(IF($T285&lt;=60,imc05_s,imc519_s),MATCH($W285,IF($T285&lt;=60,imc05_k,imc519_k),1)),""))</f>
        <v/>
      </c>
      <c r="AB285">
        <f>IF($Y285="","",IF($Y285=0,LN($J285/$Z285)/$AA285,((($J285/$Z285)^$Y285)-1)/($Y285*$AA285)))</f>
        <v/>
      </c>
      <c r="AC285">
        <f>IF($Y285="","",IF($Y285=0,$Z285*EXP($AA285*2),$Z285*(1+$Y285*$AA285*2)^(1/$Y285)))</f>
        <v/>
      </c>
      <c r="AD285">
        <f>IF($Y285="","",IF($Y285=0,$Z285*EXP($AA285*3),$Z285*(1+$Y285*$AA285*3)^(1/$Y285)))</f>
        <v/>
      </c>
      <c r="AE285">
        <f>IF($Y285="","",IF($Y285=0,$Z285*EXP($AA285*-2),$Z285*(1+$Y285*$AA285*-2)^(1/$Y285)))</f>
        <v/>
      </c>
      <c r="AF285">
        <f>IF($Y285="","",IF($Y285=0,$Z285*EXP($AA285*-3),$Z285*(1+$Y285*$AA285*-3)^(1/$Y285)))</f>
        <v/>
      </c>
      <c r="AG285">
        <f>IF($W285="","",IFERROR(INDEX(IF($T285&lt;=60,est05_l,est519_l),MATCH($W285,IF($T285&lt;=60,est05_k,est519_k),1)),""))</f>
        <v/>
      </c>
      <c r="AH285">
        <f>IF($W285="","",IFERROR(INDEX(IF($T285&lt;=60,est05_m,est519_m),MATCH($W285,IF($T285&lt;=60,est05_k,est519_k),1)),""))</f>
        <v/>
      </c>
      <c r="AI285">
        <f>IF($W285="","",IFERROR(INDEX(IF($T285&lt;=60,est05_s,est519_s),MATCH($W285,IF($T285&lt;=60,est05_k,est519_k),1)),""))</f>
        <v/>
      </c>
      <c r="AJ285">
        <f>IF($W285="","",IFERROR(INDEX(IF($T285&lt;=60,peso05_l,peso510_l),MATCH($W285,IF($T285&lt;=60,peso05_k,peso510_k),1)),""))</f>
        <v/>
      </c>
      <c r="AK285">
        <f>IF($W285="","",IFERROR(INDEX(IF($T285&lt;=60,peso05_m,peso510_m),MATCH($W285,IF($T285&lt;=60,peso05_k,peso510_k),1)),""))</f>
        <v/>
      </c>
      <c r="AL285">
        <f>IF($W285="","",IFERROR(INDEX(IF($T285&lt;=60,peso05_s,peso510_s),MATCH($W285,IF($T285&lt;=60,peso05_k,peso510_k),1)),""))</f>
        <v/>
      </c>
      <c r="AM285">
        <f>IF($AJ285="","",IF($AJ285=0,LN($F285/$AK285)/$AL285,((($F285/$AK285)^$AJ285)-1)/($AJ285*$AL285)))</f>
        <v/>
      </c>
      <c r="AN285">
        <f>IF($AJ285="","",IF($AJ285=0,$AK285*EXP($AL285*2),$AK285*(1+$AJ285*$AL285*2)^(1/$AJ285)))</f>
        <v/>
      </c>
      <c r="AO285">
        <f>IF($AJ285="","",IF($AJ285=0,$AK285*EXP($AL285*3),$AK285*(1+$AJ285*$AL285*3)^(1/$AJ285)))</f>
        <v/>
      </c>
      <c r="AP285">
        <f>IF($AJ285="","",IF($AJ285=0,$AK285*EXP($AL285*-2),$AK285*(1+$AJ285*$AL285*-2)^(1/$AJ285)))</f>
        <v/>
      </c>
      <c r="AQ285">
        <f>IF($AJ285="","",IF($AJ285=0,$AK285*EXP($AL285*-3),$AK285*(1+$AJ285*$AL285*-3)^(1/$AJ285)))</f>
        <v/>
      </c>
      <c r="AR285">
        <f>IF(OR($X285="",$T285&gt;60),"",IFERROR(INDEX(IF($T285&lt;24,pcomp_l,palt_l),MATCH($X285,IF($T285&lt;24,pcomp_k,palt_k),1)),""))</f>
        <v/>
      </c>
      <c r="AS285">
        <f>IF(OR($X285="",$T285&gt;60),"",IFERROR(INDEX(IF($T285&lt;24,pcomp_m,palt_m),MATCH($X285,IF($T285&lt;24,pcomp_k,palt_k),1)),""))</f>
        <v/>
      </c>
      <c r="AT285">
        <f>IF(OR($X285="",$T285&gt;60),"",IFERROR(INDEX(IF($T285&lt;24,pcomp_s,palt_s),MATCH($X285,IF($T285&lt;24,pcomp_k,palt_k),1)),""))</f>
        <v/>
      </c>
      <c r="AU285">
        <f>IF($AR285="","",IF($AR285=0,LN($F285/$AS285)/$AT285,((($F285/$AS285)^$AR285)-1)/($AR285*$AT285)))</f>
        <v/>
      </c>
      <c r="AV285">
        <f>IF($AR285="","",IF($AR285=0,$AS285*EXP($AT285*2),$AS285*(1+$AR285*$AT285*2)^(1/$AR285)))</f>
        <v/>
      </c>
      <c r="AW285">
        <f>IF($AR285="","",IF($AR285=0,$AS285*EXP($AT285*3),$AS285*(1+$AR285*$AT285*3)^(1/$AR285)))</f>
        <v/>
      </c>
      <c r="AX285">
        <f>IF($AR285="","",IF($AR285=0,$AS285*EXP($AT285*-2),$AS285*(1+$AR285*$AT285*-2)^(1/$AR285)))</f>
        <v/>
      </c>
      <c r="AY285">
        <f>IF($AR285="","",IF($AR285=0,$AS285*EXP($AT285*-3),$AS285*(1+$AR285*$AT285*-3)^(1/$AR285)))</f>
        <v/>
      </c>
      <c r="AZ285">
        <f>IF(OR($A285="",$A285&lt;&gt;Ficha!$C$4),"",COUNTIF($A$2:$A285,Ficha!$C$4))</f>
        <v/>
      </c>
    </row>
    <row r="286">
      <c r="A286" s="8">
        <f>IF(INDEX(Banco!$A:$A,ROW())="","",INDEX(Banco!$A:$A,ROW()))</f>
        <v/>
      </c>
      <c r="B286" s="8">
        <f>IF(INDEX(Banco!$B:$B,ROW())="","",INDEX(Banco!$B:$B,ROW()))</f>
        <v/>
      </c>
      <c r="C286" s="8">
        <f>IF(INDEX(Banco!$C:$C,ROW())="","",INDEX(Banco!$C:$C,ROW()))</f>
        <v/>
      </c>
      <c r="D286" s="9">
        <f>IF(INDEX(Banco!$D:$D,ROW())="","",INDEX(Banco!$D:$D,ROW()))</f>
        <v/>
      </c>
      <c r="E286" s="9">
        <f>IF(INDEX(Banco!$E:$E,ROW())="","",INDEX(Banco!$E:$E,ROW()))</f>
        <v/>
      </c>
      <c r="F286" s="10">
        <f>IF(INDEX(Banco!$F:$F,ROW())="","",INDEX(Banco!$F:$F,ROW()))</f>
        <v/>
      </c>
      <c r="G286" s="10">
        <f>IF(INDEX(Banco!$G:$G,ROW())="","",INDEX(Banco!$G:$G,ROW()))</f>
        <v/>
      </c>
      <c r="H286" s="8">
        <f>IF(INDEX(Banco!$H:$H,ROW())="","",INDEX(Banco!$H:$H,ROW()))</f>
        <v/>
      </c>
      <c r="I286">
        <f>IF($T286="","",INT($T286/12)&amp;"a "&amp;MOD($T286,12)&amp;"m")</f>
        <v/>
      </c>
      <c r="J286" s="11">
        <f>IF(OR($F286="",$G286=""),"",ROUND($F286/($G286/100)^2,2))</f>
        <v/>
      </c>
      <c r="K286" s="12">
        <f>IF(OR($S286="",$J286="",$T286="",$T286&lt;0,$T286&gt;228,$Y286=""),"—",ROUND(IF(ABS($AB286)&lt;=3,$AB286,IF($AB286&gt;3,3+($J286-$AD286)/($AD286-$AC286),-3+($J286-$AF286)/($AE286-$AF286))),2))</f>
        <v/>
      </c>
      <c r="L286">
        <f>IF(OR($K286="",$K286="—"),"",IF($T286&lt;=60,IF($K286&lt;-3,"Magreza acentuada",IF($K286&lt;-2,"Magreza",IF($K286&lt;=1,"Eutrofia",IF($K286&lt;=2,"Risco de sobrepeso",IF($K286&lt;=3,"Sobrepeso","Obesidade"))))),IF($K286&lt;-3,"Magreza acentuada",IF($K286&lt;-2,"Magreza",IF($K286&lt;=1,"Eutrofia",IF($K286&lt;=2,"Sobrepeso",IF($K286&lt;=3,"Obesidade","Obesidade grave")))))))</f>
        <v/>
      </c>
      <c r="M286" s="12">
        <f>IF(OR($S286="",$V286="",$T286="",$T286&lt;0,$T286&gt;228,$AG286=""),"—",ROUND(IF($AG286=0,LN($V286/$AH286)/$AI286,((($V286/$AH286)^$AG286)-1)/($AG286*$AI286)),2))</f>
        <v/>
      </c>
      <c r="N286">
        <f>IF(OR($M286="",$M286="—"),"",IF($M286&lt;-3,"Muito baixa",IF($M286&lt;-2,"Baixa","Adequada")))</f>
        <v/>
      </c>
      <c r="O286" s="12">
        <f>IF(OR($S286="",$F286="",$T286="",$T286&lt;0,$T286&gt;120,$AJ286=""),"—",ROUND(IF(ABS($AM286)&lt;=3,$AM286,IF($AM286&gt;3,3+($F286-$AO286)/($AO286-$AN286),-3+($F286-$AQ286)/($AP286-$AQ286))),2))</f>
        <v/>
      </c>
      <c r="P286">
        <f>IF(OR($O286="",$O286="—"),"",IF($O286&lt;-3,"Muito baixo",IF($O286&lt;-2,"Baixo",IF($O286&lt;=2,"Adequado","Elevado"))))</f>
        <v/>
      </c>
      <c r="Q286" s="12">
        <f>IF(OR($S286="",$F286="",$T286="",$T286&lt;0,$T286&gt;60,$AR286=""),"—",ROUND(IF(ABS($AU286)&lt;=3,$AU286,IF($AU286&gt;3,3+($F286-$AW286)/($AW286-$AV286),-3+($F286-$AY286)/($AX286-$AY286))),2))</f>
        <v/>
      </c>
      <c r="R286">
        <f>IF(OR($Q286="",$Q286="—"),"",IF($Q286&lt;-3,"Magreza acentuada",IF($Q286&lt;-2,"Magreza",IF($Q286&lt;=1,"Eutrofia",IF($Q286&lt;=2,"Risco de sobrepeso",IF($Q286&lt;=3,"Sobrepeso","Obesidade"))))))</f>
        <v/>
      </c>
      <c r="S286">
        <f>IF($C286="","",IF(UPPER(LEFT($C286,1))="M",1,IF(UPPER(LEFT($C286,1))="F",2,"")))</f>
        <v/>
      </c>
      <c r="T286">
        <f>IF(OR($D286="",$E286=""),"",DATEDIF($D286,$E286,"m"))</f>
        <v/>
      </c>
      <c r="U286">
        <f>IF(OR($D286="",$E286=""),"",$E286-$D286)</f>
        <v/>
      </c>
      <c r="V286">
        <f>IF(OR($G286="",$T286=""),"",IF($T286&lt;24,IF(LEFT(LOWER($H286),4)="em p",$G286+0.7,$G286),IF(LEFT(LOWER($H286),4)="deit",$G286-0.7,$G286)))</f>
        <v/>
      </c>
      <c r="W286">
        <f>IF(OR($S286="",$T286=""),"",$S286*1000000+IF($T286&lt;=60,$U286,$T286))</f>
        <v/>
      </c>
      <c r="X286">
        <f>IF(OR($S286="",$V286="",$T286&gt;60,$T286=""),"",$S286*1000000+ROUND($V286*10,0))</f>
        <v/>
      </c>
      <c r="Y286">
        <f>IF($W286="","",IFERROR(INDEX(IF($T286&lt;=60,imc05_l,imc519_l),MATCH($W286,IF($T286&lt;=60,imc05_k,imc519_k),1)),""))</f>
        <v/>
      </c>
      <c r="Z286">
        <f>IF($W286="","",IFERROR(INDEX(IF($T286&lt;=60,imc05_m,imc519_m),MATCH($W286,IF($T286&lt;=60,imc05_k,imc519_k),1)),""))</f>
        <v/>
      </c>
      <c r="AA286">
        <f>IF($W286="","",IFERROR(INDEX(IF($T286&lt;=60,imc05_s,imc519_s),MATCH($W286,IF($T286&lt;=60,imc05_k,imc519_k),1)),""))</f>
        <v/>
      </c>
      <c r="AB286">
        <f>IF($Y286="","",IF($Y286=0,LN($J286/$Z286)/$AA286,((($J286/$Z286)^$Y286)-1)/($Y286*$AA286)))</f>
        <v/>
      </c>
      <c r="AC286">
        <f>IF($Y286="","",IF($Y286=0,$Z286*EXP($AA286*2),$Z286*(1+$Y286*$AA286*2)^(1/$Y286)))</f>
        <v/>
      </c>
      <c r="AD286">
        <f>IF($Y286="","",IF($Y286=0,$Z286*EXP($AA286*3),$Z286*(1+$Y286*$AA286*3)^(1/$Y286)))</f>
        <v/>
      </c>
      <c r="AE286">
        <f>IF($Y286="","",IF($Y286=0,$Z286*EXP($AA286*-2),$Z286*(1+$Y286*$AA286*-2)^(1/$Y286)))</f>
        <v/>
      </c>
      <c r="AF286">
        <f>IF($Y286="","",IF($Y286=0,$Z286*EXP($AA286*-3),$Z286*(1+$Y286*$AA286*-3)^(1/$Y286)))</f>
        <v/>
      </c>
      <c r="AG286">
        <f>IF($W286="","",IFERROR(INDEX(IF($T286&lt;=60,est05_l,est519_l),MATCH($W286,IF($T286&lt;=60,est05_k,est519_k),1)),""))</f>
        <v/>
      </c>
      <c r="AH286">
        <f>IF($W286="","",IFERROR(INDEX(IF($T286&lt;=60,est05_m,est519_m),MATCH($W286,IF($T286&lt;=60,est05_k,est519_k),1)),""))</f>
        <v/>
      </c>
      <c r="AI286">
        <f>IF($W286="","",IFERROR(INDEX(IF($T286&lt;=60,est05_s,est519_s),MATCH($W286,IF($T286&lt;=60,est05_k,est519_k),1)),""))</f>
        <v/>
      </c>
      <c r="AJ286">
        <f>IF($W286="","",IFERROR(INDEX(IF($T286&lt;=60,peso05_l,peso510_l),MATCH($W286,IF($T286&lt;=60,peso05_k,peso510_k),1)),""))</f>
        <v/>
      </c>
      <c r="AK286">
        <f>IF($W286="","",IFERROR(INDEX(IF($T286&lt;=60,peso05_m,peso510_m),MATCH($W286,IF($T286&lt;=60,peso05_k,peso510_k),1)),""))</f>
        <v/>
      </c>
      <c r="AL286">
        <f>IF($W286="","",IFERROR(INDEX(IF($T286&lt;=60,peso05_s,peso510_s),MATCH($W286,IF($T286&lt;=60,peso05_k,peso510_k),1)),""))</f>
        <v/>
      </c>
      <c r="AM286">
        <f>IF($AJ286="","",IF($AJ286=0,LN($F286/$AK286)/$AL286,((($F286/$AK286)^$AJ286)-1)/($AJ286*$AL286)))</f>
        <v/>
      </c>
      <c r="AN286">
        <f>IF($AJ286="","",IF($AJ286=0,$AK286*EXP($AL286*2),$AK286*(1+$AJ286*$AL286*2)^(1/$AJ286)))</f>
        <v/>
      </c>
      <c r="AO286">
        <f>IF($AJ286="","",IF($AJ286=0,$AK286*EXP($AL286*3),$AK286*(1+$AJ286*$AL286*3)^(1/$AJ286)))</f>
        <v/>
      </c>
      <c r="AP286">
        <f>IF($AJ286="","",IF($AJ286=0,$AK286*EXP($AL286*-2),$AK286*(1+$AJ286*$AL286*-2)^(1/$AJ286)))</f>
        <v/>
      </c>
      <c r="AQ286">
        <f>IF($AJ286="","",IF($AJ286=0,$AK286*EXP($AL286*-3),$AK286*(1+$AJ286*$AL286*-3)^(1/$AJ286)))</f>
        <v/>
      </c>
      <c r="AR286">
        <f>IF(OR($X286="",$T286&gt;60),"",IFERROR(INDEX(IF($T286&lt;24,pcomp_l,palt_l),MATCH($X286,IF($T286&lt;24,pcomp_k,palt_k),1)),""))</f>
        <v/>
      </c>
      <c r="AS286">
        <f>IF(OR($X286="",$T286&gt;60),"",IFERROR(INDEX(IF($T286&lt;24,pcomp_m,palt_m),MATCH($X286,IF($T286&lt;24,pcomp_k,palt_k),1)),""))</f>
        <v/>
      </c>
      <c r="AT286">
        <f>IF(OR($X286="",$T286&gt;60),"",IFERROR(INDEX(IF($T286&lt;24,pcomp_s,palt_s),MATCH($X286,IF($T286&lt;24,pcomp_k,palt_k),1)),""))</f>
        <v/>
      </c>
      <c r="AU286">
        <f>IF($AR286="","",IF($AR286=0,LN($F286/$AS286)/$AT286,((($F286/$AS286)^$AR286)-1)/($AR286*$AT286)))</f>
        <v/>
      </c>
      <c r="AV286">
        <f>IF($AR286="","",IF($AR286=0,$AS286*EXP($AT286*2),$AS286*(1+$AR286*$AT286*2)^(1/$AR286)))</f>
        <v/>
      </c>
      <c r="AW286">
        <f>IF($AR286="","",IF($AR286=0,$AS286*EXP($AT286*3),$AS286*(1+$AR286*$AT286*3)^(1/$AR286)))</f>
        <v/>
      </c>
      <c r="AX286">
        <f>IF($AR286="","",IF($AR286=0,$AS286*EXP($AT286*-2),$AS286*(1+$AR286*$AT286*-2)^(1/$AR286)))</f>
        <v/>
      </c>
      <c r="AY286">
        <f>IF($AR286="","",IF($AR286=0,$AS286*EXP($AT286*-3),$AS286*(1+$AR286*$AT286*-3)^(1/$AR286)))</f>
        <v/>
      </c>
      <c r="AZ286">
        <f>IF(OR($A286="",$A286&lt;&gt;Ficha!$C$4),"",COUNTIF($A$2:$A286,Ficha!$C$4))</f>
        <v/>
      </c>
    </row>
    <row r="287">
      <c r="A287" s="8">
        <f>IF(INDEX(Banco!$A:$A,ROW())="","",INDEX(Banco!$A:$A,ROW()))</f>
        <v/>
      </c>
      <c r="B287" s="8">
        <f>IF(INDEX(Banco!$B:$B,ROW())="","",INDEX(Banco!$B:$B,ROW()))</f>
        <v/>
      </c>
      <c r="C287" s="8">
        <f>IF(INDEX(Banco!$C:$C,ROW())="","",INDEX(Banco!$C:$C,ROW()))</f>
        <v/>
      </c>
      <c r="D287" s="9">
        <f>IF(INDEX(Banco!$D:$D,ROW())="","",INDEX(Banco!$D:$D,ROW()))</f>
        <v/>
      </c>
      <c r="E287" s="9">
        <f>IF(INDEX(Banco!$E:$E,ROW())="","",INDEX(Banco!$E:$E,ROW()))</f>
        <v/>
      </c>
      <c r="F287" s="10">
        <f>IF(INDEX(Banco!$F:$F,ROW())="","",INDEX(Banco!$F:$F,ROW()))</f>
        <v/>
      </c>
      <c r="G287" s="10">
        <f>IF(INDEX(Banco!$G:$G,ROW())="","",INDEX(Banco!$G:$G,ROW()))</f>
        <v/>
      </c>
      <c r="H287" s="8">
        <f>IF(INDEX(Banco!$H:$H,ROW())="","",INDEX(Banco!$H:$H,ROW()))</f>
        <v/>
      </c>
      <c r="I287">
        <f>IF($T287="","",INT($T287/12)&amp;"a "&amp;MOD($T287,12)&amp;"m")</f>
        <v/>
      </c>
      <c r="J287" s="11">
        <f>IF(OR($F287="",$G287=""),"",ROUND($F287/($G287/100)^2,2))</f>
        <v/>
      </c>
      <c r="K287" s="12">
        <f>IF(OR($S287="",$J287="",$T287="",$T287&lt;0,$T287&gt;228,$Y287=""),"—",ROUND(IF(ABS($AB287)&lt;=3,$AB287,IF($AB287&gt;3,3+($J287-$AD287)/($AD287-$AC287),-3+($J287-$AF287)/($AE287-$AF287))),2))</f>
        <v/>
      </c>
      <c r="L287">
        <f>IF(OR($K287="",$K287="—"),"",IF($T287&lt;=60,IF($K287&lt;-3,"Magreza acentuada",IF($K287&lt;-2,"Magreza",IF($K287&lt;=1,"Eutrofia",IF($K287&lt;=2,"Risco de sobrepeso",IF($K287&lt;=3,"Sobrepeso","Obesidade"))))),IF($K287&lt;-3,"Magreza acentuada",IF($K287&lt;-2,"Magreza",IF($K287&lt;=1,"Eutrofia",IF($K287&lt;=2,"Sobrepeso",IF($K287&lt;=3,"Obesidade","Obesidade grave")))))))</f>
        <v/>
      </c>
      <c r="M287" s="12">
        <f>IF(OR($S287="",$V287="",$T287="",$T287&lt;0,$T287&gt;228,$AG287=""),"—",ROUND(IF($AG287=0,LN($V287/$AH287)/$AI287,((($V287/$AH287)^$AG287)-1)/($AG287*$AI287)),2))</f>
        <v/>
      </c>
      <c r="N287">
        <f>IF(OR($M287="",$M287="—"),"",IF($M287&lt;-3,"Muito baixa",IF($M287&lt;-2,"Baixa","Adequada")))</f>
        <v/>
      </c>
      <c r="O287" s="12">
        <f>IF(OR($S287="",$F287="",$T287="",$T287&lt;0,$T287&gt;120,$AJ287=""),"—",ROUND(IF(ABS($AM287)&lt;=3,$AM287,IF($AM287&gt;3,3+($F287-$AO287)/($AO287-$AN287),-3+($F287-$AQ287)/($AP287-$AQ287))),2))</f>
        <v/>
      </c>
      <c r="P287">
        <f>IF(OR($O287="",$O287="—"),"",IF($O287&lt;-3,"Muito baixo",IF($O287&lt;-2,"Baixo",IF($O287&lt;=2,"Adequado","Elevado"))))</f>
        <v/>
      </c>
      <c r="Q287" s="12">
        <f>IF(OR($S287="",$F287="",$T287="",$T287&lt;0,$T287&gt;60,$AR287=""),"—",ROUND(IF(ABS($AU287)&lt;=3,$AU287,IF($AU287&gt;3,3+($F287-$AW287)/($AW287-$AV287),-3+($F287-$AY287)/($AX287-$AY287))),2))</f>
        <v/>
      </c>
      <c r="R287">
        <f>IF(OR($Q287="",$Q287="—"),"",IF($Q287&lt;-3,"Magreza acentuada",IF($Q287&lt;-2,"Magreza",IF($Q287&lt;=1,"Eutrofia",IF($Q287&lt;=2,"Risco de sobrepeso",IF($Q287&lt;=3,"Sobrepeso","Obesidade"))))))</f>
        <v/>
      </c>
      <c r="S287">
        <f>IF($C287="","",IF(UPPER(LEFT($C287,1))="M",1,IF(UPPER(LEFT($C287,1))="F",2,"")))</f>
        <v/>
      </c>
      <c r="T287">
        <f>IF(OR($D287="",$E287=""),"",DATEDIF($D287,$E287,"m"))</f>
        <v/>
      </c>
      <c r="U287">
        <f>IF(OR($D287="",$E287=""),"",$E287-$D287)</f>
        <v/>
      </c>
      <c r="V287">
        <f>IF(OR($G287="",$T287=""),"",IF($T287&lt;24,IF(LEFT(LOWER($H287),4)="em p",$G287+0.7,$G287),IF(LEFT(LOWER($H287),4)="deit",$G287-0.7,$G287)))</f>
        <v/>
      </c>
      <c r="W287">
        <f>IF(OR($S287="",$T287=""),"",$S287*1000000+IF($T287&lt;=60,$U287,$T287))</f>
        <v/>
      </c>
      <c r="X287">
        <f>IF(OR($S287="",$V287="",$T287&gt;60,$T287=""),"",$S287*1000000+ROUND($V287*10,0))</f>
        <v/>
      </c>
      <c r="Y287">
        <f>IF($W287="","",IFERROR(INDEX(IF($T287&lt;=60,imc05_l,imc519_l),MATCH($W287,IF($T287&lt;=60,imc05_k,imc519_k),1)),""))</f>
        <v/>
      </c>
      <c r="Z287">
        <f>IF($W287="","",IFERROR(INDEX(IF($T287&lt;=60,imc05_m,imc519_m),MATCH($W287,IF($T287&lt;=60,imc05_k,imc519_k),1)),""))</f>
        <v/>
      </c>
      <c r="AA287">
        <f>IF($W287="","",IFERROR(INDEX(IF($T287&lt;=60,imc05_s,imc519_s),MATCH($W287,IF($T287&lt;=60,imc05_k,imc519_k),1)),""))</f>
        <v/>
      </c>
      <c r="AB287">
        <f>IF($Y287="","",IF($Y287=0,LN($J287/$Z287)/$AA287,((($J287/$Z287)^$Y287)-1)/($Y287*$AA287)))</f>
        <v/>
      </c>
      <c r="AC287">
        <f>IF($Y287="","",IF($Y287=0,$Z287*EXP($AA287*2),$Z287*(1+$Y287*$AA287*2)^(1/$Y287)))</f>
        <v/>
      </c>
      <c r="AD287">
        <f>IF($Y287="","",IF($Y287=0,$Z287*EXP($AA287*3),$Z287*(1+$Y287*$AA287*3)^(1/$Y287)))</f>
        <v/>
      </c>
      <c r="AE287">
        <f>IF($Y287="","",IF($Y287=0,$Z287*EXP($AA287*-2),$Z287*(1+$Y287*$AA287*-2)^(1/$Y287)))</f>
        <v/>
      </c>
      <c r="AF287">
        <f>IF($Y287="","",IF($Y287=0,$Z287*EXP($AA287*-3),$Z287*(1+$Y287*$AA287*-3)^(1/$Y287)))</f>
        <v/>
      </c>
      <c r="AG287">
        <f>IF($W287="","",IFERROR(INDEX(IF($T287&lt;=60,est05_l,est519_l),MATCH($W287,IF($T287&lt;=60,est05_k,est519_k),1)),""))</f>
        <v/>
      </c>
      <c r="AH287">
        <f>IF($W287="","",IFERROR(INDEX(IF($T287&lt;=60,est05_m,est519_m),MATCH($W287,IF($T287&lt;=60,est05_k,est519_k),1)),""))</f>
        <v/>
      </c>
      <c r="AI287">
        <f>IF($W287="","",IFERROR(INDEX(IF($T287&lt;=60,est05_s,est519_s),MATCH($W287,IF($T287&lt;=60,est05_k,est519_k),1)),""))</f>
        <v/>
      </c>
      <c r="AJ287">
        <f>IF($W287="","",IFERROR(INDEX(IF($T287&lt;=60,peso05_l,peso510_l),MATCH($W287,IF($T287&lt;=60,peso05_k,peso510_k),1)),""))</f>
        <v/>
      </c>
      <c r="AK287">
        <f>IF($W287="","",IFERROR(INDEX(IF($T287&lt;=60,peso05_m,peso510_m),MATCH($W287,IF($T287&lt;=60,peso05_k,peso510_k),1)),""))</f>
        <v/>
      </c>
      <c r="AL287">
        <f>IF($W287="","",IFERROR(INDEX(IF($T287&lt;=60,peso05_s,peso510_s),MATCH($W287,IF($T287&lt;=60,peso05_k,peso510_k),1)),""))</f>
        <v/>
      </c>
      <c r="AM287">
        <f>IF($AJ287="","",IF($AJ287=0,LN($F287/$AK287)/$AL287,((($F287/$AK287)^$AJ287)-1)/($AJ287*$AL287)))</f>
        <v/>
      </c>
      <c r="AN287">
        <f>IF($AJ287="","",IF($AJ287=0,$AK287*EXP($AL287*2),$AK287*(1+$AJ287*$AL287*2)^(1/$AJ287)))</f>
        <v/>
      </c>
      <c r="AO287">
        <f>IF($AJ287="","",IF($AJ287=0,$AK287*EXP($AL287*3),$AK287*(1+$AJ287*$AL287*3)^(1/$AJ287)))</f>
        <v/>
      </c>
      <c r="AP287">
        <f>IF($AJ287="","",IF($AJ287=0,$AK287*EXP($AL287*-2),$AK287*(1+$AJ287*$AL287*-2)^(1/$AJ287)))</f>
        <v/>
      </c>
      <c r="AQ287">
        <f>IF($AJ287="","",IF($AJ287=0,$AK287*EXP($AL287*-3),$AK287*(1+$AJ287*$AL287*-3)^(1/$AJ287)))</f>
        <v/>
      </c>
      <c r="AR287">
        <f>IF(OR($X287="",$T287&gt;60),"",IFERROR(INDEX(IF($T287&lt;24,pcomp_l,palt_l),MATCH($X287,IF($T287&lt;24,pcomp_k,palt_k),1)),""))</f>
        <v/>
      </c>
      <c r="AS287">
        <f>IF(OR($X287="",$T287&gt;60),"",IFERROR(INDEX(IF($T287&lt;24,pcomp_m,palt_m),MATCH($X287,IF($T287&lt;24,pcomp_k,palt_k),1)),""))</f>
        <v/>
      </c>
      <c r="AT287">
        <f>IF(OR($X287="",$T287&gt;60),"",IFERROR(INDEX(IF($T287&lt;24,pcomp_s,palt_s),MATCH($X287,IF($T287&lt;24,pcomp_k,palt_k),1)),""))</f>
        <v/>
      </c>
      <c r="AU287">
        <f>IF($AR287="","",IF($AR287=0,LN($F287/$AS287)/$AT287,((($F287/$AS287)^$AR287)-1)/($AR287*$AT287)))</f>
        <v/>
      </c>
      <c r="AV287">
        <f>IF($AR287="","",IF($AR287=0,$AS287*EXP($AT287*2),$AS287*(1+$AR287*$AT287*2)^(1/$AR287)))</f>
        <v/>
      </c>
      <c r="AW287">
        <f>IF($AR287="","",IF($AR287=0,$AS287*EXP($AT287*3),$AS287*(1+$AR287*$AT287*3)^(1/$AR287)))</f>
        <v/>
      </c>
      <c r="AX287">
        <f>IF($AR287="","",IF($AR287=0,$AS287*EXP($AT287*-2),$AS287*(1+$AR287*$AT287*-2)^(1/$AR287)))</f>
        <v/>
      </c>
      <c r="AY287">
        <f>IF($AR287="","",IF($AR287=0,$AS287*EXP($AT287*-3),$AS287*(1+$AR287*$AT287*-3)^(1/$AR287)))</f>
        <v/>
      </c>
      <c r="AZ287">
        <f>IF(OR($A287="",$A287&lt;&gt;Ficha!$C$4),"",COUNTIF($A$2:$A287,Ficha!$C$4))</f>
        <v/>
      </c>
    </row>
    <row r="288">
      <c r="A288" s="8">
        <f>IF(INDEX(Banco!$A:$A,ROW())="","",INDEX(Banco!$A:$A,ROW()))</f>
        <v/>
      </c>
      <c r="B288" s="8">
        <f>IF(INDEX(Banco!$B:$B,ROW())="","",INDEX(Banco!$B:$B,ROW()))</f>
        <v/>
      </c>
      <c r="C288" s="8">
        <f>IF(INDEX(Banco!$C:$C,ROW())="","",INDEX(Banco!$C:$C,ROW()))</f>
        <v/>
      </c>
      <c r="D288" s="9">
        <f>IF(INDEX(Banco!$D:$D,ROW())="","",INDEX(Banco!$D:$D,ROW()))</f>
        <v/>
      </c>
      <c r="E288" s="9">
        <f>IF(INDEX(Banco!$E:$E,ROW())="","",INDEX(Banco!$E:$E,ROW()))</f>
        <v/>
      </c>
      <c r="F288" s="10">
        <f>IF(INDEX(Banco!$F:$F,ROW())="","",INDEX(Banco!$F:$F,ROW()))</f>
        <v/>
      </c>
      <c r="G288" s="10">
        <f>IF(INDEX(Banco!$G:$G,ROW())="","",INDEX(Banco!$G:$G,ROW()))</f>
        <v/>
      </c>
      <c r="H288" s="8">
        <f>IF(INDEX(Banco!$H:$H,ROW())="","",INDEX(Banco!$H:$H,ROW()))</f>
        <v/>
      </c>
      <c r="I288">
        <f>IF($T288="","",INT($T288/12)&amp;"a "&amp;MOD($T288,12)&amp;"m")</f>
        <v/>
      </c>
      <c r="J288" s="11">
        <f>IF(OR($F288="",$G288=""),"",ROUND($F288/($G288/100)^2,2))</f>
        <v/>
      </c>
      <c r="K288" s="12">
        <f>IF(OR($S288="",$J288="",$T288="",$T288&lt;0,$T288&gt;228,$Y288=""),"—",ROUND(IF(ABS($AB288)&lt;=3,$AB288,IF($AB288&gt;3,3+($J288-$AD288)/($AD288-$AC288),-3+($J288-$AF288)/($AE288-$AF288))),2))</f>
        <v/>
      </c>
      <c r="L288">
        <f>IF(OR($K288="",$K288="—"),"",IF($T288&lt;=60,IF($K288&lt;-3,"Magreza acentuada",IF($K288&lt;-2,"Magreza",IF($K288&lt;=1,"Eutrofia",IF($K288&lt;=2,"Risco de sobrepeso",IF($K288&lt;=3,"Sobrepeso","Obesidade"))))),IF($K288&lt;-3,"Magreza acentuada",IF($K288&lt;-2,"Magreza",IF($K288&lt;=1,"Eutrofia",IF($K288&lt;=2,"Sobrepeso",IF($K288&lt;=3,"Obesidade","Obesidade grave")))))))</f>
        <v/>
      </c>
      <c r="M288" s="12">
        <f>IF(OR($S288="",$V288="",$T288="",$T288&lt;0,$T288&gt;228,$AG288=""),"—",ROUND(IF($AG288=0,LN($V288/$AH288)/$AI288,((($V288/$AH288)^$AG288)-1)/($AG288*$AI288)),2))</f>
        <v/>
      </c>
      <c r="N288">
        <f>IF(OR($M288="",$M288="—"),"",IF($M288&lt;-3,"Muito baixa",IF($M288&lt;-2,"Baixa","Adequada")))</f>
        <v/>
      </c>
      <c r="O288" s="12">
        <f>IF(OR($S288="",$F288="",$T288="",$T288&lt;0,$T288&gt;120,$AJ288=""),"—",ROUND(IF(ABS($AM288)&lt;=3,$AM288,IF($AM288&gt;3,3+($F288-$AO288)/($AO288-$AN288),-3+($F288-$AQ288)/($AP288-$AQ288))),2))</f>
        <v/>
      </c>
      <c r="P288">
        <f>IF(OR($O288="",$O288="—"),"",IF($O288&lt;-3,"Muito baixo",IF($O288&lt;-2,"Baixo",IF($O288&lt;=2,"Adequado","Elevado"))))</f>
        <v/>
      </c>
      <c r="Q288" s="12">
        <f>IF(OR($S288="",$F288="",$T288="",$T288&lt;0,$T288&gt;60,$AR288=""),"—",ROUND(IF(ABS($AU288)&lt;=3,$AU288,IF($AU288&gt;3,3+($F288-$AW288)/($AW288-$AV288),-3+($F288-$AY288)/($AX288-$AY288))),2))</f>
        <v/>
      </c>
      <c r="R288">
        <f>IF(OR($Q288="",$Q288="—"),"",IF($Q288&lt;-3,"Magreza acentuada",IF($Q288&lt;-2,"Magreza",IF($Q288&lt;=1,"Eutrofia",IF($Q288&lt;=2,"Risco de sobrepeso",IF($Q288&lt;=3,"Sobrepeso","Obesidade"))))))</f>
        <v/>
      </c>
      <c r="S288">
        <f>IF($C288="","",IF(UPPER(LEFT($C288,1))="M",1,IF(UPPER(LEFT($C288,1))="F",2,"")))</f>
        <v/>
      </c>
      <c r="T288">
        <f>IF(OR($D288="",$E288=""),"",DATEDIF($D288,$E288,"m"))</f>
        <v/>
      </c>
      <c r="U288">
        <f>IF(OR($D288="",$E288=""),"",$E288-$D288)</f>
        <v/>
      </c>
      <c r="V288">
        <f>IF(OR($G288="",$T288=""),"",IF($T288&lt;24,IF(LEFT(LOWER($H288),4)="em p",$G288+0.7,$G288),IF(LEFT(LOWER($H288),4)="deit",$G288-0.7,$G288)))</f>
        <v/>
      </c>
      <c r="W288">
        <f>IF(OR($S288="",$T288=""),"",$S288*1000000+IF($T288&lt;=60,$U288,$T288))</f>
        <v/>
      </c>
      <c r="X288">
        <f>IF(OR($S288="",$V288="",$T288&gt;60,$T288=""),"",$S288*1000000+ROUND($V288*10,0))</f>
        <v/>
      </c>
      <c r="Y288">
        <f>IF($W288="","",IFERROR(INDEX(IF($T288&lt;=60,imc05_l,imc519_l),MATCH($W288,IF($T288&lt;=60,imc05_k,imc519_k),1)),""))</f>
        <v/>
      </c>
      <c r="Z288">
        <f>IF($W288="","",IFERROR(INDEX(IF($T288&lt;=60,imc05_m,imc519_m),MATCH($W288,IF($T288&lt;=60,imc05_k,imc519_k),1)),""))</f>
        <v/>
      </c>
      <c r="AA288">
        <f>IF($W288="","",IFERROR(INDEX(IF($T288&lt;=60,imc05_s,imc519_s),MATCH($W288,IF($T288&lt;=60,imc05_k,imc519_k),1)),""))</f>
        <v/>
      </c>
      <c r="AB288">
        <f>IF($Y288="","",IF($Y288=0,LN($J288/$Z288)/$AA288,((($J288/$Z288)^$Y288)-1)/($Y288*$AA288)))</f>
        <v/>
      </c>
      <c r="AC288">
        <f>IF($Y288="","",IF($Y288=0,$Z288*EXP($AA288*2),$Z288*(1+$Y288*$AA288*2)^(1/$Y288)))</f>
        <v/>
      </c>
      <c r="AD288">
        <f>IF($Y288="","",IF($Y288=0,$Z288*EXP($AA288*3),$Z288*(1+$Y288*$AA288*3)^(1/$Y288)))</f>
        <v/>
      </c>
      <c r="AE288">
        <f>IF($Y288="","",IF($Y288=0,$Z288*EXP($AA288*-2),$Z288*(1+$Y288*$AA288*-2)^(1/$Y288)))</f>
        <v/>
      </c>
      <c r="AF288">
        <f>IF($Y288="","",IF($Y288=0,$Z288*EXP($AA288*-3),$Z288*(1+$Y288*$AA288*-3)^(1/$Y288)))</f>
        <v/>
      </c>
      <c r="AG288">
        <f>IF($W288="","",IFERROR(INDEX(IF($T288&lt;=60,est05_l,est519_l),MATCH($W288,IF($T288&lt;=60,est05_k,est519_k),1)),""))</f>
        <v/>
      </c>
      <c r="AH288">
        <f>IF($W288="","",IFERROR(INDEX(IF($T288&lt;=60,est05_m,est519_m),MATCH($W288,IF($T288&lt;=60,est05_k,est519_k),1)),""))</f>
        <v/>
      </c>
      <c r="AI288">
        <f>IF($W288="","",IFERROR(INDEX(IF($T288&lt;=60,est05_s,est519_s),MATCH($W288,IF($T288&lt;=60,est05_k,est519_k),1)),""))</f>
        <v/>
      </c>
      <c r="AJ288">
        <f>IF($W288="","",IFERROR(INDEX(IF($T288&lt;=60,peso05_l,peso510_l),MATCH($W288,IF($T288&lt;=60,peso05_k,peso510_k),1)),""))</f>
        <v/>
      </c>
      <c r="AK288">
        <f>IF($W288="","",IFERROR(INDEX(IF($T288&lt;=60,peso05_m,peso510_m),MATCH($W288,IF($T288&lt;=60,peso05_k,peso510_k),1)),""))</f>
        <v/>
      </c>
      <c r="AL288">
        <f>IF($W288="","",IFERROR(INDEX(IF($T288&lt;=60,peso05_s,peso510_s),MATCH($W288,IF($T288&lt;=60,peso05_k,peso510_k),1)),""))</f>
        <v/>
      </c>
      <c r="AM288">
        <f>IF($AJ288="","",IF($AJ288=0,LN($F288/$AK288)/$AL288,((($F288/$AK288)^$AJ288)-1)/($AJ288*$AL288)))</f>
        <v/>
      </c>
      <c r="AN288">
        <f>IF($AJ288="","",IF($AJ288=0,$AK288*EXP($AL288*2),$AK288*(1+$AJ288*$AL288*2)^(1/$AJ288)))</f>
        <v/>
      </c>
      <c r="AO288">
        <f>IF($AJ288="","",IF($AJ288=0,$AK288*EXP($AL288*3),$AK288*(1+$AJ288*$AL288*3)^(1/$AJ288)))</f>
        <v/>
      </c>
      <c r="AP288">
        <f>IF($AJ288="","",IF($AJ288=0,$AK288*EXP($AL288*-2),$AK288*(1+$AJ288*$AL288*-2)^(1/$AJ288)))</f>
        <v/>
      </c>
      <c r="AQ288">
        <f>IF($AJ288="","",IF($AJ288=0,$AK288*EXP($AL288*-3),$AK288*(1+$AJ288*$AL288*-3)^(1/$AJ288)))</f>
        <v/>
      </c>
      <c r="AR288">
        <f>IF(OR($X288="",$T288&gt;60),"",IFERROR(INDEX(IF($T288&lt;24,pcomp_l,palt_l),MATCH($X288,IF($T288&lt;24,pcomp_k,palt_k),1)),""))</f>
        <v/>
      </c>
      <c r="AS288">
        <f>IF(OR($X288="",$T288&gt;60),"",IFERROR(INDEX(IF($T288&lt;24,pcomp_m,palt_m),MATCH($X288,IF($T288&lt;24,pcomp_k,palt_k),1)),""))</f>
        <v/>
      </c>
      <c r="AT288">
        <f>IF(OR($X288="",$T288&gt;60),"",IFERROR(INDEX(IF($T288&lt;24,pcomp_s,palt_s),MATCH($X288,IF($T288&lt;24,pcomp_k,palt_k),1)),""))</f>
        <v/>
      </c>
      <c r="AU288">
        <f>IF($AR288="","",IF($AR288=0,LN($F288/$AS288)/$AT288,((($F288/$AS288)^$AR288)-1)/($AR288*$AT288)))</f>
        <v/>
      </c>
      <c r="AV288">
        <f>IF($AR288="","",IF($AR288=0,$AS288*EXP($AT288*2),$AS288*(1+$AR288*$AT288*2)^(1/$AR288)))</f>
        <v/>
      </c>
      <c r="AW288">
        <f>IF($AR288="","",IF($AR288=0,$AS288*EXP($AT288*3),$AS288*(1+$AR288*$AT288*3)^(1/$AR288)))</f>
        <v/>
      </c>
      <c r="AX288">
        <f>IF($AR288="","",IF($AR288=0,$AS288*EXP($AT288*-2),$AS288*(1+$AR288*$AT288*-2)^(1/$AR288)))</f>
        <v/>
      </c>
      <c r="AY288">
        <f>IF($AR288="","",IF($AR288=0,$AS288*EXP($AT288*-3),$AS288*(1+$AR288*$AT288*-3)^(1/$AR288)))</f>
        <v/>
      </c>
      <c r="AZ288">
        <f>IF(OR($A288="",$A288&lt;&gt;Ficha!$C$4),"",COUNTIF($A$2:$A288,Ficha!$C$4))</f>
        <v/>
      </c>
    </row>
    <row r="289">
      <c r="A289" s="8">
        <f>IF(INDEX(Banco!$A:$A,ROW())="","",INDEX(Banco!$A:$A,ROW()))</f>
        <v/>
      </c>
      <c r="B289" s="8">
        <f>IF(INDEX(Banco!$B:$B,ROW())="","",INDEX(Banco!$B:$B,ROW()))</f>
        <v/>
      </c>
      <c r="C289" s="8">
        <f>IF(INDEX(Banco!$C:$C,ROW())="","",INDEX(Banco!$C:$C,ROW()))</f>
        <v/>
      </c>
      <c r="D289" s="9">
        <f>IF(INDEX(Banco!$D:$D,ROW())="","",INDEX(Banco!$D:$D,ROW()))</f>
        <v/>
      </c>
      <c r="E289" s="9">
        <f>IF(INDEX(Banco!$E:$E,ROW())="","",INDEX(Banco!$E:$E,ROW()))</f>
        <v/>
      </c>
      <c r="F289" s="10">
        <f>IF(INDEX(Banco!$F:$F,ROW())="","",INDEX(Banco!$F:$F,ROW()))</f>
        <v/>
      </c>
      <c r="G289" s="10">
        <f>IF(INDEX(Banco!$G:$G,ROW())="","",INDEX(Banco!$G:$G,ROW()))</f>
        <v/>
      </c>
      <c r="H289" s="8">
        <f>IF(INDEX(Banco!$H:$H,ROW())="","",INDEX(Banco!$H:$H,ROW()))</f>
        <v/>
      </c>
      <c r="I289">
        <f>IF($T289="","",INT($T289/12)&amp;"a "&amp;MOD($T289,12)&amp;"m")</f>
        <v/>
      </c>
      <c r="J289" s="11">
        <f>IF(OR($F289="",$G289=""),"",ROUND($F289/($G289/100)^2,2))</f>
        <v/>
      </c>
      <c r="K289" s="12">
        <f>IF(OR($S289="",$J289="",$T289="",$T289&lt;0,$T289&gt;228,$Y289=""),"—",ROUND(IF(ABS($AB289)&lt;=3,$AB289,IF($AB289&gt;3,3+($J289-$AD289)/($AD289-$AC289),-3+($J289-$AF289)/($AE289-$AF289))),2))</f>
        <v/>
      </c>
      <c r="L289">
        <f>IF(OR($K289="",$K289="—"),"",IF($T289&lt;=60,IF($K289&lt;-3,"Magreza acentuada",IF($K289&lt;-2,"Magreza",IF($K289&lt;=1,"Eutrofia",IF($K289&lt;=2,"Risco de sobrepeso",IF($K289&lt;=3,"Sobrepeso","Obesidade"))))),IF($K289&lt;-3,"Magreza acentuada",IF($K289&lt;-2,"Magreza",IF($K289&lt;=1,"Eutrofia",IF($K289&lt;=2,"Sobrepeso",IF($K289&lt;=3,"Obesidade","Obesidade grave")))))))</f>
        <v/>
      </c>
      <c r="M289" s="12">
        <f>IF(OR($S289="",$V289="",$T289="",$T289&lt;0,$T289&gt;228,$AG289=""),"—",ROUND(IF($AG289=0,LN($V289/$AH289)/$AI289,((($V289/$AH289)^$AG289)-1)/($AG289*$AI289)),2))</f>
        <v/>
      </c>
      <c r="N289">
        <f>IF(OR($M289="",$M289="—"),"",IF($M289&lt;-3,"Muito baixa",IF($M289&lt;-2,"Baixa","Adequada")))</f>
        <v/>
      </c>
      <c r="O289" s="12">
        <f>IF(OR($S289="",$F289="",$T289="",$T289&lt;0,$T289&gt;120,$AJ289=""),"—",ROUND(IF(ABS($AM289)&lt;=3,$AM289,IF($AM289&gt;3,3+($F289-$AO289)/($AO289-$AN289),-3+($F289-$AQ289)/($AP289-$AQ289))),2))</f>
        <v/>
      </c>
      <c r="P289">
        <f>IF(OR($O289="",$O289="—"),"",IF($O289&lt;-3,"Muito baixo",IF($O289&lt;-2,"Baixo",IF($O289&lt;=2,"Adequado","Elevado"))))</f>
        <v/>
      </c>
      <c r="Q289" s="12">
        <f>IF(OR($S289="",$F289="",$T289="",$T289&lt;0,$T289&gt;60,$AR289=""),"—",ROUND(IF(ABS($AU289)&lt;=3,$AU289,IF($AU289&gt;3,3+($F289-$AW289)/($AW289-$AV289),-3+($F289-$AY289)/($AX289-$AY289))),2))</f>
        <v/>
      </c>
      <c r="R289">
        <f>IF(OR($Q289="",$Q289="—"),"",IF($Q289&lt;-3,"Magreza acentuada",IF($Q289&lt;-2,"Magreza",IF($Q289&lt;=1,"Eutrofia",IF($Q289&lt;=2,"Risco de sobrepeso",IF($Q289&lt;=3,"Sobrepeso","Obesidade"))))))</f>
        <v/>
      </c>
      <c r="S289">
        <f>IF($C289="","",IF(UPPER(LEFT($C289,1))="M",1,IF(UPPER(LEFT($C289,1))="F",2,"")))</f>
        <v/>
      </c>
      <c r="T289">
        <f>IF(OR($D289="",$E289=""),"",DATEDIF($D289,$E289,"m"))</f>
        <v/>
      </c>
      <c r="U289">
        <f>IF(OR($D289="",$E289=""),"",$E289-$D289)</f>
        <v/>
      </c>
      <c r="V289">
        <f>IF(OR($G289="",$T289=""),"",IF($T289&lt;24,IF(LEFT(LOWER($H289),4)="em p",$G289+0.7,$G289),IF(LEFT(LOWER($H289),4)="deit",$G289-0.7,$G289)))</f>
        <v/>
      </c>
      <c r="W289">
        <f>IF(OR($S289="",$T289=""),"",$S289*1000000+IF($T289&lt;=60,$U289,$T289))</f>
        <v/>
      </c>
      <c r="X289">
        <f>IF(OR($S289="",$V289="",$T289&gt;60,$T289=""),"",$S289*1000000+ROUND($V289*10,0))</f>
        <v/>
      </c>
      <c r="Y289">
        <f>IF($W289="","",IFERROR(INDEX(IF($T289&lt;=60,imc05_l,imc519_l),MATCH($W289,IF($T289&lt;=60,imc05_k,imc519_k),1)),""))</f>
        <v/>
      </c>
      <c r="Z289">
        <f>IF($W289="","",IFERROR(INDEX(IF($T289&lt;=60,imc05_m,imc519_m),MATCH($W289,IF($T289&lt;=60,imc05_k,imc519_k),1)),""))</f>
        <v/>
      </c>
      <c r="AA289">
        <f>IF($W289="","",IFERROR(INDEX(IF($T289&lt;=60,imc05_s,imc519_s),MATCH($W289,IF($T289&lt;=60,imc05_k,imc519_k),1)),""))</f>
        <v/>
      </c>
      <c r="AB289">
        <f>IF($Y289="","",IF($Y289=0,LN($J289/$Z289)/$AA289,((($J289/$Z289)^$Y289)-1)/($Y289*$AA289)))</f>
        <v/>
      </c>
      <c r="AC289">
        <f>IF($Y289="","",IF($Y289=0,$Z289*EXP($AA289*2),$Z289*(1+$Y289*$AA289*2)^(1/$Y289)))</f>
        <v/>
      </c>
      <c r="AD289">
        <f>IF($Y289="","",IF($Y289=0,$Z289*EXP($AA289*3),$Z289*(1+$Y289*$AA289*3)^(1/$Y289)))</f>
        <v/>
      </c>
      <c r="AE289">
        <f>IF($Y289="","",IF($Y289=0,$Z289*EXP($AA289*-2),$Z289*(1+$Y289*$AA289*-2)^(1/$Y289)))</f>
        <v/>
      </c>
      <c r="AF289">
        <f>IF($Y289="","",IF($Y289=0,$Z289*EXP($AA289*-3),$Z289*(1+$Y289*$AA289*-3)^(1/$Y289)))</f>
        <v/>
      </c>
      <c r="AG289">
        <f>IF($W289="","",IFERROR(INDEX(IF($T289&lt;=60,est05_l,est519_l),MATCH($W289,IF($T289&lt;=60,est05_k,est519_k),1)),""))</f>
        <v/>
      </c>
      <c r="AH289">
        <f>IF($W289="","",IFERROR(INDEX(IF($T289&lt;=60,est05_m,est519_m),MATCH($W289,IF($T289&lt;=60,est05_k,est519_k),1)),""))</f>
        <v/>
      </c>
      <c r="AI289">
        <f>IF($W289="","",IFERROR(INDEX(IF($T289&lt;=60,est05_s,est519_s),MATCH($W289,IF($T289&lt;=60,est05_k,est519_k),1)),""))</f>
        <v/>
      </c>
      <c r="AJ289">
        <f>IF($W289="","",IFERROR(INDEX(IF($T289&lt;=60,peso05_l,peso510_l),MATCH($W289,IF($T289&lt;=60,peso05_k,peso510_k),1)),""))</f>
        <v/>
      </c>
      <c r="AK289">
        <f>IF($W289="","",IFERROR(INDEX(IF($T289&lt;=60,peso05_m,peso510_m),MATCH($W289,IF($T289&lt;=60,peso05_k,peso510_k),1)),""))</f>
        <v/>
      </c>
      <c r="AL289">
        <f>IF($W289="","",IFERROR(INDEX(IF($T289&lt;=60,peso05_s,peso510_s),MATCH($W289,IF($T289&lt;=60,peso05_k,peso510_k),1)),""))</f>
        <v/>
      </c>
      <c r="AM289">
        <f>IF($AJ289="","",IF($AJ289=0,LN($F289/$AK289)/$AL289,((($F289/$AK289)^$AJ289)-1)/($AJ289*$AL289)))</f>
        <v/>
      </c>
      <c r="AN289">
        <f>IF($AJ289="","",IF($AJ289=0,$AK289*EXP($AL289*2),$AK289*(1+$AJ289*$AL289*2)^(1/$AJ289)))</f>
        <v/>
      </c>
      <c r="AO289">
        <f>IF($AJ289="","",IF($AJ289=0,$AK289*EXP($AL289*3),$AK289*(1+$AJ289*$AL289*3)^(1/$AJ289)))</f>
        <v/>
      </c>
      <c r="AP289">
        <f>IF($AJ289="","",IF($AJ289=0,$AK289*EXP($AL289*-2),$AK289*(1+$AJ289*$AL289*-2)^(1/$AJ289)))</f>
        <v/>
      </c>
      <c r="AQ289">
        <f>IF($AJ289="","",IF($AJ289=0,$AK289*EXP($AL289*-3),$AK289*(1+$AJ289*$AL289*-3)^(1/$AJ289)))</f>
        <v/>
      </c>
      <c r="AR289">
        <f>IF(OR($X289="",$T289&gt;60),"",IFERROR(INDEX(IF($T289&lt;24,pcomp_l,palt_l),MATCH($X289,IF($T289&lt;24,pcomp_k,palt_k),1)),""))</f>
        <v/>
      </c>
      <c r="AS289">
        <f>IF(OR($X289="",$T289&gt;60),"",IFERROR(INDEX(IF($T289&lt;24,pcomp_m,palt_m),MATCH($X289,IF($T289&lt;24,pcomp_k,palt_k),1)),""))</f>
        <v/>
      </c>
      <c r="AT289">
        <f>IF(OR($X289="",$T289&gt;60),"",IFERROR(INDEX(IF($T289&lt;24,pcomp_s,palt_s),MATCH($X289,IF($T289&lt;24,pcomp_k,palt_k),1)),""))</f>
        <v/>
      </c>
      <c r="AU289">
        <f>IF($AR289="","",IF($AR289=0,LN($F289/$AS289)/$AT289,((($F289/$AS289)^$AR289)-1)/($AR289*$AT289)))</f>
        <v/>
      </c>
      <c r="AV289">
        <f>IF($AR289="","",IF($AR289=0,$AS289*EXP($AT289*2),$AS289*(1+$AR289*$AT289*2)^(1/$AR289)))</f>
        <v/>
      </c>
      <c r="AW289">
        <f>IF($AR289="","",IF($AR289=0,$AS289*EXP($AT289*3),$AS289*(1+$AR289*$AT289*3)^(1/$AR289)))</f>
        <v/>
      </c>
      <c r="AX289">
        <f>IF($AR289="","",IF($AR289=0,$AS289*EXP($AT289*-2),$AS289*(1+$AR289*$AT289*-2)^(1/$AR289)))</f>
        <v/>
      </c>
      <c r="AY289">
        <f>IF($AR289="","",IF($AR289=0,$AS289*EXP($AT289*-3),$AS289*(1+$AR289*$AT289*-3)^(1/$AR289)))</f>
        <v/>
      </c>
      <c r="AZ289">
        <f>IF(OR($A289="",$A289&lt;&gt;Ficha!$C$4),"",COUNTIF($A$2:$A289,Ficha!$C$4))</f>
        <v/>
      </c>
    </row>
    <row r="290">
      <c r="A290" s="8">
        <f>IF(INDEX(Banco!$A:$A,ROW())="","",INDEX(Banco!$A:$A,ROW()))</f>
        <v/>
      </c>
      <c r="B290" s="8">
        <f>IF(INDEX(Banco!$B:$B,ROW())="","",INDEX(Banco!$B:$B,ROW()))</f>
        <v/>
      </c>
      <c r="C290" s="8">
        <f>IF(INDEX(Banco!$C:$C,ROW())="","",INDEX(Banco!$C:$C,ROW()))</f>
        <v/>
      </c>
      <c r="D290" s="9">
        <f>IF(INDEX(Banco!$D:$D,ROW())="","",INDEX(Banco!$D:$D,ROW()))</f>
        <v/>
      </c>
      <c r="E290" s="9">
        <f>IF(INDEX(Banco!$E:$E,ROW())="","",INDEX(Banco!$E:$E,ROW()))</f>
        <v/>
      </c>
      <c r="F290" s="10">
        <f>IF(INDEX(Banco!$F:$F,ROW())="","",INDEX(Banco!$F:$F,ROW()))</f>
        <v/>
      </c>
      <c r="G290" s="10">
        <f>IF(INDEX(Banco!$G:$G,ROW())="","",INDEX(Banco!$G:$G,ROW()))</f>
        <v/>
      </c>
      <c r="H290" s="8">
        <f>IF(INDEX(Banco!$H:$H,ROW())="","",INDEX(Banco!$H:$H,ROW()))</f>
        <v/>
      </c>
      <c r="I290">
        <f>IF($T290="","",INT($T290/12)&amp;"a "&amp;MOD($T290,12)&amp;"m")</f>
        <v/>
      </c>
      <c r="J290" s="11">
        <f>IF(OR($F290="",$G290=""),"",ROUND($F290/($G290/100)^2,2))</f>
        <v/>
      </c>
      <c r="K290" s="12">
        <f>IF(OR($S290="",$J290="",$T290="",$T290&lt;0,$T290&gt;228,$Y290=""),"—",ROUND(IF(ABS($AB290)&lt;=3,$AB290,IF($AB290&gt;3,3+($J290-$AD290)/($AD290-$AC290),-3+($J290-$AF290)/($AE290-$AF290))),2))</f>
        <v/>
      </c>
      <c r="L290">
        <f>IF(OR($K290="",$K290="—"),"",IF($T290&lt;=60,IF($K290&lt;-3,"Magreza acentuada",IF($K290&lt;-2,"Magreza",IF($K290&lt;=1,"Eutrofia",IF($K290&lt;=2,"Risco de sobrepeso",IF($K290&lt;=3,"Sobrepeso","Obesidade"))))),IF($K290&lt;-3,"Magreza acentuada",IF($K290&lt;-2,"Magreza",IF($K290&lt;=1,"Eutrofia",IF($K290&lt;=2,"Sobrepeso",IF($K290&lt;=3,"Obesidade","Obesidade grave")))))))</f>
        <v/>
      </c>
      <c r="M290" s="12">
        <f>IF(OR($S290="",$V290="",$T290="",$T290&lt;0,$T290&gt;228,$AG290=""),"—",ROUND(IF($AG290=0,LN($V290/$AH290)/$AI290,((($V290/$AH290)^$AG290)-1)/($AG290*$AI290)),2))</f>
        <v/>
      </c>
      <c r="N290">
        <f>IF(OR($M290="",$M290="—"),"",IF($M290&lt;-3,"Muito baixa",IF($M290&lt;-2,"Baixa","Adequada")))</f>
        <v/>
      </c>
      <c r="O290" s="12">
        <f>IF(OR($S290="",$F290="",$T290="",$T290&lt;0,$T290&gt;120,$AJ290=""),"—",ROUND(IF(ABS($AM290)&lt;=3,$AM290,IF($AM290&gt;3,3+($F290-$AO290)/($AO290-$AN290),-3+($F290-$AQ290)/($AP290-$AQ290))),2))</f>
        <v/>
      </c>
      <c r="P290">
        <f>IF(OR($O290="",$O290="—"),"",IF($O290&lt;-3,"Muito baixo",IF($O290&lt;-2,"Baixo",IF($O290&lt;=2,"Adequado","Elevado"))))</f>
        <v/>
      </c>
      <c r="Q290" s="12">
        <f>IF(OR($S290="",$F290="",$T290="",$T290&lt;0,$T290&gt;60,$AR290=""),"—",ROUND(IF(ABS($AU290)&lt;=3,$AU290,IF($AU290&gt;3,3+($F290-$AW290)/($AW290-$AV290),-3+($F290-$AY290)/($AX290-$AY290))),2))</f>
        <v/>
      </c>
      <c r="R290">
        <f>IF(OR($Q290="",$Q290="—"),"",IF($Q290&lt;-3,"Magreza acentuada",IF($Q290&lt;-2,"Magreza",IF($Q290&lt;=1,"Eutrofia",IF($Q290&lt;=2,"Risco de sobrepeso",IF($Q290&lt;=3,"Sobrepeso","Obesidade"))))))</f>
        <v/>
      </c>
      <c r="S290">
        <f>IF($C290="","",IF(UPPER(LEFT($C290,1))="M",1,IF(UPPER(LEFT($C290,1))="F",2,"")))</f>
        <v/>
      </c>
      <c r="T290">
        <f>IF(OR($D290="",$E290=""),"",DATEDIF($D290,$E290,"m"))</f>
        <v/>
      </c>
      <c r="U290">
        <f>IF(OR($D290="",$E290=""),"",$E290-$D290)</f>
        <v/>
      </c>
      <c r="V290">
        <f>IF(OR($G290="",$T290=""),"",IF($T290&lt;24,IF(LEFT(LOWER($H290),4)="em p",$G290+0.7,$G290),IF(LEFT(LOWER($H290),4)="deit",$G290-0.7,$G290)))</f>
        <v/>
      </c>
      <c r="W290">
        <f>IF(OR($S290="",$T290=""),"",$S290*1000000+IF($T290&lt;=60,$U290,$T290))</f>
        <v/>
      </c>
      <c r="X290">
        <f>IF(OR($S290="",$V290="",$T290&gt;60,$T290=""),"",$S290*1000000+ROUND($V290*10,0))</f>
        <v/>
      </c>
      <c r="Y290">
        <f>IF($W290="","",IFERROR(INDEX(IF($T290&lt;=60,imc05_l,imc519_l),MATCH($W290,IF($T290&lt;=60,imc05_k,imc519_k),1)),""))</f>
        <v/>
      </c>
      <c r="Z290">
        <f>IF($W290="","",IFERROR(INDEX(IF($T290&lt;=60,imc05_m,imc519_m),MATCH($W290,IF($T290&lt;=60,imc05_k,imc519_k),1)),""))</f>
        <v/>
      </c>
      <c r="AA290">
        <f>IF($W290="","",IFERROR(INDEX(IF($T290&lt;=60,imc05_s,imc519_s),MATCH($W290,IF($T290&lt;=60,imc05_k,imc519_k),1)),""))</f>
        <v/>
      </c>
      <c r="AB290">
        <f>IF($Y290="","",IF($Y290=0,LN($J290/$Z290)/$AA290,((($J290/$Z290)^$Y290)-1)/($Y290*$AA290)))</f>
        <v/>
      </c>
      <c r="AC290">
        <f>IF($Y290="","",IF($Y290=0,$Z290*EXP($AA290*2),$Z290*(1+$Y290*$AA290*2)^(1/$Y290)))</f>
        <v/>
      </c>
      <c r="AD290">
        <f>IF($Y290="","",IF($Y290=0,$Z290*EXP($AA290*3),$Z290*(1+$Y290*$AA290*3)^(1/$Y290)))</f>
        <v/>
      </c>
      <c r="AE290">
        <f>IF($Y290="","",IF($Y290=0,$Z290*EXP($AA290*-2),$Z290*(1+$Y290*$AA290*-2)^(1/$Y290)))</f>
        <v/>
      </c>
      <c r="AF290">
        <f>IF($Y290="","",IF($Y290=0,$Z290*EXP($AA290*-3),$Z290*(1+$Y290*$AA290*-3)^(1/$Y290)))</f>
        <v/>
      </c>
      <c r="AG290">
        <f>IF($W290="","",IFERROR(INDEX(IF($T290&lt;=60,est05_l,est519_l),MATCH($W290,IF($T290&lt;=60,est05_k,est519_k),1)),""))</f>
        <v/>
      </c>
      <c r="AH290">
        <f>IF($W290="","",IFERROR(INDEX(IF($T290&lt;=60,est05_m,est519_m),MATCH($W290,IF($T290&lt;=60,est05_k,est519_k),1)),""))</f>
        <v/>
      </c>
      <c r="AI290">
        <f>IF($W290="","",IFERROR(INDEX(IF($T290&lt;=60,est05_s,est519_s),MATCH($W290,IF($T290&lt;=60,est05_k,est519_k),1)),""))</f>
        <v/>
      </c>
      <c r="AJ290">
        <f>IF($W290="","",IFERROR(INDEX(IF($T290&lt;=60,peso05_l,peso510_l),MATCH($W290,IF($T290&lt;=60,peso05_k,peso510_k),1)),""))</f>
        <v/>
      </c>
      <c r="AK290">
        <f>IF($W290="","",IFERROR(INDEX(IF($T290&lt;=60,peso05_m,peso510_m),MATCH($W290,IF($T290&lt;=60,peso05_k,peso510_k),1)),""))</f>
        <v/>
      </c>
      <c r="AL290">
        <f>IF($W290="","",IFERROR(INDEX(IF($T290&lt;=60,peso05_s,peso510_s),MATCH($W290,IF($T290&lt;=60,peso05_k,peso510_k),1)),""))</f>
        <v/>
      </c>
      <c r="AM290">
        <f>IF($AJ290="","",IF($AJ290=0,LN($F290/$AK290)/$AL290,((($F290/$AK290)^$AJ290)-1)/($AJ290*$AL290)))</f>
        <v/>
      </c>
      <c r="AN290">
        <f>IF($AJ290="","",IF($AJ290=0,$AK290*EXP($AL290*2),$AK290*(1+$AJ290*$AL290*2)^(1/$AJ290)))</f>
        <v/>
      </c>
      <c r="AO290">
        <f>IF($AJ290="","",IF($AJ290=0,$AK290*EXP($AL290*3),$AK290*(1+$AJ290*$AL290*3)^(1/$AJ290)))</f>
        <v/>
      </c>
      <c r="AP290">
        <f>IF($AJ290="","",IF($AJ290=0,$AK290*EXP($AL290*-2),$AK290*(1+$AJ290*$AL290*-2)^(1/$AJ290)))</f>
        <v/>
      </c>
      <c r="AQ290">
        <f>IF($AJ290="","",IF($AJ290=0,$AK290*EXP($AL290*-3),$AK290*(1+$AJ290*$AL290*-3)^(1/$AJ290)))</f>
        <v/>
      </c>
      <c r="AR290">
        <f>IF(OR($X290="",$T290&gt;60),"",IFERROR(INDEX(IF($T290&lt;24,pcomp_l,palt_l),MATCH($X290,IF($T290&lt;24,pcomp_k,palt_k),1)),""))</f>
        <v/>
      </c>
      <c r="AS290">
        <f>IF(OR($X290="",$T290&gt;60),"",IFERROR(INDEX(IF($T290&lt;24,pcomp_m,palt_m),MATCH($X290,IF($T290&lt;24,pcomp_k,palt_k),1)),""))</f>
        <v/>
      </c>
      <c r="AT290">
        <f>IF(OR($X290="",$T290&gt;60),"",IFERROR(INDEX(IF($T290&lt;24,pcomp_s,palt_s),MATCH($X290,IF($T290&lt;24,pcomp_k,palt_k),1)),""))</f>
        <v/>
      </c>
      <c r="AU290">
        <f>IF($AR290="","",IF($AR290=0,LN($F290/$AS290)/$AT290,((($F290/$AS290)^$AR290)-1)/($AR290*$AT290)))</f>
        <v/>
      </c>
      <c r="AV290">
        <f>IF($AR290="","",IF($AR290=0,$AS290*EXP($AT290*2),$AS290*(1+$AR290*$AT290*2)^(1/$AR290)))</f>
        <v/>
      </c>
      <c r="AW290">
        <f>IF($AR290="","",IF($AR290=0,$AS290*EXP($AT290*3),$AS290*(1+$AR290*$AT290*3)^(1/$AR290)))</f>
        <v/>
      </c>
      <c r="AX290">
        <f>IF($AR290="","",IF($AR290=0,$AS290*EXP($AT290*-2),$AS290*(1+$AR290*$AT290*-2)^(1/$AR290)))</f>
        <v/>
      </c>
      <c r="AY290">
        <f>IF($AR290="","",IF($AR290=0,$AS290*EXP($AT290*-3),$AS290*(1+$AR290*$AT290*-3)^(1/$AR290)))</f>
        <v/>
      </c>
      <c r="AZ290">
        <f>IF(OR($A290="",$A290&lt;&gt;Ficha!$C$4),"",COUNTIF($A$2:$A290,Ficha!$C$4))</f>
        <v/>
      </c>
    </row>
    <row r="291">
      <c r="A291" s="8">
        <f>IF(INDEX(Banco!$A:$A,ROW())="","",INDEX(Banco!$A:$A,ROW()))</f>
        <v/>
      </c>
      <c r="B291" s="8">
        <f>IF(INDEX(Banco!$B:$B,ROW())="","",INDEX(Banco!$B:$B,ROW()))</f>
        <v/>
      </c>
      <c r="C291" s="8">
        <f>IF(INDEX(Banco!$C:$C,ROW())="","",INDEX(Banco!$C:$C,ROW()))</f>
        <v/>
      </c>
      <c r="D291" s="9">
        <f>IF(INDEX(Banco!$D:$D,ROW())="","",INDEX(Banco!$D:$D,ROW()))</f>
        <v/>
      </c>
      <c r="E291" s="9">
        <f>IF(INDEX(Banco!$E:$E,ROW())="","",INDEX(Banco!$E:$E,ROW()))</f>
        <v/>
      </c>
      <c r="F291" s="10">
        <f>IF(INDEX(Banco!$F:$F,ROW())="","",INDEX(Banco!$F:$F,ROW()))</f>
        <v/>
      </c>
      <c r="G291" s="10">
        <f>IF(INDEX(Banco!$G:$G,ROW())="","",INDEX(Banco!$G:$G,ROW()))</f>
        <v/>
      </c>
      <c r="H291" s="8">
        <f>IF(INDEX(Banco!$H:$H,ROW())="","",INDEX(Banco!$H:$H,ROW()))</f>
        <v/>
      </c>
      <c r="I291">
        <f>IF($T291="","",INT($T291/12)&amp;"a "&amp;MOD($T291,12)&amp;"m")</f>
        <v/>
      </c>
      <c r="J291" s="11">
        <f>IF(OR($F291="",$G291=""),"",ROUND($F291/($G291/100)^2,2))</f>
        <v/>
      </c>
      <c r="K291" s="12">
        <f>IF(OR($S291="",$J291="",$T291="",$T291&lt;0,$T291&gt;228,$Y291=""),"—",ROUND(IF(ABS($AB291)&lt;=3,$AB291,IF($AB291&gt;3,3+($J291-$AD291)/($AD291-$AC291),-3+($J291-$AF291)/($AE291-$AF291))),2))</f>
        <v/>
      </c>
      <c r="L291">
        <f>IF(OR($K291="",$K291="—"),"",IF($T291&lt;=60,IF($K291&lt;-3,"Magreza acentuada",IF($K291&lt;-2,"Magreza",IF($K291&lt;=1,"Eutrofia",IF($K291&lt;=2,"Risco de sobrepeso",IF($K291&lt;=3,"Sobrepeso","Obesidade"))))),IF($K291&lt;-3,"Magreza acentuada",IF($K291&lt;-2,"Magreza",IF($K291&lt;=1,"Eutrofia",IF($K291&lt;=2,"Sobrepeso",IF($K291&lt;=3,"Obesidade","Obesidade grave")))))))</f>
        <v/>
      </c>
      <c r="M291" s="12">
        <f>IF(OR($S291="",$V291="",$T291="",$T291&lt;0,$T291&gt;228,$AG291=""),"—",ROUND(IF($AG291=0,LN($V291/$AH291)/$AI291,((($V291/$AH291)^$AG291)-1)/($AG291*$AI291)),2))</f>
        <v/>
      </c>
      <c r="N291">
        <f>IF(OR($M291="",$M291="—"),"",IF($M291&lt;-3,"Muito baixa",IF($M291&lt;-2,"Baixa","Adequada")))</f>
        <v/>
      </c>
      <c r="O291" s="12">
        <f>IF(OR($S291="",$F291="",$T291="",$T291&lt;0,$T291&gt;120,$AJ291=""),"—",ROUND(IF(ABS($AM291)&lt;=3,$AM291,IF($AM291&gt;3,3+($F291-$AO291)/($AO291-$AN291),-3+($F291-$AQ291)/($AP291-$AQ291))),2))</f>
        <v/>
      </c>
      <c r="P291">
        <f>IF(OR($O291="",$O291="—"),"",IF($O291&lt;-3,"Muito baixo",IF($O291&lt;-2,"Baixo",IF($O291&lt;=2,"Adequado","Elevado"))))</f>
        <v/>
      </c>
      <c r="Q291" s="12">
        <f>IF(OR($S291="",$F291="",$T291="",$T291&lt;0,$T291&gt;60,$AR291=""),"—",ROUND(IF(ABS($AU291)&lt;=3,$AU291,IF($AU291&gt;3,3+($F291-$AW291)/($AW291-$AV291),-3+($F291-$AY291)/($AX291-$AY291))),2))</f>
        <v/>
      </c>
      <c r="R291">
        <f>IF(OR($Q291="",$Q291="—"),"",IF($Q291&lt;-3,"Magreza acentuada",IF($Q291&lt;-2,"Magreza",IF($Q291&lt;=1,"Eutrofia",IF($Q291&lt;=2,"Risco de sobrepeso",IF($Q291&lt;=3,"Sobrepeso","Obesidade"))))))</f>
        <v/>
      </c>
      <c r="S291">
        <f>IF($C291="","",IF(UPPER(LEFT($C291,1))="M",1,IF(UPPER(LEFT($C291,1))="F",2,"")))</f>
        <v/>
      </c>
      <c r="T291">
        <f>IF(OR($D291="",$E291=""),"",DATEDIF($D291,$E291,"m"))</f>
        <v/>
      </c>
      <c r="U291">
        <f>IF(OR($D291="",$E291=""),"",$E291-$D291)</f>
        <v/>
      </c>
      <c r="V291">
        <f>IF(OR($G291="",$T291=""),"",IF($T291&lt;24,IF(LEFT(LOWER($H291),4)="em p",$G291+0.7,$G291),IF(LEFT(LOWER($H291),4)="deit",$G291-0.7,$G291)))</f>
        <v/>
      </c>
      <c r="W291">
        <f>IF(OR($S291="",$T291=""),"",$S291*1000000+IF($T291&lt;=60,$U291,$T291))</f>
        <v/>
      </c>
      <c r="X291">
        <f>IF(OR($S291="",$V291="",$T291&gt;60,$T291=""),"",$S291*1000000+ROUND($V291*10,0))</f>
        <v/>
      </c>
      <c r="Y291">
        <f>IF($W291="","",IFERROR(INDEX(IF($T291&lt;=60,imc05_l,imc519_l),MATCH($W291,IF($T291&lt;=60,imc05_k,imc519_k),1)),""))</f>
        <v/>
      </c>
      <c r="Z291">
        <f>IF($W291="","",IFERROR(INDEX(IF($T291&lt;=60,imc05_m,imc519_m),MATCH($W291,IF($T291&lt;=60,imc05_k,imc519_k),1)),""))</f>
        <v/>
      </c>
      <c r="AA291">
        <f>IF($W291="","",IFERROR(INDEX(IF($T291&lt;=60,imc05_s,imc519_s),MATCH($W291,IF($T291&lt;=60,imc05_k,imc519_k),1)),""))</f>
        <v/>
      </c>
      <c r="AB291">
        <f>IF($Y291="","",IF($Y291=0,LN($J291/$Z291)/$AA291,((($J291/$Z291)^$Y291)-1)/($Y291*$AA291)))</f>
        <v/>
      </c>
      <c r="AC291">
        <f>IF($Y291="","",IF($Y291=0,$Z291*EXP($AA291*2),$Z291*(1+$Y291*$AA291*2)^(1/$Y291)))</f>
        <v/>
      </c>
      <c r="AD291">
        <f>IF($Y291="","",IF($Y291=0,$Z291*EXP($AA291*3),$Z291*(1+$Y291*$AA291*3)^(1/$Y291)))</f>
        <v/>
      </c>
      <c r="AE291">
        <f>IF($Y291="","",IF($Y291=0,$Z291*EXP($AA291*-2),$Z291*(1+$Y291*$AA291*-2)^(1/$Y291)))</f>
        <v/>
      </c>
      <c r="AF291">
        <f>IF($Y291="","",IF($Y291=0,$Z291*EXP($AA291*-3),$Z291*(1+$Y291*$AA291*-3)^(1/$Y291)))</f>
        <v/>
      </c>
      <c r="AG291">
        <f>IF($W291="","",IFERROR(INDEX(IF($T291&lt;=60,est05_l,est519_l),MATCH($W291,IF($T291&lt;=60,est05_k,est519_k),1)),""))</f>
        <v/>
      </c>
      <c r="AH291">
        <f>IF($W291="","",IFERROR(INDEX(IF($T291&lt;=60,est05_m,est519_m),MATCH($W291,IF($T291&lt;=60,est05_k,est519_k),1)),""))</f>
        <v/>
      </c>
      <c r="AI291">
        <f>IF($W291="","",IFERROR(INDEX(IF($T291&lt;=60,est05_s,est519_s),MATCH($W291,IF($T291&lt;=60,est05_k,est519_k),1)),""))</f>
        <v/>
      </c>
      <c r="AJ291">
        <f>IF($W291="","",IFERROR(INDEX(IF($T291&lt;=60,peso05_l,peso510_l),MATCH($W291,IF($T291&lt;=60,peso05_k,peso510_k),1)),""))</f>
        <v/>
      </c>
      <c r="AK291">
        <f>IF($W291="","",IFERROR(INDEX(IF($T291&lt;=60,peso05_m,peso510_m),MATCH($W291,IF($T291&lt;=60,peso05_k,peso510_k),1)),""))</f>
        <v/>
      </c>
      <c r="AL291">
        <f>IF($W291="","",IFERROR(INDEX(IF($T291&lt;=60,peso05_s,peso510_s),MATCH($W291,IF($T291&lt;=60,peso05_k,peso510_k),1)),""))</f>
        <v/>
      </c>
      <c r="AM291">
        <f>IF($AJ291="","",IF($AJ291=0,LN($F291/$AK291)/$AL291,((($F291/$AK291)^$AJ291)-1)/($AJ291*$AL291)))</f>
        <v/>
      </c>
      <c r="AN291">
        <f>IF($AJ291="","",IF($AJ291=0,$AK291*EXP($AL291*2),$AK291*(1+$AJ291*$AL291*2)^(1/$AJ291)))</f>
        <v/>
      </c>
      <c r="AO291">
        <f>IF($AJ291="","",IF($AJ291=0,$AK291*EXP($AL291*3),$AK291*(1+$AJ291*$AL291*3)^(1/$AJ291)))</f>
        <v/>
      </c>
      <c r="AP291">
        <f>IF($AJ291="","",IF($AJ291=0,$AK291*EXP($AL291*-2),$AK291*(1+$AJ291*$AL291*-2)^(1/$AJ291)))</f>
        <v/>
      </c>
      <c r="AQ291">
        <f>IF($AJ291="","",IF($AJ291=0,$AK291*EXP($AL291*-3),$AK291*(1+$AJ291*$AL291*-3)^(1/$AJ291)))</f>
        <v/>
      </c>
      <c r="AR291">
        <f>IF(OR($X291="",$T291&gt;60),"",IFERROR(INDEX(IF($T291&lt;24,pcomp_l,palt_l),MATCH($X291,IF($T291&lt;24,pcomp_k,palt_k),1)),""))</f>
        <v/>
      </c>
      <c r="AS291">
        <f>IF(OR($X291="",$T291&gt;60),"",IFERROR(INDEX(IF($T291&lt;24,pcomp_m,palt_m),MATCH($X291,IF($T291&lt;24,pcomp_k,palt_k),1)),""))</f>
        <v/>
      </c>
      <c r="AT291">
        <f>IF(OR($X291="",$T291&gt;60),"",IFERROR(INDEX(IF($T291&lt;24,pcomp_s,palt_s),MATCH($X291,IF($T291&lt;24,pcomp_k,palt_k),1)),""))</f>
        <v/>
      </c>
      <c r="AU291">
        <f>IF($AR291="","",IF($AR291=0,LN($F291/$AS291)/$AT291,((($F291/$AS291)^$AR291)-1)/($AR291*$AT291)))</f>
        <v/>
      </c>
      <c r="AV291">
        <f>IF($AR291="","",IF($AR291=0,$AS291*EXP($AT291*2),$AS291*(1+$AR291*$AT291*2)^(1/$AR291)))</f>
        <v/>
      </c>
      <c r="AW291">
        <f>IF($AR291="","",IF($AR291=0,$AS291*EXP($AT291*3),$AS291*(1+$AR291*$AT291*3)^(1/$AR291)))</f>
        <v/>
      </c>
      <c r="AX291">
        <f>IF($AR291="","",IF($AR291=0,$AS291*EXP($AT291*-2),$AS291*(1+$AR291*$AT291*-2)^(1/$AR291)))</f>
        <v/>
      </c>
      <c r="AY291">
        <f>IF($AR291="","",IF($AR291=0,$AS291*EXP($AT291*-3),$AS291*(1+$AR291*$AT291*-3)^(1/$AR291)))</f>
        <v/>
      </c>
      <c r="AZ291">
        <f>IF(OR($A291="",$A291&lt;&gt;Ficha!$C$4),"",COUNTIF($A$2:$A291,Ficha!$C$4))</f>
        <v/>
      </c>
    </row>
    <row r="292">
      <c r="A292" s="8">
        <f>IF(INDEX(Banco!$A:$A,ROW())="","",INDEX(Banco!$A:$A,ROW()))</f>
        <v/>
      </c>
      <c r="B292" s="8">
        <f>IF(INDEX(Banco!$B:$B,ROW())="","",INDEX(Banco!$B:$B,ROW()))</f>
        <v/>
      </c>
      <c r="C292" s="8">
        <f>IF(INDEX(Banco!$C:$C,ROW())="","",INDEX(Banco!$C:$C,ROW()))</f>
        <v/>
      </c>
      <c r="D292" s="9">
        <f>IF(INDEX(Banco!$D:$D,ROW())="","",INDEX(Banco!$D:$D,ROW()))</f>
        <v/>
      </c>
      <c r="E292" s="9">
        <f>IF(INDEX(Banco!$E:$E,ROW())="","",INDEX(Banco!$E:$E,ROW()))</f>
        <v/>
      </c>
      <c r="F292" s="10">
        <f>IF(INDEX(Banco!$F:$F,ROW())="","",INDEX(Banco!$F:$F,ROW()))</f>
        <v/>
      </c>
      <c r="G292" s="10">
        <f>IF(INDEX(Banco!$G:$G,ROW())="","",INDEX(Banco!$G:$G,ROW()))</f>
        <v/>
      </c>
      <c r="H292" s="8">
        <f>IF(INDEX(Banco!$H:$H,ROW())="","",INDEX(Banco!$H:$H,ROW()))</f>
        <v/>
      </c>
      <c r="I292">
        <f>IF($T292="","",INT($T292/12)&amp;"a "&amp;MOD($T292,12)&amp;"m")</f>
        <v/>
      </c>
      <c r="J292" s="11">
        <f>IF(OR($F292="",$G292=""),"",ROUND($F292/($G292/100)^2,2))</f>
        <v/>
      </c>
      <c r="K292" s="12">
        <f>IF(OR($S292="",$J292="",$T292="",$T292&lt;0,$T292&gt;228,$Y292=""),"—",ROUND(IF(ABS($AB292)&lt;=3,$AB292,IF($AB292&gt;3,3+($J292-$AD292)/($AD292-$AC292),-3+($J292-$AF292)/($AE292-$AF292))),2))</f>
        <v/>
      </c>
      <c r="L292">
        <f>IF(OR($K292="",$K292="—"),"",IF($T292&lt;=60,IF($K292&lt;-3,"Magreza acentuada",IF($K292&lt;-2,"Magreza",IF($K292&lt;=1,"Eutrofia",IF($K292&lt;=2,"Risco de sobrepeso",IF($K292&lt;=3,"Sobrepeso","Obesidade"))))),IF($K292&lt;-3,"Magreza acentuada",IF($K292&lt;-2,"Magreza",IF($K292&lt;=1,"Eutrofia",IF($K292&lt;=2,"Sobrepeso",IF($K292&lt;=3,"Obesidade","Obesidade grave")))))))</f>
        <v/>
      </c>
      <c r="M292" s="12">
        <f>IF(OR($S292="",$V292="",$T292="",$T292&lt;0,$T292&gt;228,$AG292=""),"—",ROUND(IF($AG292=0,LN($V292/$AH292)/$AI292,((($V292/$AH292)^$AG292)-1)/($AG292*$AI292)),2))</f>
        <v/>
      </c>
      <c r="N292">
        <f>IF(OR($M292="",$M292="—"),"",IF($M292&lt;-3,"Muito baixa",IF($M292&lt;-2,"Baixa","Adequada")))</f>
        <v/>
      </c>
      <c r="O292" s="12">
        <f>IF(OR($S292="",$F292="",$T292="",$T292&lt;0,$T292&gt;120,$AJ292=""),"—",ROUND(IF(ABS($AM292)&lt;=3,$AM292,IF($AM292&gt;3,3+($F292-$AO292)/($AO292-$AN292),-3+($F292-$AQ292)/($AP292-$AQ292))),2))</f>
        <v/>
      </c>
      <c r="P292">
        <f>IF(OR($O292="",$O292="—"),"",IF($O292&lt;-3,"Muito baixo",IF($O292&lt;-2,"Baixo",IF($O292&lt;=2,"Adequado","Elevado"))))</f>
        <v/>
      </c>
      <c r="Q292" s="12">
        <f>IF(OR($S292="",$F292="",$T292="",$T292&lt;0,$T292&gt;60,$AR292=""),"—",ROUND(IF(ABS($AU292)&lt;=3,$AU292,IF($AU292&gt;3,3+($F292-$AW292)/($AW292-$AV292),-3+($F292-$AY292)/($AX292-$AY292))),2))</f>
        <v/>
      </c>
      <c r="R292">
        <f>IF(OR($Q292="",$Q292="—"),"",IF($Q292&lt;-3,"Magreza acentuada",IF($Q292&lt;-2,"Magreza",IF($Q292&lt;=1,"Eutrofia",IF($Q292&lt;=2,"Risco de sobrepeso",IF($Q292&lt;=3,"Sobrepeso","Obesidade"))))))</f>
        <v/>
      </c>
      <c r="S292">
        <f>IF($C292="","",IF(UPPER(LEFT($C292,1))="M",1,IF(UPPER(LEFT($C292,1))="F",2,"")))</f>
        <v/>
      </c>
      <c r="T292">
        <f>IF(OR($D292="",$E292=""),"",DATEDIF($D292,$E292,"m"))</f>
        <v/>
      </c>
      <c r="U292">
        <f>IF(OR($D292="",$E292=""),"",$E292-$D292)</f>
        <v/>
      </c>
      <c r="V292">
        <f>IF(OR($G292="",$T292=""),"",IF($T292&lt;24,IF(LEFT(LOWER($H292),4)="em p",$G292+0.7,$G292),IF(LEFT(LOWER($H292),4)="deit",$G292-0.7,$G292)))</f>
        <v/>
      </c>
      <c r="W292">
        <f>IF(OR($S292="",$T292=""),"",$S292*1000000+IF($T292&lt;=60,$U292,$T292))</f>
        <v/>
      </c>
      <c r="X292">
        <f>IF(OR($S292="",$V292="",$T292&gt;60,$T292=""),"",$S292*1000000+ROUND($V292*10,0))</f>
        <v/>
      </c>
      <c r="Y292">
        <f>IF($W292="","",IFERROR(INDEX(IF($T292&lt;=60,imc05_l,imc519_l),MATCH($W292,IF($T292&lt;=60,imc05_k,imc519_k),1)),""))</f>
        <v/>
      </c>
      <c r="Z292">
        <f>IF($W292="","",IFERROR(INDEX(IF($T292&lt;=60,imc05_m,imc519_m),MATCH($W292,IF($T292&lt;=60,imc05_k,imc519_k),1)),""))</f>
        <v/>
      </c>
      <c r="AA292">
        <f>IF($W292="","",IFERROR(INDEX(IF($T292&lt;=60,imc05_s,imc519_s),MATCH($W292,IF($T292&lt;=60,imc05_k,imc519_k),1)),""))</f>
        <v/>
      </c>
      <c r="AB292">
        <f>IF($Y292="","",IF($Y292=0,LN($J292/$Z292)/$AA292,((($J292/$Z292)^$Y292)-1)/($Y292*$AA292)))</f>
        <v/>
      </c>
      <c r="AC292">
        <f>IF($Y292="","",IF($Y292=0,$Z292*EXP($AA292*2),$Z292*(1+$Y292*$AA292*2)^(1/$Y292)))</f>
        <v/>
      </c>
      <c r="AD292">
        <f>IF($Y292="","",IF($Y292=0,$Z292*EXP($AA292*3),$Z292*(1+$Y292*$AA292*3)^(1/$Y292)))</f>
        <v/>
      </c>
      <c r="AE292">
        <f>IF($Y292="","",IF($Y292=0,$Z292*EXP($AA292*-2),$Z292*(1+$Y292*$AA292*-2)^(1/$Y292)))</f>
        <v/>
      </c>
      <c r="AF292">
        <f>IF($Y292="","",IF($Y292=0,$Z292*EXP($AA292*-3),$Z292*(1+$Y292*$AA292*-3)^(1/$Y292)))</f>
        <v/>
      </c>
      <c r="AG292">
        <f>IF($W292="","",IFERROR(INDEX(IF($T292&lt;=60,est05_l,est519_l),MATCH($W292,IF($T292&lt;=60,est05_k,est519_k),1)),""))</f>
        <v/>
      </c>
      <c r="AH292">
        <f>IF($W292="","",IFERROR(INDEX(IF($T292&lt;=60,est05_m,est519_m),MATCH($W292,IF($T292&lt;=60,est05_k,est519_k),1)),""))</f>
        <v/>
      </c>
      <c r="AI292">
        <f>IF($W292="","",IFERROR(INDEX(IF($T292&lt;=60,est05_s,est519_s),MATCH($W292,IF($T292&lt;=60,est05_k,est519_k),1)),""))</f>
        <v/>
      </c>
      <c r="AJ292">
        <f>IF($W292="","",IFERROR(INDEX(IF($T292&lt;=60,peso05_l,peso510_l),MATCH($W292,IF($T292&lt;=60,peso05_k,peso510_k),1)),""))</f>
        <v/>
      </c>
      <c r="AK292">
        <f>IF($W292="","",IFERROR(INDEX(IF($T292&lt;=60,peso05_m,peso510_m),MATCH($W292,IF($T292&lt;=60,peso05_k,peso510_k),1)),""))</f>
        <v/>
      </c>
      <c r="AL292">
        <f>IF($W292="","",IFERROR(INDEX(IF($T292&lt;=60,peso05_s,peso510_s),MATCH($W292,IF($T292&lt;=60,peso05_k,peso510_k),1)),""))</f>
        <v/>
      </c>
      <c r="AM292">
        <f>IF($AJ292="","",IF($AJ292=0,LN($F292/$AK292)/$AL292,((($F292/$AK292)^$AJ292)-1)/($AJ292*$AL292)))</f>
        <v/>
      </c>
      <c r="AN292">
        <f>IF($AJ292="","",IF($AJ292=0,$AK292*EXP($AL292*2),$AK292*(1+$AJ292*$AL292*2)^(1/$AJ292)))</f>
        <v/>
      </c>
      <c r="AO292">
        <f>IF($AJ292="","",IF($AJ292=0,$AK292*EXP($AL292*3),$AK292*(1+$AJ292*$AL292*3)^(1/$AJ292)))</f>
        <v/>
      </c>
      <c r="AP292">
        <f>IF($AJ292="","",IF($AJ292=0,$AK292*EXP($AL292*-2),$AK292*(1+$AJ292*$AL292*-2)^(1/$AJ292)))</f>
        <v/>
      </c>
      <c r="AQ292">
        <f>IF($AJ292="","",IF($AJ292=0,$AK292*EXP($AL292*-3),$AK292*(1+$AJ292*$AL292*-3)^(1/$AJ292)))</f>
        <v/>
      </c>
      <c r="AR292">
        <f>IF(OR($X292="",$T292&gt;60),"",IFERROR(INDEX(IF($T292&lt;24,pcomp_l,palt_l),MATCH($X292,IF($T292&lt;24,pcomp_k,palt_k),1)),""))</f>
        <v/>
      </c>
      <c r="AS292">
        <f>IF(OR($X292="",$T292&gt;60),"",IFERROR(INDEX(IF($T292&lt;24,pcomp_m,palt_m),MATCH($X292,IF($T292&lt;24,pcomp_k,palt_k),1)),""))</f>
        <v/>
      </c>
      <c r="AT292">
        <f>IF(OR($X292="",$T292&gt;60),"",IFERROR(INDEX(IF($T292&lt;24,pcomp_s,palt_s),MATCH($X292,IF($T292&lt;24,pcomp_k,palt_k),1)),""))</f>
        <v/>
      </c>
      <c r="AU292">
        <f>IF($AR292="","",IF($AR292=0,LN($F292/$AS292)/$AT292,((($F292/$AS292)^$AR292)-1)/($AR292*$AT292)))</f>
        <v/>
      </c>
      <c r="AV292">
        <f>IF($AR292="","",IF($AR292=0,$AS292*EXP($AT292*2),$AS292*(1+$AR292*$AT292*2)^(1/$AR292)))</f>
        <v/>
      </c>
      <c r="AW292">
        <f>IF($AR292="","",IF($AR292=0,$AS292*EXP($AT292*3),$AS292*(1+$AR292*$AT292*3)^(1/$AR292)))</f>
        <v/>
      </c>
      <c r="AX292">
        <f>IF($AR292="","",IF($AR292=0,$AS292*EXP($AT292*-2),$AS292*(1+$AR292*$AT292*-2)^(1/$AR292)))</f>
        <v/>
      </c>
      <c r="AY292">
        <f>IF($AR292="","",IF($AR292=0,$AS292*EXP($AT292*-3),$AS292*(1+$AR292*$AT292*-3)^(1/$AR292)))</f>
        <v/>
      </c>
      <c r="AZ292">
        <f>IF(OR($A292="",$A292&lt;&gt;Ficha!$C$4),"",COUNTIF($A$2:$A292,Ficha!$C$4))</f>
        <v/>
      </c>
    </row>
    <row r="293">
      <c r="A293" s="8">
        <f>IF(INDEX(Banco!$A:$A,ROW())="","",INDEX(Banco!$A:$A,ROW()))</f>
        <v/>
      </c>
      <c r="B293" s="8">
        <f>IF(INDEX(Banco!$B:$B,ROW())="","",INDEX(Banco!$B:$B,ROW()))</f>
        <v/>
      </c>
      <c r="C293" s="8">
        <f>IF(INDEX(Banco!$C:$C,ROW())="","",INDEX(Banco!$C:$C,ROW()))</f>
        <v/>
      </c>
      <c r="D293" s="9">
        <f>IF(INDEX(Banco!$D:$D,ROW())="","",INDEX(Banco!$D:$D,ROW()))</f>
        <v/>
      </c>
      <c r="E293" s="9">
        <f>IF(INDEX(Banco!$E:$E,ROW())="","",INDEX(Banco!$E:$E,ROW()))</f>
        <v/>
      </c>
      <c r="F293" s="10">
        <f>IF(INDEX(Banco!$F:$F,ROW())="","",INDEX(Banco!$F:$F,ROW()))</f>
        <v/>
      </c>
      <c r="G293" s="10">
        <f>IF(INDEX(Banco!$G:$G,ROW())="","",INDEX(Banco!$G:$G,ROW()))</f>
        <v/>
      </c>
      <c r="H293" s="8">
        <f>IF(INDEX(Banco!$H:$H,ROW())="","",INDEX(Banco!$H:$H,ROW()))</f>
        <v/>
      </c>
      <c r="I293">
        <f>IF($T293="","",INT($T293/12)&amp;"a "&amp;MOD($T293,12)&amp;"m")</f>
        <v/>
      </c>
      <c r="J293" s="11">
        <f>IF(OR($F293="",$G293=""),"",ROUND($F293/($G293/100)^2,2))</f>
        <v/>
      </c>
      <c r="K293" s="12">
        <f>IF(OR($S293="",$J293="",$T293="",$T293&lt;0,$T293&gt;228,$Y293=""),"—",ROUND(IF(ABS($AB293)&lt;=3,$AB293,IF($AB293&gt;3,3+($J293-$AD293)/($AD293-$AC293),-3+($J293-$AF293)/($AE293-$AF293))),2))</f>
        <v/>
      </c>
      <c r="L293">
        <f>IF(OR($K293="",$K293="—"),"",IF($T293&lt;=60,IF($K293&lt;-3,"Magreza acentuada",IF($K293&lt;-2,"Magreza",IF($K293&lt;=1,"Eutrofia",IF($K293&lt;=2,"Risco de sobrepeso",IF($K293&lt;=3,"Sobrepeso","Obesidade"))))),IF($K293&lt;-3,"Magreza acentuada",IF($K293&lt;-2,"Magreza",IF($K293&lt;=1,"Eutrofia",IF($K293&lt;=2,"Sobrepeso",IF($K293&lt;=3,"Obesidade","Obesidade grave")))))))</f>
        <v/>
      </c>
      <c r="M293" s="12">
        <f>IF(OR($S293="",$V293="",$T293="",$T293&lt;0,$T293&gt;228,$AG293=""),"—",ROUND(IF($AG293=0,LN($V293/$AH293)/$AI293,((($V293/$AH293)^$AG293)-1)/($AG293*$AI293)),2))</f>
        <v/>
      </c>
      <c r="N293">
        <f>IF(OR($M293="",$M293="—"),"",IF($M293&lt;-3,"Muito baixa",IF($M293&lt;-2,"Baixa","Adequada")))</f>
        <v/>
      </c>
      <c r="O293" s="12">
        <f>IF(OR($S293="",$F293="",$T293="",$T293&lt;0,$T293&gt;120,$AJ293=""),"—",ROUND(IF(ABS($AM293)&lt;=3,$AM293,IF($AM293&gt;3,3+($F293-$AO293)/($AO293-$AN293),-3+($F293-$AQ293)/($AP293-$AQ293))),2))</f>
        <v/>
      </c>
      <c r="P293">
        <f>IF(OR($O293="",$O293="—"),"",IF($O293&lt;-3,"Muito baixo",IF($O293&lt;-2,"Baixo",IF($O293&lt;=2,"Adequado","Elevado"))))</f>
        <v/>
      </c>
      <c r="Q293" s="12">
        <f>IF(OR($S293="",$F293="",$T293="",$T293&lt;0,$T293&gt;60,$AR293=""),"—",ROUND(IF(ABS($AU293)&lt;=3,$AU293,IF($AU293&gt;3,3+($F293-$AW293)/($AW293-$AV293),-3+($F293-$AY293)/($AX293-$AY293))),2))</f>
        <v/>
      </c>
      <c r="R293">
        <f>IF(OR($Q293="",$Q293="—"),"",IF($Q293&lt;-3,"Magreza acentuada",IF($Q293&lt;-2,"Magreza",IF($Q293&lt;=1,"Eutrofia",IF($Q293&lt;=2,"Risco de sobrepeso",IF($Q293&lt;=3,"Sobrepeso","Obesidade"))))))</f>
        <v/>
      </c>
      <c r="S293">
        <f>IF($C293="","",IF(UPPER(LEFT($C293,1))="M",1,IF(UPPER(LEFT($C293,1))="F",2,"")))</f>
        <v/>
      </c>
      <c r="T293">
        <f>IF(OR($D293="",$E293=""),"",DATEDIF($D293,$E293,"m"))</f>
        <v/>
      </c>
      <c r="U293">
        <f>IF(OR($D293="",$E293=""),"",$E293-$D293)</f>
        <v/>
      </c>
      <c r="V293">
        <f>IF(OR($G293="",$T293=""),"",IF($T293&lt;24,IF(LEFT(LOWER($H293),4)="em p",$G293+0.7,$G293),IF(LEFT(LOWER($H293),4)="deit",$G293-0.7,$G293)))</f>
        <v/>
      </c>
      <c r="W293">
        <f>IF(OR($S293="",$T293=""),"",$S293*1000000+IF($T293&lt;=60,$U293,$T293))</f>
        <v/>
      </c>
      <c r="X293">
        <f>IF(OR($S293="",$V293="",$T293&gt;60,$T293=""),"",$S293*1000000+ROUND($V293*10,0))</f>
        <v/>
      </c>
      <c r="Y293">
        <f>IF($W293="","",IFERROR(INDEX(IF($T293&lt;=60,imc05_l,imc519_l),MATCH($W293,IF($T293&lt;=60,imc05_k,imc519_k),1)),""))</f>
        <v/>
      </c>
      <c r="Z293">
        <f>IF($W293="","",IFERROR(INDEX(IF($T293&lt;=60,imc05_m,imc519_m),MATCH($W293,IF($T293&lt;=60,imc05_k,imc519_k),1)),""))</f>
        <v/>
      </c>
      <c r="AA293">
        <f>IF($W293="","",IFERROR(INDEX(IF($T293&lt;=60,imc05_s,imc519_s),MATCH($W293,IF($T293&lt;=60,imc05_k,imc519_k),1)),""))</f>
        <v/>
      </c>
      <c r="AB293">
        <f>IF($Y293="","",IF($Y293=0,LN($J293/$Z293)/$AA293,((($J293/$Z293)^$Y293)-1)/($Y293*$AA293)))</f>
        <v/>
      </c>
      <c r="AC293">
        <f>IF($Y293="","",IF($Y293=0,$Z293*EXP($AA293*2),$Z293*(1+$Y293*$AA293*2)^(1/$Y293)))</f>
        <v/>
      </c>
      <c r="AD293">
        <f>IF($Y293="","",IF($Y293=0,$Z293*EXP($AA293*3),$Z293*(1+$Y293*$AA293*3)^(1/$Y293)))</f>
        <v/>
      </c>
      <c r="AE293">
        <f>IF($Y293="","",IF($Y293=0,$Z293*EXP($AA293*-2),$Z293*(1+$Y293*$AA293*-2)^(1/$Y293)))</f>
        <v/>
      </c>
      <c r="AF293">
        <f>IF($Y293="","",IF($Y293=0,$Z293*EXP($AA293*-3),$Z293*(1+$Y293*$AA293*-3)^(1/$Y293)))</f>
        <v/>
      </c>
      <c r="AG293">
        <f>IF($W293="","",IFERROR(INDEX(IF($T293&lt;=60,est05_l,est519_l),MATCH($W293,IF($T293&lt;=60,est05_k,est519_k),1)),""))</f>
        <v/>
      </c>
      <c r="AH293">
        <f>IF($W293="","",IFERROR(INDEX(IF($T293&lt;=60,est05_m,est519_m),MATCH($W293,IF($T293&lt;=60,est05_k,est519_k),1)),""))</f>
        <v/>
      </c>
      <c r="AI293">
        <f>IF($W293="","",IFERROR(INDEX(IF($T293&lt;=60,est05_s,est519_s),MATCH($W293,IF($T293&lt;=60,est05_k,est519_k),1)),""))</f>
        <v/>
      </c>
      <c r="AJ293">
        <f>IF($W293="","",IFERROR(INDEX(IF($T293&lt;=60,peso05_l,peso510_l),MATCH($W293,IF($T293&lt;=60,peso05_k,peso510_k),1)),""))</f>
        <v/>
      </c>
      <c r="AK293">
        <f>IF($W293="","",IFERROR(INDEX(IF($T293&lt;=60,peso05_m,peso510_m),MATCH($W293,IF($T293&lt;=60,peso05_k,peso510_k),1)),""))</f>
        <v/>
      </c>
      <c r="AL293">
        <f>IF($W293="","",IFERROR(INDEX(IF($T293&lt;=60,peso05_s,peso510_s),MATCH($W293,IF($T293&lt;=60,peso05_k,peso510_k),1)),""))</f>
        <v/>
      </c>
      <c r="AM293">
        <f>IF($AJ293="","",IF($AJ293=0,LN($F293/$AK293)/$AL293,((($F293/$AK293)^$AJ293)-1)/($AJ293*$AL293)))</f>
        <v/>
      </c>
      <c r="AN293">
        <f>IF($AJ293="","",IF($AJ293=0,$AK293*EXP($AL293*2),$AK293*(1+$AJ293*$AL293*2)^(1/$AJ293)))</f>
        <v/>
      </c>
      <c r="AO293">
        <f>IF($AJ293="","",IF($AJ293=0,$AK293*EXP($AL293*3),$AK293*(1+$AJ293*$AL293*3)^(1/$AJ293)))</f>
        <v/>
      </c>
      <c r="AP293">
        <f>IF($AJ293="","",IF($AJ293=0,$AK293*EXP($AL293*-2),$AK293*(1+$AJ293*$AL293*-2)^(1/$AJ293)))</f>
        <v/>
      </c>
      <c r="AQ293">
        <f>IF($AJ293="","",IF($AJ293=0,$AK293*EXP($AL293*-3),$AK293*(1+$AJ293*$AL293*-3)^(1/$AJ293)))</f>
        <v/>
      </c>
      <c r="AR293">
        <f>IF(OR($X293="",$T293&gt;60),"",IFERROR(INDEX(IF($T293&lt;24,pcomp_l,palt_l),MATCH($X293,IF($T293&lt;24,pcomp_k,palt_k),1)),""))</f>
        <v/>
      </c>
      <c r="AS293">
        <f>IF(OR($X293="",$T293&gt;60),"",IFERROR(INDEX(IF($T293&lt;24,pcomp_m,palt_m),MATCH($X293,IF($T293&lt;24,pcomp_k,palt_k),1)),""))</f>
        <v/>
      </c>
      <c r="AT293">
        <f>IF(OR($X293="",$T293&gt;60),"",IFERROR(INDEX(IF($T293&lt;24,pcomp_s,palt_s),MATCH($X293,IF($T293&lt;24,pcomp_k,palt_k),1)),""))</f>
        <v/>
      </c>
      <c r="AU293">
        <f>IF($AR293="","",IF($AR293=0,LN($F293/$AS293)/$AT293,((($F293/$AS293)^$AR293)-1)/($AR293*$AT293)))</f>
        <v/>
      </c>
      <c r="AV293">
        <f>IF($AR293="","",IF($AR293=0,$AS293*EXP($AT293*2),$AS293*(1+$AR293*$AT293*2)^(1/$AR293)))</f>
        <v/>
      </c>
      <c r="AW293">
        <f>IF($AR293="","",IF($AR293=0,$AS293*EXP($AT293*3),$AS293*(1+$AR293*$AT293*3)^(1/$AR293)))</f>
        <v/>
      </c>
      <c r="AX293">
        <f>IF($AR293="","",IF($AR293=0,$AS293*EXP($AT293*-2),$AS293*(1+$AR293*$AT293*-2)^(1/$AR293)))</f>
        <v/>
      </c>
      <c r="AY293">
        <f>IF($AR293="","",IF($AR293=0,$AS293*EXP($AT293*-3),$AS293*(1+$AR293*$AT293*-3)^(1/$AR293)))</f>
        <v/>
      </c>
      <c r="AZ293">
        <f>IF(OR($A293="",$A293&lt;&gt;Ficha!$C$4),"",COUNTIF($A$2:$A293,Ficha!$C$4))</f>
        <v/>
      </c>
    </row>
    <row r="294">
      <c r="A294" s="8">
        <f>IF(INDEX(Banco!$A:$A,ROW())="","",INDEX(Banco!$A:$A,ROW()))</f>
        <v/>
      </c>
      <c r="B294" s="8">
        <f>IF(INDEX(Banco!$B:$B,ROW())="","",INDEX(Banco!$B:$B,ROW()))</f>
        <v/>
      </c>
      <c r="C294" s="8">
        <f>IF(INDEX(Banco!$C:$C,ROW())="","",INDEX(Banco!$C:$C,ROW()))</f>
        <v/>
      </c>
      <c r="D294" s="9">
        <f>IF(INDEX(Banco!$D:$D,ROW())="","",INDEX(Banco!$D:$D,ROW()))</f>
        <v/>
      </c>
      <c r="E294" s="9">
        <f>IF(INDEX(Banco!$E:$E,ROW())="","",INDEX(Banco!$E:$E,ROW()))</f>
        <v/>
      </c>
      <c r="F294" s="10">
        <f>IF(INDEX(Banco!$F:$F,ROW())="","",INDEX(Banco!$F:$F,ROW()))</f>
        <v/>
      </c>
      <c r="G294" s="10">
        <f>IF(INDEX(Banco!$G:$G,ROW())="","",INDEX(Banco!$G:$G,ROW()))</f>
        <v/>
      </c>
      <c r="H294" s="8">
        <f>IF(INDEX(Banco!$H:$H,ROW())="","",INDEX(Banco!$H:$H,ROW()))</f>
        <v/>
      </c>
      <c r="I294">
        <f>IF($T294="","",INT($T294/12)&amp;"a "&amp;MOD($T294,12)&amp;"m")</f>
        <v/>
      </c>
      <c r="J294" s="11">
        <f>IF(OR($F294="",$G294=""),"",ROUND($F294/($G294/100)^2,2))</f>
        <v/>
      </c>
      <c r="K294" s="12">
        <f>IF(OR($S294="",$J294="",$T294="",$T294&lt;0,$T294&gt;228,$Y294=""),"—",ROUND(IF(ABS($AB294)&lt;=3,$AB294,IF($AB294&gt;3,3+($J294-$AD294)/($AD294-$AC294),-3+($J294-$AF294)/($AE294-$AF294))),2))</f>
        <v/>
      </c>
      <c r="L294">
        <f>IF(OR($K294="",$K294="—"),"",IF($T294&lt;=60,IF($K294&lt;-3,"Magreza acentuada",IF($K294&lt;-2,"Magreza",IF($K294&lt;=1,"Eutrofia",IF($K294&lt;=2,"Risco de sobrepeso",IF($K294&lt;=3,"Sobrepeso","Obesidade"))))),IF($K294&lt;-3,"Magreza acentuada",IF($K294&lt;-2,"Magreza",IF($K294&lt;=1,"Eutrofia",IF($K294&lt;=2,"Sobrepeso",IF($K294&lt;=3,"Obesidade","Obesidade grave")))))))</f>
        <v/>
      </c>
      <c r="M294" s="12">
        <f>IF(OR($S294="",$V294="",$T294="",$T294&lt;0,$T294&gt;228,$AG294=""),"—",ROUND(IF($AG294=0,LN($V294/$AH294)/$AI294,((($V294/$AH294)^$AG294)-1)/($AG294*$AI294)),2))</f>
        <v/>
      </c>
      <c r="N294">
        <f>IF(OR($M294="",$M294="—"),"",IF($M294&lt;-3,"Muito baixa",IF($M294&lt;-2,"Baixa","Adequada")))</f>
        <v/>
      </c>
      <c r="O294" s="12">
        <f>IF(OR($S294="",$F294="",$T294="",$T294&lt;0,$T294&gt;120,$AJ294=""),"—",ROUND(IF(ABS($AM294)&lt;=3,$AM294,IF($AM294&gt;3,3+($F294-$AO294)/($AO294-$AN294),-3+($F294-$AQ294)/($AP294-$AQ294))),2))</f>
        <v/>
      </c>
      <c r="P294">
        <f>IF(OR($O294="",$O294="—"),"",IF($O294&lt;-3,"Muito baixo",IF($O294&lt;-2,"Baixo",IF($O294&lt;=2,"Adequado","Elevado"))))</f>
        <v/>
      </c>
      <c r="Q294" s="12">
        <f>IF(OR($S294="",$F294="",$T294="",$T294&lt;0,$T294&gt;60,$AR294=""),"—",ROUND(IF(ABS($AU294)&lt;=3,$AU294,IF($AU294&gt;3,3+($F294-$AW294)/($AW294-$AV294),-3+($F294-$AY294)/($AX294-$AY294))),2))</f>
        <v/>
      </c>
      <c r="R294">
        <f>IF(OR($Q294="",$Q294="—"),"",IF($Q294&lt;-3,"Magreza acentuada",IF($Q294&lt;-2,"Magreza",IF($Q294&lt;=1,"Eutrofia",IF($Q294&lt;=2,"Risco de sobrepeso",IF($Q294&lt;=3,"Sobrepeso","Obesidade"))))))</f>
        <v/>
      </c>
      <c r="S294">
        <f>IF($C294="","",IF(UPPER(LEFT($C294,1))="M",1,IF(UPPER(LEFT($C294,1))="F",2,"")))</f>
        <v/>
      </c>
      <c r="T294">
        <f>IF(OR($D294="",$E294=""),"",DATEDIF($D294,$E294,"m"))</f>
        <v/>
      </c>
      <c r="U294">
        <f>IF(OR($D294="",$E294=""),"",$E294-$D294)</f>
        <v/>
      </c>
      <c r="V294">
        <f>IF(OR($G294="",$T294=""),"",IF($T294&lt;24,IF(LEFT(LOWER($H294),4)="em p",$G294+0.7,$G294),IF(LEFT(LOWER($H294),4)="deit",$G294-0.7,$G294)))</f>
        <v/>
      </c>
      <c r="W294">
        <f>IF(OR($S294="",$T294=""),"",$S294*1000000+IF($T294&lt;=60,$U294,$T294))</f>
        <v/>
      </c>
      <c r="X294">
        <f>IF(OR($S294="",$V294="",$T294&gt;60,$T294=""),"",$S294*1000000+ROUND($V294*10,0))</f>
        <v/>
      </c>
      <c r="Y294">
        <f>IF($W294="","",IFERROR(INDEX(IF($T294&lt;=60,imc05_l,imc519_l),MATCH($W294,IF($T294&lt;=60,imc05_k,imc519_k),1)),""))</f>
        <v/>
      </c>
      <c r="Z294">
        <f>IF($W294="","",IFERROR(INDEX(IF($T294&lt;=60,imc05_m,imc519_m),MATCH($W294,IF($T294&lt;=60,imc05_k,imc519_k),1)),""))</f>
        <v/>
      </c>
      <c r="AA294">
        <f>IF($W294="","",IFERROR(INDEX(IF($T294&lt;=60,imc05_s,imc519_s),MATCH($W294,IF($T294&lt;=60,imc05_k,imc519_k),1)),""))</f>
        <v/>
      </c>
      <c r="AB294">
        <f>IF($Y294="","",IF($Y294=0,LN($J294/$Z294)/$AA294,((($J294/$Z294)^$Y294)-1)/($Y294*$AA294)))</f>
        <v/>
      </c>
      <c r="AC294">
        <f>IF($Y294="","",IF($Y294=0,$Z294*EXP($AA294*2),$Z294*(1+$Y294*$AA294*2)^(1/$Y294)))</f>
        <v/>
      </c>
      <c r="AD294">
        <f>IF($Y294="","",IF($Y294=0,$Z294*EXP($AA294*3),$Z294*(1+$Y294*$AA294*3)^(1/$Y294)))</f>
        <v/>
      </c>
      <c r="AE294">
        <f>IF($Y294="","",IF($Y294=0,$Z294*EXP($AA294*-2),$Z294*(1+$Y294*$AA294*-2)^(1/$Y294)))</f>
        <v/>
      </c>
      <c r="AF294">
        <f>IF($Y294="","",IF($Y294=0,$Z294*EXP($AA294*-3),$Z294*(1+$Y294*$AA294*-3)^(1/$Y294)))</f>
        <v/>
      </c>
      <c r="AG294">
        <f>IF($W294="","",IFERROR(INDEX(IF($T294&lt;=60,est05_l,est519_l),MATCH($W294,IF($T294&lt;=60,est05_k,est519_k),1)),""))</f>
        <v/>
      </c>
      <c r="AH294">
        <f>IF($W294="","",IFERROR(INDEX(IF($T294&lt;=60,est05_m,est519_m),MATCH($W294,IF($T294&lt;=60,est05_k,est519_k),1)),""))</f>
        <v/>
      </c>
      <c r="AI294">
        <f>IF($W294="","",IFERROR(INDEX(IF($T294&lt;=60,est05_s,est519_s),MATCH($W294,IF($T294&lt;=60,est05_k,est519_k),1)),""))</f>
        <v/>
      </c>
      <c r="AJ294">
        <f>IF($W294="","",IFERROR(INDEX(IF($T294&lt;=60,peso05_l,peso510_l),MATCH($W294,IF($T294&lt;=60,peso05_k,peso510_k),1)),""))</f>
        <v/>
      </c>
      <c r="AK294">
        <f>IF($W294="","",IFERROR(INDEX(IF($T294&lt;=60,peso05_m,peso510_m),MATCH($W294,IF($T294&lt;=60,peso05_k,peso510_k),1)),""))</f>
        <v/>
      </c>
      <c r="AL294">
        <f>IF($W294="","",IFERROR(INDEX(IF($T294&lt;=60,peso05_s,peso510_s),MATCH($W294,IF($T294&lt;=60,peso05_k,peso510_k),1)),""))</f>
        <v/>
      </c>
      <c r="AM294">
        <f>IF($AJ294="","",IF($AJ294=0,LN($F294/$AK294)/$AL294,((($F294/$AK294)^$AJ294)-1)/($AJ294*$AL294)))</f>
        <v/>
      </c>
      <c r="AN294">
        <f>IF($AJ294="","",IF($AJ294=0,$AK294*EXP($AL294*2),$AK294*(1+$AJ294*$AL294*2)^(1/$AJ294)))</f>
        <v/>
      </c>
      <c r="AO294">
        <f>IF($AJ294="","",IF($AJ294=0,$AK294*EXP($AL294*3),$AK294*(1+$AJ294*$AL294*3)^(1/$AJ294)))</f>
        <v/>
      </c>
      <c r="AP294">
        <f>IF($AJ294="","",IF($AJ294=0,$AK294*EXP($AL294*-2),$AK294*(1+$AJ294*$AL294*-2)^(1/$AJ294)))</f>
        <v/>
      </c>
      <c r="AQ294">
        <f>IF($AJ294="","",IF($AJ294=0,$AK294*EXP($AL294*-3),$AK294*(1+$AJ294*$AL294*-3)^(1/$AJ294)))</f>
        <v/>
      </c>
      <c r="AR294">
        <f>IF(OR($X294="",$T294&gt;60),"",IFERROR(INDEX(IF($T294&lt;24,pcomp_l,palt_l),MATCH($X294,IF($T294&lt;24,pcomp_k,palt_k),1)),""))</f>
        <v/>
      </c>
      <c r="AS294">
        <f>IF(OR($X294="",$T294&gt;60),"",IFERROR(INDEX(IF($T294&lt;24,pcomp_m,palt_m),MATCH($X294,IF($T294&lt;24,pcomp_k,palt_k),1)),""))</f>
        <v/>
      </c>
      <c r="AT294">
        <f>IF(OR($X294="",$T294&gt;60),"",IFERROR(INDEX(IF($T294&lt;24,pcomp_s,palt_s),MATCH($X294,IF($T294&lt;24,pcomp_k,palt_k),1)),""))</f>
        <v/>
      </c>
      <c r="AU294">
        <f>IF($AR294="","",IF($AR294=0,LN($F294/$AS294)/$AT294,((($F294/$AS294)^$AR294)-1)/($AR294*$AT294)))</f>
        <v/>
      </c>
      <c r="AV294">
        <f>IF($AR294="","",IF($AR294=0,$AS294*EXP($AT294*2),$AS294*(1+$AR294*$AT294*2)^(1/$AR294)))</f>
        <v/>
      </c>
      <c r="AW294">
        <f>IF($AR294="","",IF($AR294=0,$AS294*EXP($AT294*3),$AS294*(1+$AR294*$AT294*3)^(1/$AR294)))</f>
        <v/>
      </c>
      <c r="AX294">
        <f>IF($AR294="","",IF($AR294=0,$AS294*EXP($AT294*-2),$AS294*(1+$AR294*$AT294*-2)^(1/$AR294)))</f>
        <v/>
      </c>
      <c r="AY294">
        <f>IF($AR294="","",IF($AR294=0,$AS294*EXP($AT294*-3),$AS294*(1+$AR294*$AT294*-3)^(1/$AR294)))</f>
        <v/>
      </c>
      <c r="AZ294">
        <f>IF(OR($A294="",$A294&lt;&gt;Ficha!$C$4),"",COUNTIF($A$2:$A294,Ficha!$C$4))</f>
        <v/>
      </c>
    </row>
    <row r="295">
      <c r="A295" s="8">
        <f>IF(INDEX(Banco!$A:$A,ROW())="","",INDEX(Banco!$A:$A,ROW()))</f>
        <v/>
      </c>
      <c r="B295" s="8">
        <f>IF(INDEX(Banco!$B:$B,ROW())="","",INDEX(Banco!$B:$B,ROW()))</f>
        <v/>
      </c>
      <c r="C295" s="8">
        <f>IF(INDEX(Banco!$C:$C,ROW())="","",INDEX(Banco!$C:$C,ROW()))</f>
        <v/>
      </c>
      <c r="D295" s="9">
        <f>IF(INDEX(Banco!$D:$D,ROW())="","",INDEX(Banco!$D:$D,ROW()))</f>
        <v/>
      </c>
      <c r="E295" s="9">
        <f>IF(INDEX(Banco!$E:$E,ROW())="","",INDEX(Banco!$E:$E,ROW()))</f>
        <v/>
      </c>
      <c r="F295" s="10">
        <f>IF(INDEX(Banco!$F:$F,ROW())="","",INDEX(Banco!$F:$F,ROW()))</f>
        <v/>
      </c>
      <c r="G295" s="10">
        <f>IF(INDEX(Banco!$G:$G,ROW())="","",INDEX(Banco!$G:$G,ROW()))</f>
        <v/>
      </c>
      <c r="H295" s="8">
        <f>IF(INDEX(Banco!$H:$H,ROW())="","",INDEX(Banco!$H:$H,ROW()))</f>
        <v/>
      </c>
      <c r="I295">
        <f>IF($T295="","",INT($T295/12)&amp;"a "&amp;MOD($T295,12)&amp;"m")</f>
        <v/>
      </c>
      <c r="J295" s="11">
        <f>IF(OR($F295="",$G295=""),"",ROUND($F295/($G295/100)^2,2))</f>
        <v/>
      </c>
      <c r="K295" s="12">
        <f>IF(OR($S295="",$J295="",$T295="",$T295&lt;0,$T295&gt;228,$Y295=""),"—",ROUND(IF(ABS($AB295)&lt;=3,$AB295,IF($AB295&gt;3,3+($J295-$AD295)/($AD295-$AC295),-3+($J295-$AF295)/($AE295-$AF295))),2))</f>
        <v/>
      </c>
      <c r="L295">
        <f>IF(OR($K295="",$K295="—"),"",IF($T295&lt;=60,IF($K295&lt;-3,"Magreza acentuada",IF($K295&lt;-2,"Magreza",IF($K295&lt;=1,"Eutrofia",IF($K295&lt;=2,"Risco de sobrepeso",IF($K295&lt;=3,"Sobrepeso","Obesidade"))))),IF($K295&lt;-3,"Magreza acentuada",IF($K295&lt;-2,"Magreza",IF($K295&lt;=1,"Eutrofia",IF($K295&lt;=2,"Sobrepeso",IF($K295&lt;=3,"Obesidade","Obesidade grave")))))))</f>
        <v/>
      </c>
      <c r="M295" s="12">
        <f>IF(OR($S295="",$V295="",$T295="",$T295&lt;0,$T295&gt;228,$AG295=""),"—",ROUND(IF($AG295=0,LN($V295/$AH295)/$AI295,((($V295/$AH295)^$AG295)-1)/($AG295*$AI295)),2))</f>
        <v/>
      </c>
      <c r="N295">
        <f>IF(OR($M295="",$M295="—"),"",IF($M295&lt;-3,"Muito baixa",IF($M295&lt;-2,"Baixa","Adequada")))</f>
        <v/>
      </c>
      <c r="O295" s="12">
        <f>IF(OR($S295="",$F295="",$T295="",$T295&lt;0,$T295&gt;120,$AJ295=""),"—",ROUND(IF(ABS($AM295)&lt;=3,$AM295,IF($AM295&gt;3,3+($F295-$AO295)/($AO295-$AN295),-3+($F295-$AQ295)/($AP295-$AQ295))),2))</f>
        <v/>
      </c>
      <c r="P295">
        <f>IF(OR($O295="",$O295="—"),"",IF($O295&lt;-3,"Muito baixo",IF($O295&lt;-2,"Baixo",IF($O295&lt;=2,"Adequado","Elevado"))))</f>
        <v/>
      </c>
      <c r="Q295" s="12">
        <f>IF(OR($S295="",$F295="",$T295="",$T295&lt;0,$T295&gt;60,$AR295=""),"—",ROUND(IF(ABS($AU295)&lt;=3,$AU295,IF($AU295&gt;3,3+($F295-$AW295)/($AW295-$AV295),-3+($F295-$AY295)/($AX295-$AY295))),2))</f>
        <v/>
      </c>
      <c r="R295">
        <f>IF(OR($Q295="",$Q295="—"),"",IF($Q295&lt;-3,"Magreza acentuada",IF($Q295&lt;-2,"Magreza",IF($Q295&lt;=1,"Eutrofia",IF($Q295&lt;=2,"Risco de sobrepeso",IF($Q295&lt;=3,"Sobrepeso","Obesidade"))))))</f>
        <v/>
      </c>
      <c r="S295">
        <f>IF($C295="","",IF(UPPER(LEFT($C295,1))="M",1,IF(UPPER(LEFT($C295,1))="F",2,"")))</f>
        <v/>
      </c>
      <c r="T295">
        <f>IF(OR($D295="",$E295=""),"",DATEDIF($D295,$E295,"m"))</f>
        <v/>
      </c>
      <c r="U295">
        <f>IF(OR($D295="",$E295=""),"",$E295-$D295)</f>
        <v/>
      </c>
      <c r="V295">
        <f>IF(OR($G295="",$T295=""),"",IF($T295&lt;24,IF(LEFT(LOWER($H295),4)="em p",$G295+0.7,$G295),IF(LEFT(LOWER($H295),4)="deit",$G295-0.7,$G295)))</f>
        <v/>
      </c>
      <c r="W295">
        <f>IF(OR($S295="",$T295=""),"",$S295*1000000+IF($T295&lt;=60,$U295,$T295))</f>
        <v/>
      </c>
      <c r="X295">
        <f>IF(OR($S295="",$V295="",$T295&gt;60,$T295=""),"",$S295*1000000+ROUND($V295*10,0))</f>
        <v/>
      </c>
      <c r="Y295">
        <f>IF($W295="","",IFERROR(INDEX(IF($T295&lt;=60,imc05_l,imc519_l),MATCH($W295,IF($T295&lt;=60,imc05_k,imc519_k),1)),""))</f>
        <v/>
      </c>
      <c r="Z295">
        <f>IF($W295="","",IFERROR(INDEX(IF($T295&lt;=60,imc05_m,imc519_m),MATCH($W295,IF($T295&lt;=60,imc05_k,imc519_k),1)),""))</f>
        <v/>
      </c>
      <c r="AA295">
        <f>IF($W295="","",IFERROR(INDEX(IF($T295&lt;=60,imc05_s,imc519_s),MATCH($W295,IF($T295&lt;=60,imc05_k,imc519_k),1)),""))</f>
        <v/>
      </c>
      <c r="AB295">
        <f>IF($Y295="","",IF($Y295=0,LN($J295/$Z295)/$AA295,((($J295/$Z295)^$Y295)-1)/($Y295*$AA295)))</f>
        <v/>
      </c>
      <c r="AC295">
        <f>IF($Y295="","",IF($Y295=0,$Z295*EXP($AA295*2),$Z295*(1+$Y295*$AA295*2)^(1/$Y295)))</f>
        <v/>
      </c>
      <c r="AD295">
        <f>IF($Y295="","",IF($Y295=0,$Z295*EXP($AA295*3),$Z295*(1+$Y295*$AA295*3)^(1/$Y295)))</f>
        <v/>
      </c>
      <c r="AE295">
        <f>IF($Y295="","",IF($Y295=0,$Z295*EXP($AA295*-2),$Z295*(1+$Y295*$AA295*-2)^(1/$Y295)))</f>
        <v/>
      </c>
      <c r="AF295">
        <f>IF($Y295="","",IF($Y295=0,$Z295*EXP($AA295*-3),$Z295*(1+$Y295*$AA295*-3)^(1/$Y295)))</f>
        <v/>
      </c>
      <c r="AG295">
        <f>IF($W295="","",IFERROR(INDEX(IF($T295&lt;=60,est05_l,est519_l),MATCH($W295,IF($T295&lt;=60,est05_k,est519_k),1)),""))</f>
        <v/>
      </c>
      <c r="AH295">
        <f>IF($W295="","",IFERROR(INDEX(IF($T295&lt;=60,est05_m,est519_m),MATCH($W295,IF($T295&lt;=60,est05_k,est519_k),1)),""))</f>
        <v/>
      </c>
      <c r="AI295">
        <f>IF($W295="","",IFERROR(INDEX(IF($T295&lt;=60,est05_s,est519_s),MATCH($W295,IF($T295&lt;=60,est05_k,est519_k),1)),""))</f>
        <v/>
      </c>
      <c r="AJ295">
        <f>IF($W295="","",IFERROR(INDEX(IF($T295&lt;=60,peso05_l,peso510_l),MATCH($W295,IF($T295&lt;=60,peso05_k,peso510_k),1)),""))</f>
        <v/>
      </c>
      <c r="AK295">
        <f>IF($W295="","",IFERROR(INDEX(IF($T295&lt;=60,peso05_m,peso510_m),MATCH($W295,IF($T295&lt;=60,peso05_k,peso510_k),1)),""))</f>
        <v/>
      </c>
      <c r="AL295">
        <f>IF($W295="","",IFERROR(INDEX(IF($T295&lt;=60,peso05_s,peso510_s),MATCH($W295,IF($T295&lt;=60,peso05_k,peso510_k),1)),""))</f>
        <v/>
      </c>
      <c r="AM295">
        <f>IF($AJ295="","",IF($AJ295=0,LN($F295/$AK295)/$AL295,((($F295/$AK295)^$AJ295)-1)/($AJ295*$AL295)))</f>
        <v/>
      </c>
      <c r="AN295">
        <f>IF($AJ295="","",IF($AJ295=0,$AK295*EXP($AL295*2),$AK295*(1+$AJ295*$AL295*2)^(1/$AJ295)))</f>
        <v/>
      </c>
      <c r="AO295">
        <f>IF($AJ295="","",IF($AJ295=0,$AK295*EXP($AL295*3),$AK295*(1+$AJ295*$AL295*3)^(1/$AJ295)))</f>
        <v/>
      </c>
      <c r="AP295">
        <f>IF($AJ295="","",IF($AJ295=0,$AK295*EXP($AL295*-2),$AK295*(1+$AJ295*$AL295*-2)^(1/$AJ295)))</f>
        <v/>
      </c>
      <c r="AQ295">
        <f>IF($AJ295="","",IF($AJ295=0,$AK295*EXP($AL295*-3),$AK295*(1+$AJ295*$AL295*-3)^(1/$AJ295)))</f>
        <v/>
      </c>
      <c r="AR295">
        <f>IF(OR($X295="",$T295&gt;60),"",IFERROR(INDEX(IF($T295&lt;24,pcomp_l,palt_l),MATCH($X295,IF($T295&lt;24,pcomp_k,palt_k),1)),""))</f>
        <v/>
      </c>
      <c r="AS295">
        <f>IF(OR($X295="",$T295&gt;60),"",IFERROR(INDEX(IF($T295&lt;24,pcomp_m,palt_m),MATCH($X295,IF($T295&lt;24,pcomp_k,palt_k),1)),""))</f>
        <v/>
      </c>
      <c r="AT295">
        <f>IF(OR($X295="",$T295&gt;60),"",IFERROR(INDEX(IF($T295&lt;24,pcomp_s,palt_s),MATCH($X295,IF($T295&lt;24,pcomp_k,palt_k),1)),""))</f>
        <v/>
      </c>
      <c r="AU295">
        <f>IF($AR295="","",IF($AR295=0,LN($F295/$AS295)/$AT295,((($F295/$AS295)^$AR295)-1)/($AR295*$AT295)))</f>
        <v/>
      </c>
      <c r="AV295">
        <f>IF($AR295="","",IF($AR295=0,$AS295*EXP($AT295*2),$AS295*(1+$AR295*$AT295*2)^(1/$AR295)))</f>
        <v/>
      </c>
      <c r="AW295">
        <f>IF($AR295="","",IF($AR295=0,$AS295*EXP($AT295*3),$AS295*(1+$AR295*$AT295*3)^(1/$AR295)))</f>
        <v/>
      </c>
      <c r="AX295">
        <f>IF($AR295="","",IF($AR295=0,$AS295*EXP($AT295*-2),$AS295*(1+$AR295*$AT295*-2)^(1/$AR295)))</f>
        <v/>
      </c>
      <c r="AY295">
        <f>IF($AR295="","",IF($AR295=0,$AS295*EXP($AT295*-3),$AS295*(1+$AR295*$AT295*-3)^(1/$AR295)))</f>
        <v/>
      </c>
      <c r="AZ295">
        <f>IF(OR($A295="",$A295&lt;&gt;Ficha!$C$4),"",COUNTIF($A$2:$A295,Ficha!$C$4))</f>
        <v/>
      </c>
    </row>
    <row r="296">
      <c r="A296" s="8">
        <f>IF(INDEX(Banco!$A:$A,ROW())="","",INDEX(Banco!$A:$A,ROW()))</f>
        <v/>
      </c>
      <c r="B296" s="8">
        <f>IF(INDEX(Banco!$B:$B,ROW())="","",INDEX(Banco!$B:$B,ROW()))</f>
        <v/>
      </c>
      <c r="C296" s="8">
        <f>IF(INDEX(Banco!$C:$C,ROW())="","",INDEX(Banco!$C:$C,ROW()))</f>
        <v/>
      </c>
      <c r="D296" s="9">
        <f>IF(INDEX(Banco!$D:$D,ROW())="","",INDEX(Banco!$D:$D,ROW()))</f>
        <v/>
      </c>
      <c r="E296" s="9">
        <f>IF(INDEX(Banco!$E:$E,ROW())="","",INDEX(Banco!$E:$E,ROW()))</f>
        <v/>
      </c>
      <c r="F296" s="10">
        <f>IF(INDEX(Banco!$F:$F,ROW())="","",INDEX(Banco!$F:$F,ROW()))</f>
        <v/>
      </c>
      <c r="G296" s="10">
        <f>IF(INDEX(Banco!$G:$G,ROW())="","",INDEX(Banco!$G:$G,ROW()))</f>
        <v/>
      </c>
      <c r="H296" s="8">
        <f>IF(INDEX(Banco!$H:$H,ROW())="","",INDEX(Banco!$H:$H,ROW()))</f>
        <v/>
      </c>
      <c r="I296">
        <f>IF($T296="","",INT($T296/12)&amp;"a "&amp;MOD($T296,12)&amp;"m")</f>
        <v/>
      </c>
      <c r="J296" s="11">
        <f>IF(OR($F296="",$G296=""),"",ROUND($F296/($G296/100)^2,2))</f>
        <v/>
      </c>
      <c r="K296" s="12">
        <f>IF(OR($S296="",$J296="",$T296="",$T296&lt;0,$T296&gt;228,$Y296=""),"—",ROUND(IF(ABS($AB296)&lt;=3,$AB296,IF($AB296&gt;3,3+($J296-$AD296)/($AD296-$AC296),-3+($J296-$AF296)/($AE296-$AF296))),2))</f>
        <v/>
      </c>
      <c r="L296">
        <f>IF(OR($K296="",$K296="—"),"",IF($T296&lt;=60,IF($K296&lt;-3,"Magreza acentuada",IF($K296&lt;-2,"Magreza",IF($K296&lt;=1,"Eutrofia",IF($K296&lt;=2,"Risco de sobrepeso",IF($K296&lt;=3,"Sobrepeso","Obesidade"))))),IF($K296&lt;-3,"Magreza acentuada",IF($K296&lt;-2,"Magreza",IF($K296&lt;=1,"Eutrofia",IF($K296&lt;=2,"Sobrepeso",IF($K296&lt;=3,"Obesidade","Obesidade grave")))))))</f>
        <v/>
      </c>
      <c r="M296" s="12">
        <f>IF(OR($S296="",$V296="",$T296="",$T296&lt;0,$T296&gt;228,$AG296=""),"—",ROUND(IF($AG296=0,LN($V296/$AH296)/$AI296,((($V296/$AH296)^$AG296)-1)/($AG296*$AI296)),2))</f>
        <v/>
      </c>
      <c r="N296">
        <f>IF(OR($M296="",$M296="—"),"",IF($M296&lt;-3,"Muito baixa",IF($M296&lt;-2,"Baixa","Adequada")))</f>
        <v/>
      </c>
      <c r="O296" s="12">
        <f>IF(OR($S296="",$F296="",$T296="",$T296&lt;0,$T296&gt;120,$AJ296=""),"—",ROUND(IF(ABS($AM296)&lt;=3,$AM296,IF($AM296&gt;3,3+($F296-$AO296)/($AO296-$AN296),-3+($F296-$AQ296)/($AP296-$AQ296))),2))</f>
        <v/>
      </c>
      <c r="P296">
        <f>IF(OR($O296="",$O296="—"),"",IF($O296&lt;-3,"Muito baixo",IF($O296&lt;-2,"Baixo",IF($O296&lt;=2,"Adequado","Elevado"))))</f>
        <v/>
      </c>
      <c r="Q296" s="12">
        <f>IF(OR($S296="",$F296="",$T296="",$T296&lt;0,$T296&gt;60,$AR296=""),"—",ROUND(IF(ABS($AU296)&lt;=3,$AU296,IF($AU296&gt;3,3+($F296-$AW296)/($AW296-$AV296),-3+($F296-$AY296)/($AX296-$AY296))),2))</f>
        <v/>
      </c>
      <c r="R296">
        <f>IF(OR($Q296="",$Q296="—"),"",IF($Q296&lt;-3,"Magreza acentuada",IF($Q296&lt;-2,"Magreza",IF($Q296&lt;=1,"Eutrofia",IF($Q296&lt;=2,"Risco de sobrepeso",IF($Q296&lt;=3,"Sobrepeso","Obesidade"))))))</f>
        <v/>
      </c>
      <c r="S296">
        <f>IF($C296="","",IF(UPPER(LEFT($C296,1))="M",1,IF(UPPER(LEFT($C296,1))="F",2,"")))</f>
        <v/>
      </c>
      <c r="T296">
        <f>IF(OR($D296="",$E296=""),"",DATEDIF($D296,$E296,"m"))</f>
        <v/>
      </c>
      <c r="U296">
        <f>IF(OR($D296="",$E296=""),"",$E296-$D296)</f>
        <v/>
      </c>
      <c r="V296">
        <f>IF(OR($G296="",$T296=""),"",IF($T296&lt;24,IF(LEFT(LOWER($H296),4)="em p",$G296+0.7,$G296),IF(LEFT(LOWER($H296),4)="deit",$G296-0.7,$G296)))</f>
        <v/>
      </c>
      <c r="W296">
        <f>IF(OR($S296="",$T296=""),"",$S296*1000000+IF($T296&lt;=60,$U296,$T296))</f>
        <v/>
      </c>
      <c r="X296">
        <f>IF(OR($S296="",$V296="",$T296&gt;60,$T296=""),"",$S296*1000000+ROUND($V296*10,0))</f>
        <v/>
      </c>
      <c r="Y296">
        <f>IF($W296="","",IFERROR(INDEX(IF($T296&lt;=60,imc05_l,imc519_l),MATCH($W296,IF($T296&lt;=60,imc05_k,imc519_k),1)),""))</f>
        <v/>
      </c>
      <c r="Z296">
        <f>IF($W296="","",IFERROR(INDEX(IF($T296&lt;=60,imc05_m,imc519_m),MATCH($W296,IF($T296&lt;=60,imc05_k,imc519_k),1)),""))</f>
        <v/>
      </c>
      <c r="AA296">
        <f>IF($W296="","",IFERROR(INDEX(IF($T296&lt;=60,imc05_s,imc519_s),MATCH($W296,IF($T296&lt;=60,imc05_k,imc519_k),1)),""))</f>
        <v/>
      </c>
      <c r="AB296">
        <f>IF($Y296="","",IF($Y296=0,LN($J296/$Z296)/$AA296,((($J296/$Z296)^$Y296)-1)/($Y296*$AA296)))</f>
        <v/>
      </c>
      <c r="AC296">
        <f>IF($Y296="","",IF($Y296=0,$Z296*EXP($AA296*2),$Z296*(1+$Y296*$AA296*2)^(1/$Y296)))</f>
        <v/>
      </c>
      <c r="AD296">
        <f>IF($Y296="","",IF($Y296=0,$Z296*EXP($AA296*3),$Z296*(1+$Y296*$AA296*3)^(1/$Y296)))</f>
        <v/>
      </c>
      <c r="AE296">
        <f>IF($Y296="","",IF($Y296=0,$Z296*EXP($AA296*-2),$Z296*(1+$Y296*$AA296*-2)^(1/$Y296)))</f>
        <v/>
      </c>
      <c r="AF296">
        <f>IF($Y296="","",IF($Y296=0,$Z296*EXP($AA296*-3),$Z296*(1+$Y296*$AA296*-3)^(1/$Y296)))</f>
        <v/>
      </c>
      <c r="AG296">
        <f>IF($W296="","",IFERROR(INDEX(IF($T296&lt;=60,est05_l,est519_l),MATCH($W296,IF($T296&lt;=60,est05_k,est519_k),1)),""))</f>
        <v/>
      </c>
      <c r="AH296">
        <f>IF($W296="","",IFERROR(INDEX(IF($T296&lt;=60,est05_m,est519_m),MATCH($W296,IF($T296&lt;=60,est05_k,est519_k),1)),""))</f>
        <v/>
      </c>
      <c r="AI296">
        <f>IF($W296="","",IFERROR(INDEX(IF($T296&lt;=60,est05_s,est519_s),MATCH($W296,IF($T296&lt;=60,est05_k,est519_k),1)),""))</f>
        <v/>
      </c>
      <c r="AJ296">
        <f>IF($W296="","",IFERROR(INDEX(IF($T296&lt;=60,peso05_l,peso510_l),MATCH($W296,IF($T296&lt;=60,peso05_k,peso510_k),1)),""))</f>
        <v/>
      </c>
      <c r="AK296">
        <f>IF($W296="","",IFERROR(INDEX(IF($T296&lt;=60,peso05_m,peso510_m),MATCH($W296,IF($T296&lt;=60,peso05_k,peso510_k),1)),""))</f>
        <v/>
      </c>
      <c r="AL296">
        <f>IF($W296="","",IFERROR(INDEX(IF($T296&lt;=60,peso05_s,peso510_s),MATCH($W296,IF($T296&lt;=60,peso05_k,peso510_k),1)),""))</f>
        <v/>
      </c>
      <c r="AM296">
        <f>IF($AJ296="","",IF($AJ296=0,LN($F296/$AK296)/$AL296,((($F296/$AK296)^$AJ296)-1)/($AJ296*$AL296)))</f>
        <v/>
      </c>
      <c r="AN296">
        <f>IF($AJ296="","",IF($AJ296=0,$AK296*EXP($AL296*2),$AK296*(1+$AJ296*$AL296*2)^(1/$AJ296)))</f>
        <v/>
      </c>
      <c r="AO296">
        <f>IF($AJ296="","",IF($AJ296=0,$AK296*EXP($AL296*3),$AK296*(1+$AJ296*$AL296*3)^(1/$AJ296)))</f>
        <v/>
      </c>
      <c r="AP296">
        <f>IF($AJ296="","",IF($AJ296=0,$AK296*EXP($AL296*-2),$AK296*(1+$AJ296*$AL296*-2)^(1/$AJ296)))</f>
        <v/>
      </c>
      <c r="AQ296">
        <f>IF($AJ296="","",IF($AJ296=0,$AK296*EXP($AL296*-3),$AK296*(1+$AJ296*$AL296*-3)^(1/$AJ296)))</f>
        <v/>
      </c>
      <c r="AR296">
        <f>IF(OR($X296="",$T296&gt;60),"",IFERROR(INDEX(IF($T296&lt;24,pcomp_l,palt_l),MATCH($X296,IF($T296&lt;24,pcomp_k,palt_k),1)),""))</f>
        <v/>
      </c>
      <c r="AS296">
        <f>IF(OR($X296="",$T296&gt;60),"",IFERROR(INDEX(IF($T296&lt;24,pcomp_m,palt_m),MATCH($X296,IF($T296&lt;24,pcomp_k,palt_k),1)),""))</f>
        <v/>
      </c>
      <c r="AT296">
        <f>IF(OR($X296="",$T296&gt;60),"",IFERROR(INDEX(IF($T296&lt;24,pcomp_s,palt_s),MATCH($X296,IF($T296&lt;24,pcomp_k,palt_k),1)),""))</f>
        <v/>
      </c>
      <c r="AU296">
        <f>IF($AR296="","",IF($AR296=0,LN($F296/$AS296)/$AT296,((($F296/$AS296)^$AR296)-1)/($AR296*$AT296)))</f>
        <v/>
      </c>
      <c r="AV296">
        <f>IF($AR296="","",IF($AR296=0,$AS296*EXP($AT296*2),$AS296*(1+$AR296*$AT296*2)^(1/$AR296)))</f>
        <v/>
      </c>
      <c r="AW296">
        <f>IF($AR296="","",IF($AR296=0,$AS296*EXP($AT296*3),$AS296*(1+$AR296*$AT296*3)^(1/$AR296)))</f>
        <v/>
      </c>
      <c r="AX296">
        <f>IF($AR296="","",IF($AR296=0,$AS296*EXP($AT296*-2),$AS296*(1+$AR296*$AT296*-2)^(1/$AR296)))</f>
        <v/>
      </c>
      <c r="AY296">
        <f>IF($AR296="","",IF($AR296=0,$AS296*EXP($AT296*-3),$AS296*(1+$AR296*$AT296*-3)^(1/$AR296)))</f>
        <v/>
      </c>
      <c r="AZ296">
        <f>IF(OR($A296="",$A296&lt;&gt;Ficha!$C$4),"",COUNTIF($A$2:$A296,Ficha!$C$4))</f>
        <v/>
      </c>
    </row>
    <row r="297">
      <c r="A297" s="8">
        <f>IF(INDEX(Banco!$A:$A,ROW())="","",INDEX(Banco!$A:$A,ROW()))</f>
        <v/>
      </c>
      <c r="B297" s="8">
        <f>IF(INDEX(Banco!$B:$B,ROW())="","",INDEX(Banco!$B:$B,ROW()))</f>
        <v/>
      </c>
      <c r="C297" s="8">
        <f>IF(INDEX(Banco!$C:$C,ROW())="","",INDEX(Banco!$C:$C,ROW()))</f>
        <v/>
      </c>
      <c r="D297" s="9">
        <f>IF(INDEX(Banco!$D:$D,ROW())="","",INDEX(Banco!$D:$D,ROW()))</f>
        <v/>
      </c>
      <c r="E297" s="9">
        <f>IF(INDEX(Banco!$E:$E,ROW())="","",INDEX(Banco!$E:$E,ROW()))</f>
        <v/>
      </c>
      <c r="F297" s="10">
        <f>IF(INDEX(Banco!$F:$F,ROW())="","",INDEX(Banco!$F:$F,ROW()))</f>
        <v/>
      </c>
      <c r="G297" s="10">
        <f>IF(INDEX(Banco!$G:$G,ROW())="","",INDEX(Banco!$G:$G,ROW()))</f>
        <v/>
      </c>
      <c r="H297" s="8">
        <f>IF(INDEX(Banco!$H:$H,ROW())="","",INDEX(Banco!$H:$H,ROW()))</f>
        <v/>
      </c>
      <c r="I297">
        <f>IF($T297="","",INT($T297/12)&amp;"a "&amp;MOD($T297,12)&amp;"m")</f>
        <v/>
      </c>
      <c r="J297" s="11">
        <f>IF(OR($F297="",$G297=""),"",ROUND($F297/($G297/100)^2,2))</f>
        <v/>
      </c>
      <c r="K297" s="12">
        <f>IF(OR($S297="",$J297="",$T297="",$T297&lt;0,$T297&gt;228,$Y297=""),"—",ROUND(IF(ABS($AB297)&lt;=3,$AB297,IF($AB297&gt;3,3+($J297-$AD297)/($AD297-$AC297),-3+($J297-$AF297)/($AE297-$AF297))),2))</f>
        <v/>
      </c>
      <c r="L297">
        <f>IF(OR($K297="",$K297="—"),"",IF($T297&lt;=60,IF($K297&lt;-3,"Magreza acentuada",IF($K297&lt;-2,"Magreza",IF($K297&lt;=1,"Eutrofia",IF($K297&lt;=2,"Risco de sobrepeso",IF($K297&lt;=3,"Sobrepeso","Obesidade"))))),IF($K297&lt;-3,"Magreza acentuada",IF($K297&lt;-2,"Magreza",IF($K297&lt;=1,"Eutrofia",IF($K297&lt;=2,"Sobrepeso",IF($K297&lt;=3,"Obesidade","Obesidade grave")))))))</f>
        <v/>
      </c>
      <c r="M297" s="12">
        <f>IF(OR($S297="",$V297="",$T297="",$T297&lt;0,$T297&gt;228,$AG297=""),"—",ROUND(IF($AG297=0,LN($V297/$AH297)/$AI297,((($V297/$AH297)^$AG297)-1)/($AG297*$AI297)),2))</f>
        <v/>
      </c>
      <c r="N297">
        <f>IF(OR($M297="",$M297="—"),"",IF($M297&lt;-3,"Muito baixa",IF($M297&lt;-2,"Baixa","Adequada")))</f>
        <v/>
      </c>
      <c r="O297" s="12">
        <f>IF(OR($S297="",$F297="",$T297="",$T297&lt;0,$T297&gt;120,$AJ297=""),"—",ROUND(IF(ABS($AM297)&lt;=3,$AM297,IF($AM297&gt;3,3+($F297-$AO297)/($AO297-$AN297),-3+($F297-$AQ297)/($AP297-$AQ297))),2))</f>
        <v/>
      </c>
      <c r="P297">
        <f>IF(OR($O297="",$O297="—"),"",IF($O297&lt;-3,"Muito baixo",IF($O297&lt;-2,"Baixo",IF($O297&lt;=2,"Adequado","Elevado"))))</f>
        <v/>
      </c>
      <c r="Q297" s="12">
        <f>IF(OR($S297="",$F297="",$T297="",$T297&lt;0,$T297&gt;60,$AR297=""),"—",ROUND(IF(ABS($AU297)&lt;=3,$AU297,IF($AU297&gt;3,3+($F297-$AW297)/($AW297-$AV297),-3+($F297-$AY297)/($AX297-$AY297))),2))</f>
        <v/>
      </c>
      <c r="R297">
        <f>IF(OR($Q297="",$Q297="—"),"",IF($Q297&lt;-3,"Magreza acentuada",IF($Q297&lt;-2,"Magreza",IF($Q297&lt;=1,"Eutrofia",IF($Q297&lt;=2,"Risco de sobrepeso",IF($Q297&lt;=3,"Sobrepeso","Obesidade"))))))</f>
        <v/>
      </c>
      <c r="S297">
        <f>IF($C297="","",IF(UPPER(LEFT($C297,1))="M",1,IF(UPPER(LEFT($C297,1))="F",2,"")))</f>
        <v/>
      </c>
      <c r="T297">
        <f>IF(OR($D297="",$E297=""),"",DATEDIF($D297,$E297,"m"))</f>
        <v/>
      </c>
      <c r="U297">
        <f>IF(OR($D297="",$E297=""),"",$E297-$D297)</f>
        <v/>
      </c>
      <c r="V297">
        <f>IF(OR($G297="",$T297=""),"",IF($T297&lt;24,IF(LEFT(LOWER($H297),4)="em p",$G297+0.7,$G297),IF(LEFT(LOWER($H297),4)="deit",$G297-0.7,$G297)))</f>
        <v/>
      </c>
      <c r="W297">
        <f>IF(OR($S297="",$T297=""),"",$S297*1000000+IF($T297&lt;=60,$U297,$T297))</f>
        <v/>
      </c>
      <c r="X297">
        <f>IF(OR($S297="",$V297="",$T297&gt;60,$T297=""),"",$S297*1000000+ROUND($V297*10,0))</f>
        <v/>
      </c>
      <c r="Y297">
        <f>IF($W297="","",IFERROR(INDEX(IF($T297&lt;=60,imc05_l,imc519_l),MATCH($W297,IF($T297&lt;=60,imc05_k,imc519_k),1)),""))</f>
        <v/>
      </c>
      <c r="Z297">
        <f>IF($W297="","",IFERROR(INDEX(IF($T297&lt;=60,imc05_m,imc519_m),MATCH($W297,IF($T297&lt;=60,imc05_k,imc519_k),1)),""))</f>
        <v/>
      </c>
      <c r="AA297">
        <f>IF($W297="","",IFERROR(INDEX(IF($T297&lt;=60,imc05_s,imc519_s),MATCH($W297,IF($T297&lt;=60,imc05_k,imc519_k),1)),""))</f>
        <v/>
      </c>
      <c r="AB297">
        <f>IF($Y297="","",IF($Y297=0,LN($J297/$Z297)/$AA297,((($J297/$Z297)^$Y297)-1)/($Y297*$AA297)))</f>
        <v/>
      </c>
      <c r="AC297">
        <f>IF($Y297="","",IF($Y297=0,$Z297*EXP($AA297*2),$Z297*(1+$Y297*$AA297*2)^(1/$Y297)))</f>
        <v/>
      </c>
      <c r="AD297">
        <f>IF($Y297="","",IF($Y297=0,$Z297*EXP($AA297*3),$Z297*(1+$Y297*$AA297*3)^(1/$Y297)))</f>
        <v/>
      </c>
      <c r="AE297">
        <f>IF($Y297="","",IF($Y297=0,$Z297*EXP($AA297*-2),$Z297*(1+$Y297*$AA297*-2)^(1/$Y297)))</f>
        <v/>
      </c>
      <c r="AF297">
        <f>IF($Y297="","",IF($Y297=0,$Z297*EXP($AA297*-3),$Z297*(1+$Y297*$AA297*-3)^(1/$Y297)))</f>
        <v/>
      </c>
      <c r="AG297">
        <f>IF($W297="","",IFERROR(INDEX(IF($T297&lt;=60,est05_l,est519_l),MATCH($W297,IF($T297&lt;=60,est05_k,est519_k),1)),""))</f>
        <v/>
      </c>
      <c r="AH297">
        <f>IF($W297="","",IFERROR(INDEX(IF($T297&lt;=60,est05_m,est519_m),MATCH($W297,IF($T297&lt;=60,est05_k,est519_k),1)),""))</f>
        <v/>
      </c>
      <c r="AI297">
        <f>IF($W297="","",IFERROR(INDEX(IF($T297&lt;=60,est05_s,est519_s),MATCH($W297,IF($T297&lt;=60,est05_k,est519_k),1)),""))</f>
        <v/>
      </c>
      <c r="AJ297">
        <f>IF($W297="","",IFERROR(INDEX(IF($T297&lt;=60,peso05_l,peso510_l),MATCH($W297,IF($T297&lt;=60,peso05_k,peso510_k),1)),""))</f>
        <v/>
      </c>
      <c r="AK297">
        <f>IF($W297="","",IFERROR(INDEX(IF($T297&lt;=60,peso05_m,peso510_m),MATCH($W297,IF($T297&lt;=60,peso05_k,peso510_k),1)),""))</f>
        <v/>
      </c>
      <c r="AL297">
        <f>IF($W297="","",IFERROR(INDEX(IF($T297&lt;=60,peso05_s,peso510_s),MATCH($W297,IF($T297&lt;=60,peso05_k,peso510_k),1)),""))</f>
        <v/>
      </c>
      <c r="AM297">
        <f>IF($AJ297="","",IF($AJ297=0,LN($F297/$AK297)/$AL297,((($F297/$AK297)^$AJ297)-1)/($AJ297*$AL297)))</f>
        <v/>
      </c>
      <c r="AN297">
        <f>IF($AJ297="","",IF($AJ297=0,$AK297*EXP($AL297*2),$AK297*(1+$AJ297*$AL297*2)^(1/$AJ297)))</f>
        <v/>
      </c>
      <c r="AO297">
        <f>IF($AJ297="","",IF($AJ297=0,$AK297*EXP($AL297*3),$AK297*(1+$AJ297*$AL297*3)^(1/$AJ297)))</f>
        <v/>
      </c>
      <c r="AP297">
        <f>IF($AJ297="","",IF($AJ297=0,$AK297*EXP($AL297*-2),$AK297*(1+$AJ297*$AL297*-2)^(1/$AJ297)))</f>
        <v/>
      </c>
      <c r="AQ297">
        <f>IF($AJ297="","",IF($AJ297=0,$AK297*EXP($AL297*-3),$AK297*(1+$AJ297*$AL297*-3)^(1/$AJ297)))</f>
        <v/>
      </c>
      <c r="AR297">
        <f>IF(OR($X297="",$T297&gt;60),"",IFERROR(INDEX(IF($T297&lt;24,pcomp_l,palt_l),MATCH($X297,IF($T297&lt;24,pcomp_k,palt_k),1)),""))</f>
        <v/>
      </c>
      <c r="AS297">
        <f>IF(OR($X297="",$T297&gt;60),"",IFERROR(INDEX(IF($T297&lt;24,pcomp_m,palt_m),MATCH($X297,IF($T297&lt;24,pcomp_k,palt_k),1)),""))</f>
        <v/>
      </c>
      <c r="AT297">
        <f>IF(OR($X297="",$T297&gt;60),"",IFERROR(INDEX(IF($T297&lt;24,pcomp_s,palt_s),MATCH($X297,IF($T297&lt;24,pcomp_k,palt_k),1)),""))</f>
        <v/>
      </c>
      <c r="AU297">
        <f>IF($AR297="","",IF($AR297=0,LN($F297/$AS297)/$AT297,((($F297/$AS297)^$AR297)-1)/($AR297*$AT297)))</f>
        <v/>
      </c>
      <c r="AV297">
        <f>IF($AR297="","",IF($AR297=0,$AS297*EXP($AT297*2),$AS297*(1+$AR297*$AT297*2)^(1/$AR297)))</f>
        <v/>
      </c>
      <c r="AW297">
        <f>IF($AR297="","",IF($AR297=0,$AS297*EXP($AT297*3),$AS297*(1+$AR297*$AT297*3)^(1/$AR297)))</f>
        <v/>
      </c>
      <c r="AX297">
        <f>IF($AR297="","",IF($AR297=0,$AS297*EXP($AT297*-2),$AS297*(1+$AR297*$AT297*-2)^(1/$AR297)))</f>
        <v/>
      </c>
      <c r="AY297">
        <f>IF($AR297="","",IF($AR297=0,$AS297*EXP($AT297*-3),$AS297*(1+$AR297*$AT297*-3)^(1/$AR297)))</f>
        <v/>
      </c>
      <c r="AZ297">
        <f>IF(OR($A297="",$A297&lt;&gt;Ficha!$C$4),"",COUNTIF($A$2:$A297,Ficha!$C$4))</f>
        <v/>
      </c>
    </row>
    <row r="298">
      <c r="A298" s="8">
        <f>IF(INDEX(Banco!$A:$A,ROW())="","",INDEX(Banco!$A:$A,ROW()))</f>
        <v/>
      </c>
      <c r="B298" s="8">
        <f>IF(INDEX(Banco!$B:$B,ROW())="","",INDEX(Banco!$B:$B,ROW()))</f>
        <v/>
      </c>
      <c r="C298" s="8">
        <f>IF(INDEX(Banco!$C:$C,ROW())="","",INDEX(Banco!$C:$C,ROW()))</f>
        <v/>
      </c>
      <c r="D298" s="9">
        <f>IF(INDEX(Banco!$D:$D,ROW())="","",INDEX(Banco!$D:$D,ROW()))</f>
        <v/>
      </c>
      <c r="E298" s="9">
        <f>IF(INDEX(Banco!$E:$E,ROW())="","",INDEX(Banco!$E:$E,ROW()))</f>
        <v/>
      </c>
      <c r="F298" s="10">
        <f>IF(INDEX(Banco!$F:$F,ROW())="","",INDEX(Banco!$F:$F,ROW()))</f>
        <v/>
      </c>
      <c r="G298" s="10">
        <f>IF(INDEX(Banco!$G:$G,ROW())="","",INDEX(Banco!$G:$G,ROW()))</f>
        <v/>
      </c>
      <c r="H298" s="8">
        <f>IF(INDEX(Banco!$H:$H,ROW())="","",INDEX(Banco!$H:$H,ROW()))</f>
        <v/>
      </c>
      <c r="I298">
        <f>IF($T298="","",INT($T298/12)&amp;"a "&amp;MOD($T298,12)&amp;"m")</f>
        <v/>
      </c>
      <c r="J298" s="11">
        <f>IF(OR($F298="",$G298=""),"",ROUND($F298/($G298/100)^2,2))</f>
        <v/>
      </c>
      <c r="K298" s="12">
        <f>IF(OR($S298="",$J298="",$T298="",$T298&lt;0,$T298&gt;228,$Y298=""),"—",ROUND(IF(ABS($AB298)&lt;=3,$AB298,IF($AB298&gt;3,3+($J298-$AD298)/($AD298-$AC298),-3+($J298-$AF298)/($AE298-$AF298))),2))</f>
        <v/>
      </c>
      <c r="L298">
        <f>IF(OR($K298="",$K298="—"),"",IF($T298&lt;=60,IF($K298&lt;-3,"Magreza acentuada",IF($K298&lt;-2,"Magreza",IF($K298&lt;=1,"Eutrofia",IF($K298&lt;=2,"Risco de sobrepeso",IF($K298&lt;=3,"Sobrepeso","Obesidade"))))),IF($K298&lt;-3,"Magreza acentuada",IF($K298&lt;-2,"Magreza",IF($K298&lt;=1,"Eutrofia",IF($K298&lt;=2,"Sobrepeso",IF($K298&lt;=3,"Obesidade","Obesidade grave")))))))</f>
        <v/>
      </c>
      <c r="M298" s="12">
        <f>IF(OR($S298="",$V298="",$T298="",$T298&lt;0,$T298&gt;228,$AG298=""),"—",ROUND(IF($AG298=0,LN($V298/$AH298)/$AI298,((($V298/$AH298)^$AG298)-1)/($AG298*$AI298)),2))</f>
        <v/>
      </c>
      <c r="N298">
        <f>IF(OR($M298="",$M298="—"),"",IF($M298&lt;-3,"Muito baixa",IF($M298&lt;-2,"Baixa","Adequada")))</f>
        <v/>
      </c>
      <c r="O298" s="12">
        <f>IF(OR($S298="",$F298="",$T298="",$T298&lt;0,$T298&gt;120,$AJ298=""),"—",ROUND(IF(ABS($AM298)&lt;=3,$AM298,IF($AM298&gt;3,3+($F298-$AO298)/($AO298-$AN298),-3+($F298-$AQ298)/($AP298-$AQ298))),2))</f>
        <v/>
      </c>
      <c r="P298">
        <f>IF(OR($O298="",$O298="—"),"",IF($O298&lt;-3,"Muito baixo",IF($O298&lt;-2,"Baixo",IF($O298&lt;=2,"Adequado","Elevado"))))</f>
        <v/>
      </c>
      <c r="Q298" s="12">
        <f>IF(OR($S298="",$F298="",$T298="",$T298&lt;0,$T298&gt;60,$AR298=""),"—",ROUND(IF(ABS($AU298)&lt;=3,$AU298,IF($AU298&gt;3,3+($F298-$AW298)/($AW298-$AV298),-3+($F298-$AY298)/($AX298-$AY298))),2))</f>
        <v/>
      </c>
      <c r="R298">
        <f>IF(OR($Q298="",$Q298="—"),"",IF($Q298&lt;-3,"Magreza acentuada",IF($Q298&lt;-2,"Magreza",IF($Q298&lt;=1,"Eutrofia",IF($Q298&lt;=2,"Risco de sobrepeso",IF($Q298&lt;=3,"Sobrepeso","Obesidade"))))))</f>
        <v/>
      </c>
      <c r="S298">
        <f>IF($C298="","",IF(UPPER(LEFT($C298,1))="M",1,IF(UPPER(LEFT($C298,1))="F",2,"")))</f>
        <v/>
      </c>
      <c r="T298">
        <f>IF(OR($D298="",$E298=""),"",DATEDIF($D298,$E298,"m"))</f>
        <v/>
      </c>
      <c r="U298">
        <f>IF(OR($D298="",$E298=""),"",$E298-$D298)</f>
        <v/>
      </c>
      <c r="V298">
        <f>IF(OR($G298="",$T298=""),"",IF($T298&lt;24,IF(LEFT(LOWER($H298),4)="em p",$G298+0.7,$G298),IF(LEFT(LOWER($H298),4)="deit",$G298-0.7,$G298)))</f>
        <v/>
      </c>
      <c r="W298">
        <f>IF(OR($S298="",$T298=""),"",$S298*1000000+IF($T298&lt;=60,$U298,$T298))</f>
        <v/>
      </c>
      <c r="X298">
        <f>IF(OR($S298="",$V298="",$T298&gt;60,$T298=""),"",$S298*1000000+ROUND($V298*10,0))</f>
        <v/>
      </c>
      <c r="Y298">
        <f>IF($W298="","",IFERROR(INDEX(IF($T298&lt;=60,imc05_l,imc519_l),MATCH($W298,IF($T298&lt;=60,imc05_k,imc519_k),1)),""))</f>
        <v/>
      </c>
      <c r="Z298">
        <f>IF($W298="","",IFERROR(INDEX(IF($T298&lt;=60,imc05_m,imc519_m),MATCH($W298,IF($T298&lt;=60,imc05_k,imc519_k),1)),""))</f>
        <v/>
      </c>
      <c r="AA298">
        <f>IF($W298="","",IFERROR(INDEX(IF($T298&lt;=60,imc05_s,imc519_s),MATCH($W298,IF($T298&lt;=60,imc05_k,imc519_k),1)),""))</f>
        <v/>
      </c>
      <c r="AB298">
        <f>IF($Y298="","",IF($Y298=0,LN($J298/$Z298)/$AA298,((($J298/$Z298)^$Y298)-1)/($Y298*$AA298)))</f>
        <v/>
      </c>
      <c r="AC298">
        <f>IF($Y298="","",IF($Y298=0,$Z298*EXP($AA298*2),$Z298*(1+$Y298*$AA298*2)^(1/$Y298)))</f>
        <v/>
      </c>
      <c r="AD298">
        <f>IF($Y298="","",IF($Y298=0,$Z298*EXP($AA298*3),$Z298*(1+$Y298*$AA298*3)^(1/$Y298)))</f>
        <v/>
      </c>
      <c r="AE298">
        <f>IF($Y298="","",IF($Y298=0,$Z298*EXP($AA298*-2),$Z298*(1+$Y298*$AA298*-2)^(1/$Y298)))</f>
        <v/>
      </c>
      <c r="AF298">
        <f>IF($Y298="","",IF($Y298=0,$Z298*EXP($AA298*-3),$Z298*(1+$Y298*$AA298*-3)^(1/$Y298)))</f>
        <v/>
      </c>
      <c r="AG298">
        <f>IF($W298="","",IFERROR(INDEX(IF($T298&lt;=60,est05_l,est519_l),MATCH($W298,IF($T298&lt;=60,est05_k,est519_k),1)),""))</f>
        <v/>
      </c>
      <c r="AH298">
        <f>IF($W298="","",IFERROR(INDEX(IF($T298&lt;=60,est05_m,est519_m),MATCH($W298,IF($T298&lt;=60,est05_k,est519_k),1)),""))</f>
        <v/>
      </c>
      <c r="AI298">
        <f>IF($W298="","",IFERROR(INDEX(IF($T298&lt;=60,est05_s,est519_s),MATCH($W298,IF($T298&lt;=60,est05_k,est519_k),1)),""))</f>
        <v/>
      </c>
      <c r="AJ298">
        <f>IF($W298="","",IFERROR(INDEX(IF($T298&lt;=60,peso05_l,peso510_l),MATCH($W298,IF($T298&lt;=60,peso05_k,peso510_k),1)),""))</f>
        <v/>
      </c>
      <c r="AK298">
        <f>IF($W298="","",IFERROR(INDEX(IF($T298&lt;=60,peso05_m,peso510_m),MATCH($W298,IF($T298&lt;=60,peso05_k,peso510_k),1)),""))</f>
        <v/>
      </c>
      <c r="AL298">
        <f>IF($W298="","",IFERROR(INDEX(IF($T298&lt;=60,peso05_s,peso510_s),MATCH($W298,IF($T298&lt;=60,peso05_k,peso510_k),1)),""))</f>
        <v/>
      </c>
      <c r="AM298">
        <f>IF($AJ298="","",IF($AJ298=0,LN($F298/$AK298)/$AL298,((($F298/$AK298)^$AJ298)-1)/($AJ298*$AL298)))</f>
        <v/>
      </c>
      <c r="AN298">
        <f>IF($AJ298="","",IF($AJ298=0,$AK298*EXP($AL298*2),$AK298*(1+$AJ298*$AL298*2)^(1/$AJ298)))</f>
        <v/>
      </c>
      <c r="AO298">
        <f>IF($AJ298="","",IF($AJ298=0,$AK298*EXP($AL298*3),$AK298*(1+$AJ298*$AL298*3)^(1/$AJ298)))</f>
        <v/>
      </c>
      <c r="AP298">
        <f>IF($AJ298="","",IF($AJ298=0,$AK298*EXP($AL298*-2),$AK298*(1+$AJ298*$AL298*-2)^(1/$AJ298)))</f>
        <v/>
      </c>
      <c r="AQ298">
        <f>IF($AJ298="","",IF($AJ298=0,$AK298*EXP($AL298*-3),$AK298*(1+$AJ298*$AL298*-3)^(1/$AJ298)))</f>
        <v/>
      </c>
      <c r="AR298">
        <f>IF(OR($X298="",$T298&gt;60),"",IFERROR(INDEX(IF($T298&lt;24,pcomp_l,palt_l),MATCH($X298,IF($T298&lt;24,pcomp_k,palt_k),1)),""))</f>
        <v/>
      </c>
      <c r="AS298">
        <f>IF(OR($X298="",$T298&gt;60),"",IFERROR(INDEX(IF($T298&lt;24,pcomp_m,palt_m),MATCH($X298,IF($T298&lt;24,pcomp_k,palt_k),1)),""))</f>
        <v/>
      </c>
      <c r="AT298">
        <f>IF(OR($X298="",$T298&gt;60),"",IFERROR(INDEX(IF($T298&lt;24,pcomp_s,palt_s),MATCH($X298,IF($T298&lt;24,pcomp_k,palt_k),1)),""))</f>
        <v/>
      </c>
      <c r="AU298">
        <f>IF($AR298="","",IF($AR298=0,LN($F298/$AS298)/$AT298,((($F298/$AS298)^$AR298)-1)/($AR298*$AT298)))</f>
        <v/>
      </c>
      <c r="AV298">
        <f>IF($AR298="","",IF($AR298=0,$AS298*EXP($AT298*2),$AS298*(1+$AR298*$AT298*2)^(1/$AR298)))</f>
        <v/>
      </c>
      <c r="AW298">
        <f>IF($AR298="","",IF($AR298=0,$AS298*EXP($AT298*3),$AS298*(1+$AR298*$AT298*3)^(1/$AR298)))</f>
        <v/>
      </c>
      <c r="AX298">
        <f>IF($AR298="","",IF($AR298=0,$AS298*EXP($AT298*-2),$AS298*(1+$AR298*$AT298*-2)^(1/$AR298)))</f>
        <v/>
      </c>
      <c r="AY298">
        <f>IF($AR298="","",IF($AR298=0,$AS298*EXP($AT298*-3),$AS298*(1+$AR298*$AT298*-3)^(1/$AR298)))</f>
        <v/>
      </c>
      <c r="AZ298">
        <f>IF(OR($A298="",$A298&lt;&gt;Ficha!$C$4),"",COUNTIF($A$2:$A298,Ficha!$C$4))</f>
        <v/>
      </c>
    </row>
    <row r="299">
      <c r="A299" s="8">
        <f>IF(INDEX(Banco!$A:$A,ROW())="","",INDEX(Banco!$A:$A,ROW()))</f>
        <v/>
      </c>
      <c r="B299" s="8">
        <f>IF(INDEX(Banco!$B:$B,ROW())="","",INDEX(Banco!$B:$B,ROW()))</f>
        <v/>
      </c>
      <c r="C299" s="8">
        <f>IF(INDEX(Banco!$C:$C,ROW())="","",INDEX(Banco!$C:$C,ROW()))</f>
        <v/>
      </c>
      <c r="D299" s="9">
        <f>IF(INDEX(Banco!$D:$D,ROW())="","",INDEX(Banco!$D:$D,ROW()))</f>
        <v/>
      </c>
      <c r="E299" s="9">
        <f>IF(INDEX(Banco!$E:$E,ROW())="","",INDEX(Banco!$E:$E,ROW()))</f>
        <v/>
      </c>
      <c r="F299" s="10">
        <f>IF(INDEX(Banco!$F:$F,ROW())="","",INDEX(Banco!$F:$F,ROW()))</f>
        <v/>
      </c>
      <c r="G299" s="10">
        <f>IF(INDEX(Banco!$G:$G,ROW())="","",INDEX(Banco!$G:$G,ROW()))</f>
        <v/>
      </c>
      <c r="H299" s="8">
        <f>IF(INDEX(Banco!$H:$H,ROW())="","",INDEX(Banco!$H:$H,ROW()))</f>
        <v/>
      </c>
      <c r="I299">
        <f>IF($T299="","",INT($T299/12)&amp;"a "&amp;MOD($T299,12)&amp;"m")</f>
        <v/>
      </c>
      <c r="J299" s="11">
        <f>IF(OR($F299="",$G299=""),"",ROUND($F299/($G299/100)^2,2))</f>
        <v/>
      </c>
      <c r="K299" s="12">
        <f>IF(OR($S299="",$J299="",$T299="",$T299&lt;0,$T299&gt;228,$Y299=""),"—",ROUND(IF(ABS($AB299)&lt;=3,$AB299,IF($AB299&gt;3,3+($J299-$AD299)/($AD299-$AC299),-3+($J299-$AF299)/($AE299-$AF299))),2))</f>
        <v/>
      </c>
      <c r="L299">
        <f>IF(OR($K299="",$K299="—"),"",IF($T299&lt;=60,IF($K299&lt;-3,"Magreza acentuada",IF($K299&lt;-2,"Magreza",IF($K299&lt;=1,"Eutrofia",IF($K299&lt;=2,"Risco de sobrepeso",IF($K299&lt;=3,"Sobrepeso","Obesidade"))))),IF($K299&lt;-3,"Magreza acentuada",IF($K299&lt;-2,"Magreza",IF($K299&lt;=1,"Eutrofia",IF($K299&lt;=2,"Sobrepeso",IF($K299&lt;=3,"Obesidade","Obesidade grave")))))))</f>
        <v/>
      </c>
      <c r="M299" s="12">
        <f>IF(OR($S299="",$V299="",$T299="",$T299&lt;0,$T299&gt;228,$AG299=""),"—",ROUND(IF($AG299=0,LN($V299/$AH299)/$AI299,((($V299/$AH299)^$AG299)-1)/($AG299*$AI299)),2))</f>
        <v/>
      </c>
      <c r="N299">
        <f>IF(OR($M299="",$M299="—"),"",IF($M299&lt;-3,"Muito baixa",IF($M299&lt;-2,"Baixa","Adequada")))</f>
        <v/>
      </c>
      <c r="O299" s="12">
        <f>IF(OR($S299="",$F299="",$T299="",$T299&lt;0,$T299&gt;120,$AJ299=""),"—",ROUND(IF(ABS($AM299)&lt;=3,$AM299,IF($AM299&gt;3,3+($F299-$AO299)/($AO299-$AN299),-3+($F299-$AQ299)/($AP299-$AQ299))),2))</f>
        <v/>
      </c>
      <c r="P299">
        <f>IF(OR($O299="",$O299="—"),"",IF($O299&lt;-3,"Muito baixo",IF($O299&lt;-2,"Baixo",IF($O299&lt;=2,"Adequado","Elevado"))))</f>
        <v/>
      </c>
      <c r="Q299" s="12">
        <f>IF(OR($S299="",$F299="",$T299="",$T299&lt;0,$T299&gt;60,$AR299=""),"—",ROUND(IF(ABS($AU299)&lt;=3,$AU299,IF($AU299&gt;3,3+($F299-$AW299)/($AW299-$AV299),-3+($F299-$AY299)/($AX299-$AY299))),2))</f>
        <v/>
      </c>
      <c r="R299">
        <f>IF(OR($Q299="",$Q299="—"),"",IF($Q299&lt;-3,"Magreza acentuada",IF($Q299&lt;-2,"Magreza",IF($Q299&lt;=1,"Eutrofia",IF($Q299&lt;=2,"Risco de sobrepeso",IF($Q299&lt;=3,"Sobrepeso","Obesidade"))))))</f>
        <v/>
      </c>
      <c r="S299">
        <f>IF($C299="","",IF(UPPER(LEFT($C299,1))="M",1,IF(UPPER(LEFT($C299,1))="F",2,"")))</f>
        <v/>
      </c>
      <c r="T299">
        <f>IF(OR($D299="",$E299=""),"",DATEDIF($D299,$E299,"m"))</f>
        <v/>
      </c>
      <c r="U299">
        <f>IF(OR($D299="",$E299=""),"",$E299-$D299)</f>
        <v/>
      </c>
      <c r="V299">
        <f>IF(OR($G299="",$T299=""),"",IF($T299&lt;24,IF(LEFT(LOWER($H299),4)="em p",$G299+0.7,$G299),IF(LEFT(LOWER($H299),4)="deit",$G299-0.7,$G299)))</f>
        <v/>
      </c>
      <c r="W299">
        <f>IF(OR($S299="",$T299=""),"",$S299*1000000+IF($T299&lt;=60,$U299,$T299))</f>
        <v/>
      </c>
      <c r="X299">
        <f>IF(OR($S299="",$V299="",$T299&gt;60,$T299=""),"",$S299*1000000+ROUND($V299*10,0))</f>
        <v/>
      </c>
      <c r="Y299">
        <f>IF($W299="","",IFERROR(INDEX(IF($T299&lt;=60,imc05_l,imc519_l),MATCH($W299,IF($T299&lt;=60,imc05_k,imc519_k),1)),""))</f>
        <v/>
      </c>
      <c r="Z299">
        <f>IF($W299="","",IFERROR(INDEX(IF($T299&lt;=60,imc05_m,imc519_m),MATCH($W299,IF($T299&lt;=60,imc05_k,imc519_k),1)),""))</f>
        <v/>
      </c>
      <c r="AA299">
        <f>IF($W299="","",IFERROR(INDEX(IF($T299&lt;=60,imc05_s,imc519_s),MATCH($W299,IF($T299&lt;=60,imc05_k,imc519_k),1)),""))</f>
        <v/>
      </c>
      <c r="AB299">
        <f>IF($Y299="","",IF($Y299=0,LN($J299/$Z299)/$AA299,((($J299/$Z299)^$Y299)-1)/($Y299*$AA299)))</f>
        <v/>
      </c>
      <c r="AC299">
        <f>IF($Y299="","",IF($Y299=0,$Z299*EXP($AA299*2),$Z299*(1+$Y299*$AA299*2)^(1/$Y299)))</f>
        <v/>
      </c>
      <c r="AD299">
        <f>IF($Y299="","",IF($Y299=0,$Z299*EXP($AA299*3),$Z299*(1+$Y299*$AA299*3)^(1/$Y299)))</f>
        <v/>
      </c>
      <c r="AE299">
        <f>IF($Y299="","",IF($Y299=0,$Z299*EXP($AA299*-2),$Z299*(1+$Y299*$AA299*-2)^(1/$Y299)))</f>
        <v/>
      </c>
      <c r="AF299">
        <f>IF($Y299="","",IF($Y299=0,$Z299*EXP($AA299*-3),$Z299*(1+$Y299*$AA299*-3)^(1/$Y299)))</f>
        <v/>
      </c>
      <c r="AG299">
        <f>IF($W299="","",IFERROR(INDEX(IF($T299&lt;=60,est05_l,est519_l),MATCH($W299,IF($T299&lt;=60,est05_k,est519_k),1)),""))</f>
        <v/>
      </c>
      <c r="AH299">
        <f>IF($W299="","",IFERROR(INDEX(IF($T299&lt;=60,est05_m,est519_m),MATCH($W299,IF($T299&lt;=60,est05_k,est519_k),1)),""))</f>
        <v/>
      </c>
      <c r="AI299">
        <f>IF($W299="","",IFERROR(INDEX(IF($T299&lt;=60,est05_s,est519_s),MATCH($W299,IF($T299&lt;=60,est05_k,est519_k),1)),""))</f>
        <v/>
      </c>
      <c r="AJ299">
        <f>IF($W299="","",IFERROR(INDEX(IF($T299&lt;=60,peso05_l,peso510_l),MATCH($W299,IF($T299&lt;=60,peso05_k,peso510_k),1)),""))</f>
        <v/>
      </c>
      <c r="AK299">
        <f>IF($W299="","",IFERROR(INDEX(IF($T299&lt;=60,peso05_m,peso510_m),MATCH($W299,IF($T299&lt;=60,peso05_k,peso510_k),1)),""))</f>
        <v/>
      </c>
      <c r="AL299">
        <f>IF($W299="","",IFERROR(INDEX(IF($T299&lt;=60,peso05_s,peso510_s),MATCH($W299,IF($T299&lt;=60,peso05_k,peso510_k),1)),""))</f>
        <v/>
      </c>
      <c r="AM299">
        <f>IF($AJ299="","",IF($AJ299=0,LN($F299/$AK299)/$AL299,((($F299/$AK299)^$AJ299)-1)/($AJ299*$AL299)))</f>
        <v/>
      </c>
      <c r="AN299">
        <f>IF($AJ299="","",IF($AJ299=0,$AK299*EXP($AL299*2),$AK299*(1+$AJ299*$AL299*2)^(1/$AJ299)))</f>
        <v/>
      </c>
      <c r="AO299">
        <f>IF($AJ299="","",IF($AJ299=0,$AK299*EXP($AL299*3),$AK299*(1+$AJ299*$AL299*3)^(1/$AJ299)))</f>
        <v/>
      </c>
      <c r="AP299">
        <f>IF($AJ299="","",IF($AJ299=0,$AK299*EXP($AL299*-2),$AK299*(1+$AJ299*$AL299*-2)^(1/$AJ299)))</f>
        <v/>
      </c>
      <c r="AQ299">
        <f>IF($AJ299="","",IF($AJ299=0,$AK299*EXP($AL299*-3),$AK299*(1+$AJ299*$AL299*-3)^(1/$AJ299)))</f>
        <v/>
      </c>
      <c r="AR299">
        <f>IF(OR($X299="",$T299&gt;60),"",IFERROR(INDEX(IF($T299&lt;24,pcomp_l,palt_l),MATCH($X299,IF($T299&lt;24,pcomp_k,palt_k),1)),""))</f>
        <v/>
      </c>
      <c r="AS299">
        <f>IF(OR($X299="",$T299&gt;60),"",IFERROR(INDEX(IF($T299&lt;24,pcomp_m,palt_m),MATCH($X299,IF($T299&lt;24,pcomp_k,palt_k),1)),""))</f>
        <v/>
      </c>
      <c r="AT299">
        <f>IF(OR($X299="",$T299&gt;60),"",IFERROR(INDEX(IF($T299&lt;24,pcomp_s,palt_s),MATCH($X299,IF($T299&lt;24,pcomp_k,palt_k),1)),""))</f>
        <v/>
      </c>
      <c r="AU299">
        <f>IF($AR299="","",IF($AR299=0,LN($F299/$AS299)/$AT299,((($F299/$AS299)^$AR299)-1)/($AR299*$AT299)))</f>
        <v/>
      </c>
      <c r="AV299">
        <f>IF($AR299="","",IF($AR299=0,$AS299*EXP($AT299*2),$AS299*(1+$AR299*$AT299*2)^(1/$AR299)))</f>
        <v/>
      </c>
      <c r="AW299">
        <f>IF($AR299="","",IF($AR299=0,$AS299*EXP($AT299*3),$AS299*(1+$AR299*$AT299*3)^(1/$AR299)))</f>
        <v/>
      </c>
      <c r="AX299">
        <f>IF($AR299="","",IF($AR299=0,$AS299*EXP($AT299*-2),$AS299*(1+$AR299*$AT299*-2)^(1/$AR299)))</f>
        <v/>
      </c>
      <c r="AY299">
        <f>IF($AR299="","",IF($AR299=0,$AS299*EXP($AT299*-3),$AS299*(1+$AR299*$AT299*-3)^(1/$AR299)))</f>
        <v/>
      </c>
      <c r="AZ299">
        <f>IF(OR($A299="",$A299&lt;&gt;Ficha!$C$4),"",COUNTIF($A$2:$A299,Ficha!$C$4))</f>
        <v/>
      </c>
    </row>
    <row r="300">
      <c r="A300" s="8">
        <f>IF(INDEX(Banco!$A:$A,ROW())="","",INDEX(Banco!$A:$A,ROW()))</f>
        <v/>
      </c>
      <c r="B300" s="8">
        <f>IF(INDEX(Banco!$B:$B,ROW())="","",INDEX(Banco!$B:$B,ROW()))</f>
        <v/>
      </c>
      <c r="C300" s="8">
        <f>IF(INDEX(Banco!$C:$C,ROW())="","",INDEX(Banco!$C:$C,ROW()))</f>
        <v/>
      </c>
      <c r="D300" s="9">
        <f>IF(INDEX(Banco!$D:$D,ROW())="","",INDEX(Banco!$D:$D,ROW()))</f>
        <v/>
      </c>
      <c r="E300" s="9">
        <f>IF(INDEX(Banco!$E:$E,ROW())="","",INDEX(Banco!$E:$E,ROW()))</f>
        <v/>
      </c>
      <c r="F300" s="10">
        <f>IF(INDEX(Banco!$F:$F,ROW())="","",INDEX(Banco!$F:$F,ROW()))</f>
        <v/>
      </c>
      <c r="G300" s="10">
        <f>IF(INDEX(Banco!$G:$G,ROW())="","",INDEX(Banco!$G:$G,ROW()))</f>
        <v/>
      </c>
      <c r="H300" s="8">
        <f>IF(INDEX(Banco!$H:$H,ROW())="","",INDEX(Banco!$H:$H,ROW()))</f>
        <v/>
      </c>
      <c r="I300">
        <f>IF($T300="","",INT($T300/12)&amp;"a "&amp;MOD($T300,12)&amp;"m")</f>
        <v/>
      </c>
      <c r="J300" s="11">
        <f>IF(OR($F300="",$G300=""),"",ROUND($F300/($G300/100)^2,2))</f>
        <v/>
      </c>
      <c r="K300" s="12">
        <f>IF(OR($S300="",$J300="",$T300="",$T300&lt;0,$T300&gt;228,$Y300=""),"—",ROUND(IF(ABS($AB300)&lt;=3,$AB300,IF($AB300&gt;3,3+($J300-$AD300)/($AD300-$AC300),-3+($J300-$AF300)/($AE300-$AF300))),2))</f>
        <v/>
      </c>
      <c r="L300">
        <f>IF(OR($K300="",$K300="—"),"",IF($T300&lt;=60,IF($K300&lt;-3,"Magreza acentuada",IF($K300&lt;-2,"Magreza",IF($K300&lt;=1,"Eutrofia",IF($K300&lt;=2,"Risco de sobrepeso",IF($K300&lt;=3,"Sobrepeso","Obesidade"))))),IF($K300&lt;-3,"Magreza acentuada",IF($K300&lt;-2,"Magreza",IF($K300&lt;=1,"Eutrofia",IF($K300&lt;=2,"Sobrepeso",IF($K300&lt;=3,"Obesidade","Obesidade grave")))))))</f>
        <v/>
      </c>
      <c r="M300" s="12">
        <f>IF(OR($S300="",$V300="",$T300="",$T300&lt;0,$T300&gt;228,$AG300=""),"—",ROUND(IF($AG300=0,LN($V300/$AH300)/$AI300,((($V300/$AH300)^$AG300)-1)/($AG300*$AI300)),2))</f>
        <v/>
      </c>
      <c r="N300">
        <f>IF(OR($M300="",$M300="—"),"",IF($M300&lt;-3,"Muito baixa",IF($M300&lt;-2,"Baixa","Adequada")))</f>
        <v/>
      </c>
      <c r="O300" s="12">
        <f>IF(OR($S300="",$F300="",$T300="",$T300&lt;0,$T300&gt;120,$AJ300=""),"—",ROUND(IF(ABS($AM300)&lt;=3,$AM300,IF($AM300&gt;3,3+($F300-$AO300)/($AO300-$AN300),-3+($F300-$AQ300)/($AP300-$AQ300))),2))</f>
        <v/>
      </c>
      <c r="P300">
        <f>IF(OR($O300="",$O300="—"),"",IF($O300&lt;-3,"Muito baixo",IF($O300&lt;-2,"Baixo",IF($O300&lt;=2,"Adequado","Elevado"))))</f>
        <v/>
      </c>
      <c r="Q300" s="12">
        <f>IF(OR($S300="",$F300="",$T300="",$T300&lt;0,$T300&gt;60,$AR300=""),"—",ROUND(IF(ABS($AU300)&lt;=3,$AU300,IF($AU300&gt;3,3+($F300-$AW300)/($AW300-$AV300),-3+($F300-$AY300)/($AX300-$AY300))),2))</f>
        <v/>
      </c>
      <c r="R300">
        <f>IF(OR($Q300="",$Q300="—"),"",IF($Q300&lt;-3,"Magreza acentuada",IF($Q300&lt;-2,"Magreza",IF($Q300&lt;=1,"Eutrofia",IF($Q300&lt;=2,"Risco de sobrepeso",IF($Q300&lt;=3,"Sobrepeso","Obesidade"))))))</f>
        <v/>
      </c>
      <c r="S300">
        <f>IF($C300="","",IF(UPPER(LEFT($C300,1))="M",1,IF(UPPER(LEFT($C300,1))="F",2,"")))</f>
        <v/>
      </c>
      <c r="T300">
        <f>IF(OR($D300="",$E300=""),"",DATEDIF($D300,$E300,"m"))</f>
        <v/>
      </c>
      <c r="U300">
        <f>IF(OR($D300="",$E300=""),"",$E300-$D300)</f>
        <v/>
      </c>
      <c r="V300">
        <f>IF(OR($G300="",$T300=""),"",IF($T300&lt;24,IF(LEFT(LOWER($H300),4)="em p",$G300+0.7,$G300),IF(LEFT(LOWER($H300),4)="deit",$G300-0.7,$G300)))</f>
        <v/>
      </c>
      <c r="W300">
        <f>IF(OR($S300="",$T300=""),"",$S300*1000000+IF($T300&lt;=60,$U300,$T300))</f>
        <v/>
      </c>
      <c r="X300">
        <f>IF(OR($S300="",$V300="",$T300&gt;60,$T300=""),"",$S300*1000000+ROUND($V300*10,0))</f>
        <v/>
      </c>
      <c r="Y300">
        <f>IF($W300="","",IFERROR(INDEX(IF($T300&lt;=60,imc05_l,imc519_l),MATCH($W300,IF($T300&lt;=60,imc05_k,imc519_k),1)),""))</f>
        <v/>
      </c>
      <c r="Z300">
        <f>IF($W300="","",IFERROR(INDEX(IF($T300&lt;=60,imc05_m,imc519_m),MATCH($W300,IF($T300&lt;=60,imc05_k,imc519_k),1)),""))</f>
        <v/>
      </c>
      <c r="AA300">
        <f>IF($W300="","",IFERROR(INDEX(IF($T300&lt;=60,imc05_s,imc519_s),MATCH($W300,IF($T300&lt;=60,imc05_k,imc519_k),1)),""))</f>
        <v/>
      </c>
      <c r="AB300">
        <f>IF($Y300="","",IF($Y300=0,LN($J300/$Z300)/$AA300,((($J300/$Z300)^$Y300)-1)/($Y300*$AA300)))</f>
        <v/>
      </c>
      <c r="AC300">
        <f>IF($Y300="","",IF($Y300=0,$Z300*EXP($AA300*2),$Z300*(1+$Y300*$AA300*2)^(1/$Y300)))</f>
        <v/>
      </c>
      <c r="AD300">
        <f>IF($Y300="","",IF($Y300=0,$Z300*EXP($AA300*3),$Z300*(1+$Y300*$AA300*3)^(1/$Y300)))</f>
        <v/>
      </c>
      <c r="AE300">
        <f>IF($Y300="","",IF($Y300=0,$Z300*EXP($AA300*-2),$Z300*(1+$Y300*$AA300*-2)^(1/$Y300)))</f>
        <v/>
      </c>
      <c r="AF300">
        <f>IF($Y300="","",IF($Y300=0,$Z300*EXP($AA300*-3),$Z300*(1+$Y300*$AA300*-3)^(1/$Y300)))</f>
        <v/>
      </c>
      <c r="AG300">
        <f>IF($W300="","",IFERROR(INDEX(IF($T300&lt;=60,est05_l,est519_l),MATCH($W300,IF($T300&lt;=60,est05_k,est519_k),1)),""))</f>
        <v/>
      </c>
      <c r="AH300">
        <f>IF($W300="","",IFERROR(INDEX(IF($T300&lt;=60,est05_m,est519_m),MATCH($W300,IF($T300&lt;=60,est05_k,est519_k),1)),""))</f>
        <v/>
      </c>
      <c r="AI300">
        <f>IF($W300="","",IFERROR(INDEX(IF($T300&lt;=60,est05_s,est519_s),MATCH($W300,IF($T300&lt;=60,est05_k,est519_k),1)),""))</f>
        <v/>
      </c>
      <c r="AJ300">
        <f>IF($W300="","",IFERROR(INDEX(IF($T300&lt;=60,peso05_l,peso510_l),MATCH($W300,IF($T300&lt;=60,peso05_k,peso510_k),1)),""))</f>
        <v/>
      </c>
      <c r="AK300">
        <f>IF($W300="","",IFERROR(INDEX(IF($T300&lt;=60,peso05_m,peso510_m),MATCH($W300,IF($T300&lt;=60,peso05_k,peso510_k),1)),""))</f>
        <v/>
      </c>
      <c r="AL300">
        <f>IF($W300="","",IFERROR(INDEX(IF($T300&lt;=60,peso05_s,peso510_s),MATCH($W300,IF($T300&lt;=60,peso05_k,peso510_k),1)),""))</f>
        <v/>
      </c>
      <c r="AM300">
        <f>IF($AJ300="","",IF($AJ300=0,LN($F300/$AK300)/$AL300,((($F300/$AK300)^$AJ300)-1)/($AJ300*$AL300)))</f>
        <v/>
      </c>
      <c r="AN300">
        <f>IF($AJ300="","",IF($AJ300=0,$AK300*EXP($AL300*2),$AK300*(1+$AJ300*$AL300*2)^(1/$AJ300)))</f>
        <v/>
      </c>
      <c r="AO300">
        <f>IF($AJ300="","",IF($AJ300=0,$AK300*EXP($AL300*3),$AK300*(1+$AJ300*$AL300*3)^(1/$AJ300)))</f>
        <v/>
      </c>
      <c r="AP300">
        <f>IF($AJ300="","",IF($AJ300=0,$AK300*EXP($AL300*-2),$AK300*(1+$AJ300*$AL300*-2)^(1/$AJ300)))</f>
        <v/>
      </c>
      <c r="AQ300">
        <f>IF($AJ300="","",IF($AJ300=0,$AK300*EXP($AL300*-3),$AK300*(1+$AJ300*$AL300*-3)^(1/$AJ300)))</f>
        <v/>
      </c>
      <c r="AR300">
        <f>IF(OR($X300="",$T300&gt;60),"",IFERROR(INDEX(IF($T300&lt;24,pcomp_l,palt_l),MATCH($X300,IF($T300&lt;24,pcomp_k,palt_k),1)),""))</f>
        <v/>
      </c>
      <c r="AS300">
        <f>IF(OR($X300="",$T300&gt;60),"",IFERROR(INDEX(IF($T300&lt;24,pcomp_m,palt_m),MATCH($X300,IF($T300&lt;24,pcomp_k,palt_k),1)),""))</f>
        <v/>
      </c>
      <c r="AT300">
        <f>IF(OR($X300="",$T300&gt;60),"",IFERROR(INDEX(IF($T300&lt;24,pcomp_s,palt_s),MATCH($X300,IF($T300&lt;24,pcomp_k,palt_k),1)),""))</f>
        <v/>
      </c>
      <c r="AU300">
        <f>IF($AR300="","",IF($AR300=0,LN($F300/$AS300)/$AT300,((($F300/$AS300)^$AR300)-1)/($AR300*$AT300)))</f>
        <v/>
      </c>
      <c r="AV300">
        <f>IF($AR300="","",IF($AR300=0,$AS300*EXP($AT300*2),$AS300*(1+$AR300*$AT300*2)^(1/$AR300)))</f>
        <v/>
      </c>
      <c r="AW300">
        <f>IF($AR300="","",IF($AR300=0,$AS300*EXP($AT300*3),$AS300*(1+$AR300*$AT300*3)^(1/$AR300)))</f>
        <v/>
      </c>
      <c r="AX300">
        <f>IF($AR300="","",IF($AR300=0,$AS300*EXP($AT300*-2),$AS300*(1+$AR300*$AT300*-2)^(1/$AR300)))</f>
        <v/>
      </c>
      <c r="AY300">
        <f>IF($AR300="","",IF($AR300=0,$AS300*EXP($AT300*-3),$AS300*(1+$AR300*$AT300*-3)^(1/$AR300)))</f>
        <v/>
      </c>
      <c r="AZ300">
        <f>IF(OR($A300="",$A300&lt;&gt;Ficha!$C$4),"",COUNTIF($A$2:$A300,Ficha!$C$4))</f>
        <v/>
      </c>
    </row>
    <row r="301">
      <c r="A301" s="8">
        <f>IF(INDEX(Banco!$A:$A,ROW())="","",INDEX(Banco!$A:$A,ROW()))</f>
        <v/>
      </c>
      <c r="B301" s="8">
        <f>IF(INDEX(Banco!$B:$B,ROW())="","",INDEX(Banco!$B:$B,ROW()))</f>
        <v/>
      </c>
      <c r="C301" s="8">
        <f>IF(INDEX(Banco!$C:$C,ROW())="","",INDEX(Banco!$C:$C,ROW()))</f>
        <v/>
      </c>
      <c r="D301" s="9">
        <f>IF(INDEX(Banco!$D:$D,ROW())="","",INDEX(Banco!$D:$D,ROW()))</f>
        <v/>
      </c>
      <c r="E301" s="9">
        <f>IF(INDEX(Banco!$E:$E,ROW())="","",INDEX(Banco!$E:$E,ROW()))</f>
        <v/>
      </c>
      <c r="F301" s="10">
        <f>IF(INDEX(Banco!$F:$F,ROW())="","",INDEX(Banco!$F:$F,ROW()))</f>
        <v/>
      </c>
      <c r="G301" s="10">
        <f>IF(INDEX(Banco!$G:$G,ROW())="","",INDEX(Banco!$G:$G,ROW()))</f>
        <v/>
      </c>
      <c r="H301" s="8">
        <f>IF(INDEX(Banco!$H:$H,ROW())="","",INDEX(Banco!$H:$H,ROW()))</f>
        <v/>
      </c>
      <c r="I301">
        <f>IF($T301="","",INT($T301/12)&amp;"a "&amp;MOD($T301,12)&amp;"m")</f>
        <v/>
      </c>
      <c r="J301" s="11">
        <f>IF(OR($F301="",$G301=""),"",ROUND($F301/($G301/100)^2,2))</f>
        <v/>
      </c>
      <c r="K301" s="12">
        <f>IF(OR($S301="",$J301="",$T301="",$T301&lt;0,$T301&gt;228,$Y301=""),"—",ROUND(IF(ABS($AB301)&lt;=3,$AB301,IF($AB301&gt;3,3+($J301-$AD301)/($AD301-$AC301),-3+($J301-$AF301)/($AE301-$AF301))),2))</f>
        <v/>
      </c>
      <c r="L301">
        <f>IF(OR($K301="",$K301="—"),"",IF($T301&lt;=60,IF($K301&lt;-3,"Magreza acentuada",IF($K301&lt;-2,"Magreza",IF($K301&lt;=1,"Eutrofia",IF($K301&lt;=2,"Risco de sobrepeso",IF($K301&lt;=3,"Sobrepeso","Obesidade"))))),IF($K301&lt;-3,"Magreza acentuada",IF($K301&lt;-2,"Magreza",IF($K301&lt;=1,"Eutrofia",IF($K301&lt;=2,"Sobrepeso",IF($K301&lt;=3,"Obesidade","Obesidade grave")))))))</f>
        <v/>
      </c>
      <c r="M301" s="12">
        <f>IF(OR($S301="",$V301="",$T301="",$T301&lt;0,$T301&gt;228,$AG301=""),"—",ROUND(IF($AG301=0,LN($V301/$AH301)/$AI301,((($V301/$AH301)^$AG301)-1)/($AG301*$AI301)),2))</f>
        <v/>
      </c>
      <c r="N301">
        <f>IF(OR($M301="",$M301="—"),"",IF($M301&lt;-3,"Muito baixa",IF($M301&lt;-2,"Baixa","Adequada")))</f>
        <v/>
      </c>
      <c r="O301" s="12">
        <f>IF(OR($S301="",$F301="",$T301="",$T301&lt;0,$T301&gt;120,$AJ301=""),"—",ROUND(IF(ABS($AM301)&lt;=3,$AM301,IF($AM301&gt;3,3+($F301-$AO301)/($AO301-$AN301),-3+($F301-$AQ301)/($AP301-$AQ301))),2))</f>
        <v/>
      </c>
      <c r="P301">
        <f>IF(OR($O301="",$O301="—"),"",IF($O301&lt;-3,"Muito baixo",IF($O301&lt;-2,"Baixo",IF($O301&lt;=2,"Adequado","Elevado"))))</f>
        <v/>
      </c>
      <c r="Q301" s="12">
        <f>IF(OR($S301="",$F301="",$T301="",$T301&lt;0,$T301&gt;60,$AR301=""),"—",ROUND(IF(ABS($AU301)&lt;=3,$AU301,IF($AU301&gt;3,3+($F301-$AW301)/($AW301-$AV301),-3+($F301-$AY301)/($AX301-$AY301))),2))</f>
        <v/>
      </c>
      <c r="R301">
        <f>IF(OR($Q301="",$Q301="—"),"",IF($Q301&lt;-3,"Magreza acentuada",IF($Q301&lt;-2,"Magreza",IF($Q301&lt;=1,"Eutrofia",IF($Q301&lt;=2,"Risco de sobrepeso",IF($Q301&lt;=3,"Sobrepeso","Obesidade"))))))</f>
        <v/>
      </c>
      <c r="S301">
        <f>IF($C301="","",IF(UPPER(LEFT($C301,1))="M",1,IF(UPPER(LEFT($C301,1))="F",2,"")))</f>
        <v/>
      </c>
      <c r="T301">
        <f>IF(OR($D301="",$E301=""),"",DATEDIF($D301,$E301,"m"))</f>
        <v/>
      </c>
      <c r="U301">
        <f>IF(OR($D301="",$E301=""),"",$E301-$D301)</f>
        <v/>
      </c>
      <c r="V301">
        <f>IF(OR($G301="",$T301=""),"",IF($T301&lt;24,IF(LEFT(LOWER($H301),4)="em p",$G301+0.7,$G301),IF(LEFT(LOWER($H301),4)="deit",$G301-0.7,$G301)))</f>
        <v/>
      </c>
      <c r="W301">
        <f>IF(OR($S301="",$T301=""),"",$S301*1000000+IF($T301&lt;=60,$U301,$T301))</f>
        <v/>
      </c>
      <c r="X301">
        <f>IF(OR($S301="",$V301="",$T301&gt;60,$T301=""),"",$S301*1000000+ROUND($V301*10,0))</f>
        <v/>
      </c>
      <c r="Y301">
        <f>IF($W301="","",IFERROR(INDEX(IF($T301&lt;=60,imc05_l,imc519_l),MATCH($W301,IF($T301&lt;=60,imc05_k,imc519_k),1)),""))</f>
        <v/>
      </c>
      <c r="Z301">
        <f>IF($W301="","",IFERROR(INDEX(IF($T301&lt;=60,imc05_m,imc519_m),MATCH($W301,IF($T301&lt;=60,imc05_k,imc519_k),1)),""))</f>
        <v/>
      </c>
      <c r="AA301">
        <f>IF($W301="","",IFERROR(INDEX(IF($T301&lt;=60,imc05_s,imc519_s),MATCH($W301,IF($T301&lt;=60,imc05_k,imc519_k),1)),""))</f>
        <v/>
      </c>
      <c r="AB301">
        <f>IF($Y301="","",IF($Y301=0,LN($J301/$Z301)/$AA301,((($J301/$Z301)^$Y301)-1)/($Y301*$AA301)))</f>
        <v/>
      </c>
      <c r="AC301">
        <f>IF($Y301="","",IF($Y301=0,$Z301*EXP($AA301*2),$Z301*(1+$Y301*$AA301*2)^(1/$Y301)))</f>
        <v/>
      </c>
      <c r="AD301">
        <f>IF($Y301="","",IF($Y301=0,$Z301*EXP($AA301*3),$Z301*(1+$Y301*$AA301*3)^(1/$Y301)))</f>
        <v/>
      </c>
      <c r="AE301">
        <f>IF($Y301="","",IF($Y301=0,$Z301*EXP($AA301*-2),$Z301*(1+$Y301*$AA301*-2)^(1/$Y301)))</f>
        <v/>
      </c>
      <c r="AF301">
        <f>IF($Y301="","",IF($Y301=0,$Z301*EXP($AA301*-3),$Z301*(1+$Y301*$AA301*-3)^(1/$Y301)))</f>
        <v/>
      </c>
      <c r="AG301">
        <f>IF($W301="","",IFERROR(INDEX(IF($T301&lt;=60,est05_l,est519_l),MATCH($W301,IF($T301&lt;=60,est05_k,est519_k),1)),""))</f>
        <v/>
      </c>
      <c r="AH301">
        <f>IF($W301="","",IFERROR(INDEX(IF($T301&lt;=60,est05_m,est519_m),MATCH($W301,IF($T301&lt;=60,est05_k,est519_k),1)),""))</f>
        <v/>
      </c>
      <c r="AI301">
        <f>IF($W301="","",IFERROR(INDEX(IF($T301&lt;=60,est05_s,est519_s),MATCH($W301,IF($T301&lt;=60,est05_k,est519_k),1)),""))</f>
        <v/>
      </c>
      <c r="AJ301">
        <f>IF($W301="","",IFERROR(INDEX(IF($T301&lt;=60,peso05_l,peso510_l),MATCH($W301,IF($T301&lt;=60,peso05_k,peso510_k),1)),""))</f>
        <v/>
      </c>
      <c r="AK301">
        <f>IF($W301="","",IFERROR(INDEX(IF($T301&lt;=60,peso05_m,peso510_m),MATCH($W301,IF($T301&lt;=60,peso05_k,peso510_k),1)),""))</f>
        <v/>
      </c>
      <c r="AL301">
        <f>IF($W301="","",IFERROR(INDEX(IF($T301&lt;=60,peso05_s,peso510_s),MATCH($W301,IF($T301&lt;=60,peso05_k,peso510_k),1)),""))</f>
        <v/>
      </c>
      <c r="AM301">
        <f>IF($AJ301="","",IF($AJ301=0,LN($F301/$AK301)/$AL301,((($F301/$AK301)^$AJ301)-1)/($AJ301*$AL301)))</f>
        <v/>
      </c>
      <c r="AN301">
        <f>IF($AJ301="","",IF($AJ301=0,$AK301*EXP($AL301*2),$AK301*(1+$AJ301*$AL301*2)^(1/$AJ301)))</f>
        <v/>
      </c>
      <c r="AO301">
        <f>IF($AJ301="","",IF($AJ301=0,$AK301*EXP($AL301*3),$AK301*(1+$AJ301*$AL301*3)^(1/$AJ301)))</f>
        <v/>
      </c>
      <c r="AP301">
        <f>IF($AJ301="","",IF($AJ301=0,$AK301*EXP($AL301*-2),$AK301*(1+$AJ301*$AL301*-2)^(1/$AJ301)))</f>
        <v/>
      </c>
      <c r="AQ301">
        <f>IF($AJ301="","",IF($AJ301=0,$AK301*EXP($AL301*-3),$AK301*(1+$AJ301*$AL301*-3)^(1/$AJ301)))</f>
        <v/>
      </c>
      <c r="AR301">
        <f>IF(OR($X301="",$T301&gt;60),"",IFERROR(INDEX(IF($T301&lt;24,pcomp_l,palt_l),MATCH($X301,IF($T301&lt;24,pcomp_k,palt_k),1)),""))</f>
        <v/>
      </c>
      <c r="AS301">
        <f>IF(OR($X301="",$T301&gt;60),"",IFERROR(INDEX(IF($T301&lt;24,pcomp_m,palt_m),MATCH($X301,IF($T301&lt;24,pcomp_k,palt_k),1)),""))</f>
        <v/>
      </c>
      <c r="AT301">
        <f>IF(OR($X301="",$T301&gt;60),"",IFERROR(INDEX(IF($T301&lt;24,pcomp_s,palt_s),MATCH($X301,IF($T301&lt;24,pcomp_k,palt_k),1)),""))</f>
        <v/>
      </c>
      <c r="AU301">
        <f>IF($AR301="","",IF($AR301=0,LN($F301/$AS301)/$AT301,((($F301/$AS301)^$AR301)-1)/($AR301*$AT301)))</f>
        <v/>
      </c>
      <c r="AV301">
        <f>IF($AR301="","",IF($AR301=0,$AS301*EXP($AT301*2),$AS301*(1+$AR301*$AT301*2)^(1/$AR301)))</f>
        <v/>
      </c>
      <c r="AW301">
        <f>IF($AR301="","",IF($AR301=0,$AS301*EXP($AT301*3),$AS301*(1+$AR301*$AT301*3)^(1/$AR301)))</f>
        <v/>
      </c>
      <c r="AX301">
        <f>IF($AR301="","",IF($AR301=0,$AS301*EXP($AT301*-2),$AS301*(1+$AR301*$AT301*-2)^(1/$AR301)))</f>
        <v/>
      </c>
      <c r="AY301">
        <f>IF($AR301="","",IF($AR301=0,$AS301*EXP($AT301*-3),$AS301*(1+$AR301*$AT301*-3)^(1/$AR301)))</f>
        <v/>
      </c>
      <c r="AZ301">
        <f>IF(OR($A301="",$A301&lt;&gt;Ficha!$C$4),"",COUNTIF($A$2:$A301,Ficha!$C$4))</f>
        <v/>
      </c>
    </row>
    <row r="302">
      <c r="A302" s="8">
        <f>IF(INDEX(Banco!$A:$A,ROW())="","",INDEX(Banco!$A:$A,ROW()))</f>
        <v/>
      </c>
      <c r="B302" s="8">
        <f>IF(INDEX(Banco!$B:$B,ROW())="","",INDEX(Banco!$B:$B,ROW()))</f>
        <v/>
      </c>
      <c r="C302" s="8">
        <f>IF(INDEX(Banco!$C:$C,ROW())="","",INDEX(Banco!$C:$C,ROW()))</f>
        <v/>
      </c>
      <c r="D302" s="9">
        <f>IF(INDEX(Banco!$D:$D,ROW())="","",INDEX(Banco!$D:$D,ROW()))</f>
        <v/>
      </c>
      <c r="E302" s="9">
        <f>IF(INDEX(Banco!$E:$E,ROW())="","",INDEX(Banco!$E:$E,ROW()))</f>
        <v/>
      </c>
      <c r="F302" s="10">
        <f>IF(INDEX(Banco!$F:$F,ROW())="","",INDEX(Banco!$F:$F,ROW()))</f>
        <v/>
      </c>
      <c r="G302" s="10">
        <f>IF(INDEX(Banco!$G:$G,ROW())="","",INDEX(Banco!$G:$G,ROW()))</f>
        <v/>
      </c>
      <c r="H302" s="8">
        <f>IF(INDEX(Banco!$H:$H,ROW())="","",INDEX(Banco!$H:$H,ROW()))</f>
        <v/>
      </c>
      <c r="I302">
        <f>IF($T302="","",INT($T302/12)&amp;"a "&amp;MOD($T302,12)&amp;"m")</f>
        <v/>
      </c>
      <c r="J302" s="11">
        <f>IF(OR($F302="",$G302=""),"",ROUND($F302/($G302/100)^2,2))</f>
        <v/>
      </c>
      <c r="K302" s="12">
        <f>IF(OR($S302="",$J302="",$T302="",$T302&lt;0,$T302&gt;228,$Y302=""),"—",ROUND(IF(ABS($AB302)&lt;=3,$AB302,IF($AB302&gt;3,3+($J302-$AD302)/($AD302-$AC302),-3+($J302-$AF302)/($AE302-$AF302))),2))</f>
        <v/>
      </c>
      <c r="L302">
        <f>IF(OR($K302="",$K302="—"),"",IF($T302&lt;=60,IF($K302&lt;-3,"Magreza acentuada",IF($K302&lt;-2,"Magreza",IF($K302&lt;=1,"Eutrofia",IF($K302&lt;=2,"Risco de sobrepeso",IF($K302&lt;=3,"Sobrepeso","Obesidade"))))),IF($K302&lt;-3,"Magreza acentuada",IF($K302&lt;-2,"Magreza",IF($K302&lt;=1,"Eutrofia",IF($K302&lt;=2,"Sobrepeso",IF($K302&lt;=3,"Obesidade","Obesidade grave")))))))</f>
        <v/>
      </c>
      <c r="M302" s="12">
        <f>IF(OR($S302="",$V302="",$T302="",$T302&lt;0,$T302&gt;228,$AG302=""),"—",ROUND(IF($AG302=0,LN($V302/$AH302)/$AI302,((($V302/$AH302)^$AG302)-1)/($AG302*$AI302)),2))</f>
        <v/>
      </c>
      <c r="N302">
        <f>IF(OR($M302="",$M302="—"),"",IF($M302&lt;-3,"Muito baixa",IF($M302&lt;-2,"Baixa","Adequada")))</f>
        <v/>
      </c>
      <c r="O302" s="12">
        <f>IF(OR($S302="",$F302="",$T302="",$T302&lt;0,$T302&gt;120,$AJ302=""),"—",ROUND(IF(ABS($AM302)&lt;=3,$AM302,IF($AM302&gt;3,3+($F302-$AO302)/($AO302-$AN302),-3+($F302-$AQ302)/($AP302-$AQ302))),2))</f>
        <v/>
      </c>
      <c r="P302">
        <f>IF(OR($O302="",$O302="—"),"",IF($O302&lt;-3,"Muito baixo",IF($O302&lt;-2,"Baixo",IF($O302&lt;=2,"Adequado","Elevado"))))</f>
        <v/>
      </c>
      <c r="Q302" s="12">
        <f>IF(OR($S302="",$F302="",$T302="",$T302&lt;0,$T302&gt;60,$AR302=""),"—",ROUND(IF(ABS($AU302)&lt;=3,$AU302,IF($AU302&gt;3,3+($F302-$AW302)/($AW302-$AV302),-3+($F302-$AY302)/($AX302-$AY302))),2))</f>
        <v/>
      </c>
      <c r="R302">
        <f>IF(OR($Q302="",$Q302="—"),"",IF($Q302&lt;-3,"Magreza acentuada",IF($Q302&lt;-2,"Magreza",IF($Q302&lt;=1,"Eutrofia",IF($Q302&lt;=2,"Risco de sobrepeso",IF($Q302&lt;=3,"Sobrepeso","Obesidade"))))))</f>
        <v/>
      </c>
      <c r="S302">
        <f>IF($C302="","",IF(UPPER(LEFT($C302,1))="M",1,IF(UPPER(LEFT($C302,1))="F",2,"")))</f>
        <v/>
      </c>
      <c r="T302">
        <f>IF(OR($D302="",$E302=""),"",DATEDIF($D302,$E302,"m"))</f>
        <v/>
      </c>
      <c r="U302">
        <f>IF(OR($D302="",$E302=""),"",$E302-$D302)</f>
        <v/>
      </c>
      <c r="V302">
        <f>IF(OR($G302="",$T302=""),"",IF($T302&lt;24,IF(LEFT(LOWER($H302),4)="em p",$G302+0.7,$G302),IF(LEFT(LOWER($H302),4)="deit",$G302-0.7,$G302)))</f>
        <v/>
      </c>
      <c r="W302">
        <f>IF(OR($S302="",$T302=""),"",$S302*1000000+IF($T302&lt;=60,$U302,$T302))</f>
        <v/>
      </c>
      <c r="X302">
        <f>IF(OR($S302="",$V302="",$T302&gt;60,$T302=""),"",$S302*1000000+ROUND($V302*10,0))</f>
        <v/>
      </c>
      <c r="Y302">
        <f>IF($W302="","",IFERROR(INDEX(IF($T302&lt;=60,imc05_l,imc519_l),MATCH($W302,IF($T302&lt;=60,imc05_k,imc519_k),1)),""))</f>
        <v/>
      </c>
      <c r="Z302">
        <f>IF($W302="","",IFERROR(INDEX(IF($T302&lt;=60,imc05_m,imc519_m),MATCH($W302,IF($T302&lt;=60,imc05_k,imc519_k),1)),""))</f>
        <v/>
      </c>
      <c r="AA302">
        <f>IF($W302="","",IFERROR(INDEX(IF($T302&lt;=60,imc05_s,imc519_s),MATCH($W302,IF($T302&lt;=60,imc05_k,imc519_k),1)),""))</f>
        <v/>
      </c>
      <c r="AB302">
        <f>IF($Y302="","",IF($Y302=0,LN($J302/$Z302)/$AA302,((($J302/$Z302)^$Y302)-1)/($Y302*$AA302)))</f>
        <v/>
      </c>
      <c r="AC302">
        <f>IF($Y302="","",IF($Y302=0,$Z302*EXP($AA302*2),$Z302*(1+$Y302*$AA302*2)^(1/$Y302)))</f>
        <v/>
      </c>
      <c r="AD302">
        <f>IF($Y302="","",IF($Y302=0,$Z302*EXP($AA302*3),$Z302*(1+$Y302*$AA302*3)^(1/$Y302)))</f>
        <v/>
      </c>
      <c r="AE302">
        <f>IF($Y302="","",IF($Y302=0,$Z302*EXP($AA302*-2),$Z302*(1+$Y302*$AA302*-2)^(1/$Y302)))</f>
        <v/>
      </c>
      <c r="AF302">
        <f>IF($Y302="","",IF($Y302=0,$Z302*EXP($AA302*-3),$Z302*(1+$Y302*$AA302*-3)^(1/$Y302)))</f>
        <v/>
      </c>
      <c r="AG302">
        <f>IF($W302="","",IFERROR(INDEX(IF($T302&lt;=60,est05_l,est519_l),MATCH($W302,IF($T302&lt;=60,est05_k,est519_k),1)),""))</f>
        <v/>
      </c>
      <c r="AH302">
        <f>IF($W302="","",IFERROR(INDEX(IF($T302&lt;=60,est05_m,est519_m),MATCH($W302,IF($T302&lt;=60,est05_k,est519_k),1)),""))</f>
        <v/>
      </c>
      <c r="AI302">
        <f>IF($W302="","",IFERROR(INDEX(IF($T302&lt;=60,est05_s,est519_s),MATCH($W302,IF($T302&lt;=60,est05_k,est519_k),1)),""))</f>
        <v/>
      </c>
      <c r="AJ302">
        <f>IF($W302="","",IFERROR(INDEX(IF($T302&lt;=60,peso05_l,peso510_l),MATCH($W302,IF($T302&lt;=60,peso05_k,peso510_k),1)),""))</f>
        <v/>
      </c>
      <c r="AK302">
        <f>IF($W302="","",IFERROR(INDEX(IF($T302&lt;=60,peso05_m,peso510_m),MATCH($W302,IF($T302&lt;=60,peso05_k,peso510_k),1)),""))</f>
        <v/>
      </c>
      <c r="AL302">
        <f>IF($W302="","",IFERROR(INDEX(IF($T302&lt;=60,peso05_s,peso510_s),MATCH($W302,IF($T302&lt;=60,peso05_k,peso510_k),1)),""))</f>
        <v/>
      </c>
      <c r="AM302">
        <f>IF($AJ302="","",IF($AJ302=0,LN($F302/$AK302)/$AL302,((($F302/$AK302)^$AJ302)-1)/($AJ302*$AL302)))</f>
        <v/>
      </c>
      <c r="AN302">
        <f>IF($AJ302="","",IF($AJ302=0,$AK302*EXP($AL302*2),$AK302*(1+$AJ302*$AL302*2)^(1/$AJ302)))</f>
        <v/>
      </c>
      <c r="AO302">
        <f>IF($AJ302="","",IF($AJ302=0,$AK302*EXP($AL302*3),$AK302*(1+$AJ302*$AL302*3)^(1/$AJ302)))</f>
        <v/>
      </c>
      <c r="AP302">
        <f>IF($AJ302="","",IF($AJ302=0,$AK302*EXP($AL302*-2),$AK302*(1+$AJ302*$AL302*-2)^(1/$AJ302)))</f>
        <v/>
      </c>
      <c r="AQ302">
        <f>IF($AJ302="","",IF($AJ302=0,$AK302*EXP($AL302*-3),$AK302*(1+$AJ302*$AL302*-3)^(1/$AJ302)))</f>
        <v/>
      </c>
      <c r="AR302">
        <f>IF(OR($X302="",$T302&gt;60),"",IFERROR(INDEX(IF($T302&lt;24,pcomp_l,palt_l),MATCH($X302,IF($T302&lt;24,pcomp_k,palt_k),1)),""))</f>
        <v/>
      </c>
      <c r="AS302">
        <f>IF(OR($X302="",$T302&gt;60),"",IFERROR(INDEX(IF($T302&lt;24,pcomp_m,palt_m),MATCH($X302,IF($T302&lt;24,pcomp_k,palt_k),1)),""))</f>
        <v/>
      </c>
      <c r="AT302">
        <f>IF(OR($X302="",$T302&gt;60),"",IFERROR(INDEX(IF($T302&lt;24,pcomp_s,palt_s),MATCH($X302,IF($T302&lt;24,pcomp_k,palt_k),1)),""))</f>
        <v/>
      </c>
      <c r="AU302">
        <f>IF($AR302="","",IF($AR302=0,LN($F302/$AS302)/$AT302,((($F302/$AS302)^$AR302)-1)/($AR302*$AT302)))</f>
        <v/>
      </c>
      <c r="AV302">
        <f>IF($AR302="","",IF($AR302=0,$AS302*EXP($AT302*2),$AS302*(1+$AR302*$AT302*2)^(1/$AR302)))</f>
        <v/>
      </c>
      <c r="AW302">
        <f>IF($AR302="","",IF($AR302=0,$AS302*EXP($AT302*3),$AS302*(1+$AR302*$AT302*3)^(1/$AR302)))</f>
        <v/>
      </c>
      <c r="AX302">
        <f>IF($AR302="","",IF($AR302=0,$AS302*EXP($AT302*-2),$AS302*(1+$AR302*$AT302*-2)^(1/$AR302)))</f>
        <v/>
      </c>
      <c r="AY302">
        <f>IF($AR302="","",IF($AR302=0,$AS302*EXP($AT302*-3),$AS302*(1+$AR302*$AT302*-3)^(1/$AR302)))</f>
        <v/>
      </c>
      <c r="AZ302">
        <f>IF(OR($A302="",$A302&lt;&gt;Ficha!$C$4),"",COUNTIF($A$2:$A302,Ficha!$C$4))</f>
        <v/>
      </c>
    </row>
    <row r="303">
      <c r="A303" s="8">
        <f>IF(INDEX(Banco!$A:$A,ROW())="","",INDEX(Banco!$A:$A,ROW()))</f>
        <v/>
      </c>
      <c r="B303" s="8">
        <f>IF(INDEX(Banco!$B:$B,ROW())="","",INDEX(Banco!$B:$B,ROW()))</f>
        <v/>
      </c>
      <c r="C303" s="8">
        <f>IF(INDEX(Banco!$C:$C,ROW())="","",INDEX(Banco!$C:$C,ROW()))</f>
        <v/>
      </c>
      <c r="D303" s="9">
        <f>IF(INDEX(Banco!$D:$D,ROW())="","",INDEX(Banco!$D:$D,ROW()))</f>
        <v/>
      </c>
      <c r="E303" s="9">
        <f>IF(INDEX(Banco!$E:$E,ROW())="","",INDEX(Banco!$E:$E,ROW()))</f>
        <v/>
      </c>
      <c r="F303" s="10">
        <f>IF(INDEX(Banco!$F:$F,ROW())="","",INDEX(Banco!$F:$F,ROW()))</f>
        <v/>
      </c>
      <c r="G303" s="10">
        <f>IF(INDEX(Banco!$G:$G,ROW())="","",INDEX(Banco!$G:$G,ROW()))</f>
        <v/>
      </c>
      <c r="H303" s="8">
        <f>IF(INDEX(Banco!$H:$H,ROW())="","",INDEX(Banco!$H:$H,ROW()))</f>
        <v/>
      </c>
      <c r="I303">
        <f>IF($T303="","",INT($T303/12)&amp;"a "&amp;MOD($T303,12)&amp;"m")</f>
        <v/>
      </c>
      <c r="J303" s="11">
        <f>IF(OR($F303="",$G303=""),"",ROUND($F303/($G303/100)^2,2))</f>
        <v/>
      </c>
      <c r="K303" s="12">
        <f>IF(OR($S303="",$J303="",$T303="",$T303&lt;0,$T303&gt;228,$Y303=""),"—",ROUND(IF(ABS($AB303)&lt;=3,$AB303,IF($AB303&gt;3,3+($J303-$AD303)/($AD303-$AC303),-3+($J303-$AF303)/($AE303-$AF303))),2))</f>
        <v/>
      </c>
      <c r="L303">
        <f>IF(OR($K303="",$K303="—"),"",IF($T303&lt;=60,IF($K303&lt;-3,"Magreza acentuada",IF($K303&lt;-2,"Magreza",IF($K303&lt;=1,"Eutrofia",IF($K303&lt;=2,"Risco de sobrepeso",IF($K303&lt;=3,"Sobrepeso","Obesidade"))))),IF($K303&lt;-3,"Magreza acentuada",IF($K303&lt;-2,"Magreza",IF($K303&lt;=1,"Eutrofia",IF($K303&lt;=2,"Sobrepeso",IF($K303&lt;=3,"Obesidade","Obesidade grave")))))))</f>
        <v/>
      </c>
      <c r="M303" s="12">
        <f>IF(OR($S303="",$V303="",$T303="",$T303&lt;0,$T303&gt;228,$AG303=""),"—",ROUND(IF($AG303=0,LN($V303/$AH303)/$AI303,((($V303/$AH303)^$AG303)-1)/($AG303*$AI303)),2))</f>
        <v/>
      </c>
      <c r="N303">
        <f>IF(OR($M303="",$M303="—"),"",IF($M303&lt;-3,"Muito baixa",IF($M303&lt;-2,"Baixa","Adequada")))</f>
        <v/>
      </c>
      <c r="O303" s="12">
        <f>IF(OR($S303="",$F303="",$T303="",$T303&lt;0,$T303&gt;120,$AJ303=""),"—",ROUND(IF(ABS($AM303)&lt;=3,$AM303,IF($AM303&gt;3,3+($F303-$AO303)/($AO303-$AN303),-3+($F303-$AQ303)/($AP303-$AQ303))),2))</f>
        <v/>
      </c>
      <c r="P303">
        <f>IF(OR($O303="",$O303="—"),"",IF($O303&lt;-3,"Muito baixo",IF($O303&lt;-2,"Baixo",IF($O303&lt;=2,"Adequado","Elevado"))))</f>
        <v/>
      </c>
      <c r="Q303" s="12">
        <f>IF(OR($S303="",$F303="",$T303="",$T303&lt;0,$T303&gt;60,$AR303=""),"—",ROUND(IF(ABS($AU303)&lt;=3,$AU303,IF($AU303&gt;3,3+($F303-$AW303)/($AW303-$AV303),-3+($F303-$AY303)/($AX303-$AY303))),2))</f>
        <v/>
      </c>
      <c r="R303">
        <f>IF(OR($Q303="",$Q303="—"),"",IF($Q303&lt;-3,"Magreza acentuada",IF($Q303&lt;-2,"Magreza",IF($Q303&lt;=1,"Eutrofia",IF($Q303&lt;=2,"Risco de sobrepeso",IF($Q303&lt;=3,"Sobrepeso","Obesidade"))))))</f>
        <v/>
      </c>
      <c r="S303">
        <f>IF($C303="","",IF(UPPER(LEFT($C303,1))="M",1,IF(UPPER(LEFT($C303,1))="F",2,"")))</f>
        <v/>
      </c>
      <c r="T303">
        <f>IF(OR($D303="",$E303=""),"",DATEDIF($D303,$E303,"m"))</f>
        <v/>
      </c>
      <c r="U303">
        <f>IF(OR($D303="",$E303=""),"",$E303-$D303)</f>
        <v/>
      </c>
      <c r="V303">
        <f>IF(OR($G303="",$T303=""),"",IF($T303&lt;24,IF(LEFT(LOWER($H303),4)="em p",$G303+0.7,$G303),IF(LEFT(LOWER($H303),4)="deit",$G303-0.7,$G303)))</f>
        <v/>
      </c>
      <c r="W303">
        <f>IF(OR($S303="",$T303=""),"",$S303*1000000+IF($T303&lt;=60,$U303,$T303))</f>
        <v/>
      </c>
      <c r="X303">
        <f>IF(OR($S303="",$V303="",$T303&gt;60,$T303=""),"",$S303*1000000+ROUND($V303*10,0))</f>
        <v/>
      </c>
      <c r="Y303">
        <f>IF($W303="","",IFERROR(INDEX(IF($T303&lt;=60,imc05_l,imc519_l),MATCH($W303,IF($T303&lt;=60,imc05_k,imc519_k),1)),""))</f>
        <v/>
      </c>
      <c r="Z303">
        <f>IF($W303="","",IFERROR(INDEX(IF($T303&lt;=60,imc05_m,imc519_m),MATCH($W303,IF($T303&lt;=60,imc05_k,imc519_k),1)),""))</f>
        <v/>
      </c>
      <c r="AA303">
        <f>IF($W303="","",IFERROR(INDEX(IF($T303&lt;=60,imc05_s,imc519_s),MATCH($W303,IF($T303&lt;=60,imc05_k,imc519_k),1)),""))</f>
        <v/>
      </c>
      <c r="AB303">
        <f>IF($Y303="","",IF($Y303=0,LN($J303/$Z303)/$AA303,((($J303/$Z303)^$Y303)-1)/($Y303*$AA303)))</f>
        <v/>
      </c>
      <c r="AC303">
        <f>IF($Y303="","",IF($Y303=0,$Z303*EXP($AA303*2),$Z303*(1+$Y303*$AA303*2)^(1/$Y303)))</f>
        <v/>
      </c>
      <c r="AD303">
        <f>IF($Y303="","",IF($Y303=0,$Z303*EXP($AA303*3),$Z303*(1+$Y303*$AA303*3)^(1/$Y303)))</f>
        <v/>
      </c>
      <c r="AE303">
        <f>IF($Y303="","",IF($Y303=0,$Z303*EXP($AA303*-2),$Z303*(1+$Y303*$AA303*-2)^(1/$Y303)))</f>
        <v/>
      </c>
      <c r="AF303">
        <f>IF($Y303="","",IF($Y303=0,$Z303*EXP($AA303*-3),$Z303*(1+$Y303*$AA303*-3)^(1/$Y303)))</f>
        <v/>
      </c>
      <c r="AG303">
        <f>IF($W303="","",IFERROR(INDEX(IF($T303&lt;=60,est05_l,est519_l),MATCH($W303,IF($T303&lt;=60,est05_k,est519_k),1)),""))</f>
        <v/>
      </c>
      <c r="AH303">
        <f>IF($W303="","",IFERROR(INDEX(IF($T303&lt;=60,est05_m,est519_m),MATCH($W303,IF($T303&lt;=60,est05_k,est519_k),1)),""))</f>
        <v/>
      </c>
      <c r="AI303">
        <f>IF($W303="","",IFERROR(INDEX(IF($T303&lt;=60,est05_s,est519_s),MATCH($W303,IF($T303&lt;=60,est05_k,est519_k),1)),""))</f>
        <v/>
      </c>
      <c r="AJ303">
        <f>IF($W303="","",IFERROR(INDEX(IF($T303&lt;=60,peso05_l,peso510_l),MATCH($W303,IF($T303&lt;=60,peso05_k,peso510_k),1)),""))</f>
        <v/>
      </c>
      <c r="AK303">
        <f>IF($W303="","",IFERROR(INDEX(IF($T303&lt;=60,peso05_m,peso510_m),MATCH($W303,IF($T303&lt;=60,peso05_k,peso510_k),1)),""))</f>
        <v/>
      </c>
      <c r="AL303">
        <f>IF($W303="","",IFERROR(INDEX(IF($T303&lt;=60,peso05_s,peso510_s),MATCH($W303,IF($T303&lt;=60,peso05_k,peso510_k),1)),""))</f>
        <v/>
      </c>
      <c r="AM303">
        <f>IF($AJ303="","",IF($AJ303=0,LN($F303/$AK303)/$AL303,((($F303/$AK303)^$AJ303)-1)/($AJ303*$AL303)))</f>
        <v/>
      </c>
      <c r="AN303">
        <f>IF($AJ303="","",IF($AJ303=0,$AK303*EXP($AL303*2),$AK303*(1+$AJ303*$AL303*2)^(1/$AJ303)))</f>
        <v/>
      </c>
      <c r="AO303">
        <f>IF($AJ303="","",IF($AJ303=0,$AK303*EXP($AL303*3),$AK303*(1+$AJ303*$AL303*3)^(1/$AJ303)))</f>
        <v/>
      </c>
      <c r="AP303">
        <f>IF($AJ303="","",IF($AJ303=0,$AK303*EXP($AL303*-2),$AK303*(1+$AJ303*$AL303*-2)^(1/$AJ303)))</f>
        <v/>
      </c>
      <c r="AQ303">
        <f>IF($AJ303="","",IF($AJ303=0,$AK303*EXP($AL303*-3),$AK303*(1+$AJ303*$AL303*-3)^(1/$AJ303)))</f>
        <v/>
      </c>
      <c r="AR303">
        <f>IF(OR($X303="",$T303&gt;60),"",IFERROR(INDEX(IF($T303&lt;24,pcomp_l,palt_l),MATCH($X303,IF($T303&lt;24,pcomp_k,palt_k),1)),""))</f>
        <v/>
      </c>
      <c r="AS303">
        <f>IF(OR($X303="",$T303&gt;60),"",IFERROR(INDEX(IF($T303&lt;24,pcomp_m,palt_m),MATCH($X303,IF($T303&lt;24,pcomp_k,palt_k),1)),""))</f>
        <v/>
      </c>
      <c r="AT303">
        <f>IF(OR($X303="",$T303&gt;60),"",IFERROR(INDEX(IF($T303&lt;24,pcomp_s,palt_s),MATCH($X303,IF($T303&lt;24,pcomp_k,palt_k),1)),""))</f>
        <v/>
      </c>
      <c r="AU303">
        <f>IF($AR303="","",IF($AR303=0,LN($F303/$AS303)/$AT303,((($F303/$AS303)^$AR303)-1)/($AR303*$AT303)))</f>
        <v/>
      </c>
      <c r="AV303">
        <f>IF($AR303="","",IF($AR303=0,$AS303*EXP($AT303*2),$AS303*(1+$AR303*$AT303*2)^(1/$AR303)))</f>
        <v/>
      </c>
      <c r="AW303">
        <f>IF($AR303="","",IF($AR303=0,$AS303*EXP($AT303*3),$AS303*(1+$AR303*$AT303*3)^(1/$AR303)))</f>
        <v/>
      </c>
      <c r="AX303">
        <f>IF($AR303="","",IF($AR303=0,$AS303*EXP($AT303*-2),$AS303*(1+$AR303*$AT303*-2)^(1/$AR303)))</f>
        <v/>
      </c>
      <c r="AY303">
        <f>IF($AR303="","",IF($AR303=0,$AS303*EXP($AT303*-3),$AS303*(1+$AR303*$AT303*-3)^(1/$AR303)))</f>
        <v/>
      </c>
      <c r="AZ303">
        <f>IF(OR($A303="",$A303&lt;&gt;Ficha!$C$4),"",COUNTIF($A$2:$A303,Ficha!$C$4))</f>
        <v/>
      </c>
    </row>
    <row r="304">
      <c r="A304" s="8">
        <f>IF(INDEX(Banco!$A:$A,ROW())="","",INDEX(Banco!$A:$A,ROW()))</f>
        <v/>
      </c>
      <c r="B304" s="8">
        <f>IF(INDEX(Banco!$B:$B,ROW())="","",INDEX(Banco!$B:$B,ROW()))</f>
        <v/>
      </c>
      <c r="C304" s="8">
        <f>IF(INDEX(Banco!$C:$C,ROW())="","",INDEX(Banco!$C:$C,ROW()))</f>
        <v/>
      </c>
      <c r="D304" s="9">
        <f>IF(INDEX(Banco!$D:$D,ROW())="","",INDEX(Banco!$D:$D,ROW()))</f>
        <v/>
      </c>
      <c r="E304" s="9">
        <f>IF(INDEX(Banco!$E:$E,ROW())="","",INDEX(Banco!$E:$E,ROW()))</f>
        <v/>
      </c>
      <c r="F304" s="10">
        <f>IF(INDEX(Banco!$F:$F,ROW())="","",INDEX(Banco!$F:$F,ROW()))</f>
        <v/>
      </c>
      <c r="G304" s="10">
        <f>IF(INDEX(Banco!$G:$G,ROW())="","",INDEX(Banco!$G:$G,ROW()))</f>
        <v/>
      </c>
      <c r="H304" s="8">
        <f>IF(INDEX(Banco!$H:$H,ROW())="","",INDEX(Banco!$H:$H,ROW()))</f>
        <v/>
      </c>
      <c r="I304">
        <f>IF($T304="","",INT($T304/12)&amp;"a "&amp;MOD($T304,12)&amp;"m")</f>
        <v/>
      </c>
      <c r="J304" s="11">
        <f>IF(OR($F304="",$G304=""),"",ROUND($F304/($G304/100)^2,2))</f>
        <v/>
      </c>
      <c r="K304" s="12">
        <f>IF(OR($S304="",$J304="",$T304="",$T304&lt;0,$T304&gt;228,$Y304=""),"—",ROUND(IF(ABS($AB304)&lt;=3,$AB304,IF($AB304&gt;3,3+($J304-$AD304)/($AD304-$AC304),-3+($J304-$AF304)/($AE304-$AF304))),2))</f>
        <v/>
      </c>
      <c r="L304">
        <f>IF(OR($K304="",$K304="—"),"",IF($T304&lt;=60,IF($K304&lt;-3,"Magreza acentuada",IF($K304&lt;-2,"Magreza",IF($K304&lt;=1,"Eutrofia",IF($K304&lt;=2,"Risco de sobrepeso",IF($K304&lt;=3,"Sobrepeso","Obesidade"))))),IF($K304&lt;-3,"Magreza acentuada",IF($K304&lt;-2,"Magreza",IF($K304&lt;=1,"Eutrofia",IF($K304&lt;=2,"Sobrepeso",IF($K304&lt;=3,"Obesidade","Obesidade grave")))))))</f>
        <v/>
      </c>
      <c r="M304" s="12">
        <f>IF(OR($S304="",$V304="",$T304="",$T304&lt;0,$T304&gt;228,$AG304=""),"—",ROUND(IF($AG304=0,LN($V304/$AH304)/$AI304,((($V304/$AH304)^$AG304)-1)/($AG304*$AI304)),2))</f>
        <v/>
      </c>
      <c r="N304">
        <f>IF(OR($M304="",$M304="—"),"",IF($M304&lt;-3,"Muito baixa",IF($M304&lt;-2,"Baixa","Adequada")))</f>
        <v/>
      </c>
      <c r="O304" s="12">
        <f>IF(OR($S304="",$F304="",$T304="",$T304&lt;0,$T304&gt;120,$AJ304=""),"—",ROUND(IF(ABS($AM304)&lt;=3,$AM304,IF($AM304&gt;3,3+($F304-$AO304)/($AO304-$AN304),-3+($F304-$AQ304)/($AP304-$AQ304))),2))</f>
        <v/>
      </c>
      <c r="P304">
        <f>IF(OR($O304="",$O304="—"),"",IF($O304&lt;-3,"Muito baixo",IF($O304&lt;-2,"Baixo",IF($O304&lt;=2,"Adequado","Elevado"))))</f>
        <v/>
      </c>
      <c r="Q304" s="12">
        <f>IF(OR($S304="",$F304="",$T304="",$T304&lt;0,$T304&gt;60,$AR304=""),"—",ROUND(IF(ABS($AU304)&lt;=3,$AU304,IF($AU304&gt;3,3+($F304-$AW304)/($AW304-$AV304),-3+($F304-$AY304)/($AX304-$AY304))),2))</f>
        <v/>
      </c>
      <c r="R304">
        <f>IF(OR($Q304="",$Q304="—"),"",IF($Q304&lt;-3,"Magreza acentuada",IF($Q304&lt;-2,"Magreza",IF($Q304&lt;=1,"Eutrofia",IF($Q304&lt;=2,"Risco de sobrepeso",IF($Q304&lt;=3,"Sobrepeso","Obesidade"))))))</f>
        <v/>
      </c>
      <c r="S304">
        <f>IF($C304="","",IF(UPPER(LEFT($C304,1))="M",1,IF(UPPER(LEFT($C304,1))="F",2,"")))</f>
        <v/>
      </c>
      <c r="T304">
        <f>IF(OR($D304="",$E304=""),"",DATEDIF($D304,$E304,"m"))</f>
        <v/>
      </c>
      <c r="U304">
        <f>IF(OR($D304="",$E304=""),"",$E304-$D304)</f>
        <v/>
      </c>
      <c r="V304">
        <f>IF(OR($G304="",$T304=""),"",IF($T304&lt;24,IF(LEFT(LOWER($H304),4)="em p",$G304+0.7,$G304),IF(LEFT(LOWER($H304),4)="deit",$G304-0.7,$G304)))</f>
        <v/>
      </c>
      <c r="W304">
        <f>IF(OR($S304="",$T304=""),"",$S304*1000000+IF($T304&lt;=60,$U304,$T304))</f>
        <v/>
      </c>
      <c r="X304">
        <f>IF(OR($S304="",$V304="",$T304&gt;60,$T304=""),"",$S304*1000000+ROUND($V304*10,0))</f>
        <v/>
      </c>
      <c r="Y304">
        <f>IF($W304="","",IFERROR(INDEX(IF($T304&lt;=60,imc05_l,imc519_l),MATCH($W304,IF($T304&lt;=60,imc05_k,imc519_k),1)),""))</f>
        <v/>
      </c>
      <c r="Z304">
        <f>IF($W304="","",IFERROR(INDEX(IF($T304&lt;=60,imc05_m,imc519_m),MATCH($W304,IF($T304&lt;=60,imc05_k,imc519_k),1)),""))</f>
        <v/>
      </c>
      <c r="AA304">
        <f>IF($W304="","",IFERROR(INDEX(IF($T304&lt;=60,imc05_s,imc519_s),MATCH($W304,IF($T304&lt;=60,imc05_k,imc519_k),1)),""))</f>
        <v/>
      </c>
      <c r="AB304">
        <f>IF($Y304="","",IF($Y304=0,LN($J304/$Z304)/$AA304,((($J304/$Z304)^$Y304)-1)/($Y304*$AA304)))</f>
        <v/>
      </c>
      <c r="AC304">
        <f>IF($Y304="","",IF($Y304=0,$Z304*EXP($AA304*2),$Z304*(1+$Y304*$AA304*2)^(1/$Y304)))</f>
        <v/>
      </c>
      <c r="AD304">
        <f>IF($Y304="","",IF($Y304=0,$Z304*EXP($AA304*3),$Z304*(1+$Y304*$AA304*3)^(1/$Y304)))</f>
        <v/>
      </c>
      <c r="AE304">
        <f>IF($Y304="","",IF($Y304=0,$Z304*EXP($AA304*-2),$Z304*(1+$Y304*$AA304*-2)^(1/$Y304)))</f>
        <v/>
      </c>
      <c r="AF304">
        <f>IF($Y304="","",IF($Y304=0,$Z304*EXP($AA304*-3),$Z304*(1+$Y304*$AA304*-3)^(1/$Y304)))</f>
        <v/>
      </c>
      <c r="AG304">
        <f>IF($W304="","",IFERROR(INDEX(IF($T304&lt;=60,est05_l,est519_l),MATCH($W304,IF($T304&lt;=60,est05_k,est519_k),1)),""))</f>
        <v/>
      </c>
      <c r="AH304">
        <f>IF($W304="","",IFERROR(INDEX(IF($T304&lt;=60,est05_m,est519_m),MATCH($W304,IF($T304&lt;=60,est05_k,est519_k),1)),""))</f>
        <v/>
      </c>
      <c r="AI304">
        <f>IF($W304="","",IFERROR(INDEX(IF($T304&lt;=60,est05_s,est519_s),MATCH($W304,IF($T304&lt;=60,est05_k,est519_k),1)),""))</f>
        <v/>
      </c>
      <c r="AJ304">
        <f>IF($W304="","",IFERROR(INDEX(IF($T304&lt;=60,peso05_l,peso510_l),MATCH($W304,IF($T304&lt;=60,peso05_k,peso510_k),1)),""))</f>
        <v/>
      </c>
      <c r="AK304">
        <f>IF($W304="","",IFERROR(INDEX(IF($T304&lt;=60,peso05_m,peso510_m),MATCH($W304,IF($T304&lt;=60,peso05_k,peso510_k),1)),""))</f>
        <v/>
      </c>
      <c r="AL304">
        <f>IF($W304="","",IFERROR(INDEX(IF($T304&lt;=60,peso05_s,peso510_s),MATCH($W304,IF($T304&lt;=60,peso05_k,peso510_k),1)),""))</f>
        <v/>
      </c>
      <c r="AM304">
        <f>IF($AJ304="","",IF($AJ304=0,LN($F304/$AK304)/$AL304,((($F304/$AK304)^$AJ304)-1)/($AJ304*$AL304)))</f>
        <v/>
      </c>
      <c r="AN304">
        <f>IF($AJ304="","",IF($AJ304=0,$AK304*EXP($AL304*2),$AK304*(1+$AJ304*$AL304*2)^(1/$AJ304)))</f>
        <v/>
      </c>
      <c r="AO304">
        <f>IF($AJ304="","",IF($AJ304=0,$AK304*EXP($AL304*3),$AK304*(1+$AJ304*$AL304*3)^(1/$AJ304)))</f>
        <v/>
      </c>
      <c r="AP304">
        <f>IF($AJ304="","",IF($AJ304=0,$AK304*EXP($AL304*-2),$AK304*(1+$AJ304*$AL304*-2)^(1/$AJ304)))</f>
        <v/>
      </c>
      <c r="AQ304">
        <f>IF($AJ304="","",IF($AJ304=0,$AK304*EXP($AL304*-3),$AK304*(1+$AJ304*$AL304*-3)^(1/$AJ304)))</f>
        <v/>
      </c>
      <c r="AR304">
        <f>IF(OR($X304="",$T304&gt;60),"",IFERROR(INDEX(IF($T304&lt;24,pcomp_l,palt_l),MATCH($X304,IF($T304&lt;24,pcomp_k,palt_k),1)),""))</f>
        <v/>
      </c>
      <c r="AS304">
        <f>IF(OR($X304="",$T304&gt;60),"",IFERROR(INDEX(IF($T304&lt;24,pcomp_m,palt_m),MATCH($X304,IF($T304&lt;24,pcomp_k,palt_k),1)),""))</f>
        <v/>
      </c>
      <c r="AT304">
        <f>IF(OR($X304="",$T304&gt;60),"",IFERROR(INDEX(IF($T304&lt;24,pcomp_s,palt_s),MATCH($X304,IF($T304&lt;24,pcomp_k,palt_k),1)),""))</f>
        <v/>
      </c>
      <c r="AU304">
        <f>IF($AR304="","",IF($AR304=0,LN($F304/$AS304)/$AT304,((($F304/$AS304)^$AR304)-1)/($AR304*$AT304)))</f>
        <v/>
      </c>
      <c r="AV304">
        <f>IF($AR304="","",IF($AR304=0,$AS304*EXP($AT304*2),$AS304*(1+$AR304*$AT304*2)^(1/$AR304)))</f>
        <v/>
      </c>
      <c r="AW304">
        <f>IF($AR304="","",IF($AR304=0,$AS304*EXP($AT304*3),$AS304*(1+$AR304*$AT304*3)^(1/$AR304)))</f>
        <v/>
      </c>
      <c r="AX304">
        <f>IF($AR304="","",IF($AR304=0,$AS304*EXP($AT304*-2),$AS304*(1+$AR304*$AT304*-2)^(1/$AR304)))</f>
        <v/>
      </c>
      <c r="AY304">
        <f>IF($AR304="","",IF($AR304=0,$AS304*EXP($AT304*-3),$AS304*(1+$AR304*$AT304*-3)^(1/$AR304)))</f>
        <v/>
      </c>
      <c r="AZ304">
        <f>IF(OR($A304="",$A304&lt;&gt;Ficha!$C$4),"",COUNTIF($A$2:$A304,Ficha!$C$4))</f>
        <v/>
      </c>
    </row>
    <row r="305">
      <c r="A305" s="8">
        <f>IF(INDEX(Banco!$A:$A,ROW())="","",INDEX(Banco!$A:$A,ROW()))</f>
        <v/>
      </c>
      <c r="B305" s="8">
        <f>IF(INDEX(Banco!$B:$B,ROW())="","",INDEX(Banco!$B:$B,ROW()))</f>
        <v/>
      </c>
      <c r="C305" s="8">
        <f>IF(INDEX(Banco!$C:$C,ROW())="","",INDEX(Banco!$C:$C,ROW()))</f>
        <v/>
      </c>
      <c r="D305" s="9">
        <f>IF(INDEX(Banco!$D:$D,ROW())="","",INDEX(Banco!$D:$D,ROW()))</f>
        <v/>
      </c>
      <c r="E305" s="9">
        <f>IF(INDEX(Banco!$E:$E,ROW())="","",INDEX(Banco!$E:$E,ROW()))</f>
        <v/>
      </c>
      <c r="F305" s="10">
        <f>IF(INDEX(Banco!$F:$F,ROW())="","",INDEX(Banco!$F:$F,ROW()))</f>
        <v/>
      </c>
      <c r="G305" s="10">
        <f>IF(INDEX(Banco!$G:$G,ROW())="","",INDEX(Banco!$G:$G,ROW()))</f>
        <v/>
      </c>
      <c r="H305" s="8">
        <f>IF(INDEX(Banco!$H:$H,ROW())="","",INDEX(Banco!$H:$H,ROW()))</f>
        <v/>
      </c>
      <c r="I305">
        <f>IF($T305="","",INT($T305/12)&amp;"a "&amp;MOD($T305,12)&amp;"m")</f>
        <v/>
      </c>
      <c r="J305" s="11">
        <f>IF(OR($F305="",$G305=""),"",ROUND($F305/($G305/100)^2,2))</f>
        <v/>
      </c>
      <c r="K305" s="12">
        <f>IF(OR($S305="",$J305="",$T305="",$T305&lt;0,$T305&gt;228,$Y305=""),"—",ROUND(IF(ABS($AB305)&lt;=3,$AB305,IF($AB305&gt;3,3+($J305-$AD305)/($AD305-$AC305),-3+($J305-$AF305)/($AE305-$AF305))),2))</f>
        <v/>
      </c>
      <c r="L305">
        <f>IF(OR($K305="",$K305="—"),"",IF($T305&lt;=60,IF($K305&lt;-3,"Magreza acentuada",IF($K305&lt;-2,"Magreza",IF($K305&lt;=1,"Eutrofia",IF($K305&lt;=2,"Risco de sobrepeso",IF($K305&lt;=3,"Sobrepeso","Obesidade"))))),IF($K305&lt;-3,"Magreza acentuada",IF($K305&lt;-2,"Magreza",IF($K305&lt;=1,"Eutrofia",IF($K305&lt;=2,"Sobrepeso",IF($K305&lt;=3,"Obesidade","Obesidade grave")))))))</f>
        <v/>
      </c>
      <c r="M305" s="12">
        <f>IF(OR($S305="",$V305="",$T305="",$T305&lt;0,$T305&gt;228,$AG305=""),"—",ROUND(IF($AG305=0,LN($V305/$AH305)/$AI305,((($V305/$AH305)^$AG305)-1)/($AG305*$AI305)),2))</f>
        <v/>
      </c>
      <c r="N305">
        <f>IF(OR($M305="",$M305="—"),"",IF($M305&lt;-3,"Muito baixa",IF($M305&lt;-2,"Baixa","Adequada")))</f>
        <v/>
      </c>
      <c r="O305" s="12">
        <f>IF(OR($S305="",$F305="",$T305="",$T305&lt;0,$T305&gt;120,$AJ305=""),"—",ROUND(IF(ABS($AM305)&lt;=3,$AM305,IF($AM305&gt;3,3+($F305-$AO305)/($AO305-$AN305),-3+($F305-$AQ305)/($AP305-$AQ305))),2))</f>
        <v/>
      </c>
      <c r="P305">
        <f>IF(OR($O305="",$O305="—"),"",IF($O305&lt;-3,"Muito baixo",IF($O305&lt;-2,"Baixo",IF($O305&lt;=2,"Adequado","Elevado"))))</f>
        <v/>
      </c>
      <c r="Q305" s="12">
        <f>IF(OR($S305="",$F305="",$T305="",$T305&lt;0,$T305&gt;60,$AR305=""),"—",ROUND(IF(ABS($AU305)&lt;=3,$AU305,IF($AU305&gt;3,3+($F305-$AW305)/($AW305-$AV305),-3+($F305-$AY305)/($AX305-$AY305))),2))</f>
        <v/>
      </c>
      <c r="R305">
        <f>IF(OR($Q305="",$Q305="—"),"",IF($Q305&lt;-3,"Magreza acentuada",IF($Q305&lt;-2,"Magreza",IF($Q305&lt;=1,"Eutrofia",IF($Q305&lt;=2,"Risco de sobrepeso",IF($Q305&lt;=3,"Sobrepeso","Obesidade"))))))</f>
        <v/>
      </c>
      <c r="S305">
        <f>IF($C305="","",IF(UPPER(LEFT($C305,1))="M",1,IF(UPPER(LEFT($C305,1))="F",2,"")))</f>
        <v/>
      </c>
      <c r="T305">
        <f>IF(OR($D305="",$E305=""),"",DATEDIF($D305,$E305,"m"))</f>
        <v/>
      </c>
      <c r="U305">
        <f>IF(OR($D305="",$E305=""),"",$E305-$D305)</f>
        <v/>
      </c>
      <c r="V305">
        <f>IF(OR($G305="",$T305=""),"",IF($T305&lt;24,IF(LEFT(LOWER($H305),4)="em p",$G305+0.7,$G305),IF(LEFT(LOWER($H305),4)="deit",$G305-0.7,$G305)))</f>
        <v/>
      </c>
      <c r="W305">
        <f>IF(OR($S305="",$T305=""),"",$S305*1000000+IF($T305&lt;=60,$U305,$T305))</f>
        <v/>
      </c>
      <c r="X305">
        <f>IF(OR($S305="",$V305="",$T305&gt;60,$T305=""),"",$S305*1000000+ROUND($V305*10,0))</f>
        <v/>
      </c>
      <c r="Y305">
        <f>IF($W305="","",IFERROR(INDEX(IF($T305&lt;=60,imc05_l,imc519_l),MATCH($W305,IF($T305&lt;=60,imc05_k,imc519_k),1)),""))</f>
        <v/>
      </c>
      <c r="Z305">
        <f>IF($W305="","",IFERROR(INDEX(IF($T305&lt;=60,imc05_m,imc519_m),MATCH($W305,IF($T305&lt;=60,imc05_k,imc519_k),1)),""))</f>
        <v/>
      </c>
      <c r="AA305">
        <f>IF($W305="","",IFERROR(INDEX(IF($T305&lt;=60,imc05_s,imc519_s),MATCH($W305,IF($T305&lt;=60,imc05_k,imc519_k),1)),""))</f>
        <v/>
      </c>
      <c r="AB305">
        <f>IF($Y305="","",IF($Y305=0,LN($J305/$Z305)/$AA305,((($J305/$Z305)^$Y305)-1)/($Y305*$AA305)))</f>
        <v/>
      </c>
      <c r="AC305">
        <f>IF($Y305="","",IF($Y305=0,$Z305*EXP($AA305*2),$Z305*(1+$Y305*$AA305*2)^(1/$Y305)))</f>
        <v/>
      </c>
      <c r="AD305">
        <f>IF($Y305="","",IF($Y305=0,$Z305*EXP($AA305*3),$Z305*(1+$Y305*$AA305*3)^(1/$Y305)))</f>
        <v/>
      </c>
      <c r="AE305">
        <f>IF($Y305="","",IF($Y305=0,$Z305*EXP($AA305*-2),$Z305*(1+$Y305*$AA305*-2)^(1/$Y305)))</f>
        <v/>
      </c>
      <c r="AF305">
        <f>IF($Y305="","",IF($Y305=0,$Z305*EXP($AA305*-3),$Z305*(1+$Y305*$AA305*-3)^(1/$Y305)))</f>
        <v/>
      </c>
      <c r="AG305">
        <f>IF($W305="","",IFERROR(INDEX(IF($T305&lt;=60,est05_l,est519_l),MATCH($W305,IF($T305&lt;=60,est05_k,est519_k),1)),""))</f>
        <v/>
      </c>
      <c r="AH305">
        <f>IF($W305="","",IFERROR(INDEX(IF($T305&lt;=60,est05_m,est519_m),MATCH($W305,IF($T305&lt;=60,est05_k,est519_k),1)),""))</f>
        <v/>
      </c>
      <c r="AI305">
        <f>IF($W305="","",IFERROR(INDEX(IF($T305&lt;=60,est05_s,est519_s),MATCH($W305,IF($T305&lt;=60,est05_k,est519_k),1)),""))</f>
        <v/>
      </c>
      <c r="AJ305">
        <f>IF($W305="","",IFERROR(INDEX(IF($T305&lt;=60,peso05_l,peso510_l),MATCH($W305,IF($T305&lt;=60,peso05_k,peso510_k),1)),""))</f>
        <v/>
      </c>
      <c r="AK305">
        <f>IF($W305="","",IFERROR(INDEX(IF($T305&lt;=60,peso05_m,peso510_m),MATCH($W305,IF($T305&lt;=60,peso05_k,peso510_k),1)),""))</f>
        <v/>
      </c>
      <c r="AL305">
        <f>IF($W305="","",IFERROR(INDEX(IF($T305&lt;=60,peso05_s,peso510_s),MATCH($W305,IF($T305&lt;=60,peso05_k,peso510_k),1)),""))</f>
        <v/>
      </c>
      <c r="AM305">
        <f>IF($AJ305="","",IF($AJ305=0,LN($F305/$AK305)/$AL305,((($F305/$AK305)^$AJ305)-1)/($AJ305*$AL305)))</f>
        <v/>
      </c>
      <c r="AN305">
        <f>IF($AJ305="","",IF($AJ305=0,$AK305*EXP($AL305*2),$AK305*(1+$AJ305*$AL305*2)^(1/$AJ305)))</f>
        <v/>
      </c>
      <c r="AO305">
        <f>IF($AJ305="","",IF($AJ305=0,$AK305*EXP($AL305*3),$AK305*(1+$AJ305*$AL305*3)^(1/$AJ305)))</f>
        <v/>
      </c>
      <c r="AP305">
        <f>IF($AJ305="","",IF($AJ305=0,$AK305*EXP($AL305*-2),$AK305*(1+$AJ305*$AL305*-2)^(1/$AJ305)))</f>
        <v/>
      </c>
      <c r="AQ305">
        <f>IF($AJ305="","",IF($AJ305=0,$AK305*EXP($AL305*-3),$AK305*(1+$AJ305*$AL305*-3)^(1/$AJ305)))</f>
        <v/>
      </c>
      <c r="AR305">
        <f>IF(OR($X305="",$T305&gt;60),"",IFERROR(INDEX(IF($T305&lt;24,pcomp_l,palt_l),MATCH($X305,IF($T305&lt;24,pcomp_k,palt_k),1)),""))</f>
        <v/>
      </c>
      <c r="AS305">
        <f>IF(OR($X305="",$T305&gt;60),"",IFERROR(INDEX(IF($T305&lt;24,pcomp_m,palt_m),MATCH($X305,IF($T305&lt;24,pcomp_k,palt_k),1)),""))</f>
        <v/>
      </c>
      <c r="AT305">
        <f>IF(OR($X305="",$T305&gt;60),"",IFERROR(INDEX(IF($T305&lt;24,pcomp_s,palt_s),MATCH($X305,IF($T305&lt;24,pcomp_k,palt_k),1)),""))</f>
        <v/>
      </c>
      <c r="AU305">
        <f>IF($AR305="","",IF($AR305=0,LN($F305/$AS305)/$AT305,((($F305/$AS305)^$AR305)-1)/($AR305*$AT305)))</f>
        <v/>
      </c>
      <c r="AV305">
        <f>IF($AR305="","",IF($AR305=0,$AS305*EXP($AT305*2),$AS305*(1+$AR305*$AT305*2)^(1/$AR305)))</f>
        <v/>
      </c>
      <c r="AW305">
        <f>IF($AR305="","",IF($AR305=0,$AS305*EXP($AT305*3),$AS305*(1+$AR305*$AT305*3)^(1/$AR305)))</f>
        <v/>
      </c>
      <c r="AX305">
        <f>IF($AR305="","",IF($AR305=0,$AS305*EXP($AT305*-2),$AS305*(1+$AR305*$AT305*-2)^(1/$AR305)))</f>
        <v/>
      </c>
      <c r="AY305">
        <f>IF($AR305="","",IF($AR305=0,$AS305*EXP($AT305*-3),$AS305*(1+$AR305*$AT305*-3)^(1/$AR305)))</f>
        <v/>
      </c>
      <c r="AZ305">
        <f>IF(OR($A305="",$A305&lt;&gt;Ficha!$C$4),"",COUNTIF($A$2:$A305,Ficha!$C$4))</f>
        <v/>
      </c>
    </row>
    <row r="306">
      <c r="A306" s="8">
        <f>IF(INDEX(Banco!$A:$A,ROW())="","",INDEX(Banco!$A:$A,ROW()))</f>
        <v/>
      </c>
      <c r="B306" s="8">
        <f>IF(INDEX(Banco!$B:$B,ROW())="","",INDEX(Banco!$B:$B,ROW()))</f>
        <v/>
      </c>
      <c r="C306" s="8">
        <f>IF(INDEX(Banco!$C:$C,ROW())="","",INDEX(Banco!$C:$C,ROW()))</f>
        <v/>
      </c>
      <c r="D306" s="9">
        <f>IF(INDEX(Banco!$D:$D,ROW())="","",INDEX(Banco!$D:$D,ROW()))</f>
        <v/>
      </c>
      <c r="E306" s="9">
        <f>IF(INDEX(Banco!$E:$E,ROW())="","",INDEX(Banco!$E:$E,ROW()))</f>
        <v/>
      </c>
      <c r="F306" s="10">
        <f>IF(INDEX(Banco!$F:$F,ROW())="","",INDEX(Banco!$F:$F,ROW()))</f>
        <v/>
      </c>
      <c r="G306" s="10">
        <f>IF(INDEX(Banco!$G:$G,ROW())="","",INDEX(Banco!$G:$G,ROW()))</f>
        <v/>
      </c>
      <c r="H306" s="8">
        <f>IF(INDEX(Banco!$H:$H,ROW())="","",INDEX(Banco!$H:$H,ROW()))</f>
        <v/>
      </c>
      <c r="I306">
        <f>IF($T306="","",INT($T306/12)&amp;"a "&amp;MOD($T306,12)&amp;"m")</f>
        <v/>
      </c>
      <c r="J306" s="11">
        <f>IF(OR($F306="",$G306=""),"",ROUND($F306/($G306/100)^2,2))</f>
        <v/>
      </c>
      <c r="K306" s="12">
        <f>IF(OR($S306="",$J306="",$T306="",$T306&lt;0,$T306&gt;228,$Y306=""),"—",ROUND(IF(ABS($AB306)&lt;=3,$AB306,IF($AB306&gt;3,3+($J306-$AD306)/($AD306-$AC306),-3+($J306-$AF306)/($AE306-$AF306))),2))</f>
        <v/>
      </c>
      <c r="L306">
        <f>IF(OR($K306="",$K306="—"),"",IF($T306&lt;=60,IF($K306&lt;-3,"Magreza acentuada",IF($K306&lt;-2,"Magreza",IF($K306&lt;=1,"Eutrofia",IF($K306&lt;=2,"Risco de sobrepeso",IF($K306&lt;=3,"Sobrepeso","Obesidade"))))),IF($K306&lt;-3,"Magreza acentuada",IF($K306&lt;-2,"Magreza",IF($K306&lt;=1,"Eutrofia",IF($K306&lt;=2,"Sobrepeso",IF($K306&lt;=3,"Obesidade","Obesidade grave")))))))</f>
        <v/>
      </c>
      <c r="M306" s="12">
        <f>IF(OR($S306="",$V306="",$T306="",$T306&lt;0,$T306&gt;228,$AG306=""),"—",ROUND(IF($AG306=0,LN($V306/$AH306)/$AI306,((($V306/$AH306)^$AG306)-1)/($AG306*$AI306)),2))</f>
        <v/>
      </c>
      <c r="N306">
        <f>IF(OR($M306="",$M306="—"),"",IF($M306&lt;-3,"Muito baixa",IF($M306&lt;-2,"Baixa","Adequada")))</f>
        <v/>
      </c>
      <c r="O306" s="12">
        <f>IF(OR($S306="",$F306="",$T306="",$T306&lt;0,$T306&gt;120,$AJ306=""),"—",ROUND(IF(ABS($AM306)&lt;=3,$AM306,IF($AM306&gt;3,3+($F306-$AO306)/($AO306-$AN306),-3+($F306-$AQ306)/($AP306-$AQ306))),2))</f>
        <v/>
      </c>
      <c r="P306">
        <f>IF(OR($O306="",$O306="—"),"",IF($O306&lt;-3,"Muito baixo",IF($O306&lt;-2,"Baixo",IF($O306&lt;=2,"Adequado","Elevado"))))</f>
        <v/>
      </c>
      <c r="Q306" s="12">
        <f>IF(OR($S306="",$F306="",$T306="",$T306&lt;0,$T306&gt;60,$AR306=""),"—",ROUND(IF(ABS($AU306)&lt;=3,$AU306,IF($AU306&gt;3,3+($F306-$AW306)/($AW306-$AV306),-3+($F306-$AY306)/($AX306-$AY306))),2))</f>
        <v/>
      </c>
      <c r="R306">
        <f>IF(OR($Q306="",$Q306="—"),"",IF($Q306&lt;-3,"Magreza acentuada",IF($Q306&lt;-2,"Magreza",IF($Q306&lt;=1,"Eutrofia",IF($Q306&lt;=2,"Risco de sobrepeso",IF($Q306&lt;=3,"Sobrepeso","Obesidade"))))))</f>
        <v/>
      </c>
      <c r="S306">
        <f>IF($C306="","",IF(UPPER(LEFT($C306,1))="M",1,IF(UPPER(LEFT($C306,1))="F",2,"")))</f>
        <v/>
      </c>
      <c r="T306">
        <f>IF(OR($D306="",$E306=""),"",DATEDIF($D306,$E306,"m"))</f>
        <v/>
      </c>
      <c r="U306">
        <f>IF(OR($D306="",$E306=""),"",$E306-$D306)</f>
        <v/>
      </c>
      <c r="V306">
        <f>IF(OR($G306="",$T306=""),"",IF($T306&lt;24,IF(LEFT(LOWER($H306),4)="em p",$G306+0.7,$G306),IF(LEFT(LOWER($H306),4)="deit",$G306-0.7,$G306)))</f>
        <v/>
      </c>
      <c r="W306">
        <f>IF(OR($S306="",$T306=""),"",$S306*1000000+IF($T306&lt;=60,$U306,$T306))</f>
        <v/>
      </c>
      <c r="X306">
        <f>IF(OR($S306="",$V306="",$T306&gt;60,$T306=""),"",$S306*1000000+ROUND($V306*10,0))</f>
        <v/>
      </c>
      <c r="Y306">
        <f>IF($W306="","",IFERROR(INDEX(IF($T306&lt;=60,imc05_l,imc519_l),MATCH($W306,IF($T306&lt;=60,imc05_k,imc519_k),1)),""))</f>
        <v/>
      </c>
      <c r="Z306">
        <f>IF($W306="","",IFERROR(INDEX(IF($T306&lt;=60,imc05_m,imc519_m),MATCH($W306,IF($T306&lt;=60,imc05_k,imc519_k),1)),""))</f>
        <v/>
      </c>
      <c r="AA306">
        <f>IF($W306="","",IFERROR(INDEX(IF($T306&lt;=60,imc05_s,imc519_s),MATCH($W306,IF($T306&lt;=60,imc05_k,imc519_k),1)),""))</f>
        <v/>
      </c>
      <c r="AB306">
        <f>IF($Y306="","",IF($Y306=0,LN($J306/$Z306)/$AA306,((($J306/$Z306)^$Y306)-1)/($Y306*$AA306)))</f>
        <v/>
      </c>
      <c r="AC306">
        <f>IF($Y306="","",IF($Y306=0,$Z306*EXP($AA306*2),$Z306*(1+$Y306*$AA306*2)^(1/$Y306)))</f>
        <v/>
      </c>
      <c r="AD306">
        <f>IF($Y306="","",IF($Y306=0,$Z306*EXP($AA306*3),$Z306*(1+$Y306*$AA306*3)^(1/$Y306)))</f>
        <v/>
      </c>
      <c r="AE306">
        <f>IF($Y306="","",IF($Y306=0,$Z306*EXP($AA306*-2),$Z306*(1+$Y306*$AA306*-2)^(1/$Y306)))</f>
        <v/>
      </c>
      <c r="AF306">
        <f>IF($Y306="","",IF($Y306=0,$Z306*EXP($AA306*-3),$Z306*(1+$Y306*$AA306*-3)^(1/$Y306)))</f>
        <v/>
      </c>
      <c r="AG306">
        <f>IF($W306="","",IFERROR(INDEX(IF($T306&lt;=60,est05_l,est519_l),MATCH($W306,IF($T306&lt;=60,est05_k,est519_k),1)),""))</f>
        <v/>
      </c>
      <c r="AH306">
        <f>IF($W306="","",IFERROR(INDEX(IF($T306&lt;=60,est05_m,est519_m),MATCH($W306,IF($T306&lt;=60,est05_k,est519_k),1)),""))</f>
        <v/>
      </c>
      <c r="AI306">
        <f>IF($W306="","",IFERROR(INDEX(IF($T306&lt;=60,est05_s,est519_s),MATCH($W306,IF($T306&lt;=60,est05_k,est519_k),1)),""))</f>
        <v/>
      </c>
      <c r="AJ306">
        <f>IF($W306="","",IFERROR(INDEX(IF($T306&lt;=60,peso05_l,peso510_l),MATCH($W306,IF($T306&lt;=60,peso05_k,peso510_k),1)),""))</f>
        <v/>
      </c>
      <c r="AK306">
        <f>IF($W306="","",IFERROR(INDEX(IF($T306&lt;=60,peso05_m,peso510_m),MATCH($W306,IF($T306&lt;=60,peso05_k,peso510_k),1)),""))</f>
        <v/>
      </c>
      <c r="AL306">
        <f>IF($W306="","",IFERROR(INDEX(IF($T306&lt;=60,peso05_s,peso510_s),MATCH($W306,IF($T306&lt;=60,peso05_k,peso510_k),1)),""))</f>
        <v/>
      </c>
      <c r="AM306">
        <f>IF($AJ306="","",IF($AJ306=0,LN($F306/$AK306)/$AL306,((($F306/$AK306)^$AJ306)-1)/($AJ306*$AL306)))</f>
        <v/>
      </c>
      <c r="AN306">
        <f>IF($AJ306="","",IF($AJ306=0,$AK306*EXP($AL306*2),$AK306*(1+$AJ306*$AL306*2)^(1/$AJ306)))</f>
        <v/>
      </c>
      <c r="AO306">
        <f>IF($AJ306="","",IF($AJ306=0,$AK306*EXP($AL306*3),$AK306*(1+$AJ306*$AL306*3)^(1/$AJ306)))</f>
        <v/>
      </c>
      <c r="AP306">
        <f>IF($AJ306="","",IF($AJ306=0,$AK306*EXP($AL306*-2),$AK306*(1+$AJ306*$AL306*-2)^(1/$AJ306)))</f>
        <v/>
      </c>
      <c r="AQ306">
        <f>IF($AJ306="","",IF($AJ306=0,$AK306*EXP($AL306*-3),$AK306*(1+$AJ306*$AL306*-3)^(1/$AJ306)))</f>
        <v/>
      </c>
      <c r="AR306">
        <f>IF(OR($X306="",$T306&gt;60),"",IFERROR(INDEX(IF($T306&lt;24,pcomp_l,palt_l),MATCH($X306,IF($T306&lt;24,pcomp_k,palt_k),1)),""))</f>
        <v/>
      </c>
      <c r="AS306">
        <f>IF(OR($X306="",$T306&gt;60),"",IFERROR(INDEX(IF($T306&lt;24,pcomp_m,palt_m),MATCH($X306,IF($T306&lt;24,pcomp_k,palt_k),1)),""))</f>
        <v/>
      </c>
      <c r="AT306">
        <f>IF(OR($X306="",$T306&gt;60),"",IFERROR(INDEX(IF($T306&lt;24,pcomp_s,palt_s),MATCH($X306,IF($T306&lt;24,pcomp_k,palt_k),1)),""))</f>
        <v/>
      </c>
      <c r="AU306">
        <f>IF($AR306="","",IF($AR306=0,LN($F306/$AS306)/$AT306,((($F306/$AS306)^$AR306)-1)/($AR306*$AT306)))</f>
        <v/>
      </c>
      <c r="AV306">
        <f>IF($AR306="","",IF($AR306=0,$AS306*EXP($AT306*2),$AS306*(1+$AR306*$AT306*2)^(1/$AR306)))</f>
        <v/>
      </c>
      <c r="AW306">
        <f>IF($AR306="","",IF($AR306=0,$AS306*EXP($AT306*3),$AS306*(1+$AR306*$AT306*3)^(1/$AR306)))</f>
        <v/>
      </c>
      <c r="AX306">
        <f>IF($AR306="","",IF($AR306=0,$AS306*EXP($AT306*-2),$AS306*(1+$AR306*$AT306*-2)^(1/$AR306)))</f>
        <v/>
      </c>
      <c r="AY306">
        <f>IF($AR306="","",IF($AR306=0,$AS306*EXP($AT306*-3),$AS306*(1+$AR306*$AT306*-3)^(1/$AR306)))</f>
        <v/>
      </c>
      <c r="AZ306">
        <f>IF(OR($A306="",$A306&lt;&gt;Ficha!$C$4),"",COUNTIF($A$2:$A306,Ficha!$C$4))</f>
        <v/>
      </c>
    </row>
    <row r="307">
      <c r="A307" s="8">
        <f>IF(INDEX(Banco!$A:$A,ROW())="","",INDEX(Banco!$A:$A,ROW()))</f>
        <v/>
      </c>
      <c r="B307" s="8">
        <f>IF(INDEX(Banco!$B:$B,ROW())="","",INDEX(Banco!$B:$B,ROW()))</f>
        <v/>
      </c>
      <c r="C307" s="8">
        <f>IF(INDEX(Banco!$C:$C,ROW())="","",INDEX(Banco!$C:$C,ROW()))</f>
        <v/>
      </c>
      <c r="D307" s="9">
        <f>IF(INDEX(Banco!$D:$D,ROW())="","",INDEX(Banco!$D:$D,ROW()))</f>
        <v/>
      </c>
      <c r="E307" s="9">
        <f>IF(INDEX(Banco!$E:$E,ROW())="","",INDEX(Banco!$E:$E,ROW()))</f>
        <v/>
      </c>
      <c r="F307" s="10">
        <f>IF(INDEX(Banco!$F:$F,ROW())="","",INDEX(Banco!$F:$F,ROW()))</f>
        <v/>
      </c>
      <c r="G307" s="10">
        <f>IF(INDEX(Banco!$G:$G,ROW())="","",INDEX(Banco!$G:$G,ROW()))</f>
        <v/>
      </c>
      <c r="H307" s="8">
        <f>IF(INDEX(Banco!$H:$H,ROW())="","",INDEX(Banco!$H:$H,ROW()))</f>
        <v/>
      </c>
      <c r="I307">
        <f>IF($T307="","",INT($T307/12)&amp;"a "&amp;MOD($T307,12)&amp;"m")</f>
        <v/>
      </c>
      <c r="J307" s="11">
        <f>IF(OR($F307="",$G307=""),"",ROUND($F307/($G307/100)^2,2))</f>
        <v/>
      </c>
      <c r="K307" s="12">
        <f>IF(OR($S307="",$J307="",$T307="",$T307&lt;0,$T307&gt;228,$Y307=""),"—",ROUND(IF(ABS($AB307)&lt;=3,$AB307,IF($AB307&gt;3,3+($J307-$AD307)/($AD307-$AC307),-3+($J307-$AF307)/($AE307-$AF307))),2))</f>
        <v/>
      </c>
      <c r="L307">
        <f>IF(OR($K307="",$K307="—"),"",IF($T307&lt;=60,IF($K307&lt;-3,"Magreza acentuada",IF($K307&lt;-2,"Magreza",IF($K307&lt;=1,"Eutrofia",IF($K307&lt;=2,"Risco de sobrepeso",IF($K307&lt;=3,"Sobrepeso","Obesidade"))))),IF($K307&lt;-3,"Magreza acentuada",IF($K307&lt;-2,"Magreza",IF($K307&lt;=1,"Eutrofia",IF($K307&lt;=2,"Sobrepeso",IF($K307&lt;=3,"Obesidade","Obesidade grave")))))))</f>
        <v/>
      </c>
      <c r="M307" s="12">
        <f>IF(OR($S307="",$V307="",$T307="",$T307&lt;0,$T307&gt;228,$AG307=""),"—",ROUND(IF($AG307=0,LN($V307/$AH307)/$AI307,((($V307/$AH307)^$AG307)-1)/($AG307*$AI307)),2))</f>
        <v/>
      </c>
      <c r="N307">
        <f>IF(OR($M307="",$M307="—"),"",IF($M307&lt;-3,"Muito baixa",IF($M307&lt;-2,"Baixa","Adequada")))</f>
        <v/>
      </c>
      <c r="O307" s="12">
        <f>IF(OR($S307="",$F307="",$T307="",$T307&lt;0,$T307&gt;120,$AJ307=""),"—",ROUND(IF(ABS($AM307)&lt;=3,$AM307,IF($AM307&gt;3,3+($F307-$AO307)/($AO307-$AN307),-3+($F307-$AQ307)/($AP307-$AQ307))),2))</f>
        <v/>
      </c>
      <c r="P307">
        <f>IF(OR($O307="",$O307="—"),"",IF($O307&lt;-3,"Muito baixo",IF($O307&lt;-2,"Baixo",IF($O307&lt;=2,"Adequado","Elevado"))))</f>
        <v/>
      </c>
      <c r="Q307" s="12">
        <f>IF(OR($S307="",$F307="",$T307="",$T307&lt;0,$T307&gt;60,$AR307=""),"—",ROUND(IF(ABS($AU307)&lt;=3,$AU307,IF($AU307&gt;3,3+($F307-$AW307)/($AW307-$AV307),-3+($F307-$AY307)/($AX307-$AY307))),2))</f>
        <v/>
      </c>
      <c r="R307">
        <f>IF(OR($Q307="",$Q307="—"),"",IF($Q307&lt;-3,"Magreza acentuada",IF($Q307&lt;-2,"Magreza",IF($Q307&lt;=1,"Eutrofia",IF($Q307&lt;=2,"Risco de sobrepeso",IF($Q307&lt;=3,"Sobrepeso","Obesidade"))))))</f>
        <v/>
      </c>
      <c r="S307">
        <f>IF($C307="","",IF(UPPER(LEFT($C307,1))="M",1,IF(UPPER(LEFT($C307,1))="F",2,"")))</f>
        <v/>
      </c>
      <c r="T307">
        <f>IF(OR($D307="",$E307=""),"",DATEDIF($D307,$E307,"m"))</f>
        <v/>
      </c>
      <c r="U307">
        <f>IF(OR($D307="",$E307=""),"",$E307-$D307)</f>
        <v/>
      </c>
      <c r="V307">
        <f>IF(OR($G307="",$T307=""),"",IF($T307&lt;24,IF(LEFT(LOWER($H307),4)="em p",$G307+0.7,$G307),IF(LEFT(LOWER($H307),4)="deit",$G307-0.7,$G307)))</f>
        <v/>
      </c>
      <c r="W307">
        <f>IF(OR($S307="",$T307=""),"",$S307*1000000+IF($T307&lt;=60,$U307,$T307))</f>
        <v/>
      </c>
      <c r="X307">
        <f>IF(OR($S307="",$V307="",$T307&gt;60,$T307=""),"",$S307*1000000+ROUND($V307*10,0))</f>
        <v/>
      </c>
      <c r="Y307">
        <f>IF($W307="","",IFERROR(INDEX(IF($T307&lt;=60,imc05_l,imc519_l),MATCH($W307,IF($T307&lt;=60,imc05_k,imc519_k),1)),""))</f>
        <v/>
      </c>
      <c r="Z307">
        <f>IF($W307="","",IFERROR(INDEX(IF($T307&lt;=60,imc05_m,imc519_m),MATCH($W307,IF($T307&lt;=60,imc05_k,imc519_k),1)),""))</f>
        <v/>
      </c>
      <c r="AA307">
        <f>IF($W307="","",IFERROR(INDEX(IF($T307&lt;=60,imc05_s,imc519_s),MATCH($W307,IF($T307&lt;=60,imc05_k,imc519_k),1)),""))</f>
        <v/>
      </c>
      <c r="AB307">
        <f>IF($Y307="","",IF($Y307=0,LN($J307/$Z307)/$AA307,((($J307/$Z307)^$Y307)-1)/($Y307*$AA307)))</f>
        <v/>
      </c>
      <c r="AC307">
        <f>IF($Y307="","",IF($Y307=0,$Z307*EXP($AA307*2),$Z307*(1+$Y307*$AA307*2)^(1/$Y307)))</f>
        <v/>
      </c>
      <c r="AD307">
        <f>IF($Y307="","",IF($Y307=0,$Z307*EXP($AA307*3),$Z307*(1+$Y307*$AA307*3)^(1/$Y307)))</f>
        <v/>
      </c>
      <c r="AE307">
        <f>IF($Y307="","",IF($Y307=0,$Z307*EXP($AA307*-2),$Z307*(1+$Y307*$AA307*-2)^(1/$Y307)))</f>
        <v/>
      </c>
      <c r="AF307">
        <f>IF($Y307="","",IF($Y307=0,$Z307*EXP($AA307*-3),$Z307*(1+$Y307*$AA307*-3)^(1/$Y307)))</f>
        <v/>
      </c>
      <c r="AG307">
        <f>IF($W307="","",IFERROR(INDEX(IF($T307&lt;=60,est05_l,est519_l),MATCH($W307,IF($T307&lt;=60,est05_k,est519_k),1)),""))</f>
        <v/>
      </c>
      <c r="AH307">
        <f>IF($W307="","",IFERROR(INDEX(IF($T307&lt;=60,est05_m,est519_m),MATCH($W307,IF($T307&lt;=60,est05_k,est519_k),1)),""))</f>
        <v/>
      </c>
      <c r="AI307">
        <f>IF($W307="","",IFERROR(INDEX(IF($T307&lt;=60,est05_s,est519_s),MATCH($W307,IF($T307&lt;=60,est05_k,est519_k),1)),""))</f>
        <v/>
      </c>
      <c r="AJ307">
        <f>IF($W307="","",IFERROR(INDEX(IF($T307&lt;=60,peso05_l,peso510_l),MATCH($W307,IF($T307&lt;=60,peso05_k,peso510_k),1)),""))</f>
        <v/>
      </c>
      <c r="AK307">
        <f>IF($W307="","",IFERROR(INDEX(IF($T307&lt;=60,peso05_m,peso510_m),MATCH($W307,IF($T307&lt;=60,peso05_k,peso510_k),1)),""))</f>
        <v/>
      </c>
      <c r="AL307">
        <f>IF($W307="","",IFERROR(INDEX(IF($T307&lt;=60,peso05_s,peso510_s),MATCH($W307,IF($T307&lt;=60,peso05_k,peso510_k),1)),""))</f>
        <v/>
      </c>
      <c r="AM307">
        <f>IF($AJ307="","",IF($AJ307=0,LN($F307/$AK307)/$AL307,((($F307/$AK307)^$AJ307)-1)/($AJ307*$AL307)))</f>
        <v/>
      </c>
      <c r="AN307">
        <f>IF($AJ307="","",IF($AJ307=0,$AK307*EXP($AL307*2),$AK307*(1+$AJ307*$AL307*2)^(1/$AJ307)))</f>
        <v/>
      </c>
      <c r="AO307">
        <f>IF($AJ307="","",IF($AJ307=0,$AK307*EXP($AL307*3),$AK307*(1+$AJ307*$AL307*3)^(1/$AJ307)))</f>
        <v/>
      </c>
      <c r="AP307">
        <f>IF($AJ307="","",IF($AJ307=0,$AK307*EXP($AL307*-2),$AK307*(1+$AJ307*$AL307*-2)^(1/$AJ307)))</f>
        <v/>
      </c>
      <c r="AQ307">
        <f>IF($AJ307="","",IF($AJ307=0,$AK307*EXP($AL307*-3),$AK307*(1+$AJ307*$AL307*-3)^(1/$AJ307)))</f>
        <v/>
      </c>
      <c r="AR307">
        <f>IF(OR($X307="",$T307&gt;60),"",IFERROR(INDEX(IF($T307&lt;24,pcomp_l,palt_l),MATCH($X307,IF($T307&lt;24,pcomp_k,palt_k),1)),""))</f>
        <v/>
      </c>
      <c r="AS307">
        <f>IF(OR($X307="",$T307&gt;60),"",IFERROR(INDEX(IF($T307&lt;24,pcomp_m,palt_m),MATCH($X307,IF($T307&lt;24,pcomp_k,palt_k),1)),""))</f>
        <v/>
      </c>
      <c r="AT307">
        <f>IF(OR($X307="",$T307&gt;60),"",IFERROR(INDEX(IF($T307&lt;24,pcomp_s,palt_s),MATCH($X307,IF($T307&lt;24,pcomp_k,palt_k),1)),""))</f>
        <v/>
      </c>
      <c r="AU307">
        <f>IF($AR307="","",IF($AR307=0,LN($F307/$AS307)/$AT307,((($F307/$AS307)^$AR307)-1)/($AR307*$AT307)))</f>
        <v/>
      </c>
      <c r="AV307">
        <f>IF($AR307="","",IF($AR307=0,$AS307*EXP($AT307*2),$AS307*(1+$AR307*$AT307*2)^(1/$AR307)))</f>
        <v/>
      </c>
      <c r="AW307">
        <f>IF($AR307="","",IF($AR307=0,$AS307*EXP($AT307*3),$AS307*(1+$AR307*$AT307*3)^(1/$AR307)))</f>
        <v/>
      </c>
      <c r="AX307">
        <f>IF($AR307="","",IF($AR307=0,$AS307*EXP($AT307*-2),$AS307*(1+$AR307*$AT307*-2)^(1/$AR307)))</f>
        <v/>
      </c>
      <c r="AY307">
        <f>IF($AR307="","",IF($AR307=0,$AS307*EXP($AT307*-3),$AS307*(1+$AR307*$AT307*-3)^(1/$AR307)))</f>
        <v/>
      </c>
      <c r="AZ307">
        <f>IF(OR($A307="",$A307&lt;&gt;Ficha!$C$4),"",COUNTIF($A$2:$A307,Ficha!$C$4))</f>
        <v/>
      </c>
    </row>
    <row r="308">
      <c r="A308" s="8">
        <f>IF(INDEX(Banco!$A:$A,ROW())="","",INDEX(Banco!$A:$A,ROW()))</f>
        <v/>
      </c>
      <c r="B308" s="8">
        <f>IF(INDEX(Banco!$B:$B,ROW())="","",INDEX(Banco!$B:$B,ROW()))</f>
        <v/>
      </c>
      <c r="C308" s="8">
        <f>IF(INDEX(Banco!$C:$C,ROW())="","",INDEX(Banco!$C:$C,ROW()))</f>
        <v/>
      </c>
      <c r="D308" s="9">
        <f>IF(INDEX(Banco!$D:$D,ROW())="","",INDEX(Banco!$D:$D,ROW()))</f>
        <v/>
      </c>
      <c r="E308" s="9">
        <f>IF(INDEX(Banco!$E:$E,ROW())="","",INDEX(Banco!$E:$E,ROW()))</f>
        <v/>
      </c>
      <c r="F308" s="10">
        <f>IF(INDEX(Banco!$F:$F,ROW())="","",INDEX(Banco!$F:$F,ROW()))</f>
        <v/>
      </c>
      <c r="G308" s="10">
        <f>IF(INDEX(Banco!$G:$G,ROW())="","",INDEX(Banco!$G:$G,ROW()))</f>
        <v/>
      </c>
      <c r="H308" s="8">
        <f>IF(INDEX(Banco!$H:$H,ROW())="","",INDEX(Banco!$H:$H,ROW()))</f>
        <v/>
      </c>
      <c r="I308">
        <f>IF($T308="","",INT($T308/12)&amp;"a "&amp;MOD($T308,12)&amp;"m")</f>
        <v/>
      </c>
      <c r="J308" s="11">
        <f>IF(OR($F308="",$G308=""),"",ROUND($F308/($G308/100)^2,2))</f>
        <v/>
      </c>
      <c r="K308" s="12">
        <f>IF(OR($S308="",$J308="",$T308="",$T308&lt;0,$T308&gt;228,$Y308=""),"—",ROUND(IF(ABS($AB308)&lt;=3,$AB308,IF($AB308&gt;3,3+($J308-$AD308)/($AD308-$AC308),-3+($J308-$AF308)/($AE308-$AF308))),2))</f>
        <v/>
      </c>
      <c r="L308">
        <f>IF(OR($K308="",$K308="—"),"",IF($T308&lt;=60,IF($K308&lt;-3,"Magreza acentuada",IF($K308&lt;-2,"Magreza",IF($K308&lt;=1,"Eutrofia",IF($K308&lt;=2,"Risco de sobrepeso",IF($K308&lt;=3,"Sobrepeso","Obesidade"))))),IF($K308&lt;-3,"Magreza acentuada",IF($K308&lt;-2,"Magreza",IF($K308&lt;=1,"Eutrofia",IF($K308&lt;=2,"Sobrepeso",IF($K308&lt;=3,"Obesidade","Obesidade grave")))))))</f>
        <v/>
      </c>
      <c r="M308" s="12">
        <f>IF(OR($S308="",$V308="",$T308="",$T308&lt;0,$T308&gt;228,$AG308=""),"—",ROUND(IF($AG308=0,LN($V308/$AH308)/$AI308,((($V308/$AH308)^$AG308)-1)/($AG308*$AI308)),2))</f>
        <v/>
      </c>
      <c r="N308">
        <f>IF(OR($M308="",$M308="—"),"",IF($M308&lt;-3,"Muito baixa",IF($M308&lt;-2,"Baixa","Adequada")))</f>
        <v/>
      </c>
      <c r="O308" s="12">
        <f>IF(OR($S308="",$F308="",$T308="",$T308&lt;0,$T308&gt;120,$AJ308=""),"—",ROUND(IF(ABS($AM308)&lt;=3,$AM308,IF($AM308&gt;3,3+($F308-$AO308)/($AO308-$AN308),-3+($F308-$AQ308)/($AP308-$AQ308))),2))</f>
        <v/>
      </c>
      <c r="P308">
        <f>IF(OR($O308="",$O308="—"),"",IF($O308&lt;-3,"Muito baixo",IF($O308&lt;-2,"Baixo",IF($O308&lt;=2,"Adequado","Elevado"))))</f>
        <v/>
      </c>
      <c r="Q308" s="12">
        <f>IF(OR($S308="",$F308="",$T308="",$T308&lt;0,$T308&gt;60,$AR308=""),"—",ROUND(IF(ABS($AU308)&lt;=3,$AU308,IF($AU308&gt;3,3+($F308-$AW308)/($AW308-$AV308),-3+($F308-$AY308)/($AX308-$AY308))),2))</f>
        <v/>
      </c>
      <c r="R308">
        <f>IF(OR($Q308="",$Q308="—"),"",IF($Q308&lt;-3,"Magreza acentuada",IF($Q308&lt;-2,"Magreza",IF($Q308&lt;=1,"Eutrofia",IF($Q308&lt;=2,"Risco de sobrepeso",IF($Q308&lt;=3,"Sobrepeso","Obesidade"))))))</f>
        <v/>
      </c>
      <c r="S308">
        <f>IF($C308="","",IF(UPPER(LEFT($C308,1))="M",1,IF(UPPER(LEFT($C308,1))="F",2,"")))</f>
        <v/>
      </c>
      <c r="T308">
        <f>IF(OR($D308="",$E308=""),"",DATEDIF($D308,$E308,"m"))</f>
        <v/>
      </c>
      <c r="U308">
        <f>IF(OR($D308="",$E308=""),"",$E308-$D308)</f>
        <v/>
      </c>
      <c r="V308">
        <f>IF(OR($G308="",$T308=""),"",IF($T308&lt;24,IF(LEFT(LOWER($H308),4)="em p",$G308+0.7,$G308),IF(LEFT(LOWER($H308),4)="deit",$G308-0.7,$G308)))</f>
        <v/>
      </c>
      <c r="W308">
        <f>IF(OR($S308="",$T308=""),"",$S308*1000000+IF($T308&lt;=60,$U308,$T308))</f>
        <v/>
      </c>
      <c r="X308">
        <f>IF(OR($S308="",$V308="",$T308&gt;60,$T308=""),"",$S308*1000000+ROUND($V308*10,0))</f>
        <v/>
      </c>
      <c r="Y308">
        <f>IF($W308="","",IFERROR(INDEX(IF($T308&lt;=60,imc05_l,imc519_l),MATCH($W308,IF($T308&lt;=60,imc05_k,imc519_k),1)),""))</f>
        <v/>
      </c>
      <c r="Z308">
        <f>IF($W308="","",IFERROR(INDEX(IF($T308&lt;=60,imc05_m,imc519_m),MATCH($W308,IF($T308&lt;=60,imc05_k,imc519_k),1)),""))</f>
        <v/>
      </c>
      <c r="AA308">
        <f>IF($W308="","",IFERROR(INDEX(IF($T308&lt;=60,imc05_s,imc519_s),MATCH($W308,IF($T308&lt;=60,imc05_k,imc519_k),1)),""))</f>
        <v/>
      </c>
      <c r="AB308">
        <f>IF($Y308="","",IF($Y308=0,LN($J308/$Z308)/$AA308,((($J308/$Z308)^$Y308)-1)/($Y308*$AA308)))</f>
        <v/>
      </c>
      <c r="AC308">
        <f>IF($Y308="","",IF($Y308=0,$Z308*EXP($AA308*2),$Z308*(1+$Y308*$AA308*2)^(1/$Y308)))</f>
        <v/>
      </c>
      <c r="AD308">
        <f>IF($Y308="","",IF($Y308=0,$Z308*EXP($AA308*3),$Z308*(1+$Y308*$AA308*3)^(1/$Y308)))</f>
        <v/>
      </c>
      <c r="AE308">
        <f>IF($Y308="","",IF($Y308=0,$Z308*EXP($AA308*-2),$Z308*(1+$Y308*$AA308*-2)^(1/$Y308)))</f>
        <v/>
      </c>
      <c r="AF308">
        <f>IF($Y308="","",IF($Y308=0,$Z308*EXP($AA308*-3),$Z308*(1+$Y308*$AA308*-3)^(1/$Y308)))</f>
        <v/>
      </c>
      <c r="AG308">
        <f>IF($W308="","",IFERROR(INDEX(IF($T308&lt;=60,est05_l,est519_l),MATCH($W308,IF($T308&lt;=60,est05_k,est519_k),1)),""))</f>
        <v/>
      </c>
      <c r="AH308">
        <f>IF($W308="","",IFERROR(INDEX(IF($T308&lt;=60,est05_m,est519_m),MATCH($W308,IF($T308&lt;=60,est05_k,est519_k),1)),""))</f>
        <v/>
      </c>
      <c r="AI308">
        <f>IF($W308="","",IFERROR(INDEX(IF($T308&lt;=60,est05_s,est519_s),MATCH($W308,IF($T308&lt;=60,est05_k,est519_k),1)),""))</f>
        <v/>
      </c>
      <c r="AJ308">
        <f>IF($W308="","",IFERROR(INDEX(IF($T308&lt;=60,peso05_l,peso510_l),MATCH($W308,IF($T308&lt;=60,peso05_k,peso510_k),1)),""))</f>
        <v/>
      </c>
      <c r="AK308">
        <f>IF($W308="","",IFERROR(INDEX(IF($T308&lt;=60,peso05_m,peso510_m),MATCH($W308,IF($T308&lt;=60,peso05_k,peso510_k),1)),""))</f>
        <v/>
      </c>
      <c r="AL308">
        <f>IF($W308="","",IFERROR(INDEX(IF($T308&lt;=60,peso05_s,peso510_s),MATCH($W308,IF($T308&lt;=60,peso05_k,peso510_k),1)),""))</f>
        <v/>
      </c>
      <c r="AM308">
        <f>IF($AJ308="","",IF($AJ308=0,LN($F308/$AK308)/$AL308,((($F308/$AK308)^$AJ308)-1)/($AJ308*$AL308)))</f>
        <v/>
      </c>
      <c r="AN308">
        <f>IF($AJ308="","",IF($AJ308=0,$AK308*EXP($AL308*2),$AK308*(1+$AJ308*$AL308*2)^(1/$AJ308)))</f>
        <v/>
      </c>
      <c r="AO308">
        <f>IF($AJ308="","",IF($AJ308=0,$AK308*EXP($AL308*3),$AK308*(1+$AJ308*$AL308*3)^(1/$AJ308)))</f>
        <v/>
      </c>
      <c r="AP308">
        <f>IF($AJ308="","",IF($AJ308=0,$AK308*EXP($AL308*-2),$AK308*(1+$AJ308*$AL308*-2)^(1/$AJ308)))</f>
        <v/>
      </c>
      <c r="AQ308">
        <f>IF($AJ308="","",IF($AJ308=0,$AK308*EXP($AL308*-3),$AK308*(1+$AJ308*$AL308*-3)^(1/$AJ308)))</f>
        <v/>
      </c>
      <c r="AR308">
        <f>IF(OR($X308="",$T308&gt;60),"",IFERROR(INDEX(IF($T308&lt;24,pcomp_l,palt_l),MATCH($X308,IF($T308&lt;24,pcomp_k,palt_k),1)),""))</f>
        <v/>
      </c>
      <c r="AS308">
        <f>IF(OR($X308="",$T308&gt;60),"",IFERROR(INDEX(IF($T308&lt;24,pcomp_m,palt_m),MATCH($X308,IF($T308&lt;24,pcomp_k,palt_k),1)),""))</f>
        <v/>
      </c>
      <c r="AT308">
        <f>IF(OR($X308="",$T308&gt;60),"",IFERROR(INDEX(IF($T308&lt;24,pcomp_s,palt_s),MATCH($X308,IF($T308&lt;24,pcomp_k,palt_k),1)),""))</f>
        <v/>
      </c>
      <c r="AU308">
        <f>IF($AR308="","",IF($AR308=0,LN($F308/$AS308)/$AT308,((($F308/$AS308)^$AR308)-1)/($AR308*$AT308)))</f>
        <v/>
      </c>
      <c r="AV308">
        <f>IF($AR308="","",IF($AR308=0,$AS308*EXP($AT308*2),$AS308*(1+$AR308*$AT308*2)^(1/$AR308)))</f>
        <v/>
      </c>
      <c r="AW308">
        <f>IF($AR308="","",IF($AR308=0,$AS308*EXP($AT308*3),$AS308*(1+$AR308*$AT308*3)^(1/$AR308)))</f>
        <v/>
      </c>
      <c r="AX308">
        <f>IF($AR308="","",IF($AR308=0,$AS308*EXP($AT308*-2),$AS308*(1+$AR308*$AT308*-2)^(1/$AR308)))</f>
        <v/>
      </c>
      <c r="AY308">
        <f>IF($AR308="","",IF($AR308=0,$AS308*EXP($AT308*-3),$AS308*(1+$AR308*$AT308*-3)^(1/$AR308)))</f>
        <v/>
      </c>
      <c r="AZ308">
        <f>IF(OR($A308="",$A308&lt;&gt;Ficha!$C$4),"",COUNTIF($A$2:$A308,Ficha!$C$4))</f>
        <v/>
      </c>
    </row>
    <row r="309">
      <c r="A309" s="8">
        <f>IF(INDEX(Banco!$A:$A,ROW())="","",INDEX(Banco!$A:$A,ROW()))</f>
        <v/>
      </c>
      <c r="B309" s="8">
        <f>IF(INDEX(Banco!$B:$B,ROW())="","",INDEX(Banco!$B:$B,ROW()))</f>
        <v/>
      </c>
      <c r="C309" s="8">
        <f>IF(INDEX(Banco!$C:$C,ROW())="","",INDEX(Banco!$C:$C,ROW()))</f>
        <v/>
      </c>
      <c r="D309" s="9">
        <f>IF(INDEX(Banco!$D:$D,ROW())="","",INDEX(Banco!$D:$D,ROW()))</f>
        <v/>
      </c>
      <c r="E309" s="9">
        <f>IF(INDEX(Banco!$E:$E,ROW())="","",INDEX(Banco!$E:$E,ROW()))</f>
        <v/>
      </c>
      <c r="F309" s="10">
        <f>IF(INDEX(Banco!$F:$F,ROW())="","",INDEX(Banco!$F:$F,ROW()))</f>
        <v/>
      </c>
      <c r="G309" s="10">
        <f>IF(INDEX(Banco!$G:$G,ROW())="","",INDEX(Banco!$G:$G,ROW()))</f>
        <v/>
      </c>
      <c r="H309" s="8">
        <f>IF(INDEX(Banco!$H:$H,ROW())="","",INDEX(Banco!$H:$H,ROW()))</f>
        <v/>
      </c>
      <c r="I309">
        <f>IF($T309="","",INT($T309/12)&amp;"a "&amp;MOD($T309,12)&amp;"m")</f>
        <v/>
      </c>
      <c r="J309" s="11">
        <f>IF(OR($F309="",$G309=""),"",ROUND($F309/($G309/100)^2,2))</f>
        <v/>
      </c>
      <c r="K309" s="12">
        <f>IF(OR($S309="",$J309="",$T309="",$T309&lt;0,$T309&gt;228,$Y309=""),"—",ROUND(IF(ABS($AB309)&lt;=3,$AB309,IF($AB309&gt;3,3+($J309-$AD309)/($AD309-$AC309),-3+($J309-$AF309)/($AE309-$AF309))),2))</f>
        <v/>
      </c>
      <c r="L309">
        <f>IF(OR($K309="",$K309="—"),"",IF($T309&lt;=60,IF($K309&lt;-3,"Magreza acentuada",IF($K309&lt;-2,"Magreza",IF($K309&lt;=1,"Eutrofia",IF($K309&lt;=2,"Risco de sobrepeso",IF($K309&lt;=3,"Sobrepeso","Obesidade"))))),IF($K309&lt;-3,"Magreza acentuada",IF($K309&lt;-2,"Magreza",IF($K309&lt;=1,"Eutrofia",IF($K309&lt;=2,"Sobrepeso",IF($K309&lt;=3,"Obesidade","Obesidade grave")))))))</f>
        <v/>
      </c>
      <c r="M309" s="12">
        <f>IF(OR($S309="",$V309="",$T309="",$T309&lt;0,$T309&gt;228,$AG309=""),"—",ROUND(IF($AG309=0,LN($V309/$AH309)/$AI309,((($V309/$AH309)^$AG309)-1)/($AG309*$AI309)),2))</f>
        <v/>
      </c>
      <c r="N309">
        <f>IF(OR($M309="",$M309="—"),"",IF($M309&lt;-3,"Muito baixa",IF($M309&lt;-2,"Baixa","Adequada")))</f>
        <v/>
      </c>
      <c r="O309" s="12">
        <f>IF(OR($S309="",$F309="",$T309="",$T309&lt;0,$T309&gt;120,$AJ309=""),"—",ROUND(IF(ABS($AM309)&lt;=3,$AM309,IF($AM309&gt;3,3+($F309-$AO309)/($AO309-$AN309),-3+($F309-$AQ309)/($AP309-$AQ309))),2))</f>
        <v/>
      </c>
      <c r="P309">
        <f>IF(OR($O309="",$O309="—"),"",IF($O309&lt;-3,"Muito baixo",IF($O309&lt;-2,"Baixo",IF($O309&lt;=2,"Adequado","Elevado"))))</f>
        <v/>
      </c>
      <c r="Q309" s="12">
        <f>IF(OR($S309="",$F309="",$T309="",$T309&lt;0,$T309&gt;60,$AR309=""),"—",ROUND(IF(ABS($AU309)&lt;=3,$AU309,IF($AU309&gt;3,3+($F309-$AW309)/($AW309-$AV309),-3+($F309-$AY309)/($AX309-$AY309))),2))</f>
        <v/>
      </c>
      <c r="R309">
        <f>IF(OR($Q309="",$Q309="—"),"",IF($Q309&lt;-3,"Magreza acentuada",IF($Q309&lt;-2,"Magreza",IF($Q309&lt;=1,"Eutrofia",IF($Q309&lt;=2,"Risco de sobrepeso",IF($Q309&lt;=3,"Sobrepeso","Obesidade"))))))</f>
        <v/>
      </c>
      <c r="S309">
        <f>IF($C309="","",IF(UPPER(LEFT($C309,1))="M",1,IF(UPPER(LEFT($C309,1))="F",2,"")))</f>
        <v/>
      </c>
      <c r="T309">
        <f>IF(OR($D309="",$E309=""),"",DATEDIF($D309,$E309,"m"))</f>
        <v/>
      </c>
      <c r="U309">
        <f>IF(OR($D309="",$E309=""),"",$E309-$D309)</f>
        <v/>
      </c>
      <c r="V309">
        <f>IF(OR($G309="",$T309=""),"",IF($T309&lt;24,IF(LEFT(LOWER($H309),4)="em p",$G309+0.7,$G309),IF(LEFT(LOWER($H309),4)="deit",$G309-0.7,$G309)))</f>
        <v/>
      </c>
      <c r="W309">
        <f>IF(OR($S309="",$T309=""),"",$S309*1000000+IF($T309&lt;=60,$U309,$T309))</f>
        <v/>
      </c>
      <c r="X309">
        <f>IF(OR($S309="",$V309="",$T309&gt;60,$T309=""),"",$S309*1000000+ROUND($V309*10,0))</f>
        <v/>
      </c>
      <c r="Y309">
        <f>IF($W309="","",IFERROR(INDEX(IF($T309&lt;=60,imc05_l,imc519_l),MATCH($W309,IF($T309&lt;=60,imc05_k,imc519_k),1)),""))</f>
        <v/>
      </c>
      <c r="Z309">
        <f>IF($W309="","",IFERROR(INDEX(IF($T309&lt;=60,imc05_m,imc519_m),MATCH($W309,IF($T309&lt;=60,imc05_k,imc519_k),1)),""))</f>
        <v/>
      </c>
      <c r="AA309">
        <f>IF($W309="","",IFERROR(INDEX(IF($T309&lt;=60,imc05_s,imc519_s),MATCH($W309,IF($T309&lt;=60,imc05_k,imc519_k),1)),""))</f>
        <v/>
      </c>
      <c r="AB309">
        <f>IF($Y309="","",IF($Y309=0,LN($J309/$Z309)/$AA309,((($J309/$Z309)^$Y309)-1)/($Y309*$AA309)))</f>
        <v/>
      </c>
      <c r="AC309">
        <f>IF($Y309="","",IF($Y309=0,$Z309*EXP($AA309*2),$Z309*(1+$Y309*$AA309*2)^(1/$Y309)))</f>
        <v/>
      </c>
      <c r="AD309">
        <f>IF($Y309="","",IF($Y309=0,$Z309*EXP($AA309*3),$Z309*(1+$Y309*$AA309*3)^(1/$Y309)))</f>
        <v/>
      </c>
      <c r="AE309">
        <f>IF($Y309="","",IF($Y309=0,$Z309*EXP($AA309*-2),$Z309*(1+$Y309*$AA309*-2)^(1/$Y309)))</f>
        <v/>
      </c>
      <c r="AF309">
        <f>IF($Y309="","",IF($Y309=0,$Z309*EXP($AA309*-3),$Z309*(1+$Y309*$AA309*-3)^(1/$Y309)))</f>
        <v/>
      </c>
      <c r="AG309">
        <f>IF($W309="","",IFERROR(INDEX(IF($T309&lt;=60,est05_l,est519_l),MATCH($W309,IF($T309&lt;=60,est05_k,est519_k),1)),""))</f>
        <v/>
      </c>
      <c r="AH309">
        <f>IF($W309="","",IFERROR(INDEX(IF($T309&lt;=60,est05_m,est519_m),MATCH($W309,IF($T309&lt;=60,est05_k,est519_k),1)),""))</f>
        <v/>
      </c>
      <c r="AI309">
        <f>IF($W309="","",IFERROR(INDEX(IF($T309&lt;=60,est05_s,est519_s),MATCH($W309,IF($T309&lt;=60,est05_k,est519_k),1)),""))</f>
        <v/>
      </c>
      <c r="AJ309">
        <f>IF($W309="","",IFERROR(INDEX(IF($T309&lt;=60,peso05_l,peso510_l),MATCH($W309,IF($T309&lt;=60,peso05_k,peso510_k),1)),""))</f>
        <v/>
      </c>
      <c r="AK309">
        <f>IF($W309="","",IFERROR(INDEX(IF($T309&lt;=60,peso05_m,peso510_m),MATCH($W309,IF($T309&lt;=60,peso05_k,peso510_k),1)),""))</f>
        <v/>
      </c>
      <c r="AL309">
        <f>IF($W309="","",IFERROR(INDEX(IF($T309&lt;=60,peso05_s,peso510_s),MATCH($W309,IF($T309&lt;=60,peso05_k,peso510_k),1)),""))</f>
        <v/>
      </c>
      <c r="AM309">
        <f>IF($AJ309="","",IF($AJ309=0,LN($F309/$AK309)/$AL309,((($F309/$AK309)^$AJ309)-1)/($AJ309*$AL309)))</f>
        <v/>
      </c>
      <c r="AN309">
        <f>IF($AJ309="","",IF($AJ309=0,$AK309*EXP($AL309*2),$AK309*(1+$AJ309*$AL309*2)^(1/$AJ309)))</f>
        <v/>
      </c>
      <c r="AO309">
        <f>IF($AJ309="","",IF($AJ309=0,$AK309*EXP($AL309*3),$AK309*(1+$AJ309*$AL309*3)^(1/$AJ309)))</f>
        <v/>
      </c>
      <c r="AP309">
        <f>IF($AJ309="","",IF($AJ309=0,$AK309*EXP($AL309*-2),$AK309*(1+$AJ309*$AL309*-2)^(1/$AJ309)))</f>
        <v/>
      </c>
      <c r="AQ309">
        <f>IF($AJ309="","",IF($AJ309=0,$AK309*EXP($AL309*-3),$AK309*(1+$AJ309*$AL309*-3)^(1/$AJ309)))</f>
        <v/>
      </c>
      <c r="AR309">
        <f>IF(OR($X309="",$T309&gt;60),"",IFERROR(INDEX(IF($T309&lt;24,pcomp_l,palt_l),MATCH($X309,IF($T309&lt;24,pcomp_k,palt_k),1)),""))</f>
        <v/>
      </c>
      <c r="AS309">
        <f>IF(OR($X309="",$T309&gt;60),"",IFERROR(INDEX(IF($T309&lt;24,pcomp_m,palt_m),MATCH($X309,IF($T309&lt;24,pcomp_k,palt_k),1)),""))</f>
        <v/>
      </c>
      <c r="AT309">
        <f>IF(OR($X309="",$T309&gt;60),"",IFERROR(INDEX(IF($T309&lt;24,pcomp_s,palt_s),MATCH($X309,IF($T309&lt;24,pcomp_k,palt_k),1)),""))</f>
        <v/>
      </c>
      <c r="AU309">
        <f>IF($AR309="","",IF($AR309=0,LN($F309/$AS309)/$AT309,((($F309/$AS309)^$AR309)-1)/($AR309*$AT309)))</f>
        <v/>
      </c>
      <c r="AV309">
        <f>IF($AR309="","",IF($AR309=0,$AS309*EXP($AT309*2),$AS309*(1+$AR309*$AT309*2)^(1/$AR309)))</f>
        <v/>
      </c>
      <c r="AW309">
        <f>IF($AR309="","",IF($AR309=0,$AS309*EXP($AT309*3),$AS309*(1+$AR309*$AT309*3)^(1/$AR309)))</f>
        <v/>
      </c>
      <c r="AX309">
        <f>IF($AR309="","",IF($AR309=0,$AS309*EXP($AT309*-2),$AS309*(1+$AR309*$AT309*-2)^(1/$AR309)))</f>
        <v/>
      </c>
      <c r="AY309">
        <f>IF($AR309="","",IF($AR309=0,$AS309*EXP($AT309*-3),$AS309*(1+$AR309*$AT309*-3)^(1/$AR309)))</f>
        <v/>
      </c>
      <c r="AZ309">
        <f>IF(OR($A309="",$A309&lt;&gt;Ficha!$C$4),"",COUNTIF($A$2:$A309,Ficha!$C$4))</f>
        <v/>
      </c>
    </row>
    <row r="310">
      <c r="A310" s="8">
        <f>IF(INDEX(Banco!$A:$A,ROW())="","",INDEX(Banco!$A:$A,ROW()))</f>
        <v/>
      </c>
      <c r="B310" s="8">
        <f>IF(INDEX(Banco!$B:$B,ROW())="","",INDEX(Banco!$B:$B,ROW()))</f>
        <v/>
      </c>
      <c r="C310" s="8">
        <f>IF(INDEX(Banco!$C:$C,ROW())="","",INDEX(Banco!$C:$C,ROW()))</f>
        <v/>
      </c>
      <c r="D310" s="9">
        <f>IF(INDEX(Banco!$D:$D,ROW())="","",INDEX(Banco!$D:$D,ROW()))</f>
        <v/>
      </c>
      <c r="E310" s="9">
        <f>IF(INDEX(Banco!$E:$E,ROW())="","",INDEX(Banco!$E:$E,ROW()))</f>
        <v/>
      </c>
      <c r="F310" s="10">
        <f>IF(INDEX(Banco!$F:$F,ROW())="","",INDEX(Banco!$F:$F,ROW()))</f>
        <v/>
      </c>
      <c r="G310" s="10">
        <f>IF(INDEX(Banco!$G:$G,ROW())="","",INDEX(Banco!$G:$G,ROW()))</f>
        <v/>
      </c>
      <c r="H310" s="8">
        <f>IF(INDEX(Banco!$H:$H,ROW())="","",INDEX(Banco!$H:$H,ROW()))</f>
        <v/>
      </c>
      <c r="I310">
        <f>IF($T310="","",INT($T310/12)&amp;"a "&amp;MOD($T310,12)&amp;"m")</f>
        <v/>
      </c>
      <c r="J310" s="11">
        <f>IF(OR($F310="",$G310=""),"",ROUND($F310/($G310/100)^2,2))</f>
        <v/>
      </c>
      <c r="K310" s="12">
        <f>IF(OR($S310="",$J310="",$T310="",$T310&lt;0,$T310&gt;228,$Y310=""),"—",ROUND(IF(ABS($AB310)&lt;=3,$AB310,IF($AB310&gt;3,3+($J310-$AD310)/($AD310-$AC310),-3+($J310-$AF310)/($AE310-$AF310))),2))</f>
        <v/>
      </c>
      <c r="L310">
        <f>IF(OR($K310="",$K310="—"),"",IF($T310&lt;=60,IF($K310&lt;-3,"Magreza acentuada",IF($K310&lt;-2,"Magreza",IF($K310&lt;=1,"Eutrofia",IF($K310&lt;=2,"Risco de sobrepeso",IF($K310&lt;=3,"Sobrepeso","Obesidade"))))),IF($K310&lt;-3,"Magreza acentuada",IF($K310&lt;-2,"Magreza",IF($K310&lt;=1,"Eutrofia",IF($K310&lt;=2,"Sobrepeso",IF($K310&lt;=3,"Obesidade","Obesidade grave")))))))</f>
        <v/>
      </c>
      <c r="M310" s="12">
        <f>IF(OR($S310="",$V310="",$T310="",$T310&lt;0,$T310&gt;228,$AG310=""),"—",ROUND(IF($AG310=0,LN($V310/$AH310)/$AI310,((($V310/$AH310)^$AG310)-1)/($AG310*$AI310)),2))</f>
        <v/>
      </c>
      <c r="N310">
        <f>IF(OR($M310="",$M310="—"),"",IF($M310&lt;-3,"Muito baixa",IF($M310&lt;-2,"Baixa","Adequada")))</f>
        <v/>
      </c>
      <c r="O310" s="12">
        <f>IF(OR($S310="",$F310="",$T310="",$T310&lt;0,$T310&gt;120,$AJ310=""),"—",ROUND(IF(ABS($AM310)&lt;=3,$AM310,IF($AM310&gt;3,3+($F310-$AO310)/($AO310-$AN310),-3+($F310-$AQ310)/($AP310-$AQ310))),2))</f>
        <v/>
      </c>
      <c r="P310">
        <f>IF(OR($O310="",$O310="—"),"",IF($O310&lt;-3,"Muito baixo",IF($O310&lt;-2,"Baixo",IF($O310&lt;=2,"Adequado","Elevado"))))</f>
        <v/>
      </c>
      <c r="Q310" s="12">
        <f>IF(OR($S310="",$F310="",$T310="",$T310&lt;0,$T310&gt;60,$AR310=""),"—",ROUND(IF(ABS($AU310)&lt;=3,$AU310,IF($AU310&gt;3,3+($F310-$AW310)/($AW310-$AV310),-3+($F310-$AY310)/($AX310-$AY310))),2))</f>
        <v/>
      </c>
      <c r="R310">
        <f>IF(OR($Q310="",$Q310="—"),"",IF($Q310&lt;-3,"Magreza acentuada",IF($Q310&lt;-2,"Magreza",IF($Q310&lt;=1,"Eutrofia",IF($Q310&lt;=2,"Risco de sobrepeso",IF($Q310&lt;=3,"Sobrepeso","Obesidade"))))))</f>
        <v/>
      </c>
      <c r="S310">
        <f>IF($C310="","",IF(UPPER(LEFT($C310,1))="M",1,IF(UPPER(LEFT($C310,1))="F",2,"")))</f>
        <v/>
      </c>
      <c r="T310">
        <f>IF(OR($D310="",$E310=""),"",DATEDIF($D310,$E310,"m"))</f>
        <v/>
      </c>
      <c r="U310">
        <f>IF(OR($D310="",$E310=""),"",$E310-$D310)</f>
        <v/>
      </c>
      <c r="V310">
        <f>IF(OR($G310="",$T310=""),"",IF($T310&lt;24,IF(LEFT(LOWER($H310),4)="em p",$G310+0.7,$G310),IF(LEFT(LOWER($H310),4)="deit",$G310-0.7,$G310)))</f>
        <v/>
      </c>
      <c r="W310">
        <f>IF(OR($S310="",$T310=""),"",$S310*1000000+IF($T310&lt;=60,$U310,$T310))</f>
        <v/>
      </c>
      <c r="X310">
        <f>IF(OR($S310="",$V310="",$T310&gt;60,$T310=""),"",$S310*1000000+ROUND($V310*10,0))</f>
        <v/>
      </c>
      <c r="Y310">
        <f>IF($W310="","",IFERROR(INDEX(IF($T310&lt;=60,imc05_l,imc519_l),MATCH($W310,IF($T310&lt;=60,imc05_k,imc519_k),1)),""))</f>
        <v/>
      </c>
      <c r="Z310">
        <f>IF($W310="","",IFERROR(INDEX(IF($T310&lt;=60,imc05_m,imc519_m),MATCH($W310,IF($T310&lt;=60,imc05_k,imc519_k),1)),""))</f>
        <v/>
      </c>
      <c r="AA310">
        <f>IF($W310="","",IFERROR(INDEX(IF($T310&lt;=60,imc05_s,imc519_s),MATCH($W310,IF($T310&lt;=60,imc05_k,imc519_k),1)),""))</f>
        <v/>
      </c>
      <c r="AB310">
        <f>IF($Y310="","",IF($Y310=0,LN($J310/$Z310)/$AA310,((($J310/$Z310)^$Y310)-1)/($Y310*$AA310)))</f>
        <v/>
      </c>
      <c r="AC310">
        <f>IF($Y310="","",IF($Y310=0,$Z310*EXP($AA310*2),$Z310*(1+$Y310*$AA310*2)^(1/$Y310)))</f>
        <v/>
      </c>
      <c r="AD310">
        <f>IF($Y310="","",IF($Y310=0,$Z310*EXP($AA310*3),$Z310*(1+$Y310*$AA310*3)^(1/$Y310)))</f>
        <v/>
      </c>
      <c r="AE310">
        <f>IF($Y310="","",IF($Y310=0,$Z310*EXP($AA310*-2),$Z310*(1+$Y310*$AA310*-2)^(1/$Y310)))</f>
        <v/>
      </c>
      <c r="AF310">
        <f>IF($Y310="","",IF($Y310=0,$Z310*EXP($AA310*-3),$Z310*(1+$Y310*$AA310*-3)^(1/$Y310)))</f>
        <v/>
      </c>
      <c r="AG310">
        <f>IF($W310="","",IFERROR(INDEX(IF($T310&lt;=60,est05_l,est519_l),MATCH($W310,IF($T310&lt;=60,est05_k,est519_k),1)),""))</f>
        <v/>
      </c>
      <c r="AH310">
        <f>IF($W310="","",IFERROR(INDEX(IF($T310&lt;=60,est05_m,est519_m),MATCH($W310,IF($T310&lt;=60,est05_k,est519_k),1)),""))</f>
        <v/>
      </c>
      <c r="AI310">
        <f>IF($W310="","",IFERROR(INDEX(IF($T310&lt;=60,est05_s,est519_s),MATCH($W310,IF($T310&lt;=60,est05_k,est519_k),1)),""))</f>
        <v/>
      </c>
      <c r="AJ310">
        <f>IF($W310="","",IFERROR(INDEX(IF($T310&lt;=60,peso05_l,peso510_l),MATCH($W310,IF($T310&lt;=60,peso05_k,peso510_k),1)),""))</f>
        <v/>
      </c>
      <c r="AK310">
        <f>IF($W310="","",IFERROR(INDEX(IF($T310&lt;=60,peso05_m,peso510_m),MATCH($W310,IF($T310&lt;=60,peso05_k,peso510_k),1)),""))</f>
        <v/>
      </c>
      <c r="AL310">
        <f>IF($W310="","",IFERROR(INDEX(IF($T310&lt;=60,peso05_s,peso510_s),MATCH($W310,IF($T310&lt;=60,peso05_k,peso510_k),1)),""))</f>
        <v/>
      </c>
      <c r="AM310">
        <f>IF($AJ310="","",IF($AJ310=0,LN($F310/$AK310)/$AL310,((($F310/$AK310)^$AJ310)-1)/($AJ310*$AL310)))</f>
        <v/>
      </c>
      <c r="AN310">
        <f>IF($AJ310="","",IF($AJ310=0,$AK310*EXP($AL310*2),$AK310*(1+$AJ310*$AL310*2)^(1/$AJ310)))</f>
        <v/>
      </c>
      <c r="AO310">
        <f>IF($AJ310="","",IF($AJ310=0,$AK310*EXP($AL310*3),$AK310*(1+$AJ310*$AL310*3)^(1/$AJ310)))</f>
        <v/>
      </c>
      <c r="AP310">
        <f>IF($AJ310="","",IF($AJ310=0,$AK310*EXP($AL310*-2),$AK310*(1+$AJ310*$AL310*-2)^(1/$AJ310)))</f>
        <v/>
      </c>
      <c r="AQ310">
        <f>IF($AJ310="","",IF($AJ310=0,$AK310*EXP($AL310*-3),$AK310*(1+$AJ310*$AL310*-3)^(1/$AJ310)))</f>
        <v/>
      </c>
      <c r="AR310">
        <f>IF(OR($X310="",$T310&gt;60),"",IFERROR(INDEX(IF($T310&lt;24,pcomp_l,palt_l),MATCH($X310,IF($T310&lt;24,pcomp_k,palt_k),1)),""))</f>
        <v/>
      </c>
      <c r="AS310">
        <f>IF(OR($X310="",$T310&gt;60),"",IFERROR(INDEX(IF($T310&lt;24,pcomp_m,palt_m),MATCH($X310,IF($T310&lt;24,pcomp_k,palt_k),1)),""))</f>
        <v/>
      </c>
      <c r="AT310">
        <f>IF(OR($X310="",$T310&gt;60),"",IFERROR(INDEX(IF($T310&lt;24,pcomp_s,palt_s),MATCH($X310,IF($T310&lt;24,pcomp_k,palt_k),1)),""))</f>
        <v/>
      </c>
      <c r="AU310">
        <f>IF($AR310="","",IF($AR310=0,LN($F310/$AS310)/$AT310,((($F310/$AS310)^$AR310)-1)/($AR310*$AT310)))</f>
        <v/>
      </c>
      <c r="AV310">
        <f>IF($AR310="","",IF($AR310=0,$AS310*EXP($AT310*2),$AS310*(1+$AR310*$AT310*2)^(1/$AR310)))</f>
        <v/>
      </c>
      <c r="AW310">
        <f>IF($AR310="","",IF($AR310=0,$AS310*EXP($AT310*3),$AS310*(1+$AR310*$AT310*3)^(1/$AR310)))</f>
        <v/>
      </c>
      <c r="AX310">
        <f>IF($AR310="","",IF($AR310=0,$AS310*EXP($AT310*-2),$AS310*(1+$AR310*$AT310*-2)^(1/$AR310)))</f>
        <v/>
      </c>
      <c r="AY310">
        <f>IF($AR310="","",IF($AR310=0,$AS310*EXP($AT310*-3),$AS310*(1+$AR310*$AT310*-3)^(1/$AR310)))</f>
        <v/>
      </c>
      <c r="AZ310">
        <f>IF(OR($A310="",$A310&lt;&gt;Ficha!$C$4),"",COUNTIF($A$2:$A310,Ficha!$C$4))</f>
        <v/>
      </c>
    </row>
    <row r="311">
      <c r="A311" s="8">
        <f>IF(INDEX(Banco!$A:$A,ROW())="","",INDEX(Banco!$A:$A,ROW()))</f>
        <v/>
      </c>
      <c r="B311" s="8">
        <f>IF(INDEX(Banco!$B:$B,ROW())="","",INDEX(Banco!$B:$B,ROW()))</f>
        <v/>
      </c>
      <c r="C311" s="8">
        <f>IF(INDEX(Banco!$C:$C,ROW())="","",INDEX(Banco!$C:$C,ROW()))</f>
        <v/>
      </c>
      <c r="D311" s="9">
        <f>IF(INDEX(Banco!$D:$D,ROW())="","",INDEX(Banco!$D:$D,ROW()))</f>
        <v/>
      </c>
      <c r="E311" s="9">
        <f>IF(INDEX(Banco!$E:$E,ROW())="","",INDEX(Banco!$E:$E,ROW()))</f>
        <v/>
      </c>
      <c r="F311" s="10">
        <f>IF(INDEX(Banco!$F:$F,ROW())="","",INDEX(Banco!$F:$F,ROW()))</f>
        <v/>
      </c>
      <c r="G311" s="10">
        <f>IF(INDEX(Banco!$G:$G,ROW())="","",INDEX(Banco!$G:$G,ROW()))</f>
        <v/>
      </c>
      <c r="H311" s="8">
        <f>IF(INDEX(Banco!$H:$H,ROW())="","",INDEX(Banco!$H:$H,ROW()))</f>
        <v/>
      </c>
      <c r="I311">
        <f>IF($T311="","",INT($T311/12)&amp;"a "&amp;MOD($T311,12)&amp;"m")</f>
        <v/>
      </c>
      <c r="J311" s="11">
        <f>IF(OR($F311="",$G311=""),"",ROUND($F311/($G311/100)^2,2))</f>
        <v/>
      </c>
      <c r="K311" s="12">
        <f>IF(OR($S311="",$J311="",$T311="",$T311&lt;0,$T311&gt;228,$Y311=""),"—",ROUND(IF(ABS($AB311)&lt;=3,$AB311,IF($AB311&gt;3,3+($J311-$AD311)/($AD311-$AC311),-3+($J311-$AF311)/($AE311-$AF311))),2))</f>
        <v/>
      </c>
      <c r="L311">
        <f>IF(OR($K311="",$K311="—"),"",IF($T311&lt;=60,IF($K311&lt;-3,"Magreza acentuada",IF($K311&lt;-2,"Magreza",IF($K311&lt;=1,"Eutrofia",IF($K311&lt;=2,"Risco de sobrepeso",IF($K311&lt;=3,"Sobrepeso","Obesidade"))))),IF($K311&lt;-3,"Magreza acentuada",IF($K311&lt;-2,"Magreza",IF($K311&lt;=1,"Eutrofia",IF($K311&lt;=2,"Sobrepeso",IF($K311&lt;=3,"Obesidade","Obesidade grave")))))))</f>
        <v/>
      </c>
      <c r="M311" s="12">
        <f>IF(OR($S311="",$V311="",$T311="",$T311&lt;0,$T311&gt;228,$AG311=""),"—",ROUND(IF($AG311=0,LN($V311/$AH311)/$AI311,((($V311/$AH311)^$AG311)-1)/($AG311*$AI311)),2))</f>
        <v/>
      </c>
      <c r="N311">
        <f>IF(OR($M311="",$M311="—"),"",IF($M311&lt;-3,"Muito baixa",IF($M311&lt;-2,"Baixa","Adequada")))</f>
        <v/>
      </c>
      <c r="O311" s="12">
        <f>IF(OR($S311="",$F311="",$T311="",$T311&lt;0,$T311&gt;120,$AJ311=""),"—",ROUND(IF(ABS($AM311)&lt;=3,$AM311,IF($AM311&gt;3,3+($F311-$AO311)/($AO311-$AN311),-3+($F311-$AQ311)/($AP311-$AQ311))),2))</f>
        <v/>
      </c>
      <c r="P311">
        <f>IF(OR($O311="",$O311="—"),"",IF($O311&lt;-3,"Muito baixo",IF($O311&lt;-2,"Baixo",IF($O311&lt;=2,"Adequado","Elevado"))))</f>
        <v/>
      </c>
      <c r="Q311" s="12">
        <f>IF(OR($S311="",$F311="",$T311="",$T311&lt;0,$T311&gt;60,$AR311=""),"—",ROUND(IF(ABS($AU311)&lt;=3,$AU311,IF($AU311&gt;3,3+($F311-$AW311)/($AW311-$AV311),-3+($F311-$AY311)/($AX311-$AY311))),2))</f>
        <v/>
      </c>
      <c r="R311">
        <f>IF(OR($Q311="",$Q311="—"),"",IF($Q311&lt;-3,"Magreza acentuada",IF($Q311&lt;-2,"Magreza",IF($Q311&lt;=1,"Eutrofia",IF($Q311&lt;=2,"Risco de sobrepeso",IF($Q311&lt;=3,"Sobrepeso","Obesidade"))))))</f>
        <v/>
      </c>
      <c r="S311">
        <f>IF($C311="","",IF(UPPER(LEFT($C311,1))="M",1,IF(UPPER(LEFT($C311,1))="F",2,"")))</f>
        <v/>
      </c>
      <c r="T311">
        <f>IF(OR($D311="",$E311=""),"",DATEDIF($D311,$E311,"m"))</f>
        <v/>
      </c>
      <c r="U311">
        <f>IF(OR($D311="",$E311=""),"",$E311-$D311)</f>
        <v/>
      </c>
      <c r="V311">
        <f>IF(OR($G311="",$T311=""),"",IF($T311&lt;24,IF(LEFT(LOWER($H311),4)="em p",$G311+0.7,$G311),IF(LEFT(LOWER($H311),4)="deit",$G311-0.7,$G311)))</f>
        <v/>
      </c>
      <c r="W311">
        <f>IF(OR($S311="",$T311=""),"",$S311*1000000+IF($T311&lt;=60,$U311,$T311))</f>
        <v/>
      </c>
      <c r="X311">
        <f>IF(OR($S311="",$V311="",$T311&gt;60,$T311=""),"",$S311*1000000+ROUND($V311*10,0))</f>
        <v/>
      </c>
      <c r="Y311">
        <f>IF($W311="","",IFERROR(INDEX(IF($T311&lt;=60,imc05_l,imc519_l),MATCH($W311,IF($T311&lt;=60,imc05_k,imc519_k),1)),""))</f>
        <v/>
      </c>
      <c r="Z311">
        <f>IF($W311="","",IFERROR(INDEX(IF($T311&lt;=60,imc05_m,imc519_m),MATCH($W311,IF($T311&lt;=60,imc05_k,imc519_k),1)),""))</f>
        <v/>
      </c>
      <c r="AA311">
        <f>IF($W311="","",IFERROR(INDEX(IF($T311&lt;=60,imc05_s,imc519_s),MATCH($W311,IF($T311&lt;=60,imc05_k,imc519_k),1)),""))</f>
        <v/>
      </c>
      <c r="AB311">
        <f>IF($Y311="","",IF($Y311=0,LN($J311/$Z311)/$AA311,((($J311/$Z311)^$Y311)-1)/($Y311*$AA311)))</f>
        <v/>
      </c>
      <c r="AC311">
        <f>IF($Y311="","",IF($Y311=0,$Z311*EXP($AA311*2),$Z311*(1+$Y311*$AA311*2)^(1/$Y311)))</f>
        <v/>
      </c>
      <c r="AD311">
        <f>IF($Y311="","",IF($Y311=0,$Z311*EXP($AA311*3),$Z311*(1+$Y311*$AA311*3)^(1/$Y311)))</f>
        <v/>
      </c>
      <c r="AE311">
        <f>IF($Y311="","",IF($Y311=0,$Z311*EXP($AA311*-2),$Z311*(1+$Y311*$AA311*-2)^(1/$Y311)))</f>
        <v/>
      </c>
      <c r="AF311">
        <f>IF($Y311="","",IF($Y311=0,$Z311*EXP($AA311*-3),$Z311*(1+$Y311*$AA311*-3)^(1/$Y311)))</f>
        <v/>
      </c>
      <c r="AG311">
        <f>IF($W311="","",IFERROR(INDEX(IF($T311&lt;=60,est05_l,est519_l),MATCH($W311,IF($T311&lt;=60,est05_k,est519_k),1)),""))</f>
        <v/>
      </c>
      <c r="AH311">
        <f>IF($W311="","",IFERROR(INDEX(IF($T311&lt;=60,est05_m,est519_m),MATCH($W311,IF($T311&lt;=60,est05_k,est519_k),1)),""))</f>
        <v/>
      </c>
      <c r="AI311">
        <f>IF($W311="","",IFERROR(INDEX(IF($T311&lt;=60,est05_s,est519_s),MATCH($W311,IF($T311&lt;=60,est05_k,est519_k),1)),""))</f>
        <v/>
      </c>
      <c r="AJ311">
        <f>IF($W311="","",IFERROR(INDEX(IF($T311&lt;=60,peso05_l,peso510_l),MATCH($W311,IF($T311&lt;=60,peso05_k,peso510_k),1)),""))</f>
        <v/>
      </c>
      <c r="AK311">
        <f>IF($W311="","",IFERROR(INDEX(IF($T311&lt;=60,peso05_m,peso510_m),MATCH($W311,IF($T311&lt;=60,peso05_k,peso510_k),1)),""))</f>
        <v/>
      </c>
      <c r="AL311">
        <f>IF($W311="","",IFERROR(INDEX(IF($T311&lt;=60,peso05_s,peso510_s),MATCH($W311,IF($T311&lt;=60,peso05_k,peso510_k),1)),""))</f>
        <v/>
      </c>
      <c r="AM311">
        <f>IF($AJ311="","",IF($AJ311=0,LN($F311/$AK311)/$AL311,((($F311/$AK311)^$AJ311)-1)/($AJ311*$AL311)))</f>
        <v/>
      </c>
      <c r="AN311">
        <f>IF($AJ311="","",IF($AJ311=0,$AK311*EXP($AL311*2),$AK311*(1+$AJ311*$AL311*2)^(1/$AJ311)))</f>
        <v/>
      </c>
      <c r="AO311">
        <f>IF($AJ311="","",IF($AJ311=0,$AK311*EXP($AL311*3),$AK311*(1+$AJ311*$AL311*3)^(1/$AJ311)))</f>
        <v/>
      </c>
      <c r="AP311">
        <f>IF($AJ311="","",IF($AJ311=0,$AK311*EXP($AL311*-2),$AK311*(1+$AJ311*$AL311*-2)^(1/$AJ311)))</f>
        <v/>
      </c>
      <c r="AQ311">
        <f>IF($AJ311="","",IF($AJ311=0,$AK311*EXP($AL311*-3),$AK311*(1+$AJ311*$AL311*-3)^(1/$AJ311)))</f>
        <v/>
      </c>
      <c r="AR311">
        <f>IF(OR($X311="",$T311&gt;60),"",IFERROR(INDEX(IF($T311&lt;24,pcomp_l,palt_l),MATCH($X311,IF($T311&lt;24,pcomp_k,palt_k),1)),""))</f>
        <v/>
      </c>
      <c r="AS311">
        <f>IF(OR($X311="",$T311&gt;60),"",IFERROR(INDEX(IF($T311&lt;24,pcomp_m,palt_m),MATCH($X311,IF($T311&lt;24,pcomp_k,palt_k),1)),""))</f>
        <v/>
      </c>
      <c r="AT311">
        <f>IF(OR($X311="",$T311&gt;60),"",IFERROR(INDEX(IF($T311&lt;24,pcomp_s,palt_s),MATCH($X311,IF($T311&lt;24,pcomp_k,palt_k),1)),""))</f>
        <v/>
      </c>
      <c r="AU311">
        <f>IF($AR311="","",IF($AR311=0,LN($F311/$AS311)/$AT311,((($F311/$AS311)^$AR311)-1)/($AR311*$AT311)))</f>
        <v/>
      </c>
      <c r="AV311">
        <f>IF($AR311="","",IF($AR311=0,$AS311*EXP($AT311*2),$AS311*(1+$AR311*$AT311*2)^(1/$AR311)))</f>
        <v/>
      </c>
      <c r="AW311">
        <f>IF($AR311="","",IF($AR311=0,$AS311*EXP($AT311*3),$AS311*(1+$AR311*$AT311*3)^(1/$AR311)))</f>
        <v/>
      </c>
      <c r="AX311">
        <f>IF($AR311="","",IF($AR311=0,$AS311*EXP($AT311*-2),$AS311*(1+$AR311*$AT311*-2)^(1/$AR311)))</f>
        <v/>
      </c>
      <c r="AY311">
        <f>IF($AR311="","",IF($AR311=0,$AS311*EXP($AT311*-3),$AS311*(1+$AR311*$AT311*-3)^(1/$AR311)))</f>
        <v/>
      </c>
      <c r="AZ311">
        <f>IF(OR($A311="",$A311&lt;&gt;Ficha!$C$4),"",COUNTIF($A$2:$A311,Ficha!$C$4))</f>
        <v/>
      </c>
    </row>
    <row r="312">
      <c r="A312" s="8">
        <f>IF(INDEX(Banco!$A:$A,ROW())="","",INDEX(Banco!$A:$A,ROW()))</f>
        <v/>
      </c>
      <c r="B312" s="8">
        <f>IF(INDEX(Banco!$B:$B,ROW())="","",INDEX(Banco!$B:$B,ROW()))</f>
        <v/>
      </c>
      <c r="C312" s="8">
        <f>IF(INDEX(Banco!$C:$C,ROW())="","",INDEX(Banco!$C:$C,ROW()))</f>
        <v/>
      </c>
      <c r="D312" s="9">
        <f>IF(INDEX(Banco!$D:$D,ROW())="","",INDEX(Banco!$D:$D,ROW()))</f>
        <v/>
      </c>
      <c r="E312" s="9">
        <f>IF(INDEX(Banco!$E:$E,ROW())="","",INDEX(Banco!$E:$E,ROW()))</f>
        <v/>
      </c>
      <c r="F312" s="10">
        <f>IF(INDEX(Banco!$F:$F,ROW())="","",INDEX(Banco!$F:$F,ROW()))</f>
        <v/>
      </c>
      <c r="G312" s="10">
        <f>IF(INDEX(Banco!$G:$G,ROW())="","",INDEX(Banco!$G:$G,ROW()))</f>
        <v/>
      </c>
      <c r="H312" s="8">
        <f>IF(INDEX(Banco!$H:$H,ROW())="","",INDEX(Banco!$H:$H,ROW()))</f>
        <v/>
      </c>
      <c r="I312">
        <f>IF($T312="","",INT($T312/12)&amp;"a "&amp;MOD($T312,12)&amp;"m")</f>
        <v/>
      </c>
      <c r="J312" s="11">
        <f>IF(OR($F312="",$G312=""),"",ROUND($F312/($G312/100)^2,2))</f>
        <v/>
      </c>
      <c r="K312" s="12">
        <f>IF(OR($S312="",$J312="",$T312="",$T312&lt;0,$T312&gt;228,$Y312=""),"—",ROUND(IF(ABS($AB312)&lt;=3,$AB312,IF($AB312&gt;3,3+($J312-$AD312)/($AD312-$AC312),-3+($J312-$AF312)/($AE312-$AF312))),2))</f>
        <v/>
      </c>
      <c r="L312">
        <f>IF(OR($K312="",$K312="—"),"",IF($T312&lt;=60,IF($K312&lt;-3,"Magreza acentuada",IF($K312&lt;-2,"Magreza",IF($K312&lt;=1,"Eutrofia",IF($K312&lt;=2,"Risco de sobrepeso",IF($K312&lt;=3,"Sobrepeso","Obesidade"))))),IF($K312&lt;-3,"Magreza acentuada",IF($K312&lt;-2,"Magreza",IF($K312&lt;=1,"Eutrofia",IF($K312&lt;=2,"Sobrepeso",IF($K312&lt;=3,"Obesidade","Obesidade grave")))))))</f>
        <v/>
      </c>
      <c r="M312" s="12">
        <f>IF(OR($S312="",$V312="",$T312="",$T312&lt;0,$T312&gt;228,$AG312=""),"—",ROUND(IF($AG312=0,LN($V312/$AH312)/$AI312,((($V312/$AH312)^$AG312)-1)/($AG312*$AI312)),2))</f>
        <v/>
      </c>
      <c r="N312">
        <f>IF(OR($M312="",$M312="—"),"",IF($M312&lt;-3,"Muito baixa",IF($M312&lt;-2,"Baixa","Adequada")))</f>
        <v/>
      </c>
      <c r="O312" s="12">
        <f>IF(OR($S312="",$F312="",$T312="",$T312&lt;0,$T312&gt;120,$AJ312=""),"—",ROUND(IF(ABS($AM312)&lt;=3,$AM312,IF($AM312&gt;3,3+($F312-$AO312)/($AO312-$AN312),-3+($F312-$AQ312)/($AP312-$AQ312))),2))</f>
        <v/>
      </c>
      <c r="P312">
        <f>IF(OR($O312="",$O312="—"),"",IF($O312&lt;-3,"Muito baixo",IF($O312&lt;-2,"Baixo",IF($O312&lt;=2,"Adequado","Elevado"))))</f>
        <v/>
      </c>
      <c r="Q312" s="12">
        <f>IF(OR($S312="",$F312="",$T312="",$T312&lt;0,$T312&gt;60,$AR312=""),"—",ROUND(IF(ABS($AU312)&lt;=3,$AU312,IF($AU312&gt;3,3+($F312-$AW312)/($AW312-$AV312),-3+($F312-$AY312)/($AX312-$AY312))),2))</f>
        <v/>
      </c>
      <c r="R312">
        <f>IF(OR($Q312="",$Q312="—"),"",IF($Q312&lt;-3,"Magreza acentuada",IF($Q312&lt;-2,"Magreza",IF($Q312&lt;=1,"Eutrofia",IF($Q312&lt;=2,"Risco de sobrepeso",IF($Q312&lt;=3,"Sobrepeso","Obesidade"))))))</f>
        <v/>
      </c>
      <c r="S312">
        <f>IF($C312="","",IF(UPPER(LEFT($C312,1))="M",1,IF(UPPER(LEFT($C312,1))="F",2,"")))</f>
        <v/>
      </c>
      <c r="T312">
        <f>IF(OR($D312="",$E312=""),"",DATEDIF($D312,$E312,"m"))</f>
        <v/>
      </c>
      <c r="U312">
        <f>IF(OR($D312="",$E312=""),"",$E312-$D312)</f>
        <v/>
      </c>
      <c r="V312">
        <f>IF(OR($G312="",$T312=""),"",IF($T312&lt;24,IF(LEFT(LOWER($H312),4)="em p",$G312+0.7,$G312),IF(LEFT(LOWER($H312),4)="deit",$G312-0.7,$G312)))</f>
        <v/>
      </c>
      <c r="W312">
        <f>IF(OR($S312="",$T312=""),"",$S312*1000000+IF($T312&lt;=60,$U312,$T312))</f>
        <v/>
      </c>
      <c r="X312">
        <f>IF(OR($S312="",$V312="",$T312&gt;60,$T312=""),"",$S312*1000000+ROUND($V312*10,0))</f>
        <v/>
      </c>
      <c r="Y312">
        <f>IF($W312="","",IFERROR(INDEX(IF($T312&lt;=60,imc05_l,imc519_l),MATCH($W312,IF($T312&lt;=60,imc05_k,imc519_k),1)),""))</f>
        <v/>
      </c>
      <c r="Z312">
        <f>IF($W312="","",IFERROR(INDEX(IF($T312&lt;=60,imc05_m,imc519_m),MATCH($W312,IF($T312&lt;=60,imc05_k,imc519_k),1)),""))</f>
        <v/>
      </c>
      <c r="AA312">
        <f>IF($W312="","",IFERROR(INDEX(IF($T312&lt;=60,imc05_s,imc519_s),MATCH($W312,IF($T312&lt;=60,imc05_k,imc519_k),1)),""))</f>
        <v/>
      </c>
      <c r="AB312">
        <f>IF($Y312="","",IF($Y312=0,LN($J312/$Z312)/$AA312,((($J312/$Z312)^$Y312)-1)/($Y312*$AA312)))</f>
        <v/>
      </c>
      <c r="AC312">
        <f>IF($Y312="","",IF($Y312=0,$Z312*EXP($AA312*2),$Z312*(1+$Y312*$AA312*2)^(1/$Y312)))</f>
        <v/>
      </c>
      <c r="AD312">
        <f>IF($Y312="","",IF($Y312=0,$Z312*EXP($AA312*3),$Z312*(1+$Y312*$AA312*3)^(1/$Y312)))</f>
        <v/>
      </c>
      <c r="AE312">
        <f>IF($Y312="","",IF($Y312=0,$Z312*EXP($AA312*-2),$Z312*(1+$Y312*$AA312*-2)^(1/$Y312)))</f>
        <v/>
      </c>
      <c r="AF312">
        <f>IF($Y312="","",IF($Y312=0,$Z312*EXP($AA312*-3),$Z312*(1+$Y312*$AA312*-3)^(1/$Y312)))</f>
        <v/>
      </c>
      <c r="AG312">
        <f>IF($W312="","",IFERROR(INDEX(IF($T312&lt;=60,est05_l,est519_l),MATCH($W312,IF($T312&lt;=60,est05_k,est519_k),1)),""))</f>
        <v/>
      </c>
      <c r="AH312">
        <f>IF($W312="","",IFERROR(INDEX(IF($T312&lt;=60,est05_m,est519_m),MATCH($W312,IF($T312&lt;=60,est05_k,est519_k),1)),""))</f>
        <v/>
      </c>
      <c r="AI312">
        <f>IF($W312="","",IFERROR(INDEX(IF($T312&lt;=60,est05_s,est519_s),MATCH($W312,IF($T312&lt;=60,est05_k,est519_k),1)),""))</f>
        <v/>
      </c>
      <c r="AJ312">
        <f>IF($W312="","",IFERROR(INDEX(IF($T312&lt;=60,peso05_l,peso510_l),MATCH($W312,IF($T312&lt;=60,peso05_k,peso510_k),1)),""))</f>
        <v/>
      </c>
      <c r="AK312">
        <f>IF($W312="","",IFERROR(INDEX(IF($T312&lt;=60,peso05_m,peso510_m),MATCH($W312,IF($T312&lt;=60,peso05_k,peso510_k),1)),""))</f>
        <v/>
      </c>
      <c r="AL312">
        <f>IF($W312="","",IFERROR(INDEX(IF($T312&lt;=60,peso05_s,peso510_s),MATCH($W312,IF($T312&lt;=60,peso05_k,peso510_k),1)),""))</f>
        <v/>
      </c>
      <c r="AM312">
        <f>IF($AJ312="","",IF($AJ312=0,LN($F312/$AK312)/$AL312,((($F312/$AK312)^$AJ312)-1)/($AJ312*$AL312)))</f>
        <v/>
      </c>
      <c r="AN312">
        <f>IF($AJ312="","",IF($AJ312=0,$AK312*EXP($AL312*2),$AK312*(1+$AJ312*$AL312*2)^(1/$AJ312)))</f>
        <v/>
      </c>
      <c r="AO312">
        <f>IF($AJ312="","",IF($AJ312=0,$AK312*EXP($AL312*3),$AK312*(1+$AJ312*$AL312*3)^(1/$AJ312)))</f>
        <v/>
      </c>
      <c r="AP312">
        <f>IF($AJ312="","",IF($AJ312=0,$AK312*EXP($AL312*-2),$AK312*(1+$AJ312*$AL312*-2)^(1/$AJ312)))</f>
        <v/>
      </c>
      <c r="AQ312">
        <f>IF($AJ312="","",IF($AJ312=0,$AK312*EXP($AL312*-3),$AK312*(1+$AJ312*$AL312*-3)^(1/$AJ312)))</f>
        <v/>
      </c>
      <c r="AR312">
        <f>IF(OR($X312="",$T312&gt;60),"",IFERROR(INDEX(IF($T312&lt;24,pcomp_l,palt_l),MATCH($X312,IF($T312&lt;24,pcomp_k,palt_k),1)),""))</f>
        <v/>
      </c>
      <c r="AS312">
        <f>IF(OR($X312="",$T312&gt;60),"",IFERROR(INDEX(IF($T312&lt;24,pcomp_m,palt_m),MATCH($X312,IF($T312&lt;24,pcomp_k,palt_k),1)),""))</f>
        <v/>
      </c>
      <c r="AT312">
        <f>IF(OR($X312="",$T312&gt;60),"",IFERROR(INDEX(IF($T312&lt;24,pcomp_s,palt_s),MATCH($X312,IF($T312&lt;24,pcomp_k,palt_k),1)),""))</f>
        <v/>
      </c>
      <c r="AU312">
        <f>IF($AR312="","",IF($AR312=0,LN($F312/$AS312)/$AT312,((($F312/$AS312)^$AR312)-1)/($AR312*$AT312)))</f>
        <v/>
      </c>
      <c r="AV312">
        <f>IF($AR312="","",IF($AR312=0,$AS312*EXP($AT312*2),$AS312*(1+$AR312*$AT312*2)^(1/$AR312)))</f>
        <v/>
      </c>
      <c r="AW312">
        <f>IF($AR312="","",IF($AR312=0,$AS312*EXP($AT312*3),$AS312*(1+$AR312*$AT312*3)^(1/$AR312)))</f>
        <v/>
      </c>
      <c r="AX312">
        <f>IF($AR312="","",IF($AR312=0,$AS312*EXP($AT312*-2),$AS312*(1+$AR312*$AT312*-2)^(1/$AR312)))</f>
        <v/>
      </c>
      <c r="AY312">
        <f>IF($AR312="","",IF($AR312=0,$AS312*EXP($AT312*-3),$AS312*(1+$AR312*$AT312*-3)^(1/$AR312)))</f>
        <v/>
      </c>
      <c r="AZ312">
        <f>IF(OR($A312="",$A312&lt;&gt;Ficha!$C$4),"",COUNTIF($A$2:$A312,Ficha!$C$4))</f>
        <v/>
      </c>
    </row>
    <row r="313">
      <c r="A313" s="8">
        <f>IF(INDEX(Banco!$A:$A,ROW())="","",INDEX(Banco!$A:$A,ROW()))</f>
        <v/>
      </c>
      <c r="B313" s="8">
        <f>IF(INDEX(Banco!$B:$B,ROW())="","",INDEX(Banco!$B:$B,ROW()))</f>
        <v/>
      </c>
      <c r="C313" s="8">
        <f>IF(INDEX(Banco!$C:$C,ROW())="","",INDEX(Banco!$C:$C,ROW()))</f>
        <v/>
      </c>
      <c r="D313" s="9">
        <f>IF(INDEX(Banco!$D:$D,ROW())="","",INDEX(Banco!$D:$D,ROW()))</f>
        <v/>
      </c>
      <c r="E313" s="9">
        <f>IF(INDEX(Banco!$E:$E,ROW())="","",INDEX(Banco!$E:$E,ROW()))</f>
        <v/>
      </c>
      <c r="F313" s="10">
        <f>IF(INDEX(Banco!$F:$F,ROW())="","",INDEX(Banco!$F:$F,ROW()))</f>
        <v/>
      </c>
      <c r="G313" s="10">
        <f>IF(INDEX(Banco!$G:$G,ROW())="","",INDEX(Banco!$G:$G,ROW()))</f>
        <v/>
      </c>
      <c r="H313" s="8">
        <f>IF(INDEX(Banco!$H:$H,ROW())="","",INDEX(Banco!$H:$H,ROW()))</f>
        <v/>
      </c>
      <c r="I313">
        <f>IF($T313="","",INT($T313/12)&amp;"a "&amp;MOD($T313,12)&amp;"m")</f>
        <v/>
      </c>
      <c r="J313" s="11">
        <f>IF(OR($F313="",$G313=""),"",ROUND($F313/($G313/100)^2,2))</f>
        <v/>
      </c>
      <c r="K313" s="12">
        <f>IF(OR($S313="",$J313="",$T313="",$T313&lt;0,$T313&gt;228,$Y313=""),"—",ROUND(IF(ABS($AB313)&lt;=3,$AB313,IF($AB313&gt;3,3+($J313-$AD313)/($AD313-$AC313),-3+($J313-$AF313)/($AE313-$AF313))),2))</f>
        <v/>
      </c>
      <c r="L313">
        <f>IF(OR($K313="",$K313="—"),"",IF($T313&lt;=60,IF($K313&lt;-3,"Magreza acentuada",IF($K313&lt;-2,"Magreza",IF($K313&lt;=1,"Eutrofia",IF($K313&lt;=2,"Risco de sobrepeso",IF($K313&lt;=3,"Sobrepeso","Obesidade"))))),IF($K313&lt;-3,"Magreza acentuada",IF($K313&lt;-2,"Magreza",IF($K313&lt;=1,"Eutrofia",IF($K313&lt;=2,"Sobrepeso",IF($K313&lt;=3,"Obesidade","Obesidade grave")))))))</f>
        <v/>
      </c>
      <c r="M313" s="12">
        <f>IF(OR($S313="",$V313="",$T313="",$T313&lt;0,$T313&gt;228,$AG313=""),"—",ROUND(IF($AG313=0,LN($V313/$AH313)/$AI313,((($V313/$AH313)^$AG313)-1)/($AG313*$AI313)),2))</f>
        <v/>
      </c>
      <c r="N313">
        <f>IF(OR($M313="",$M313="—"),"",IF($M313&lt;-3,"Muito baixa",IF($M313&lt;-2,"Baixa","Adequada")))</f>
        <v/>
      </c>
      <c r="O313" s="12">
        <f>IF(OR($S313="",$F313="",$T313="",$T313&lt;0,$T313&gt;120,$AJ313=""),"—",ROUND(IF(ABS($AM313)&lt;=3,$AM313,IF($AM313&gt;3,3+($F313-$AO313)/($AO313-$AN313),-3+($F313-$AQ313)/($AP313-$AQ313))),2))</f>
        <v/>
      </c>
      <c r="P313">
        <f>IF(OR($O313="",$O313="—"),"",IF($O313&lt;-3,"Muito baixo",IF($O313&lt;-2,"Baixo",IF($O313&lt;=2,"Adequado","Elevado"))))</f>
        <v/>
      </c>
      <c r="Q313" s="12">
        <f>IF(OR($S313="",$F313="",$T313="",$T313&lt;0,$T313&gt;60,$AR313=""),"—",ROUND(IF(ABS($AU313)&lt;=3,$AU313,IF($AU313&gt;3,3+($F313-$AW313)/($AW313-$AV313),-3+($F313-$AY313)/($AX313-$AY313))),2))</f>
        <v/>
      </c>
      <c r="R313">
        <f>IF(OR($Q313="",$Q313="—"),"",IF($Q313&lt;-3,"Magreza acentuada",IF($Q313&lt;-2,"Magreza",IF($Q313&lt;=1,"Eutrofia",IF($Q313&lt;=2,"Risco de sobrepeso",IF($Q313&lt;=3,"Sobrepeso","Obesidade"))))))</f>
        <v/>
      </c>
      <c r="S313">
        <f>IF($C313="","",IF(UPPER(LEFT($C313,1))="M",1,IF(UPPER(LEFT($C313,1))="F",2,"")))</f>
        <v/>
      </c>
      <c r="T313">
        <f>IF(OR($D313="",$E313=""),"",DATEDIF($D313,$E313,"m"))</f>
        <v/>
      </c>
      <c r="U313">
        <f>IF(OR($D313="",$E313=""),"",$E313-$D313)</f>
        <v/>
      </c>
      <c r="V313">
        <f>IF(OR($G313="",$T313=""),"",IF($T313&lt;24,IF(LEFT(LOWER($H313),4)="em p",$G313+0.7,$G313),IF(LEFT(LOWER($H313),4)="deit",$G313-0.7,$G313)))</f>
        <v/>
      </c>
      <c r="W313">
        <f>IF(OR($S313="",$T313=""),"",$S313*1000000+IF($T313&lt;=60,$U313,$T313))</f>
        <v/>
      </c>
      <c r="X313">
        <f>IF(OR($S313="",$V313="",$T313&gt;60,$T313=""),"",$S313*1000000+ROUND($V313*10,0))</f>
        <v/>
      </c>
      <c r="Y313">
        <f>IF($W313="","",IFERROR(INDEX(IF($T313&lt;=60,imc05_l,imc519_l),MATCH($W313,IF($T313&lt;=60,imc05_k,imc519_k),1)),""))</f>
        <v/>
      </c>
      <c r="Z313">
        <f>IF($W313="","",IFERROR(INDEX(IF($T313&lt;=60,imc05_m,imc519_m),MATCH($W313,IF($T313&lt;=60,imc05_k,imc519_k),1)),""))</f>
        <v/>
      </c>
      <c r="AA313">
        <f>IF($W313="","",IFERROR(INDEX(IF($T313&lt;=60,imc05_s,imc519_s),MATCH($W313,IF($T313&lt;=60,imc05_k,imc519_k),1)),""))</f>
        <v/>
      </c>
      <c r="AB313">
        <f>IF($Y313="","",IF($Y313=0,LN($J313/$Z313)/$AA313,((($J313/$Z313)^$Y313)-1)/($Y313*$AA313)))</f>
        <v/>
      </c>
      <c r="AC313">
        <f>IF($Y313="","",IF($Y313=0,$Z313*EXP($AA313*2),$Z313*(1+$Y313*$AA313*2)^(1/$Y313)))</f>
        <v/>
      </c>
      <c r="AD313">
        <f>IF($Y313="","",IF($Y313=0,$Z313*EXP($AA313*3),$Z313*(1+$Y313*$AA313*3)^(1/$Y313)))</f>
        <v/>
      </c>
      <c r="AE313">
        <f>IF($Y313="","",IF($Y313=0,$Z313*EXP($AA313*-2),$Z313*(1+$Y313*$AA313*-2)^(1/$Y313)))</f>
        <v/>
      </c>
      <c r="AF313">
        <f>IF($Y313="","",IF($Y313=0,$Z313*EXP($AA313*-3),$Z313*(1+$Y313*$AA313*-3)^(1/$Y313)))</f>
        <v/>
      </c>
      <c r="AG313">
        <f>IF($W313="","",IFERROR(INDEX(IF($T313&lt;=60,est05_l,est519_l),MATCH($W313,IF($T313&lt;=60,est05_k,est519_k),1)),""))</f>
        <v/>
      </c>
      <c r="AH313">
        <f>IF($W313="","",IFERROR(INDEX(IF($T313&lt;=60,est05_m,est519_m),MATCH($W313,IF($T313&lt;=60,est05_k,est519_k),1)),""))</f>
        <v/>
      </c>
      <c r="AI313">
        <f>IF($W313="","",IFERROR(INDEX(IF($T313&lt;=60,est05_s,est519_s),MATCH($W313,IF($T313&lt;=60,est05_k,est519_k),1)),""))</f>
        <v/>
      </c>
      <c r="AJ313">
        <f>IF($W313="","",IFERROR(INDEX(IF($T313&lt;=60,peso05_l,peso510_l),MATCH($W313,IF($T313&lt;=60,peso05_k,peso510_k),1)),""))</f>
        <v/>
      </c>
      <c r="AK313">
        <f>IF($W313="","",IFERROR(INDEX(IF($T313&lt;=60,peso05_m,peso510_m),MATCH($W313,IF($T313&lt;=60,peso05_k,peso510_k),1)),""))</f>
        <v/>
      </c>
      <c r="AL313">
        <f>IF($W313="","",IFERROR(INDEX(IF($T313&lt;=60,peso05_s,peso510_s),MATCH($W313,IF($T313&lt;=60,peso05_k,peso510_k),1)),""))</f>
        <v/>
      </c>
      <c r="AM313">
        <f>IF($AJ313="","",IF($AJ313=0,LN($F313/$AK313)/$AL313,((($F313/$AK313)^$AJ313)-1)/($AJ313*$AL313)))</f>
        <v/>
      </c>
      <c r="AN313">
        <f>IF($AJ313="","",IF($AJ313=0,$AK313*EXP($AL313*2),$AK313*(1+$AJ313*$AL313*2)^(1/$AJ313)))</f>
        <v/>
      </c>
      <c r="AO313">
        <f>IF($AJ313="","",IF($AJ313=0,$AK313*EXP($AL313*3),$AK313*(1+$AJ313*$AL313*3)^(1/$AJ313)))</f>
        <v/>
      </c>
      <c r="AP313">
        <f>IF($AJ313="","",IF($AJ313=0,$AK313*EXP($AL313*-2),$AK313*(1+$AJ313*$AL313*-2)^(1/$AJ313)))</f>
        <v/>
      </c>
      <c r="AQ313">
        <f>IF($AJ313="","",IF($AJ313=0,$AK313*EXP($AL313*-3),$AK313*(1+$AJ313*$AL313*-3)^(1/$AJ313)))</f>
        <v/>
      </c>
      <c r="AR313">
        <f>IF(OR($X313="",$T313&gt;60),"",IFERROR(INDEX(IF($T313&lt;24,pcomp_l,palt_l),MATCH($X313,IF($T313&lt;24,pcomp_k,palt_k),1)),""))</f>
        <v/>
      </c>
      <c r="AS313">
        <f>IF(OR($X313="",$T313&gt;60),"",IFERROR(INDEX(IF($T313&lt;24,pcomp_m,palt_m),MATCH($X313,IF($T313&lt;24,pcomp_k,palt_k),1)),""))</f>
        <v/>
      </c>
      <c r="AT313">
        <f>IF(OR($X313="",$T313&gt;60),"",IFERROR(INDEX(IF($T313&lt;24,pcomp_s,palt_s),MATCH($X313,IF($T313&lt;24,pcomp_k,palt_k),1)),""))</f>
        <v/>
      </c>
      <c r="AU313">
        <f>IF($AR313="","",IF($AR313=0,LN($F313/$AS313)/$AT313,((($F313/$AS313)^$AR313)-1)/($AR313*$AT313)))</f>
        <v/>
      </c>
      <c r="AV313">
        <f>IF($AR313="","",IF($AR313=0,$AS313*EXP($AT313*2),$AS313*(1+$AR313*$AT313*2)^(1/$AR313)))</f>
        <v/>
      </c>
      <c r="AW313">
        <f>IF($AR313="","",IF($AR313=0,$AS313*EXP($AT313*3),$AS313*(1+$AR313*$AT313*3)^(1/$AR313)))</f>
        <v/>
      </c>
      <c r="AX313">
        <f>IF($AR313="","",IF($AR313=0,$AS313*EXP($AT313*-2),$AS313*(1+$AR313*$AT313*-2)^(1/$AR313)))</f>
        <v/>
      </c>
      <c r="AY313">
        <f>IF($AR313="","",IF($AR313=0,$AS313*EXP($AT313*-3),$AS313*(1+$AR313*$AT313*-3)^(1/$AR313)))</f>
        <v/>
      </c>
      <c r="AZ313">
        <f>IF(OR($A313="",$A313&lt;&gt;Ficha!$C$4),"",COUNTIF($A$2:$A313,Ficha!$C$4))</f>
        <v/>
      </c>
    </row>
    <row r="314">
      <c r="A314" s="8">
        <f>IF(INDEX(Banco!$A:$A,ROW())="","",INDEX(Banco!$A:$A,ROW()))</f>
        <v/>
      </c>
      <c r="B314" s="8">
        <f>IF(INDEX(Banco!$B:$B,ROW())="","",INDEX(Banco!$B:$B,ROW()))</f>
        <v/>
      </c>
      <c r="C314" s="8">
        <f>IF(INDEX(Banco!$C:$C,ROW())="","",INDEX(Banco!$C:$C,ROW()))</f>
        <v/>
      </c>
      <c r="D314" s="9">
        <f>IF(INDEX(Banco!$D:$D,ROW())="","",INDEX(Banco!$D:$D,ROW()))</f>
        <v/>
      </c>
      <c r="E314" s="9">
        <f>IF(INDEX(Banco!$E:$E,ROW())="","",INDEX(Banco!$E:$E,ROW()))</f>
        <v/>
      </c>
      <c r="F314" s="10">
        <f>IF(INDEX(Banco!$F:$F,ROW())="","",INDEX(Banco!$F:$F,ROW()))</f>
        <v/>
      </c>
      <c r="G314" s="10">
        <f>IF(INDEX(Banco!$G:$G,ROW())="","",INDEX(Banco!$G:$G,ROW()))</f>
        <v/>
      </c>
      <c r="H314" s="8">
        <f>IF(INDEX(Banco!$H:$H,ROW())="","",INDEX(Banco!$H:$H,ROW()))</f>
        <v/>
      </c>
      <c r="I314">
        <f>IF($T314="","",INT($T314/12)&amp;"a "&amp;MOD($T314,12)&amp;"m")</f>
        <v/>
      </c>
      <c r="J314" s="11">
        <f>IF(OR($F314="",$G314=""),"",ROUND($F314/($G314/100)^2,2))</f>
        <v/>
      </c>
      <c r="K314" s="12">
        <f>IF(OR($S314="",$J314="",$T314="",$T314&lt;0,$T314&gt;228,$Y314=""),"—",ROUND(IF(ABS($AB314)&lt;=3,$AB314,IF($AB314&gt;3,3+($J314-$AD314)/($AD314-$AC314),-3+($J314-$AF314)/($AE314-$AF314))),2))</f>
        <v/>
      </c>
      <c r="L314">
        <f>IF(OR($K314="",$K314="—"),"",IF($T314&lt;=60,IF($K314&lt;-3,"Magreza acentuada",IF($K314&lt;-2,"Magreza",IF($K314&lt;=1,"Eutrofia",IF($K314&lt;=2,"Risco de sobrepeso",IF($K314&lt;=3,"Sobrepeso","Obesidade"))))),IF($K314&lt;-3,"Magreza acentuada",IF($K314&lt;-2,"Magreza",IF($K314&lt;=1,"Eutrofia",IF($K314&lt;=2,"Sobrepeso",IF($K314&lt;=3,"Obesidade","Obesidade grave")))))))</f>
        <v/>
      </c>
      <c r="M314" s="12">
        <f>IF(OR($S314="",$V314="",$T314="",$T314&lt;0,$T314&gt;228,$AG314=""),"—",ROUND(IF($AG314=0,LN($V314/$AH314)/$AI314,((($V314/$AH314)^$AG314)-1)/($AG314*$AI314)),2))</f>
        <v/>
      </c>
      <c r="N314">
        <f>IF(OR($M314="",$M314="—"),"",IF($M314&lt;-3,"Muito baixa",IF($M314&lt;-2,"Baixa","Adequada")))</f>
        <v/>
      </c>
      <c r="O314" s="12">
        <f>IF(OR($S314="",$F314="",$T314="",$T314&lt;0,$T314&gt;120,$AJ314=""),"—",ROUND(IF(ABS($AM314)&lt;=3,$AM314,IF($AM314&gt;3,3+($F314-$AO314)/($AO314-$AN314),-3+($F314-$AQ314)/($AP314-$AQ314))),2))</f>
        <v/>
      </c>
      <c r="P314">
        <f>IF(OR($O314="",$O314="—"),"",IF($O314&lt;-3,"Muito baixo",IF($O314&lt;-2,"Baixo",IF($O314&lt;=2,"Adequado","Elevado"))))</f>
        <v/>
      </c>
      <c r="Q314" s="12">
        <f>IF(OR($S314="",$F314="",$T314="",$T314&lt;0,$T314&gt;60,$AR314=""),"—",ROUND(IF(ABS($AU314)&lt;=3,$AU314,IF($AU314&gt;3,3+($F314-$AW314)/($AW314-$AV314),-3+($F314-$AY314)/($AX314-$AY314))),2))</f>
        <v/>
      </c>
      <c r="R314">
        <f>IF(OR($Q314="",$Q314="—"),"",IF($Q314&lt;-3,"Magreza acentuada",IF($Q314&lt;-2,"Magreza",IF($Q314&lt;=1,"Eutrofia",IF($Q314&lt;=2,"Risco de sobrepeso",IF($Q314&lt;=3,"Sobrepeso","Obesidade"))))))</f>
        <v/>
      </c>
      <c r="S314">
        <f>IF($C314="","",IF(UPPER(LEFT($C314,1))="M",1,IF(UPPER(LEFT($C314,1))="F",2,"")))</f>
        <v/>
      </c>
      <c r="T314">
        <f>IF(OR($D314="",$E314=""),"",DATEDIF($D314,$E314,"m"))</f>
        <v/>
      </c>
      <c r="U314">
        <f>IF(OR($D314="",$E314=""),"",$E314-$D314)</f>
        <v/>
      </c>
      <c r="V314">
        <f>IF(OR($G314="",$T314=""),"",IF($T314&lt;24,IF(LEFT(LOWER($H314),4)="em p",$G314+0.7,$G314),IF(LEFT(LOWER($H314),4)="deit",$G314-0.7,$G314)))</f>
        <v/>
      </c>
      <c r="W314">
        <f>IF(OR($S314="",$T314=""),"",$S314*1000000+IF($T314&lt;=60,$U314,$T314))</f>
        <v/>
      </c>
      <c r="X314">
        <f>IF(OR($S314="",$V314="",$T314&gt;60,$T314=""),"",$S314*1000000+ROUND($V314*10,0))</f>
        <v/>
      </c>
      <c r="Y314">
        <f>IF($W314="","",IFERROR(INDEX(IF($T314&lt;=60,imc05_l,imc519_l),MATCH($W314,IF($T314&lt;=60,imc05_k,imc519_k),1)),""))</f>
        <v/>
      </c>
      <c r="Z314">
        <f>IF($W314="","",IFERROR(INDEX(IF($T314&lt;=60,imc05_m,imc519_m),MATCH($W314,IF($T314&lt;=60,imc05_k,imc519_k),1)),""))</f>
        <v/>
      </c>
      <c r="AA314">
        <f>IF($W314="","",IFERROR(INDEX(IF($T314&lt;=60,imc05_s,imc519_s),MATCH($W314,IF($T314&lt;=60,imc05_k,imc519_k),1)),""))</f>
        <v/>
      </c>
      <c r="AB314">
        <f>IF($Y314="","",IF($Y314=0,LN($J314/$Z314)/$AA314,((($J314/$Z314)^$Y314)-1)/($Y314*$AA314)))</f>
        <v/>
      </c>
      <c r="AC314">
        <f>IF($Y314="","",IF($Y314=0,$Z314*EXP($AA314*2),$Z314*(1+$Y314*$AA314*2)^(1/$Y314)))</f>
        <v/>
      </c>
      <c r="AD314">
        <f>IF($Y314="","",IF($Y314=0,$Z314*EXP($AA314*3),$Z314*(1+$Y314*$AA314*3)^(1/$Y314)))</f>
        <v/>
      </c>
      <c r="AE314">
        <f>IF($Y314="","",IF($Y314=0,$Z314*EXP($AA314*-2),$Z314*(1+$Y314*$AA314*-2)^(1/$Y314)))</f>
        <v/>
      </c>
      <c r="AF314">
        <f>IF($Y314="","",IF($Y314=0,$Z314*EXP($AA314*-3),$Z314*(1+$Y314*$AA314*-3)^(1/$Y314)))</f>
        <v/>
      </c>
      <c r="AG314">
        <f>IF($W314="","",IFERROR(INDEX(IF($T314&lt;=60,est05_l,est519_l),MATCH($W314,IF($T314&lt;=60,est05_k,est519_k),1)),""))</f>
        <v/>
      </c>
      <c r="AH314">
        <f>IF($W314="","",IFERROR(INDEX(IF($T314&lt;=60,est05_m,est519_m),MATCH($W314,IF($T314&lt;=60,est05_k,est519_k),1)),""))</f>
        <v/>
      </c>
      <c r="AI314">
        <f>IF($W314="","",IFERROR(INDEX(IF($T314&lt;=60,est05_s,est519_s),MATCH($W314,IF($T314&lt;=60,est05_k,est519_k),1)),""))</f>
        <v/>
      </c>
      <c r="AJ314">
        <f>IF($W314="","",IFERROR(INDEX(IF($T314&lt;=60,peso05_l,peso510_l),MATCH($W314,IF($T314&lt;=60,peso05_k,peso510_k),1)),""))</f>
        <v/>
      </c>
      <c r="AK314">
        <f>IF($W314="","",IFERROR(INDEX(IF($T314&lt;=60,peso05_m,peso510_m),MATCH($W314,IF($T314&lt;=60,peso05_k,peso510_k),1)),""))</f>
        <v/>
      </c>
      <c r="AL314">
        <f>IF($W314="","",IFERROR(INDEX(IF($T314&lt;=60,peso05_s,peso510_s),MATCH($W314,IF($T314&lt;=60,peso05_k,peso510_k),1)),""))</f>
        <v/>
      </c>
      <c r="AM314">
        <f>IF($AJ314="","",IF($AJ314=0,LN($F314/$AK314)/$AL314,((($F314/$AK314)^$AJ314)-1)/($AJ314*$AL314)))</f>
        <v/>
      </c>
      <c r="AN314">
        <f>IF($AJ314="","",IF($AJ314=0,$AK314*EXP($AL314*2),$AK314*(1+$AJ314*$AL314*2)^(1/$AJ314)))</f>
        <v/>
      </c>
      <c r="AO314">
        <f>IF($AJ314="","",IF($AJ314=0,$AK314*EXP($AL314*3),$AK314*(1+$AJ314*$AL314*3)^(1/$AJ314)))</f>
        <v/>
      </c>
      <c r="AP314">
        <f>IF($AJ314="","",IF($AJ314=0,$AK314*EXP($AL314*-2),$AK314*(1+$AJ314*$AL314*-2)^(1/$AJ314)))</f>
        <v/>
      </c>
      <c r="AQ314">
        <f>IF($AJ314="","",IF($AJ314=0,$AK314*EXP($AL314*-3),$AK314*(1+$AJ314*$AL314*-3)^(1/$AJ314)))</f>
        <v/>
      </c>
      <c r="AR314">
        <f>IF(OR($X314="",$T314&gt;60),"",IFERROR(INDEX(IF($T314&lt;24,pcomp_l,palt_l),MATCH($X314,IF($T314&lt;24,pcomp_k,palt_k),1)),""))</f>
        <v/>
      </c>
      <c r="AS314">
        <f>IF(OR($X314="",$T314&gt;60),"",IFERROR(INDEX(IF($T314&lt;24,pcomp_m,palt_m),MATCH($X314,IF($T314&lt;24,pcomp_k,palt_k),1)),""))</f>
        <v/>
      </c>
      <c r="AT314">
        <f>IF(OR($X314="",$T314&gt;60),"",IFERROR(INDEX(IF($T314&lt;24,pcomp_s,palt_s),MATCH($X314,IF($T314&lt;24,pcomp_k,palt_k),1)),""))</f>
        <v/>
      </c>
      <c r="AU314">
        <f>IF($AR314="","",IF($AR314=0,LN($F314/$AS314)/$AT314,((($F314/$AS314)^$AR314)-1)/($AR314*$AT314)))</f>
        <v/>
      </c>
      <c r="AV314">
        <f>IF($AR314="","",IF($AR314=0,$AS314*EXP($AT314*2),$AS314*(1+$AR314*$AT314*2)^(1/$AR314)))</f>
        <v/>
      </c>
      <c r="AW314">
        <f>IF($AR314="","",IF($AR314=0,$AS314*EXP($AT314*3),$AS314*(1+$AR314*$AT314*3)^(1/$AR314)))</f>
        <v/>
      </c>
      <c r="AX314">
        <f>IF($AR314="","",IF($AR314=0,$AS314*EXP($AT314*-2),$AS314*(1+$AR314*$AT314*-2)^(1/$AR314)))</f>
        <v/>
      </c>
      <c r="AY314">
        <f>IF($AR314="","",IF($AR314=0,$AS314*EXP($AT314*-3),$AS314*(1+$AR314*$AT314*-3)^(1/$AR314)))</f>
        <v/>
      </c>
      <c r="AZ314">
        <f>IF(OR($A314="",$A314&lt;&gt;Ficha!$C$4),"",COUNTIF($A$2:$A314,Ficha!$C$4))</f>
        <v/>
      </c>
    </row>
    <row r="315">
      <c r="A315" s="8">
        <f>IF(INDEX(Banco!$A:$A,ROW())="","",INDEX(Banco!$A:$A,ROW()))</f>
        <v/>
      </c>
      <c r="B315" s="8">
        <f>IF(INDEX(Banco!$B:$B,ROW())="","",INDEX(Banco!$B:$B,ROW()))</f>
        <v/>
      </c>
      <c r="C315" s="8">
        <f>IF(INDEX(Banco!$C:$C,ROW())="","",INDEX(Banco!$C:$C,ROW()))</f>
        <v/>
      </c>
      <c r="D315" s="9">
        <f>IF(INDEX(Banco!$D:$D,ROW())="","",INDEX(Banco!$D:$D,ROW()))</f>
        <v/>
      </c>
      <c r="E315" s="9">
        <f>IF(INDEX(Banco!$E:$E,ROW())="","",INDEX(Banco!$E:$E,ROW()))</f>
        <v/>
      </c>
      <c r="F315" s="10">
        <f>IF(INDEX(Banco!$F:$F,ROW())="","",INDEX(Banco!$F:$F,ROW()))</f>
        <v/>
      </c>
      <c r="G315" s="10">
        <f>IF(INDEX(Banco!$G:$G,ROW())="","",INDEX(Banco!$G:$G,ROW()))</f>
        <v/>
      </c>
      <c r="H315" s="8">
        <f>IF(INDEX(Banco!$H:$H,ROW())="","",INDEX(Banco!$H:$H,ROW()))</f>
        <v/>
      </c>
      <c r="I315">
        <f>IF($T315="","",INT($T315/12)&amp;"a "&amp;MOD($T315,12)&amp;"m")</f>
        <v/>
      </c>
      <c r="J315" s="11">
        <f>IF(OR($F315="",$G315=""),"",ROUND($F315/($G315/100)^2,2))</f>
        <v/>
      </c>
      <c r="K315" s="12">
        <f>IF(OR($S315="",$J315="",$T315="",$T315&lt;0,$T315&gt;228,$Y315=""),"—",ROUND(IF(ABS($AB315)&lt;=3,$AB315,IF($AB315&gt;3,3+($J315-$AD315)/($AD315-$AC315),-3+($J315-$AF315)/($AE315-$AF315))),2))</f>
        <v/>
      </c>
      <c r="L315">
        <f>IF(OR($K315="",$K315="—"),"",IF($T315&lt;=60,IF($K315&lt;-3,"Magreza acentuada",IF($K315&lt;-2,"Magreza",IF($K315&lt;=1,"Eutrofia",IF($K315&lt;=2,"Risco de sobrepeso",IF($K315&lt;=3,"Sobrepeso","Obesidade"))))),IF($K315&lt;-3,"Magreza acentuada",IF($K315&lt;-2,"Magreza",IF($K315&lt;=1,"Eutrofia",IF($K315&lt;=2,"Sobrepeso",IF($K315&lt;=3,"Obesidade","Obesidade grave")))))))</f>
        <v/>
      </c>
      <c r="M315" s="12">
        <f>IF(OR($S315="",$V315="",$T315="",$T315&lt;0,$T315&gt;228,$AG315=""),"—",ROUND(IF($AG315=0,LN($V315/$AH315)/$AI315,((($V315/$AH315)^$AG315)-1)/($AG315*$AI315)),2))</f>
        <v/>
      </c>
      <c r="N315">
        <f>IF(OR($M315="",$M315="—"),"",IF($M315&lt;-3,"Muito baixa",IF($M315&lt;-2,"Baixa","Adequada")))</f>
        <v/>
      </c>
      <c r="O315" s="12">
        <f>IF(OR($S315="",$F315="",$T315="",$T315&lt;0,$T315&gt;120,$AJ315=""),"—",ROUND(IF(ABS($AM315)&lt;=3,$AM315,IF($AM315&gt;3,3+($F315-$AO315)/($AO315-$AN315),-3+($F315-$AQ315)/($AP315-$AQ315))),2))</f>
        <v/>
      </c>
      <c r="P315">
        <f>IF(OR($O315="",$O315="—"),"",IF($O315&lt;-3,"Muito baixo",IF($O315&lt;-2,"Baixo",IF($O315&lt;=2,"Adequado","Elevado"))))</f>
        <v/>
      </c>
      <c r="Q315" s="12">
        <f>IF(OR($S315="",$F315="",$T315="",$T315&lt;0,$T315&gt;60,$AR315=""),"—",ROUND(IF(ABS($AU315)&lt;=3,$AU315,IF($AU315&gt;3,3+($F315-$AW315)/($AW315-$AV315),-3+($F315-$AY315)/($AX315-$AY315))),2))</f>
        <v/>
      </c>
      <c r="R315">
        <f>IF(OR($Q315="",$Q315="—"),"",IF($Q315&lt;-3,"Magreza acentuada",IF($Q315&lt;-2,"Magreza",IF($Q315&lt;=1,"Eutrofia",IF($Q315&lt;=2,"Risco de sobrepeso",IF($Q315&lt;=3,"Sobrepeso","Obesidade"))))))</f>
        <v/>
      </c>
      <c r="S315">
        <f>IF($C315="","",IF(UPPER(LEFT($C315,1))="M",1,IF(UPPER(LEFT($C315,1))="F",2,"")))</f>
        <v/>
      </c>
      <c r="T315">
        <f>IF(OR($D315="",$E315=""),"",DATEDIF($D315,$E315,"m"))</f>
        <v/>
      </c>
      <c r="U315">
        <f>IF(OR($D315="",$E315=""),"",$E315-$D315)</f>
        <v/>
      </c>
      <c r="V315">
        <f>IF(OR($G315="",$T315=""),"",IF($T315&lt;24,IF(LEFT(LOWER($H315),4)="em p",$G315+0.7,$G315),IF(LEFT(LOWER($H315),4)="deit",$G315-0.7,$G315)))</f>
        <v/>
      </c>
      <c r="W315">
        <f>IF(OR($S315="",$T315=""),"",$S315*1000000+IF($T315&lt;=60,$U315,$T315))</f>
        <v/>
      </c>
      <c r="X315">
        <f>IF(OR($S315="",$V315="",$T315&gt;60,$T315=""),"",$S315*1000000+ROUND($V315*10,0))</f>
        <v/>
      </c>
      <c r="Y315">
        <f>IF($W315="","",IFERROR(INDEX(IF($T315&lt;=60,imc05_l,imc519_l),MATCH($W315,IF($T315&lt;=60,imc05_k,imc519_k),1)),""))</f>
        <v/>
      </c>
      <c r="Z315">
        <f>IF($W315="","",IFERROR(INDEX(IF($T315&lt;=60,imc05_m,imc519_m),MATCH($W315,IF($T315&lt;=60,imc05_k,imc519_k),1)),""))</f>
        <v/>
      </c>
      <c r="AA315">
        <f>IF($W315="","",IFERROR(INDEX(IF($T315&lt;=60,imc05_s,imc519_s),MATCH($W315,IF($T315&lt;=60,imc05_k,imc519_k),1)),""))</f>
        <v/>
      </c>
      <c r="AB315">
        <f>IF($Y315="","",IF($Y315=0,LN($J315/$Z315)/$AA315,((($J315/$Z315)^$Y315)-1)/($Y315*$AA315)))</f>
        <v/>
      </c>
      <c r="AC315">
        <f>IF($Y315="","",IF($Y315=0,$Z315*EXP($AA315*2),$Z315*(1+$Y315*$AA315*2)^(1/$Y315)))</f>
        <v/>
      </c>
      <c r="AD315">
        <f>IF($Y315="","",IF($Y315=0,$Z315*EXP($AA315*3),$Z315*(1+$Y315*$AA315*3)^(1/$Y315)))</f>
        <v/>
      </c>
      <c r="AE315">
        <f>IF($Y315="","",IF($Y315=0,$Z315*EXP($AA315*-2),$Z315*(1+$Y315*$AA315*-2)^(1/$Y315)))</f>
        <v/>
      </c>
      <c r="AF315">
        <f>IF($Y315="","",IF($Y315=0,$Z315*EXP($AA315*-3),$Z315*(1+$Y315*$AA315*-3)^(1/$Y315)))</f>
        <v/>
      </c>
      <c r="AG315">
        <f>IF($W315="","",IFERROR(INDEX(IF($T315&lt;=60,est05_l,est519_l),MATCH($W315,IF($T315&lt;=60,est05_k,est519_k),1)),""))</f>
        <v/>
      </c>
      <c r="AH315">
        <f>IF($W315="","",IFERROR(INDEX(IF($T315&lt;=60,est05_m,est519_m),MATCH($W315,IF($T315&lt;=60,est05_k,est519_k),1)),""))</f>
        <v/>
      </c>
      <c r="AI315">
        <f>IF($W315="","",IFERROR(INDEX(IF($T315&lt;=60,est05_s,est519_s),MATCH($W315,IF($T315&lt;=60,est05_k,est519_k),1)),""))</f>
        <v/>
      </c>
      <c r="AJ315">
        <f>IF($W315="","",IFERROR(INDEX(IF($T315&lt;=60,peso05_l,peso510_l),MATCH($W315,IF($T315&lt;=60,peso05_k,peso510_k),1)),""))</f>
        <v/>
      </c>
      <c r="AK315">
        <f>IF($W315="","",IFERROR(INDEX(IF($T315&lt;=60,peso05_m,peso510_m),MATCH($W315,IF($T315&lt;=60,peso05_k,peso510_k),1)),""))</f>
        <v/>
      </c>
      <c r="AL315">
        <f>IF($W315="","",IFERROR(INDEX(IF($T315&lt;=60,peso05_s,peso510_s),MATCH($W315,IF($T315&lt;=60,peso05_k,peso510_k),1)),""))</f>
        <v/>
      </c>
      <c r="AM315">
        <f>IF($AJ315="","",IF($AJ315=0,LN($F315/$AK315)/$AL315,((($F315/$AK315)^$AJ315)-1)/($AJ315*$AL315)))</f>
        <v/>
      </c>
      <c r="AN315">
        <f>IF($AJ315="","",IF($AJ315=0,$AK315*EXP($AL315*2),$AK315*(1+$AJ315*$AL315*2)^(1/$AJ315)))</f>
        <v/>
      </c>
      <c r="AO315">
        <f>IF($AJ315="","",IF($AJ315=0,$AK315*EXP($AL315*3),$AK315*(1+$AJ315*$AL315*3)^(1/$AJ315)))</f>
        <v/>
      </c>
      <c r="AP315">
        <f>IF($AJ315="","",IF($AJ315=0,$AK315*EXP($AL315*-2),$AK315*(1+$AJ315*$AL315*-2)^(1/$AJ315)))</f>
        <v/>
      </c>
      <c r="AQ315">
        <f>IF($AJ315="","",IF($AJ315=0,$AK315*EXP($AL315*-3),$AK315*(1+$AJ315*$AL315*-3)^(1/$AJ315)))</f>
        <v/>
      </c>
      <c r="AR315">
        <f>IF(OR($X315="",$T315&gt;60),"",IFERROR(INDEX(IF($T315&lt;24,pcomp_l,palt_l),MATCH($X315,IF($T315&lt;24,pcomp_k,palt_k),1)),""))</f>
        <v/>
      </c>
      <c r="AS315">
        <f>IF(OR($X315="",$T315&gt;60),"",IFERROR(INDEX(IF($T315&lt;24,pcomp_m,palt_m),MATCH($X315,IF($T315&lt;24,pcomp_k,palt_k),1)),""))</f>
        <v/>
      </c>
      <c r="AT315">
        <f>IF(OR($X315="",$T315&gt;60),"",IFERROR(INDEX(IF($T315&lt;24,pcomp_s,palt_s),MATCH($X315,IF($T315&lt;24,pcomp_k,palt_k),1)),""))</f>
        <v/>
      </c>
      <c r="AU315">
        <f>IF($AR315="","",IF($AR315=0,LN($F315/$AS315)/$AT315,((($F315/$AS315)^$AR315)-1)/($AR315*$AT315)))</f>
        <v/>
      </c>
      <c r="AV315">
        <f>IF($AR315="","",IF($AR315=0,$AS315*EXP($AT315*2),$AS315*(1+$AR315*$AT315*2)^(1/$AR315)))</f>
        <v/>
      </c>
      <c r="AW315">
        <f>IF($AR315="","",IF($AR315=0,$AS315*EXP($AT315*3),$AS315*(1+$AR315*$AT315*3)^(1/$AR315)))</f>
        <v/>
      </c>
      <c r="AX315">
        <f>IF($AR315="","",IF($AR315=0,$AS315*EXP($AT315*-2),$AS315*(1+$AR315*$AT315*-2)^(1/$AR315)))</f>
        <v/>
      </c>
      <c r="AY315">
        <f>IF($AR315="","",IF($AR315=0,$AS315*EXP($AT315*-3),$AS315*(1+$AR315*$AT315*-3)^(1/$AR315)))</f>
        <v/>
      </c>
      <c r="AZ315">
        <f>IF(OR($A315="",$A315&lt;&gt;Ficha!$C$4),"",COUNTIF($A$2:$A315,Ficha!$C$4))</f>
        <v/>
      </c>
    </row>
    <row r="316">
      <c r="A316" s="8">
        <f>IF(INDEX(Banco!$A:$A,ROW())="","",INDEX(Banco!$A:$A,ROW()))</f>
        <v/>
      </c>
      <c r="B316" s="8">
        <f>IF(INDEX(Banco!$B:$B,ROW())="","",INDEX(Banco!$B:$B,ROW()))</f>
        <v/>
      </c>
      <c r="C316" s="8">
        <f>IF(INDEX(Banco!$C:$C,ROW())="","",INDEX(Banco!$C:$C,ROW()))</f>
        <v/>
      </c>
      <c r="D316" s="9">
        <f>IF(INDEX(Banco!$D:$D,ROW())="","",INDEX(Banco!$D:$D,ROW()))</f>
        <v/>
      </c>
      <c r="E316" s="9">
        <f>IF(INDEX(Banco!$E:$E,ROW())="","",INDEX(Banco!$E:$E,ROW()))</f>
        <v/>
      </c>
      <c r="F316" s="10">
        <f>IF(INDEX(Banco!$F:$F,ROW())="","",INDEX(Banco!$F:$F,ROW()))</f>
        <v/>
      </c>
      <c r="G316" s="10">
        <f>IF(INDEX(Banco!$G:$G,ROW())="","",INDEX(Banco!$G:$G,ROW()))</f>
        <v/>
      </c>
      <c r="H316" s="8">
        <f>IF(INDEX(Banco!$H:$H,ROW())="","",INDEX(Banco!$H:$H,ROW()))</f>
        <v/>
      </c>
      <c r="I316">
        <f>IF($T316="","",INT($T316/12)&amp;"a "&amp;MOD($T316,12)&amp;"m")</f>
        <v/>
      </c>
      <c r="J316" s="11">
        <f>IF(OR($F316="",$G316=""),"",ROUND($F316/($G316/100)^2,2))</f>
        <v/>
      </c>
      <c r="K316" s="12">
        <f>IF(OR($S316="",$J316="",$T316="",$T316&lt;0,$T316&gt;228,$Y316=""),"—",ROUND(IF(ABS($AB316)&lt;=3,$AB316,IF($AB316&gt;3,3+($J316-$AD316)/($AD316-$AC316),-3+($J316-$AF316)/($AE316-$AF316))),2))</f>
        <v/>
      </c>
      <c r="L316">
        <f>IF(OR($K316="",$K316="—"),"",IF($T316&lt;=60,IF($K316&lt;-3,"Magreza acentuada",IF($K316&lt;-2,"Magreza",IF($K316&lt;=1,"Eutrofia",IF($K316&lt;=2,"Risco de sobrepeso",IF($K316&lt;=3,"Sobrepeso","Obesidade"))))),IF($K316&lt;-3,"Magreza acentuada",IF($K316&lt;-2,"Magreza",IF($K316&lt;=1,"Eutrofia",IF($K316&lt;=2,"Sobrepeso",IF($K316&lt;=3,"Obesidade","Obesidade grave")))))))</f>
        <v/>
      </c>
      <c r="M316" s="12">
        <f>IF(OR($S316="",$V316="",$T316="",$T316&lt;0,$T316&gt;228,$AG316=""),"—",ROUND(IF($AG316=0,LN($V316/$AH316)/$AI316,((($V316/$AH316)^$AG316)-1)/($AG316*$AI316)),2))</f>
        <v/>
      </c>
      <c r="N316">
        <f>IF(OR($M316="",$M316="—"),"",IF($M316&lt;-3,"Muito baixa",IF($M316&lt;-2,"Baixa","Adequada")))</f>
        <v/>
      </c>
      <c r="O316" s="12">
        <f>IF(OR($S316="",$F316="",$T316="",$T316&lt;0,$T316&gt;120,$AJ316=""),"—",ROUND(IF(ABS($AM316)&lt;=3,$AM316,IF($AM316&gt;3,3+($F316-$AO316)/($AO316-$AN316),-3+($F316-$AQ316)/($AP316-$AQ316))),2))</f>
        <v/>
      </c>
      <c r="P316">
        <f>IF(OR($O316="",$O316="—"),"",IF($O316&lt;-3,"Muito baixo",IF($O316&lt;-2,"Baixo",IF($O316&lt;=2,"Adequado","Elevado"))))</f>
        <v/>
      </c>
      <c r="Q316" s="12">
        <f>IF(OR($S316="",$F316="",$T316="",$T316&lt;0,$T316&gt;60,$AR316=""),"—",ROUND(IF(ABS($AU316)&lt;=3,$AU316,IF($AU316&gt;3,3+($F316-$AW316)/($AW316-$AV316),-3+($F316-$AY316)/($AX316-$AY316))),2))</f>
        <v/>
      </c>
      <c r="R316">
        <f>IF(OR($Q316="",$Q316="—"),"",IF($Q316&lt;-3,"Magreza acentuada",IF($Q316&lt;-2,"Magreza",IF($Q316&lt;=1,"Eutrofia",IF($Q316&lt;=2,"Risco de sobrepeso",IF($Q316&lt;=3,"Sobrepeso","Obesidade"))))))</f>
        <v/>
      </c>
      <c r="S316">
        <f>IF($C316="","",IF(UPPER(LEFT($C316,1))="M",1,IF(UPPER(LEFT($C316,1))="F",2,"")))</f>
        <v/>
      </c>
      <c r="T316">
        <f>IF(OR($D316="",$E316=""),"",DATEDIF($D316,$E316,"m"))</f>
        <v/>
      </c>
      <c r="U316">
        <f>IF(OR($D316="",$E316=""),"",$E316-$D316)</f>
        <v/>
      </c>
      <c r="V316">
        <f>IF(OR($G316="",$T316=""),"",IF($T316&lt;24,IF(LEFT(LOWER($H316),4)="em p",$G316+0.7,$G316),IF(LEFT(LOWER($H316),4)="deit",$G316-0.7,$G316)))</f>
        <v/>
      </c>
      <c r="W316">
        <f>IF(OR($S316="",$T316=""),"",$S316*1000000+IF($T316&lt;=60,$U316,$T316))</f>
        <v/>
      </c>
      <c r="X316">
        <f>IF(OR($S316="",$V316="",$T316&gt;60,$T316=""),"",$S316*1000000+ROUND($V316*10,0))</f>
        <v/>
      </c>
      <c r="Y316">
        <f>IF($W316="","",IFERROR(INDEX(IF($T316&lt;=60,imc05_l,imc519_l),MATCH($W316,IF($T316&lt;=60,imc05_k,imc519_k),1)),""))</f>
        <v/>
      </c>
      <c r="Z316">
        <f>IF($W316="","",IFERROR(INDEX(IF($T316&lt;=60,imc05_m,imc519_m),MATCH($W316,IF($T316&lt;=60,imc05_k,imc519_k),1)),""))</f>
        <v/>
      </c>
      <c r="AA316">
        <f>IF($W316="","",IFERROR(INDEX(IF($T316&lt;=60,imc05_s,imc519_s),MATCH($W316,IF($T316&lt;=60,imc05_k,imc519_k),1)),""))</f>
        <v/>
      </c>
      <c r="AB316">
        <f>IF($Y316="","",IF($Y316=0,LN($J316/$Z316)/$AA316,((($J316/$Z316)^$Y316)-1)/($Y316*$AA316)))</f>
        <v/>
      </c>
      <c r="AC316">
        <f>IF($Y316="","",IF($Y316=0,$Z316*EXP($AA316*2),$Z316*(1+$Y316*$AA316*2)^(1/$Y316)))</f>
        <v/>
      </c>
      <c r="AD316">
        <f>IF($Y316="","",IF($Y316=0,$Z316*EXP($AA316*3),$Z316*(1+$Y316*$AA316*3)^(1/$Y316)))</f>
        <v/>
      </c>
      <c r="AE316">
        <f>IF($Y316="","",IF($Y316=0,$Z316*EXP($AA316*-2),$Z316*(1+$Y316*$AA316*-2)^(1/$Y316)))</f>
        <v/>
      </c>
      <c r="AF316">
        <f>IF($Y316="","",IF($Y316=0,$Z316*EXP($AA316*-3),$Z316*(1+$Y316*$AA316*-3)^(1/$Y316)))</f>
        <v/>
      </c>
      <c r="AG316">
        <f>IF($W316="","",IFERROR(INDEX(IF($T316&lt;=60,est05_l,est519_l),MATCH($W316,IF($T316&lt;=60,est05_k,est519_k),1)),""))</f>
        <v/>
      </c>
      <c r="AH316">
        <f>IF($W316="","",IFERROR(INDEX(IF($T316&lt;=60,est05_m,est519_m),MATCH($W316,IF($T316&lt;=60,est05_k,est519_k),1)),""))</f>
        <v/>
      </c>
      <c r="AI316">
        <f>IF($W316="","",IFERROR(INDEX(IF($T316&lt;=60,est05_s,est519_s),MATCH($W316,IF($T316&lt;=60,est05_k,est519_k),1)),""))</f>
        <v/>
      </c>
      <c r="AJ316">
        <f>IF($W316="","",IFERROR(INDEX(IF($T316&lt;=60,peso05_l,peso510_l),MATCH($W316,IF($T316&lt;=60,peso05_k,peso510_k),1)),""))</f>
        <v/>
      </c>
      <c r="AK316">
        <f>IF($W316="","",IFERROR(INDEX(IF($T316&lt;=60,peso05_m,peso510_m),MATCH($W316,IF($T316&lt;=60,peso05_k,peso510_k),1)),""))</f>
        <v/>
      </c>
      <c r="AL316">
        <f>IF($W316="","",IFERROR(INDEX(IF($T316&lt;=60,peso05_s,peso510_s),MATCH($W316,IF($T316&lt;=60,peso05_k,peso510_k),1)),""))</f>
        <v/>
      </c>
      <c r="AM316">
        <f>IF($AJ316="","",IF($AJ316=0,LN($F316/$AK316)/$AL316,((($F316/$AK316)^$AJ316)-1)/($AJ316*$AL316)))</f>
        <v/>
      </c>
      <c r="AN316">
        <f>IF($AJ316="","",IF($AJ316=0,$AK316*EXP($AL316*2),$AK316*(1+$AJ316*$AL316*2)^(1/$AJ316)))</f>
        <v/>
      </c>
      <c r="AO316">
        <f>IF($AJ316="","",IF($AJ316=0,$AK316*EXP($AL316*3),$AK316*(1+$AJ316*$AL316*3)^(1/$AJ316)))</f>
        <v/>
      </c>
      <c r="AP316">
        <f>IF($AJ316="","",IF($AJ316=0,$AK316*EXP($AL316*-2),$AK316*(1+$AJ316*$AL316*-2)^(1/$AJ316)))</f>
        <v/>
      </c>
      <c r="AQ316">
        <f>IF($AJ316="","",IF($AJ316=0,$AK316*EXP($AL316*-3),$AK316*(1+$AJ316*$AL316*-3)^(1/$AJ316)))</f>
        <v/>
      </c>
      <c r="AR316">
        <f>IF(OR($X316="",$T316&gt;60),"",IFERROR(INDEX(IF($T316&lt;24,pcomp_l,palt_l),MATCH($X316,IF($T316&lt;24,pcomp_k,palt_k),1)),""))</f>
        <v/>
      </c>
      <c r="AS316">
        <f>IF(OR($X316="",$T316&gt;60),"",IFERROR(INDEX(IF($T316&lt;24,pcomp_m,palt_m),MATCH($X316,IF($T316&lt;24,pcomp_k,palt_k),1)),""))</f>
        <v/>
      </c>
      <c r="AT316">
        <f>IF(OR($X316="",$T316&gt;60),"",IFERROR(INDEX(IF($T316&lt;24,pcomp_s,palt_s),MATCH($X316,IF($T316&lt;24,pcomp_k,palt_k),1)),""))</f>
        <v/>
      </c>
      <c r="AU316">
        <f>IF($AR316="","",IF($AR316=0,LN($F316/$AS316)/$AT316,((($F316/$AS316)^$AR316)-1)/($AR316*$AT316)))</f>
        <v/>
      </c>
      <c r="AV316">
        <f>IF($AR316="","",IF($AR316=0,$AS316*EXP($AT316*2),$AS316*(1+$AR316*$AT316*2)^(1/$AR316)))</f>
        <v/>
      </c>
      <c r="AW316">
        <f>IF($AR316="","",IF($AR316=0,$AS316*EXP($AT316*3),$AS316*(1+$AR316*$AT316*3)^(1/$AR316)))</f>
        <v/>
      </c>
      <c r="AX316">
        <f>IF($AR316="","",IF($AR316=0,$AS316*EXP($AT316*-2),$AS316*(1+$AR316*$AT316*-2)^(1/$AR316)))</f>
        <v/>
      </c>
      <c r="AY316">
        <f>IF($AR316="","",IF($AR316=0,$AS316*EXP($AT316*-3),$AS316*(1+$AR316*$AT316*-3)^(1/$AR316)))</f>
        <v/>
      </c>
      <c r="AZ316">
        <f>IF(OR($A316="",$A316&lt;&gt;Ficha!$C$4),"",COUNTIF($A$2:$A316,Ficha!$C$4))</f>
        <v/>
      </c>
    </row>
    <row r="317">
      <c r="A317" s="8">
        <f>IF(INDEX(Banco!$A:$A,ROW())="","",INDEX(Banco!$A:$A,ROW()))</f>
        <v/>
      </c>
      <c r="B317" s="8">
        <f>IF(INDEX(Banco!$B:$B,ROW())="","",INDEX(Banco!$B:$B,ROW()))</f>
        <v/>
      </c>
      <c r="C317" s="8">
        <f>IF(INDEX(Banco!$C:$C,ROW())="","",INDEX(Banco!$C:$C,ROW()))</f>
        <v/>
      </c>
      <c r="D317" s="9">
        <f>IF(INDEX(Banco!$D:$D,ROW())="","",INDEX(Banco!$D:$D,ROW()))</f>
        <v/>
      </c>
      <c r="E317" s="9">
        <f>IF(INDEX(Banco!$E:$E,ROW())="","",INDEX(Banco!$E:$E,ROW()))</f>
        <v/>
      </c>
      <c r="F317" s="10">
        <f>IF(INDEX(Banco!$F:$F,ROW())="","",INDEX(Banco!$F:$F,ROW()))</f>
        <v/>
      </c>
      <c r="G317" s="10">
        <f>IF(INDEX(Banco!$G:$G,ROW())="","",INDEX(Banco!$G:$G,ROW()))</f>
        <v/>
      </c>
      <c r="H317" s="8">
        <f>IF(INDEX(Banco!$H:$H,ROW())="","",INDEX(Banco!$H:$H,ROW()))</f>
        <v/>
      </c>
      <c r="I317">
        <f>IF($T317="","",INT($T317/12)&amp;"a "&amp;MOD($T317,12)&amp;"m")</f>
        <v/>
      </c>
      <c r="J317" s="11">
        <f>IF(OR($F317="",$G317=""),"",ROUND($F317/($G317/100)^2,2))</f>
        <v/>
      </c>
      <c r="K317" s="12">
        <f>IF(OR($S317="",$J317="",$T317="",$T317&lt;0,$T317&gt;228,$Y317=""),"—",ROUND(IF(ABS($AB317)&lt;=3,$AB317,IF($AB317&gt;3,3+($J317-$AD317)/($AD317-$AC317),-3+($J317-$AF317)/($AE317-$AF317))),2))</f>
        <v/>
      </c>
      <c r="L317">
        <f>IF(OR($K317="",$K317="—"),"",IF($T317&lt;=60,IF($K317&lt;-3,"Magreza acentuada",IF($K317&lt;-2,"Magreza",IF($K317&lt;=1,"Eutrofia",IF($K317&lt;=2,"Risco de sobrepeso",IF($K317&lt;=3,"Sobrepeso","Obesidade"))))),IF($K317&lt;-3,"Magreza acentuada",IF($K317&lt;-2,"Magreza",IF($K317&lt;=1,"Eutrofia",IF($K317&lt;=2,"Sobrepeso",IF($K317&lt;=3,"Obesidade","Obesidade grave")))))))</f>
        <v/>
      </c>
      <c r="M317" s="12">
        <f>IF(OR($S317="",$V317="",$T317="",$T317&lt;0,$T317&gt;228,$AG317=""),"—",ROUND(IF($AG317=0,LN($V317/$AH317)/$AI317,((($V317/$AH317)^$AG317)-1)/($AG317*$AI317)),2))</f>
        <v/>
      </c>
      <c r="N317">
        <f>IF(OR($M317="",$M317="—"),"",IF($M317&lt;-3,"Muito baixa",IF($M317&lt;-2,"Baixa","Adequada")))</f>
        <v/>
      </c>
      <c r="O317" s="12">
        <f>IF(OR($S317="",$F317="",$T317="",$T317&lt;0,$T317&gt;120,$AJ317=""),"—",ROUND(IF(ABS($AM317)&lt;=3,$AM317,IF($AM317&gt;3,3+($F317-$AO317)/($AO317-$AN317),-3+($F317-$AQ317)/($AP317-$AQ317))),2))</f>
        <v/>
      </c>
      <c r="P317">
        <f>IF(OR($O317="",$O317="—"),"",IF($O317&lt;-3,"Muito baixo",IF($O317&lt;-2,"Baixo",IF($O317&lt;=2,"Adequado","Elevado"))))</f>
        <v/>
      </c>
      <c r="Q317" s="12">
        <f>IF(OR($S317="",$F317="",$T317="",$T317&lt;0,$T317&gt;60,$AR317=""),"—",ROUND(IF(ABS($AU317)&lt;=3,$AU317,IF($AU317&gt;3,3+($F317-$AW317)/($AW317-$AV317),-3+($F317-$AY317)/($AX317-$AY317))),2))</f>
        <v/>
      </c>
      <c r="R317">
        <f>IF(OR($Q317="",$Q317="—"),"",IF($Q317&lt;-3,"Magreza acentuada",IF($Q317&lt;-2,"Magreza",IF($Q317&lt;=1,"Eutrofia",IF($Q317&lt;=2,"Risco de sobrepeso",IF($Q317&lt;=3,"Sobrepeso","Obesidade"))))))</f>
        <v/>
      </c>
      <c r="S317">
        <f>IF($C317="","",IF(UPPER(LEFT($C317,1))="M",1,IF(UPPER(LEFT($C317,1))="F",2,"")))</f>
        <v/>
      </c>
      <c r="T317">
        <f>IF(OR($D317="",$E317=""),"",DATEDIF($D317,$E317,"m"))</f>
        <v/>
      </c>
      <c r="U317">
        <f>IF(OR($D317="",$E317=""),"",$E317-$D317)</f>
        <v/>
      </c>
      <c r="V317">
        <f>IF(OR($G317="",$T317=""),"",IF($T317&lt;24,IF(LEFT(LOWER($H317),4)="em p",$G317+0.7,$G317),IF(LEFT(LOWER($H317),4)="deit",$G317-0.7,$G317)))</f>
        <v/>
      </c>
      <c r="W317">
        <f>IF(OR($S317="",$T317=""),"",$S317*1000000+IF($T317&lt;=60,$U317,$T317))</f>
        <v/>
      </c>
      <c r="X317">
        <f>IF(OR($S317="",$V317="",$T317&gt;60,$T317=""),"",$S317*1000000+ROUND($V317*10,0))</f>
        <v/>
      </c>
      <c r="Y317">
        <f>IF($W317="","",IFERROR(INDEX(IF($T317&lt;=60,imc05_l,imc519_l),MATCH($W317,IF($T317&lt;=60,imc05_k,imc519_k),1)),""))</f>
        <v/>
      </c>
      <c r="Z317">
        <f>IF($W317="","",IFERROR(INDEX(IF($T317&lt;=60,imc05_m,imc519_m),MATCH($W317,IF($T317&lt;=60,imc05_k,imc519_k),1)),""))</f>
        <v/>
      </c>
      <c r="AA317">
        <f>IF($W317="","",IFERROR(INDEX(IF($T317&lt;=60,imc05_s,imc519_s),MATCH($W317,IF($T317&lt;=60,imc05_k,imc519_k),1)),""))</f>
        <v/>
      </c>
      <c r="AB317">
        <f>IF($Y317="","",IF($Y317=0,LN($J317/$Z317)/$AA317,((($J317/$Z317)^$Y317)-1)/($Y317*$AA317)))</f>
        <v/>
      </c>
      <c r="AC317">
        <f>IF($Y317="","",IF($Y317=0,$Z317*EXP($AA317*2),$Z317*(1+$Y317*$AA317*2)^(1/$Y317)))</f>
        <v/>
      </c>
      <c r="AD317">
        <f>IF($Y317="","",IF($Y317=0,$Z317*EXP($AA317*3),$Z317*(1+$Y317*$AA317*3)^(1/$Y317)))</f>
        <v/>
      </c>
      <c r="AE317">
        <f>IF($Y317="","",IF($Y317=0,$Z317*EXP($AA317*-2),$Z317*(1+$Y317*$AA317*-2)^(1/$Y317)))</f>
        <v/>
      </c>
      <c r="AF317">
        <f>IF($Y317="","",IF($Y317=0,$Z317*EXP($AA317*-3),$Z317*(1+$Y317*$AA317*-3)^(1/$Y317)))</f>
        <v/>
      </c>
      <c r="AG317">
        <f>IF($W317="","",IFERROR(INDEX(IF($T317&lt;=60,est05_l,est519_l),MATCH($W317,IF($T317&lt;=60,est05_k,est519_k),1)),""))</f>
        <v/>
      </c>
      <c r="AH317">
        <f>IF($W317="","",IFERROR(INDEX(IF($T317&lt;=60,est05_m,est519_m),MATCH($W317,IF($T317&lt;=60,est05_k,est519_k),1)),""))</f>
        <v/>
      </c>
      <c r="AI317">
        <f>IF($W317="","",IFERROR(INDEX(IF($T317&lt;=60,est05_s,est519_s),MATCH($W317,IF($T317&lt;=60,est05_k,est519_k),1)),""))</f>
        <v/>
      </c>
      <c r="AJ317">
        <f>IF($W317="","",IFERROR(INDEX(IF($T317&lt;=60,peso05_l,peso510_l),MATCH($W317,IF($T317&lt;=60,peso05_k,peso510_k),1)),""))</f>
        <v/>
      </c>
      <c r="AK317">
        <f>IF($W317="","",IFERROR(INDEX(IF($T317&lt;=60,peso05_m,peso510_m),MATCH($W317,IF($T317&lt;=60,peso05_k,peso510_k),1)),""))</f>
        <v/>
      </c>
      <c r="AL317">
        <f>IF($W317="","",IFERROR(INDEX(IF($T317&lt;=60,peso05_s,peso510_s),MATCH($W317,IF($T317&lt;=60,peso05_k,peso510_k),1)),""))</f>
        <v/>
      </c>
      <c r="AM317">
        <f>IF($AJ317="","",IF($AJ317=0,LN($F317/$AK317)/$AL317,((($F317/$AK317)^$AJ317)-1)/($AJ317*$AL317)))</f>
        <v/>
      </c>
      <c r="AN317">
        <f>IF($AJ317="","",IF($AJ317=0,$AK317*EXP($AL317*2),$AK317*(1+$AJ317*$AL317*2)^(1/$AJ317)))</f>
        <v/>
      </c>
      <c r="AO317">
        <f>IF($AJ317="","",IF($AJ317=0,$AK317*EXP($AL317*3),$AK317*(1+$AJ317*$AL317*3)^(1/$AJ317)))</f>
        <v/>
      </c>
      <c r="AP317">
        <f>IF($AJ317="","",IF($AJ317=0,$AK317*EXP($AL317*-2),$AK317*(1+$AJ317*$AL317*-2)^(1/$AJ317)))</f>
        <v/>
      </c>
      <c r="AQ317">
        <f>IF($AJ317="","",IF($AJ317=0,$AK317*EXP($AL317*-3),$AK317*(1+$AJ317*$AL317*-3)^(1/$AJ317)))</f>
        <v/>
      </c>
      <c r="AR317">
        <f>IF(OR($X317="",$T317&gt;60),"",IFERROR(INDEX(IF($T317&lt;24,pcomp_l,palt_l),MATCH($X317,IF($T317&lt;24,pcomp_k,palt_k),1)),""))</f>
        <v/>
      </c>
      <c r="AS317">
        <f>IF(OR($X317="",$T317&gt;60),"",IFERROR(INDEX(IF($T317&lt;24,pcomp_m,palt_m),MATCH($X317,IF($T317&lt;24,pcomp_k,palt_k),1)),""))</f>
        <v/>
      </c>
      <c r="AT317">
        <f>IF(OR($X317="",$T317&gt;60),"",IFERROR(INDEX(IF($T317&lt;24,pcomp_s,palt_s),MATCH($X317,IF($T317&lt;24,pcomp_k,palt_k),1)),""))</f>
        <v/>
      </c>
      <c r="AU317">
        <f>IF($AR317="","",IF($AR317=0,LN($F317/$AS317)/$AT317,((($F317/$AS317)^$AR317)-1)/($AR317*$AT317)))</f>
        <v/>
      </c>
      <c r="AV317">
        <f>IF($AR317="","",IF($AR317=0,$AS317*EXP($AT317*2),$AS317*(1+$AR317*$AT317*2)^(1/$AR317)))</f>
        <v/>
      </c>
      <c r="AW317">
        <f>IF($AR317="","",IF($AR317=0,$AS317*EXP($AT317*3),$AS317*(1+$AR317*$AT317*3)^(1/$AR317)))</f>
        <v/>
      </c>
      <c r="AX317">
        <f>IF($AR317="","",IF($AR317=0,$AS317*EXP($AT317*-2),$AS317*(1+$AR317*$AT317*-2)^(1/$AR317)))</f>
        <v/>
      </c>
      <c r="AY317">
        <f>IF($AR317="","",IF($AR317=0,$AS317*EXP($AT317*-3),$AS317*(1+$AR317*$AT317*-3)^(1/$AR317)))</f>
        <v/>
      </c>
      <c r="AZ317">
        <f>IF(OR($A317="",$A317&lt;&gt;Ficha!$C$4),"",COUNTIF($A$2:$A317,Ficha!$C$4))</f>
        <v/>
      </c>
    </row>
    <row r="318">
      <c r="A318" s="8">
        <f>IF(INDEX(Banco!$A:$A,ROW())="","",INDEX(Banco!$A:$A,ROW()))</f>
        <v/>
      </c>
      <c r="B318" s="8">
        <f>IF(INDEX(Banco!$B:$B,ROW())="","",INDEX(Banco!$B:$B,ROW()))</f>
        <v/>
      </c>
      <c r="C318" s="8">
        <f>IF(INDEX(Banco!$C:$C,ROW())="","",INDEX(Banco!$C:$C,ROW()))</f>
        <v/>
      </c>
      <c r="D318" s="9">
        <f>IF(INDEX(Banco!$D:$D,ROW())="","",INDEX(Banco!$D:$D,ROW()))</f>
        <v/>
      </c>
      <c r="E318" s="9">
        <f>IF(INDEX(Banco!$E:$E,ROW())="","",INDEX(Banco!$E:$E,ROW()))</f>
        <v/>
      </c>
      <c r="F318" s="10">
        <f>IF(INDEX(Banco!$F:$F,ROW())="","",INDEX(Banco!$F:$F,ROW()))</f>
        <v/>
      </c>
      <c r="G318" s="10">
        <f>IF(INDEX(Banco!$G:$G,ROW())="","",INDEX(Banco!$G:$G,ROW()))</f>
        <v/>
      </c>
      <c r="H318" s="8">
        <f>IF(INDEX(Banco!$H:$H,ROW())="","",INDEX(Banco!$H:$H,ROW()))</f>
        <v/>
      </c>
      <c r="I318">
        <f>IF($T318="","",INT($T318/12)&amp;"a "&amp;MOD($T318,12)&amp;"m")</f>
        <v/>
      </c>
      <c r="J318" s="11">
        <f>IF(OR($F318="",$G318=""),"",ROUND($F318/($G318/100)^2,2))</f>
        <v/>
      </c>
      <c r="K318" s="12">
        <f>IF(OR($S318="",$J318="",$T318="",$T318&lt;0,$T318&gt;228,$Y318=""),"—",ROUND(IF(ABS($AB318)&lt;=3,$AB318,IF($AB318&gt;3,3+($J318-$AD318)/($AD318-$AC318),-3+($J318-$AF318)/($AE318-$AF318))),2))</f>
        <v/>
      </c>
      <c r="L318">
        <f>IF(OR($K318="",$K318="—"),"",IF($T318&lt;=60,IF($K318&lt;-3,"Magreza acentuada",IF($K318&lt;-2,"Magreza",IF($K318&lt;=1,"Eutrofia",IF($K318&lt;=2,"Risco de sobrepeso",IF($K318&lt;=3,"Sobrepeso","Obesidade"))))),IF($K318&lt;-3,"Magreza acentuada",IF($K318&lt;-2,"Magreza",IF($K318&lt;=1,"Eutrofia",IF($K318&lt;=2,"Sobrepeso",IF($K318&lt;=3,"Obesidade","Obesidade grave")))))))</f>
        <v/>
      </c>
      <c r="M318" s="12">
        <f>IF(OR($S318="",$V318="",$T318="",$T318&lt;0,$T318&gt;228,$AG318=""),"—",ROUND(IF($AG318=0,LN($V318/$AH318)/$AI318,((($V318/$AH318)^$AG318)-1)/($AG318*$AI318)),2))</f>
        <v/>
      </c>
      <c r="N318">
        <f>IF(OR($M318="",$M318="—"),"",IF($M318&lt;-3,"Muito baixa",IF($M318&lt;-2,"Baixa","Adequada")))</f>
        <v/>
      </c>
      <c r="O318" s="12">
        <f>IF(OR($S318="",$F318="",$T318="",$T318&lt;0,$T318&gt;120,$AJ318=""),"—",ROUND(IF(ABS($AM318)&lt;=3,$AM318,IF($AM318&gt;3,3+($F318-$AO318)/($AO318-$AN318),-3+($F318-$AQ318)/($AP318-$AQ318))),2))</f>
        <v/>
      </c>
      <c r="P318">
        <f>IF(OR($O318="",$O318="—"),"",IF($O318&lt;-3,"Muito baixo",IF($O318&lt;-2,"Baixo",IF($O318&lt;=2,"Adequado","Elevado"))))</f>
        <v/>
      </c>
      <c r="Q318" s="12">
        <f>IF(OR($S318="",$F318="",$T318="",$T318&lt;0,$T318&gt;60,$AR318=""),"—",ROUND(IF(ABS($AU318)&lt;=3,$AU318,IF($AU318&gt;3,3+($F318-$AW318)/($AW318-$AV318),-3+($F318-$AY318)/($AX318-$AY318))),2))</f>
        <v/>
      </c>
      <c r="R318">
        <f>IF(OR($Q318="",$Q318="—"),"",IF($Q318&lt;-3,"Magreza acentuada",IF($Q318&lt;-2,"Magreza",IF($Q318&lt;=1,"Eutrofia",IF($Q318&lt;=2,"Risco de sobrepeso",IF($Q318&lt;=3,"Sobrepeso","Obesidade"))))))</f>
        <v/>
      </c>
      <c r="S318">
        <f>IF($C318="","",IF(UPPER(LEFT($C318,1))="M",1,IF(UPPER(LEFT($C318,1))="F",2,"")))</f>
        <v/>
      </c>
      <c r="T318">
        <f>IF(OR($D318="",$E318=""),"",DATEDIF($D318,$E318,"m"))</f>
        <v/>
      </c>
      <c r="U318">
        <f>IF(OR($D318="",$E318=""),"",$E318-$D318)</f>
        <v/>
      </c>
      <c r="V318">
        <f>IF(OR($G318="",$T318=""),"",IF($T318&lt;24,IF(LEFT(LOWER($H318),4)="em p",$G318+0.7,$G318),IF(LEFT(LOWER($H318),4)="deit",$G318-0.7,$G318)))</f>
        <v/>
      </c>
      <c r="W318">
        <f>IF(OR($S318="",$T318=""),"",$S318*1000000+IF($T318&lt;=60,$U318,$T318))</f>
        <v/>
      </c>
      <c r="X318">
        <f>IF(OR($S318="",$V318="",$T318&gt;60,$T318=""),"",$S318*1000000+ROUND($V318*10,0))</f>
        <v/>
      </c>
      <c r="Y318">
        <f>IF($W318="","",IFERROR(INDEX(IF($T318&lt;=60,imc05_l,imc519_l),MATCH($W318,IF($T318&lt;=60,imc05_k,imc519_k),1)),""))</f>
        <v/>
      </c>
      <c r="Z318">
        <f>IF($W318="","",IFERROR(INDEX(IF($T318&lt;=60,imc05_m,imc519_m),MATCH($W318,IF($T318&lt;=60,imc05_k,imc519_k),1)),""))</f>
        <v/>
      </c>
      <c r="AA318">
        <f>IF($W318="","",IFERROR(INDEX(IF($T318&lt;=60,imc05_s,imc519_s),MATCH($W318,IF($T318&lt;=60,imc05_k,imc519_k),1)),""))</f>
        <v/>
      </c>
      <c r="AB318">
        <f>IF($Y318="","",IF($Y318=0,LN($J318/$Z318)/$AA318,((($J318/$Z318)^$Y318)-1)/($Y318*$AA318)))</f>
        <v/>
      </c>
      <c r="AC318">
        <f>IF($Y318="","",IF($Y318=0,$Z318*EXP($AA318*2),$Z318*(1+$Y318*$AA318*2)^(1/$Y318)))</f>
        <v/>
      </c>
      <c r="AD318">
        <f>IF($Y318="","",IF($Y318=0,$Z318*EXP($AA318*3),$Z318*(1+$Y318*$AA318*3)^(1/$Y318)))</f>
        <v/>
      </c>
      <c r="AE318">
        <f>IF($Y318="","",IF($Y318=0,$Z318*EXP($AA318*-2),$Z318*(1+$Y318*$AA318*-2)^(1/$Y318)))</f>
        <v/>
      </c>
      <c r="AF318">
        <f>IF($Y318="","",IF($Y318=0,$Z318*EXP($AA318*-3),$Z318*(1+$Y318*$AA318*-3)^(1/$Y318)))</f>
        <v/>
      </c>
      <c r="AG318">
        <f>IF($W318="","",IFERROR(INDEX(IF($T318&lt;=60,est05_l,est519_l),MATCH($W318,IF($T318&lt;=60,est05_k,est519_k),1)),""))</f>
        <v/>
      </c>
      <c r="AH318">
        <f>IF($W318="","",IFERROR(INDEX(IF($T318&lt;=60,est05_m,est519_m),MATCH($W318,IF($T318&lt;=60,est05_k,est519_k),1)),""))</f>
        <v/>
      </c>
      <c r="AI318">
        <f>IF($W318="","",IFERROR(INDEX(IF($T318&lt;=60,est05_s,est519_s),MATCH($W318,IF($T318&lt;=60,est05_k,est519_k),1)),""))</f>
        <v/>
      </c>
      <c r="AJ318">
        <f>IF($W318="","",IFERROR(INDEX(IF($T318&lt;=60,peso05_l,peso510_l),MATCH($W318,IF($T318&lt;=60,peso05_k,peso510_k),1)),""))</f>
        <v/>
      </c>
      <c r="AK318">
        <f>IF($W318="","",IFERROR(INDEX(IF($T318&lt;=60,peso05_m,peso510_m),MATCH($W318,IF($T318&lt;=60,peso05_k,peso510_k),1)),""))</f>
        <v/>
      </c>
      <c r="AL318">
        <f>IF($W318="","",IFERROR(INDEX(IF($T318&lt;=60,peso05_s,peso510_s),MATCH($W318,IF($T318&lt;=60,peso05_k,peso510_k),1)),""))</f>
        <v/>
      </c>
      <c r="AM318">
        <f>IF($AJ318="","",IF($AJ318=0,LN($F318/$AK318)/$AL318,((($F318/$AK318)^$AJ318)-1)/($AJ318*$AL318)))</f>
        <v/>
      </c>
      <c r="AN318">
        <f>IF($AJ318="","",IF($AJ318=0,$AK318*EXP($AL318*2),$AK318*(1+$AJ318*$AL318*2)^(1/$AJ318)))</f>
        <v/>
      </c>
      <c r="AO318">
        <f>IF($AJ318="","",IF($AJ318=0,$AK318*EXP($AL318*3),$AK318*(1+$AJ318*$AL318*3)^(1/$AJ318)))</f>
        <v/>
      </c>
      <c r="AP318">
        <f>IF($AJ318="","",IF($AJ318=0,$AK318*EXP($AL318*-2),$AK318*(1+$AJ318*$AL318*-2)^(1/$AJ318)))</f>
        <v/>
      </c>
      <c r="AQ318">
        <f>IF($AJ318="","",IF($AJ318=0,$AK318*EXP($AL318*-3),$AK318*(1+$AJ318*$AL318*-3)^(1/$AJ318)))</f>
        <v/>
      </c>
      <c r="AR318">
        <f>IF(OR($X318="",$T318&gt;60),"",IFERROR(INDEX(IF($T318&lt;24,pcomp_l,palt_l),MATCH($X318,IF($T318&lt;24,pcomp_k,palt_k),1)),""))</f>
        <v/>
      </c>
      <c r="AS318">
        <f>IF(OR($X318="",$T318&gt;60),"",IFERROR(INDEX(IF($T318&lt;24,pcomp_m,palt_m),MATCH($X318,IF($T318&lt;24,pcomp_k,palt_k),1)),""))</f>
        <v/>
      </c>
      <c r="AT318">
        <f>IF(OR($X318="",$T318&gt;60),"",IFERROR(INDEX(IF($T318&lt;24,pcomp_s,palt_s),MATCH($X318,IF($T318&lt;24,pcomp_k,palt_k),1)),""))</f>
        <v/>
      </c>
      <c r="AU318">
        <f>IF($AR318="","",IF($AR318=0,LN($F318/$AS318)/$AT318,((($F318/$AS318)^$AR318)-1)/($AR318*$AT318)))</f>
        <v/>
      </c>
      <c r="AV318">
        <f>IF($AR318="","",IF($AR318=0,$AS318*EXP($AT318*2),$AS318*(1+$AR318*$AT318*2)^(1/$AR318)))</f>
        <v/>
      </c>
      <c r="AW318">
        <f>IF($AR318="","",IF($AR318=0,$AS318*EXP($AT318*3),$AS318*(1+$AR318*$AT318*3)^(1/$AR318)))</f>
        <v/>
      </c>
      <c r="AX318">
        <f>IF($AR318="","",IF($AR318=0,$AS318*EXP($AT318*-2),$AS318*(1+$AR318*$AT318*-2)^(1/$AR318)))</f>
        <v/>
      </c>
      <c r="AY318">
        <f>IF($AR318="","",IF($AR318=0,$AS318*EXP($AT318*-3),$AS318*(1+$AR318*$AT318*-3)^(1/$AR318)))</f>
        <v/>
      </c>
      <c r="AZ318">
        <f>IF(OR($A318="",$A318&lt;&gt;Ficha!$C$4),"",COUNTIF($A$2:$A318,Ficha!$C$4))</f>
        <v/>
      </c>
    </row>
    <row r="319">
      <c r="A319" s="8">
        <f>IF(INDEX(Banco!$A:$A,ROW())="","",INDEX(Banco!$A:$A,ROW()))</f>
        <v/>
      </c>
      <c r="B319" s="8">
        <f>IF(INDEX(Banco!$B:$B,ROW())="","",INDEX(Banco!$B:$B,ROW()))</f>
        <v/>
      </c>
      <c r="C319" s="8">
        <f>IF(INDEX(Banco!$C:$C,ROW())="","",INDEX(Banco!$C:$C,ROW()))</f>
        <v/>
      </c>
      <c r="D319" s="9">
        <f>IF(INDEX(Banco!$D:$D,ROW())="","",INDEX(Banco!$D:$D,ROW()))</f>
        <v/>
      </c>
      <c r="E319" s="9">
        <f>IF(INDEX(Banco!$E:$E,ROW())="","",INDEX(Banco!$E:$E,ROW()))</f>
        <v/>
      </c>
      <c r="F319" s="10">
        <f>IF(INDEX(Banco!$F:$F,ROW())="","",INDEX(Banco!$F:$F,ROW()))</f>
        <v/>
      </c>
      <c r="G319" s="10">
        <f>IF(INDEX(Banco!$G:$G,ROW())="","",INDEX(Banco!$G:$G,ROW()))</f>
        <v/>
      </c>
      <c r="H319" s="8">
        <f>IF(INDEX(Banco!$H:$H,ROW())="","",INDEX(Banco!$H:$H,ROW()))</f>
        <v/>
      </c>
      <c r="I319">
        <f>IF($T319="","",INT($T319/12)&amp;"a "&amp;MOD($T319,12)&amp;"m")</f>
        <v/>
      </c>
      <c r="J319" s="11">
        <f>IF(OR($F319="",$G319=""),"",ROUND($F319/($G319/100)^2,2))</f>
        <v/>
      </c>
      <c r="K319" s="12">
        <f>IF(OR($S319="",$J319="",$T319="",$T319&lt;0,$T319&gt;228,$Y319=""),"—",ROUND(IF(ABS($AB319)&lt;=3,$AB319,IF($AB319&gt;3,3+($J319-$AD319)/($AD319-$AC319),-3+($J319-$AF319)/($AE319-$AF319))),2))</f>
        <v/>
      </c>
      <c r="L319">
        <f>IF(OR($K319="",$K319="—"),"",IF($T319&lt;=60,IF($K319&lt;-3,"Magreza acentuada",IF($K319&lt;-2,"Magreza",IF($K319&lt;=1,"Eutrofia",IF($K319&lt;=2,"Risco de sobrepeso",IF($K319&lt;=3,"Sobrepeso","Obesidade"))))),IF($K319&lt;-3,"Magreza acentuada",IF($K319&lt;-2,"Magreza",IF($K319&lt;=1,"Eutrofia",IF($K319&lt;=2,"Sobrepeso",IF($K319&lt;=3,"Obesidade","Obesidade grave")))))))</f>
        <v/>
      </c>
      <c r="M319" s="12">
        <f>IF(OR($S319="",$V319="",$T319="",$T319&lt;0,$T319&gt;228,$AG319=""),"—",ROUND(IF($AG319=0,LN($V319/$AH319)/$AI319,((($V319/$AH319)^$AG319)-1)/($AG319*$AI319)),2))</f>
        <v/>
      </c>
      <c r="N319">
        <f>IF(OR($M319="",$M319="—"),"",IF($M319&lt;-3,"Muito baixa",IF($M319&lt;-2,"Baixa","Adequada")))</f>
        <v/>
      </c>
      <c r="O319" s="12">
        <f>IF(OR($S319="",$F319="",$T319="",$T319&lt;0,$T319&gt;120,$AJ319=""),"—",ROUND(IF(ABS($AM319)&lt;=3,$AM319,IF($AM319&gt;3,3+($F319-$AO319)/($AO319-$AN319),-3+($F319-$AQ319)/($AP319-$AQ319))),2))</f>
        <v/>
      </c>
      <c r="P319">
        <f>IF(OR($O319="",$O319="—"),"",IF($O319&lt;-3,"Muito baixo",IF($O319&lt;-2,"Baixo",IF($O319&lt;=2,"Adequado","Elevado"))))</f>
        <v/>
      </c>
      <c r="Q319" s="12">
        <f>IF(OR($S319="",$F319="",$T319="",$T319&lt;0,$T319&gt;60,$AR319=""),"—",ROUND(IF(ABS($AU319)&lt;=3,$AU319,IF($AU319&gt;3,3+($F319-$AW319)/($AW319-$AV319),-3+($F319-$AY319)/($AX319-$AY319))),2))</f>
        <v/>
      </c>
      <c r="R319">
        <f>IF(OR($Q319="",$Q319="—"),"",IF($Q319&lt;-3,"Magreza acentuada",IF($Q319&lt;-2,"Magreza",IF($Q319&lt;=1,"Eutrofia",IF($Q319&lt;=2,"Risco de sobrepeso",IF($Q319&lt;=3,"Sobrepeso","Obesidade"))))))</f>
        <v/>
      </c>
      <c r="S319">
        <f>IF($C319="","",IF(UPPER(LEFT($C319,1))="M",1,IF(UPPER(LEFT($C319,1))="F",2,"")))</f>
        <v/>
      </c>
      <c r="T319">
        <f>IF(OR($D319="",$E319=""),"",DATEDIF($D319,$E319,"m"))</f>
        <v/>
      </c>
      <c r="U319">
        <f>IF(OR($D319="",$E319=""),"",$E319-$D319)</f>
        <v/>
      </c>
      <c r="V319">
        <f>IF(OR($G319="",$T319=""),"",IF($T319&lt;24,IF(LEFT(LOWER($H319),4)="em p",$G319+0.7,$G319),IF(LEFT(LOWER($H319),4)="deit",$G319-0.7,$G319)))</f>
        <v/>
      </c>
      <c r="W319">
        <f>IF(OR($S319="",$T319=""),"",$S319*1000000+IF($T319&lt;=60,$U319,$T319))</f>
        <v/>
      </c>
      <c r="X319">
        <f>IF(OR($S319="",$V319="",$T319&gt;60,$T319=""),"",$S319*1000000+ROUND($V319*10,0))</f>
        <v/>
      </c>
      <c r="Y319">
        <f>IF($W319="","",IFERROR(INDEX(IF($T319&lt;=60,imc05_l,imc519_l),MATCH($W319,IF($T319&lt;=60,imc05_k,imc519_k),1)),""))</f>
        <v/>
      </c>
      <c r="Z319">
        <f>IF($W319="","",IFERROR(INDEX(IF($T319&lt;=60,imc05_m,imc519_m),MATCH($W319,IF($T319&lt;=60,imc05_k,imc519_k),1)),""))</f>
        <v/>
      </c>
      <c r="AA319">
        <f>IF($W319="","",IFERROR(INDEX(IF($T319&lt;=60,imc05_s,imc519_s),MATCH($W319,IF($T319&lt;=60,imc05_k,imc519_k),1)),""))</f>
        <v/>
      </c>
      <c r="AB319">
        <f>IF($Y319="","",IF($Y319=0,LN($J319/$Z319)/$AA319,((($J319/$Z319)^$Y319)-1)/($Y319*$AA319)))</f>
        <v/>
      </c>
      <c r="AC319">
        <f>IF($Y319="","",IF($Y319=0,$Z319*EXP($AA319*2),$Z319*(1+$Y319*$AA319*2)^(1/$Y319)))</f>
        <v/>
      </c>
      <c r="AD319">
        <f>IF($Y319="","",IF($Y319=0,$Z319*EXP($AA319*3),$Z319*(1+$Y319*$AA319*3)^(1/$Y319)))</f>
        <v/>
      </c>
      <c r="AE319">
        <f>IF($Y319="","",IF($Y319=0,$Z319*EXP($AA319*-2),$Z319*(1+$Y319*$AA319*-2)^(1/$Y319)))</f>
        <v/>
      </c>
      <c r="AF319">
        <f>IF($Y319="","",IF($Y319=0,$Z319*EXP($AA319*-3),$Z319*(1+$Y319*$AA319*-3)^(1/$Y319)))</f>
        <v/>
      </c>
      <c r="AG319">
        <f>IF($W319="","",IFERROR(INDEX(IF($T319&lt;=60,est05_l,est519_l),MATCH($W319,IF($T319&lt;=60,est05_k,est519_k),1)),""))</f>
        <v/>
      </c>
      <c r="AH319">
        <f>IF($W319="","",IFERROR(INDEX(IF($T319&lt;=60,est05_m,est519_m),MATCH($W319,IF($T319&lt;=60,est05_k,est519_k),1)),""))</f>
        <v/>
      </c>
      <c r="AI319">
        <f>IF($W319="","",IFERROR(INDEX(IF($T319&lt;=60,est05_s,est519_s),MATCH($W319,IF($T319&lt;=60,est05_k,est519_k),1)),""))</f>
        <v/>
      </c>
      <c r="AJ319">
        <f>IF($W319="","",IFERROR(INDEX(IF($T319&lt;=60,peso05_l,peso510_l),MATCH($W319,IF($T319&lt;=60,peso05_k,peso510_k),1)),""))</f>
        <v/>
      </c>
      <c r="AK319">
        <f>IF($W319="","",IFERROR(INDEX(IF($T319&lt;=60,peso05_m,peso510_m),MATCH($W319,IF($T319&lt;=60,peso05_k,peso510_k),1)),""))</f>
        <v/>
      </c>
      <c r="AL319">
        <f>IF($W319="","",IFERROR(INDEX(IF($T319&lt;=60,peso05_s,peso510_s),MATCH($W319,IF($T319&lt;=60,peso05_k,peso510_k),1)),""))</f>
        <v/>
      </c>
      <c r="AM319">
        <f>IF($AJ319="","",IF($AJ319=0,LN($F319/$AK319)/$AL319,((($F319/$AK319)^$AJ319)-1)/($AJ319*$AL319)))</f>
        <v/>
      </c>
      <c r="AN319">
        <f>IF($AJ319="","",IF($AJ319=0,$AK319*EXP($AL319*2),$AK319*(1+$AJ319*$AL319*2)^(1/$AJ319)))</f>
        <v/>
      </c>
      <c r="AO319">
        <f>IF($AJ319="","",IF($AJ319=0,$AK319*EXP($AL319*3),$AK319*(1+$AJ319*$AL319*3)^(1/$AJ319)))</f>
        <v/>
      </c>
      <c r="AP319">
        <f>IF($AJ319="","",IF($AJ319=0,$AK319*EXP($AL319*-2),$AK319*(1+$AJ319*$AL319*-2)^(1/$AJ319)))</f>
        <v/>
      </c>
      <c r="AQ319">
        <f>IF($AJ319="","",IF($AJ319=0,$AK319*EXP($AL319*-3),$AK319*(1+$AJ319*$AL319*-3)^(1/$AJ319)))</f>
        <v/>
      </c>
      <c r="AR319">
        <f>IF(OR($X319="",$T319&gt;60),"",IFERROR(INDEX(IF($T319&lt;24,pcomp_l,palt_l),MATCH($X319,IF($T319&lt;24,pcomp_k,palt_k),1)),""))</f>
        <v/>
      </c>
      <c r="AS319">
        <f>IF(OR($X319="",$T319&gt;60),"",IFERROR(INDEX(IF($T319&lt;24,pcomp_m,palt_m),MATCH($X319,IF($T319&lt;24,pcomp_k,palt_k),1)),""))</f>
        <v/>
      </c>
      <c r="AT319">
        <f>IF(OR($X319="",$T319&gt;60),"",IFERROR(INDEX(IF($T319&lt;24,pcomp_s,palt_s),MATCH($X319,IF($T319&lt;24,pcomp_k,palt_k),1)),""))</f>
        <v/>
      </c>
      <c r="AU319">
        <f>IF($AR319="","",IF($AR319=0,LN($F319/$AS319)/$AT319,((($F319/$AS319)^$AR319)-1)/($AR319*$AT319)))</f>
        <v/>
      </c>
      <c r="AV319">
        <f>IF($AR319="","",IF($AR319=0,$AS319*EXP($AT319*2),$AS319*(1+$AR319*$AT319*2)^(1/$AR319)))</f>
        <v/>
      </c>
      <c r="AW319">
        <f>IF($AR319="","",IF($AR319=0,$AS319*EXP($AT319*3),$AS319*(1+$AR319*$AT319*3)^(1/$AR319)))</f>
        <v/>
      </c>
      <c r="AX319">
        <f>IF($AR319="","",IF($AR319=0,$AS319*EXP($AT319*-2),$AS319*(1+$AR319*$AT319*-2)^(1/$AR319)))</f>
        <v/>
      </c>
      <c r="AY319">
        <f>IF($AR319="","",IF($AR319=0,$AS319*EXP($AT319*-3),$AS319*(1+$AR319*$AT319*-3)^(1/$AR319)))</f>
        <v/>
      </c>
      <c r="AZ319">
        <f>IF(OR($A319="",$A319&lt;&gt;Ficha!$C$4),"",COUNTIF($A$2:$A319,Ficha!$C$4))</f>
        <v/>
      </c>
    </row>
    <row r="320">
      <c r="A320" s="8">
        <f>IF(INDEX(Banco!$A:$A,ROW())="","",INDEX(Banco!$A:$A,ROW()))</f>
        <v/>
      </c>
      <c r="B320" s="8">
        <f>IF(INDEX(Banco!$B:$B,ROW())="","",INDEX(Banco!$B:$B,ROW()))</f>
        <v/>
      </c>
      <c r="C320" s="8">
        <f>IF(INDEX(Banco!$C:$C,ROW())="","",INDEX(Banco!$C:$C,ROW()))</f>
        <v/>
      </c>
      <c r="D320" s="9">
        <f>IF(INDEX(Banco!$D:$D,ROW())="","",INDEX(Banco!$D:$D,ROW()))</f>
        <v/>
      </c>
      <c r="E320" s="9">
        <f>IF(INDEX(Banco!$E:$E,ROW())="","",INDEX(Banco!$E:$E,ROW()))</f>
        <v/>
      </c>
      <c r="F320" s="10">
        <f>IF(INDEX(Banco!$F:$F,ROW())="","",INDEX(Banco!$F:$F,ROW()))</f>
        <v/>
      </c>
      <c r="G320" s="10">
        <f>IF(INDEX(Banco!$G:$G,ROW())="","",INDEX(Banco!$G:$G,ROW()))</f>
        <v/>
      </c>
      <c r="H320" s="8">
        <f>IF(INDEX(Banco!$H:$H,ROW())="","",INDEX(Banco!$H:$H,ROW()))</f>
        <v/>
      </c>
      <c r="I320">
        <f>IF($T320="","",INT($T320/12)&amp;"a "&amp;MOD($T320,12)&amp;"m")</f>
        <v/>
      </c>
      <c r="J320" s="11">
        <f>IF(OR($F320="",$G320=""),"",ROUND($F320/($G320/100)^2,2))</f>
        <v/>
      </c>
      <c r="K320" s="12">
        <f>IF(OR($S320="",$J320="",$T320="",$T320&lt;0,$T320&gt;228,$Y320=""),"—",ROUND(IF(ABS($AB320)&lt;=3,$AB320,IF($AB320&gt;3,3+($J320-$AD320)/($AD320-$AC320),-3+($J320-$AF320)/($AE320-$AF320))),2))</f>
        <v/>
      </c>
      <c r="L320">
        <f>IF(OR($K320="",$K320="—"),"",IF($T320&lt;=60,IF($K320&lt;-3,"Magreza acentuada",IF($K320&lt;-2,"Magreza",IF($K320&lt;=1,"Eutrofia",IF($K320&lt;=2,"Risco de sobrepeso",IF($K320&lt;=3,"Sobrepeso","Obesidade"))))),IF($K320&lt;-3,"Magreza acentuada",IF($K320&lt;-2,"Magreza",IF($K320&lt;=1,"Eutrofia",IF($K320&lt;=2,"Sobrepeso",IF($K320&lt;=3,"Obesidade","Obesidade grave")))))))</f>
        <v/>
      </c>
      <c r="M320" s="12">
        <f>IF(OR($S320="",$V320="",$T320="",$T320&lt;0,$T320&gt;228,$AG320=""),"—",ROUND(IF($AG320=0,LN($V320/$AH320)/$AI320,((($V320/$AH320)^$AG320)-1)/($AG320*$AI320)),2))</f>
        <v/>
      </c>
      <c r="N320">
        <f>IF(OR($M320="",$M320="—"),"",IF($M320&lt;-3,"Muito baixa",IF($M320&lt;-2,"Baixa","Adequada")))</f>
        <v/>
      </c>
      <c r="O320" s="12">
        <f>IF(OR($S320="",$F320="",$T320="",$T320&lt;0,$T320&gt;120,$AJ320=""),"—",ROUND(IF(ABS($AM320)&lt;=3,$AM320,IF($AM320&gt;3,3+($F320-$AO320)/($AO320-$AN320),-3+($F320-$AQ320)/($AP320-$AQ320))),2))</f>
        <v/>
      </c>
      <c r="P320">
        <f>IF(OR($O320="",$O320="—"),"",IF($O320&lt;-3,"Muito baixo",IF($O320&lt;-2,"Baixo",IF($O320&lt;=2,"Adequado","Elevado"))))</f>
        <v/>
      </c>
      <c r="Q320" s="12">
        <f>IF(OR($S320="",$F320="",$T320="",$T320&lt;0,$T320&gt;60,$AR320=""),"—",ROUND(IF(ABS($AU320)&lt;=3,$AU320,IF($AU320&gt;3,3+($F320-$AW320)/($AW320-$AV320),-3+($F320-$AY320)/($AX320-$AY320))),2))</f>
        <v/>
      </c>
      <c r="R320">
        <f>IF(OR($Q320="",$Q320="—"),"",IF($Q320&lt;-3,"Magreza acentuada",IF($Q320&lt;-2,"Magreza",IF($Q320&lt;=1,"Eutrofia",IF($Q320&lt;=2,"Risco de sobrepeso",IF($Q320&lt;=3,"Sobrepeso","Obesidade"))))))</f>
        <v/>
      </c>
      <c r="S320">
        <f>IF($C320="","",IF(UPPER(LEFT($C320,1))="M",1,IF(UPPER(LEFT($C320,1))="F",2,"")))</f>
        <v/>
      </c>
      <c r="T320">
        <f>IF(OR($D320="",$E320=""),"",DATEDIF($D320,$E320,"m"))</f>
        <v/>
      </c>
      <c r="U320">
        <f>IF(OR($D320="",$E320=""),"",$E320-$D320)</f>
        <v/>
      </c>
      <c r="V320">
        <f>IF(OR($G320="",$T320=""),"",IF($T320&lt;24,IF(LEFT(LOWER($H320),4)="em p",$G320+0.7,$G320),IF(LEFT(LOWER($H320),4)="deit",$G320-0.7,$G320)))</f>
        <v/>
      </c>
      <c r="W320">
        <f>IF(OR($S320="",$T320=""),"",$S320*1000000+IF($T320&lt;=60,$U320,$T320))</f>
        <v/>
      </c>
      <c r="X320">
        <f>IF(OR($S320="",$V320="",$T320&gt;60,$T320=""),"",$S320*1000000+ROUND($V320*10,0))</f>
        <v/>
      </c>
      <c r="Y320">
        <f>IF($W320="","",IFERROR(INDEX(IF($T320&lt;=60,imc05_l,imc519_l),MATCH($W320,IF($T320&lt;=60,imc05_k,imc519_k),1)),""))</f>
        <v/>
      </c>
      <c r="Z320">
        <f>IF($W320="","",IFERROR(INDEX(IF($T320&lt;=60,imc05_m,imc519_m),MATCH($W320,IF($T320&lt;=60,imc05_k,imc519_k),1)),""))</f>
        <v/>
      </c>
      <c r="AA320">
        <f>IF($W320="","",IFERROR(INDEX(IF($T320&lt;=60,imc05_s,imc519_s),MATCH($W320,IF($T320&lt;=60,imc05_k,imc519_k),1)),""))</f>
        <v/>
      </c>
      <c r="AB320">
        <f>IF($Y320="","",IF($Y320=0,LN($J320/$Z320)/$AA320,((($J320/$Z320)^$Y320)-1)/($Y320*$AA320)))</f>
        <v/>
      </c>
      <c r="AC320">
        <f>IF($Y320="","",IF($Y320=0,$Z320*EXP($AA320*2),$Z320*(1+$Y320*$AA320*2)^(1/$Y320)))</f>
        <v/>
      </c>
      <c r="AD320">
        <f>IF($Y320="","",IF($Y320=0,$Z320*EXP($AA320*3),$Z320*(1+$Y320*$AA320*3)^(1/$Y320)))</f>
        <v/>
      </c>
      <c r="AE320">
        <f>IF($Y320="","",IF($Y320=0,$Z320*EXP($AA320*-2),$Z320*(1+$Y320*$AA320*-2)^(1/$Y320)))</f>
        <v/>
      </c>
      <c r="AF320">
        <f>IF($Y320="","",IF($Y320=0,$Z320*EXP($AA320*-3),$Z320*(1+$Y320*$AA320*-3)^(1/$Y320)))</f>
        <v/>
      </c>
      <c r="AG320">
        <f>IF($W320="","",IFERROR(INDEX(IF($T320&lt;=60,est05_l,est519_l),MATCH($W320,IF($T320&lt;=60,est05_k,est519_k),1)),""))</f>
        <v/>
      </c>
      <c r="AH320">
        <f>IF($W320="","",IFERROR(INDEX(IF($T320&lt;=60,est05_m,est519_m),MATCH($W320,IF($T320&lt;=60,est05_k,est519_k),1)),""))</f>
        <v/>
      </c>
      <c r="AI320">
        <f>IF($W320="","",IFERROR(INDEX(IF($T320&lt;=60,est05_s,est519_s),MATCH($W320,IF($T320&lt;=60,est05_k,est519_k),1)),""))</f>
        <v/>
      </c>
      <c r="AJ320">
        <f>IF($W320="","",IFERROR(INDEX(IF($T320&lt;=60,peso05_l,peso510_l),MATCH($W320,IF($T320&lt;=60,peso05_k,peso510_k),1)),""))</f>
        <v/>
      </c>
      <c r="AK320">
        <f>IF($W320="","",IFERROR(INDEX(IF($T320&lt;=60,peso05_m,peso510_m),MATCH($W320,IF($T320&lt;=60,peso05_k,peso510_k),1)),""))</f>
        <v/>
      </c>
      <c r="AL320">
        <f>IF($W320="","",IFERROR(INDEX(IF($T320&lt;=60,peso05_s,peso510_s),MATCH($W320,IF($T320&lt;=60,peso05_k,peso510_k),1)),""))</f>
        <v/>
      </c>
      <c r="AM320">
        <f>IF($AJ320="","",IF($AJ320=0,LN($F320/$AK320)/$AL320,((($F320/$AK320)^$AJ320)-1)/($AJ320*$AL320)))</f>
        <v/>
      </c>
      <c r="AN320">
        <f>IF($AJ320="","",IF($AJ320=0,$AK320*EXP($AL320*2),$AK320*(1+$AJ320*$AL320*2)^(1/$AJ320)))</f>
        <v/>
      </c>
      <c r="AO320">
        <f>IF($AJ320="","",IF($AJ320=0,$AK320*EXP($AL320*3),$AK320*(1+$AJ320*$AL320*3)^(1/$AJ320)))</f>
        <v/>
      </c>
      <c r="AP320">
        <f>IF($AJ320="","",IF($AJ320=0,$AK320*EXP($AL320*-2),$AK320*(1+$AJ320*$AL320*-2)^(1/$AJ320)))</f>
        <v/>
      </c>
      <c r="AQ320">
        <f>IF($AJ320="","",IF($AJ320=0,$AK320*EXP($AL320*-3),$AK320*(1+$AJ320*$AL320*-3)^(1/$AJ320)))</f>
        <v/>
      </c>
      <c r="AR320">
        <f>IF(OR($X320="",$T320&gt;60),"",IFERROR(INDEX(IF($T320&lt;24,pcomp_l,palt_l),MATCH($X320,IF($T320&lt;24,pcomp_k,palt_k),1)),""))</f>
        <v/>
      </c>
      <c r="AS320">
        <f>IF(OR($X320="",$T320&gt;60),"",IFERROR(INDEX(IF($T320&lt;24,pcomp_m,palt_m),MATCH($X320,IF($T320&lt;24,pcomp_k,palt_k),1)),""))</f>
        <v/>
      </c>
      <c r="AT320">
        <f>IF(OR($X320="",$T320&gt;60),"",IFERROR(INDEX(IF($T320&lt;24,pcomp_s,palt_s),MATCH($X320,IF($T320&lt;24,pcomp_k,palt_k),1)),""))</f>
        <v/>
      </c>
      <c r="AU320">
        <f>IF($AR320="","",IF($AR320=0,LN($F320/$AS320)/$AT320,((($F320/$AS320)^$AR320)-1)/($AR320*$AT320)))</f>
        <v/>
      </c>
      <c r="AV320">
        <f>IF($AR320="","",IF($AR320=0,$AS320*EXP($AT320*2),$AS320*(1+$AR320*$AT320*2)^(1/$AR320)))</f>
        <v/>
      </c>
      <c r="AW320">
        <f>IF($AR320="","",IF($AR320=0,$AS320*EXP($AT320*3),$AS320*(1+$AR320*$AT320*3)^(1/$AR320)))</f>
        <v/>
      </c>
      <c r="AX320">
        <f>IF($AR320="","",IF($AR320=0,$AS320*EXP($AT320*-2),$AS320*(1+$AR320*$AT320*-2)^(1/$AR320)))</f>
        <v/>
      </c>
      <c r="AY320">
        <f>IF($AR320="","",IF($AR320=0,$AS320*EXP($AT320*-3),$AS320*(1+$AR320*$AT320*-3)^(1/$AR320)))</f>
        <v/>
      </c>
      <c r="AZ320">
        <f>IF(OR($A320="",$A320&lt;&gt;Ficha!$C$4),"",COUNTIF($A$2:$A320,Ficha!$C$4))</f>
        <v/>
      </c>
    </row>
    <row r="321">
      <c r="A321" s="8">
        <f>IF(INDEX(Banco!$A:$A,ROW())="","",INDEX(Banco!$A:$A,ROW()))</f>
        <v/>
      </c>
      <c r="B321" s="8">
        <f>IF(INDEX(Banco!$B:$B,ROW())="","",INDEX(Banco!$B:$B,ROW()))</f>
        <v/>
      </c>
      <c r="C321" s="8">
        <f>IF(INDEX(Banco!$C:$C,ROW())="","",INDEX(Banco!$C:$C,ROW()))</f>
        <v/>
      </c>
      <c r="D321" s="9">
        <f>IF(INDEX(Banco!$D:$D,ROW())="","",INDEX(Banco!$D:$D,ROW()))</f>
        <v/>
      </c>
      <c r="E321" s="9">
        <f>IF(INDEX(Banco!$E:$E,ROW())="","",INDEX(Banco!$E:$E,ROW()))</f>
        <v/>
      </c>
      <c r="F321" s="10">
        <f>IF(INDEX(Banco!$F:$F,ROW())="","",INDEX(Banco!$F:$F,ROW()))</f>
        <v/>
      </c>
      <c r="G321" s="10">
        <f>IF(INDEX(Banco!$G:$G,ROW())="","",INDEX(Banco!$G:$G,ROW()))</f>
        <v/>
      </c>
      <c r="H321" s="8">
        <f>IF(INDEX(Banco!$H:$H,ROW())="","",INDEX(Banco!$H:$H,ROW()))</f>
        <v/>
      </c>
      <c r="I321">
        <f>IF($T321="","",INT($T321/12)&amp;"a "&amp;MOD($T321,12)&amp;"m")</f>
        <v/>
      </c>
      <c r="J321" s="11">
        <f>IF(OR($F321="",$G321=""),"",ROUND($F321/($G321/100)^2,2))</f>
        <v/>
      </c>
      <c r="K321" s="12">
        <f>IF(OR($S321="",$J321="",$T321="",$T321&lt;0,$T321&gt;228,$Y321=""),"—",ROUND(IF(ABS($AB321)&lt;=3,$AB321,IF($AB321&gt;3,3+($J321-$AD321)/($AD321-$AC321),-3+($J321-$AF321)/($AE321-$AF321))),2))</f>
        <v/>
      </c>
      <c r="L321">
        <f>IF(OR($K321="",$K321="—"),"",IF($T321&lt;=60,IF($K321&lt;-3,"Magreza acentuada",IF($K321&lt;-2,"Magreza",IF($K321&lt;=1,"Eutrofia",IF($K321&lt;=2,"Risco de sobrepeso",IF($K321&lt;=3,"Sobrepeso","Obesidade"))))),IF($K321&lt;-3,"Magreza acentuada",IF($K321&lt;-2,"Magreza",IF($K321&lt;=1,"Eutrofia",IF($K321&lt;=2,"Sobrepeso",IF($K321&lt;=3,"Obesidade","Obesidade grave")))))))</f>
        <v/>
      </c>
      <c r="M321" s="12">
        <f>IF(OR($S321="",$V321="",$T321="",$T321&lt;0,$T321&gt;228,$AG321=""),"—",ROUND(IF($AG321=0,LN($V321/$AH321)/$AI321,((($V321/$AH321)^$AG321)-1)/($AG321*$AI321)),2))</f>
        <v/>
      </c>
      <c r="N321">
        <f>IF(OR($M321="",$M321="—"),"",IF($M321&lt;-3,"Muito baixa",IF($M321&lt;-2,"Baixa","Adequada")))</f>
        <v/>
      </c>
      <c r="O321" s="12">
        <f>IF(OR($S321="",$F321="",$T321="",$T321&lt;0,$T321&gt;120,$AJ321=""),"—",ROUND(IF(ABS($AM321)&lt;=3,$AM321,IF($AM321&gt;3,3+($F321-$AO321)/($AO321-$AN321),-3+($F321-$AQ321)/($AP321-$AQ321))),2))</f>
        <v/>
      </c>
      <c r="P321">
        <f>IF(OR($O321="",$O321="—"),"",IF($O321&lt;-3,"Muito baixo",IF($O321&lt;-2,"Baixo",IF($O321&lt;=2,"Adequado","Elevado"))))</f>
        <v/>
      </c>
      <c r="Q321" s="12">
        <f>IF(OR($S321="",$F321="",$T321="",$T321&lt;0,$T321&gt;60,$AR321=""),"—",ROUND(IF(ABS($AU321)&lt;=3,$AU321,IF($AU321&gt;3,3+($F321-$AW321)/($AW321-$AV321),-3+($F321-$AY321)/($AX321-$AY321))),2))</f>
        <v/>
      </c>
      <c r="R321">
        <f>IF(OR($Q321="",$Q321="—"),"",IF($Q321&lt;-3,"Magreza acentuada",IF($Q321&lt;-2,"Magreza",IF($Q321&lt;=1,"Eutrofia",IF($Q321&lt;=2,"Risco de sobrepeso",IF($Q321&lt;=3,"Sobrepeso","Obesidade"))))))</f>
        <v/>
      </c>
      <c r="S321">
        <f>IF($C321="","",IF(UPPER(LEFT($C321,1))="M",1,IF(UPPER(LEFT($C321,1))="F",2,"")))</f>
        <v/>
      </c>
      <c r="T321">
        <f>IF(OR($D321="",$E321=""),"",DATEDIF($D321,$E321,"m"))</f>
        <v/>
      </c>
      <c r="U321">
        <f>IF(OR($D321="",$E321=""),"",$E321-$D321)</f>
        <v/>
      </c>
      <c r="V321">
        <f>IF(OR($G321="",$T321=""),"",IF($T321&lt;24,IF(LEFT(LOWER($H321),4)="em p",$G321+0.7,$G321),IF(LEFT(LOWER($H321),4)="deit",$G321-0.7,$G321)))</f>
        <v/>
      </c>
      <c r="W321">
        <f>IF(OR($S321="",$T321=""),"",$S321*1000000+IF($T321&lt;=60,$U321,$T321))</f>
        <v/>
      </c>
      <c r="X321">
        <f>IF(OR($S321="",$V321="",$T321&gt;60,$T321=""),"",$S321*1000000+ROUND($V321*10,0))</f>
        <v/>
      </c>
      <c r="Y321">
        <f>IF($W321="","",IFERROR(INDEX(IF($T321&lt;=60,imc05_l,imc519_l),MATCH($W321,IF($T321&lt;=60,imc05_k,imc519_k),1)),""))</f>
        <v/>
      </c>
      <c r="Z321">
        <f>IF($W321="","",IFERROR(INDEX(IF($T321&lt;=60,imc05_m,imc519_m),MATCH($W321,IF($T321&lt;=60,imc05_k,imc519_k),1)),""))</f>
        <v/>
      </c>
      <c r="AA321">
        <f>IF($W321="","",IFERROR(INDEX(IF($T321&lt;=60,imc05_s,imc519_s),MATCH($W321,IF($T321&lt;=60,imc05_k,imc519_k),1)),""))</f>
        <v/>
      </c>
      <c r="AB321">
        <f>IF($Y321="","",IF($Y321=0,LN($J321/$Z321)/$AA321,((($J321/$Z321)^$Y321)-1)/($Y321*$AA321)))</f>
        <v/>
      </c>
      <c r="AC321">
        <f>IF($Y321="","",IF($Y321=0,$Z321*EXP($AA321*2),$Z321*(1+$Y321*$AA321*2)^(1/$Y321)))</f>
        <v/>
      </c>
      <c r="AD321">
        <f>IF($Y321="","",IF($Y321=0,$Z321*EXP($AA321*3),$Z321*(1+$Y321*$AA321*3)^(1/$Y321)))</f>
        <v/>
      </c>
      <c r="AE321">
        <f>IF($Y321="","",IF($Y321=0,$Z321*EXP($AA321*-2),$Z321*(1+$Y321*$AA321*-2)^(1/$Y321)))</f>
        <v/>
      </c>
      <c r="AF321">
        <f>IF($Y321="","",IF($Y321=0,$Z321*EXP($AA321*-3),$Z321*(1+$Y321*$AA321*-3)^(1/$Y321)))</f>
        <v/>
      </c>
      <c r="AG321">
        <f>IF($W321="","",IFERROR(INDEX(IF($T321&lt;=60,est05_l,est519_l),MATCH($W321,IF($T321&lt;=60,est05_k,est519_k),1)),""))</f>
        <v/>
      </c>
      <c r="AH321">
        <f>IF($W321="","",IFERROR(INDEX(IF($T321&lt;=60,est05_m,est519_m),MATCH($W321,IF($T321&lt;=60,est05_k,est519_k),1)),""))</f>
        <v/>
      </c>
      <c r="AI321">
        <f>IF($W321="","",IFERROR(INDEX(IF($T321&lt;=60,est05_s,est519_s),MATCH($W321,IF($T321&lt;=60,est05_k,est519_k),1)),""))</f>
        <v/>
      </c>
      <c r="AJ321">
        <f>IF($W321="","",IFERROR(INDEX(IF($T321&lt;=60,peso05_l,peso510_l),MATCH($W321,IF($T321&lt;=60,peso05_k,peso510_k),1)),""))</f>
        <v/>
      </c>
      <c r="AK321">
        <f>IF($W321="","",IFERROR(INDEX(IF($T321&lt;=60,peso05_m,peso510_m),MATCH($W321,IF($T321&lt;=60,peso05_k,peso510_k),1)),""))</f>
        <v/>
      </c>
      <c r="AL321">
        <f>IF($W321="","",IFERROR(INDEX(IF($T321&lt;=60,peso05_s,peso510_s),MATCH($W321,IF($T321&lt;=60,peso05_k,peso510_k),1)),""))</f>
        <v/>
      </c>
      <c r="AM321">
        <f>IF($AJ321="","",IF($AJ321=0,LN($F321/$AK321)/$AL321,((($F321/$AK321)^$AJ321)-1)/($AJ321*$AL321)))</f>
        <v/>
      </c>
      <c r="AN321">
        <f>IF($AJ321="","",IF($AJ321=0,$AK321*EXP($AL321*2),$AK321*(1+$AJ321*$AL321*2)^(1/$AJ321)))</f>
        <v/>
      </c>
      <c r="AO321">
        <f>IF($AJ321="","",IF($AJ321=0,$AK321*EXP($AL321*3),$AK321*(1+$AJ321*$AL321*3)^(1/$AJ321)))</f>
        <v/>
      </c>
      <c r="AP321">
        <f>IF($AJ321="","",IF($AJ321=0,$AK321*EXP($AL321*-2),$AK321*(1+$AJ321*$AL321*-2)^(1/$AJ321)))</f>
        <v/>
      </c>
      <c r="AQ321">
        <f>IF($AJ321="","",IF($AJ321=0,$AK321*EXP($AL321*-3),$AK321*(1+$AJ321*$AL321*-3)^(1/$AJ321)))</f>
        <v/>
      </c>
      <c r="AR321">
        <f>IF(OR($X321="",$T321&gt;60),"",IFERROR(INDEX(IF($T321&lt;24,pcomp_l,palt_l),MATCH($X321,IF($T321&lt;24,pcomp_k,palt_k),1)),""))</f>
        <v/>
      </c>
      <c r="AS321">
        <f>IF(OR($X321="",$T321&gt;60),"",IFERROR(INDEX(IF($T321&lt;24,pcomp_m,palt_m),MATCH($X321,IF($T321&lt;24,pcomp_k,palt_k),1)),""))</f>
        <v/>
      </c>
      <c r="AT321">
        <f>IF(OR($X321="",$T321&gt;60),"",IFERROR(INDEX(IF($T321&lt;24,pcomp_s,palt_s),MATCH($X321,IF($T321&lt;24,pcomp_k,palt_k),1)),""))</f>
        <v/>
      </c>
      <c r="AU321">
        <f>IF($AR321="","",IF($AR321=0,LN($F321/$AS321)/$AT321,((($F321/$AS321)^$AR321)-1)/($AR321*$AT321)))</f>
        <v/>
      </c>
      <c r="AV321">
        <f>IF($AR321="","",IF($AR321=0,$AS321*EXP($AT321*2),$AS321*(1+$AR321*$AT321*2)^(1/$AR321)))</f>
        <v/>
      </c>
      <c r="AW321">
        <f>IF($AR321="","",IF($AR321=0,$AS321*EXP($AT321*3),$AS321*(1+$AR321*$AT321*3)^(1/$AR321)))</f>
        <v/>
      </c>
      <c r="AX321">
        <f>IF($AR321="","",IF($AR321=0,$AS321*EXP($AT321*-2),$AS321*(1+$AR321*$AT321*-2)^(1/$AR321)))</f>
        <v/>
      </c>
      <c r="AY321">
        <f>IF($AR321="","",IF($AR321=0,$AS321*EXP($AT321*-3),$AS321*(1+$AR321*$AT321*-3)^(1/$AR321)))</f>
        <v/>
      </c>
      <c r="AZ321">
        <f>IF(OR($A321="",$A321&lt;&gt;Ficha!$C$4),"",COUNTIF($A$2:$A321,Ficha!$C$4))</f>
        <v/>
      </c>
    </row>
    <row r="322">
      <c r="A322" s="8">
        <f>IF(INDEX(Banco!$A:$A,ROW())="","",INDEX(Banco!$A:$A,ROW()))</f>
        <v/>
      </c>
      <c r="B322" s="8">
        <f>IF(INDEX(Banco!$B:$B,ROW())="","",INDEX(Banco!$B:$B,ROW()))</f>
        <v/>
      </c>
      <c r="C322" s="8">
        <f>IF(INDEX(Banco!$C:$C,ROW())="","",INDEX(Banco!$C:$C,ROW()))</f>
        <v/>
      </c>
      <c r="D322" s="9">
        <f>IF(INDEX(Banco!$D:$D,ROW())="","",INDEX(Banco!$D:$D,ROW()))</f>
        <v/>
      </c>
      <c r="E322" s="9">
        <f>IF(INDEX(Banco!$E:$E,ROW())="","",INDEX(Banco!$E:$E,ROW()))</f>
        <v/>
      </c>
      <c r="F322" s="10">
        <f>IF(INDEX(Banco!$F:$F,ROW())="","",INDEX(Banco!$F:$F,ROW()))</f>
        <v/>
      </c>
      <c r="G322" s="10">
        <f>IF(INDEX(Banco!$G:$G,ROW())="","",INDEX(Banco!$G:$G,ROW()))</f>
        <v/>
      </c>
      <c r="H322" s="8">
        <f>IF(INDEX(Banco!$H:$H,ROW())="","",INDEX(Banco!$H:$H,ROW()))</f>
        <v/>
      </c>
      <c r="I322">
        <f>IF($T322="","",INT($T322/12)&amp;"a "&amp;MOD($T322,12)&amp;"m")</f>
        <v/>
      </c>
      <c r="J322" s="11">
        <f>IF(OR($F322="",$G322=""),"",ROUND($F322/($G322/100)^2,2))</f>
        <v/>
      </c>
      <c r="K322" s="12">
        <f>IF(OR($S322="",$J322="",$T322="",$T322&lt;0,$T322&gt;228,$Y322=""),"—",ROUND(IF(ABS($AB322)&lt;=3,$AB322,IF($AB322&gt;3,3+($J322-$AD322)/($AD322-$AC322),-3+($J322-$AF322)/($AE322-$AF322))),2))</f>
        <v/>
      </c>
      <c r="L322">
        <f>IF(OR($K322="",$K322="—"),"",IF($T322&lt;=60,IF($K322&lt;-3,"Magreza acentuada",IF($K322&lt;-2,"Magreza",IF($K322&lt;=1,"Eutrofia",IF($K322&lt;=2,"Risco de sobrepeso",IF($K322&lt;=3,"Sobrepeso","Obesidade"))))),IF($K322&lt;-3,"Magreza acentuada",IF($K322&lt;-2,"Magreza",IF($K322&lt;=1,"Eutrofia",IF($K322&lt;=2,"Sobrepeso",IF($K322&lt;=3,"Obesidade","Obesidade grave")))))))</f>
        <v/>
      </c>
      <c r="M322" s="12">
        <f>IF(OR($S322="",$V322="",$T322="",$T322&lt;0,$T322&gt;228,$AG322=""),"—",ROUND(IF($AG322=0,LN($V322/$AH322)/$AI322,((($V322/$AH322)^$AG322)-1)/($AG322*$AI322)),2))</f>
        <v/>
      </c>
      <c r="N322">
        <f>IF(OR($M322="",$M322="—"),"",IF($M322&lt;-3,"Muito baixa",IF($M322&lt;-2,"Baixa","Adequada")))</f>
        <v/>
      </c>
      <c r="O322" s="12">
        <f>IF(OR($S322="",$F322="",$T322="",$T322&lt;0,$T322&gt;120,$AJ322=""),"—",ROUND(IF(ABS($AM322)&lt;=3,$AM322,IF($AM322&gt;3,3+($F322-$AO322)/($AO322-$AN322),-3+($F322-$AQ322)/($AP322-$AQ322))),2))</f>
        <v/>
      </c>
      <c r="P322">
        <f>IF(OR($O322="",$O322="—"),"",IF($O322&lt;-3,"Muito baixo",IF($O322&lt;-2,"Baixo",IF($O322&lt;=2,"Adequado","Elevado"))))</f>
        <v/>
      </c>
      <c r="Q322" s="12">
        <f>IF(OR($S322="",$F322="",$T322="",$T322&lt;0,$T322&gt;60,$AR322=""),"—",ROUND(IF(ABS($AU322)&lt;=3,$AU322,IF($AU322&gt;3,3+($F322-$AW322)/($AW322-$AV322),-3+($F322-$AY322)/($AX322-$AY322))),2))</f>
        <v/>
      </c>
      <c r="R322">
        <f>IF(OR($Q322="",$Q322="—"),"",IF($Q322&lt;-3,"Magreza acentuada",IF($Q322&lt;-2,"Magreza",IF($Q322&lt;=1,"Eutrofia",IF($Q322&lt;=2,"Risco de sobrepeso",IF($Q322&lt;=3,"Sobrepeso","Obesidade"))))))</f>
        <v/>
      </c>
      <c r="S322">
        <f>IF($C322="","",IF(UPPER(LEFT($C322,1))="M",1,IF(UPPER(LEFT($C322,1))="F",2,"")))</f>
        <v/>
      </c>
      <c r="T322">
        <f>IF(OR($D322="",$E322=""),"",DATEDIF($D322,$E322,"m"))</f>
        <v/>
      </c>
      <c r="U322">
        <f>IF(OR($D322="",$E322=""),"",$E322-$D322)</f>
        <v/>
      </c>
      <c r="V322">
        <f>IF(OR($G322="",$T322=""),"",IF($T322&lt;24,IF(LEFT(LOWER($H322),4)="em p",$G322+0.7,$G322),IF(LEFT(LOWER($H322),4)="deit",$G322-0.7,$G322)))</f>
        <v/>
      </c>
      <c r="W322">
        <f>IF(OR($S322="",$T322=""),"",$S322*1000000+IF($T322&lt;=60,$U322,$T322))</f>
        <v/>
      </c>
      <c r="X322">
        <f>IF(OR($S322="",$V322="",$T322&gt;60,$T322=""),"",$S322*1000000+ROUND($V322*10,0))</f>
        <v/>
      </c>
      <c r="Y322">
        <f>IF($W322="","",IFERROR(INDEX(IF($T322&lt;=60,imc05_l,imc519_l),MATCH($W322,IF($T322&lt;=60,imc05_k,imc519_k),1)),""))</f>
        <v/>
      </c>
      <c r="Z322">
        <f>IF($W322="","",IFERROR(INDEX(IF($T322&lt;=60,imc05_m,imc519_m),MATCH($W322,IF($T322&lt;=60,imc05_k,imc519_k),1)),""))</f>
        <v/>
      </c>
      <c r="AA322">
        <f>IF($W322="","",IFERROR(INDEX(IF($T322&lt;=60,imc05_s,imc519_s),MATCH($W322,IF($T322&lt;=60,imc05_k,imc519_k),1)),""))</f>
        <v/>
      </c>
      <c r="AB322">
        <f>IF($Y322="","",IF($Y322=0,LN($J322/$Z322)/$AA322,((($J322/$Z322)^$Y322)-1)/($Y322*$AA322)))</f>
        <v/>
      </c>
      <c r="AC322">
        <f>IF($Y322="","",IF($Y322=0,$Z322*EXP($AA322*2),$Z322*(1+$Y322*$AA322*2)^(1/$Y322)))</f>
        <v/>
      </c>
      <c r="AD322">
        <f>IF($Y322="","",IF($Y322=0,$Z322*EXP($AA322*3),$Z322*(1+$Y322*$AA322*3)^(1/$Y322)))</f>
        <v/>
      </c>
      <c r="AE322">
        <f>IF($Y322="","",IF($Y322=0,$Z322*EXP($AA322*-2),$Z322*(1+$Y322*$AA322*-2)^(1/$Y322)))</f>
        <v/>
      </c>
      <c r="AF322">
        <f>IF($Y322="","",IF($Y322=0,$Z322*EXP($AA322*-3),$Z322*(1+$Y322*$AA322*-3)^(1/$Y322)))</f>
        <v/>
      </c>
      <c r="AG322">
        <f>IF($W322="","",IFERROR(INDEX(IF($T322&lt;=60,est05_l,est519_l),MATCH($W322,IF($T322&lt;=60,est05_k,est519_k),1)),""))</f>
        <v/>
      </c>
      <c r="AH322">
        <f>IF($W322="","",IFERROR(INDEX(IF($T322&lt;=60,est05_m,est519_m),MATCH($W322,IF($T322&lt;=60,est05_k,est519_k),1)),""))</f>
        <v/>
      </c>
      <c r="AI322">
        <f>IF($W322="","",IFERROR(INDEX(IF($T322&lt;=60,est05_s,est519_s),MATCH($W322,IF($T322&lt;=60,est05_k,est519_k),1)),""))</f>
        <v/>
      </c>
      <c r="AJ322">
        <f>IF($W322="","",IFERROR(INDEX(IF($T322&lt;=60,peso05_l,peso510_l),MATCH($W322,IF($T322&lt;=60,peso05_k,peso510_k),1)),""))</f>
        <v/>
      </c>
      <c r="AK322">
        <f>IF($W322="","",IFERROR(INDEX(IF($T322&lt;=60,peso05_m,peso510_m),MATCH($W322,IF($T322&lt;=60,peso05_k,peso510_k),1)),""))</f>
        <v/>
      </c>
      <c r="AL322">
        <f>IF($W322="","",IFERROR(INDEX(IF($T322&lt;=60,peso05_s,peso510_s),MATCH($W322,IF($T322&lt;=60,peso05_k,peso510_k),1)),""))</f>
        <v/>
      </c>
      <c r="AM322">
        <f>IF($AJ322="","",IF($AJ322=0,LN($F322/$AK322)/$AL322,((($F322/$AK322)^$AJ322)-1)/($AJ322*$AL322)))</f>
        <v/>
      </c>
      <c r="AN322">
        <f>IF($AJ322="","",IF($AJ322=0,$AK322*EXP($AL322*2),$AK322*(1+$AJ322*$AL322*2)^(1/$AJ322)))</f>
        <v/>
      </c>
      <c r="AO322">
        <f>IF($AJ322="","",IF($AJ322=0,$AK322*EXP($AL322*3),$AK322*(1+$AJ322*$AL322*3)^(1/$AJ322)))</f>
        <v/>
      </c>
      <c r="AP322">
        <f>IF($AJ322="","",IF($AJ322=0,$AK322*EXP($AL322*-2),$AK322*(1+$AJ322*$AL322*-2)^(1/$AJ322)))</f>
        <v/>
      </c>
      <c r="AQ322">
        <f>IF($AJ322="","",IF($AJ322=0,$AK322*EXP($AL322*-3),$AK322*(1+$AJ322*$AL322*-3)^(1/$AJ322)))</f>
        <v/>
      </c>
      <c r="AR322">
        <f>IF(OR($X322="",$T322&gt;60),"",IFERROR(INDEX(IF($T322&lt;24,pcomp_l,palt_l),MATCH($X322,IF($T322&lt;24,pcomp_k,palt_k),1)),""))</f>
        <v/>
      </c>
      <c r="AS322">
        <f>IF(OR($X322="",$T322&gt;60),"",IFERROR(INDEX(IF($T322&lt;24,pcomp_m,palt_m),MATCH($X322,IF($T322&lt;24,pcomp_k,palt_k),1)),""))</f>
        <v/>
      </c>
      <c r="AT322">
        <f>IF(OR($X322="",$T322&gt;60),"",IFERROR(INDEX(IF($T322&lt;24,pcomp_s,palt_s),MATCH($X322,IF($T322&lt;24,pcomp_k,palt_k),1)),""))</f>
        <v/>
      </c>
      <c r="AU322">
        <f>IF($AR322="","",IF($AR322=0,LN($F322/$AS322)/$AT322,((($F322/$AS322)^$AR322)-1)/($AR322*$AT322)))</f>
        <v/>
      </c>
      <c r="AV322">
        <f>IF($AR322="","",IF($AR322=0,$AS322*EXP($AT322*2),$AS322*(1+$AR322*$AT322*2)^(1/$AR322)))</f>
        <v/>
      </c>
      <c r="AW322">
        <f>IF($AR322="","",IF($AR322=0,$AS322*EXP($AT322*3),$AS322*(1+$AR322*$AT322*3)^(1/$AR322)))</f>
        <v/>
      </c>
      <c r="AX322">
        <f>IF($AR322="","",IF($AR322=0,$AS322*EXP($AT322*-2),$AS322*(1+$AR322*$AT322*-2)^(1/$AR322)))</f>
        <v/>
      </c>
      <c r="AY322">
        <f>IF($AR322="","",IF($AR322=0,$AS322*EXP($AT322*-3),$AS322*(1+$AR322*$AT322*-3)^(1/$AR322)))</f>
        <v/>
      </c>
      <c r="AZ322">
        <f>IF(OR($A322="",$A322&lt;&gt;Ficha!$C$4),"",COUNTIF($A$2:$A322,Ficha!$C$4))</f>
        <v/>
      </c>
    </row>
    <row r="323">
      <c r="A323" s="8">
        <f>IF(INDEX(Banco!$A:$A,ROW())="","",INDEX(Banco!$A:$A,ROW()))</f>
        <v/>
      </c>
      <c r="B323" s="8">
        <f>IF(INDEX(Banco!$B:$B,ROW())="","",INDEX(Banco!$B:$B,ROW()))</f>
        <v/>
      </c>
      <c r="C323" s="8">
        <f>IF(INDEX(Banco!$C:$C,ROW())="","",INDEX(Banco!$C:$C,ROW()))</f>
        <v/>
      </c>
      <c r="D323" s="9">
        <f>IF(INDEX(Banco!$D:$D,ROW())="","",INDEX(Banco!$D:$D,ROW()))</f>
        <v/>
      </c>
      <c r="E323" s="9">
        <f>IF(INDEX(Banco!$E:$E,ROW())="","",INDEX(Banco!$E:$E,ROW()))</f>
        <v/>
      </c>
      <c r="F323" s="10">
        <f>IF(INDEX(Banco!$F:$F,ROW())="","",INDEX(Banco!$F:$F,ROW()))</f>
        <v/>
      </c>
      <c r="G323" s="10">
        <f>IF(INDEX(Banco!$G:$G,ROW())="","",INDEX(Banco!$G:$G,ROW()))</f>
        <v/>
      </c>
      <c r="H323" s="8">
        <f>IF(INDEX(Banco!$H:$H,ROW())="","",INDEX(Banco!$H:$H,ROW()))</f>
        <v/>
      </c>
      <c r="I323">
        <f>IF($T323="","",INT($T323/12)&amp;"a "&amp;MOD($T323,12)&amp;"m")</f>
        <v/>
      </c>
      <c r="J323" s="11">
        <f>IF(OR($F323="",$G323=""),"",ROUND($F323/($G323/100)^2,2))</f>
        <v/>
      </c>
      <c r="K323" s="12">
        <f>IF(OR($S323="",$J323="",$T323="",$T323&lt;0,$T323&gt;228,$Y323=""),"—",ROUND(IF(ABS($AB323)&lt;=3,$AB323,IF($AB323&gt;3,3+($J323-$AD323)/($AD323-$AC323),-3+($J323-$AF323)/($AE323-$AF323))),2))</f>
        <v/>
      </c>
      <c r="L323">
        <f>IF(OR($K323="",$K323="—"),"",IF($T323&lt;=60,IF($K323&lt;-3,"Magreza acentuada",IF($K323&lt;-2,"Magreza",IF($K323&lt;=1,"Eutrofia",IF($K323&lt;=2,"Risco de sobrepeso",IF($K323&lt;=3,"Sobrepeso","Obesidade"))))),IF($K323&lt;-3,"Magreza acentuada",IF($K323&lt;-2,"Magreza",IF($K323&lt;=1,"Eutrofia",IF($K323&lt;=2,"Sobrepeso",IF($K323&lt;=3,"Obesidade","Obesidade grave")))))))</f>
        <v/>
      </c>
      <c r="M323" s="12">
        <f>IF(OR($S323="",$V323="",$T323="",$T323&lt;0,$T323&gt;228,$AG323=""),"—",ROUND(IF($AG323=0,LN($V323/$AH323)/$AI323,((($V323/$AH323)^$AG323)-1)/($AG323*$AI323)),2))</f>
        <v/>
      </c>
      <c r="N323">
        <f>IF(OR($M323="",$M323="—"),"",IF($M323&lt;-3,"Muito baixa",IF($M323&lt;-2,"Baixa","Adequada")))</f>
        <v/>
      </c>
      <c r="O323" s="12">
        <f>IF(OR($S323="",$F323="",$T323="",$T323&lt;0,$T323&gt;120,$AJ323=""),"—",ROUND(IF(ABS($AM323)&lt;=3,$AM323,IF($AM323&gt;3,3+($F323-$AO323)/($AO323-$AN323),-3+($F323-$AQ323)/($AP323-$AQ323))),2))</f>
        <v/>
      </c>
      <c r="P323">
        <f>IF(OR($O323="",$O323="—"),"",IF($O323&lt;-3,"Muito baixo",IF($O323&lt;-2,"Baixo",IF($O323&lt;=2,"Adequado","Elevado"))))</f>
        <v/>
      </c>
      <c r="Q323" s="12">
        <f>IF(OR($S323="",$F323="",$T323="",$T323&lt;0,$T323&gt;60,$AR323=""),"—",ROUND(IF(ABS($AU323)&lt;=3,$AU323,IF($AU323&gt;3,3+($F323-$AW323)/($AW323-$AV323),-3+($F323-$AY323)/($AX323-$AY323))),2))</f>
        <v/>
      </c>
      <c r="R323">
        <f>IF(OR($Q323="",$Q323="—"),"",IF($Q323&lt;-3,"Magreza acentuada",IF($Q323&lt;-2,"Magreza",IF($Q323&lt;=1,"Eutrofia",IF($Q323&lt;=2,"Risco de sobrepeso",IF($Q323&lt;=3,"Sobrepeso","Obesidade"))))))</f>
        <v/>
      </c>
      <c r="S323">
        <f>IF($C323="","",IF(UPPER(LEFT($C323,1))="M",1,IF(UPPER(LEFT($C323,1))="F",2,"")))</f>
        <v/>
      </c>
      <c r="T323">
        <f>IF(OR($D323="",$E323=""),"",DATEDIF($D323,$E323,"m"))</f>
        <v/>
      </c>
      <c r="U323">
        <f>IF(OR($D323="",$E323=""),"",$E323-$D323)</f>
        <v/>
      </c>
      <c r="V323">
        <f>IF(OR($G323="",$T323=""),"",IF($T323&lt;24,IF(LEFT(LOWER($H323),4)="em p",$G323+0.7,$G323),IF(LEFT(LOWER($H323),4)="deit",$G323-0.7,$G323)))</f>
        <v/>
      </c>
      <c r="W323">
        <f>IF(OR($S323="",$T323=""),"",$S323*1000000+IF($T323&lt;=60,$U323,$T323))</f>
        <v/>
      </c>
      <c r="X323">
        <f>IF(OR($S323="",$V323="",$T323&gt;60,$T323=""),"",$S323*1000000+ROUND($V323*10,0))</f>
        <v/>
      </c>
      <c r="Y323">
        <f>IF($W323="","",IFERROR(INDEX(IF($T323&lt;=60,imc05_l,imc519_l),MATCH($W323,IF($T323&lt;=60,imc05_k,imc519_k),1)),""))</f>
        <v/>
      </c>
      <c r="Z323">
        <f>IF($W323="","",IFERROR(INDEX(IF($T323&lt;=60,imc05_m,imc519_m),MATCH($W323,IF($T323&lt;=60,imc05_k,imc519_k),1)),""))</f>
        <v/>
      </c>
      <c r="AA323">
        <f>IF($W323="","",IFERROR(INDEX(IF($T323&lt;=60,imc05_s,imc519_s),MATCH($W323,IF($T323&lt;=60,imc05_k,imc519_k),1)),""))</f>
        <v/>
      </c>
      <c r="AB323">
        <f>IF($Y323="","",IF($Y323=0,LN($J323/$Z323)/$AA323,((($J323/$Z323)^$Y323)-1)/($Y323*$AA323)))</f>
        <v/>
      </c>
      <c r="AC323">
        <f>IF($Y323="","",IF($Y323=0,$Z323*EXP($AA323*2),$Z323*(1+$Y323*$AA323*2)^(1/$Y323)))</f>
        <v/>
      </c>
      <c r="AD323">
        <f>IF($Y323="","",IF($Y323=0,$Z323*EXP($AA323*3),$Z323*(1+$Y323*$AA323*3)^(1/$Y323)))</f>
        <v/>
      </c>
      <c r="AE323">
        <f>IF($Y323="","",IF($Y323=0,$Z323*EXP($AA323*-2),$Z323*(1+$Y323*$AA323*-2)^(1/$Y323)))</f>
        <v/>
      </c>
      <c r="AF323">
        <f>IF($Y323="","",IF($Y323=0,$Z323*EXP($AA323*-3),$Z323*(1+$Y323*$AA323*-3)^(1/$Y323)))</f>
        <v/>
      </c>
      <c r="AG323">
        <f>IF($W323="","",IFERROR(INDEX(IF($T323&lt;=60,est05_l,est519_l),MATCH($W323,IF($T323&lt;=60,est05_k,est519_k),1)),""))</f>
        <v/>
      </c>
      <c r="AH323">
        <f>IF($W323="","",IFERROR(INDEX(IF($T323&lt;=60,est05_m,est519_m),MATCH($W323,IF($T323&lt;=60,est05_k,est519_k),1)),""))</f>
        <v/>
      </c>
      <c r="AI323">
        <f>IF($W323="","",IFERROR(INDEX(IF($T323&lt;=60,est05_s,est519_s),MATCH($W323,IF($T323&lt;=60,est05_k,est519_k),1)),""))</f>
        <v/>
      </c>
      <c r="AJ323">
        <f>IF($W323="","",IFERROR(INDEX(IF($T323&lt;=60,peso05_l,peso510_l),MATCH($W323,IF($T323&lt;=60,peso05_k,peso510_k),1)),""))</f>
        <v/>
      </c>
      <c r="AK323">
        <f>IF($W323="","",IFERROR(INDEX(IF($T323&lt;=60,peso05_m,peso510_m),MATCH($W323,IF($T323&lt;=60,peso05_k,peso510_k),1)),""))</f>
        <v/>
      </c>
      <c r="AL323">
        <f>IF($W323="","",IFERROR(INDEX(IF($T323&lt;=60,peso05_s,peso510_s),MATCH($W323,IF($T323&lt;=60,peso05_k,peso510_k),1)),""))</f>
        <v/>
      </c>
      <c r="AM323">
        <f>IF($AJ323="","",IF($AJ323=0,LN($F323/$AK323)/$AL323,((($F323/$AK323)^$AJ323)-1)/($AJ323*$AL323)))</f>
        <v/>
      </c>
      <c r="AN323">
        <f>IF($AJ323="","",IF($AJ323=0,$AK323*EXP($AL323*2),$AK323*(1+$AJ323*$AL323*2)^(1/$AJ323)))</f>
        <v/>
      </c>
      <c r="AO323">
        <f>IF($AJ323="","",IF($AJ323=0,$AK323*EXP($AL323*3),$AK323*(1+$AJ323*$AL323*3)^(1/$AJ323)))</f>
        <v/>
      </c>
      <c r="AP323">
        <f>IF($AJ323="","",IF($AJ323=0,$AK323*EXP($AL323*-2),$AK323*(1+$AJ323*$AL323*-2)^(1/$AJ323)))</f>
        <v/>
      </c>
      <c r="AQ323">
        <f>IF($AJ323="","",IF($AJ323=0,$AK323*EXP($AL323*-3),$AK323*(1+$AJ323*$AL323*-3)^(1/$AJ323)))</f>
        <v/>
      </c>
      <c r="AR323">
        <f>IF(OR($X323="",$T323&gt;60),"",IFERROR(INDEX(IF($T323&lt;24,pcomp_l,palt_l),MATCH($X323,IF($T323&lt;24,pcomp_k,palt_k),1)),""))</f>
        <v/>
      </c>
      <c r="AS323">
        <f>IF(OR($X323="",$T323&gt;60),"",IFERROR(INDEX(IF($T323&lt;24,pcomp_m,palt_m),MATCH($X323,IF($T323&lt;24,pcomp_k,palt_k),1)),""))</f>
        <v/>
      </c>
      <c r="AT323">
        <f>IF(OR($X323="",$T323&gt;60),"",IFERROR(INDEX(IF($T323&lt;24,pcomp_s,palt_s),MATCH($X323,IF($T323&lt;24,pcomp_k,palt_k),1)),""))</f>
        <v/>
      </c>
      <c r="AU323">
        <f>IF($AR323="","",IF($AR323=0,LN($F323/$AS323)/$AT323,((($F323/$AS323)^$AR323)-1)/($AR323*$AT323)))</f>
        <v/>
      </c>
      <c r="AV323">
        <f>IF($AR323="","",IF($AR323=0,$AS323*EXP($AT323*2),$AS323*(1+$AR323*$AT323*2)^(1/$AR323)))</f>
        <v/>
      </c>
      <c r="AW323">
        <f>IF($AR323="","",IF($AR323=0,$AS323*EXP($AT323*3),$AS323*(1+$AR323*$AT323*3)^(1/$AR323)))</f>
        <v/>
      </c>
      <c r="AX323">
        <f>IF($AR323="","",IF($AR323=0,$AS323*EXP($AT323*-2),$AS323*(1+$AR323*$AT323*-2)^(1/$AR323)))</f>
        <v/>
      </c>
      <c r="AY323">
        <f>IF($AR323="","",IF($AR323=0,$AS323*EXP($AT323*-3),$AS323*(1+$AR323*$AT323*-3)^(1/$AR323)))</f>
        <v/>
      </c>
      <c r="AZ323">
        <f>IF(OR($A323="",$A323&lt;&gt;Ficha!$C$4),"",COUNTIF($A$2:$A323,Ficha!$C$4))</f>
        <v/>
      </c>
    </row>
    <row r="324">
      <c r="A324" s="8">
        <f>IF(INDEX(Banco!$A:$A,ROW())="","",INDEX(Banco!$A:$A,ROW()))</f>
        <v/>
      </c>
      <c r="B324" s="8">
        <f>IF(INDEX(Banco!$B:$B,ROW())="","",INDEX(Banco!$B:$B,ROW()))</f>
        <v/>
      </c>
      <c r="C324" s="8">
        <f>IF(INDEX(Banco!$C:$C,ROW())="","",INDEX(Banco!$C:$C,ROW()))</f>
        <v/>
      </c>
      <c r="D324" s="9">
        <f>IF(INDEX(Banco!$D:$D,ROW())="","",INDEX(Banco!$D:$D,ROW()))</f>
        <v/>
      </c>
      <c r="E324" s="9">
        <f>IF(INDEX(Banco!$E:$E,ROW())="","",INDEX(Banco!$E:$E,ROW()))</f>
        <v/>
      </c>
      <c r="F324" s="10">
        <f>IF(INDEX(Banco!$F:$F,ROW())="","",INDEX(Banco!$F:$F,ROW()))</f>
        <v/>
      </c>
      <c r="G324" s="10">
        <f>IF(INDEX(Banco!$G:$G,ROW())="","",INDEX(Banco!$G:$G,ROW()))</f>
        <v/>
      </c>
      <c r="H324" s="8">
        <f>IF(INDEX(Banco!$H:$H,ROW())="","",INDEX(Banco!$H:$H,ROW()))</f>
        <v/>
      </c>
      <c r="I324">
        <f>IF($T324="","",INT($T324/12)&amp;"a "&amp;MOD($T324,12)&amp;"m")</f>
        <v/>
      </c>
      <c r="J324" s="11">
        <f>IF(OR($F324="",$G324=""),"",ROUND($F324/($G324/100)^2,2))</f>
        <v/>
      </c>
      <c r="K324" s="12">
        <f>IF(OR($S324="",$J324="",$T324="",$T324&lt;0,$T324&gt;228,$Y324=""),"—",ROUND(IF(ABS($AB324)&lt;=3,$AB324,IF($AB324&gt;3,3+($J324-$AD324)/($AD324-$AC324),-3+($J324-$AF324)/($AE324-$AF324))),2))</f>
        <v/>
      </c>
      <c r="L324">
        <f>IF(OR($K324="",$K324="—"),"",IF($T324&lt;=60,IF($K324&lt;-3,"Magreza acentuada",IF($K324&lt;-2,"Magreza",IF($K324&lt;=1,"Eutrofia",IF($K324&lt;=2,"Risco de sobrepeso",IF($K324&lt;=3,"Sobrepeso","Obesidade"))))),IF($K324&lt;-3,"Magreza acentuada",IF($K324&lt;-2,"Magreza",IF($K324&lt;=1,"Eutrofia",IF($K324&lt;=2,"Sobrepeso",IF($K324&lt;=3,"Obesidade","Obesidade grave")))))))</f>
        <v/>
      </c>
      <c r="M324" s="12">
        <f>IF(OR($S324="",$V324="",$T324="",$T324&lt;0,$T324&gt;228,$AG324=""),"—",ROUND(IF($AG324=0,LN($V324/$AH324)/$AI324,((($V324/$AH324)^$AG324)-1)/($AG324*$AI324)),2))</f>
        <v/>
      </c>
      <c r="N324">
        <f>IF(OR($M324="",$M324="—"),"",IF($M324&lt;-3,"Muito baixa",IF($M324&lt;-2,"Baixa","Adequada")))</f>
        <v/>
      </c>
      <c r="O324" s="12">
        <f>IF(OR($S324="",$F324="",$T324="",$T324&lt;0,$T324&gt;120,$AJ324=""),"—",ROUND(IF(ABS($AM324)&lt;=3,$AM324,IF($AM324&gt;3,3+($F324-$AO324)/($AO324-$AN324),-3+($F324-$AQ324)/($AP324-$AQ324))),2))</f>
        <v/>
      </c>
      <c r="P324">
        <f>IF(OR($O324="",$O324="—"),"",IF($O324&lt;-3,"Muito baixo",IF($O324&lt;-2,"Baixo",IF($O324&lt;=2,"Adequado","Elevado"))))</f>
        <v/>
      </c>
      <c r="Q324" s="12">
        <f>IF(OR($S324="",$F324="",$T324="",$T324&lt;0,$T324&gt;60,$AR324=""),"—",ROUND(IF(ABS($AU324)&lt;=3,$AU324,IF($AU324&gt;3,3+($F324-$AW324)/($AW324-$AV324),-3+($F324-$AY324)/($AX324-$AY324))),2))</f>
        <v/>
      </c>
      <c r="R324">
        <f>IF(OR($Q324="",$Q324="—"),"",IF($Q324&lt;-3,"Magreza acentuada",IF($Q324&lt;-2,"Magreza",IF($Q324&lt;=1,"Eutrofia",IF($Q324&lt;=2,"Risco de sobrepeso",IF($Q324&lt;=3,"Sobrepeso","Obesidade"))))))</f>
        <v/>
      </c>
      <c r="S324">
        <f>IF($C324="","",IF(UPPER(LEFT($C324,1))="M",1,IF(UPPER(LEFT($C324,1))="F",2,"")))</f>
        <v/>
      </c>
      <c r="T324">
        <f>IF(OR($D324="",$E324=""),"",DATEDIF($D324,$E324,"m"))</f>
        <v/>
      </c>
      <c r="U324">
        <f>IF(OR($D324="",$E324=""),"",$E324-$D324)</f>
        <v/>
      </c>
      <c r="V324">
        <f>IF(OR($G324="",$T324=""),"",IF($T324&lt;24,IF(LEFT(LOWER($H324),4)="em p",$G324+0.7,$G324),IF(LEFT(LOWER($H324),4)="deit",$G324-0.7,$G324)))</f>
        <v/>
      </c>
      <c r="W324">
        <f>IF(OR($S324="",$T324=""),"",$S324*1000000+IF($T324&lt;=60,$U324,$T324))</f>
        <v/>
      </c>
      <c r="X324">
        <f>IF(OR($S324="",$V324="",$T324&gt;60,$T324=""),"",$S324*1000000+ROUND($V324*10,0))</f>
        <v/>
      </c>
      <c r="Y324">
        <f>IF($W324="","",IFERROR(INDEX(IF($T324&lt;=60,imc05_l,imc519_l),MATCH($W324,IF($T324&lt;=60,imc05_k,imc519_k),1)),""))</f>
        <v/>
      </c>
      <c r="Z324">
        <f>IF($W324="","",IFERROR(INDEX(IF($T324&lt;=60,imc05_m,imc519_m),MATCH($W324,IF($T324&lt;=60,imc05_k,imc519_k),1)),""))</f>
        <v/>
      </c>
      <c r="AA324">
        <f>IF($W324="","",IFERROR(INDEX(IF($T324&lt;=60,imc05_s,imc519_s),MATCH($W324,IF($T324&lt;=60,imc05_k,imc519_k),1)),""))</f>
        <v/>
      </c>
      <c r="AB324">
        <f>IF($Y324="","",IF($Y324=0,LN($J324/$Z324)/$AA324,((($J324/$Z324)^$Y324)-1)/($Y324*$AA324)))</f>
        <v/>
      </c>
      <c r="AC324">
        <f>IF($Y324="","",IF($Y324=0,$Z324*EXP($AA324*2),$Z324*(1+$Y324*$AA324*2)^(1/$Y324)))</f>
        <v/>
      </c>
      <c r="AD324">
        <f>IF($Y324="","",IF($Y324=0,$Z324*EXP($AA324*3),$Z324*(1+$Y324*$AA324*3)^(1/$Y324)))</f>
        <v/>
      </c>
      <c r="AE324">
        <f>IF($Y324="","",IF($Y324=0,$Z324*EXP($AA324*-2),$Z324*(1+$Y324*$AA324*-2)^(1/$Y324)))</f>
        <v/>
      </c>
      <c r="AF324">
        <f>IF($Y324="","",IF($Y324=0,$Z324*EXP($AA324*-3),$Z324*(1+$Y324*$AA324*-3)^(1/$Y324)))</f>
        <v/>
      </c>
      <c r="AG324">
        <f>IF($W324="","",IFERROR(INDEX(IF($T324&lt;=60,est05_l,est519_l),MATCH($W324,IF($T324&lt;=60,est05_k,est519_k),1)),""))</f>
        <v/>
      </c>
      <c r="AH324">
        <f>IF($W324="","",IFERROR(INDEX(IF($T324&lt;=60,est05_m,est519_m),MATCH($W324,IF($T324&lt;=60,est05_k,est519_k),1)),""))</f>
        <v/>
      </c>
      <c r="AI324">
        <f>IF($W324="","",IFERROR(INDEX(IF($T324&lt;=60,est05_s,est519_s),MATCH($W324,IF($T324&lt;=60,est05_k,est519_k),1)),""))</f>
        <v/>
      </c>
      <c r="AJ324">
        <f>IF($W324="","",IFERROR(INDEX(IF($T324&lt;=60,peso05_l,peso510_l),MATCH($W324,IF($T324&lt;=60,peso05_k,peso510_k),1)),""))</f>
        <v/>
      </c>
      <c r="AK324">
        <f>IF($W324="","",IFERROR(INDEX(IF($T324&lt;=60,peso05_m,peso510_m),MATCH($W324,IF($T324&lt;=60,peso05_k,peso510_k),1)),""))</f>
        <v/>
      </c>
      <c r="AL324">
        <f>IF($W324="","",IFERROR(INDEX(IF($T324&lt;=60,peso05_s,peso510_s),MATCH($W324,IF($T324&lt;=60,peso05_k,peso510_k),1)),""))</f>
        <v/>
      </c>
      <c r="AM324">
        <f>IF($AJ324="","",IF($AJ324=0,LN($F324/$AK324)/$AL324,((($F324/$AK324)^$AJ324)-1)/($AJ324*$AL324)))</f>
        <v/>
      </c>
      <c r="AN324">
        <f>IF($AJ324="","",IF($AJ324=0,$AK324*EXP($AL324*2),$AK324*(1+$AJ324*$AL324*2)^(1/$AJ324)))</f>
        <v/>
      </c>
      <c r="AO324">
        <f>IF($AJ324="","",IF($AJ324=0,$AK324*EXP($AL324*3),$AK324*(1+$AJ324*$AL324*3)^(1/$AJ324)))</f>
        <v/>
      </c>
      <c r="AP324">
        <f>IF($AJ324="","",IF($AJ324=0,$AK324*EXP($AL324*-2),$AK324*(1+$AJ324*$AL324*-2)^(1/$AJ324)))</f>
        <v/>
      </c>
      <c r="AQ324">
        <f>IF($AJ324="","",IF($AJ324=0,$AK324*EXP($AL324*-3),$AK324*(1+$AJ324*$AL324*-3)^(1/$AJ324)))</f>
        <v/>
      </c>
      <c r="AR324">
        <f>IF(OR($X324="",$T324&gt;60),"",IFERROR(INDEX(IF($T324&lt;24,pcomp_l,palt_l),MATCH($X324,IF($T324&lt;24,pcomp_k,palt_k),1)),""))</f>
        <v/>
      </c>
      <c r="AS324">
        <f>IF(OR($X324="",$T324&gt;60),"",IFERROR(INDEX(IF($T324&lt;24,pcomp_m,palt_m),MATCH($X324,IF($T324&lt;24,pcomp_k,palt_k),1)),""))</f>
        <v/>
      </c>
      <c r="AT324">
        <f>IF(OR($X324="",$T324&gt;60),"",IFERROR(INDEX(IF($T324&lt;24,pcomp_s,palt_s),MATCH($X324,IF($T324&lt;24,pcomp_k,palt_k),1)),""))</f>
        <v/>
      </c>
      <c r="AU324">
        <f>IF($AR324="","",IF($AR324=0,LN($F324/$AS324)/$AT324,((($F324/$AS324)^$AR324)-1)/($AR324*$AT324)))</f>
        <v/>
      </c>
      <c r="AV324">
        <f>IF($AR324="","",IF($AR324=0,$AS324*EXP($AT324*2),$AS324*(1+$AR324*$AT324*2)^(1/$AR324)))</f>
        <v/>
      </c>
      <c r="AW324">
        <f>IF($AR324="","",IF($AR324=0,$AS324*EXP($AT324*3),$AS324*(1+$AR324*$AT324*3)^(1/$AR324)))</f>
        <v/>
      </c>
      <c r="AX324">
        <f>IF($AR324="","",IF($AR324=0,$AS324*EXP($AT324*-2),$AS324*(1+$AR324*$AT324*-2)^(1/$AR324)))</f>
        <v/>
      </c>
      <c r="AY324">
        <f>IF($AR324="","",IF($AR324=0,$AS324*EXP($AT324*-3),$AS324*(1+$AR324*$AT324*-3)^(1/$AR324)))</f>
        <v/>
      </c>
      <c r="AZ324">
        <f>IF(OR($A324="",$A324&lt;&gt;Ficha!$C$4),"",COUNTIF($A$2:$A324,Ficha!$C$4))</f>
        <v/>
      </c>
    </row>
    <row r="325">
      <c r="A325" s="8">
        <f>IF(INDEX(Banco!$A:$A,ROW())="","",INDEX(Banco!$A:$A,ROW()))</f>
        <v/>
      </c>
      <c r="B325" s="8">
        <f>IF(INDEX(Banco!$B:$B,ROW())="","",INDEX(Banco!$B:$B,ROW()))</f>
        <v/>
      </c>
      <c r="C325" s="8">
        <f>IF(INDEX(Banco!$C:$C,ROW())="","",INDEX(Banco!$C:$C,ROW()))</f>
        <v/>
      </c>
      <c r="D325" s="9">
        <f>IF(INDEX(Banco!$D:$D,ROW())="","",INDEX(Banco!$D:$D,ROW()))</f>
        <v/>
      </c>
      <c r="E325" s="9">
        <f>IF(INDEX(Banco!$E:$E,ROW())="","",INDEX(Banco!$E:$E,ROW()))</f>
        <v/>
      </c>
      <c r="F325" s="10">
        <f>IF(INDEX(Banco!$F:$F,ROW())="","",INDEX(Banco!$F:$F,ROW()))</f>
        <v/>
      </c>
      <c r="G325" s="10">
        <f>IF(INDEX(Banco!$G:$G,ROW())="","",INDEX(Banco!$G:$G,ROW()))</f>
        <v/>
      </c>
      <c r="H325" s="8">
        <f>IF(INDEX(Banco!$H:$H,ROW())="","",INDEX(Banco!$H:$H,ROW()))</f>
        <v/>
      </c>
      <c r="I325">
        <f>IF($T325="","",INT($T325/12)&amp;"a "&amp;MOD($T325,12)&amp;"m")</f>
        <v/>
      </c>
      <c r="J325" s="11">
        <f>IF(OR($F325="",$G325=""),"",ROUND($F325/($G325/100)^2,2))</f>
        <v/>
      </c>
      <c r="K325" s="12">
        <f>IF(OR($S325="",$J325="",$T325="",$T325&lt;0,$T325&gt;228,$Y325=""),"—",ROUND(IF(ABS($AB325)&lt;=3,$AB325,IF($AB325&gt;3,3+($J325-$AD325)/($AD325-$AC325),-3+($J325-$AF325)/($AE325-$AF325))),2))</f>
        <v/>
      </c>
      <c r="L325">
        <f>IF(OR($K325="",$K325="—"),"",IF($T325&lt;=60,IF($K325&lt;-3,"Magreza acentuada",IF($K325&lt;-2,"Magreza",IF($K325&lt;=1,"Eutrofia",IF($K325&lt;=2,"Risco de sobrepeso",IF($K325&lt;=3,"Sobrepeso","Obesidade"))))),IF($K325&lt;-3,"Magreza acentuada",IF($K325&lt;-2,"Magreza",IF($K325&lt;=1,"Eutrofia",IF($K325&lt;=2,"Sobrepeso",IF($K325&lt;=3,"Obesidade","Obesidade grave")))))))</f>
        <v/>
      </c>
      <c r="M325" s="12">
        <f>IF(OR($S325="",$V325="",$T325="",$T325&lt;0,$T325&gt;228,$AG325=""),"—",ROUND(IF($AG325=0,LN($V325/$AH325)/$AI325,((($V325/$AH325)^$AG325)-1)/($AG325*$AI325)),2))</f>
        <v/>
      </c>
      <c r="N325">
        <f>IF(OR($M325="",$M325="—"),"",IF($M325&lt;-3,"Muito baixa",IF($M325&lt;-2,"Baixa","Adequada")))</f>
        <v/>
      </c>
      <c r="O325" s="12">
        <f>IF(OR($S325="",$F325="",$T325="",$T325&lt;0,$T325&gt;120,$AJ325=""),"—",ROUND(IF(ABS($AM325)&lt;=3,$AM325,IF($AM325&gt;3,3+($F325-$AO325)/($AO325-$AN325),-3+($F325-$AQ325)/($AP325-$AQ325))),2))</f>
        <v/>
      </c>
      <c r="P325">
        <f>IF(OR($O325="",$O325="—"),"",IF($O325&lt;-3,"Muito baixo",IF($O325&lt;-2,"Baixo",IF($O325&lt;=2,"Adequado","Elevado"))))</f>
        <v/>
      </c>
      <c r="Q325" s="12">
        <f>IF(OR($S325="",$F325="",$T325="",$T325&lt;0,$T325&gt;60,$AR325=""),"—",ROUND(IF(ABS($AU325)&lt;=3,$AU325,IF($AU325&gt;3,3+($F325-$AW325)/($AW325-$AV325),-3+($F325-$AY325)/($AX325-$AY325))),2))</f>
        <v/>
      </c>
      <c r="R325">
        <f>IF(OR($Q325="",$Q325="—"),"",IF($Q325&lt;-3,"Magreza acentuada",IF($Q325&lt;-2,"Magreza",IF($Q325&lt;=1,"Eutrofia",IF($Q325&lt;=2,"Risco de sobrepeso",IF($Q325&lt;=3,"Sobrepeso","Obesidade"))))))</f>
        <v/>
      </c>
      <c r="S325">
        <f>IF($C325="","",IF(UPPER(LEFT($C325,1))="M",1,IF(UPPER(LEFT($C325,1))="F",2,"")))</f>
        <v/>
      </c>
      <c r="T325">
        <f>IF(OR($D325="",$E325=""),"",DATEDIF($D325,$E325,"m"))</f>
        <v/>
      </c>
      <c r="U325">
        <f>IF(OR($D325="",$E325=""),"",$E325-$D325)</f>
        <v/>
      </c>
      <c r="V325">
        <f>IF(OR($G325="",$T325=""),"",IF($T325&lt;24,IF(LEFT(LOWER($H325),4)="em p",$G325+0.7,$G325),IF(LEFT(LOWER($H325),4)="deit",$G325-0.7,$G325)))</f>
        <v/>
      </c>
      <c r="W325">
        <f>IF(OR($S325="",$T325=""),"",$S325*1000000+IF($T325&lt;=60,$U325,$T325))</f>
        <v/>
      </c>
      <c r="X325">
        <f>IF(OR($S325="",$V325="",$T325&gt;60,$T325=""),"",$S325*1000000+ROUND($V325*10,0))</f>
        <v/>
      </c>
      <c r="Y325">
        <f>IF($W325="","",IFERROR(INDEX(IF($T325&lt;=60,imc05_l,imc519_l),MATCH($W325,IF($T325&lt;=60,imc05_k,imc519_k),1)),""))</f>
        <v/>
      </c>
      <c r="Z325">
        <f>IF($W325="","",IFERROR(INDEX(IF($T325&lt;=60,imc05_m,imc519_m),MATCH($W325,IF($T325&lt;=60,imc05_k,imc519_k),1)),""))</f>
        <v/>
      </c>
      <c r="AA325">
        <f>IF($W325="","",IFERROR(INDEX(IF($T325&lt;=60,imc05_s,imc519_s),MATCH($W325,IF($T325&lt;=60,imc05_k,imc519_k),1)),""))</f>
        <v/>
      </c>
      <c r="AB325">
        <f>IF($Y325="","",IF($Y325=0,LN($J325/$Z325)/$AA325,((($J325/$Z325)^$Y325)-1)/($Y325*$AA325)))</f>
        <v/>
      </c>
      <c r="AC325">
        <f>IF($Y325="","",IF($Y325=0,$Z325*EXP($AA325*2),$Z325*(1+$Y325*$AA325*2)^(1/$Y325)))</f>
        <v/>
      </c>
      <c r="AD325">
        <f>IF($Y325="","",IF($Y325=0,$Z325*EXP($AA325*3),$Z325*(1+$Y325*$AA325*3)^(1/$Y325)))</f>
        <v/>
      </c>
      <c r="AE325">
        <f>IF($Y325="","",IF($Y325=0,$Z325*EXP($AA325*-2),$Z325*(1+$Y325*$AA325*-2)^(1/$Y325)))</f>
        <v/>
      </c>
      <c r="AF325">
        <f>IF($Y325="","",IF($Y325=0,$Z325*EXP($AA325*-3),$Z325*(1+$Y325*$AA325*-3)^(1/$Y325)))</f>
        <v/>
      </c>
      <c r="AG325">
        <f>IF($W325="","",IFERROR(INDEX(IF($T325&lt;=60,est05_l,est519_l),MATCH($W325,IF($T325&lt;=60,est05_k,est519_k),1)),""))</f>
        <v/>
      </c>
      <c r="AH325">
        <f>IF($W325="","",IFERROR(INDEX(IF($T325&lt;=60,est05_m,est519_m),MATCH($W325,IF($T325&lt;=60,est05_k,est519_k),1)),""))</f>
        <v/>
      </c>
      <c r="AI325">
        <f>IF($W325="","",IFERROR(INDEX(IF($T325&lt;=60,est05_s,est519_s),MATCH($W325,IF($T325&lt;=60,est05_k,est519_k),1)),""))</f>
        <v/>
      </c>
      <c r="AJ325">
        <f>IF($W325="","",IFERROR(INDEX(IF($T325&lt;=60,peso05_l,peso510_l),MATCH($W325,IF($T325&lt;=60,peso05_k,peso510_k),1)),""))</f>
        <v/>
      </c>
      <c r="AK325">
        <f>IF($W325="","",IFERROR(INDEX(IF($T325&lt;=60,peso05_m,peso510_m),MATCH($W325,IF($T325&lt;=60,peso05_k,peso510_k),1)),""))</f>
        <v/>
      </c>
      <c r="AL325">
        <f>IF($W325="","",IFERROR(INDEX(IF($T325&lt;=60,peso05_s,peso510_s),MATCH($W325,IF($T325&lt;=60,peso05_k,peso510_k),1)),""))</f>
        <v/>
      </c>
      <c r="AM325">
        <f>IF($AJ325="","",IF($AJ325=0,LN($F325/$AK325)/$AL325,((($F325/$AK325)^$AJ325)-1)/($AJ325*$AL325)))</f>
        <v/>
      </c>
      <c r="AN325">
        <f>IF($AJ325="","",IF($AJ325=0,$AK325*EXP($AL325*2),$AK325*(1+$AJ325*$AL325*2)^(1/$AJ325)))</f>
        <v/>
      </c>
      <c r="AO325">
        <f>IF($AJ325="","",IF($AJ325=0,$AK325*EXP($AL325*3),$AK325*(1+$AJ325*$AL325*3)^(1/$AJ325)))</f>
        <v/>
      </c>
      <c r="AP325">
        <f>IF($AJ325="","",IF($AJ325=0,$AK325*EXP($AL325*-2),$AK325*(1+$AJ325*$AL325*-2)^(1/$AJ325)))</f>
        <v/>
      </c>
      <c r="AQ325">
        <f>IF($AJ325="","",IF($AJ325=0,$AK325*EXP($AL325*-3),$AK325*(1+$AJ325*$AL325*-3)^(1/$AJ325)))</f>
        <v/>
      </c>
      <c r="AR325">
        <f>IF(OR($X325="",$T325&gt;60),"",IFERROR(INDEX(IF($T325&lt;24,pcomp_l,palt_l),MATCH($X325,IF($T325&lt;24,pcomp_k,palt_k),1)),""))</f>
        <v/>
      </c>
      <c r="AS325">
        <f>IF(OR($X325="",$T325&gt;60),"",IFERROR(INDEX(IF($T325&lt;24,pcomp_m,palt_m),MATCH($X325,IF($T325&lt;24,pcomp_k,palt_k),1)),""))</f>
        <v/>
      </c>
      <c r="AT325">
        <f>IF(OR($X325="",$T325&gt;60),"",IFERROR(INDEX(IF($T325&lt;24,pcomp_s,palt_s),MATCH($X325,IF($T325&lt;24,pcomp_k,palt_k),1)),""))</f>
        <v/>
      </c>
      <c r="AU325">
        <f>IF($AR325="","",IF($AR325=0,LN($F325/$AS325)/$AT325,((($F325/$AS325)^$AR325)-1)/($AR325*$AT325)))</f>
        <v/>
      </c>
      <c r="AV325">
        <f>IF($AR325="","",IF($AR325=0,$AS325*EXP($AT325*2),$AS325*(1+$AR325*$AT325*2)^(1/$AR325)))</f>
        <v/>
      </c>
      <c r="AW325">
        <f>IF($AR325="","",IF($AR325=0,$AS325*EXP($AT325*3),$AS325*(1+$AR325*$AT325*3)^(1/$AR325)))</f>
        <v/>
      </c>
      <c r="AX325">
        <f>IF($AR325="","",IF($AR325=0,$AS325*EXP($AT325*-2),$AS325*(1+$AR325*$AT325*-2)^(1/$AR325)))</f>
        <v/>
      </c>
      <c r="AY325">
        <f>IF($AR325="","",IF($AR325=0,$AS325*EXP($AT325*-3),$AS325*(1+$AR325*$AT325*-3)^(1/$AR325)))</f>
        <v/>
      </c>
      <c r="AZ325">
        <f>IF(OR($A325="",$A325&lt;&gt;Ficha!$C$4),"",COUNTIF($A$2:$A325,Ficha!$C$4))</f>
        <v/>
      </c>
    </row>
    <row r="326">
      <c r="A326" s="8">
        <f>IF(INDEX(Banco!$A:$A,ROW())="","",INDEX(Banco!$A:$A,ROW()))</f>
        <v/>
      </c>
      <c r="B326" s="8">
        <f>IF(INDEX(Banco!$B:$B,ROW())="","",INDEX(Banco!$B:$B,ROW()))</f>
        <v/>
      </c>
      <c r="C326" s="8">
        <f>IF(INDEX(Banco!$C:$C,ROW())="","",INDEX(Banco!$C:$C,ROW()))</f>
        <v/>
      </c>
      <c r="D326" s="9">
        <f>IF(INDEX(Banco!$D:$D,ROW())="","",INDEX(Banco!$D:$D,ROW()))</f>
        <v/>
      </c>
      <c r="E326" s="9">
        <f>IF(INDEX(Banco!$E:$E,ROW())="","",INDEX(Banco!$E:$E,ROW()))</f>
        <v/>
      </c>
      <c r="F326" s="10">
        <f>IF(INDEX(Banco!$F:$F,ROW())="","",INDEX(Banco!$F:$F,ROW()))</f>
        <v/>
      </c>
      <c r="G326" s="10">
        <f>IF(INDEX(Banco!$G:$G,ROW())="","",INDEX(Banco!$G:$G,ROW()))</f>
        <v/>
      </c>
      <c r="H326" s="8">
        <f>IF(INDEX(Banco!$H:$H,ROW())="","",INDEX(Banco!$H:$H,ROW()))</f>
        <v/>
      </c>
      <c r="I326">
        <f>IF($T326="","",INT($T326/12)&amp;"a "&amp;MOD($T326,12)&amp;"m")</f>
        <v/>
      </c>
      <c r="J326" s="11">
        <f>IF(OR($F326="",$G326=""),"",ROUND($F326/($G326/100)^2,2))</f>
        <v/>
      </c>
      <c r="K326" s="12">
        <f>IF(OR($S326="",$J326="",$T326="",$T326&lt;0,$T326&gt;228,$Y326=""),"—",ROUND(IF(ABS($AB326)&lt;=3,$AB326,IF($AB326&gt;3,3+($J326-$AD326)/($AD326-$AC326),-3+($J326-$AF326)/($AE326-$AF326))),2))</f>
        <v/>
      </c>
      <c r="L326">
        <f>IF(OR($K326="",$K326="—"),"",IF($T326&lt;=60,IF($K326&lt;-3,"Magreza acentuada",IF($K326&lt;-2,"Magreza",IF($K326&lt;=1,"Eutrofia",IF($K326&lt;=2,"Risco de sobrepeso",IF($K326&lt;=3,"Sobrepeso","Obesidade"))))),IF($K326&lt;-3,"Magreza acentuada",IF($K326&lt;-2,"Magreza",IF($K326&lt;=1,"Eutrofia",IF($K326&lt;=2,"Sobrepeso",IF($K326&lt;=3,"Obesidade","Obesidade grave")))))))</f>
        <v/>
      </c>
      <c r="M326" s="12">
        <f>IF(OR($S326="",$V326="",$T326="",$T326&lt;0,$T326&gt;228,$AG326=""),"—",ROUND(IF($AG326=0,LN($V326/$AH326)/$AI326,((($V326/$AH326)^$AG326)-1)/($AG326*$AI326)),2))</f>
        <v/>
      </c>
      <c r="N326">
        <f>IF(OR($M326="",$M326="—"),"",IF($M326&lt;-3,"Muito baixa",IF($M326&lt;-2,"Baixa","Adequada")))</f>
        <v/>
      </c>
      <c r="O326" s="12">
        <f>IF(OR($S326="",$F326="",$T326="",$T326&lt;0,$T326&gt;120,$AJ326=""),"—",ROUND(IF(ABS($AM326)&lt;=3,$AM326,IF($AM326&gt;3,3+($F326-$AO326)/($AO326-$AN326),-3+($F326-$AQ326)/($AP326-$AQ326))),2))</f>
        <v/>
      </c>
      <c r="P326">
        <f>IF(OR($O326="",$O326="—"),"",IF($O326&lt;-3,"Muito baixo",IF($O326&lt;-2,"Baixo",IF($O326&lt;=2,"Adequado","Elevado"))))</f>
        <v/>
      </c>
      <c r="Q326" s="12">
        <f>IF(OR($S326="",$F326="",$T326="",$T326&lt;0,$T326&gt;60,$AR326=""),"—",ROUND(IF(ABS($AU326)&lt;=3,$AU326,IF($AU326&gt;3,3+($F326-$AW326)/($AW326-$AV326),-3+($F326-$AY326)/($AX326-$AY326))),2))</f>
        <v/>
      </c>
      <c r="R326">
        <f>IF(OR($Q326="",$Q326="—"),"",IF($Q326&lt;-3,"Magreza acentuada",IF($Q326&lt;-2,"Magreza",IF($Q326&lt;=1,"Eutrofia",IF($Q326&lt;=2,"Risco de sobrepeso",IF($Q326&lt;=3,"Sobrepeso","Obesidade"))))))</f>
        <v/>
      </c>
      <c r="S326">
        <f>IF($C326="","",IF(UPPER(LEFT($C326,1))="M",1,IF(UPPER(LEFT($C326,1))="F",2,"")))</f>
        <v/>
      </c>
      <c r="T326">
        <f>IF(OR($D326="",$E326=""),"",DATEDIF($D326,$E326,"m"))</f>
        <v/>
      </c>
      <c r="U326">
        <f>IF(OR($D326="",$E326=""),"",$E326-$D326)</f>
        <v/>
      </c>
      <c r="V326">
        <f>IF(OR($G326="",$T326=""),"",IF($T326&lt;24,IF(LEFT(LOWER($H326),4)="em p",$G326+0.7,$G326),IF(LEFT(LOWER($H326),4)="deit",$G326-0.7,$G326)))</f>
        <v/>
      </c>
      <c r="W326">
        <f>IF(OR($S326="",$T326=""),"",$S326*1000000+IF($T326&lt;=60,$U326,$T326))</f>
        <v/>
      </c>
      <c r="X326">
        <f>IF(OR($S326="",$V326="",$T326&gt;60,$T326=""),"",$S326*1000000+ROUND($V326*10,0))</f>
        <v/>
      </c>
      <c r="Y326">
        <f>IF($W326="","",IFERROR(INDEX(IF($T326&lt;=60,imc05_l,imc519_l),MATCH($W326,IF($T326&lt;=60,imc05_k,imc519_k),1)),""))</f>
        <v/>
      </c>
      <c r="Z326">
        <f>IF($W326="","",IFERROR(INDEX(IF($T326&lt;=60,imc05_m,imc519_m),MATCH($W326,IF($T326&lt;=60,imc05_k,imc519_k),1)),""))</f>
        <v/>
      </c>
      <c r="AA326">
        <f>IF($W326="","",IFERROR(INDEX(IF($T326&lt;=60,imc05_s,imc519_s),MATCH($W326,IF($T326&lt;=60,imc05_k,imc519_k),1)),""))</f>
        <v/>
      </c>
      <c r="AB326">
        <f>IF($Y326="","",IF($Y326=0,LN($J326/$Z326)/$AA326,((($J326/$Z326)^$Y326)-1)/($Y326*$AA326)))</f>
        <v/>
      </c>
      <c r="AC326">
        <f>IF($Y326="","",IF($Y326=0,$Z326*EXP($AA326*2),$Z326*(1+$Y326*$AA326*2)^(1/$Y326)))</f>
        <v/>
      </c>
      <c r="AD326">
        <f>IF($Y326="","",IF($Y326=0,$Z326*EXP($AA326*3),$Z326*(1+$Y326*$AA326*3)^(1/$Y326)))</f>
        <v/>
      </c>
      <c r="AE326">
        <f>IF($Y326="","",IF($Y326=0,$Z326*EXP($AA326*-2),$Z326*(1+$Y326*$AA326*-2)^(1/$Y326)))</f>
        <v/>
      </c>
      <c r="AF326">
        <f>IF($Y326="","",IF($Y326=0,$Z326*EXP($AA326*-3),$Z326*(1+$Y326*$AA326*-3)^(1/$Y326)))</f>
        <v/>
      </c>
      <c r="AG326">
        <f>IF($W326="","",IFERROR(INDEX(IF($T326&lt;=60,est05_l,est519_l),MATCH($W326,IF($T326&lt;=60,est05_k,est519_k),1)),""))</f>
        <v/>
      </c>
      <c r="AH326">
        <f>IF($W326="","",IFERROR(INDEX(IF($T326&lt;=60,est05_m,est519_m),MATCH($W326,IF($T326&lt;=60,est05_k,est519_k),1)),""))</f>
        <v/>
      </c>
      <c r="AI326">
        <f>IF($W326="","",IFERROR(INDEX(IF($T326&lt;=60,est05_s,est519_s),MATCH($W326,IF($T326&lt;=60,est05_k,est519_k),1)),""))</f>
        <v/>
      </c>
      <c r="AJ326">
        <f>IF($W326="","",IFERROR(INDEX(IF($T326&lt;=60,peso05_l,peso510_l),MATCH($W326,IF($T326&lt;=60,peso05_k,peso510_k),1)),""))</f>
        <v/>
      </c>
      <c r="AK326">
        <f>IF($W326="","",IFERROR(INDEX(IF($T326&lt;=60,peso05_m,peso510_m),MATCH($W326,IF($T326&lt;=60,peso05_k,peso510_k),1)),""))</f>
        <v/>
      </c>
      <c r="AL326">
        <f>IF($W326="","",IFERROR(INDEX(IF($T326&lt;=60,peso05_s,peso510_s),MATCH($W326,IF($T326&lt;=60,peso05_k,peso510_k),1)),""))</f>
        <v/>
      </c>
      <c r="AM326">
        <f>IF($AJ326="","",IF($AJ326=0,LN($F326/$AK326)/$AL326,((($F326/$AK326)^$AJ326)-1)/($AJ326*$AL326)))</f>
        <v/>
      </c>
      <c r="AN326">
        <f>IF($AJ326="","",IF($AJ326=0,$AK326*EXP($AL326*2),$AK326*(1+$AJ326*$AL326*2)^(1/$AJ326)))</f>
        <v/>
      </c>
      <c r="AO326">
        <f>IF($AJ326="","",IF($AJ326=0,$AK326*EXP($AL326*3),$AK326*(1+$AJ326*$AL326*3)^(1/$AJ326)))</f>
        <v/>
      </c>
      <c r="AP326">
        <f>IF($AJ326="","",IF($AJ326=0,$AK326*EXP($AL326*-2),$AK326*(1+$AJ326*$AL326*-2)^(1/$AJ326)))</f>
        <v/>
      </c>
      <c r="AQ326">
        <f>IF($AJ326="","",IF($AJ326=0,$AK326*EXP($AL326*-3),$AK326*(1+$AJ326*$AL326*-3)^(1/$AJ326)))</f>
        <v/>
      </c>
      <c r="AR326">
        <f>IF(OR($X326="",$T326&gt;60),"",IFERROR(INDEX(IF($T326&lt;24,pcomp_l,palt_l),MATCH($X326,IF($T326&lt;24,pcomp_k,palt_k),1)),""))</f>
        <v/>
      </c>
      <c r="AS326">
        <f>IF(OR($X326="",$T326&gt;60),"",IFERROR(INDEX(IF($T326&lt;24,pcomp_m,palt_m),MATCH($X326,IF($T326&lt;24,pcomp_k,palt_k),1)),""))</f>
        <v/>
      </c>
      <c r="AT326">
        <f>IF(OR($X326="",$T326&gt;60),"",IFERROR(INDEX(IF($T326&lt;24,pcomp_s,palt_s),MATCH($X326,IF($T326&lt;24,pcomp_k,palt_k),1)),""))</f>
        <v/>
      </c>
      <c r="AU326">
        <f>IF($AR326="","",IF($AR326=0,LN($F326/$AS326)/$AT326,((($F326/$AS326)^$AR326)-1)/($AR326*$AT326)))</f>
        <v/>
      </c>
      <c r="AV326">
        <f>IF($AR326="","",IF($AR326=0,$AS326*EXP($AT326*2),$AS326*(1+$AR326*$AT326*2)^(1/$AR326)))</f>
        <v/>
      </c>
      <c r="AW326">
        <f>IF($AR326="","",IF($AR326=0,$AS326*EXP($AT326*3),$AS326*(1+$AR326*$AT326*3)^(1/$AR326)))</f>
        <v/>
      </c>
      <c r="AX326">
        <f>IF($AR326="","",IF($AR326=0,$AS326*EXP($AT326*-2),$AS326*(1+$AR326*$AT326*-2)^(1/$AR326)))</f>
        <v/>
      </c>
      <c r="AY326">
        <f>IF($AR326="","",IF($AR326=0,$AS326*EXP($AT326*-3),$AS326*(1+$AR326*$AT326*-3)^(1/$AR326)))</f>
        <v/>
      </c>
      <c r="AZ326">
        <f>IF(OR($A326="",$A326&lt;&gt;Ficha!$C$4),"",COUNTIF($A$2:$A326,Ficha!$C$4))</f>
        <v/>
      </c>
    </row>
    <row r="327">
      <c r="A327" s="8">
        <f>IF(INDEX(Banco!$A:$A,ROW())="","",INDEX(Banco!$A:$A,ROW()))</f>
        <v/>
      </c>
      <c r="B327" s="8">
        <f>IF(INDEX(Banco!$B:$B,ROW())="","",INDEX(Banco!$B:$B,ROW()))</f>
        <v/>
      </c>
      <c r="C327" s="8">
        <f>IF(INDEX(Banco!$C:$C,ROW())="","",INDEX(Banco!$C:$C,ROW()))</f>
        <v/>
      </c>
      <c r="D327" s="9">
        <f>IF(INDEX(Banco!$D:$D,ROW())="","",INDEX(Banco!$D:$D,ROW()))</f>
        <v/>
      </c>
      <c r="E327" s="9">
        <f>IF(INDEX(Banco!$E:$E,ROW())="","",INDEX(Banco!$E:$E,ROW()))</f>
        <v/>
      </c>
      <c r="F327" s="10">
        <f>IF(INDEX(Banco!$F:$F,ROW())="","",INDEX(Banco!$F:$F,ROW()))</f>
        <v/>
      </c>
      <c r="G327" s="10">
        <f>IF(INDEX(Banco!$G:$G,ROW())="","",INDEX(Banco!$G:$G,ROW()))</f>
        <v/>
      </c>
      <c r="H327" s="8">
        <f>IF(INDEX(Banco!$H:$H,ROW())="","",INDEX(Banco!$H:$H,ROW()))</f>
        <v/>
      </c>
      <c r="I327">
        <f>IF($T327="","",INT($T327/12)&amp;"a "&amp;MOD($T327,12)&amp;"m")</f>
        <v/>
      </c>
      <c r="J327" s="11">
        <f>IF(OR($F327="",$G327=""),"",ROUND($F327/($G327/100)^2,2))</f>
        <v/>
      </c>
      <c r="K327" s="12">
        <f>IF(OR($S327="",$J327="",$T327="",$T327&lt;0,$T327&gt;228,$Y327=""),"—",ROUND(IF(ABS($AB327)&lt;=3,$AB327,IF($AB327&gt;3,3+($J327-$AD327)/($AD327-$AC327),-3+($J327-$AF327)/($AE327-$AF327))),2))</f>
        <v/>
      </c>
      <c r="L327">
        <f>IF(OR($K327="",$K327="—"),"",IF($T327&lt;=60,IF($K327&lt;-3,"Magreza acentuada",IF($K327&lt;-2,"Magreza",IF($K327&lt;=1,"Eutrofia",IF($K327&lt;=2,"Risco de sobrepeso",IF($K327&lt;=3,"Sobrepeso","Obesidade"))))),IF($K327&lt;-3,"Magreza acentuada",IF($K327&lt;-2,"Magreza",IF($K327&lt;=1,"Eutrofia",IF($K327&lt;=2,"Sobrepeso",IF($K327&lt;=3,"Obesidade","Obesidade grave")))))))</f>
        <v/>
      </c>
      <c r="M327" s="12">
        <f>IF(OR($S327="",$V327="",$T327="",$T327&lt;0,$T327&gt;228,$AG327=""),"—",ROUND(IF($AG327=0,LN($V327/$AH327)/$AI327,((($V327/$AH327)^$AG327)-1)/($AG327*$AI327)),2))</f>
        <v/>
      </c>
      <c r="N327">
        <f>IF(OR($M327="",$M327="—"),"",IF($M327&lt;-3,"Muito baixa",IF($M327&lt;-2,"Baixa","Adequada")))</f>
        <v/>
      </c>
      <c r="O327" s="12">
        <f>IF(OR($S327="",$F327="",$T327="",$T327&lt;0,$T327&gt;120,$AJ327=""),"—",ROUND(IF(ABS($AM327)&lt;=3,$AM327,IF($AM327&gt;3,3+($F327-$AO327)/($AO327-$AN327),-3+($F327-$AQ327)/($AP327-$AQ327))),2))</f>
        <v/>
      </c>
      <c r="P327">
        <f>IF(OR($O327="",$O327="—"),"",IF($O327&lt;-3,"Muito baixo",IF($O327&lt;-2,"Baixo",IF($O327&lt;=2,"Adequado","Elevado"))))</f>
        <v/>
      </c>
      <c r="Q327" s="12">
        <f>IF(OR($S327="",$F327="",$T327="",$T327&lt;0,$T327&gt;60,$AR327=""),"—",ROUND(IF(ABS($AU327)&lt;=3,$AU327,IF($AU327&gt;3,3+($F327-$AW327)/($AW327-$AV327),-3+($F327-$AY327)/($AX327-$AY327))),2))</f>
        <v/>
      </c>
      <c r="R327">
        <f>IF(OR($Q327="",$Q327="—"),"",IF($Q327&lt;-3,"Magreza acentuada",IF($Q327&lt;-2,"Magreza",IF($Q327&lt;=1,"Eutrofia",IF($Q327&lt;=2,"Risco de sobrepeso",IF($Q327&lt;=3,"Sobrepeso","Obesidade"))))))</f>
        <v/>
      </c>
      <c r="S327">
        <f>IF($C327="","",IF(UPPER(LEFT($C327,1))="M",1,IF(UPPER(LEFT($C327,1))="F",2,"")))</f>
        <v/>
      </c>
      <c r="T327">
        <f>IF(OR($D327="",$E327=""),"",DATEDIF($D327,$E327,"m"))</f>
        <v/>
      </c>
      <c r="U327">
        <f>IF(OR($D327="",$E327=""),"",$E327-$D327)</f>
        <v/>
      </c>
      <c r="V327">
        <f>IF(OR($G327="",$T327=""),"",IF($T327&lt;24,IF(LEFT(LOWER($H327),4)="em p",$G327+0.7,$G327),IF(LEFT(LOWER($H327),4)="deit",$G327-0.7,$G327)))</f>
        <v/>
      </c>
      <c r="W327">
        <f>IF(OR($S327="",$T327=""),"",$S327*1000000+IF($T327&lt;=60,$U327,$T327))</f>
        <v/>
      </c>
      <c r="X327">
        <f>IF(OR($S327="",$V327="",$T327&gt;60,$T327=""),"",$S327*1000000+ROUND($V327*10,0))</f>
        <v/>
      </c>
      <c r="Y327">
        <f>IF($W327="","",IFERROR(INDEX(IF($T327&lt;=60,imc05_l,imc519_l),MATCH($W327,IF($T327&lt;=60,imc05_k,imc519_k),1)),""))</f>
        <v/>
      </c>
      <c r="Z327">
        <f>IF($W327="","",IFERROR(INDEX(IF($T327&lt;=60,imc05_m,imc519_m),MATCH($W327,IF($T327&lt;=60,imc05_k,imc519_k),1)),""))</f>
        <v/>
      </c>
      <c r="AA327">
        <f>IF($W327="","",IFERROR(INDEX(IF($T327&lt;=60,imc05_s,imc519_s),MATCH($W327,IF($T327&lt;=60,imc05_k,imc519_k),1)),""))</f>
        <v/>
      </c>
      <c r="AB327">
        <f>IF($Y327="","",IF($Y327=0,LN($J327/$Z327)/$AA327,((($J327/$Z327)^$Y327)-1)/($Y327*$AA327)))</f>
        <v/>
      </c>
      <c r="AC327">
        <f>IF($Y327="","",IF($Y327=0,$Z327*EXP($AA327*2),$Z327*(1+$Y327*$AA327*2)^(1/$Y327)))</f>
        <v/>
      </c>
      <c r="AD327">
        <f>IF($Y327="","",IF($Y327=0,$Z327*EXP($AA327*3),$Z327*(1+$Y327*$AA327*3)^(1/$Y327)))</f>
        <v/>
      </c>
      <c r="AE327">
        <f>IF($Y327="","",IF($Y327=0,$Z327*EXP($AA327*-2),$Z327*(1+$Y327*$AA327*-2)^(1/$Y327)))</f>
        <v/>
      </c>
      <c r="AF327">
        <f>IF($Y327="","",IF($Y327=0,$Z327*EXP($AA327*-3),$Z327*(1+$Y327*$AA327*-3)^(1/$Y327)))</f>
        <v/>
      </c>
      <c r="AG327">
        <f>IF($W327="","",IFERROR(INDEX(IF($T327&lt;=60,est05_l,est519_l),MATCH($W327,IF($T327&lt;=60,est05_k,est519_k),1)),""))</f>
        <v/>
      </c>
      <c r="AH327">
        <f>IF($W327="","",IFERROR(INDEX(IF($T327&lt;=60,est05_m,est519_m),MATCH($W327,IF($T327&lt;=60,est05_k,est519_k),1)),""))</f>
        <v/>
      </c>
      <c r="AI327">
        <f>IF($W327="","",IFERROR(INDEX(IF($T327&lt;=60,est05_s,est519_s),MATCH($W327,IF($T327&lt;=60,est05_k,est519_k),1)),""))</f>
        <v/>
      </c>
      <c r="AJ327">
        <f>IF($W327="","",IFERROR(INDEX(IF($T327&lt;=60,peso05_l,peso510_l),MATCH($W327,IF($T327&lt;=60,peso05_k,peso510_k),1)),""))</f>
        <v/>
      </c>
      <c r="AK327">
        <f>IF($W327="","",IFERROR(INDEX(IF($T327&lt;=60,peso05_m,peso510_m),MATCH($W327,IF($T327&lt;=60,peso05_k,peso510_k),1)),""))</f>
        <v/>
      </c>
      <c r="AL327">
        <f>IF($W327="","",IFERROR(INDEX(IF($T327&lt;=60,peso05_s,peso510_s),MATCH($W327,IF($T327&lt;=60,peso05_k,peso510_k),1)),""))</f>
        <v/>
      </c>
      <c r="AM327">
        <f>IF($AJ327="","",IF($AJ327=0,LN($F327/$AK327)/$AL327,((($F327/$AK327)^$AJ327)-1)/($AJ327*$AL327)))</f>
        <v/>
      </c>
      <c r="AN327">
        <f>IF($AJ327="","",IF($AJ327=0,$AK327*EXP($AL327*2),$AK327*(1+$AJ327*$AL327*2)^(1/$AJ327)))</f>
        <v/>
      </c>
      <c r="AO327">
        <f>IF($AJ327="","",IF($AJ327=0,$AK327*EXP($AL327*3),$AK327*(1+$AJ327*$AL327*3)^(1/$AJ327)))</f>
        <v/>
      </c>
      <c r="AP327">
        <f>IF($AJ327="","",IF($AJ327=0,$AK327*EXP($AL327*-2),$AK327*(1+$AJ327*$AL327*-2)^(1/$AJ327)))</f>
        <v/>
      </c>
      <c r="AQ327">
        <f>IF($AJ327="","",IF($AJ327=0,$AK327*EXP($AL327*-3),$AK327*(1+$AJ327*$AL327*-3)^(1/$AJ327)))</f>
        <v/>
      </c>
      <c r="AR327">
        <f>IF(OR($X327="",$T327&gt;60),"",IFERROR(INDEX(IF($T327&lt;24,pcomp_l,palt_l),MATCH($X327,IF($T327&lt;24,pcomp_k,palt_k),1)),""))</f>
        <v/>
      </c>
      <c r="AS327">
        <f>IF(OR($X327="",$T327&gt;60),"",IFERROR(INDEX(IF($T327&lt;24,pcomp_m,palt_m),MATCH($X327,IF($T327&lt;24,pcomp_k,palt_k),1)),""))</f>
        <v/>
      </c>
      <c r="AT327">
        <f>IF(OR($X327="",$T327&gt;60),"",IFERROR(INDEX(IF($T327&lt;24,pcomp_s,palt_s),MATCH($X327,IF($T327&lt;24,pcomp_k,palt_k),1)),""))</f>
        <v/>
      </c>
      <c r="AU327">
        <f>IF($AR327="","",IF($AR327=0,LN($F327/$AS327)/$AT327,((($F327/$AS327)^$AR327)-1)/($AR327*$AT327)))</f>
        <v/>
      </c>
      <c r="AV327">
        <f>IF($AR327="","",IF($AR327=0,$AS327*EXP($AT327*2),$AS327*(1+$AR327*$AT327*2)^(1/$AR327)))</f>
        <v/>
      </c>
      <c r="AW327">
        <f>IF($AR327="","",IF($AR327=0,$AS327*EXP($AT327*3),$AS327*(1+$AR327*$AT327*3)^(1/$AR327)))</f>
        <v/>
      </c>
      <c r="AX327">
        <f>IF($AR327="","",IF($AR327=0,$AS327*EXP($AT327*-2),$AS327*(1+$AR327*$AT327*-2)^(1/$AR327)))</f>
        <v/>
      </c>
      <c r="AY327">
        <f>IF($AR327="","",IF($AR327=0,$AS327*EXP($AT327*-3),$AS327*(1+$AR327*$AT327*-3)^(1/$AR327)))</f>
        <v/>
      </c>
      <c r="AZ327">
        <f>IF(OR($A327="",$A327&lt;&gt;Ficha!$C$4),"",COUNTIF($A$2:$A327,Ficha!$C$4))</f>
        <v/>
      </c>
    </row>
    <row r="328">
      <c r="A328" s="8">
        <f>IF(INDEX(Banco!$A:$A,ROW())="","",INDEX(Banco!$A:$A,ROW()))</f>
        <v/>
      </c>
      <c r="B328" s="8">
        <f>IF(INDEX(Banco!$B:$B,ROW())="","",INDEX(Banco!$B:$B,ROW()))</f>
        <v/>
      </c>
      <c r="C328" s="8">
        <f>IF(INDEX(Banco!$C:$C,ROW())="","",INDEX(Banco!$C:$C,ROW()))</f>
        <v/>
      </c>
      <c r="D328" s="9">
        <f>IF(INDEX(Banco!$D:$D,ROW())="","",INDEX(Banco!$D:$D,ROW()))</f>
        <v/>
      </c>
      <c r="E328" s="9">
        <f>IF(INDEX(Banco!$E:$E,ROW())="","",INDEX(Banco!$E:$E,ROW()))</f>
        <v/>
      </c>
      <c r="F328" s="10">
        <f>IF(INDEX(Banco!$F:$F,ROW())="","",INDEX(Banco!$F:$F,ROW()))</f>
        <v/>
      </c>
      <c r="G328" s="10">
        <f>IF(INDEX(Banco!$G:$G,ROW())="","",INDEX(Banco!$G:$G,ROW()))</f>
        <v/>
      </c>
      <c r="H328" s="8">
        <f>IF(INDEX(Banco!$H:$H,ROW())="","",INDEX(Banco!$H:$H,ROW()))</f>
        <v/>
      </c>
      <c r="I328">
        <f>IF($T328="","",INT($T328/12)&amp;"a "&amp;MOD($T328,12)&amp;"m")</f>
        <v/>
      </c>
      <c r="J328" s="11">
        <f>IF(OR($F328="",$G328=""),"",ROUND($F328/($G328/100)^2,2))</f>
        <v/>
      </c>
      <c r="K328" s="12">
        <f>IF(OR($S328="",$J328="",$T328="",$T328&lt;0,$T328&gt;228,$Y328=""),"—",ROUND(IF(ABS($AB328)&lt;=3,$AB328,IF($AB328&gt;3,3+($J328-$AD328)/($AD328-$AC328),-3+($J328-$AF328)/($AE328-$AF328))),2))</f>
        <v/>
      </c>
      <c r="L328">
        <f>IF(OR($K328="",$K328="—"),"",IF($T328&lt;=60,IF($K328&lt;-3,"Magreza acentuada",IF($K328&lt;-2,"Magreza",IF($K328&lt;=1,"Eutrofia",IF($K328&lt;=2,"Risco de sobrepeso",IF($K328&lt;=3,"Sobrepeso","Obesidade"))))),IF($K328&lt;-3,"Magreza acentuada",IF($K328&lt;-2,"Magreza",IF($K328&lt;=1,"Eutrofia",IF($K328&lt;=2,"Sobrepeso",IF($K328&lt;=3,"Obesidade","Obesidade grave")))))))</f>
        <v/>
      </c>
      <c r="M328" s="12">
        <f>IF(OR($S328="",$V328="",$T328="",$T328&lt;0,$T328&gt;228,$AG328=""),"—",ROUND(IF($AG328=0,LN($V328/$AH328)/$AI328,((($V328/$AH328)^$AG328)-1)/($AG328*$AI328)),2))</f>
        <v/>
      </c>
      <c r="N328">
        <f>IF(OR($M328="",$M328="—"),"",IF($M328&lt;-3,"Muito baixa",IF($M328&lt;-2,"Baixa","Adequada")))</f>
        <v/>
      </c>
      <c r="O328" s="12">
        <f>IF(OR($S328="",$F328="",$T328="",$T328&lt;0,$T328&gt;120,$AJ328=""),"—",ROUND(IF(ABS($AM328)&lt;=3,$AM328,IF($AM328&gt;3,3+($F328-$AO328)/($AO328-$AN328),-3+($F328-$AQ328)/($AP328-$AQ328))),2))</f>
        <v/>
      </c>
      <c r="P328">
        <f>IF(OR($O328="",$O328="—"),"",IF($O328&lt;-3,"Muito baixo",IF($O328&lt;-2,"Baixo",IF($O328&lt;=2,"Adequado","Elevado"))))</f>
        <v/>
      </c>
      <c r="Q328" s="12">
        <f>IF(OR($S328="",$F328="",$T328="",$T328&lt;0,$T328&gt;60,$AR328=""),"—",ROUND(IF(ABS($AU328)&lt;=3,$AU328,IF($AU328&gt;3,3+($F328-$AW328)/($AW328-$AV328),-3+($F328-$AY328)/($AX328-$AY328))),2))</f>
        <v/>
      </c>
      <c r="R328">
        <f>IF(OR($Q328="",$Q328="—"),"",IF($Q328&lt;-3,"Magreza acentuada",IF($Q328&lt;-2,"Magreza",IF($Q328&lt;=1,"Eutrofia",IF($Q328&lt;=2,"Risco de sobrepeso",IF($Q328&lt;=3,"Sobrepeso","Obesidade"))))))</f>
        <v/>
      </c>
      <c r="S328">
        <f>IF($C328="","",IF(UPPER(LEFT($C328,1))="M",1,IF(UPPER(LEFT($C328,1))="F",2,"")))</f>
        <v/>
      </c>
      <c r="T328">
        <f>IF(OR($D328="",$E328=""),"",DATEDIF($D328,$E328,"m"))</f>
        <v/>
      </c>
      <c r="U328">
        <f>IF(OR($D328="",$E328=""),"",$E328-$D328)</f>
        <v/>
      </c>
      <c r="V328">
        <f>IF(OR($G328="",$T328=""),"",IF($T328&lt;24,IF(LEFT(LOWER($H328),4)="em p",$G328+0.7,$G328),IF(LEFT(LOWER($H328),4)="deit",$G328-0.7,$G328)))</f>
        <v/>
      </c>
      <c r="W328">
        <f>IF(OR($S328="",$T328=""),"",$S328*1000000+IF($T328&lt;=60,$U328,$T328))</f>
        <v/>
      </c>
      <c r="X328">
        <f>IF(OR($S328="",$V328="",$T328&gt;60,$T328=""),"",$S328*1000000+ROUND($V328*10,0))</f>
        <v/>
      </c>
      <c r="Y328">
        <f>IF($W328="","",IFERROR(INDEX(IF($T328&lt;=60,imc05_l,imc519_l),MATCH($W328,IF($T328&lt;=60,imc05_k,imc519_k),1)),""))</f>
        <v/>
      </c>
      <c r="Z328">
        <f>IF($W328="","",IFERROR(INDEX(IF($T328&lt;=60,imc05_m,imc519_m),MATCH($W328,IF($T328&lt;=60,imc05_k,imc519_k),1)),""))</f>
        <v/>
      </c>
      <c r="AA328">
        <f>IF($W328="","",IFERROR(INDEX(IF($T328&lt;=60,imc05_s,imc519_s),MATCH($W328,IF($T328&lt;=60,imc05_k,imc519_k),1)),""))</f>
        <v/>
      </c>
      <c r="AB328">
        <f>IF($Y328="","",IF($Y328=0,LN($J328/$Z328)/$AA328,((($J328/$Z328)^$Y328)-1)/($Y328*$AA328)))</f>
        <v/>
      </c>
      <c r="AC328">
        <f>IF($Y328="","",IF($Y328=0,$Z328*EXP($AA328*2),$Z328*(1+$Y328*$AA328*2)^(1/$Y328)))</f>
        <v/>
      </c>
      <c r="AD328">
        <f>IF($Y328="","",IF($Y328=0,$Z328*EXP($AA328*3),$Z328*(1+$Y328*$AA328*3)^(1/$Y328)))</f>
        <v/>
      </c>
      <c r="AE328">
        <f>IF($Y328="","",IF($Y328=0,$Z328*EXP($AA328*-2),$Z328*(1+$Y328*$AA328*-2)^(1/$Y328)))</f>
        <v/>
      </c>
      <c r="AF328">
        <f>IF($Y328="","",IF($Y328=0,$Z328*EXP($AA328*-3),$Z328*(1+$Y328*$AA328*-3)^(1/$Y328)))</f>
        <v/>
      </c>
      <c r="AG328">
        <f>IF($W328="","",IFERROR(INDEX(IF($T328&lt;=60,est05_l,est519_l),MATCH($W328,IF($T328&lt;=60,est05_k,est519_k),1)),""))</f>
        <v/>
      </c>
      <c r="AH328">
        <f>IF($W328="","",IFERROR(INDEX(IF($T328&lt;=60,est05_m,est519_m),MATCH($W328,IF($T328&lt;=60,est05_k,est519_k),1)),""))</f>
        <v/>
      </c>
      <c r="AI328">
        <f>IF($W328="","",IFERROR(INDEX(IF($T328&lt;=60,est05_s,est519_s),MATCH($W328,IF($T328&lt;=60,est05_k,est519_k),1)),""))</f>
        <v/>
      </c>
      <c r="AJ328">
        <f>IF($W328="","",IFERROR(INDEX(IF($T328&lt;=60,peso05_l,peso510_l),MATCH($W328,IF($T328&lt;=60,peso05_k,peso510_k),1)),""))</f>
        <v/>
      </c>
      <c r="AK328">
        <f>IF($W328="","",IFERROR(INDEX(IF($T328&lt;=60,peso05_m,peso510_m),MATCH($W328,IF($T328&lt;=60,peso05_k,peso510_k),1)),""))</f>
        <v/>
      </c>
      <c r="AL328">
        <f>IF($W328="","",IFERROR(INDEX(IF($T328&lt;=60,peso05_s,peso510_s),MATCH($W328,IF($T328&lt;=60,peso05_k,peso510_k),1)),""))</f>
        <v/>
      </c>
      <c r="AM328">
        <f>IF($AJ328="","",IF($AJ328=0,LN($F328/$AK328)/$AL328,((($F328/$AK328)^$AJ328)-1)/($AJ328*$AL328)))</f>
        <v/>
      </c>
      <c r="AN328">
        <f>IF($AJ328="","",IF($AJ328=0,$AK328*EXP($AL328*2),$AK328*(1+$AJ328*$AL328*2)^(1/$AJ328)))</f>
        <v/>
      </c>
      <c r="AO328">
        <f>IF($AJ328="","",IF($AJ328=0,$AK328*EXP($AL328*3),$AK328*(1+$AJ328*$AL328*3)^(1/$AJ328)))</f>
        <v/>
      </c>
      <c r="AP328">
        <f>IF($AJ328="","",IF($AJ328=0,$AK328*EXP($AL328*-2),$AK328*(1+$AJ328*$AL328*-2)^(1/$AJ328)))</f>
        <v/>
      </c>
      <c r="AQ328">
        <f>IF($AJ328="","",IF($AJ328=0,$AK328*EXP($AL328*-3),$AK328*(1+$AJ328*$AL328*-3)^(1/$AJ328)))</f>
        <v/>
      </c>
      <c r="AR328">
        <f>IF(OR($X328="",$T328&gt;60),"",IFERROR(INDEX(IF($T328&lt;24,pcomp_l,palt_l),MATCH($X328,IF($T328&lt;24,pcomp_k,palt_k),1)),""))</f>
        <v/>
      </c>
      <c r="AS328">
        <f>IF(OR($X328="",$T328&gt;60),"",IFERROR(INDEX(IF($T328&lt;24,pcomp_m,palt_m),MATCH($X328,IF($T328&lt;24,pcomp_k,palt_k),1)),""))</f>
        <v/>
      </c>
      <c r="AT328">
        <f>IF(OR($X328="",$T328&gt;60),"",IFERROR(INDEX(IF($T328&lt;24,pcomp_s,palt_s),MATCH($X328,IF($T328&lt;24,pcomp_k,palt_k),1)),""))</f>
        <v/>
      </c>
      <c r="AU328">
        <f>IF($AR328="","",IF($AR328=0,LN($F328/$AS328)/$AT328,((($F328/$AS328)^$AR328)-1)/($AR328*$AT328)))</f>
        <v/>
      </c>
      <c r="AV328">
        <f>IF($AR328="","",IF($AR328=0,$AS328*EXP($AT328*2),$AS328*(1+$AR328*$AT328*2)^(1/$AR328)))</f>
        <v/>
      </c>
      <c r="AW328">
        <f>IF($AR328="","",IF($AR328=0,$AS328*EXP($AT328*3),$AS328*(1+$AR328*$AT328*3)^(1/$AR328)))</f>
        <v/>
      </c>
      <c r="AX328">
        <f>IF($AR328="","",IF($AR328=0,$AS328*EXP($AT328*-2),$AS328*(1+$AR328*$AT328*-2)^(1/$AR328)))</f>
        <v/>
      </c>
      <c r="AY328">
        <f>IF($AR328="","",IF($AR328=0,$AS328*EXP($AT328*-3),$AS328*(1+$AR328*$AT328*-3)^(1/$AR328)))</f>
        <v/>
      </c>
      <c r="AZ328">
        <f>IF(OR($A328="",$A328&lt;&gt;Ficha!$C$4),"",COUNTIF($A$2:$A328,Ficha!$C$4))</f>
        <v/>
      </c>
    </row>
    <row r="329">
      <c r="A329" s="8">
        <f>IF(INDEX(Banco!$A:$A,ROW())="","",INDEX(Banco!$A:$A,ROW()))</f>
        <v/>
      </c>
      <c r="B329" s="8">
        <f>IF(INDEX(Banco!$B:$B,ROW())="","",INDEX(Banco!$B:$B,ROW()))</f>
        <v/>
      </c>
      <c r="C329" s="8">
        <f>IF(INDEX(Banco!$C:$C,ROW())="","",INDEX(Banco!$C:$C,ROW()))</f>
        <v/>
      </c>
      <c r="D329" s="9">
        <f>IF(INDEX(Banco!$D:$D,ROW())="","",INDEX(Banco!$D:$D,ROW()))</f>
        <v/>
      </c>
      <c r="E329" s="9">
        <f>IF(INDEX(Banco!$E:$E,ROW())="","",INDEX(Banco!$E:$E,ROW()))</f>
        <v/>
      </c>
      <c r="F329" s="10">
        <f>IF(INDEX(Banco!$F:$F,ROW())="","",INDEX(Banco!$F:$F,ROW()))</f>
        <v/>
      </c>
      <c r="G329" s="10">
        <f>IF(INDEX(Banco!$G:$G,ROW())="","",INDEX(Banco!$G:$G,ROW()))</f>
        <v/>
      </c>
      <c r="H329" s="8">
        <f>IF(INDEX(Banco!$H:$H,ROW())="","",INDEX(Banco!$H:$H,ROW()))</f>
        <v/>
      </c>
      <c r="I329">
        <f>IF($T329="","",INT($T329/12)&amp;"a "&amp;MOD($T329,12)&amp;"m")</f>
        <v/>
      </c>
      <c r="J329" s="11">
        <f>IF(OR($F329="",$G329=""),"",ROUND($F329/($G329/100)^2,2))</f>
        <v/>
      </c>
      <c r="K329" s="12">
        <f>IF(OR($S329="",$J329="",$T329="",$T329&lt;0,$T329&gt;228,$Y329=""),"—",ROUND(IF(ABS($AB329)&lt;=3,$AB329,IF($AB329&gt;3,3+($J329-$AD329)/($AD329-$AC329),-3+($J329-$AF329)/($AE329-$AF329))),2))</f>
        <v/>
      </c>
      <c r="L329">
        <f>IF(OR($K329="",$K329="—"),"",IF($T329&lt;=60,IF($K329&lt;-3,"Magreza acentuada",IF($K329&lt;-2,"Magreza",IF($K329&lt;=1,"Eutrofia",IF($K329&lt;=2,"Risco de sobrepeso",IF($K329&lt;=3,"Sobrepeso","Obesidade"))))),IF($K329&lt;-3,"Magreza acentuada",IF($K329&lt;-2,"Magreza",IF($K329&lt;=1,"Eutrofia",IF($K329&lt;=2,"Sobrepeso",IF($K329&lt;=3,"Obesidade","Obesidade grave")))))))</f>
        <v/>
      </c>
      <c r="M329" s="12">
        <f>IF(OR($S329="",$V329="",$T329="",$T329&lt;0,$T329&gt;228,$AG329=""),"—",ROUND(IF($AG329=0,LN($V329/$AH329)/$AI329,((($V329/$AH329)^$AG329)-1)/($AG329*$AI329)),2))</f>
        <v/>
      </c>
      <c r="N329">
        <f>IF(OR($M329="",$M329="—"),"",IF($M329&lt;-3,"Muito baixa",IF($M329&lt;-2,"Baixa","Adequada")))</f>
        <v/>
      </c>
      <c r="O329" s="12">
        <f>IF(OR($S329="",$F329="",$T329="",$T329&lt;0,$T329&gt;120,$AJ329=""),"—",ROUND(IF(ABS($AM329)&lt;=3,$AM329,IF($AM329&gt;3,3+($F329-$AO329)/($AO329-$AN329),-3+($F329-$AQ329)/($AP329-$AQ329))),2))</f>
        <v/>
      </c>
      <c r="P329">
        <f>IF(OR($O329="",$O329="—"),"",IF($O329&lt;-3,"Muito baixo",IF($O329&lt;-2,"Baixo",IF($O329&lt;=2,"Adequado","Elevado"))))</f>
        <v/>
      </c>
      <c r="Q329" s="12">
        <f>IF(OR($S329="",$F329="",$T329="",$T329&lt;0,$T329&gt;60,$AR329=""),"—",ROUND(IF(ABS($AU329)&lt;=3,$AU329,IF($AU329&gt;3,3+($F329-$AW329)/($AW329-$AV329),-3+($F329-$AY329)/($AX329-$AY329))),2))</f>
        <v/>
      </c>
      <c r="R329">
        <f>IF(OR($Q329="",$Q329="—"),"",IF($Q329&lt;-3,"Magreza acentuada",IF($Q329&lt;-2,"Magreza",IF($Q329&lt;=1,"Eutrofia",IF($Q329&lt;=2,"Risco de sobrepeso",IF($Q329&lt;=3,"Sobrepeso","Obesidade"))))))</f>
        <v/>
      </c>
      <c r="S329">
        <f>IF($C329="","",IF(UPPER(LEFT($C329,1))="M",1,IF(UPPER(LEFT($C329,1))="F",2,"")))</f>
        <v/>
      </c>
      <c r="T329">
        <f>IF(OR($D329="",$E329=""),"",DATEDIF($D329,$E329,"m"))</f>
        <v/>
      </c>
      <c r="U329">
        <f>IF(OR($D329="",$E329=""),"",$E329-$D329)</f>
        <v/>
      </c>
      <c r="V329">
        <f>IF(OR($G329="",$T329=""),"",IF($T329&lt;24,IF(LEFT(LOWER($H329),4)="em p",$G329+0.7,$G329),IF(LEFT(LOWER($H329),4)="deit",$G329-0.7,$G329)))</f>
        <v/>
      </c>
      <c r="W329">
        <f>IF(OR($S329="",$T329=""),"",$S329*1000000+IF($T329&lt;=60,$U329,$T329))</f>
        <v/>
      </c>
      <c r="X329">
        <f>IF(OR($S329="",$V329="",$T329&gt;60,$T329=""),"",$S329*1000000+ROUND($V329*10,0))</f>
        <v/>
      </c>
      <c r="Y329">
        <f>IF($W329="","",IFERROR(INDEX(IF($T329&lt;=60,imc05_l,imc519_l),MATCH($W329,IF($T329&lt;=60,imc05_k,imc519_k),1)),""))</f>
        <v/>
      </c>
      <c r="Z329">
        <f>IF($W329="","",IFERROR(INDEX(IF($T329&lt;=60,imc05_m,imc519_m),MATCH($W329,IF($T329&lt;=60,imc05_k,imc519_k),1)),""))</f>
        <v/>
      </c>
      <c r="AA329">
        <f>IF($W329="","",IFERROR(INDEX(IF($T329&lt;=60,imc05_s,imc519_s),MATCH($W329,IF($T329&lt;=60,imc05_k,imc519_k),1)),""))</f>
        <v/>
      </c>
      <c r="AB329">
        <f>IF($Y329="","",IF($Y329=0,LN($J329/$Z329)/$AA329,((($J329/$Z329)^$Y329)-1)/($Y329*$AA329)))</f>
        <v/>
      </c>
      <c r="AC329">
        <f>IF($Y329="","",IF($Y329=0,$Z329*EXP($AA329*2),$Z329*(1+$Y329*$AA329*2)^(1/$Y329)))</f>
        <v/>
      </c>
      <c r="AD329">
        <f>IF($Y329="","",IF($Y329=0,$Z329*EXP($AA329*3),$Z329*(1+$Y329*$AA329*3)^(1/$Y329)))</f>
        <v/>
      </c>
      <c r="AE329">
        <f>IF($Y329="","",IF($Y329=0,$Z329*EXP($AA329*-2),$Z329*(1+$Y329*$AA329*-2)^(1/$Y329)))</f>
        <v/>
      </c>
      <c r="AF329">
        <f>IF($Y329="","",IF($Y329=0,$Z329*EXP($AA329*-3),$Z329*(1+$Y329*$AA329*-3)^(1/$Y329)))</f>
        <v/>
      </c>
      <c r="AG329">
        <f>IF($W329="","",IFERROR(INDEX(IF($T329&lt;=60,est05_l,est519_l),MATCH($W329,IF($T329&lt;=60,est05_k,est519_k),1)),""))</f>
        <v/>
      </c>
      <c r="AH329">
        <f>IF($W329="","",IFERROR(INDEX(IF($T329&lt;=60,est05_m,est519_m),MATCH($W329,IF($T329&lt;=60,est05_k,est519_k),1)),""))</f>
        <v/>
      </c>
      <c r="AI329">
        <f>IF($W329="","",IFERROR(INDEX(IF($T329&lt;=60,est05_s,est519_s),MATCH($W329,IF($T329&lt;=60,est05_k,est519_k),1)),""))</f>
        <v/>
      </c>
      <c r="AJ329">
        <f>IF($W329="","",IFERROR(INDEX(IF($T329&lt;=60,peso05_l,peso510_l),MATCH($W329,IF($T329&lt;=60,peso05_k,peso510_k),1)),""))</f>
        <v/>
      </c>
      <c r="AK329">
        <f>IF($W329="","",IFERROR(INDEX(IF($T329&lt;=60,peso05_m,peso510_m),MATCH($W329,IF($T329&lt;=60,peso05_k,peso510_k),1)),""))</f>
        <v/>
      </c>
      <c r="AL329">
        <f>IF($W329="","",IFERROR(INDEX(IF($T329&lt;=60,peso05_s,peso510_s),MATCH($W329,IF($T329&lt;=60,peso05_k,peso510_k),1)),""))</f>
        <v/>
      </c>
      <c r="AM329">
        <f>IF($AJ329="","",IF($AJ329=0,LN($F329/$AK329)/$AL329,((($F329/$AK329)^$AJ329)-1)/($AJ329*$AL329)))</f>
        <v/>
      </c>
      <c r="AN329">
        <f>IF($AJ329="","",IF($AJ329=0,$AK329*EXP($AL329*2),$AK329*(1+$AJ329*$AL329*2)^(1/$AJ329)))</f>
        <v/>
      </c>
      <c r="AO329">
        <f>IF($AJ329="","",IF($AJ329=0,$AK329*EXP($AL329*3),$AK329*(1+$AJ329*$AL329*3)^(1/$AJ329)))</f>
        <v/>
      </c>
      <c r="AP329">
        <f>IF($AJ329="","",IF($AJ329=0,$AK329*EXP($AL329*-2),$AK329*(1+$AJ329*$AL329*-2)^(1/$AJ329)))</f>
        <v/>
      </c>
      <c r="AQ329">
        <f>IF($AJ329="","",IF($AJ329=0,$AK329*EXP($AL329*-3),$AK329*(1+$AJ329*$AL329*-3)^(1/$AJ329)))</f>
        <v/>
      </c>
      <c r="AR329">
        <f>IF(OR($X329="",$T329&gt;60),"",IFERROR(INDEX(IF($T329&lt;24,pcomp_l,palt_l),MATCH($X329,IF($T329&lt;24,pcomp_k,palt_k),1)),""))</f>
        <v/>
      </c>
      <c r="AS329">
        <f>IF(OR($X329="",$T329&gt;60),"",IFERROR(INDEX(IF($T329&lt;24,pcomp_m,palt_m),MATCH($X329,IF($T329&lt;24,pcomp_k,palt_k),1)),""))</f>
        <v/>
      </c>
      <c r="AT329">
        <f>IF(OR($X329="",$T329&gt;60),"",IFERROR(INDEX(IF($T329&lt;24,pcomp_s,palt_s),MATCH($X329,IF($T329&lt;24,pcomp_k,palt_k),1)),""))</f>
        <v/>
      </c>
      <c r="AU329">
        <f>IF($AR329="","",IF($AR329=0,LN($F329/$AS329)/$AT329,((($F329/$AS329)^$AR329)-1)/($AR329*$AT329)))</f>
        <v/>
      </c>
      <c r="AV329">
        <f>IF($AR329="","",IF($AR329=0,$AS329*EXP($AT329*2),$AS329*(1+$AR329*$AT329*2)^(1/$AR329)))</f>
        <v/>
      </c>
      <c r="AW329">
        <f>IF($AR329="","",IF($AR329=0,$AS329*EXP($AT329*3),$AS329*(1+$AR329*$AT329*3)^(1/$AR329)))</f>
        <v/>
      </c>
      <c r="AX329">
        <f>IF($AR329="","",IF($AR329=0,$AS329*EXP($AT329*-2),$AS329*(1+$AR329*$AT329*-2)^(1/$AR329)))</f>
        <v/>
      </c>
      <c r="AY329">
        <f>IF($AR329="","",IF($AR329=0,$AS329*EXP($AT329*-3),$AS329*(1+$AR329*$AT329*-3)^(1/$AR329)))</f>
        <v/>
      </c>
      <c r="AZ329">
        <f>IF(OR($A329="",$A329&lt;&gt;Ficha!$C$4),"",COUNTIF($A$2:$A329,Ficha!$C$4))</f>
        <v/>
      </c>
    </row>
    <row r="330">
      <c r="A330" s="8">
        <f>IF(INDEX(Banco!$A:$A,ROW())="","",INDEX(Banco!$A:$A,ROW()))</f>
        <v/>
      </c>
      <c r="B330" s="8">
        <f>IF(INDEX(Banco!$B:$B,ROW())="","",INDEX(Banco!$B:$B,ROW()))</f>
        <v/>
      </c>
      <c r="C330" s="8">
        <f>IF(INDEX(Banco!$C:$C,ROW())="","",INDEX(Banco!$C:$C,ROW()))</f>
        <v/>
      </c>
      <c r="D330" s="9">
        <f>IF(INDEX(Banco!$D:$D,ROW())="","",INDEX(Banco!$D:$D,ROW()))</f>
        <v/>
      </c>
      <c r="E330" s="9">
        <f>IF(INDEX(Banco!$E:$E,ROW())="","",INDEX(Banco!$E:$E,ROW()))</f>
        <v/>
      </c>
      <c r="F330" s="10">
        <f>IF(INDEX(Banco!$F:$F,ROW())="","",INDEX(Banco!$F:$F,ROW()))</f>
        <v/>
      </c>
      <c r="G330" s="10">
        <f>IF(INDEX(Banco!$G:$G,ROW())="","",INDEX(Banco!$G:$G,ROW()))</f>
        <v/>
      </c>
      <c r="H330" s="8">
        <f>IF(INDEX(Banco!$H:$H,ROW())="","",INDEX(Banco!$H:$H,ROW()))</f>
        <v/>
      </c>
      <c r="I330">
        <f>IF($T330="","",INT($T330/12)&amp;"a "&amp;MOD($T330,12)&amp;"m")</f>
        <v/>
      </c>
      <c r="J330" s="11">
        <f>IF(OR($F330="",$G330=""),"",ROUND($F330/($G330/100)^2,2))</f>
        <v/>
      </c>
      <c r="K330" s="12">
        <f>IF(OR($S330="",$J330="",$T330="",$T330&lt;0,$T330&gt;228,$Y330=""),"—",ROUND(IF(ABS($AB330)&lt;=3,$AB330,IF($AB330&gt;3,3+($J330-$AD330)/($AD330-$AC330),-3+($J330-$AF330)/($AE330-$AF330))),2))</f>
        <v/>
      </c>
      <c r="L330">
        <f>IF(OR($K330="",$K330="—"),"",IF($T330&lt;=60,IF($K330&lt;-3,"Magreza acentuada",IF($K330&lt;-2,"Magreza",IF($K330&lt;=1,"Eutrofia",IF($K330&lt;=2,"Risco de sobrepeso",IF($K330&lt;=3,"Sobrepeso","Obesidade"))))),IF($K330&lt;-3,"Magreza acentuada",IF($K330&lt;-2,"Magreza",IF($K330&lt;=1,"Eutrofia",IF($K330&lt;=2,"Sobrepeso",IF($K330&lt;=3,"Obesidade","Obesidade grave")))))))</f>
        <v/>
      </c>
      <c r="M330" s="12">
        <f>IF(OR($S330="",$V330="",$T330="",$T330&lt;0,$T330&gt;228,$AG330=""),"—",ROUND(IF($AG330=0,LN($V330/$AH330)/$AI330,((($V330/$AH330)^$AG330)-1)/($AG330*$AI330)),2))</f>
        <v/>
      </c>
      <c r="N330">
        <f>IF(OR($M330="",$M330="—"),"",IF($M330&lt;-3,"Muito baixa",IF($M330&lt;-2,"Baixa","Adequada")))</f>
        <v/>
      </c>
      <c r="O330" s="12">
        <f>IF(OR($S330="",$F330="",$T330="",$T330&lt;0,$T330&gt;120,$AJ330=""),"—",ROUND(IF(ABS($AM330)&lt;=3,$AM330,IF($AM330&gt;3,3+($F330-$AO330)/($AO330-$AN330),-3+($F330-$AQ330)/($AP330-$AQ330))),2))</f>
        <v/>
      </c>
      <c r="P330">
        <f>IF(OR($O330="",$O330="—"),"",IF($O330&lt;-3,"Muito baixo",IF($O330&lt;-2,"Baixo",IF($O330&lt;=2,"Adequado","Elevado"))))</f>
        <v/>
      </c>
      <c r="Q330" s="12">
        <f>IF(OR($S330="",$F330="",$T330="",$T330&lt;0,$T330&gt;60,$AR330=""),"—",ROUND(IF(ABS($AU330)&lt;=3,$AU330,IF($AU330&gt;3,3+($F330-$AW330)/($AW330-$AV330),-3+($F330-$AY330)/($AX330-$AY330))),2))</f>
        <v/>
      </c>
      <c r="R330">
        <f>IF(OR($Q330="",$Q330="—"),"",IF($Q330&lt;-3,"Magreza acentuada",IF($Q330&lt;-2,"Magreza",IF($Q330&lt;=1,"Eutrofia",IF($Q330&lt;=2,"Risco de sobrepeso",IF($Q330&lt;=3,"Sobrepeso","Obesidade"))))))</f>
        <v/>
      </c>
      <c r="S330">
        <f>IF($C330="","",IF(UPPER(LEFT($C330,1))="M",1,IF(UPPER(LEFT($C330,1))="F",2,"")))</f>
        <v/>
      </c>
      <c r="T330">
        <f>IF(OR($D330="",$E330=""),"",DATEDIF($D330,$E330,"m"))</f>
        <v/>
      </c>
      <c r="U330">
        <f>IF(OR($D330="",$E330=""),"",$E330-$D330)</f>
        <v/>
      </c>
      <c r="V330">
        <f>IF(OR($G330="",$T330=""),"",IF($T330&lt;24,IF(LEFT(LOWER($H330),4)="em p",$G330+0.7,$G330),IF(LEFT(LOWER($H330),4)="deit",$G330-0.7,$G330)))</f>
        <v/>
      </c>
      <c r="W330">
        <f>IF(OR($S330="",$T330=""),"",$S330*1000000+IF($T330&lt;=60,$U330,$T330))</f>
        <v/>
      </c>
      <c r="X330">
        <f>IF(OR($S330="",$V330="",$T330&gt;60,$T330=""),"",$S330*1000000+ROUND($V330*10,0))</f>
        <v/>
      </c>
      <c r="Y330">
        <f>IF($W330="","",IFERROR(INDEX(IF($T330&lt;=60,imc05_l,imc519_l),MATCH($W330,IF($T330&lt;=60,imc05_k,imc519_k),1)),""))</f>
        <v/>
      </c>
      <c r="Z330">
        <f>IF($W330="","",IFERROR(INDEX(IF($T330&lt;=60,imc05_m,imc519_m),MATCH($W330,IF($T330&lt;=60,imc05_k,imc519_k),1)),""))</f>
        <v/>
      </c>
      <c r="AA330">
        <f>IF($W330="","",IFERROR(INDEX(IF($T330&lt;=60,imc05_s,imc519_s),MATCH($W330,IF($T330&lt;=60,imc05_k,imc519_k),1)),""))</f>
        <v/>
      </c>
      <c r="AB330">
        <f>IF($Y330="","",IF($Y330=0,LN($J330/$Z330)/$AA330,((($J330/$Z330)^$Y330)-1)/($Y330*$AA330)))</f>
        <v/>
      </c>
      <c r="AC330">
        <f>IF($Y330="","",IF($Y330=0,$Z330*EXP($AA330*2),$Z330*(1+$Y330*$AA330*2)^(1/$Y330)))</f>
        <v/>
      </c>
      <c r="AD330">
        <f>IF($Y330="","",IF($Y330=0,$Z330*EXP($AA330*3),$Z330*(1+$Y330*$AA330*3)^(1/$Y330)))</f>
        <v/>
      </c>
      <c r="AE330">
        <f>IF($Y330="","",IF($Y330=0,$Z330*EXP($AA330*-2),$Z330*(1+$Y330*$AA330*-2)^(1/$Y330)))</f>
        <v/>
      </c>
      <c r="AF330">
        <f>IF($Y330="","",IF($Y330=0,$Z330*EXP($AA330*-3),$Z330*(1+$Y330*$AA330*-3)^(1/$Y330)))</f>
        <v/>
      </c>
      <c r="AG330">
        <f>IF($W330="","",IFERROR(INDEX(IF($T330&lt;=60,est05_l,est519_l),MATCH($W330,IF($T330&lt;=60,est05_k,est519_k),1)),""))</f>
        <v/>
      </c>
      <c r="AH330">
        <f>IF($W330="","",IFERROR(INDEX(IF($T330&lt;=60,est05_m,est519_m),MATCH($W330,IF($T330&lt;=60,est05_k,est519_k),1)),""))</f>
        <v/>
      </c>
      <c r="AI330">
        <f>IF($W330="","",IFERROR(INDEX(IF($T330&lt;=60,est05_s,est519_s),MATCH($W330,IF($T330&lt;=60,est05_k,est519_k),1)),""))</f>
        <v/>
      </c>
      <c r="AJ330">
        <f>IF($W330="","",IFERROR(INDEX(IF($T330&lt;=60,peso05_l,peso510_l),MATCH($W330,IF($T330&lt;=60,peso05_k,peso510_k),1)),""))</f>
        <v/>
      </c>
      <c r="AK330">
        <f>IF($W330="","",IFERROR(INDEX(IF($T330&lt;=60,peso05_m,peso510_m),MATCH($W330,IF($T330&lt;=60,peso05_k,peso510_k),1)),""))</f>
        <v/>
      </c>
      <c r="AL330">
        <f>IF($W330="","",IFERROR(INDEX(IF($T330&lt;=60,peso05_s,peso510_s),MATCH($W330,IF($T330&lt;=60,peso05_k,peso510_k),1)),""))</f>
        <v/>
      </c>
      <c r="AM330">
        <f>IF($AJ330="","",IF($AJ330=0,LN($F330/$AK330)/$AL330,((($F330/$AK330)^$AJ330)-1)/($AJ330*$AL330)))</f>
        <v/>
      </c>
      <c r="AN330">
        <f>IF($AJ330="","",IF($AJ330=0,$AK330*EXP($AL330*2),$AK330*(1+$AJ330*$AL330*2)^(1/$AJ330)))</f>
        <v/>
      </c>
      <c r="AO330">
        <f>IF($AJ330="","",IF($AJ330=0,$AK330*EXP($AL330*3),$AK330*(1+$AJ330*$AL330*3)^(1/$AJ330)))</f>
        <v/>
      </c>
      <c r="AP330">
        <f>IF($AJ330="","",IF($AJ330=0,$AK330*EXP($AL330*-2),$AK330*(1+$AJ330*$AL330*-2)^(1/$AJ330)))</f>
        <v/>
      </c>
      <c r="AQ330">
        <f>IF($AJ330="","",IF($AJ330=0,$AK330*EXP($AL330*-3),$AK330*(1+$AJ330*$AL330*-3)^(1/$AJ330)))</f>
        <v/>
      </c>
      <c r="AR330">
        <f>IF(OR($X330="",$T330&gt;60),"",IFERROR(INDEX(IF($T330&lt;24,pcomp_l,palt_l),MATCH($X330,IF($T330&lt;24,pcomp_k,palt_k),1)),""))</f>
        <v/>
      </c>
      <c r="AS330">
        <f>IF(OR($X330="",$T330&gt;60),"",IFERROR(INDEX(IF($T330&lt;24,pcomp_m,palt_m),MATCH($X330,IF($T330&lt;24,pcomp_k,palt_k),1)),""))</f>
        <v/>
      </c>
      <c r="AT330">
        <f>IF(OR($X330="",$T330&gt;60),"",IFERROR(INDEX(IF($T330&lt;24,pcomp_s,palt_s),MATCH($X330,IF($T330&lt;24,pcomp_k,palt_k),1)),""))</f>
        <v/>
      </c>
      <c r="AU330">
        <f>IF($AR330="","",IF($AR330=0,LN($F330/$AS330)/$AT330,((($F330/$AS330)^$AR330)-1)/($AR330*$AT330)))</f>
        <v/>
      </c>
      <c r="AV330">
        <f>IF($AR330="","",IF($AR330=0,$AS330*EXP($AT330*2),$AS330*(1+$AR330*$AT330*2)^(1/$AR330)))</f>
        <v/>
      </c>
      <c r="AW330">
        <f>IF($AR330="","",IF($AR330=0,$AS330*EXP($AT330*3),$AS330*(1+$AR330*$AT330*3)^(1/$AR330)))</f>
        <v/>
      </c>
      <c r="AX330">
        <f>IF($AR330="","",IF($AR330=0,$AS330*EXP($AT330*-2),$AS330*(1+$AR330*$AT330*-2)^(1/$AR330)))</f>
        <v/>
      </c>
      <c r="AY330">
        <f>IF($AR330="","",IF($AR330=0,$AS330*EXP($AT330*-3),$AS330*(1+$AR330*$AT330*-3)^(1/$AR330)))</f>
        <v/>
      </c>
      <c r="AZ330">
        <f>IF(OR($A330="",$A330&lt;&gt;Ficha!$C$4),"",COUNTIF($A$2:$A330,Ficha!$C$4))</f>
        <v/>
      </c>
    </row>
    <row r="331">
      <c r="A331" s="8">
        <f>IF(INDEX(Banco!$A:$A,ROW())="","",INDEX(Banco!$A:$A,ROW()))</f>
        <v/>
      </c>
      <c r="B331" s="8">
        <f>IF(INDEX(Banco!$B:$B,ROW())="","",INDEX(Banco!$B:$B,ROW()))</f>
        <v/>
      </c>
      <c r="C331" s="8">
        <f>IF(INDEX(Banco!$C:$C,ROW())="","",INDEX(Banco!$C:$C,ROW()))</f>
        <v/>
      </c>
      <c r="D331" s="9">
        <f>IF(INDEX(Banco!$D:$D,ROW())="","",INDEX(Banco!$D:$D,ROW()))</f>
        <v/>
      </c>
      <c r="E331" s="9">
        <f>IF(INDEX(Banco!$E:$E,ROW())="","",INDEX(Banco!$E:$E,ROW()))</f>
        <v/>
      </c>
      <c r="F331" s="10">
        <f>IF(INDEX(Banco!$F:$F,ROW())="","",INDEX(Banco!$F:$F,ROW()))</f>
        <v/>
      </c>
      <c r="G331" s="10">
        <f>IF(INDEX(Banco!$G:$G,ROW())="","",INDEX(Banco!$G:$G,ROW()))</f>
        <v/>
      </c>
      <c r="H331" s="8">
        <f>IF(INDEX(Banco!$H:$H,ROW())="","",INDEX(Banco!$H:$H,ROW()))</f>
        <v/>
      </c>
      <c r="I331">
        <f>IF($T331="","",INT($T331/12)&amp;"a "&amp;MOD($T331,12)&amp;"m")</f>
        <v/>
      </c>
      <c r="J331" s="11">
        <f>IF(OR($F331="",$G331=""),"",ROUND($F331/($G331/100)^2,2))</f>
        <v/>
      </c>
      <c r="K331" s="12">
        <f>IF(OR($S331="",$J331="",$T331="",$T331&lt;0,$T331&gt;228,$Y331=""),"—",ROUND(IF(ABS($AB331)&lt;=3,$AB331,IF($AB331&gt;3,3+($J331-$AD331)/($AD331-$AC331),-3+($J331-$AF331)/($AE331-$AF331))),2))</f>
        <v/>
      </c>
      <c r="L331">
        <f>IF(OR($K331="",$K331="—"),"",IF($T331&lt;=60,IF($K331&lt;-3,"Magreza acentuada",IF($K331&lt;-2,"Magreza",IF($K331&lt;=1,"Eutrofia",IF($K331&lt;=2,"Risco de sobrepeso",IF($K331&lt;=3,"Sobrepeso","Obesidade"))))),IF($K331&lt;-3,"Magreza acentuada",IF($K331&lt;-2,"Magreza",IF($K331&lt;=1,"Eutrofia",IF($K331&lt;=2,"Sobrepeso",IF($K331&lt;=3,"Obesidade","Obesidade grave")))))))</f>
        <v/>
      </c>
      <c r="M331" s="12">
        <f>IF(OR($S331="",$V331="",$T331="",$T331&lt;0,$T331&gt;228,$AG331=""),"—",ROUND(IF($AG331=0,LN($V331/$AH331)/$AI331,((($V331/$AH331)^$AG331)-1)/($AG331*$AI331)),2))</f>
        <v/>
      </c>
      <c r="N331">
        <f>IF(OR($M331="",$M331="—"),"",IF($M331&lt;-3,"Muito baixa",IF($M331&lt;-2,"Baixa","Adequada")))</f>
        <v/>
      </c>
      <c r="O331" s="12">
        <f>IF(OR($S331="",$F331="",$T331="",$T331&lt;0,$T331&gt;120,$AJ331=""),"—",ROUND(IF(ABS($AM331)&lt;=3,$AM331,IF($AM331&gt;3,3+($F331-$AO331)/($AO331-$AN331),-3+($F331-$AQ331)/($AP331-$AQ331))),2))</f>
        <v/>
      </c>
      <c r="P331">
        <f>IF(OR($O331="",$O331="—"),"",IF($O331&lt;-3,"Muito baixo",IF($O331&lt;-2,"Baixo",IF($O331&lt;=2,"Adequado","Elevado"))))</f>
        <v/>
      </c>
      <c r="Q331" s="12">
        <f>IF(OR($S331="",$F331="",$T331="",$T331&lt;0,$T331&gt;60,$AR331=""),"—",ROUND(IF(ABS($AU331)&lt;=3,$AU331,IF($AU331&gt;3,3+($F331-$AW331)/($AW331-$AV331),-3+($F331-$AY331)/($AX331-$AY331))),2))</f>
        <v/>
      </c>
      <c r="R331">
        <f>IF(OR($Q331="",$Q331="—"),"",IF($Q331&lt;-3,"Magreza acentuada",IF($Q331&lt;-2,"Magreza",IF($Q331&lt;=1,"Eutrofia",IF($Q331&lt;=2,"Risco de sobrepeso",IF($Q331&lt;=3,"Sobrepeso","Obesidade"))))))</f>
        <v/>
      </c>
      <c r="S331">
        <f>IF($C331="","",IF(UPPER(LEFT($C331,1))="M",1,IF(UPPER(LEFT($C331,1))="F",2,"")))</f>
        <v/>
      </c>
      <c r="T331">
        <f>IF(OR($D331="",$E331=""),"",DATEDIF($D331,$E331,"m"))</f>
        <v/>
      </c>
      <c r="U331">
        <f>IF(OR($D331="",$E331=""),"",$E331-$D331)</f>
        <v/>
      </c>
      <c r="V331">
        <f>IF(OR($G331="",$T331=""),"",IF($T331&lt;24,IF(LEFT(LOWER($H331),4)="em p",$G331+0.7,$G331),IF(LEFT(LOWER($H331),4)="deit",$G331-0.7,$G331)))</f>
        <v/>
      </c>
      <c r="W331">
        <f>IF(OR($S331="",$T331=""),"",$S331*1000000+IF($T331&lt;=60,$U331,$T331))</f>
        <v/>
      </c>
      <c r="X331">
        <f>IF(OR($S331="",$V331="",$T331&gt;60,$T331=""),"",$S331*1000000+ROUND($V331*10,0))</f>
        <v/>
      </c>
      <c r="Y331">
        <f>IF($W331="","",IFERROR(INDEX(IF($T331&lt;=60,imc05_l,imc519_l),MATCH($W331,IF($T331&lt;=60,imc05_k,imc519_k),1)),""))</f>
        <v/>
      </c>
      <c r="Z331">
        <f>IF($W331="","",IFERROR(INDEX(IF($T331&lt;=60,imc05_m,imc519_m),MATCH($W331,IF($T331&lt;=60,imc05_k,imc519_k),1)),""))</f>
        <v/>
      </c>
      <c r="AA331">
        <f>IF($W331="","",IFERROR(INDEX(IF($T331&lt;=60,imc05_s,imc519_s),MATCH($W331,IF($T331&lt;=60,imc05_k,imc519_k),1)),""))</f>
        <v/>
      </c>
      <c r="AB331">
        <f>IF($Y331="","",IF($Y331=0,LN($J331/$Z331)/$AA331,((($J331/$Z331)^$Y331)-1)/($Y331*$AA331)))</f>
        <v/>
      </c>
      <c r="AC331">
        <f>IF($Y331="","",IF($Y331=0,$Z331*EXP($AA331*2),$Z331*(1+$Y331*$AA331*2)^(1/$Y331)))</f>
        <v/>
      </c>
      <c r="AD331">
        <f>IF($Y331="","",IF($Y331=0,$Z331*EXP($AA331*3),$Z331*(1+$Y331*$AA331*3)^(1/$Y331)))</f>
        <v/>
      </c>
      <c r="AE331">
        <f>IF($Y331="","",IF($Y331=0,$Z331*EXP($AA331*-2),$Z331*(1+$Y331*$AA331*-2)^(1/$Y331)))</f>
        <v/>
      </c>
      <c r="AF331">
        <f>IF($Y331="","",IF($Y331=0,$Z331*EXP($AA331*-3),$Z331*(1+$Y331*$AA331*-3)^(1/$Y331)))</f>
        <v/>
      </c>
      <c r="AG331">
        <f>IF($W331="","",IFERROR(INDEX(IF($T331&lt;=60,est05_l,est519_l),MATCH($W331,IF($T331&lt;=60,est05_k,est519_k),1)),""))</f>
        <v/>
      </c>
      <c r="AH331">
        <f>IF($W331="","",IFERROR(INDEX(IF($T331&lt;=60,est05_m,est519_m),MATCH($W331,IF($T331&lt;=60,est05_k,est519_k),1)),""))</f>
        <v/>
      </c>
      <c r="AI331">
        <f>IF($W331="","",IFERROR(INDEX(IF($T331&lt;=60,est05_s,est519_s),MATCH($W331,IF($T331&lt;=60,est05_k,est519_k),1)),""))</f>
        <v/>
      </c>
      <c r="AJ331">
        <f>IF($W331="","",IFERROR(INDEX(IF($T331&lt;=60,peso05_l,peso510_l),MATCH($W331,IF($T331&lt;=60,peso05_k,peso510_k),1)),""))</f>
        <v/>
      </c>
      <c r="AK331">
        <f>IF($W331="","",IFERROR(INDEX(IF($T331&lt;=60,peso05_m,peso510_m),MATCH($W331,IF($T331&lt;=60,peso05_k,peso510_k),1)),""))</f>
        <v/>
      </c>
      <c r="AL331">
        <f>IF($W331="","",IFERROR(INDEX(IF($T331&lt;=60,peso05_s,peso510_s),MATCH($W331,IF($T331&lt;=60,peso05_k,peso510_k),1)),""))</f>
        <v/>
      </c>
      <c r="AM331">
        <f>IF($AJ331="","",IF($AJ331=0,LN($F331/$AK331)/$AL331,((($F331/$AK331)^$AJ331)-1)/($AJ331*$AL331)))</f>
        <v/>
      </c>
      <c r="AN331">
        <f>IF($AJ331="","",IF($AJ331=0,$AK331*EXP($AL331*2),$AK331*(1+$AJ331*$AL331*2)^(1/$AJ331)))</f>
        <v/>
      </c>
      <c r="AO331">
        <f>IF($AJ331="","",IF($AJ331=0,$AK331*EXP($AL331*3),$AK331*(1+$AJ331*$AL331*3)^(1/$AJ331)))</f>
        <v/>
      </c>
      <c r="AP331">
        <f>IF($AJ331="","",IF($AJ331=0,$AK331*EXP($AL331*-2),$AK331*(1+$AJ331*$AL331*-2)^(1/$AJ331)))</f>
        <v/>
      </c>
      <c r="AQ331">
        <f>IF($AJ331="","",IF($AJ331=0,$AK331*EXP($AL331*-3),$AK331*(1+$AJ331*$AL331*-3)^(1/$AJ331)))</f>
        <v/>
      </c>
      <c r="AR331">
        <f>IF(OR($X331="",$T331&gt;60),"",IFERROR(INDEX(IF($T331&lt;24,pcomp_l,palt_l),MATCH($X331,IF($T331&lt;24,pcomp_k,palt_k),1)),""))</f>
        <v/>
      </c>
      <c r="AS331">
        <f>IF(OR($X331="",$T331&gt;60),"",IFERROR(INDEX(IF($T331&lt;24,pcomp_m,palt_m),MATCH($X331,IF($T331&lt;24,pcomp_k,palt_k),1)),""))</f>
        <v/>
      </c>
      <c r="AT331">
        <f>IF(OR($X331="",$T331&gt;60),"",IFERROR(INDEX(IF($T331&lt;24,pcomp_s,palt_s),MATCH($X331,IF($T331&lt;24,pcomp_k,palt_k),1)),""))</f>
        <v/>
      </c>
      <c r="AU331">
        <f>IF($AR331="","",IF($AR331=0,LN($F331/$AS331)/$AT331,((($F331/$AS331)^$AR331)-1)/($AR331*$AT331)))</f>
        <v/>
      </c>
      <c r="AV331">
        <f>IF($AR331="","",IF($AR331=0,$AS331*EXP($AT331*2),$AS331*(1+$AR331*$AT331*2)^(1/$AR331)))</f>
        <v/>
      </c>
      <c r="AW331">
        <f>IF($AR331="","",IF($AR331=0,$AS331*EXP($AT331*3),$AS331*(1+$AR331*$AT331*3)^(1/$AR331)))</f>
        <v/>
      </c>
      <c r="AX331">
        <f>IF($AR331="","",IF($AR331=0,$AS331*EXP($AT331*-2),$AS331*(1+$AR331*$AT331*-2)^(1/$AR331)))</f>
        <v/>
      </c>
      <c r="AY331">
        <f>IF($AR331="","",IF($AR331=0,$AS331*EXP($AT331*-3),$AS331*(1+$AR331*$AT331*-3)^(1/$AR331)))</f>
        <v/>
      </c>
      <c r="AZ331">
        <f>IF(OR($A331="",$A331&lt;&gt;Ficha!$C$4),"",COUNTIF($A$2:$A331,Ficha!$C$4))</f>
        <v/>
      </c>
    </row>
    <row r="332">
      <c r="A332" s="8">
        <f>IF(INDEX(Banco!$A:$A,ROW())="","",INDEX(Banco!$A:$A,ROW()))</f>
        <v/>
      </c>
      <c r="B332" s="8">
        <f>IF(INDEX(Banco!$B:$B,ROW())="","",INDEX(Banco!$B:$B,ROW()))</f>
        <v/>
      </c>
      <c r="C332" s="8">
        <f>IF(INDEX(Banco!$C:$C,ROW())="","",INDEX(Banco!$C:$C,ROW()))</f>
        <v/>
      </c>
      <c r="D332" s="9">
        <f>IF(INDEX(Banco!$D:$D,ROW())="","",INDEX(Banco!$D:$D,ROW()))</f>
        <v/>
      </c>
      <c r="E332" s="9">
        <f>IF(INDEX(Banco!$E:$E,ROW())="","",INDEX(Banco!$E:$E,ROW()))</f>
        <v/>
      </c>
      <c r="F332" s="10">
        <f>IF(INDEX(Banco!$F:$F,ROW())="","",INDEX(Banco!$F:$F,ROW()))</f>
        <v/>
      </c>
      <c r="G332" s="10">
        <f>IF(INDEX(Banco!$G:$G,ROW())="","",INDEX(Banco!$G:$G,ROW()))</f>
        <v/>
      </c>
      <c r="H332" s="8">
        <f>IF(INDEX(Banco!$H:$H,ROW())="","",INDEX(Banco!$H:$H,ROW()))</f>
        <v/>
      </c>
      <c r="I332">
        <f>IF($T332="","",INT($T332/12)&amp;"a "&amp;MOD($T332,12)&amp;"m")</f>
        <v/>
      </c>
      <c r="J332" s="11">
        <f>IF(OR($F332="",$G332=""),"",ROUND($F332/($G332/100)^2,2))</f>
        <v/>
      </c>
      <c r="K332" s="12">
        <f>IF(OR($S332="",$J332="",$T332="",$T332&lt;0,$T332&gt;228,$Y332=""),"—",ROUND(IF(ABS($AB332)&lt;=3,$AB332,IF($AB332&gt;3,3+($J332-$AD332)/($AD332-$AC332),-3+($J332-$AF332)/($AE332-$AF332))),2))</f>
        <v/>
      </c>
      <c r="L332">
        <f>IF(OR($K332="",$K332="—"),"",IF($T332&lt;=60,IF($K332&lt;-3,"Magreza acentuada",IF($K332&lt;-2,"Magreza",IF($K332&lt;=1,"Eutrofia",IF($K332&lt;=2,"Risco de sobrepeso",IF($K332&lt;=3,"Sobrepeso","Obesidade"))))),IF($K332&lt;-3,"Magreza acentuada",IF($K332&lt;-2,"Magreza",IF($K332&lt;=1,"Eutrofia",IF($K332&lt;=2,"Sobrepeso",IF($K332&lt;=3,"Obesidade","Obesidade grave")))))))</f>
        <v/>
      </c>
      <c r="M332" s="12">
        <f>IF(OR($S332="",$V332="",$T332="",$T332&lt;0,$T332&gt;228,$AG332=""),"—",ROUND(IF($AG332=0,LN($V332/$AH332)/$AI332,((($V332/$AH332)^$AG332)-1)/($AG332*$AI332)),2))</f>
        <v/>
      </c>
      <c r="N332">
        <f>IF(OR($M332="",$M332="—"),"",IF($M332&lt;-3,"Muito baixa",IF($M332&lt;-2,"Baixa","Adequada")))</f>
        <v/>
      </c>
      <c r="O332" s="12">
        <f>IF(OR($S332="",$F332="",$T332="",$T332&lt;0,$T332&gt;120,$AJ332=""),"—",ROUND(IF(ABS($AM332)&lt;=3,$AM332,IF($AM332&gt;3,3+($F332-$AO332)/($AO332-$AN332),-3+($F332-$AQ332)/($AP332-$AQ332))),2))</f>
        <v/>
      </c>
      <c r="P332">
        <f>IF(OR($O332="",$O332="—"),"",IF($O332&lt;-3,"Muito baixo",IF($O332&lt;-2,"Baixo",IF($O332&lt;=2,"Adequado","Elevado"))))</f>
        <v/>
      </c>
      <c r="Q332" s="12">
        <f>IF(OR($S332="",$F332="",$T332="",$T332&lt;0,$T332&gt;60,$AR332=""),"—",ROUND(IF(ABS($AU332)&lt;=3,$AU332,IF($AU332&gt;3,3+($F332-$AW332)/($AW332-$AV332),-3+($F332-$AY332)/($AX332-$AY332))),2))</f>
        <v/>
      </c>
      <c r="R332">
        <f>IF(OR($Q332="",$Q332="—"),"",IF($Q332&lt;-3,"Magreza acentuada",IF($Q332&lt;-2,"Magreza",IF($Q332&lt;=1,"Eutrofia",IF($Q332&lt;=2,"Risco de sobrepeso",IF($Q332&lt;=3,"Sobrepeso","Obesidade"))))))</f>
        <v/>
      </c>
      <c r="S332">
        <f>IF($C332="","",IF(UPPER(LEFT($C332,1))="M",1,IF(UPPER(LEFT($C332,1))="F",2,"")))</f>
        <v/>
      </c>
      <c r="T332">
        <f>IF(OR($D332="",$E332=""),"",DATEDIF($D332,$E332,"m"))</f>
        <v/>
      </c>
      <c r="U332">
        <f>IF(OR($D332="",$E332=""),"",$E332-$D332)</f>
        <v/>
      </c>
      <c r="V332">
        <f>IF(OR($G332="",$T332=""),"",IF($T332&lt;24,IF(LEFT(LOWER($H332),4)="em p",$G332+0.7,$G332),IF(LEFT(LOWER($H332),4)="deit",$G332-0.7,$G332)))</f>
        <v/>
      </c>
      <c r="W332">
        <f>IF(OR($S332="",$T332=""),"",$S332*1000000+IF($T332&lt;=60,$U332,$T332))</f>
        <v/>
      </c>
      <c r="X332">
        <f>IF(OR($S332="",$V332="",$T332&gt;60,$T332=""),"",$S332*1000000+ROUND($V332*10,0))</f>
        <v/>
      </c>
      <c r="Y332">
        <f>IF($W332="","",IFERROR(INDEX(IF($T332&lt;=60,imc05_l,imc519_l),MATCH($W332,IF($T332&lt;=60,imc05_k,imc519_k),1)),""))</f>
        <v/>
      </c>
      <c r="Z332">
        <f>IF($W332="","",IFERROR(INDEX(IF($T332&lt;=60,imc05_m,imc519_m),MATCH($W332,IF($T332&lt;=60,imc05_k,imc519_k),1)),""))</f>
        <v/>
      </c>
      <c r="AA332">
        <f>IF($W332="","",IFERROR(INDEX(IF($T332&lt;=60,imc05_s,imc519_s),MATCH($W332,IF($T332&lt;=60,imc05_k,imc519_k),1)),""))</f>
        <v/>
      </c>
      <c r="AB332">
        <f>IF($Y332="","",IF($Y332=0,LN($J332/$Z332)/$AA332,((($J332/$Z332)^$Y332)-1)/($Y332*$AA332)))</f>
        <v/>
      </c>
      <c r="AC332">
        <f>IF($Y332="","",IF($Y332=0,$Z332*EXP($AA332*2),$Z332*(1+$Y332*$AA332*2)^(1/$Y332)))</f>
        <v/>
      </c>
      <c r="AD332">
        <f>IF($Y332="","",IF($Y332=0,$Z332*EXP($AA332*3),$Z332*(1+$Y332*$AA332*3)^(1/$Y332)))</f>
        <v/>
      </c>
      <c r="AE332">
        <f>IF($Y332="","",IF($Y332=0,$Z332*EXP($AA332*-2),$Z332*(1+$Y332*$AA332*-2)^(1/$Y332)))</f>
        <v/>
      </c>
      <c r="AF332">
        <f>IF($Y332="","",IF($Y332=0,$Z332*EXP($AA332*-3),$Z332*(1+$Y332*$AA332*-3)^(1/$Y332)))</f>
        <v/>
      </c>
      <c r="AG332">
        <f>IF($W332="","",IFERROR(INDEX(IF($T332&lt;=60,est05_l,est519_l),MATCH($W332,IF($T332&lt;=60,est05_k,est519_k),1)),""))</f>
        <v/>
      </c>
      <c r="AH332">
        <f>IF($W332="","",IFERROR(INDEX(IF($T332&lt;=60,est05_m,est519_m),MATCH($W332,IF($T332&lt;=60,est05_k,est519_k),1)),""))</f>
        <v/>
      </c>
      <c r="AI332">
        <f>IF($W332="","",IFERROR(INDEX(IF($T332&lt;=60,est05_s,est519_s),MATCH($W332,IF($T332&lt;=60,est05_k,est519_k),1)),""))</f>
        <v/>
      </c>
      <c r="AJ332">
        <f>IF($W332="","",IFERROR(INDEX(IF($T332&lt;=60,peso05_l,peso510_l),MATCH($W332,IF($T332&lt;=60,peso05_k,peso510_k),1)),""))</f>
        <v/>
      </c>
      <c r="AK332">
        <f>IF($W332="","",IFERROR(INDEX(IF($T332&lt;=60,peso05_m,peso510_m),MATCH($W332,IF($T332&lt;=60,peso05_k,peso510_k),1)),""))</f>
        <v/>
      </c>
      <c r="AL332">
        <f>IF($W332="","",IFERROR(INDEX(IF($T332&lt;=60,peso05_s,peso510_s),MATCH($W332,IF($T332&lt;=60,peso05_k,peso510_k),1)),""))</f>
        <v/>
      </c>
      <c r="AM332">
        <f>IF($AJ332="","",IF($AJ332=0,LN($F332/$AK332)/$AL332,((($F332/$AK332)^$AJ332)-1)/($AJ332*$AL332)))</f>
        <v/>
      </c>
      <c r="AN332">
        <f>IF($AJ332="","",IF($AJ332=0,$AK332*EXP($AL332*2),$AK332*(1+$AJ332*$AL332*2)^(1/$AJ332)))</f>
        <v/>
      </c>
      <c r="AO332">
        <f>IF($AJ332="","",IF($AJ332=0,$AK332*EXP($AL332*3),$AK332*(1+$AJ332*$AL332*3)^(1/$AJ332)))</f>
        <v/>
      </c>
      <c r="AP332">
        <f>IF($AJ332="","",IF($AJ332=0,$AK332*EXP($AL332*-2),$AK332*(1+$AJ332*$AL332*-2)^(1/$AJ332)))</f>
        <v/>
      </c>
      <c r="AQ332">
        <f>IF($AJ332="","",IF($AJ332=0,$AK332*EXP($AL332*-3),$AK332*(1+$AJ332*$AL332*-3)^(1/$AJ332)))</f>
        <v/>
      </c>
      <c r="AR332">
        <f>IF(OR($X332="",$T332&gt;60),"",IFERROR(INDEX(IF($T332&lt;24,pcomp_l,palt_l),MATCH($X332,IF($T332&lt;24,pcomp_k,palt_k),1)),""))</f>
        <v/>
      </c>
      <c r="AS332">
        <f>IF(OR($X332="",$T332&gt;60),"",IFERROR(INDEX(IF($T332&lt;24,pcomp_m,palt_m),MATCH($X332,IF($T332&lt;24,pcomp_k,palt_k),1)),""))</f>
        <v/>
      </c>
      <c r="AT332">
        <f>IF(OR($X332="",$T332&gt;60),"",IFERROR(INDEX(IF($T332&lt;24,pcomp_s,palt_s),MATCH($X332,IF($T332&lt;24,pcomp_k,palt_k),1)),""))</f>
        <v/>
      </c>
      <c r="AU332">
        <f>IF($AR332="","",IF($AR332=0,LN($F332/$AS332)/$AT332,((($F332/$AS332)^$AR332)-1)/($AR332*$AT332)))</f>
        <v/>
      </c>
      <c r="AV332">
        <f>IF($AR332="","",IF($AR332=0,$AS332*EXP($AT332*2),$AS332*(1+$AR332*$AT332*2)^(1/$AR332)))</f>
        <v/>
      </c>
      <c r="AW332">
        <f>IF($AR332="","",IF($AR332=0,$AS332*EXP($AT332*3),$AS332*(1+$AR332*$AT332*3)^(1/$AR332)))</f>
        <v/>
      </c>
      <c r="AX332">
        <f>IF($AR332="","",IF($AR332=0,$AS332*EXP($AT332*-2),$AS332*(1+$AR332*$AT332*-2)^(1/$AR332)))</f>
        <v/>
      </c>
      <c r="AY332">
        <f>IF($AR332="","",IF($AR332=0,$AS332*EXP($AT332*-3),$AS332*(1+$AR332*$AT332*-3)^(1/$AR332)))</f>
        <v/>
      </c>
      <c r="AZ332">
        <f>IF(OR($A332="",$A332&lt;&gt;Ficha!$C$4),"",COUNTIF($A$2:$A332,Ficha!$C$4))</f>
        <v/>
      </c>
    </row>
    <row r="333">
      <c r="A333" s="8">
        <f>IF(INDEX(Banco!$A:$A,ROW())="","",INDEX(Banco!$A:$A,ROW()))</f>
        <v/>
      </c>
      <c r="B333" s="8">
        <f>IF(INDEX(Banco!$B:$B,ROW())="","",INDEX(Banco!$B:$B,ROW()))</f>
        <v/>
      </c>
      <c r="C333" s="8">
        <f>IF(INDEX(Banco!$C:$C,ROW())="","",INDEX(Banco!$C:$C,ROW()))</f>
        <v/>
      </c>
      <c r="D333" s="9">
        <f>IF(INDEX(Banco!$D:$D,ROW())="","",INDEX(Banco!$D:$D,ROW()))</f>
        <v/>
      </c>
      <c r="E333" s="9">
        <f>IF(INDEX(Banco!$E:$E,ROW())="","",INDEX(Banco!$E:$E,ROW()))</f>
        <v/>
      </c>
      <c r="F333" s="10">
        <f>IF(INDEX(Banco!$F:$F,ROW())="","",INDEX(Banco!$F:$F,ROW()))</f>
        <v/>
      </c>
      <c r="G333" s="10">
        <f>IF(INDEX(Banco!$G:$G,ROW())="","",INDEX(Banco!$G:$G,ROW()))</f>
        <v/>
      </c>
      <c r="H333" s="8">
        <f>IF(INDEX(Banco!$H:$H,ROW())="","",INDEX(Banco!$H:$H,ROW()))</f>
        <v/>
      </c>
      <c r="I333">
        <f>IF($T333="","",INT($T333/12)&amp;"a "&amp;MOD($T333,12)&amp;"m")</f>
        <v/>
      </c>
      <c r="J333" s="11">
        <f>IF(OR($F333="",$G333=""),"",ROUND($F333/($G333/100)^2,2))</f>
        <v/>
      </c>
      <c r="K333" s="12">
        <f>IF(OR($S333="",$J333="",$T333="",$T333&lt;0,$T333&gt;228,$Y333=""),"—",ROUND(IF(ABS($AB333)&lt;=3,$AB333,IF($AB333&gt;3,3+($J333-$AD333)/($AD333-$AC333),-3+($J333-$AF333)/($AE333-$AF333))),2))</f>
        <v/>
      </c>
      <c r="L333">
        <f>IF(OR($K333="",$K333="—"),"",IF($T333&lt;=60,IF($K333&lt;-3,"Magreza acentuada",IF($K333&lt;-2,"Magreza",IF($K333&lt;=1,"Eutrofia",IF($K333&lt;=2,"Risco de sobrepeso",IF($K333&lt;=3,"Sobrepeso","Obesidade"))))),IF($K333&lt;-3,"Magreza acentuada",IF($K333&lt;-2,"Magreza",IF($K333&lt;=1,"Eutrofia",IF($K333&lt;=2,"Sobrepeso",IF($K333&lt;=3,"Obesidade","Obesidade grave")))))))</f>
        <v/>
      </c>
      <c r="M333" s="12">
        <f>IF(OR($S333="",$V333="",$T333="",$T333&lt;0,$T333&gt;228,$AG333=""),"—",ROUND(IF($AG333=0,LN($V333/$AH333)/$AI333,((($V333/$AH333)^$AG333)-1)/($AG333*$AI333)),2))</f>
        <v/>
      </c>
      <c r="N333">
        <f>IF(OR($M333="",$M333="—"),"",IF($M333&lt;-3,"Muito baixa",IF($M333&lt;-2,"Baixa","Adequada")))</f>
        <v/>
      </c>
      <c r="O333" s="12">
        <f>IF(OR($S333="",$F333="",$T333="",$T333&lt;0,$T333&gt;120,$AJ333=""),"—",ROUND(IF(ABS($AM333)&lt;=3,$AM333,IF($AM333&gt;3,3+($F333-$AO333)/($AO333-$AN333),-3+($F333-$AQ333)/($AP333-$AQ333))),2))</f>
        <v/>
      </c>
      <c r="P333">
        <f>IF(OR($O333="",$O333="—"),"",IF($O333&lt;-3,"Muito baixo",IF($O333&lt;-2,"Baixo",IF($O333&lt;=2,"Adequado","Elevado"))))</f>
        <v/>
      </c>
      <c r="Q333" s="12">
        <f>IF(OR($S333="",$F333="",$T333="",$T333&lt;0,$T333&gt;60,$AR333=""),"—",ROUND(IF(ABS($AU333)&lt;=3,$AU333,IF($AU333&gt;3,3+($F333-$AW333)/($AW333-$AV333),-3+($F333-$AY333)/($AX333-$AY333))),2))</f>
        <v/>
      </c>
      <c r="R333">
        <f>IF(OR($Q333="",$Q333="—"),"",IF($Q333&lt;-3,"Magreza acentuada",IF($Q333&lt;-2,"Magreza",IF($Q333&lt;=1,"Eutrofia",IF($Q333&lt;=2,"Risco de sobrepeso",IF($Q333&lt;=3,"Sobrepeso","Obesidade"))))))</f>
        <v/>
      </c>
      <c r="S333">
        <f>IF($C333="","",IF(UPPER(LEFT($C333,1))="M",1,IF(UPPER(LEFT($C333,1))="F",2,"")))</f>
        <v/>
      </c>
      <c r="T333">
        <f>IF(OR($D333="",$E333=""),"",DATEDIF($D333,$E333,"m"))</f>
        <v/>
      </c>
      <c r="U333">
        <f>IF(OR($D333="",$E333=""),"",$E333-$D333)</f>
        <v/>
      </c>
      <c r="V333">
        <f>IF(OR($G333="",$T333=""),"",IF($T333&lt;24,IF(LEFT(LOWER($H333),4)="em p",$G333+0.7,$G333),IF(LEFT(LOWER($H333),4)="deit",$G333-0.7,$G333)))</f>
        <v/>
      </c>
      <c r="W333">
        <f>IF(OR($S333="",$T333=""),"",$S333*1000000+IF($T333&lt;=60,$U333,$T333))</f>
        <v/>
      </c>
      <c r="X333">
        <f>IF(OR($S333="",$V333="",$T333&gt;60,$T333=""),"",$S333*1000000+ROUND($V333*10,0))</f>
        <v/>
      </c>
      <c r="Y333">
        <f>IF($W333="","",IFERROR(INDEX(IF($T333&lt;=60,imc05_l,imc519_l),MATCH($W333,IF($T333&lt;=60,imc05_k,imc519_k),1)),""))</f>
        <v/>
      </c>
      <c r="Z333">
        <f>IF($W333="","",IFERROR(INDEX(IF($T333&lt;=60,imc05_m,imc519_m),MATCH($W333,IF($T333&lt;=60,imc05_k,imc519_k),1)),""))</f>
        <v/>
      </c>
      <c r="AA333">
        <f>IF($W333="","",IFERROR(INDEX(IF($T333&lt;=60,imc05_s,imc519_s),MATCH($W333,IF($T333&lt;=60,imc05_k,imc519_k),1)),""))</f>
        <v/>
      </c>
      <c r="AB333">
        <f>IF($Y333="","",IF($Y333=0,LN($J333/$Z333)/$AA333,((($J333/$Z333)^$Y333)-1)/($Y333*$AA333)))</f>
        <v/>
      </c>
      <c r="AC333">
        <f>IF($Y333="","",IF($Y333=0,$Z333*EXP($AA333*2),$Z333*(1+$Y333*$AA333*2)^(1/$Y333)))</f>
        <v/>
      </c>
      <c r="AD333">
        <f>IF($Y333="","",IF($Y333=0,$Z333*EXP($AA333*3),$Z333*(1+$Y333*$AA333*3)^(1/$Y333)))</f>
        <v/>
      </c>
      <c r="AE333">
        <f>IF($Y333="","",IF($Y333=0,$Z333*EXP($AA333*-2),$Z333*(1+$Y333*$AA333*-2)^(1/$Y333)))</f>
        <v/>
      </c>
      <c r="AF333">
        <f>IF($Y333="","",IF($Y333=0,$Z333*EXP($AA333*-3),$Z333*(1+$Y333*$AA333*-3)^(1/$Y333)))</f>
        <v/>
      </c>
      <c r="AG333">
        <f>IF($W333="","",IFERROR(INDEX(IF($T333&lt;=60,est05_l,est519_l),MATCH($W333,IF($T333&lt;=60,est05_k,est519_k),1)),""))</f>
        <v/>
      </c>
      <c r="AH333">
        <f>IF($W333="","",IFERROR(INDEX(IF($T333&lt;=60,est05_m,est519_m),MATCH($W333,IF($T333&lt;=60,est05_k,est519_k),1)),""))</f>
        <v/>
      </c>
      <c r="AI333">
        <f>IF($W333="","",IFERROR(INDEX(IF($T333&lt;=60,est05_s,est519_s),MATCH($W333,IF($T333&lt;=60,est05_k,est519_k),1)),""))</f>
        <v/>
      </c>
      <c r="AJ333">
        <f>IF($W333="","",IFERROR(INDEX(IF($T333&lt;=60,peso05_l,peso510_l),MATCH($W333,IF($T333&lt;=60,peso05_k,peso510_k),1)),""))</f>
        <v/>
      </c>
      <c r="AK333">
        <f>IF($W333="","",IFERROR(INDEX(IF($T333&lt;=60,peso05_m,peso510_m),MATCH($W333,IF($T333&lt;=60,peso05_k,peso510_k),1)),""))</f>
        <v/>
      </c>
      <c r="AL333">
        <f>IF($W333="","",IFERROR(INDEX(IF($T333&lt;=60,peso05_s,peso510_s),MATCH($W333,IF($T333&lt;=60,peso05_k,peso510_k),1)),""))</f>
        <v/>
      </c>
      <c r="AM333">
        <f>IF($AJ333="","",IF($AJ333=0,LN($F333/$AK333)/$AL333,((($F333/$AK333)^$AJ333)-1)/($AJ333*$AL333)))</f>
        <v/>
      </c>
      <c r="AN333">
        <f>IF($AJ333="","",IF($AJ333=0,$AK333*EXP($AL333*2),$AK333*(1+$AJ333*$AL333*2)^(1/$AJ333)))</f>
        <v/>
      </c>
      <c r="AO333">
        <f>IF($AJ333="","",IF($AJ333=0,$AK333*EXP($AL333*3),$AK333*(1+$AJ333*$AL333*3)^(1/$AJ333)))</f>
        <v/>
      </c>
      <c r="AP333">
        <f>IF($AJ333="","",IF($AJ333=0,$AK333*EXP($AL333*-2),$AK333*(1+$AJ333*$AL333*-2)^(1/$AJ333)))</f>
        <v/>
      </c>
      <c r="AQ333">
        <f>IF($AJ333="","",IF($AJ333=0,$AK333*EXP($AL333*-3),$AK333*(1+$AJ333*$AL333*-3)^(1/$AJ333)))</f>
        <v/>
      </c>
      <c r="AR333">
        <f>IF(OR($X333="",$T333&gt;60),"",IFERROR(INDEX(IF($T333&lt;24,pcomp_l,palt_l),MATCH($X333,IF($T333&lt;24,pcomp_k,palt_k),1)),""))</f>
        <v/>
      </c>
      <c r="AS333">
        <f>IF(OR($X333="",$T333&gt;60),"",IFERROR(INDEX(IF($T333&lt;24,pcomp_m,palt_m),MATCH($X333,IF($T333&lt;24,pcomp_k,palt_k),1)),""))</f>
        <v/>
      </c>
      <c r="AT333">
        <f>IF(OR($X333="",$T333&gt;60),"",IFERROR(INDEX(IF($T333&lt;24,pcomp_s,palt_s),MATCH($X333,IF($T333&lt;24,pcomp_k,palt_k),1)),""))</f>
        <v/>
      </c>
      <c r="AU333">
        <f>IF($AR333="","",IF($AR333=0,LN($F333/$AS333)/$AT333,((($F333/$AS333)^$AR333)-1)/($AR333*$AT333)))</f>
        <v/>
      </c>
      <c r="AV333">
        <f>IF($AR333="","",IF($AR333=0,$AS333*EXP($AT333*2),$AS333*(1+$AR333*$AT333*2)^(1/$AR333)))</f>
        <v/>
      </c>
      <c r="AW333">
        <f>IF($AR333="","",IF($AR333=0,$AS333*EXP($AT333*3),$AS333*(1+$AR333*$AT333*3)^(1/$AR333)))</f>
        <v/>
      </c>
      <c r="AX333">
        <f>IF($AR333="","",IF($AR333=0,$AS333*EXP($AT333*-2),$AS333*(1+$AR333*$AT333*-2)^(1/$AR333)))</f>
        <v/>
      </c>
      <c r="AY333">
        <f>IF($AR333="","",IF($AR333=0,$AS333*EXP($AT333*-3),$AS333*(1+$AR333*$AT333*-3)^(1/$AR333)))</f>
        <v/>
      </c>
      <c r="AZ333">
        <f>IF(OR($A333="",$A333&lt;&gt;Ficha!$C$4),"",COUNTIF($A$2:$A333,Ficha!$C$4))</f>
        <v/>
      </c>
    </row>
    <row r="334">
      <c r="A334" s="8">
        <f>IF(INDEX(Banco!$A:$A,ROW())="","",INDEX(Banco!$A:$A,ROW()))</f>
        <v/>
      </c>
      <c r="B334" s="8">
        <f>IF(INDEX(Banco!$B:$B,ROW())="","",INDEX(Banco!$B:$B,ROW()))</f>
        <v/>
      </c>
      <c r="C334" s="8">
        <f>IF(INDEX(Banco!$C:$C,ROW())="","",INDEX(Banco!$C:$C,ROW()))</f>
        <v/>
      </c>
      <c r="D334" s="9">
        <f>IF(INDEX(Banco!$D:$D,ROW())="","",INDEX(Banco!$D:$D,ROW()))</f>
        <v/>
      </c>
      <c r="E334" s="9">
        <f>IF(INDEX(Banco!$E:$E,ROW())="","",INDEX(Banco!$E:$E,ROW()))</f>
        <v/>
      </c>
      <c r="F334" s="10">
        <f>IF(INDEX(Banco!$F:$F,ROW())="","",INDEX(Banco!$F:$F,ROW()))</f>
        <v/>
      </c>
      <c r="G334" s="10">
        <f>IF(INDEX(Banco!$G:$G,ROW())="","",INDEX(Banco!$G:$G,ROW()))</f>
        <v/>
      </c>
      <c r="H334" s="8">
        <f>IF(INDEX(Banco!$H:$H,ROW())="","",INDEX(Banco!$H:$H,ROW()))</f>
        <v/>
      </c>
      <c r="I334">
        <f>IF($T334="","",INT($T334/12)&amp;"a "&amp;MOD($T334,12)&amp;"m")</f>
        <v/>
      </c>
      <c r="J334" s="11">
        <f>IF(OR($F334="",$G334=""),"",ROUND($F334/($G334/100)^2,2))</f>
        <v/>
      </c>
      <c r="K334" s="12">
        <f>IF(OR($S334="",$J334="",$T334="",$T334&lt;0,$T334&gt;228,$Y334=""),"—",ROUND(IF(ABS($AB334)&lt;=3,$AB334,IF($AB334&gt;3,3+($J334-$AD334)/($AD334-$AC334),-3+($J334-$AF334)/($AE334-$AF334))),2))</f>
        <v/>
      </c>
      <c r="L334">
        <f>IF(OR($K334="",$K334="—"),"",IF($T334&lt;=60,IF($K334&lt;-3,"Magreza acentuada",IF($K334&lt;-2,"Magreza",IF($K334&lt;=1,"Eutrofia",IF($K334&lt;=2,"Risco de sobrepeso",IF($K334&lt;=3,"Sobrepeso","Obesidade"))))),IF($K334&lt;-3,"Magreza acentuada",IF($K334&lt;-2,"Magreza",IF($K334&lt;=1,"Eutrofia",IF($K334&lt;=2,"Sobrepeso",IF($K334&lt;=3,"Obesidade","Obesidade grave")))))))</f>
        <v/>
      </c>
      <c r="M334" s="12">
        <f>IF(OR($S334="",$V334="",$T334="",$T334&lt;0,$T334&gt;228,$AG334=""),"—",ROUND(IF($AG334=0,LN($V334/$AH334)/$AI334,((($V334/$AH334)^$AG334)-1)/($AG334*$AI334)),2))</f>
        <v/>
      </c>
      <c r="N334">
        <f>IF(OR($M334="",$M334="—"),"",IF($M334&lt;-3,"Muito baixa",IF($M334&lt;-2,"Baixa","Adequada")))</f>
        <v/>
      </c>
      <c r="O334" s="12">
        <f>IF(OR($S334="",$F334="",$T334="",$T334&lt;0,$T334&gt;120,$AJ334=""),"—",ROUND(IF(ABS($AM334)&lt;=3,$AM334,IF($AM334&gt;3,3+($F334-$AO334)/($AO334-$AN334),-3+($F334-$AQ334)/($AP334-$AQ334))),2))</f>
        <v/>
      </c>
      <c r="P334">
        <f>IF(OR($O334="",$O334="—"),"",IF($O334&lt;-3,"Muito baixo",IF($O334&lt;-2,"Baixo",IF($O334&lt;=2,"Adequado","Elevado"))))</f>
        <v/>
      </c>
      <c r="Q334" s="12">
        <f>IF(OR($S334="",$F334="",$T334="",$T334&lt;0,$T334&gt;60,$AR334=""),"—",ROUND(IF(ABS($AU334)&lt;=3,$AU334,IF($AU334&gt;3,3+($F334-$AW334)/($AW334-$AV334),-3+($F334-$AY334)/($AX334-$AY334))),2))</f>
        <v/>
      </c>
      <c r="R334">
        <f>IF(OR($Q334="",$Q334="—"),"",IF($Q334&lt;-3,"Magreza acentuada",IF($Q334&lt;-2,"Magreza",IF($Q334&lt;=1,"Eutrofia",IF($Q334&lt;=2,"Risco de sobrepeso",IF($Q334&lt;=3,"Sobrepeso","Obesidade"))))))</f>
        <v/>
      </c>
      <c r="S334">
        <f>IF($C334="","",IF(UPPER(LEFT($C334,1))="M",1,IF(UPPER(LEFT($C334,1))="F",2,"")))</f>
        <v/>
      </c>
      <c r="T334">
        <f>IF(OR($D334="",$E334=""),"",DATEDIF($D334,$E334,"m"))</f>
        <v/>
      </c>
      <c r="U334">
        <f>IF(OR($D334="",$E334=""),"",$E334-$D334)</f>
        <v/>
      </c>
      <c r="V334">
        <f>IF(OR($G334="",$T334=""),"",IF($T334&lt;24,IF(LEFT(LOWER($H334),4)="em p",$G334+0.7,$G334),IF(LEFT(LOWER($H334),4)="deit",$G334-0.7,$G334)))</f>
        <v/>
      </c>
      <c r="W334">
        <f>IF(OR($S334="",$T334=""),"",$S334*1000000+IF($T334&lt;=60,$U334,$T334))</f>
        <v/>
      </c>
      <c r="X334">
        <f>IF(OR($S334="",$V334="",$T334&gt;60,$T334=""),"",$S334*1000000+ROUND($V334*10,0))</f>
        <v/>
      </c>
      <c r="Y334">
        <f>IF($W334="","",IFERROR(INDEX(IF($T334&lt;=60,imc05_l,imc519_l),MATCH($W334,IF($T334&lt;=60,imc05_k,imc519_k),1)),""))</f>
        <v/>
      </c>
      <c r="Z334">
        <f>IF($W334="","",IFERROR(INDEX(IF($T334&lt;=60,imc05_m,imc519_m),MATCH($W334,IF($T334&lt;=60,imc05_k,imc519_k),1)),""))</f>
        <v/>
      </c>
      <c r="AA334">
        <f>IF($W334="","",IFERROR(INDEX(IF($T334&lt;=60,imc05_s,imc519_s),MATCH($W334,IF($T334&lt;=60,imc05_k,imc519_k),1)),""))</f>
        <v/>
      </c>
      <c r="AB334">
        <f>IF($Y334="","",IF($Y334=0,LN($J334/$Z334)/$AA334,((($J334/$Z334)^$Y334)-1)/($Y334*$AA334)))</f>
        <v/>
      </c>
      <c r="AC334">
        <f>IF($Y334="","",IF($Y334=0,$Z334*EXP($AA334*2),$Z334*(1+$Y334*$AA334*2)^(1/$Y334)))</f>
        <v/>
      </c>
      <c r="AD334">
        <f>IF($Y334="","",IF($Y334=0,$Z334*EXP($AA334*3),$Z334*(1+$Y334*$AA334*3)^(1/$Y334)))</f>
        <v/>
      </c>
      <c r="AE334">
        <f>IF($Y334="","",IF($Y334=0,$Z334*EXP($AA334*-2),$Z334*(1+$Y334*$AA334*-2)^(1/$Y334)))</f>
        <v/>
      </c>
      <c r="AF334">
        <f>IF($Y334="","",IF($Y334=0,$Z334*EXP($AA334*-3),$Z334*(1+$Y334*$AA334*-3)^(1/$Y334)))</f>
        <v/>
      </c>
      <c r="AG334">
        <f>IF($W334="","",IFERROR(INDEX(IF($T334&lt;=60,est05_l,est519_l),MATCH($W334,IF($T334&lt;=60,est05_k,est519_k),1)),""))</f>
        <v/>
      </c>
      <c r="AH334">
        <f>IF($W334="","",IFERROR(INDEX(IF($T334&lt;=60,est05_m,est519_m),MATCH($W334,IF($T334&lt;=60,est05_k,est519_k),1)),""))</f>
        <v/>
      </c>
      <c r="AI334">
        <f>IF($W334="","",IFERROR(INDEX(IF($T334&lt;=60,est05_s,est519_s),MATCH($W334,IF($T334&lt;=60,est05_k,est519_k),1)),""))</f>
        <v/>
      </c>
      <c r="AJ334">
        <f>IF($W334="","",IFERROR(INDEX(IF($T334&lt;=60,peso05_l,peso510_l),MATCH($W334,IF($T334&lt;=60,peso05_k,peso510_k),1)),""))</f>
        <v/>
      </c>
      <c r="AK334">
        <f>IF($W334="","",IFERROR(INDEX(IF($T334&lt;=60,peso05_m,peso510_m),MATCH($W334,IF($T334&lt;=60,peso05_k,peso510_k),1)),""))</f>
        <v/>
      </c>
      <c r="AL334">
        <f>IF($W334="","",IFERROR(INDEX(IF($T334&lt;=60,peso05_s,peso510_s),MATCH($W334,IF($T334&lt;=60,peso05_k,peso510_k),1)),""))</f>
        <v/>
      </c>
      <c r="AM334">
        <f>IF($AJ334="","",IF($AJ334=0,LN($F334/$AK334)/$AL334,((($F334/$AK334)^$AJ334)-1)/($AJ334*$AL334)))</f>
        <v/>
      </c>
      <c r="AN334">
        <f>IF($AJ334="","",IF($AJ334=0,$AK334*EXP($AL334*2),$AK334*(1+$AJ334*$AL334*2)^(1/$AJ334)))</f>
        <v/>
      </c>
      <c r="AO334">
        <f>IF($AJ334="","",IF($AJ334=0,$AK334*EXP($AL334*3),$AK334*(1+$AJ334*$AL334*3)^(1/$AJ334)))</f>
        <v/>
      </c>
      <c r="AP334">
        <f>IF($AJ334="","",IF($AJ334=0,$AK334*EXP($AL334*-2),$AK334*(1+$AJ334*$AL334*-2)^(1/$AJ334)))</f>
        <v/>
      </c>
      <c r="AQ334">
        <f>IF($AJ334="","",IF($AJ334=0,$AK334*EXP($AL334*-3),$AK334*(1+$AJ334*$AL334*-3)^(1/$AJ334)))</f>
        <v/>
      </c>
      <c r="AR334">
        <f>IF(OR($X334="",$T334&gt;60),"",IFERROR(INDEX(IF($T334&lt;24,pcomp_l,palt_l),MATCH($X334,IF($T334&lt;24,pcomp_k,palt_k),1)),""))</f>
        <v/>
      </c>
      <c r="AS334">
        <f>IF(OR($X334="",$T334&gt;60),"",IFERROR(INDEX(IF($T334&lt;24,pcomp_m,palt_m),MATCH($X334,IF($T334&lt;24,pcomp_k,palt_k),1)),""))</f>
        <v/>
      </c>
      <c r="AT334">
        <f>IF(OR($X334="",$T334&gt;60),"",IFERROR(INDEX(IF($T334&lt;24,pcomp_s,palt_s),MATCH($X334,IF($T334&lt;24,pcomp_k,palt_k),1)),""))</f>
        <v/>
      </c>
      <c r="AU334">
        <f>IF($AR334="","",IF($AR334=0,LN($F334/$AS334)/$AT334,((($F334/$AS334)^$AR334)-1)/($AR334*$AT334)))</f>
        <v/>
      </c>
      <c r="AV334">
        <f>IF($AR334="","",IF($AR334=0,$AS334*EXP($AT334*2),$AS334*(1+$AR334*$AT334*2)^(1/$AR334)))</f>
        <v/>
      </c>
      <c r="AW334">
        <f>IF($AR334="","",IF($AR334=0,$AS334*EXP($AT334*3),$AS334*(1+$AR334*$AT334*3)^(1/$AR334)))</f>
        <v/>
      </c>
      <c r="AX334">
        <f>IF($AR334="","",IF($AR334=0,$AS334*EXP($AT334*-2),$AS334*(1+$AR334*$AT334*-2)^(1/$AR334)))</f>
        <v/>
      </c>
      <c r="AY334">
        <f>IF($AR334="","",IF($AR334=0,$AS334*EXP($AT334*-3),$AS334*(1+$AR334*$AT334*-3)^(1/$AR334)))</f>
        <v/>
      </c>
      <c r="AZ334">
        <f>IF(OR($A334="",$A334&lt;&gt;Ficha!$C$4),"",COUNTIF($A$2:$A334,Ficha!$C$4))</f>
        <v/>
      </c>
    </row>
    <row r="335">
      <c r="A335" s="8">
        <f>IF(INDEX(Banco!$A:$A,ROW())="","",INDEX(Banco!$A:$A,ROW()))</f>
        <v/>
      </c>
      <c r="B335" s="8">
        <f>IF(INDEX(Banco!$B:$B,ROW())="","",INDEX(Banco!$B:$B,ROW()))</f>
        <v/>
      </c>
      <c r="C335" s="8">
        <f>IF(INDEX(Banco!$C:$C,ROW())="","",INDEX(Banco!$C:$C,ROW()))</f>
        <v/>
      </c>
      <c r="D335" s="9">
        <f>IF(INDEX(Banco!$D:$D,ROW())="","",INDEX(Banco!$D:$D,ROW()))</f>
        <v/>
      </c>
      <c r="E335" s="9">
        <f>IF(INDEX(Banco!$E:$E,ROW())="","",INDEX(Banco!$E:$E,ROW()))</f>
        <v/>
      </c>
      <c r="F335" s="10">
        <f>IF(INDEX(Banco!$F:$F,ROW())="","",INDEX(Banco!$F:$F,ROW()))</f>
        <v/>
      </c>
      <c r="G335" s="10">
        <f>IF(INDEX(Banco!$G:$G,ROW())="","",INDEX(Banco!$G:$G,ROW()))</f>
        <v/>
      </c>
      <c r="H335" s="8">
        <f>IF(INDEX(Banco!$H:$H,ROW())="","",INDEX(Banco!$H:$H,ROW()))</f>
        <v/>
      </c>
      <c r="I335">
        <f>IF($T335="","",INT($T335/12)&amp;"a "&amp;MOD($T335,12)&amp;"m")</f>
        <v/>
      </c>
      <c r="J335" s="11">
        <f>IF(OR($F335="",$G335=""),"",ROUND($F335/($G335/100)^2,2))</f>
        <v/>
      </c>
      <c r="K335" s="12">
        <f>IF(OR($S335="",$J335="",$T335="",$T335&lt;0,$T335&gt;228,$Y335=""),"—",ROUND(IF(ABS($AB335)&lt;=3,$AB335,IF($AB335&gt;3,3+($J335-$AD335)/($AD335-$AC335),-3+($J335-$AF335)/($AE335-$AF335))),2))</f>
        <v/>
      </c>
      <c r="L335">
        <f>IF(OR($K335="",$K335="—"),"",IF($T335&lt;=60,IF($K335&lt;-3,"Magreza acentuada",IF($K335&lt;-2,"Magreza",IF($K335&lt;=1,"Eutrofia",IF($K335&lt;=2,"Risco de sobrepeso",IF($K335&lt;=3,"Sobrepeso","Obesidade"))))),IF($K335&lt;-3,"Magreza acentuada",IF($K335&lt;-2,"Magreza",IF($K335&lt;=1,"Eutrofia",IF($K335&lt;=2,"Sobrepeso",IF($K335&lt;=3,"Obesidade","Obesidade grave")))))))</f>
        <v/>
      </c>
      <c r="M335" s="12">
        <f>IF(OR($S335="",$V335="",$T335="",$T335&lt;0,$T335&gt;228,$AG335=""),"—",ROUND(IF($AG335=0,LN($V335/$AH335)/$AI335,((($V335/$AH335)^$AG335)-1)/($AG335*$AI335)),2))</f>
        <v/>
      </c>
      <c r="N335">
        <f>IF(OR($M335="",$M335="—"),"",IF($M335&lt;-3,"Muito baixa",IF($M335&lt;-2,"Baixa","Adequada")))</f>
        <v/>
      </c>
      <c r="O335" s="12">
        <f>IF(OR($S335="",$F335="",$T335="",$T335&lt;0,$T335&gt;120,$AJ335=""),"—",ROUND(IF(ABS($AM335)&lt;=3,$AM335,IF($AM335&gt;3,3+($F335-$AO335)/($AO335-$AN335),-3+($F335-$AQ335)/($AP335-$AQ335))),2))</f>
        <v/>
      </c>
      <c r="P335">
        <f>IF(OR($O335="",$O335="—"),"",IF($O335&lt;-3,"Muito baixo",IF($O335&lt;-2,"Baixo",IF($O335&lt;=2,"Adequado","Elevado"))))</f>
        <v/>
      </c>
      <c r="Q335" s="12">
        <f>IF(OR($S335="",$F335="",$T335="",$T335&lt;0,$T335&gt;60,$AR335=""),"—",ROUND(IF(ABS($AU335)&lt;=3,$AU335,IF($AU335&gt;3,3+($F335-$AW335)/($AW335-$AV335),-3+($F335-$AY335)/($AX335-$AY335))),2))</f>
        <v/>
      </c>
      <c r="R335">
        <f>IF(OR($Q335="",$Q335="—"),"",IF($Q335&lt;-3,"Magreza acentuada",IF($Q335&lt;-2,"Magreza",IF($Q335&lt;=1,"Eutrofia",IF($Q335&lt;=2,"Risco de sobrepeso",IF($Q335&lt;=3,"Sobrepeso","Obesidade"))))))</f>
        <v/>
      </c>
      <c r="S335">
        <f>IF($C335="","",IF(UPPER(LEFT($C335,1))="M",1,IF(UPPER(LEFT($C335,1))="F",2,"")))</f>
        <v/>
      </c>
      <c r="T335">
        <f>IF(OR($D335="",$E335=""),"",DATEDIF($D335,$E335,"m"))</f>
        <v/>
      </c>
      <c r="U335">
        <f>IF(OR($D335="",$E335=""),"",$E335-$D335)</f>
        <v/>
      </c>
      <c r="V335">
        <f>IF(OR($G335="",$T335=""),"",IF($T335&lt;24,IF(LEFT(LOWER($H335),4)="em p",$G335+0.7,$G335),IF(LEFT(LOWER($H335),4)="deit",$G335-0.7,$G335)))</f>
        <v/>
      </c>
      <c r="W335">
        <f>IF(OR($S335="",$T335=""),"",$S335*1000000+IF($T335&lt;=60,$U335,$T335))</f>
        <v/>
      </c>
      <c r="X335">
        <f>IF(OR($S335="",$V335="",$T335&gt;60,$T335=""),"",$S335*1000000+ROUND($V335*10,0))</f>
        <v/>
      </c>
      <c r="Y335">
        <f>IF($W335="","",IFERROR(INDEX(IF($T335&lt;=60,imc05_l,imc519_l),MATCH($W335,IF($T335&lt;=60,imc05_k,imc519_k),1)),""))</f>
        <v/>
      </c>
      <c r="Z335">
        <f>IF($W335="","",IFERROR(INDEX(IF($T335&lt;=60,imc05_m,imc519_m),MATCH($W335,IF($T335&lt;=60,imc05_k,imc519_k),1)),""))</f>
        <v/>
      </c>
      <c r="AA335">
        <f>IF($W335="","",IFERROR(INDEX(IF($T335&lt;=60,imc05_s,imc519_s),MATCH($W335,IF($T335&lt;=60,imc05_k,imc519_k),1)),""))</f>
        <v/>
      </c>
      <c r="AB335">
        <f>IF($Y335="","",IF($Y335=0,LN($J335/$Z335)/$AA335,((($J335/$Z335)^$Y335)-1)/($Y335*$AA335)))</f>
        <v/>
      </c>
      <c r="AC335">
        <f>IF($Y335="","",IF($Y335=0,$Z335*EXP($AA335*2),$Z335*(1+$Y335*$AA335*2)^(1/$Y335)))</f>
        <v/>
      </c>
      <c r="AD335">
        <f>IF($Y335="","",IF($Y335=0,$Z335*EXP($AA335*3),$Z335*(1+$Y335*$AA335*3)^(1/$Y335)))</f>
        <v/>
      </c>
      <c r="AE335">
        <f>IF($Y335="","",IF($Y335=0,$Z335*EXP($AA335*-2),$Z335*(1+$Y335*$AA335*-2)^(1/$Y335)))</f>
        <v/>
      </c>
      <c r="AF335">
        <f>IF($Y335="","",IF($Y335=0,$Z335*EXP($AA335*-3),$Z335*(1+$Y335*$AA335*-3)^(1/$Y335)))</f>
        <v/>
      </c>
      <c r="AG335">
        <f>IF($W335="","",IFERROR(INDEX(IF($T335&lt;=60,est05_l,est519_l),MATCH($W335,IF($T335&lt;=60,est05_k,est519_k),1)),""))</f>
        <v/>
      </c>
      <c r="AH335">
        <f>IF($W335="","",IFERROR(INDEX(IF($T335&lt;=60,est05_m,est519_m),MATCH($W335,IF($T335&lt;=60,est05_k,est519_k),1)),""))</f>
        <v/>
      </c>
      <c r="AI335">
        <f>IF($W335="","",IFERROR(INDEX(IF($T335&lt;=60,est05_s,est519_s),MATCH($W335,IF($T335&lt;=60,est05_k,est519_k),1)),""))</f>
        <v/>
      </c>
      <c r="AJ335">
        <f>IF($W335="","",IFERROR(INDEX(IF($T335&lt;=60,peso05_l,peso510_l),MATCH($W335,IF($T335&lt;=60,peso05_k,peso510_k),1)),""))</f>
        <v/>
      </c>
      <c r="AK335">
        <f>IF($W335="","",IFERROR(INDEX(IF($T335&lt;=60,peso05_m,peso510_m),MATCH($W335,IF($T335&lt;=60,peso05_k,peso510_k),1)),""))</f>
        <v/>
      </c>
      <c r="AL335">
        <f>IF($W335="","",IFERROR(INDEX(IF($T335&lt;=60,peso05_s,peso510_s),MATCH($W335,IF($T335&lt;=60,peso05_k,peso510_k),1)),""))</f>
        <v/>
      </c>
      <c r="AM335">
        <f>IF($AJ335="","",IF($AJ335=0,LN($F335/$AK335)/$AL335,((($F335/$AK335)^$AJ335)-1)/($AJ335*$AL335)))</f>
        <v/>
      </c>
      <c r="AN335">
        <f>IF($AJ335="","",IF($AJ335=0,$AK335*EXP($AL335*2),$AK335*(1+$AJ335*$AL335*2)^(1/$AJ335)))</f>
        <v/>
      </c>
      <c r="AO335">
        <f>IF($AJ335="","",IF($AJ335=0,$AK335*EXP($AL335*3),$AK335*(1+$AJ335*$AL335*3)^(1/$AJ335)))</f>
        <v/>
      </c>
      <c r="AP335">
        <f>IF($AJ335="","",IF($AJ335=0,$AK335*EXP($AL335*-2),$AK335*(1+$AJ335*$AL335*-2)^(1/$AJ335)))</f>
        <v/>
      </c>
      <c r="AQ335">
        <f>IF($AJ335="","",IF($AJ335=0,$AK335*EXP($AL335*-3),$AK335*(1+$AJ335*$AL335*-3)^(1/$AJ335)))</f>
        <v/>
      </c>
      <c r="AR335">
        <f>IF(OR($X335="",$T335&gt;60),"",IFERROR(INDEX(IF($T335&lt;24,pcomp_l,palt_l),MATCH($X335,IF($T335&lt;24,pcomp_k,palt_k),1)),""))</f>
        <v/>
      </c>
      <c r="AS335">
        <f>IF(OR($X335="",$T335&gt;60),"",IFERROR(INDEX(IF($T335&lt;24,pcomp_m,palt_m),MATCH($X335,IF($T335&lt;24,pcomp_k,palt_k),1)),""))</f>
        <v/>
      </c>
      <c r="AT335">
        <f>IF(OR($X335="",$T335&gt;60),"",IFERROR(INDEX(IF($T335&lt;24,pcomp_s,palt_s),MATCH($X335,IF($T335&lt;24,pcomp_k,palt_k),1)),""))</f>
        <v/>
      </c>
      <c r="AU335">
        <f>IF($AR335="","",IF($AR335=0,LN($F335/$AS335)/$AT335,((($F335/$AS335)^$AR335)-1)/($AR335*$AT335)))</f>
        <v/>
      </c>
      <c r="AV335">
        <f>IF($AR335="","",IF($AR335=0,$AS335*EXP($AT335*2),$AS335*(1+$AR335*$AT335*2)^(1/$AR335)))</f>
        <v/>
      </c>
      <c r="AW335">
        <f>IF($AR335="","",IF($AR335=0,$AS335*EXP($AT335*3),$AS335*(1+$AR335*$AT335*3)^(1/$AR335)))</f>
        <v/>
      </c>
      <c r="AX335">
        <f>IF($AR335="","",IF($AR335=0,$AS335*EXP($AT335*-2),$AS335*(1+$AR335*$AT335*-2)^(1/$AR335)))</f>
        <v/>
      </c>
      <c r="AY335">
        <f>IF($AR335="","",IF($AR335=0,$AS335*EXP($AT335*-3),$AS335*(1+$AR335*$AT335*-3)^(1/$AR335)))</f>
        <v/>
      </c>
      <c r="AZ335">
        <f>IF(OR($A335="",$A335&lt;&gt;Ficha!$C$4),"",COUNTIF($A$2:$A335,Ficha!$C$4))</f>
        <v/>
      </c>
    </row>
    <row r="336">
      <c r="A336" s="8">
        <f>IF(INDEX(Banco!$A:$A,ROW())="","",INDEX(Banco!$A:$A,ROW()))</f>
        <v/>
      </c>
      <c r="B336" s="8">
        <f>IF(INDEX(Banco!$B:$B,ROW())="","",INDEX(Banco!$B:$B,ROW()))</f>
        <v/>
      </c>
      <c r="C336" s="8">
        <f>IF(INDEX(Banco!$C:$C,ROW())="","",INDEX(Banco!$C:$C,ROW()))</f>
        <v/>
      </c>
      <c r="D336" s="9">
        <f>IF(INDEX(Banco!$D:$D,ROW())="","",INDEX(Banco!$D:$D,ROW()))</f>
        <v/>
      </c>
      <c r="E336" s="9">
        <f>IF(INDEX(Banco!$E:$E,ROW())="","",INDEX(Banco!$E:$E,ROW()))</f>
        <v/>
      </c>
      <c r="F336" s="10">
        <f>IF(INDEX(Banco!$F:$F,ROW())="","",INDEX(Banco!$F:$F,ROW()))</f>
        <v/>
      </c>
      <c r="G336" s="10">
        <f>IF(INDEX(Banco!$G:$G,ROW())="","",INDEX(Banco!$G:$G,ROW()))</f>
        <v/>
      </c>
      <c r="H336" s="8">
        <f>IF(INDEX(Banco!$H:$H,ROW())="","",INDEX(Banco!$H:$H,ROW()))</f>
        <v/>
      </c>
      <c r="I336">
        <f>IF($T336="","",INT($T336/12)&amp;"a "&amp;MOD($T336,12)&amp;"m")</f>
        <v/>
      </c>
      <c r="J336" s="11">
        <f>IF(OR($F336="",$G336=""),"",ROUND($F336/($G336/100)^2,2))</f>
        <v/>
      </c>
      <c r="K336" s="12">
        <f>IF(OR($S336="",$J336="",$T336="",$T336&lt;0,$T336&gt;228,$Y336=""),"—",ROUND(IF(ABS($AB336)&lt;=3,$AB336,IF($AB336&gt;3,3+($J336-$AD336)/($AD336-$AC336),-3+($J336-$AF336)/($AE336-$AF336))),2))</f>
        <v/>
      </c>
      <c r="L336">
        <f>IF(OR($K336="",$K336="—"),"",IF($T336&lt;=60,IF($K336&lt;-3,"Magreza acentuada",IF($K336&lt;-2,"Magreza",IF($K336&lt;=1,"Eutrofia",IF($K336&lt;=2,"Risco de sobrepeso",IF($K336&lt;=3,"Sobrepeso","Obesidade"))))),IF($K336&lt;-3,"Magreza acentuada",IF($K336&lt;-2,"Magreza",IF($K336&lt;=1,"Eutrofia",IF($K336&lt;=2,"Sobrepeso",IF($K336&lt;=3,"Obesidade","Obesidade grave")))))))</f>
        <v/>
      </c>
      <c r="M336" s="12">
        <f>IF(OR($S336="",$V336="",$T336="",$T336&lt;0,$T336&gt;228,$AG336=""),"—",ROUND(IF($AG336=0,LN($V336/$AH336)/$AI336,((($V336/$AH336)^$AG336)-1)/($AG336*$AI336)),2))</f>
        <v/>
      </c>
      <c r="N336">
        <f>IF(OR($M336="",$M336="—"),"",IF($M336&lt;-3,"Muito baixa",IF($M336&lt;-2,"Baixa","Adequada")))</f>
        <v/>
      </c>
      <c r="O336" s="12">
        <f>IF(OR($S336="",$F336="",$T336="",$T336&lt;0,$T336&gt;120,$AJ336=""),"—",ROUND(IF(ABS($AM336)&lt;=3,$AM336,IF($AM336&gt;3,3+($F336-$AO336)/($AO336-$AN336),-3+($F336-$AQ336)/($AP336-$AQ336))),2))</f>
        <v/>
      </c>
      <c r="P336">
        <f>IF(OR($O336="",$O336="—"),"",IF($O336&lt;-3,"Muito baixo",IF($O336&lt;-2,"Baixo",IF($O336&lt;=2,"Adequado","Elevado"))))</f>
        <v/>
      </c>
      <c r="Q336" s="12">
        <f>IF(OR($S336="",$F336="",$T336="",$T336&lt;0,$T336&gt;60,$AR336=""),"—",ROUND(IF(ABS($AU336)&lt;=3,$AU336,IF($AU336&gt;3,3+($F336-$AW336)/($AW336-$AV336),-3+($F336-$AY336)/($AX336-$AY336))),2))</f>
        <v/>
      </c>
      <c r="R336">
        <f>IF(OR($Q336="",$Q336="—"),"",IF($Q336&lt;-3,"Magreza acentuada",IF($Q336&lt;-2,"Magreza",IF($Q336&lt;=1,"Eutrofia",IF($Q336&lt;=2,"Risco de sobrepeso",IF($Q336&lt;=3,"Sobrepeso","Obesidade"))))))</f>
        <v/>
      </c>
      <c r="S336">
        <f>IF($C336="","",IF(UPPER(LEFT($C336,1))="M",1,IF(UPPER(LEFT($C336,1))="F",2,"")))</f>
        <v/>
      </c>
      <c r="T336">
        <f>IF(OR($D336="",$E336=""),"",DATEDIF($D336,$E336,"m"))</f>
        <v/>
      </c>
      <c r="U336">
        <f>IF(OR($D336="",$E336=""),"",$E336-$D336)</f>
        <v/>
      </c>
      <c r="V336">
        <f>IF(OR($G336="",$T336=""),"",IF($T336&lt;24,IF(LEFT(LOWER($H336),4)="em p",$G336+0.7,$G336),IF(LEFT(LOWER($H336),4)="deit",$G336-0.7,$G336)))</f>
        <v/>
      </c>
      <c r="W336">
        <f>IF(OR($S336="",$T336=""),"",$S336*1000000+IF($T336&lt;=60,$U336,$T336))</f>
        <v/>
      </c>
      <c r="X336">
        <f>IF(OR($S336="",$V336="",$T336&gt;60,$T336=""),"",$S336*1000000+ROUND($V336*10,0))</f>
        <v/>
      </c>
      <c r="Y336">
        <f>IF($W336="","",IFERROR(INDEX(IF($T336&lt;=60,imc05_l,imc519_l),MATCH($W336,IF($T336&lt;=60,imc05_k,imc519_k),1)),""))</f>
        <v/>
      </c>
      <c r="Z336">
        <f>IF($W336="","",IFERROR(INDEX(IF($T336&lt;=60,imc05_m,imc519_m),MATCH($W336,IF($T336&lt;=60,imc05_k,imc519_k),1)),""))</f>
        <v/>
      </c>
      <c r="AA336">
        <f>IF($W336="","",IFERROR(INDEX(IF($T336&lt;=60,imc05_s,imc519_s),MATCH($W336,IF($T336&lt;=60,imc05_k,imc519_k),1)),""))</f>
        <v/>
      </c>
      <c r="AB336">
        <f>IF($Y336="","",IF($Y336=0,LN($J336/$Z336)/$AA336,((($J336/$Z336)^$Y336)-1)/($Y336*$AA336)))</f>
        <v/>
      </c>
      <c r="AC336">
        <f>IF($Y336="","",IF($Y336=0,$Z336*EXP($AA336*2),$Z336*(1+$Y336*$AA336*2)^(1/$Y336)))</f>
        <v/>
      </c>
      <c r="AD336">
        <f>IF($Y336="","",IF($Y336=0,$Z336*EXP($AA336*3),$Z336*(1+$Y336*$AA336*3)^(1/$Y336)))</f>
        <v/>
      </c>
      <c r="AE336">
        <f>IF($Y336="","",IF($Y336=0,$Z336*EXP($AA336*-2),$Z336*(1+$Y336*$AA336*-2)^(1/$Y336)))</f>
        <v/>
      </c>
      <c r="AF336">
        <f>IF($Y336="","",IF($Y336=0,$Z336*EXP($AA336*-3),$Z336*(1+$Y336*$AA336*-3)^(1/$Y336)))</f>
        <v/>
      </c>
      <c r="AG336">
        <f>IF($W336="","",IFERROR(INDEX(IF($T336&lt;=60,est05_l,est519_l),MATCH($W336,IF($T336&lt;=60,est05_k,est519_k),1)),""))</f>
        <v/>
      </c>
      <c r="AH336">
        <f>IF($W336="","",IFERROR(INDEX(IF($T336&lt;=60,est05_m,est519_m),MATCH($W336,IF($T336&lt;=60,est05_k,est519_k),1)),""))</f>
        <v/>
      </c>
      <c r="AI336">
        <f>IF($W336="","",IFERROR(INDEX(IF($T336&lt;=60,est05_s,est519_s),MATCH($W336,IF($T336&lt;=60,est05_k,est519_k),1)),""))</f>
        <v/>
      </c>
      <c r="AJ336">
        <f>IF($W336="","",IFERROR(INDEX(IF($T336&lt;=60,peso05_l,peso510_l),MATCH($W336,IF($T336&lt;=60,peso05_k,peso510_k),1)),""))</f>
        <v/>
      </c>
      <c r="AK336">
        <f>IF($W336="","",IFERROR(INDEX(IF($T336&lt;=60,peso05_m,peso510_m),MATCH($W336,IF($T336&lt;=60,peso05_k,peso510_k),1)),""))</f>
        <v/>
      </c>
      <c r="AL336">
        <f>IF($W336="","",IFERROR(INDEX(IF($T336&lt;=60,peso05_s,peso510_s),MATCH($W336,IF($T336&lt;=60,peso05_k,peso510_k),1)),""))</f>
        <v/>
      </c>
      <c r="AM336">
        <f>IF($AJ336="","",IF($AJ336=0,LN($F336/$AK336)/$AL336,((($F336/$AK336)^$AJ336)-1)/($AJ336*$AL336)))</f>
        <v/>
      </c>
      <c r="AN336">
        <f>IF($AJ336="","",IF($AJ336=0,$AK336*EXP($AL336*2),$AK336*(1+$AJ336*$AL336*2)^(1/$AJ336)))</f>
        <v/>
      </c>
      <c r="AO336">
        <f>IF($AJ336="","",IF($AJ336=0,$AK336*EXP($AL336*3),$AK336*(1+$AJ336*$AL336*3)^(1/$AJ336)))</f>
        <v/>
      </c>
      <c r="AP336">
        <f>IF($AJ336="","",IF($AJ336=0,$AK336*EXP($AL336*-2),$AK336*(1+$AJ336*$AL336*-2)^(1/$AJ336)))</f>
        <v/>
      </c>
      <c r="AQ336">
        <f>IF($AJ336="","",IF($AJ336=0,$AK336*EXP($AL336*-3),$AK336*(1+$AJ336*$AL336*-3)^(1/$AJ336)))</f>
        <v/>
      </c>
      <c r="AR336">
        <f>IF(OR($X336="",$T336&gt;60),"",IFERROR(INDEX(IF($T336&lt;24,pcomp_l,palt_l),MATCH($X336,IF($T336&lt;24,pcomp_k,palt_k),1)),""))</f>
        <v/>
      </c>
      <c r="AS336">
        <f>IF(OR($X336="",$T336&gt;60),"",IFERROR(INDEX(IF($T336&lt;24,pcomp_m,palt_m),MATCH($X336,IF($T336&lt;24,pcomp_k,palt_k),1)),""))</f>
        <v/>
      </c>
      <c r="AT336">
        <f>IF(OR($X336="",$T336&gt;60),"",IFERROR(INDEX(IF($T336&lt;24,pcomp_s,palt_s),MATCH($X336,IF($T336&lt;24,pcomp_k,palt_k),1)),""))</f>
        <v/>
      </c>
      <c r="AU336">
        <f>IF($AR336="","",IF($AR336=0,LN($F336/$AS336)/$AT336,((($F336/$AS336)^$AR336)-1)/($AR336*$AT336)))</f>
        <v/>
      </c>
      <c r="AV336">
        <f>IF($AR336="","",IF($AR336=0,$AS336*EXP($AT336*2),$AS336*(1+$AR336*$AT336*2)^(1/$AR336)))</f>
        <v/>
      </c>
      <c r="AW336">
        <f>IF($AR336="","",IF($AR336=0,$AS336*EXP($AT336*3),$AS336*(1+$AR336*$AT336*3)^(1/$AR336)))</f>
        <v/>
      </c>
      <c r="AX336">
        <f>IF($AR336="","",IF($AR336=0,$AS336*EXP($AT336*-2),$AS336*(1+$AR336*$AT336*-2)^(1/$AR336)))</f>
        <v/>
      </c>
      <c r="AY336">
        <f>IF($AR336="","",IF($AR336=0,$AS336*EXP($AT336*-3),$AS336*(1+$AR336*$AT336*-3)^(1/$AR336)))</f>
        <v/>
      </c>
      <c r="AZ336">
        <f>IF(OR($A336="",$A336&lt;&gt;Ficha!$C$4),"",COUNTIF($A$2:$A336,Ficha!$C$4))</f>
        <v/>
      </c>
    </row>
    <row r="337">
      <c r="A337" s="8">
        <f>IF(INDEX(Banco!$A:$A,ROW())="","",INDEX(Banco!$A:$A,ROW()))</f>
        <v/>
      </c>
      <c r="B337" s="8">
        <f>IF(INDEX(Banco!$B:$B,ROW())="","",INDEX(Banco!$B:$B,ROW()))</f>
        <v/>
      </c>
      <c r="C337" s="8">
        <f>IF(INDEX(Banco!$C:$C,ROW())="","",INDEX(Banco!$C:$C,ROW()))</f>
        <v/>
      </c>
      <c r="D337" s="9">
        <f>IF(INDEX(Banco!$D:$D,ROW())="","",INDEX(Banco!$D:$D,ROW()))</f>
        <v/>
      </c>
      <c r="E337" s="9">
        <f>IF(INDEX(Banco!$E:$E,ROW())="","",INDEX(Banco!$E:$E,ROW()))</f>
        <v/>
      </c>
      <c r="F337" s="10">
        <f>IF(INDEX(Banco!$F:$F,ROW())="","",INDEX(Banco!$F:$F,ROW()))</f>
        <v/>
      </c>
      <c r="G337" s="10">
        <f>IF(INDEX(Banco!$G:$G,ROW())="","",INDEX(Banco!$G:$G,ROW()))</f>
        <v/>
      </c>
      <c r="H337" s="8">
        <f>IF(INDEX(Banco!$H:$H,ROW())="","",INDEX(Banco!$H:$H,ROW()))</f>
        <v/>
      </c>
      <c r="I337">
        <f>IF($T337="","",INT($T337/12)&amp;"a "&amp;MOD($T337,12)&amp;"m")</f>
        <v/>
      </c>
      <c r="J337" s="11">
        <f>IF(OR($F337="",$G337=""),"",ROUND($F337/($G337/100)^2,2))</f>
        <v/>
      </c>
      <c r="K337" s="12">
        <f>IF(OR($S337="",$J337="",$T337="",$T337&lt;0,$T337&gt;228,$Y337=""),"—",ROUND(IF(ABS($AB337)&lt;=3,$AB337,IF($AB337&gt;3,3+($J337-$AD337)/($AD337-$AC337),-3+($J337-$AF337)/($AE337-$AF337))),2))</f>
        <v/>
      </c>
      <c r="L337">
        <f>IF(OR($K337="",$K337="—"),"",IF($T337&lt;=60,IF($K337&lt;-3,"Magreza acentuada",IF($K337&lt;-2,"Magreza",IF($K337&lt;=1,"Eutrofia",IF($K337&lt;=2,"Risco de sobrepeso",IF($K337&lt;=3,"Sobrepeso","Obesidade"))))),IF($K337&lt;-3,"Magreza acentuada",IF($K337&lt;-2,"Magreza",IF($K337&lt;=1,"Eutrofia",IF($K337&lt;=2,"Sobrepeso",IF($K337&lt;=3,"Obesidade","Obesidade grave")))))))</f>
        <v/>
      </c>
      <c r="M337" s="12">
        <f>IF(OR($S337="",$V337="",$T337="",$T337&lt;0,$T337&gt;228,$AG337=""),"—",ROUND(IF($AG337=0,LN($V337/$AH337)/$AI337,((($V337/$AH337)^$AG337)-1)/($AG337*$AI337)),2))</f>
        <v/>
      </c>
      <c r="N337">
        <f>IF(OR($M337="",$M337="—"),"",IF($M337&lt;-3,"Muito baixa",IF($M337&lt;-2,"Baixa","Adequada")))</f>
        <v/>
      </c>
      <c r="O337" s="12">
        <f>IF(OR($S337="",$F337="",$T337="",$T337&lt;0,$T337&gt;120,$AJ337=""),"—",ROUND(IF(ABS($AM337)&lt;=3,$AM337,IF($AM337&gt;3,3+($F337-$AO337)/($AO337-$AN337),-3+($F337-$AQ337)/($AP337-$AQ337))),2))</f>
        <v/>
      </c>
      <c r="P337">
        <f>IF(OR($O337="",$O337="—"),"",IF($O337&lt;-3,"Muito baixo",IF($O337&lt;-2,"Baixo",IF($O337&lt;=2,"Adequado","Elevado"))))</f>
        <v/>
      </c>
      <c r="Q337" s="12">
        <f>IF(OR($S337="",$F337="",$T337="",$T337&lt;0,$T337&gt;60,$AR337=""),"—",ROUND(IF(ABS($AU337)&lt;=3,$AU337,IF($AU337&gt;3,3+($F337-$AW337)/($AW337-$AV337),-3+($F337-$AY337)/($AX337-$AY337))),2))</f>
        <v/>
      </c>
      <c r="R337">
        <f>IF(OR($Q337="",$Q337="—"),"",IF($Q337&lt;-3,"Magreza acentuada",IF($Q337&lt;-2,"Magreza",IF($Q337&lt;=1,"Eutrofia",IF($Q337&lt;=2,"Risco de sobrepeso",IF($Q337&lt;=3,"Sobrepeso","Obesidade"))))))</f>
        <v/>
      </c>
      <c r="S337">
        <f>IF($C337="","",IF(UPPER(LEFT($C337,1))="M",1,IF(UPPER(LEFT($C337,1))="F",2,"")))</f>
        <v/>
      </c>
      <c r="T337">
        <f>IF(OR($D337="",$E337=""),"",DATEDIF($D337,$E337,"m"))</f>
        <v/>
      </c>
      <c r="U337">
        <f>IF(OR($D337="",$E337=""),"",$E337-$D337)</f>
        <v/>
      </c>
      <c r="V337">
        <f>IF(OR($G337="",$T337=""),"",IF($T337&lt;24,IF(LEFT(LOWER($H337),4)="em p",$G337+0.7,$G337),IF(LEFT(LOWER($H337),4)="deit",$G337-0.7,$G337)))</f>
        <v/>
      </c>
      <c r="W337">
        <f>IF(OR($S337="",$T337=""),"",$S337*1000000+IF($T337&lt;=60,$U337,$T337))</f>
        <v/>
      </c>
      <c r="X337">
        <f>IF(OR($S337="",$V337="",$T337&gt;60,$T337=""),"",$S337*1000000+ROUND($V337*10,0))</f>
        <v/>
      </c>
      <c r="Y337">
        <f>IF($W337="","",IFERROR(INDEX(IF($T337&lt;=60,imc05_l,imc519_l),MATCH($W337,IF($T337&lt;=60,imc05_k,imc519_k),1)),""))</f>
        <v/>
      </c>
      <c r="Z337">
        <f>IF($W337="","",IFERROR(INDEX(IF($T337&lt;=60,imc05_m,imc519_m),MATCH($W337,IF($T337&lt;=60,imc05_k,imc519_k),1)),""))</f>
        <v/>
      </c>
      <c r="AA337">
        <f>IF($W337="","",IFERROR(INDEX(IF($T337&lt;=60,imc05_s,imc519_s),MATCH($W337,IF($T337&lt;=60,imc05_k,imc519_k),1)),""))</f>
        <v/>
      </c>
      <c r="AB337">
        <f>IF($Y337="","",IF($Y337=0,LN($J337/$Z337)/$AA337,((($J337/$Z337)^$Y337)-1)/($Y337*$AA337)))</f>
        <v/>
      </c>
      <c r="AC337">
        <f>IF($Y337="","",IF($Y337=0,$Z337*EXP($AA337*2),$Z337*(1+$Y337*$AA337*2)^(1/$Y337)))</f>
        <v/>
      </c>
      <c r="AD337">
        <f>IF($Y337="","",IF($Y337=0,$Z337*EXP($AA337*3),$Z337*(1+$Y337*$AA337*3)^(1/$Y337)))</f>
        <v/>
      </c>
      <c r="AE337">
        <f>IF($Y337="","",IF($Y337=0,$Z337*EXP($AA337*-2),$Z337*(1+$Y337*$AA337*-2)^(1/$Y337)))</f>
        <v/>
      </c>
      <c r="AF337">
        <f>IF($Y337="","",IF($Y337=0,$Z337*EXP($AA337*-3),$Z337*(1+$Y337*$AA337*-3)^(1/$Y337)))</f>
        <v/>
      </c>
      <c r="AG337">
        <f>IF($W337="","",IFERROR(INDEX(IF($T337&lt;=60,est05_l,est519_l),MATCH($W337,IF($T337&lt;=60,est05_k,est519_k),1)),""))</f>
        <v/>
      </c>
      <c r="AH337">
        <f>IF($W337="","",IFERROR(INDEX(IF($T337&lt;=60,est05_m,est519_m),MATCH($W337,IF($T337&lt;=60,est05_k,est519_k),1)),""))</f>
        <v/>
      </c>
      <c r="AI337">
        <f>IF($W337="","",IFERROR(INDEX(IF($T337&lt;=60,est05_s,est519_s),MATCH($W337,IF($T337&lt;=60,est05_k,est519_k),1)),""))</f>
        <v/>
      </c>
      <c r="AJ337">
        <f>IF($W337="","",IFERROR(INDEX(IF($T337&lt;=60,peso05_l,peso510_l),MATCH($W337,IF($T337&lt;=60,peso05_k,peso510_k),1)),""))</f>
        <v/>
      </c>
      <c r="AK337">
        <f>IF($W337="","",IFERROR(INDEX(IF($T337&lt;=60,peso05_m,peso510_m),MATCH($W337,IF($T337&lt;=60,peso05_k,peso510_k),1)),""))</f>
        <v/>
      </c>
      <c r="AL337">
        <f>IF($W337="","",IFERROR(INDEX(IF($T337&lt;=60,peso05_s,peso510_s),MATCH($W337,IF($T337&lt;=60,peso05_k,peso510_k),1)),""))</f>
        <v/>
      </c>
      <c r="AM337">
        <f>IF($AJ337="","",IF($AJ337=0,LN($F337/$AK337)/$AL337,((($F337/$AK337)^$AJ337)-1)/($AJ337*$AL337)))</f>
        <v/>
      </c>
      <c r="AN337">
        <f>IF($AJ337="","",IF($AJ337=0,$AK337*EXP($AL337*2),$AK337*(1+$AJ337*$AL337*2)^(1/$AJ337)))</f>
        <v/>
      </c>
      <c r="AO337">
        <f>IF($AJ337="","",IF($AJ337=0,$AK337*EXP($AL337*3),$AK337*(1+$AJ337*$AL337*3)^(1/$AJ337)))</f>
        <v/>
      </c>
      <c r="AP337">
        <f>IF($AJ337="","",IF($AJ337=0,$AK337*EXP($AL337*-2),$AK337*(1+$AJ337*$AL337*-2)^(1/$AJ337)))</f>
        <v/>
      </c>
      <c r="AQ337">
        <f>IF($AJ337="","",IF($AJ337=0,$AK337*EXP($AL337*-3),$AK337*(1+$AJ337*$AL337*-3)^(1/$AJ337)))</f>
        <v/>
      </c>
      <c r="AR337">
        <f>IF(OR($X337="",$T337&gt;60),"",IFERROR(INDEX(IF($T337&lt;24,pcomp_l,palt_l),MATCH($X337,IF($T337&lt;24,pcomp_k,palt_k),1)),""))</f>
        <v/>
      </c>
      <c r="AS337">
        <f>IF(OR($X337="",$T337&gt;60),"",IFERROR(INDEX(IF($T337&lt;24,pcomp_m,palt_m),MATCH($X337,IF($T337&lt;24,pcomp_k,palt_k),1)),""))</f>
        <v/>
      </c>
      <c r="AT337">
        <f>IF(OR($X337="",$T337&gt;60),"",IFERROR(INDEX(IF($T337&lt;24,pcomp_s,palt_s),MATCH($X337,IF($T337&lt;24,pcomp_k,palt_k),1)),""))</f>
        <v/>
      </c>
      <c r="AU337">
        <f>IF($AR337="","",IF($AR337=0,LN($F337/$AS337)/$AT337,((($F337/$AS337)^$AR337)-1)/($AR337*$AT337)))</f>
        <v/>
      </c>
      <c r="AV337">
        <f>IF($AR337="","",IF($AR337=0,$AS337*EXP($AT337*2),$AS337*(1+$AR337*$AT337*2)^(1/$AR337)))</f>
        <v/>
      </c>
      <c r="AW337">
        <f>IF($AR337="","",IF($AR337=0,$AS337*EXP($AT337*3),$AS337*(1+$AR337*$AT337*3)^(1/$AR337)))</f>
        <v/>
      </c>
      <c r="AX337">
        <f>IF($AR337="","",IF($AR337=0,$AS337*EXP($AT337*-2),$AS337*(1+$AR337*$AT337*-2)^(1/$AR337)))</f>
        <v/>
      </c>
      <c r="AY337">
        <f>IF($AR337="","",IF($AR337=0,$AS337*EXP($AT337*-3),$AS337*(1+$AR337*$AT337*-3)^(1/$AR337)))</f>
        <v/>
      </c>
      <c r="AZ337">
        <f>IF(OR($A337="",$A337&lt;&gt;Ficha!$C$4),"",COUNTIF($A$2:$A337,Ficha!$C$4))</f>
        <v/>
      </c>
    </row>
    <row r="338">
      <c r="A338" s="8">
        <f>IF(INDEX(Banco!$A:$A,ROW())="","",INDEX(Banco!$A:$A,ROW()))</f>
        <v/>
      </c>
      <c r="B338" s="8">
        <f>IF(INDEX(Banco!$B:$B,ROW())="","",INDEX(Banco!$B:$B,ROW()))</f>
        <v/>
      </c>
      <c r="C338" s="8">
        <f>IF(INDEX(Banco!$C:$C,ROW())="","",INDEX(Banco!$C:$C,ROW()))</f>
        <v/>
      </c>
      <c r="D338" s="9">
        <f>IF(INDEX(Banco!$D:$D,ROW())="","",INDEX(Banco!$D:$D,ROW()))</f>
        <v/>
      </c>
      <c r="E338" s="9">
        <f>IF(INDEX(Banco!$E:$E,ROW())="","",INDEX(Banco!$E:$E,ROW()))</f>
        <v/>
      </c>
      <c r="F338" s="10">
        <f>IF(INDEX(Banco!$F:$F,ROW())="","",INDEX(Banco!$F:$F,ROW()))</f>
        <v/>
      </c>
      <c r="G338" s="10">
        <f>IF(INDEX(Banco!$G:$G,ROW())="","",INDEX(Banco!$G:$G,ROW()))</f>
        <v/>
      </c>
      <c r="H338" s="8">
        <f>IF(INDEX(Banco!$H:$H,ROW())="","",INDEX(Banco!$H:$H,ROW()))</f>
        <v/>
      </c>
      <c r="I338">
        <f>IF($T338="","",INT($T338/12)&amp;"a "&amp;MOD($T338,12)&amp;"m")</f>
        <v/>
      </c>
      <c r="J338" s="11">
        <f>IF(OR($F338="",$G338=""),"",ROUND($F338/($G338/100)^2,2))</f>
        <v/>
      </c>
      <c r="K338" s="12">
        <f>IF(OR($S338="",$J338="",$T338="",$T338&lt;0,$T338&gt;228,$Y338=""),"—",ROUND(IF(ABS($AB338)&lt;=3,$AB338,IF($AB338&gt;3,3+($J338-$AD338)/($AD338-$AC338),-3+($J338-$AF338)/($AE338-$AF338))),2))</f>
        <v/>
      </c>
      <c r="L338">
        <f>IF(OR($K338="",$K338="—"),"",IF($T338&lt;=60,IF($K338&lt;-3,"Magreza acentuada",IF($K338&lt;-2,"Magreza",IF($K338&lt;=1,"Eutrofia",IF($K338&lt;=2,"Risco de sobrepeso",IF($K338&lt;=3,"Sobrepeso","Obesidade"))))),IF($K338&lt;-3,"Magreza acentuada",IF($K338&lt;-2,"Magreza",IF($K338&lt;=1,"Eutrofia",IF($K338&lt;=2,"Sobrepeso",IF($K338&lt;=3,"Obesidade","Obesidade grave")))))))</f>
        <v/>
      </c>
      <c r="M338" s="12">
        <f>IF(OR($S338="",$V338="",$T338="",$T338&lt;0,$T338&gt;228,$AG338=""),"—",ROUND(IF($AG338=0,LN($V338/$AH338)/$AI338,((($V338/$AH338)^$AG338)-1)/($AG338*$AI338)),2))</f>
        <v/>
      </c>
      <c r="N338">
        <f>IF(OR($M338="",$M338="—"),"",IF($M338&lt;-3,"Muito baixa",IF($M338&lt;-2,"Baixa","Adequada")))</f>
        <v/>
      </c>
      <c r="O338" s="12">
        <f>IF(OR($S338="",$F338="",$T338="",$T338&lt;0,$T338&gt;120,$AJ338=""),"—",ROUND(IF(ABS($AM338)&lt;=3,$AM338,IF($AM338&gt;3,3+($F338-$AO338)/($AO338-$AN338),-3+($F338-$AQ338)/($AP338-$AQ338))),2))</f>
        <v/>
      </c>
      <c r="P338">
        <f>IF(OR($O338="",$O338="—"),"",IF($O338&lt;-3,"Muito baixo",IF($O338&lt;-2,"Baixo",IF($O338&lt;=2,"Adequado","Elevado"))))</f>
        <v/>
      </c>
      <c r="Q338" s="12">
        <f>IF(OR($S338="",$F338="",$T338="",$T338&lt;0,$T338&gt;60,$AR338=""),"—",ROUND(IF(ABS($AU338)&lt;=3,$AU338,IF($AU338&gt;3,3+($F338-$AW338)/($AW338-$AV338),-3+($F338-$AY338)/($AX338-$AY338))),2))</f>
        <v/>
      </c>
      <c r="R338">
        <f>IF(OR($Q338="",$Q338="—"),"",IF($Q338&lt;-3,"Magreza acentuada",IF($Q338&lt;-2,"Magreza",IF($Q338&lt;=1,"Eutrofia",IF($Q338&lt;=2,"Risco de sobrepeso",IF($Q338&lt;=3,"Sobrepeso","Obesidade"))))))</f>
        <v/>
      </c>
      <c r="S338">
        <f>IF($C338="","",IF(UPPER(LEFT($C338,1))="M",1,IF(UPPER(LEFT($C338,1))="F",2,"")))</f>
        <v/>
      </c>
      <c r="T338">
        <f>IF(OR($D338="",$E338=""),"",DATEDIF($D338,$E338,"m"))</f>
        <v/>
      </c>
      <c r="U338">
        <f>IF(OR($D338="",$E338=""),"",$E338-$D338)</f>
        <v/>
      </c>
      <c r="V338">
        <f>IF(OR($G338="",$T338=""),"",IF($T338&lt;24,IF(LEFT(LOWER($H338),4)="em p",$G338+0.7,$G338),IF(LEFT(LOWER($H338),4)="deit",$G338-0.7,$G338)))</f>
        <v/>
      </c>
      <c r="W338">
        <f>IF(OR($S338="",$T338=""),"",$S338*1000000+IF($T338&lt;=60,$U338,$T338))</f>
        <v/>
      </c>
      <c r="X338">
        <f>IF(OR($S338="",$V338="",$T338&gt;60,$T338=""),"",$S338*1000000+ROUND($V338*10,0))</f>
        <v/>
      </c>
      <c r="Y338">
        <f>IF($W338="","",IFERROR(INDEX(IF($T338&lt;=60,imc05_l,imc519_l),MATCH($W338,IF($T338&lt;=60,imc05_k,imc519_k),1)),""))</f>
        <v/>
      </c>
      <c r="Z338">
        <f>IF($W338="","",IFERROR(INDEX(IF($T338&lt;=60,imc05_m,imc519_m),MATCH($W338,IF($T338&lt;=60,imc05_k,imc519_k),1)),""))</f>
        <v/>
      </c>
      <c r="AA338">
        <f>IF($W338="","",IFERROR(INDEX(IF($T338&lt;=60,imc05_s,imc519_s),MATCH($W338,IF($T338&lt;=60,imc05_k,imc519_k),1)),""))</f>
        <v/>
      </c>
      <c r="AB338">
        <f>IF($Y338="","",IF($Y338=0,LN($J338/$Z338)/$AA338,((($J338/$Z338)^$Y338)-1)/($Y338*$AA338)))</f>
        <v/>
      </c>
      <c r="AC338">
        <f>IF($Y338="","",IF($Y338=0,$Z338*EXP($AA338*2),$Z338*(1+$Y338*$AA338*2)^(1/$Y338)))</f>
        <v/>
      </c>
      <c r="AD338">
        <f>IF($Y338="","",IF($Y338=0,$Z338*EXP($AA338*3),$Z338*(1+$Y338*$AA338*3)^(1/$Y338)))</f>
        <v/>
      </c>
      <c r="AE338">
        <f>IF($Y338="","",IF($Y338=0,$Z338*EXP($AA338*-2),$Z338*(1+$Y338*$AA338*-2)^(1/$Y338)))</f>
        <v/>
      </c>
      <c r="AF338">
        <f>IF($Y338="","",IF($Y338=0,$Z338*EXP($AA338*-3),$Z338*(1+$Y338*$AA338*-3)^(1/$Y338)))</f>
        <v/>
      </c>
      <c r="AG338">
        <f>IF($W338="","",IFERROR(INDEX(IF($T338&lt;=60,est05_l,est519_l),MATCH($W338,IF($T338&lt;=60,est05_k,est519_k),1)),""))</f>
        <v/>
      </c>
      <c r="AH338">
        <f>IF($W338="","",IFERROR(INDEX(IF($T338&lt;=60,est05_m,est519_m),MATCH($W338,IF($T338&lt;=60,est05_k,est519_k),1)),""))</f>
        <v/>
      </c>
      <c r="AI338">
        <f>IF($W338="","",IFERROR(INDEX(IF($T338&lt;=60,est05_s,est519_s),MATCH($W338,IF($T338&lt;=60,est05_k,est519_k),1)),""))</f>
        <v/>
      </c>
      <c r="AJ338">
        <f>IF($W338="","",IFERROR(INDEX(IF($T338&lt;=60,peso05_l,peso510_l),MATCH($W338,IF($T338&lt;=60,peso05_k,peso510_k),1)),""))</f>
        <v/>
      </c>
      <c r="AK338">
        <f>IF($W338="","",IFERROR(INDEX(IF($T338&lt;=60,peso05_m,peso510_m),MATCH($W338,IF($T338&lt;=60,peso05_k,peso510_k),1)),""))</f>
        <v/>
      </c>
      <c r="AL338">
        <f>IF($W338="","",IFERROR(INDEX(IF($T338&lt;=60,peso05_s,peso510_s),MATCH($W338,IF($T338&lt;=60,peso05_k,peso510_k),1)),""))</f>
        <v/>
      </c>
      <c r="AM338">
        <f>IF($AJ338="","",IF($AJ338=0,LN($F338/$AK338)/$AL338,((($F338/$AK338)^$AJ338)-1)/($AJ338*$AL338)))</f>
        <v/>
      </c>
      <c r="AN338">
        <f>IF($AJ338="","",IF($AJ338=0,$AK338*EXP($AL338*2),$AK338*(1+$AJ338*$AL338*2)^(1/$AJ338)))</f>
        <v/>
      </c>
      <c r="AO338">
        <f>IF($AJ338="","",IF($AJ338=0,$AK338*EXP($AL338*3),$AK338*(1+$AJ338*$AL338*3)^(1/$AJ338)))</f>
        <v/>
      </c>
      <c r="AP338">
        <f>IF($AJ338="","",IF($AJ338=0,$AK338*EXP($AL338*-2),$AK338*(1+$AJ338*$AL338*-2)^(1/$AJ338)))</f>
        <v/>
      </c>
      <c r="AQ338">
        <f>IF($AJ338="","",IF($AJ338=0,$AK338*EXP($AL338*-3),$AK338*(1+$AJ338*$AL338*-3)^(1/$AJ338)))</f>
        <v/>
      </c>
      <c r="AR338">
        <f>IF(OR($X338="",$T338&gt;60),"",IFERROR(INDEX(IF($T338&lt;24,pcomp_l,palt_l),MATCH($X338,IF($T338&lt;24,pcomp_k,palt_k),1)),""))</f>
        <v/>
      </c>
      <c r="AS338">
        <f>IF(OR($X338="",$T338&gt;60),"",IFERROR(INDEX(IF($T338&lt;24,pcomp_m,palt_m),MATCH($X338,IF($T338&lt;24,pcomp_k,palt_k),1)),""))</f>
        <v/>
      </c>
      <c r="AT338">
        <f>IF(OR($X338="",$T338&gt;60),"",IFERROR(INDEX(IF($T338&lt;24,pcomp_s,palt_s),MATCH($X338,IF($T338&lt;24,pcomp_k,palt_k),1)),""))</f>
        <v/>
      </c>
      <c r="AU338">
        <f>IF($AR338="","",IF($AR338=0,LN($F338/$AS338)/$AT338,((($F338/$AS338)^$AR338)-1)/($AR338*$AT338)))</f>
        <v/>
      </c>
      <c r="AV338">
        <f>IF($AR338="","",IF($AR338=0,$AS338*EXP($AT338*2),$AS338*(1+$AR338*$AT338*2)^(1/$AR338)))</f>
        <v/>
      </c>
      <c r="AW338">
        <f>IF($AR338="","",IF($AR338=0,$AS338*EXP($AT338*3),$AS338*(1+$AR338*$AT338*3)^(1/$AR338)))</f>
        <v/>
      </c>
      <c r="AX338">
        <f>IF($AR338="","",IF($AR338=0,$AS338*EXP($AT338*-2),$AS338*(1+$AR338*$AT338*-2)^(1/$AR338)))</f>
        <v/>
      </c>
      <c r="AY338">
        <f>IF($AR338="","",IF($AR338=0,$AS338*EXP($AT338*-3),$AS338*(1+$AR338*$AT338*-3)^(1/$AR338)))</f>
        <v/>
      </c>
      <c r="AZ338">
        <f>IF(OR($A338="",$A338&lt;&gt;Ficha!$C$4),"",COUNTIF($A$2:$A338,Ficha!$C$4))</f>
        <v/>
      </c>
    </row>
    <row r="339">
      <c r="A339" s="8">
        <f>IF(INDEX(Banco!$A:$A,ROW())="","",INDEX(Banco!$A:$A,ROW()))</f>
        <v/>
      </c>
      <c r="B339" s="8">
        <f>IF(INDEX(Banco!$B:$B,ROW())="","",INDEX(Banco!$B:$B,ROW()))</f>
        <v/>
      </c>
      <c r="C339" s="8">
        <f>IF(INDEX(Banco!$C:$C,ROW())="","",INDEX(Banco!$C:$C,ROW()))</f>
        <v/>
      </c>
      <c r="D339" s="9">
        <f>IF(INDEX(Banco!$D:$D,ROW())="","",INDEX(Banco!$D:$D,ROW()))</f>
        <v/>
      </c>
      <c r="E339" s="9">
        <f>IF(INDEX(Banco!$E:$E,ROW())="","",INDEX(Banco!$E:$E,ROW()))</f>
        <v/>
      </c>
      <c r="F339" s="10">
        <f>IF(INDEX(Banco!$F:$F,ROW())="","",INDEX(Banco!$F:$F,ROW()))</f>
        <v/>
      </c>
      <c r="G339" s="10">
        <f>IF(INDEX(Banco!$G:$G,ROW())="","",INDEX(Banco!$G:$G,ROW()))</f>
        <v/>
      </c>
      <c r="H339" s="8">
        <f>IF(INDEX(Banco!$H:$H,ROW())="","",INDEX(Banco!$H:$H,ROW()))</f>
        <v/>
      </c>
      <c r="I339">
        <f>IF($T339="","",INT($T339/12)&amp;"a "&amp;MOD($T339,12)&amp;"m")</f>
        <v/>
      </c>
      <c r="J339" s="11">
        <f>IF(OR($F339="",$G339=""),"",ROUND($F339/($G339/100)^2,2))</f>
        <v/>
      </c>
      <c r="K339" s="12">
        <f>IF(OR($S339="",$J339="",$T339="",$T339&lt;0,$T339&gt;228,$Y339=""),"—",ROUND(IF(ABS($AB339)&lt;=3,$AB339,IF($AB339&gt;3,3+($J339-$AD339)/($AD339-$AC339),-3+($J339-$AF339)/($AE339-$AF339))),2))</f>
        <v/>
      </c>
      <c r="L339">
        <f>IF(OR($K339="",$K339="—"),"",IF($T339&lt;=60,IF($K339&lt;-3,"Magreza acentuada",IF($K339&lt;-2,"Magreza",IF($K339&lt;=1,"Eutrofia",IF($K339&lt;=2,"Risco de sobrepeso",IF($K339&lt;=3,"Sobrepeso","Obesidade"))))),IF($K339&lt;-3,"Magreza acentuada",IF($K339&lt;-2,"Magreza",IF($K339&lt;=1,"Eutrofia",IF($K339&lt;=2,"Sobrepeso",IF($K339&lt;=3,"Obesidade","Obesidade grave")))))))</f>
        <v/>
      </c>
      <c r="M339" s="12">
        <f>IF(OR($S339="",$V339="",$T339="",$T339&lt;0,$T339&gt;228,$AG339=""),"—",ROUND(IF($AG339=0,LN($V339/$AH339)/$AI339,((($V339/$AH339)^$AG339)-1)/($AG339*$AI339)),2))</f>
        <v/>
      </c>
      <c r="N339">
        <f>IF(OR($M339="",$M339="—"),"",IF($M339&lt;-3,"Muito baixa",IF($M339&lt;-2,"Baixa","Adequada")))</f>
        <v/>
      </c>
      <c r="O339" s="12">
        <f>IF(OR($S339="",$F339="",$T339="",$T339&lt;0,$T339&gt;120,$AJ339=""),"—",ROUND(IF(ABS($AM339)&lt;=3,$AM339,IF($AM339&gt;3,3+($F339-$AO339)/($AO339-$AN339),-3+($F339-$AQ339)/($AP339-$AQ339))),2))</f>
        <v/>
      </c>
      <c r="P339">
        <f>IF(OR($O339="",$O339="—"),"",IF($O339&lt;-3,"Muito baixo",IF($O339&lt;-2,"Baixo",IF($O339&lt;=2,"Adequado","Elevado"))))</f>
        <v/>
      </c>
      <c r="Q339" s="12">
        <f>IF(OR($S339="",$F339="",$T339="",$T339&lt;0,$T339&gt;60,$AR339=""),"—",ROUND(IF(ABS($AU339)&lt;=3,$AU339,IF($AU339&gt;3,3+($F339-$AW339)/($AW339-$AV339),-3+($F339-$AY339)/($AX339-$AY339))),2))</f>
        <v/>
      </c>
      <c r="R339">
        <f>IF(OR($Q339="",$Q339="—"),"",IF($Q339&lt;-3,"Magreza acentuada",IF($Q339&lt;-2,"Magreza",IF($Q339&lt;=1,"Eutrofia",IF($Q339&lt;=2,"Risco de sobrepeso",IF($Q339&lt;=3,"Sobrepeso","Obesidade"))))))</f>
        <v/>
      </c>
      <c r="S339">
        <f>IF($C339="","",IF(UPPER(LEFT($C339,1))="M",1,IF(UPPER(LEFT($C339,1))="F",2,"")))</f>
        <v/>
      </c>
      <c r="T339">
        <f>IF(OR($D339="",$E339=""),"",DATEDIF($D339,$E339,"m"))</f>
        <v/>
      </c>
      <c r="U339">
        <f>IF(OR($D339="",$E339=""),"",$E339-$D339)</f>
        <v/>
      </c>
      <c r="V339">
        <f>IF(OR($G339="",$T339=""),"",IF($T339&lt;24,IF(LEFT(LOWER($H339),4)="em p",$G339+0.7,$G339),IF(LEFT(LOWER($H339),4)="deit",$G339-0.7,$G339)))</f>
        <v/>
      </c>
      <c r="W339">
        <f>IF(OR($S339="",$T339=""),"",$S339*1000000+IF($T339&lt;=60,$U339,$T339))</f>
        <v/>
      </c>
      <c r="X339">
        <f>IF(OR($S339="",$V339="",$T339&gt;60,$T339=""),"",$S339*1000000+ROUND($V339*10,0))</f>
        <v/>
      </c>
      <c r="Y339">
        <f>IF($W339="","",IFERROR(INDEX(IF($T339&lt;=60,imc05_l,imc519_l),MATCH($W339,IF($T339&lt;=60,imc05_k,imc519_k),1)),""))</f>
        <v/>
      </c>
      <c r="Z339">
        <f>IF($W339="","",IFERROR(INDEX(IF($T339&lt;=60,imc05_m,imc519_m),MATCH($W339,IF($T339&lt;=60,imc05_k,imc519_k),1)),""))</f>
        <v/>
      </c>
      <c r="AA339">
        <f>IF($W339="","",IFERROR(INDEX(IF($T339&lt;=60,imc05_s,imc519_s),MATCH($W339,IF($T339&lt;=60,imc05_k,imc519_k),1)),""))</f>
        <v/>
      </c>
      <c r="AB339">
        <f>IF($Y339="","",IF($Y339=0,LN($J339/$Z339)/$AA339,((($J339/$Z339)^$Y339)-1)/($Y339*$AA339)))</f>
        <v/>
      </c>
      <c r="AC339">
        <f>IF($Y339="","",IF($Y339=0,$Z339*EXP($AA339*2),$Z339*(1+$Y339*$AA339*2)^(1/$Y339)))</f>
        <v/>
      </c>
      <c r="AD339">
        <f>IF($Y339="","",IF($Y339=0,$Z339*EXP($AA339*3),$Z339*(1+$Y339*$AA339*3)^(1/$Y339)))</f>
        <v/>
      </c>
      <c r="AE339">
        <f>IF($Y339="","",IF($Y339=0,$Z339*EXP($AA339*-2),$Z339*(1+$Y339*$AA339*-2)^(1/$Y339)))</f>
        <v/>
      </c>
      <c r="AF339">
        <f>IF($Y339="","",IF($Y339=0,$Z339*EXP($AA339*-3),$Z339*(1+$Y339*$AA339*-3)^(1/$Y339)))</f>
        <v/>
      </c>
      <c r="AG339">
        <f>IF($W339="","",IFERROR(INDEX(IF($T339&lt;=60,est05_l,est519_l),MATCH($W339,IF($T339&lt;=60,est05_k,est519_k),1)),""))</f>
        <v/>
      </c>
      <c r="AH339">
        <f>IF($W339="","",IFERROR(INDEX(IF($T339&lt;=60,est05_m,est519_m),MATCH($W339,IF($T339&lt;=60,est05_k,est519_k),1)),""))</f>
        <v/>
      </c>
      <c r="AI339">
        <f>IF($W339="","",IFERROR(INDEX(IF($T339&lt;=60,est05_s,est519_s),MATCH($W339,IF($T339&lt;=60,est05_k,est519_k),1)),""))</f>
        <v/>
      </c>
      <c r="AJ339">
        <f>IF($W339="","",IFERROR(INDEX(IF($T339&lt;=60,peso05_l,peso510_l),MATCH($W339,IF($T339&lt;=60,peso05_k,peso510_k),1)),""))</f>
        <v/>
      </c>
      <c r="AK339">
        <f>IF($W339="","",IFERROR(INDEX(IF($T339&lt;=60,peso05_m,peso510_m),MATCH($W339,IF($T339&lt;=60,peso05_k,peso510_k),1)),""))</f>
        <v/>
      </c>
      <c r="AL339">
        <f>IF($W339="","",IFERROR(INDEX(IF($T339&lt;=60,peso05_s,peso510_s),MATCH($W339,IF($T339&lt;=60,peso05_k,peso510_k),1)),""))</f>
        <v/>
      </c>
      <c r="AM339">
        <f>IF($AJ339="","",IF($AJ339=0,LN($F339/$AK339)/$AL339,((($F339/$AK339)^$AJ339)-1)/($AJ339*$AL339)))</f>
        <v/>
      </c>
      <c r="AN339">
        <f>IF($AJ339="","",IF($AJ339=0,$AK339*EXP($AL339*2),$AK339*(1+$AJ339*$AL339*2)^(1/$AJ339)))</f>
        <v/>
      </c>
      <c r="AO339">
        <f>IF($AJ339="","",IF($AJ339=0,$AK339*EXP($AL339*3),$AK339*(1+$AJ339*$AL339*3)^(1/$AJ339)))</f>
        <v/>
      </c>
      <c r="AP339">
        <f>IF($AJ339="","",IF($AJ339=0,$AK339*EXP($AL339*-2),$AK339*(1+$AJ339*$AL339*-2)^(1/$AJ339)))</f>
        <v/>
      </c>
      <c r="AQ339">
        <f>IF($AJ339="","",IF($AJ339=0,$AK339*EXP($AL339*-3),$AK339*(1+$AJ339*$AL339*-3)^(1/$AJ339)))</f>
        <v/>
      </c>
      <c r="AR339">
        <f>IF(OR($X339="",$T339&gt;60),"",IFERROR(INDEX(IF($T339&lt;24,pcomp_l,palt_l),MATCH($X339,IF($T339&lt;24,pcomp_k,palt_k),1)),""))</f>
        <v/>
      </c>
      <c r="AS339">
        <f>IF(OR($X339="",$T339&gt;60),"",IFERROR(INDEX(IF($T339&lt;24,pcomp_m,palt_m),MATCH($X339,IF($T339&lt;24,pcomp_k,palt_k),1)),""))</f>
        <v/>
      </c>
      <c r="AT339">
        <f>IF(OR($X339="",$T339&gt;60),"",IFERROR(INDEX(IF($T339&lt;24,pcomp_s,palt_s),MATCH($X339,IF($T339&lt;24,pcomp_k,palt_k),1)),""))</f>
        <v/>
      </c>
      <c r="AU339">
        <f>IF($AR339="","",IF($AR339=0,LN($F339/$AS339)/$AT339,((($F339/$AS339)^$AR339)-1)/($AR339*$AT339)))</f>
        <v/>
      </c>
      <c r="AV339">
        <f>IF($AR339="","",IF($AR339=0,$AS339*EXP($AT339*2),$AS339*(1+$AR339*$AT339*2)^(1/$AR339)))</f>
        <v/>
      </c>
      <c r="AW339">
        <f>IF($AR339="","",IF($AR339=0,$AS339*EXP($AT339*3),$AS339*(1+$AR339*$AT339*3)^(1/$AR339)))</f>
        <v/>
      </c>
      <c r="AX339">
        <f>IF($AR339="","",IF($AR339=0,$AS339*EXP($AT339*-2),$AS339*(1+$AR339*$AT339*-2)^(1/$AR339)))</f>
        <v/>
      </c>
      <c r="AY339">
        <f>IF($AR339="","",IF($AR339=0,$AS339*EXP($AT339*-3),$AS339*(1+$AR339*$AT339*-3)^(1/$AR339)))</f>
        <v/>
      </c>
      <c r="AZ339">
        <f>IF(OR($A339="",$A339&lt;&gt;Ficha!$C$4),"",COUNTIF($A$2:$A339,Ficha!$C$4))</f>
        <v/>
      </c>
    </row>
    <row r="340">
      <c r="A340" s="8">
        <f>IF(INDEX(Banco!$A:$A,ROW())="","",INDEX(Banco!$A:$A,ROW()))</f>
        <v/>
      </c>
      <c r="B340" s="8">
        <f>IF(INDEX(Banco!$B:$B,ROW())="","",INDEX(Banco!$B:$B,ROW()))</f>
        <v/>
      </c>
      <c r="C340" s="8">
        <f>IF(INDEX(Banco!$C:$C,ROW())="","",INDEX(Banco!$C:$C,ROW()))</f>
        <v/>
      </c>
      <c r="D340" s="9">
        <f>IF(INDEX(Banco!$D:$D,ROW())="","",INDEX(Banco!$D:$D,ROW()))</f>
        <v/>
      </c>
      <c r="E340" s="9">
        <f>IF(INDEX(Banco!$E:$E,ROW())="","",INDEX(Banco!$E:$E,ROW()))</f>
        <v/>
      </c>
      <c r="F340" s="10">
        <f>IF(INDEX(Banco!$F:$F,ROW())="","",INDEX(Banco!$F:$F,ROW()))</f>
        <v/>
      </c>
      <c r="G340" s="10">
        <f>IF(INDEX(Banco!$G:$G,ROW())="","",INDEX(Banco!$G:$G,ROW()))</f>
        <v/>
      </c>
      <c r="H340" s="8">
        <f>IF(INDEX(Banco!$H:$H,ROW())="","",INDEX(Banco!$H:$H,ROW()))</f>
        <v/>
      </c>
      <c r="I340">
        <f>IF($T340="","",INT($T340/12)&amp;"a "&amp;MOD($T340,12)&amp;"m")</f>
        <v/>
      </c>
      <c r="J340" s="11">
        <f>IF(OR($F340="",$G340=""),"",ROUND($F340/($G340/100)^2,2))</f>
        <v/>
      </c>
      <c r="K340" s="12">
        <f>IF(OR($S340="",$J340="",$T340="",$T340&lt;0,$T340&gt;228,$Y340=""),"—",ROUND(IF(ABS($AB340)&lt;=3,$AB340,IF($AB340&gt;3,3+($J340-$AD340)/($AD340-$AC340),-3+($J340-$AF340)/($AE340-$AF340))),2))</f>
        <v/>
      </c>
      <c r="L340">
        <f>IF(OR($K340="",$K340="—"),"",IF($T340&lt;=60,IF($K340&lt;-3,"Magreza acentuada",IF($K340&lt;-2,"Magreza",IF($K340&lt;=1,"Eutrofia",IF($K340&lt;=2,"Risco de sobrepeso",IF($K340&lt;=3,"Sobrepeso","Obesidade"))))),IF($K340&lt;-3,"Magreza acentuada",IF($K340&lt;-2,"Magreza",IF($K340&lt;=1,"Eutrofia",IF($K340&lt;=2,"Sobrepeso",IF($K340&lt;=3,"Obesidade","Obesidade grave")))))))</f>
        <v/>
      </c>
      <c r="M340" s="12">
        <f>IF(OR($S340="",$V340="",$T340="",$T340&lt;0,$T340&gt;228,$AG340=""),"—",ROUND(IF($AG340=0,LN($V340/$AH340)/$AI340,((($V340/$AH340)^$AG340)-1)/($AG340*$AI340)),2))</f>
        <v/>
      </c>
      <c r="N340">
        <f>IF(OR($M340="",$M340="—"),"",IF($M340&lt;-3,"Muito baixa",IF($M340&lt;-2,"Baixa","Adequada")))</f>
        <v/>
      </c>
      <c r="O340" s="12">
        <f>IF(OR($S340="",$F340="",$T340="",$T340&lt;0,$T340&gt;120,$AJ340=""),"—",ROUND(IF(ABS($AM340)&lt;=3,$AM340,IF($AM340&gt;3,3+($F340-$AO340)/($AO340-$AN340),-3+($F340-$AQ340)/($AP340-$AQ340))),2))</f>
        <v/>
      </c>
      <c r="P340">
        <f>IF(OR($O340="",$O340="—"),"",IF($O340&lt;-3,"Muito baixo",IF($O340&lt;-2,"Baixo",IF($O340&lt;=2,"Adequado","Elevado"))))</f>
        <v/>
      </c>
      <c r="Q340" s="12">
        <f>IF(OR($S340="",$F340="",$T340="",$T340&lt;0,$T340&gt;60,$AR340=""),"—",ROUND(IF(ABS($AU340)&lt;=3,$AU340,IF($AU340&gt;3,3+($F340-$AW340)/($AW340-$AV340),-3+($F340-$AY340)/($AX340-$AY340))),2))</f>
        <v/>
      </c>
      <c r="R340">
        <f>IF(OR($Q340="",$Q340="—"),"",IF($Q340&lt;-3,"Magreza acentuada",IF($Q340&lt;-2,"Magreza",IF($Q340&lt;=1,"Eutrofia",IF($Q340&lt;=2,"Risco de sobrepeso",IF($Q340&lt;=3,"Sobrepeso","Obesidade"))))))</f>
        <v/>
      </c>
      <c r="S340">
        <f>IF($C340="","",IF(UPPER(LEFT($C340,1))="M",1,IF(UPPER(LEFT($C340,1))="F",2,"")))</f>
        <v/>
      </c>
      <c r="T340">
        <f>IF(OR($D340="",$E340=""),"",DATEDIF($D340,$E340,"m"))</f>
        <v/>
      </c>
      <c r="U340">
        <f>IF(OR($D340="",$E340=""),"",$E340-$D340)</f>
        <v/>
      </c>
      <c r="V340">
        <f>IF(OR($G340="",$T340=""),"",IF($T340&lt;24,IF(LEFT(LOWER($H340),4)="em p",$G340+0.7,$G340),IF(LEFT(LOWER($H340),4)="deit",$G340-0.7,$G340)))</f>
        <v/>
      </c>
      <c r="W340">
        <f>IF(OR($S340="",$T340=""),"",$S340*1000000+IF($T340&lt;=60,$U340,$T340))</f>
        <v/>
      </c>
      <c r="X340">
        <f>IF(OR($S340="",$V340="",$T340&gt;60,$T340=""),"",$S340*1000000+ROUND($V340*10,0))</f>
        <v/>
      </c>
      <c r="Y340">
        <f>IF($W340="","",IFERROR(INDEX(IF($T340&lt;=60,imc05_l,imc519_l),MATCH($W340,IF($T340&lt;=60,imc05_k,imc519_k),1)),""))</f>
        <v/>
      </c>
      <c r="Z340">
        <f>IF($W340="","",IFERROR(INDEX(IF($T340&lt;=60,imc05_m,imc519_m),MATCH($W340,IF($T340&lt;=60,imc05_k,imc519_k),1)),""))</f>
        <v/>
      </c>
      <c r="AA340">
        <f>IF($W340="","",IFERROR(INDEX(IF($T340&lt;=60,imc05_s,imc519_s),MATCH($W340,IF($T340&lt;=60,imc05_k,imc519_k),1)),""))</f>
        <v/>
      </c>
      <c r="AB340">
        <f>IF($Y340="","",IF($Y340=0,LN($J340/$Z340)/$AA340,((($J340/$Z340)^$Y340)-1)/($Y340*$AA340)))</f>
        <v/>
      </c>
      <c r="AC340">
        <f>IF($Y340="","",IF($Y340=0,$Z340*EXP($AA340*2),$Z340*(1+$Y340*$AA340*2)^(1/$Y340)))</f>
        <v/>
      </c>
      <c r="AD340">
        <f>IF($Y340="","",IF($Y340=0,$Z340*EXP($AA340*3),$Z340*(1+$Y340*$AA340*3)^(1/$Y340)))</f>
        <v/>
      </c>
      <c r="AE340">
        <f>IF($Y340="","",IF($Y340=0,$Z340*EXP($AA340*-2),$Z340*(1+$Y340*$AA340*-2)^(1/$Y340)))</f>
        <v/>
      </c>
      <c r="AF340">
        <f>IF($Y340="","",IF($Y340=0,$Z340*EXP($AA340*-3),$Z340*(1+$Y340*$AA340*-3)^(1/$Y340)))</f>
        <v/>
      </c>
      <c r="AG340">
        <f>IF($W340="","",IFERROR(INDEX(IF($T340&lt;=60,est05_l,est519_l),MATCH($W340,IF($T340&lt;=60,est05_k,est519_k),1)),""))</f>
        <v/>
      </c>
      <c r="AH340">
        <f>IF($W340="","",IFERROR(INDEX(IF($T340&lt;=60,est05_m,est519_m),MATCH($W340,IF($T340&lt;=60,est05_k,est519_k),1)),""))</f>
        <v/>
      </c>
      <c r="AI340">
        <f>IF($W340="","",IFERROR(INDEX(IF($T340&lt;=60,est05_s,est519_s),MATCH($W340,IF($T340&lt;=60,est05_k,est519_k),1)),""))</f>
        <v/>
      </c>
      <c r="AJ340">
        <f>IF($W340="","",IFERROR(INDEX(IF($T340&lt;=60,peso05_l,peso510_l),MATCH($W340,IF($T340&lt;=60,peso05_k,peso510_k),1)),""))</f>
        <v/>
      </c>
      <c r="AK340">
        <f>IF($W340="","",IFERROR(INDEX(IF($T340&lt;=60,peso05_m,peso510_m),MATCH($W340,IF($T340&lt;=60,peso05_k,peso510_k),1)),""))</f>
        <v/>
      </c>
      <c r="AL340">
        <f>IF($W340="","",IFERROR(INDEX(IF($T340&lt;=60,peso05_s,peso510_s),MATCH($W340,IF($T340&lt;=60,peso05_k,peso510_k),1)),""))</f>
        <v/>
      </c>
      <c r="AM340">
        <f>IF($AJ340="","",IF($AJ340=0,LN($F340/$AK340)/$AL340,((($F340/$AK340)^$AJ340)-1)/($AJ340*$AL340)))</f>
        <v/>
      </c>
      <c r="AN340">
        <f>IF($AJ340="","",IF($AJ340=0,$AK340*EXP($AL340*2),$AK340*(1+$AJ340*$AL340*2)^(1/$AJ340)))</f>
        <v/>
      </c>
      <c r="AO340">
        <f>IF($AJ340="","",IF($AJ340=0,$AK340*EXP($AL340*3),$AK340*(1+$AJ340*$AL340*3)^(1/$AJ340)))</f>
        <v/>
      </c>
      <c r="AP340">
        <f>IF($AJ340="","",IF($AJ340=0,$AK340*EXP($AL340*-2),$AK340*(1+$AJ340*$AL340*-2)^(1/$AJ340)))</f>
        <v/>
      </c>
      <c r="AQ340">
        <f>IF($AJ340="","",IF($AJ340=0,$AK340*EXP($AL340*-3),$AK340*(1+$AJ340*$AL340*-3)^(1/$AJ340)))</f>
        <v/>
      </c>
      <c r="AR340">
        <f>IF(OR($X340="",$T340&gt;60),"",IFERROR(INDEX(IF($T340&lt;24,pcomp_l,palt_l),MATCH($X340,IF($T340&lt;24,pcomp_k,palt_k),1)),""))</f>
        <v/>
      </c>
      <c r="AS340">
        <f>IF(OR($X340="",$T340&gt;60),"",IFERROR(INDEX(IF($T340&lt;24,pcomp_m,palt_m),MATCH($X340,IF($T340&lt;24,pcomp_k,palt_k),1)),""))</f>
        <v/>
      </c>
      <c r="AT340">
        <f>IF(OR($X340="",$T340&gt;60),"",IFERROR(INDEX(IF($T340&lt;24,pcomp_s,palt_s),MATCH($X340,IF($T340&lt;24,pcomp_k,palt_k),1)),""))</f>
        <v/>
      </c>
      <c r="AU340">
        <f>IF($AR340="","",IF($AR340=0,LN($F340/$AS340)/$AT340,((($F340/$AS340)^$AR340)-1)/($AR340*$AT340)))</f>
        <v/>
      </c>
      <c r="AV340">
        <f>IF($AR340="","",IF($AR340=0,$AS340*EXP($AT340*2),$AS340*(1+$AR340*$AT340*2)^(1/$AR340)))</f>
        <v/>
      </c>
      <c r="AW340">
        <f>IF($AR340="","",IF($AR340=0,$AS340*EXP($AT340*3),$AS340*(1+$AR340*$AT340*3)^(1/$AR340)))</f>
        <v/>
      </c>
      <c r="AX340">
        <f>IF($AR340="","",IF($AR340=0,$AS340*EXP($AT340*-2),$AS340*(1+$AR340*$AT340*-2)^(1/$AR340)))</f>
        <v/>
      </c>
      <c r="AY340">
        <f>IF($AR340="","",IF($AR340=0,$AS340*EXP($AT340*-3),$AS340*(1+$AR340*$AT340*-3)^(1/$AR340)))</f>
        <v/>
      </c>
      <c r="AZ340">
        <f>IF(OR($A340="",$A340&lt;&gt;Ficha!$C$4),"",COUNTIF($A$2:$A340,Ficha!$C$4))</f>
        <v/>
      </c>
    </row>
    <row r="341">
      <c r="A341" s="8">
        <f>IF(INDEX(Banco!$A:$A,ROW())="","",INDEX(Banco!$A:$A,ROW()))</f>
        <v/>
      </c>
      <c r="B341" s="8">
        <f>IF(INDEX(Banco!$B:$B,ROW())="","",INDEX(Banco!$B:$B,ROW()))</f>
        <v/>
      </c>
      <c r="C341" s="8">
        <f>IF(INDEX(Banco!$C:$C,ROW())="","",INDEX(Banco!$C:$C,ROW()))</f>
        <v/>
      </c>
      <c r="D341" s="9">
        <f>IF(INDEX(Banco!$D:$D,ROW())="","",INDEX(Banco!$D:$D,ROW()))</f>
        <v/>
      </c>
      <c r="E341" s="9">
        <f>IF(INDEX(Banco!$E:$E,ROW())="","",INDEX(Banco!$E:$E,ROW()))</f>
        <v/>
      </c>
      <c r="F341" s="10">
        <f>IF(INDEX(Banco!$F:$F,ROW())="","",INDEX(Banco!$F:$F,ROW()))</f>
        <v/>
      </c>
      <c r="G341" s="10">
        <f>IF(INDEX(Banco!$G:$G,ROW())="","",INDEX(Banco!$G:$G,ROW()))</f>
        <v/>
      </c>
      <c r="H341" s="8">
        <f>IF(INDEX(Banco!$H:$H,ROW())="","",INDEX(Banco!$H:$H,ROW()))</f>
        <v/>
      </c>
      <c r="I341">
        <f>IF($T341="","",INT($T341/12)&amp;"a "&amp;MOD($T341,12)&amp;"m")</f>
        <v/>
      </c>
      <c r="J341" s="11">
        <f>IF(OR($F341="",$G341=""),"",ROUND($F341/($G341/100)^2,2))</f>
        <v/>
      </c>
      <c r="K341" s="12">
        <f>IF(OR($S341="",$J341="",$T341="",$T341&lt;0,$T341&gt;228,$Y341=""),"—",ROUND(IF(ABS($AB341)&lt;=3,$AB341,IF($AB341&gt;3,3+($J341-$AD341)/($AD341-$AC341),-3+($J341-$AF341)/($AE341-$AF341))),2))</f>
        <v/>
      </c>
      <c r="L341">
        <f>IF(OR($K341="",$K341="—"),"",IF($T341&lt;=60,IF($K341&lt;-3,"Magreza acentuada",IF($K341&lt;-2,"Magreza",IF($K341&lt;=1,"Eutrofia",IF($K341&lt;=2,"Risco de sobrepeso",IF($K341&lt;=3,"Sobrepeso","Obesidade"))))),IF($K341&lt;-3,"Magreza acentuada",IF($K341&lt;-2,"Magreza",IF($K341&lt;=1,"Eutrofia",IF($K341&lt;=2,"Sobrepeso",IF($K341&lt;=3,"Obesidade","Obesidade grave")))))))</f>
        <v/>
      </c>
      <c r="M341" s="12">
        <f>IF(OR($S341="",$V341="",$T341="",$T341&lt;0,$T341&gt;228,$AG341=""),"—",ROUND(IF($AG341=0,LN($V341/$AH341)/$AI341,((($V341/$AH341)^$AG341)-1)/($AG341*$AI341)),2))</f>
        <v/>
      </c>
      <c r="N341">
        <f>IF(OR($M341="",$M341="—"),"",IF($M341&lt;-3,"Muito baixa",IF($M341&lt;-2,"Baixa","Adequada")))</f>
        <v/>
      </c>
      <c r="O341" s="12">
        <f>IF(OR($S341="",$F341="",$T341="",$T341&lt;0,$T341&gt;120,$AJ341=""),"—",ROUND(IF(ABS($AM341)&lt;=3,$AM341,IF($AM341&gt;3,3+($F341-$AO341)/($AO341-$AN341),-3+($F341-$AQ341)/($AP341-$AQ341))),2))</f>
        <v/>
      </c>
      <c r="P341">
        <f>IF(OR($O341="",$O341="—"),"",IF($O341&lt;-3,"Muito baixo",IF($O341&lt;-2,"Baixo",IF($O341&lt;=2,"Adequado","Elevado"))))</f>
        <v/>
      </c>
      <c r="Q341" s="12">
        <f>IF(OR($S341="",$F341="",$T341="",$T341&lt;0,$T341&gt;60,$AR341=""),"—",ROUND(IF(ABS($AU341)&lt;=3,$AU341,IF($AU341&gt;3,3+($F341-$AW341)/($AW341-$AV341),-3+($F341-$AY341)/($AX341-$AY341))),2))</f>
        <v/>
      </c>
      <c r="R341">
        <f>IF(OR($Q341="",$Q341="—"),"",IF($Q341&lt;-3,"Magreza acentuada",IF($Q341&lt;-2,"Magreza",IF($Q341&lt;=1,"Eutrofia",IF($Q341&lt;=2,"Risco de sobrepeso",IF($Q341&lt;=3,"Sobrepeso","Obesidade"))))))</f>
        <v/>
      </c>
      <c r="S341">
        <f>IF($C341="","",IF(UPPER(LEFT($C341,1))="M",1,IF(UPPER(LEFT($C341,1))="F",2,"")))</f>
        <v/>
      </c>
      <c r="T341">
        <f>IF(OR($D341="",$E341=""),"",DATEDIF($D341,$E341,"m"))</f>
        <v/>
      </c>
      <c r="U341">
        <f>IF(OR($D341="",$E341=""),"",$E341-$D341)</f>
        <v/>
      </c>
      <c r="V341">
        <f>IF(OR($G341="",$T341=""),"",IF($T341&lt;24,IF(LEFT(LOWER($H341),4)="em p",$G341+0.7,$G341),IF(LEFT(LOWER($H341),4)="deit",$G341-0.7,$G341)))</f>
        <v/>
      </c>
      <c r="W341">
        <f>IF(OR($S341="",$T341=""),"",$S341*1000000+IF($T341&lt;=60,$U341,$T341))</f>
        <v/>
      </c>
      <c r="X341">
        <f>IF(OR($S341="",$V341="",$T341&gt;60,$T341=""),"",$S341*1000000+ROUND($V341*10,0))</f>
        <v/>
      </c>
      <c r="Y341">
        <f>IF($W341="","",IFERROR(INDEX(IF($T341&lt;=60,imc05_l,imc519_l),MATCH($W341,IF($T341&lt;=60,imc05_k,imc519_k),1)),""))</f>
        <v/>
      </c>
      <c r="Z341">
        <f>IF($W341="","",IFERROR(INDEX(IF($T341&lt;=60,imc05_m,imc519_m),MATCH($W341,IF($T341&lt;=60,imc05_k,imc519_k),1)),""))</f>
        <v/>
      </c>
      <c r="AA341">
        <f>IF($W341="","",IFERROR(INDEX(IF($T341&lt;=60,imc05_s,imc519_s),MATCH($W341,IF($T341&lt;=60,imc05_k,imc519_k),1)),""))</f>
        <v/>
      </c>
      <c r="AB341">
        <f>IF($Y341="","",IF($Y341=0,LN($J341/$Z341)/$AA341,((($J341/$Z341)^$Y341)-1)/($Y341*$AA341)))</f>
        <v/>
      </c>
      <c r="AC341">
        <f>IF($Y341="","",IF($Y341=0,$Z341*EXP($AA341*2),$Z341*(1+$Y341*$AA341*2)^(1/$Y341)))</f>
        <v/>
      </c>
      <c r="AD341">
        <f>IF($Y341="","",IF($Y341=0,$Z341*EXP($AA341*3),$Z341*(1+$Y341*$AA341*3)^(1/$Y341)))</f>
        <v/>
      </c>
      <c r="AE341">
        <f>IF($Y341="","",IF($Y341=0,$Z341*EXP($AA341*-2),$Z341*(1+$Y341*$AA341*-2)^(1/$Y341)))</f>
        <v/>
      </c>
      <c r="AF341">
        <f>IF($Y341="","",IF($Y341=0,$Z341*EXP($AA341*-3),$Z341*(1+$Y341*$AA341*-3)^(1/$Y341)))</f>
        <v/>
      </c>
      <c r="AG341">
        <f>IF($W341="","",IFERROR(INDEX(IF($T341&lt;=60,est05_l,est519_l),MATCH($W341,IF($T341&lt;=60,est05_k,est519_k),1)),""))</f>
        <v/>
      </c>
      <c r="AH341">
        <f>IF($W341="","",IFERROR(INDEX(IF($T341&lt;=60,est05_m,est519_m),MATCH($W341,IF($T341&lt;=60,est05_k,est519_k),1)),""))</f>
        <v/>
      </c>
      <c r="AI341">
        <f>IF($W341="","",IFERROR(INDEX(IF($T341&lt;=60,est05_s,est519_s),MATCH($W341,IF($T341&lt;=60,est05_k,est519_k),1)),""))</f>
        <v/>
      </c>
      <c r="AJ341">
        <f>IF($W341="","",IFERROR(INDEX(IF($T341&lt;=60,peso05_l,peso510_l),MATCH($W341,IF($T341&lt;=60,peso05_k,peso510_k),1)),""))</f>
        <v/>
      </c>
      <c r="AK341">
        <f>IF($W341="","",IFERROR(INDEX(IF($T341&lt;=60,peso05_m,peso510_m),MATCH($W341,IF($T341&lt;=60,peso05_k,peso510_k),1)),""))</f>
        <v/>
      </c>
      <c r="AL341">
        <f>IF($W341="","",IFERROR(INDEX(IF($T341&lt;=60,peso05_s,peso510_s),MATCH($W341,IF($T341&lt;=60,peso05_k,peso510_k),1)),""))</f>
        <v/>
      </c>
      <c r="AM341">
        <f>IF($AJ341="","",IF($AJ341=0,LN($F341/$AK341)/$AL341,((($F341/$AK341)^$AJ341)-1)/($AJ341*$AL341)))</f>
        <v/>
      </c>
      <c r="AN341">
        <f>IF($AJ341="","",IF($AJ341=0,$AK341*EXP($AL341*2),$AK341*(1+$AJ341*$AL341*2)^(1/$AJ341)))</f>
        <v/>
      </c>
      <c r="AO341">
        <f>IF($AJ341="","",IF($AJ341=0,$AK341*EXP($AL341*3),$AK341*(1+$AJ341*$AL341*3)^(1/$AJ341)))</f>
        <v/>
      </c>
      <c r="AP341">
        <f>IF($AJ341="","",IF($AJ341=0,$AK341*EXP($AL341*-2),$AK341*(1+$AJ341*$AL341*-2)^(1/$AJ341)))</f>
        <v/>
      </c>
      <c r="AQ341">
        <f>IF($AJ341="","",IF($AJ341=0,$AK341*EXP($AL341*-3),$AK341*(1+$AJ341*$AL341*-3)^(1/$AJ341)))</f>
        <v/>
      </c>
      <c r="AR341">
        <f>IF(OR($X341="",$T341&gt;60),"",IFERROR(INDEX(IF($T341&lt;24,pcomp_l,palt_l),MATCH($X341,IF($T341&lt;24,pcomp_k,palt_k),1)),""))</f>
        <v/>
      </c>
      <c r="AS341">
        <f>IF(OR($X341="",$T341&gt;60),"",IFERROR(INDEX(IF($T341&lt;24,pcomp_m,palt_m),MATCH($X341,IF($T341&lt;24,pcomp_k,palt_k),1)),""))</f>
        <v/>
      </c>
      <c r="AT341">
        <f>IF(OR($X341="",$T341&gt;60),"",IFERROR(INDEX(IF($T341&lt;24,pcomp_s,palt_s),MATCH($X341,IF($T341&lt;24,pcomp_k,palt_k),1)),""))</f>
        <v/>
      </c>
      <c r="AU341">
        <f>IF($AR341="","",IF($AR341=0,LN($F341/$AS341)/$AT341,((($F341/$AS341)^$AR341)-1)/($AR341*$AT341)))</f>
        <v/>
      </c>
      <c r="AV341">
        <f>IF($AR341="","",IF($AR341=0,$AS341*EXP($AT341*2),$AS341*(1+$AR341*$AT341*2)^(1/$AR341)))</f>
        <v/>
      </c>
      <c r="AW341">
        <f>IF($AR341="","",IF($AR341=0,$AS341*EXP($AT341*3),$AS341*(1+$AR341*$AT341*3)^(1/$AR341)))</f>
        <v/>
      </c>
      <c r="AX341">
        <f>IF($AR341="","",IF($AR341=0,$AS341*EXP($AT341*-2),$AS341*(1+$AR341*$AT341*-2)^(1/$AR341)))</f>
        <v/>
      </c>
      <c r="AY341">
        <f>IF($AR341="","",IF($AR341=0,$AS341*EXP($AT341*-3),$AS341*(1+$AR341*$AT341*-3)^(1/$AR341)))</f>
        <v/>
      </c>
      <c r="AZ341">
        <f>IF(OR($A341="",$A341&lt;&gt;Ficha!$C$4),"",COUNTIF($A$2:$A341,Ficha!$C$4))</f>
        <v/>
      </c>
    </row>
    <row r="342">
      <c r="A342" s="8">
        <f>IF(INDEX(Banco!$A:$A,ROW())="","",INDEX(Banco!$A:$A,ROW()))</f>
        <v/>
      </c>
      <c r="B342" s="8">
        <f>IF(INDEX(Banco!$B:$B,ROW())="","",INDEX(Banco!$B:$B,ROW()))</f>
        <v/>
      </c>
      <c r="C342" s="8">
        <f>IF(INDEX(Banco!$C:$C,ROW())="","",INDEX(Banco!$C:$C,ROW()))</f>
        <v/>
      </c>
      <c r="D342" s="9">
        <f>IF(INDEX(Banco!$D:$D,ROW())="","",INDEX(Banco!$D:$D,ROW()))</f>
        <v/>
      </c>
      <c r="E342" s="9">
        <f>IF(INDEX(Banco!$E:$E,ROW())="","",INDEX(Banco!$E:$E,ROW()))</f>
        <v/>
      </c>
      <c r="F342" s="10">
        <f>IF(INDEX(Banco!$F:$F,ROW())="","",INDEX(Banco!$F:$F,ROW()))</f>
        <v/>
      </c>
      <c r="G342" s="10">
        <f>IF(INDEX(Banco!$G:$G,ROW())="","",INDEX(Banco!$G:$G,ROW()))</f>
        <v/>
      </c>
      <c r="H342" s="8">
        <f>IF(INDEX(Banco!$H:$H,ROW())="","",INDEX(Banco!$H:$H,ROW()))</f>
        <v/>
      </c>
      <c r="I342">
        <f>IF($T342="","",INT($T342/12)&amp;"a "&amp;MOD($T342,12)&amp;"m")</f>
        <v/>
      </c>
      <c r="J342" s="11">
        <f>IF(OR($F342="",$G342=""),"",ROUND($F342/($G342/100)^2,2))</f>
        <v/>
      </c>
      <c r="K342" s="12">
        <f>IF(OR($S342="",$J342="",$T342="",$T342&lt;0,$T342&gt;228,$Y342=""),"—",ROUND(IF(ABS($AB342)&lt;=3,$AB342,IF($AB342&gt;3,3+($J342-$AD342)/($AD342-$AC342),-3+($J342-$AF342)/($AE342-$AF342))),2))</f>
        <v/>
      </c>
      <c r="L342">
        <f>IF(OR($K342="",$K342="—"),"",IF($T342&lt;=60,IF($K342&lt;-3,"Magreza acentuada",IF($K342&lt;-2,"Magreza",IF($K342&lt;=1,"Eutrofia",IF($K342&lt;=2,"Risco de sobrepeso",IF($K342&lt;=3,"Sobrepeso","Obesidade"))))),IF($K342&lt;-3,"Magreza acentuada",IF($K342&lt;-2,"Magreza",IF($K342&lt;=1,"Eutrofia",IF($K342&lt;=2,"Sobrepeso",IF($K342&lt;=3,"Obesidade","Obesidade grave")))))))</f>
        <v/>
      </c>
      <c r="M342" s="12">
        <f>IF(OR($S342="",$V342="",$T342="",$T342&lt;0,$T342&gt;228,$AG342=""),"—",ROUND(IF($AG342=0,LN($V342/$AH342)/$AI342,((($V342/$AH342)^$AG342)-1)/($AG342*$AI342)),2))</f>
        <v/>
      </c>
      <c r="N342">
        <f>IF(OR($M342="",$M342="—"),"",IF($M342&lt;-3,"Muito baixa",IF($M342&lt;-2,"Baixa","Adequada")))</f>
        <v/>
      </c>
      <c r="O342" s="12">
        <f>IF(OR($S342="",$F342="",$T342="",$T342&lt;0,$T342&gt;120,$AJ342=""),"—",ROUND(IF(ABS($AM342)&lt;=3,$AM342,IF($AM342&gt;3,3+($F342-$AO342)/($AO342-$AN342),-3+($F342-$AQ342)/($AP342-$AQ342))),2))</f>
        <v/>
      </c>
      <c r="P342">
        <f>IF(OR($O342="",$O342="—"),"",IF($O342&lt;-3,"Muito baixo",IF($O342&lt;-2,"Baixo",IF($O342&lt;=2,"Adequado","Elevado"))))</f>
        <v/>
      </c>
      <c r="Q342" s="12">
        <f>IF(OR($S342="",$F342="",$T342="",$T342&lt;0,$T342&gt;60,$AR342=""),"—",ROUND(IF(ABS($AU342)&lt;=3,$AU342,IF($AU342&gt;3,3+($F342-$AW342)/($AW342-$AV342),-3+($F342-$AY342)/($AX342-$AY342))),2))</f>
        <v/>
      </c>
      <c r="R342">
        <f>IF(OR($Q342="",$Q342="—"),"",IF($Q342&lt;-3,"Magreza acentuada",IF($Q342&lt;-2,"Magreza",IF($Q342&lt;=1,"Eutrofia",IF($Q342&lt;=2,"Risco de sobrepeso",IF($Q342&lt;=3,"Sobrepeso","Obesidade"))))))</f>
        <v/>
      </c>
      <c r="S342">
        <f>IF($C342="","",IF(UPPER(LEFT($C342,1))="M",1,IF(UPPER(LEFT($C342,1))="F",2,"")))</f>
        <v/>
      </c>
      <c r="T342">
        <f>IF(OR($D342="",$E342=""),"",DATEDIF($D342,$E342,"m"))</f>
        <v/>
      </c>
      <c r="U342">
        <f>IF(OR($D342="",$E342=""),"",$E342-$D342)</f>
        <v/>
      </c>
      <c r="V342">
        <f>IF(OR($G342="",$T342=""),"",IF($T342&lt;24,IF(LEFT(LOWER($H342),4)="em p",$G342+0.7,$G342),IF(LEFT(LOWER($H342),4)="deit",$G342-0.7,$G342)))</f>
        <v/>
      </c>
      <c r="W342">
        <f>IF(OR($S342="",$T342=""),"",$S342*1000000+IF($T342&lt;=60,$U342,$T342))</f>
        <v/>
      </c>
      <c r="X342">
        <f>IF(OR($S342="",$V342="",$T342&gt;60,$T342=""),"",$S342*1000000+ROUND($V342*10,0))</f>
        <v/>
      </c>
      <c r="Y342">
        <f>IF($W342="","",IFERROR(INDEX(IF($T342&lt;=60,imc05_l,imc519_l),MATCH($W342,IF($T342&lt;=60,imc05_k,imc519_k),1)),""))</f>
        <v/>
      </c>
      <c r="Z342">
        <f>IF($W342="","",IFERROR(INDEX(IF($T342&lt;=60,imc05_m,imc519_m),MATCH($W342,IF($T342&lt;=60,imc05_k,imc519_k),1)),""))</f>
        <v/>
      </c>
      <c r="AA342">
        <f>IF($W342="","",IFERROR(INDEX(IF($T342&lt;=60,imc05_s,imc519_s),MATCH($W342,IF($T342&lt;=60,imc05_k,imc519_k),1)),""))</f>
        <v/>
      </c>
      <c r="AB342">
        <f>IF($Y342="","",IF($Y342=0,LN($J342/$Z342)/$AA342,((($J342/$Z342)^$Y342)-1)/($Y342*$AA342)))</f>
        <v/>
      </c>
      <c r="AC342">
        <f>IF($Y342="","",IF($Y342=0,$Z342*EXP($AA342*2),$Z342*(1+$Y342*$AA342*2)^(1/$Y342)))</f>
        <v/>
      </c>
      <c r="AD342">
        <f>IF($Y342="","",IF($Y342=0,$Z342*EXP($AA342*3),$Z342*(1+$Y342*$AA342*3)^(1/$Y342)))</f>
        <v/>
      </c>
      <c r="AE342">
        <f>IF($Y342="","",IF($Y342=0,$Z342*EXP($AA342*-2),$Z342*(1+$Y342*$AA342*-2)^(1/$Y342)))</f>
        <v/>
      </c>
      <c r="AF342">
        <f>IF($Y342="","",IF($Y342=0,$Z342*EXP($AA342*-3),$Z342*(1+$Y342*$AA342*-3)^(1/$Y342)))</f>
        <v/>
      </c>
      <c r="AG342">
        <f>IF($W342="","",IFERROR(INDEX(IF($T342&lt;=60,est05_l,est519_l),MATCH($W342,IF($T342&lt;=60,est05_k,est519_k),1)),""))</f>
        <v/>
      </c>
      <c r="AH342">
        <f>IF($W342="","",IFERROR(INDEX(IF($T342&lt;=60,est05_m,est519_m),MATCH($W342,IF($T342&lt;=60,est05_k,est519_k),1)),""))</f>
        <v/>
      </c>
      <c r="AI342">
        <f>IF($W342="","",IFERROR(INDEX(IF($T342&lt;=60,est05_s,est519_s),MATCH($W342,IF($T342&lt;=60,est05_k,est519_k),1)),""))</f>
        <v/>
      </c>
      <c r="AJ342">
        <f>IF($W342="","",IFERROR(INDEX(IF($T342&lt;=60,peso05_l,peso510_l),MATCH($W342,IF($T342&lt;=60,peso05_k,peso510_k),1)),""))</f>
        <v/>
      </c>
      <c r="AK342">
        <f>IF($W342="","",IFERROR(INDEX(IF($T342&lt;=60,peso05_m,peso510_m),MATCH($W342,IF($T342&lt;=60,peso05_k,peso510_k),1)),""))</f>
        <v/>
      </c>
      <c r="AL342">
        <f>IF($W342="","",IFERROR(INDEX(IF($T342&lt;=60,peso05_s,peso510_s),MATCH($W342,IF($T342&lt;=60,peso05_k,peso510_k),1)),""))</f>
        <v/>
      </c>
      <c r="AM342">
        <f>IF($AJ342="","",IF($AJ342=0,LN($F342/$AK342)/$AL342,((($F342/$AK342)^$AJ342)-1)/($AJ342*$AL342)))</f>
        <v/>
      </c>
      <c r="AN342">
        <f>IF($AJ342="","",IF($AJ342=0,$AK342*EXP($AL342*2),$AK342*(1+$AJ342*$AL342*2)^(1/$AJ342)))</f>
        <v/>
      </c>
      <c r="AO342">
        <f>IF($AJ342="","",IF($AJ342=0,$AK342*EXP($AL342*3),$AK342*(1+$AJ342*$AL342*3)^(1/$AJ342)))</f>
        <v/>
      </c>
      <c r="AP342">
        <f>IF($AJ342="","",IF($AJ342=0,$AK342*EXP($AL342*-2),$AK342*(1+$AJ342*$AL342*-2)^(1/$AJ342)))</f>
        <v/>
      </c>
      <c r="AQ342">
        <f>IF($AJ342="","",IF($AJ342=0,$AK342*EXP($AL342*-3),$AK342*(1+$AJ342*$AL342*-3)^(1/$AJ342)))</f>
        <v/>
      </c>
      <c r="AR342">
        <f>IF(OR($X342="",$T342&gt;60),"",IFERROR(INDEX(IF($T342&lt;24,pcomp_l,palt_l),MATCH($X342,IF($T342&lt;24,pcomp_k,palt_k),1)),""))</f>
        <v/>
      </c>
      <c r="AS342">
        <f>IF(OR($X342="",$T342&gt;60),"",IFERROR(INDEX(IF($T342&lt;24,pcomp_m,palt_m),MATCH($X342,IF($T342&lt;24,pcomp_k,palt_k),1)),""))</f>
        <v/>
      </c>
      <c r="AT342">
        <f>IF(OR($X342="",$T342&gt;60),"",IFERROR(INDEX(IF($T342&lt;24,pcomp_s,palt_s),MATCH($X342,IF($T342&lt;24,pcomp_k,palt_k),1)),""))</f>
        <v/>
      </c>
      <c r="AU342">
        <f>IF($AR342="","",IF($AR342=0,LN($F342/$AS342)/$AT342,((($F342/$AS342)^$AR342)-1)/($AR342*$AT342)))</f>
        <v/>
      </c>
      <c r="AV342">
        <f>IF($AR342="","",IF($AR342=0,$AS342*EXP($AT342*2),$AS342*(1+$AR342*$AT342*2)^(1/$AR342)))</f>
        <v/>
      </c>
      <c r="AW342">
        <f>IF($AR342="","",IF($AR342=0,$AS342*EXP($AT342*3),$AS342*(1+$AR342*$AT342*3)^(1/$AR342)))</f>
        <v/>
      </c>
      <c r="AX342">
        <f>IF($AR342="","",IF($AR342=0,$AS342*EXP($AT342*-2),$AS342*(1+$AR342*$AT342*-2)^(1/$AR342)))</f>
        <v/>
      </c>
      <c r="AY342">
        <f>IF($AR342="","",IF($AR342=0,$AS342*EXP($AT342*-3),$AS342*(1+$AR342*$AT342*-3)^(1/$AR342)))</f>
        <v/>
      </c>
      <c r="AZ342">
        <f>IF(OR($A342="",$A342&lt;&gt;Ficha!$C$4),"",COUNTIF($A$2:$A342,Ficha!$C$4))</f>
        <v/>
      </c>
    </row>
    <row r="343">
      <c r="A343" s="8">
        <f>IF(INDEX(Banco!$A:$A,ROW())="","",INDEX(Banco!$A:$A,ROW()))</f>
        <v/>
      </c>
      <c r="B343" s="8">
        <f>IF(INDEX(Banco!$B:$B,ROW())="","",INDEX(Banco!$B:$B,ROW()))</f>
        <v/>
      </c>
      <c r="C343" s="8">
        <f>IF(INDEX(Banco!$C:$C,ROW())="","",INDEX(Banco!$C:$C,ROW()))</f>
        <v/>
      </c>
      <c r="D343" s="9">
        <f>IF(INDEX(Banco!$D:$D,ROW())="","",INDEX(Banco!$D:$D,ROW()))</f>
        <v/>
      </c>
      <c r="E343" s="9">
        <f>IF(INDEX(Banco!$E:$E,ROW())="","",INDEX(Banco!$E:$E,ROW()))</f>
        <v/>
      </c>
      <c r="F343" s="10">
        <f>IF(INDEX(Banco!$F:$F,ROW())="","",INDEX(Banco!$F:$F,ROW()))</f>
        <v/>
      </c>
      <c r="G343" s="10">
        <f>IF(INDEX(Banco!$G:$G,ROW())="","",INDEX(Banco!$G:$G,ROW()))</f>
        <v/>
      </c>
      <c r="H343" s="8">
        <f>IF(INDEX(Banco!$H:$H,ROW())="","",INDEX(Banco!$H:$H,ROW()))</f>
        <v/>
      </c>
      <c r="I343">
        <f>IF($T343="","",INT($T343/12)&amp;"a "&amp;MOD($T343,12)&amp;"m")</f>
        <v/>
      </c>
      <c r="J343" s="11">
        <f>IF(OR($F343="",$G343=""),"",ROUND($F343/($G343/100)^2,2))</f>
        <v/>
      </c>
      <c r="K343" s="12">
        <f>IF(OR($S343="",$J343="",$T343="",$T343&lt;0,$T343&gt;228,$Y343=""),"—",ROUND(IF(ABS($AB343)&lt;=3,$AB343,IF($AB343&gt;3,3+($J343-$AD343)/($AD343-$AC343),-3+($J343-$AF343)/($AE343-$AF343))),2))</f>
        <v/>
      </c>
      <c r="L343">
        <f>IF(OR($K343="",$K343="—"),"",IF($T343&lt;=60,IF($K343&lt;-3,"Magreza acentuada",IF($K343&lt;-2,"Magreza",IF($K343&lt;=1,"Eutrofia",IF($K343&lt;=2,"Risco de sobrepeso",IF($K343&lt;=3,"Sobrepeso","Obesidade"))))),IF($K343&lt;-3,"Magreza acentuada",IF($K343&lt;-2,"Magreza",IF($K343&lt;=1,"Eutrofia",IF($K343&lt;=2,"Sobrepeso",IF($K343&lt;=3,"Obesidade","Obesidade grave")))))))</f>
        <v/>
      </c>
      <c r="M343" s="12">
        <f>IF(OR($S343="",$V343="",$T343="",$T343&lt;0,$T343&gt;228,$AG343=""),"—",ROUND(IF($AG343=0,LN($V343/$AH343)/$AI343,((($V343/$AH343)^$AG343)-1)/($AG343*$AI343)),2))</f>
        <v/>
      </c>
      <c r="N343">
        <f>IF(OR($M343="",$M343="—"),"",IF($M343&lt;-3,"Muito baixa",IF($M343&lt;-2,"Baixa","Adequada")))</f>
        <v/>
      </c>
      <c r="O343" s="12">
        <f>IF(OR($S343="",$F343="",$T343="",$T343&lt;0,$T343&gt;120,$AJ343=""),"—",ROUND(IF(ABS($AM343)&lt;=3,$AM343,IF($AM343&gt;3,3+($F343-$AO343)/($AO343-$AN343),-3+($F343-$AQ343)/($AP343-$AQ343))),2))</f>
        <v/>
      </c>
      <c r="P343">
        <f>IF(OR($O343="",$O343="—"),"",IF($O343&lt;-3,"Muito baixo",IF($O343&lt;-2,"Baixo",IF($O343&lt;=2,"Adequado","Elevado"))))</f>
        <v/>
      </c>
      <c r="Q343" s="12">
        <f>IF(OR($S343="",$F343="",$T343="",$T343&lt;0,$T343&gt;60,$AR343=""),"—",ROUND(IF(ABS($AU343)&lt;=3,$AU343,IF($AU343&gt;3,3+($F343-$AW343)/($AW343-$AV343),-3+($F343-$AY343)/($AX343-$AY343))),2))</f>
        <v/>
      </c>
      <c r="R343">
        <f>IF(OR($Q343="",$Q343="—"),"",IF($Q343&lt;-3,"Magreza acentuada",IF($Q343&lt;-2,"Magreza",IF($Q343&lt;=1,"Eutrofia",IF($Q343&lt;=2,"Risco de sobrepeso",IF($Q343&lt;=3,"Sobrepeso","Obesidade"))))))</f>
        <v/>
      </c>
      <c r="S343">
        <f>IF($C343="","",IF(UPPER(LEFT($C343,1))="M",1,IF(UPPER(LEFT($C343,1))="F",2,"")))</f>
        <v/>
      </c>
      <c r="T343">
        <f>IF(OR($D343="",$E343=""),"",DATEDIF($D343,$E343,"m"))</f>
        <v/>
      </c>
      <c r="U343">
        <f>IF(OR($D343="",$E343=""),"",$E343-$D343)</f>
        <v/>
      </c>
      <c r="V343">
        <f>IF(OR($G343="",$T343=""),"",IF($T343&lt;24,IF(LEFT(LOWER($H343),4)="em p",$G343+0.7,$G343),IF(LEFT(LOWER($H343),4)="deit",$G343-0.7,$G343)))</f>
        <v/>
      </c>
      <c r="W343">
        <f>IF(OR($S343="",$T343=""),"",$S343*1000000+IF($T343&lt;=60,$U343,$T343))</f>
        <v/>
      </c>
      <c r="X343">
        <f>IF(OR($S343="",$V343="",$T343&gt;60,$T343=""),"",$S343*1000000+ROUND($V343*10,0))</f>
        <v/>
      </c>
      <c r="Y343">
        <f>IF($W343="","",IFERROR(INDEX(IF($T343&lt;=60,imc05_l,imc519_l),MATCH($W343,IF($T343&lt;=60,imc05_k,imc519_k),1)),""))</f>
        <v/>
      </c>
      <c r="Z343">
        <f>IF($W343="","",IFERROR(INDEX(IF($T343&lt;=60,imc05_m,imc519_m),MATCH($W343,IF($T343&lt;=60,imc05_k,imc519_k),1)),""))</f>
        <v/>
      </c>
      <c r="AA343">
        <f>IF($W343="","",IFERROR(INDEX(IF($T343&lt;=60,imc05_s,imc519_s),MATCH($W343,IF($T343&lt;=60,imc05_k,imc519_k),1)),""))</f>
        <v/>
      </c>
      <c r="AB343">
        <f>IF($Y343="","",IF($Y343=0,LN($J343/$Z343)/$AA343,((($J343/$Z343)^$Y343)-1)/($Y343*$AA343)))</f>
        <v/>
      </c>
      <c r="AC343">
        <f>IF($Y343="","",IF($Y343=0,$Z343*EXP($AA343*2),$Z343*(1+$Y343*$AA343*2)^(1/$Y343)))</f>
        <v/>
      </c>
      <c r="AD343">
        <f>IF($Y343="","",IF($Y343=0,$Z343*EXP($AA343*3),$Z343*(1+$Y343*$AA343*3)^(1/$Y343)))</f>
        <v/>
      </c>
      <c r="AE343">
        <f>IF($Y343="","",IF($Y343=0,$Z343*EXP($AA343*-2),$Z343*(1+$Y343*$AA343*-2)^(1/$Y343)))</f>
        <v/>
      </c>
      <c r="AF343">
        <f>IF($Y343="","",IF($Y343=0,$Z343*EXP($AA343*-3),$Z343*(1+$Y343*$AA343*-3)^(1/$Y343)))</f>
        <v/>
      </c>
      <c r="AG343">
        <f>IF($W343="","",IFERROR(INDEX(IF($T343&lt;=60,est05_l,est519_l),MATCH($W343,IF($T343&lt;=60,est05_k,est519_k),1)),""))</f>
        <v/>
      </c>
      <c r="AH343">
        <f>IF($W343="","",IFERROR(INDEX(IF($T343&lt;=60,est05_m,est519_m),MATCH($W343,IF($T343&lt;=60,est05_k,est519_k),1)),""))</f>
        <v/>
      </c>
      <c r="AI343">
        <f>IF($W343="","",IFERROR(INDEX(IF($T343&lt;=60,est05_s,est519_s),MATCH($W343,IF($T343&lt;=60,est05_k,est519_k),1)),""))</f>
        <v/>
      </c>
      <c r="AJ343">
        <f>IF($W343="","",IFERROR(INDEX(IF($T343&lt;=60,peso05_l,peso510_l),MATCH($W343,IF($T343&lt;=60,peso05_k,peso510_k),1)),""))</f>
        <v/>
      </c>
      <c r="AK343">
        <f>IF($W343="","",IFERROR(INDEX(IF($T343&lt;=60,peso05_m,peso510_m),MATCH($W343,IF($T343&lt;=60,peso05_k,peso510_k),1)),""))</f>
        <v/>
      </c>
      <c r="AL343">
        <f>IF($W343="","",IFERROR(INDEX(IF($T343&lt;=60,peso05_s,peso510_s),MATCH($W343,IF($T343&lt;=60,peso05_k,peso510_k),1)),""))</f>
        <v/>
      </c>
      <c r="AM343">
        <f>IF($AJ343="","",IF($AJ343=0,LN($F343/$AK343)/$AL343,((($F343/$AK343)^$AJ343)-1)/($AJ343*$AL343)))</f>
        <v/>
      </c>
      <c r="AN343">
        <f>IF($AJ343="","",IF($AJ343=0,$AK343*EXP($AL343*2),$AK343*(1+$AJ343*$AL343*2)^(1/$AJ343)))</f>
        <v/>
      </c>
      <c r="AO343">
        <f>IF($AJ343="","",IF($AJ343=0,$AK343*EXP($AL343*3),$AK343*(1+$AJ343*$AL343*3)^(1/$AJ343)))</f>
        <v/>
      </c>
      <c r="AP343">
        <f>IF($AJ343="","",IF($AJ343=0,$AK343*EXP($AL343*-2),$AK343*(1+$AJ343*$AL343*-2)^(1/$AJ343)))</f>
        <v/>
      </c>
      <c r="AQ343">
        <f>IF($AJ343="","",IF($AJ343=0,$AK343*EXP($AL343*-3),$AK343*(1+$AJ343*$AL343*-3)^(1/$AJ343)))</f>
        <v/>
      </c>
      <c r="AR343">
        <f>IF(OR($X343="",$T343&gt;60),"",IFERROR(INDEX(IF($T343&lt;24,pcomp_l,palt_l),MATCH($X343,IF($T343&lt;24,pcomp_k,palt_k),1)),""))</f>
        <v/>
      </c>
      <c r="AS343">
        <f>IF(OR($X343="",$T343&gt;60),"",IFERROR(INDEX(IF($T343&lt;24,pcomp_m,palt_m),MATCH($X343,IF($T343&lt;24,pcomp_k,palt_k),1)),""))</f>
        <v/>
      </c>
      <c r="AT343">
        <f>IF(OR($X343="",$T343&gt;60),"",IFERROR(INDEX(IF($T343&lt;24,pcomp_s,palt_s),MATCH($X343,IF($T343&lt;24,pcomp_k,palt_k),1)),""))</f>
        <v/>
      </c>
      <c r="AU343">
        <f>IF($AR343="","",IF($AR343=0,LN($F343/$AS343)/$AT343,((($F343/$AS343)^$AR343)-1)/($AR343*$AT343)))</f>
        <v/>
      </c>
      <c r="AV343">
        <f>IF($AR343="","",IF($AR343=0,$AS343*EXP($AT343*2),$AS343*(1+$AR343*$AT343*2)^(1/$AR343)))</f>
        <v/>
      </c>
      <c r="AW343">
        <f>IF($AR343="","",IF($AR343=0,$AS343*EXP($AT343*3),$AS343*(1+$AR343*$AT343*3)^(1/$AR343)))</f>
        <v/>
      </c>
      <c r="AX343">
        <f>IF($AR343="","",IF($AR343=0,$AS343*EXP($AT343*-2),$AS343*(1+$AR343*$AT343*-2)^(1/$AR343)))</f>
        <v/>
      </c>
      <c r="AY343">
        <f>IF($AR343="","",IF($AR343=0,$AS343*EXP($AT343*-3),$AS343*(1+$AR343*$AT343*-3)^(1/$AR343)))</f>
        <v/>
      </c>
      <c r="AZ343">
        <f>IF(OR($A343="",$A343&lt;&gt;Ficha!$C$4),"",COUNTIF($A$2:$A343,Ficha!$C$4))</f>
        <v/>
      </c>
    </row>
    <row r="344">
      <c r="A344" s="8">
        <f>IF(INDEX(Banco!$A:$A,ROW())="","",INDEX(Banco!$A:$A,ROW()))</f>
        <v/>
      </c>
      <c r="B344" s="8">
        <f>IF(INDEX(Banco!$B:$B,ROW())="","",INDEX(Banco!$B:$B,ROW()))</f>
        <v/>
      </c>
      <c r="C344" s="8">
        <f>IF(INDEX(Banco!$C:$C,ROW())="","",INDEX(Banco!$C:$C,ROW()))</f>
        <v/>
      </c>
      <c r="D344" s="9">
        <f>IF(INDEX(Banco!$D:$D,ROW())="","",INDEX(Banco!$D:$D,ROW()))</f>
        <v/>
      </c>
      <c r="E344" s="9">
        <f>IF(INDEX(Banco!$E:$E,ROW())="","",INDEX(Banco!$E:$E,ROW()))</f>
        <v/>
      </c>
      <c r="F344" s="10">
        <f>IF(INDEX(Banco!$F:$F,ROW())="","",INDEX(Banco!$F:$F,ROW()))</f>
        <v/>
      </c>
      <c r="G344" s="10">
        <f>IF(INDEX(Banco!$G:$G,ROW())="","",INDEX(Banco!$G:$G,ROW()))</f>
        <v/>
      </c>
      <c r="H344" s="8">
        <f>IF(INDEX(Banco!$H:$H,ROW())="","",INDEX(Banco!$H:$H,ROW()))</f>
        <v/>
      </c>
      <c r="I344">
        <f>IF($T344="","",INT($T344/12)&amp;"a "&amp;MOD($T344,12)&amp;"m")</f>
        <v/>
      </c>
      <c r="J344" s="11">
        <f>IF(OR($F344="",$G344=""),"",ROUND($F344/($G344/100)^2,2))</f>
        <v/>
      </c>
      <c r="K344" s="12">
        <f>IF(OR($S344="",$J344="",$T344="",$T344&lt;0,$T344&gt;228,$Y344=""),"—",ROUND(IF(ABS($AB344)&lt;=3,$AB344,IF($AB344&gt;3,3+($J344-$AD344)/($AD344-$AC344),-3+($J344-$AF344)/($AE344-$AF344))),2))</f>
        <v/>
      </c>
      <c r="L344">
        <f>IF(OR($K344="",$K344="—"),"",IF($T344&lt;=60,IF($K344&lt;-3,"Magreza acentuada",IF($K344&lt;-2,"Magreza",IF($K344&lt;=1,"Eutrofia",IF($K344&lt;=2,"Risco de sobrepeso",IF($K344&lt;=3,"Sobrepeso","Obesidade"))))),IF($K344&lt;-3,"Magreza acentuada",IF($K344&lt;-2,"Magreza",IF($K344&lt;=1,"Eutrofia",IF($K344&lt;=2,"Sobrepeso",IF($K344&lt;=3,"Obesidade","Obesidade grave")))))))</f>
        <v/>
      </c>
      <c r="M344" s="12">
        <f>IF(OR($S344="",$V344="",$T344="",$T344&lt;0,$T344&gt;228,$AG344=""),"—",ROUND(IF($AG344=0,LN($V344/$AH344)/$AI344,((($V344/$AH344)^$AG344)-1)/($AG344*$AI344)),2))</f>
        <v/>
      </c>
      <c r="N344">
        <f>IF(OR($M344="",$M344="—"),"",IF($M344&lt;-3,"Muito baixa",IF($M344&lt;-2,"Baixa","Adequada")))</f>
        <v/>
      </c>
      <c r="O344" s="12">
        <f>IF(OR($S344="",$F344="",$T344="",$T344&lt;0,$T344&gt;120,$AJ344=""),"—",ROUND(IF(ABS($AM344)&lt;=3,$AM344,IF($AM344&gt;3,3+($F344-$AO344)/($AO344-$AN344),-3+($F344-$AQ344)/($AP344-$AQ344))),2))</f>
        <v/>
      </c>
      <c r="P344">
        <f>IF(OR($O344="",$O344="—"),"",IF($O344&lt;-3,"Muito baixo",IF($O344&lt;-2,"Baixo",IF($O344&lt;=2,"Adequado","Elevado"))))</f>
        <v/>
      </c>
      <c r="Q344" s="12">
        <f>IF(OR($S344="",$F344="",$T344="",$T344&lt;0,$T344&gt;60,$AR344=""),"—",ROUND(IF(ABS($AU344)&lt;=3,$AU344,IF($AU344&gt;3,3+($F344-$AW344)/($AW344-$AV344),-3+($F344-$AY344)/($AX344-$AY344))),2))</f>
        <v/>
      </c>
      <c r="R344">
        <f>IF(OR($Q344="",$Q344="—"),"",IF($Q344&lt;-3,"Magreza acentuada",IF($Q344&lt;-2,"Magreza",IF($Q344&lt;=1,"Eutrofia",IF($Q344&lt;=2,"Risco de sobrepeso",IF($Q344&lt;=3,"Sobrepeso","Obesidade"))))))</f>
        <v/>
      </c>
      <c r="S344">
        <f>IF($C344="","",IF(UPPER(LEFT($C344,1))="M",1,IF(UPPER(LEFT($C344,1))="F",2,"")))</f>
        <v/>
      </c>
      <c r="T344">
        <f>IF(OR($D344="",$E344=""),"",DATEDIF($D344,$E344,"m"))</f>
        <v/>
      </c>
      <c r="U344">
        <f>IF(OR($D344="",$E344=""),"",$E344-$D344)</f>
        <v/>
      </c>
      <c r="V344">
        <f>IF(OR($G344="",$T344=""),"",IF($T344&lt;24,IF(LEFT(LOWER($H344),4)="em p",$G344+0.7,$G344),IF(LEFT(LOWER($H344),4)="deit",$G344-0.7,$G344)))</f>
        <v/>
      </c>
      <c r="W344">
        <f>IF(OR($S344="",$T344=""),"",$S344*1000000+IF($T344&lt;=60,$U344,$T344))</f>
        <v/>
      </c>
      <c r="X344">
        <f>IF(OR($S344="",$V344="",$T344&gt;60,$T344=""),"",$S344*1000000+ROUND($V344*10,0))</f>
        <v/>
      </c>
      <c r="Y344">
        <f>IF($W344="","",IFERROR(INDEX(IF($T344&lt;=60,imc05_l,imc519_l),MATCH($W344,IF($T344&lt;=60,imc05_k,imc519_k),1)),""))</f>
        <v/>
      </c>
      <c r="Z344">
        <f>IF($W344="","",IFERROR(INDEX(IF($T344&lt;=60,imc05_m,imc519_m),MATCH($W344,IF($T344&lt;=60,imc05_k,imc519_k),1)),""))</f>
        <v/>
      </c>
      <c r="AA344">
        <f>IF($W344="","",IFERROR(INDEX(IF($T344&lt;=60,imc05_s,imc519_s),MATCH($W344,IF($T344&lt;=60,imc05_k,imc519_k),1)),""))</f>
        <v/>
      </c>
      <c r="AB344">
        <f>IF($Y344="","",IF($Y344=0,LN($J344/$Z344)/$AA344,((($J344/$Z344)^$Y344)-1)/($Y344*$AA344)))</f>
        <v/>
      </c>
      <c r="AC344">
        <f>IF($Y344="","",IF($Y344=0,$Z344*EXP($AA344*2),$Z344*(1+$Y344*$AA344*2)^(1/$Y344)))</f>
        <v/>
      </c>
      <c r="AD344">
        <f>IF($Y344="","",IF($Y344=0,$Z344*EXP($AA344*3),$Z344*(1+$Y344*$AA344*3)^(1/$Y344)))</f>
        <v/>
      </c>
      <c r="AE344">
        <f>IF($Y344="","",IF($Y344=0,$Z344*EXP($AA344*-2),$Z344*(1+$Y344*$AA344*-2)^(1/$Y344)))</f>
        <v/>
      </c>
      <c r="AF344">
        <f>IF($Y344="","",IF($Y344=0,$Z344*EXP($AA344*-3),$Z344*(1+$Y344*$AA344*-3)^(1/$Y344)))</f>
        <v/>
      </c>
      <c r="AG344">
        <f>IF($W344="","",IFERROR(INDEX(IF($T344&lt;=60,est05_l,est519_l),MATCH($W344,IF($T344&lt;=60,est05_k,est519_k),1)),""))</f>
        <v/>
      </c>
      <c r="AH344">
        <f>IF($W344="","",IFERROR(INDEX(IF($T344&lt;=60,est05_m,est519_m),MATCH($W344,IF($T344&lt;=60,est05_k,est519_k),1)),""))</f>
        <v/>
      </c>
      <c r="AI344">
        <f>IF($W344="","",IFERROR(INDEX(IF($T344&lt;=60,est05_s,est519_s),MATCH($W344,IF($T344&lt;=60,est05_k,est519_k),1)),""))</f>
        <v/>
      </c>
      <c r="AJ344">
        <f>IF($W344="","",IFERROR(INDEX(IF($T344&lt;=60,peso05_l,peso510_l),MATCH($W344,IF($T344&lt;=60,peso05_k,peso510_k),1)),""))</f>
        <v/>
      </c>
      <c r="AK344">
        <f>IF($W344="","",IFERROR(INDEX(IF($T344&lt;=60,peso05_m,peso510_m),MATCH($W344,IF($T344&lt;=60,peso05_k,peso510_k),1)),""))</f>
        <v/>
      </c>
      <c r="AL344">
        <f>IF($W344="","",IFERROR(INDEX(IF($T344&lt;=60,peso05_s,peso510_s),MATCH($W344,IF($T344&lt;=60,peso05_k,peso510_k),1)),""))</f>
        <v/>
      </c>
      <c r="AM344">
        <f>IF($AJ344="","",IF($AJ344=0,LN($F344/$AK344)/$AL344,((($F344/$AK344)^$AJ344)-1)/($AJ344*$AL344)))</f>
        <v/>
      </c>
      <c r="AN344">
        <f>IF($AJ344="","",IF($AJ344=0,$AK344*EXP($AL344*2),$AK344*(1+$AJ344*$AL344*2)^(1/$AJ344)))</f>
        <v/>
      </c>
      <c r="AO344">
        <f>IF($AJ344="","",IF($AJ344=0,$AK344*EXP($AL344*3),$AK344*(1+$AJ344*$AL344*3)^(1/$AJ344)))</f>
        <v/>
      </c>
      <c r="AP344">
        <f>IF($AJ344="","",IF($AJ344=0,$AK344*EXP($AL344*-2),$AK344*(1+$AJ344*$AL344*-2)^(1/$AJ344)))</f>
        <v/>
      </c>
      <c r="AQ344">
        <f>IF($AJ344="","",IF($AJ344=0,$AK344*EXP($AL344*-3),$AK344*(1+$AJ344*$AL344*-3)^(1/$AJ344)))</f>
        <v/>
      </c>
      <c r="AR344">
        <f>IF(OR($X344="",$T344&gt;60),"",IFERROR(INDEX(IF($T344&lt;24,pcomp_l,palt_l),MATCH($X344,IF($T344&lt;24,pcomp_k,palt_k),1)),""))</f>
        <v/>
      </c>
      <c r="AS344">
        <f>IF(OR($X344="",$T344&gt;60),"",IFERROR(INDEX(IF($T344&lt;24,pcomp_m,palt_m),MATCH($X344,IF($T344&lt;24,pcomp_k,palt_k),1)),""))</f>
        <v/>
      </c>
      <c r="AT344">
        <f>IF(OR($X344="",$T344&gt;60),"",IFERROR(INDEX(IF($T344&lt;24,pcomp_s,palt_s),MATCH($X344,IF($T344&lt;24,pcomp_k,palt_k),1)),""))</f>
        <v/>
      </c>
      <c r="AU344">
        <f>IF($AR344="","",IF($AR344=0,LN($F344/$AS344)/$AT344,((($F344/$AS344)^$AR344)-1)/($AR344*$AT344)))</f>
        <v/>
      </c>
      <c r="AV344">
        <f>IF($AR344="","",IF($AR344=0,$AS344*EXP($AT344*2),$AS344*(1+$AR344*$AT344*2)^(1/$AR344)))</f>
        <v/>
      </c>
      <c r="AW344">
        <f>IF($AR344="","",IF($AR344=0,$AS344*EXP($AT344*3),$AS344*(1+$AR344*$AT344*3)^(1/$AR344)))</f>
        <v/>
      </c>
      <c r="AX344">
        <f>IF($AR344="","",IF($AR344=0,$AS344*EXP($AT344*-2),$AS344*(1+$AR344*$AT344*-2)^(1/$AR344)))</f>
        <v/>
      </c>
      <c r="AY344">
        <f>IF($AR344="","",IF($AR344=0,$AS344*EXP($AT344*-3),$AS344*(1+$AR344*$AT344*-3)^(1/$AR344)))</f>
        <v/>
      </c>
      <c r="AZ344">
        <f>IF(OR($A344="",$A344&lt;&gt;Ficha!$C$4),"",COUNTIF($A$2:$A344,Ficha!$C$4))</f>
        <v/>
      </c>
    </row>
    <row r="345">
      <c r="A345" s="8">
        <f>IF(INDEX(Banco!$A:$A,ROW())="","",INDEX(Banco!$A:$A,ROW()))</f>
        <v/>
      </c>
      <c r="B345" s="8">
        <f>IF(INDEX(Banco!$B:$B,ROW())="","",INDEX(Banco!$B:$B,ROW()))</f>
        <v/>
      </c>
      <c r="C345" s="8">
        <f>IF(INDEX(Banco!$C:$C,ROW())="","",INDEX(Banco!$C:$C,ROW()))</f>
        <v/>
      </c>
      <c r="D345" s="9">
        <f>IF(INDEX(Banco!$D:$D,ROW())="","",INDEX(Banco!$D:$D,ROW()))</f>
        <v/>
      </c>
      <c r="E345" s="9">
        <f>IF(INDEX(Banco!$E:$E,ROW())="","",INDEX(Banco!$E:$E,ROW()))</f>
        <v/>
      </c>
      <c r="F345" s="10">
        <f>IF(INDEX(Banco!$F:$F,ROW())="","",INDEX(Banco!$F:$F,ROW()))</f>
        <v/>
      </c>
      <c r="G345" s="10">
        <f>IF(INDEX(Banco!$G:$G,ROW())="","",INDEX(Banco!$G:$G,ROW()))</f>
        <v/>
      </c>
      <c r="H345" s="8">
        <f>IF(INDEX(Banco!$H:$H,ROW())="","",INDEX(Banco!$H:$H,ROW()))</f>
        <v/>
      </c>
      <c r="I345">
        <f>IF($T345="","",INT($T345/12)&amp;"a "&amp;MOD($T345,12)&amp;"m")</f>
        <v/>
      </c>
      <c r="J345" s="11">
        <f>IF(OR($F345="",$G345=""),"",ROUND($F345/($G345/100)^2,2))</f>
        <v/>
      </c>
      <c r="K345" s="12">
        <f>IF(OR($S345="",$J345="",$T345="",$T345&lt;0,$T345&gt;228,$Y345=""),"—",ROUND(IF(ABS($AB345)&lt;=3,$AB345,IF($AB345&gt;3,3+($J345-$AD345)/($AD345-$AC345),-3+($J345-$AF345)/($AE345-$AF345))),2))</f>
        <v/>
      </c>
      <c r="L345">
        <f>IF(OR($K345="",$K345="—"),"",IF($T345&lt;=60,IF($K345&lt;-3,"Magreza acentuada",IF($K345&lt;-2,"Magreza",IF($K345&lt;=1,"Eutrofia",IF($K345&lt;=2,"Risco de sobrepeso",IF($K345&lt;=3,"Sobrepeso","Obesidade"))))),IF($K345&lt;-3,"Magreza acentuada",IF($K345&lt;-2,"Magreza",IF($K345&lt;=1,"Eutrofia",IF($K345&lt;=2,"Sobrepeso",IF($K345&lt;=3,"Obesidade","Obesidade grave")))))))</f>
        <v/>
      </c>
      <c r="M345" s="12">
        <f>IF(OR($S345="",$V345="",$T345="",$T345&lt;0,$T345&gt;228,$AG345=""),"—",ROUND(IF($AG345=0,LN($V345/$AH345)/$AI345,((($V345/$AH345)^$AG345)-1)/($AG345*$AI345)),2))</f>
        <v/>
      </c>
      <c r="N345">
        <f>IF(OR($M345="",$M345="—"),"",IF($M345&lt;-3,"Muito baixa",IF($M345&lt;-2,"Baixa","Adequada")))</f>
        <v/>
      </c>
      <c r="O345" s="12">
        <f>IF(OR($S345="",$F345="",$T345="",$T345&lt;0,$T345&gt;120,$AJ345=""),"—",ROUND(IF(ABS($AM345)&lt;=3,$AM345,IF($AM345&gt;3,3+($F345-$AO345)/($AO345-$AN345),-3+($F345-$AQ345)/($AP345-$AQ345))),2))</f>
        <v/>
      </c>
      <c r="P345">
        <f>IF(OR($O345="",$O345="—"),"",IF($O345&lt;-3,"Muito baixo",IF($O345&lt;-2,"Baixo",IF($O345&lt;=2,"Adequado","Elevado"))))</f>
        <v/>
      </c>
      <c r="Q345" s="12">
        <f>IF(OR($S345="",$F345="",$T345="",$T345&lt;0,$T345&gt;60,$AR345=""),"—",ROUND(IF(ABS($AU345)&lt;=3,$AU345,IF($AU345&gt;3,3+($F345-$AW345)/($AW345-$AV345),-3+($F345-$AY345)/($AX345-$AY345))),2))</f>
        <v/>
      </c>
      <c r="R345">
        <f>IF(OR($Q345="",$Q345="—"),"",IF($Q345&lt;-3,"Magreza acentuada",IF($Q345&lt;-2,"Magreza",IF($Q345&lt;=1,"Eutrofia",IF($Q345&lt;=2,"Risco de sobrepeso",IF($Q345&lt;=3,"Sobrepeso","Obesidade"))))))</f>
        <v/>
      </c>
      <c r="S345">
        <f>IF($C345="","",IF(UPPER(LEFT($C345,1))="M",1,IF(UPPER(LEFT($C345,1))="F",2,"")))</f>
        <v/>
      </c>
      <c r="T345">
        <f>IF(OR($D345="",$E345=""),"",DATEDIF($D345,$E345,"m"))</f>
        <v/>
      </c>
      <c r="U345">
        <f>IF(OR($D345="",$E345=""),"",$E345-$D345)</f>
        <v/>
      </c>
      <c r="V345">
        <f>IF(OR($G345="",$T345=""),"",IF($T345&lt;24,IF(LEFT(LOWER($H345),4)="em p",$G345+0.7,$G345),IF(LEFT(LOWER($H345),4)="deit",$G345-0.7,$G345)))</f>
        <v/>
      </c>
      <c r="W345">
        <f>IF(OR($S345="",$T345=""),"",$S345*1000000+IF($T345&lt;=60,$U345,$T345))</f>
        <v/>
      </c>
      <c r="X345">
        <f>IF(OR($S345="",$V345="",$T345&gt;60,$T345=""),"",$S345*1000000+ROUND($V345*10,0))</f>
        <v/>
      </c>
      <c r="Y345">
        <f>IF($W345="","",IFERROR(INDEX(IF($T345&lt;=60,imc05_l,imc519_l),MATCH($W345,IF($T345&lt;=60,imc05_k,imc519_k),1)),""))</f>
        <v/>
      </c>
      <c r="Z345">
        <f>IF($W345="","",IFERROR(INDEX(IF($T345&lt;=60,imc05_m,imc519_m),MATCH($W345,IF($T345&lt;=60,imc05_k,imc519_k),1)),""))</f>
        <v/>
      </c>
      <c r="AA345">
        <f>IF($W345="","",IFERROR(INDEX(IF($T345&lt;=60,imc05_s,imc519_s),MATCH($W345,IF($T345&lt;=60,imc05_k,imc519_k),1)),""))</f>
        <v/>
      </c>
      <c r="AB345">
        <f>IF($Y345="","",IF($Y345=0,LN($J345/$Z345)/$AA345,((($J345/$Z345)^$Y345)-1)/($Y345*$AA345)))</f>
        <v/>
      </c>
      <c r="AC345">
        <f>IF($Y345="","",IF($Y345=0,$Z345*EXP($AA345*2),$Z345*(1+$Y345*$AA345*2)^(1/$Y345)))</f>
        <v/>
      </c>
      <c r="AD345">
        <f>IF($Y345="","",IF($Y345=0,$Z345*EXP($AA345*3),$Z345*(1+$Y345*$AA345*3)^(1/$Y345)))</f>
        <v/>
      </c>
      <c r="AE345">
        <f>IF($Y345="","",IF($Y345=0,$Z345*EXP($AA345*-2),$Z345*(1+$Y345*$AA345*-2)^(1/$Y345)))</f>
        <v/>
      </c>
      <c r="AF345">
        <f>IF($Y345="","",IF($Y345=0,$Z345*EXP($AA345*-3),$Z345*(1+$Y345*$AA345*-3)^(1/$Y345)))</f>
        <v/>
      </c>
      <c r="AG345">
        <f>IF($W345="","",IFERROR(INDEX(IF($T345&lt;=60,est05_l,est519_l),MATCH($W345,IF($T345&lt;=60,est05_k,est519_k),1)),""))</f>
        <v/>
      </c>
      <c r="AH345">
        <f>IF($W345="","",IFERROR(INDEX(IF($T345&lt;=60,est05_m,est519_m),MATCH($W345,IF($T345&lt;=60,est05_k,est519_k),1)),""))</f>
        <v/>
      </c>
      <c r="AI345">
        <f>IF($W345="","",IFERROR(INDEX(IF($T345&lt;=60,est05_s,est519_s),MATCH($W345,IF($T345&lt;=60,est05_k,est519_k),1)),""))</f>
        <v/>
      </c>
      <c r="AJ345">
        <f>IF($W345="","",IFERROR(INDEX(IF($T345&lt;=60,peso05_l,peso510_l),MATCH($W345,IF($T345&lt;=60,peso05_k,peso510_k),1)),""))</f>
        <v/>
      </c>
      <c r="AK345">
        <f>IF($W345="","",IFERROR(INDEX(IF($T345&lt;=60,peso05_m,peso510_m),MATCH($W345,IF($T345&lt;=60,peso05_k,peso510_k),1)),""))</f>
        <v/>
      </c>
      <c r="AL345">
        <f>IF($W345="","",IFERROR(INDEX(IF($T345&lt;=60,peso05_s,peso510_s),MATCH($W345,IF($T345&lt;=60,peso05_k,peso510_k),1)),""))</f>
        <v/>
      </c>
      <c r="AM345">
        <f>IF($AJ345="","",IF($AJ345=0,LN($F345/$AK345)/$AL345,((($F345/$AK345)^$AJ345)-1)/($AJ345*$AL345)))</f>
        <v/>
      </c>
      <c r="AN345">
        <f>IF($AJ345="","",IF($AJ345=0,$AK345*EXP($AL345*2),$AK345*(1+$AJ345*$AL345*2)^(1/$AJ345)))</f>
        <v/>
      </c>
      <c r="AO345">
        <f>IF($AJ345="","",IF($AJ345=0,$AK345*EXP($AL345*3),$AK345*(1+$AJ345*$AL345*3)^(1/$AJ345)))</f>
        <v/>
      </c>
      <c r="AP345">
        <f>IF($AJ345="","",IF($AJ345=0,$AK345*EXP($AL345*-2),$AK345*(1+$AJ345*$AL345*-2)^(1/$AJ345)))</f>
        <v/>
      </c>
      <c r="AQ345">
        <f>IF($AJ345="","",IF($AJ345=0,$AK345*EXP($AL345*-3),$AK345*(1+$AJ345*$AL345*-3)^(1/$AJ345)))</f>
        <v/>
      </c>
      <c r="AR345">
        <f>IF(OR($X345="",$T345&gt;60),"",IFERROR(INDEX(IF($T345&lt;24,pcomp_l,palt_l),MATCH($X345,IF($T345&lt;24,pcomp_k,palt_k),1)),""))</f>
        <v/>
      </c>
      <c r="AS345">
        <f>IF(OR($X345="",$T345&gt;60),"",IFERROR(INDEX(IF($T345&lt;24,pcomp_m,palt_m),MATCH($X345,IF($T345&lt;24,pcomp_k,palt_k),1)),""))</f>
        <v/>
      </c>
      <c r="AT345">
        <f>IF(OR($X345="",$T345&gt;60),"",IFERROR(INDEX(IF($T345&lt;24,pcomp_s,palt_s),MATCH($X345,IF($T345&lt;24,pcomp_k,palt_k),1)),""))</f>
        <v/>
      </c>
      <c r="AU345">
        <f>IF($AR345="","",IF($AR345=0,LN($F345/$AS345)/$AT345,((($F345/$AS345)^$AR345)-1)/($AR345*$AT345)))</f>
        <v/>
      </c>
      <c r="AV345">
        <f>IF($AR345="","",IF($AR345=0,$AS345*EXP($AT345*2),$AS345*(1+$AR345*$AT345*2)^(1/$AR345)))</f>
        <v/>
      </c>
      <c r="AW345">
        <f>IF($AR345="","",IF($AR345=0,$AS345*EXP($AT345*3),$AS345*(1+$AR345*$AT345*3)^(1/$AR345)))</f>
        <v/>
      </c>
      <c r="AX345">
        <f>IF($AR345="","",IF($AR345=0,$AS345*EXP($AT345*-2),$AS345*(1+$AR345*$AT345*-2)^(1/$AR345)))</f>
        <v/>
      </c>
      <c r="AY345">
        <f>IF($AR345="","",IF($AR345=0,$AS345*EXP($AT345*-3),$AS345*(1+$AR345*$AT345*-3)^(1/$AR345)))</f>
        <v/>
      </c>
      <c r="AZ345">
        <f>IF(OR($A345="",$A345&lt;&gt;Ficha!$C$4),"",COUNTIF($A$2:$A345,Ficha!$C$4))</f>
        <v/>
      </c>
    </row>
    <row r="346">
      <c r="A346" s="8">
        <f>IF(INDEX(Banco!$A:$A,ROW())="","",INDEX(Banco!$A:$A,ROW()))</f>
        <v/>
      </c>
      <c r="B346" s="8">
        <f>IF(INDEX(Banco!$B:$B,ROW())="","",INDEX(Banco!$B:$B,ROW()))</f>
        <v/>
      </c>
      <c r="C346" s="8">
        <f>IF(INDEX(Banco!$C:$C,ROW())="","",INDEX(Banco!$C:$C,ROW()))</f>
        <v/>
      </c>
      <c r="D346" s="9">
        <f>IF(INDEX(Banco!$D:$D,ROW())="","",INDEX(Banco!$D:$D,ROW()))</f>
        <v/>
      </c>
      <c r="E346" s="9">
        <f>IF(INDEX(Banco!$E:$E,ROW())="","",INDEX(Banco!$E:$E,ROW()))</f>
        <v/>
      </c>
      <c r="F346" s="10">
        <f>IF(INDEX(Banco!$F:$F,ROW())="","",INDEX(Banco!$F:$F,ROW()))</f>
        <v/>
      </c>
      <c r="G346" s="10">
        <f>IF(INDEX(Banco!$G:$G,ROW())="","",INDEX(Banco!$G:$G,ROW()))</f>
        <v/>
      </c>
      <c r="H346" s="8">
        <f>IF(INDEX(Banco!$H:$H,ROW())="","",INDEX(Banco!$H:$H,ROW()))</f>
        <v/>
      </c>
      <c r="I346">
        <f>IF($T346="","",INT($T346/12)&amp;"a "&amp;MOD($T346,12)&amp;"m")</f>
        <v/>
      </c>
      <c r="J346" s="11">
        <f>IF(OR($F346="",$G346=""),"",ROUND($F346/($G346/100)^2,2))</f>
        <v/>
      </c>
      <c r="K346" s="12">
        <f>IF(OR($S346="",$J346="",$T346="",$T346&lt;0,$T346&gt;228,$Y346=""),"—",ROUND(IF(ABS($AB346)&lt;=3,$AB346,IF($AB346&gt;3,3+($J346-$AD346)/($AD346-$AC346),-3+($J346-$AF346)/($AE346-$AF346))),2))</f>
        <v/>
      </c>
      <c r="L346">
        <f>IF(OR($K346="",$K346="—"),"",IF($T346&lt;=60,IF($K346&lt;-3,"Magreza acentuada",IF($K346&lt;-2,"Magreza",IF($K346&lt;=1,"Eutrofia",IF($K346&lt;=2,"Risco de sobrepeso",IF($K346&lt;=3,"Sobrepeso","Obesidade"))))),IF($K346&lt;-3,"Magreza acentuada",IF($K346&lt;-2,"Magreza",IF($K346&lt;=1,"Eutrofia",IF($K346&lt;=2,"Sobrepeso",IF($K346&lt;=3,"Obesidade","Obesidade grave")))))))</f>
        <v/>
      </c>
      <c r="M346" s="12">
        <f>IF(OR($S346="",$V346="",$T346="",$T346&lt;0,$T346&gt;228,$AG346=""),"—",ROUND(IF($AG346=0,LN($V346/$AH346)/$AI346,((($V346/$AH346)^$AG346)-1)/($AG346*$AI346)),2))</f>
        <v/>
      </c>
      <c r="N346">
        <f>IF(OR($M346="",$M346="—"),"",IF($M346&lt;-3,"Muito baixa",IF($M346&lt;-2,"Baixa","Adequada")))</f>
        <v/>
      </c>
      <c r="O346" s="12">
        <f>IF(OR($S346="",$F346="",$T346="",$T346&lt;0,$T346&gt;120,$AJ346=""),"—",ROUND(IF(ABS($AM346)&lt;=3,$AM346,IF($AM346&gt;3,3+($F346-$AO346)/($AO346-$AN346),-3+($F346-$AQ346)/($AP346-$AQ346))),2))</f>
        <v/>
      </c>
      <c r="P346">
        <f>IF(OR($O346="",$O346="—"),"",IF($O346&lt;-3,"Muito baixo",IF($O346&lt;-2,"Baixo",IF($O346&lt;=2,"Adequado","Elevado"))))</f>
        <v/>
      </c>
      <c r="Q346" s="12">
        <f>IF(OR($S346="",$F346="",$T346="",$T346&lt;0,$T346&gt;60,$AR346=""),"—",ROUND(IF(ABS($AU346)&lt;=3,$AU346,IF($AU346&gt;3,3+($F346-$AW346)/($AW346-$AV346),-3+($F346-$AY346)/($AX346-$AY346))),2))</f>
        <v/>
      </c>
      <c r="R346">
        <f>IF(OR($Q346="",$Q346="—"),"",IF($Q346&lt;-3,"Magreza acentuada",IF($Q346&lt;-2,"Magreza",IF($Q346&lt;=1,"Eutrofia",IF($Q346&lt;=2,"Risco de sobrepeso",IF($Q346&lt;=3,"Sobrepeso","Obesidade"))))))</f>
        <v/>
      </c>
      <c r="S346">
        <f>IF($C346="","",IF(UPPER(LEFT($C346,1))="M",1,IF(UPPER(LEFT($C346,1))="F",2,"")))</f>
        <v/>
      </c>
      <c r="T346">
        <f>IF(OR($D346="",$E346=""),"",DATEDIF($D346,$E346,"m"))</f>
        <v/>
      </c>
      <c r="U346">
        <f>IF(OR($D346="",$E346=""),"",$E346-$D346)</f>
        <v/>
      </c>
      <c r="V346">
        <f>IF(OR($G346="",$T346=""),"",IF($T346&lt;24,IF(LEFT(LOWER($H346),4)="em p",$G346+0.7,$G346),IF(LEFT(LOWER($H346),4)="deit",$G346-0.7,$G346)))</f>
        <v/>
      </c>
      <c r="W346">
        <f>IF(OR($S346="",$T346=""),"",$S346*1000000+IF($T346&lt;=60,$U346,$T346))</f>
        <v/>
      </c>
      <c r="X346">
        <f>IF(OR($S346="",$V346="",$T346&gt;60,$T346=""),"",$S346*1000000+ROUND($V346*10,0))</f>
        <v/>
      </c>
      <c r="Y346">
        <f>IF($W346="","",IFERROR(INDEX(IF($T346&lt;=60,imc05_l,imc519_l),MATCH($W346,IF($T346&lt;=60,imc05_k,imc519_k),1)),""))</f>
        <v/>
      </c>
      <c r="Z346">
        <f>IF($W346="","",IFERROR(INDEX(IF($T346&lt;=60,imc05_m,imc519_m),MATCH($W346,IF($T346&lt;=60,imc05_k,imc519_k),1)),""))</f>
        <v/>
      </c>
      <c r="AA346">
        <f>IF($W346="","",IFERROR(INDEX(IF($T346&lt;=60,imc05_s,imc519_s),MATCH($W346,IF($T346&lt;=60,imc05_k,imc519_k),1)),""))</f>
        <v/>
      </c>
      <c r="AB346">
        <f>IF($Y346="","",IF($Y346=0,LN($J346/$Z346)/$AA346,((($J346/$Z346)^$Y346)-1)/($Y346*$AA346)))</f>
        <v/>
      </c>
      <c r="AC346">
        <f>IF($Y346="","",IF($Y346=0,$Z346*EXP($AA346*2),$Z346*(1+$Y346*$AA346*2)^(1/$Y346)))</f>
        <v/>
      </c>
      <c r="AD346">
        <f>IF($Y346="","",IF($Y346=0,$Z346*EXP($AA346*3),$Z346*(1+$Y346*$AA346*3)^(1/$Y346)))</f>
        <v/>
      </c>
      <c r="AE346">
        <f>IF($Y346="","",IF($Y346=0,$Z346*EXP($AA346*-2),$Z346*(1+$Y346*$AA346*-2)^(1/$Y346)))</f>
        <v/>
      </c>
      <c r="AF346">
        <f>IF($Y346="","",IF($Y346=0,$Z346*EXP($AA346*-3),$Z346*(1+$Y346*$AA346*-3)^(1/$Y346)))</f>
        <v/>
      </c>
      <c r="AG346">
        <f>IF($W346="","",IFERROR(INDEX(IF($T346&lt;=60,est05_l,est519_l),MATCH($W346,IF($T346&lt;=60,est05_k,est519_k),1)),""))</f>
        <v/>
      </c>
      <c r="AH346">
        <f>IF($W346="","",IFERROR(INDEX(IF($T346&lt;=60,est05_m,est519_m),MATCH($W346,IF($T346&lt;=60,est05_k,est519_k),1)),""))</f>
        <v/>
      </c>
      <c r="AI346">
        <f>IF($W346="","",IFERROR(INDEX(IF($T346&lt;=60,est05_s,est519_s),MATCH($W346,IF($T346&lt;=60,est05_k,est519_k),1)),""))</f>
        <v/>
      </c>
      <c r="AJ346">
        <f>IF($W346="","",IFERROR(INDEX(IF($T346&lt;=60,peso05_l,peso510_l),MATCH($W346,IF($T346&lt;=60,peso05_k,peso510_k),1)),""))</f>
        <v/>
      </c>
      <c r="AK346">
        <f>IF($W346="","",IFERROR(INDEX(IF($T346&lt;=60,peso05_m,peso510_m),MATCH($W346,IF($T346&lt;=60,peso05_k,peso510_k),1)),""))</f>
        <v/>
      </c>
      <c r="AL346">
        <f>IF($W346="","",IFERROR(INDEX(IF($T346&lt;=60,peso05_s,peso510_s),MATCH($W346,IF($T346&lt;=60,peso05_k,peso510_k),1)),""))</f>
        <v/>
      </c>
      <c r="AM346">
        <f>IF($AJ346="","",IF($AJ346=0,LN($F346/$AK346)/$AL346,((($F346/$AK346)^$AJ346)-1)/($AJ346*$AL346)))</f>
        <v/>
      </c>
      <c r="AN346">
        <f>IF($AJ346="","",IF($AJ346=0,$AK346*EXP($AL346*2),$AK346*(1+$AJ346*$AL346*2)^(1/$AJ346)))</f>
        <v/>
      </c>
      <c r="AO346">
        <f>IF($AJ346="","",IF($AJ346=0,$AK346*EXP($AL346*3),$AK346*(1+$AJ346*$AL346*3)^(1/$AJ346)))</f>
        <v/>
      </c>
      <c r="AP346">
        <f>IF($AJ346="","",IF($AJ346=0,$AK346*EXP($AL346*-2),$AK346*(1+$AJ346*$AL346*-2)^(1/$AJ346)))</f>
        <v/>
      </c>
      <c r="AQ346">
        <f>IF($AJ346="","",IF($AJ346=0,$AK346*EXP($AL346*-3),$AK346*(1+$AJ346*$AL346*-3)^(1/$AJ346)))</f>
        <v/>
      </c>
      <c r="AR346">
        <f>IF(OR($X346="",$T346&gt;60),"",IFERROR(INDEX(IF($T346&lt;24,pcomp_l,palt_l),MATCH($X346,IF($T346&lt;24,pcomp_k,palt_k),1)),""))</f>
        <v/>
      </c>
      <c r="AS346">
        <f>IF(OR($X346="",$T346&gt;60),"",IFERROR(INDEX(IF($T346&lt;24,pcomp_m,palt_m),MATCH($X346,IF($T346&lt;24,pcomp_k,palt_k),1)),""))</f>
        <v/>
      </c>
      <c r="AT346">
        <f>IF(OR($X346="",$T346&gt;60),"",IFERROR(INDEX(IF($T346&lt;24,pcomp_s,palt_s),MATCH($X346,IF($T346&lt;24,pcomp_k,palt_k),1)),""))</f>
        <v/>
      </c>
      <c r="AU346">
        <f>IF($AR346="","",IF($AR346=0,LN($F346/$AS346)/$AT346,((($F346/$AS346)^$AR346)-1)/($AR346*$AT346)))</f>
        <v/>
      </c>
      <c r="AV346">
        <f>IF($AR346="","",IF($AR346=0,$AS346*EXP($AT346*2),$AS346*(1+$AR346*$AT346*2)^(1/$AR346)))</f>
        <v/>
      </c>
      <c r="AW346">
        <f>IF($AR346="","",IF($AR346=0,$AS346*EXP($AT346*3),$AS346*(1+$AR346*$AT346*3)^(1/$AR346)))</f>
        <v/>
      </c>
      <c r="AX346">
        <f>IF($AR346="","",IF($AR346=0,$AS346*EXP($AT346*-2),$AS346*(1+$AR346*$AT346*-2)^(1/$AR346)))</f>
        <v/>
      </c>
      <c r="AY346">
        <f>IF($AR346="","",IF($AR346=0,$AS346*EXP($AT346*-3),$AS346*(1+$AR346*$AT346*-3)^(1/$AR346)))</f>
        <v/>
      </c>
      <c r="AZ346">
        <f>IF(OR($A346="",$A346&lt;&gt;Ficha!$C$4),"",COUNTIF($A$2:$A346,Ficha!$C$4))</f>
        <v/>
      </c>
    </row>
    <row r="347">
      <c r="A347" s="8">
        <f>IF(INDEX(Banco!$A:$A,ROW())="","",INDEX(Banco!$A:$A,ROW()))</f>
        <v/>
      </c>
      <c r="B347" s="8">
        <f>IF(INDEX(Banco!$B:$B,ROW())="","",INDEX(Banco!$B:$B,ROW()))</f>
        <v/>
      </c>
      <c r="C347" s="8">
        <f>IF(INDEX(Banco!$C:$C,ROW())="","",INDEX(Banco!$C:$C,ROW()))</f>
        <v/>
      </c>
      <c r="D347" s="9">
        <f>IF(INDEX(Banco!$D:$D,ROW())="","",INDEX(Banco!$D:$D,ROW()))</f>
        <v/>
      </c>
      <c r="E347" s="9">
        <f>IF(INDEX(Banco!$E:$E,ROW())="","",INDEX(Banco!$E:$E,ROW()))</f>
        <v/>
      </c>
      <c r="F347" s="10">
        <f>IF(INDEX(Banco!$F:$F,ROW())="","",INDEX(Banco!$F:$F,ROW()))</f>
        <v/>
      </c>
      <c r="G347" s="10">
        <f>IF(INDEX(Banco!$G:$G,ROW())="","",INDEX(Banco!$G:$G,ROW()))</f>
        <v/>
      </c>
      <c r="H347" s="8">
        <f>IF(INDEX(Banco!$H:$H,ROW())="","",INDEX(Banco!$H:$H,ROW()))</f>
        <v/>
      </c>
      <c r="I347">
        <f>IF($T347="","",INT($T347/12)&amp;"a "&amp;MOD($T347,12)&amp;"m")</f>
        <v/>
      </c>
      <c r="J347" s="11">
        <f>IF(OR($F347="",$G347=""),"",ROUND($F347/($G347/100)^2,2))</f>
        <v/>
      </c>
      <c r="K347" s="12">
        <f>IF(OR($S347="",$J347="",$T347="",$T347&lt;0,$T347&gt;228,$Y347=""),"—",ROUND(IF(ABS($AB347)&lt;=3,$AB347,IF($AB347&gt;3,3+($J347-$AD347)/($AD347-$AC347),-3+($J347-$AF347)/($AE347-$AF347))),2))</f>
        <v/>
      </c>
      <c r="L347">
        <f>IF(OR($K347="",$K347="—"),"",IF($T347&lt;=60,IF($K347&lt;-3,"Magreza acentuada",IF($K347&lt;-2,"Magreza",IF($K347&lt;=1,"Eutrofia",IF($K347&lt;=2,"Risco de sobrepeso",IF($K347&lt;=3,"Sobrepeso","Obesidade"))))),IF($K347&lt;-3,"Magreza acentuada",IF($K347&lt;-2,"Magreza",IF($K347&lt;=1,"Eutrofia",IF($K347&lt;=2,"Sobrepeso",IF($K347&lt;=3,"Obesidade","Obesidade grave")))))))</f>
        <v/>
      </c>
      <c r="M347" s="12">
        <f>IF(OR($S347="",$V347="",$T347="",$T347&lt;0,$T347&gt;228,$AG347=""),"—",ROUND(IF($AG347=0,LN($V347/$AH347)/$AI347,((($V347/$AH347)^$AG347)-1)/($AG347*$AI347)),2))</f>
        <v/>
      </c>
      <c r="N347">
        <f>IF(OR($M347="",$M347="—"),"",IF($M347&lt;-3,"Muito baixa",IF($M347&lt;-2,"Baixa","Adequada")))</f>
        <v/>
      </c>
      <c r="O347" s="12">
        <f>IF(OR($S347="",$F347="",$T347="",$T347&lt;0,$T347&gt;120,$AJ347=""),"—",ROUND(IF(ABS($AM347)&lt;=3,$AM347,IF($AM347&gt;3,3+($F347-$AO347)/($AO347-$AN347),-3+($F347-$AQ347)/($AP347-$AQ347))),2))</f>
        <v/>
      </c>
      <c r="P347">
        <f>IF(OR($O347="",$O347="—"),"",IF($O347&lt;-3,"Muito baixo",IF($O347&lt;-2,"Baixo",IF($O347&lt;=2,"Adequado","Elevado"))))</f>
        <v/>
      </c>
      <c r="Q347" s="12">
        <f>IF(OR($S347="",$F347="",$T347="",$T347&lt;0,$T347&gt;60,$AR347=""),"—",ROUND(IF(ABS($AU347)&lt;=3,$AU347,IF($AU347&gt;3,3+($F347-$AW347)/($AW347-$AV347),-3+($F347-$AY347)/($AX347-$AY347))),2))</f>
        <v/>
      </c>
      <c r="R347">
        <f>IF(OR($Q347="",$Q347="—"),"",IF($Q347&lt;-3,"Magreza acentuada",IF($Q347&lt;-2,"Magreza",IF($Q347&lt;=1,"Eutrofia",IF($Q347&lt;=2,"Risco de sobrepeso",IF($Q347&lt;=3,"Sobrepeso","Obesidade"))))))</f>
        <v/>
      </c>
      <c r="S347">
        <f>IF($C347="","",IF(UPPER(LEFT($C347,1))="M",1,IF(UPPER(LEFT($C347,1))="F",2,"")))</f>
        <v/>
      </c>
      <c r="T347">
        <f>IF(OR($D347="",$E347=""),"",DATEDIF($D347,$E347,"m"))</f>
        <v/>
      </c>
      <c r="U347">
        <f>IF(OR($D347="",$E347=""),"",$E347-$D347)</f>
        <v/>
      </c>
      <c r="V347">
        <f>IF(OR($G347="",$T347=""),"",IF($T347&lt;24,IF(LEFT(LOWER($H347),4)="em p",$G347+0.7,$G347),IF(LEFT(LOWER($H347),4)="deit",$G347-0.7,$G347)))</f>
        <v/>
      </c>
      <c r="W347">
        <f>IF(OR($S347="",$T347=""),"",$S347*1000000+IF($T347&lt;=60,$U347,$T347))</f>
        <v/>
      </c>
      <c r="X347">
        <f>IF(OR($S347="",$V347="",$T347&gt;60,$T347=""),"",$S347*1000000+ROUND($V347*10,0))</f>
        <v/>
      </c>
      <c r="Y347">
        <f>IF($W347="","",IFERROR(INDEX(IF($T347&lt;=60,imc05_l,imc519_l),MATCH($W347,IF($T347&lt;=60,imc05_k,imc519_k),1)),""))</f>
        <v/>
      </c>
      <c r="Z347">
        <f>IF($W347="","",IFERROR(INDEX(IF($T347&lt;=60,imc05_m,imc519_m),MATCH($W347,IF($T347&lt;=60,imc05_k,imc519_k),1)),""))</f>
        <v/>
      </c>
      <c r="AA347">
        <f>IF($W347="","",IFERROR(INDEX(IF($T347&lt;=60,imc05_s,imc519_s),MATCH($W347,IF($T347&lt;=60,imc05_k,imc519_k),1)),""))</f>
        <v/>
      </c>
      <c r="AB347">
        <f>IF($Y347="","",IF($Y347=0,LN($J347/$Z347)/$AA347,((($J347/$Z347)^$Y347)-1)/($Y347*$AA347)))</f>
        <v/>
      </c>
      <c r="AC347">
        <f>IF($Y347="","",IF($Y347=0,$Z347*EXP($AA347*2),$Z347*(1+$Y347*$AA347*2)^(1/$Y347)))</f>
        <v/>
      </c>
      <c r="AD347">
        <f>IF($Y347="","",IF($Y347=0,$Z347*EXP($AA347*3),$Z347*(1+$Y347*$AA347*3)^(1/$Y347)))</f>
        <v/>
      </c>
      <c r="AE347">
        <f>IF($Y347="","",IF($Y347=0,$Z347*EXP($AA347*-2),$Z347*(1+$Y347*$AA347*-2)^(1/$Y347)))</f>
        <v/>
      </c>
      <c r="AF347">
        <f>IF($Y347="","",IF($Y347=0,$Z347*EXP($AA347*-3),$Z347*(1+$Y347*$AA347*-3)^(1/$Y347)))</f>
        <v/>
      </c>
      <c r="AG347">
        <f>IF($W347="","",IFERROR(INDEX(IF($T347&lt;=60,est05_l,est519_l),MATCH($W347,IF($T347&lt;=60,est05_k,est519_k),1)),""))</f>
        <v/>
      </c>
      <c r="AH347">
        <f>IF($W347="","",IFERROR(INDEX(IF($T347&lt;=60,est05_m,est519_m),MATCH($W347,IF($T347&lt;=60,est05_k,est519_k),1)),""))</f>
        <v/>
      </c>
      <c r="AI347">
        <f>IF($W347="","",IFERROR(INDEX(IF($T347&lt;=60,est05_s,est519_s),MATCH($W347,IF($T347&lt;=60,est05_k,est519_k),1)),""))</f>
        <v/>
      </c>
      <c r="AJ347">
        <f>IF($W347="","",IFERROR(INDEX(IF($T347&lt;=60,peso05_l,peso510_l),MATCH($W347,IF($T347&lt;=60,peso05_k,peso510_k),1)),""))</f>
        <v/>
      </c>
      <c r="AK347">
        <f>IF($W347="","",IFERROR(INDEX(IF($T347&lt;=60,peso05_m,peso510_m),MATCH($W347,IF($T347&lt;=60,peso05_k,peso510_k),1)),""))</f>
        <v/>
      </c>
      <c r="AL347">
        <f>IF($W347="","",IFERROR(INDEX(IF($T347&lt;=60,peso05_s,peso510_s),MATCH($W347,IF($T347&lt;=60,peso05_k,peso510_k),1)),""))</f>
        <v/>
      </c>
      <c r="AM347">
        <f>IF($AJ347="","",IF($AJ347=0,LN($F347/$AK347)/$AL347,((($F347/$AK347)^$AJ347)-1)/($AJ347*$AL347)))</f>
        <v/>
      </c>
      <c r="AN347">
        <f>IF($AJ347="","",IF($AJ347=0,$AK347*EXP($AL347*2),$AK347*(1+$AJ347*$AL347*2)^(1/$AJ347)))</f>
        <v/>
      </c>
      <c r="AO347">
        <f>IF($AJ347="","",IF($AJ347=0,$AK347*EXP($AL347*3),$AK347*(1+$AJ347*$AL347*3)^(1/$AJ347)))</f>
        <v/>
      </c>
      <c r="AP347">
        <f>IF($AJ347="","",IF($AJ347=0,$AK347*EXP($AL347*-2),$AK347*(1+$AJ347*$AL347*-2)^(1/$AJ347)))</f>
        <v/>
      </c>
      <c r="AQ347">
        <f>IF($AJ347="","",IF($AJ347=0,$AK347*EXP($AL347*-3),$AK347*(1+$AJ347*$AL347*-3)^(1/$AJ347)))</f>
        <v/>
      </c>
      <c r="AR347">
        <f>IF(OR($X347="",$T347&gt;60),"",IFERROR(INDEX(IF($T347&lt;24,pcomp_l,palt_l),MATCH($X347,IF($T347&lt;24,pcomp_k,palt_k),1)),""))</f>
        <v/>
      </c>
      <c r="AS347">
        <f>IF(OR($X347="",$T347&gt;60),"",IFERROR(INDEX(IF($T347&lt;24,pcomp_m,palt_m),MATCH($X347,IF($T347&lt;24,pcomp_k,palt_k),1)),""))</f>
        <v/>
      </c>
      <c r="AT347">
        <f>IF(OR($X347="",$T347&gt;60),"",IFERROR(INDEX(IF($T347&lt;24,pcomp_s,palt_s),MATCH($X347,IF($T347&lt;24,pcomp_k,palt_k),1)),""))</f>
        <v/>
      </c>
      <c r="AU347">
        <f>IF($AR347="","",IF($AR347=0,LN($F347/$AS347)/$AT347,((($F347/$AS347)^$AR347)-1)/($AR347*$AT347)))</f>
        <v/>
      </c>
      <c r="AV347">
        <f>IF($AR347="","",IF($AR347=0,$AS347*EXP($AT347*2),$AS347*(1+$AR347*$AT347*2)^(1/$AR347)))</f>
        <v/>
      </c>
      <c r="AW347">
        <f>IF($AR347="","",IF($AR347=0,$AS347*EXP($AT347*3),$AS347*(1+$AR347*$AT347*3)^(1/$AR347)))</f>
        <v/>
      </c>
      <c r="AX347">
        <f>IF($AR347="","",IF($AR347=0,$AS347*EXP($AT347*-2),$AS347*(1+$AR347*$AT347*-2)^(1/$AR347)))</f>
        <v/>
      </c>
      <c r="AY347">
        <f>IF($AR347="","",IF($AR347=0,$AS347*EXP($AT347*-3),$AS347*(1+$AR347*$AT347*-3)^(1/$AR347)))</f>
        <v/>
      </c>
      <c r="AZ347">
        <f>IF(OR($A347="",$A347&lt;&gt;Ficha!$C$4),"",COUNTIF($A$2:$A347,Ficha!$C$4))</f>
        <v/>
      </c>
    </row>
    <row r="348">
      <c r="A348" s="8">
        <f>IF(INDEX(Banco!$A:$A,ROW())="","",INDEX(Banco!$A:$A,ROW()))</f>
        <v/>
      </c>
      <c r="B348" s="8">
        <f>IF(INDEX(Banco!$B:$B,ROW())="","",INDEX(Banco!$B:$B,ROW()))</f>
        <v/>
      </c>
      <c r="C348" s="8">
        <f>IF(INDEX(Banco!$C:$C,ROW())="","",INDEX(Banco!$C:$C,ROW()))</f>
        <v/>
      </c>
      <c r="D348" s="9">
        <f>IF(INDEX(Banco!$D:$D,ROW())="","",INDEX(Banco!$D:$D,ROW()))</f>
        <v/>
      </c>
      <c r="E348" s="9">
        <f>IF(INDEX(Banco!$E:$E,ROW())="","",INDEX(Banco!$E:$E,ROW()))</f>
        <v/>
      </c>
      <c r="F348" s="10">
        <f>IF(INDEX(Banco!$F:$F,ROW())="","",INDEX(Banco!$F:$F,ROW()))</f>
        <v/>
      </c>
      <c r="G348" s="10">
        <f>IF(INDEX(Banco!$G:$G,ROW())="","",INDEX(Banco!$G:$G,ROW()))</f>
        <v/>
      </c>
      <c r="H348" s="8">
        <f>IF(INDEX(Banco!$H:$H,ROW())="","",INDEX(Banco!$H:$H,ROW()))</f>
        <v/>
      </c>
      <c r="I348">
        <f>IF($T348="","",INT($T348/12)&amp;"a "&amp;MOD($T348,12)&amp;"m")</f>
        <v/>
      </c>
      <c r="J348" s="11">
        <f>IF(OR($F348="",$G348=""),"",ROUND($F348/($G348/100)^2,2))</f>
        <v/>
      </c>
      <c r="K348" s="12">
        <f>IF(OR($S348="",$J348="",$T348="",$T348&lt;0,$T348&gt;228,$Y348=""),"—",ROUND(IF(ABS($AB348)&lt;=3,$AB348,IF($AB348&gt;3,3+($J348-$AD348)/($AD348-$AC348),-3+($J348-$AF348)/($AE348-$AF348))),2))</f>
        <v/>
      </c>
      <c r="L348">
        <f>IF(OR($K348="",$K348="—"),"",IF($T348&lt;=60,IF($K348&lt;-3,"Magreza acentuada",IF($K348&lt;-2,"Magreza",IF($K348&lt;=1,"Eutrofia",IF($K348&lt;=2,"Risco de sobrepeso",IF($K348&lt;=3,"Sobrepeso","Obesidade"))))),IF($K348&lt;-3,"Magreza acentuada",IF($K348&lt;-2,"Magreza",IF($K348&lt;=1,"Eutrofia",IF($K348&lt;=2,"Sobrepeso",IF($K348&lt;=3,"Obesidade","Obesidade grave")))))))</f>
        <v/>
      </c>
      <c r="M348" s="12">
        <f>IF(OR($S348="",$V348="",$T348="",$T348&lt;0,$T348&gt;228,$AG348=""),"—",ROUND(IF($AG348=0,LN($V348/$AH348)/$AI348,((($V348/$AH348)^$AG348)-1)/($AG348*$AI348)),2))</f>
        <v/>
      </c>
      <c r="N348">
        <f>IF(OR($M348="",$M348="—"),"",IF($M348&lt;-3,"Muito baixa",IF($M348&lt;-2,"Baixa","Adequada")))</f>
        <v/>
      </c>
      <c r="O348" s="12">
        <f>IF(OR($S348="",$F348="",$T348="",$T348&lt;0,$T348&gt;120,$AJ348=""),"—",ROUND(IF(ABS($AM348)&lt;=3,$AM348,IF($AM348&gt;3,3+($F348-$AO348)/($AO348-$AN348),-3+($F348-$AQ348)/($AP348-$AQ348))),2))</f>
        <v/>
      </c>
      <c r="P348">
        <f>IF(OR($O348="",$O348="—"),"",IF($O348&lt;-3,"Muito baixo",IF($O348&lt;-2,"Baixo",IF($O348&lt;=2,"Adequado","Elevado"))))</f>
        <v/>
      </c>
      <c r="Q348" s="12">
        <f>IF(OR($S348="",$F348="",$T348="",$T348&lt;0,$T348&gt;60,$AR348=""),"—",ROUND(IF(ABS($AU348)&lt;=3,$AU348,IF($AU348&gt;3,3+($F348-$AW348)/($AW348-$AV348),-3+($F348-$AY348)/($AX348-$AY348))),2))</f>
        <v/>
      </c>
      <c r="R348">
        <f>IF(OR($Q348="",$Q348="—"),"",IF($Q348&lt;-3,"Magreza acentuada",IF($Q348&lt;-2,"Magreza",IF($Q348&lt;=1,"Eutrofia",IF($Q348&lt;=2,"Risco de sobrepeso",IF($Q348&lt;=3,"Sobrepeso","Obesidade"))))))</f>
        <v/>
      </c>
      <c r="S348">
        <f>IF($C348="","",IF(UPPER(LEFT($C348,1))="M",1,IF(UPPER(LEFT($C348,1))="F",2,"")))</f>
        <v/>
      </c>
      <c r="T348">
        <f>IF(OR($D348="",$E348=""),"",DATEDIF($D348,$E348,"m"))</f>
        <v/>
      </c>
      <c r="U348">
        <f>IF(OR($D348="",$E348=""),"",$E348-$D348)</f>
        <v/>
      </c>
      <c r="V348">
        <f>IF(OR($G348="",$T348=""),"",IF($T348&lt;24,IF(LEFT(LOWER($H348),4)="em p",$G348+0.7,$G348),IF(LEFT(LOWER($H348),4)="deit",$G348-0.7,$G348)))</f>
        <v/>
      </c>
      <c r="W348">
        <f>IF(OR($S348="",$T348=""),"",$S348*1000000+IF($T348&lt;=60,$U348,$T348))</f>
        <v/>
      </c>
      <c r="X348">
        <f>IF(OR($S348="",$V348="",$T348&gt;60,$T348=""),"",$S348*1000000+ROUND($V348*10,0))</f>
        <v/>
      </c>
      <c r="Y348">
        <f>IF($W348="","",IFERROR(INDEX(IF($T348&lt;=60,imc05_l,imc519_l),MATCH($W348,IF($T348&lt;=60,imc05_k,imc519_k),1)),""))</f>
        <v/>
      </c>
      <c r="Z348">
        <f>IF($W348="","",IFERROR(INDEX(IF($T348&lt;=60,imc05_m,imc519_m),MATCH($W348,IF($T348&lt;=60,imc05_k,imc519_k),1)),""))</f>
        <v/>
      </c>
      <c r="AA348">
        <f>IF($W348="","",IFERROR(INDEX(IF($T348&lt;=60,imc05_s,imc519_s),MATCH($W348,IF($T348&lt;=60,imc05_k,imc519_k),1)),""))</f>
        <v/>
      </c>
      <c r="AB348">
        <f>IF($Y348="","",IF($Y348=0,LN($J348/$Z348)/$AA348,((($J348/$Z348)^$Y348)-1)/($Y348*$AA348)))</f>
        <v/>
      </c>
      <c r="AC348">
        <f>IF($Y348="","",IF($Y348=0,$Z348*EXP($AA348*2),$Z348*(1+$Y348*$AA348*2)^(1/$Y348)))</f>
        <v/>
      </c>
      <c r="AD348">
        <f>IF($Y348="","",IF($Y348=0,$Z348*EXP($AA348*3),$Z348*(1+$Y348*$AA348*3)^(1/$Y348)))</f>
        <v/>
      </c>
      <c r="AE348">
        <f>IF($Y348="","",IF($Y348=0,$Z348*EXP($AA348*-2),$Z348*(1+$Y348*$AA348*-2)^(1/$Y348)))</f>
        <v/>
      </c>
      <c r="AF348">
        <f>IF($Y348="","",IF($Y348=0,$Z348*EXP($AA348*-3),$Z348*(1+$Y348*$AA348*-3)^(1/$Y348)))</f>
        <v/>
      </c>
      <c r="AG348">
        <f>IF($W348="","",IFERROR(INDEX(IF($T348&lt;=60,est05_l,est519_l),MATCH($W348,IF($T348&lt;=60,est05_k,est519_k),1)),""))</f>
        <v/>
      </c>
      <c r="AH348">
        <f>IF($W348="","",IFERROR(INDEX(IF($T348&lt;=60,est05_m,est519_m),MATCH($W348,IF($T348&lt;=60,est05_k,est519_k),1)),""))</f>
        <v/>
      </c>
      <c r="AI348">
        <f>IF($W348="","",IFERROR(INDEX(IF($T348&lt;=60,est05_s,est519_s),MATCH($W348,IF($T348&lt;=60,est05_k,est519_k),1)),""))</f>
        <v/>
      </c>
      <c r="AJ348">
        <f>IF($W348="","",IFERROR(INDEX(IF($T348&lt;=60,peso05_l,peso510_l),MATCH($W348,IF($T348&lt;=60,peso05_k,peso510_k),1)),""))</f>
        <v/>
      </c>
      <c r="AK348">
        <f>IF($W348="","",IFERROR(INDEX(IF($T348&lt;=60,peso05_m,peso510_m),MATCH($W348,IF($T348&lt;=60,peso05_k,peso510_k),1)),""))</f>
        <v/>
      </c>
      <c r="AL348">
        <f>IF($W348="","",IFERROR(INDEX(IF($T348&lt;=60,peso05_s,peso510_s),MATCH($W348,IF($T348&lt;=60,peso05_k,peso510_k),1)),""))</f>
        <v/>
      </c>
      <c r="AM348">
        <f>IF($AJ348="","",IF($AJ348=0,LN($F348/$AK348)/$AL348,((($F348/$AK348)^$AJ348)-1)/($AJ348*$AL348)))</f>
        <v/>
      </c>
      <c r="AN348">
        <f>IF($AJ348="","",IF($AJ348=0,$AK348*EXP($AL348*2),$AK348*(1+$AJ348*$AL348*2)^(1/$AJ348)))</f>
        <v/>
      </c>
      <c r="AO348">
        <f>IF($AJ348="","",IF($AJ348=0,$AK348*EXP($AL348*3),$AK348*(1+$AJ348*$AL348*3)^(1/$AJ348)))</f>
        <v/>
      </c>
      <c r="AP348">
        <f>IF($AJ348="","",IF($AJ348=0,$AK348*EXP($AL348*-2),$AK348*(1+$AJ348*$AL348*-2)^(1/$AJ348)))</f>
        <v/>
      </c>
      <c r="AQ348">
        <f>IF($AJ348="","",IF($AJ348=0,$AK348*EXP($AL348*-3),$AK348*(1+$AJ348*$AL348*-3)^(1/$AJ348)))</f>
        <v/>
      </c>
      <c r="AR348">
        <f>IF(OR($X348="",$T348&gt;60),"",IFERROR(INDEX(IF($T348&lt;24,pcomp_l,palt_l),MATCH($X348,IF($T348&lt;24,pcomp_k,palt_k),1)),""))</f>
        <v/>
      </c>
      <c r="AS348">
        <f>IF(OR($X348="",$T348&gt;60),"",IFERROR(INDEX(IF($T348&lt;24,pcomp_m,palt_m),MATCH($X348,IF($T348&lt;24,pcomp_k,palt_k),1)),""))</f>
        <v/>
      </c>
      <c r="AT348">
        <f>IF(OR($X348="",$T348&gt;60),"",IFERROR(INDEX(IF($T348&lt;24,pcomp_s,palt_s),MATCH($X348,IF($T348&lt;24,pcomp_k,palt_k),1)),""))</f>
        <v/>
      </c>
      <c r="AU348">
        <f>IF($AR348="","",IF($AR348=0,LN($F348/$AS348)/$AT348,((($F348/$AS348)^$AR348)-1)/($AR348*$AT348)))</f>
        <v/>
      </c>
      <c r="AV348">
        <f>IF($AR348="","",IF($AR348=0,$AS348*EXP($AT348*2),$AS348*(1+$AR348*$AT348*2)^(1/$AR348)))</f>
        <v/>
      </c>
      <c r="AW348">
        <f>IF($AR348="","",IF($AR348=0,$AS348*EXP($AT348*3),$AS348*(1+$AR348*$AT348*3)^(1/$AR348)))</f>
        <v/>
      </c>
      <c r="AX348">
        <f>IF($AR348="","",IF($AR348=0,$AS348*EXP($AT348*-2),$AS348*(1+$AR348*$AT348*-2)^(1/$AR348)))</f>
        <v/>
      </c>
      <c r="AY348">
        <f>IF($AR348="","",IF($AR348=0,$AS348*EXP($AT348*-3),$AS348*(1+$AR348*$AT348*-3)^(1/$AR348)))</f>
        <v/>
      </c>
      <c r="AZ348">
        <f>IF(OR($A348="",$A348&lt;&gt;Ficha!$C$4),"",COUNTIF($A$2:$A348,Ficha!$C$4))</f>
        <v/>
      </c>
    </row>
    <row r="349">
      <c r="A349" s="8">
        <f>IF(INDEX(Banco!$A:$A,ROW())="","",INDEX(Banco!$A:$A,ROW()))</f>
        <v/>
      </c>
      <c r="B349" s="8">
        <f>IF(INDEX(Banco!$B:$B,ROW())="","",INDEX(Banco!$B:$B,ROW()))</f>
        <v/>
      </c>
      <c r="C349" s="8">
        <f>IF(INDEX(Banco!$C:$C,ROW())="","",INDEX(Banco!$C:$C,ROW()))</f>
        <v/>
      </c>
      <c r="D349" s="9">
        <f>IF(INDEX(Banco!$D:$D,ROW())="","",INDEX(Banco!$D:$D,ROW()))</f>
        <v/>
      </c>
      <c r="E349" s="9">
        <f>IF(INDEX(Banco!$E:$E,ROW())="","",INDEX(Banco!$E:$E,ROW()))</f>
        <v/>
      </c>
      <c r="F349" s="10">
        <f>IF(INDEX(Banco!$F:$F,ROW())="","",INDEX(Banco!$F:$F,ROW()))</f>
        <v/>
      </c>
      <c r="G349" s="10">
        <f>IF(INDEX(Banco!$G:$G,ROW())="","",INDEX(Banco!$G:$G,ROW()))</f>
        <v/>
      </c>
      <c r="H349" s="8">
        <f>IF(INDEX(Banco!$H:$H,ROW())="","",INDEX(Banco!$H:$H,ROW()))</f>
        <v/>
      </c>
      <c r="I349">
        <f>IF($T349="","",INT($T349/12)&amp;"a "&amp;MOD($T349,12)&amp;"m")</f>
        <v/>
      </c>
      <c r="J349" s="11">
        <f>IF(OR($F349="",$G349=""),"",ROUND($F349/($G349/100)^2,2))</f>
        <v/>
      </c>
      <c r="K349" s="12">
        <f>IF(OR($S349="",$J349="",$T349="",$T349&lt;0,$T349&gt;228,$Y349=""),"—",ROUND(IF(ABS($AB349)&lt;=3,$AB349,IF($AB349&gt;3,3+($J349-$AD349)/($AD349-$AC349),-3+($J349-$AF349)/($AE349-$AF349))),2))</f>
        <v/>
      </c>
      <c r="L349">
        <f>IF(OR($K349="",$K349="—"),"",IF($T349&lt;=60,IF($K349&lt;-3,"Magreza acentuada",IF($K349&lt;-2,"Magreza",IF($K349&lt;=1,"Eutrofia",IF($K349&lt;=2,"Risco de sobrepeso",IF($K349&lt;=3,"Sobrepeso","Obesidade"))))),IF($K349&lt;-3,"Magreza acentuada",IF($K349&lt;-2,"Magreza",IF($K349&lt;=1,"Eutrofia",IF($K349&lt;=2,"Sobrepeso",IF($K349&lt;=3,"Obesidade","Obesidade grave")))))))</f>
        <v/>
      </c>
      <c r="M349" s="12">
        <f>IF(OR($S349="",$V349="",$T349="",$T349&lt;0,$T349&gt;228,$AG349=""),"—",ROUND(IF($AG349=0,LN($V349/$AH349)/$AI349,((($V349/$AH349)^$AG349)-1)/($AG349*$AI349)),2))</f>
        <v/>
      </c>
      <c r="N349">
        <f>IF(OR($M349="",$M349="—"),"",IF($M349&lt;-3,"Muito baixa",IF($M349&lt;-2,"Baixa","Adequada")))</f>
        <v/>
      </c>
      <c r="O349" s="12">
        <f>IF(OR($S349="",$F349="",$T349="",$T349&lt;0,$T349&gt;120,$AJ349=""),"—",ROUND(IF(ABS($AM349)&lt;=3,$AM349,IF($AM349&gt;3,3+($F349-$AO349)/($AO349-$AN349),-3+($F349-$AQ349)/($AP349-$AQ349))),2))</f>
        <v/>
      </c>
      <c r="P349">
        <f>IF(OR($O349="",$O349="—"),"",IF($O349&lt;-3,"Muito baixo",IF($O349&lt;-2,"Baixo",IF($O349&lt;=2,"Adequado","Elevado"))))</f>
        <v/>
      </c>
      <c r="Q349" s="12">
        <f>IF(OR($S349="",$F349="",$T349="",$T349&lt;0,$T349&gt;60,$AR349=""),"—",ROUND(IF(ABS($AU349)&lt;=3,$AU349,IF($AU349&gt;3,3+($F349-$AW349)/($AW349-$AV349),-3+($F349-$AY349)/($AX349-$AY349))),2))</f>
        <v/>
      </c>
      <c r="R349">
        <f>IF(OR($Q349="",$Q349="—"),"",IF($Q349&lt;-3,"Magreza acentuada",IF($Q349&lt;-2,"Magreza",IF($Q349&lt;=1,"Eutrofia",IF($Q349&lt;=2,"Risco de sobrepeso",IF($Q349&lt;=3,"Sobrepeso","Obesidade"))))))</f>
        <v/>
      </c>
      <c r="S349">
        <f>IF($C349="","",IF(UPPER(LEFT($C349,1))="M",1,IF(UPPER(LEFT($C349,1))="F",2,"")))</f>
        <v/>
      </c>
      <c r="T349">
        <f>IF(OR($D349="",$E349=""),"",DATEDIF($D349,$E349,"m"))</f>
        <v/>
      </c>
      <c r="U349">
        <f>IF(OR($D349="",$E349=""),"",$E349-$D349)</f>
        <v/>
      </c>
      <c r="V349">
        <f>IF(OR($G349="",$T349=""),"",IF($T349&lt;24,IF(LEFT(LOWER($H349),4)="em p",$G349+0.7,$G349),IF(LEFT(LOWER($H349),4)="deit",$G349-0.7,$G349)))</f>
        <v/>
      </c>
      <c r="W349">
        <f>IF(OR($S349="",$T349=""),"",$S349*1000000+IF($T349&lt;=60,$U349,$T349))</f>
        <v/>
      </c>
      <c r="X349">
        <f>IF(OR($S349="",$V349="",$T349&gt;60,$T349=""),"",$S349*1000000+ROUND($V349*10,0))</f>
        <v/>
      </c>
      <c r="Y349">
        <f>IF($W349="","",IFERROR(INDEX(IF($T349&lt;=60,imc05_l,imc519_l),MATCH($W349,IF($T349&lt;=60,imc05_k,imc519_k),1)),""))</f>
        <v/>
      </c>
      <c r="Z349">
        <f>IF($W349="","",IFERROR(INDEX(IF($T349&lt;=60,imc05_m,imc519_m),MATCH($W349,IF($T349&lt;=60,imc05_k,imc519_k),1)),""))</f>
        <v/>
      </c>
      <c r="AA349">
        <f>IF($W349="","",IFERROR(INDEX(IF($T349&lt;=60,imc05_s,imc519_s),MATCH($W349,IF($T349&lt;=60,imc05_k,imc519_k),1)),""))</f>
        <v/>
      </c>
      <c r="AB349">
        <f>IF($Y349="","",IF($Y349=0,LN($J349/$Z349)/$AA349,((($J349/$Z349)^$Y349)-1)/($Y349*$AA349)))</f>
        <v/>
      </c>
      <c r="AC349">
        <f>IF($Y349="","",IF($Y349=0,$Z349*EXP($AA349*2),$Z349*(1+$Y349*$AA349*2)^(1/$Y349)))</f>
        <v/>
      </c>
      <c r="AD349">
        <f>IF($Y349="","",IF($Y349=0,$Z349*EXP($AA349*3),$Z349*(1+$Y349*$AA349*3)^(1/$Y349)))</f>
        <v/>
      </c>
      <c r="AE349">
        <f>IF($Y349="","",IF($Y349=0,$Z349*EXP($AA349*-2),$Z349*(1+$Y349*$AA349*-2)^(1/$Y349)))</f>
        <v/>
      </c>
      <c r="AF349">
        <f>IF($Y349="","",IF($Y349=0,$Z349*EXP($AA349*-3),$Z349*(1+$Y349*$AA349*-3)^(1/$Y349)))</f>
        <v/>
      </c>
      <c r="AG349">
        <f>IF($W349="","",IFERROR(INDEX(IF($T349&lt;=60,est05_l,est519_l),MATCH($W349,IF($T349&lt;=60,est05_k,est519_k),1)),""))</f>
        <v/>
      </c>
      <c r="AH349">
        <f>IF($W349="","",IFERROR(INDEX(IF($T349&lt;=60,est05_m,est519_m),MATCH($W349,IF($T349&lt;=60,est05_k,est519_k),1)),""))</f>
        <v/>
      </c>
      <c r="AI349">
        <f>IF($W349="","",IFERROR(INDEX(IF($T349&lt;=60,est05_s,est519_s),MATCH($W349,IF($T349&lt;=60,est05_k,est519_k),1)),""))</f>
        <v/>
      </c>
      <c r="AJ349">
        <f>IF($W349="","",IFERROR(INDEX(IF($T349&lt;=60,peso05_l,peso510_l),MATCH($W349,IF($T349&lt;=60,peso05_k,peso510_k),1)),""))</f>
        <v/>
      </c>
      <c r="AK349">
        <f>IF($W349="","",IFERROR(INDEX(IF($T349&lt;=60,peso05_m,peso510_m),MATCH($W349,IF($T349&lt;=60,peso05_k,peso510_k),1)),""))</f>
        <v/>
      </c>
      <c r="AL349">
        <f>IF($W349="","",IFERROR(INDEX(IF($T349&lt;=60,peso05_s,peso510_s),MATCH($W349,IF($T349&lt;=60,peso05_k,peso510_k),1)),""))</f>
        <v/>
      </c>
      <c r="AM349">
        <f>IF($AJ349="","",IF($AJ349=0,LN($F349/$AK349)/$AL349,((($F349/$AK349)^$AJ349)-1)/($AJ349*$AL349)))</f>
        <v/>
      </c>
      <c r="AN349">
        <f>IF($AJ349="","",IF($AJ349=0,$AK349*EXP($AL349*2),$AK349*(1+$AJ349*$AL349*2)^(1/$AJ349)))</f>
        <v/>
      </c>
      <c r="AO349">
        <f>IF($AJ349="","",IF($AJ349=0,$AK349*EXP($AL349*3),$AK349*(1+$AJ349*$AL349*3)^(1/$AJ349)))</f>
        <v/>
      </c>
      <c r="AP349">
        <f>IF($AJ349="","",IF($AJ349=0,$AK349*EXP($AL349*-2),$AK349*(1+$AJ349*$AL349*-2)^(1/$AJ349)))</f>
        <v/>
      </c>
      <c r="AQ349">
        <f>IF($AJ349="","",IF($AJ349=0,$AK349*EXP($AL349*-3),$AK349*(1+$AJ349*$AL349*-3)^(1/$AJ349)))</f>
        <v/>
      </c>
      <c r="AR349">
        <f>IF(OR($X349="",$T349&gt;60),"",IFERROR(INDEX(IF($T349&lt;24,pcomp_l,palt_l),MATCH($X349,IF($T349&lt;24,pcomp_k,palt_k),1)),""))</f>
        <v/>
      </c>
      <c r="AS349">
        <f>IF(OR($X349="",$T349&gt;60),"",IFERROR(INDEX(IF($T349&lt;24,pcomp_m,palt_m),MATCH($X349,IF($T349&lt;24,pcomp_k,palt_k),1)),""))</f>
        <v/>
      </c>
      <c r="AT349">
        <f>IF(OR($X349="",$T349&gt;60),"",IFERROR(INDEX(IF($T349&lt;24,pcomp_s,palt_s),MATCH($X349,IF($T349&lt;24,pcomp_k,palt_k),1)),""))</f>
        <v/>
      </c>
      <c r="AU349">
        <f>IF($AR349="","",IF($AR349=0,LN($F349/$AS349)/$AT349,((($F349/$AS349)^$AR349)-1)/($AR349*$AT349)))</f>
        <v/>
      </c>
      <c r="AV349">
        <f>IF($AR349="","",IF($AR349=0,$AS349*EXP($AT349*2),$AS349*(1+$AR349*$AT349*2)^(1/$AR349)))</f>
        <v/>
      </c>
      <c r="AW349">
        <f>IF($AR349="","",IF($AR349=0,$AS349*EXP($AT349*3),$AS349*(1+$AR349*$AT349*3)^(1/$AR349)))</f>
        <v/>
      </c>
      <c r="AX349">
        <f>IF($AR349="","",IF($AR349=0,$AS349*EXP($AT349*-2),$AS349*(1+$AR349*$AT349*-2)^(1/$AR349)))</f>
        <v/>
      </c>
      <c r="AY349">
        <f>IF($AR349="","",IF($AR349=0,$AS349*EXP($AT349*-3),$AS349*(1+$AR349*$AT349*-3)^(1/$AR349)))</f>
        <v/>
      </c>
      <c r="AZ349">
        <f>IF(OR($A349="",$A349&lt;&gt;Ficha!$C$4),"",COUNTIF($A$2:$A349,Ficha!$C$4))</f>
        <v/>
      </c>
    </row>
    <row r="350">
      <c r="A350" s="8">
        <f>IF(INDEX(Banco!$A:$A,ROW())="","",INDEX(Banco!$A:$A,ROW()))</f>
        <v/>
      </c>
      <c r="B350" s="8">
        <f>IF(INDEX(Banco!$B:$B,ROW())="","",INDEX(Banco!$B:$B,ROW()))</f>
        <v/>
      </c>
      <c r="C350" s="8">
        <f>IF(INDEX(Banco!$C:$C,ROW())="","",INDEX(Banco!$C:$C,ROW()))</f>
        <v/>
      </c>
      <c r="D350" s="9">
        <f>IF(INDEX(Banco!$D:$D,ROW())="","",INDEX(Banco!$D:$D,ROW()))</f>
        <v/>
      </c>
      <c r="E350" s="9">
        <f>IF(INDEX(Banco!$E:$E,ROW())="","",INDEX(Banco!$E:$E,ROW()))</f>
        <v/>
      </c>
      <c r="F350" s="10">
        <f>IF(INDEX(Banco!$F:$F,ROW())="","",INDEX(Banco!$F:$F,ROW()))</f>
        <v/>
      </c>
      <c r="G350" s="10">
        <f>IF(INDEX(Banco!$G:$G,ROW())="","",INDEX(Banco!$G:$G,ROW()))</f>
        <v/>
      </c>
      <c r="H350" s="8">
        <f>IF(INDEX(Banco!$H:$H,ROW())="","",INDEX(Banco!$H:$H,ROW()))</f>
        <v/>
      </c>
      <c r="I350">
        <f>IF($T350="","",INT($T350/12)&amp;"a "&amp;MOD($T350,12)&amp;"m")</f>
        <v/>
      </c>
      <c r="J350" s="11">
        <f>IF(OR($F350="",$G350=""),"",ROUND($F350/($G350/100)^2,2))</f>
        <v/>
      </c>
      <c r="K350" s="12">
        <f>IF(OR($S350="",$J350="",$T350="",$T350&lt;0,$T350&gt;228,$Y350=""),"—",ROUND(IF(ABS($AB350)&lt;=3,$AB350,IF($AB350&gt;3,3+($J350-$AD350)/($AD350-$AC350),-3+($J350-$AF350)/($AE350-$AF350))),2))</f>
        <v/>
      </c>
      <c r="L350">
        <f>IF(OR($K350="",$K350="—"),"",IF($T350&lt;=60,IF($K350&lt;-3,"Magreza acentuada",IF($K350&lt;-2,"Magreza",IF($K350&lt;=1,"Eutrofia",IF($K350&lt;=2,"Risco de sobrepeso",IF($K350&lt;=3,"Sobrepeso","Obesidade"))))),IF($K350&lt;-3,"Magreza acentuada",IF($K350&lt;-2,"Magreza",IF($K350&lt;=1,"Eutrofia",IF($K350&lt;=2,"Sobrepeso",IF($K350&lt;=3,"Obesidade","Obesidade grave")))))))</f>
        <v/>
      </c>
      <c r="M350" s="12">
        <f>IF(OR($S350="",$V350="",$T350="",$T350&lt;0,$T350&gt;228,$AG350=""),"—",ROUND(IF($AG350=0,LN($V350/$AH350)/$AI350,((($V350/$AH350)^$AG350)-1)/($AG350*$AI350)),2))</f>
        <v/>
      </c>
      <c r="N350">
        <f>IF(OR($M350="",$M350="—"),"",IF($M350&lt;-3,"Muito baixa",IF($M350&lt;-2,"Baixa","Adequada")))</f>
        <v/>
      </c>
      <c r="O350" s="12">
        <f>IF(OR($S350="",$F350="",$T350="",$T350&lt;0,$T350&gt;120,$AJ350=""),"—",ROUND(IF(ABS($AM350)&lt;=3,$AM350,IF($AM350&gt;3,3+($F350-$AO350)/($AO350-$AN350),-3+($F350-$AQ350)/($AP350-$AQ350))),2))</f>
        <v/>
      </c>
      <c r="P350">
        <f>IF(OR($O350="",$O350="—"),"",IF($O350&lt;-3,"Muito baixo",IF($O350&lt;-2,"Baixo",IF($O350&lt;=2,"Adequado","Elevado"))))</f>
        <v/>
      </c>
      <c r="Q350" s="12">
        <f>IF(OR($S350="",$F350="",$T350="",$T350&lt;0,$T350&gt;60,$AR350=""),"—",ROUND(IF(ABS($AU350)&lt;=3,$AU350,IF($AU350&gt;3,3+($F350-$AW350)/($AW350-$AV350),-3+($F350-$AY350)/($AX350-$AY350))),2))</f>
        <v/>
      </c>
      <c r="R350">
        <f>IF(OR($Q350="",$Q350="—"),"",IF($Q350&lt;-3,"Magreza acentuada",IF($Q350&lt;-2,"Magreza",IF($Q350&lt;=1,"Eutrofia",IF($Q350&lt;=2,"Risco de sobrepeso",IF($Q350&lt;=3,"Sobrepeso","Obesidade"))))))</f>
        <v/>
      </c>
      <c r="S350">
        <f>IF($C350="","",IF(UPPER(LEFT($C350,1))="M",1,IF(UPPER(LEFT($C350,1))="F",2,"")))</f>
        <v/>
      </c>
      <c r="T350">
        <f>IF(OR($D350="",$E350=""),"",DATEDIF($D350,$E350,"m"))</f>
        <v/>
      </c>
      <c r="U350">
        <f>IF(OR($D350="",$E350=""),"",$E350-$D350)</f>
        <v/>
      </c>
      <c r="V350">
        <f>IF(OR($G350="",$T350=""),"",IF($T350&lt;24,IF(LEFT(LOWER($H350),4)="em p",$G350+0.7,$G350),IF(LEFT(LOWER($H350),4)="deit",$G350-0.7,$G350)))</f>
        <v/>
      </c>
      <c r="W350">
        <f>IF(OR($S350="",$T350=""),"",$S350*1000000+IF($T350&lt;=60,$U350,$T350))</f>
        <v/>
      </c>
      <c r="X350">
        <f>IF(OR($S350="",$V350="",$T350&gt;60,$T350=""),"",$S350*1000000+ROUND($V350*10,0))</f>
        <v/>
      </c>
      <c r="Y350">
        <f>IF($W350="","",IFERROR(INDEX(IF($T350&lt;=60,imc05_l,imc519_l),MATCH($W350,IF($T350&lt;=60,imc05_k,imc519_k),1)),""))</f>
        <v/>
      </c>
      <c r="Z350">
        <f>IF($W350="","",IFERROR(INDEX(IF($T350&lt;=60,imc05_m,imc519_m),MATCH($W350,IF($T350&lt;=60,imc05_k,imc519_k),1)),""))</f>
        <v/>
      </c>
      <c r="AA350">
        <f>IF($W350="","",IFERROR(INDEX(IF($T350&lt;=60,imc05_s,imc519_s),MATCH($W350,IF($T350&lt;=60,imc05_k,imc519_k),1)),""))</f>
        <v/>
      </c>
      <c r="AB350">
        <f>IF($Y350="","",IF($Y350=0,LN($J350/$Z350)/$AA350,((($J350/$Z350)^$Y350)-1)/($Y350*$AA350)))</f>
        <v/>
      </c>
      <c r="AC350">
        <f>IF($Y350="","",IF($Y350=0,$Z350*EXP($AA350*2),$Z350*(1+$Y350*$AA350*2)^(1/$Y350)))</f>
        <v/>
      </c>
      <c r="AD350">
        <f>IF($Y350="","",IF($Y350=0,$Z350*EXP($AA350*3),$Z350*(1+$Y350*$AA350*3)^(1/$Y350)))</f>
        <v/>
      </c>
      <c r="AE350">
        <f>IF($Y350="","",IF($Y350=0,$Z350*EXP($AA350*-2),$Z350*(1+$Y350*$AA350*-2)^(1/$Y350)))</f>
        <v/>
      </c>
      <c r="AF350">
        <f>IF($Y350="","",IF($Y350=0,$Z350*EXP($AA350*-3),$Z350*(1+$Y350*$AA350*-3)^(1/$Y350)))</f>
        <v/>
      </c>
      <c r="AG350">
        <f>IF($W350="","",IFERROR(INDEX(IF($T350&lt;=60,est05_l,est519_l),MATCH($W350,IF($T350&lt;=60,est05_k,est519_k),1)),""))</f>
        <v/>
      </c>
      <c r="AH350">
        <f>IF($W350="","",IFERROR(INDEX(IF($T350&lt;=60,est05_m,est519_m),MATCH($W350,IF($T350&lt;=60,est05_k,est519_k),1)),""))</f>
        <v/>
      </c>
      <c r="AI350">
        <f>IF($W350="","",IFERROR(INDEX(IF($T350&lt;=60,est05_s,est519_s),MATCH($W350,IF($T350&lt;=60,est05_k,est519_k),1)),""))</f>
        <v/>
      </c>
      <c r="AJ350">
        <f>IF($W350="","",IFERROR(INDEX(IF($T350&lt;=60,peso05_l,peso510_l),MATCH($W350,IF($T350&lt;=60,peso05_k,peso510_k),1)),""))</f>
        <v/>
      </c>
      <c r="AK350">
        <f>IF($W350="","",IFERROR(INDEX(IF($T350&lt;=60,peso05_m,peso510_m),MATCH($W350,IF($T350&lt;=60,peso05_k,peso510_k),1)),""))</f>
        <v/>
      </c>
      <c r="AL350">
        <f>IF($W350="","",IFERROR(INDEX(IF($T350&lt;=60,peso05_s,peso510_s),MATCH($W350,IF($T350&lt;=60,peso05_k,peso510_k),1)),""))</f>
        <v/>
      </c>
      <c r="AM350">
        <f>IF($AJ350="","",IF($AJ350=0,LN($F350/$AK350)/$AL350,((($F350/$AK350)^$AJ350)-1)/($AJ350*$AL350)))</f>
        <v/>
      </c>
      <c r="AN350">
        <f>IF($AJ350="","",IF($AJ350=0,$AK350*EXP($AL350*2),$AK350*(1+$AJ350*$AL350*2)^(1/$AJ350)))</f>
        <v/>
      </c>
      <c r="AO350">
        <f>IF($AJ350="","",IF($AJ350=0,$AK350*EXP($AL350*3),$AK350*(1+$AJ350*$AL350*3)^(1/$AJ350)))</f>
        <v/>
      </c>
      <c r="AP350">
        <f>IF($AJ350="","",IF($AJ350=0,$AK350*EXP($AL350*-2),$AK350*(1+$AJ350*$AL350*-2)^(1/$AJ350)))</f>
        <v/>
      </c>
      <c r="AQ350">
        <f>IF($AJ350="","",IF($AJ350=0,$AK350*EXP($AL350*-3),$AK350*(1+$AJ350*$AL350*-3)^(1/$AJ350)))</f>
        <v/>
      </c>
      <c r="AR350">
        <f>IF(OR($X350="",$T350&gt;60),"",IFERROR(INDEX(IF($T350&lt;24,pcomp_l,palt_l),MATCH($X350,IF($T350&lt;24,pcomp_k,palt_k),1)),""))</f>
        <v/>
      </c>
      <c r="AS350">
        <f>IF(OR($X350="",$T350&gt;60),"",IFERROR(INDEX(IF($T350&lt;24,pcomp_m,palt_m),MATCH($X350,IF($T350&lt;24,pcomp_k,palt_k),1)),""))</f>
        <v/>
      </c>
      <c r="AT350">
        <f>IF(OR($X350="",$T350&gt;60),"",IFERROR(INDEX(IF($T350&lt;24,pcomp_s,palt_s),MATCH($X350,IF($T350&lt;24,pcomp_k,palt_k),1)),""))</f>
        <v/>
      </c>
      <c r="AU350">
        <f>IF($AR350="","",IF($AR350=0,LN($F350/$AS350)/$AT350,((($F350/$AS350)^$AR350)-1)/($AR350*$AT350)))</f>
        <v/>
      </c>
      <c r="AV350">
        <f>IF($AR350="","",IF($AR350=0,$AS350*EXP($AT350*2),$AS350*(1+$AR350*$AT350*2)^(1/$AR350)))</f>
        <v/>
      </c>
      <c r="AW350">
        <f>IF($AR350="","",IF($AR350=0,$AS350*EXP($AT350*3),$AS350*(1+$AR350*$AT350*3)^(1/$AR350)))</f>
        <v/>
      </c>
      <c r="AX350">
        <f>IF($AR350="","",IF($AR350=0,$AS350*EXP($AT350*-2),$AS350*(1+$AR350*$AT350*-2)^(1/$AR350)))</f>
        <v/>
      </c>
      <c r="AY350">
        <f>IF($AR350="","",IF($AR350=0,$AS350*EXP($AT350*-3),$AS350*(1+$AR350*$AT350*-3)^(1/$AR350)))</f>
        <v/>
      </c>
      <c r="AZ350">
        <f>IF(OR($A350="",$A350&lt;&gt;Ficha!$C$4),"",COUNTIF($A$2:$A350,Ficha!$C$4))</f>
        <v/>
      </c>
    </row>
    <row r="351">
      <c r="A351" s="8">
        <f>IF(INDEX(Banco!$A:$A,ROW())="","",INDEX(Banco!$A:$A,ROW()))</f>
        <v/>
      </c>
      <c r="B351" s="8">
        <f>IF(INDEX(Banco!$B:$B,ROW())="","",INDEX(Banco!$B:$B,ROW()))</f>
        <v/>
      </c>
      <c r="C351" s="8">
        <f>IF(INDEX(Banco!$C:$C,ROW())="","",INDEX(Banco!$C:$C,ROW()))</f>
        <v/>
      </c>
      <c r="D351" s="9">
        <f>IF(INDEX(Banco!$D:$D,ROW())="","",INDEX(Banco!$D:$D,ROW()))</f>
        <v/>
      </c>
      <c r="E351" s="9">
        <f>IF(INDEX(Banco!$E:$E,ROW())="","",INDEX(Banco!$E:$E,ROW()))</f>
        <v/>
      </c>
      <c r="F351" s="10">
        <f>IF(INDEX(Banco!$F:$F,ROW())="","",INDEX(Banco!$F:$F,ROW()))</f>
        <v/>
      </c>
      <c r="G351" s="10">
        <f>IF(INDEX(Banco!$G:$G,ROW())="","",INDEX(Banco!$G:$G,ROW()))</f>
        <v/>
      </c>
      <c r="H351" s="8">
        <f>IF(INDEX(Banco!$H:$H,ROW())="","",INDEX(Banco!$H:$H,ROW()))</f>
        <v/>
      </c>
      <c r="I351">
        <f>IF($T351="","",INT($T351/12)&amp;"a "&amp;MOD($T351,12)&amp;"m")</f>
        <v/>
      </c>
      <c r="J351" s="11">
        <f>IF(OR($F351="",$G351=""),"",ROUND($F351/($G351/100)^2,2))</f>
        <v/>
      </c>
      <c r="K351" s="12">
        <f>IF(OR($S351="",$J351="",$T351="",$T351&lt;0,$T351&gt;228,$Y351=""),"—",ROUND(IF(ABS($AB351)&lt;=3,$AB351,IF($AB351&gt;3,3+($J351-$AD351)/($AD351-$AC351),-3+($J351-$AF351)/($AE351-$AF351))),2))</f>
        <v/>
      </c>
      <c r="L351">
        <f>IF(OR($K351="",$K351="—"),"",IF($T351&lt;=60,IF($K351&lt;-3,"Magreza acentuada",IF($K351&lt;-2,"Magreza",IF($K351&lt;=1,"Eutrofia",IF($K351&lt;=2,"Risco de sobrepeso",IF($K351&lt;=3,"Sobrepeso","Obesidade"))))),IF($K351&lt;-3,"Magreza acentuada",IF($K351&lt;-2,"Magreza",IF($K351&lt;=1,"Eutrofia",IF($K351&lt;=2,"Sobrepeso",IF($K351&lt;=3,"Obesidade","Obesidade grave")))))))</f>
        <v/>
      </c>
      <c r="M351" s="12">
        <f>IF(OR($S351="",$V351="",$T351="",$T351&lt;0,$T351&gt;228,$AG351=""),"—",ROUND(IF($AG351=0,LN($V351/$AH351)/$AI351,((($V351/$AH351)^$AG351)-1)/($AG351*$AI351)),2))</f>
        <v/>
      </c>
      <c r="N351">
        <f>IF(OR($M351="",$M351="—"),"",IF($M351&lt;-3,"Muito baixa",IF($M351&lt;-2,"Baixa","Adequada")))</f>
        <v/>
      </c>
      <c r="O351" s="12">
        <f>IF(OR($S351="",$F351="",$T351="",$T351&lt;0,$T351&gt;120,$AJ351=""),"—",ROUND(IF(ABS($AM351)&lt;=3,$AM351,IF($AM351&gt;3,3+($F351-$AO351)/($AO351-$AN351),-3+($F351-$AQ351)/($AP351-$AQ351))),2))</f>
        <v/>
      </c>
      <c r="P351">
        <f>IF(OR($O351="",$O351="—"),"",IF($O351&lt;-3,"Muito baixo",IF($O351&lt;-2,"Baixo",IF($O351&lt;=2,"Adequado","Elevado"))))</f>
        <v/>
      </c>
      <c r="Q351" s="12">
        <f>IF(OR($S351="",$F351="",$T351="",$T351&lt;0,$T351&gt;60,$AR351=""),"—",ROUND(IF(ABS($AU351)&lt;=3,$AU351,IF($AU351&gt;3,3+($F351-$AW351)/($AW351-$AV351),-3+($F351-$AY351)/($AX351-$AY351))),2))</f>
        <v/>
      </c>
      <c r="R351">
        <f>IF(OR($Q351="",$Q351="—"),"",IF($Q351&lt;-3,"Magreza acentuada",IF($Q351&lt;-2,"Magreza",IF($Q351&lt;=1,"Eutrofia",IF($Q351&lt;=2,"Risco de sobrepeso",IF($Q351&lt;=3,"Sobrepeso","Obesidade"))))))</f>
        <v/>
      </c>
      <c r="S351">
        <f>IF($C351="","",IF(UPPER(LEFT($C351,1))="M",1,IF(UPPER(LEFT($C351,1))="F",2,"")))</f>
        <v/>
      </c>
      <c r="T351">
        <f>IF(OR($D351="",$E351=""),"",DATEDIF($D351,$E351,"m"))</f>
        <v/>
      </c>
      <c r="U351">
        <f>IF(OR($D351="",$E351=""),"",$E351-$D351)</f>
        <v/>
      </c>
      <c r="V351">
        <f>IF(OR($G351="",$T351=""),"",IF($T351&lt;24,IF(LEFT(LOWER($H351),4)="em p",$G351+0.7,$G351),IF(LEFT(LOWER($H351),4)="deit",$G351-0.7,$G351)))</f>
        <v/>
      </c>
      <c r="W351">
        <f>IF(OR($S351="",$T351=""),"",$S351*1000000+IF($T351&lt;=60,$U351,$T351))</f>
        <v/>
      </c>
      <c r="X351">
        <f>IF(OR($S351="",$V351="",$T351&gt;60,$T351=""),"",$S351*1000000+ROUND($V351*10,0))</f>
        <v/>
      </c>
      <c r="Y351">
        <f>IF($W351="","",IFERROR(INDEX(IF($T351&lt;=60,imc05_l,imc519_l),MATCH($W351,IF($T351&lt;=60,imc05_k,imc519_k),1)),""))</f>
        <v/>
      </c>
      <c r="Z351">
        <f>IF($W351="","",IFERROR(INDEX(IF($T351&lt;=60,imc05_m,imc519_m),MATCH($W351,IF($T351&lt;=60,imc05_k,imc519_k),1)),""))</f>
        <v/>
      </c>
      <c r="AA351">
        <f>IF($W351="","",IFERROR(INDEX(IF($T351&lt;=60,imc05_s,imc519_s),MATCH($W351,IF($T351&lt;=60,imc05_k,imc519_k),1)),""))</f>
        <v/>
      </c>
      <c r="AB351">
        <f>IF($Y351="","",IF($Y351=0,LN($J351/$Z351)/$AA351,((($J351/$Z351)^$Y351)-1)/($Y351*$AA351)))</f>
        <v/>
      </c>
      <c r="AC351">
        <f>IF($Y351="","",IF($Y351=0,$Z351*EXP($AA351*2),$Z351*(1+$Y351*$AA351*2)^(1/$Y351)))</f>
        <v/>
      </c>
      <c r="AD351">
        <f>IF($Y351="","",IF($Y351=0,$Z351*EXP($AA351*3),$Z351*(1+$Y351*$AA351*3)^(1/$Y351)))</f>
        <v/>
      </c>
      <c r="AE351">
        <f>IF($Y351="","",IF($Y351=0,$Z351*EXP($AA351*-2),$Z351*(1+$Y351*$AA351*-2)^(1/$Y351)))</f>
        <v/>
      </c>
      <c r="AF351">
        <f>IF($Y351="","",IF($Y351=0,$Z351*EXP($AA351*-3),$Z351*(1+$Y351*$AA351*-3)^(1/$Y351)))</f>
        <v/>
      </c>
      <c r="AG351">
        <f>IF($W351="","",IFERROR(INDEX(IF($T351&lt;=60,est05_l,est519_l),MATCH($W351,IF($T351&lt;=60,est05_k,est519_k),1)),""))</f>
        <v/>
      </c>
      <c r="AH351">
        <f>IF($W351="","",IFERROR(INDEX(IF($T351&lt;=60,est05_m,est519_m),MATCH($W351,IF($T351&lt;=60,est05_k,est519_k),1)),""))</f>
        <v/>
      </c>
      <c r="AI351">
        <f>IF($W351="","",IFERROR(INDEX(IF($T351&lt;=60,est05_s,est519_s),MATCH($W351,IF($T351&lt;=60,est05_k,est519_k),1)),""))</f>
        <v/>
      </c>
      <c r="AJ351">
        <f>IF($W351="","",IFERROR(INDEX(IF($T351&lt;=60,peso05_l,peso510_l),MATCH($W351,IF($T351&lt;=60,peso05_k,peso510_k),1)),""))</f>
        <v/>
      </c>
      <c r="AK351">
        <f>IF($W351="","",IFERROR(INDEX(IF($T351&lt;=60,peso05_m,peso510_m),MATCH($W351,IF($T351&lt;=60,peso05_k,peso510_k),1)),""))</f>
        <v/>
      </c>
      <c r="AL351">
        <f>IF($W351="","",IFERROR(INDEX(IF($T351&lt;=60,peso05_s,peso510_s),MATCH($W351,IF($T351&lt;=60,peso05_k,peso510_k),1)),""))</f>
        <v/>
      </c>
      <c r="AM351">
        <f>IF($AJ351="","",IF($AJ351=0,LN($F351/$AK351)/$AL351,((($F351/$AK351)^$AJ351)-1)/($AJ351*$AL351)))</f>
        <v/>
      </c>
      <c r="AN351">
        <f>IF($AJ351="","",IF($AJ351=0,$AK351*EXP($AL351*2),$AK351*(1+$AJ351*$AL351*2)^(1/$AJ351)))</f>
        <v/>
      </c>
      <c r="AO351">
        <f>IF($AJ351="","",IF($AJ351=0,$AK351*EXP($AL351*3),$AK351*(1+$AJ351*$AL351*3)^(1/$AJ351)))</f>
        <v/>
      </c>
      <c r="AP351">
        <f>IF($AJ351="","",IF($AJ351=0,$AK351*EXP($AL351*-2),$AK351*(1+$AJ351*$AL351*-2)^(1/$AJ351)))</f>
        <v/>
      </c>
      <c r="AQ351">
        <f>IF($AJ351="","",IF($AJ351=0,$AK351*EXP($AL351*-3),$AK351*(1+$AJ351*$AL351*-3)^(1/$AJ351)))</f>
        <v/>
      </c>
      <c r="AR351">
        <f>IF(OR($X351="",$T351&gt;60),"",IFERROR(INDEX(IF($T351&lt;24,pcomp_l,palt_l),MATCH($X351,IF($T351&lt;24,pcomp_k,palt_k),1)),""))</f>
        <v/>
      </c>
      <c r="AS351">
        <f>IF(OR($X351="",$T351&gt;60),"",IFERROR(INDEX(IF($T351&lt;24,pcomp_m,palt_m),MATCH($X351,IF($T351&lt;24,pcomp_k,palt_k),1)),""))</f>
        <v/>
      </c>
      <c r="AT351">
        <f>IF(OR($X351="",$T351&gt;60),"",IFERROR(INDEX(IF($T351&lt;24,pcomp_s,palt_s),MATCH($X351,IF($T351&lt;24,pcomp_k,palt_k),1)),""))</f>
        <v/>
      </c>
      <c r="AU351">
        <f>IF($AR351="","",IF($AR351=0,LN($F351/$AS351)/$AT351,((($F351/$AS351)^$AR351)-1)/($AR351*$AT351)))</f>
        <v/>
      </c>
      <c r="AV351">
        <f>IF($AR351="","",IF($AR351=0,$AS351*EXP($AT351*2),$AS351*(1+$AR351*$AT351*2)^(1/$AR351)))</f>
        <v/>
      </c>
      <c r="AW351">
        <f>IF($AR351="","",IF($AR351=0,$AS351*EXP($AT351*3),$AS351*(1+$AR351*$AT351*3)^(1/$AR351)))</f>
        <v/>
      </c>
      <c r="AX351">
        <f>IF($AR351="","",IF($AR351=0,$AS351*EXP($AT351*-2),$AS351*(1+$AR351*$AT351*-2)^(1/$AR351)))</f>
        <v/>
      </c>
      <c r="AY351">
        <f>IF($AR351="","",IF($AR351=0,$AS351*EXP($AT351*-3),$AS351*(1+$AR351*$AT351*-3)^(1/$AR351)))</f>
        <v/>
      </c>
      <c r="AZ351">
        <f>IF(OR($A351="",$A351&lt;&gt;Ficha!$C$4),"",COUNTIF($A$2:$A351,Ficha!$C$4))</f>
        <v/>
      </c>
    </row>
    <row r="352">
      <c r="A352" s="8">
        <f>IF(INDEX(Banco!$A:$A,ROW())="","",INDEX(Banco!$A:$A,ROW()))</f>
        <v/>
      </c>
      <c r="B352" s="8">
        <f>IF(INDEX(Banco!$B:$B,ROW())="","",INDEX(Banco!$B:$B,ROW()))</f>
        <v/>
      </c>
      <c r="C352" s="8">
        <f>IF(INDEX(Banco!$C:$C,ROW())="","",INDEX(Banco!$C:$C,ROW()))</f>
        <v/>
      </c>
      <c r="D352" s="9">
        <f>IF(INDEX(Banco!$D:$D,ROW())="","",INDEX(Banco!$D:$D,ROW()))</f>
        <v/>
      </c>
      <c r="E352" s="9">
        <f>IF(INDEX(Banco!$E:$E,ROW())="","",INDEX(Banco!$E:$E,ROW()))</f>
        <v/>
      </c>
      <c r="F352" s="10">
        <f>IF(INDEX(Banco!$F:$F,ROW())="","",INDEX(Banco!$F:$F,ROW()))</f>
        <v/>
      </c>
      <c r="G352" s="10">
        <f>IF(INDEX(Banco!$G:$G,ROW())="","",INDEX(Banco!$G:$G,ROW()))</f>
        <v/>
      </c>
      <c r="H352" s="8">
        <f>IF(INDEX(Banco!$H:$H,ROW())="","",INDEX(Banco!$H:$H,ROW()))</f>
        <v/>
      </c>
      <c r="I352">
        <f>IF($T352="","",INT($T352/12)&amp;"a "&amp;MOD($T352,12)&amp;"m")</f>
        <v/>
      </c>
      <c r="J352" s="11">
        <f>IF(OR($F352="",$G352=""),"",ROUND($F352/($G352/100)^2,2))</f>
        <v/>
      </c>
      <c r="K352" s="12">
        <f>IF(OR($S352="",$J352="",$T352="",$T352&lt;0,$T352&gt;228,$Y352=""),"—",ROUND(IF(ABS($AB352)&lt;=3,$AB352,IF($AB352&gt;3,3+($J352-$AD352)/($AD352-$AC352),-3+($J352-$AF352)/($AE352-$AF352))),2))</f>
        <v/>
      </c>
      <c r="L352">
        <f>IF(OR($K352="",$K352="—"),"",IF($T352&lt;=60,IF($K352&lt;-3,"Magreza acentuada",IF($K352&lt;-2,"Magreza",IF($K352&lt;=1,"Eutrofia",IF($K352&lt;=2,"Risco de sobrepeso",IF($K352&lt;=3,"Sobrepeso","Obesidade"))))),IF($K352&lt;-3,"Magreza acentuada",IF($K352&lt;-2,"Magreza",IF($K352&lt;=1,"Eutrofia",IF($K352&lt;=2,"Sobrepeso",IF($K352&lt;=3,"Obesidade","Obesidade grave")))))))</f>
        <v/>
      </c>
      <c r="M352" s="12">
        <f>IF(OR($S352="",$V352="",$T352="",$T352&lt;0,$T352&gt;228,$AG352=""),"—",ROUND(IF($AG352=0,LN($V352/$AH352)/$AI352,((($V352/$AH352)^$AG352)-1)/($AG352*$AI352)),2))</f>
        <v/>
      </c>
      <c r="N352">
        <f>IF(OR($M352="",$M352="—"),"",IF($M352&lt;-3,"Muito baixa",IF($M352&lt;-2,"Baixa","Adequada")))</f>
        <v/>
      </c>
      <c r="O352" s="12">
        <f>IF(OR($S352="",$F352="",$T352="",$T352&lt;0,$T352&gt;120,$AJ352=""),"—",ROUND(IF(ABS($AM352)&lt;=3,$AM352,IF($AM352&gt;3,3+($F352-$AO352)/($AO352-$AN352),-3+($F352-$AQ352)/($AP352-$AQ352))),2))</f>
        <v/>
      </c>
      <c r="P352">
        <f>IF(OR($O352="",$O352="—"),"",IF($O352&lt;-3,"Muito baixo",IF($O352&lt;-2,"Baixo",IF($O352&lt;=2,"Adequado","Elevado"))))</f>
        <v/>
      </c>
      <c r="Q352" s="12">
        <f>IF(OR($S352="",$F352="",$T352="",$T352&lt;0,$T352&gt;60,$AR352=""),"—",ROUND(IF(ABS($AU352)&lt;=3,$AU352,IF($AU352&gt;3,3+($F352-$AW352)/($AW352-$AV352),-3+($F352-$AY352)/($AX352-$AY352))),2))</f>
        <v/>
      </c>
      <c r="R352">
        <f>IF(OR($Q352="",$Q352="—"),"",IF($Q352&lt;-3,"Magreza acentuada",IF($Q352&lt;-2,"Magreza",IF($Q352&lt;=1,"Eutrofia",IF($Q352&lt;=2,"Risco de sobrepeso",IF($Q352&lt;=3,"Sobrepeso","Obesidade"))))))</f>
        <v/>
      </c>
      <c r="S352">
        <f>IF($C352="","",IF(UPPER(LEFT($C352,1))="M",1,IF(UPPER(LEFT($C352,1))="F",2,"")))</f>
        <v/>
      </c>
      <c r="T352">
        <f>IF(OR($D352="",$E352=""),"",DATEDIF($D352,$E352,"m"))</f>
        <v/>
      </c>
      <c r="U352">
        <f>IF(OR($D352="",$E352=""),"",$E352-$D352)</f>
        <v/>
      </c>
      <c r="V352">
        <f>IF(OR($G352="",$T352=""),"",IF($T352&lt;24,IF(LEFT(LOWER($H352),4)="em p",$G352+0.7,$G352),IF(LEFT(LOWER($H352),4)="deit",$G352-0.7,$G352)))</f>
        <v/>
      </c>
      <c r="W352">
        <f>IF(OR($S352="",$T352=""),"",$S352*1000000+IF($T352&lt;=60,$U352,$T352))</f>
        <v/>
      </c>
      <c r="X352">
        <f>IF(OR($S352="",$V352="",$T352&gt;60,$T352=""),"",$S352*1000000+ROUND($V352*10,0))</f>
        <v/>
      </c>
      <c r="Y352">
        <f>IF($W352="","",IFERROR(INDEX(IF($T352&lt;=60,imc05_l,imc519_l),MATCH($W352,IF($T352&lt;=60,imc05_k,imc519_k),1)),""))</f>
        <v/>
      </c>
      <c r="Z352">
        <f>IF($W352="","",IFERROR(INDEX(IF($T352&lt;=60,imc05_m,imc519_m),MATCH($W352,IF($T352&lt;=60,imc05_k,imc519_k),1)),""))</f>
        <v/>
      </c>
      <c r="AA352">
        <f>IF($W352="","",IFERROR(INDEX(IF($T352&lt;=60,imc05_s,imc519_s),MATCH($W352,IF($T352&lt;=60,imc05_k,imc519_k),1)),""))</f>
        <v/>
      </c>
      <c r="AB352">
        <f>IF($Y352="","",IF($Y352=0,LN($J352/$Z352)/$AA352,((($J352/$Z352)^$Y352)-1)/($Y352*$AA352)))</f>
        <v/>
      </c>
      <c r="AC352">
        <f>IF($Y352="","",IF($Y352=0,$Z352*EXP($AA352*2),$Z352*(1+$Y352*$AA352*2)^(1/$Y352)))</f>
        <v/>
      </c>
      <c r="AD352">
        <f>IF($Y352="","",IF($Y352=0,$Z352*EXP($AA352*3),$Z352*(1+$Y352*$AA352*3)^(1/$Y352)))</f>
        <v/>
      </c>
      <c r="AE352">
        <f>IF($Y352="","",IF($Y352=0,$Z352*EXP($AA352*-2),$Z352*(1+$Y352*$AA352*-2)^(1/$Y352)))</f>
        <v/>
      </c>
      <c r="AF352">
        <f>IF($Y352="","",IF($Y352=0,$Z352*EXP($AA352*-3),$Z352*(1+$Y352*$AA352*-3)^(1/$Y352)))</f>
        <v/>
      </c>
      <c r="AG352">
        <f>IF($W352="","",IFERROR(INDEX(IF($T352&lt;=60,est05_l,est519_l),MATCH($W352,IF($T352&lt;=60,est05_k,est519_k),1)),""))</f>
        <v/>
      </c>
      <c r="AH352">
        <f>IF($W352="","",IFERROR(INDEX(IF($T352&lt;=60,est05_m,est519_m),MATCH($W352,IF($T352&lt;=60,est05_k,est519_k),1)),""))</f>
        <v/>
      </c>
      <c r="AI352">
        <f>IF($W352="","",IFERROR(INDEX(IF($T352&lt;=60,est05_s,est519_s),MATCH($W352,IF($T352&lt;=60,est05_k,est519_k),1)),""))</f>
        <v/>
      </c>
      <c r="AJ352">
        <f>IF($W352="","",IFERROR(INDEX(IF($T352&lt;=60,peso05_l,peso510_l),MATCH($W352,IF($T352&lt;=60,peso05_k,peso510_k),1)),""))</f>
        <v/>
      </c>
      <c r="AK352">
        <f>IF($W352="","",IFERROR(INDEX(IF($T352&lt;=60,peso05_m,peso510_m),MATCH($W352,IF($T352&lt;=60,peso05_k,peso510_k),1)),""))</f>
        <v/>
      </c>
      <c r="AL352">
        <f>IF($W352="","",IFERROR(INDEX(IF($T352&lt;=60,peso05_s,peso510_s),MATCH($W352,IF($T352&lt;=60,peso05_k,peso510_k),1)),""))</f>
        <v/>
      </c>
      <c r="AM352">
        <f>IF($AJ352="","",IF($AJ352=0,LN($F352/$AK352)/$AL352,((($F352/$AK352)^$AJ352)-1)/($AJ352*$AL352)))</f>
        <v/>
      </c>
      <c r="AN352">
        <f>IF($AJ352="","",IF($AJ352=0,$AK352*EXP($AL352*2),$AK352*(1+$AJ352*$AL352*2)^(1/$AJ352)))</f>
        <v/>
      </c>
      <c r="AO352">
        <f>IF($AJ352="","",IF($AJ352=0,$AK352*EXP($AL352*3),$AK352*(1+$AJ352*$AL352*3)^(1/$AJ352)))</f>
        <v/>
      </c>
      <c r="AP352">
        <f>IF($AJ352="","",IF($AJ352=0,$AK352*EXP($AL352*-2),$AK352*(1+$AJ352*$AL352*-2)^(1/$AJ352)))</f>
        <v/>
      </c>
      <c r="AQ352">
        <f>IF($AJ352="","",IF($AJ352=0,$AK352*EXP($AL352*-3),$AK352*(1+$AJ352*$AL352*-3)^(1/$AJ352)))</f>
        <v/>
      </c>
      <c r="AR352">
        <f>IF(OR($X352="",$T352&gt;60),"",IFERROR(INDEX(IF($T352&lt;24,pcomp_l,palt_l),MATCH($X352,IF($T352&lt;24,pcomp_k,palt_k),1)),""))</f>
        <v/>
      </c>
      <c r="AS352">
        <f>IF(OR($X352="",$T352&gt;60),"",IFERROR(INDEX(IF($T352&lt;24,pcomp_m,palt_m),MATCH($X352,IF($T352&lt;24,pcomp_k,palt_k),1)),""))</f>
        <v/>
      </c>
      <c r="AT352">
        <f>IF(OR($X352="",$T352&gt;60),"",IFERROR(INDEX(IF($T352&lt;24,pcomp_s,palt_s),MATCH($X352,IF($T352&lt;24,pcomp_k,palt_k),1)),""))</f>
        <v/>
      </c>
      <c r="AU352">
        <f>IF($AR352="","",IF($AR352=0,LN($F352/$AS352)/$AT352,((($F352/$AS352)^$AR352)-1)/($AR352*$AT352)))</f>
        <v/>
      </c>
      <c r="AV352">
        <f>IF($AR352="","",IF($AR352=0,$AS352*EXP($AT352*2),$AS352*(1+$AR352*$AT352*2)^(1/$AR352)))</f>
        <v/>
      </c>
      <c r="AW352">
        <f>IF($AR352="","",IF($AR352=0,$AS352*EXP($AT352*3),$AS352*(1+$AR352*$AT352*3)^(1/$AR352)))</f>
        <v/>
      </c>
      <c r="AX352">
        <f>IF($AR352="","",IF($AR352=0,$AS352*EXP($AT352*-2),$AS352*(1+$AR352*$AT352*-2)^(1/$AR352)))</f>
        <v/>
      </c>
      <c r="AY352">
        <f>IF($AR352="","",IF($AR352=0,$AS352*EXP($AT352*-3),$AS352*(1+$AR352*$AT352*-3)^(1/$AR352)))</f>
        <v/>
      </c>
      <c r="AZ352">
        <f>IF(OR($A352="",$A352&lt;&gt;Ficha!$C$4),"",COUNTIF($A$2:$A352,Ficha!$C$4))</f>
        <v/>
      </c>
    </row>
    <row r="353">
      <c r="A353" s="8">
        <f>IF(INDEX(Banco!$A:$A,ROW())="","",INDEX(Banco!$A:$A,ROW()))</f>
        <v/>
      </c>
      <c r="B353" s="8">
        <f>IF(INDEX(Banco!$B:$B,ROW())="","",INDEX(Banco!$B:$B,ROW()))</f>
        <v/>
      </c>
      <c r="C353" s="8">
        <f>IF(INDEX(Banco!$C:$C,ROW())="","",INDEX(Banco!$C:$C,ROW()))</f>
        <v/>
      </c>
      <c r="D353" s="9">
        <f>IF(INDEX(Banco!$D:$D,ROW())="","",INDEX(Banco!$D:$D,ROW()))</f>
        <v/>
      </c>
      <c r="E353" s="9">
        <f>IF(INDEX(Banco!$E:$E,ROW())="","",INDEX(Banco!$E:$E,ROW()))</f>
        <v/>
      </c>
      <c r="F353" s="10">
        <f>IF(INDEX(Banco!$F:$F,ROW())="","",INDEX(Banco!$F:$F,ROW()))</f>
        <v/>
      </c>
      <c r="G353" s="10">
        <f>IF(INDEX(Banco!$G:$G,ROW())="","",INDEX(Banco!$G:$G,ROW()))</f>
        <v/>
      </c>
      <c r="H353" s="8">
        <f>IF(INDEX(Banco!$H:$H,ROW())="","",INDEX(Banco!$H:$H,ROW()))</f>
        <v/>
      </c>
      <c r="I353">
        <f>IF($T353="","",INT($T353/12)&amp;"a "&amp;MOD($T353,12)&amp;"m")</f>
        <v/>
      </c>
      <c r="J353" s="11">
        <f>IF(OR($F353="",$G353=""),"",ROUND($F353/($G353/100)^2,2))</f>
        <v/>
      </c>
      <c r="K353" s="12">
        <f>IF(OR($S353="",$J353="",$T353="",$T353&lt;0,$T353&gt;228,$Y353=""),"—",ROUND(IF(ABS($AB353)&lt;=3,$AB353,IF($AB353&gt;3,3+($J353-$AD353)/($AD353-$AC353),-3+($J353-$AF353)/($AE353-$AF353))),2))</f>
        <v/>
      </c>
      <c r="L353">
        <f>IF(OR($K353="",$K353="—"),"",IF($T353&lt;=60,IF($K353&lt;-3,"Magreza acentuada",IF($K353&lt;-2,"Magreza",IF($K353&lt;=1,"Eutrofia",IF($K353&lt;=2,"Risco de sobrepeso",IF($K353&lt;=3,"Sobrepeso","Obesidade"))))),IF($K353&lt;-3,"Magreza acentuada",IF($K353&lt;-2,"Magreza",IF($K353&lt;=1,"Eutrofia",IF($K353&lt;=2,"Sobrepeso",IF($K353&lt;=3,"Obesidade","Obesidade grave")))))))</f>
        <v/>
      </c>
      <c r="M353" s="12">
        <f>IF(OR($S353="",$V353="",$T353="",$T353&lt;0,$T353&gt;228,$AG353=""),"—",ROUND(IF($AG353=0,LN($V353/$AH353)/$AI353,((($V353/$AH353)^$AG353)-1)/($AG353*$AI353)),2))</f>
        <v/>
      </c>
      <c r="N353">
        <f>IF(OR($M353="",$M353="—"),"",IF($M353&lt;-3,"Muito baixa",IF($M353&lt;-2,"Baixa","Adequada")))</f>
        <v/>
      </c>
      <c r="O353" s="12">
        <f>IF(OR($S353="",$F353="",$T353="",$T353&lt;0,$T353&gt;120,$AJ353=""),"—",ROUND(IF(ABS($AM353)&lt;=3,$AM353,IF($AM353&gt;3,3+($F353-$AO353)/($AO353-$AN353),-3+($F353-$AQ353)/($AP353-$AQ353))),2))</f>
        <v/>
      </c>
      <c r="P353">
        <f>IF(OR($O353="",$O353="—"),"",IF($O353&lt;-3,"Muito baixo",IF($O353&lt;-2,"Baixo",IF($O353&lt;=2,"Adequado","Elevado"))))</f>
        <v/>
      </c>
      <c r="Q353" s="12">
        <f>IF(OR($S353="",$F353="",$T353="",$T353&lt;0,$T353&gt;60,$AR353=""),"—",ROUND(IF(ABS($AU353)&lt;=3,$AU353,IF($AU353&gt;3,3+($F353-$AW353)/($AW353-$AV353),-3+($F353-$AY353)/($AX353-$AY353))),2))</f>
        <v/>
      </c>
      <c r="R353">
        <f>IF(OR($Q353="",$Q353="—"),"",IF($Q353&lt;-3,"Magreza acentuada",IF($Q353&lt;-2,"Magreza",IF($Q353&lt;=1,"Eutrofia",IF($Q353&lt;=2,"Risco de sobrepeso",IF($Q353&lt;=3,"Sobrepeso","Obesidade"))))))</f>
        <v/>
      </c>
      <c r="S353">
        <f>IF($C353="","",IF(UPPER(LEFT($C353,1))="M",1,IF(UPPER(LEFT($C353,1))="F",2,"")))</f>
        <v/>
      </c>
      <c r="T353">
        <f>IF(OR($D353="",$E353=""),"",DATEDIF($D353,$E353,"m"))</f>
        <v/>
      </c>
      <c r="U353">
        <f>IF(OR($D353="",$E353=""),"",$E353-$D353)</f>
        <v/>
      </c>
      <c r="V353">
        <f>IF(OR($G353="",$T353=""),"",IF($T353&lt;24,IF(LEFT(LOWER($H353),4)="em p",$G353+0.7,$G353),IF(LEFT(LOWER($H353),4)="deit",$G353-0.7,$G353)))</f>
        <v/>
      </c>
      <c r="W353">
        <f>IF(OR($S353="",$T353=""),"",$S353*1000000+IF($T353&lt;=60,$U353,$T353))</f>
        <v/>
      </c>
      <c r="X353">
        <f>IF(OR($S353="",$V353="",$T353&gt;60,$T353=""),"",$S353*1000000+ROUND($V353*10,0))</f>
        <v/>
      </c>
      <c r="Y353">
        <f>IF($W353="","",IFERROR(INDEX(IF($T353&lt;=60,imc05_l,imc519_l),MATCH($W353,IF($T353&lt;=60,imc05_k,imc519_k),1)),""))</f>
        <v/>
      </c>
      <c r="Z353">
        <f>IF($W353="","",IFERROR(INDEX(IF($T353&lt;=60,imc05_m,imc519_m),MATCH($W353,IF($T353&lt;=60,imc05_k,imc519_k),1)),""))</f>
        <v/>
      </c>
      <c r="AA353">
        <f>IF($W353="","",IFERROR(INDEX(IF($T353&lt;=60,imc05_s,imc519_s),MATCH($W353,IF($T353&lt;=60,imc05_k,imc519_k),1)),""))</f>
        <v/>
      </c>
      <c r="AB353">
        <f>IF($Y353="","",IF($Y353=0,LN($J353/$Z353)/$AA353,((($J353/$Z353)^$Y353)-1)/($Y353*$AA353)))</f>
        <v/>
      </c>
      <c r="AC353">
        <f>IF($Y353="","",IF($Y353=0,$Z353*EXP($AA353*2),$Z353*(1+$Y353*$AA353*2)^(1/$Y353)))</f>
        <v/>
      </c>
      <c r="AD353">
        <f>IF($Y353="","",IF($Y353=0,$Z353*EXP($AA353*3),$Z353*(1+$Y353*$AA353*3)^(1/$Y353)))</f>
        <v/>
      </c>
      <c r="AE353">
        <f>IF($Y353="","",IF($Y353=0,$Z353*EXP($AA353*-2),$Z353*(1+$Y353*$AA353*-2)^(1/$Y353)))</f>
        <v/>
      </c>
      <c r="AF353">
        <f>IF($Y353="","",IF($Y353=0,$Z353*EXP($AA353*-3),$Z353*(1+$Y353*$AA353*-3)^(1/$Y353)))</f>
        <v/>
      </c>
      <c r="AG353">
        <f>IF($W353="","",IFERROR(INDEX(IF($T353&lt;=60,est05_l,est519_l),MATCH($W353,IF($T353&lt;=60,est05_k,est519_k),1)),""))</f>
        <v/>
      </c>
      <c r="AH353">
        <f>IF($W353="","",IFERROR(INDEX(IF($T353&lt;=60,est05_m,est519_m),MATCH($W353,IF($T353&lt;=60,est05_k,est519_k),1)),""))</f>
        <v/>
      </c>
      <c r="AI353">
        <f>IF($W353="","",IFERROR(INDEX(IF($T353&lt;=60,est05_s,est519_s),MATCH($W353,IF($T353&lt;=60,est05_k,est519_k),1)),""))</f>
        <v/>
      </c>
      <c r="AJ353">
        <f>IF($W353="","",IFERROR(INDEX(IF($T353&lt;=60,peso05_l,peso510_l),MATCH($W353,IF($T353&lt;=60,peso05_k,peso510_k),1)),""))</f>
        <v/>
      </c>
      <c r="AK353">
        <f>IF($W353="","",IFERROR(INDEX(IF($T353&lt;=60,peso05_m,peso510_m),MATCH($W353,IF($T353&lt;=60,peso05_k,peso510_k),1)),""))</f>
        <v/>
      </c>
      <c r="AL353">
        <f>IF($W353="","",IFERROR(INDEX(IF($T353&lt;=60,peso05_s,peso510_s),MATCH($W353,IF($T353&lt;=60,peso05_k,peso510_k),1)),""))</f>
        <v/>
      </c>
      <c r="AM353">
        <f>IF($AJ353="","",IF($AJ353=0,LN($F353/$AK353)/$AL353,((($F353/$AK353)^$AJ353)-1)/($AJ353*$AL353)))</f>
        <v/>
      </c>
      <c r="AN353">
        <f>IF($AJ353="","",IF($AJ353=0,$AK353*EXP($AL353*2),$AK353*(1+$AJ353*$AL353*2)^(1/$AJ353)))</f>
        <v/>
      </c>
      <c r="AO353">
        <f>IF($AJ353="","",IF($AJ353=0,$AK353*EXP($AL353*3),$AK353*(1+$AJ353*$AL353*3)^(1/$AJ353)))</f>
        <v/>
      </c>
      <c r="AP353">
        <f>IF($AJ353="","",IF($AJ353=0,$AK353*EXP($AL353*-2),$AK353*(1+$AJ353*$AL353*-2)^(1/$AJ353)))</f>
        <v/>
      </c>
      <c r="AQ353">
        <f>IF($AJ353="","",IF($AJ353=0,$AK353*EXP($AL353*-3),$AK353*(1+$AJ353*$AL353*-3)^(1/$AJ353)))</f>
        <v/>
      </c>
      <c r="AR353">
        <f>IF(OR($X353="",$T353&gt;60),"",IFERROR(INDEX(IF($T353&lt;24,pcomp_l,palt_l),MATCH($X353,IF($T353&lt;24,pcomp_k,palt_k),1)),""))</f>
        <v/>
      </c>
      <c r="AS353">
        <f>IF(OR($X353="",$T353&gt;60),"",IFERROR(INDEX(IF($T353&lt;24,pcomp_m,palt_m),MATCH($X353,IF($T353&lt;24,pcomp_k,palt_k),1)),""))</f>
        <v/>
      </c>
      <c r="AT353">
        <f>IF(OR($X353="",$T353&gt;60),"",IFERROR(INDEX(IF($T353&lt;24,pcomp_s,palt_s),MATCH($X353,IF($T353&lt;24,pcomp_k,palt_k),1)),""))</f>
        <v/>
      </c>
      <c r="AU353">
        <f>IF($AR353="","",IF($AR353=0,LN($F353/$AS353)/$AT353,((($F353/$AS353)^$AR353)-1)/($AR353*$AT353)))</f>
        <v/>
      </c>
      <c r="AV353">
        <f>IF($AR353="","",IF($AR353=0,$AS353*EXP($AT353*2),$AS353*(1+$AR353*$AT353*2)^(1/$AR353)))</f>
        <v/>
      </c>
      <c r="AW353">
        <f>IF($AR353="","",IF($AR353=0,$AS353*EXP($AT353*3),$AS353*(1+$AR353*$AT353*3)^(1/$AR353)))</f>
        <v/>
      </c>
      <c r="AX353">
        <f>IF($AR353="","",IF($AR353=0,$AS353*EXP($AT353*-2),$AS353*(1+$AR353*$AT353*-2)^(1/$AR353)))</f>
        <v/>
      </c>
      <c r="AY353">
        <f>IF($AR353="","",IF($AR353=0,$AS353*EXP($AT353*-3),$AS353*(1+$AR353*$AT353*-3)^(1/$AR353)))</f>
        <v/>
      </c>
      <c r="AZ353">
        <f>IF(OR($A353="",$A353&lt;&gt;Ficha!$C$4),"",COUNTIF($A$2:$A353,Ficha!$C$4))</f>
        <v/>
      </c>
    </row>
    <row r="354">
      <c r="A354" s="8">
        <f>IF(INDEX(Banco!$A:$A,ROW())="","",INDEX(Banco!$A:$A,ROW()))</f>
        <v/>
      </c>
      <c r="B354" s="8">
        <f>IF(INDEX(Banco!$B:$B,ROW())="","",INDEX(Banco!$B:$B,ROW()))</f>
        <v/>
      </c>
      <c r="C354" s="8">
        <f>IF(INDEX(Banco!$C:$C,ROW())="","",INDEX(Banco!$C:$C,ROW()))</f>
        <v/>
      </c>
      <c r="D354" s="9">
        <f>IF(INDEX(Banco!$D:$D,ROW())="","",INDEX(Banco!$D:$D,ROW()))</f>
        <v/>
      </c>
      <c r="E354" s="9">
        <f>IF(INDEX(Banco!$E:$E,ROW())="","",INDEX(Banco!$E:$E,ROW()))</f>
        <v/>
      </c>
      <c r="F354" s="10">
        <f>IF(INDEX(Banco!$F:$F,ROW())="","",INDEX(Banco!$F:$F,ROW()))</f>
        <v/>
      </c>
      <c r="G354" s="10">
        <f>IF(INDEX(Banco!$G:$G,ROW())="","",INDEX(Banco!$G:$G,ROW()))</f>
        <v/>
      </c>
      <c r="H354" s="8">
        <f>IF(INDEX(Banco!$H:$H,ROW())="","",INDEX(Banco!$H:$H,ROW()))</f>
        <v/>
      </c>
      <c r="I354">
        <f>IF($T354="","",INT($T354/12)&amp;"a "&amp;MOD($T354,12)&amp;"m")</f>
        <v/>
      </c>
      <c r="J354" s="11">
        <f>IF(OR($F354="",$G354=""),"",ROUND($F354/($G354/100)^2,2))</f>
        <v/>
      </c>
      <c r="K354" s="12">
        <f>IF(OR($S354="",$J354="",$T354="",$T354&lt;0,$T354&gt;228,$Y354=""),"—",ROUND(IF(ABS($AB354)&lt;=3,$AB354,IF($AB354&gt;3,3+($J354-$AD354)/($AD354-$AC354),-3+($J354-$AF354)/($AE354-$AF354))),2))</f>
        <v/>
      </c>
      <c r="L354">
        <f>IF(OR($K354="",$K354="—"),"",IF($T354&lt;=60,IF($K354&lt;-3,"Magreza acentuada",IF($K354&lt;-2,"Magreza",IF($K354&lt;=1,"Eutrofia",IF($K354&lt;=2,"Risco de sobrepeso",IF($K354&lt;=3,"Sobrepeso","Obesidade"))))),IF($K354&lt;-3,"Magreza acentuada",IF($K354&lt;-2,"Magreza",IF($K354&lt;=1,"Eutrofia",IF($K354&lt;=2,"Sobrepeso",IF($K354&lt;=3,"Obesidade","Obesidade grave")))))))</f>
        <v/>
      </c>
      <c r="M354" s="12">
        <f>IF(OR($S354="",$V354="",$T354="",$T354&lt;0,$T354&gt;228,$AG354=""),"—",ROUND(IF($AG354=0,LN($V354/$AH354)/$AI354,((($V354/$AH354)^$AG354)-1)/($AG354*$AI354)),2))</f>
        <v/>
      </c>
      <c r="N354">
        <f>IF(OR($M354="",$M354="—"),"",IF($M354&lt;-3,"Muito baixa",IF($M354&lt;-2,"Baixa","Adequada")))</f>
        <v/>
      </c>
      <c r="O354" s="12">
        <f>IF(OR($S354="",$F354="",$T354="",$T354&lt;0,$T354&gt;120,$AJ354=""),"—",ROUND(IF(ABS($AM354)&lt;=3,$AM354,IF($AM354&gt;3,3+($F354-$AO354)/($AO354-$AN354),-3+($F354-$AQ354)/($AP354-$AQ354))),2))</f>
        <v/>
      </c>
      <c r="P354">
        <f>IF(OR($O354="",$O354="—"),"",IF($O354&lt;-3,"Muito baixo",IF($O354&lt;-2,"Baixo",IF($O354&lt;=2,"Adequado","Elevado"))))</f>
        <v/>
      </c>
      <c r="Q354" s="12">
        <f>IF(OR($S354="",$F354="",$T354="",$T354&lt;0,$T354&gt;60,$AR354=""),"—",ROUND(IF(ABS($AU354)&lt;=3,$AU354,IF($AU354&gt;3,3+($F354-$AW354)/($AW354-$AV354),-3+($F354-$AY354)/($AX354-$AY354))),2))</f>
        <v/>
      </c>
      <c r="R354">
        <f>IF(OR($Q354="",$Q354="—"),"",IF($Q354&lt;-3,"Magreza acentuada",IF($Q354&lt;-2,"Magreza",IF($Q354&lt;=1,"Eutrofia",IF($Q354&lt;=2,"Risco de sobrepeso",IF($Q354&lt;=3,"Sobrepeso","Obesidade"))))))</f>
        <v/>
      </c>
      <c r="S354">
        <f>IF($C354="","",IF(UPPER(LEFT($C354,1))="M",1,IF(UPPER(LEFT($C354,1))="F",2,"")))</f>
        <v/>
      </c>
      <c r="T354">
        <f>IF(OR($D354="",$E354=""),"",DATEDIF($D354,$E354,"m"))</f>
        <v/>
      </c>
      <c r="U354">
        <f>IF(OR($D354="",$E354=""),"",$E354-$D354)</f>
        <v/>
      </c>
      <c r="V354">
        <f>IF(OR($G354="",$T354=""),"",IF($T354&lt;24,IF(LEFT(LOWER($H354),4)="em p",$G354+0.7,$G354),IF(LEFT(LOWER($H354),4)="deit",$G354-0.7,$G354)))</f>
        <v/>
      </c>
      <c r="W354">
        <f>IF(OR($S354="",$T354=""),"",$S354*1000000+IF($T354&lt;=60,$U354,$T354))</f>
        <v/>
      </c>
      <c r="X354">
        <f>IF(OR($S354="",$V354="",$T354&gt;60,$T354=""),"",$S354*1000000+ROUND($V354*10,0))</f>
        <v/>
      </c>
      <c r="Y354">
        <f>IF($W354="","",IFERROR(INDEX(IF($T354&lt;=60,imc05_l,imc519_l),MATCH($W354,IF($T354&lt;=60,imc05_k,imc519_k),1)),""))</f>
        <v/>
      </c>
      <c r="Z354">
        <f>IF($W354="","",IFERROR(INDEX(IF($T354&lt;=60,imc05_m,imc519_m),MATCH($W354,IF($T354&lt;=60,imc05_k,imc519_k),1)),""))</f>
        <v/>
      </c>
      <c r="AA354">
        <f>IF($W354="","",IFERROR(INDEX(IF($T354&lt;=60,imc05_s,imc519_s),MATCH($W354,IF($T354&lt;=60,imc05_k,imc519_k),1)),""))</f>
        <v/>
      </c>
      <c r="AB354">
        <f>IF($Y354="","",IF($Y354=0,LN($J354/$Z354)/$AA354,((($J354/$Z354)^$Y354)-1)/($Y354*$AA354)))</f>
        <v/>
      </c>
      <c r="AC354">
        <f>IF($Y354="","",IF($Y354=0,$Z354*EXP($AA354*2),$Z354*(1+$Y354*$AA354*2)^(1/$Y354)))</f>
        <v/>
      </c>
      <c r="AD354">
        <f>IF($Y354="","",IF($Y354=0,$Z354*EXP($AA354*3),$Z354*(1+$Y354*$AA354*3)^(1/$Y354)))</f>
        <v/>
      </c>
      <c r="AE354">
        <f>IF($Y354="","",IF($Y354=0,$Z354*EXP($AA354*-2),$Z354*(1+$Y354*$AA354*-2)^(1/$Y354)))</f>
        <v/>
      </c>
      <c r="AF354">
        <f>IF($Y354="","",IF($Y354=0,$Z354*EXP($AA354*-3),$Z354*(1+$Y354*$AA354*-3)^(1/$Y354)))</f>
        <v/>
      </c>
      <c r="AG354">
        <f>IF($W354="","",IFERROR(INDEX(IF($T354&lt;=60,est05_l,est519_l),MATCH($W354,IF($T354&lt;=60,est05_k,est519_k),1)),""))</f>
        <v/>
      </c>
      <c r="AH354">
        <f>IF($W354="","",IFERROR(INDEX(IF($T354&lt;=60,est05_m,est519_m),MATCH($W354,IF($T354&lt;=60,est05_k,est519_k),1)),""))</f>
        <v/>
      </c>
      <c r="AI354">
        <f>IF($W354="","",IFERROR(INDEX(IF($T354&lt;=60,est05_s,est519_s),MATCH($W354,IF($T354&lt;=60,est05_k,est519_k),1)),""))</f>
        <v/>
      </c>
      <c r="AJ354">
        <f>IF($W354="","",IFERROR(INDEX(IF($T354&lt;=60,peso05_l,peso510_l),MATCH($W354,IF($T354&lt;=60,peso05_k,peso510_k),1)),""))</f>
        <v/>
      </c>
      <c r="AK354">
        <f>IF($W354="","",IFERROR(INDEX(IF($T354&lt;=60,peso05_m,peso510_m),MATCH($W354,IF($T354&lt;=60,peso05_k,peso510_k),1)),""))</f>
        <v/>
      </c>
      <c r="AL354">
        <f>IF($W354="","",IFERROR(INDEX(IF($T354&lt;=60,peso05_s,peso510_s),MATCH($W354,IF($T354&lt;=60,peso05_k,peso510_k),1)),""))</f>
        <v/>
      </c>
      <c r="AM354">
        <f>IF($AJ354="","",IF($AJ354=0,LN($F354/$AK354)/$AL354,((($F354/$AK354)^$AJ354)-1)/($AJ354*$AL354)))</f>
        <v/>
      </c>
      <c r="AN354">
        <f>IF($AJ354="","",IF($AJ354=0,$AK354*EXP($AL354*2),$AK354*(1+$AJ354*$AL354*2)^(1/$AJ354)))</f>
        <v/>
      </c>
      <c r="AO354">
        <f>IF($AJ354="","",IF($AJ354=0,$AK354*EXP($AL354*3),$AK354*(1+$AJ354*$AL354*3)^(1/$AJ354)))</f>
        <v/>
      </c>
      <c r="AP354">
        <f>IF($AJ354="","",IF($AJ354=0,$AK354*EXP($AL354*-2),$AK354*(1+$AJ354*$AL354*-2)^(1/$AJ354)))</f>
        <v/>
      </c>
      <c r="AQ354">
        <f>IF($AJ354="","",IF($AJ354=0,$AK354*EXP($AL354*-3),$AK354*(1+$AJ354*$AL354*-3)^(1/$AJ354)))</f>
        <v/>
      </c>
      <c r="AR354">
        <f>IF(OR($X354="",$T354&gt;60),"",IFERROR(INDEX(IF($T354&lt;24,pcomp_l,palt_l),MATCH($X354,IF($T354&lt;24,pcomp_k,palt_k),1)),""))</f>
        <v/>
      </c>
      <c r="AS354">
        <f>IF(OR($X354="",$T354&gt;60),"",IFERROR(INDEX(IF($T354&lt;24,pcomp_m,palt_m),MATCH($X354,IF($T354&lt;24,pcomp_k,palt_k),1)),""))</f>
        <v/>
      </c>
      <c r="AT354">
        <f>IF(OR($X354="",$T354&gt;60),"",IFERROR(INDEX(IF($T354&lt;24,pcomp_s,palt_s),MATCH($X354,IF($T354&lt;24,pcomp_k,palt_k),1)),""))</f>
        <v/>
      </c>
      <c r="AU354">
        <f>IF($AR354="","",IF($AR354=0,LN($F354/$AS354)/$AT354,((($F354/$AS354)^$AR354)-1)/($AR354*$AT354)))</f>
        <v/>
      </c>
      <c r="AV354">
        <f>IF($AR354="","",IF($AR354=0,$AS354*EXP($AT354*2),$AS354*(1+$AR354*$AT354*2)^(1/$AR354)))</f>
        <v/>
      </c>
      <c r="AW354">
        <f>IF($AR354="","",IF($AR354=0,$AS354*EXP($AT354*3),$AS354*(1+$AR354*$AT354*3)^(1/$AR354)))</f>
        <v/>
      </c>
      <c r="AX354">
        <f>IF($AR354="","",IF($AR354=0,$AS354*EXP($AT354*-2),$AS354*(1+$AR354*$AT354*-2)^(1/$AR354)))</f>
        <v/>
      </c>
      <c r="AY354">
        <f>IF($AR354="","",IF($AR354=0,$AS354*EXP($AT354*-3),$AS354*(1+$AR354*$AT354*-3)^(1/$AR354)))</f>
        <v/>
      </c>
      <c r="AZ354">
        <f>IF(OR($A354="",$A354&lt;&gt;Ficha!$C$4),"",COUNTIF($A$2:$A354,Ficha!$C$4))</f>
        <v/>
      </c>
    </row>
    <row r="355">
      <c r="A355" s="8">
        <f>IF(INDEX(Banco!$A:$A,ROW())="","",INDEX(Banco!$A:$A,ROW()))</f>
        <v/>
      </c>
      <c r="B355" s="8">
        <f>IF(INDEX(Banco!$B:$B,ROW())="","",INDEX(Banco!$B:$B,ROW()))</f>
        <v/>
      </c>
      <c r="C355" s="8">
        <f>IF(INDEX(Banco!$C:$C,ROW())="","",INDEX(Banco!$C:$C,ROW()))</f>
        <v/>
      </c>
      <c r="D355" s="9">
        <f>IF(INDEX(Banco!$D:$D,ROW())="","",INDEX(Banco!$D:$D,ROW()))</f>
        <v/>
      </c>
      <c r="E355" s="9">
        <f>IF(INDEX(Banco!$E:$E,ROW())="","",INDEX(Banco!$E:$E,ROW()))</f>
        <v/>
      </c>
      <c r="F355" s="10">
        <f>IF(INDEX(Banco!$F:$F,ROW())="","",INDEX(Banco!$F:$F,ROW()))</f>
        <v/>
      </c>
      <c r="G355" s="10">
        <f>IF(INDEX(Banco!$G:$G,ROW())="","",INDEX(Banco!$G:$G,ROW()))</f>
        <v/>
      </c>
      <c r="H355" s="8">
        <f>IF(INDEX(Banco!$H:$H,ROW())="","",INDEX(Banco!$H:$H,ROW()))</f>
        <v/>
      </c>
      <c r="I355">
        <f>IF($T355="","",INT($T355/12)&amp;"a "&amp;MOD($T355,12)&amp;"m")</f>
        <v/>
      </c>
      <c r="J355" s="11">
        <f>IF(OR($F355="",$G355=""),"",ROUND($F355/($G355/100)^2,2))</f>
        <v/>
      </c>
      <c r="K355" s="12">
        <f>IF(OR($S355="",$J355="",$T355="",$T355&lt;0,$T355&gt;228,$Y355=""),"—",ROUND(IF(ABS($AB355)&lt;=3,$AB355,IF($AB355&gt;3,3+($J355-$AD355)/($AD355-$AC355),-3+($J355-$AF355)/($AE355-$AF355))),2))</f>
        <v/>
      </c>
      <c r="L355">
        <f>IF(OR($K355="",$K355="—"),"",IF($T355&lt;=60,IF($K355&lt;-3,"Magreza acentuada",IF($K355&lt;-2,"Magreza",IF($K355&lt;=1,"Eutrofia",IF($K355&lt;=2,"Risco de sobrepeso",IF($K355&lt;=3,"Sobrepeso","Obesidade"))))),IF($K355&lt;-3,"Magreza acentuada",IF($K355&lt;-2,"Magreza",IF($K355&lt;=1,"Eutrofia",IF($K355&lt;=2,"Sobrepeso",IF($K355&lt;=3,"Obesidade","Obesidade grave")))))))</f>
        <v/>
      </c>
      <c r="M355" s="12">
        <f>IF(OR($S355="",$V355="",$T355="",$T355&lt;0,$T355&gt;228,$AG355=""),"—",ROUND(IF($AG355=0,LN($V355/$AH355)/$AI355,((($V355/$AH355)^$AG355)-1)/($AG355*$AI355)),2))</f>
        <v/>
      </c>
      <c r="N355">
        <f>IF(OR($M355="",$M355="—"),"",IF($M355&lt;-3,"Muito baixa",IF($M355&lt;-2,"Baixa","Adequada")))</f>
        <v/>
      </c>
      <c r="O355" s="12">
        <f>IF(OR($S355="",$F355="",$T355="",$T355&lt;0,$T355&gt;120,$AJ355=""),"—",ROUND(IF(ABS($AM355)&lt;=3,$AM355,IF($AM355&gt;3,3+($F355-$AO355)/($AO355-$AN355),-3+($F355-$AQ355)/($AP355-$AQ355))),2))</f>
        <v/>
      </c>
      <c r="P355">
        <f>IF(OR($O355="",$O355="—"),"",IF($O355&lt;-3,"Muito baixo",IF($O355&lt;-2,"Baixo",IF($O355&lt;=2,"Adequado","Elevado"))))</f>
        <v/>
      </c>
      <c r="Q355" s="12">
        <f>IF(OR($S355="",$F355="",$T355="",$T355&lt;0,$T355&gt;60,$AR355=""),"—",ROUND(IF(ABS($AU355)&lt;=3,$AU355,IF($AU355&gt;3,3+($F355-$AW355)/($AW355-$AV355),-3+($F355-$AY355)/($AX355-$AY355))),2))</f>
        <v/>
      </c>
      <c r="R355">
        <f>IF(OR($Q355="",$Q355="—"),"",IF($Q355&lt;-3,"Magreza acentuada",IF($Q355&lt;-2,"Magreza",IF($Q355&lt;=1,"Eutrofia",IF($Q355&lt;=2,"Risco de sobrepeso",IF($Q355&lt;=3,"Sobrepeso","Obesidade"))))))</f>
        <v/>
      </c>
      <c r="S355">
        <f>IF($C355="","",IF(UPPER(LEFT($C355,1))="M",1,IF(UPPER(LEFT($C355,1))="F",2,"")))</f>
        <v/>
      </c>
      <c r="T355">
        <f>IF(OR($D355="",$E355=""),"",DATEDIF($D355,$E355,"m"))</f>
        <v/>
      </c>
      <c r="U355">
        <f>IF(OR($D355="",$E355=""),"",$E355-$D355)</f>
        <v/>
      </c>
      <c r="V355">
        <f>IF(OR($G355="",$T355=""),"",IF($T355&lt;24,IF(LEFT(LOWER($H355),4)="em p",$G355+0.7,$G355),IF(LEFT(LOWER($H355),4)="deit",$G355-0.7,$G355)))</f>
        <v/>
      </c>
      <c r="W355">
        <f>IF(OR($S355="",$T355=""),"",$S355*1000000+IF($T355&lt;=60,$U355,$T355))</f>
        <v/>
      </c>
      <c r="X355">
        <f>IF(OR($S355="",$V355="",$T355&gt;60,$T355=""),"",$S355*1000000+ROUND($V355*10,0))</f>
        <v/>
      </c>
      <c r="Y355">
        <f>IF($W355="","",IFERROR(INDEX(IF($T355&lt;=60,imc05_l,imc519_l),MATCH($W355,IF($T355&lt;=60,imc05_k,imc519_k),1)),""))</f>
        <v/>
      </c>
      <c r="Z355">
        <f>IF($W355="","",IFERROR(INDEX(IF($T355&lt;=60,imc05_m,imc519_m),MATCH($W355,IF($T355&lt;=60,imc05_k,imc519_k),1)),""))</f>
        <v/>
      </c>
      <c r="AA355">
        <f>IF($W355="","",IFERROR(INDEX(IF($T355&lt;=60,imc05_s,imc519_s),MATCH($W355,IF($T355&lt;=60,imc05_k,imc519_k),1)),""))</f>
        <v/>
      </c>
      <c r="AB355">
        <f>IF($Y355="","",IF($Y355=0,LN($J355/$Z355)/$AA355,((($J355/$Z355)^$Y355)-1)/($Y355*$AA355)))</f>
        <v/>
      </c>
      <c r="AC355">
        <f>IF($Y355="","",IF($Y355=0,$Z355*EXP($AA355*2),$Z355*(1+$Y355*$AA355*2)^(1/$Y355)))</f>
        <v/>
      </c>
      <c r="AD355">
        <f>IF($Y355="","",IF($Y355=0,$Z355*EXP($AA355*3),$Z355*(1+$Y355*$AA355*3)^(1/$Y355)))</f>
        <v/>
      </c>
      <c r="AE355">
        <f>IF($Y355="","",IF($Y355=0,$Z355*EXP($AA355*-2),$Z355*(1+$Y355*$AA355*-2)^(1/$Y355)))</f>
        <v/>
      </c>
      <c r="AF355">
        <f>IF($Y355="","",IF($Y355=0,$Z355*EXP($AA355*-3),$Z355*(1+$Y355*$AA355*-3)^(1/$Y355)))</f>
        <v/>
      </c>
      <c r="AG355">
        <f>IF($W355="","",IFERROR(INDEX(IF($T355&lt;=60,est05_l,est519_l),MATCH($W355,IF($T355&lt;=60,est05_k,est519_k),1)),""))</f>
        <v/>
      </c>
      <c r="AH355">
        <f>IF($W355="","",IFERROR(INDEX(IF($T355&lt;=60,est05_m,est519_m),MATCH($W355,IF($T355&lt;=60,est05_k,est519_k),1)),""))</f>
        <v/>
      </c>
      <c r="AI355">
        <f>IF($W355="","",IFERROR(INDEX(IF($T355&lt;=60,est05_s,est519_s),MATCH($W355,IF($T355&lt;=60,est05_k,est519_k),1)),""))</f>
        <v/>
      </c>
      <c r="AJ355">
        <f>IF($W355="","",IFERROR(INDEX(IF($T355&lt;=60,peso05_l,peso510_l),MATCH($W355,IF($T355&lt;=60,peso05_k,peso510_k),1)),""))</f>
        <v/>
      </c>
      <c r="AK355">
        <f>IF($W355="","",IFERROR(INDEX(IF($T355&lt;=60,peso05_m,peso510_m),MATCH($W355,IF($T355&lt;=60,peso05_k,peso510_k),1)),""))</f>
        <v/>
      </c>
      <c r="AL355">
        <f>IF($W355="","",IFERROR(INDEX(IF($T355&lt;=60,peso05_s,peso510_s),MATCH($W355,IF($T355&lt;=60,peso05_k,peso510_k),1)),""))</f>
        <v/>
      </c>
      <c r="AM355">
        <f>IF($AJ355="","",IF($AJ355=0,LN($F355/$AK355)/$AL355,((($F355/$AK355)^$AJ355)-1)/($AJ355*$AL355)))</f>
        <v/>
      </c>
      <c r="AN355">
        <f>IF($AJ355="","",IF($AJ355=0,$AK355*EXP($AL355*2),$AK355*(1+$AJ355*$AL355*2)^(1/$AJ355)))</f>
        <v/>
      </c>
      <c r="AO355">
        <f>IF($AJ355="","",IF($AJ355=0,$AK355*EXP($AL355*3),$AK355*(1+$AJ355*$AL355*3)^(1/$AJ355)))</f>
        <v/>
      </c>
      <c r="AP355">
        <f>IF($AJ355="","",IF($AJ355=0,$AK355*EXP($AL355*-2),$AK355*(1+$AJ355*$AL355*-2)^(1/$AJ355)))</f>
        <v/>
      </c>
      <c r="AQ355">
        <f>IF($AJ355="","",IF($AJ355=0,$AK355*EXP($AL355*-3),$AK355*(1+$AJ355*$AL355*-3)^(1/$AJ355)))</f>
        <v/>
      </c>
      <c r="AR355">
        <f>IF(OR($X355="",$T355&gt;60),"",IFERROR(INDEX(IF($T355&lt;24,pcomp_l,palt_l),MATCH($X355,IF($T355&lt;24,pcomp_k,palt_k),1)),""))</f>
        <v/>
      </c>
      <c r="AS355">
        <f>IF(OR($X355="",$T355&gt;60),"",IFERROR(INDEX(IF($T355&lt;24,pcomp_m,palt_m),MATCH($X355,IF($T355&lt;24,pcomp_k,palt_k),1)),""))</f>
        <v/>
      </c>
      <c r="AT355">
        <f>IF(OR($X355="",$T355&gt;60),"",IFERROR(INDEX(IF($T355&lt;24,pcomp_s,palt_s),MATCH($X355,IF($T355&lt;24,pcomp_k,palt_k),1)),""))</f>
        <v/>
      </c>
      <c r="AU355">
        <f>IF($AR355="","",IF($AR355=0,LN($F355/$AS355)/$AT355,((($F355/$AS355)^$AR355)-1)/($AR355*$AT355)))</f>
        <v/>
      </c>
      <c r="AV355">
        <f>IF($AR355="","",IF($AR355=0,$AS355*EXP($AT355*2),$AS355*(1+$AR355*$AT355*2)^(1/$AR355)))</f>
        <v/>
      </c>
      <c r="AW355">
        <f>IF($AR355="","",IF($AR355=0,$AS355*EXP($AT355*3),$AS355*(1+$AR355*$AT355*3)^(1/$AR355)))</f>
        <v/>
      </c>
      <c r="AX355">
        <f>IF($AR355="","",IF($AR355=0,$AS355*EXP($AT355*-2),$AS355*(1+$AR355*$AT355*-2)^(1/$AR355)))</f>
        <v/>
      </c>
      <c r="AY355">
        <f>IF($AR355="","",IF($AR355=0,$AS355*EXP($AT355*-3),$AS355*(1+$AR355*$AT355*-3)^(1/$AR355)))</f>
        <v/>
      </c>
      <c r="AZ355">
        <f>IF(OR($A355="",$A355&lt;&gt;Ficha!$C$4),"",COUNTIF($A$2:$A355,Ficha!$C$4))</f>
        <v/>
      </c>
    </row>
    <row r="356">
      <c r="A356" s="8">
        <f>IF(INDEX(Banco!$A:$A,ROW())="","",INDEX(Banco!$A:$A,ROW()))</f>
        <v/>
      </c>
      <c r="B356" s="8">
        <f>IF(INDEX(Banco!$B:$B,ROW())="","",INDEX(Banco!$B:$B,ROW()))</f>
        <v/>
      </c>
      <c r="C356" s="8">
        <f>IF(INDEX(Banco!$C:$C,ROW())="","",INDEX(Banco!$C:$C,ROW()))</f>
        <v/>
      </c>
      <c r="D356" s="9">
        <f>IF(INDEX(Banco!$D:$D,ROW())="","",INDEX(Banco!$D:$D,ROW()))</f>
        <v/>
      </c>
      <c r="E356" s="9">
        <f>IF(INDEX(Banco!$E:$E,ROW())="","",INDEX(Banco!$E:$E,ROW()))</f>
        <v/>
      </c>
      <c r="F356" s="10">
        <f>IF(INDEX(Banco!$F:$F,ROW())="","",INDEX(Banco!$F:$F,ROW()))</f>
        <v/>
      </c>
      <c r="G356" s="10">
        <f>IF(INDEX(Banco!$G:$G,ROW())="","",INDEX(Banco!$G:$G,ROW()))</f>
        <v/>
      </c>
      <c r="H356" s="8">
        <f>IF(INDEX(Banco!$H:$H,ROW())="","",INDEX(Banco!$H:$H,ROW()))</f>
        <v/>
      </c>
      <c r="I356">
        <f>IF($T356="","",INT($T356/12)&amp;"a "&amp;MOD($T356,12)&amp;"m")</f>
        <v/>
      </c>
      <c r="J356" s="11">
        <f>IF(OR($F356="",$G356=""),"",ROUND($F356/($G356/100)^2,2))</f>
        <v/>
      </c>
      <c r="K356" s="12">
        <f>IF(OR($S356="",$J356="",$T356="",$T356&lt;0,$T356&gt;228,$Y356=""),"—",ROUND(IF(ABS($AB356)&lt;=3,$AB356,IF($AB356&gt;3,3+($J356-$AD356)/($AD356-$AC356),-3+($J356-$AF356)/($AE356-$AF356))),2))</f>
        <v/>
      </c>
      <c r="L356">
        <f>IF(OR($K356="",$K356="—"),"",IF($T356&lt;=60,IF($K356&lt;-3,"Magreza acentuada",IF($K356&lt;-2,"Magreza",IF($K356&lt;=1,"Eutrofia",IF($K356&lt;=2,"Risco de sobrepeso",IF($K356&lt;=3,"Sobrepeso","Obesidade"))))),IF($K356&lt;-3,"Magreza acentuada",IF($K356&lt;-2,"Magreza",IF($K356&lt;=1,"Eutrofia",IF($K356&lt;=2,"Sobrepeso",IF($K356&lt;=3,"Obesidade","Obesidade grave")))))))</f>
        <v/>
      </c>
      <c r="M356" s="12">
        <f>IF(OR($S356="",$V356="",$T356="",$T356&lt;0,$T356&gt;228,$AG356=""),"—",ROUND(IF($AG356=0,LN($V356/$AH356)/$AI356,((($V356/$AH356)^$AG356)-1)/($AG356*$AI356)),2))</f>
        <v/>
      </c>
      <c r="N356">
        <f>IF(OR($M356="",$M356="—"),"",IF($M356&lt;-3,"Muito baixa",IF($M356&lt;-2,"Baixa","Adequada")))</f>
        <v/>
      </c>
      <c r="O356" s="12">
        <f>IF(OR($S356="",$F356="",$T356="",$T356&lt;0,$T356&gt;120,$AJ356=""),"—",ROUND(IF(ABS($AM356)&lt;=3,$AM356,IF($AM356&gt;3,3+($F356-$AO356)/($AO356-$AN356),-3+($F356-$AQ356)/($AP356-$AQ356))),2))</f>
        <v/>
      </c>
      <c r="P356">
        <f>IF(OR($O356="",$O356="—"),"",IF($O356&lt;-3,"Muito baixo",IF($O356&lt;-2,"Baixo",IF($O356&lt;=2,"Adequado","Elevado"))))</f>
        <v/>
      </c>
      <c r="Q356" s="12">
        <f>IF(OR($S356="",$F356="",$T356="",$T356&lt;0,$T356&gt;60,$AR356=""),"—",ROUND(IF(ABS($AU356)&lt;=3,$AU356,IF($AU356&gt;3,3+($F356-$AW356)/($AW356-$AV356),-3+($F356-$AY356)/($AX356-$AY356))),2))</f>
        <v/>
      </c>
      <c r="R356">
        <f>IF(OR($Q356="",$Q356="—"),"",IF($Q356&lt;-3,"Magreza acentuada",IF($Q356&lt;-2,"Magreza",IF($Q356&lt;=1,"Eutrofia",IF($Q356&lt;=2,"Risco de sobrepeso",IF($Q356&lt;=3,"Sobrepeso","Obesidade"))))))</f>
        <v/>
      </c>
      <c r="S356">
        <f>IF($C356="","",IF(UPPER(LEFT($C356,1))="M",1,IF(UPPER(LEFT($C356,1))="F",2,"")))</f>
        <v/>
      </c>
      <c r="T356">
        <f>IF(OR($D356="",$E356=""),"",DATEDIF($D356,$E356,"m"))</f>
        <v/>
      </c>
      <c r="U356">
        <f>IF(OR($D356="",$E356=""),"",$E356-$D356)</f>
        <v/>
      </c>
      <c r="V356">
        <f>IF(OR($G356="",$T356=""),"",IF($T356&lt;24,IF(LEFT(LOWER($H356),4)="em p",$G356+0.7,$G356),IF(LEFT(LOWER($H356),4)="deit",$G356-0.7,$G356)))</f>
        <v/>
      </c>
      <c r="W356">
        <f>IF(OR($S356="",$T356=""),"",$S356*1000000+IF($T356&lt;=60,$U356,$T356))</f>
        <v/>
      </c>
      <c r="X356">
        <f>IF(OR($S356="",$V356="",$T356&gt;60,$T356=""),"",$S356*1000000+ROUND($V356*10,0))</f>
        <v/>
      </c>
      <c r="Y356">
        <f>IF($W356="","",IFERROR(INDEX(IF($T356&lt;=60,imc05_l,imc519_l),MATCH($W356,IF($T356&lt;=60,imc05_k,imc519_k),1)),""))</f>
        <v/>
      </c>
      <c r="Z356">
        <f>IF($W356="","",IFERROR(INDEX(IF($T356&lt;=60,imc05_m,imc519_m),MATCH($W356,IF($T356&lt;=60,imc05_k,imc519_k),1)),""))</f>
        <v/>
      </c>
      <c r="AA356">
        <f>IF($W356="","",IFERROR(INDEX(IF($T356&lt;=60,imc05_s,imc519_s),MATCH($W356,IF($T356&lt;=60,imc05_k,imc519_k),1)),""))</f>
        <v/>
      </c>
      <c r="AB356">
        <f>IF($Y356="","",IF($Y356=0,LN($J356/$Z356)/$AA356,((($J356/$Z356)^$Y356)-1)/($Y356*$AA356)))</f>
        <v/>
      </c>
      <c r="AC356">
        <f>IF($Y356="","",IF($Y356=0,$Z356*EXP($AA356*2),$Z356*(1+$Y356*$AA356*2)^(1/$Y356)))</f>
        <v/>
      </c>
      <c r="AD356">
        <f>IF($Y356="","",IF($Y356=0,$Z356*EXP($AA356*3),$Z356*(1+$Y356*$AA356*3)^(1/$Y356)))</f>
        <v/>
      </c>
      <c r="AE356">
        <f>IF($Y356="","",IF($Y356=0,$Z356*EXP($AA356*-2),$Z356*(1+$Y356*$AA356*-2)^(1/$Y356)))</f>
        <v/>
      </c>
      <c r="AF356">
        <f>IF($Y356="","",IF($Y356=0,$Z356*EXP($AA356*-3),$Z356*(1+$Y356*$AA356*-3)^(1/$Y356)))</f>
        <v/>
      </c>
      <c r="AG356">
        <f>IF($W356="","",IFERROR(INDEX(IF($T356&lt;=60,est05_l,est519_l),MATCH($W356,IF($T356&lt;=60,est05_k,est519_k),1)),""))</f>
        <v/>
      </c>
      <c r="AH356">
        <f>IF($W356="","",IFERROR(INDEX(IF($T356&lt;=60,est05_m,est519_m),MATCH($W356,IF($T356&lt;=60,est05_k,est519_k),1)),""))</f>
        <v/>
      </c>
      <c r="AI356">
        <f>IF($W356="","",IFERROR(INDEX(IF($T356&lt;=60,est05_s,est519_s),MATCH($W356,IF($T356&lt;=60,est05_k,est519_k),1)),""))</f>
        <v/>
      </c>
      <c r="AJ356">
        <f>IF($W356="","",IFERROR(INDEX(IF($T356&lt;=60,peso05_l,peso510_l),MATCH($W356,IF($T356&lt;=60,peso05_k,peso510_k),1)),""))</f>
        <v/>
      </c>
      <c r="AK356">
        <f>IF($W356="","",IFERROR(INDEX(IF($T356&lt;=60,peso05_m,peso510_m),MATCH($W356,IF($T356&lt;=60,peso05_k,peso510_k),1)),""))</f>
        <v/>
      </c>
      <c r="AL356">
        <f>IF($W356="","",IFERROR(INDEX(IF($T356&lt;=60,peso05_s,peso510_s),MATCH($W356,IF($T356&lt;=60,peso05_k,peso510_k),1)),""))</f>
        <v/>
      </c>
      <c r="AM356">
        <f>IF($AJ356="","",IF($AJ356=0,LN($F356/$AK356)/$AL356,((($F356/$AK356)^$AJ356)-1)/($AJ356*$AL356)))</f>
        <v/>
      </c>
      <c r="AN356">
        <f>IF($AJ356="","",IF($AJ356=0,$AK356*EXP($AL356*2),$AK356*(1+$AJ356*$AL356*2)^(1/$AJ356)))</f>
        <v/>
      </c>
      <c r="AO356">
        <f>IF($AJ356="","",IF($AJ356=0,$AK356*EXP($AL356*3),$AK356*(1+$AJ356*$AL356*3)^(1/$AJ356)))</f>
        <v/>
      </c>
      <c r="AP356">
        <f>IF($AJ356="","",IF($AJ356=0,$AK356*EXP($AL356*-2),$AK356*(1+$AJ356*$AL356*-2)^(1/$AJ356)))</f>
        <v/>
      </c>
      <c r="AQ356">
        <f>IF($AJ356="","",IF($AJ356=0,$AK356*EXP($AL356*-3),$AK356*(1+$AJ356*$AL356*-3)^(1/$AJ356)))</f>
        <v/>
      </c>
      <c r="AR356">
        <f>IF(OR($X356="",$T356&gt;60),"",IFERROR(INDEX(IF($T356&lt;24,pcomp_l,palt_l),MATCH($X356,IF($T356&lt;24,pcomp_k,palt_k),1)),""))</f>
        <v/>
      </c>
      <c r="AS356">
        <f>IF(OR($X356="",$T356&gt;60),"",IFERROR(INDEX(IF($T356&lt;24,pcomp_m,palt_m),MATCH($X356,IF($T356&lt;24,pcomp_k,palt_k),1)),""))</f>
        <v/>
      </c>
      <c r="AT356">
        <f>IF(OR($X356="",$T356&gt;60),"",IFERROR(INDEX(IF($T356&lt;24,pcomp_s,palt_s),MATCH($X356,IF($T356&lt;24,pcomp_k,palt_k),1)),""))</f>
        <v/>
      </c>
      <c r="AU356">
        <f>IF($AR356="","",IF($AR356=0,LN($F356/$AS356)/$AT356,((($F356/$AS356)^$AR356)-1)/($AR356*$AT356)))</f>
        <v/>
      </c>
      <c r="AV356">
        <f>IF($AR356="","",IF($AR356=0,$AS356*EXP($AT356*2),$AS356*(1+$AR356*$AT356*2)^(1/$AR356)))</f>
        <v/>
      </c>
      <c r="AW356">
        <f>IF($AR356="","",IF($AR356=0,$AS356*EXP($AT356*3),$AS356*(1+$AR356*$AT356*3)^(1/$AR356)))</f>
        <v/>
      </c>
      <c r="AX356">
        <f>IF($AR356="","",IF($AR356=0,$AS356*EXP($AT356*-2),$AS356*(1+$AR356*$AT356*-2)^(1/$AR356)))</f>
        <v/>
      </c>
      <c r="AY356">
        <f>IF($AR356="","",IF($AR356=0,$AS356*EXP($AT356*-3),$AS356*(1+$AR356*$AT356*-3)^(1/$AR356)))</f>
        <v/>
      </c>
      <c r="AZ356">
        <f>IF(OR($A356="",$A356&lt;&gt;Ficha!$C$4),"",COUNTIF($A$2:$A356,Ficha!$C$4))</f>
        <v/>
      </c>
    </row>
    <row r="357">
      <c r="A357" s="8">
        <f>IF(INDEX(Banco!$A:$A,ROW())="","",INDEX(Banco!$A:$A,ROW()))</f>
        <v/>
      </c>
      <c r="B357" s="8">
        <f>IF(INDEX(Banco!$B:$B,ROW())="","",INDEX(Banco!$B:$B,ROW()))</f>
        <v/>
      </c>
      <c r="C357" s="8">
        <f>IF(INDEX(Banco!$C:$C,ROW())="","",INDEX(Banco!$C:$C,ROW()))</f>
        <v/>
      </c>
      <c r="D357" s="9">
        <f>IF(INDEX(Banco!$D:$D,ROW())="","",INDEX(Banco!$D:$D,ROW()))</f>
        <v/>
      </c>
      <c r="E357" s="9">
        <f>IF(INDEX(Banco!$E:$E,ROW())="","",INDEX(Banco!$E:$E,ROW()))</f>
        <v/>
      </c>
      <c r="F357" s="10">
        <f>IF(INDEX(Banco!$F:$F,ROW())="","",INDEX(Banco!$F:$F,ROW()))</f>
        <v/>
      </c>
      <c r="G357" s="10">
        <f>IF(INDEX(Banco!$G:$G,ROW())="","",INDEX(Banco!$G:$G,ROW()))</f>
        <v/>
      </c>
      <c r="H357" s="8">
        <f>IF(INDEX(Banco!$H:$H,ROW())="","",INDEX(Banco!$H:$H,ROW()))</f>
        <v/>
      </c>
      <c r="I357">
        <f>IF($T357="","",INT($T357/12)&amp;"a "&amp;MOD($T357,12)&amp;"m")</f>
        <v/>
      </c>
      <c r="J357" s="11">
        <f>IF(OR($F357="",$G357=""),"",ROUND($F357/($G357/100)^2,2))</f>
        <v/>
      </c>
      <c r="K357" s="12">
        <f>IF(OR($S357="",$J357="",$T357="",$T357&lt;0,$T357&gt;228,$Y357=""),"—",ROUND(IF(ABS($AB357)&lt;=3,$AB357,IF($AB357&gt;3,3+($J357-$AD357)/($AD357-$AC357),-3+($J357-$AF357)/($AE357-$AF357))),2))</f>
        <v/>
      </c>
      <c r="L357">
        <f>IF(OR($K357="",$K357="—"),"",IF($T357&lt;=60,IF($K357&lt;-3,"Magreza acentuada",IF($K357&lt;-2,"Magreza",IF($K357&lt;=1,"Eutrofia",IF($K357&lt;=2,"Risco de sobrepeso",IF($K357&lt;=3,"Sobrepeso","Obesidade"))))),IF($K357&lt;-3,"Magreza acentuada",IF($K357&lt;-2,"Magreza",IF($K357&lt;=1,"Eutrofia",IF($K357&lt;=2,"Sobrepeso",IF($K357&lt;=3,"Obesidade","Obesidade grave")))))))</f>
        <v/>
      </c>
      <c r="M357" s="12">
        <f>IF(OR($S357="",$V357="",$T357="",$T357&lt;0,$T357&gt;228,$AG357=""),"—",ROUND(IF($AG357=0,LN($V357/$AH357)/$AI357,((($V357/$AH357)^$AG357)-1)/($AG357*$AI357)),2))</f>
        <v/>
      </c>
      <c r="N357">
        <f>IF(OR($M357="",$M357="—"),"",IF($M357&lt;-3,"Muito baixa",IF($M357&lt;-2,"Baixa","Adequada")))</f>
        <v/>
      </c>
      <c r="O357" s="12">
        <f>IF(OR($S357="",$F357="",$T357="",$T357&lt;0,$T357&gt;120,$AJ357=""),"—",ROUND(IF(ABS($AM357)&lt;=3,$AM357,IF($AM357&gt;3,3+($F357-$AO357)/($AO357-$AN357),-3+($F357-$AQ357)/($AP357-$AQ357))),2))</f>
        <v/>
      </c>
      <c r="P357">
        <f>IF(OR($O357="",$O357="—"),"",IF($O357&lt;-3,"Muito baixo",IF($O357&lt;-2,"Baixo",IF($O357&lt;=2,"Adequado","Elevado"))))</f>
        <v/>
      </c>
      <c r="Q357" s="12">
        <f>IF(OR($S357="",$F357="",$T357="",$T357&lt;0,$T357&gt;60,$AR357=""),"—",ROUND(IF(ABS($AU357)&lt;=3,$AU357,IF($AU357&gt;3,3+($F357-$AW357)/($AW357-$AV357),-3+($F357-$AY357)/($AX357-$AY357))),2))</f>
        <v/>
      </c>
      <c r="R357">
        <f>IF(OR($Q357="",$Q357="—"),"",IF($Q357&lt;-3,"Magreza acentuada",IF($Q357&lt;-2,"Magreza",IF($Q357&lt;=1,"Eutrofia",IF($Q357&lt;=2,"Risco de sobrepeso",IF($Q357&lt;=3,"Sobrepeso","Obesidade"))))))</f>
        <v/>
      </c>
      <c r="S357">
        <f>IF($C357="","",IF(UPPER(LEFT($C357,1))="M",1,IF(UPPER(LEFT($C357,1))="F",2,"")))</f>
        <v/>
      </c>
      <c r="T357">
        <f>IF(OR($D357="",$E357=""),"",DATEDIF($D357,$E357,"m"))</f>
        <v/>
      </c>
      <c r="U357">
        <f>IF(OR($D357="",$E357=""),"",$E357-$D357)</f>
        <v/>
      </c>
      <c r="V357">
        <f>IF(OR($G357="",$T357=""),"",IF($T357&lt;24,IF(LEFT(LOWER($H357),4)="em p",$G357+0.7,$G357),IF(LEFT(LOWER($H357),4)="deit",$G357-0.7,$G357)))</f>
        <v/>
      </c>
      <c r="W357">
        <f>IF(OR($S357="",$T357=""),"",$S357*1000000+IF($T357&lt;=60,$U357,$T357))</f>
        <v/>
      </c>
      <c r="X357">
        <f>IF(OR($S357="",$V357="",$T357&gt;60,$T357=""),"",$S357*1000000+ROUND($V357*10,0))</f>
        <v/>
      </c>
      <c r="Y357">
        <f>IF($W357="","",IFERROR(INDEX(IF($T357&lt;=60,imc05_l,imc519_l),MATCH($W357,IF($T357&lt;=60,imc05_k,imc519_k),1)),""))</f>
        <v/>
      </c>
      <c r="Z357">
        <f>IF($W357="","",IFERROR(INDEX(IF($T357&lt;=60,imc05_m,imc519_m),MATCH($W357,IF($T357&lt;=60,imc05_k,imc519_k),1)),""))</f>
        <v/>
      </c>
      <c r="AA357">
        <f>IF($W357="","",IFERROR(INDEX(IF($T357&lt;=60,imc05_s,imc519_s),MATCH($W357,IF($T357&lt;=60,imc05_k,imc519_k),1)),""))</f>
        <v/>
      </c>
      <c r="AB357">
        <f>IF($Y357="","",IF($Y357=0,LN($J357/$Z357)/$AA357,((($J357/$Z357)^$Y357)-1)/($Y357*$AA357)))</f>
        <v/>
      </c>
      <c r="AC357">
        <f>IF($Y357="","",IF($Y357=0,$Z357*EXP($AA357*2),$Z357*(1+$Y357*$AA357*2)^(1/$Y357)))</f>
        <v/>
      </c>
      <c r="AD357">
        <f>IF($Y357="","",IF($Y357=0,$Z357*EXP($AA357*3),$Z357*(1+$Y357*$AA357*3)^(1/$Y357)))</f>
        <v/>
      </c>
      <c r="AE357">
        <f>IF($Y357="","",IF($Y357=0,$Z357*EXP($AA357*-2),$Z357*(1+$Y357*$AA357*-2)^(1/$Y357)))</f>
        <v/>
      </c>
      <c r="AF357">
        <f>IF($Y357="","",IF($Y357=0,$Z357*EXP($AA357*-3),$Z357*(1+$Y357*$AA357*-3)^(1/$Y357)))</f>
        <v/>
      </c>
      <c r="AG357">
        <f>IF($W357="","",IFERROR(INDEX(IF($T357&lt;=60,est05_l,est519_l),MATCH($W357,IF($T357&lt;=60,est05_k,est519_k),1)),""))</f>
        <v/>
      </c>
      <c r="AH357">
        <f>IF($W357="","",IFERROR(INDEX(IF($T357&lt;=60,est05_m,est519_m),MATCH($W357,IF($T357&lt;=60,est05_k,est519_k),1)),""))</f>
        <v/>
      </c>
      <c r="AI357">
        <f>IF($W357="","",IFERROR(INDEX(IF($T357&lt;=60,est05_s,est519_s),MATCH($W357,IF($T357&lt;=60,est05_k,est519_k),1)),""))</f>
        <v/>
      </c>
      <c r="AJ357">
        <f>IF($W357="","",IFERROR(INDEX(IF($T357&lt;=60,peso05_l,peso510_l),MATCH($W357,IF($T357&lt;=60,peso05_k,peso510_k),1)),""))</f>
        <v/>
      </c>
      <c r="AK357">
        <f>IF($W357="","",IFERROR(INDEX(IF($T357&lt;=60,peso05_m,peso510_m),MATCH($W357,IF($T357&lt;=60,peso05_k,peso510_k),1)),""))</f>
        <v/>
      </c>
      <c r="AL357">
        <f>IF($W357="","",IFERROR(INDEX(IF($T357&lt;=60,peso05_s,peso510_s),MATCH($W357,IF($T357&lt;=60,peso05_k,peso510_k),1)),""))</f>
        <v/>
      </c>
      <c r="AM357">
        <f>IF($AJ357="","",IF($AJ357=0,LN($F357/$AK357)/$AL357,((($F357/$AK357)^$AJ357)-1)/($AJ357*$AL357)))</f>
        <v/>
      </c>
      <c r="AN357">
        <f>IF($AJ357="","",IF($AJ357=0,$AK357*EXP($AL357*2),$AK357*(1+$AJ357*$AL357*2)^(1/$AJ357)))</f>
        <v/>
      </c>
      <c r="AO357">
        <f>IF($AJ357="","",IF($AJ357=0,$AK357*EXP($AL357*3),$AK357*(1+$AJ357*$AL357*3)^(1/$AJ357)))</f>
        <v/>
      </c>
      <c r="AP357">
        <f>IF($AJ357="","",IF($AJ357=0,$AK357*EXP($AL357*-2),$AK357*(1+$AJ357*$AL357*-2)^(1/$AJ357)))</f>
        <v/>
      </c>
      <c r="AQ357">
        <f>IF($AJ357="","",IF($AJ357=0,$AK357*EXP($AL357*-3),$AK357*(1+$AJ357*$AL357*-3)^(1/$AJ357)))</f>
        <v/>
      </c>
      <c r="AR357">
        <f>IF(OR($X357="",$T357&gt;60),"",IFERROR(INDEX(IF($T357&lt;24,pcomp_l,palt_l),MATCH($X357,IF($T357&lt;24,pcomp_k,palt_k),1)),""))</f>
        <v/>
      </c>
      <c r="AS357">
        <f>IF(OR($X357="",$T357&gt;60),"",IFERROR(INDEX(IF($T357&lt;24,pcomp_m,palt_m),MATCH($X357,IF($T357&lt;24,pcomp_k,palt_k),1)),""))</f>
        <v/>
      </c>
      <c r="AT357">
        <f>IF(OR($X357="",$T357&gt;60),"",IFERROR(INDEX(IF($T357&lt;24,pcomp_s,palt_s),MATCH($X357,IF($T357&lt;24,pcomp_k,palt_k),1)),""))</f>
        <v/>
      </c>
      <c r="AU357">
        <f>IF($AR357="","",IF($AR357=0,LN($F357/$AS357)/$AT357,((($F357/$AS357)^$AR357)-1)/($AR357*$AT357)))</f>
        <v/>
      </c>
      <c r="AV357">
        <f>IF($AR357="","",IF($AR357=0,$AS357*EXP($AT357*2),$AS357*(1+$AR357*$AT357*2)^(1/$AR357)))</f>
        <v/>
      </c>
      <c r="AW357">
        <f>IF($AR357="","",IF($AR357=0,$AS357*EXP($AT357*3),$AS357*(1+$AR357*$AT357*3)^(1/$AR357)))</f>
        <v/>
      </c>
      <c r="AX357">
        <f>IF($AR357="","",IF($AR357=0,$AS357*EXP($AT357*-2),$AS357*(1+$AR357*$AT357*-2)^(1/$AR357)))</f>
        <v/>
      </c>
      <c r="AY357">
        <f>IF($AR357="","",IF($AR357=0,$AS357*EXP($AT357*-3),$AS357*(1+$AR357*$AT357*-3)^(1/$AR357)))</f>
        <v/>
      </c>
      <c r="AZ357">
        <f>IF(OR($A357="",$A357&lt;&gt;Ficha!$C$4),"",COUNTIF($A$2:$A357,Ficha!$C$4))</f>
        <v/>
      </c>
    </row>
    <row r="358">
      <c r="A358" s="8">
        <f>IF(INDEX(Banco!$A:$A,ROW())="","",INDEX(Banco!$A:$A,ROW()))</f>
        <v/>
      </c>
      <c r="B358" s="8">
        <f>IF(INDEX(Banco!$B:$B,ROW())="","",INDEX(Banco!$B:$B,ROW()))</f>
        <v/>
      </c>
      <c r="C358" s="8">
        <f>IF(INDEX(Banco!$C:$C,ROW())="","",INDEX(Banco!$C:$C,ROW()))</f>
        <v/>
      </c>
      <c r="D358" s="9">
        <f>IF(INDEX(Banco!$D:$D,ROW())="","",INDEX(Banco!$D:$D,ROW()))</f>
        <v/>
      </c>
      <c r="E358" s="9">
        <f>IF(INDEX(Banco!$E:$E,ROW())="","",INDEX(Banco!$E:$E,ROW()))</f>
        <v/>
      </c>
      <c r="F358" s="10">
        <f>IF(INDEX(Banco!$F:$F,ROW())="","",INDEX(Banco!$F:$F,ROW()))</f>
        <v/>
      </c>
      <c r="G358" s="10">
        <f>IF(INDEX(Banco!$G:$G,ROW())="","",INDEX(Banco!$G:$G,ROW()))</f>
        <v/>
      </c>
      <c r="H358" s="8">
        <f>IF(INDEX(Banco!$H:$H,ROW())="","",INDEX(Banco!$H:$H,ROW()))</f>
        <v/>
      </c>
      <c r="I358">
        <f>IF($T358="","",INT($T358/12)&amp;"a "&amp;MOD($T358,12)&amp;"m")</f>
        <v/>
      </c>
      <c r="J358" s="11">
        <f>IF(OR($F358="",$G358=""),"",ROUND($F358/($G358/100)^2,2))</f>
        <v/>
      </c>
      <c r="K358" s="12">
        <f>IF(OR($S358="",$J358="",$T358="",$T358&lt;0,$T358&gt;228,$Y358=""),"—",ROUND(IF(ABS($AB358)&lt;=3,$AB358,IF($AB358&gt;3,3+($J358-$AD358)/($AD358-$AC358),-3+($J358-$AF358)/($AE358-$AF358))),2))</f>
        <v/>
      </c>
      <c r="L358">
        <f>IF(OR($K358="",$K358="—"),"",IF($T358&lt;=60,IF($K358&lt;-3,"Magreza acentuada",IF($K358&lt;-2,"Magreza",IF($K358&lt;=1,"Eutrofia",IF($K358&lt;=2,"Risco de sobrepeso",IF($K358&lt;=3,"Sobrepeso","Obesidade"))))),IF($K358&lt;-3,"Magreza acentuada",IF($K358&lt;-2,"Magreza",IF($K358&lt;=1,"Eutrofia",IF($K358&lt;=2,"Sobrepeso",IF($K358&lt;=3,"Obesidade","Obesidade grave")))))))</f>
        <v/>
      </c>
      <c r="M358" s="12">
        <f>IF(OR($S358="",$V358="",$T358="",$T358&lt;0,$T358&gt;228,$AG358=""),"—",ROUND(IF($AG358=0,LN($V358/$AH358)/$AI358,((($V358/$AH358)^$AG358)-1)/($AG358*$AI358)),2))</f>
        <v/>
      </c>
      <c r="N358">
        <f>IF(OR($M358="",$M358="—"),"",IF($M358&lt;-3,"Muito baixa",IF($M358&lt;-2,"Baixa","Adequada")))</f>
        <v/>
      </c>
      <c r="O358" s="12">
        <f>IF(OR($S358="",$F358="",$T358="",$T358&lt;0,$T358&gt;120,$AJ358=""),"—",ROUND(IF(ABS($AM358)&lt;=3,$AM358,IF($AM358&gt;3,3+($F358-$AO358)/($AO358-$AN358),-3+($F358-$AQ358)/($AP358-$AQ358))),2))</f>
        <v/>
      </c>
      <c r="P358">
        <f>IF(OR($O358="",$O358="—"),"",IF($O358&lt;-3,"Muito baixo",IF($O358&lt;-2,"Baixo",IF($O358&lt;=2,"Adequado","Elevado"))))</f>
        <v/>
      </c>
      <c r="Q358" s="12">
        <f>IF(OR($S358="",$F358="",$T358="",$T358&lt;0,$T358&gt;60,$AR358=""),"—",ROUND(IF(ABS($AU358)&lt;=3,$AU358,IF($AU358&gt;3,3+($F358-$AW358)/($AW358-$AV358),-3+($F358-$AY358)/($AX358-$AY358))),2))</f>
        <v/>
      </c>
      <c r="R358">
        <f>IF(OR($Q358="",$Q358="—"),"",IF($Q358&lt;-3,"Magreza acentuada",IF($Q358&lt;-2,"Magreza",IF($Q358&lt;=1,"Eutrofia",IF($Q358&lt;=2,"Risco de sobrepeso",IF($Q358&lt;=3,"Sobrepeso","Obesidade"))))))</f>
        <v/>
      </c>
      <c r="S358">
        <f>IF($C358="","",IF(UPPER(LEFT($C358,1))="M",1,IF(UPPER(LEFT($C358,1))="F",2,"")))</f>
        <v/>
      </c>
      <c r="T358">
        <f>IF(OR($D358="",$E358=""),"",DATEDIF($D358,$E358,"m"))</f>
        <v/>
      </c>
      <c r="U358">
        <f>IF(OR($D358="",$E358=""),"",$E358-$D358)</f>
        <v/>
      </c>
      <c r="V358">
        <f>IF(OR($G358="",$T358=""),"",IF($T358&lt;24,IF(LEFT(LOWER($H358),4)="em p",$G358+0.7,$G358),IF(LEFT(LOWER($H358),4)="deit",$G358-0.7,$G358)))</f>
        <v/>
      </c>
      <c r="W358">
        <f>IF(OR($S358="",$T358=""),"",$S358*1000000+IF($T358&lt;=60,$U358,$T358))</f>
        <v/>
      </c>
      <c r="X358">
        <f>IF(OR($S358="",$V358="",$T358&gt;60,$T358=""),"",$S358*1000000+ROUND($V358*10,0))</f>
        <v/>
      </c>
      <c r="Y358">
        <f>IF($W358="","",IFERROR(INDEX(IF($T358&lt;=60,imc05_l,imc519_l),MATCH($W358,IF($T358&lt;=60,imc05_k,imc519_k),1)),""))</f>
        <v/>
      </c>
      <c r="Z358">
        <f>IF($W358="","",IFERROR(INDEX(IF($T358&lt;=60,imc05_m,imc519_m),MATCH($W358,IF($T358&lt;=60,imc05_k,imc519_k),1)),""))</f>
        <v/>
      </c>
      <c r="AA358">
        <f>IF($W358="","",IFERROR(INDEX(IF($T358&lt;=60,imc05_s,imc519_s),MATCH($W358,IF($T358&lt;=60,imc05_k,imc519_k),1)),""))</f>
        <v/>
      </c>
      <c r="AB358">
        <f>IF($Y358="","",IF($Y358=0,LN($J358/$Z358)/$AA358,((($J358/$Z358)^$Y358)-1)/($Y358*$AA358)))</f>
        <v/>
      </c>
      <c r="AC358">
        <f>IF($Y358="","",IF($Y358=0,$Z358*EXP($AA358*2),$Z358*(1+$Y358*$AA358*2)^(1/$Y358)))</f>
        <v/>
      </c>
      <c r="AD358">
        <f>IF($Y358="","",IF($Y358=0,$Z358*EXP($AA358*3),$Z358*(1+$Y358*$AA358*3)^(1/$Y358)))</f>
        <v/>
      </c>
      <c r="AE358">
        <f>IF($Y358="","",IF($Y358=0,$Z358*EXP($AA358*-2),$Z358*(1+$Y358*$AA358*-2)^(1/$Y358)))</f>
        <v/>
      </c>
      <c r="AF358">
        <f>IF($Y358="","",IF($Y358=0,$Z358*EXP($AA358*-3),$Z358*(1+$Y358*$AA358*-3)^(1/$Y358)))</f>
        <v/>
      </c>
      <c r="AG358">
        <f>IF($W358="","",IFERROR(INDEX(IF($T358&lt;=60,est05_l,est519_l),MATCH($W358,IF($T358&lt;=60,est05_k,est519_k),1)),""))</f>
        <v/>
      </c>
      <c r="AH358">
        <f>IF($W358="","",IFERROR(INDEX(IF($T358&lt;=60,est05_m,est519_m),MATCH($W358,IF($T358&lt;=60,est05_k,est519_k),1)),""))</f>
        <v/>
      </c>
      <c r="AI358">
        <f>IF($W358="","",IFERROR(INDEX(IF($T358&lt;=60,est05_s,est519_s),MATCH($W358,IF($T358&lt;=60,est05_k,est519_k),1)),""))</f>
        <v/>
      </c>
      <c r="AJ358">
        <f>IF($W358="","",IFERROR(INDEX(IF($T358&lt;=60,peso05_l,peso510_l),MATCH($W358,IF($T358&lt;=60,peso05_k,peso510_k),1)),""))</f>
        <v/>
      </c>
      <c r="AK358">
        <f>IF($W358="","",IFERROR(INDEX(IF($T358&lt;=60,peso05_m,peso510_m),MATCH($W358,IF($T358&lt;=60,peso05_k,peso510_k),1)),""))</f>
        <v/>
      </c>
      <c r="AL358">
        <f>IF($W358="","",IFERROR(INDEX(IF($T358&lt;=60,peso05_s,peso510_s),MATCH($W358,IF($T358&lt;=60,peso05_k,peso510_k),1)),""))</f>
        <v/>
      </c>
      <c r="AM358">
        <f>IF($AJ358="","",IF($AJ358=0,LN($F358/$AK358)/$AL358,((($F358/$AK358)^$AJ358)-1)/($AJ358*$AL358)))</f>
        <v/>
      </c>
      <c r="AN358">
        <f>IF($AJ358="","",IF($AJ358=0,$AK358*EXP($AL358*2),$AK358*(1+$AJ358*$AL358*2)^(1/$AJ358)))</f>
        <v/>
      </c>
      <c r="AO358">
        <f>IF($AJ358="","",IF($AJ358=0,$AK358*EXP($AL358*3),$AK358*(1+$AJ358*$AL358*3)^(1/$AJ358)))</f>
        <v/>
      </c>
      <c r="AP358">
        <f>IF($AJ358="","",IF($AJ358=0,$AK358*EXP($AL358*-2),$AK358*(1+$AJ358*$AL358*-2)^(1/$AJ358)))</f>
        <v/>
      </c>
      <c r="AQ358">
        <f>IF($AJ358="","",IF($AJ358=0,$AK358*EXP($AL358*-3),$AK358*(1+$AJ358*$AL358*-3)^(1/$AJ358)))</f>
        <v/>
      </c>
      <c r="AR358">
        <f>IF(OR($X358="",$T358&gt;60),"",IFERROR(INDEX(IF($T358&lt;24,pcomp_l,palt_l),MATCH($X358,IF($T358&lt;24,pcomp_k,palt_k),1)),""))</f>
        <v/>
      </c>
      <c r="AS358">
        <f>IF(OR($X358="",$T358&gt;60),"",IFERROR(INDEX(IF($T358&lt;24,pcomp_m,palt_m),MATCH($X358,IF($T358&lt;24,pcomp_k,palt_k),1)),""))</f>
        <v/>
      </c>
      <c r="AT358">
        <f>IF(OR($X358="",$T358&gt;60),"",IFERROR(INDEX(IF($T358&lt;24,pcomp_s,palt_s),MATCH($X358,IF($T358&lt;24,pcomp_k,palt_k),1)),""))</f>
        <v/>
      </c>
      <c r="AU358">
        <f>IF($AR358="","",IF($AR358=0,LN($F358/$AS358)/$AT358,((($F358/$AS358)^$AR358)-1)/($AR358*$AT358)))</f>
        <v/>
      </c>
      <c r="AV358">
        <f>IF($AR358="","",IF($AR358=0,$AS358*EXP($AT358*2),$AS358*(1+$AR358*$AT358*2)^(1/$AR358)))</f>
        <v/>
      </c>
      <c r="AW358">
        <f>IF($AR358="","",IF($AR358=0,$AS358*EXP($AT358*3),$AS358*(1+$AR358*$AT358*3)^(1/$AR358)))</f>
        <v/>
      </c>
      <c r="AX358">
        <f>IF($AR358="","",IF($AR358=0,$AS358*EXP($AT358*-2),$AS358*(1+$AR358*$AT358*-2)^(1/$AR358)))</f>
        <v/>
      </c>
      <c r="AY358">
        <f>IF($AR358="","",IF($AR358=0,$AS358*EXP($AT358*-3),$AS358*(1+$AR358*$AT358*-3)^(1/$AR358)))</f>
        <v/>
      </c>
      <c r="AZ358">
        <f>IF(OR($A358="",$A358&lt;&gt;Ficha!$C$4),"",COUNTIF($A$2:$A358,Ficha!$C$4))</f>
        <v/>
      </c>
    </row>
    <row r="359">
      <c r="A359" s="8">
        <f>IF(INDEX(Banco!$A:$A,ROW())="","",INDEX(Banco!$A:$A,ROW()))</f>
        <v/>
      </c>
      <c r="B359" s="8">
        <f>IF(INDEX(Banco!$B:$B,ROW())="","",INDEX(Banco!$B:$B,ROW()))</f>
        <v/>
      </c>
      <c r="C359" s="8">
        <f>IF(INDEX(Banco!$C:$C,ROW())="","",INDEX(Banco!$C:$C,ROW()))</f>
        <v/>
      </c>
      <c r="D359" s="9">
        <f>IF(INDEX(Banco!$D:$D,ROW())="","",INDEX(Banco!$D:$D,ROW()))</f>
        <v/>
      </c>
      <c r="E359" s="9">
        <f>IF(INDEX(Banco!$E:$E,ROW())="","",INDEX(Banco!$E:$E,ROW()))</f>
        <v/>
      </c>
      <c r="F359" s="10">
        <f>IF(INDEX(Banco!$F:$F,ROW())="","",INDEX(Banco!$F:$F,ROW()))</f>
        <v/>
      </c>
      <c r="G359" s="10">
        <f>IF(INDEX(Banco!$G:$G,ROW())="","",INDEX(Banco!$G:$G,ROW()))</f>
        <v/>
      </c>
      <c r="H359" s="8">
        <f>IF(INDEX(Banco!$H:$H,ROW())="","",INDEX(Banco!$H:$H,ROW()))</f>
        <v/>
      </c>
      <c r="I359">
        <f>IF($T359="","",INT($T359/12)&amp;"a "&amp;MOD($T359,12)&amp;"m")</f>
        <v/>
      </c>
      <c r="J359" s="11">
        <f>IF(OR($F359="",$G359=""),"",ROUND($F359/($G359/100)^2,2))</f>
        <v/>
      </c>
      <c r="K359" s="12">
        <f>IF(OR($S359="",$J359="",$T359="",$T359&lt;0,$T359&gt;228,$Y359=""),"—",ROUND(IF(ABS($AB359)&lt;=3,$AB359,IF($AB359&gt;3,3+($J359-$AD359)/($AD359-$AC359),-3+($J359-$AF359)/($AE359-$AF359))),2))</f>
        <v/>
      </c>
      <c r="L359">
        <f>IF(OR($K359="",$K359="—"),"",IF($T359&lt;=60,IF($K359&lt;-3,"Magreza acentuada",IF($K359&lt;-2,"Magreza",IF($K359&lt;=1,"Eutrofia",IF($K359&lt;=2,"Risco de sobrepeso",IF($K359&lt;=3,"Sobrepeso","Obesidade"))))),IF($K359&lt;-3,"Magreza acentuada",IF($K359&lt;-2,"Magreza",IF($K359&lt;=1,"Eutrofia",IF($K359&lt;=2,"Sobrepeso",IF($K359&lt;=3,"Obesidade","Obesidade grave")))))))</f>
        <v/>
      </c>
      <c r="M359" s="12">
        <f>IF(OR($S359="",$V359="",$T359="",$T359&lt;0,$T359&gt;228,$AG359=""),"—",ROUND(IF($AG359=0,LN($V359/$AH359)/$AI359,((($V359/$AH359)^$AG359)-1)/($AG359*$AI359)),2))</f>
        <v/>
      </c>
      <c r="N359">
        <f>IF(OR($M359="",$M359="—"),"",IF($M359&lt;-3,"Muito baixa",IF($M359&lt;-2,"Baixa","Adequada")))</f>
        <v/>
      </c>
      <c r="O359" s="12">
        <f>IF(OR($S359="",$F359="",$T359="",$T359&lt;0,$T359&gt;120,$AJ359=""),"—",ROUND(IF(ABS($AM359)&lt;=3,$AM359,IF($AM359&gt;3,3+($F359-$AO359)/($AO359-$AN359),-3+($F359-$AQ359)/($AP359-$AQ359))),2))</f>
        <v/>
      </c>
      <c r="P359">
        <f>IF(OR($O359="",$O359="—"),"",IF($O359&lt;-3,"Muito baixo",IF($O359&lt;-2,"Baixo",IF($O359&lt;=2,"Adequado","Elevado"))))</f>
        <v/>
      </c>
      <c r="Q359" s="12">
        <f>IF(OR($S359="",$F359="",$T359="",$T359&lt;0,$T359&gt;60,$AR359=""),"—",ROUND(IF(ABS($AU359)&lt;=3,$AU359,IF($AU359&gt;3,3+($F359-$AW359)/($AW359-$AV359),-3+($F359-$AY359)/($AX359-$AY359))),2))</f>
        <v/>
      </c>
      <c r="R359">
        <f>IF(OR($Q359="",$Q359="—"),"",IF($Q359&lt;-3,"Magreza acentuada",IF($Q359&lt;-2,"Magreza",IF($Q359&lt;=1,"Eutrofia",IF($Q359&lt;=2,"Risco de sobrepeso",IF($Q359&lt;=3,"Sobrepeso","Obesidade"))))))</f>
        <v/>
      </c>
      <c r="S359">
        <f>IF($C359="","",IF(UPPER(LEFT($C359,1))="M",1,IF(UPPER(LEFT($C359,1))="F",2,"")))</f>
        <v/>
      </c>
      <c r="T359">
        <f>IF(OR($D359="",$E359=""),"",DATEDIF($D359,$E359,"m"))</f>
        <v/>
      </c>
      <c r="U359">
        <f>IF(OR($D359="",$E359=""),"",$E359-$D359)</f>
        <v/>
      </c>
      <c r="V359">
        <f>IF(OR($G359="",$T359=""),"",IF($T359&lt;24,IF(LEFT(LOWER($H359),4)="em p",$G359+0.7,$G359),IF(LEFT(LOWER($H359),4)="deit",$G359-0.7,$G359)))</f>
        <v/>
      </c>
      <c r="W359">
        <f>IF(OR($S359="",$T359=""),"",$S359*1000000+IF($T359&lt;=60,$U359,$T359))</f>
        <v/>
      </c>
      <c r="X359">
        <f>IF(OR($S359="",$V359="",$T359&gt;60,$T359=""),"",$S359*1000000+ROUND($V359*10,0))</f>
        <v/>
      </c>
      <c r="Y359">
        <f>IF($W359="","",IFERROR(INDEX(IF($T359&lt;=60,imc05_l,imc519_l),MATCH($W359,IF($T359&lt;=60,imc05_k,imc519_k),1)),""))</f>
        <v/>
      </c>
      <c r="Z359">
        <f>IF($W359="","",IFERROR(INDEX(IF($T359&lt;=60,imc05_m,imc519_m),MATCH($W359,IF($T359&lt;=60,imc05_k,imc519_k),1)),""))</f>
        <v/>
      </c>
      <c r="AA359">
        <f>IF($W359="","",IFERROR(INDEX(IF($T359&lt;=60,imc05_s,imc519_s),MATCH($W359,IF($T359&lt;=60,imc05_k,imc519_k),1)),""))</f>
        <v/>
      </c>
      <c r="AB359">
        <f>IF($Y359="","",IF($Y359=0,LN($J359/$Z359)/$AA359,((($J359/$Z359)^$Y359)-1)/($Y359*$AA359)))</f>
        <v/>
      </c>
      <c r="AC359">
        <f>IF($Y359="","",IF($Y359=0,$Z359*EXP($AA359*2),$Z359*(1+$Y359*$AA359*2)^(1/$Y359)))</f>
        <v/>
      </c>
      <c r="AD359">
        <f>IF($Y359="","",IF($Y359=0,$Z359*EXP($AA359*3),$Z359*(1+$Y359*$AA359*3)^(1/$Y359)))</f>
        <v/>
      </c>
      <c r="AE359">
        <f>IF($Y359="","",IF($Y359=0,$Z359*EXP($AA359*-2),$Z359*(1+$Y359*$AA359*-2)^(1/$Y359)))</f>
        <v/>
      </c>
      <c r="AF359">
        <f>IF($Y359="","",IF($Y359=0,$Z359*EXP($AA359*-3),$Z359*(1+$Y359*$AA359*-3)^(1/$Y359)))</f>
        <v/>
      </c>
      <c r="AG359">
        <f>IF($W359="","",IFERROR(INDEX(IF($T359&lt;=60,est05_l,est519_l),MATCH($W359,IF($T359&lt;=60,est05_k,est519_k),1)),""))</f>
        <v/>
      </c>
      <c r="AH359">
        <f>IF($W359="","",IFERROR(INDEX(IF($T359&lt;=60,est05_m,est519_m),MATCH($W359,IF($T359&lt;=60,est05_k,est519_k),1)),""))</f>
        <v/>
      </c>
      <c r="AI359">
        <f>IF($W359="","",IFERROR(INDEX(IF($T359&lt;=60,est05_s,est519_s),MATCH($W359,IF($T359&lt;=60,est05_k,est519_k),1)),""))</f>
        <v/>
      </c>
      <c r="AJ359">
        <f>IF($W359="","",IFERROR(INDEX(IF($T359&lt;=60,peso05_l,peso510_l),MATCH($W359,IF($T359&lt;=60,peso05_k,peso510_k),1)),""))</f>
        <v/>
      </c>
      <c r="AK359">
        <f>IF($W359="","",IFERROR(INDEX(IF($T359&lt;=60,peso05_m,peso510_m),MATCH($W359,IF($T359&lt;=60,peso05_k,peso510_k),1)),""))</f>
        <v/>
      </c>
      <c r="AL359">
        <f>IF($W359="","",IFERROR(INDEX(IF($T359&lt;=60,peso05_s,peso510_s),MATCH($W359,IF($T359&lt;=60,peso05_k,peso510_k),1)),""))</f>
        <v/>
      </c>
      <c r="AM359">
        <f>IF($AJ359="","",IF($AJ359=0,LN($F359/$AK359)/$AL359,((($F359/$AK359)^$AJ359)-1)/($AJ359*$AL359)))</f>
        <v/>
      </c>
      <c r="AN359">
        <f>IF($AJ359="","",IF($AJ359=0,$AK359*EXP($AL359*2),$AK359*(1+$AJ359*$AL359*2)^(1/$AJ359)))</f>
        <v/>
      </c>
      <c r="AO359">
        <f>IF($AJ359="","",IF($AJ359=0,$AK359*EXP($AL359*3),$AK359*(1+$AJ359*$AL359*3)^(1/$AJ359)))</f>
        <v/>
      </c>
      <c r="AP359">
        <f>IF($AJ359="","",IF($AJ359=0,$AK359*EXP($AL359*-2),$AK359*(1+$AJ359*$AL359*-2)^(1/$AJ359)))</f>
        <v/>
      </c>
      <c r="AQ359">
        <f>IF($AJ359="","",IF($AJ359=0,$AK359*EXP($AL359*-3),$AK359*(1+$AJ359*$AL359*-3)^(1/$AJ359)))</f>
        <v/>
      </c>
      <c r="AR359">
        <f>IF(OR($X359="",$T359&gt;60),"",IFERROR(INDEX(IF($T359&lt;24,pcomp_l,palt_l),MATCH($X359,IF($T359&lt;24,pcomp_k,palt_k),1)),""))</f>
        <v/>
      </c>
      <c r="AS359">
        <f>IF(OR($X359="",$T359&gt;60),"",IFERROR(INDEX(IF($T359&lt;24,pcomp_m,palt_m),MATCH($X359,IF($T359&lt;24,pcomp_k,palt_k),1)),""))</f>
        <v/>
      </c>
      <c r="AT359">
        <f>IF(OR($X359="",$T359&gt;60),"",IFERROR(INDEX(IF($T359&lt;24,pcomp_s,palt_s),MATCH($X359,IF($T359&lt;24,pcomp_k,palt_k),1)),""))</f>
        <v/>
      </c>
      <c r="AU359">
        <f>IF($AR359="","",IF($AR359=0,LN($F359/$AS359)/$AT359,((($F359/$AS359)^$AR359)-1)/($AR359*$AT359)))</f>
        <v/>
      </c>
      <c r="AV359">
        <f>IF($AR359="","",IF($AR359=0,$AS359*EXP($AT359*2),$AS359*(1+$AR359*$AT359*2)^(1/$AR359)))</f>
        <v/>
      </c>
      <c r="AW359">
        <f>IF($AR359="","",IF($AR359=0,$AS359*EXP($AT359*3),$AS359*(1+$AR359*$AT359*3)^(1/$AR359)))</f>
        <v/>
      </c>
      <c r="AX359">
        <f>IF($AR359="","",IF($AR359=0,$AS359*EXP($AT359*-2),$AS359*(1+$AR359*$AT359*-2)^(1/$AR359)))</f>
        <v/>
      </c>
      <c r="AY359">
        <f>IF($AR359="","",IF($AR359=0,$AS359*EXP($AT359*-3),$AS359*(1+$AR359*$AT359*-3)^(1/$AR359)))</f>
        <v/>
      </c>
      <c r="AZ359">
        <f>IF(OR($A359="",$A359&lt;&gt;Ficha!$C$4),"",COUNTIF($A$2:$A359,Ficha!$C$4))</f>
        <v/>
      </c>
    </row>
    <row r="360">
      <c r="A360" s="8">
        <f>IF(INDEX(Banco!$A:$A,ROW())="","",INDEX(Banco!$A:$A,ROW()))</f>
        <v/>
      </c>
      <c r="B360" s="8">
        <f>IF(INDEX(Banco!$B:$B,ROW())="","",INDEX(Banco!$B:$B,ROW()))</f>
        <v/>
      </c>
      <c r="C360" s="8">
        <f>IF(INDEX(Banco!$C:$C,ROW())="","",INDEX(Banco!$C:$C,ROW()))</f>
        <v/>
      </c>
      <c r="D360" s="9">
        <f>IF(INDEX(Banco!$D:$D,ROW())="","",INDEX(Banco!$D:$D,ROW()))</f>
        <v/>
      </c>
      <c r="E360" s="9">
        <f>IF(INDEX(Banco!$E:$E,ROW())="","",INDEX(Banco!$E:$E,ROW()))</f>
        <v/>
      </c>
      <c r="F360" s="10">
        <f>IF(INDEX(Banco!$F:$F,ROW())="","",INDEX(Banco!$F:$F,ROW()))</f>
        <v/>
      </c>
      <c r="G360" s="10">
        <f>IF(INDEX(Banco!$G:$G,ROW())="","",INDEX(Banco!$G:$G,ROW()))</f>
        <v/>
      </c>
      <c r="H360" s="8">
        <f>IF(INDEX(Banco!$H:$H,ROW())="","",INDEX(Banco!$H:$H,ROW()))</f>
        <v/>
      </c>
      <c r="I360">
        <f>IF($T360="","",INT($T360/12)&amp;"a "&amp;MOD($T360,12)&amp;"m")</f>
        <v/>
      </c>
      <c r="J360" s="11">
        <f>IF(OR($F360="",$G360=""),"",ROUND($F360/($G360/100)^2,2))</f>
        <v/>
      </c>
      <c r="K360" s="12">
        <f>IF(OR($S360="",$J360="",$T360="",$T360&lt;0,$T360&gt;228,$Y360=""),"—",ROUND(IF(ABS($AB360)&lt;=3,$AB360,IF($AB360&gt;3,3+($J360-$AD360)/($AD360-$AC360),-3+($J360-$AF360)/($AE360-$AF360))),2))</f>
        <v/>
      </c>
      <c r="L360">
        <f>IF(OR($K360="",$K360="—"),"",IF($T360&lt;=60,IF($K360&lt;-3,"Magreza acentuada",IF($K360&lt;-2,"Magreza",IF($K360&lt;=1,"Eutrofia",IF($K360&lt;=2,"Risco de sobrepeso",IF($K360&lt;=3,"Sobrepeso","Obesidade"))))),IF($K360&lt;-3,"Magreza acentuada",IF($K360&lt;-2,"Magreza",IF($K360&lt;=1,"Eutrofia",IF($K360&lt;=2,"Sobrepeso",IF($K360&lt;=3,"Obesidade","Obesidade grave")))))))</f>
        <v/>
      </c>
      <c r="M360" s="12">
        <f>IF(OR($S360="",$V360="",$T360="",$T360&lt;0,$T360&gt;228,$AG360=""),"—",ROUND(IF($AG360=0,LN($V360/$AH360)/$AI360,((($V360/$AH360)^$AG360)-1)/($AG360*$AI360)),2))</f>
        <v/>
      </c>
      <c r="N360">
        <f>IF(OR($M360="",$M360="—"),"",IF($M360&lt;-3,"Muito baixa",IF($M360&lt;-2,"Baixa","Adequada")))</f>
        <v/>
      </c>
      <c r="O360" s="12">
        <f>IF(OR($S360="",$F360="",$T360="",$T360&lt;0,$T360&gt;120,$AJ360=""),"—",ROUND(IF(ABS($AM360)&lt;=3,$AM360,IF($AM360&gt;3,3+($F360-$AO360)/($AO360-$AN360),-3+($F360-$AQ360)/($AP360-$AQ360))),2))</f>
        <v/>
      </c>
      <c r="P360">
        <f>IF(OR($O360="",$O360="—"),"",IF($O360&lt;-3,"Muito baixo",IF($O360&lt;-2,"Baixo",IF($O360&lt;=2,"Adequado","Elevado"))))</f>
        <v/>
      </c>
      <c r="Q360" s="12">
        <f>IF(OR($S360="",$F360="",$T360="",$T360&lt;0,$T360&gt;60,$AR360=""),"—",ROUND(IF(ABS($AU360)&lt;=3,$AU360,IF($AU360&gt;3,3+($F360-$AW360)/($AW360-$AV360),-3+($F360-$AY360)/($AX360-$AY360))),2))</f>
        <v/>
      </c>
      <c r="R360">
        <f>IF(OR($Q360="",$Q360="—"),"",IF($Q360&lt;-3,"Magreza acentuada",IF($Q360&lt;-2,"Magreza",IF($Q360&lt;=1,"Eutrofia",IF($Q360&lt;=2,"Risco de sobrepeso",IF($Q360&lt;=3,"Sobrepeso","Obesidade"))))))</f>
        <v/>
      </c>
      <c r="S360">
        <f>IF($C360="","",IF(UPPER(LEFT($C360,1))="M",1,IF(UPPER(LEFT($C360,1))="F",2,"")))</f>
        <v/>
      </c>
      <c r="T360">
        <f>IF(OR($D360="",$E360=""),"",DATEDIF($D360,$E360,"m"))</f>
        <v/>
      </c>
      <c r="U360">
        <f>IF(OR($D360="",$E360=""),"",$E360-$D360)</f>
        <v/>
      </c>
      <c r="V360">
        <f>IF(OR($G360="",$T360=""),"",IF($T360&lt;24,IF(LEFT(LOWER($H360),4)="em p",$G360+0.7,$G360),IF(LEFT(LOWER($H360),4)="deit",$G360-0.7,$G360)))</f>
        <v/>
      </c>
      <c r="W360">
        <f>IF(OR($S360="",$T360=""),"",$S360*1000000+IF($T360&lt;=60,$U360,$T360))</f>
        <v/>
      </c>
      <c r="X360">
        <f>IF(OR($S360="",$V360="",$T360&gt;60,$T360=""),"",$S360*1000000+ROUND($V360*10,0))</f>
        <v/>
      </c>
      <c r="Y360">
        <f>IF($W360="","",IFERROR(INDEX(IF($T360&lt;=60,imc05_l,imc519_l),MATCH($W360,IF($T360&lt;=60,imc05_k,imc519_k),1)),""))</f>
        <v/>
      </c>
      <c r="Z360">
        <f>IF($W360="","",IFERROR(INDEX(IF($T360&lt;=60,imc05_m,imc519_m),MATCH($W360,IF($T360&lt;=60,imc05_k,imc519_k),1)),""))</f>
        <v/>
      </c>
      <c r="AA360">
        <f>IF($W360="","",IFERROR(INDEX(IF($T360&lt;=60,imc05_s,imc519_s),MATCH($W360,IF($T360&lt;=60,imc05_k,imc519_k),1)),""))</f>
        <v/>
      </c>
      <c r="AB360">
        <f>IF($Y360="","",IF($Y360=0,LN($J360/$Z360)/$AA360,((($J360/$Z360)^$Y360)-1)/($Y360*$AA360)))</f>
        <v/>
      </c>
      <c r="AC360">
        <f>IF($Y360="","",IF($Y360=0,$Z360*EXP($AA360*2),$Z360*(1+$Y360*$AA360*2)^(1/$Y360)))</f>
        <v/>
      </c>
      <c r="AD360">
        <f>IF($Y360="","",IF($Y360=0,$Z360*EXP($AA360*3),$Z360*(1+$Y360*$AA360*3)^(1/$Y360)))</f>
        <v/>
      </c>
      <c r="AE360">
        <f>IF($Y360="","",IF($Y360=0,$Z360*EXP($AA360*-2),$Z360*(1+$Y360*$AA360*-2)^(1/$Y360)))</f>
        <v/>
      </c>
      <c r="AF360">
        <f>IF($Y360="","",IF($Y360=0,$Z360*EXP($AA360*-3),$Z360*(1+$Y360*$AA360*-3)^(1/$Y360)))</f>
        <v/>
      </c>
      <c r="AG360">
        <f>IF($W360="","",IFERROR(INDEX(IF($T360&lt;=60,est05_l,est519_l),MATCH($W360,IF($T360&lt;=60,est05_k,est519_k),1)),""))</f>
        <v/>
      </c>
      <c r="AH360">
        <f>IF($W360="","",IFERROR(INDEX(IF($T360&lt;=60,est05_m,est519_m),MATCH($W360,IF($T360&lt;=60,est05_k,est519_k),1)),""))</f>
        <v/>
      </c>
      <c r="AI360">
        <f>IF($W360="","",IFERROR(INDEX(IF($T360&lt;=60,est05_s,est519_s),MATCH($W360,IF($T360&lt;=60,est05_k,est519_k),1)),""))</f>
        <v/>
      </c>
      <c r="AJ360">
        <f>IF($W360="","",IFERROR(INDEX(IF($T360&lt;=60,peso05_l,peso510_l),MATCH($W360,IF($T360&lt;=60,peso05_k,peso510_k),1)),""))</f>
        <v/>
      </c>
      <c r="AK360">
        <f>IF($W360="","",IFERROR(INDEX(IF($T360&lt;=60,peso05_m,peso510_m),MATCH($W360,IF($T360&lt;=60,peso05_k,peso510_k),1)),""))</f>
        <v/>
      </c>
      <c r="AL360">
        <f>IF($W360="","",IFERROR(INDEX(IF($T360&lt;=60,peso05_s,peso510_s),MATCH($W360,IF($T360&lt;=60,peso05_k,peso510_k),1)),""))</f>
        <v/>
      </c>
      <c r="AM360">
        <f>IF($AJ360="","",IF($AJ360=0,LN($F360/$AK360)/$AL360,((($F360/$AK360)^$AJ360)-1)/($AJ360*$AL360)))</f>
        <v/>
      </c>
      <c r="AN360">
        <f>IF($AJ360="","",IF($AJ360=0,$AK360*EXP($AL360*2),$AK360*(1+$AJ360*$AL360*2)^(1/$AJ360)))</f>
        <v/>
      </c>
      <c r="AO360">
        <f>IF($AJ360="","",IF($AJ360=0,$AK360*EXP($AL360*3),$AK360*(1+$AJ360*$AL360*3)^(1/$AJ360)))</f>
        <v/>
      </c>
      <c r="AP360">
        <f>IF($AJ360="","",IF($AJ360=0,$AK360*EXP($AL360*-2),$AK360*(1+$AJ360*$AL360*-2)^(1/$AJ360)))</f>
        <v/>
      </c>
      <c r="AQ360">
        <f>IF($AJ360="","",IF($AJ360=0,$AK360*EXP($AL360*-3),$AK360*(1+$AJ360*$AL360*-3)^(1/$AJ360)))</f>
        <v/>
      </c>
      <c r="AR360">
        <f>IF(OR($X360="",$T360&gt;60),"",IFERROR(INDEX(IF($T360&lt;24,pcomp_l,palt_l),MATCH($X360,IF($T360&lt;24,pcomp_k,palt_k),1)),""))</f>
        <v/>
      </c>
      <c r="AS360">
        <f>IF(OR($X360="",$T360&gt;60),"",IFERROR(INDEX(IF($T360&lt;24,pcomp_m,palt_m),MATCH($X360,IF($T360&lt;24,pcomp_k,palt_k),1)),""))</f>
        <v/>
      </c>
      <c r="AT360">
        <f>IF(OR($X360="",$T360&gt;60),"",IFERROR(INDEX(IF($T360&lt;24,pcomp_s,palt_s),MATCH($X360,IF($T360&lt;24,pcomp_k,palt_k),1)),""))</f>
        <v/>
      </c>
      <c r="AU360">
        <f>IF($AR360="","",IF($AR360=0,LN($F360/$AS360)/$AT360,((($F360/$AS360)^$AR360)-1)/($AR360*$AT360)))</f>
        <v/>
      </c>
      <c r="AV360">
        <f>IF($AR360="","",IF($AR360=0,$AS360*EXP($AT360*2),$AS360*(1+$AR360*$AT360*2)^(1/$AR360)))</f>
        <v/>
      </c>
      <c r="AW360">
        <f>IF($AR360="","",IF($AR360=0,$AS360*EXP($AT360*3),$AS360*(1+$AR360*$AT360*3)^(1/$AR360)))</f>
        <v/>
      </c>
      <c r="AX360">
        <f>IF($AR360="","",IF($AR360=0,$AS360*EXP($AT360*-2),$AS360*(1+$AR360*$AT360*-2)^(1/$AR360)))</f>
        <v/>
      </c>
      <c r="AY360">
        <f>IF($AR360="","",IF($AR360=0,$AS360*EXP($AT360*-3),$AS360*(1+$AR360*$AT360*-3)^(1/$AR360)))</f>
        <v/>
      </c>
      <c r="AZ360">
        <f>IF(OR($A360="",$A360&lt;&gt;Ficha!$C$4),"",COUNTIF($A$2:$A360,Ficha!$C$4))</f>
        <v/>
      </c>
    </row>
    <row r="361">
      <c r="A361" s="8">
        <f>IF(INDEX(Banco!$A:$A,ROW())="","",INDEX(Banco!$A:$A,ROW()))</f>
        <v/>
      </c>
      <c r="B361" s="8">
        <f>IF(INDEX(Banco!$B:$B,ROW())="","",INDEX(Banco!$B:$B,ROW()))</f>
        <v/>
      </c>
      <c r="C361" s="8">
        <f>IF(INDEX(Banco!$C:$C,ROW())="","",INDEX(Banco!$C:$C,ROW()))</f>
        <v/>
      </c>
      <c r="D361" s="9">
        <f>IF(INDEX(Banco!$D:$D,ROW())="","",INDEX(Banco!$D:$D,ROW()))</f>
        <v/>
      </c>
      <c r="E361" s="9">
        <f>IF(INDEX(Banco!$E:$E,ROW())="","",INDEX(Banco!$E:$E,ROW()))</f>
        <v/>
      </c>
      <c r="F361" s="10">
        <f>IF(INDEX(Banco!$F:$F,ROW())="","",INDEX(Banco!$F:$F,ROW()))</f>
        <v/>
      </c>
      <c r="G361" s="10">
        <f>IF(INDEX(Banco!$G:$G,ROW())="","",INDEX(Banco!$G:$G,ROW()))</f>
        <v/>
      </c>
      <c r="H361" s="8">
        <f>IF(INDEX(Banco!$H:$H,ROW())="","",INDEX(Banco!$H:$H,ROW()))</f>
        <v/>
      </c>
      <c r="I361">
        <f>IF($T361="","",INT($T361/12)&amp;"a "&amp;MOD($T361,12)&amp;"m")</f>
        <v/>
      </c>
      <c r="J361" s="11">
        <f>IF(OR($F361="",$G361=""),"",ROUND($F361/($G361/100)^2,2))</f>
        <v/>
      </c>
      <c r="K361" s="12">
        <f>IF(OR($S361="",$J361="",$T361="",$T361&lt;0,$T361&gt;228,$Y361=""),"—",ROUND(IF(ABS($AB361)&lt;=3,$AB361,IF($AB361&gt;3,3+($J361-$AD361)/($AD361-$AC361),-3+($J361-$AF361)/($AE361-$AF361))),2))</f>
        <v/>
      </c>
      <c r="L361">
        <f>IF(OR($K361="",$K361="—"),"",IF($T361&lt;=60,IF($K361&lt;-3,"Magreza acentuada",IF($K361&lt;-2,"Magreza",IF($K361&lt;=1,"Eutrofia",IF($K361&lt;=2,"Risco de sobrepeso",IF($K361&lt;=3,"Sobrepeso","Obesidade"))))),IF($K361&lt;-3,"Magreza acentuada",IF($K361&lt;-2,"Magreza",IF($K361&lt;=1,"Eutrofia",IF($K361&lt;=2,"Sobrepeso",IF($K361&lt;=3,"Obesidade","Obesidade grave")))))))</f>
        <v/>
      </c>
      <c r="M361" s="12">
        <f>IF(OR($S361="",$V361="",$T361="",$T361&lt;0,$T361&gt;228,$AG361=""),"—",ROUND(IF($AG361=0,LN($V361/$AH361)/$AI361,((($V361/$AH361)^$AG361)-1)/($AG361*$AI361)),2))</f>
        <v/>
      </c>
      <c r="N361">
        <f>IF(OR($M361="",$M361="—"),"",IF($M361&lt;-3,"Muito baixa",IF($M361&lt;-2,"Baixa","Adequada")))</f>
        <v/>
      </c>
      <c r="O361" s="12">
        <f>IF(OR($S361="",$F361="",$T361="",$T361&lt;0,$T361&gt;120,$AJ361=""),"—",ROUND(IF(ABS($AM361)&lt;=3,$AM361,IF($AM361&gt;3,3+($F361-$AO361)/($AO361-$AN361),-3+($F361-$AQ361)/($AP361-$AQ361))),2))</f>
        <v/>
      </c>
      <c r="P361">
        <f>IF(OR($O361="",$O361="—"),"",IF($O361&lt;-3,"Muito baixo",IF($O361&lt;-2,"Baixo",IF($O361&lt;=2,"Adequado","Elevado"))))</f>
        <v/>
      </c>
      <c r="Q361" s="12">
        <f>IF(OR($S361="",$F361="",$T361="",$T361&lt;0,$T361&gt;60,$AR361=""),"—",ROUND(IF(ABS($AU361)&lt;=3,$AU361,IF($AU361&gt;3,3+($F361-$AW361)/($AW361-$AV361),-3+($F361-$AY361)/($AX361-$AY361))),2))</f>
        <v/>
      </c>
      <c r="R361">
        <f>IF(OR($Q361="",$Q361="—"),"",IF($Q361&lt;-3,"Magreza acentuada",IF($Q361&lt;-2,"Magreza",IF($Q361&lt;=1,"Eutrofia",IF($Q361&lt;=2,"Risco de sobrepeso",IF($Q361&lt;=3,"Sobrepeso","Obesidade"))))))</f>
        <v/>
      </c>
      <c r="S361">
        <f>IF($C361="","",IF(UPPER(LEFT($C361,1))="M",1,IF(UPPER(LEFT($C361,1))="F",2,"")))</f>
        <v/>
      </c>
      <c r="T361">
        <f>IF(OR($D361="",$E361=""),"",DATEDIF($D361,$E361,"m"))</f>
        <v/>
      </c>
      <c r="U361">
        <f>IF(OR($D361="",$E361=""),"",$E361-$D361)</f>
        <v/>
      </c>
      <c r="V361">
        <f>IF(OR($G361="",$T361=""),"",IF($T361&lt;24,IF(LEFT(LOWER($H361),4)="em p",$G361+0.7,$G361),IF(LEFT(LOWER($H361),4)="deit",$G361-0.7,$G361)))</f>
        <v/>
      </c>
      <c r="W361">
        <f>IF(OR($S361="",$T361=""),"",$S361*1000000+IF($T361&lt;=60,$U361,$T361))</f>
        <v/>
      </c>
      <c r="X361">
        <f>IF(OR($S361="",$V361="",$T361&gt;60,$T361=""),"",$S361*1000000+ROUND($V361*10,0))</f>
        <v/>
      </c>
      <c r="Y361">
        <f>IF($W361="","",IFERROR(INDEX(IF($T361&lt;=60,imc05_l,imc519_l),MATCH($W361,IF($T361&lt;=60,imc05_k,imc519_k),1)),""))</f>
        <v/>
      </c>
      <c r="Z361">
        <f>IF($W361="","",IFERROR(INDEX(IF($T361&lt;=60,imc05_m,imc519_m),MATCH($W361,IF($T361&lt;=60,imc05_k,imc519_k),1)),""))</f>
        <v/>
      </c>
      <c r="AA361">
        <f>IF($W361="","",IFERROR(INDEX(IF($T361&lt;=60,imc05_s,imc519_s),MATCH($W361,IF($T361&lt;=60,imc05_k,imc519_k),1)),""))</f>
        <v/>
      </c>
      <c r="AB361">
        <f>IF($Y361="","",IF($Y361=0,LN($J361/$Z361)/$AA361,((($J361/$Z361)^$Y361)-1)/($Y361*$AA361)))</f>
        <v/>
      </c>
      <c r="AC361">
        <f>IF($Y361="","",IF($Y361=0,$Z361*EXP($AA361*2),$Z361*(1+$Y361*$AA361*2)^(1/$Y361)))</f>
        <v/>
      </c>
      <c r="AD361">
        <f>IF($Y361="","",IF($Y361=0,$Z361*EXP($AA361*3),$Z361*(1+$Y361*$AA361*3)^(1/$Y361)))</f>
        <v/>
      </c>
      <c r="AE361">
        <f>IF($Y361="","",IF($Y361=0,$Z361*EXP($AA361*-2),$Z361*(1+$Y361*$AA361*-2)^(1/$Y361)))</f>
        <v/>
      </c>
      <c r="AF361">
        <f>IF($Y361="","",IF($Y361=0,$Z361*EXP($AA361*-3),$Z361*(1+$Y361*$AA361*-3)^(1/$Y361)))</f>
        <v/>
      </c>
      <c r="AG361">
        <f>IF($W361="","",IFERROR(INDEX(IF($T361&lt;=60,est05_l,est519_l),MATCH($W361,IF($T361&lt;=60,est05_k,est519_k),1)),""))</f>
        <v/>
      </c>
      <c r="AH361">
        <f>IF($W361="","",IFERROR(INDEX(IF($T361&lt;=60,est05_m,est519_m),MATCH($W361,IF($T361&lt;=60,est05_k,est519_k),1)),""))</f>
        <v/>
      </c>
      <c r="AI361">
        <f>IF($W361="","",IFERROR(INDEX(IF($T361&lt;=60,est05_s,est519_s),MATCH($W361,IF($T361&lt;=60,est05_k,est519_k),1)),""))</f>
        <v/>
      </c>
      <c r="AJ361">
        <f>IF($W361="","",IFERROR(INDEX(IF($T361&lt;=60,peso05_l,peso510_l),MATCH($W361,IF($T361&lt;=60,peso05_k,peso510_k),1)),""))</f>
        <v/>
      </c>
      <c r="AK361">
        <f>IF($W361="","",IFERROR(INDEX(IF($T361&lt;=60,peso05_m,peso510_m),MATCH($W361,IF($T361&lt;=60,peso05_k,peso510_k),1)),""))</f>
        <v/>
      </c>
      <c r="AL361">
        <f>IF($W361="","",IFERROR(INDEX(IF($T361&lt;=60,peso05_s,peso510_s),MATCH($W361,IF($T361&lt;=60,peso05_k,peso510_k),1)),""))</f>
        <v/>
      </c>
      <c r="AM361">
        <f>IF($AJ361="","",IF($AJ361=0,LN($F361/$AK361)/$AL361,((($F361/$AK361)^$AJ361)-1)/($AJ361*$AL361)))</f>
        <v/>
      </c>
      <c r="AN361">
        <f>IF($AJ361="","",IF($AJ361=0,$AK361*EXP($AL361*2),$AK361*(1+$AJ361*$AL361*2)^(1/$AJ361)))</f>
        <v/>
      </c>
      <c r="AO361">
        <f>IF($AJ361="","",IF($AJ361=0,$AK361*EXP($AL361*3),$AK361*(1+$AJ361*$AL361*3)^(1/$AJ361)))</f>
        <v/>
      </c>
      <c r="AP361">
        <f>IF($AJ361="","",IF($AJ361=0,$AK361*EXP($AL361*-2),$AK361*(1+$AJ361*$AL361*-2)^(1/$AJ361)))</f>
        <v/>
      </c>
      <c r="AQ361">
        <f>IF($AJ361="","",IF($AJ361=0,$AK361*EXP($AL361*-3),$AK361*(1+$AJ361*$AL361*-3)^(1/$AJ361)))</f>
        <v/>
      </c>
      <c r="AR361">
        <f>IF(OR($X361="",$T361&gt;60),"",IFERROR(INDEX(IF($T361&lt;24,pcomp_l,palt_l),MATCH($X361,IF($T361&lt;24,pcomp_k,palt_k),1)),""))</f>
        <v/>
      </c>
      <c r="AS361">
        <f>IF(OR($X361="",$T361&gt;60),"",IFERROR(INDEX(IF($T361&lt;24,pcomp_m,palt_m),MATCH($X361,IF($T361&lt;24,pcomp_k,palt_k),1)),""))</f>
        <v/>
      </c>
      <c r="AT361">
        <f>IF(OR($X361="",$T361&gt;60),"",IFERROR(INDEX(IF($T361&lt;24,pcomp_s,palt_s),MATCH($X361,IF($T361&lt;24,pcomp_k,palt_k),1)),""))</f>
        <v/>
      </c>
      <c r="AU361">
        <f>IF($AR361="","",IF($AR361=0,LN($F361/$AS361)/$AT361,((($F361/$AS361)^$AR361)-1)/($AR361*$AT361)))</f>
        <v/>
      </c>
      <c r="AV361">
        <f>IF($AR361="","",IF($AR361=0,$AS361*EXP($AT361*2),$AS361*(1+$AR361*$AT361*2)^(1/$AR361)))</f>
        <v/>
      </c>
      <c r="AW361">
        <f>IF($AR361="","",IF($AR361=0,$AS361*EXP($AT361*3),$AS361*(1+$AR361*$AT361*3)^(1/$AR361)))</f>
        <v/>
      </c>
      <c r="AX361">
        <f>IF($AR361="","",IF($AR361=0,$AS361*EXP($AT361*-2),$AS361*(1+$AR361*$AT361*-2)^(1/$AR361)))</f>
        <v/>
      </c>
      <c r="AY361">
        <f>IF($AR361="","",IF($AR361=0,$AS361*EXP($AT361*-3),$AS361*(1+$AR361*$AT361*-3)^(1/$AR361)))</f>
        <v/>
      </c>
      <c r="AZ361">
        <f>IF(OR($A361="",$A361&lt;&gt;Ficha!$C$4),"",COUNTIF($A$2:$A361,Ficha!$C$4))</f>
        <v/>
      </c>
    </row>
    <row r="362">
      <c r="A362" s="8">
        <f>IF(INDEX(Banco!$A:$A,ROW())="","",INDEX(Banco!$A:$A,ROW()))</f>
        <v/>
      </c>
      <c r="B362" s="8">
        <f>IF(INDEX(Banco!$B:$B,ROW())="","",INDEX(Banco!$B:$B,ROW()))</f>
        <v/>
      </c>
      <c r="C362" s="8">
        <f>IF(INDEX(Banco!$C:$C,ROW())="","",INDEX(Banco!$C:$C,ROW()))</f>
        <v/>
      </c>
      <c r="D362" s="9">
        <f>IF(INDEX(Banco!$D:$D,ROW())="","",INDEX(Banco!$D:$D,ROW()))</f>
        <v/>
      </c>
      <c r="E362" s="9">
        <f>IF(INDEX(Banco!$E:$E,ROW())="","",INDEX(Banco!$E:$E,ROW()))</f>
        <v/>
      </c>
      <c r="F362" s="10">
        <f>IF(INDEX(Banco!$F:$F,ROW())="","",INDEX(Banco!$F:$F,ROW()))</f>
        <v/>
      </c>
      <c r="G362" s="10">
        <f>IF(INDEX(Banco!$G:$G,ROW())="","",INDEX(Banco!$G:$G,ROW()))</f>
        <v/>
      </c>
      <c r="H362" s="8">
        <f>IF(INDEX(Banco!$H:$H,ROW())="","",INDEX(Banco!$H:$H,ROW()))</f>
        <v/>
      </c>
      <c r="I362">
        <f>IF($T362="","",INT($T362/12)&amp;"a "&amp;MOD($T362,12)&amp;"m")</f>
        <v/>
      </c>
      <c r="J362" s="11">
        <f>IF(OR($F362="",$G362=""),"",ROUND($F362/($G362/100)^2,2))</f>
        <v/>
      </c>
      <c r="K362" s="12">
        <f>IF(OR($S362="",$J362="",$T362="",$T362&lt;0,$T362&gt;228,$Y362=""),"—",ROUND(IF(ABS($AB362)&lt;=3,$AB362,IF($AB362&gt;3,3+($J362-$AD362)/($AD362-$AC362),-3+($J362-$AF362)/($AE362-$AF362))),2))</f>
        <v/>
      </c>
      <c r="L362">
        <f>IF(OR($K362="",$K362="—"),"",IF($T362&lt;=60,IF($K362&lt;-3,"Magreza acentuada",IF($K362&lt;-2,"Magreza",IF($K362&lt;=1,"Eutrofia",IF($K362&lt;=2,"Risco de sobrepeso",IF($K362&lt;=3,"Sobrepeso","Obesidade"))))),IF($K362&lt;-3,"Magreza acentuada",IF($K362&lt;-2,"Magreza",IF($K362&lt;=1,"Eutrofia",IF($K362&lt;=2,"Sobrepeso",IF($K362&lt;=3,"Obesidade","Obesidade grave")))))))</f>
        <v/>
      </c>
      <c r="M362" s="12">
        <f>IF(OR($S362="",$V362="",$T362="",$T362&lt;0,$T362&gt;228,$AG362=""),"—",ROUND(IF($AG362=0,LN($V362/$AH362)/$AI362,((($V362/$AH362)^$AG362)-1)/($AG362*$AI362)),2))</f>
        <v/>
      </c>
      <c r="N362">
        <f>IF(OR($M362="",$M362="—"),"",IF($M362&lt;-3,"Muito baixa",IF($M362&lt;-2,"Baixa","Adequada")))</f>
        <v/>
      </c>
      <c r="O362" s="12">
        <f>IF(OR($S362="",$F362="",$T362="",$T362&lt;0,$T362&gt;120,$AJ362=""),"—",ROUND(IF(ABS($AM362)&lt;=3,$AM362,IF($AM362&gt;3,3+($F362-$AO362)/($AO362-$AN362),-3+($F362-$AQ362)/($AP362-$AQ362))),2))</f>
        <v/>
      </c>
      <c r="P362">
        <f>IF(OR($O362="",$O362="—"),"",IF($O362&lt;-3,"Muito baixo",IF($O362&lt;-2,"Baixo",IF($O362&lt;=2,"Adequado","Elevado"))))</f>
        <v/>
      </c>
      <c r="Q362" s="12">
        <f>IF(OR($S362="",$F362="",$T362="",$T362&lt;0,$T362&gt;60,$AR362=""),"—",ROUND(IF(ABS($AU362)&lt;=3,$AU362,IF($AU362&gt;3,3+($F362-$AW362)/($AW362-$AV362),-3+($F362-$AY362)/($AX362-$AY362))),2))</f>
        <v/>
      </c>
      <c r="R362">
        <f>IF(OR($Q362="",$Q362="—"),"",IF($Q362&lt;-3,"Magreza acentuada",IF($Q362&lt;-2,"Magreza",IF($Q362&lt;=1,"Eutrofia",IF($Q362&lt;=2,"Risco de sobrepeso",IF($Q362&lt;=3,"Sobrepeso","Obesidade"))))))</f>
        <v/>
      </c>
      <c r="S362">
        <f>IF($C362="","",IF(UPPER(LEFT($C362,1))="M",1,IF(UPPER(LEFT($C362,1))="F",2,"")))</f>
        <v/>
      </c>
      <c r="T362">
        <f>IF(OR($D362="",$E362=""),"",DATEDIF($D362,$E362,"m"))</f>
        <v/>
      </c>
      <c r="U362">
        <f>IF(OR($D362="",$E362=""),"",$E362-$D362)</f>
        <v/>
      </c>
      <c r="V362">
        <f>IF(OR($G362="",$T362=""),"",IF($T362&lt;24,IF(LEFT(LOWER($H362),4)="em p",$G362+0.7,$G362),IF(LEFT(LOWER($H362),4)="deit",$G362-0.7,$G362)))</f>
        <v/>
      </c>
      <c r="W362">
        <f>IF(OR($S362="",$T362=""),"",$S362*1000000+IF($T362&lt;=60,$U362,$T362))</f>
        <v/>
      </c>
      <c r="X362">
        <f>IF(OR($S362="",$V362="",$T362&gt;60,$T362=""),"",$S362*1000000+ROUND($V362*10,0))</f>
        <v/>
      </c>
      <c r="Y362">
        <f>IF($W362="","",IFERROR(INDEX(IF($T362&lt;=60,imc05_l,imc519_l),MATCH($W362,IF($T362&lt;=60,imc05_k,imc519_k),1)),""))</f>
        <v/>
      </c>
      <c r="Z362">
        <f>IF($W362="","",IFERROR(INDEX(IF($T362&lt;=60,imc05_m,imc519_m),MATCH($W362,IF($T362&lt;=60,imc05_k,imc519_k),1)),""))</f>
        <v/>
      </c>
      <c r="AA362">
        <f>IF($W362="","",IFERROR(INDEX(IF($T362&lt;=60,imc05_s,imc519_s),MATCH($W362,IF($T362&lt;=60,imc05_k,imc519_k),1)),""))</f>
        <v/>
      </c>
      <c r="AB362">
        <f>IF($Y362="","",IF($Y362=0,LN($J362/$Z362)/$AA362,((($J362/$Z362)^$Y362)-1)/($Y362*$AA362)))</f>
        <v/>
      </c>
      <c r="AC362">
        <f>IF($Y362="","",IF($Y362=0,$Z362*EXP($AA362*2),$Z362*(1+$Y362*$AA362*2)^(1/$Y362)))</f>
        <v/>
      </c>
      <c r="AD362">
        <f>IF($Y362="","",IF($Y362=0,$Z362*EXP($AA362*3),$Z362*(1+$Y362*$AA362*3)^(1/$Y362)))</f>
        <v/>
      </c>
      <c r="AE362">
        <f>IF($Y362="","",IF($Y362=0,$Z362*EXP($AA362*-2),$Z362*(1+$Y362*$AA362*-2)^(1/$Y362)))</f>
        <v/>
      </c>
      <c r="AF362">
        <f>IF($Y362="","",IF($Y362=0,$Z362*EXP($AA362*-3),$Z362*(1+$Y362*$AA362*-3)^(1/$Y362)))</f>
        <v/>
      </c>
      <c r="AG362">
        <f>IF($W362="","",IFERROR(INDEX(IF($T362&lt;=60,est05_l,est519_l),MATCH($W362,IF($T362&lt;=60,est05_k,est519_k),1)),""))</f>
        <v/>
      </c>
      <c r="AH362">
        <f>IF($W362="","",IFERROR(INDEX(IF($T362&lt;=60,est05_m,est519_m),MATCH($W362,IF($T362&lt;=60,est05_k,est519_k),1)),""))</f>
        <v/>
      </c>
      <c r="AI362">
        <f>IF($W362="","",IFERROR(INDEX(IF($T362&lt;=60,est05_s,est519_s),MATCH($W362,IF($T362&lt;=60,est05_k,est519_k),1)),""))</f>
        <v/>
      </c>
      <c r="AJ362">
        <f>IF($W362="","",IFERROR(INDEX(IF($T362&lt;=60,peso05_l,peso510_l),MATCH($W362,IF($T362&lt;=60,peso05_k,peso510_k),1)),""))</f>
        <v/>
      </c>
      <c r="AK362">
        <f>IF($W362="","",IFERROR(INDEX(IF($T362&lt;=60,peso05_m,peso510_m),MATCH($W362,IF($T362&lt;=60,peso05_k,peso510_k),1)),""))</f>
        <v/>
      </c>
      <c r="AL362">
        <f>IF($W362="","",IFERROR(INDEX(IF($T362&lt;=60,peso05_s,peso510_s),MATCH($W362,IF($T362&lt;=60,peso05_k,peso510_k),1)),""))</f>
        <v/>
      </c>
      <c r="AM362">
        <f>IF($AJ362="","",IF($AJ362=0,LN($F362/$AK362)/$AL362,((($F362/$AK362)^$AJ362)-1)/($AJ362*$AL362)))</f>
        <v/>
      </c>
      <c r="AN362">
        <f>IF($AJ362="","",IF($AJ362=0,$AK362*EXP($AL362*2),$AK362*(1+$AJ362*$AL362*2)^(1/$AJ362)))</f>
        <v/>
      </c>
      <c r="AO362">
        <f>IF($AJ362="","",IF($AJ362=0,$AK362*EXP($AL362*3),$AK362*(1+$AJ362*$AL362*3)^(1/$AJ362)))</f>
        <v/>
      </c>
      <c r="AP362">
        <f>IF($AJ362="","",IF($AJ362=0,$AK362*EXP($AL362*-2),$AK362*(1+$AJ362*$AL362*-2)^(1/$AJ362)))</f>
        <v/>
      </c>
      <c r="AQ362">
        <f>IF($AJ362="","",IF($AJ362=0,$AK362*EXP($AL362*-3),$AK362*(1+$AJ362*$AL362*-3)^(1/$AJ362)))</f>
        <v/>
      </c>
      <c r="AR362">
        <f>IF(OR($X362="",$T362&gt;60),"",IFERROR(INDEX(IF($T362&lt;24,pcomp_l,palt_l),MATCH($X362,IF($T362&lt;24,pcomp_k,palt_k),1)),""))</f>
        <v/>
      </c>
      <c r="AS362">
        <f>IF(OR($X362="",$T362&gt;60),"",IFERROR(INDEX(IF($T362&lt;24,pcomp_m,palt_m),MATCH($X362,IF($T362&lt;24,pcomp_k,palt_k),1)),""))</f>
        <v/>
      </c>
      <c r="AT362">
        <f>IF(OR($X362="",$T362&gt;60),"",IFERROR(INDEX(IF($T362&lt;24,pcomp_s,palt_s),MATCH($X362,IF($T362&lt;24,pcomp_k,palt_k),1)),""))</f>
        <v/>
      </c>
      <c r="AU362">
        <f>IF($AR362="","",IF($AR362=0,LN($F362/$AS362)/$AT362,((($F362/$AS362)^$AR362)-1)/($AR362*$AT362)))</f>
        <v/>
      </c>
      <c r="AV362">
        <f>IF($AR362="","",IF($AR362=0,$AS362*EXP($AT362*2),$AS362*(1+$AR362*$AT362*2)^(1/$AR362)))</f>
        <v/>
      </c>
      <c r="AW362">
        <f>IF($AR362="","",IF($AR362=0,$AS362*EXP($AT362*3),$AS362*(1+$AR362*$AT362*3)^(1/$AR362)))</f>
        <v/>
      </c>
      <c r="AX362">
        <f>IF($AR362="","",IF($AR362=0,$AS362*EXP($AT362*-2),$AS362*(1+$AR362*$AT362*-2)^(1/$AR362)))</f>
        <v/>
      </c>
      <c r="AY362">
        <f>IF($AR362="","",IF($AR362=0,$AS362*EXP($AT362*-3),$AS362*(1+$AR362*$AT362*-3)^(1/$AR362)))</f>
        <v/>
      </c>
      <c r="AZ362">
        <f>IF(OR($A362="",$A362&lt;&gt;Ficha!$C$4),"",COUNTIF($A$2:$A362,Ficha!$C$4))</f>
        <v/>
      </c>
    </row>
    <row r="363">
      <c r="A363" s="8">
        <f>IF(INDEX(Banco!$A:$A,ROW())="","",INDEX(Banco!$A:$A,ROW()))</f>
        <v/>
      </c>
      <c r="B363" s="8">
        <f>IF(INDEX(Banco!$B:$B,ROW())="","",INDEX(Banco!$B:$B,ROW()))</f>
        <v/>
      </c>
      <c r="C363" s="8">
        <f>IF(INDEX(Banco!$C:$C,ROW())="","",INDEX(Banco!$C:$C,ROW()))</f>
        <v/>
      </c>
      <c r="D363" s="9">
        <f>IF(INDEX(Banco!$D:$D,ROW())="","",INDEX(Banco!$D:$D,ROW()))</f>
        <v/>
      </c>
      <c r="E363" s="9">
        <f>IF(INDEX(Banco!$E:$E,ROW())="","",INDEX(Banco!$E:$E,ROW()))</f>
        <v/>
      </c>
      <c r="F363" s="10">
        <f>IF(INDEX(Banco!$F:$F,ROW())="","",INDEX(Banco!$F:$F,ROW()))</f>
        <v/>
      </c>
      <c r="G363" s="10">
        <f>IF(INDEX(Banco!$G:$G,ROW())="","",INDEX(Banco!$G:$G,ROW()))</f>
        <v/>
      </c>
      <c r="H363" s="8">
        <f>IF(INDEX(Banco!$H:$H,ROW())="","",INDEX(Banco!$H:$H,ROW()))</f>
        <v/>
      </c>
      <c r="I363">
        <f>IF($T363="","",INT($T363/12)&amp;"a "&amp;MOD($T363,12)&amp;"m")</f>
        <v/>
      </c>
      <c r="J363" s="11">
        <f>IF(OR($F363="",$G363=""),"",ROUND($F363/($G363/100)^2,2))</f>
        <v/>
      </c>
      <c r="K363" s="12">
        <f>IF(OR($S363="",$J363="",$T363="",$T363&lt;0,$T363&gt;228,$Y363=""),"—",ROUND(IF(ABS($AB363)&lt;=3,$AB363,IF($AB363&gt;3,3+($J363-$AD363)/($AD363-$AC363),-3+($J363-$AF363)/($AE363-$AF363))),2))</f>
        <v/>
      </c>
      <c r="L363">
        <f>IF(OR($K363="",$K363="—"),"",IF($T363&lt;=60,IF($K363&lt;-3,"Magreza acentuada",IF($K363&lt;-2,"Magreza",IF($K363&lt;=1,"Eutrofia",IF($K363&lt;=2,"Risco de sobrepeso",IF($K363&lt;=3,"Sobrepeso","Obesidade"))))),IF($K363&lt;-3,"Magreza acentuada",IF($K363&lt;-2,"Magreza",IF($K363&lt;=1,"Eutrofia",IF($K363&lt;=2,"Sobrepeso",IF($K363&lt;=3,"Obesidade","Obesidade grave")))))))</f>
        <v/>
      </c>
      <c r="M363" s="12">
        <f>IF(OR($S363="",$V363="",$T363="",$T363&lt;0,$T363&gt;228,$AG363=""),"—",ROUND(IF($AG363=0,LN($V363/$AH363)/$AI363,((($V363/$AH363)^$AG363)-1)/($AG363*$AI363)),2))</f>
        <v/>
      </c>
      <c r="N363">
        <f>IF(OR($M363="",$M363="—"),"",IF($M363&lt;-3,"Muito baixa",IF($M363&lt;-2,"Baixa","Adequada")))</f>
        <v/>
      </c>
      <c r="O363" s="12">
        <f>IF(OR($S363="",$F363="",$T363="",$T363&lt;0,$T363&gt;120,$AJ363=""),"—",ROUND(IF(ABS($AM363)&lt;=3,$AM363,IF($AM363&gt;3,3+($F363-$AO363)/($AO363-$AN363),-3+($F363-$AQ363)/($AP363-$AQ363))),2))</f>
        <v/>
      </c>
      <c r="P363">
        <f>IF(OR($O363="",$O363="—"),"",IF($O363&lt;-3,"Muito baixo",IF($O363&lt;-2,"Baixo",IF($O363&lt;=2,"Adequado","Elevado"))))</f>
        <v/>
      </c>
      <c r="Q363" s="12">
        <f>IF(OR($S363="",$F363="",$T363="",$T363&lt;0,$T363&gt;60,$AR363=""),"—",ROUND(IF(ABS($AU363)&lt;=3,$AU363,IF($AU363&gt;3,3+($F363-$AW363)/($AW363-$AV363),-3+($F363-$AY363)/($AX363-$AY363))),2))</f>
        <v/>
      </c>
      <c r="R363">
        <f>IF(OR($Q363="",$Q363="—"),"",IF($Q363&lt;-3,"Magreza acentuada",IF($Q363&lt;-2,"Magreza",IF($Q363&lt;=1,"Eutrofia",IF($Q363&lt;=2,"Risco de sobrepeso",IF($Q363&lt;=3,"Sobrepeso","Obesidade"))))))</f>
        <v/>
      </c>
      <c r="S363">
        <f>IF($C363="","",IF(UPPER(LEFT($C363,1))="M",1,IF(UPPER(LEFT($C363,1))="F",2,"")))</f>
        <v/>
      </c>
      <c r="T363">
        <f>IF(OR($D363="",$E363=""),"",DATEDIF($D363,$E363,"m"))</f>
        <v/>
      </c>
      <c r="U363">
        <f>IF(OR($D363="",$E363=""),"",$E363-$D363)</f>
        <v/>
      </c>
      <c r="V363">
        <f>IF(OR($G363="",$T363=""),"",IF($T363&lt;24,IF(LEFT(LOWER($H363),4)="em p",$G363+0.7,$G363),IF(LEFT(LOWER($H363),4)="deit",$G363-0.7,$G363)))</f>
        <v/>
      </c>
      <c r="W363">
        <f>IF(OR($S363="",$T363=""),"",$S363*1000000+IF($T363&lt;=60,$U363,$T363))</f>
        <v/>
      </c>
      <c r="X363">
        <f>IF(OR($S363="",$V363="",$T363&gt;60,$T363=""),"",$S363*1000000+ROUND($V363*10,0))</f>
        <v/>
      </c>
      <c r="Y363">
        <f>IF($W363="","",IFERROR(INDEX(IF($T363&lt;=60,imc05_l,imc519_l),MATCH($W363,IF($T363&lt;=60,imc05_k,imc519_k),1)),""))</f>
        <v/>
      </c>
      <c r="Z363">
        <f>IF($W363="","",IFERROR(INDEX(IF($T363&lt;=60,imc05_m,imc519_m),MATCH($W363,IF($T363&lt;=60,imc05_k,imc519_k),1)),""))</f>
        <v/>
      </c>
      <c r="AA363">
        <f>IF($W363="","",IFERROR(INDEX(IF($T363&lt;=60,imc05_s,imc519_s),MATCH($W363,IF($T363&lt;=60,imc05_k,imc519_k),1)),""))</f>
        <v/>
      </c>
      <c r="AB363">
        <f>IF($Y363="","",IF($Y363=0,LN($J363/$Z363)/$AA363,((($J363/$Z363)^$Y363)-1)/($Y363*$AA363)))</f>
        <v/>
      </c>
      <c r="AC363">
        <f>IF($Y363="","",IF($Y363=0,$Z363*EXP($AA363*2),$Z363*(1+$Y363*$AA363*2)^(1/$Y363)))</f>
        <v/>
      </c>
      <c r="AD363">
        <f>IF($Y363="","",IF($Y363=0,$Z363*EXP($AA363*3),$Z363*(1+$Y363*$AA363*3)^(1/$Y363)))</f>
        <v/>
      </c>
      <c r="AE363">
        <f>IF($Y363="","",IF($Y363=0,$Z363*EXP($AA363*-2),$Z363*(1+$Y363*$AA363*-2)^(1/$Y363)))</f>
        <v/>
      </c>
      <c r="AF363">
        <f>IF($Y363="","",IF($Y363=0,$Z363*EXP($AA363*-3),$Z363*(1+$Y363*$AA363*-3)^(1/$Y363)))</f>
        <v/>
      </c>
      <c r="AG363">
        <f>IF($W363="","",IFERROR(INDEX(IF($T363&lt;=60,est05_l,est519_l),MATCH($W363,IF($T363&lt;=60,est05_k,est519_k),1)),""))</f>
        <v/>
      </c>
      <c r="AH363">
        <f>IF($W363="","",IFERROR(INDEX(IF($T363&lt;=60,est05_m,est519_m),MATCH($W363,IF($T363&lt;=60,est05_k,est519_k),1)),""))</f>
        <v/>
      </c>
      <c r="AI363">
        <f>IF($W363="","",IFERROR(INDEX(IF($T363&lt;=60,est05_s,est519_s),MATCH($W363,IF($T363&lt;=60,est05_k,est519_k),1)),""))</f>
        <v/>
      </c>
      <c r="AJ363">
        <f>IF($W363="","",IFERROR(INDEX(IF($T363&lt;=60,peso05_l,peso510_l),MATCH($W363,IF($T363&lt;=60,peso05_k,peso510_k),1)),""))</f>
        <v/>
      </c>
      <c r="AK363">
        <f>IF($W363="","",IFERROR(INDEX(IF($T363&lt;=60,peso05_m,peso510_m),MATCH($W363,IF($T363&lt;=60,peso05_k,peso510_k),1)),""))</f>
        <v/>
      </c>
      <c r="AL363">
        <f>IF($W363="","",IFERROR(INDEX(IF($T363&lt;=60,peso05_s,peso510_s),MATCH($W363,IF($T363&lt;=60,peso05_k,peso510_k),1)),""))</f>
        <v/>
      </c>
      <c r="AM363">
        <f>IF($AJ363="","",IF($AJ363=0,LN($F363/$AK363)/$AL363,((($F363/$AK363)^$AJ363)-1)/($AJ363*$AL363)))</f>
        <v/>
      </c>
      <c r="AN363">
        <f>IF($AJ363="","",IF($AJ363=0,$AK363*EXP($AL363*2),$AK363*(1+$AJ363*$AL363*2)^(1/$AJ363)))</f>
        <v/>
      </c>
      <c r="AO363">
        <f>IF($AJ363="","",IF($AJ363=0,$AK363*EXP($AL363*3),$AK363*(1+$AJ363*$AL363*3)^(1/$AJ363)))</f>
        <v/>
      </c>
      <c r="AP363">
        <f>IF($AJ363="","",IF($AJ363=0,$AK363*EXP($AL363*-2),$AK363*(1+$AJ363*$AL363*-2)^(1/$AJ363)))</f>
        <v/>
      </c>
      <c r="AQ363">
        <f>IF($AJ363="","",IF($AJ363=0,$AK363*EXP($AL363*-3),$AK363*(1+$AJ363*$AL363*-3)^(1/$AJ363)))</f>
        <v/>
      </c>
      <c r="AR363">
        <f>IF(OR($X363="",$T363&gt;60),"",IFERROR(INDEX(IF($T363&lt;24,pcomp_l,palt_l),MATCH($X363,IF($T363&lt;24,pcomp_k,palt_k),1)),""))</f>
        <v/>
      </c>
      <c r="AS363">
        <f>IF(OR($X363="",$T363&gt;60),"",IFERROR(INDEX(IF($T363&lt;24,pcomp_m,palt_m),MATCH($X363,IF($T363&lt;24,pcomp_k,palt_k),1)),""))</f>
        <v/>
      </c>
      <c r="AT363">
        <f>IF(OR($X363="",$T363&gt;60),"",IFERROR(INDEX(IF($T363&lt;24,pcomp_s,palt_s),MATCH($X363,IF($T363&lt;24,pcomp_k,palt_k),1)),""))</f>
        <v/>
      </c>
      <c r="AU363">
        <f>IF($AR363="","",IF($AR363=0,LN($F363/$AS363)/$AT363,((($F363/$AS363)^$AR363)-1)/($AR363*$AT363)))</f>
        <v/>
      </c>
      <c r="AV363">
        <f>IF($AR363="","",IF($AR363=0,$AS363*EXP($AT363*2),$AS363*(1+$AR363*$AT363*2)^(1/$AR363)))</f>
        <v/>
      </c>
      <c r="AW363">
        <f>IF($AR363="","",IF($AR363=0,$AS363*EXP($AT363*3),$AS363*(1+$AR363*$AT363*3)^(1/$AR363)))</f>
        <v/>
      </c>
      <c r="AX363">
        <f>IF($AR363="","",IF($AR363=0,$AS363*EXP($AT363*-2),$AS363*(1+$AR363*$AT363*-2)^(1/$AR363)))</f>
        <v/>
      </c>
      <c r="AY363">
        <f>IF($AR363="","",IF($AR363=0,$AS363*EXP($AT363*-3),$AS363*(1+$AR363*$AT363*-3)^(1/$AR363)))</f>
        <v/>
      </c>
      <c r="AZ363">
        <f>IF(OR($A363="",$A363&lt;&gt;Ficha!$C$4),"",COUNTIF($A$2:$A363,Ficha!$C$4))</f>
        <v/>
      </c>
    </row>
    <row r="364">
      <c r="A364" s="8">
        <f>IF(INDEX(Banco!$A:$A,ROW())="","",INDEX(Banco!$A:$A,ROW()))</f>
        <v/>
      </c>
      <c r="B364" s="8">
        <f>IF(INDEX(Banco!$B:$B,ROW())="","",INDEX(Banco!$B:$B,ROW()))</f>
        <v/>
      </c>
      <c r="C364" s="8">
        <f>IF(INDEX(Banco!$C:$C,ROW())="","",INDEX(Banco!$C:$C,ROW()))</f>
        <v/>
      </c>
      <c r="D364" s="9">
        <f>IF(INDEX(Banco!$D:$D,ROW())="","",INDEX(Banco!$D:$D,ROW()))</f>
        <v/>
      </c>
      <c r="E364" s="9">
        <f>IF(INDEX(Banco!$E:$E,ROW())="","",INDEX(Banco!$E:$E,ROW()))</f>
        <v/>
      </c>
      <c r="F364" s="10">
        <f>IF(INDEX(Banco!$F:$F,ROW())="","",INDEX(Banco!$F:$F,ROW()))</f>
        <v/>
      </c>
      <c r="G364" s="10">
        <f>IF(INDEX(Banco!$G:$G,ROW())="","",INDEX(Banco!$G:$G,ROW()))</f>
        <v/>
      </c>
      <c r="H364" s="8">
        <f>IF(INDEX(Banco!$H:$H,ROW())="","",INDEX(Banco!$H:$H,ROW()))</f>
        <v/>
      </c>
      <c r="I364">
        <f>IF($T364="","",INT($T364/12)&amp;"a "&amp;MOD($T364,12)&amp;"m")</f>
        <v/>
      </c>
      <c r="J364" s="11">
        <f>IF(OR($F364="",$G364=""),"",ROUND($F364/($G364/100)^2,2))</f>
        <v/>
      </c>
      <c r="K364" s="12">
        <f>IF(OR($S364="",$J364="",$T364="",$T364&lt;0,$T364&gt;228,$Y364=""),"—",ROUND(IF(ABS($AB364)&lt;=3,$AB364,IF($AB364&gt;3,3+($J364-$AD364)/($AD364-$AC364),-3+($J364-$AF364)/($AE364-$AF364))),2))</f>
        <v/>
      </c>
      <c r="L364">
        <f>IF(OR($K364="",$K364="—"),"",IF($T364&lt;=60,IF($K364&lt;-3,"Magreza acentuada",IF($K364&lt;-2,"Magreza",IF($K364&lt;=1,"Eutrofia",IF($K364&lt;=2,"Risco de sobrepeso",IF($K364&lt;=3,"Sobrepeso","Obesidade"))))),IF($K364&lt;-3,"Magreza acentuada",IF($K364&lt;-2,"Magreza",IF($K364&lt;=1,"Eutrofia",IF($K364&lt;=2,"Sobrepeso",IF($K364&lt;=3,"Obesidade","Obesidade grave")))))))</f>
        <v/>
      </c>
      <c r="M364" s="12">
        <f>IF(OR($S364="",$V364="",$T364="",$T364&lt;0,$T364&gt;228,$AG364=""),"—",ROUND(IF($AG364=0,LN($V364/$AH364)/$AI364,((($V364/$AH364)^$AG364)-1)/($AG364*$AI364)),2))</f>
        <v/>
      </c>
      <c r="N364">
        <f>IF(OR($M364="",$M364="—"),"",IF($M364&lt;-3,"Muito baixa",IF($M364&lt;-2,"Baixa","Adequada")))</f>
        <v/>
      </c>
      <c r="O364" s="12">
        <f>IF(OR($S364="",$F364="",$T364="",$T364&lt;0,$T364&gt;120,$AJ364=""),"—",ROUND(IF(ABS($AM364)&lt;=3,$AM364,IF($AM364&gt;3,3+($F364-$AO364)/($AO364-$AN364),-3+($F364-$AQ364)/($AP364-$AQ364))),2))</f>
        <v/>
      </c>
      <c r="P364">
        <f>IF(OR($O364="",$O364="—"),"",IF($O364&lt;-3,"Muito baixo",IF($O364&lt;-2,"Baixo",IF($O364&lt;=2,"Adequado","Elevado"))))</f>
        <v/>
      </c>
      <c r="Q364" s="12">
        <f>IF(OR($S364="",$F364="",$T364="",$T364&lt;0,$T364&gt;60,$AR364=""),"—",ROUND(IF(ABS($AU364)&lt;=3,$AU364,IF($AU364&gt;3,3+($F364-$AW364)/($AW364-$AV364),-3+($F364-$AY364)/($AX364-$AY364))),2))</f>
        <v/>
      </c>
      <c r="R364">
        <f>IF(OR($Q364="",$Q364="—"),"",IF($Q364&lt;-3,"Magreza acentuada",IF($Q364&lt;-2,"Magreza",IF($Q364&lt;=1,"Eutrofia",IF($Q364&lt;=2,"Risco de sobrepeso",IF($Q364&lt;=3,"Sobrepeso","Obesidade"))))))</f>
        <v/>
      </c>
      <c r="S364">
        <f>IF($C364="","",IF(UPPER(LEFT($C364,1))="M",1,IF(UPPER(LEFT($C364,1))="F",2,"")))</f>
        <v/>
      </c>
      <c r="T364">
        <f>IF(OR($D364="",$E364=""),"",DATEDIF($D364,$E364,"m"))</f>
        <v/>
      </c>
      <c r="U364">
        <f>IF(OR($D364="",$E364=""),"",$E364-$D364)</f>
        <v/>
      </c>
      <c r="V364">
        <f>IF(OR($G364="",$T364=""),"",IF($T364&lt;24,IF(LEFT(LOWER($H364),4)="em p",$G364+0.7,$G364),IF(LEFT(LOWER($H364),4)="deit",$G364-0.7,$G364)))</f>
        <v/>
      </c>
      <c r="W364">
        <f>IF(OR($S364="",$T364=""),"",$S364*1000000+IF($T364&lt;=60,$U364,$T364))</f>
        <v/>
      </c>
      <c r="X364">
        <f>IF(OR($S364="",$V364="",$T364&gt;60,$T364=""),"",$S364*1000000+ROUND($V364*10,0))</f>
        <v/>
      </c>
      <c r="Y364">
        <f>IF($W364="","",IFERROR(INDEX(IF($T364&lt;=60,imc05_l,imc519_l),MATCH($W364,IF($T364&lt;=60,imc05_k,imc519_k),1)),""))</f>
        <v/>
      </c>
      <c r="Z364">
        <f>IF($W364="","",IFERROR(INDEX(IF($T364&lt;=60,imc05_m,imc519_m),MATCH($W364,IF($T364&lt;=60,imc05_k,imc519_k),1)),""))</f>
        <v/>
      </c>
      <c r="AA364">
        <f>IF($W364="","",IFERROR(INDEX(IF($T364&lt;=60,imc05_s,imc519_s),MATCH($W364,IF($T364&lt;=60,imc05_k,imc519_k),1)),""))</f>
        <v/>
      </c>
      <c r="AB364">
        <f>IF($Y364="","",IF($Y364=0,LN($J364/$Z364)/$AA364,((($J364/$Z364)^$Y364)-1)/($Y364*$AA364)))</f>
        <v/>
      </c>
      <c r="AC364">
        <f>IF($Y364="","",IF($Y364=0,$Z364*EXP($AA364*2),$Z364*(1+$Y364*$AA364*2)^(1/$Y364)))</f>
        <v/>
      </c>
      <c r="AD364">
        <f>IF($Y364="","",IF($Y364=0,$Z364*EXP($AA364*3),$Z364*(1+$Y364*$AA364*3)^(1/$Y364)))</f>
        <v/>
      </c>
      <c r="AE364">
        <f>IF($Y364="","",IF($Y364=0,$Z364*EXP($AA364*-2),$Z364*(1+$Y364*$AA364*-2)^(1/$Y364)))</f>
        <v/>
      </c>
      <c r="AF364">
        <f>IF($Y364="","",IF($Y364=0,$Z364*EXP($AA364*-3),$Z364*(1+$Y364*$AA364*-3)^(1/$Y364)))</f>
        <v/>
      </c>
      <c r="AG364">
        <f>IF($W364="","",IFERROR(INDEX(IF($T364&lt;=60,est05_l,est519_l),MATCH($W364,IF($T364&lt;=60,est05_k,est519_k),1)),""))</f>
        <v/>
      </c>
      <c r="AH364">
        <f>IF($W364="","",IFERROR(INDEX(IF($T364&lt;=60,est05_m,est519_m),MATCH($W364,IF($T364&lt;=60,est05_k,est519_k),1)),""))</f>
        <v/>
      </c>
      <c r="AI364">
        <f>IF($W364="","",IFERROR(INDEX(IF($T364&lt;=60,est05_s,est519_s),MATCH($W364,IF($T364&lt;=60,est05_k,est519_k),1)),""))</f>
        <v/>
      </c>
      <c r="AJ364">
        <f>IF($W364="","",IFERROR(INDEX(IF($T364&lt;=60,peso05_l,peso510_l),MATCH($W364,IF($T364&lt;=60,peso05_k,peso510_k),1)),""))</f>
        <v/>
      </c>
      <c r="AK364">
        <f>IF($W364="","",IFERROR(INDEX(IF($T364&lt;=60,peso05_m,peso510_m),MATCH($W364,IF($T364&lt;=60,peso05_k,peso510_k),1)),""))</f>
        <v/>
      </c>
      <c r="AL364">
        <f>IF($W364="","",IFERROR(INDEX(IF($T364&lt;=60,peso05_s,peso510_s),MATCH($W364,IF($T364&lt;=60,peso05_k,peso510_k),1)),""))</f>
        <v/>
      </c>
      <c r="AM364">
        <f>IF($AJ364="","",IF($AJ364=0,LN($F364/$AK364)/$AL364,((($F364/$AK364)^$AJ364)-1)/($AJ364*$AL364)))</f>
        <v/>
      </c>
      <c r="AN364">
        <f>IF($AJ364="","",IF($AJ364=0,$AK364*EXP($AL364*2),$AK364*(1+$AJ364*$AL364*2)^(1/$AJ364)))</f>
        <v/>
      </c>
      <c r="AO364">
        <f>IF($AJ364="","",IF($AJ364=0,$AK364*EXP($AL364*3),$AK364*(1+$AJ364*$AL364*3)^(1/$AJ364)))</f>
        <v/>
      </c>
      <c r="AP364">
        <f>IF($AJ364="","",IF($AJ364=0,$AK364*EXP($AL364*-2),$AK364*(1+$AJ364*$AL364*-2)^(1/$AJ364)))</f>
        <v/>
      </c>
      <c r="AQ364">
        <f>IF($AJ364="","",IF($AJ364=0,$AK364*EXP($AL364*-3),$AK364*(1+$AJ364*$AL364*-3)^(1/$AJ364)))</f>
        <v/>
      </c>
      <c r="AR364">
        <f>IF(OR($X364="",$T364&gt;60),"",IFERROR(INDEX(IF($T364&lt;24,pcomp_l,palt_l),MATCH($X364,IF($T364&lt;24,pcomp_k,palt_k),1)),""))</f>
        <v/>
      </c>
      <c r="AS364">
        <f>IF(OR($X364="",$T364&gt;60),"",IFERROR(INDEX(IF($T364&lt;24,pcomp_m,palt_m),MATCH($X364,IF($T364&lt;24,pcomp_k,palt_k),1)),""))</f>
        <v/>
      </c>
      <c r="AT364">
        <f>IF(OR($X364="",$T364&gt;60),"",IFERROR(INDEX(IF($T364&lt;24,pcomp_s,palt_s),MATCH($X364,IF($T364&lt;24,pcomp_k,palt_k),1)),""))</f>
        <v/>
      </c>
      <c r="AU364">
        <f>IF($AR364="","",IF($AR364=0,LN($F364/$AS364)/$AT364,((($F364/$AS364)^$AR364)-1)/($AR364*$AT364)))</f>
        <v/>
      </c>
      <c r="AV364">
        <f>IF($AR364="","",IF($AR364=0,$AS364*EXP($AT364*2),$AS364*(1+$AR364*$AT364*2)^(1/$AR364)))</f>
        <v/>
      </c>
      <c r="AW364">
        <f>IF($AR364="","",IF($AR364=0,$AS364*EXP($AT364*3),$AS364*(1+$AR364*$AT364*3)^(1/$AR364)))</f>
        <v/>
      </c>
      <c r="AX364">
        <f>IF($AR364="","",IF($AR364=0,$AS364*EXP($AT364*-2),$AS364*(1+$AR364*$AT364*-2)^(1/$AR364)))</f>
        <v/>
      </c>
      <c r="AY364">
        <f>IF($AR364="","",IF($AR364=0,$AS364*EXP($AT364*-3),$AS364*(1+$AR364*$AT364*-3)^(1/$AR364)))</f>
        <v/>
      </c>
      <c r="AZ364">
        <f>IF(OR($A364="",$A364&lt;&gt;Ficha!$C$4),"",COUNTIF($A$2:$A364,Ficha!$C$4))</f>
        <v/>
      </c>
    </row>
    <row r="365">
      <c r="A365" s="8">
        <f>IF(INDEX(Banco!$A:$A,ROW())="","",INDEX(Banco!$A:$A,ROW()))</f>
        <v/>
      </c>
      <c r="B365" s="8">
        <f>IF(INDEX(Banco!$B:$B,ROW())="","",INDEX(Banco!$B:$B,ROW()))</f>
        <v/>
      </c>
      <c r="C365" s="8">
        <f>IF(INDEX(Banco!$C:$C,ROW())="","",INDEX(Banco!$C:$C,ROW()))</f>
        <v/>
      </c>
      <c r="D365" s="9">
        <f>IF(INDEX(Banco!$D:$D,ROW())="","",INDEX(Banco!$D:$D,ROW()))</f>
        <v/>
      </c>
      <c r="E365" s="9">
        <f>IF(INDEX(Banco!$E:$E,ROW())="","",INDEX(Banco!$E:$E,ROW()))</f>
        <v/>
      </c>
      <c r="F365" s="10">
        <f>IF(INDEX(Banco!$F:$F,ROW())="","",INDEX(Banco!$F:$F,ROW()))</f>
        <v/>
      </c>
      <c r="G365" s="10">
        <f>IF(INDEX(Banco!$G:$G,ROW())="","",INDEX(Banco!$G:$G,ROW()))</f>
        <v/>
      </c>
      <c r="H365" s="8">
        <f>IF(INDEX(Banco!$H:$H,ROW())="","",INDEX(Banco!$H:$H,ROW()))</f>
        <v/>
      </c>
      <c r="I365">
        <f>IF($T365="","",INT($T365/12)&amp;"a "&amp;MOD($T365,12)&amp;"m")</f>
        <v/>
      </c>
      <c r="J365" s="11">
        <f>IF(OR($F365="",$G365=""),"",ROUND($F365/($G365/100)^2,2))</f>
        <v/>
      </c>
      <c r="K365" s="12">
        <f>IF(OR($S365="",$J365="",$T365="",$T365&lt;0,$T365&gt;228,$Y365=""),"—",ROUND(IF(ABS($AB365)&lt;=3,$AB365,IF($AB365&gt;3,3+($J365-$AD365)/($AD365-$AC365),-3+($J365-$AF365)/($AE365-$AF365))),2))</f>
        <v/>
      </c>
      <c r="L365">
        <f>IF(OR($K365="",$K365="—"),"",IF($T365&lt;=60,IF($K365&lt;-3,"Magreza acentuada",IF($K365&lt;-2,"Magreza",IF($K365&lt;=1,"Eutrofia",IF($K365&lt;=2,"Risco de sobrepeso",IF($K365&lt;=3,"Sobrepeso","Obesidade"))))),IF($K365&lt;-3,"Magreza acentuada",IF($K365&lt;-2,"Magreza",IF($K365&lt;=1,"Eutrofia",IF($K365&lt;=2,"Sobrepeso",IF($K365&lt;=3,"Obesidade","Obesidade grave")))))))</f>
        <v/>
      </c>
      <c r="M365" s="12">
        <f>IF(OR($S365="",$V365="",$T365="",$T365&lt;0,$T365&gt;228,$AG365=""),"—",ROUND(IF($AG365=0,LN($V365/$AH365)/$AI365,((($V365/$AH365)^$AG365)-1)/($AG365*$AI365)),2))</f>
        <v/>
      </c>
      <c r="N365">
        <f>IF(OR($M365="",$M365="—"),"",IF($M365&lt;-3,"Muito baixa",IF($M365&lt;-2,"Baixa","Adequada")))</f>
        <v/>
      </c>
      <c r="O365" s="12">
        <f>IF(OR($S365="",$F365="",$T365="",$T365&lt;0,$T365&gt;120,$AJ365=""),"—",ROUND(IF(ABS($AM365)&lt;=3,$AM365,IF($AM365&gt;3,3+($F365-$AO365)/($AO365-$AN365),-3+($F365-$AQ365)/($AP365-$AQ365))),2))</f>
        <v/>
      </c>
      <c r="P365">
        <f>IF(OR($O365="",$O365="—"),"",IF($O365&lt;-3,"Muito baixo",IF($O365&lt;-2,"Baixo",IF($O365&lt;=2,"Adequado","Elevado"))))</f>
        <v/>
      </c>
      <c r="Q365" s="12">
        <f>IF(OR($S365="",$F365="",$T365="",$T365&lt;0,$T365&gt;60,$AR365=""),"—",ROUND(IF(ABS($AU365)&lt;=3,$AU365,IF($AU365&gt;3,3+($F365-$AW365)/($AW365-$AV365),-3+($F365-$AY365)/($AX365-$AY365))),2))</f>
        <v/>
      </c>
      <c r="R365">
        <f>IF(OR($Q365="",$Q365="—"),"",IF($Q365&lt;-3,"Magreza acentuada",IF($Q365&lt;-2,"Magreza",IF($Q365&lt;=1,"Eutrofia",IF($Q365&lt;=2,"Risco de sobrepeso",IF($Q365&lt;=3,"Sobrepeso","Obesidade"))))))</f>
        <v/>
      </c>
      <c r="S365">
        <f>IF($C365="","",IF(UPPER(LEFT($C365,1))="M",1,IF(UPPER(LEFT($C365,1))="F",2,"")))</f>
        <v/>
      </c>
      <c r="T365">
        <f>IF(OR($D365="",$E365=""),"",DATEDIF($D365,$E365,"m"))</f>
        <v/>
      </c>
      <c r="U365">
        <f>IF(OR($D365="",$E365=""),"",$E365-$D365)</f>
        <v/>
      </c>
      <c r="V365">
        <f>IF(OR($G365="",$T365=""),"",IF($T365&lt;24,IF(LEFT(LOWER($H365),4)="em p",$G365+0.7,$G365),IF(LEFT(LOWER($H365),4)="deit",$G365-0.7,$G365)))</f>
        <v/>
      </c>
      <c r="W365">
        <f>IF(OR($S365="",$T365=""),"",$S365*1000000+IF($T365&lt;=60,$U365,$T365))</f>
        <v/>
      </c>
      <c r="X365">
        <f>IF(OR($S365="",$V365="",$T365&gt;60,$T365=""),"",$S365*1000000+ROUND($V365*10,0))</f>
        <v/>
      </c>
      <c r="Y365">
        <f>IF($W365="","",IFERROR(INDEX(IF($T365&lt;=60,imc05_l,imc519_l),MATCH($W365,IF($T365&lt;=60,imc05_k,imc519_k),1)),""))</f>
        <v/>
      </c>
      <c r="Z365">
        <f>IF($W365="","",IFERROR(INDEX(IF($T365&lt;=60,imc05_m,imc519_m),MATCH($W365,IF($T365&lt;=60,imc05_k,imc519_k),1)),""))</f>
        <v/>
      </c>
      <c r="AA365">
        <f>IF($W365="","",IFERROR(INDEX(IF($T365&lt;=60,imc05_s,imc519_s),MATCH($W365,IF($T365&lt;=60,imc05_k,imc519_k),1)),""))</f>
        <v/>
      </c>
      <c r="AB365">
        <f>IF($Y365="","",IF($Y365=0,LN($J365/$Z365)/$AA365,((($J365/$Z365)^$Y365)-1)/($Y365*$AA365)))</f>
        <v/>
      </c>
      <c r="AC365">
        <f>IF($Y365="","",IF($Y365=0,$Z365*EXP($AA365*2),$Z365*(1+$Y365*$AA365*2)^(1/$Y365)))</f>
        <v/>
      </c>
      <c r="AD365">
        <f>IF($Y365="","",IF($Y365=0,$Z365*EXP($AA365*3),$Z365*(1+$Y365*$AA365*3)^(1/$Y365)))</f>
        <v/>
      </c>
      <c r="AE365">
        <f>IF($Y365="","",IF($Y365=0,$Z365*EXP($AA365*-2),$Z365*(1+$Y365*$AA365*-2)^(1/$Y365)))</f>
        <v/>
      </c>
      <c r="AF365">
        <f>IF($Y365="","",IF($Y365=0,$Z365*EXP($AA365*-3),$Z365*(1+$Y365*$AA365*-3)^(1/$Y365)))</f>
        <v/>
      </c>
      <c r="AG365">
        <f>IF($W365="","",IFERROR(INDEX(IF($T365&lt;=60,est05_l,est519_l),MATCH($W365,IF($T365&lt;=60,est05_k,est519_k),1)),""))</f>
        <v/>
      </c>
      <c r="AH365">
        <f>IF($W365="","",IFERROR(INDEX(IF($T365&lt;=60,est05_m,est519_m),MATCH($W365,IF($T365&lt;=60,est05_k,est519_k),1)),""))</f>
        <v/>
      </c>
      <c r="AI365">
        <f>IF($W365="","",IFERROR(INDEX(IF($T365&lt;=60,est05_s,est519_s),MATCH($W365,IF($T365&lt;=60,est05_k,est519_k),1)),""))</f>
        <v/>
      </c>
      <c r="AJ365">
        <f>IF($W365="","",IFERROR(INDEX(IF($T365&lt;=60,peso05_l,peso510_l),MATCH($W365,IF($T365&lt;=60,peso05_k,peso510_k),1)),""))</f>
        <v/>
      </c>
      <c r="AK365">
        <f>IF($W365="","",IFERROR(INDEX(IF($T365&lt;=60,peso05_m,peso510_m),MATCH($W365,IF($T365&lt;=60,peso05_k,peso510_k),1)),""))</f>
        <v/>
      </c>
      <c r="AL365">
        <f>IF($W365="","",IFERROR(INDEX(IF($T365&lt;=60,peso05_s,peso510_s),MATCH($W365,IF($T365&lt;=60,peso05_k,peso510_k),1)),""))</f>
        <v/>
      </c>
      <c r="AM365">
        <f>IF($AJ365="","",IF($AJ365=0,LN($F365/$AK365)/$AL365,((($F365/$AK365)^$AJ365)-1)/($AJ365*$AL365)))</f>
        <v/>
      </c>
      <c r="AN365">
        <f>IF($AJ365="","",IF($AJ365=0,$AK365*EXP($AL365*2),$AK365*(1+$AJ365*$AL365*2)^(1/$AJ365)))</f>
        <v/>
      </c>
      <c r="AO365">
        <f>IF($AJ365="","",IF($AJ365=0,$AK365*EXP($AL365*3),$AK365*(1+$AJ365*$AL365*3)^(1/$AJ365)))</f>
        <v/>
      </c>
      <c r="AP365">
        <f>IF($AJ365="","",IF($AJ365=0,$AK365*EXP($AL365*-2),$AK365*(1+$AJ365*$AL365*-2)^(1/$AJ365)))</f>
        <v/>
      </c>
      <c r="AQ365">
        <f>IF($AJ365="","",IF($AJ365=0,$AK365*EXP($AL365*-3),$AK365*(1+$AJ365*$AL365*-3)^(1/$AJ365)))</f>
        <v/>
      </c>
      <c r="AR365">
        <f>IF(OR($X365="",$T365&gt;60),"",IFERROR(INDEX(IF($T365&lt;24,pcomp_l,palt_l),MATCH($X365,IF($T365&lt;24,pcomp_k,palt_k),1)),""))</f>
        <v/>
      </c>
      <c r="AS365">
        <f>IF(OR($X365="",$T365&gt;60),"",IFERROR(INDEX(IF($T365&lt;24,pcomp_m,palt_m),MATCH($X365,IF($T365&lt;24,pcomp_k,palt_k),1)),""))</f>
        <v/>
      </c>
      <c r="AT365">
        <f>IF(OR($X365="",$T365&gt;60),"",IFERROR(INDEX(IF($T365&lt;24,pcomp_s,palt_s),MATCH($X365,IF($T365&lt;24,pcomp_k,palt_k),1)),""))</f>
        <v/>
      </c>
      <c r="AU365">
        <f>IF($AR365="","",IF($AR365=0,LN($F365/$AS365)/$AT365,((($F365/$AS365)^$AR365)-1)/($AR365*$AT365)))</f>
        <v/>
      </c>
      <c r="AV365">
        <f>IF($AR365="","",IF($AR365=0,$AS365*EXP($AT365*2),$AS365*(1+$AR365*$AT365*2)^(1/$AR365)))</f>
        <v/>
      </c>
      <c r="AW365">
        <f>IF($AR365="","",IF($AR365=0,$AS365*EXP($AT365*3),$AS365*(1+$AR365*$AT365*3)^(1/$AR365)))</f>
        <v/>
      </c>
      <c r="AX365">
        <f>IF($AR365="","",IF($AR365=0,$AS365*EXP($AT365*-2),$AS365*(1+$AR365*$AT365*-2)^(1/$AR365)))</f>
        <v/>
      </c>
      <c r="AY365">
        <f>IF($AR365="","",IF($AR365=0,$AS365*EXP($AT365*-3),$AS365*(1+$AR365*$AT365*-3)^(1/$AR365)))</f>
        <v/>
      </c>
      <c r="AZ365">
        <f>IF(OR($A365="",$A365&lt;&gt;Ficha!$C$4),"",COUNTIF($A$2:$A365,Ficha!$C$4))</f>
        <v/>
      </c>
    </row>
    <row r="366">
      <c r="A366" s="8">
        <f>IF(INDEX(Banco!$A:$A,ROW())="","",INDEX(Banco!$A:$A,ROW()))</f>
        <v/>
      </c>
      <c r="B366" s="8">
        <f>IF(INDEX(Banco!$B:$B,ROW())="","",INDEX(Banco!$B:$B,ROW()))</f>
        <v/>
      </c>
      <c r="C366" s="8">
        <f>IF(INDEX(Banco!$C:$C,ROW())="","",INDEX(Banco!$C:$C,ROW()))</f>
        <v/>
      </c>
      <c r="D366" s="9">
        <f>IF(INDEX(Banco!$D:$D,ROW())="","",INDEX(Banco!$D:$D,ROW()))</f>
        <v/>
      </c>
      <c r="E366" s="9">
        <f>IF(INDEX(Banco!$E:$E,ROW())="","",INDEX(Banco!$E:$E,ROW()))</f>
        <v/>
      </c>
      <c r="F366" s="10">
        <f>IF(INDEX(Banco!$F:$F,ROW())="","",INDEX(Banco!$F:$F,ROW()))</f>
        <v/>
      </c>
      <c r="G366" s="10">
        <f>IF(INDEX(Banco!$G:$G,ROW())="","",INDEX(Banco!$G:$G,ROW()))</f>
        <v/>
      </c>
      <c r="H366" s="8">
        <f>IF(INDEX(Banco!$H:$H,ROW())="","",INDEX(Banco!$H:$H,ROW()))</f>
        <v/>
      </c>
      <c r="I366">
        <f>IF($T366="","",INT($T366/12)&amp;"a "&amp;MOD($T366,12)&amp;"m")</f>
        <v/>
      </c>
      <c r="J366" s="11">
        <f>IF(OR($F366="",$G366=""),"",ROUND($F366/($G366/100)^2,2))</f>
        <v/>
      </c>
      <c r="K366" s="12">
        <f>IF(OR($S366="",$J366="",$T366="",$T366&lt;0,$T366&gt;228,$Y366=""),"—",ROUND(IF(ABS($AB366)&lt;=3,$AB366,IF($AB366&gt;3,3+($J366-$AD366)/($AD366-$AC366),-3+($J366-$AF366)/($AE366-$AF366))),2))</f>
        <v/>
      </c>
      <c r="L366">
        <f>IF(OR($K366="",$K366="—"),"",IF($T366&lt;=60,IF($K366&lt;-3,"Magreza acentuada",IF($K366&lt;-2,"Magreza",IF($K366&lt;=1,"Eutrofia",IF($K366&lt;=2,"Risco de sobrepeso",IF($K366&lt;=3,"Sobrepeso","Obesidade"))))),IF($K366&lt;-3,"Magreza acentuada",IF($K366&lt;-2,"Magreza",IF($K366&lt;=1,"Eutrofia",IF($K366&lt;=2,"Sobrepeso",IF($K366&lt;=3,"Obesidade","Obesidade grave")))))))</f>
        <v/>
      </c>
      <c r="M366" s="12">
        <f>IF(OR($S366="",$V366="",$T366="",$T366&lt;0,$T366&gt;228,$AG366=""),"—",ROUND(IF($AG366=0,LN($V366/$AH366)/$AI366,((($V366/$AH366)^$AG366)-1)/($AG366*$AI366)),2))</f>
        <v/>
      </c>
      <c r="N366">
        <f>IF(OR($M366="",$M366="—"),"",IF($M366&lt;-3,"Muito baixa",IF($M366&lt;-2,"Baixa","Adequada")))</f>
        <v/>
      </c>
      <c r="O366" s="12">
        <f>IF(OR($S366="",$F366="",$T366="",$T366&lt;0,$T366&gt;120,$AJ366=""),"—",ROUND(IF(ABS($AM366)&lt;=3,$AM366,IF($AM366&gt;3,3+($F366-$AO366)/($AO366-$AN366),-3+($F366-$AQ366)/($AP366-$AQ366))),2))</f>
        <v/>
      </c>
      <c r="P366">
        <f>IF(OR($O366="",$O366="—"),"",IF($O366&lt;-3,"Muito baixo",IF($O366&lt;-2,"Baixo",IF($O366&lt;=2,"Adequado","Elevado"))))</f>
        <v/>
      </c>
      <c r="Q366" s="12">
        <f>IF(OR($S366="",$F366="",$T366="",$T366&lt;0,$T366&gt;60,$AR366=""),"—",ROUND(IF(ABS($AU366)&lt;=3,$AU366,IF($AU366&gt;3,3+($F366-$AW366)/($AW366-$AV366),-3+($F366-$AY366)/($AX366-$AY366))),2))</f>
        <v/>
      </c>
      <c r="R366">
        <f>IF(OR($Q366="",$Q366="—"),"",IF($Q366&lt;-3,"Magreza acentuada",IF($Q366&lt;-2,"Magreza",IF($Q366&lt;=1,"Eutrofia",IF($Q366&lt;=2,"Risco de sobrepeso",IF($Q366&lt;=3,"Sobrepeso","Obesidade"))))))</f>
        <v/>
      </c>
      <c r="S366">
        <f>IF($C366="","",IF(UPPER(LEFT($C366,1))="M",1,IF(UPPER(LEFT($C366,1))="F",2,"")))</f>
        <v/>
      </c>
      <c r="T366">
        <f>IF(OR($D366="",$E366=""),"",DATEDIF($D366,$E366,"m"))</f>
        <v/>
      </c>
      <c r="U366">
        <f>IF(OR($D366="",$E366=""),"",$E366-$D366)</f>
        <v/>
      </c>
      <c r="V366">
        <f>IF(OR($G366="",$T366=""),"",IF($T366&lt;24,IF(LEFT(LOWER($H366),4)="em p",$G366+0.7,$G366),IF(LEFT(LOWER($H366),4)="deit",$G366-0.7,$G366)))</f>
        <v/>
      </c>
      <c r="W366">
        <f>IF(OR($S366="",$T366=""),"",$S366*1000000+IF($T366&lt;=60,$U366,$T366))</f>
        <v/>
      </c>
      <c r="X366">
        <f>IF(OR($S366="",$V366="",$T366&gt;60,$T366=""),"",$S366*1000000+ROUND($V366*10,0))</f>
        <v/>
      </c>
      <c r="Y366">
        <f>IF($W366="","",IFERROR(INDEX(IF($T366&lt;=60,imc05_l,imc519_l),MATCH($W366,IF($T366&lt;=60,imc05_k,imc519_k),1)),""))</f>
        <v/>
      </c>
      <c r="Z366">
        <f>IF($W366="","",IFERROR(INDEX(IF($T366&lt;=60,imc05_m,imc519_m),MATCH($W366,IF($T366&lt;=60,imc05_k,imc519_k),1)),""))</f>
        <v/>
      </c>
      <c r="AA366">
        <f>IF($W366="","",IFERROR(INDEX(IF($T366&lt;=60,imc05_s,imc519_s),MATCH($W366,IF($T366&lt;=60,imc05_k,imc519_k),1)),""))</f>
        <v/>
      </c>
      <c r="AB366">
        <f>IF($Y366="","",IF($Y366=0,LN($J366/$Z366)/$AA366,((($J366/$Z366)^$Y366)-1)/($Y366*$AA366)))</f>
        <v/>
      </c>
      <c r="AC366">
        <f>IF($Y366="","",IF($Y366=0,$Z366*EXP($AA366*2),$Z366*(1+$Y366*$AA366*2)^(1/$Y366)))</f>
        <v/>
      </c>
      <c r="AD366">
        <f>IF($Y366="","",IF($Y366=0,$Z366*EXP($AA366*3),$Z366*(1+$Y366*$AA366*3)^(1/$Y366)))</f>
        <v/>
      </c>
      <c r="AE366">
        <f>IF($Y366="","",IF($Y366=0,$Z366*EXP($AA366*-2),$Z366*(1+$Y366*$AA366*-2)^(1/$Y366)))</f>
        <v/>
      </c>
      <c r="AF366">
        <f>IF($Y366="","",IF($Y366=0,$Z366*EXP($AA366*-3),$Z366*(1+$Y366*$AA366*-3)^(1/$Y366)))</f>
        <v/>
      </c>
      <c r="AG366">
        <f>IF($W366="","",IFERROR(INDEX(IF($T366&lt;=60,est05_l,est519_l),MATCH($W366,IF($T366&lt;=60,est05_k,est519_k),1)),""))</f>
        <v/>
      </c>
      <c r="AH366">
        <f>IF($W366="","",IFERROR(INDEX(IF($T366&lt;=60,est05_m,est519_m),MATCH($W366,IF($T366&lt;=60,est05_k,est519_k),1)),""))</f>
        <v/>
      </c>
      <c r="AI366">
        <f>IF($W366="","",IFERROR(INDEX(IF($T366&lt;=60,est05_s,est519_s),MATCH($W366,IF($T366&lt;=60,est05_k,est519_k),1)),""))</f>
        <v/>
      </c>
      <c r="AJ366">
        <f>IF($W366="","",IFERROR(INDEX(IF($T366&lt;=60,peso05_l,peso510_l),MATCH($W366,IF($T366&lt;=60,peso05_k,peso510_k),1)),""))</f>
        <v/>
      </c>
      <c r="AK366">
        <f>IF($W366="","",IFERROR(INDEX(IF($T366&lt;=60,peso05_m,peso510_m),MATCH($W366,IF($T366&lt;=60,peso05_k,peso510_k),1)),""))</f>
        <v/>
      </c>
      <c r="AL366">
        <f>IF($W366="","",IFERROR(INDEX(IF($T366&lt;=60,peso05_s,peso510_s),MATCH($W366,IF($T366&lt;=60,peso05_k,peso510_k),1)),""))</f>
        <v/>
      </c>
      <c r="AM366">
        <f>IF($AJ366="","",IF($AJ366=0,LN($F366/$AK366)/$AL366,((($F366/$AK366)^$AJ366)-1)/($AJ366*$AL366)))</f>
        <v/>
      </c>
      <c r="AN366">
        <f>IF($AJ366="","",IF($AJ366=0,$AK366*EXP($AL366*2),$AK366*(1+$AJ366*$AL366*2)^(1/$AJ366)))</f>
        <v/>
      </c>
      <c r="AO366">
        <f>IF($AJ366="","",IF($AJ366=0,$AK366*EXP($AL366*3),$AK366*(1+$AJ366*$AL366*3)^(1/$AJ366)))</f>
        <v/>
      </c>
      <c r="AP366">
        <f>IF($AJ366="","",IF($AJ366=0,$AK366*EXP($AL366*-2),$AK366*(1+$AJ366*$AL366*-2)^(1/$AJ366)))</f>
        <v/>
      </c>
      <c r="AQ366">
        <f>IF($AJ366="","",IF($AJ366=0,$AK366*EXP($AL366*-3),$AK366*(1+$AJ366*$AL366*-3)^(1/$AJ366)))</f>
        <v/>
      </c>
      <c r="AR366">
        <f>IF(OR($X366="",$T366&gt;60),"",IFERROR(INDEX(IF($T366&lt;24,pcomp_l,palt_l),MATCH($X366,IF($T366&lt;24,pcomp_k,palt_k),1)),""))</f>
        <v/>
      </c>
      <c r="AS366">
        <f>IF(OR($X366="",$T366&gt;60),"",IFERROR(INDEX(IF($T366&lt;24,pcomp_m,palt_m),MATCH($X366,IF($T366&lt;24,pcomp_k,palt_k),1)),""))</f>
        <v/>
      </c>
      <c r="AT366">
        <f>IF(OR($X366="",$T366&gt;60),"",IFERROR(INDEX(IF($T366&lt;24,pcomp_s,palt_s),MATCH($X366,IF($T366&lt;24,pcomp_k,palt_k),1)),""))</f>
        <v/>
      </c>
      <c r="AU366">
        <f>IF($AR366="","",IF($AR366=0,LN($F366/$AS366)/$AT366,((($F366/$AS366)^$AR366)-1)/($AR366*$AT366)))</f>
        <v/>
      </c>
      <c r="AV366">
        <f>IF($AR366="","",IF($AR366=0,$AS366*EXP($AT366*2),$AS366*(1+$AR366*$AT366*2)^(1/$AR366)))</f>
        <v/>
      </c>
      <c r="AW366">
        <f>IF($AR366="","",IF($AR366=0,$AS366*EXP($AT366*3),$AS366*(1+$AR366*$AT366*3)^(1/$AR366)))</f>
        <v/>
      </c>
      <c r="AX366">
        <f>IF($AR366="","",IF($AR366=0,$AS366*EXP($AT366*-2),$AS366*(1+$AR366*$AT366*-2)^(1/$AR366)))</f>
        <v/>
      </c>
      <c r="AY366">
        <f>IF($AR366="","",IF($AR366=0,$AS366*EXP($AT366*-3),$AS366*(1+$AR366*$AT366*-3)^(1/$AR366)))</f>
        <v/>
      </c>
      <c r="AZ366">
        <f>IF(OR($A366="",$A366&lt;&gt;Ficha!$C$4),"",COUNTIF($A$2:$A366,Ficha!$C$4))</f>
        <v/>
      </c>
    </row>
    <row r="367">
      <c r="A367" s="8">
        <f>IF(INDEX(Banco!$A:$A,ROW())="","",INDEX(Banco!$A:$A,ROW()))</f>
        <v/>
      </c>
      <c r="B367" s="8">
        <f>IF(INDEX(Banco!$B:$B,ROW())="","",INDEX(Banco!$B:$B,ROW()))</f>
        <v/>
      </c>
      <c r="C367" s="8">
        <f>IF(INDEX(Banco!$C:$C,ROW())="","",INDEX(Banco!$C:$C,ROW()))</f>
        <v/>
      </c>
      <c r="D367" s="9">
        <f>IF(INDEX(Banco!$D:$D,ROW())="","",INDEX(Banco!$D:$D,ROW()))</f>
        <v/>
      </c>
      <c r="E367" s="9">
        <f>IF(INDEX(Banco!$E:$E,ROW())="","",INDEX(Banco!$E:$E,ROW()))</f>
        <v/>
      </c>
      <c r="F367" s="10">
        <f>IF(INDEX(Banco!$F:$F,ROW())="","",INDEX(Banco!$F:$F,ROW()))</f>
        <v/>
      </c>
      <c r="G367" s="10">
        <f>IF(INDEX(Banco!$G:$G,ROW())="","",INDEX(Banco!$G:$G,ROW()))</f>
        <v/>
      </c>
      <c r="H367" s="8">
        <f>IF(INDEX(Banco!$H:$H,ROW())="","",INDEX(Banco!$H:$H,ROW()))</f>
        <v/>
      </c>
      <c r="I367">
        <f>IF($T367="","",INT($T367/12)&amp;"a "&amp;MOD($T367,12)&amp;"m")</f>
        <v/>
      </c>
      <c r="J367" s="11">
        <f>IF(OR($F367="",$G367=""),"",ROUND($F367/($G367/100)^2,2))</f>
        <v/>
      </c>
      <c r="K367" s="12">
        <f>IF(OR($S367="",$J367="",$T367="",$T367&lt;0,$T367&gt;228,$Y367=""),"—",ROUND(IF(ABS($AB367)&lt;=3,$AB367,IF($AB367&gt;3,3+($J367-$AD367)/($AD367-$AC367),-3+($J367-$AF367)/($AE367-$AF367))),2))</f>
        <v/>
      </c>
      <c r="L367">
        <f>IF(OR($K367="",$K367="—"),"",IF($T367&lt;=60,IF($K367&lt;-3,"Magreza acentuada",IF($K367&lt;-2,"Magreza",IF($K367&lt;=1,"Eutrofia",IF($K367&lt;=2,"Risco de sobrepeso",IF($K367&lt;=3,"Sobrepeso","Obesidade"))))),IF($K367&lt;-3,"Magreza acentuada",IF($K367&lt;-2,"Magreza",IF($K367&lt;=1,"Eutrofia",IF($K367&lt;=2,"Sobrepeso",IF($K367&lt;=3,"Obesidade","Obesidade grave")))))))</f>
        <v/>
      </c>
      <c r="M367" s="12">
        <f>IF(OR($S367="",$V367="",$T367="",$T367&lt;0,$T367&gt;228,$AG367=""),"—",ROUND(IF($AG367=0,LN($V367/$AH367)/$AI367,((($V367/$AH367)^$AG367)-1)/($AG367*$AI367)),2))</f>
        <v/>
      </c>
      <c r="N367">
        <f>IF(OR($M367="",$M367="—"),"",IF($M367&lt;-3,"Muito baixa",IF($M367&lt;-2,"Baixa","Adequada")))</f>
        <v/>
      </c>
      <c r="O367" s="12">
        <f>IF(OR($S367="",$F367="",$T367="",$T367&lt;0,$T367&gt;120,$AJ367=""),"—",ROUND(IF(ABS($AM367)&lt;=3,$AM367,IF($AM367&gt;3,3+($F367-$AO367)/($AO367-$AN367),-3+($F367-$AQ367)/($AP367-$AQ367))),2))</f>
        <v/>
      </c>
      <c r="P367">
        <f>IF(OR($O367="",$O367="—"),"",IF($O367&lt;-3,"Muito baixo",IF($O367&lt;-2,"Baixo",IF($O367&lt;=2,"Adequado","Elevado"))))</f>
        <v/>
      </c>
      <c r="Q367" s="12">
        <f>IF(OR($S367="",$F367="",$T367="",$T367&lt;0,$T367&gt;60,$AR367=""),"—",ROUND(IF(ABS($AU367)&lt;=3,$AU367,IF($AU367&gt;3,3+($F367-$AW367)/($AW367-$AV367),-3+($F367-$AY367)/($AX367-$AY367))),2))</f>
        <v/>
      </c>
      <c r="R367">
        <f>IF(OR($Q367="",$Q367="—"),"",IF($Q367&lt;-3,"Magreza acentuada",IF($Q367&lt;-2,"Magreza",IF($Q367&lt;=1,"Eutrofia",IF($Q367&lt;=2,"Risco de sobrepeso",IF($Q367&lt;=3,"Sobrepeso","Obesidade"))))))</f>
        <v/>
      </c>
      <c r="S367">
        <f>IF($C367="","",IF(UPPER(LEFT($C367,1))="M",1,IF(UPPER(LEFT($C367,1))="F",2,"")))</f>
        <v/>
      </c>
      <c r="T367">
        <f>IF(OR($D367="",$E367=""),"",DATEDIF($D367,$E367,"m"))</f>
        <v/>
      </c>
      <c r="U367">
        <f>IF(OR($D367="",$E367=""),"",$E367-$D367)</f>
        <v/>
      </c>
      <c r="V367">
        <f>IF(OR($G367="",$T367=""),"",IF($T367&lt;24,IF(LEFT(LOWER($H367),4)="em p",$G367+0.7,$G367),IF(LEFT(LOWER($H367),4)="deit",$G367-0.7,$G367)))</f>
        <v/>
      </c>
      <c r="W367">
        <f>IF(OR($S367="",$T367=""),"",$S367*1000000+IF($T367&lt;=60,$U367,$T367))</f>
        <v/>
      </c>
      <c r="X367">
        <f>IF(OR($S367="",$V367="",$T367&gt;60,$T367=""),"",$S367*1000000+ROUND($V367*10,0))</f>
        <v/>
      </c>
      <c r="Y367">
        <f>IF($W367="","",IFERROR(INDEX(IF($T367&lt;=60,imc05_l,imc519_l),MATCH($W367,IF($T367&lt;=60,imc05_k,imc519_k),1)),""))</f>
        <v/>
      </c>
      <c r="Z367">
        <f>IF($W367="","",IFERROR(INDEX(IF($T367&lt;=60,imc05_m,imc519_m),MATCH($W367,IF($T367&lt;=60,imc05_k,imc519_k),1)),""))</f>
        <v/>
      </c>
      <c r="AA367">
        <f>IF($W367="","",IFERROR(INDEX(IF($T367&lt;=60,imc05_s,imc519_s),MATCH($W367,IF($T367&lt;=60,imc05_k,imc519_k),1)),""))</f>
        <v/>
      </c>
      <c r="AB367">
        <f>IF($Y367="","",IF($Y367=0,LN($J367/$Z367)/$AA367,((($J367/$Z367)^$Y367)-1)/($Y367*$AA367)))</f>
        <v/>
      </c>
      <c r="AC367">
        <f>IF($Y367="","",IF($Y367=0,$Z367*EXP($AA367*2),$Z367*(1+$Y367*$AA367*2)^(1/$Y367)))</f>
        <v/>
      </c>
      <c r="AD367">
        <f>IF($Y367="","",IF($Y367=0,$Z367*EXP($AA367*3),$Z367*(1+$Y367*$AA367*3)^(1/$Y367)))</f>
        <v/>
      </c>
      <c r="AE367">
        <f>IF($Y367="","",IF($Y367=0,$Z367*EXP($AA367*-2),$Z367*(1+$Y367*$AA367*-2)^(1/$Y367)))</f>
        <v/>
      </c>
      <c r="AF367">
        <f>IF($Y367="","",IF($Y367=0,$Z367*EXP($AA367*-3),$Z367*(1+$Y367*$AA367*-3)^(1/$Y367)))</f>
        <v/>
      </c>
      <c r="AG367">
        <f>IF($W367="","",IFERROR(INDEX(IF($T367&lt;=60,est05_l,est519_l),MATCH($W367,IF($T367&lt;=60,est05_k,est519_k),1)),""))</f>
        <v/>
      </c>
      <c r="AH367">
        <f>IF($W367="","",IFERROR(INDEX(IF($T367&lt;=60,est05_m,est519_m),MATCH($W367,IF($T367&lt;=60,est05_k,est519_k),1)),""))</f>
        <v/>
      </c>
      <c r="AI367">
        <f>IF($W367="","",IFERROR(INDEX(IF($T367&lt;=60,est05_s,est519_s),MATCH($W367,IF($T367&lt;=60,est05_k,est519_k),1)),""))</f>
        <v/>
      </c>
      <c r="AJ367">
        <f>IF($W367="","",IFERROR(INDEX(IF($T367&lt;=60,peso05_l,peso510_l),MATCH($W367,IF($T367&lt;=60,peso05_k,peso510_k),1)),""))</f>
        <v/>
      </c>
      <c r="AK367">
        <f>IF($W367="","",IFERROR(INDEX(IF($T367&lt;=60,peso05_m,peso510_m),MATCH($W367,IF($T367&lt;=60,peso05_k,peso510_k),1)),""))</f>
        <v/>
      </c>
      <c r="AL367">
        <f>IF($W367="","",IFERROR(INDEX(IF($T367&lt;=60,peso05_s,peso510_s),MATCH($W367,IF($T367&lt;=60,peso05_k,peso510_k),1)),""))</f>
        <v/>
      </c>
      <c r="AM367">
        <f>IF($AJ367="","",IF($AJ367=0,LN($F367/$AK367)/$AL367,((($F367/$AK367)^$AJ367)-1)/($AJ367*$AL367)))</f>
        <v/>
      </c>
      <c r="AN367">
        <f>IF($AJ367="","",IF($AJ367=0,$AK367*EXP($AL367*2),$AK367*(1+$AJ367*$AL367*2)^(1/$AJ367)))</f>
        <v/>
      </c>
      <c r="AO367">
        <f>IF($AJ367="","",IF($AJ367=0,$AK367*EXP($AL367*3),$AK367*(1+$AJ367*$AL367*3)^(1/$AJ367)))</f>
        <v/>
      </c>
      <c r="AP367">
        <f>IF($AJ367="","",IF($AJ367=0,$AK367*EXP($AL367*-2),$AK367*(1+$AJ367*$AL367*-2)^(1/$AJ367)))</f>
        <v/>
      </c>
      <c r="AQ367">
        <f>IF($AJ367="","",IF($AJ367=0,$AK367*EXP($AL367*-3),$AK367*(1+$AJ367*$AL367*-3)^(1/$AJ367)))</f>
        <v/>
      </c>
      <c r="AR367">
        <f>IF(OR($X367="",$T367&gt;60),"",IFERROR(INDEX(IF($T367&lt;24,pcomp_l,palt_l),MATCH($X367,IF($T367&lt;24,pcomp_k,palt_k),1)),""))</f>
        <v/>
      </c>
      <c r="AS367">
        <f>IF(OR($X367="",$T367&gt;60),"",IFERROR(INDEX(IF($T367&lt;24,pcomp_m,palt_m),MATCH($X367,IF($T367&lt;24,pcomp_k,palt_k),1)),""))</f>
        <v/>
      </c>
      <c r="AT367">
        <f>IF(OR($X367="",$T367&gt;60),"",IFERROR(INDEX(IF($T367&lt;24,pcomp_s,palt_s),MATCH($X367,IF($T367&lt;24,pcomp_k,palt_k),1)),""))</f>
        <v/>
      </c>
      <c r="AU367">
        <f>IF($AR367="","",IF($AR367=0,LN($F367/$AS367)/$AT367,((($F367/$AS367)^$AR367)-1)/($AR367*$AT367)))</f>
        <v/>
      </c>
      <c r="AV367">
        <f>IF($AR367="","",IF($AR367=0,$AS367*EXP($AT367*2),$AS367*(1+$AR367*$AT367*2)^(1/$AR367)))</f>
        <v/>
      </c>
      <c r="AW367">
        <f>IF($AR367="","",IF($AR367=0,$AS367*EXP($AT367*3),$AS367*(1+$AR367*$AT367*3)^(1/$AR367)))</f>
        <v/>
      </c>
      <c r="AX367">
        <f>IF($AR367="","",IF($AR367=0,$AS367*EXP($AT367*-2),$AS367*(1+$AR367*$AT367*-2)^(1/$AR367)))</f>
        <v/>
      </c>
      <c r="AY367">
        <f>IF($AR367="","",IF($AR367=0,$AS367*EXP($AT367*-3),$AS367*(1+$AR367*$AT367*-3)^(1/$AR367)))</f>
        <v/>
      </c>
      <c r="AZ367">
        <f>IF(OR($A367="",$A367&lt;&gt;Ficha!$C$4),"",COUNTIF($A$2:$A367,Ficha!$C$4))</f>
        <v/>
      </c>
    </row>
    <row r="368">
      <c r="A368" s="8">
        <f>IF(INDEX(Banco!$A:$A,ROW())="","",INDEX(Banco!$A:$A,ROW()))</f>
        <v/>
      </c>
      <c r="B368" s="8">
        <f>IF(INDEX(Banco!$B:$B,ROW())="","",INDEX(Banco!$B:$B,ROW()))</f>
        <v/>
      </c>
      <c r="C368" s="8">
        <f>IF(INDEX(Banco!$C:$C,ROW())="","",INDEX(Banco!$C:$C,ROW()))</f>
        <v/>
      </c>
      <c r="D368" s="9">
        <f>IF(INDEX(Banco!$D:$D,ROW())="","",INDEX(Banco!$D:$D,ROW()))</f>
        <v/>
      </c>
      <c r="E368" s="9">
        <f>IF(INDEX(Banco!$E:$E,ROW())="","",INDEX(Banco!$E:$E,ROW()))</f>
        <v/>
      </c>
      <c r="F368" s="10">
        <f>IF(INDEX(Banco!$F:$F,ROW())="","",INDEX(Banco!$F:$F,ROW()))</f>
        <v/>
      </c>
      <c r="G368" s="10">
        <f>IF(INDEX(Banco!$G:$G,ROW())="","",INDEX(Banco!$G:$G,ROW()))</f>
        <v/>
      </c>
      <c r="H368" s="8">
        <f>IF(INDEX(Banco!$H:$H,ROW())="","",INDEX(Banco!$H:$H,ROW()))</f>
        <v/>
      </c>
      <c r="I368">
        <f>IF($T368="","",INT($T368/12)&amp;"a "&amp;MOD($T368,12)&amp;"m")</f>
        <v/>
      </c>
      <c r="J368" s="11">
        <f>IF(OR($F368="",$G368=""),"",ROUND($F368/($G368/100)^2,2))</f>
        <v/>
      </c>
      <c r="K368" s="12">
        <f>IF(OR($S368="",$J368="",$T368="",$T368&lt;0,$T368&gt;228,$Y368=""),"—",ROUND(IF(ABS($AB368)&lt;=3,$AB368,IF($AB368&gt;3,3+($J368-$AD368)/($AD368-$AC368),-3+($J368-$AF368)/($AE368-$AF368))),2))</f>
        <v/>
      </c>
      <c r="L368">
        <f>IF(OR($K368="",$K368="—"),"",IF($T368&lt;=60,IF($K368&lt;-3,"Magreza acentuada",IF($K368&lt;-2,"Magreza",IF($K368&lt;=1,"Eutrofia",IF($K368&lt;=2,"Risco de sobrepeso",IF($K368&lt;=3,"Sobrepeso","Obesidade"))))),IF($K368&lt;-3,"Magreza acentuada",IF($K368&lt;-2,"Magreza",IF($K368&lt;=1,"Eutrofia",IF($K368&lt;=2,"Sobrepeso",IF($K368&lt;=3,"Obesidade","Obesidade grave")))))))</f>
        <v/>
      </c>
      <c r="M368" s="12">
        <f>IF(OR($S368="",$V368="",$T368="",$T368&lt;0,$T368&gt;228,$AG368=""),"—",ROUND(IF($AG368=0,LN($V368/$AH368)/$AI368,((($V368/$AH368)^$AG368)-1)/($AG368*$AI368)),2))</f>
        <v/>
      </c>
      <c r="N368">
        <f>IF(OR($M368="",$M368="—"),"",IF($M368&lt;-3,"Muito baixa",IF($M368&lt;-2,"Baixa","Adequada")))</f>
        <v/>
      </c>
      <c r="O368" s="12">
        <f>IF(OR($S368="",$F368="",$T368="",$T368&lt;0,$T368&gt;120,$AJ368=""),"—",ROUND(IF(ABS($AM368)&lt;=3,$AM368,IF($AM368&gt;3,3+($F368-$AO368)/($AO368-$AN368),-3+($F368-$AQ368)/($AP368-$AQ368))),2))</f>
        <v/>
      </c>
      <c r="P368">
        <f>IF(OR($O368="",$O368="—"),"",IF($O368&lt;-3,"Muito baixo",IF($O368&lt;-2,"Baixo",IF($O368&lt;=2,"Adequado","Elevado"))))</f>
        <v/>
      </c>
      <c r="Q368" s="12">
        <f>IF(OR($S368="",$F368="",$T368="",$T368&lt;0,$T368&gt;60,$AR368=""),"—",ROUND(IF(ABS($AU368)&lt;=3,$AU368,IF($AU368&gt;3,3+($F368-$AW368)/($AW368-$AV368),-3+($F368-$AY368)/($AX368-$AY368))),2))</f>
        <v/>
      </c>
      <c r="R368">
        <f>IF(OR($Q368="",$Q368="—"),"",IF($Q368&lt;-3,"Magreza acentuada",IF($Q368&lt;-2,"Magreza",IF($Q368&lt;=1,"Eutrofia",IF($Q368&lt;=2,"Risco de sobrepeso",IF($Q368&lt;=3,"Sobrepeso","Obesidade"))))))</f>
        <v/>
      </c>
      <c r="S368">
        <f>IF($C368="","",IF(UPPER(LEFT($C368,1))="M",1,IF(UPPER(LEFT($C368,1))="F",2,"")))</f>
        <v/>
      </c>
      <c r="T368">
        <f>IF(OR($D368="",$E368=""),"",DATEDIF($D368,$E368,"m"))</f>
        <v/>
      </c>
      <c r="U368">
        <f>IF(OR($D368="",$E368=""),"",$E368-$D368)</f>
        <v/>
      </c>
      <c r="V368">
        <f>IF(OR($G368="",$T368=""),"",IF($T368&lt;24,IF(LEFT(LOWER($H368),4)="em p",$G368+0.7,$G368),IF(LEFT(LOWER($H368),4)="deit",$G368-0.7,$G368)))</f>
        <v/>
      </c>
      <c r="W368">
        <f>IF(OR($S368="",$T368=""),"",$S368*1000000+IF($T368&lt;=60,$U368,$T368))</f>
        <v/>
      </c>
      <c r="X368">
        <f>IF(OR($S368="",$V368="",$T368&gt;60,$T368=""),"",$S368*1000000+ROUND($V368*10,0))</f>
        <v/>
      </c>
      <c r="Y368">
        <f>IF($W368="","",IFERROR(INDEX(IF($T368&lt;=60,imc05_l,imc519_l),MATCH($W368,IF($T368&lt;=60,imc05_k,imc519_k),1)),""))</f>
        <v/>
      </c>
      <c r="Z368">
        <f>IF($W368="","",IFERROR(INDEX(IF($T368&lt;=60,imc05_m,imc519_m),MATCH($W368,IF($T368&lt;=60,imc05_k,imc519_k),1)),""))</f>
        <v/>
      </c>
      <c r="AA368">
        <f>IF($W368="","",IFERROR(INDEX(IF($T368&lt;=60,imc05_s,imc519_s),MATCH($W368,IF($T368&lt;=60,imc05_k,imc519_k),1)),""))</f>
        <v/>
      </c>
      <c r="AB368">
        <f>IF($Y368="","",IF($Y368=0,LN($J368/$Z368)/$AA368,((($J368/$Z368)^$Y368)-1)/($Y368*$AA368)))</f>
        <v/>
      </c>
      <c r="AC368">
        <f>IF($Y368="","",IF($Y368=0,$Z368*EXP($AA368*2),$Z368*(1+$Y368*$AA368*2)^(1/$Y368)))</f>
        <v/>
      </c>
      <c r="AD368">
        <f>IF($Y368="","",IF($Y368=0,$Z368*EXP($AA368*3),$Z368*(1+$Y368*$AA368*3)^(1/$Y368)))</f>
        <v/>
      </c>
      <c r="AE368">
        <f>IF($Y368="","",IF($Y368=0,$Z368*EXP($AA368*-2),$Z368*(1+$Y368*$AA368*-2)^(1/$Y368)))</f>
        <v/>
      </c>
      <c r="AF368">
        <f>IF($Y368="","",IF($Y368=0,$Z368*EXP($AA368*-3),$Z368*(1+$Y368*$AA368*-3)^(1/$Y368)))</f>
        <v/>
      </c>
      <c r="AG368">
        <f>IF($W368="","",IFERROR(INDEX(IF($T368&lt;=60,est05_l,est519_l),MATCH($W368,IF($T368&lt;=60,est05_k,est519_k),1)),""))</f>
        <v/>
      </c>
      <c r="AH368">
        <f>IF($W368="","",IFERROR(INDEX(IF($T368&lt;=60,est05_m,est519_m),MATCH($W368,IF($T368&lt;=60,est05_k,est519_k),1)),""))</f>
        <v/>
      </c>
      <c r="AI368">
        <f>IF($W368="","",IFERROR(INDEX(IF($T368&lt;=60,est05_s,est519_s),MATCH($W368,IF($T368&lt;=60,est05_k,est519_k),1)),""))</f>
        <v/>
      </c>
      <c r="AJ368">
        <f>IF($W368="","",IFERROR(INDEX(IF($T368&lt;=60,peso05_l,peso510_l),MATCH($W368,IF($T368&lt;=60,peso05_k,peso510_k),1)),""))</f>
        <v/>
      </c>
      <c r="AK368">
        <f>IF($W368="","",IFERROR(INDEX(IF($T368&lt;=60,peso05_m,peso510_m),MATCH($W368,IF($T368&lt;=60,peso05_k,peso510_k),1)),""))</f>
        <v/>
      </c>
      <c r="AL368">
        <f>IF($W368="","",IFERROR(INDEX(IF($T368&lt;=60,peso05_s,peso510_s),MATCH($W368,IF($T368&lt;=60,peso05_k,peso510_k),1)),""))</f>
        <v/>
      </c>
      <c r="AM368">
        <f>IF($AJ368="","",IF($AJ368=0,LN($F368/$AK368)/$AL368,((($F368/$AK368)^$AJ368)-1)/($AJ368*$AL368)))</f>
        <v/>
      </c>
      <c r="AN368">
        <f>IF($AJ368="","",IF($AJ368=0,$AK368*EXP($AL368*2),$AK368*(1+$AJ368*$AL368*2)^(1/$AJ368)))</f>
        <v/>
      </c>
      <c r="AO368">
        <f>IF($AJ368="","",IF($AJ368=0,$AK368*EXP($AL368*3),$AK368*(1+$AJ368*$AL368*3)^(1/$AJ368)))</f>
        <v/>
      </c>
      <c r="AP368">
        <f>IF($AJ368="","",IF($AJ368=0,$AK368*EXP($AL368*-2),$AK368*(1+$AJ368*$AL368*-2)^(1/$AJ368)))</f>
        <v/>
      </c>
      <c r="AQ368">
        <f>IF($AJ368="","",IF($AJ368=0,$AK368*EXP($AL368*-3),$AK368*(1+$AJ368*$AL368*-3)^(1/$AJ368)))</f>
        <v/>
      </c>
      <c r="AR368">
        <f>IF(OR($X368="",$T368&gt;60),"",IFERROR(INDEX(IF($T368&lt;24,pcomp_l,palt_l),MATCH($X368,IF($T368&lt;24,pcomp_k,palt_k),1)),""))</f>
        <v/>
      </c>
      <c r="AS368">
        <f>IF(OR($X368="",$T368&gt;60),"",IFERROR(INDEX(IF($T368&lt;24,pcomp_m,palt_m),MATCH($X368,IF($T368&lt;24,pcomp_k,palt_k),1)),""))</f>
        <v/>
      </c>
      <c r="AT368">
        <f>IF(OR($X368="",$T368&gt;60),"",IFERROR(INDEX(IF($T368&lt;24,pcomp_s,palt_s),MATCH($X368,IF($T368&lt;24,pcomp_k,palt_k),1)),""))</f>
        <v/>
      </c>
      <c r="AU368">
        <f>IF($AR368="","",IF($AR368=0,LN($F368/$AS368)/$AT368,((($F368/$AS368)^$AR368)-1)/($AR368*$AT368)))</f>
        <v/>
      </c>
      <c r="AV368">
        <f>IF($AR368="","",IF($AR368=0,$AS368*EXP($AT368*2),$AS368*(1+$AR368*$AT368*2)^(1/$AR368)))</f>
        <v/>
      </c>
      <c r="AW368">
        <f>IF($AR368="","",IF($AR368=0,$AS368*EXP($AT368*3),$AS368*(1+$AR368*$AT368*3)^(1/$AR368)))</f>
        <v/>
      </c>
      <c r="AX368">
        <f>IF($AR368="","",IF($AR368=0,$AS368*EXP($AT368*-2),$AS368*(1+$AR368*$AT368*-2)^(1/$AR368)))</f>
        <v/>
      </c>
      <c r="AY368">
        <f>IF($AR368="","",IF($AR368=0,$AS368*EXP($AT368*-3),$AS368*(1+$AR368*$AT368*-3)^(1/$AR368)))</f>
        <v/>
      </c>
      <c r="AZ368">
        <f>IF(OR($A368="",$A368&lt;&gt;Ficha!$C$4),"",COUNTIF($A$2:$A368,Ficha!$C$4))</f>
        <v/>
      </c>
    </row>
    <row r="369">
      <c r="A369" s="8">
        <f>IF(INDEX(Banco!$A:$A,ROW())="","",INDEX(Banco!$A:$A,ROW()))</f>
        <v/>
      </c>
      <c r="B369" s="8">
        <f>IF(INDEX(Banco!$B:$B,ROW())="","",INDEX(Banco!$B:$B,ROW()))</f>
        <v/>
      </c>
      <c r="C369" s="8">
        <f>IF(INDEX(Banco!$C:$C,ROW())="","",INDEX(Banco!$C:$C,ROW()))</f>
        <v/>
      </c>
      <c r="D369" s="9">
        <f>IF(INDEX(Banco!$D:$D,ROW())="","",INDEX(Banco!$D:$D,ROW()))</f>
        <v/>
      </c>
      <c r="E369" s="9">
        <f>IF(INDEX(Banco!$E:$E,ROW())="","",INDEX(Banco!$E:$E,ROW()))</f>
        <v/>
      </c>
      <c r="F369" s="10">
        <f>IF(INDEX(Banco!$F:$F,ROW())="","",INDEX(Banco!$F:$F,ROW()))</f>
        <v/>
      </c>
      <c r="G369" s="10">
        <f>IF(INDEX(Banco!$G:$G,ROW())="","",INDEX(Banco!$G:$G,ROW()))</f>
        <v/>
      </c>
      <c r="H369" s="8">
        <f>IF(INDEX(Banco!$H:$H,ROW())="","",INDEX(Banco!$H:$H,ROW()))</f>
        <v/>
      </c>
      <c r="I369">
        <f>IF($T369="","",INT($T369/12)&amp;"a "&amp;MOD($T369,12)&amp;"m")</f>
        <v/>
      </c>
      <c r="J369" s="11">
        <f>IF(OR($F369="",$G369=""),"",ROUND($F369/($G369/100)^2,2))</f>
        <v/>
      </c>
      <c r="K369" s="12">
        <f>IF(OR($S369="",$J369="",$T369="",$T369&lt;0,$T369&gt;228,$Y369=""),"—",ROUND(IF(ABS($AB369)&lt;=3,$AB369,IF($AB369&gt;3,3+($J369-$AD369)/($AD369-$AC369),-3+($J369-$AF369)/($AE369-$AF369))),2))</f>
        <v/>
      </c>
      <c r="L369">
        <f>IF(OR($K369="",$K369="—"),"",IF($T369&lt;=60,IF($K369&lt;-3,"Magreza acentuada",IF($K369&lt;-2,"Magreza",IF($K369&lt;=1,"Eutrofia",IF($K369&lt;=2,"Risco de sobrepeso",IF($K369&lt;=3,"Sobrepeso","Obesidade"))))),IF($K369&lt;-3,"Magreza acentuada",IF($K369&lt;-2,"Magreza",IF($K369&lt;=1,"Eutrofia",IF($K369&lt;=2,"Sobrepeso",IF($K369&lt;=3,"Obesidade","Obesidade grave")))))))</f>
        <v/>
      </c>
      <c r="M369" s="12">
        <f>IF(OR($S369="",$V369="",$T369="",$T369&lt;0,$T369&gt;228,$AG369=""),"—",ROUND(IF($AG369=0,LN($V369/$AH369)/$AI369,((($V369/$AH369)^$AG369)-1)/($AG369*$AI369)),2))</f>
        <v/>
      </c>
      <c r="N369">
        <f>IF(OR($M369="",$M369="—"),"",IF($M369&lt;-3,"Muito baixa",IF($M369&lt;-2,"Baixa","Adequada")))</f>
        <v/>
      </c>
      <c r="O369" s="12">
        <f>IF(OR($S369="",$F369="",$T369="",$T369&lt;0,$T369&gt;120,$AJ369=""),"—",ROUND(IF(ABS($AM369)&lt;=3,$AM369,IF($AM369&gt;3,3+($F369-$AO369)/($AO369-$AN369),-3+($F369-$AQ369)/($AP369-$AQ369))),2))</f>
        <v/>
      </c>
      <c r="P369">
        <f>IF(OR($O369="",$O369="—"),"",IF($O369&lt;-3,"Muito baixo",IF($O369&lt;-2,"Baixo",IF($O369&lt;=2,"Adequado","Elevado"))))</f>
        <v/>
      </c>
      <c r="Q369" s="12">
        <f>IF(OR($S369="",$F369="",$T369="",$T369&lt;0,$T369&gt;60,$AR369=""),"—",ROUND(IF(ABS($AU369)&lt;=3,$AU369,IF($AU369&gt;3,3+($F369-$AW369)/($AW369-$AV369),-3+($F369-$AY369)/($AX369-$AY369))),2))</f>
        <v/>
      </c>
      <c r="R369">
        <f>IF(OR($Q369="",$Q369="—"),"",IF($Q369&lt;-3,"Magreza acentuada",IF($Q369&lt;-2,"Magreza",IF($Q369&lt;=1,"Eutrofia",IF($Q369&lt;=2,"Risco de sobrepeso",IF($Q369&lt;=3,"Sobrepeso","Obesidade"))))))</f>
        <v/>
      </c>
      <c r="S369">
        <f>IF($C369="","",IF(UPPER(LEFT($C369,1))="M",1,IF(UPPER(LEFT($C369,1))="F",2,"")))</f>
        <v/>
      </c>
      <c r="T369">
        <f>IF(OR($D369="",$E369=""),"",DATEDIF($D369,$E369,"m"))</f>
        <v/>
      </c>
      <c r="U369">
        <f>IF(OR($D369="",$E369=""),"",$E369-$D369)</f>
        <v/>
      </c>
      <c r="V369">
        <f>IF(OR($G369="",$T369=""),"",IF($T369&lt;24,IF(LEFT(LOWER($H369),4)="em p",$G369+0.7,$G369),IF(LEFT(LOWER($H369),4)="deit",$G369-0.7,$G369)))</f>
        <v/>
      </c>
      <c r="W369">
        <f>IF(OR($S369="",$T369=""),"",$S369*1000000+IF($T369&lt;=60,$U369,$T369))</f>
        <v/>
      </c>
      <c r="X369">
        <f>IF(OR($S369="",$V369="",$T369&gt;60,$T369=""),"",$S369*1000000+ROUND($V369*10,0))</f>
        <v/>
      </c>
      <c r="Y369">
        <f>IF($W369="","",IFERROR(INDEX(IF($T369&lt;=60,imc05_l,imc519_l),MATCH($W369,IF($T369&lt;=60,imc05_k,imc519_k),1)),""))</f>
        <v/>
      </c>
      <c r="Z369">
        <f>IF($W369="","",IFERROR(INDEX(IF($T369&lt;=60,imc05_m,imc519_m),MATCH($W369,IF($T369&lt;=60,imc05_k,imc519_k),1)),""))</f>
        <v/>
      </c>
      <c r="AA369">
        <f>IF($W369="","",IFERROR(INDEX(IF($T369&lt;=60,imc05_s,imc519_s),MATCH($W369,IF($T369&lt;=60,imc05_k,imc519_k),1)),""))</f>
        <v/>
      </c>
      <c r="AB369">
        <f>IF($Y369="","",IF($Y369=0,LN($J369/$Z369)/$AA369,((($J369/$Z369)^$Y369)-1)/($Y369*$AA369)))</f>
        <v/>
      </c>
      <c r="AC369">
        <f>IF($Y369="","",IF($Y369=0,$Z369*EXP($AA369*2),$Z369*(1+$Y369*$AA369*2)^(1/$Y369)))</f>
        <v/>
      </c>
      <c r="AD369">
        <f>IF($Y369="","",IF($Y369=0,$Z369*EXP($AA369*3),$Z369*(1+$Y369*$AA369*3)^(1/$Y369)))</f>
        <v/>
      </c>
      <c r="AE369">
        <f>IF($Y369="","",IF($Y369=0,$Z369*EXP($AA369*-2),$Z369*(1+$Y369*$AA369*-2)^(1/$Y369)))</f>
        <v/>
      </c>
      <c r="AF369">
        <f>IF($Y369="","",IF($Y369=0,$Z369*EXP($AA369*-3),$Z369*(1+$Y369*$AA369*-3)^(1/$Y369)))</f>
        <v/>
      </c>
      <c r="AG369">
        <f>IF($W369="","",IFERROR(INDEX(IF($T369&lt;=60,est05_l,est519_l),MATCH($W369,IF($T369&lt;=60,est05_k,est519_k),1)),""))</f>
        <v/>
      </c>
      <c r="AH369">
        <f>IF($W369="","",IFERROR(INDEX(IF($T369&lt;=60,est05_m,est519_m),MATCH($W369,IF($T369&lt;=60,est05_k,est519_k),1)),""))</f>
        <v/>
      </c>
      <c r="AI369">
        <f>IF($W369="","",IFERROR(INDEX(IF($T369&lt;=60,est05_s,est519_s),MATCH($W369,IF($T369&lt;=60,est05_k,est519_k),1)),""))</f>
        <v/>
      </c>
      <c r="AJ369">
        <f>IF($W369="","",IFERROR(INDEX(IF($T369&lt;=60,peso05_l,peso510_l),MATCH($W369,IF($T369&lt;=60,peso05_k,peso510_k),1)),""))</f>
        <v/>
      </c>
      <c r="AK369">
        <f>IF($W369="","",IFERROR(INDEX(IF($T369&lt;=60,peso05_m,peso510_m),MATCH($W369,IF($T369&lt;=60,peso05_k,peso510_k),1)),""))</f>
        <v/>
      </c>
      <c r="AL369">
        <f>IF($W369="","",IFERROR(INDEX(IF($T369&lt;=60,peso05_s,peso510_s),MATCH($W369,IF($T369&lt;=60,peso05_k,peso510_k),1)),""))</f>
        <v/>
      </c>
      <c r="AM369">
        <f>IF($AJ369="","",IF($AJ369=0,LN($F369/$AK369)/$AL369,((($F369/$AK369)^$AJ369)-1)/($AJ369*$AL369)))</f>
        <v/>
      </c>
      <c r="AN369">
        <f>IF($AJ369="","",IF($AJ369=0,$AK369*EXP($AL369*2),$AK369*(1+$AJ369*$AL369*2)^(1/$AJ369)))</f>
        <v/>
      </c>
      <c r="AO369">
        <f>IF($AJ369="","",IF($AJ369=0,$AK369*EXP($AL369*3),$AK369*(1+$AJ369*$AL369*3)^(1/$AJ369)))</f>
        <v/>
      </c>
      <c r="AP369">
        <f>IF($AJ369="","",IF($AJ369=0,$AK369*EXP($AL369*-2),$AK369*(1+$AJ369*$AL369*-2)^(1/$AJ369)))</f>
        <v/>
      </c>
      <c r="AQ369">
        <f>IF($AJ369="","",IF($AJ369=0,$AK369*EXP($AL369*-3),$AK369*(1+$AJ369*$AL369*-3)^(1/$AJ369)))</f>
        <v/>
      </c>
      <c r="AR369">
        <f>IF(OR($X369="",$T369&gt;60),"",IFERROR(INDEX(IF($T369&lt;24,pcomp_l,palt_l),MATCH($X369,IF($T369&lt;24,pcomp_k,palt_k),1)),""))</f>
        <v/>
      </c>
      <c r="AS369">
        <f>IF(OR($X369="",$T369&gt;60),"",IFERROR(INDEX(IF($T369&lt;24,pcomp_m,palt_m),MATCH($X369,IF($T369&lt;24,pcomp_k,palt_k),1)),""))</f>
        <v/>
      </c>
      <c r="AT369">
        <f>IF(OR($X369="",$T369&gt;60),"",IFERROR(INDEX(IF($T369&lt;24,pcomp_s,palt_s),MATCH($X369,IF($T369&lt;24,pcomp_k,palt_k),1)),""))</f>
        <v/>
      </c>
      <c r="AU369">
        <f>IF($AR369="","",IF($AR369=0,LN($F369/$AS369)/$AT369,((($F369/$AS369)^$AR369)-1)/($AR369*$AT369)))</f>
        <v/>
      </c>
      <c r="AV369">
        <f>IF($AR369="","",IF($AR369=0,$AS369*EXP($AT369*2),$AS369*(1+$AR369*$AT369*2)^(1/$AR369)))</f>
        <v/>
      </c>
      <c r="AW369">
        <f>IF($AR369="","",IF($AR369=0,$AS369*EXP($AT369*3),$AS369*(1+$AR369*$AT369*3)^(1/$AR369)))</f>
        <v/>
      </c>
      <c r="AX369">
        <f>IF($AR369="","",IF($AR369=0,$AS369*EXP($AT369*-2),$AS369*(1+$AR369*$AT369*-2)^(1/$AR369)))</f>
        <v/>
      </c>
      <c r="AY369">
        <f>IF($AR369="","",IF($AR369=0,$AS369*EXP($AT369*-3),$AS369*(1+$AR369*$AT369*-3)^(1/$AR369)))</f>
        <v/>
      </c>
      <c r="AZ369">
        <f>IF(OR($A369="",$A369&lt;&gt;Ficha!$C$4),"",COUNTIF($A$2:$A369,Ficha!$C$4))</f>
        <v/>
      </c>
    </row>
    <row r="370">
      <c r="A370" s="8">
        <f>IF(INDEX(Banco!$A:$A,ROW())="","",INDEX(Banco!$A:$A,ROW()))</f>
        <v/>
      </c>
      <c r="B370" s="8">
        <f>IF(INDEX(Banco!$B:$B,ROW())="","",INDEX(Banco!$B:$B,ROW()))</f>
        <v/>
      </c>
      <c r="C370" s="8">
        <f>IF(INDEX(Banco!$C:$C,ROW())="","",INDEX(Banco!$C:$C,ROW()))</f>
        <v/>
      </c>
      <c r="D370" s="9">
        <f>IF(INDEX(Banco!$D:$D,ROW())="","",INDEX(Banco!$D:$D,ROW()))</f>
        <v/>
      </c>
      <c r="E370" s="9">
        <f>IF(INDEX(Banco!$E:$E,ROW())="","",INDEX(Banco!$E:$E,ROW()))</f>
        <v/>
      </c>
      <c r="F370" s="10">
        <f>IF(INDEX(Banco!$F:$F,ROW())="","",INDEX(Banco!$F:$F,ROW()))</f>
        <v/>
      </c>
      <c r="G370" s="10">
        <f>IF(INDEX(Banco!$G:$G,ROW())="","",INDEX(Banco!$G:$G,ROW()))</f>
        <v/>
      </c>
      <c r="H370" s="8">
        <f>IF(INDEX(Banco!$H:$H,ROW())="","",INDEX(Banco!$H:$H,ROW()))</f>
        <v/>
      </c>
      <c r="I370">
        <f>IF($T370="","",INT($T370/12)&amp;"a "&amp;MOD($T370,12)&amp;"m")</f>
        <v/>
      </c>
      <c r="J370" s="11">
        <f>IF(OR($F370="",$G370=""),"",ROUND($F370/($G370/100)^2,2))</f>
        <v/>
      </c>
      <c r="K370" s="12">
        <f>IF(OR($S370="",$J370="",$T370="",$T370&lt;0,$T370&gt;228,$Y370=""),"—",ROUND(IF(ABS($AB370)&lt;=3,$AB370,IF($AB370&gt;3,3+($J370-$AD370)/($AD370-$AC370),-3+($J370-$AF370)/($AE370-$AF370))),2))</f>
        <v/>
      </c>
      <c r="L370">
        <f>IF(OR($K370="",$K370="—"),"",IF($T370&lt;=60,IF($K370&lt;-3,"Magreza acentuada",IF($K370&lt;-2,"Magreza",IF($K370&lt;=1,"Eutrofia",IF($K370&lt;=2,"Risco de sobrepeso",IF($K370&lt;=3,"Sobrepeso","Obesidade"))))),IF($K370&lt;-3,"Magreza acentuada",IF($K370&lt;-2,"Magreza",IF($K370&lt;=1,"Eutrofia",IF($K370&lt;=2,"Sobrepeso",IF($K370&lt;=3,"Obesidade","Obesidade grave")))))))</f>
        <v/>
      </c>
      <c r="M370" s="12">
        <f>IF(OR($S370="",$V370="",$T370="",$T370&lt;0,$T370&gt;228,$AG370=""),"—",ROUND(IF($AG370=0,LN($V370/$AH370)/$AI370,((($V370/$AH370)^$AG370)-1)/($AG370*$AI370)),2))</f>
        <v/>
      </c>
      <c r="N370">
        <f>IF(OR($M370="",$M370="—"),"",IF($M370&lt;-3,"Muito baixa",IF($M370&lt;-2,"Baixa","Adequada")))</f>
        <v/>
      </c>
      <c r="O370" s="12">
        <f>IF(OR($S370="",$F370="",$T370="",$T370&lt;0,$T370&gt;120,$AJ370=""),"—",ROUND(IF(ABS($AM370)&lt;=3,$AM370,IF($AM370&gt;3,3+($F370-$AO370)/($AO370-$AN370),-3+($F370-$AQ370)/($AP370-$AQ370))),2))</f>
        <v/>
      </c>
      <c r="P370">
        <f>IF(OR($O370="",$O370="—"),"",IF($O370&lt;-3,"Muito baixo",IF($O370&lt;-2,"Baixo",IF($O370&lt;=2,"Adequado","Elevado"))))</f>
        <v/>
      </c>
      <c r="Q370" s="12">
        <f>IF(OR($S370="",$F370="",$T370="",$T370&lt;0,$T370&gt;60,$AR370=""),"—",ROUND(IF(ABS($AU370)&lt;=3,$AU370,IF($AU370&gt;3,3+($F370-$AW370)/($AW370-$AV370),-3+($F370-$AY370)/($AX370-$AY370))),2))</f>
        <v/>
      </c>
      <c r="R370">
        <f>IF(OR($Q370="",$Q370="—"),"",IF($Q370&lt;-3,"Magreza acentuada",IF($Q370&lt;-2,"Magreza",IF($Q370&lt;=1,"Eutrofia",IF($Q370&lt;=2,"Risco de sobrepeso",IF($Q370&lt;=3,"Sobrepeso","Obesidade"))))))</f>
        <v/>
      </c>
      <c r="S370">
        <f>IF($C370="","",IF(UPPER(LEFT($C370,1))="M",1,IF(UPPER(LEFT($C370,1))="F",2,"")))</f>
        <v/>
      </c>
      <c r="T370">
        <f>IF(OR($D370="",$E370=""),"",DATEDIF($D370,$E370,"m"))</f>
        <v/>
      </c>
      <c r="U370">
        <f>IF(OR($D370="",$E370=""),"",$E370-$D370)</f>
        <v/>
      </c>
      <c r="V370">
        <f>IF(OR($G370="",$T370=""),"",IF($T370&lt;24,IF(LEFT(LOWER($H370),4)="em p",$G370+0.7,$G370),IF(LEFT(LOWER($H370),4)="deit",$G370-0.7,$G370)))</f>
        <v/>
      </c>
      <c r="W370">
        <f>IF(OR($S370="",$T370=""),"",$S370*1000000+IF($T370&lt;=60,$U370,$T370))</f>
        <v/>
      </c>
      <c r="X370">
        <f>IF(OR($S370="",$V370="",$T370&gt;60,$T370=""),"",$S370*1000000+ROUND($V370*10,0))</f>
        <v/>
      </c>
      <c r="Y370">
        <f>IF($W370="","",IFERROR(INDEX(IF($T370&lt;=60,imc05_l,imc519_l),MATCH($W370,IF($T370&lt;=60,imc05_k,imc519_k),1)),""))</f>
        <v/>
      </c>
      <c r="Z370">
        <f>IF($W370="","",IFERROR(INDEX(IF($T370&lt;=60,imc05_m,imc519_m),MATCH($W370,IF($T370&lt;=60,imc05_k,imc519_k),1)),""))</f>
        <v/>
      </c>
      <c r="AA370">
        <f>IF($W370="","",IFERROR(INDEX(IF($T370&lt;=60,imc05_s,imc519_s),MATCH($W370,IF($T370&lt;=60,imc05_k,imc519_k),1)),""))</f>
        <v/>
      </c>
      <c r="AB370">
        <f>IF($Y370="","",IF($Y370=0,LN($J370/$Z370)/$AA370,((($J370/$Z370)^$Y370)-1)/($Y370*$AA370)))</f>
        <v/>
      </c>
      <c r="AC370">
        <f>IF($Y370="","",IF($Y370=0,$Z370*EXP($AA370*2),$Z370*(1+$Y370*$AA370*2)^(1/$Y370)))</f>
        <v/>
      </c>
      <c r="AD370">
        <f>IF($Y370="","",IF($Y370=0,$Z370*EXP($AA370*3),$Z370*(1+$Y370*$AA370*3)^(1/$Y370)))</f>
        <v/>
      </c>
      <c r="AE370">
        <f>IF($Y370="","",IF($Y370=0,$Z370*EXP($AA370*-2),$Z370*(1+$Y370*$AA370*-2)^(1/$Y370)))</f>
        <v/>
      </c>
      <c r="AF370">
        <f>IF($Y370="","",IF($Y370=0,$Z370*EXP($AA370*-3),$Z370*(1+$Y370*$AA370*-3)^(1/$Y370)))</f>
        <v/>
      </c>
      <c r="AG370">
        <f>IF($W370="","",IFERROR(INDEX(IF($T370&lt;=60,est05_l,est519_l),MATCH($W370,IF($T370&lt;=60,est05_k,est519_k),1)),""))</f>
        <v/>
      </c>
      <c r="AH370">
        <f>IF($W370="","",IFERROR(INDEX(IF($T370&lt;=60,est05_m,est519_m),MATCH($W370,IF($T370&lt;=60,est05_k,est519_k),1)),""))</f>
        <v/>
      </c>
      <c r="AI370">
        <f>IF($W370="","",IFERROR(INDEX(IF($T370&lt;=60,est05_s,est519_s),MATCH($W370,IF($T370&lt;=60,est05_k,est519_k),1)),""))</f>
        <v/>
      </c>
      <c r="AJ370">
        <f>IF($W370="","",IFERROR(INDEX(IF($T370&lt;=60,peso05_l,peso510_l),MATCH($W370,IF($T370&lt;=60,peso05_k,peso510_k),1)),""))</f>
        <v/>
      </c>
      <c r="AK370">
        <f>IF($W370="","",IFERROR(INDEX(IF($T370&lt;=60,peso05_m,peso510_m),MATCH($W370,IF($T370&lt;=60,peso05_k,peso510_k),1)),""))</f>
        <v/>
      </c>
      <c r="AL370">
        <f>IF($W370="","",IFERROR(INDEX(IF($T370&lt;=60,peso05_s,peso510_s),MATCH($W370,IF($T370&lt;=60,peso05_k,peso510_k),1)),""))</f>
        <v/>
      </c>
      <c r="AM370">
        <f>IF($AJ370="","",IF($AJ370=0,LN($F370/$AK370)/$AL370,((($F370/$AK370)^$AJ370)-1)/($AJ370*$AL370)))</f>
        <v/>
      </c>
      <c r="AN370">
        <f>IF($AJ370="","",IF($AJ370=0,$AK370*EXP($AL370*2),$AK370*(1+$AJ370*$AL370*2)^(1/$AJ370)))</f>
        <v/>
      </c>
      <c r="AO370">
        <f>IF($AJ370="","",IF($AJ370=0,$AK370*EXP($AL370*3),$AK370*(1+$AJ370*$AL370*3)^(1/$AJ370)))</f>
        <v/>
      </c>
      <c r="AP370">
        <f>IF($AJ370="","",IF($AJ370=0,$AK370*EXP($AL370*-2),$AK370*(1+$AJ370*$AL370*-2)^(1/$AJ370)))</f>
        <v/>
      </c>
      <c r="AQ370">
        <f>IF($AJ370="","",IF($AJ370=0,$AK370*EXP($AL370*-3),$AK370*(1+$AJ370*$AL370*-3)^(1/$AJ370)))</f>
        <v/>
      </c>
      <c r="AR370">
        <f>IF(OR($X370="",$T370&gt;60),"",IFERROR(INDEX(IF($T370&lt;24,pcomp_l,palt_l),MATCH($X370,IF($T370&lt;24,pcomp_k,palt_k),1)),""))</f>
        <v/>
      </c>
      <c r="AS370">
        <f>IF(OR($X370="",$T370&gt;60),"",IFERROR(INDEX(IF($T370&lt;24,pcomp_m,palt_m),MATCH($X370,IF($T370&lt;24,pcomp_k,palt_k),1)),""))</f>
        <v/>
      </c>
      <c r="AT370">
        <f>IF(OR($X370="",$T370&gt;60),"",IFERROR(INDEX(IF($T370&lt;24,pcomp_s,palt_s),MATCH($X370,IF($T370&lt;24,pcomp_k,palt_k),1)),""))</f>
        <v/>
      </c>
      <c r="AU370">
        <f>IF($AR370="","",IF($AR370=0,LN($F370/$AS370)/$AT370,((($F370/$AS370)^$AR370)-1)/($AR370*$AT370)))</f>
        <v/>
      </c>
      <c r="AV370">
        <f>IF($AR370="","",IF($AR370=0,$AS370*EXP($AT370*2),$AS370*(1+$AR370*$AT370*2)^(1/$AR370)))</f>
        <v/>
      </c>
      <c r="AW370">
        <f>IF($AR370="","",IF($AR370=0,$AS370*EXP($AT370*3),$AS370*(1+$AR370*$AT370*3)^(1/$AR370)))</f>
        <v/>
      </c>
      <c r="AX370">
        <f>IF($AR370="","",IF($AR370=0,$AS370*EXP($AT370*-2),$AS370*(1+$AR370*$AT370*-2)^(1/$AR370)))</f>
        <v/>
      </c>
      <c r="AY370">
        <f>IF($AR370="","",IF($AR370=0,$AS370*EXP($AT370*-3),$AS370*(1+$AR370*$AT370*-3)^(1/$AR370)))</f>
        <v/>
      </c>
      <c r="AZ370">
        <f>IF(OR($A370="",$A370&lt;&gt;Ficha!$C$4),"",COUNTIF($A$2:$A370,Ficha!$C$4))</f>
        <v/>
      </c>
    </row>
    <row r="371">
      <c r="A371" s="8">
        <f>IF(INDEX(Banco!$A:$A,ROW())="","",INDEX(Banco!$A:$A,ROW()))</f>
        <v/>
      </c>
      <c r="B371" s="8">
        <f>IF(INDEX(Banco!$B:$B,ROW())="","",INDEX(Banco!$B:$B,ROW()))</f>
        <v/>
      </c>
      <c r="C371" s="8">
        <f>IF(INDEX(Banco!$C:$C,ROW())="","",INDEX(Banco!$C:$C,ROW()))</f>
        <v/>
      </c>
      <c r="D371" s="9">
        <f>IF(INDEX(Banco!$D:$D,ROW())="","",INDEX(Banco!$D:$D,ROW()))</f>
        <v/>
      </c>
      <c r="E371" s="9">
        <f>IF(INDEX(Banco!$E:$E,ROW())="","",INDEX(Banco!$E:$E,ROW()))</f>
        <v/>
      </c>
      <c r="F371" s="10">
        <f>IF(INDEX(Banco!$F:$F,ROW())="","",INDEX(Banco!$F:$F,ROW()))</f>
        <v/>
      </c>
      <c r="G371" s="10">
        <f>IF(INDEX(Banco!$G:$G,ROW())="","",INDEX(Banco!$G:$G,ROW()))</f>
        <v/>
      </c>
      <c r="H371" s="8">
        <f>IF(INDEX(Banco!$H:$H,ROW())="","",INDEX(Banco!$H:$H,ROW()))</f>
        <v/>
      </c>
      <c r="I371">
        <f>IF($T371="","",INT($T371/12)&amp;"a "&amp;MOD($T371,12)&amp;"m")</f>
        <v/>
      </c>
      <c r="J371" s="11">
        <f>IF(OR($F371="",$G371=""),"",ROUND($F371/($G371/100)^2,2))</f>
        <v/>
      </c>
      <c r="K371" s="12">
        <f>IF(OR($S371="",$J371="",$T371="",$T371&lt;0,$T371&gt;228,$Y371=""),"—",ROUND(IF(ABS($AB371)&lt;=3,$AB371,IF($AB371&gt;3,3+($J371-$AD371)/($AD371-$AC371),-3+($J371-$AF371)/($AE371-$AF371))),2))</f>
        <v/>
      </c>
      <c r="L371">
        <f>IF(OR($K371="",$K371="—"),"",IF($T371&lt;=60,IF($K371&lt;-3,"Magreza acentuada",IF($K371&lt;-2,"Magreza",IF($K371&lt;=1,"Eutrofia",IF($K371&lt;=2,"Risco de sobrepeso",IF($K371&lt;=3,"Sobrepeso","Obesidade"))))),IF($K371&lt;-3,"Magreza acentuada",IF($K371&lt;-2,"Magreza",IF($K371&lt;=1,"Eutrofia",IF($K371&lt;=2,"Sobrepeso",IF($K371&lt;=3,"Obesidade","Obesidade grave")))))))</f>
        <v/>
      </c>
      <c r="M371" s="12">
        <f>IF(OR($S371="",$V371="",$T371="",$T371&lt;0,$T371&gt;228,$AG371=""),"—",ROUND(IF($AG371=0,LN($V371/$AH371)/$AI371,((($V371/$AH371)^$AG371)-1)/($AG371*$AI371)),2))</f>
        <v/>
      </c>
      <c r="N371">
        <f>IF(OR($M371="",$M371="—"),"",IF($M371&lt;-3,"Muito baixa",IF($M371&lt;-2,"Baixa","Adequada")))</f>
        <v/>
      </c>
      <c r="O371" s="12">
        <f>IF(OR($S371="",$F371="",$T371="",$T371&lt;0,$T371&gt;120,$AJ371=""),"—",ROUND(IF(ABS($AM371)&lt;=3,$AM371,IF($AM371&gt;3,3+($F371-$AO371)/($AO371-$AN371),-3+($F371-$AQ371)/($AP371-$AQ371))),2))</f>
        <v/>
      </c>
      <c r="P371">
        <f>IF(OR($O371="",$O371="—"),"",IF($O371&lt;-3,"Muito baixo",IF($O371&lt;-2,"Baixo",IF($O371&lt;=2,"Adequado","Elevado"))))</f>
        <v/>
      </c>
      <c r="Q371" s="12">
        <f>IF(OR($S371="",$F371="",$T371="",$T371&lt;0,$T371&gt;60,$AR371=""),"—",ROUND(IF(ABS($AU371)&lt;=3,$AU371,IF($AU371&gt;3,3+($F371-$AW371)/($AW371-$AV371),-3+($F371-$AY371)/($AX371-$AY371))),2))</f>
        <v/>
      </c>
      <c r="R371">
        <f>IF(OR($Q371="",$Q371="—"),"",IF($Q371&lt;-3,"Magreza acentuada",IF($Q371&lt;-2,"Magreza",IF($Q371&lt;=1,"Eutrofia",IF($Q371&lt;=2,"Risco de sobrepeso",IF($Q371&lt;=3,"Sobrepeso","Obesidade"))))))</f>
        <v/>
      </c>
      <c r="S371">
        <f>IF($C371="","",IF(UPPER(LEFT($C371,1))="M",1,IF(UPPER(LEFT($C371,1))="F",2,"")))</f>
        <v/>
      </c>
      <c r="T371">
        <f>IF(OR($D371="",$E371=""),"",DATEDIF($D371,$E371,"m"))</f>
        <v/>
      </c>
      <c r="U371">
        <f>IF(OR($D371="",$E371=""),"",$E371-$D371)</f>
        <v/>
      </c>
      <c r="V371">
        <f>IF(OR($G371="",$T371=""),"",IF($T371&lt;24,IF(LEFT(LOWER($H371),4)="em p",$G371+0.7,$G371),IF(LEFT(LOWER($H371),4)="deit",$G371-0.7,$G371)))</f>
        <v/>
      </c>
      <c r="W371">
        <f>IF(OR($S371="",$T371=""),"",$S371*1000000+IF($T371&lt;=60,$U371,$T371))</f>
        <v/>
      </c>
      <c r="X371">
        <f>IF(OR($S371="",$V371="",$T371&gt;60,$T371=""),"",$S371*1000000+ROUND($V371*10,0))</f>
        <v/>
      </c>
      <c r="Y371">
        <f>IF($W371="","",IFERROR(INDEX(IF($T371&lt;=60,imc05_l,imc519_l),MATCH($W371,IF($T371&lt;=60,imc05_k,imc519_k),1)),""))</f>
        <v/>
      </c>
      <c r="Z371">
        <f>IF($W371="","",IFERROR(INDEX(IF($T371&lt;=60,imc05_m,imc519_m),MATCH($W371,IF($T371&lt;=60,imc05_k,imc519_k),1)),""))</f>
        <v/>
      </c>
      <c r="AA371">
        <f>IF($W371="","",IFERROR(INDEX(IF($T371&lt;=60,imc05_s,imc519_s),MATCH($W371,IF($T371&lt;=60,imc05_k,imc519_k),1)),""))</f>
        <v/>
      </c>
      <c r="AB371">
        <f>IF($Y371="","",IF($Y371=0,LN($J371/$Z371)/$AA371,((($J371/$Z371)^$Y371)-1)/($Y371*$AA371)))</f>
        <v/>
      </c>
      <c r="AC371">
        <f>IF($Y371="","",IF($Y371=0,$Z371*EXP($AA371*2),$Z371*(1+$Y371*$AA371*2)^(1/$Y371)))</f>
        <v/>
      </c>
      <c r="AD371">
        <f>IF($Y371="","",IF($Y371=0,$Z371*EXP($AA371*3),$Z371*(1+$Y371*$AA371*3)^(1/$Y371)))</f>
        <v/>
      </c>
      <c r="AE371">
        <f>IF($Y371="","",IF($Y371=0,$Z371*EXP($AA371*-2),$Z371*(1+$Y371*$AA371*-2)^(1/$Y371)))</f>
        <v/>
      </c>
      <c r="AF371">
        <f>IF($Y371="","",IF($Y371=0,$Z371*EXP($AA371*-3),$Z371*(1+$Y371*$AA371*-3)^(1/$Y371)))</f>
        <v/>
      </c>
      <c r="AG371">
        <f>IF($W371="","",IFERROR(INDEX(IF($T371&lt;=60,est05_l,est519_l),MATCH($W371,IF($T371&lt;=60,est05_k,est519_k),1)),""))</f>
        <v/>
      </c>
      <c r="AH371">
        <f>IF($W371="","",IFERROR(INDEX(IF($T371&lt;=60,est05_m,est519_m),MATCH($W371,IF($T371&lt;=60,est05_k,est519_k),1)),""))</f>
        <v/>
      </c>
      <c r="AI371">
        <f>IF($W371="","",IFERROR(INDEX(IF($T371&lt;=60,est05_s,est519_s),MATCH($W371,IF($T371&lt;=60,est05_k,est519_k),1)),""))</f>
        <v/>
      </c>
      <c r="AJ371">
        <f>IF($W371="","",IFERROR(INDEX(IF($T371&lt;=60,peso05_l,peso510_l),MATCH($W371,IF($T371&lt;=60,peso05_k,peso510_k),1)),""))</f>
        <v/>
      </c>
      <c r="AK371">
        <f>IF($W371="","",IFERROR(INDEX(IF($T371&lt;=60,peso05_m,peso510_m),MATCH($W371,IF($T371&lt;=60,peso05_k,peso510_k),1)),""))</f>
        <v/>
      </c>
      <c r="AL371">
        <f>IF($W371="","",IFERROR(INDEX(IF($T371&lt;=60,peso05_s,peso510_s),MATCH($W371,IF($T371&lt;=60,peso05_k,peso510_k),1)),""))</f>
        <v/>
      </c>
      <c r="AM371">
        <f>IF($AJ371="","",IF($AJ371=0,LN($F371/$AK371)/$AL371,((($F371/$AK371)^$AJ371)-1)/($AJ371*$AL371)))</f>
        <v/>
      </c>
      <c r="AN371">
        <f>IF($AJ371="","",IF($AJ371=0,$AK371*EXP($AL371*2),$AK371*(1+$AJ371*$AL371*2)^(1/$AJ371)))</f>
        <v/>
      </c>
      <c r="AO371">
        <f>IF($AJ371="","",IF($AJ371=0,$AK371*EXP($AL371*3),$AK371*(1+$AJ371*$AL371*3)^(1/$AJ371)))</f>
        <v/>
      </c>
      <c r="AP371">
        <f>IF($AJ371="","",IF($AJ371=0,$AK371*EXP($AL371*-2),$AK371*(1+$AJ371*$AL371*-2)^(1/$AJ371)))</f>
        <v/>
      </c>
      <c r="AQ371">
        <f>IF($AJ371="","",IF($AJ371=0,$AK371*EXP($AL371*-3),$AK371*(1+$AJ371*$AL371*-3)^(1/$AJ371)))</f>
        <v/>
      </c>
      <c r="AR371">
        <f>IF(OR($X371="",$T371&gt;60),"",IFERROR(INDEX(IF($T371&lt;24,pcomp_l,palt_l),MATCH($X371,IF($T371&lt;24,pcomp_k,palt_k),1)),""))</f>
        <v/>
      </c>
      <c r="AS371">
        <f>IF(OR($X371="",$T371&gt;60),"",IFERROR(INDEX(IF($T371&lt;24,pcomp_m,palt_m),MATCH($X371,IF($T371&lt;24,pcomp_k,palt_k),1)),""))</f>
        <v/>
      </c>
      <c r="AT371">
        <f>IF(OR($X371="",$T371&gt;60),"",IFERROR(INDEX(IF($T371&lt;24,pcomp_s,palt_s),MATCH($X371,IF($T371&lt;24,pcomp_k,palt_k),1)),""))</f>
        <v/>
      </c>
      <c r="AU371">
        <f>IF($AR371="","",IF($AR371=0,LN($F371/$AS371)/$AT371,((($F371/$AS371)^$AR371)-1)/($AR371*$AT371)))</f>
        <v/>
      </c>
      <c r="AV371">
        <f>IF($AR371="","",IF($AR371=0,$AS371*EXP($AT371*2),$AS371*(1+$AR371*$AT371*2)^(1/$AR371)))</f>
        <v/>
      </c>
      <c r="AW371">
        <f>IF($AR371="","",IF($AR371=0,$AS371*EXP($AT371*3),$AS371*(1+$AR371*$AT371*3)^(1/$AR371)))</f>
        <v/>
      </c>
      <c r="AX371">
        <f>IF($AR371="","",IF($AR371=0,$AS371*EXP($AT371*-2),$AS371*(1+$AR371*$AT371*-2)^(1/$AR371)))</f>
        <v/>
      </c>
      <c r="AY371">
        <f>IF($AR371="","",IF($AR371=0,$AS371*EXP($AT371*-3),$AS371*(1+$AR371*$AT371*-3)^(1/$AR371)))</f>
        <v/>
      </c>
      <c r="AZ371">
        <f>IF(OR($A371="",$A371&lt;&gt;Ficha!$C$4),"",COUNTIF($A$2:$A371,Ficha!$C$4))</f>
        <v/>
      </c>
    </row>
    <row r="372">
      <c r="A372" s="8">
        <f>IF(INDEX(Banco!$A:$A,ROW())="","",INDEX(Banco!$A:$A,ROW()))</f>
        <v/>
      </c>
      <c r="B372" s="8">
        <f>IF(INDEX(Banco!$B:$B,ROW())="","",INDEX(Banco!$B:$B,ROW()))</f>
        <v/>
      </c>
      <c r="C372" s="8">
        <f>IF(INDEX(Banco!$C:$C,ROW())="","",INDEX(Banco!$C:$C,ROW()))</f>
        <v/>
      </c>
      <c r="D372" s="9">
        <f>IF(INDEX(Banco!$D:$D,ROW())="","",INDEX(Banco!$D:$D,ROW()))</f>
        <v/>
      </c>
      <c r="E372" s="9">
        <f>IF(INDEX(Banco!$E:$E,ROW())="","",INDEX(Banco!$E:$E,ROW()))</f>
        <v/>
      </c>
      <c r="F372" s="10">
        <f>IF(INDEX(Banco!$F:$F,ROW())="","",INDEX(Banco!$F:$F,ROW()))</f>
        <v/>
      </c>
      <c r="G372" s="10">
        <f>IF(INDEX(Banco!$G:$G,ROW())="","",INDEX(Banco!$G:$G,ROW()))</f>
        <v/>
      </c>
      <c r="H372" s="8">
        <f>IF(INDEX(Banco!$H:$H,ROW())="","",INDEX(Banco!$H:$H,ROW()))</f>
        <v/>
      </c>
      <c r="I372">
        <f>IF($T372="","",INT($T372/12)&amp;"a "&amp;MOD($T372,12)&amp;"m")</f>
        <v/>
      </c>
      <c r="J372" s="11">
        <f>IF(OR($F372="",$G372=""),"",ROUND($F372/($G372/100)^2,2))</f>
        <v/>
      </c>
      <c r="K372" s="12">
        <f>IF(OR($S372="",$J372="",$T372="",$T372&lt;0,$T372&gt;228,$Y372=""),"—",ROUND(IF(ABS($AB372)&lt;=3,$AB372,IF($AB372&gt;3,3+($J372-$AD372)/($AD372-$AC372),-3+($J372-$AF372)/($AE372-$AF372))),2))</f>
        <v/>
      </c>
      <c r="L372">
        <f>IF(OR($K372="",$K372="—"),"",IF($T372&lt;=60,IF($K372&lt;-3,"Magreza acentuada",IF($K372&lt;-2,"Magreza",IF($K372&lt;=1,"Eutrofia",IF($K372&lt;=2,"Risco de sobrepeso",IF($K372&lt;=3,"Sobrepeso","Obesidade"))))),IF($K372&lt;-3,"Magreza acentuada",IF($K372&lt;-2,"Magreza",IF($K372&lt;=1,"Eutrofia",IF($K372&lt;=2,"Sobrepeso",IF($K372&lt;=3,"Obesidade","Obesidade grave")))))))</f>
        <v/>
      </c>
      <c r="M372" s="12">
        <f>IF(OR($S372="",$V372="",$T372="",$T372&lt;0,$T372&gt;228,$AG372=""),"—",ROUND(IF($AG372=0,LN($V372/$AH372)/$AI372,((($V372/$AH372)^$AG372)-1)/($AG372*$AI372)),2))</f>
        <v/>
      </c>
      <c r="N372">
        <f>IF(OR($M372="",$M372="—"),"",IF($M372&lt;-3,"Muito baixa",IF($M372&lt;-2,"Baixa","Adequada")))</f>
        <v/>
      </c>
      <c r="O372" s="12">
        <f>IF(OR($S372="",$F372="",$T372="",$T372&lt;0,$T372&gt;120,$AJ372=""),"—",ROUND(IF(ABS($AM372)&lt;=3,$AM372,IF($AM372&gt;3,3+($F372-$AO372)/($AO372-$AN372),-3+($F372-$AQ372)/($AP372-$AQ372))),2))</f>
        <v/>
      </c>
      <c r="P372">
        <f>IF(OR($O372="",$O372="—"),"",IF($O372&lt;-3,"Muito baixo",IF($O372&lt;-2,"Baixo",IF($O372&lt;=2,"Adequado","Elevado"))))</f>
        <v/>
      </c>
      <c r="Q372" s="12">
        <f>IF(OR($S372="",$F372="",$T372="",$T372&lt;0,$T372&gt;60,$AR372=""),"—",ROUND(IF(ABS($AU372)&lt;=3,$AU372,IF($AU372&gt;3,3+($F372-$AW372)/($AW372-$AV372),-3+($F372-$AY372)/($AX372-$AY372))),2))</f>
        <v/>
      </c>
      <c r="R372">
        <f>IF(OR($Q372="",$Q372="—"),"",IF($Q372&lt;-3,"Magreza acentuada",IF($Q372&lt;-2,"Magreza",IF($Q372&lt;=1,"Eutrofia",IF($Q372&lt;=2,"Risco de sobrepeso",IF($Q372&lt;=3,"Sobrepeso","Obesidade"))))))</f>
        <v/>
      </c>
      <c r="S372">
        <f>IF($C372="","",IF(UPPER(LEFT($C372,1))="M",1,IF(UPPER(LEFT($C372,1))="F",2,"")))</f>
        <v/>
      </c>
      <c r="T372">
        <f>IF(OR($D372="",$E372=""),"",DATEDIF($D372,$E372,"m"))</f>
        <v/>
      </c>
      <c r="U372">
        <f>IF(OR($D372="",$E372=""),"",$E372-$D372)</f>
        <v/>
      </c>
      <c r="V372">
        <f>IF(OR($G372="",$T372=""),"",IF($T372&lt;24,IF(LEFT(LOWER($H372),4)="em p",$G372+0.7,$G372),IF(LEFT(LOWER($H372),4)="deit",$G372-0.7,$G372)))</f>
        <v/>
      </c>
      <c r="W372">
        <f>IF(OR($S372="",$T372=""),"",$S372*1000000+IF($T372&lt;=60,$U372,$T372))</f>
        <v/>
      </c>
      <c r="X372">
        <f>IF(OR($S372="",$V372="",$T372&gt;60,$T372=""),"",$S372*1000000+ROUND($V372*10,0))</f>
        <v/>
      </c>
      <c r="Y372">
        <f>IF($W372="","",IFERROR(INDEX(IF($T372&lt;=60,imc05_l,imc519_l),MATCH($W372,IF($T372&lt;=60,imc05_k,imc519_k),1)),""))</f>
        <v/>
      </c>
      <c r="Z372">
        <f>IF($W372="","",IFERROR(INDEX(IF($T372&lt;=60,imc05_m,imc519_m),MATCH($W372,IF($T372&lt;=60,imc05_k,imc519_k),1)),""))</f>
        <v/>
      </c>
      <c r="AA372">
        <f>IF($W372="","",IFERROR(INDEX(IF($T372&lt;=60,imc05_s,imc519_s),MATCH($W372,IF($T372&lt;=60,imc05_k,imc519_k),1)),""))</f>
        <v/>
      </c>
      <c r="AB372">
        <f>IF($Y372="","",IF($Y372=0,LN($J372/$Z372)/$AA372,((($J372/$Z372)^$Y372)-1)/($Y372*$AA372)))</f>
        <v/>
      </c>
      <c r="AC372">
        <f>IF($Y372="","",IF($Y372=0,$Z372*EXP($AA372*2),$Z372*(1+$Y372*$AA372*2)^(1/$Y372)))</f>
        <v/>
      </c>
      <c r="AD372">
        <f>IF($Y372="","",IF($Y372=0,$Z372*EXP($AA372*3),$Z372*(1+$Y372*$AA372*3)^(1/$Y372)))</f>
        <v/>
      </c>
      <c r="AE372">
        <f>IF($Y372="","",IF($Y372=0,$Z372*EXP($AA372*-2),$Z372*(1+$Y372*$AA372*-2)^(1/$Y372)))</f>
        <v/>
      </c>
      <c r="AF372">
        <f>IF($Y372="","",IF($Y372=0,$Z372*EXP($AA372*-3),$Z372*(1+$Y372*$AA372*-3)^(1/$Y372)))</f>
        <v/>
      </c>
      <c r="AG372">
        <f>IF($W372="","",IFERROR(INDEX(IF($T372&lt;=60,est05_l,est519_l),MATCH($W372,IF($T372&lt;=60,est05_k,est519_k),1)),""))</f>
        <v/>
      </c>
      <c r="AH372">
        <f>IF($W372="","",IFERROR(INDEX(IF($T372&lt;=60,est05_m,est519_m),MATCH($W372,IF($T372&lt;=60,est05_k,est519_k),1)),""))</f>
        <v/>
      </c>
      <c r="AI372">
        <f>IF($W372="","",IFERROR(INDEX(IF($T372&lt;=60,est05_s,est519_s),MATCH($W372,IF($T372&lt;=60,est05_k,est519_k),1)),""))</f>
        <v/>
      </c>
      <c r="AJ372">
        <f>IF($W372="","",IFERROR(INDEX(IF($T372&lt;=60,peso05_l,peso510_l),MATCH($W372,IF($T372&lt;=60,peso05_k,peso510_k),1)),""))</f>
        <v/>
      </c>
      <c r="AK372">
        <f>IF($W372="","",IFERROR(INDEX(IF($T372&lt;=60,peso05_m,peso510_m),MATCH($W372,IF($T372&lt;=60,peso05_k,peso510_k),1)),""))</f>
        <v/>
      </c>
      <c r="AL372">
        <f>IF($W372="","",IFERROR(INDEX(IF($T372&lt;=60,peso05_s,peso510_s),MATCH($W372,IF($T372&lt;=60,peso05_k,peso510_k),1)),""))</f>
        <v/>
      </c>
      <c r="AM372">
        <f>IF($AJ372="","",IF($AJ372=0,LN($F372/$AK372)/$AL372,((($F372/$AK372)^$AJ372)-1)/($AJ372*$AL372)))</f>
        <v/>
      </c>
      <c r="AN372">
        <f>IF($AJ372="","",IF($AJ372=0,$AK372*EXP($AL372*2),$AK372*(1+$AJ372*$AL372*2)^(1/$AJ372)))</f>
        <v/>
      </c>
      <c r="AO372">
        <f>IF($AJ372="","",IF($AJ372=0,$AK372*EXP($AL372*3),$AK372*(1+$AJ372*$AL372*3)^(1/$AJ372)))</f>
        <v/>
      </c>
      <c r="AP372">
        <f>IF($AJ372="","",IF($AJ372=0,$AK372*EXP($AL372*-2),$AK372*(1+$AJ372*$AL372*-2)^(1/$AJ372)))</f>
        <v/>
      </c>
      <c r="AQ372">
        <f>IF($AJ372="","",IF($AJ372=0,$AK372*EXP($AL372*-3),$AK372*(1+$AJ372*$AL372*-3)^(1/$AJ372)))</f>
        <v/>
      </c>
      <c r="AR372">
        <f>IF(OR($X372="",$T372&gt;60),"",IFERROR(INDEX(IF($T372&lt;24,pcomp_l,palt_l),MATCH($X372,IF($T372&lt;24,pcomp_k,palt_k),1)),""))</f>
        <v/>
      </c>
      <c r="AS372">
        <f>IF(OR($X372="",$T372&gt;60),"",IFERROR(INDEX(IF($T372&lt;24,pcomp_m,palt_m),MATCH($X372,IF($T372&lt;24,pcomp_k,palt_k),1)),""))</f>
        <v/>
      </c>
      <c r="AT372">
        <f>IF(OR($X372="",$T372&gt;60),"",IFERROR(INDEX(IF($T372&lt;24,pcomp_s,palt_s),MATCH($X372,IF($T372&lt;24,pcomp_k,palt_k),1)),""))</f>
        <v/>
      </c>
      <c r="AU372">
        <f>IF($AR372="","",IF($AR372=0,LN($F372/$AS372)/$AT372,((($F372/$AS372)^$AR372)-1)/($AR372*$AT372)))</f>
        <v/>
      </c>
      <c r="AV372">
        <f>IF($AR372="","",IF($AR372=0,$AS372*EXP($AT372*2),$AS372*(1+$AR372*$AT372*2)^(1/$AR372)))</f>
        <v/>
      </c>
      <c r="AW372">
        <f>IF($AR372="","",IF($AR372=0,$AS372*EXP($AT372*3),$AS372*(1+$AR372*$AT372*3)^(1/$AR372)))</f>
        <v/>
      </c>
      <c r="AX372">
        <f>IF($AR372="","",IF($AR372=0,$AS372*EXP($AT372*-2),$AS372*(1+$AR372*$AT372*-2)^(1/$AR372)))</f>
        <v/>
      </c>
      <c r="AY372">
        <f>IF($AR372="","",IF($AR372=0,$AS372*EXP($AT372*-3),$AS372*(1+$AR372*$AT372*-3)^(1/$AR372)))</f>
        <v/>
      </c>
      <c r="AZ372">
        <f>IF(OR($A372="",$A372&lt;&gt;Ficha!$C$4),"",COUNTIF($A$2:$A372,Ficha!$C$4))</f>
        <v/>
      </c>
    </row>
    <row r="373">
      <c r="A373" s="8">
        <f>IF(INDEX(Banco!$A:$A,ROW())="","",INDEX(Banco!$A:$A,ROW()))</f>
        <v/>
      </c>
      <c r="B373" s="8">
        <f>IF(INDEX(Banco!$B:$B,ROW())="","",INDEX(Banco!$B:$B,ROW()))</f>
        <v/>
      </c>
      <c r="C373" s="8">
        <f>IF(INDEX(Banco!$C:$C,ROW())="","",INDEX(Banco!$C:$C,ROW()))</f>
        <v/>
      </c>
      <c r="D373" s="9">
        <f>IF(INDEX(Banco!$D:$D,ROW())="","",INDEX(Banco!$D:$D,ROW()))</f>
        <v/>
      </c>
      <c r="E373" s="9">
        <f>IF(INDEX(Banco!$E:$E,ROW())="","",INDEX(Banco!$E:$E,ROW()))</f>
        <v/>
      </c>
      <c r="F373" s="10">
        <f>IF(INDEX(Banco!$F:$F,ROW())="","",INDEX(Banco!$F:$F,ROW()))</f>
        <v/>
      </c>
      <c r="G373" s="10">
        <f>IF(INDEX(Banco!$G:$G,ROW())="","",INDEX(Banco!$G:$G,ROW()))</f>
        <v/>
      </c>
      <c r="H373" s="8">
        <f>IF(INDEX(Banco!$H:$H,ROW())="","",INDEX(Banco!$H:$H,ROW()))</f>
        <v/>
      </c>
      <c r="I373">
        <f>IF($T373="","",INT($T373/12)&amp;"a "&amp;MOD($T373,12)&amp;"m")</f>
        <v/>
      </c>
      <c r="J373" s="11">
        <f>IF(OR($F373="",$G373=""),"",ROUND($F373/($G373/100)^2,2))</f>
        <v/>
      </c>
      <c r="K373" s="12">
        <f>IF(OR($S373="",$J373="",$T373="",$T373&lt;0,$T373&gt;228,$Y373=""),"—",ROUND(IF(ABS($AB373)&lt;=3,$AB373,IF($AB373&gt;3,3+($J373-$AD373)/($AD373-$AC373),-3+($J373-$AF373)/($AE373-$AF373))),2))</f>
        <v/>
      </c>
      <c r="L373">
        <f>IF(OR($K373="",$K373="—"),"",IF($T373&lt;=60,IF($K373&lt;-3,"Magreza acentuada",IF($K373&lt;-2,"Magreza",IF($K373&lt;=1,"Eutrofia",IF($K373&lt;=2,"Risco de sobrepeso",IF($K373&lt;=3,"Sobrepeso","Obesidade"))))),IF($K373&lt;-3,"Magreza acentuada",IF($K373&lt;-2,"Magreza",IF($K373&lt;=1,"Eutrofia",IF($K373&lt;=2,"Sobrepeso",IF($K373&lt;=3,"Obesidade","Obesidade grave")))))))</f>
        <v/>
      </c>
      <c r="M373" s="12">
        <f>IF(OR($S373="",$V373="",$T373="",$T373&lt;0,$T373&gt;228,$AG373=""),"—",ROUND(IF($AG373=0,LN($V373/$AH373)/$AI373,((($V373/$AH373)^$AG373)-1)/($AG373*$AI373)),2))</f>
        <v/>
      </c>
      <c r="N373">
        <f>IF(OR($M373="",$M373="—"),"",IF($M373&lt;-3,"Muito baixa",IF($M373&lt;-2,"Baixa","Adequada")))</f>
        <v/>
      </c>
      <c r="O373" s="12">
        <f>IF(OR($S373="",$F373="",$T373="",$T373&lt;0,$T373&gt;120,$AJ373=""),"—",ROUND(IF(ABS($AM373)&lt;=3,$AM373,IF($AM373&gt;3,3+($F373-$AO373)/($AO373-$AN373),-3+($F373-$AQ373)/($AP373-$AQ373))),2))</f>
        <v/>
      </c>
      <c r="P373">
        <f>IF(OR($O373="",$O373="—"),"",IF($O373&lt;-3,"Muito baixo",IF($O373&lt;-2,"Baixo",IF($O373&lt;=2,"Adequado","Elevado"))))</f>
        <v/>
      </c>
      <c r="Q373" s="12">
        <f>IF(OR($S373="",$F373="",$T373="",$T373&lt;0,$T373&gt;60,$AR373=""),"—",ROUND(IF(ABS($AU373)&lt;=3,$AU373,IF($AU373&gt;3,3+($F373-$AW373)/($AW373-$AV373),-3+($F373-$AY373)/($AX373-$AY373))),2))</f>
        <v/>
      </c>
      <c r="R373">
        <f>IF(OR($Q373="",$Q373="—"),"",IF($Q373&lt;-3,"Magreza acentuada",IF($Q373&lt;-2,"Magreza",IF($Q373&lt;=1,"Eutrofia",IF($Q373&lt;=2,"Risco de sobrepeso",IF($Q373&lt;=3,"Sobrepeso","Obesidade"))))))</f>
        <v/>
      </c>
      <c r="S373">
        <f>IF($C373="","",IF(UPPER(LEFT($C373,1))="M",1,IF(UPPER(LEFT($C373,1))="F",2,"")))</f>
        <v/>
      </c>
      <c r="T373">
        <f>IF(OR($D373="",$E373=""),"",DATEDIF($D373,$E373,"m"))</f>
        <v/>
      </c>
      <c r="U373">
        <f>IF(OR($D373="",$E373=""),"",$E373-$D373)</f>
        <v/>
      </c>
      <c r="V373">
        <f>IF(OR($G373="",$T373=""),"",IF($T373&lt;24,IF(LEFT(LOWER($H373),4)="em p",$G373+0.7,$G373),IF(LEFT(LOWER($H373),4)="deit",$G373-0.7,$G373)))</f>
        <v/>
      </c>
      <c r="W373">
        <f>IF(OR($S373="",$T373=""),"",$S373*1000000+IF($T373&lt;=60,$U373,$T373))</f>
        <v/>
      </c>
      <c r="X373">
        <f>IF(OR($S373="",$V373="",$T373&gt;60,$T373=""),"",$S373*1000000+ROUND($V373*10,0))</f>
        <v/>
      </c>
      <c r="Y373">
        <f>IF($W373="","",IFERROR(INDEX(IF($T373&lt;=60,imc05_l,imc519_l),MATCH($W373,IF($T373&lt;=60,imc05_k,imc519_k),1)),""))</f>
        <v/>
      </c>
      <c r="Z373">
        <f>IF($W373="","",IFERROR(INDEX(IF($T373&lt;=60,imc05_m,imc519_m),MATCH($W373,IF($T373&lt;=60,imc05_k,imc519_k),1)),""))</f>
        <v/>
      </c>
      <c r="AA373">
        <f>IF($W373="","",IFERROR(INDEX(IF($T373&lt;=60,imc05_s,imc519_s),MATCH($W373,IF($T373&lt;=60,imc05_k,imc519_k),1)),""))</f>
        <v/>
      </c>
      <c r="AB373">
        <f>IF($Y373="","",IF($Y373=0,LN($J373/$Z373)/$AA373,((($J373/$Z373)^$Y373)-1)/($Y373*$AA373)))</f>
        <v/>
      </c>
      <c r="AC373">
        <f>IF($Y373="","",IF($Y373=0,$Z373*EXP($AA373*2),$Z373*(1+$Y373*$AA373*2)^(1/$Y373)))</f>
        <v/>
      </c>
      <c r="AD373">
        <f>IF($Y373="","",IF($Y373=0,$Z373*EXP($AA373*3),$Z373*(1+$Y373*$AA373*3)^(1/$Y373)))</f>
        <v/>
      </c>
      <c r="AE373">
        <f>IF($Y373="","",IF($Y373=0,$Z373*EXP($AA373*-2),$Z373*(1+$Y373*$AA373*-2)^(1/$Y373)))</f>
        <v/>
      </c>
      <c r="AF373">
        <f>IF($Y373="","",IF($Y373=0,$Z373*EXP($AA373*-3),$Z373*(1+$Y373*$AA373*-3)^(1/$Y373)))</f>
        <v/>
      </c>
      <c r="AG373">
        <f>IF($W373="","",IFERROR(INDEX(IF($T373&lt;=60,est05_l,est519_l),MATCH($W373,IF($T373&lt;=60,est05_k,est519_k),1)),""))</f>
        <v/>
      </c>
      <c r="AH373">
        <f>IF($W373="","",IFERROR(INDEX(IF($T373&lt;=60,est05_m,est519_m),MATCH($W373,IF($T373&lt;=60,est05_k,est519_k),1)),""))</f>
        <v/>
      </c>
      <c r="AI373">
        <f>IF($W373="","",IFERROR(INDEX(IF($T373&lt;=60,est05_s,est519_s),MATCH($W373,IF($T373&lt;=60,est05_k,est519_k),1)),""))</f>
        <v/>
      </c>
      <c r="AJ373">
        <f>IF($W373="","",IFERROR(INDEX(IF($T373&lt;=60,peso05_l,peso510_l),MATCH($W373,IF($T373&lt;=60,peso05_k,peso510_k),1)),""))</f>
        <v/>
      </c>
      <c r="AK373">
        <f>IF($W373="","",IFERROR(INDEX(IF($T373&lt;=60,peso05_m,peso510_m),MATCH($W373,IF($T373&lt;=60,peso05_k,peso510_k),1)),""))</f>
        <v/>
      </c>
      <c r="AL373">
        <f>IF($W373="","",IFERROR(INDEX(IF($T373&lt;=60,peso05_s,peso510_s),MATCH($W373,IF($T373&lt;=60,peso05_k,peso510_k),1)),""))</f>
        <v/>
      </c>
      <c r="AM373">
        <f>IF($AJ373="","",IF($AJ373=0,LN($F373/$AK373)/$AL373,((($F373/$AK373)^$AJ373)-1)/($AJ373*$AL373)))</f>
        <v/>
      </c>
      <c r="AN373">
        <f>IF($AJ373="","",IF($AJ373=0,$AK373*EXP($AL373*2),$AK373*(1+$AJ373*$AL373*2)^(1/$AJ373)))</f>
        <v/>
      </c>
      <c r="AO373">
        <f>IF($AJ373="","",IF($AJ373=0,$AK373*EXP($AL373*3),$AK373*(1+$AJ373*$AL373*3)^(1/$AJ373)))</f>
        <v/>
      </c>
      <c r="AP373">
        <f>IF($AJ373="","",IF($AJ373=0,$AK373*EXP($AL373*-2),$AK373*(1+$AJ373*$AL373*-2)^(1/$AJ373)))</f>
        <v/>
      </c>
      <c r="AQ373">
        <f>IF($AJ373="","",IF($AJ373=0,$AK373*EXP($AL373*-3),$AK373*(1+$AJ373*$AL373*-3)^(1/$AJ373)))</f>
        <v/>
      </c>
      <c r="AR373">
        <f>IF(OR($X373="",$T373&gt;60),"",IFERROR(INDEX(IF($T373&lt;24,pcomp_l,palt_l),MATCH($X373,IF($T373&lt;24,pcomp_k,palt_k),1)),""))</f>
        <v/>
      </c>
      <c r="AS373">
        <f>IF(OR($X373="",$T373&gt;60),"",IFERROR(INDEX(IF($T373&lt;24,pcomp_m,palt_m),MATCH($X373,IF($T373&lt;24,pcomp_k,palt_k),1)),""))</f>
        <v/>
      </c>
      <c r="AT373">
        <f>IF(OR($X373="",$T373&gt;60),"",IFERROR(INDEX(IF($T373&lt;24,pcomp_s,palt_s),MATCH($X373,IF($T373&lt;24,pcomp_k,palt_k),1)),""))</f>
        <v/>
      </c>
      <c r="AU373">
        <f>IF($AR373="","",IF($AR373=0,LN($F373/$AS373)/$AT373,((($F373/$AS373)^$AR373)-1)/($AR373*$AT373)))</f>
        <v/>
      </c>
      <c r="AV373">
        <f>IF($AR373="","",IF($AR373=0,$AS373*EXP($AT373*2),$AS373*(1+$AR373*$AT373*2)^(1/$AR373)))</f>
        <v/>
      </c>
      <c r="AW373">
        <f>IF($AR373="","",IF($AR373=0,$AS373*EXP($AT373*3),$AS373*(1+$AR373*$AT373*3)^(1/$AR373)))</f>
        <v/>
      </c>
      <c r="AX373">
        <f>IF($AR373="","",IF($AR373=0,$AS373*EXP($AT373*-2),$AS373*(1+$AR373*$AT373*-2)^(1/$AR373)))</f>
        <v/>
      </c>
      <c r="AY373">
        <f>IF($AR373="","",IF($AR373=0,$AS373*EXP($AT373*-3),$AS373*(1+$AR373*$AT373*-3)^(1/$AR373)))</f>
        <v/>
      </c>
      <c r="AZ373">
        <f>IF(OR($A373="",$A373&lt;&gt;Ficha!$C$4),"",COUNTIF($A$2:$A373,Ficha!$C$4))</f>
        <v/>
      </c>
    </row>
    <row r="374">
      <c r="A374" s="8">
        <f>IF(INDEX(Banco!$A:$A,ROW())="","",INDEX(Banco!$A:$A,ROW()))</f>
        <v/>
      </c>
      <c r="B374" s="8">
        <f>IF(INDEX(Banco!$B:$B,ROW())="","",INDEX(Banco!$B:$B,ROW()))</f>
        <v/>
      </c>
      <c r="C374" s="8">
        <f>IF(INDEX(Banco!$C:$C,ROW())="","",INDEX(Banco!$C:$C,ROW()))</f>
        <v/>
      </c>
      <c r="D374" s="9">
        <f>IF(INDEX(Banco!$D:$D,ROW())="","",INDEX(Banco!$D:$D,ROW()))</f>
        <v/>
      </c>
      <c r="E374" s="9">
        <f>IF(INDEX(Banco!$E:$E,ROW())="","",INDEX(Banco!$E:$E,ROW()))</f>
        <v/>
      </c>
      <c r="F374" s="10">
        <f>IF(INDEX(Banco!$F:$F,ROW())="","",INDEX(Banco!$F:$F,ROW()))</f>
        <v/>
      </c>
      <c r="G374" s="10">
        <f>IF(INDEX(Banco!$G:$G,ROW())="","",INDEX(Banco!$G:$G,ROW()))</f>
        <v/>
      </c>
      <c r="H374" s="8">
        <f>IF(INDEX(Banco!$H:$H,ROW())="","",INDEX(Banco!$H:$H,ROW()))</f>
        <v/>
      </c>
      <c r="I374">
        <f>IF($T374="","",INT($T374/12)&amp;"a "&amp;MOD($T374,12)&amp;"m")</f>
        <v/>
      </c>
      <c r="J374" s="11">
        <f>IF(OR($F374="",$G374=""),"",ROUND($F374/($G374/100)^2,2))</f>
        <v/>
      </c>
      <c r="K374" s="12">
        <f>IF(OR($S374="",$J374="",$T374="",$T374&lt;0,$T374&gt;228,$Y374=""),"—",ROUND(IF(ABS($AB374)&lt;=3,$AB374,IF($AB374&gt;3,3+($J374-$AD374)/($AD374-$AC374),-3+($J374-$AF374)/($AE374-$AF374))),2))</f>
        <v/>
      </c>
      <c r="L374">
        <f>IF(OR($K374="",$K374="—"),"",IF($T374&lt;=60,IF($K374&lt;-3,"Magreza acentuada",IF($K374&lt;-2,"Magreza",IF($K374&lt;=1,"Eutrofia",IF($K374&lt;=2,"Risco de sobrepeso",IF($K374&lt;=3,"Sobrepeso","Obesidade"))))),IF($K374&lt;-3,"Magreza acentuada",IF($K374&lt;-2,"Magreza",IF($K374&lt;=1,"Eutrofia",IF($K374&lt;=2,"Sobrepeso",IF($K374&lt;=3,"Obesidade","Obesidade grave")))))))</f>
        <v/>
      </c>
      <c r="M374" s="12">
        <f>IF(OR($S374="",$V374="",$T374="",$T374&lt;0,$T374&gt;228,$AG374=""),"—",ROUND(IF($AG374=0,LN($V374/$AH374)/$AI374,((($V374/$AH374)^$AG374)-1)/($AG374*$AI374)),2))</f>
        <v/>
      </c>
      <c r="N374">
        <f>IF(OR($M374="",$M374="—"),"",IF($M374&lt;-3,"Muito baixa",IF($M374&lt;-2,"Baixa","Adequada")))</f>
        <v/>
      </c>
      <c r="O374" s="12">
        <f>IF(OR($S374="",$F374="",$T374="",$T374&lt;0,$T374&gt;120,$AJ374=""),"—",ROUND(IF(ABS($AM374)&lt;=3,$AM374,IF($AM374&gt;3,3+($F374-$AO374)/($AO374-$AN374),-3+($F374-$AQ374)/($AP374-$AQ374))),2))</f>
        <v/>
      </c>
      <c r="P374">
        <f>IF(OR($O374="",$O374="—"),"",IF($O374&lt;-3,"Muito baixo",IF($O374&lt;-2,"Baixo",IF($O374&lt;=2,"Adequado","Elevado"))))</f>
        <v/>
      </c>
      <c r="Q374" s="12">
        <f>IF(OR($S374="",$F374="",$T374="",$T374&lt;0,$T374&gt;60,$AR374=""),"—",ROUND(IF(ABS($AU374)&lt;=3,$AU374,IF($AU374&gt;3,3+($F374-$AW374)/($AW374-$AV374),-3+($F374-$AY374)/($AX374-$AY374))),2))</f>
        <v/>
      </c>
      <c r="R374">
        <f>IF(OR($Q374="",$Q374="—"),"",IF($Q374&lt;-3,"Magreza acentuada",IF($Q374&lt;-2,"Magreza",IF($Q374&lt;=1,"Eutrofia",IF($Q374&lt;=2,"Risco de sobrepeso",IF($Q374&lt;=3,"Sobrepeso","Obesidade"))))))</f>
        <v/>
      </c>
      <c r="S374">
        <f>IF($C374="","",IF(UPPER(LEFT($C374,1))="M",1,IF(UPPER(LEFT($C374,1))="F",2,"")))</f>
        <v/>
      </c>
      <c r="T374">
        <f>IF(OR($D374="",$E374=""),"",DATEDIF($D374,$E374,"m"))</f>
        <v/>
      </c>
      <c r="U374">
        <f>IF(OR($D374="",$E374=""),"",$E374-$D374)</f>
        <v/>
      </c>
      <c r="V374">
        <f>IF(OR($G374="",$T374=""),"",IF($T374&lt;24,IF(LEFT(LOWER($H374),4)="em p",$G374+0.7,$G374),IF(LEFT(LOWER($H374),4)="deit",$G374-0.7,$G374)))</f>
        <v/>
      </c>
      <c r="W374">
        <f>IF(OR($S374="",$T374=""),"",$S374*1000000+IF($T374&lt;=60,$U374,$T374))</f>
        <v/>
      </c>
      <c r="X374">
        <f>IF(OR($S374="",$V374="",$T374&gt;60,$T374=""),"",$S374*1000000+ROUND($V374*10,0))</f>
        <v/>
      </c>
      <c r="Y374">
        <f>IF($W374="","",IFERROR(INDEX(IF($T374&lt;=60,imc05_l,imc519_l),MATCH($W374,IF($T374&lt;=60,imc05_k,imc519_k),1)),""))</f>
        <v/>
      </c>
      <c r="Z374">
        <f>IF($W374="","",IFERROR(INDEX(IF($T374&lt;=60,imc05_m,imc519_m),MATCH($W374,IF($T374&lt;=60,imc05_k,imc519_k),1)),""))</f>
        <v/>
      </c>
      <c r="AA374">
        <f>IF($W374="","",IFERROR(INDEX(IF($T374&lt;=60,imc05_s,imc519_s),MATCH($W374,IF($T374&lt;=60,imc05_k,imc519_k),1)),""))</f>
        <v/>
      </c>
      <c r="AB374">
        <f>IF($Y374="","",IF($Y374=0,LN($J374/$Z374)/$AA374,((($J374/$Z374)^$Y374)-1)/($Y374*$AA374)))</f>
        <v/>
      </c>
      <c r="AC374">
        <f>IF($Y374="","",IF($Y374=0,$Z374*EXP($AA374*2),$Z374*(1+$Y374*$AA374*2)^(1/$Y374)))</f>
        <v/>
      </c>
      <c r="AD374">
        <f>IF($Y374="","",IF($Y374=0,$Z374*EXP($AA374*3),$Z374*(1+$Y374*$AA374*3)^(1/$Y374)))</f>
        <v/>
      </c>
      <c r="AE374">
        <f>IF($Y374="","",IF($Y374=0,$Z374*EXP($AA374*-2),$Z374*(1+$Y374*$AA374*-2)^(1/$Y374)))</f>
        <v/>
      </c>
      <c r="AF374">
        <f>IF($Y374="","",IF($Y374=0,$Z374*EXP($AA374*-3),$Z374*(1+$Y374*$AA374*-3)^(1/$Y374)))</f>
        <v/>
      </c>
      <c r="AG374">
        <f>IF($W374="","",IFERROR(INDEX(IF($T374&lt;=60,est05_l,est519_l),MATCH($W374,IF($T374&lt;=60,est05_k,est519_k),1)),""))</f>
        <v/>
      </c>
      <c r="AH374">
        <f>IF($W374="","",IFERROR(INDEX(IF($T374&lt;=60,est05_m,est519_m),MATCH($W374,IF($T374&lt;=60,est05_k,est519_k),1)),""))</f>
        <v/>
      </c>
      <c r="AI374">
        <f>IF($W374="","",IFERROR(INDEX(IF($T374&lt;=60,est05_s,est519_s),MATCH($W374,IF($T374&lt;=60,est05_k,est519_k),1)),""))</f>
        <v/>
      </c>
      <c r="AJ374">
        <f>IF($W374="","",IFERROR(INDEX(IF($T374&lt;=60,peso05_l,peso510_l),MATCH($W374,IF($T374&lt;=60,peso05_k,peso510_k),1)),""))</f>
        <v/>
      </c>
      <c r="AK374">
        <f>IF($W374="","",IFERROR(INDEX(IF($T374&lt;=60,peso05_m,peso510_m),MATCH($W374,IF($T374&lt;=60,peso05_k,peso510_k),1)),""))</f>
        <v/>
      </c>
      <c r="AL374">
        <f>IF($W374="","",IFERROR(INDEX(IF($T374&lt;=60,peso05_s,peso510_s),MATCH($W374,IF($T374&lt;=60,peso05_k,peso510_k),1)),""))</f>
        <v/>
      </c>
      <c r="AM374">
        <f>IF($AJ374="","",IF($AJ374=0,LN($F374/$AK374)/$AL374,((($F374/$AK374)^$AJ374)-1)/($AJ374*$AL374)))</f>
        <v/>
      </c>
      <c r="AN374">
        <f>IF($AJ374="","",IF($AJ374=0,$AK374*EXP($AL374*2),$AK374*(1+$AJ374*$AL374*2)^(1/$AJ374)))</f>
        <v/>
      </c>
      <c r="AO374">
        <f>IF($AJ374="","",IF($AJ374=0,$AK374*EXP($AL374*3),$AK374*(1+$AJ374*$AL374*3)^(1/$AJ374)))</f>
        <v/>
      </c>
      <c r="AP374">
        <f>IF($AJ374="","",IF($AJ374=0,$AK374*EXP($AL374*-2),$AK374*(1+$AJ374*$AL374*-2)^(1/$AJ374)))</f>
        <v/>
      </c>
      <c r="AQ374">
        <f>IF($AJ374="","",IF($AJ374=0,$AK374*EXP($AL374*-3),$AK374*(1+$AJ374*$AL374*-3)^(1/$AJ374)))</f>
        <v/>
      </c>
      <c r="AR374">
        <f>IF(OR($X374="",$T374&gt;60),"",IFERROR(INDEX(IF($T374&lt;24,pcomp_l,palt_l),MATCH($X374,IF($T374&lt;24,pcomp_k,palt_k),1)),""))</f>
        <v/>
      </c>
      <c r="AS374">
        <f>IF(OR($X374="",$T374&gt;60),"",IFERROR(INDEX(IF($T374&lt;24,pcomp_m,palt_m),MATCH($X374,IF($T374&lt;24,pcomp_k,palt_k),1)),""))</f>
        <v/>
      </c>
      <c r="AT374">
        <f>IF(OR($X374="",$T374&gt;60),"",IFERROR(INDEX(IF($T374&lt;24,pcomp_s,palt_s),MATCH($X374,IF($T374&lt;24,pcomp_k,palt_k),1)),""))</f>
        <v/>
      </c>
      <c r="AU374">
        <f>IF($AR374="","",IF($AR374=0,LN($F374/$AS374)/$AT374,((($F374/$AS374)^$AR374)-1)/($AR374*$AT374)))</f>
        <v/>
      </c>
      <c r="AV374">
        <f>IF($AR374="","",IF($AR374=0,$AS374*EXP($AT374*2),$AS374*(1+$AR374*$AT374*2)^(1/$AR374)))</f>
        <v/>
      </c>
      <c r="AW374">
        <f>IF($AR374="","",IF($AR374=0,$AS374*EXP($AT374*3),$AS374*(1+$AR374*$AT374*3)^(1/$AR374)))</f>
        <v/>
      </c>
      <c r="AX374">
        <f>IF($AR374="","",IF($AR374=0,$AS374*EXP($AT374*-2),$AS374*(1+$AR374*$AT374*-2)^(1/$AR374)))</f>
        <v/>
      </c>
      <c r="AY374">
        <f>IF($AR374="","",IF($AR374=0,$AS374*EXP($AT374*-3),$AS374*(1+$AR374*$AT374*-3)^(1/$AR374)))</f>
        <v/>
      </c>
      <c r="AZ374">
        <f>IF(OR($A374="",$A374&lt;&gt;Ficha!$C$4),"",COUNTIF($A$2:$A374,Ficha!$C$4))</f>
        <v/>
      </c>
    </row>
    <row r="375">
      <c r="A375" s="8">
        <f>IF(INDEX(Banco!$A:$A,ROW())="","",INDEX(Banco!$A:$A,ROW()))</f>
        <v/>
      </c>
      <c r="B375" s="8">
        <f>IF(INDEX(Banco!$B:$B,ROW())="","",INDEX(Banco!$B:$B,ROW()))</f>
        <v/>
      </c>
      <c r="C375" s="8">
        <f>IF(INDEX(Banco!$C:$C,ROW())="","",INDEX(Banco!$C:$C,ROW()))</f>
        <v/>
      </c>
      <c r="D375" s="9">
        <f>IF(INDEX(Banco!$D:$D,ROW())="","",INDEX(Banco!$D:$D,ROW()))</f>
        <v/>
      </c>
      <c r="E375" s="9">
        <f>IF(INDEX(Banco!$E:$E,ROW())="","",INDEX(Banco!$E:$E,ROW()))</f>
        <v/>
      </c>
      <c r="F375" s="10">
        <f>IF(INDEX(Banco!$F:$F,ROW())="","",INDEX(Banco!$F:$F,ROW()))</f>
        <v/>
      </c>
      <c r="G375" s="10">
        <f>IF(INDEX(Banco!$G:$G,ROW())="","",INDEX(Banco!$G:$G,ROW()))</f>
        <v/>
      </c>
      <c r="H375" s="8">
        <f>IF(INDEX(Banco!$H:$H,ROW())="","",INDEX(Banco!$H:$H,ROW()))</f>
        <v/>
      </c>
      <c r="I375">
        <f>IF($T375="","",INT($T375/12)&amp;"a "&amp;MOD($T375,12)&amp;"m")</f>
        <v/>
      </c>
      <c r="J375" s="11">
        <f>IF(OR($F375="",$G375=""),"",ROUND($F375/($G375/100)^2,2))</f>
        <v/>
      </c>
      <c r="K375" s="12">
        <f>IF(OR($S375="",$J375="",$T375="",$T375&lt;0,$T375&gt;228,$Y375=""),"—",ROUND(IF(ABS($AB375)&lt;=3,$AB375,IF($AB375&gt;3,3+($J375-$AD375)/($AD375-$AC375),-3+($J375-$AF375)/($AE375-$AF375))),2))</f>
        <v/>
      </c>
      <c r="L375">
        <f>IF(OR($K375="",$K375="—"),"",IF($T375&lt;=60,IF($K375&lt;-3,"Magreza acentuada",IF($K375&lt;-2,"Magreza",IF($K375&lt;=1,"Eutrofia",IF($K375&lt;=2,"Risco de sobrepeso",IF($K375&lt;=3,"Sobrepeso","Obesidade"))))),IF($K375&lt;-3,"Magreza acentuada",IF($K375&lt;-2,"Magreza",IF($K375&lt;=1,"Eutrofia",IF($K375&lt;=2,"Sobrepeso",IF($K375&lt;=3,"Obesidade","Obesidade grave")))))))</f>
        <v/>
      </c>
      <c r="M375" s="12">
        <f>IF(OR($S375="",$V375="",$T375="",$T375&lt;0,$T375&gt;228,$AG375=""),"—",ROUND(IF($AG375=0,LN($V375/$AH375)/$AI375,((($V375/$AH375)^$AG375)-1)/($AG375*$AI375)),2))</f>
        <v/>
      </c>
      <c r="N375">
        <f>IF(OR($M375="",$M375="—"),"",IF($M375&lt;-3,"Muito baixa",IF($M375&lt;-2,"Baixa","Adequada")))</f>
        <v/>
      </c>
      <c r="O375" s="12">
        <f>IF(OR($S375="",$F375="",$T375="",$T375&lt;0,$T375&gt;120,$AJ375=""),"—",ROUND(IF(ABS($AM375)&lt;=3,$AM375,IF($AM375&gt;3,3+($F375-$AO375)/($AO375-$AN375),-3+($F375-$AQ375)/($AP375-$AQ375))),2))</f>
        <v/>
      </c>
      <c r="P375">
        <f>IF(OR($O375="",$O375="—"),"",IF($O375&lt;-3,"Muito baixo",IF($O375&lt;-2,"Baixo",IF($O375&lt;=2,"Adequado","Elevado"))))</f>
        <v/>
      </c>
      <c r="Q375" s="12">
        <f>IF(OR($S375="",$F375="",$T375="",$T375&lt;0,$T375&gt;60,$AR375=""),"—",ROUND(IF(ABS($AU375)&lt;=3,$AU375,IF($AU375&gt;3,3+($F375-$AW375)/($AW375-$AV375),-3+($F375-$AY375)/($AX375-$AY375))),2))</f>
        <v/>
      </c>
      <c r="R375">
        <f>IF(OR($Q375="",$Q375="—"),"",IF($Q375&lt;-3,"Magreza acentuada",IF($Q375&lt;-2,"Magreza",IF($Q375&lt;=1,"Eutrofia",IF($Q375&lt;=2,"Risco de sobrepeso",IF($Q375&lt;=3,"Sobrepeso","Obesidade"))))))</f>
        <v/>
      </c>
      <c r="S375">
        <f>IF($C375="","",IF(UPPER(LEFT($C375,1))="M",1,IF(UPPER(LEFT($C375,1))="F",2,"")))</f>
        <v/>
      </c>
      <c r="T375">
        <f>IF(OR($D375="",$E375=""),"",DATEDIF($D375,$E375,"m"))</f>
        <v/>
      </c>
      <c r="U375">
        <f>IF(OR($D375="",$E375=""),"",$E375-$D375)</f>
        <v/>
      </c>
      <c r="V375">
        <f>IF(OR($G375="",$T375=""),"",IF($T375&lt;24,IF(LEFT(LOWER($H375),4)="em p",$G375+0.7,$G375),IF(LEFT(LOWER($H375),4)="deit",$G375-0.7,$G375)))</f>
        <v/>
      </c>
      <c r="W375">
        <f>IF(OR($S375="",$T375=""),"",$S375*1000000+IF($T375&lt;=60,$U375,$T375))</f>
        <v/>
      </c>
      <c r="X375">
        <f>IF(OR($S375="",$V375="",$T375&gt;60,$T375=""),"",$S375*1000000+ROUND($V375*10,0))</f>
        <v/>
      </c>
      <c r="Y375">
        <f>IF($W375="","",IFERROR(INDEX(IF($T375&lt;=60,imc05_l,imc519_l),MATCH($W375,IF($T375&lt;=60,imc05_k,imc519_k),1)),""))</f>
        <v/>
      </c>
      <c r="Z375">
        <f>IF($W375="","",IFERROR(INDEX(IF($T375&lt;=60,imc05_m,imc519_m),MATCH($W375,IF($T375&lt;=60,imc05_k,imc519_k),1)),""))</f>
        <v/>
      </c>
      <c r="AA375">
        <f>IF($W375="","",IFERROR(INDEX(IF($T375&lt;=60,imc05_s,imc519_s),MATCH($W375,IF($T375&lt;=60,imc05_k,imc519_k),1)),""))</f>
        <v/>
      </c>
      <c r="AB375">
        <f>IF($Y375="","",IF($Y375=0,LN($J375/$Z375)/$AA375,((($J375/$Z375)^$Y375)-1)/($Y375*$AA375)))</f>
        <v/>
      </c>
      <c r="AC375">
        <f>IF($Y375="","",IF($Y375=0,$Z375*EXP($AA375*2),$Z375*(1+$Y375*$AA375*2)^(1/$Y375)))</f>
        <v/>
      </c>
      <c r="AD375">
        <f>IF($Y375="","",IF($Y375=0,$Z375*EXP($AA375*3),$Z375*(1+$Y375*$AA375*3)^(1/$Y375)))</f>
        <v/>
      </c>
      <c r="AE375">
        <f>IF($Y375="","",IF($Y375=0,$Z375*EXP($AA375*-2),$Z375*(1+$Y375*$AA375*-2)^(1/$Y375)))</f>
        <v/>
      </c>
      <c r="AF375">
        <f>IF($Y375="","",IF($Y375=0,$Z375*EXP($AA375*-3),$Z375*(1+$Y375*$AA375*-3)^(1/$Y375)))</f>
        <v/>
      </c>
      <c r="AG375">
        <f>IF($W375="","",IFERROR(INDEX(IF($T375&lt;=60,est05_l,est519_l),MATCH($W375,IF($T375&lt;=60,est05_k,est519_k),1)),""))</f>
        <v/>
      </c>
      <c r="AH375">
        <f>IF($W375="","",IFERROR(INDEX(IF($T375&lt;=60,est05_m,est519_m),MATCH($W375,IF($T375&lt;=60,est05_k,est519_k),1)),""))</f>
        <v/>
      </c>
      <c r="AI375">
        <f>IF($W375="","",IFERROR(INDEX(IF($T375&lt;=60,est05_s,est519_s),MATCH($W375,IF($T375&lt;=60,est05_k,est519_k),1)),""))</f>
        <v/>
      </c>
      <c r="AJ375">
        <f>IF($W375="","",IFERROR(INDEX(IF($T375&lt;=60,peso05_l,peso510_l),MATCH($W375,IF($T375&lt;=60,peso05_k,peso510_k),1)),""))</f>
        <v/>
      </c>
      <c r="AK375">
        <f>IF($W375="","",IFERROR(INDEX(IF($T375&lt;=60,peso05_m,peso510_m),MATCH($W375,IF($T375&lt;=60,peso05_k,peso510_k),1)),""))</f>
        <v/>
      </c>
      <c r="AL375">
        <f>IF($W375="","",IFERROR(INDEX(IF($T375&lt;=60,peso05_s,peso510_s),MATCH($W375,IF($T375&lt;=60,peso05_k,peso510_k),1)),""))</f>
        <v/>
      </c>
      <c r="AM375">
        <f>IF($AJ375="","",IF($AJ375=0,LN($F375/$AK375)/$AL375,((($F375/$AK375)^$AJ375)-1)/($AJ375*$AL375)))</f>
        <v/>
      </c>
      <c r="AN375">
        <f>IF($AJ375="","",IF($AJ375=0,$AK375*EXP($AL375*2),$AK375*(1+$AJ375*$AL375*2)^(1/$AJ375)))</f>
        <v/>
      </c>
      <c r="AO375">
        <f>IF($AJ375="","",IF($AJ375=0,$AK375*EXP($AL375*3),$AK375*(1+$AJ375*$AL375*3)^(1/$AJ375)))</f>
        <v/>
      </c>
      <c r="AP375">
        <f>IF($AJ375="","",IF($AJ375=0,$AK375*EXP($AL375*-2),$AK375*(1+$AJ375*$AL375*-2)^(1/$AJ375)))</f>
        <v/>
      </c>
      <c r="AQ375">
        <f>IF($AJ375="","",IF($AJ375=0,$AK375*EXP($AL375*-3),$AK375*(1+$AJ375*$AL375*-3)^(1/$AJ375)))</f>
        <v/>
      </c>
      <c r="AR375">
        <f>IF(OR($X375="",$T375&gt;60),"",IFERROR(INDEX(IF($T375&lt;24,pcomp_l,palt_l),MATCH($X375,IF($T375&lt;24,pcomp_k,palt_k),1)),""))</f>
        <v/>
      </c>
      <c r="AS375">
        <f>IF(OR($X375="",$T375&gt;60),"",IFERROR(INDEX(IF($T375&lt;24,pcomp_m,palt_m),MATCH($X375,IF($T375&lt;24,pcomp_k,palt_k),1)),""))</f>
        <v/>
      </c>
      <c r="AT375">
        <f>IF(OR($X375="",$T375&gt;60),"",IFERROR(INDEX(IF($T375&lt;24,pcomp_s,palt_s),MATCH($X375,IF($T375&lt;24,pcomp_k,palt_k),1)),""))</f>
        <v/>
      </c>
      <c r="AU375">
        <f>IF($AR375="","",IF($AR375=0,LN($F375/$AS375)/$AT375,((($F375/$AS375)^$AR375)-1)/($AR375*$AT375)))</f>
        <v/>
      </c>
      <c r="AV375">
        <f>IF($AR375="","",IF($AR375=0,$AS375*EXP($AT375*2),$AS375*(1+$AR375*$AT375*2)^(1/$AR375)))</f>
        <v/>
      </c>
      <c r="AW375">
        <f>IF($AR375="","",IF($AR375=0,$AS375*EXP($AT375*3),$AS375*(1+$AR375*$AT375*3)^(1/$AR375)))</f>
        <v/>
      </c>
      <c r="AX375">
        <f>IF($AR375="","",IF($AR375=0,$AS375*EXP($AT375*-2),$AS375*(1+$AR375*$AT375*-2)^(1/$AR375)))</f>
        <v/>
      </c>
      <c r="AY375">
        <f>IF($AR375="","",IF($AR375=0,$AS375*EXP($AT375*-3),$AS375*(1+$AR375*$AT375*-3)^(1/$AR375)))</f>
        <v/>
      </c>
      <c r="AZ375">
        <f>IF(OR($A375="",$A375&lt;&gt;Ficha!$C$4),"",COUNTIF($A$2:$A375,Ficha!$C$4))</f>
        <v/>
      </c>
    </row>
    <row r="376">
      <c r="A376" s="8">
        <f>IF(INDEX(Banco!$A:$A,ROW())="","",INDEX(Banco!$A:$A,ROW()))</f>
        <v/>
      </c>
      <c r="B376" s="8">
        <f>IF(INDEX(Banco!$B:$B,ROW())="","",INDEX(Banco!$B:$B,ROW()))</f>
        <v/>
      </c>
      <c r="C376" s="8">
        <f>IF(INDEX(Banco!$C:$C,ROW())="","",INDEX(Banco!$C:$C,ROW()))</f>
        <v/>
      </c>
      <c r="D376" s="9">
        <f>IF(INDEX(Banco!$D:$D,ROW())="","",INDEX(Banco!$D:$D,ROW()))</f>
        <v/>
      </c>
      <c r="E376" s="9">
        <f>IF(INDEX(Banco!$E:$E,ROW())="","",INDEX(Banco!$E:$E,ROW()))</f>
        <v/>
      </c>
      <c r="F376" s="10">
        <f>IF(INDEX(Banco!$F:$F,ROW())="","",INDEX(Banco!$F:$F,ROW()))</f>
        <v/>
      </c>
      <c r="G376" s="10">
        <f>IF(INDEX(Banco!$G:$G,ROW())="","",INDEX(Banco!$G:$G,ROW()))</f>
        <v/>
      </c>
      <c r="H376" s="8">
        <f>IF(INDEX(Banco!$H:$H,ROW())="","",INDEX(Banco!$H:$H,ROW()))</f>
        <v/>
      </c>
      <c r="I376">
        <f>IF($T376="","",INT($T376/12)&amp;"a "&amp;MOD($T376,12)&amp;"m")</f>
        <v/>
      </c>
      <c r="J376" s="11">
        <f>IF(OR($F376="",$G376=""),"",ROUND($F376/($G376/100)^2,2))</f>
        <v/>
      </c>
      <c r="K376" s="12">
        <f>IF(OR($S376="",$J376="",$T376="",$T376&lt;0,$T376&gt;228,$Y376=""),"—",ROUND(IF(ABS($AB376)&lt;=3,$AB376,IF($AB376&gt;3,3+($J376-$AD376)/($AD376-$AC376),-3+($J376-$AF376)/($AE376-$AF376))),2))</f>
        <v/>
      </c>
      <c r="L376">
        <f>IF(OR($K376="",$K376="—"),"",IF($T376&lt;=60,IF($K376&lt;-3,"Magreza acentuada",IF($K376&lt;-2,"Magreza",IF($K376&lt;=1,"Eutrofia",IF($K376&lt;=2,"Risco de sobrepeso",IF($K376&lt;=3,"Sobrepeso","Obesidade"))))),IF($K376&lt;-3,"Magreza acentuada",IF($K376&lt;-2,"Magreza",IF($K376&lt;=1,"Eutrofia",IF($K376&lt;=2,"Sobrepeso",IF($K376&lt;=3,"Obesidade","Obesidade grave")))))))</f>
        <v/>
      </c>
      <c r="M376" s="12">
        <f>IF(OR($S376="",$V376="",$T376="",$T376&lt;0,$T376&gt;228,$AG376=""),"—",ROUND(IF($AG376=0,LN($V376/$AH376)/$AI376,((($V376/$AH376)^$AG376)-1)/($AG376*$AI376)),2))</f>
        <v/>
      </c>
      <c r="N376">
        <f>IF(OR($M376="",$M376="—"),"",IF($M376&lt;-3,"Muito baixa",IF($M376&lt;-2,"Baixa","Adequada")))</f>
        <v/>
      </c>
      <c r="O376" s="12">
        <f>IF(OR($S376="",$F376="",$T376="",$T376&lt;0,$T376&gt;120,$AJ376=""),"—",ROUND(IF(ABS($AM376)&lt;=3,$AM376,IF($AM376&gt;3,3+($F376-$AO376)/($AO376-$AN376),-3+($F376-$AQ376)/($AP376-$AQ376))),2))</f>
        <v/>
      </c>
      <c r="P376">
        <f>IF(OR($O376="",$O376="—"),"",IF($O376&lt;-3,"Muito baixo",IF($O376&lt;-2,"Baixo",IF($O376&lt;=2,"Adequado","Elevado"))))</f>
        <v/>
      </c>
      <c r="Q376" s="12">
        <f>IF(OR($S376="",$F376="",$T376="",$T376&lt;0,$T376&gt;60,$AR376=""),"—",ROUND(IF(ABS($AU376)&lt;=3,$AU376,IF($AU376&gt;3,3+($F376-$AW376)/($AW376-$AV376),-3+($F376-$AY376)/($AX376-$AY376))),2))</f>
        <v/>
      </c>
      <c r="R376">
        <f>IF(OR($Q376="",$Q376="—"),"",IF($Q376&lt;-3,"Magreza acentuada",IF($Q376&lt;-2,"Magreza",IF($Q376&lt;=1,"Eutrofia",IF($Q376&lt;=2,"Risco de sobrepeso",IF($Q376&lt;=3,"Sobrepeso","Obesidade"))))))</f>
        <v/>
      </c>
      <c r="S376">
        <f>IF($C376="","",IF(UPPER(LEFT($C376,1))="M",1,IF(UPPER(LEFT($C376,1))="F",2,"")))</f>
        <v/>
      </c>
      <c r="T376">
        <f>IF(OR($D376="",$E376=""),"",DATEDIF($D376,$E376,"m"))</f>
        <v/>
      </c>
      <c r="U376">
        <f>IF(OR($D376="",$E376=""),"",$E376-$D376)</f>
        <v/>
      </c>
      <c r="V376">
        <f>IF(OR($G376="",$T376=""),"",IF($T376&lt;24,IF(LEFT(LOWER($H376),4)="em p",$G376+0.7,$G376),IF(LEFT(LOWER($H376),4)="deit",$G376-0.7,$G376)))</f>
        <v/>
      </c>
      <c r="W376">
        <f>IF(OR($S376="",$T376=""),"",$S376*1000000+IF($T376&lt;=60,$U376,$T376))</f>
        <v/>
      </c>
      <c r="X376">
        <f>IF(OR($S376="",$V376="",$T376&gt;60,$T376=""),"",$S376*1000000+ROUND($V376*10,0))</f>
        <v/>
      </c>
      <c r="Y376">
        <f>IF($W376="","",IFERROR(INDEX(IF($T376&lt;=60,imc05_l,imc519_l),MATCH($W376,IF($T376&lt;=60,imc05_k,imc519_k),1)),""))</f>
        <v/>
      </c>
      <c r="Z376">
        <f>IF($W376="","",IFERROR(INDEX(IF($T376&lt;=60,imc05_m,imc519_m),MATCH($W376,IF($T376&lt;=60,imc05_k,imc519_k),1)),""))</f>
        <v/>
      </c>
      <c r="AA376">
        <f>IF($W376="","",IFERROR(INDEX(IF($T376&lt;=60,imc05_s,imc519_s),MATCH($W376,IF($T376&lt;=60,imc05_k,imc519_k),1)),""))</f>
        <v/>
      </c>
      <c r="AB376">
        <f>IF($Y376="","",IF($Y376=0,LN($J376/$Z376)/$AA376,((($J376/$Z376)^$Y376)-1)/($Y376*$AA376)))</f>
        <v/>
      </c>
      <c r="AC376">
        <f>IF($Y376="","",IF($Y376=0,$Z376*EXP($AA376*2),$Z376*(1+$Y376*$AA376*2)^(1/$Y376)))</f>
        <v/>
      </c>
      <c r="AD376">
        <f>IF($Y376="","",IF($Y376=0,$Z376*EXP($AA376*3),$Z376*(1+$Y376*$AA376*3)^(1/$Y376)))</f>
        <v/>
      </c>
      <c r="AE376">
        <f>IF($Y376="","",IF($Y376=0,$Z376*EXP($AA376*-2),$Z376*(1+$Y376*$AA376*-2)^(1/$Y376)))</f>
        <v/>
      </c>
      <c r="AF376">
        <f>IF($Y376="","",IF($Y376=0,$Z376*EXP($AA376*-3),$Z376*(1+$Y376*$AA376*-3)^(1/$Y376)))</f>
        <v/>
      </c>
      <c r="AG376">
        <f>IF($W376="","",IFERROR(INDEX(IF($T376&lt;=60,est05_l,est519_l),MATCH($W376,IF($T376&lt;=60,est05_k,est519_k),1)),""))</f>
        <v/>
      </c>
      <c r="AH376">
        <f>IF($W376="","",IFERROR(INDEX(IF($T376&lt;=60,est05_m,est519_m),MATCH($W376,IF($T376&lt;=60,est05_k,est519_k),1)),""))</f>
        <v/>
      </c>
      <c r="AI376">
        <f>IF($W376="","",IFERROR(INDEX(IF($T376&lt;=60,est05_s,est519_s),MATCH($W376,IF($T376&lt;=60,est05_k,est519_k),1)),""))</f>
        <v/>
      </c>
      <c r="AJ376">
        <f>IF($W376="","",IFERROR(INDEX(IF($T376&lt;=60,peso05_l,peso510_l),MATCH($W376,IF($T376&lt;=60,peso05_k,peso510_k),1)),""))</f>
        <v/>
      </c>
      <c r="AK376">
        <f>IF($W376="","",IFERROR(INDEX(IF($T376&lt;=60,peso05_m,peso510_m),MATCH($W376,IF($T376&lt;=60,peso05_k,peso510_k),1)),""))</f>
        <v/>
      </c>
      <c r="AL376">
        <f>IF($W376="","",IFERROR(INDEX(IF($T376&lt;=60,peso05_s,peso510_s),MATCH($W376,IF($T376&lt;=60,peso05_k,peso510_k),1)),""))</f>
        <v/>
      </c>
      <c r="AM376">
        <f>IF($AJ376="","",IF($AJ376=0,LN($F376/$AK376)/$AL376,((($F376/$AK376)^$AJ376)-1)/($AJ376*$AL376)))</f>
        <v/>
      </c>
      <c r="AN376">
        <f>IF($AJ376="","",IF($AJ376=0,$AK376*EXP($AL376*2),$AK376*(1+$AJ376*$AL376*2)^(1/$AJ376)))</f>
        <v/>
      </c>
      <c r="AO376">
        <f>IF($AJ376="","",IF($AJ376=0,$AK376*EXP($AL376*3),$AK376*(1+$AJ376*$AL376*3)^(1/$AJ376)))</f>
        <v/>
      </c>
      <c r="AP376">
        <f>IF($AJ376="","",IF($AJ376=0,$AK376*EXP($AL376*-2),$AK376*(1+$AJ376*$AL376*-2)^(1/$AJ376)))</f>
        <v/>
      </c>
      <c r="AQ376">
        <f>IF($AJ376="","",IF($AJ376=0,$AK376*EXP($AL376*-3),$AK376*(1+$AJ376*$AL376*-3)^(1/$AJ376)))</f>
        <v/>
      </c>
      <c r="AR376">
        <f>IF(OR($X376="",$T376&gt;60),"",IFERROR(INDEX(IF($T376&lt;24,pcomp_l,palt_l),MATCH($X376,IF($T376&lt;24,pcomp_k,palt_k),1)),""))</f>
        <v/>
      </c>
      <c r="AS376">
        <f>IF(OR($X376="",$T376&gt;60),"",IFERROR(INDEX(IF($T376&lt;24,pcomp_m,palt_m),MATCH($X376,IF($T376&lt;24,pcomp_k,palt_k),1)),""))</f>
        <v/>
      </c>
      <c r="AT376">
        <f>IF(OR($X376="",$T376&gt;60),"",IFERROR(INDEX(IF($T376&lt;24,pcomp_s,palt_s),MATCH($X376,IF($T376&lt;24,pcomp_k,palt_k),1)),""))</f>
        <v/>
      </c>
      <c r="AU376">
        <f>IF($AR376="","",IF($AR376=0,LN($F376/$AS376)/$AT376,((($F376/$AS376)^$AR376)-1)/($AR376*$AT376)))</f>
        <v/>
      </c>
      <c r="AV376">
        <f>IF($AR376="","",IF($AR376=0,$AS376*EXP($AT376*2),$AS376*(1+$AR376*$AT376*2)^(1/$AR376)))</f>
        <v/>
      </c>
      <c r="AW376">
        <f>IF($AR376="","",IF($AR376=0,$AS376*EXP($AT376*3),$AS376*(1+$AR376*$AT376*3)^(1/$AR376)))</f>
        <v/>
      </c>
      <c r="AX376">
        <f>IF($AR376="","",IF($AR376=0,$AS376*EXP($AT376*-2),$AS376*(1+$AR376*$AT376*-2)^(1/$AR376)))</f>
        <v/>
      </c>
      <c r="AY376">
        <f>IF($AR376="","",IF($AR376=0,$AS376*EXP($AT376*-3),$AS376*(1+$AR376*$AT376*-3)^(1/$AR376)))</f>
        <v/>
      </c>
      <c r="AZ376">
        <f>IF(OR($A376="",$A376&lt;&gt;Ficha!$C$4),"",COUNTIF($A$2:$A376,Ficha!$C$4))</f>
        <v/>
      </c>
    </row>
    <row r="377">
      <c r="A377" s="8">
        <f>IF(INDEX(Banco!$A:$A,ROW())="","",INDEX(Banco!$A:$A,ROW()))</f>
        <v/>
      </c>
      <c r="B377" s="8">
        <f>IF(INDEX(Banco!$B:$B,ROW())="","",INDEX(Banco!$B:$B,ROW()))</f>
        <v/>
      </c>
      <c r="C377" s="8">
        <f>IF(INDEX(Banco!$C:$C,ROW())="","",INDEX(Banco!$C:$C,ROW()))</f>
        <v/>
      </c>
      <c r="D377" s="9">
        <f>IF(INDEX(Banco!$D:$D,ROW())="","",INDEX(Banco!$D:$D,ROW()))</f>
        <v/>
      </c>
      <c r="E377" s="9">
        <f>IF(INDEX(Banco!$E:$E,ROW())="","",INDEX(Banco!$E:$E,ROW()))</f>
        <v/>
      </c>
      <c r="F377" s="10">
        <f>IF(INDEX(Banco!$F:$F,ROW())="","",INDEX(Banco!$F:$F,ROW()))</f>
        <v/>
      </c>
      <c r="G377" s="10">
        <f>IF(INDEX(Banco!$G:$G,ROW())="","",INDEX(Banco!$G:$G,ROW()))</f>
        <v/>
      </c>
      <c r="H377" s="8">
        <f>IF(INDEX(Banco!$H:$H,ROW())="","",INDEX(Banco!$H:$H,ROW()))</f>
        <v/>
      </c>
      <c r="I377">
        <f>IF($T377="","",INT($T377/12)&amp;"a "&amp;MOD($T377,12)&amp;"m")</f>
        <v/>
      </c>
      <c r="J377" s="11">
        <f>IF(OR($F377="",$G377=""),"",ROUND($F377/($G377/100)^2,2))</f>
        <v/>
      </c>
      <c r="K377" s="12">
        <f>IF(OR($S377="",$J377="",$T377="",$T377&lt;0,$T377&gt;228,$Y377=""),"—",ROUND(IF(ABS($AB377)&lt;=3,$AB377,IF($AB377&gt;3,3+($J377-$AD377)/($AD377-$AC377),-3+($J377-$AF377)/($AE377-$AF377))),2))</f>
        <v/>
      </c>
      <c r="L377">
        <f>IF(OR($K377="",$K377="—"),"",IF($T377&lt;=60,IF($K377&lt;-3,"Magreza acentuada",IF($K377&lt;-2,"Magreza",IF($K377&lt;=1,"Eutrofia",IF($K377&lt;=2,"Risco de sobrepeso",IF($K377&lt;=3,"Sobrepeso","Obesidade"))))),IF($K377&lt;-3,"Magreza acentuada",IF($K377&lt;-2,"Magreza",IF($K377&lt;=1,"Eutrofia",IF($K377&lt;=2,"Sobrepeso",IF($K377&lt;=3,"Obesidade","Obesidade grave")))))))</f>
        <v/>
      </c>
      <c r="M377" s="12">
        <f>IF(OR($S377="",$V377="",$T377="",$T377&lt;0,$T377&gt;228,$AG377=""),"—",ROUND(IF($AG377=0,LN($V377/$AH377)/$AI377,((($V377/$AH377)^$AG377)-1)/($AG377*$AI377)),2))</f>
        <v/>
      </c>
      <c r="N377">
        <f>IF(OR($M377="",$M377="—"),"",IF($M377&lt;-3,"Muito baixa",IF($M377&lt;-2,"Baixa","Adequada")))</f>
        <v/>
      </c>
      <c r="O377" s="12">
        <f>IF(OR($S377="",$F377="",$T377="",$T377&lt;0,$T377&gt;120,$AJ377=""),"—",ROUND(IF(ABS($AM377)&lt;=3,$AM377,IF($AM377&gt;3,3+($F377-$AO377)/($AO377-$AN377),-3+($F377-$AQ377)/($AP377-$AQ377))),2))</f>
        <v/>
      </c>
      <c r="P377">
        <f>IF(OR($O377="",$O377="—"),"",IF($O377&lt;-3,"Muito baixo",IF($O377&lt;-2,"Baixo",IF($O377&lt;=2,"Adequado","Elevado"))))</f>
        <v/>
      </c>
      <c r="Q377" s="12">
        <f>IF(OR($S377="",$F377="",$T377="",$T377&lt;0,$T377&gt;60,$AR377=""),"—",ROUND(IF(ABS($AU377)&lt;=3,$AU377,IF($AU377&gt;3,3+($F377-$AW377)/($AW377-$AV377),-3+($F377-$AY377)/($AX377-$AY377))),2))</f>
        <v/>
      </c>
      <c r="R377">
        <f>IF(OR($Q377="",$Q377="—"),"",IF($Q377&lt;-3,"Magreza acentuada",IF($Q377&lt;-2,"Magreza",IF($Q377&lt;=1,"Eutrofia",IF($Q377&lt;=2,"Risco de sobrepeso",IF($Q377&lt;=3,"Sobrepeso","Obesidade"))))))</f>
        <v/>
      </c>
      <c r="S377">
        <f>IF($C377="","",IF(UPPER(LEFT($C377,1))="M",1,IF(UPPER(LEFT($C377,1))="F",2,"")))</f>
        <v/>
      </c>
      <c r="T377">
        <f>IF(OR($D377="",$E377=""),"",DATEDIF($D377,$E377,"m"))</f>
        <v/>
      </c>
      <c r="U377">
        <f>IF(OR($D377="",$E377=""),"",$E377-$D377)</f>
        <v/>
      </c>
      <c r="V377">
        <f>IF(OR($G377="",$T377=""),"",IF($T377&lt;24,IF(LEFT(LOWER($H377),4)="em p",$G377+0.7,$G377),IF(LEFT(LOWER($H377),4)="deit",$G377-0.7,$G377)))</f>
        <v/>
      </c>
      <c r="W377">
        <f>IF(OR($S377="",$T377=""),"",$S377*1000000+IF($T377&lt;=60,$U377,$T377))</f>
        <v/>
      </c>
      <c r="X377">
        <f>IF(OR($S377="",$V377="",$T377&gt;60,$T377=""),"",$S377*1000000+ROUND($V377*10,0))</f>
        <v/>
      </c>
      <c r="Y377">
        <f>IF($W377="","",IFERROR(INDEX(IF($T377&lt;=60,imc05_l,imc519_l),MATCH($W377,IF($T377&lt;=60,imc05_k,imc519_k),1)),""))</f>
        <v/>
      </c>
      <c r="Z377">
        <f>IF($W377="","",IFERROR(INDEX(IF($T377&lt;=60,imc05_m,imc519_m),MATCH($W377,IF($T377&lt;=60,imc05_k,imc519_k),1)),""))</f>
        <v/>
      </c>
      <c r="AA377">
        <f>IF($W377="","",IFERROR(INDEX(IF($T377&lt;=60,imc05_s,imc519_s),MATCH($W377,IF($T377&lt;=60,imc05_k,imc519_k),1)),""))</f>
        <v/>
      </c>
      <c r="AB377">
        <f>IF($Y377="","",IF($Y377=0,LN($J377/$Z377)/$AA377,((($J377/$Z377)^$Y377)-1)/($Y377*$AA377)))</f>
        <v/>
      </c>
      <c r="AC377">
        <f>IF($Y377="","",IF($Y377=0,$Z377*EXP($AA377*2),$Z377*(1+$Y377*$AA377*2)^(1/$Y377)))</f>
        <v/>
      </c>
      <c r="AD377">
        <f>IF($Y377="","",IF($Y377=0,$Z377*EXP($AA377*3),$Z377*(1+$Y377*$AA377*3)^(1/$Y377)))</f>
        <v/>
      </c>
      <c r="AE377">
        <f>IF($Y377="","",IF($Y377=0,$Z377*EXP($AA377*-2),$Z377*(1+$Y377*$AA377*-2)^(1/$Y377)))</f>
        <v/>
      </c>
      <c r="AF377">
        <f>IF($Y377="","",IF($Y377=0,$Z377*EXP($AA377*-3),$Z377*(1+$Y377*$AA377*-3)^(1/$Y377)))</f>
        <v/>
      </c>
      <c r="AG377">
        <f>IF($W377="","",IFERROR(INDEX(IF($T377&lt;=60,est05_l,est519_l),MATCH($W377,IF($T377&lt;=60,est05_k,est519_k),1)),""))</f>
        <v/>
      </c>
      <c r="AH377">
        <f>IF($W377="","",IFERROR(INDEX(IF($T377&lt;=60,est05_m,est519_m),MATCH($W377,IF($T377&lt;=60,est05_k,est519_k),1)),""))</f>
        <v/>
      </c>
      <c r="AI377">
        <f>IF($W377="","",IFERROR(INDEX(IF($T377&lt;=60,est05_s,est519_s),MATCH($W377,IF($T377&lt;=60,est05_k,est519_k),1)),""))</f>
        <v/>
      </c>
      <c r="AJ377">
        <f>IF($W377="","",IFERROR(INDEX(IF($T377&lt;=60,peso05_l,peso510_l),MATCH($W377,IF($T377&lt;=60,peso05_k,peso510_k),1)),""))</f>
        <v/>
      </c>
      <c r="AK377">
        <f>IF($W377="","",IFERROR(INDEX(IF($T377&lt;=60,peso05_m,peso510_m),MATCH($W377,IF($T377&lt;=60,peso05_k,peso510_k),1)),""))</f>
        <v/>
      </c>
      <c r="AL377">
        <f>IF($W377="","",IFERROR(INDEX(IF($T377&lt;=60,peso05_s,peso510_s),MATCH($W377,IF($T377&lt;=60,peso05_k,peso510_k),1)),""))</f>
        <v/>
      </c>
      <c r="AM377">
        <f>IF($AJ377="","",IF($AJ377=0,LN($F377/$AK377)/$AL377,((($F377/$AK377)^$AJ377)-1)/($AJ377*$AL377)))</f>
        <v/>
      </c>
      <c r="AN377">
        <f>IF($AJ377="","",IF($AJ377=0,$AK377*EXP($AL377*2),$AK377*(1+$AJ377*$AL377*2)^(1/$AJ377)))</f>
        <v/>
      </c>
      <c r="AO377">
        <f>IF($AJ377="","",IF($AJ377=0,$AK377*EXP($AL377*3),$AK377*(1+$AJ377*$AL377*3)^(1/$AJ377)))</f>
        <v/>
      </c>
      <c r="AP377">
        <f>IF($AJ377="","",IF($AJ377=0,$AK377*EXP($AL377*-2),$AK377*(1+$AJ377*$AL377*-2)^(1/$AJ377)))</f>
        <v/>
      </c>
      <c r="AQ377">
        <f>IF($AJ377="","",IF($AJ377=0,$AK377*EXP($AL377*-3),$AK377*(1+$AJ377*$AL377*-3)^(1/$AJ377)))</f>
        <v/>
      </c>
      <c r="AR377">
        <f>IF(OR($X377="",$T377&gt;60),"",IFERROR(INDEX(IF($T377&lt;24,pcomp_l,palt_l),MATCH($X377,IF($T377&lt;24,pcomp_k,palt_k),1)),""))</f>
        <v/>
      </c>
      <c r="AS377">
        <f>IF(OR($X377="",$T377&gt;60),"",IFERROR(INDEX(IF($T377&lt;24,pcomp_m,palt_m),MATCH($X377,IF($T377&lt;24,pcomp_k,palt_k),1)),""))</f>
        <v/>
      </c>
      <c r="AT377">
        <f>IF(OR($X377="",$T377&gt;60),"",IFERROR(INDEX(IF($T377&lt;24,pcomp_s,palt_s),MATCH($X377,IF($T377&lt;24,pcomp_k,palt_k),1)),""))</f>
        <v/>
      </c>
      <c r="AU377">
        <f>IF($AR377="","",IF($AR377=0,LN($F377/$AS377)/$AT377,((($F377/$AS377)^$AR377)-1)/($AR377*$AT377)))</f>
        <v/>
      </c>
      <c r="AV377">
        <f>IF($AR377="","",IF($AR377=0,$AS377*EXP($AT377*2),$AS377*(1+$AR377*$AT377*2)^(1/$AR377)))</f>
        <v/>
      </c>
      <c r="AW377">
        <f>IF($AR377="","",IF($AR377=0,$AS377*EXP($AT377*3),$AS377*(1+$AR377*$AT377*3)^(1/$AR377)))</f>
        <v/>
      </c>
      <c r="AX377">
        <f>IF($AR377="","",IF($AR377=0,$AS377*EXP($AT377*-2),$AS377*(1+$AR377*$AT377*-2)^(1/$AR377)))</f>
        <v/>
      </c>
      <c r="AY377">
        <f>IF($AR377="","",IF($AR377=0,$AS377*EXP($AT377*-3),$AS377*(1+$AR377*$AT377*-3)^(1/$AR377)))</f>
        <v/>
      </c>
      <c r="AZ377">
        <f>IF(OR($A377="",$A377&lt;&gt;Ficha!$C$4),"",COUNTIF($A$2:$A377,Ficha!$C$4))</f>
        <v/>
      </c>
    </row>
    <row r="378">
      <c r="A378" s="8">
        <f>IF(INDEX(Banco!$A:$A,ROW())="","",INDEX(Banco!$A:$A,ROW()))</f>
        <v/>
      </c>
      <c r="B378" s="8">
        <f>IF(INDEX(Banco!$B:$B,ROW())="","",INDEX(Banco!$B:$B,ROW()))</f>
        <v/>
      </c>
      <c r="C378" s="8">
        <f>IF(INDEX(Banco!$C:$C,ROW())="","",INDEX(Banco!$C:$C,ROW()))</f>
        <v/>
      </c>
      <c r="D378" s="9">
        <f>IF(INDEX(Banco!$D:$D,ROW())="","",INDEX(Banco!$D:$D,ROW()))</f>
        <v/>
      </c>
      <c r="E378" s="9">
        <f>IF(INDEX(Banco!$E:$E,ROW())="","",INDEX(Banco!$E:$E,ROW()))</f>
        <v/>
      </c>
      <c r="F378" s="10">
        <f>IF(INDEX(Banco!$F:$F,ROW())="","",INDEX(Banco!$F:$F,ROW()))</f>
        <v/>
      </c>
      <c r="G378" s="10">
        <f>IF(INDEX(Banco!$G:$G,ROW())="","",INDEX(Banco!$G:$G,ROW()))</f>
        <v/>
      </c>
      <c r="H378" s="8">
        <f>IF(INDEX(Banco!$H:$H,ROW())="","",INDEX(Banco!$H:$H,ROW()))</f>
        <v/>
      </c>
      <c r="I378">
        <f>IF($T378="","",INT($T378/12)&amp;"a "&amp;MOD($T378,12)&amp;"m")</f>
        <v/>
      </c>
      <c r="J378" s="11">
        <f>IF(OR($F378="",$G378=""),"",ROUND($F378/($G378/100)^2,2))</f>
        <v/>
      </c>
      <c r="K378" s="12">
        <f>IF(OR($S378="",$J378="",$T378="",$T378&lt;0,$T378&gt;228,$Y378=""),"—",ROUND(IF(ABS($AB378)&lt;=3,$AB378,IF($AB378&gt;3,3+($J378-$AD378)/($AD378-$AC378),-3+($J378-$AF378)/($AE378-$AF378))),2))</f>
        <v/>
      </c>
      <c r="L378">
        <f>IF(OR($K378="",$K378="—"),"",IF($T378&lt;=60,IF($K378&lt;-3,"Magreza acentuada",IF($K378&lt;-2,"Magreza",IF($K378&lt;=1,"Eutrofia",IF($K378&lt;=2,"Risco de sobrepeso",IF($K378&lt;=3,"Sobrepeso","Obesidade"))))),IF($K378&lt;-3,"Magreza acentuada",IF($K378&lt;-2,"Magreza",IF($K378&lt;=1,"Eutrofia",IF($K378&lt;=2,"Sobrepeso",IF($K378&lt;=3,"Obesidade","Obesidade grave")))))))</f>
        <v/>
      </c>
      <c r="M378" s="12">
        <f>IF(OR($S378="",$V378="",$T378="",$T378&lt;0,$T378&gt;228,$AG378=""),"—",ROUND(IF($AG378=0,LN($V378/$AH378)/$AI378,((($V378/$AH378)^$AG378)-1)/($AG378*$AI378)),2))</f>
        <v/>
      </c>
      <c r="N378">
        <f>IF(OR($M378="",$M378="—"),"",IF($M378&lt;-3,"Muito baixa",IF($M378&lt;-2,"Baixa","Adequada")))</f>
        <v/>
      </c>
      <c r="O378" s="12">
        <f>IF(OR($S378="",$F378="",$T378="",$T378&lt;0,$T378&gt;120,$AJ378=""),"—",ROUND(IF(ABS($AM378)&lt;=3,$AM378,IF($AM378&gt;3,3+($F378-$AO378)/($AO378-$AN378),-3+($F378-$AQ378)/($AP378-$AQ378))),2))</f>
        <v/>
      </c>
      <c r="P378">
        <f>IF(OR($O378="",$O378="—"),"",IF($O378&lt;-3,"Muito baixo",IF($O378&lt;-2,"Baixo",IF($O378&lt;=2,"Adequado","Elevado"))))</f>
        <v/>
      </c>
      <c r="Q378" s="12">
        <f>IF(OR($S378="",$F378="",$T378="",$T378&lt;0,$T378&gt;60,$AR378=""),"—",ROUND(IF(ABS($AU378)&lt;=3,$AU378,IF($AU378&gt;3,3+($F378-$AW378)/($AW378-$AV378),-3+($F378-$AY378)/($AX378-$AY378))),2))</f>
        <v/>
      </c>
      <c r="R378">
        <f>IF(OR($Q378="",$Q378="—"),"",IF($Q378&lt;-3,"Magreza acentuada",IF($Q378&lt;-2,"Magreza",IF($Q378&lt;=1,"Eutrofia",IF($Q378&lt;=2,"Risco de sobrepeso",IF($Q378&lt;=3,"Sobrepeso","Obesidade"))))))</f>
        <v/>
      </c>
      <c r="S378">
        <f>IF($C378="","",IF(UPPER(LEFT($C378,1))="M",1,IF(UPPER(LEFT($C378,1))="F",2,"")))</f>
        <v/>
      </c>
      <c r="T378">
        <f>IF(OR($D378="",$E378=""),"",DATEDIF($D378,$E378,"m"))</f>
        <v/>
      </c>
      <c r="U378">
        <f>IF(OR($D378="",$E378=""),"",$E378-$D378)</f>
        <v/>
      </c>
      <c r="V378">
        <f>IF(OR($G378="",$T378=""),"",IF($T378&lt;24,IF(LEFT(LOWER($H378),4)="em p",$G378+0.7,$G378),IF(LEFT(LOWER($H378),4)="deit",$G378-0.7,$G378)))</f>
        <v/>
      </c>
      <c r="W378">
        <f>IF(OR($S378="",$T378=""),"",$S378*1000000+IF($T378&lt;=60,$U378,$T378))</f>
        <v/>
      </c>
      <c r="X378">
        <f>IF(OR($S378="",$V378="",$T378&gt;60,$T378=""),"",$S378*1000000+ROUND($V378*10,0))</f>
        <v/>
      </c>
      <c r="Y378">
        <f>IF($W378="","",IFERROR(INDEX(IF($T378&lt;=60,imc05_l,imc519_l),MATCH($W378,IF($T378&lt;=60,imc05_k,imc519_k),1)),""))</f>
        <v/>
      </c>
      <c r="Z378">
        <f>IF($W378="","",IFERROR(INDEX(IF($T378&lt;=60,imc05_m,imc519_m),MATCH($W378,IF($T378&lt;=60,imc05_k,imc519_k),1)),""))</f>
        <v/>
      </c>
      <c r="AA378">
        <f>IF($W378="","",IFERROR(INDEX(IF($T378&lt;=60,imc05_s,imc519_s),MATCH($W378,IF($T378&lt;=60,imc05_k,imc519_k),1)),""))</f>
        <v/>
      </c>
      <c r="AB378">
        <f>IF($Y378="","",IF($Y378=0,LN($J378/$Z378)/$AA378,((($J378/$Z378)^$Y378)-1)/($Y378*$AA378)))</f>
        <v/>
      </c>
      <c r="AC378">
        <f>IF($Y378="","",IF($Y378=0,$Z378*EXP($AA378*2),$Z378*(1+$Y378*$AA378*2)^(1/$Y378)))</f>
        <v/>
      </c>
      <c r="AD378">
        <f>IF($Y378="","",IF($Y378=0,$Z378*EXP($AA378*3),$Z378*(1+$Y378*$AA378*3)^(1/$Y378)))</f>
        <v/>
      </c>
      <c r="AE378">
        <f>IF($Y378="","",IF($Y378=0,$Z378*EXP($AA378*-2),$Z378*(1+$Y378*$AA378*-2)^(1/$Y378)))</f>
        <v/>
      </c>
      <c r="AF378">
        <f>IF($Y378="","",IF($Y378=0,$Z378*EXP($AA378*-3),$Z378*(1+$Y378*$AA378*-3)^(1/$Y378)))</f>
        <v/>
      </c>
      <c r="AG378">
        <f>IF($W378="","",IFERROR(INDEX(IF($T378&lt;=60,est05_l,est519_l),MATCH($W378,IF($T378&lt;=60,est05_k,est519_k),1)),""))</f>
        <v/>
      </c>
      <c r="AH378">
        <f>IF($W378="","",IFERROR(INDEX(IF($T378&lt;=60,est05_m,est519_m),MATCH($W378,IF($T378&lt;=60,est05_k,est519_k),1)),""))</f>
        <v/>
      </c>
      <c r="AI378">
        <f>IF($W378="","",IFERROR(INDEX(IF($T378&lt;=60,est05_s,est519_s),MATCH($W378,IF($T378&lt;=60,est05_k,est519_k),1)),""))</f>
        <v/>
      </c>
      <c r="AJ378">
        <f>IF($W378="","",IFERROR(INDEX(IF($T378&lt;=60,peso05_l,peso510_l),MATCH($W378,IF($T378&lt;=60,peso05_k,peso510_k),1)),""))</f>
        <v/>
      </c>
      <c r="AK378">
        <f>IF($W378="","",IFERROR(INDEX(IF($T378&lt;=60,peso05_m,peso510_m),MATCH($W378,IF($T378&lt;=60,peso05_k,peso510_k),1)),""))</f>
        <v/>
      </c>
      <c r="AL378">
        <f>IF($W378="","",IFERROR(INDEX(IF($T378&lt;=60,peso05_s,peso510_s),MATCH($W378,IF($T378&lt;=60,peso05_k,peso510_k),1)),""))</f>
        <v/>
      </c>
      <c r="AM378">
        <f>IF($AJ378="","",IF($AJ378=0,LN($F378/$AK378)/$AL378,((($F378/$AK378)^$AJ378)-1)/($AJ378*$AL378)))</f>
        <v/>
      </c>
      <c r="AN378">
        <f>IF($AJ378="","",IF($AJ378=0,$AK378*EXP($AL378*2),$AK378*(1+$AJ378*$AL378*2)^(1/$AJ378)))</f>
        <v/>
      </c>
      <c r="AO378">
        <f>IF($AJ378="","",IF($AJ378=0,$AK378*EXP($AL378*3),$AK378*(1+$AJ378*$AL378*3)^(1/$AJ378)))</f>
        <v/>
      </c>
      <c r="AP378">
        <f>IF($AJ378="","",IF($AJ378=0,$AK378*EXP($AL378*-2),$AK378*(1+$AJ378*$AL378*-2)^(1/$AJ378)))</f>
        <v/>
      </c>
      <c r="AQ378">
        <f>IF($AJ378="","",IF($AJ378=0,$AK378*EXP($AL378*-3),$AK378*(1+$AJ378*$AL378*-3)^(1/$AJ378)))</f>
        <v/>
      </c>
      <c r="AR378">
        <f>IF(OR($X378="",$T378&gt;60),"",IFERROR(INDEX(IF($T378&lt;24,pcomp_l,palt_l),MATCH($X378,IF($T378&lt;24,pcomp_k,palt_k),1)),""))</f>
        <v/>
      </c>
      <c r="AS378">
        <f>IF(OR($X378="",$T378&gt;60),"",IFERROR(INDEX(IF($T378&lt;24,pcomp_m,palt_m),MATCH($X378,IF($T378&lt;24,pcomp_k,palt_k),1)),""))</f>
        <v/>
      </c>
      <c r="AT378">
        <f>IF(OR($X378="",$T378&gt;60),"",IFERROR(INDEX(IF($T378&lt;24,pcomp_s,palt_s),MATCH($X378,IF($T378&lt;24,pcomp_k,palt_k),1)),""))</f>
        <v/>
      </c>
      <c r="AU378">
        <f>IF($AR378="","",IF($AR378=0,LN($F378/$AS378)/$AT378,((($F378/$AS378)^$AR378)-1)/($AR378*$AT378)))</f>
        <v/>
      </c>
      <c r="AV378">
        <f>IF($AR378="","",IF($AR378=0,$AS378*EXP($AT378*2),$AS378*(1+$AR378*$AT378*2)^(1/$AR378)))</f>
        <v/>
      </c>
      <c r="AW378">
        <f>IF($AR378="","",IF($AR378=0,$AS378*EXP($AT378*3),$AS378*(1+$AR378*$AT378*3)^(1/$AR378)))</f>
        <v/>
      </c>
      <c r="AX378">
        <f>IF($AR378="","",IF($AR378=0,$AS378*EXP($AT378*-2),$AS378*(1+$AR378*$AT378*-2)^(1/$AR378)))</f>
        <v/>
      </c>
      <c r="AY378">
        <f>IF($AR378="","",IF($AR378=0,$AS378*EXP($AT378*-3),$AS378*(1+$AR378*$AT378*-3)^(1/$AR378)))</f>
        <v/>
      </c>
      <c r="AZ378">
        <f>IF(OR($A378="",$A378&lt;&gt;Ficha!$C$4),"",COUNTIF($A$2:$A378,Ficha!$C$4))</f>
        <v/>
      </c>
    </row>
    <row r="379">
      <c r="A379" s="8">
        <f>IF(INDEX(Banco!$A:$A,ROW())="","",INDEX(Banco!$A:$A,ROW()))</f>
        <v/>
      </c>
      <c r="B379" s="8">
        <f>IF(INDEX(Banco!$B:$B,ROW())="","",INDEX(Banco!$B:$B,ROW()))</f>
        <v/>
      </c>
      <c r="C379" s="8">
        <f>IF(INDEX(Banco!$C:$C,ROW())="","",INDEX(Banco!$C:$C,ROW()))</f>
        <v/>
      </c>
      <c r="D379" s="9">
        <f>IF(INDEX(Banco!$D:$D,ROW())="","",INDEX(Banco!$D:$D,ROW()))</f>
        <v/>
      </c>
      <c r="E379" s="9">
        <f>IF(INDEX(Banco!$E:$E,ROW())="","",INDEX(Banco!$E:$E,ROW()))</f>
        <v/>
      </c>
      <c r="F379" s="10">
        <f>IF(INDEX(Banco!$F:$F,ROW())="","",INDEX(Banco!$F:$F,ROW()))</f>
        <v/>
      </c>
      <c r="G379" s="10">
        <f>IF(INDEX(Banco!$G:$G,ROW())="","",INDEX(Banco!$G:$G,ROW()))</f>
        <v/>
      </c>
      <c r="H379" s="8">
        <f>IF(INDEX(Banco!$H:$H,ROW())="","",INDEX(Banco!$H:$H,ROW()))</f>
        <v/>
      </c>
      <c r="I379">
        <f>IF($T379="","",INT($T379/12)&amp;"a "&amp;MOD($T379,12)&amp;"m")</f>
        <v/>
      </c>
      <c r="J379" s="11">
        <f>IF(OR($F379="",$G379=""),"",ROUND($F379/($G379/100)^2,2))</f>
        <v/>
      </c>
      <c r="K379" s="12">
        <f>IF(OR($S379="",$J379="",$T379="",$T379&lt;0,$T379&gt;228,$Y379=""),"—",ROUND(IF(ABS($AB379)&lt;=3,$AB379,IF($AB379&gt;3,3+($J379-$AD379)/($AD379-$AC379),-3+($J379-$AF379)/($AE379-$AF379))),2))</f>
        <v/>
      </c>
      <c r="L379">
        <f>IF(OR($K379="",$K379="—"),"",IF($T379&lt;=60,IF($K379&lt;-3,"Magreza acentuada",IF($K379&lt;-2,"Magreza",IF($K379&lt;=1,"Eutrofia",IF($K379&lt;=2,"Risco de sobrepeso",IF($K379&lt;=3,"Sobrepeso","Obesidade"))))),IF($K379&lt;-3,"Magreza acentuada",IF($K379&lt;-2,"Magreza",IF($K379&lt;=1,"Eutrofia",IF($K379&lt;=2,"Sobrepeso",IF($K379&lt;=3,"Obesidade","Obesidade grave")))))))</f>
        <v/>
      </c>
      <c r="M379" s="12">
        <f>IF(OR($S379="",$V379="",$T379="",$T379&lt;0,$T379&gt;228,$AG379=""),"—",ROUND(IF($AG379=0,LN($V379/$AH379)/$AI379,((($V379/$AH379)^$AG379)-1)/($AG379*$AI379)),2))</f>
        <v/>
      </c>
      <c r="N379">
        <f>IF(OR($M379="",$M379="—"),"",IF($M379&lt;-3,"Muito baixa",IF($M379&lt;-2,"Baixa","Adequada")))</f>
        <v/>
      </c>
      <c r="O379" s="12">
        <f>IF(OR($S379="",$F379="",$T379="",$T379&lt;0,$T379&gt;120,$AJ379=""),"—",ROUND(IF(ABS($AM379)&lt;=3,$AM379,IF($AM379&gt;3,3+($F379-$AO379)/($AO379-$AN379),-3+($F379-$AQ379)/($AP379-$AQ379))),2))</f>
        <v/>
      </c>
      <c r="P379">
        <f>IF(OR($O379="",$O379="—"),"",IF($O379&lt;-3,"Muito baixo",IF($O379&lt;-2,"Baixo",IF($O379&lt;=2,"Adequado","Elevado"))))</f>
        <v/>
      </c>
      <c r="Q379" s="12">
        <f>IF(OR($S379="",$F379="",$T379="",$T379&lt;0,$T379&gt;60,$AR379=""),"—",ROUND(IF(ABS($AU379)&lt;=3,$AU379,IF($AU379&gt;3,3+($F379-$AW379)/($AW379-$AV379),-3+($F379-$AY379)/($AX379-$AY379))),2))</f>
        <v/>
      </c>
      <c r="R379">
        <f>IF(OR($Q379="",$Q379="—"),"",IF($Q379&lt;-3,"Magreza acentuada",IF($Q379&lt;-2,"Magreza",IF($Q379&lt;=1,"Eutrofia",IF($Q379&lt;=2,"Risco de sobrepeso",IF($Q379&lt;=3,"Sobrepeso","Obesidade"))))))</f>
        <v/>
      </c>
      <c r="S379">
        <f>IF($C379="","",IF(UPPER(LEFT($C379,1))="M",1,IF(UPPER(LEFT($C379,1))="F",2,"")))</f>
        <v/>
      </c>
      <c r="T379">
        <f>IF(OR($D379="",$E379=""),"",DATEDIF($D379,$E379,"m"))</f>
        <v/>
      </c>
      <c r="U379">
        <f>IF(OR($D379="",$E379=""),"",$E379-$D379)</f>
        <v/>
      </c>
      <c r="V379">
        <f>IF(OR($G379="",$T379=""),"",IF($T379&lt;24,IF(LEFT(LOWER($H379),4)="em p",$G379+0.7,$G379),IF(LEFT(LOWER($H379),4)="deit",$G379-0.7,$G379)))</f>
        <v/>
      </c>
      <c r="W379">
        <f>IF(OR($S379="",$T379=""),"",$S379*1000000+IF($T379&lt;=60,$U379,$T379))</f>
        <v/>
      </c>
      <c r="X379">
        <f>IF(OR($S379="",$V379="",$T379&gt;60,$T379=""),"",$S379*1000000+ROUND($V379*10,0))</f>
        <v/>
      </c>
      <c r="Y379">
        <f>IF($W379="","",IFERROR(INDEX(IF($T379&lt;=60,imc05_l,imc519_l),MATCH($W379,IF($T379&lt;=60,imc05_k,imc519_k),1)),""))</f>
        <v/>
      </c>
      <c r="Z379">
        <f>IF($W379="","",IFERROR(INDEX(IF($T379&lt;=60,imc05_m,imc519_m),MATCH($W379,IF($T379&lt;=60,imc05_k,imc519_k),1)),""))</f>
        <v/>
      </c>
      <c r="AA379">
        <f>IF($W379="","",IFERROR(INDEX(IF($T379&lt;=60,imc05_s,imc519_s),MATCH($W379,IF($T379&lt;=60,imc05_k,imc519_k),1)),""))</f>
        <v/>
      </c>
      <c r="AB379">
        <f>IF($Y379="","",IF($Y379=0,LN($J379/$Z379)/$AA379,((($J379/$Z379)^$Y379)-1)/($Y379*$AA379)))</f>
        <v/>
      </c>
      <c r="AC379">
        <f>IF($Y379="","",IF($Y379=0,$Z379*EXP($AA379*2),$Z379*(1+$Y379*$AA379*2)^(1/$Y379)))</f>
        <v/>
      </c>
      <c r="AD379">
        <f>IF($Y379="","",IF($Y379=0,$Z379*EXP($AA379*3),$Z379*(1+$Y379*$AA379*3)^(1/$Y379)))</f>
        <v/>
      </c>
      <c r="AE379">
        <f>IF($Y379="","",IF($Y379=0,$Z379*EXP($AA379*-2),$Z379*(1+$Y379*$AA379*-2)^(1/$Y379)))</f>
        <v/>
      </c>
      <c r="AF379">
        <f>IF($Y379="","",IF($Y379=0,$Z379*EXP($AA379*-3),$Z379*(1+$Y379*$AA379*-3)^(1/$Y379)))</f>
        <v/>
      </c>
      <c r="AG379">
        <f>IF($W379="","",IFERROR(INDEX(IF($T379&lt;=60,est05_l,est519_l),MATCH($W379,IF($T379&lt;=60,est05_k,est519_k),1)),""))</f>
        <v/>
      </c>
      <c r="AH379">
        <f>IF($W379="","",IFERROR(INDEX(IF($T379&lt;=60,est05_m,est519_m),MATCH($W379,IF($T379&lt;=60,est05_k,est519_k),1)),""))</f>
        <v/>
      </c>
      <c r="AI379">
        <f>IF($W379="","",IFERROR(INDEX(IF($T379&lt;=60,est05_s,est519_s),MATCH($W379,IF($T379&lt;=60,est05_k,est519_k),1)),""))</f>
        <v/>
      </c>
      <c r="AJ379">
        <f>IF($W379="","",IFERROR(INDEX(IF($T379&lt;=60,peso05_l,peso510_l),MATCH($W379,IF($T379&lt;=60,peso05_k,peso510_k),1)),""))</f>
        <v/>
      </c>
      <c r="AK379">
        <f>IF($W379="","",IFERROR(INDEX(IF($T379&lt;=60,peso05_m,peso510_m),MATCH($W379,IF($T379&lt;=60,peso05_k,peso510_k),1)),""))</f>
        <v/>
      </c>
      <c r="AL379">
        <f>IF($W379="","",IFERROR(INDEX(IF($T379&lt;=60,peso05_s,peso510_s),MATCH($W379,IF($T379&lt;=60,peso05_k,peso510_k),1)),""))</f>
        <v/>
      </c>
      <c r="AM379">
        <f>IF($AJ379="","",IF($AJ379=0,LN($F379/$AK379)/$AL379,((($F379/$AK379)^$AJ379)-1)/($AJ379*$AL379)))</f>
        <v/>
      </c>
      <c r="AN379">
        <f>IF($AJ379="","",IF($AJ379=0,$AK379*EXP($AL379*2),$AK379*(1+$AJ379*$AL379*2)^(1/$AJ379)))</f>
        <v/>
      </c>
      <c r="AO379">
        <f>IF($AJ379="","",IF($AJ379=0,$AK379*EXP($AL379*3),$AK379*(1+$AJ379*$AL379*3)^(1/$AJ379)))</f>
        <v/>
      </c>
      <c r="AP379">
        <f>IF($AJ379="","",IF($AJ379=0,$AK379*EXP($AL379*-2),$AK379*(1+$AJ379*$AL379*-2)^(1/$AJ379)))</f>
        <v/>
      </c>
      <c r="AQ379">
        <f>IF($AJ379="","",IF($AJ379=0,$AK379*EXP($AL379*-3),$AK379*(1+$AJ379*$AL379*-3)^(1/$AJ379)))</f>
        <v/>
      </c>
      <c r="AR379">
        <f>IF(OR($X379="",$T379&gt;60),"",IFERROR(INDEX(IF($T379&lt;24,pcomp_l,palt_l),MATCH($X379,IF($T379&lt;24,pcomp_k,palt_k),1)),""))</f>
        <v/>
      </c>
      <c r="AS379">
        <f>IF(OR($X379="",$T379&gt;60),"",IFERROR(INDEX(IF($T379&lt;24,pcomp_m,palt_m),MATCH($X379,IF($T379&lt;24,pcomp_k,palt_k),1)),""))</f>
        <v/>
      </c>
      <c r="AT379">
        <f>IF(OR($X379="",$T379&gt;60),"",IFERROR(INDEX(IF($T379&lt;24,pcomp_s,palt_s),MATCH($X379,IF($T379&lt;24,pcomp_k,palt_k),1)),""))</f>
        <v/>
      </c>
      <c r="AU379">
        <f>IF($AR379="","",IF($AR379=0,LN($F379/$AS379)/$AT379,((($F379/$AS379)^$AR379)-1)/($AR379*$AT379)))</f>
        <v/>
      </c>
      <c r="AV379">
        <f>IF($AR379="","",IF($AR379=0,$AS379*EXP($AT379*2),$AS379*(1+$AR379*$AT379*2)^(1/$AR379)))</f>
        <v/>
      </c>
      <c r="AW379">
        <f>IF($AR379="","",IF($AR379=0,$AS379*EXP($AT379*3),$AS379*(1+$AR379*$AT379*3)^(1/$AR379)))</f>
        <v/>
      </c>
      <c r="AX379">
        <f>IF($AR379="","",IF($AR379=0,$AS379*EXP($AT379*-2),$AS379*(1+$AR379*$AT379*-2)^(1/$AR379)))</f>
        <v/>
      </c>
      <c r="AY379">
        <f>IF($AR379="","",IF($AR379=0,$AS379*EXP($AT379*-3),$AS379*(1+$AR379*$AT379*-3)^(1/$AR379)))</f>
        <v/>
      </c>
      <c r="AZ379">
        <f>IF(OR($A379="",$A379&lt;&gt;Ficha!$C$4),"",COUNTIF($A$2:$A379,Ficha!$C$4))</f>
        <v/>
      </c>
    </row>
    <row r="380">
      <c r="A380" s="8">
        <f>IF(INDEX(Banco!$A:$A,ROW())="","",INDEX(Banco!$A:$A,ROW()))</f>
        <v/>
      </c>
      <c r="B380" s="8">
        <f>IF(INDEX(Banco!$B:$B,ROW())="","",INDEX(Banco!$B:$B,ROW()))</f>
        <v/>
      </c>
      <c r="C380" s="8">
        <f>IF(INDEX(Banco!$C:$C,ROW())="","",INDEX(Banco!$C:$C,ROW()))</f>
        <v/>
      </c>
      <c r="D380" s="9">
        <f>IF(INDEX(Banco!$D:$D,ROW())="","",INDEX(Banco!$D:$D,ROW()))</f>
        <v/>
      </c>
      <c r="E380" s="9">
        <f>IF(INDEX(Banco!$E:$E,ROW())="","",INDEX(Banco!$E:$E,ROW()))</f>
        <v/>
      </c>
      <c r="F380" s="10">
        <f>IF(INDEX(Banco!$F:$F,ROW())="","",INDEX(Banco!$F:$F,ROW()))</f>
        <v/>
      </c>
      <c r="G380" s="10">
        <f>IF(INDEX(Banco!$G:$G,ROW())="","",INDEX(Banco!$G:$G,ROW()))</f>
        <v/>
      </c>
      <c r="H380" s="8">
        <f>IF(INDEX(Banco!$H:$H,ROW())="","",INDEX(Banco!$H:$H,ROW()))</f>
        <v/>
      </c>
      <c r="I380">
        <f>IF($T380="","",INT($T380/12)&amp;"a "&amp;MOD($T380,12)&amp;"m")</f>
        <v/>
      </c>
      <c r="J380" s="11">
        <f>IF(OR($F380="",$G380=""),"",ROUND($F380/($G380/100)^2,2))</f>
        <v/>
      </c>
      <c r="K380" s="12">
        <f>IF(OR($S380="",$J380="",$T380="",$T380&lt;0,$T380&gt;228,$Y380=""),"—",ROUND(IF(ABS($AB380)&lt;=3,$AB380,IF($AB380&gt;3,3+($J380-$AD380)/($AD380-$AC380),-3+($J380-$AF380)/($AE380-$AF380))),2))</f>
        <v/>
      </c>
      <c r="L380">
        <f>IF(OR($K380="",$K380="—"),"",IF($T380&lt;=60,IF($K380&lt;-3,"Magreza acentuada",IF($K380&lt;-2,"Magreza",IF($K380&lt;=1,"Eutrofia",IF($K380&lt;=2,"Risco de sobrepeso",IF($K380&lt;=3,"Sobrepeso","Obesidade"))))),IF($K380&lt;-3,"Magreza acentuada",IF($K380&lt;-2,"Magreza",IF($K380&lt;=1,"Eutrofia",IF($K380&lt;=2,"Sobrepeso",IF($K380&lt;=3,"Obesidade","Obesidade grave")))))))</f>
        <v/>
      </c>
      <c r="M380" s="12">
        <f>IF(OR($S380="",$V380="",$T380="",$T380&lt;0,$T380&gt;228,$AG380=""),"—",ROUND(IF($AG380=0,LN($V380/$AH380)/$AI380,((($V380/$AH380)^$AG380)-1)/($AG380*$AI380)),2))</f>
        <v/>
      </c>
      <c r="N380">
        <f>IF(OR($M380="",$M380="—"),"",IF($M380&lt;-3,"Muito baixa",IF($M380&lt;-2,"Baixa","Adequada")))</f>
        <v/>
      </c>
      <c r="O380" s="12">
        <f>IF(OR($S380="",$F380="",$T380="",$T380&lt;0,$T380&gt;120,$AJ380=""),"—",ROUND(IF(ABS($AM380)&lt;=3,$AM380,IF($AM380&gt;3,3+($F380-$AO380)/($AO380-$AN380),-3+($F380-$AQ380)/($AP380-$AQ380))),2))</f>
        <v/>
      </c>
      <c r="P380">
        <f>IF(OR($O380="",$O380="—"),"",IF($O380&lt;-3,"Muito baixo",IF($O380&lt;-2,"Baixo",IF($O380&lt;=2,"Adequado","Elevado"))))</f>
        <v/>
      </c>
      <c r="Q380" s="12">
        <f>IF(OR($S380="",$F380="",$T380="",$T380&lt;0,$T380&gt;60,$AR380=""),"—",ROUND(IF(ABS($AU380)&lt;=3,$AU380,IF($AU380&gt;3,3+($F380-$AW380)/($AW380-$AV380),-3+($F380-$AY380)/($AX380-$AY380))),2))</f>
        <v/>
      </c>
      <c r="R380">
        <f>IF(OR($Q380="",$Q380="—"),"",IF($Q380&lt;-3,"Magreza acentuada",IF($Q380&lt;-2,"Magreza",IF($Q380&lt;=1,"Eutrofia",IF($Q380&lt;=2,"Risco de sobrepeso",IF($Q380&lt;=3,"Sobrepeso","Obesidade"))))))</f>
        <v/>
      </c>
      <c r="S380">
        <f>IF($C380="","",IF(UPPER(LEFT($C380,1))="M",1,IF(UPPER(LEFT($C380,1))="F",2,"")))</f>
        <v/>
      </c>
      <c r="T380">
        <f>IF(OR($D380="",$E380=""),"",DATEDIF($D380,$E380,"m"))</f>
        <v/>
      </c>
      <c r="U380">
        <f>IF(OR($D380="",$E380=""),"",$E380-$D380)</f>
        <v/>
      </c>
      <c r="V380">
        <f>IF(OR($G380="",$T380=""),"",IF($T380&lt;24,IF(LEFT(LOWER($H380),4)="em p",$G380+0.7,$G380),IF(LEFT(LOWER($H380),4)="deit",$G380-0.7,$G380)))</f>
        <v/>
      </c>
      <c r="W380">
        <f>IF(OR($S380="",$T380=""),"",$S380*1000000+IF($T380&lt;=60,$U380,$T380))</f>
        <v/>
      </c>
      <c r="X380">
        <f>IF(OR($S380="",$V380="",$T380&gt;60,$T380=""),"",$S380*1000000+ROUND($V380*10,0))</f>
        <v/>
      </c>
      <c r="Y380">
        <f>IF($W380="","",IFERROR(INDEX(IF($T380&lt;=60,imc05_l,imc519_l),MATCH($W380,IF($T380&lt;=60,imc05_k,imc519_k),1)),""))</f>
        <v/>
      </c>
      <c r="Z380">
        <f>IF($W380="","",IFERROR(INDEX(IF($T380&lt;=60,imc05_m,imc519_m),MATCH($W380,IF($T380&lt;=60,imc05_k,imc519_k),1)),""))</f>
        <v/>
      </c>
      <c r="AA380">
        <f>IF($W380="","",IFERROR(INDEX(IF($T380&lt;=60,imc05_s,imc519_s),MATCH($W380,IF($T380&lt;=60,imc05_k,imc519_k),1)),""))</f>
        <v/>
      </c>
      <c r="AB380">
        <f>IF($Y380="","",IF($Y380=0,LN($J380/$Z380)/$AA380,((($J380/$Z380)^$Y380)-1)/($Y380*$AA380)))</f>
        <v/>
      </c>
      <c r="AC380">
        <f>IF($Y380="","",IF($Y380=0,$Z380*EXP($AA380*2),$Z380*(1+$Y380*$AA380*2)^(1/$Y380)))</f>
        <v/>
      </c>
      <c r="AD380">
        <f>IF($Y380="","",IF($Y380=0,$Z380*EXP($AA380*3),$Z380*(1+$Y380*$AA380*3)^(1/$Y380)))</f>
        <v/>
      </c>
      <c r="AE380">
        <f>IF($Y380="","",IF($Y380=0,$Z380*EXP($AA380*-2),$Z380*(1+$Y380*$AA380*-2)^(1/$Y380)))</f>
        <v/>
      </c>
      <c r="AF380">
        <f>IF($Y380="","",IF($Y380=0,$Z380*EXP($AA380*-3),$Z380*(1+$Y380*$AA380*-3)^(1/$Y380)))</f>
        <v/>
      </c>
      <c r="AG380">
        <f>IF($W380="","",IFERROR(INDEX(IF($T380&lt;=60,est05_l,est519_l),MATCH($W380,IF($T380&lt;=60,est05_k,est519_k),1)),""))</f>
        <v/>
      </c>
      <c r="AH380">
        <f>IF($W380="","",IFERROR(INDEX(IF($T380&lt;=60,est05_m,est519_m),MATCH($W380,IF($T380&lt;=60,est05_k,est519_k),1)),""))</f>
        <v/>
      </c>
      <c r="AI380">
        <f>IF($W380="","",IFERROR(INDEX(IF($T380&lt;=60,est05_s,est519_s),MATCH($W380,IF($T380&lt;=60,est05_k,est519_k),1)),""))</f>
        <v/>
      </c>
      <c r="AJ380">
        <f>IF($W380="","",IFERROR(INDEX(IF($T380&lt;=60,peso05_l,peso510_l),MATCH($W380,IF($T380&lt;=60,peso05_k,peso510_k),1)),""))</f>
        <v/>
      </c>
      <c r="AK380">
        <f>IF($W380="","",IFERROR(INDEX(IF($T380&lt;=60,peso05_m,peso510_m),MATCH($W380,IF($T380&lt;=60,peso05_k,peso510_k),1)),""))</f>
        <v/>
      </c>
      <c r="AL380">
        <f>IF($W380="","",IFERROR(INDEX(IF($T380&lt;=60,peso05_s,peso510_s),MATCH($W380,IF($T380&lt;=60,peso05_k,peso510_k),1)),""))</f>
        <v/>
      </c>
      <c r="AM380">
        <f>IF($AJ380="","",IF($AJ380=0,LN($F380/$AK380)/$AL380,((($F380/$AK380)^$AJ380)-1)/($AJ380*$AL380)))</f>
        <v/>
      </c>
      <c r="AN380">
        <f>IF($AJ380="","",IF($AJ380=0,$AK380*EXP($AL380*2),$AK380*(1+$AJ380*$AL380*2)^(1/$AJ380)))</f>
        <v/>
      </c>
      <c r="AO380">
        <f>IF($AJ380="","",IF($AJ380=0,$AK380*EXP($AL380*3),$AK380*(1+$AJ380*$AL380*3)^(1/$AJ380)))</f>
        <v/>
      </c>
      <c r="AP380">
        <f>IF($AJ380="","",IF($AJ380=0,$AK380*EXP($AL380*-2),$AK380*(1+$AJ380*$AL380*-2)^(1/$AJ380)))</f>
        <v/>
      </c>
      <c r="AQ380">
        <f>IF($AJ380="","",IF($AJ380=0,$AK380*EXP($AL380*-3),$AK380*(1+$AJ380*$AL380*-3)^(1/$AJ380)))</f>
        <v/>
      </c>
      <c r="AR380">
        <f>IF(OR($X380="",$T380&gt;60),"",IFERROR(INDEX(IF($T380&lt;24,pcomp_l,palt_l),MATCH($X380,IF($T380&lt;24,pcomp_k,palt_k),1)),""))</f>
        <v/>
      </c>
      <c r="AS380">
        <f>IF(OR($X380="",$T380&gt;60),"",IFERROR(INDEX(IF($T380&lt;24,pcomp_m,palt_m),MATCH($X380,IF($T380&lt;24,pcomp_k,palt_k),1)),""))</f>
        <v/>
      </c>
      <c r="AT380">
        <f>IF(OR($X380="",$T380&gt;60),"",IFERROR(INDEX(IF($T380&lt;24,pcomp_s,palt_s),MATCH($X380,IF($T380&lt;24,pcomp_k,palt_k),1)),""))</f>
        <v/>
      </c>
      <c r="AU380">
        <f>IF($AR380="","",IF($AR380=0,LN($F380/$AS380)/$AT380,((($F380/$AS380)^$AR380)-1)/($AR380*$AT380)))</f>
        <v/>
      </c>
      <c r="AV380">
        <f>IF($AR380="","",IF($AR380=0,$AS380*EXP($AT380*2),$AS380*(1+$AR380*$AT380*2)^(1/$AR380)))</f>
        <v/>
      </c>
      <c r="AW380">
        <f>IF($AR380="","",IF($AR380=0,$AS380*EXP($AT380*3),$AS380*(1+$AR380*$AT380*3)^(1/$AR380)))</f>
        <v/>
      </c>
      <c r="AX380">
        <f>IF($AR380="","",IF($AR380=0,$AS380*EXP($AT380*-2),$AS380*(1+$AR380*$AT380*-2)^(1/$AR380)))</f>
        <v/>
      </c>
      <c r="AY380">
        <f>IF($AR380="","",IF($AR380=0,$AS380*EXP($AT380*-3),$AS380*(1+$AR380*$AT380*-3)^(1/$AR380)))</f>
        <v/>
      </c>
      <c r="AZ380">
        <f>IF(OR($A380="",$A380&lt;&gt;Ficha!$C$4),"",COUNTIF($A$2:$A380,Ficha!$C$4))</f>
        <v/>
      </c>
    </row>
    <row r="381">
      <c r="A381" s="8">
        <f>IF(INDEX(Banco!$A:$A,ROW())="","",INDEX(Banco!$A:$A,ROW()))</f>
        <v/>
      </c>
      <c r="B381" s="8">
        <f>IF(INDEX(Banco!$B:$B,ROW())="","",INDEX(Banco!$B:$B,ROW()))</f>
        <v/>
      </c>
      <c r="C381" s="8">
        <f>IF(INDEX(Banco!$C:$C,ROW())="","",INDEX(Banco!$C:$C,ROW()))</f>
        <v/>
      </c>
      <c r="D381" s="9">
        <f>IF(INDEX(Banco!$D:$D,ROW())="","",INDEX(Banco!$D:$D,ROW()))</f>
        <v/>
      </c>
      <c r="E381" s="9">
        <f>IF(INDEX(Banco!$E:$E,ROW())="","",INDEX(Banco!$E:$E,ROW()))</f>
        <v/>
      </c>
      <c r="F381" s="10">
        <f>IF(INDEX(Banco!$F:$F,ROW())="","",INDEX(Banco!$F:$F,ROW()))</f>
        <v/>
      </c>
      <c r="G381" s="10">
        <f>IF(INDEX(Banco!$G:$G,ROW())="","",INDEX(Banco!$G:$G,ROW()))</f>
        <v/>
      </c>
      <c r="H381" s="8">
        <f>IF(INDEX(Banco!$H:$H,ROW())="","",INDEX(Banco!$H:$H,ROW()))</f>
        <v/>
      </c>
      <c r="I381">
        <f>IF($T381="","",INT($T381/12)&amp;"a "&amp;MOD($T381,12)&amp;"m")</f>
        <v/>
      </c>
      <c r="J381" s="11">
        <f>IF(OR($F381="",$G381=""),"",ROUND($F381/($G381/100)^2,2))</f>
        <v/>
      </c>
      <c r="K381" s="12">
        <f>IF(OR($S381="",$J381="",$T381="",$T381&lt;0,$T381&gt;228,$Y381=""),"—",ROUND(IF(ABS($AB381)&lt;=3,$AB381,IF($AB381&gt;3,3+($J381-$AD381)/($AD381-$AC381),-3+($J381-$AF381)/($AE381-$AF381))),2))</f>
        <v/>
      </c>
      <c r="L381">
        <f>IF(OR($K381="",$K381="—"),"",IF($T381&lt;=60,IF($K381&lt;-3,"Magreza acentuada",IF($K381&lt;-2,"Magreza",IF($K381&lt;=1,"Eutrofia",IF($K381&lt;=2,"Risco de sobrepeso",IF($K381&lt;=3,"Sobrepeso","Obesidade"))))),IF($K381&lt;-3,"Magreza acentuada",IF($K381&lt;-2,"Magreza",IF($K381&lt;=1,"Eutrofia",IF($K381&lt;=2,"Sobrepeso",IF($K381&lt;=3,"Obesidade","Obesidade grave")))))))</f>
        <v/>
      </c>
      <c r="M381" s="12">
        <f>IF(OR($S381="",$V381="",$T381="",$T381&lt;0,$T381&gt;228,$AG381=""),"—",ROUND(IF($AG381=0,LN($V381/$AH381)/$AI381,((($V381/$AH381)^$AG381)-1)/($AG381*$AI381)),2))</f>
        <v/>
      </c>
      <c r="N381">
        <f>IF(OR($M381="",$M381="—"),"",IF($M381&lt;-3,"Muito baixa",IF($M381&lt;-2,"Baixa","Adequada")))</f>
        <v/>
      </c>
      <c r="O381" s="12">
        <f>IF(OR($S381="",$F381="",$T381="",$T381&lt;0,$T381&gt;120,$AJ381=""),"—",ROUND(IF(ABS($AM381)&lt;=3,$AM381,IF($AM381&gt;3,3+($F381-$AO381)/($AO381-$AN381),-3+($F381-$AQ381)/($AP381-$AQ381))),2))</f>
        <v/>
      </c>
      <c r="P381">
        <f>IF(OR($O381="",$O381="—"),"",IF($O381&lt;-3,"Muito baixo",IF($O381&lt;-2,"Baixo",IF($O381&lt;=2,"Adequado","Elevado"))))</f>
        <v/>
      </c>
      <c r="Q381" s="12">
        <f>IF(OR($S381="",$F381="",$T381="",$T381&lt;0,$T381&gt;60,$AR381=""),"—",ROUND(IF(ABS($AU381)&lt;=3,$AU381,IF($AU381&gt;3,3+($F381-$AW381)/($AW381-$AV381),-3+($F381-$AY381)/($AX381-$AY381))),2))</f>
        <v/>
      </c>
      <c r="R381">
        <f>IF(OR($Q381="",$Q381="—"),"",IF($Q381&lt;-3,"Magreza acentuada",IF($Q381&lt;-2,"Magreza",IF($Q381&lt;=1,"Eutrofia",IF($Q381&lt;=2,"Risco de sobrepeso",IF($Q381&lt;=3,"Sobrepeso","Obesidade"))))))</f>
        <v/>
      </c>
      <c r="S381">
        <f>IF($C381="","",IF(UPPER(LEFT($C381,1))="M",1,IF(UPPER(LEFT($C381,1))="F",2,"")))</f>
        <v/>
      </c>
      <c r="T381">
        <f>IF(OR($D381="",$E381=""),"",DATEDIF($D381,$E381,"m"))</f>
        <v/>
      </c>
      <c r="U381">
        <f>IF(OR($D381="",$E381=""),"",$E381-$D381)</f>
        <v/>
      </c>
      <c r="V381">
        <f>IF(OR($G381="",$T381=""),"",IF($T381&lt;24,IF(LEFT(LOWER($H381),4)="em p",$G381+0.7,$G381),IF(LEFT(LOWER($H381),4)="deit",$G381-0.7,$G381)))</f>
        <v/>
      </c>
      <c r="W381">
        <f>IF(OR($S381="",$T381=""),"",$S381*1000000+IF($T381&lt;=60,$U381,$T381))</f>
        <v/>
      </c>
      <c r="X381">
        <f>IF(OR($S381="",$V381="",$T381&gt;60,$T381=""),"",$S381*1000000+ROUND($V381*10,0))</f>
        <v/>
      </c>
      <c r="Y381">
        <f>IF($W381="","",IFERROR(INDEX(IF($T381&lt;=60,imc05_l,imc519_l),MATCH($W381,IF($T381&lt;=60,imc05_k,imc519_k),1)),""))</f>
        <v/>
      </c>
      <c r="Z381">
        <f>IF($W381="","",IFERROR(INDEX(IF($T381&lt;=60,imc05_m,imc519_m),MATCH($W381,IF($T381&lt;=60,imc05_k,imc519_k),1)),""))</f>
        <v/>
      </c>
      <c r="AA381">
        <f>IF($W381="","",IFERROR(INDEX(IF($T381&lt;=60,imc05_s,imc519_s),MATCH($W381,IF($T381&lt;=60,imc05_k,imc519_k),1)),""))</f>
        <v/>
      </c>
      <c r="AB381">
        <f>IF($Y381="","",IF($Y381=0,LN($J381/$Z381)/$AA381,((($J381/$Z381)^$Y381)-1)/($Y381*$AA381)))</f>
        <v/>
      </c>
      <c r="AC381">
        <f>IF($Y381="","",IF($Y381=0,$Z381*EXP($AA381*2),$Z381*(1+$Y381*$AA381*2)^(1/$Y381)))</f>
        <v/>
      </c>
      <c r="AD381">
        <f>IF($Y381="","",IF($Y381=0,$Z381*EXP($AA381*3),$Z381*(1+$Y381*$AA381*3)^(1/$Y381)))</f>
        <v/>
      </c>
      <c r="AE381">
        <f>IF($Y381="","",IF($Y381=0,$Z381*EXP($AA381*-2),$Z381*(1+$Y381*$AA381*-2)^(1/$Y381)))</f>
        <v/>
      </c>
      <c r="AF381">
        <f>IF($Y381="","",IF($Y381=0,$Z381*EXP($AA381*-3),$Z381*(1+$Y381*$AA381*-3)^(1/$Y381)))</f>
        <v/>
      </c>
      <c r="AG381">
        <f>IF($W381="","",IFERROR(INDEX(IF($T381&lt;=60,est05_l,est519_l),MATCH($W381,IF($T381&lt;=60,est05_k,est519_k),1)),""))</f>
        <v/>
      </c>
      <c r="AH381">
        <f>IF($W381="","",IFERROR(INDEX(IF($T381&lt;=60,est05_m,est519_m),MATCH($W381,IF($T381&lt;=60,est05_k,est519_k),1)),""))</f>
        <v/>
      </c>
      <c r="AI381">
        <f>IF($W381="","",IFERROR(INDEX(IF($T381&lt;=60,est05_s,est519_s),MATCH($W381,IF($T381&lt;=60,est05_k,est519_k),1)),""))</f>
        <v/>
      </c>
      <c r="AJ381">
        <f>IF($W381="","",IFERROR(INDEX(IF($T381&lt;=60,peso05_l,peso510_l),MATCH($W381,IF($T381&lt;=60,peso05_k,peso510_k),1)),""))</f>
        <v/>
      </c>
      <c r="AK381">
        <f>IF($W381="","",IFERROR(INDEX(IF($T381&lt;=60,peso05_m,peso510_m),MATCH($W381,IF($T381&lt;=60,peso05_k,peso510_k),1)),""))</f>
        <v/>
      </c>
      <c r="AL381">
        <f>IF($W381="","",IFERROR(INDEX(IF($T381&lt;=60,peso05_s,peso510_s),MATCH($W381,IF($T381&lt;=60,peso05_k,peso510_k),1)),""))</f>
        <v/>
      </c>
      <c r="AM381">
        <f>IF($AJ381="","",IF($AJ381=0,LN($F381/$AK381)/$AL381,((($F381/$AK381)^$AJ381)-1)/($AJ381*$AL381)))</f>
        <v/>
      </c>
      <c r="AN381">
        <f>IF($AJ381="","",IF($AJ381=0,$AK381*EXP($AL381*2),$AK381*(1+$AJ381*$AL381*2)^(1/$AJ381)))</f>
        <v/>
      </c>
      <c r="AO381">
        <f>IF($AJ381="","",IF($AJ381=0,$AK381*EXP($AL381*3),$AK381*(1+$AJ381*$AL381*3)^(1/$AJ381)))</f>
        <v/>
      </c>
      <c r="AP381">
        <f>IF($AJ381="","",IF($AJ381=0,$AK381*EXP($AL381*-2),$AK381*(1+$AJ381*$AL381*-2)^(1/$AJ381)))</f>
        <v/>
      </c>
      <c r="AQ381">
        <f>IF($AJ381="","",IF($AJ381=0,$AK381*EXP($AL381*-3),$AK381*(1+$AJ381*$AL381*-3)^(1/$AJ381)))</f>
        <v/>
      </c>
      <c r="AR381">
        <f>IF(OR($X381="",$T381&gt;60),"",IFERROR(INDEX(IF($T381&lt;24,pcomp_l,palt_l),MATCH($X381,IF($T381&lt;24,pcomp_k,palt_k),1)),""))</f>
        <v/>
      </c>
      <c r="AS381">
        <f>IF(OR($X381="",$T381&gt;60),"",IFERROR(INDEX(IF($T381&lt;24,pcomp_m,palt_m),MATCH($X381,IF($T381&lt;24,pcomp_k,palt_k),1)),""))</f>
        <v/>
      </c>
      <c r="AT381">
        <f>IF(OR($X381="",$T381&gt;60),"",IFERROR(INDEX(IF($T381&lt;24,pcomp_s,palt_s),MATCH($X381,IF($T381&lt;24,pcomp_k,palt_k),1)),""))</f>
        <v/>
      </c>
      <c r="AU381">
        <f>IF($AR381="","",IF($AR381=0,LN($F381/$AS381)/$AT381,((($F381/$AS381)^$AR381)-1)/($AR381*$AT381)))</f>
        <v/>
      </c>
      <c r="AV381">
        <f>IF($AR381="","",IF($AR381=0,$AS381*EXP($AT381*2),$AS381*(1+$AR381*$AT381*2)^(1/$AR381)))</f>
        <v/>
      </c>
      <c r="AW381">
        <f>IF($AR381="","",IF($AR381=0,$AS381*EXP($AT381*3),$AS381*(1+$AR381*$AT381*3)^(1/$AR381)))</f>
        <v/>
      </c>
      <c r="AX381">
        <f>IF($AR381="","",IF($AR381=0,$AS381*EXP($AT381*-2),$AS381*(1+$AR381*$AT381*-2)^(1/$AR381)))</f>
        <v/>
      </c>
      <c r="AY381">
        <f>IF($AR381="","",IF($AR381=0,$AS381*EXP($AT381*-3),$AS381*(1+$AR381*$AT381*-3)^(1/$AR381)))</f>
        <v/>
      </c>
      <c r="AZ381">
        <f>IF(OR($A381="",$A381&lt;&gt;Ficha!$C$4),"",COUNTIF($A$2:$A381,Ficha!$C$4))</f>
        <v/>
      </c>
    </row>
    <row r="382">
      <c r="A382" s="8">
        <f>IF(INDEX(Banco!$A:$A,ROW())="","",INDEX(Banco!$A:$A,ROW()))</f>
        <v/>
      </c>
      <c r="B382" s="8">
        <f>IF(INDEX(Banco!$B:$B,ROW())="","",INDEX(Banco!$B:$B,ROW()))</f>
        <v/>
      </c>
      <c r="C382" s="8">
        <f>IF(INDEX(Banco!$C:$C,ROW())="","",INDEX(Banco!$C:$C,ROW()))</f>
        <v/>
      </c>
      <c r="D382" s="9">
        <f>IF(INDEX(Banco!$D:$D,ROW())="","",INDEX(Banco!$D:$D,ROW()))</f>
        <v/>
      </c>
      <c r="E382" s="9">
        <f>IF(INDEX(Banco!$E:$E,ROW())="","",INDEX(Banco!$E:$E,ROW()))</f>
        <v/>
      </c>
      <c r="F382" s="10">
        <f>IF(INDEX(Banco!$F:$F,ROW())="","",INDEX(Banco!$F:$F,ROW()))</f>
        <v/>
      </c>
      <c r="G382" s="10">
        <f>IF(INDEX(Banco!$G:$G,ROW())="","",INDEX(Banco!$G:$G,ROW()))</f>
        <v/>
      </c>
      <c r="H382" s="8">
        <f>IF(INDEX(Banco!$H:$H,ROW())="","",INDEX(Banco!$H:$H,ROW()))</f>
        <v/>
      </c>
      <c r="I382">
        <f>IF($T382="","",INT($T382/12)&amp;"a "&amp;MOD($T382,12)&amp;"m")</f>
        <v/>
      </c>
      <c r="J382" s="11">
        <f>IF(OR($F382="",$G382=""),"",ROUND($F382/($G382/100)^2,2))</f>
        <v/>
      </c>
      <c r="K382" s="12">
        <f>IF(OR($S382="",$J382="",$T382="",$T382&lt;0,$T382&gt;228,$Y382=""),"—",ROUND(IF(ABS($AB382)&lt;=3,$AB382,IF($AB382&gt;3,3+($J382-$AD382)/($AD382-$AC382),-3+($J382-$AF382)/($AE382-$AF382))),2))</f>
        <v/>
      </c>
      <c r="L382">
        <f>IF(OR($K382="",$K382="—"),"",IF($T382&lt;=60,IF($K382&lt;-3,"Magreza acentuada",IF($K382&lt;-2,"Magreza",IF($K382&lt;=1,"Eutrofia",IF($K382&lt;=2,"Risco de sobrepeso",IF($K382&lt;=3,"Sobrepeso","Obesidade"))))),IF($K382&lt;-3,"Magreza acentuada",IF($K382&lt;-2,"Magreza",IF($K382&lt;=1,"Eutrofia",IF($K382&lt;=2,"Sobrepeso",IF($K382&lt;=3,"Obesidade","Obesidade grave")))))))</f>
        <v/>
      </c>
      <c r="M382" s="12">
        <f>IF(OR($S382="",$V382="",$T382="",$T382&lt;0,$T382&gt;228,$AG382=""),"—",ROUND(IF($AG382=0,LN($V382/$AH382)/$AI382,((($V382/$AH382)^$AG382)-1)/($AG382*$AI382)),2))</f>
        <v/>
      </c>
      <c r="N382">
        <f>IF(OR($M382="",$M382="—"),"",IF($M382&lt;-3,"Muito baixa",IF($M382&lt;-2,"Baixa","Adequada")))</f>
        <v/>
      </c>
      <c r="O382" s="12">
        <f>IF(OR($S382="",$F382="",$T382="",$T382&lt;0,$T382&gt;120,$AJ382=""),"—",ROUND(IF(ABS($AM382)&lt;=3,$AM382,IF($AM382&gt;3,3+($F382-$AO382)/($AO382-$AN382),-3+($F382-$AQ382)/($AP382-$AQ382))),2))</f>
        <v/>
      </c>
      <c r="P382">
        <f>IF(OR($O382="",$O382="—"),"",IF($O382&lt;-3,"Muito baixo",IF($O382&lt;-2,"Baixo",IF($O382&lt;=2,"Adequado","Elevado"))))</f>
        <v/>
      </c>
      <c r="Q382" s="12">
        <f>IF(OR($S382="",$F382="",$T382="",$T382&lt;0,$T382&gt;60,$AR382=""),"—",ROUND(IF(ABS($AU382)&lt;=3,$AU382,IF($AU382&gt;3,3+($F382-$AW382)/($AW382-$AV382),-3+($F382-$AY382)/($AX382-$AY382))),2))</f>
        <v/>
      </c>
      <c r="R382">
        <f>IF(OR($Q382="",$Q382="—"),"",IF($Q382&lt;-3,"Magreza acentuada",IF($Q382&lt;-2,"Magreza",IF($Q382&lt;=1,"Eutrofia",IF($Q382&lt;=2,"Risco de sobrepeso",IF($Q382&lt;=3,"Sobrepeso","Obesidade"))))))</f>
        <v/>
      </c>
      <c r="S382">
        <f>IF($C382="","",IF(UPPER(LEFT($C382,1))="M",1,IF(UPPER(LEFT($C382,1))="F",2,"")))</f>
        <v/>
      </c>
      <c r="T382">
        <f>IF(OR($D382="",$E382=""),"",DATEDIF($D382,$E382,"m"))</f>
        <v/>
      </c>
      <c r="U382">
        <f>IF(OR($D382="",$E382=""),"",$E382-$D382)</f>
        <v/>
      </c>
      <c r="V382">
        <f>IF(OR($G382="",$T382=""),"",IF($T382&lt;24,IF(LEFT(LOWER($H382),4)="em p",$G382+0.7,$G382),IF(LEFT(LOWER($H382),4)="deit",$G382-0.7,$G382)))</f>
        <v/>
      </c>
      <c r="W382">
        <f>IF(OR($S382="",$T382=""),"",$S382*1000000+IF($T382&lt;=60,$U382,$T382))</f>
        <v/>
      </c>
      <c r="X382">
        <f>IF(OR($S382="",$V382="",$T382&gt;60,$T382=""),"",$S382*1000000+ROUND($V382*10,0))</f>
        <v/>
      </c>
      <c r="Y382">
        <f>IF($W382="","",IFERROR(INDEX(IF($T382&lt;=60,imc05_l,imc519_l),MATCH($W382,IF($T382&lt;=60,imc05_k,imc519_k),1)),""))</f>
        <v/>
      </c>
      <c r="Z382">
        <f>IF($W382="","",IFERROR(INDEX(IF($T382&lt;=60,imc05_m,imc519_m),MATCH($W382,IF($T382&lt;=60,imc05_k,imc519_k),1)),""))</f>
        <v/>
      </c>
      <c r="AA382">
        <f>IF($W382="","",IFERROR(INDEX(IF($T382&lt;=60,imc05_s,imc519_s),MATCH($W382,IF($T382&lt;=60,imc05_k,imc519_k),1)),""))</f>
        <v/>
      </c>
      <c r="AB382">
        <f>IF($Y382="","",IF($Y382=0,LN($J382/$Z382)/$AA382,((($J382/$Z382)^$Y382)-1)/($Y382*$AA382)))</f>
        <v/>
      </c>
      <c r="AC382">
        <f>IF($Y382="","",IF($Y382=0,$Z382*EXP($AA382*2),$Z382*(1+$Y382*$AA382*2)^(1/$Y382)))</f>
        <v/>
      </c>
      <c r="AD382">
        <f>IF($Y382="","",IF($Y382=0,$Z382*EXP($AA382*3),$Z382*(1+$Y382*$AA382*3)^(1/$Y382)))</f>
        <v/>
      </c>
      <c r="AE382">
        <f>IF($Y382="","",IF($Y382=0,$Z382*EXP($AA382*-2),$Z382*(1+$Y382*$AA382*-2)^(1/$Y382)))</f>
        <v/>
      </c>
      <c r="AF382">
        <f>IF($Y382="","",IF($Y382=0,$Z382*EXP($AA382*-3),$Z382*(1+$Y382*$AA382*-3)^(1/$Y382)))</f>
        <v/>
      </c>
      <c r="AG382">
        <f>IF($W382="","",IFERROR(INDEX(IF($T382&lt;=60,est05_l,est519_l),MATCH($W382,IF($T382&lt;=60,est05_k,est519_k),1)),""))</f>
        <v/>
      </c>
      <c r="AH382">
        <f>IF($W382="","",IFERROR(INDEX(IF($T382&lt;=60,est05_m,est519_m),MATCH($W382,IF($T382&lt;=60,est05_k,est519_k),1)),""))</f>
        <v/>
      </c>
      <c r="AI382">
        <f>IF($W382="","",IFERROR(INDEX(IF($T382&lt;=60,est05_s,est519_s),MATCH($W382,IF($T382&lt;=60,est05_k,est519_k),1)),""))</f>
        <v/>
      </c>
      <c r="AJ382">
        <f>IF($W382="","",IFERROR(INDEX(IF($T382&lt;=60,peso05_l,peso510_l),MATCH($W382,IF($T382&lt;=60,peso05_k,peso510_k),1)),""))</f>
        <v/>
      </c>
      <c r="AK382">
        <f>IF($W382="","",IFERROR(INDEX(IF($T382&lt;=60,peso05_m,peso510_m),MATCH($W382,IF($T382&lt;=60,peso05_k,peso510_k),1)),""))</f>
        <v/>
      </c>
      <c r="AL382">
        <f>IF($W382="","",IFERROR(INDEX(IF($T382&lt;=60,peso05_s,peso510_s),MATCH($W382,IF($T382&lt;=60,peso05_k,peso510_k),1)),""))</f>
        <v/>
      </c>
      <c r="AM382">
        <f>IF($AJ382="","",IF($AJ382=0,LN($F382/$AK382)/$AL382,((($F382/$AK382)^$AJ382)-1)/($AJ382*$AL382)))</f>
        <v/>
      </c>
      <c r="AN382">
        <f>IF($AJ382="","",IF($AJ382=0,$AK382*EXP($AL382*2),$AK382*(1+$AJ382*$AL382*2)^(1/$AJ382)))</f>
        <v/>
      </c>
      <c r="AO382">
        <f>IF($AJ382="","",IF($AJ382=0,$AK382*EXP($AL382*3),$AK382*(1+$AJ382*$AL382*3)^(1/$AJ382)))</f>
        <v/>
      </c>
      <c r="AP382">
        <f>IF($AJ382="","",IF($AJ382=0,$AK382*EXP($AL382*-2),$AK382*(1+$AJ382*$AL382*-2)^(1/$AJ382)))</f>
        <v/>
      </c>
      <c r="AQ382">
        <f>IF($AJ382="","",IF($AJ382=0,$AK382*EXP($AL382*-3),$AK382*(1+$AJ382*$AL382*-3)^(1/$AJ382)))</f>
        <v/>
      </c>
      <c r="AR382">
        <f>IF(OR($X382="",$T382&gt;60),"",IFERROR(INDEX(IF($T382&lt;24,pcomp_l,palt_l),MATCH($X382,IF($T382&lt;24,pcomp_k,palt_k),1)),""))</f>
        <v/>
      </c>
      <c r="AS382">
        <f>IF(OR($X382="",$T382&gt;60),"",IFERROR(INDEX(IF($T382&lt;24,pcomp_m,palt_m),MATCH($X382,IF($T382&lt;24,pcomp_k,palt_k),1)),""))</f>
        <v/>
      </c>
      <c r="AT382">
        <f>IF(OR($X382="",$T382&gt;60),"",IFERROR(INDEX(IF($T382&lt;24,pcomp_s,palt_s),MATCH($X382,IF($T382&lt;24,pcomp_k,palt_k),1)),""))</f>
        <v/>
      </c>
      <c r="AU382">
        <f>IF($AR382="","",IF($AR382=0,LN($F382/$AS382)/$AT382,((($F382/$AS382)^$AR382)-1)/($AR382*$AT382)))</f>
        <v/>
      </c>
      <c r="AV382">
        <f>IF($AR382="","",IF($AR382=0,$AS382*EXP($AT382*2),$AS382*(1+$AR382*$AT382*2)^(1/$AR382)))</f>
        <v/>
      </c>
      <c r="AW382">
        <f>IF($AR382="","",IF($AR382=0,$AS382*EXP($AT382*3),$AS382*(1+$AR382*$AT382*3)^(1/$AR382)))</f>
        <v/>
      </c>
      <c r="AX382">
        <f>IF($AR382="","",IF($AR382=0,$AS382*EXP($AT382*-2),$AS382*(1+$AR382*$AT382*-2)^(1/$AR382)))</f>
        <v/>
      </c>
      <c r="AY382">
        <f>IF($AR382="","",IF($AR382=0,$AS382*EXP($AT382*-3),$AS382*(1+$AR382*$AT382*-3)^(1/$AR382)))</f>
        <v/>
      </c>
      <c r="AZ382">
        <f>IF(OR($A382="",$A382&lt;&gt;Ficha!$C$4),"",COUNTIF($A$2:$A382,Ficha!$C$4))</f>
        <v/>
      </c>
    </row>
    <row r="383">
      <c r="A383" s="8">
        <f>IF(INDEX(Banco!$A:$A,ROW())="","",INDEX(Banco!$A:$A,ROW()))</f>
        <v/>
      </c>
      <c r="B383" s="8">
        <f>IF(INDEX(Banco!$B:$B,ROW())="","",INDEX(Banco!$B:$B,ROW()))</f>
        <v/>
      </c>
      <c r="C383" s="8">
        <f>IF(INDEX(Banco!$C:$C,ROW())="","",INDEX(Banco!$C:$C,ROW()))</f>
        <v/>
      </c>
      <c r="D383" s="9">
        <f>IF(INDEX(Banco!$D:$D,ROW())="","",INDEX(Banco!$D:$D,ROW()))</f>
        <v/>
      </c>
      <c r="E383" s="9">
        <f>IF(INDEX(Banco!$E:$E,ROW())="","",INDEX(Banco!$E:$E,ROW()))</f>
        <v/>
      </c>
      <c r="F383" s="10">
        <f>IF(INDEX(Banco!$F:$F,ROW())="","",INDEX(Banco!$F:$F,ROW()))</f>
        <v/>
      </c>
      <c r="G383" s="10">
        <f>IF(INDEX(Banco!$G:$G,ROW())="","",INDEX(Banco!$G:$G,ROW()))</f>
        <v/>
      </c>
      <c r="H383" s="8">
        <f>IF(INDEX(Banco!$H:$H,ROW())="","",INDEX(Banco!$H:$H,ROW()))</f>
        <v/>
      </c>
      <c r="I383">
        <f>IF($T383="","",INT($T383/12)&amp;"a "&amp;MOD($T383,12)&amp;"m")</f>
        <v/>
      </c>
      <c r="J383" s="11">
        <f>IF(OR($F383="",$G383=""),"",ROUND($F383/($G383/100)^2,2))</f>
        <v/>
      </c>
      <c r="K383" s="12">
        <f>IF(OR($S383="",$J383="",$T383="",$T383&lt;0,$T383&gt;228,$Y383=""),"—",ROUND(IF(ABS($AB383)&lt;=3,$AB383,IF($AB383&gt;3,3+($J383-$AD383)/($AD383-$AC383),-3+($J383-$AF383)/($AE383-$AF383))),2))</f>
        <v/>
      </c>
      <c r="L383">
        <f>IF(OR($K383="",$K383="—"),"",IF($T383&lt;=60,IF($K383&lt;-3,"Magreza acentuada",IF($K383&lt;-2,"Magreza",IF($K383&lt;=1,"Eutrofia",IF($K383&lt;=2,"Risco de sobrepeso",IF($K383&lt;=3,"Sobrepeso","Obesidade"))))),IF($K383&lt;-3,"Magreza acentuada",IF($K383&lt;-2,"Magreza",IF($K383&lt;=1,"Eutrofia",IF($K383&lt;=2,"Sobrepeso",IF($K383&lt;=3,"Obesidade","Obesidade grave")))))))</f>
        <v/>
      </c>
      <c r="M383" s="12">
        <f>IF(OR($S383="",$V383="",$T383="",$T383&lt;0,$T383&gt;228,$AG383=""),"—",ROUND(IF($AG383=0,LN($V383/$AH383)/$AI383,((($V383/$AH383)^$AG383)-1)/($AG383*$AI383)),2))</f>
        <v/>
      </c>
      <c r="N383">
        <f>IF(OR($M383="",$M383="—"),"",IF($M383&lt;-3,"Muito baixa",IF($M383&lt;-2,"Baixa","Adequada")))</f>
        <v/>
      </c>
      <c r="O383" s="12">
        <f>IF(OR($S383="",$F383="",$T383="",$T383&lt;0,$T383&gt;120,$AJ383=""),"—",ROUND(IF(ABS($AM383)&lt;=3,$AM383,IF($AM383&gt;3,3+($F383-$AO383)/($AO383-$AN383),-3+($F383-$AQ383)/($AP383-$AQ383))),2))</f>
        <v/>
      </c>
      <c r="P383">
        <f>IF(OR($O383="",$O383="—"),"",IF($O383&lt;-3,"Muito baixo",IF($O383&lt;-2,"Baixo",IF($O383&lt;=2,"Adequado","Elevado"))))</f>
        <v/>
      </c>
      <c r="Q383" s="12">
        <f>IF(OR($S383="",$F383="",$T383="",$T383&lt;0,$T383&gt;60,$AR383=""),"—",ROUND(IF(ABS($AU383)&lt;=3,$AU383,IF($AU383&gt;3,3+($F383-$AW383)/($AW383-$AV383),-3+($F383-$AY383)/($AX383-$AY383))),2))</f>
        <v/>
      </c>
      <c r="R383">
        <f>IF(OR($Q383="",$Q383="—"),"",IF($Q383&lt;-3,"Magreza acentuada",IF($Q383&lt;-2,"Magreza",IF($Q383&lt;=1,"Eutrofia",IF($Q383&lt;=2,"Risco de sobrepeso",IF($Q383&lt;=3,"Sobrepeso","Obesidade"))))))</f>
        <v/>
      </c>
      <c r="S383">
        <f>IF($C383="","",IF(UPPER(LEFT($C383,1))="M",1,IF(UPPER(LEFT($C383,1))="F",2,"")))</f>
        <v/>
      </c>
      <c r="T383">
        <f>IF(OR($D383="",$E383=""),"",DATEDIF($D383,$E383,"m"))</f>
        <v/>
      </c>
      <c r="U383">
        <f>IF(OR($D383="",$E383=""),"",$E383-$D383)</f>
        <v/>
      </c>
      <c r="V383">
        <f>IF(OR($G383="",$T383=""),"",IF($T383&lt;24,IF(LEFT(LOWER($H383),4)="em p",$G383+0.7,$G383),IF(LEFT(LOWER($H383),4)="deit",$G383-0.7,$G383)))</f>
        <v/>
      </c>
      <c r="W383">
        <f>IF(OR($S383="",$T383=""),"",$S383*1000000+IF($T383&lt;=60,$U383,$T383))</f>
        <v/>
      </c>
      <c r="X383">
        <f>IF(OR($S383="",$V383="",$T383&gt;60,$T383=""),"",$S383*1000000+ROUND($V383*10,0))</f>
        <v/>
      </c>
      <c r="Y383">
        <f>IF($W383="","",IFERROR(INDEX(IF($T383&lt;=60,imc05_l,imc519_l),MATCH($W383,IF($T383&lt;=60,imc05_k,imc519_k),1)),""))</f>
        <v/>
      </c>
      <c r="Z383">
        <f>IF($W383="","",IFERROR(INDEX(IF($T383&lt;=60,imc05_m,imc519_m),MATCH($W383,IF($T383&lt;=60,imc05_k,imc519_k),1)),""))</f>
        <v/>
      </c>
      <c r="AA383">
        <f>IF($W383="","",IFERROR(INDEX(IF($T383&lt;=60,imc05_s,imc519_s),MATCH($W383,IF($T383&lt;=60,imc05_k,imc519_k),1)),""))</f>
        <v/>
      </c>
      <c r="AB383">
        <f>IF($Y383="","",IF($Y383=0,LN($J383/$Z383)/$AA383,((($J383/$Z383)^$Y383)-1)/($Y383*$AA383)))</f>
        <v/>
      </c>
      <c r="AC383">
        <f>IF($Y383="","",IF($Y383=0,$Z383*EXP($AA383*2),$Z383*(1+$Y383*$AA383*2)^(1/$Y383)))</f>
        <v/>
      </c>
      <c r="AD383">
        <f>IF($Y383="","",IF($Y383=0,$Z383*EXP($AA383*3),$Z383*(1+$Y383*$AA383*3)^(1/$Y383)))</f>
        <v/>
      </c>
      <c r="AE383">
        <f>IF($Y383="","",IF($Y383=0,$Z383*EXP($AA383*-2),$Z383*(1+$Y383*$AA383*-2)^(1/$Y383)))</f>
        <v/>
      </c>
      <c r="AF383">
        <f>IF($Y383="","",IF($Y383=0,$Z383*EXP($AA383*-3),$Z383*(1+$Y383*$AA383*-3)^(1/$Y383)))</f>
        <v/>
      </c>
      <c r="AG383">
        <f>IF($W383="","",IFERROR(INDEX(IF($T383&lt;=60,est05_l,est519_l),MATCH($W383,IF($T383&lt;=60,est05_k,est519_k),1)),""))</f>
        <v/>
      </c>
      <c r="AH383">
        <f>IF($W383="","",IFERROR(INDEX(IF($T383&lt;=60,est05_m,est519_m),MATCH($W383,IF($T383&lt;=60,est05_k,est519_k),1)),""))</f>
        <v/>
      </c>
      <c r="AI383">
        <f>IF($W383="","",IFERROR(INDEX(IF($T383&lt;=60,est05_s,est519_s),MATCH($W383,IF($T383&lt;=60,est05_k,est519_k),1)),""))</f>
        <v/>
      </c>
      <c r="AJ383">
        <f>IF($W383="","",IFERROR(INDEX(IF($T383&lt;=60,peso05_l,peso510_l),MATCH($W383,IF($T383&lt;=60,peso05_k,peso510_k),1)),""))</f>
        <v/>
      </c>
      <c r="AK383">
        <f>IF($W383="","",IFERROR(INDEX(IF($T383&lt;=60,peso05_m,peso510_m),MATCH($W383,IF($T383&lt;=60,peso05_k,peso510_k),1)),""))</f>
        <v/>
      </c>
      <c r="AL383">
        <f>IF($W383="","",IFERROR(INDEX(IF($T383&lt;=60,peso05_s,peso510_s),MATCH($W383,IF($T383&lt;=60,peso05_k,peso510_k),1)),""))</f>
        <v/>
      </c>
      <c r="AM383">
        <f>IF($AJ383="","",IF($AJ383=0,LN($F383/$AK383)/$AL383,((($F383/$AK383)^$AJ383)-1)/($AJ383*$AL383)))</f>
        <v/>
      </c>
      <c r="AN383">
        <f>IF($AJ383="","",IF($AJ383=0,$AK383*EXP($AL383*2),$AK383*(1+$AJ383*$AL383*2)^(1/$AJ383)))</f>
        <v/>
      </c>
      <c r="AO383">
        <f>IF($AJ383="","",IF($AJ383=0,$AK383*EXP($AL383*3),$AK383*(1+$AJ383*$AL383*3)^(1/$AJ383)))</f>
        <v/>
      </c>
      <c r="AP383">
        <f>IF($AJ383="","",IF($AJ383=0,$AK383*EXP($AL383*-2),$AK383*(1+$AJ383*$AL383*-2)^(1/$AJ383)))</f>
        <v/>
      </c>
      <c r="AQ383">
        <f>IF($AJ383="","",IF($AJ383=0,$AK383*EXP($AL383*-3),$AK383*(1+$AJ383*$AL383*-3)^(1/$AJ383)))</f>
        <v/>
      </c>
      <c r="AR383">
        <f>IF(OR($X383="",$T383&gt;60),"",IFERROR(INDEX(IF($T383&lt;24,pcomp_l,palt_l),MATCH($X383,IF($T383&lt;24,pcomp_k,palt_k),1)),""))</f>
        <v/>
      </c>
      <c r="AS383">
        <f>IF(OR($X383="",$T383&gt;60),"",IFERROR(INDEX(IF($T383&lt;24,pcomp_m,palt_m),MATCH($X383,IF($T383&lt;24,pcomp_k,palt_k),1)),""))</f>
        <v/>
      </c>
      <c r="AT383">
        <f>IF(OR($X383="",$T383&gt;60),"",IFERROR(INDEX(IF($T383&lt;24,pcomp_s,palt_s),MATCH($X383,IF($T383&lt;24,pcomp_k,palt_k),1)),""))</f>
        <v/>
      </c>
      <c r="AU383">
        <f>IF($AR383="","",IF($AR383=0,LN($F383/$AS383)/$AT383,((($F383/$AS383)^$AR383)-1)/($AR383*$AT383)))</f>
        <v/>
      </c>
      <c r="AV383">
        <f>IF($AR383="","",IF($AR383=0,$AS383*EXP($AT383*2),$AS383*(1+$AR383*$AT383*2)^(1/$AR383)))</f>
        <v/>
      </c>
      <c r="AW383">
        <f>IF($AR383="","",IF($AR383=0,$AS383*EXP($AT383*3),$AS383*(1+$AR383*$AT383*3)^(1/$AR383)))</f>
        <v/>
      </c>
      <c r="AX383">
        <f>IF($AR383="","",IF($AR383=0,$AS383*EXP($AT383*-2),$AS383*(1+$AR383*$AT383*-2)^(1/$AR383)))</f>
        <v/>
      </c>
      <c r="AY383">
        <f>IF($AR383="","",IF($AR383=0,$AS383*EXP($AT383*-3),$AS383*(1+$AR383*$AT383*-3)^(1/$AR383)))</f>
        <v/>
      </c>
      <c r="AZ383">
        <f>IF(OR($A383="",$A383&lt;&gt;Ficha!$C$4),"",COUNTIF($A$2:$A383,Ficha!$C$4))</f>
        <v/>
      </c>
    </row>
    <row r="384">
      <c r="A384" s="8">
        <f>IF(INDEX(Banco!$A:$A,ROW())="","",INDEX(Banco!$A:$A,ROW()))</f>
        <v/>
      </c>
      <c r="B384" s="8">
        <f>IF(INDEX(Banco!$B:$B,ROW())="","",INDEX(Banco!$B:$B,ROW()))</f>
        <v/>
      </c>
      <c r="C384" s="8">
        <f>IF(INDEX(Banco!$C:$C,ROW())="","",INDEX(Banco!$C:$C,ROW()))</f>
        <v/>
      </c>
      <c r="D384" s="9">
        <f>IF(INDEX(Banco!$D:$D,ROW())="","",INDEX(Banco!$D:$D,ROW()))</f>
        <v/>
      </c>
      <c r="E384" s="9">
        <f>IF(INDEX(Banco!$E:$E,ROW())="","",INDEX(Banco!$E:$E,ROW()))</f>
        <v/>
      </c>
      <c r="F384" s="10">
        <f>IF(INDEX(Banco!$F:$F,ROW())="","",INDEX(Banco!$F:$F,ROW()))</f>
        <v/>
      </c>
      <c r="G384" s="10">
        <f>IF(INDEX(Banco!$G:$G,ROW())="","",INDEX(Banco!$G:$G,ROW()))</f>
        <v/>
      </c>
      <c r="H384" s="8">
        <f>IF(INDEX(Banco!$H:$H,ROW())="","",INDEX(Banco!$H:$H,ROW()))</f>
        <v/>
      </c>
      <c r="I384">
        <f>IF($T384="","",INT($T384/12)&amp;"a "&amp;MOD($T384,12)&amp;"m")</f>
        <v/>
      </c>
      <c r="J384" s="11">
        <f>IF(OR($F384="",$G384=""),"",ROUND($F384/($G384/100)^2,2))</f>
        <v/>
      </c>
      <c r="K384" s="12">
        <f>IF(OR($S384="",$J384="",$T384="",$T384&lt;0,$T384&gt;228,$Y384=""),"—",ROUND(IF(ABS($AB384)&lt;=3,$AB384,IF($AB384&gt;3,3+($J384-$AD384)/($AD384-$AC384),-3+($J384-$AF384)/($AE384-$AF384))),2))</f>
        <v/>
      </c>
      <c r="L384">
        <f>IF(OR($K384="",$K384="—"),"",IF($T384&lt;=60,IF($K384&lt;-3,"Magreza acentuada",IF($K384&lt;-2,"Magreza",IF($K384&lt;=1,"Eutrofia",IF($K384&lt;=2,"Risco de sobrepeso",IF($K384&lt;=3,"Sobrepeso","Obesidade"))))),IF($K384&lt;-3,"Magreza acentuada",IF($K384&lt;-2,"Magreza",IF($K384&lt;=1,"Eutrofia",IF($K384&lt;=2,"Sobrepeso",IF($K384&lt;=3,"Obesidade","Obesidade grave")))))))</f>
        <v/>
      </c>
      <c r="M384" s="12">
        <f>IF(OR($S384="",$V384="",$T384="",$T384&lt;0,$T384&gt;228,$AG384=""),"—",ROUND(IF($AG384=0,LN($V384/$AH384)/$AI384,((($V384/$AH384)^$AG384)-1)/($AG384*$AI384)),2))</f>
        <v/>
      </c>
      <c r="N384">
        <f>IF(OR($M384="",$M384="—"),"",IF($M384&lt;-3,"Muito baixa",IF($M384&lt;-2,"Baixa","Adequada")))</f>
        <v/>
      </c>
      <c r="O384" s="12">
        <f>IF(OR($S384="",$F384="",$T384="",$T384&lt;0,$T384&gt;120,$AJ384=""),"—",ROUND(IF(ABS($AM384)&lt;=3,$AM384,IF($AM384&gt;3,3+($F384-$AO384)/($AO384-$AN384),-3+($F384-$AQ384)/($AP384-$AQ384))),2))</f>
        <v/>
      </c>
      <c r="P384">
        <f>IF(OR($O384="",$O384="—"),"",IF($O384&lt;-3,"Muito baixo",IF($O384&lt;-2,"Baixo",IF($O384&lt;=2,"Adequado","Elevado"))))</f>
        <v/>
      </c>
      <c r="Q384" s="12">
        <f>IF(OR($S384="",$F384="",$T384="",$T384&lt;0,$T384&gt;60,$AR384=""),"—",ROUND(IF(ABS($AU384)&lt;=3,$AU384,IF($AU384&gt;3,3+($F384-$AW384)/($AW384-$AV384),-3+($F384-$AY384)/($AX384-$AY384))),2))</f>
        <v/>
      </c>
      <c r="R384">
        <f>IF(OR($Q384="",$Q384="—"),"",IF($Q384&lt;-3,"Magreza acentuada",IF($Q384&lt;-2,"Magreza",IF($Q384&lt;=1,"Eutrofia",IF($Q384&lt;=2,"Risco de sobrepeso",IF($Q384&lt;=3,"Sobrepeso","Obesidade"))))))</f>
        <v/>
      </c>
      <c r="S384">
        <f>IF($C384="","",IF(UPPER(LEFT($C384,1))="M",1,IF(UPPER(LEFT($C384,1))="F",2,"")))</f>
        <v/>
      </c>
      <c r="T384">
        <f>IF(OR($D384="",$E384=""),"",DATEDIF($D384,$E384,"m"))</f>
        <v/>
      </c>
      <c r="U384">
        <f>IF(OR($D384="",$E384=""),"",$E384-$D384)</f>
        <v/>
      </c>
      <c r="V384">
        <f>IF(OR($G384="",$T384=""),"",IF($T384&lt;24,IF(LEFT(LOWER($H384),4)="em p",$G384+0.7,$G384),IF(LEFT(LOWER($H384),4)="deit",$G384-0.7,$G384)))</f>
        <v/>
      </c>
      <c r="W384">
        <f>IF(OR($S384="",$T384=""),"",$S384*1000000+IF($T384&lt;=60,$U384,$T384))</f>
        <v/>
      </c>
      <c r="X384">
        <f>IF(OR($S384="",$V384="",$T384&gt;60,$T384=""),"",$S384*1000000+ROUND($V384*10,0))</f>
        <v/>
      </c>
      <c r="Y384">
        <f>IF($W384="","",IFERROR(INDEX(IF($T384&lt;=60,imc05_l,imc519_l),MATCH($W384,IF($T384&lt;=60,imc05_k,imc519_k),1)),""))</f>
        <v/>
      </c>
      <c r="Z384">
        <f>IF($W384="","",IFERROR(INDEX(IF($T384&lt;=60,imc05_m,imc519_m),MATCH($W384,IF($T384&lt;=60,imc05_k,imc519_k),1)),""))</f>
        <v/>
      </c>
      <c r="AA384">
        <f>IF($W384="","",IFERROR(INDEX(IF($T384&lt;=60,imc05_s,imc519_s),MATCH($W384,IF($T384&lt;=60,imc05_k,imc519_k),1)),""))</f>
        <v/>
      </c>
      <c r="AB384">
        <f>IF($Y384="","",IF($Y384=0,LN($J384/$Z384)/$AA384,((($J384/$Z384)^$Y384)-1)/($Y384*$AA384)))</f>
        <v/>
      </c>
      <c r="AC384">
        <f>IF($Y384="","",IF($Y384=0,$Z384*EXP($AA384*2),$Z384*(1+$Y384*$AA384*2)^(1/$Y384)))</f>
        <v/>
      </c>
      <c r="AD384">
        <f>IF($Y384="","",IF($Y384=0,$Z384*EXP($AA384*3),$Z384*(1+$Y384*$AA384*3)^(1/$Y384)))</f>
        <v/>
      </c>
      <c r="AE384">
        <f>IF($Y384="","",IF($Y384=0,$Z384*EXP($AA384*-2),$Z384*(1+$Y384*$AA384*-2)^(1/$Y384)))</f>
        <v/>
      </c>
      <c r="AF384">
        <f>IF($Y384="","",IF($Y384=0,$Z384*EXP($AA384*-3),$Z384*(1+$Y384*$AA384*-3)^(1/$Y384)))</f>
        <v/>
      </c>
      <c r="AG384">
        <f>IF($W384="","",IFERROR(INDEX(IF($T384&lt;=60,est05_l,est519_l),MATCH($W384,IF($T384&lt;=60,est05_k,est519_k),1)),""))</f>
        <v/>
      </c>
      <c r="AH384">
        <f>IF($W384="","",IFERROR(INDEX(IF($T384&lt;=60,est05_m,est519_m),MATCH($W384,IF($T384&lt;=60,est05_k,est519_k),1)),""))</f>
        <v/>
      </c>
      <c r="AI384">
        <f>IF($W384="","",IFERROR(INDEX(IF($T384&lt;=60,est05_s,est519_s),MATCH($W384,IF($T384&lt;=60,est05_k,est519_k),1)),""))</f>
        <v/>
      </c>
      <c r="AJ384">
        <f>IF($W384="","",IFERROR(INDEX(IF($T384&lt;=60,peso05_l,peso510_l),MATCH($W384,IF($T384&lt;=60,peso05_k,peso510_k),1)),""))</f>
        <v/>
      </c>
      <c r="AK384">
        <f>IF($W384="","",IFERROR(INDEX(IF($T384&lt;=60,peso05_m,peso510_m),MATCH($W384,IF($T384&lt;=60,peso05_k,peso510_k),1)),""))</f>
        <v/>
      </c>
      <c r="AL384">
        <f>IF($W384="","",IFERROR(INDEX(IF($T384&lt;=60,peso05_s,peso510_s),MATCH($W384,IF($T384&lt;=60,peso05_k,peso510_k),1)),""))</f>
        <v/>
      </c>
      <c r="AM384">
        <f>IF($AJ384="","",IF($AJ384=0,LN($F384/$AK384)/$AL384,((($F384/$AK384)^$AJ384)-1)/($AJ384*$AL384)))</f>
        <v/>
      </c>
      <c r="AN384">
        <f>IF($AJ384="","",IF($AJ384=0,$AK384*EXP($AL384*2),$AK384*(1+$AJ384*$AL384*2)^(1/$AJ384)))</f>
        <v/>
      </c>
      <c r="AO384">
        <f>IF($AJ384="","",IF($AJ384=0,$AK384*EXP($AL384*3),$AK384*(1+$AJ384*$AL384*3)^(1/$AJ384)))</f>
        <v/>
      </c>
      <c r="AP384">
        <f>IF($AJ384="","",IF($AJ384=0,$AK384*EXP($AL384*-2),$AK384*(1+$AJ384*$AL384*-2)^(1/$AJ384)))</f>
        <v/>
      </c>
      <c r="AQ384">
        <f>IF($AJ384="","",IF($AJ384=0,$AK384*EXP($AL384*-3),$AK384*(1+$AJ384*$AL384*-3)^(1/$AJ384)))</f>
        <v/>
      </c>
      <c r="AR384">
        <f>IF(OR($X384="",$T384&gt;60),"",IFERROR(INDEX(IF($T384&lt;24,pcomp_l,palt_l),MATCH($X384,IF($T384&lt;24,pcomp_k,palt_k),1)),""))</f>
        <v/>
      </c>
      <c r="AS384">
        <f>IF(OR($X384="",$T384&gt;60),"",IFERROR(INDEX(IF($T384&lt;24,pcomp_m,palt_m),MATCH($X384,IF($T384&lt;24,pcomp_k,palt_k),1)),""))</f>
        <v/>
      </c>
      <c r="AT384">
        <f>IF(OR($X384="",$T384&gt;60),"",IFERROR(INDEX(IF($T384&lt;24,pcomp_s,palt_s),MATCH($X384,IF($T384&lt;24,pcomp_k,palt_k),1)),""))</f>
        <v/>
      </c>
      <c r="AU384">
        <f>IF($AR384="","",IF($AR384=0,LN($F384/$AS384)/$AT384,((($F384/$AS384)^$AR384)-1)/($AR384*$AT384)))</f>
        <v/>
      </c>
      <c r="AV384">
        <f>IF($AR384="","",IF($AR384=0,$AS384*EXP($AT384*2),$AS384*(1+$AR384*$AT384*2)^(1/$AR384)))</f>
        <v/>
      </c>
      <c r="AW384">
        <f>IF($AR384="","",IF($AR384=0,$AS384*EXP($AT384*3),$AS384*(1+$AR384*$AT384*3)^(1/$AR384)))</f>
        <v/>
      </c>
      <c r="AX384">
        <f>IF($AR384="","",IF($AR384=0,$AS384*EXP($AT384*-2),$AS384*(1+$AR384*$AT384*-2)^(1/$AR384)))</f>
        <v/>
      </c>
      <c r="AY384">
        <f>IF($AR384="","",IF($AR384=0,$AS384*EXP($AT384*-3),$AS384*(1+$AR384*$AT384*-3)^(1/$AR384)))</f>
        <v/>
      </c>
      <c r="AZ384">
        <f>IF(OR($A384="",$A384&lt;&gt;Ficha!$C$4),"",COUNTIF($A$2:$A384,Ficha!$C$4))</f>
        <v/>
      </c>
    </row>
    <row r="385">
      <c r="A385" s="8">
        <f>IF(INDEX(Banco!$A:$A,ROW())="","",INDEX(Banco!$A:$A,ROW()))</f>
        <v/>
      </c>
      <c r="B385" s="8">
        <f>IF(INDEX(Banco!$B:$B,ROW())="","",INDEX(Banco!$B:$B,ROW()))</f>
        <v/>
      </c>
      <c r="C385" s="8">
        <f>IF(INDEX(Banco!$C:$C,ROW())="","",INDEX(Banco!$C:$C,ROW()))</f>
        <v/>
      </c>
      <c r="D385" s="9">
        <f>IF(INDEX(Banco!$D:$D,ROW())="","",INDEX(Banco!$D:$D,ROW()))</f>
        <v/>
      </c>
      <c r="E385" s="9">
        <f>IF(INDEX(Banco!$E:$E,ROW())="","",INDEX(Banco!$E:$E,ROW()))</f>
        <v/>
      </c>
      <c r="F385" s="10">
        <f>IF(INDEX(Banco!$F:$F,ROW())="","",INDEX(Banco!$F:$F,ROW()))</f>
        <v/>
      </c>
      <c r="G385" s="10">
        <f>IF(INDEX(Banco!$G:$G,ROW())="","",INDEX(Banco!$G:$G,ROW()))</f>
        <v/>
      </c>
      <c r="H385" s="8">
        <f>IF(INDEX(Banco!$H:$H,ROW())="","",INDEX(Banco!$H:$H,ROW()))</f>
        <v/>
      </c>
      <c r="I385">
        <f>IF($T385="","",INT($T385/12)&amp;"a "&amp;MOD($T385,12)&amp;"m")</f>
        <v/>
      </c>
      <c r="J385" s="11">
        <f>IF(OR($F385="",$G385=""),"",ROUND($F385/($G385/100)^2,2))</f>
        <v/>
      </c>
      <c r="K385" s="12">
        <f>IF(OR($S385="",$J385="",$T385="",$T385&lt;0,$T385&gt;228,$Y385=""),"—",ROUND(IF(ABS($AB385)&lt;=3,$AB385,IF($AB385&gt;3,3+($J385-$AD385)/($AD385-$AC385),-3+($J385-$AF385)/($AE385-$AF385))),2))</f>
        <v/>
      </c>
      <c r="L385">
        <f>IF(OR($K385="",$K385="—"),"",IF($T385&lt;=60,IF($K385&lt;-3,"Magreza acentuada",IF($K385&lt;-2,"Magreza",IF($K385&lt;=1,"Eutrofia",IF($K385&lt;=2,"Risco de sobrepeso",IF($K385&lt;=3,"Sobrepeso","Obesidade"))))),IF($K385&lt;-3,"Magreza acentuada",IF($K385&lt;-2,"Magreza",IF($K385&lt;=1,"Eutrofia",IF($K385&lt;=2,"Sobrepeso",IF($K385&lt;=3,"Obesidade","Obesidade grave")))))))</f>
        <v/>
      </c>
      <c r="M385" s="12">
        <f>IF(OR($S385="",$V385="",$T385="",$T385&lt;0,$T385&gt;228,$AG385=""),"—",ROUND(IF($AG385=0,LN($V385/$AH385)/$AI385,((($V385/$AH385)^$AG385)-1)/($AG385*$AI385)),2))</f>
        <v/>
      </c>
      <c r="N385">
        <f>IF(OR($M385="",$M385="—"),"",IF($M385&lt;-3,"Muito baixa",IF($M385&lt;-2,"Baixa","Adequada")))</f>
        <v/>
      </c>
      <c r="O385" s="12">
        <f>IF(OR($S385="",$F385="",$T385="",$T385&lt;0,$T385&gt;120,$AJ385=""),"—",ROUND(IF(ABS($AM385)&lt;=3,$AM385,IF($AM385&gt;3,3+($F385-$AO385)/($AO385-$AN385),-3+($F385-$AQ385)/($AP385-$AQ385))),2))</f>
        <v/>
      </c>
      <c r="P385">
        <f>IF(OR($O385="",$O385="—"),"",IF($O385&lt;-3,"Muito baixo",IF($O385&lt;-2,"Baixo",IF($O385&lt;=2,"Adequado","Elevado"))))</f>
        <v/>
      </c>
      <c r="Q385" s="12">
        <f>IF(OR($S385="",$F385="",$T385="",$T385&lt;0,$T385&gt;60,$AR385=""),"—",ROUND(IF(ABS($AU385)&lt;=3,$AU385,IF($AU385&gt;3,3+($F385-$AW385)/($AW385-$AV385),-3+($F385-$AY385)/($AX385-$AY385))),2))</f>
        <v/>
      </c>
      <c r="R385">
        <f>IF(OR($Q385="",$Q385="—"),"",IF($Q385&lt;-3,"Magreza acentuada",IF($Q385&lt;-2,"Magreza",IF($Q385&lt;=1,"Eutrofia",IF($Q385&lt;=2,"Risco de sobrepeso",IF($Q385&lt;=3,"Sobrepeso","Obesidade"))))))</f>
        <v/>
      </c>
      <c r="S385">
        <f>IF($C385="","",IF(UPPER(LEFT($C385,1))="M",1,IF(UPPER(LEFT($C385,1))="F",2,"")))</f>
        <v/>
      </c>
      <c r="T385">
        <f>IF(OR($D385="",$E385=""),"",DATEDIF($D385,$E385,"m"))</f>
        <v/>
      </c>
      <c r="U385">
        <f>IF(OR($D385="",$E385=""),"",$E385-$D385)</f>
        <v/>
      </c>
      <c r="V385">
        <f>IF(OR($G385="",$T385=""),"",IF($T385&lt;24,IF(LEFT(LOWER($H385),4)="em p",$G385+0.7,$G385),IF(LEFT(LOWER($H385),4)="deit",$G385-0.7,$G385)))</f>
        <v/>
      </c>
      <c r="W385">
        <f>IF(OR($S385="",$T385=""),"",$S385*1000000+IF($T385&lt;=60,$U385,$T385))</f>
        <v/>
      </c>
      <c r="X385">
        <f>IF(OR($S385="",$V385="",$T385&gt;60,$T385=""),"",$S385*1000000+ROUND($V385*10,0))</f>
        <v/>
      </c>
      <c r="Y385">
        <f>IF($W385="","",IFERROR(INDEX(IF($T385&lt;=60,imc05_l,imc519_l),MATCH($W385,IF($T385&lt;=60,imc05_k,imc519_k),1)),""))</f>
        <v/>
      </c>
      <c r="Z385">
        <f>IF($W385="","",IFERROR(INDEX(IF($T385&lt;=60,imc05_m,imc519_m),MATCH($W385,IF($T385&lt;=60,imc05_k,imc519_k),1)),""))</f>
        <v/>
      </c>
      <c r="AA385">
        <f>IF($W385="","",IFERROR(INDEX(IF($T385&lt;=60,imc05_s,imc519_s),MATCH($W385,IF($T385&lt;=60,imc05_k,imc519_k),1)),""))</f>
        <v/>
      </c>
      <c r="AB385">
        <f>IF($Y385="","",IF($Y385=0,LN($J385/$Z385)/$AA385,((($J385/$Z385)^$Y385)-1)/($Y385*$AA385)))</f>
        <v/>
      </c>
      <c r="AC385">
        <f>IF($Y385="","",IF($Y385=0,$Z385*EXP($AA385*2),$Z385*(1+$Y385*$AA385*2)^(1/$Y385)))</f>
        <v/>
      </c>
      <c r="AD385">
        <f>IF($Y385="","",IF($Y385=0,$Z385*EXP($AA385*3),$Z385*(1+$Y385*$AA385*3)^(1/$Y385)))</f>
        <v/>
      </c>
      <c r="AE385">
        <f>IF($Y385="","",IF($Y385=0,$Z385*EXP($AA385*-2),$Z385*(1+$Y385*$AA385*-2)^(1/$Y385)))</f>
        <v/>
      </c>
      <c r="AF385">
        <f>IF($Y385="","",IF($Y385=0,$Z385*EXP($AA385*-3),$Z385*(1+$Y385*$AA385*-3)^(1/$Y385)))</f>
        <v/>
      </c>
      <c r="AG385">
        <f>IF($W385="","",IFERROR(INDEX(IF($T385&lt;=60,est05_l,est519_l),MATCH($W385,IF($T385&lt;=60,est05_k,est519_k),1)),""))</f>
        <v/>
      </c>
      <c r="AH385">
        <f>IF($W385="","",IFERROR(INDEX(IF($T385&lt;=60,est05_m,est519_m),MATCH($W385,IF($T385&lt;=60,est05_k,est519_k),1)),""))</f>
        <v/>
      </c>
      <c r="AI385">
        <f>IF($W385="","",IFERROR(INDEX(IF($T385&lt;=60,est05_s,est519_s),MATCH($W385,IF($T385&lt;=60,est05_k,est519_k),1)),""))</f>
        <v/>
      </c>
      <c r="AJ385">
        <f>IF($W385="","",IFERROR(INDEX(IF($T385&lt;=60,peso05_l,peso510_l),MATCH($W385,IF($T385&lt;=60,peso05_k,peso510_k),1)),""))</f>
        <v/>
      </c>
      <c r="AK385">
        <f>IF($W385="","",IFERROR(INDEX(IF($T385&lt;=60,peso05_m,peso510_m),MATCH($W385,IF($T385&lt;=60,peso05_k,peso510_k),1)),""))</f>
        <v/>
      </c>
      <c r="AL385">
        <f>IF($W385="","",IFERROR(INDEX(IF($T385&lt;=60,peso05_s,peso510_s),MATCH($W385,IF($T385&lt;=60,peso05_k,peso510_k),1)),""))</f>
        <v/>
      </c>
      <c r="AM385">
        <f>IF($AJ385="","",IF($AJ385=0,LN($F385/$AK385)/$AL385,((($F385/$AK385)^$AJ385)-1)/($AJ385*$AL385)))</f>
        <v/>
      </c>
      <c r="AN385">
        <f>IF($AJ385="","",IF($AJ385=0,$AK385*EXP($AL385*2),$AK385*(1+$AJ385*$AL385*2)^(1/$AJ385)))</f>
        <v/>
      </c>
      <c r="AO385">
        <f>IF($AJ385="","",IF($AJ385=0,$AK385*EXP($AL385*3),$AK385*(1+$AJ385*$AL385*3)^(1/$AJ385)))</f>
        <v/>
      </c>
      <c r="AP385">
        <f>IF($AJ385="","",IF($AJ385=0,$AK385*EXP($AL385*-2),$AK385*(1+$AJ385*$AL385*-2)^(1/$AJ385)))</f>
        <v/>
      </c>
      <c r="AQ385">
        <f>IF($AJ385="","",IF($AJ385=0,$AK385*EXP($AL385*-3),$AK385*(1+$AJ385*$AL385*-3)^(1/$AJ385)))</f>
        <v/>
      </c>
      <c r="AR385">
        <f>IF(OR($X385="",$T385&gt;60),"",IFERROR(INDEX(IF($T385&lt;24,pcomp_l,palt_l),MATCH($X385,IF($T385&lt;24,pcomp_k,palt_k),1)),""))</f>
        <v/>
      </c>
      <c r="AS385">
        <f>IF(OR($X385="",$T385&gt;60),"",IFERROR(INDEX(IF($T385&lt;24,pcomp_m,palt_m),MATCH($X385,IF($T385&lt;24,pcomp_k,palt_k),1)),""))</f>
        <v/>
      </c>
      <c r="AT385">
        <f>IF(OR($X385="",$T385&gt;60),"",IFERROR(INDEX(IF($T385&lt;24,pcomp_s,palt_s),MATCH($X385,IF($T385&lt;24,pcomp_k,palt_k),1)),""))</f>
        <v/>
      </c>
      <c r="AU385">
        <f>IF($AR385="","",IF($AR385=0,LN($F385/$AS385)/$AT385,((($F385/$AS385)^$AR385)-1)/($AR385*$AT385)))</f>
        <v/>
      </c>
      <c r="AV385">
        <f>IF($AR385="","",IF($AR385=0,$AS385*EXP($AT385*2),$AS385*(1+$AR385*$AT385*2)^(1/$AR385)))</f>
        <v/>
      </c>
      <c r="AW385">
        <f>IF($AR385="","",IF($AR385=0,$AS385*EXP($AT385*3),$AS385*(1+$AR385*$AT385*3)^(1/$AR385)))</f>
        <v/>
      </c>
      <c r="AX385">
        <f>IF($AR385="","",IF($AR385=0,$AS385*EXP($AT385*-2),$AS385*(1+$AR385*$AT385*-2)^(1/$AR385)))</f>
        <v/>
      </c>
      <c r="AY385">
        <f>IF($AR385="","",IF($AR385=0,$AS385*EXP($AT385*-3),$AS385*(1+$AR385*$AT385*-3)^(1/$AR385)))</f>
        <v/>
      </c>
      <c r="AZ385">
        <f>IF(OR($A385="",$A385&lt;&gt;Ficha!$C$4),"",COUNTIF($A$2:$A385,Ficha!$C$4))</f>
        <v/>
      </c>
    </row>
    <row r="386">
      <c r="A386" s="8">
        <f>IF(INDEX(Banco!$A:$A,ROW())="","",INDEX(Banco!$A:$A,ROW()))</f>
        <v/>
      </c>
      <c r="B386" s="8">
        <f>IF(INDEX(Banco!$B:$B,ROW())="","",INDEX(Banco!$B:$B,ROW()))</f>
        <v/>
      </c>
      <c r="C386" s="8">
        <f>IF(INDEX(Banco!$C:$C,ROW())="","",INDEX(Banco!$C:$C,ROW()))</f>
        <v/>
      </c>
      <c r="D386" s="9">
        <f>IF(INDEX(Banco!$D:$D,ROW())="","",INDEX(Banco!$D:$D,ROW()))</f>
        <v/>
      </c>
      <c r="E386" s="9">
        <f>IF(INDEX(Banco!$E:$E,ROW())="","",INDEX(Banco!$E:$E,ROW()))</f>
        <v/>
      </c>
      <c r="F386" s="10">
        <f>IF(INDEX(Banco!$F:$F,ROW())="","",INDEX(Banco!$F:$F,ROW()))</f>
        <v/>
      </c>
      <c r="G386" s="10">
        <f>IF(INDEX(Banco!$G:$G,ROW())="","",INDEX(Banco!$G:$G,ROW()))</f>
        <v/>
      </c>
      <c r="H386" s="8">
        <f>IF(INDEX(Banco!$H:$H,ROW())="","",INDEX(Banco!$H:$H,ROW()))</f>
        <v/>
      </c>
      <c r="I386">
        <f>IF($T386="","",INT($T386/12)&amp;"a "&amp;MOD($T386,12)&amp;"m")</f>
        <v/>
      </c>
      <c r="J386" s="11">
        <f>IF(OR($F386="",$G386=""),"",ROUND($F386/($G386/100)^2,2))</f>
        <v/>
      </c>
      <c r="K386" s="12">
        <f>IF(OR($S386="",$J386="",$T386="",$T386&lt;0,$T386&gt;228,$Y386=""),"—",ROUND(IF(ABS($AB386)&lt;=3,$AB386,IF($AB386&gt;3,3+($J386-$AD386)/($AD386-$AC386),-3+($J386-$AF386)/($AE386-$AF386))),2))</f>
        <v/>
      </c>
      <c r="L386">
        <f>IF(OR($K386="",$K386="—"),"",IF($T386&lt;=60,IF($K386&lt;-3,"Magreza acentuada",IF($K386&lt;-2,"Magreza",IF($K386&lt;=1,"Eutrofia",IF($K386&lt;=2,"Risco de sobrepeso",IF($K386&lt;=3,"Sobrepeso","Obesidade"))))),IF($K386&lt;-3,"Magreza acentuada",IF($K386&lt;-2,"Magreza",IF($K386&lt;=1,"Eutrofia",IF($K386&lt;=2,"Sobrepeso",IF($K386&lt;=3,"Obesidade","Obesidade grave")))))))</f>
        <v/>
      </c>
      <c r="M386" s="12">
        <f>IF(OR($S386="",$V386="",$T386="",$T386&lt;0,$T386&gt;228,$AG386=""),"—",ROUND(IF($AG386=0,LN($V386/$AH386)/$AI386,((($V386/$AH386)^$AG386)-1)/($AG386*$AI386)),2))</f>
        <v/>
      </c>
      <c r="N386">
        <f>IF(OR($M386="",$M386="—"),"",IF($M386&lt;-3,"Muito baixa",IF($M386&lt;-2,"Baixa","Adequada")))</f>
        <v/>
      </c>
      <c r="O386" s="12">
        <f>IF(OR($S386="",$F386="",$T386="",$T386&lt;0,$T386&gt;120,$AJ386=""),"—",ROUND(IF(ABS($AM386)&lt;=3,$AM386,IF($AM386&gt;3,3+($F386-$AO386)/($AO386-$AN386),-3+($F386-$AQ386)/($AP386-$AQ386))),2))</f>
        <v/>
      </c>
      <c r="P386">
        <f>IF(OR($O386="",$O386="—"),"",IF($O386&lt;-3,"Muito baixo",IF($O386&lt;-2,"Baixo",IF($O386&lt;=2,"Adequado","Elevado"))))</f>
        <v/>
      </c>
      <c r="Q386" s="12">
        <f>IF(OR($S386="",$F386="",$T386="",$T386&lt;0,$T386&gt;60,$AR386=""),"—",ROUND(IF(ABS($AU386)&lt;=3,$AU386,IF($AU386&gt;3,3+($F386-$AW386)/($AW386-$AV386),-3+($F386-$AY386)/($AX386-$AY386))),2))</f>
        <v/>
      </c>
      <c r="R386">
        <f>IF(OR($Q386="",$Q386="—"),"",IF($Q386&lt;-3,"Magreza acentuada",IF($Q386&lt;-2,"Magreza",IF($Q386&lt;=1,"Eutrofia",IF($Q386&lt;=2,"Risco de sobrepeso",IF($Q386&lt;=3,"Sobrepeso","Obesidade"))))))</f>
        <v/>
      </c>
      <c r="S386">
        <f>IF($C386="","",IF(UPPER(LEFT($C386,1))="M",1,IF(UPPER(LEFT($C386,1))="F",2,"")))</f>
        <v/>
      </c>
      <c r="T386">
        <f>IF(OR($D386="",$E386=""),"",DATEDIF($D386,$E386,"m"))</f>
        <v/>
      </c>
      <c r="U386">
        <f>IF(OR($D386="",$E386=""),"",$E386-$D386)</f>
        <v/>
      </c>
      <c r="V386">
        <f>IF(OR($G386="",$T386=""),"",IF($T386&lt;24,IF(LEFT(LOWER($H386),4)="em p",$G386+0.7,$G386),IF(LEFT(LOWER($H386),4)="deit",$G386-0.7,$G386)))</f>
        <v/>
      </c>
      <c r="W386">
        <f>IF(OR($S386="",$T386=""),"",$S386*1000000+IF($T386&lt;=60,$U386,$T386))</f>
        <v/>
      </c>
      <c r="X386">
        <f>IF(OR($S386="",$V386="",$T386&gt;60,$T386=""),"",$S386*1000000+ROUND($V386*10,0))</f>
        <v/>
      </c>
      <c r="Y386">
        <f>IF($W386="","",IFERROR(INDEX(IF($T386&lt;=60,imc05_l,imc519_l),MATCH($W386,IF($T386&lt;=60,imc05_k,imc519_k),1)),""))</f>
        <v/>
      </c>
      <c r="Z386">
        <f>IF($W386="","",IFERROR(INDEX(IF($T386&lt;=60,imc05_m,imc519_m),MATCH($W386,IF($T386&lt;=60,imc05_k,imc519_k),1)),""))</f>
        <v/>
      </c>
      <c r="AA386">
        <f>IF($W386="","",IFERROR(INDEX(IF($T386&lt;=60,imc05_s,imc519_s),MATCH($W386,IF($T386&lt;=60,imc05_k,imc519_k),1)),""))</f>
        <v/>
      </c>
      <c r="AB386">
        <f>IF($Y386="","",IF($Y386=0,LN($J386/$Z386)/$AA386,((($J386/$Z386)^$Y386)-1)/($Y386*$AA386)))</f>
        <v/>
      </c>
      <c r="AC386">
        <f>IF($Y386="","",IF($Y386=0,$Z386*EXP($AA386*2),$Z386*(1+$Y386*$AA386*2)^(1/$Y386)))</f>
        <v/>
      </c>
      <c r="AD386">
        <f>IF($Y386="","",IF($Y386=0,$Z386*EXP($AA386*3),$Z386*(1+$Y386*$AA386*3)^(1/$Y386)))</f>
        <v/>
      </c>
      <c r="AE386">
        <f>IF($Y386="","",IF($Y386=0,$Z386*EXP($AA386*-2),$Z386*(1+$Y386*$AA386*-2)^(1/$Y386)))</f>
        <v/>
      </c>
      <c r="AF386">
        <f>IF($Y386="","",IF($Y386=0,$Z386*EXP($AA386*-3),$Z386*(1+$Y386*$AA386*-3)^(1/$Y386)))</f>
        <v/>
      </c>
      <c r="AG386">
        <f>IF($W386="","",IFERROR(INDEX(IF($T386&lt;=60,est05_l,est519_l),MATCH($W386,IF($T386&lt;=60,est05_k,est519_k),1)),""))</f>
        <v/>
      </c>
      <c r="AH386">
        <f>IF($W386="","",IFERROR(INDEX(IF($T386&lt;=60,est05_m,est519_m),MATCH($W386,IF($T386&lt;=60,est05_k,est519_k),1)),""))</f>
        <v/>
      </c>
      <c r="AI386">
        <f>IF($W386="","",IFERROR(INDEX(IF($T386&lt;=60,est05_s,est519_s),MATCH($W386,IF($T386&lt;=60,est05_k,est519_k),1)),""))</f>
        <v/>
      </c>
      <c r="AJ386">
        <f>IF($W386="","",IFERROR(INDEX(IF($T386&lt;=60,peso05_l,peso510_l),MATCH($W386,IF($T386&lt;=60,peso05_k,peso510_k),1)),""))</f>
        <v/>
      </c>
      <c r="AK386">
        <f>IF($W386="","",IFERROR(INDEX(IF($T386&lt;=60,peso05_m,peso510_m),MATCH($W386,IF($T386&lt;=60,peso05_k,peso510_k),1)),""))</f>
        <v/>
      </c>
      <c r="AL386">
        <f>IF($W386="","",IFERROR(INDEX(IF($T386&lt;=60,peso05_s,peso510_s),MATCH($W386,IF($T386&lt;=60,peso05_k,peso510_k),1)),""))</f>
        <v/>
      </c>
      <c r="AM386">
        <f>IF($AJ386="","",IF($AJ386=0,LN($F386/$AK386)/$AL386,((($F386/$AK386)^$AJ386)-1)/($AJ386*$AL386)))</f>
        <v/>
      </c>
      <c r="AN386">
        <f>IF($AJ386="","",IF($AJ386=0,$AK386*EXP($AL386*2),$AK386*(1+$AJ386*$AL386*2)^(1/$AJ386)))</f>
        <v/>
      </c>
      <c r="AO386">
        <f>IF($AJ386="","",IF($AJ386=0,$AK386*EXP($AL386*3),$AK386*(1+$AJ386*$AL386*3)^(1/$AJ386)))</f>
        <v/>
      </c>
      <c r="AP386">
        <f>IF($AJ386="","",IF($AJ386=0,$AK386*EXP($AL386*-2),$AK386*(1+$AJ386*$AL386*-2)^(1/$AJ386)))</f>
        <v/>
      </c>
      <c r="AQ386">
        <f>IF($AJ386="","",IF($AJ386=0,$AK386*EXP($AL386*-3),$AK386*(1+$AJ386*$AL386*-3)^(1/$AJ386)))</f>
        <v/>
      </c>
      <c r="AR386">
        <f>IF(OR($X386="",$T386&gt;60),"",IFERROR(INDEX(IF($T386&lt;24,pcomp_l,palt_l),MATCH($X386,IF($T386&lt;24,pcomp_k,palt_k),1)),""))</f>
        <v/>
      </c>
      <c r="AS386">
        <f>IF(OR($X386="",$T386&gt;60),"",IFERROR(INDEX(IF($T386&lt;24,pcomp_m,palt_m),MATCH($X386,IF($T386&lt;24,pcomp_k,palt_k),1)),""))</f>
        <v/>
      </c>
      <c r="AT386">
        <f>IF(OR($X386="",$T386&gt;60),"",IFERROR(INDEX(IF($T386&lt;24,pcomp_s,palt_s),MATCH($X386,IF($T386&lt;24,pcomp_k,palt_k),1)),""))</f>
        <v/>
      </c>
      <c r="AU386">
        <f>IF($AR386="","",IF($AR386=0,LN($F386/$AS386)/$AT386,((($F386/$AS386)^$AR386)-1)/($AR386*$AT386)))</f>
        <v/>
      </c>
      <c r="AV386">
        <f>IF($AR386="","",IF($AR386=0,$AS386*EXP($AT386*2),$AS386*(1+$AR386*$AT386*2)^(1/$AR386)))</f>
        <v/>
      </c>
      <c r="AW386">
        <f>IF($AR386="","",IF($AR386=0,$AS386*EXP($AT386*3),$AS386*(1+$AR386*$AT386*3)^(1/$AR386)))</f>
        <v/>
      </c>
      <c r="AX386">
        <f>IF($AR386="","",IF($AR386=0,$AS386*EXP($AT386*-2),$AS386*(1+$AR386*$AT386*-2)^(1/$AR386)))</f>
        <v/>
      </c>
      <c r="AY386">
        <f>IF($AR386="","",IF($AR386=0,$AS386*EXP($AT386*-3),$AS386*(1+$AR386*$AT386*-3)^(1/$AR386)))</f>
        <v/>
      </c>
      <c r="AZ386">
        <f>IF(OR($A386="",$A386&lt;&gt;Ficha!$C$4),"",COUNTIF($A$2:$A386,Ficha!$C$4))</f>
        <v/>
      </c>
    </row>
    <row r="387">
      <c r="A387" s="8">
        <f>IF(INDEX(Banco!$A:$A,ROW())="","",INDEX(Banco!$A:$A,ROW()))</f>
        <v/>
      </c>
      <c r="B387" s="8">
        <f>IF(INDEX(Banco!$B:$B,ROW())="","",INDEX(Banco!$B:$B,ROW()))</f>
        <v/>
      </c>
      <c r="C387" s="8">
        <f>IF(INDEX(Banco!$C:$C,ROW())="","",INDEX(Banco!$C:$C,ROW()))</f>
        <v/>
      </c>
      <c r="D387" s="9">
        <f>IF(INDEX(Banco!$D:$D,ROW())="","",INDEX(Banco!$D:$D,ROW()))</f>
        <v/>
      </c>
      <c r="E387" s="9">
        <f>IF(INDEX(Banco!$E:$E,ROW())="","",INDEX(Banco!$E:$E,ROW()))</f>
        <v/>
      </c>
      <c r="F387" s="10">
        <f>IF(INDEX(Banco!$F:$F,ROW())="","",INDEX(Banco!$F:$F,ROW()))</f>
        <v/>
      </c>
      <c r="G387" s="10">
        <f>IF(INDEX(Banco!$G:$G,ROW())="","",INDEX(Banco!$G:$G,ROW()))</f>
        <v/>
      </c>
      <c r="H387" s="8">
        <f>IF(INDEX(Banco!$H:$H,ROW())="","",INDEX(Banco!$H:$H,ROW()))</f>
        <v/>
      </c>
      <c r="I387">
        <f>IF($T387="","",INT($T387/12)&amp;"a "&amp;MOD($T387,12)&amp;"m")</f>
        <v/>
      </c>
      <c r="J387" s="11">
        <f>IF(OR($F387="",$G387=""),"",ROUND($F387/($G387/100)^2,2))</f>
        <v/>
      </c>
      <c r="K387" s="12">
        <f>IF(OR($S387="",$J387="",$T387="",$T387&lt;0,$T387&gt;228,$Y387=""),"—",ROUND(IF(ABS($AB387)&lt;=3,$AB387,IF($AB387&gt;3,3+($J387-$AD387)/($AD387-$AC387),-3+($J387-$AF387)/($AE387-$AF387))),2))</f>
        <v/>
      </c>
      <c r="L387">
        <f>IF(OR($K387="",$K387="—"),"",IF($T387&lt;=60,IF($K387&lt;-3,"Magreza acentuada",IF($K387&lt;-2,"Magreza",IF($K387&lt;=1,"Eutrofia",IF($K387&lt;=2,"Risco de sobrepeso",IF($K387&lt;=3,"Sobrepeso","Obesidade"))))),IF($K387&lt;-3,"Magreza acentuada",IF($K387&lt;-2,"Magreza",IF($K387&lt;=1,"Eutrofia",IF($K387&lt;=2,"Sobrepeso",IF($K387&lt;=3,"Obesidade","Obesidade grave")))))))</f>
        <v/>
      </c>
      <c r="M387" s="12">
        <f>IF(OR($S387="",$V387="",$T387="",$T387&lt;0,$T387&gt;228,$AG387=""),"—",ROUND(IF($AG387=0,LN($V387/$AH387)/$AI387,((($V387/$AH387)^$AG387)-1)/($AG387*$AI387)),2))</f>
        <v/>
      </c>
      <c r="N387">
        <f>IF(OR($M387="",$M387="—"),"",IF($M387&lt;-3,"Muito baixa",IF($M387&lt;-2,"Baixa","Adequada")))</f>
        <v/>
      </c>
      <c r="O387" s="12">
        <f>IF(OR($S387="",$F387="",$T387="",$T387&lt;0,$T387&gt;120,$AJ387=""),"—",ROUND(IF(ABS($AM387)&lt;=3,$AM387,IF($AM387&gt;3,3+($F387-$AO387)/($AO387-$AN387),-3+($F387-$AQ387)/($AP387-$AQ387))),2))</f>
        <v/>
      </c>
      <c r="P387">
        <f>IF(OR($O387="",$O387="—"),"",IF($O387&lt;-3,"Muito baixo",IF($O387&lt;-2,"Baixo",IF($O387&lt;=2,"Adequado","Elevado"))))</f>
        <v/>
      </c>
      <c r="Q387" s="12">
        <f>IF(OR($S387="",$F387="",$T387="",$T387&lt;0,$T387&gt;60,$AR387=""),"—",ROUND(IF(ABS($AU387)&lt;=3,$AU387,IF($AU387&gt;3,3+($F387-$AW387)/($AW387-$AV387),-3+($F387-$AY387)/($AX387-$AY387))),2))</f>
        <v/>
      </c>
      <c r="R387">
        <f>IF(OR($Q387="",$Q387="—"),"",IF($Q387&lt;-3,"Magreza acentuada",IF($Q387&lt;-2,"Magreza",IF($Q387&lt;=1,"Eutrofia",IF($Q387&lt;=2,"Risco de sobrepeso",IF($Q387&lt;=3,"Sobrepeso","Obesidade"))))))</f>
        <v/>
      </c>
      <c r="S387">
        <f>IF($C387="","",IF(UPPER(LEFT($C387,1))="M",1,IF(UPPER(LEFT($C387,1))="F",2,"")))</f>
        <v/>
      </c>
      <c r="T387">
        <f>IF(OR($D387="",$E387=""),"",DATEDIF($D387,$E387,"m"))</f>
        <v/>
      </c>
      <c r="U387">
        <f>IF(OR($D387="",$E387=""),"",$E387-$D387)</f>
        <v/>
      </c>
      <c r="V387">
        <f>IF(OR($G387="",$T387=""),"",IF($T387&lt;24,IF(LEFT(LOWER($H387),4)="em p",$G387+0.7,$G387),IF(LEFT(LOWER($H387),4)="deit",$G387-0.7,$G387)))</f>
        <v/>
      </c>
      <c r="W387">
        <f>IF(OR($S387="",$T387=""),"",$S387*1000000+IF($T387&lt;=60,$U387,$T387))</f>
        <v/>
      </c>
      <c r="X387">
        <f>IF(OR($S387="",$V387="",$T387&gt;60,$T387=""),"",$S387*1000000+ROUND($V387*10,0))</f>
        <v/>
      </c>
      <c r="Y387">
        <f>IF($W387="","",IFERROR(INDEX(IF($T387&lt;=60,imc05_l,imc519_l),MATCH($W387,IF($T387&lt;=60,imc05_k,imc519_k),1)),""))</f>
        <v/>
      </c>
      <c r="Z387">
        <f>IF($W387="","",IFERROR(INDEX(IF($T387&lt;=60,imc05_m,imc519_m),MATCH($W387,IF($T387&lt;=60,imc05_k,imc519_k),1)),""))</f>
        <v/>
      </c>
      <c r="AA387">
        <f>IF($W387="","",IFERROR(INDEX(IF($T387&lt;=60,imc05_s,imc519_s),MATCH($W387,IF($T387&lt;=60,imc05_k,imc519_k),1)),""))</f>
        <v/>
      </c>
      <c r="AB387">
        <f>IF($Y387="","",IF($Y387=0,LN($J387/$Z387)/$AA387,((($J387/$Z387)^$Y387)-1)/($Y387*$AA387)))</f>
        <v/>
      </c>
      <c r="AC387">
        <f>IF($Y387="","",IF($Y387=0,$Z387*EXP($AA387*2),$Z387*(1+$Y387*$AA387*2)^(1/$Y387)))</f>
        <v/>
      </c>
      <c r="AD387">
        <f>IF($Y387="","",IF($Y387=0,$Z387*EXP($AA387*3),$Z387*(1+$Y387*$AA387*3)^(1/$Y387)))</f>
        <v/>
      </c>
      <c r="AE387">
        <f>IF($Y387="","",IF($Y387=0,$Z387*EXP($AA387*-2),$Z387*(1+$Y387*$AA387*-2)^(1/$Y387)))</f>
        <v/>
      </c>
      <c r="AF387">
        <f>IF($Y387="","",IF($Y387=0,$Z387*EXP($AA387*-3),$Z387*(1+$Y387*$AA387*-3)^(1/$Y387)))</f>
        <v/>
      </c>
      <c r="AG387">
        <f>IF($W387="","",IFERROR(INDEX(IF($T387&lt;=60,est05_l,est519_l),MATCH($W387,IF($T387&lt;=60,est05_k,est519_k),1)),""))</f>
        <v/>
      </c>
      <c r="AH387">
        <f>IF($W387="","",IFERROR(INDEX(IF($T387&lt;=60,est05_m,est519_m),MATCH($W387,IF($T387&lt;=60,est05_k,est519_k),1)),""))</f>
        <v/>
      </c>
      <c r="AI387">
        <f>IF($W387="","",IFERROR(INDEX(IF($T387&lt;=60,est05_s,est519_s),MATCH($W387,IF($T387&lt;=60,est05_k,est519_k),1)),""))</f>
        <v/>
      </c>
      <c r="AJ387">
        <f>IF($W387="","",IFERROR(INDEX(IF($T387&lt;=60,peso05_l,peso510_l),MATCH($W387,IF($T387&lt;=60,peso05_k,peso510_k),1)),""))</f>
        <v/>
      </c>
      <c r="AK387">
        <f>IF($W387="","",IFERROR(INDEX(IF($T387&lt;=60,peso05_m,peso510_m),MATCH($W387,IF($T387&lt;=60,peso05_k,peso510_k),1)),""))</f>
        <v/>
      </c>
      <c r="AL387">
        <f>IF($W387="","",IFERROR(INDEX(IF($T387&lt;=60,peso05_s,peso510_s),MATCH($W387,IF($T387&lt;=60,peso05_k,peso510_k),1)),""))</f>
        <v/>
      </c>
      <c r="AM387">
        <f>IF($AJ387="","",IF($AJ387=0,LN($F387/$AK387)/$AL387,((($F387/$AK387)^$AJ387)-1)/($AJ387*$AL387)))</f>
        <v/>
      </c>
      <c r="AN387">
        <f>IF($AJ387="","",IF($AJ387=0,$AK387*EXP($AL387*2),$AK387*(1+$AJ387*$AL387*2)^(1/$AJ387)))</f>
        <v/>
      </c>
      <c r="AO387">
        <f>IF($AJ387="","",IF($AJ387=0,$AK387*EXP($AL387*3),$AK387*(1+$AJ387*$AL387*3)^(1/$AJ387)))</f>
        <v/>
      </c>
      <c r="AP387">
        <f>IF($AJ387="","",IF($AJ387=0,$AK387*EXP($AL387*-2),$AK387*(1+$AJ387*$AL387*-2)^(1/$AJ387)))</f>
        <v/>
      </c>
      <c r="AQ387">
        <f>IF($AJ387="","",IF($AJ387=0,$AK387*EXP($AL387*-3),$AK387*(1+$AJ387*$AL387*-3)^(1/$AJ387)))</f>
        <v/>
      </c>
      <c r="AR387">
        <f>IF(OR($X387="",$T387&gt;60),"",IFERROR(INDEX(IF($T387&lt;24,pcomp_l,palt_l),MATCH($X387,IF($T387&lt;24,pcomp_k,palt_k),1)),""))</f>
        <v/>
      </c>
      <c r="AS387">
        <f>IF(OR($X387="",$T387&gt;60),"",IFERROR(INDEX(IF($T387&lt;24,pcomp_m,palt_m),MATCH($X387,IF($T387&lt;24,pcomp_k,palt_k),1)),""))</f>
        <v/>
      </c>
      <c r="AT387">
        <f>IF(OR($X387="",$T387&gt;60),"",IFERROR(INDEX(IF($T387&lt;24,pcomp_s,palt_s),MATCH($X387,IF($T387&lt;24,pcomp_k,palt_k),1)),""))</f>
        <v/>
      </c>
      <c r="AU387">
        <f>IF($AR387="","",IF($AR387=0,LN($F387/$AS387)/$AT387,((($F387/$AS387)^$AR387)-1)/($AR387*$AT387)))</f>
        <v/>
      </c>
      <c r="AV387">
        <f>IF($AR387="","",IF($AR387=0,$AS387*EXP($AT387*2),$AS387*(1+$AR387*$AT387*2)^(1/$AR387)))</f>
        <v/>
      </c>
      <c r="AW387">
        <f>IF($AR387="","",IF($AR387=0,$AS387*EXP($AT387*3),$AS387*(1+$AR387*$AT387*3)^(1/$AR387)))</f>
        <v/>
      </c>
      <c r="AX387">
        <f>IF($AR387="","",IF($AR387=0,$AS387*EXP($AT387*-2),$AS387*(1+$AR387*$AT387*-2)^(1/$AR387)))</f>
        <v/>
      </c>
      <c r="AY387">
        <f>IF($AR387="","",IF($AR387=0,$AS387*EXP($AT387*-3),$AS387*(1+$AR387*$AT387*-3)^(1/$AR387)))</f>
        <v/>
      </c>
      <c r="AZ387">
        <f>IF(OR($A387="",$A387&lt;&gt;Ficha!$C$4),"",COUNTIF($A$2:$A387,Ficha!$C$4))</f>
        <v/>
      </c>
    </row>
    <row r="388">
      <c r="A388" s="8">
        <f>IF(INDEX(Banco!$A:$A,ROW())="","",INDEX(Banco!$A:$A,ROW()))</f>
        <v/>
      </c>
      <c r="B388" s="8">
        <f>IF(INDEX(Banco!$B:$B,ROW())="","",INDEX(Banco!$B:$B,ROW()))</f>
        <v/>
      </c>
      <c r="C388" s="8">
        <f>IF(INDEX(Banco!$C:$C,ROW())="","",INDEX(Banco!$C:$C,ROW()))</f>
        <v/>
      </c>
      <c r="D388" s="9">
        <f>IF(INDEX(Banco!$D:$D,ROW())="","",INDEX(Banco!$D:$D,ROW()))</f>
        <v/>
      </c>
      <c r="E388" s="9">
        <f>IF(INDEX(Banco!$E:$E,ROW())="","",INDEX(Banco!$E:$E,ROW()))</f>
        <v/>
      </c>
      <c r="F388" s="10">
        <f>IF(INDEX(Banco!$F:$F,ROW())="","",INDEX(Banco!$F:$F,ROW()))</f>
        <v/>
      </c>
      <c r="G388" s="10">
        <f>IF(INDEX(Banco!$G:$G,ROW())="","",INDEX(Banco!$G:$G,ROW()))</f>
        <v/>
      </c>
      <c r="H388" s="8">
        <f>IF(INDEX(Banco!$H:$H,ROW())="","",INDEX(Banco!$H:$H,ROW()))</f>
        <v/>
      </c>
      <c r="I388">
        <f>IF($T388="","",INT($T388/12)&amp;"a "&amp;MOD($T388,12)&amp;"m")</f>
        <v/>
      </c>
      <c r="J388" s="11">
        <f>IF(OR($F388="",$G388=""),"",ROUND($F388/($G388/100)^2,2))</f>
        <v/>
      </c>
      <c r="K388" s="12">
        <f>IF(OR($S388="",$J388="",$T388="",$T388&lt;0,$T388&gt;228,$Y388=""),"—",ROUND(IF(ABS($AB388)&lt;=3,$AB388,IF($AB388&gt;3,3+($J388-$AD388)/($AD388-$AC388),-3+($J388-$AF388)/($AE388-$AF388))),2))</f>
        <v/>
      </c>
      <c r="L388">
        <f>IF(OR($K388="",$K388="—"),"",IF($T388&lt;=60,IF($K388&lt;-3,"Magreza acentuada",IF($K388&lt;-2,"Magreza",IF($K388&lt;=1,"Eutrofia",IF($K388&lt;=2,"Risco de sobrepeso",IF($K388&lt;=3,"Sobrepeso","Obesidade"))))),IF($K388&lt;-3,"Magreza acentuada",IF($K388&lt;-2,"Magreza",IF($K388&lt;=1,"Eutrofia",IF($K388&lt;=2,"Sobrepeso",IF($K388&lt;=3,"Obesidade","Obesidade grave")))))))</f>
        <v/>
      </c>
      <c r="M388" s="12">
        <f>IF(OR($S388="",$V388="",$T388="",$T388&lt;0,$T388&gt;228,$AG388=""),"—",ROUND(IF($AG388=0,LN($V388/$AH388)/$AI388,((($V388/$AH388)^$AG388)-1)/($AG388*$AI388)),2))</f>
        <v/>
      </c>
      <c r="N388">
        <f>IF(OR($M388="",$M388="—"),"",IF($M388&lt;-3,"Muito baixa",IF($M388&lt;-2,"Baixa","Adequada")))</f>
        <v/>
      </c>
      <c r="O388" s="12">
        <f>IF(OR($S388="",$F388="",$T388="",$T388&lt;0,$T388&gt;120,$AJ388=""),"—",ROUND(IF(ABS($AM388)&lt;=3,$AM388,IF($AM388&gt;3,3+($F388-$AO388)/($AO388-$AN388),-3+($F388-$AQ388)/($AP388-$AQ388))),2))</f>
        <v/>
      </c>
      <c r="P388">
        <f>IF(OR($O388="",$O388="—"),"",IF($O388&lt;-3,"Muito baixo",IF($O388&lt;-2,"Baixo",IF($O388&lt;=2,"Adequado","Elevado"))))</f>
        <v/>
      </c>
      <c r="Q388" s="12">
        <f>IF(OR($S388="",$F388="",$T388="",$T388&lt;0,$T388&gt;60,$AR388=""),"—",ROUND(IF(ABS($AU388)&lt;=3,$AU388,IF($AU388&gt;3,3+($F388-$AW388)/($AW388-$AV388),-3+($F388-$AY388)/($AX388-$AY388))),2))</f>
        <v/>
      </c>
      <c r="R388">
        <f>IF(OR($Q388="",$Q388="—"),"",IF($Q388&lt;-3,"Magreza acentuada",IF($Q388&lt;-2,"Magreza",IF($Q388&lt;=1,"Eutrofia",IF($Q388&lt;=2,"Risco de sobrepeso",IF($Q388&lt;=3,"Sobrepeso","Obesidade"))))))</f>
        <v/>
      </c>
      <c r="S388">
        <f>IF($C388="","",IF(UPPER(LEFT($C388,1))="M",1,IF(UPPER(LEFT($C388,1))="F",2,"")))</f>
        <v/>
      </c>
      <c r="T388">
        <f>IF(OR($D388="",$E388=""),"",DATEDIF($D388,$E388,"m"))</f>
        <v/>
      </c>
      <c r="U388">
        <f>IF(OR($D388="",$E388=""),"",$E388-$D388)</f>
        <v/>
      </c>
      <c r="V388">
        <f>IF(OR($G388="",$T388=""),"",IF($T388&lt;24,IF(LEFT(LOWER($H388),4)="em p",$G388+0.7,$G388),IF(LEFT(LOWER($H388),4)="deit",$G388-0.7,$G388)))</f>
        <v/>
      </c>
      <c r="W388">
        <f>IF(OR($S388="",$T388=""),"",$S388*1000000+IF($T388&lt;=60,$U388,$T388))</f>
        <v/>
      </c>
      <c r="X388">
        <f>IF(OR($S388="",$V388="",$T388&gt;60,$T388=""),"",$S388*1000000+ROUND($V388*10,0))</f>
        <v/>
      </c>
      <c r="Y388">
        <f>IF($W388="","",IFERROR(INDEX(IF($T388&lt;=60,imc05_l,imc519_l),MATCH($W388,IF($T388&lt;=60,imc05_k,imc519_k),1)),""))</f>
        <v/>
      </c>
      <c r="Z388">
        <f>IF($W388="","",IFERROR(INDEX(IF($T388&lt;=60,imc05_m,imc519_m),MATCH($W388,IF($T388&lt;=60,imc05_k,imc519_k),1)),""))</f>
        <v/>
      </c>
      <c r="AA388">
        <f>IF($W388="","",IFERROR(INDEX(IF($T388&lt;=60,imc05_s,imc519_s),MATCH($W388,IF($T388&lt;=60,imc05_k,imc519_k),1)),""))</f>
        <v/>
      </c>
      <c r="AB388">
        <f>IF($Y388="","",IF($Y388=0,LN($J388/$Z388)/$AA388,((($J388/$Z388)^$Y388)-1)/($Y388*$AA388)))</f>
        <v/>
      </c>
      <c r="AC388">
        <f>IF($Y388="","",IF($Y388=0,$Z388*EXP($AA388*2),$Z388*(1+$Y388*$AA388*2)^(1/$Y388)))</f>
        <v/>
      </c>
      <c r="AD388">
        <f>IF($Y388="","",IF($Y388=0,$Z388*EXP($AA388*3),$Z388*(1+$Y388*$AA388*3)^(1/$Y388)))</f>
        <v/>
      </c>
      <c r="AE388">
        <f>IF($Y388="","",IF($Y388=0,$Z388*EXP($AA388*-2),$Z388*(1+$Y388*$AA388*-2)^(1/$Y388)))</f>
        <v/>
      </c>
      <c r="AF388">
        <f>IF($Y388="","",IF($Y388=0,$Z388*EXP($AA388*-3),$Z388*(1+$Y388*$AA388*-3)^(1/$Y388)))</f>
        <v/>
      </c>
      <c r="AG388">
        <f>IF($W388="","",IFERROR(INDEX(IF($T388&lt;=60,est05_l,est519_l),MATCH($W388,IF($T388&lt;=60,est05_k,est519_k),1)),""))</f>
        <v/>
      </c>
      <c r="AH388">
        <f>IF($W388="","",IFERROR(INDEX(IF($T388&lt;=60,est05_m,est519_m),MATCH($W388,IF($T388&lt;=60,est05_k,est519_k),1)),""))</f>
        <v/>
      </c>
      <c r="AI388">
        <f>IF($W388="","",IFERROR(INDEX(IF($T388&lt;=60,est05_s,est519_s),MATCH($W388,IF($T388&lt;=60,est05_k,est519_k),1)),""))</f>
        <v/>
      </c>
      <c r="AJ388">
        <f>IF($W388="","",IFERROR(INDEX(IF($T388&lt;=60,peso05_l,peso510_l),MATCH($W388,IF($T388&lt;=60,peso05_k,peso510_k),1)),""))</f>
        <v/>
      </c>
      <c r="AK388">
        <f>IF($W388="","",IFERROR(INDEX(IF($T388&lt;=60,peso05_m,peso510_m),MATCH($W388,IF($T388&lt;=60,peso05_k,peso510_k),1)),""))</f>
        <v/>
      </c>
      <c r="AL388">
        <f>IF($W388="","",IFERROR(INDEX(IF($T388&lt;=60,peso05_s,peso510_s),MATCH($W388,IF($T388&lt;=60,peso05_k,peso510_k),1)),""))</f>
        <v/>
      </c>
      <c r="AM388">
        <f>IF($AJ388="","",IF($AJ388=0,LN($F388/$AK388)/$AL388,((($F388/$AK388)^$AJ388)-1)/($AJ388*$AL388)))</f>
        <v/>
      </c>
      <c r="AN388">
        <f>IF($AJ388="","",IF($AJ388=0,$AK388*EXP($AL388*2),$AK388*(1+$AJ388*$AL388*2)^(1/$AJ388)))</f>
        <v/>
      </c>
      <c r="AO388">
        <f>IF($AJ388="","",IF($AJ388=0,$AK388*EXP($AL388*3),$AK388*(1+$AJ388*$AL388*3)^(1/$AJ388)))</f>
        <v/>
      </c>
      <c r="AP388">
        <f>IF($AJ388="","",IF($AJ388=0,$AK388*EXP($AL388*-2),$AK388*(1+$AJ388*$AL388*-2)^(1/$AJ388)))</f>
        <v/>
      </c>
      <c r="AQ388">
        <f>IF($AJ388="","",IF($AJ388=0,$AK388*EXP($AL388*-3),$AK388*(1+$AJ388*$AL388*-3)^(1/$AJ388)))</f>
        <v/>
      </c>
      <c r="AR388">
        <f>IF(OR($X388="",$T388&gt;60),"",IFERROR(INDEX(IF($T388&lt;24,pcomp_l,palt_l),MATCH($X388,IF($T388&lt;24,pcomp_k,palt_k),1)),""))</f>
        <v/>
      </c>
      <c r="AS388">
        <f>IF(OR($X388="",$T388&gt;60),"",IFERROR(INDEX(IF($T388&lt;24,pcomp_m,palt_m),MATCH($X388,IF($T388&lt;24,pcomp_k,palt_k),1)),""))</f>
        <v/>
      </c>
      <c r="AT388">
        <f>IF(OR($X388="",$T388&gt;60),"",IFERROR(INDEX(IF($T388&lt;24,pcomp_s,palt_s),MATCH($X388,IF($T388&lt;24,pcomp_k,palt_k),1)),""))</f>
        <v/>
      </c>
      <c r="AU388">
        <f>IF($AR388="","",IF($AR388=0,LN($F388/$AS388)/$AT388,((($F388/$AS388)^$AR388)-1)/($AR388*$AT388)))</f>
        <v/>
      </c>
      <c r="AV388">
        <f>IF($AR388="","",IF($AR388=0,$AS388*EXP($AT388*2),$AS388*(1+$AR388*$AT388*2)^(1/$AR388)))</f>
        <v/>
      </c>
      <c r="AW388">
        <f>IF($AR388="","",IF($AR388=0,$AS388*EXP($AT388*3),$AS388*(1+$AR388*$AT388*3)^(1/$AR388)))</f>
        <v/>
      </c>
      <c r="AX388">
        <f>IF($AR388="","",IF($AR388=0,$AS388*EXP($AT388*-2),$AS388*(1+$AR388*$AT388*-2)^(1/$AR388)))</f>
        <v/>
      </c>
      <c r="AY388">
        <f>IF($AR388="","",IF($AR388=0,$AS388*EXP($AT388*-3),$AS388*(1+$AR388*$AT388*-3)^(1/$AR388)))</f>
        <v/>
      </c>
      <c r="AZ388">
        <f>IF(OR($A388="",$A388&lt;&gt;Ficha!$C$4),"",COUNTIF($A$2:$A388,Ficha!$C$4))</f>
        <v/>
      </c>
    </row>
    <row r="389">
      <c r="A389" s="8">
        <f>IF(INDEX(Banco!$A:$A,ROW())="","",INDEX(Banco!$A:$A,ROW()))</f>
        <v/>
      </c>
      <c r="B389" s="8">
        <f>IF(INDEX(Banco!$B:$B,ROW())="","",INDEX(Banco!$B:$B,ROW()))</f>
        <v/>
      </c>
      <c r="C389" s="8">
        <f>IF(INDEX(Banco!$C:$C,ROW())="","",INDEX(Banco!$C:$C,ROW()))</f>
        <v/>
      </c>
      <c r="D389" s="9">
        <f>IF(INDEX(Banco!$D:$D,ROW())="","",INDEX(Banco!$D:$D,ROW()))</f>
        <v/>
      </c>
      <c r="E389" s="9">
        <f>IF(INDEX(Banco!$E:$E,ROW())="","",INDEX(Banco!$E:$E,ROW()))</f>
        <v/>
      </c>
      <c r="F389" s="10">
        <f>IF(INDEX(Banco!$F:$F,ROW())="","",INDEX(Banco!$F:$F,ROW()))</f>
        <v/>
      </c>
      <c r="G389" s="10">
        <f>IF(INDEX(Banco!$G:$G,ROW())="","",INDEX(Banco!$G:$G,ROW()))</f>
        <v/>
      </c>
      <c r="H389" s="8">
        <f>IF(INDEX(Banco!$H:$H,ROW())="","",INDEX(Banco!$H:$H,ROW()))</f>
        <v/>
      </c>
      <c r="I389">
        <f>IF($T389="","",INT($T389/12)&amp;"a "&amp;MOD($T389,12)&amp;"m")</f>
        <v/>
      </c>
      <c r="J389" s="11">
        <f>IF(OR($F389="",$G389=""),"",ROUND($F389/($G389/100)^2,2))</f>
        <v/>
      </c>
      <c r="K389" s="12">
        <f>IF(OR($S389="",$J389="",$T389="",$T389&lt;0,$T389&gt;228,$Y389=""),"—",ROUND(IF(ABS($AB389)&lt;=3,$AB389,IF($AB389&gt;3,3+($J389-$AD389)/($AD389-$AC389),-3+($J389-$AF389)/($AE389-$AF389))),2))</f>
        <v/>
      </c>
      <c r="L389">
        <f>IF(OR($K389="",$K389="—"),"",IF($T389&lt;=60,IF($K389&lt;-3,"Magreza acentuada",IF($K389&lt;-2,"Magreza",IF($K389&lt;=1,"Eutrofia",IF($K389&lt;=2,"Risco de sobrepeso",IF($K389&lt;=3,"Sobrepeso","Obesidade"))))),IF($K389&lt;-3,"Magreza acentuada",IF($K389&lt;-2,"Magreza",IF($K389&lt;=1,"Eutrofia",IF($K389&lt;=2,"Sobrepeso",IF($K389&lt;=3,"Obesidade","Obesidade grave")))))))</f>
        <v/>
      </c>
      <c r="M389" s="12">
        <f>IF(OR($S389="",$V389="",$T389="",$T389&lt;0,$T389&gt;228,$AG389=""),"—",ROUND(IF($AG389=0,LN($V389/$AH389)/$AI389,((($V389/$AH389)^$AG389)-1)/($AG389*$AI389)),2))</f>
        <v/>
      </c>
      <c r="N389">
        <f>IF(OR($M389="",$M389="—"),"",IF($M389&lt;-3,"Muito baixa",IF($M389&lt;-2,"Baixa","Adequada")))</f>
        <v/>
      </c>
      <c r="O389" s="12">
        <f>IF(OR($S389="",$F389="",$T389="",$T389&lt;0,$T389&gt;120,$AJ389=""),"—",ROUND(IF(ABS($AM389)&lt;=3,$AM389,IF($AM389&gt;3,3+($F389-$AO389)/($AO389-$AN389),-3+($F389-$AQ389)/($AP389-$AQ389))),2))</f>
        <v/>
      </c>
      <c r="P389">
        <f>IF(OR($O389="",$O389="—"),"",IF($O389&lt;-3,"Muito baixo",IF($O389&lt;-2,"Baixo",IF($O389&lt;=2,"Adequado","Elevado"))))</f>
        <v/>
      </c>
      <c r="Q389" s="12">
        <f>IF(OR($S389="",$F389="",$T389="",$T389&lt;0,$T389&gt;60,$AR389=""),"—",ROUND(IF(ABS($AU389)&lt;=3,$AU389,IF($AU389&gt;3,3+($F389-$AW389)/($AW389-$AV389),-3+($F389-$AY389)/($AX389-$AY389))),2))</f>
        <v/>
      </c>
      <c r="R389">
        <f>IF(OR($Q389="",$Q389="—"),"",IF($Q389&lt;-3,"Magreza acentuada",IF($Q389&lt;-2,"Magreza",IF($Q389&lt;=1,"Eutrofia",IF($Q389&lt;=2,"Risco de sobrepeso",IF($Q389&lt;=3,"Sobrepeso","Obesidade"))))))</f>
        <v/>
      </c>
      <c r="S389">
        <f>IF($C389="","",IF(UPPER(LEFT($C389,1))="M",1,IF(UPPER(LEFT($C389,1))="F",2,"")))</f>
        <v/>
      </c>
      <c r="T389">
        <f>IF(OR($D389="",$E389=""),"",DATEDIF($D389,$E389,"m"))</f>
        <v/>
      </c>
      <c r="U389">
        <f>IF(OR($D389="",$E389=""),"",$E389-$D389)</f>
        <v/>
      </c>
      <c r="V389">
        <f>IF(OR($G389="",$T389=""),"",IF($T389&lt;24,IF(LEFT(LOWER($H389),4)="em p",$G389+0.7,$G389),IF(LEFT(LOWER($H389),4)="deit",$G389-0.7,$G389)))</f>
        <v/>
      </c>
      <c r="W389">
        <f>IF(OR($S389="",$T389=""),"",$S389*1000000+IF($T389&lt;=60,$U389,$T389))</f>
        <v/>
      </c>
      <c r="X389">
        <f>IF(OR($S389="",$V389="",$T389&gt;60,$T389=""),"",$S389*1000000+ROUND($V389*10,0))</f>
        <v/>
      </c>
      <c r="Y389">
        <f>IF($W389="","",IFERROR(INDEX(IF($T389&lt;=60,imc05_l,imc519_l),MATCH($W389,IF($T389&lt;=60,imc05_k,imc519_k),1)),""))</f>
        <v/>
      </c>
      <c r="Z389">
        <f>IF($W389="","",IFERROR(INDEX(IF($T389&lt;=60,imc05_m,imc519_m),MATCH($W389,IF($T389&lt;=60,imc05_k,imc519_k),1)),""))</f>
        <v/>
      </c>
      <c r="AA389">
        <f>IF($W389="","",IFERROR(INDEX(IF($T389&lt;=60,imc05_s,imc519_s),MATCH($W389,IF($T389&lt;=60,imc05_k,imc519_k),1)),""))</f>
        <v/>
      </c>
      <c r="AB389">
        <f>IF($Y389="","",IF($Y389=0,LN($J389/$Z389)/$AA389,((($J389/$Z389)^$Y389)-1)/($Y389*$AA389)))</f>
        <v/>
      </c>
      <c r="AC389">
        <f>IF($Y389="","",IF($Y389=0,$Z389*EXP($AA389*2),$Z389*(1+$Y389*$AA389*2)^(1/$Y389)))</f>
        <v/>
      </c>
      <c r="AD389">
        <f>IF($Y389="","",IF($Y389=0,$Z389*EXP($AA389*3),$Z389*(1+$Y389*$AA389*3)^(1/$Y389)))</f>
        <v/>
      </c>
      <c r="AE389">
        <f>IF($Y389="","",IF($Y389=0,$Z389*EXP($AA389*-2),$Z389*(1+$Y389*$AA389*-2)^(1/$Y389)))</f>
        <v/>
      </c>
      <c r="AF389">
        <f>IF($Y389="","",IF($Y389=0,$Z389*EXP($AA389*-3),$Z389*(1+$Y389*$AA389*-3)^(1/$Y389)))</f>
        <v/>
      </c>
      <c r="AG389">
        <f>IF($W389="","",IFERROR(INDEX(IF($T389&lt;=60,est05_l,est519_l),MATCH($W389,IF($T389&lt;=60,est05_k,est519_k),1)),""))</f>
        <v/>
      </c>
      <c r="AH389">
        <f>IF($W389="","",IFERROR(INDEX(IF($T389&lt;=60,est05_m,est519_m),MATCH($W389,IF($T389&lt;=60,est05_k,est519_k),1)),""))</f>
        <v/>
      </c>
      <c r="AI389">
        <f>IF($W389="","",IFERROR(INDEX(IF($T389&lt;=60,est05_s,est519_s),MATCH($W389,IF($T389&lt;=60,est05_k,est519_k),1)),""))</f>
        <v/>
      </c>
      <c r="AJ389">
        <f>IF($W389="","",IFERROR(INDEX(IF($T389&lt;=60,peso05_l,peso510_l),MATCH($W389,IF($T389&lt;=60,peso05_k,peso510_k),1)),""))</f>
        <v/>
      </c>
      <c r="AK389">
        <f>IF($W389="","",IFERROR(INDEX(IF($T389&lt;=60,peso05_m,peso510_m),MATCH($W389,IF($T389&lt;=60,peso05_k,peso510_k),1)),""))</f>
        <v/>
      </c>
      <c r="AL389">
        <f>IF($W389="","",IFERROR(INDEX(IF($T389&lt;=60,peso05_s,peso510_s),MATCH($W389,IF($T389&lt;=60,peso05_k,peso510_k),1)),""))</f>
        <v/>
      </c>
      <c r="AM389">
        <f>IF($AJ389="","",IF($AJ389=0,LN($F389/$AK389)/$AL389,((($F389/$AK389)^$AJ389)-1)/($AJ389*$AL389)))</f>
        <v/>
      </c>
      <c r="AN389">
        <f>IF($AJ389="","",IF($AJ389=0,$AK389*EXP($AL389*2),$AK389*(1+$AJ389*$AL389*2)^(1/$AJ389)))</f>
        <v/>
      </c>
      <c r="AO389">
        <f>IF($AJ389="","",IF($AJ389=0,$AK389*EXP($AL389*3),$AK389*(1+$AJ389*$AL389*3)^(1/$AJ389)))</f>
        <v/>
      </c>
      <c r="AP389">
        <f>IF($AJ389="","",IF($AJ389=0,$AK389*EXP($AL389*-2),$AK389*(1+$AJ389*$AL389*-2)^(1/$AJ389)))</f>
        <v/>
      </c>
      <c r="AQ389">
        <f>IF($AJ389="","",IF($AJ389=0,$AK389*EXP($AL389*-3),$AK389*(1+$AJ389*$AL389*-3)^(1/$AJ389)))</f>
        <v/>
      </c>
      <c r="AR389">
        <f>IF(OR($X389="",$T389&gt;60),"",IFERROR(INDEX(IF($T389&lt;24,pcomp_l,palt_l),MATCH($X389,IF($T389&lt;24,pcomp_k,palt_k),1)),""))</f>
        <v/>
      </c>
      <c r="AS389">
        <f>IF(OR($X389="",$T389&gt;60),"",IFERROR(INDEX(IF($T389&lt;24,pcomp_m,palt_m),MATCH($X389,IF($T389&lt;24,pcomp_k,palt_k),1)),""))</f>
        <v/>
      </c>
      <c r="AT389">
        <f>IF(OR($X389="",$T389&gt;60),"",IFERROR(INDEX(IF($T389&lt;24,pcomp_s,palt_s),MATCH($X389,IF($T389&lt;24,pcomp_k,palt_k),1)),""))</f>
        <v/>
      </c>
      <c r="AU389">
        <f>IF($AR389="","",IF($AR389=0,LN($F389/$AS389)/$AT389,((($F389/$AS389)^$AR389)-1)/($AR389*$AT389)))</f>
        <v/>
      </c>
      <c r="AV389">
        <f>IF($AR389="","",IF($AR389=0,$AS389*EXP($AT389*2),$AS389*(1+$AR389*$AT389*2)^(1/$AR389)))</f>
        <v/>
      </c>
      <c r="AW389">
        <f>IF($AR389="","",IF($AR389=0,$AS389*EXP($AT389*3),$AS389*(1+$AR389*$AT389*3)^(1/$AR389)))</f>
        <v/>
      </c>
      <c r="AX389">
        <f>IF($AR389="","",IF($AR389=0,$AS389*EXP($AT389*-2),$AS389*(1+$AR389*$AT389*-2)^(1/$AR389)))</f>
        <v/>
      </c>
      <c r="AY389">
        <f>IF($AR389="","",IF($AR389=0,$AS389*EXP($AT389*-3),$AS389*(1+$AR389*$AT389*-3)^(1/$AR389)))</f>
        <v/>
      </c>
      <c r="AZ389">
        <f>IF(OR($A389="",$A389&lt;&gt;Ficha!$C$4),"",COUNTIF($A$2:$A389,Ficha!$C$4))</f>
        <v/>
      </c>
    </row>
    <row r="390">
      <c r="A390" s="8">
        <f>IF(INDEX(Banco!$A:$A,ROW())="","",INDEX(Banco!$A:$A,ROW()))</f>
        <v/>
      </c>
      <c r="B390" s="8">
        <f>IF(INDEX(Banco!$B:$B,ROW())="","",INDEX(Banco!$B:$B,ROW()))</f>
        <v/>
      </c>
      <c r="C390" s="8">
        <f>IF(INDEX(Banco!$C:$C,ROW())="","",INDEX(Banco!$C:$C,ROW()))</f>
        <v/>
      </c>
      <c r="D390" s="9">
        <f>IF(INDEX(Banco!$D:$D,ROW())="","",INDEX(Banco!$D:$D,ROW()))</f>
        <v/>
      </c>
      <c r="E390" s="9">
        <f>IF(INDEX(Banco!$E:$E,ROW())="","",INDEX(Banco!$E:$E,ROW()))</f>
        <v/>
      </c>
      <c r="F390" s="10">
        <f>IF(INDEX(Banco!$F:$F,ROW())="","",INDEX(Banco!$F:$F,ROW()))</f>
        <v/>
      </c>
      <c r="G390" s="10">
        <f>IF(INDEX(Banco!$G:$G,ROW())="","",INDEX(Banco!$G:$G,ROW()))</f>
        <v/>
      </c>
      <c r="H390" s="8">
        <f>IF(INDEX(Banco!$H:$H,ROW())="","",INDEX(Banco!$H:$H,ROW()))</f>
        <v/>
      </c>
      <c r="I390">
        <f>IF($T390="","",INT($T390/12)&amp;"a "&amp;MOD($T390,12)&amp;"m")</f>
        <v/>
      </c>
      <c r="J390" s="11">
        <f>IF(OR($F390="",$G390=""),"",ROUND($F390/($G390/100)^2,2))</f>
        <v/>
      </c>
      <c r="K390" s="12">
        <f>IF(OR($S390="",$J390="",$T390="",$T390&lt;0,$T390&gt;228,$Y390=""),"—",ROUND(IF(ABS($AB390)&lt;=3,$AB390,IF($AB390&gt;3,3+($J390-$AD390)/($AD390-$AC390),-3+($J390-$AF390)/($AE390-$AF390))),2))</f>
        <v/>
      </c>
      <c r="L390">
        <f>IF(OR($K390="",$K390="—"),"",IF($T390&lt;=60,IF($K390&lt;-3,"Magreza acentuada",IF($K390&lt;-2,"Magreza",IF($K390&lt;=1,"Eutrofia",IF($K390&lt;=2,"Risco de sobrepeso",IF($K390&lt;=3,"Sobrepeso","Obesidade"))))),IF($K390&lt;-3,"Magreza acentuada",IF($K390&lt;-2,"Magreza",IF($K390&lt;=1,"Eutrofia",IF($K390&lt;=2,"Sobrepeso",IF($K390&lt;=3,"Obesidade","Obesidade grave")))))))</f>
        <v/>
      </c>
      <c r="M390" s="12">
        <f>IF(OR($S390="",$V390="",$T390="",$T390&lt;0,$T390&gt;228,$AG390=""),"—",ROUND(IF($AG390=0,LN($V390/$AH390)/$AI390,((($V390/$AH390)^$AG390)-1)/($AG390*$AI390)),2))</f>
        <v/>
      </c>
      <c r="N390">
        <f>IF(OR($M390="",$M390="—"),"",IF($M390&lt;-3,"Muito baixa",IF($M390&lt;-2,"Baixa","Adequada")))</f>
        <v/>
      </c>
      <c r="O390" s="12">
        <f>IF(OR($S390="",$F390="",$T390="",$T390&lt;0,$T390&gt;120,$AJ390=""),"—",ROUND(IF(ABS($AM390)&lt;=3,$AM390,IF($AM390&gt;3,3+($F390-$AO390)/($AO390-$AN390),-3+($F390-$AQ390)/($AP390-$AQ390))),2))</f>
        <v/>
      </c>
      <c r="P390">
        <f>IF(OR($O390="",$O390="—"),"",IF($O390&lt;-3,"Muito baixo",IF($O390&lt;-2,"Baixo",IF($O390&lt;=2,"Adequado","Elevado"))))</f>
        <v/>
      </c>
      <c r="Q390" s="12">
        <f>IF(OR($S390="",$F390="",$T390="",$T390&lt;0,$T390&gt;60,$AR390=""),"—",ROUND(IF(ABS($AU390)&lt;=3,$AU390,IF($AU390&gt;3,3+($F390-$AW390)/($AW390-$AV390),-3+($F390-$AY390)/($AX390-$AY390))),2))</f>
        <v/>
      </c>
      <c r="R390">
        <f>IF(OR($Q390="",$Q390="—"),"",IF($Q390&lt;-3,"Magreza acentuada",IF($Q390&lt;-2,"Magreza",IF($Q390&lt;=1,"Eutrofia",IF($Q390&lt;=2,"Risco de sobrepeso",IF($Q390&lt;=3,"Sobrepeso","Obesidade"))))))</f>
        <v/>
      </c>
      <c r="S390">
        <f>IF($C390="","",IF(UPPER(LEFT($C390,1))="M",1,IF(UPPER(LEFT($C390,1))="F",2,"")))</f>
        <v/>
      </c>
      <c r="T390">
        <f>IF(OR($D390="",$E390=""),"",DATEDIF($D390,$E390,"m"))</f>
        <v/>
      </c>
      <c r="U390">
        <f>IF(OR($D390="",$E390=""),"",$E390-$D390)</f>
        <v/>
      </c>
      <c r="V390">
        <f>IF(OR($G390="",$T390=""),"",IF($T390&lt;24,IF(LEFT(LOWER($H390),4)="em p",$G390+0.7,$G390),IF(LEFT(LOWER($H390),4)="deit",$G390-0.7,$G390)))</f>
        <v/>
      </c>
      <c r="W390">
        <f>IF(OR($S390="",$T390=""),"",$S390*1000000+IF($T390&lt;=60,$U390,$T390))</f>
        <v/>
      </c>
      <c r="X390">
        <f>IF(OR($S390="",$V390="",$T390&gt;60,$T390=""),"",$S390*1000000+ROUND($V390*10,0))</f>
        <v/>
      </c>
      <c r="Y390">
        <f>IF($W390="","",IFERROR(INDEX(IF($T390&lt;=60,imc05_l,imc519_l),MATCH($W390,IF($T390&lt;=60,imc05_k,imc519_k),1)),""))</f>
        <v/>
      </c>
      <c r="Z390">
        <f>IF($W390="","",IFERROR(INDEX(IF($T390&lt;=60,imc05_m,imc519_m),MATCH($W390,IF($T390&lt;=60,imc05_k,imc519_k),1)),""))</f>
        <v/>
      </c>
      <c r="AA390">
        <f>IF($W390="","",IFERROR(INDEX(IF($T390&lt;=60,imc05_s,imc519_s),MATCH($W390,IF($T390&lt;=60,imc05_k,imc519_k),1)),""))</f>
        <v/>
      </c>
      <c r="AB390">
        <f>IF($Y390="","",IF($Y390=0,LN($J390/$Z390)/$AA390,((($J390/$Z390)^$Y390)-1)/($Y390*$AA390)))</f>
        <v/>
      </c>
      <c r="AC390">
        <f>IF($Y390="","",IF($Y390=0,$Z390*EXP($AA390*2),$Z390*(1+$Y390*$AA390*2)^(1/$Y390)))</f>
        <v/>
      </c>
      <c r="AD390">
        <f>IF($Y390="","",IF($Y390=0,$Z390*EXP($AA390*3),$Z390*(1+$Y390*$AA390*3)^(1/$Y390)))</f>
        <v/>
      </c>
      <c r="AE390">
        <f>IF($Y390="","",IF($Y390=0,$Z390*EXP($AA390*-2),$Z390*(1+$Y390*$AA390*-2)^(1/$Y390)))</f>
        <v/>
      </c>
      <c r="AF390">
        <f>IF($Y390="","",IF($Y390=0,$Z390*EXP($AA390*-3),$Z390*(1+$Y390*$AA390*-3)^(1/$Y390)))</f>
        <v/>
      </c>
      <c r="AG390">
        <f>IF($W390="","",IFERROR(INDEX(IF($T390&lt;=60,est05_l,est519_l),MATCH($W390,IF($T390&lt;=60,est05_k,est519_k),1)),""))</f>
        <v/>
      </c>
      <c r="AH390">
        <f>IF($W390="","",IFERROR(INDEX(IF($T390&lt;=60,est05_m,est519_m),MATCH($W390,IF($T390&lt;=60,est05_k,est519_k),1)),""))</f>
        <v/>
      </c>
      <c r="AI390">
        <f>IF($W390="","",IFERROR(INDEX(IF($T390&lt;=60,est05_s,est519_s),MATCH($W390,IF($T390&lt;=60,est05_k,est519_k),1)),""))</f>
        <v/>
      </c>
      <c r="AJ390">
        <f>IF($W390="","",IFERROR(INDEX(IF($T390&lt;=60,peso05_l,peso510_l),MATCH($W390,IF($T390&lt;=60,peso05_k,peso510_k),1)),""))</f>
        <v/>
      </c>
      <c r="AK390">
        <f>IF($W390="","",IFERROR(INDEX(IF($T390&lt;=60,peso05_m,peso510_m),MATCH($W390,IF($T390&lt;=60,peso05_k,peso510_k),1)),""))</f>
        <v/>
      </c>
      <c r="AL390">
        <f>IF($W390="","",IFERROR(INDEX(IF($T390&lt;=60,peso05_s,peso510_s),MATCH($W390,IF($T390&lt;=60,peso05_k,peso510_k),1)),""))</f>
        <v/>
      </c>
      <c r="AM390">
        <f>IF($AJ390="","",IF($AJ390=0,LN($F390/$AK390)/$AL390,((($F390/$AK390)^$AJ390)-1)/($AJ390*$AL390)))</f>
        <v/>
      </c>
      <c r="AN390">
        <f>IF($AJ390="","",IF($AJ390=0,$AK390*EXP($AL390*2),$AK390*(1+$AJ390*$AL390*2)^(1/$AJ390)))</f>
        <v/>
      </c>
      <c r="AO390">
        <f>IF($AJ390="","",IF($AJ390=0,$AK390*EXP($AL390*3),$AK390*(1+$AJ390*$AL390*3)^(1/$AJ390)))</f>
        <v/>
      </c>
      <c r="AP390">
        <f>IF($AJ390="","",IF($AJ390=0,$AK390*EXP($AL390*-2),$AK390*(1+$AJ390*$AL390*-2)^(1/$AJ390)))</f>
        <v/>
      </c>
      <c r="AQ390">
        <f>IF($AJ390="","",IF($AJ390=0,$AK390*EXP($AL390*-3),$AK390*(1+$AJ390*$AL390*-3)^(1/$AJ390)))</f>
        <v/>
      </c>
      <c r="AR390">
        <f>IF(OR($X390="",$T390&gt;60),"",IFERROR(INDEX(IF($T390&lt;24,pcomp_l,palt_l),MATCH($X390,IF($T390&lt;24,pcomp_k,palt_k),1)),""))</f>
        <v/>
      </c>
      <c r="AS390">
        <f>IF(OR($X390="",$T390&gt;60),"",IFERROR(INDEX(IF($T390&lt;24,pcomp_m,palt_m),MATCH($X390,IF($T390&lt;24,pcomp_k,palt_k),1)),""))</f>
        <v/>
      </c>
      <c r="AT390">
        <f>IF(OR($X390="",$T390&gt;60),"",IFERROR(INDEX(IF($T390&lt;24,pcomp_s,palt_s),MATCH($X390,IF($T390&lt;24,pcomp_k,palt_k),1)),""))</f>
        <v/>
      </c>
      <c r="AU390">
        <f>IF($AR390="","",IF($AR390=0,LN($F390/$AS390)/$AT390,((($F390/$AS390)^$AR390)-1)/($AR390*$AT390)))</f>
        <v/>
      </c>
      <c r="AV390">
        <f>IF($AR390="","",IF($AR390=0,$AS390*EXP($AT390*2),$AS390*(1+$AR390*$AT390*2)^(1/$AR390)))</f>
        <v/>
      </c>
      <c r="AW390">
        <f>IF($AR390="","",IF($AR390=0,$AS390*EXP($AT390*3),$AS390*(1+$AR390*$AT390*3)^(1/$AR390)))</f>
        <v/>
      </c>
      <c r="AX390">
        <f>IF($AR390="","",IF($AR390=0,$AS390*EXP($AT390*-2),$AS390*(1+$AR390*$AT390*-2)^(1/$AR390)))</f>
        <v/>
      </c>
      <c r="AY390">
        <f>IF($AR390="","",IF($AR390=0,$AS390*EXP($AT390*-3),$AS390*(1+$AR390*$AT390*-3)^(1/$AR390)))</f>
        <v/>
      </c>
      <c r="AZ390">
        <f>IF(OR($A390="",$A390&lt;&gt;Ficha!$C$4),"",COUNTIF($A$2:$A390,Ficha!$C$4))</f>
        <v/>
      </c>
    </row>
    <row r="391">
      <c r="A391" s="8">
        <f>IF(INDEX(Banco!$A:$A,ROW())="","",INDEX(Banco!$A:$A,ROW()))</f>
        <v/>
      </c>
      <c r="B391" s="8">
        <f>IF(INDEX(Banco!$B:$B,ROW())="","",INDEX(Banco!$B:$B,ROW()))</f>
        <v/>
      </c>
      <c r="C391" s="8">
        <f>IF(INDEX(Banco!$C:$C,ROW())="","",INDEX(Banco!$C:$C,ROW()))</f>
        <v/>
      </c>
      <c r="D391" s="9">
        <f>IF(INDEX(Banco!$D:$D,ROW())="","",INDEX(Banco!$D:$D,ROW()))</f>
        <v/>
      </c>
      <c r="E391" s="9">
        <f>IF(INDEX(Banco!$E:$E,ROW())="","",INDEX(Banco!$E:$E,ROW()))</f>
        <v/>
      </c>
      <c r="F391" s="10">
        <f>IF(INDEX(Banco!$F:$F,ROW())="","",INDEX(Banco!$F:$F,ROW()))</f>
        <v/>
      </c>
      <c r="G391" s="10">
        <f>IF(INDEX(Banco!$G:$G,ROW())="","",INDEX(Banco!$G:$G,ROW()))</f>
        <v/>
      </c>
      <c r="H391" s="8">
        <f>IF(INDEX(Banco!$H:$H,ROW())="","",INDEX(Banco!$H:$H,ROW()))</f>
        <v/>
      </c>
      <c r="I391">
        <f>IF($T391="","",INT($T391/12)&amp;"a "&amp;MOD($T391,12)&amp;"m")</f>
        <v/>
      </c>
      <c r="J391" s="11">
        <f>IF(OR($F391="",$G391=""),"",ROUND($F391/($G391/100)^2,2))</f>
        <v/>
      </c>
      <c r="K391" s="12">
        <f>IF(OR($S391="",$J391="",$T391="",$T391&lt;0,$T391&gt;228,$Y391=""),"—",ROUND(IF(ABS($AB391)&lt;=3,$AB391,IF($AB391&gt;3,3+($J391-$AD391)/($AD391-$AC391),-3+($J391-$AF391)/($AE391-$AF391))),2))</f>
        <v/>
      </c>
      <c r="L391">
        <f>IF(OR($K391="",$K391="—"),"",IF($T391&lt;=60,IF($K391&lt;-3,"Magreza acentuada",IF($K391&lt;-2,"Magreza",IF($K391&lt;=1,"Eutrofia",IF($K391&lt;=2,"Risco de sobrepeso",IF($K391&lt;=3,"Sobrepeso","Obesidade"))))),IF($K391&lt;-3,"Magreza acentuada",IF($K391&lt;-2,"Magreza",IF($K391&lt;=1,"Eutrofia",IF($K391&lt;=2,"Sobrepeso",IF($K391&lt;=3,"Obesidade","Obesidade grave")))))))</f>
        <v/>
      </c>
      <c r="M391" s="12">
        <f>IF(OR($S391="",$V391="",$T391="",$T391&lt;0,$T391&gt;228,$AG391=""),"—",ROUND(IF($AG391=0,LN($V391/$AH391)/$AI391,((($V391/$AH391)^$AG391)-1)/($AG391*$AI391)),2))</f>
        <v/>
      </c>
      <c r="N391">
        <f>IF(OR($M391="",$M391="—"),"",IF($M391&lt;-3,"Muito baixa",IF($M391&lt;-2,"Baixa","Adequada")))</f>
        <v/>
      </c>
      <c r="O391" s="12">
        <f>IF(OR($S391="",$F391="",$T391="",$T391&lt;0,$T391&gt;120,$AJ391=""),"—",ROUND(IF(ABS($AM391)&lt;=3,$AM391,IF($AM391&gt;3,3+($F391-$AO391)/($AO391-$AN391),-3+($F391-$AQ391)/($AP391-$AQ391))),2))</f>
        <v/>
      </c>
      <c r="P391">
        <f>IF(OR($O391="",$O391="—"),"",IF($O391&lt;-3,"Muito baixo",IF($O391&lt;-2,"Baixo",IF($O391&lt;=2,"Adequado","Elevado"))))</f>
        <v/>
      </c>
      <c r="Q391" s="12">
        <f>IF(OR($S391="",$F391="",$T391="",$T391&lt;0,$T391&gt;60,$AR391=""),"—",ROUND(IF(ABS($AU391)&lt;=3,$AU391,IF($AU391&gt;3,3+($F391-$AW391)/($AW391-$AV391),-3+($F391-$AY391)/($AX391-$AY391))),2))</f>
        <v/>
      </c>
      <c r="R391">
        <f>IF(OR($Q391="",$Q391="—"),"",IF($Q391&lt;-3,"Magreza acentuada",IF($Q391&lt;-2,"Magreza",IF($Q391&lt;=1,"Eutrofia",IF($Q391&lt;=2,"Risco de sobrepeso",IF($Q391&lt;=3,"Sobrepeso","Obesidade"))))))</f>
        <v/>
      </c>
      <c r="S391">
        <f>IF($C391="","",IF(UPPER(LEFT($C391,1))="M",1,IF(UPPER(LEFT($C391,1))="F",2,"")))</f>
        <v/>
      </c>
      <c r="T391">
        <f>IF(OR($D391="",$E391=""),"",DATEDIF($D391,$E391,"m"))</f>
        <v/>
      </c>
      <c r="U391">
        <f>IF(OR($D391="",$E391=""),"",$E391-$D391)</f>
        <v/>
      </c>
      <c r="V391">
        <f>IF(OR($G391="",$T391=""),"",IF($T391&lt;24,IF(LEFT(LOWER($H391),4)="em p",$G391+0.7,$G391),IF(LEFT(LOWER($H391),4)="deit",$G391-0.7,$G391)))</f>
        <v/>
      </c>
      <c r="W391">
        <f>IF(OR($S391="",$T391=""),"",$S391*1000000+IF($T391&lt;=60,$U391,$T391))</f>
        <v/>
      </c>
      <c r="X391">
        <f>IF(OR($S391="",$V391="",$T391&gt;60,$T391=""),"",$S391*1000000+ROUND($V391*10,0))</f>
        <v/>
      </c>
      <c r="Y391">
        <f>IF($W391="","",IFERROR(INDEX(IF($T391&lt;=60,imc05_l,imc519_l),MATCH($W391,IF($T391&lt;=60,imc05_k,imc519_k),1)),""))</f>
        <v/>
      </c>
      <c r="Z391">
        <f>IF($W391="","",IFERROR(INDEX(IF($T391&lt;=60,imc05_m,imc519_m),MATCH($W391,IF($T391&lt;=60,imc05_k,imc519_k),1)),""))</f>
        <v/>
      </c>
      <c r="AA391">
        <f>IF($W391="","",IFERROR(INDEX(IF($T391&lt;=60,imc05_s,imc519_s),MATCH($W391,IF($T391&lt;=60,imc05_k,imc519_k),1)),""))</f>
        <v/>
      </c>
      <c r="AB391">
        <f>IF($Y391="","",IF($Y391=0,LN($J391/$Z391)/$AA391,((($J391/$Z391)^$Y391)-1)/($Y391*$AA391)))</f>
        <v/>
      </c>
      <c r="AC391">
        <f>IF($Y391="","",IF($Y391=0,$Z391*EXP($AA391*2),$Z391*(1+$Y391*$AA391*2)^(1/$Y391)))</f>
        <v/>
      </c>
      <c r="AD391">
        <f>IF($Y391="","",IF($Y391=0,$Z391*EXP($AA391*3),$Z391*(1+$Y391*$AA391*3)^(1/$Y391)))</f>
        <v/>
      </c>
      <c r="AE391">
        <f>IF($Y391="","",IF($Y391=0,$Z391*EXP($AA391*-2),$Z391*(1+$Y391*$AA391*-2)^(1/$Y391)))</f>
        <v/>
      </c>
      <c r="AF391">
        <f>IF($Y391="","",IF($Y391=0,$Z391*EXP($AA391*-3),$Z391*(1+$Y391*$AA391*-3)^(1/$Y391)))</f>
        <v/>
      </c>
      <c r="AG391">
        <f>IF($W391="","",IFERROR(INDEX(IF($T391&lt;=60,est05_l,est519_l),MATCH($W391,IF($T391&lt;=60,est05_k,est519_k),1)),""))</f>
        <v/>
      </c>
      <c r="AH391">
        <f>IF($W391="","",IFERROR(INDEX(IF($T391&lt;=60,est05_m,est519_m),MATCH($W391,IF($T391&lt;=60,est05_k,est519_k),1)),""))</f>
        <v/>
      </c>
      <c r="AI391">
        <f>IF($W391="","",IFERROR(INDEX(IF($T391&lt;=60,est05_s,est519_s),MATCH($W391,IF($T391&lt;=60,est05_k,est519_k),1)),""))</f>
        <v/>
      </c>
      <c r="AJ391">
        <f>IF($W391="","",IFERROR(INDEX(IF($T391&lt;=60,peso05_l,peso510_l),MATCH($W391,IF($T391&lt;=60,peso05_k,peso510_k),1)),""))</f>
        <v/>
      </c>
      <c r="AK391">
        <f>IF($W391="","",IFERROR(INDEX(IF($T391&lt;=60,peso05_m,peso510_m),MATCH($W391,IF($T391&lt;=60,peso05_k,peso510_k),1)),""))</f>
        <v/>
      </c>
      <c r="AL391">
        <f>IF($W391="","",IFERROR(INDEX(IF($T391&lt;=60,peso05_s,peso510_s),MATCH($W391,IF($T391&lt;=60,peso05_k,peso510_k),1)),""))</f>
        <v/>
      </c>
      <c r="AM391">
        <f>IF($AJ391="","",IF($AJ391=0,LN($F391/$AK391)/$AL391,((($F391/$AK391)^$AJ391)-1)/($AJ391*$AL391)))</f>
        <v/>
      </c>
      <c r="AN391">
        <f>IF($AJ391="","",IF($AJ391=0,$AK391*EXP($AL391*2),$AK391*(1+$AJ391*$AL391*2)^(1/$AJ391)))</f>
        <v/>
      </c>
      <c r="AO391">
        <f>IF($AJ391="","",IF($AJ391=0,$AK391*EXP($AL391*3),$AK391*(1+$AJ391*$AL391*3)^(1/$AJ391)))</f>
        <v/>
      </c>
      <c r="AP391">
        <f>IF($AJ391="","",IF($AJ391=0,$AK391*EXP($AL391*-2),$AK391*(1+$AJ391*$AL391*-2)^(1/$AJ391)))</f>
        <v/>
      </c>
      <c r="AQ391">
        <f>IF($AJ391="","",IF($AJ391=0,$AK391*EXP($AL391*-3),$AK391*(1+$AJ391*$AL391*-3)^(1/$AJ391)))</f>
        <v/>
      </c>
      <c r="AR391">
        <f>IF(OR($X391="",$T391&gt;60),"",IFERROR(INDEX(IF($T391&lt;24,pcomp_l,palt_l),MATCH($X391,IF($T391&lt;24,pcomp_k,palt_k),1)),""))</f>
        <v/>
      </c>
      <c r="AS391">
        <f>IF(OR($X391="",$T391&gt;60),"",IFERROR(INDEX(IF($T391&lt;24,pcomp_m,palt_m),MATCH($X391,IF($T391&lt;24,pcomp_k,palt_k),1)),""))</f>
        <v/>
      </c>
      <c r="AT391">
        <f>IF(OR($X391="",$T391&gt;60),"",IFERROR(INDEX(IF($T391&lt;24,pcomp_s,palt_s),MATCH($X391,IF($T391&lt;24,pcomp_k,palt_k),1)),""))</f>
        <v/>
      </c>
      <c r="AU391">
        <f>IF($AR391="","",IF($AR391=0,LN($F391/$AS391)/$AT391,((($F391/$AS391)^$AR391)-1)/($AR391*$AT391)))</f>
        <v/>
      </c>
      <c r="AV391">
        <f>IF($AR391="","",IF($AR391=0,$AS391*EXP($AT391*2),$AS391*(1+$AR391*$AT391*2)^(1/$AR391)))</f>
        <v/>
      </c>
      <c r="AW391">
        <f>IF($AR391="","",IF($AR391=0,$AS391*EXP($AT391*3),$AS391*(1+$AR391*$AT391*3)^(1/$AR391)))</f>
        <v/>
      </c>
      <c r="AX391">
        <f>IF($AR391="","",IF($AR391=0,$AS391*EXP($AT391*-2),$AS391*(1+$AR391*$AT391*-2)^(1/$AR391)))</f>
        <v/>
      </c>
      <c r="AY391">
        <f>IF($AR391="","",IF($AR391=0,$AS391*EXP($AT391*-3),$AS391*(1+$AR391*$AT391*-3)^(1/$AR391)))</f>
        <v/>
      </c>
      <c r="AZ391">
        <f>IF(OR($A391="",$A391&lt;&gt;Ficha!$C$4),"",COUNTIF($A$2:$A391,Ficha!$C$4))</f>
        <v/>
      </c>
    </row>
    <row r="392">
      <c r="A392" s="8">
        <f>IF(INDEX(Banco!$A:$A,ROW())="","",INDEX(Banco!$A:$A,ROW()))</f>
        <v/>
      </c>
      <c r="B392" s="8">
        <f>IF(INDEX(Banco!$B:$B,ROW())="","",INDEX(Banco!$B:$B,ROW()))</f>
        <v/>
      </c>
      <c r="C392" s="8">
        <f>IF(INDEX(Banco!$C:$C,ROW())="","",INDEX(Banco!$C:$C,ROW()))</f>
        <v/>
      </c>
      <c r="D392" s="9">
        <f>IF(INDEX(Banco!$D:$D,ROW())="","",INDEX(Banco!$D:$D,ROW()))</f>
        <v/>
      </c>
      <c r="E392" s="9">
        <f>IF(INDEX(Banco!$E:$E,ROW())="","",INDEX(Banco!$E:$E,ROW()))</f>
        <v/>
      </c>
      <c r="F392" s="10">
        <f>IF(INDEX(Banco!$F:$F,ROW())="","",INDEX(Banco!$F:$F,ROW()))</f>
        <v/>
      </c>
      <c r="G392" s="10">
        <f>IF(INDEX(Banco!$G:$G,ROW())="","",INDEX(Banco!$G:$G,ROW()))</f>
        <v/>
      </c>
      <c r="H392" s="8">
        <f>IF(INDEX(Banco!$H:$H,ROW())="","",INDEX(Banco!$H:$H,ROW()))</f>
        <v/>
      </c>
      <c r="I392">
        <f>IF($T392="","",INT($T392/12)&amp;"a "&amp;MOD($T392,12)&amp;"m")</f>
        <v/>
      </c>
      <c r="J392" s="11">
        <f>IF(OR($F392="",$G392=""),"",ROUND($F392/($G392/100)^2,2))</f>
        <v/>
      </c>
      <c r="K392" s="12">
        <f>IF(OR($S392="",$J392="",$T392="",$T392&lt;0,$T392&gt;228,$Y392=""),"—",ROUND(IF(ABS($AB392)&lt;=3,$AB392,IF($AB392&gt;3,3+($J392-$AD392)/($AD392-$AC392),-3+($J392-$AF392)/($AE392-$AF392))),2))</f>
        <v/>
      </c>
      <c r="L392">
        <f>IF(OR($K392="",$K392="—"),"",IF($T392&lt;=60,IF($K392&lt;-3,"Magreza acentuada",IF($K392&lt;-2,"Magreza",IF($K392&lt;=1,"Eutrofia",IF($K392&lt;=2,"Risco de sobrepeso",IF($K392&lt;=3,"Sobrepeso","Obesidade"))))),IF($K392&lt;-3,"Magreza acentuada",IF($K392&lt;-2,"Magreza",IF($K392&lt;=1,"Eutrofia",IF($K392&lt;=2,"Sobrepeso",IF($K392&lt;=3,"Obesidade","Obesidade grave")))))))</f>
        <v/>
      </c>
      <c r="M392" s="12">
        <f>IF(OR($S392="",$V392="",$T392="",$T392&lt;0,$T392&gt;228,$AG392=""),"—",ROUND(IF($AG392=0,LN($V392/$AH392)/$AI392,((($V392/$AH392)^$AG392)-1)/($AG392*$AI392)),2))</f>
        <v/>
      </c>
      <c r="N392">
        <f>IF(OR($M392="",$M392="—"),"",IF($M392&lt;-3,"Muito baixa",IF($M392&lt;-2,"Baixa","Adequada")))</f>
        <v/>
      </c>
      <c r="O392" s="12">
        <f>IF(OR($S392="",$F392="",$T392="",$T392&lt;0,$T392&gt;120,$AJ392=""),"—",ROUND(IF(ABS($AM392)&lt;=3,$AM392,IF($AM392&gt;3,3+($F392-$AO392)/($AO392-$AN392),-3+($F392-$AQ392)/($AP392-$AQ392))),2))</f>
        <v/>
      </c>
      <c r="P392">
        <f>IF(OR($O392="",$O392="—"),"",IF($O392&lt;-3,"Muito baixo",IF($O392&lt;-2,"Baixo",IF($O392&lt;=2,"Adequado","Elevado"))))</f>
        <v/>
      </c>
      <c r="Q392" s="12">
        <f>IF(OR($S392="",$F392="",$T392="",$T392&lt;0,$T392&gt;60,$AR392=""),"—",ROUND(IF(ABS($AU392)&lt;=3,$AU392,IF($AU392&gt;3,3+($F392-$AW392)/($AW392-$AV392),-3+($F392-$AY392)/($AX392-$AY392))),2))</f>
        <v/>
      </c>
      <c r="R392">
        <f>IF(OR($Q392="",$Q392="—"),"",IF($Q392&lt;-3,"Magreza acentuada",IF($Q392&lt;-2,"Magreza",IF($Q392&lt;=1,"Eutrofia",IF($Q392&lt;=2,"Risco de sobrepeso",IF($Q392&lt;=3,"Sobrepeso","Obesidade"))))))</f>
        <v/>
      </c>
      <c r="S392">
        <f>IF($C392="","",IF(UPPER(LEFT($C392,1))="M",1,IF(UPPER(LEFT($C392,1))="F",2,"")))</f>
        <v/>
      </c>
      <c r="T392">
        <f>IF(OR($D392="",$E392=""),"",DATEDIF($D392,$E392,"m"))</f>
        <v/>
      </c>
      <c r="U392">
        <f>IF(OR($D392="",$E392=""),"",$E392-$D392)</f>
        <v/>
      </c>
      <c r="V392">
        <f>IF(OR($G392="",$T392=""),"",IF($T392&lt;24,IF(LEFT(LOWER($H392),4)="em p",$G392+0.7,$G392),IF(LEFT(LOWER($H392),4)="deit",$G392-0.7,$G392)))</f>
        <v/>
      </c>
      <c r="W392">
        <f>IF(OR($S392="",$T392=""),"",$S392*1000000+IF($T392&lt;=60,$U392,$T392))</f>
        <v/>
      </c>
      <c r="X392">
        <f>IF(OR($S392="",$V392="",$T392&gt;60,$T392=""),"",$S392*1000000+ROUND($V392*10,0))</f>
        <v/>
      </c>
      <c r="Y392">
        <f>IF($W392="","",IFERROR(INDEX(IF($T392&lt;=60,imc05_l,imc519_l),MATCH($W392,IF($T392&lt;=60,imc05_k,imc519_k),1)),""))</f>
        <v/>
      </c>
      <c r="Z392">
        <f>IF($W392="","",IFERROR(INDEX(IF($T392&lt;=60,imc05_m,imc519_m),MATCH($W392,IF($T392&lt;=60,imc05_k,imc519_k),1)),""))</f>
        <v/>
      </c>
      <c r="AA392">
        <f>IF($W392="","",IFERROR(INDEX(IF($T392&lt;=60,imc05_s,imc519_s),MATCH($W392,IF($T392&lt;=60,imc05_k,imc519_k),1)),""))</f>
        <v/>
      </c>
      <c r="AB392">
        <f>IF($Y392="","",IF($Y392=0,LN($J392/$Z392)/$AA392,((($J392/$Z392)^$Y392)-1)/($Y392*$AA392)))</f>
        <v/>
      </c>
      <c r="AC392">
        <f>IF($Y392="","",IF($Y392=0,$Z392*EXP($AA392*2),$Z392*(1+$Y392*$AA392*2)^(1/$Y392)))</f>
        <v/>
      </c>
      <c r="AD392">
        <f>IF($Y392="","",IF($Y392=0,$Z392*EXP($AA392*3),$Z392*(1+$Y392*$AA392*3)^(1/$Y392)))</f>
        <v/>
      </c>
      <c r="AE392">
        <f>IF($Y392="","",IF($Y392=0,$Z392*EXP($AA392*-2),$Z392*(1+$Y392*$AA392*-2)^(1/$Y392)))</f>
        <v/>
      </c>
      <c r="AF392">
        <f>IF($Y392="","",IF($Y392=0,$Z392*EXP($AA392*-3),$Z392*(1+$Y392*$AA392*-3)^(1/$Y392)))</f>
        <v/>
      </c>
      <c r="AG392">
        <f>IF($W392="","",IFERROR(INDEX(IF($T392&lt;=60,est05_l,est519_l),MATCH($W392,IF($T392&lt;=60,est05_k,est519_k),1)),""))</f>
        <v/>
      </c>
      <c r="AH392">
        <f>IF($W392="","",IFERROR(INDEX(IF($T392&lt;=60,est05_m,est519_m),MATCH($W392,IF($T392&lt;=60,est05_k,est519_k),1)),""))</f>
        <v/>
      </c>
      <c r="AI392">
        <f>IF($W392="","",IFERROR(INDEX(IF($T392&lt;=60,est05_s,est519_s),MATCH($W392,IF($T392&lt;=60,est05_k,est519_k),1)),""))</f>
        <v/>
      </c>
      <c r="AJ392">
        <f>IF($W392="","",IFERROR(INDEX(IF($T392&lt;=60,peso05_l,peso510_l),MATCH($W392,IF($T392&lt;=60,peso05_k,peso510_k),1)),""))</f>
        <v/>
      </c>
      <c r="AK392">
        <f>IF($W392="","",IFERROR(INDEX(IF($T392&lt;=60,peso05_m,peso510_m),MATCH($W392,IF($T392&lt;=60,peso05_k,peso510_k),1)),""))</f>
        <v/>
      </c>
      <c r="AL392">
        <f>IF($W392="","",IFERROR(INDEX(IF($T392&lt;=60,peso05_s,peso510_s),MATCH($W392,IF($T392&lt;=60,peso05_k,peso510_k),1)),""))</f>
        <v/>
      </c>
      <c r="AM392">
        <f>IF($AJ392="","",IF($AJ392=0,LN($F392/$AK392)/$AL392,((($F392/$AK392)^$AJ392)-1)/($AJ392*$AL392)))</f>
        <v/>
      </c>
      <c r="AN392">
        <f>IF($AJ392="","",IF($AJ392=0,$AK392*EXP($AL392*2),$AK392*(1+$AJ392*$AL392*2)^(1/$AJ392)))</f>
        <v/>
      </c>
      <c r="AO392">
        <f>IF($AJ392="","",IF($AJ392=0,$AK392*EXP($AL392*3),$AK392*(1+$AJ392*$AL392*3)^(1/$AJ392)))</f>
        <v/>
      </c>
      <c r="AP392">
        <f>IF($AJ392="","",IF($AJ392=0,$AK392*EXP($AL392*-2),$AK392*(1+$AJ392*$AL392*-2)^(1/$AJ392)))</f>
        <v/>
      </c>
      <c r="AQ392">
        <f>IF($AJ392="","",IF($AJ392=0,$AK392*EXP($AL392*-3),$AK392*(1+$AJ392*$AL392*-3)^(1/$AJ392)))</f>
        <v/>
      </c>
      <c r="AR392">
        <f>IF(OR($X392="",$T392&gt;60),"",IFERROR(INDEX(IF($T392&lt;24,pcomp_l,palt_l),MATCH($X392,IF($T392&lt;24,pcomp_k,palt_k),1)),""))</f>
        <v/>
      </c>
      <c r="AS392">
        <f>IF(OR($X392="",$T392&gt;60),"",IFERROR(INDEX(IF($T392&lt;24,pcomp_m,palt_m),MATCH($X392,IF($T392&lt;24,pcomp_k,palt_k),1)),""))</f>
        <v/>
      </c>
      <c r="AT392">
        <f>IF(OR($X392="",$T392&gt;60),"",IFERROR(INDEX(IF($T392&lt;24,pcomp_s,palt_s),MATCH($X392,IF($T392&lt;24,pcomp_k,palt_k),1)),""))</f>
        <v/>
      </c>
      <c r="AU392">
        <f>IF($AR392="","",IF($AR392=0,LN($F392/$AS392)/$AT392,((($F392/$AS392)^$AR392)-1)/($AR392*$AT392)))</f>
        <v/>
      </c>
      <c r="AV392">
        <f>IF($AR392="","",IF($AR392=0,$AS392*EXP($AT392*2),$AS392*(1+$AR392*$AT392*2)^(1/$AR392)))</f>
        <v/>
      </c>
      <c r="AW392">
        <f>IF($AR392="","",IF($AR392=0,$AS392*EXP($AT392*3),$AS392*(1+$AR392*$AT392*3)^(1/$AR392)))</f>
        <v/>
      </c>
      <c r="AX392">
        <f>IF($AR392="","",IF($AR392=0,$AS392*EXP($AT392*-2),$AS392*(1+$AR392*$AT392*-2)^(1/$AR392)))</f>
        <v/>
      </c>
      <c r="AY392">
        <f>IF($AR392="","",IF($AR392=0,$AS392*EXP($AT392*-3),$AS392*(1+$AR392*$AT392*-3)^(1/$AR392)))</f>
        <v/>
      </c>
      <c r="AZ392">
        <f>IF(OR($A392="",$A392&lt;&gt;Ficha!$C$4),"",COUNTIF($A$2:$A392,Ficha!$C$4))</f>
        <v/>
      </c>
    </row>
    <row r="393">
      <c r="A393" s="8">
        <f>IF(INDEX(Banco!$A:$A,ROW())="","",INDEX(Banco!$A:$A,ROW()))</f>
        <v/>
      </c>
      <c r="B393" s="8">
        <f>IF(INDEX(Banco!$B:$B,ROW())="","",INDEX(Banco!$B:$B,ROW()))</f>
        <v/>
      </c>
      <c r="C393" s="8">
        <f>IF(INDEX(Banco!$C:$C,ROW())="","",INDEX(Banco!$C:$C,ROW()))</f>
        <v/>
      </c>
      <c r="D393" s="9">
        <f>IF(INDEX(Banco!$D:$D,ROW())="","",INDEX(Banco!$D:$D,ROW()))</f>
        <v/>
      </c>
      <c r="E393" s="9">
        <f>IF(INDEX(Banco!$E:$E,ROW())="","",INDEX(Banco!$E:$E,ROW()))</f>
        <v/>
      </c>
      <c r="F393" s="10">
        <f>IF(INDEX(Banco!$F:$F,ROW())="","",INDEX(Banco!$F:$F,ROW()))</f>
        <v/>
      </c>
      <c r="G393" s="10">
        <f>IF(INDEX(Banco!$G:$G,ROW())="","",INDEX(Banco!$G:$G,ROW()))</f>
        <v/>
      </c>
      <c r="H393" s="8">
        <f>IF(INDEX(Banco!$H:$H,ROW())="","",INDEX(Banco!$H:$H,ROW()))</f>
        <v/>
      </c>
      <c r="I393">
        <f>IF($T393="","",INT($T393/12)&amp;"a "&amp;MOD($T393,12)&amp;"m")</f>
        <v/>
      </c>
      <c r="J393" s="11">
        <f>IF(OR($F393="",$G393=""),"",ROUND($F393/($G393/100)^2,2))</f>
        <v/>
      </c>
      <c r="K393" s="12">
        <f>IF(OR($S393="",$J393="",$T393="",$T393&lt;0,$T393&gt;228,$Y393=""),"—",ROUND(IF(ABS($AB393)&lt;=3,$AB393,IF($AB393&gt;3,3+($J393-$AD393)/($AD393-$AC393),-3+($J393-$AF393)/($AE393-$AF393))),2))</f>
        <v/>
      </c>
      <c r="L393">
        <f>IF(OR($K393="",$K393="—"),"",IF($T393&lt;=60,IF($K393&lt;-3,"Magreza acentuada",IF($K393&lt;-2,"Magreza",IF($K393&lt;=1,"Eutrofia",IF($K393&lt;=2,"Risco de sobrepeso",IF($K393&lt;=3,"Sobrepeso","Obesidade"))))),IF($K393&lt;-3,"Magreza acentuada",IF($K393&lt;-2,"Magreza",IF($K393&lt;=1,"Eutrofia",IF($K393&lt;=2,"Sobrepeso",IF($K393&lt;=3,"Obesidade","Obesidade grave")))))))</f>
        <v/>
      </c>
      <c r="M393" s="12">
        <f>IF(OR($S393="",$V393="",$T393="",$T393&lt;0,$T393&gt;228,$AG393=""),"—",ROUND(IF($AG393=0,LN($V393/$AH393)/$AI393,((($V393/$AH393)^$AG393)-1)/($AG393*$AI393)),2))</f>
        <v/>
      </c>
      <c r="N393">
        <f>IF(OR($M393="",$M393="—"),"",IF($M393&lt;-3,"Muito baixa",IF($M393&lt;-2,"Baixa","Adequada")))</f>
        <v/>
      </c>
      <c r="O393" s="12">
        <f>IF(OR($S393="",$F393="",$T393="",$T393&lt;0,$T393&gt;120,$AJ393=""),"—",ROUND(IF(ABS($AM393)&lt;=3,$AM393,IF($AM393&gt;3,3+($F393-$AO393)/($AO393-$AN393),-3+($F393-$AQ393)/($AP393-$AQ393))),2))</f>
        <v/>
      </c>
      <c r="P393">
        <f>IF(OR($O393="",$O393="—"),"",IF($O393&lt;-3,"Muito baixo",IF($O393&lt;-2,"Baixo",IF($O393&lt;=2,"Adequado","Elevado"))))</f>
        <v/>
      </c>
      <c r="Q393" s="12">
        <f>IF(OR($S393="",$F393="",$T393="",$T393&lt;0,$T393&gt;60,$AR393=""),"—",ROUND(IF(ABS($AU393)&lt;=3,$AU393,IF($AU393&gt;3,3+($F393-$AW393)/($AW393-$AV393),-3+($F393-$AY393)/($AX393-$AY393))),2))</f>
        <v/>
      </c>
      <c r="R393">
        <f>IF(OR($Q393="",$Q393="—"),"",IF($Q393&lt;-3,"Magreza acentuada",IF($Q393&lt;-2,"Magreza",IF($Q393&lt;=1,"Eutrofia",IF($Q393&lt;=2,"Risco de sobrepeso",IF($Q393&lt;=3,"Sobrepeso","Obesidade"))))))</f>
        <v/>
      </c>
      <c r="S393">
        <f>IF($C393="","",IF(UPPER(LEFT($C393,1))="M",1,IF(UPPER(LEFT($C393,1))="F",2,"")))</f>
        <v/>
      </c>
      <c r="T393">
        <f>IF(OR($D393="",$E393=""),"",DATEDIF($D393,$E393,"m"))</f>
        <v/>
      </c>
      <c r="U393">
        <f>IF(OR($D393="",$E393=""),"",$E393-$D393)</f>
        <v/>
      </c>
      <c r="V393">
        <f>IF(OR($G393="",$T393=""),"",IF($T393&lt;24,IF(LEFT(LOWER($H393),4)="em p",$G393+0.7,$G393),IF(LEFT(LOWER($H393),4)="deit",$G393-0.7,$G393)))</f>
        <v/>
      </c>
      <c r="W393">
        <f>IF(OR($S393="",$T393=""),"",$S393*1000000+IF($T393&lt;=60,$U393,$T393))</f>
        <v/>
      </c>
      <c r="X393">
        <f>IF(OR($S393="",$V393="",$T393&gt;60,$T393=""),"",$S393*1000000+ROUND($V393*10,0))</f>
        <v/>
      </c>
      <c r="Y393">
        <f>IF($W393="","",IFERROR(INDEX(IF($T393&lt;=60,imc05_l,imc519_l),MATCH($W393,IF($T393&lt;=60,imc05_k,imc519_k),1)),""))</f>
        <v/>
      </c>
      <c r="Z393">
        <f>IF($W393="","",IFERROR(INDEX(IF($T393&lt;=60,imc05_m,imc519_m),MATCH($W393,IF($T393&lt;=60,imc05_k,imc519_k),1)),""))</f>
        <v/>
      </c>
      <c r="AA393">
        <f>IF($W393="","",IFERROR(INDEX(IF($T393&lt;=60,imc05_s,imc519_s),MATCH($W393,IF($T393&lt;=60,imc05_k,imc519_k),1)),""))</f>
        <v/>
      </c>
      <c r="AB393">
        <f>IF($Y393="","",IF($Y393=0,LN($J393/$Z393)/$AA393,((($J393/$Z393)^$Y393)-1)/($Y393*$AA393)))</f>
        <v/>
      </c>
      <c r="AC393">
        <f>IF($Y393="","",IF($Y393=0,$Z393*EXP($AA393*2),$Z393*(1+$Y393*$AA393*2)^(1/$Y393)))</f>
        <v/>
      </c>
      <c r="AD393">
        <f>IF($Y393="","",IF($Y393=0,$Z393*EXP($AA393*3),$Z393*(1+$Y393*$AA393*3)^(1/$Y393)))</f>
        <v/>
      </c>
      <c r="AE393">
        <f>IF($Y393="","",IF($Y393=0,$Z393*EXP($AA393*-2),$Z393*(1+$Y393*$AA393*-2)^(1/$Y393)))</f>
        <v/>
      </c>
      <c r="AF393">
        <f>IF($Y393="","",IF($Y393=0,$Z393*EXP($AA393*-3),$Z393*(1+$Y393*$AA393*-3)^(1/$Y393)))</f>
        <v/>
      </c>
      <c r="AG393">
        <f>IF($W393="","",IFERROR(INDEX(IF($T393&lt;=60,est05_l,est519_l),MATCH($W393,IF($T393&lt;=60,est05_k,est519_k),1)),""))</f>
        <v/>
      </c>
      <c r="AH393">
        <f>IF($W393="","",IFERROR(INDEX(IF($T393&lt;=60,est05_m,est519_m),MATCH($W393,IF($T393&lt;=60,est05_k,est519_k),1)),""))</f>
        <v/>
      </c>
      <c r="AI393">
        <f>IF($W393="","",IFERROR(INDEX(IF($T393&lt;=60,est05_s,est519_s),MATCH($W393,IF($T393&lt;=60,est05_k,est519_k),1)),""))</f>
        <v/>
      </c>
      <c r="AJ393">
        <f>IF($W393="","",IFERROR(INDEX(IF($T393&lt;=60,peso05_l,peso510_l),MATCH($W393,IF($T393&lt;=60,peso05_k,peso510_k),1)),""))</f>
        <v/>
      </c>
      <c r="AK393">
        <f>IF($W393="","",IFERROR(INDEX(IF($T393&lt;=60,peso05_m,peso510_m),MATCH($W393,IF($T393&lt;=60,peso05_k,peso510_k),1)),""))</f>
        <v/>
      </c>
      <c r="AL393">
        <f>IF($W393="","",IFERROR(INDEX(IF($T393&lt;=60,peso05_s,peso510_s),MATCH($W393,IF($T393&lt;=60,peso05_k,peso510_k),1)),""))</f>
        <v/>
      </c>
      <c r="AM393">
        <f>IF($AJ393="","",IF($AJ393=0,LN($F393/$AK393)/$AL393,((($F393/$AK393)^$AJ393)-1)/($AJ393*$AL393)))</f>
        <v/>
      </c>
      <c r="AN393">
        <f>IF($AJ393="","",IF($AJ393=0,$AK393*EXP($AL393*2),$AK393*(1+$AJ393*$AL393*2)^(1/$AJ393)))</f>
        <v/>
      </c>
      <c r="AO393">
        <f>IF($AJ393="","",IF($AJ393=0,$AK393*EXP($AL393*3),$AK393*(1+$AJ393*$AL393*3)^(1/$AJ393)))</f>
        <v/>
      </c>
      <c r="AP393">
        <f>IF($AJ393="","",IF($AJ393=0,$AK393*EXP($AL393*-2),$AK393*(1+$AJ393*$AL393*-2)^(1/$AJ393)))</f>
        <v/>
      </c>
      <c r="AQ393">
        <f>IF($AJ393="","",IF($AJ393=0,$AK393*EXP($AL393*-3),$AK393*(1+$AJ393*$AL393*-3)^(1/$AJ393)))</f>
        <v/>
      </c>
      <c r="AR393">
        <f>IF(OR($X393="",$T393&gt;60),"",IFERROR(INDEX(IF($T393&lt;24,pcomp_l,palt_l),MATCH($X393,IF($T393&lt;24,pcomp_k,palt_k),1)),""))</f>
        <v/>
      </c>
      <c r="AS393">
        <f>IF(OR($X393="",$T393&gt;60),"",IFERROR(INDEX(IF($T393&lt;24,pcomp_m,palt_m),MATCH($X393,IF($T393&lt;24,pcomp_k,palt_k),1)),""))</f>
        <v/>
      </c>
      <c r="AT393">
        <f>IF(OR($X393="",$T393&gt;60),"",IFERROR(INDEX(IF($T393&lt;24,pcomp_s,palt_s),MATCH($X393,IF($T393&lt;24,pcomp_k,palt_k),1)),""))</f>
        <v/>
      </c>
      <c r="AU393">
        <f>IF($AR393="","",IF($AR393=0,LN($F393/$AS393)/$AT393,((($F393/$AS393)^$AR393)-1)/($AR393*$AT393)))</f>
        <v/>
      </c>
      <c r="AV393">
        <f>IF($AR393="","",IF($AR393=0,$AS393*EXP($AT393*2),$AS393*(1+$AR393*$AT393*2)^(1/$AR393)))</f>
        <v/>
      </c>
      <c r="AW393">
        <f>IF($AR393="","",IF($AR393=0,$AS393*EXP($AT393*3),$AS393*(1+$AR393*$AT393*3)^(1/$AR393)))</f>
        <v/>
      </c>
      <c r="AX393">
        <f>IF($AR393="","",IF($AR393=0,$AS393*EXP($AT393*-2),$AS393*(1+$AR393*$AT393*-2)^(1/$AR393)))</f>
        <v/>
      </c>
      <c r="AY393">
        <f>IF($AR393="","",IF($AR393=0,$AS393*EXP($AT393*-3),$AS393*(1+$AR393*$AT393*-3)^(1/$AR393)))</f>
        <v/>
      </c>
      <c r="AZ393">
        <f>IF(OR($A393="",$A393&lt;&gt;Ficha!$C$4),"",COUNTIF($A$2:$A393,Ficha!$C$4))</f>
        <v/>
      </c>
    </row>
    <row r="394">
      <c r="A394" s="8">
        <f>IF(INDEX(Banco!$A:$A,ROW())="","",INDEX(Banco!$A:$A,ROW()))</f>
        <v/>
      </c>
      <c r="B394" s="8">
        <f>IF(INDEX(Banco!$B:$B,ROW())="","",INDEX(Banco!$B:$B,ROW()))</f>
        <v/>
      </c>
      <c r="C394" s="8">
        <f>IF(INDEX(Banco!$C:$C,ROW())="","",INDEX(Banco!$C:$C,ROW()))</f>
        <v/>
      </c>
      <c r="D394" s="9">
        <f>IF(INDEX(Banco!$D:$D,ROW())="","",INDEX(Banco!$D:$D,ROW()))</f>
        <v/>
      </c>
      <c r="E394" s="9">
        <f>IF(INDEX(Banco!$E:$E,ROW())="","",INDEX(Banco!$E:$E,ROW()))</f>
        <v/>
      </c>
      <c r="F394" s="10">
        <f>IF(INDEX(Banco!$F:$F,ROW())="","",INDEX(Banco!$F:$F,ROW()))</f>
        <v/>
      </c>
      <c r="G394" s="10">
        <f>IF(INDEX(Banco!$G:$G,ROW())="","",INDEX(Banco!$G:$G,ROW()))</f>
        <v/>
      </c>
      <c r="H394" s="8">
        <f>IF(INDEX(Banco!$H:$H,ROW())="","",INDEX(Banco!$H:$H,ROW()))</f>
        <v/>
      </c>
      <c r="I394">
        <f>IF($T394="","",INT($T394/12)&amp;"a "&amp;MOD($T394,12)&amp;"m")</f>
        <v/>
      </c>
      <c r="J394" s="11">
        <f>IF(OR($F394="",$G394=""),"",ROUND($F394/($G394/100)^2,2))</f>
        <v/>
      </c>
      <c r="K394" s="12">
        <f>IF(OR($S394="",$J394="",$T394="",$T394&lt;0,$T394&gt;228,$Y394=""),"—",ROUND(IF(ABS($AB394)&lt;=3,$AB394,IF($AB394&gt;3,3+($J394-$AD394)/($AD394-$AC394),-3+($J394-$AF394)/($AE394-$AF394))),2))</f>
        <v/>
      </c>
      <c r="L394">
        <f>IF(OR($K394="",$K394="—"),"",IF($T394&lt;=60,IF($K394&lt;-3,"Magreza acentuada",IF($K394&lt;-2,"Magreza",IF($K394&lt;=1,"Eutrofia",IF($K394&lt;=2,"Risco de sobrepeso",IF($K394&lt;=3,"Sobrepeso","Obesidade"))))),IF($K394&lt;-3,"Magreza acentuada",IF($K394&lt;-2,"Magreza",IF($K394&lt;=1,"Eutrofia",IF($K394&lt;=2,"Sobrepeso",IF($K394&lt;=3,"Obesidade","Obesidade grave")))))))</f>
        <v/>
      </c>
      <c r="M394" s="12">
        <f>IF(OR($S394="",$V394="",$T394="",$T394&lt;0,$T394&gt;228,$AG394=""),"—",ROUND(IF($AG394=0,LN($V394/$AH394)/$AI394,((($V394/$AH394)^$AG394)-1)/($AG394*$AI394)),2))</f>
        <v/>
      </c>
      <c r="N394">
        <f>IF(OR($M394="",$M394="—"),"",IF($M394&lt;-3,"Muito baixa",IF($M394&lt;-2,"Baixa","Adequada")))</f>
        <v/>
      </c>
      <c r="O394" s="12">
        <f>IF(OR($S394="",$F394="",$T394="",$T394&lt;0,$T394&gt;120,$AJ394=""),"—",ROUND(IF(ABS($AM394)&lt;=3,$AM394,IF($AM394&gt;3,3+($F394-$AO394)/($AO394-$AN394),-3+($F394-$AQ394)/($AP394-$AQ394))),2))</f>
        <v/>
      </c>
      <c r="P394">
        <f>IF(OR($O394="",$O394="—"),"",IF($O394&lt;-3,"Muito baixo",IF($O394&lt;-2,"Baixo",IF($O394&lt;=2,"Adequado","Elevado"))))</f>
        <v/>
      </c>
      <c r="Q394" s="12">
        <f>IF(OR($S394="",$F394="",$T394="",$T394&lt;0,$T394&gt;60,$AR394=""),"—",ROUND(IF(ABS($AU394)&lt;=3,$AU394,IF($AU394&gt;3,3+($F394-$AW394)/($AW394-$AV394),-3+($F394-$AY394)/($AX394-$AY394))),2))</f>
        <v/>
      </c>
      <c r="R394">
        <f>IF(OR($Q394="",$Q394="—"),"",IF($Q394&lt;-3,"Magreza acentuada",IF($Q394&lt;-2,"Magreza",IF($Q394&lt;=1,"Eutrofia",IF($Q394&lt;=2,"Risco de sobrepeso",IF($Q394&lt;=3,"Sobrepeso","Obesidade"))))))</f>
        <v/>
      </c>
      <c r="S394">
        <f>IF($C394="","",IF(UPPER(LEFT($C394,1))="M",1,IF(UPPER(LEFT($C394,1))="F",2,"")))</f>
        <v/>
      </c>
      <c r="T394">
        <f>IF(OR($D394="",$E394=""),"",DATEDIF($D394,$E394,"m"))</f>
        <v/>
      </c>
      <c r="U394">
        <f>IF(OR($D394="",$E394=""),"",$E394-$D394)</f>
        <v/>
      </c>
      <c r="V394">
        <f>IF(OR($G394="",$T394=""),"",IF($T394&lt;24,IF(LEFT(LOWER($H394),4)="em p",$G394+0.7,$G394),IF(LEFT(LOWER($H394),4)="deit",$G394-0.7,$G394)))</f>
        <v/>
      </c>
      <c r="W394">
        <f>IF(OR($S394="",$T394=""),"",$S394*1000000+IF($T394&lt;=60,$U394,$T394))</f>
        <v/>
      </c>
      <c r="X394">
        <f>IF(OR($S394="",$V394="",$T394&gt;60,$T394=""),"",$S394*1000000+ROUND($V394*10,0))</f>
        <v/>
      </c>
      <c r="Y394">
        <f>IF($W394="","",IFERROR(INDEX(IF($T394&lt;=60,imc05_l,imc519_l),MATCH($W394,IF($T394&lt;=60,imc05_k,imc519_k),1)),""))</f>
        <v/>
      </c>
      <c r="Z394">
        <f>IF($W394="","",IFERROR(INDEX(IF($T394&lt;=60,imc05_m,imc519_m),MATCH($W394,IF($T394&lt;=60,imc05_k,imc519_k),1)),""))</f>
        <v/>
      </c>
      <c r="AA394">
        <f>IF($W394="","",IFERROR(INDEX(IF($T394&lt;=60,imc05_s,imc519_s),MATCH($W394,IF($T394&lt;=60,imc05_k,imc519_k),1)),""))</f>
        <v/>
      </c>
      <c r="AB394">
        <f>IF($Y394="","",IF($Y394=0,LN($J394/$Z394)/$AA394,((($J394/$Z394)^$Y394)-1)/($Y394*$AA394)))</f>
        <v/>
      </c>
      <c r="AC394">
        <f>IF($Y394="","",IF($Y394=0,$Z394*EXP($AA394*2),$Z394*(1+$Y394*$AA394*2)^(1/$Y394)))</f>
        <v/>
      </c>
      <c r="AD394">
        <f>IF($Y394="","",IF($Y394=0,$Z394*EXP($AA394*3),$Z394*(1+$Y394*$AA394*3)^(1/$Y394)))</f>
        <v/>
      </c>
      <c r="AE394">
        <f>IF($Y394="","",IF($Y394=0,$Z394*EXP($AA394*-2),$Z394*(1+$Y394*$AA394*-2)^(1/$Y394)))</f>
        <v/>
      </c>
      <c r="AF394">
        <f>IF($Y394="","",IF($Y394=0,$Z394*EXP($AA394*-3),$Z394*(1+$Y394*$AA394*-3)^(1/$Y394)))</f>
        <v/>
      </c>
      <c r="AG394">
        <f>IF($W394="","",IFERROR(INDEX(IF($T394&lt;=60,est05_l,est519_l),MATCH($W394,IF($T394&lt;=60,est05_k,est519_k),1)),""))</f>
        <v/>
      </c>
      <c r="AH394">
        <f>IF($W394="","",IFERROR(INDEX(IF($T394&lt;=60,est05_m,est519_m),MATCH($W394,IF($T394&lt;=60,est05_k,est519_k),1)),""))</f>
        <v/>
      </c>
      <c r="AI394">
        <f>IF($W394="","",IFERROR(INDEX(IF($T394&lt;=60,est05_s,est519_s),MATCH($W394,IF($T394&lt;=60,est05_k,est519_k),1)),""))</f>
        <v/>
      </c>
      <c r="AJ394">
        <f>IF($W394="","",IFERROR(INDEX(IF($T394&lt;=60,peso05_l,peso510_l),MATCH($W394,IF($T394&lt;=60,peso05_k,peso510_k),1)),""))</f>
        <v/>
      </c>
      <c r="AK394">
        <f>IF($W394="","",IFERROR(INDEX(IF($T394&lt;=60,peso05_m,peso510_m),MATCH($W394,IF($T394&lt;=60,peso05_k,peso510_k),1)),""))</f>
        <v/>
      </c>
      <c r="AL394">
        <f>IF($W394="","",IFERROR(INDEX(IF($T394&lt;=60,peso05_s,peso510_s),MATCH($W394,IF($T394&lt;=60,peso05_k,peso510_k),1)),""))</f>
        <v/>
      </c>
      <c r="AM394">
        <f>IF($AJ394="","",IF($AJ394=0,LN($F394/$AK394)/$AL394,((($F394/$AK394)^$AJ394)-1)/($AJ394*$AL394)))</f>
        <v/>
      </c>
      <c r="AN394">
        <f>IF($AJ394="","",IF($AJ394=0,$AK394*EXP($AL394*2),$AK394*(1+$AJ394*$AL394*2)^(1/$AJ394)))</f>
        <v/>
      </c>
      <c r="AO394">
        <f>IF($AJ394="","",IF($AJ394=0,$AK394*EXP($AL394*3),$AK394*(1+$AJ394*$AL394*3)^(1/$AJ394)))</f>
        <v/>
      </c>
      <c r="AP394">
        <f>IF($AJ394="","",IF($AJ394=0,$AK394*EXP($AL394*-2),$AK394*(1+$AJ394*$AL394*-2)^(1/$AJ394)))</f>
        <v/>
      </c>
      <c r="AQ394">
        <f>IF($AJ394="","",IF($AJ394=0,$AK394*EXP($AL394*-3),$AK394*(1+$AJ394*$AL394*-3)^(1/$AJ394)))</f>
        <v/>
      </c>
      <c r="AR394">
        <f>IF(OR($X394="",$T394&gt;60),"",IFERROR(INDEX(IF($T394&lt;24,pcomp_l,palt_l),MATCH($X394,IF($T394&lt;24,pcomp_k,palt_k),1)),""))</f>
        <v/>
      </c>
      <c r="AS394">
        <f>IF(OR($X394="",$T394&gt;60),"",IFERROR(INDEX(IF($T394&lt;24,pcomp_m,palt_m),MATCH($X394,IF($T394&lt;24,pcomp_k,palt_k),1)),""))</f>
        <v/>
      </c>
      <c r="AT394">
        <f>IF(OR($X394="",$T394&gt;60),"",IFERROR(INDEX(IF($T394&lt;24,pcomp_s,palt_s),MATCH($X394,IF($T394&lt;24,pcomp_k,palt_k),1)),""))</f>
        <v/>
      </c>
      <c r="AU394">
        <f>IF($AR394="","",IF($AR394=0,LN($F394/$AS394)/$AT394,((($F394/$AS394)^$AR394)-1)/($AR394*$AT394)))</f>
        <v/>
      </c>
      <c r="AV394">
        <f>IF($AR394="","",IF($AR394=0,$AS394*EXP($AT394*2),$AS394*(1+$AR394*$AT394*2)^(1/$AR394)))</f>
        <v/>
      </c>
      <c r="AW394">
        <f>IF($AR394="","",IF($AR394=0,$AS394*EXP($AT394*3),$AS394*(1+$AR394*$AT394*3)^(1/$AR394)))</f>
        <v/>
      </c>
      <c r="AX394">
        <f>IF($AR394="","",IF($AR394=0,$AS394*EXP($AT394*-2),$AS394*(1+$AR394*$AT394*-2)^(1/$AR394)))</f>
        <v/>
      </c>
      <c r="AY394">
        <f>IF($AR394="","",IF($AR394=0,$AS394*EXP($AT394*-3),$AS394*(1+$AR394*$AT394*-3)^(1/$AR394)))</f>
        <v/>
      </c>
      <c r="AZ394">
        <f>IF(OR($A394="",$A394&lt;&gt;Ficha!$C$4),"",COUNTIF($A$2:$A394,Ficha!$C$4))</f>
        <v/>
      </c>
    </row>
    <row r="395">
      <c r="A395" s="8">
        <f>IF(INDEX(Banco!$A:$A,ROW())="","",INDEX(Banco!$A:$A,ROW()))</f>
        <v/>
      </c>
      <c r="B395" s="8">
        <f>IF(INDEX(Banco!$B:$B,ROW())="","",INDEX(Banco!$B:$B,ROW()))</f>
        <v/>
      </c>
      <c r="C395" s="8">
        <f>IF(INDEX(Banco!$C:$C,ROW())="","",INDEX(Banco!$C:$C,ROW()))</f>
        <v/>
      </c>
      <c r="D395" s="9">
        <f>IF(INDEX(Banco!$D:$D,ROW())="","",INDEX(Banco!$D:$D,ROW()))</f>
        <v/>
      </c>
      <c r="E395" s="9">
        <f>IF(INDEX(Banco!$E:$E,ROW())="","",INDEX(Banco!$E:$E,ROW()))</f>
        <v/>
      </c>
      <c r="F395" s="10">
        <f>IF(INDEX(Banco!$F:$F,ROW())="","",INDEX(Banco!$F:$F,ROW()))</f>
        <v/>
      </c>
      <c r="G395" s="10">
        <f>IF(INDEX(Banco!$G:$G,ROW())="","",INDEX(Banco!$G:$G,ROW()))</f>
        <v/>
      </c>
      <c r="H395" s="8">
        <f>IF(INDEX(Banco!$H:$H,ROW())="","",INDEX(Banco!$H:$H,ROW()))</f>
        <v/>
      </c>
      <c r="I395">
        <f>IF($T395="","",INT($T395/12)&amp;"a "&amp;MOD($T395,12)&amp;"m")</f>
        <v/>
      </c>
      <c r="J395" s="11">
        <f>IF(OR($F395="",$G395=""),"",ROUND($F395/($G395/100)^2,2))</f>
        <v/>
      </c>
      <c r="K395" s="12">
        <f>IF(OR($S395="",$J395="",$T395="",$T395&lt;0,$T395&gt;228,$Y395=""),"—",ROUND(IF(ABS($AB395)&lt;=3,$AB395,IF($AB395&gt;3,3+($J395-$AD395)/($AD395-$AC395),-3+($J395-$AF395)/($AE395-$AF395))),2))</f>
        <v/>
      </c>
      <c r="L395">
        <f>IF(OR($K395="",$K395="—"),"",IF($T395&lt;=60,IF($K395&lt;-3,"Magreza acentuada",IF($K395&lt;-2,"Magreza",IF($K395&lt;=1,"Eutrofia",IF($K395&lt;=2,"Risco de sobrepeso",IF($K395&lt;=3,"Sobrepeso","Obesidade"))))),IF($K395&lt;-3,"Magreza acentuada",IF($K395&lt;-2,"Magreza",IF($K395&lt;=1,"Eutrofia",IF($K395&lt;=2,"Sobrepeso",IF($K395&lt;=3,"Obesidade","Obesidade grave")))))))</f>
        <v/>
      </c>
      <c r="M395" s="12">
        <f>IF(OR($S395="",$V395="",$T395="",$T395&lt;0,$T395&gt;228,$AG395=""),"—",ROUND(IF($AG395=0,LN($V395/$AH395)/$AI395,((($V395/$AH395)^$AG395)-1)/($AG395*$AI395)),2))</f>
        <v/>
      </c>
      <c r="N395">
        <f>IF(OR($M395="",$M395="—"),"",IF($M395&lt;-3,"Muito baixa",IF($M395&lt;-2,"Baixa","Adequada")))</f>
        <v/>
      </c>
      <c r="O395" s="12">
        <f>IF(OR($S395="",$F395="",$T395="",$T395&lt;0,$T395&gt;120,$AJ395=""),"—",ROUND(IF(ABS($AM395)&lt;=3,$AM395,IF($AM395&gt;3,3+($F395-$AO395)/($AO395-$AN395),-3+($F395-$AQ395)/($AP395-$AQ395))),2))</f>
        <v/>
      </c>
      <c r="P395">
        <f>IF(OR($O395="",$O395="—"),"",IF($O395&lt;-3,"Muito baixo",IF($O395&lt;-2,"Baixo",IF($O395&lt;=2,"Adequado","Elevado"))))</f>
        <v/>
      </c>
      <c r="Q395" s="12">
        <f>IF(OR($S395="",$F395="",$T395="",$T395&lt;0,$T395&gt;60,$AR395=""),"—",ROUND(IF(ABS($AU395)&lt;=3,$AU395,IF($AU395&gt;3,3+($F395-$AW395)/($AW395-$AV395),-3+($F395-$AY395)/($AX395-$AY395))),2))</f>
        <v/>
      </c>
      <c r="R395">
        <f>IF(OR($Q395="",$Q395="—"),"",IF($Q395&lt;-3,"Magreza acentuada",IF($Q395&lt;-2,"Magreza",IF($Q395&lt;=1,"Eutrofia",IF($Q395&lt;=2,"Risco de sobrepeso",IF($Q395&lt;=3,"Sobrepeso","Obesidade"))))))</f>
        <v/>
      </c>
      <c r="S395">
        <f>IF($C395="","",IF(UPPER(LEFT($C395,1))="M",1,IF(UPPER(LEFT($C395,1))="F",2,"")))</f>
        <v/>
      </c>
      <c r="T395">
        <f>IF(OR($D395="",$E395=""),"",DATEDIF($D395,$E395,"m"))</f>
        <v/>
      </c>
      <c r="U395">
        <f>IF(OR($D395="",$E395=""),"",$E395-$D395)</f>
        <v/>
      </c>
      <c r="V395">
        <f>IF(OR($G395="",$T395=""),"",IF($T395&lt;24,IF(LEFT(LOWER($H395),4)="em p",$G395+0.7,$G395),IF(LEFT(LOWER($H395),4)="deit",$G395-0.7,$G395)))</f>
        <v/>
      </c>
      <c r="W395">
        <f>IF(OR($S395="",$T395=""),"",$S395*1000000+IF($T395&lt;=60,$U395,$T395))</f>
        <v/>
      </c>
      <c r="X395">
        <f>IF(OR($S395="",$V395="",$T395&gt;60,$T395=""),"",$S395*1000000+ROUND($V395*10,0))</f>
        <v/>
      </c>
      <c r="Y395">
        <f>IF($W395="","",IFERROR(INDEX(IF($T395&lt;=60,imc05_l,imc519_l),MATCH($W395,IF($T395&lt;=60,imc05_k,imc519_k),1)),""))</f>
        <v/>
      </c>
      <c r="Z395">
        <f>IF($W395="","",IFERROR(INDEX(IF($T395&lt;=60,imc05_m,imc519_m),MATCH($W395,IF($T395&lt;=60,imc05_k,imc519_k),1)),""))</f>
        <v/>
      </c>
      <c r="AA395">
        <f>IF($W395="","",IFERROR(INDEX(IF($T395&lt;=60,imc05_s,imc519_s),MATCH($W395,IF($T395&lt;=60,imc05_k,imc519_k),1)),""))</f>
        <v/>
      </c>
      <c r="AB395">
        <f>IF($Y395="","",IF($Y395=0,LN($J395/$Z395)/$AA395,((($J395/$Z395)^$Y395)-1)/($Y395*$AA395)))</f>
        <v/>
      </c>
      <c r="AC395">
        <f>IF($Y395="","",IF($Y395=0,$Z395*EXP($AA395*2),$Z395*(1+$Y395*$AA395*2)^(1/$Y395)))</f>
        <v/>
      </c>
      <c r="AD395">
        <f>IF($Y395="","",IF($Y395=0,$Z395*EXP($AA395*3),$Z395*(1+$Y395*$AA395*3)^(1/$Y395)))</f>
        <v/>
      </c>
      <c r="AE395">
        <f>IF($Y395="","",IF($Y395=0,$Z395*EXP($AA395*-2),$Z395*(1+$Y395*$AA395*-2)^(1/$Y395)))</f>
        <v/>
      </c>
      <c r="AF395">
        <f>IF($Y395="","",IF($Y395=0,$Z395*EXP($AA395*-3),$Z395*(1+$Y395*$AA395*-3)^(1/$Y395)))</f>
        <v/>
      </c>
      <c r="AG395">
        <f>IF($W395="","",IFERROR(INDEX(IF($T395&lt;=60,est05_l,est519_l),MATCH($W395,IF($T395&lt;=60,est05_k,est519_k),1)),""))</f>
        <v/>
      </c>
      <c r="AH395">
        <f>IF($W395="","",IFERROR(INDEX(IF($T395&lt;=60,est05_m,est519_m),MATCH($W395,IF($T395&lt;=60,est05_k,est519_k),1)),""))</f>
        <v/>
      </c>
      <c r="AI395">
        <f>IF($W395="","",IFERROR(INDEX(IF($T395&lt;=60,est05_s,est519_s),MATCH($W395,IF($T395&lt;=60,est05_k,est519_k),1)),""))</f>
        <v/>
      </c>
      <c r="AJ395">
        <f>IF($W395="","",IFERROR(INDEX(IF($T395&lt;=60,peso05_l,peso510_l),MATCH($W395,IF($T395&lt;=60,peso05_k,peso510_k),1)),""))</f>
        <v/>
      </c>
      <c r="AK395">
        <f>IF($W395="","",IFERROR(INDEX(IF($T395&lt;=60,peso05_m,peso510_m),MATCH($W395,IF($T395&lt;=60,peso05_k,peso510_k),1)),""))</f>
        <v/>
      </c>
      <c r="AL395">
        <f>IF($W395="","",IFERROR(INDEX(IF($T395&lt;=60,peso05_s,peso510_s),MATCH($W395,IF($T395&lt;=60,peso05_k,peso510_k),1)),""))</f>
        <v/>
      </c>
      <c r="AM395">
        <f>IF($AJ395="","",IF($AJ395=0,LN($F395/$AK395)/$AL395,((($F395/$AK395)^$AJ395)-1)/($AJ395*$AL395)))</f>
        <v/>
      </c>
      <c r="AN395">
        <f>IF($AJ395="","",IF($AJ395=0,$AK395*EXP($AL395*2),$AK395*(1+$AJ395*$AL395*2)^(1/$AJ395)))</f>
        <v/>
      </c>
      <c r="AO395">
        <f>IF($AJ395="","",IF($AJ395=0,$AK395*EXP($AL395*3),$AK395*(1+$AJ395*$AL395*3)^(1/$AJ395)))</f>
        <v/>
      </c>
      <c r="AP395">
        <f>IF($AJ395="","",IF($AJ395=0,$AK395*EXP($AL395*-2),$AK395*(1+$AJ395*$AL395*-2)^(1/$AJ395)))</f>
        <v/>
      </c>
      <c r="AQ395">
        <f>IF($AJ395="","",IF($AJ395=0,$AK395*EXP($AL395*-3),$AK395*(1+$AJ395*$AL395*-3)^(1/$AJ395)))</f>
        <v/>
      </c>
      <c r="AR395">
        <f>IF(OR($X395="",$T395&gt;60),"",IFERROR(INDEX(IF($T395&lt;24,pcomp_l,palt_l),MATCH($X395,IF($T395&lt;24,pcomp_k,palt_k),1)),""))</f>
        <v/>
      </c>
      <c r="AS395">
        <f>IF(OR($X395="",$T395&gt;60),"",IFERROR(INDEX(IF($T395&lt;24,pcomp_m,palt_m),MATCH($X395,IF($T395&lt;24,pcomp_k,palt_k),1)),""))</f>
        <v/>
      </c>
      <c r="AT395">
        <f>IF(OR($X395="",$T395&gt;60),"",IFERROR(INDEX(IF($T395&lt;24,pcomp_s,palt_s),MATCH($X395,IF($T395&lt;24,pcomp_k,palt_k),1)),""))</f>
        <v/>
      </c>
      <c r="AU395">
        <f>IF($AR395="","",IF($AR395=0,LN($F395/$AS395)/$AT395,((($F395/$AS395)^$AR395)-1)/($AR395*$AT395)))</f>
        <v/>
      </c>
      <c r="AV395">
        <f>IF($AR395="","",IF($AR395=0,$AS395*EXP($AT395*2),$AS395*(1+$AR395*$AT395*2)^(1/$AR395)))</f>
        <v/>
      </c>
      <c r="AW395">
        <f>IF($AR395="","",IF($AR395=0,$AS395*EXP($AT395*3),$AS395*(1+$AR395*$AT395*3)^(1/$AR395)))</f>
        <v/>
      </c>
      <c r="AX395">
        <f>IF($AR395="","",IF($AR395=0,$AS395*EXP($AT395*-2),$AS395*(1+$AR395*$AT395*-2)^(1/$AR395)))</f>
        <v/>
      </c>
      <c r="AY395">
        <f>IF($AR395="","",IF($AR395=0,$AS395*EXP($AT395*-3),$AS395*(1+$AR395*$AT395*-3)^(1/$AR395)))</f>
        <v/>
      </c>
      <c r="AZ395">
        <f>IF(OR($A395="",$A395&lt;&gt;Ficha!$C$4),"",COUNTIF($A$2:$A395,Ficha!$C$4))</f>
        <v/>
      </c>
    </row>
    <row r="396">
      <c r="A396" s="8">
        <f>IF(INDEX(Banco!$A:$A,ROW())="","",INDEX(Banco!$A:$A,ROW()))</f>
        <v/>
      </c>
      <c r="B396" s="8">
        <f>IF(INDEX(Banco!$B:$B,ROW())="","",INDEX(Banco!$B:$B,ROW()))</f>
        <v/>
      </c>
      <c r="C396" s="8">
        <f>IF(INDEX(Banco!$C:$C,ROW())="","",INDEX(Banco!$C:$C,ROW()))</f>
        <v/>
      </c>
      <c r="D396" s="9">
        <f>IF(INDEX(Banco!$D:$D,ROW())="","",INDEX(Banco!$D:$D,ROW()))</f>
        <v/>
      </c>
      <c r="E396" s="9">
        <f>IF(INDEX(Banco!$E:$E,ROW())="","",INDEX(Banco!$E:$E,ROW()))</f>
        <v/>
      </c>
      <c r="F396" s="10">
        <f>IF(INDEX(Banco!$F:$F,ROW())="","",INDEX(Banco!$F:$F,ROW()))</f>
        <v/>
      </c>
      <c r="G396" s="10">
        <f>IF(INDEX(Banco!$G:$G,ROW())="","",INDEX(Banco!$G:$G,ROW()))</f>
        <v/>
      </c>
      <c r="H396" s="8">
        <f>IF(INDEX(Banco!$H:$H,ROW())="","",INDEX(Banco!$H:$H,ROW()))</f>
        <v/>
      </c>
      <c r="I396">
        <f>IF($T396="","",INT($T396/12)&amp;"a "&amp;MOD($T396,12)&amp;"m")</f>
        <v/>
      </c>
      <c r="J396" s="11">
        <f>IF(OR($F396="",$G396=""),"",ROUND($F396/($G396/100)^2,2))</f>
        <v/>
      </c>
      <c r="K396" s="12">
        <f>IF(OR($S396="",$J396="",$T396="",$T396&lt;0,$T396&gt;228,$Y396=""),"—",ROUND(IF(ABS($AB396)&lt;=3,$AB396,IF($AB396&gt;3,3+($J396-$AD396)/($AD396-$AC396),-3+($J396-$AF396)/($AE396-$AF396))),2))</f>
        <v/>
      </c>
      <c r="L396">
        <f>IF(OR($K396="",$K396="—"),"",IF($T396&lt;=60,IF($K396&lt;-3,"Magreza acentuada",IF($K396&lt;-2,"Magreza",IF($K396&lt;=1,"Eutrofia",IF($K396&lt;=2,"Risco de sobrepeso",IF($K396&lt;=3,"Sobrepeso","Obesidade"))))),IF($K396&lt;-3,"Magreza acentuada",IF($K396&lt;-2,"Magreza",IF($K396&lt;=1,"Eutrofia",IF($K396&lt;=2,"Sobrepeso",IF($K396&lt;=3,"Obesidade","Obesidade grave")))))))</f>
        <v/>
      </c>
      <c r="M396" s="12">
        <f>IF(OR($S396="",$V396="",$T396="",$T396&lt;0,$T396&gt;228,$AG396=""),"—",ROUND(IF($AG396=0,LN($V396/$AH396)/$AI396,((($V396/$AH396)^$AG396)-1)/($AG396*$AI396)),2))</f>
        <v/>
      </c>
      <c r="N396">
        <f>IF(OR($M396="",$M396="—"),"",IF($M396&lt;-3,"Muito baixa",IF($M396&lt;-2,"Baixa","Adequada")))</f>
        <v/>
      </c>
      <c r="O396" s="12">
        <f>IF(OR($S396="",$F396="",$T396="",$T396&lt;0,$T396&gt;120,$AJ396=""),"—",ROUND(IF(ABS($AM396)&lt;=3,$AM396,IF($AM396&gt;3,3+($F396-$AO396)/($AO396-$AN396),-3+($F396-$AQ396)/($AP396-$AQ396))),2))</f>
        <v/>
      </c>
      <c r="P396">
        <f>IF(OR($O396="",$O396="—"),"",IF($O396&lt;-3,"Muito baixo",IF($O396&lt;-2,"Baixo",IF($O396&lt;=2,"Adequado","Elevado"))))</f>
        <v/>
      </c>
      <c r="Q396" s="12">
        <f>IF(OR($S396="",$F396="",$T396="",$T396&lt;0,$T396&gt;60,$AR396=""),"—",ROUND(IF(ABS($AU396)&lt;=3,$AU396,IF($AU396&gt;3,3+($F396-$AW396)/($AW396-$AV396),-3+($F396-$AY396)/($AX396-$AY396))),2))</f>
        <v/>
      </c>
      <c r="R396">
        <f>IF(OR($Q396="",$Q396="—"),"",IF($Q396&lt;-3,"Magreza acentuada",IF($Q396&lt;-2,"Magreza",IF($Q396&lt;=1,"Eutrofia",IF($Q396&lt;=2,"Risco de sobrepeso",IF($Q396&lt;=3,"Sobrepeso","Obesidade"))))))</f>
        <v/>
      </c>
      <c r="S396">
        <f>IF($C396="","",IF(UPPER(LEFT($C396,1))="M",1,IF(UPPER(LEFT($C396,1))="F",2,"")))</f>
        <v/>
      </c>
      <c r="T396">
        <f>IF(OR($D396="",$E396=""),"",DATEDIF($D396,$E396,"m"))</f>
        <v/>
      </c>
      <c r="U396">
        <f>IF(OR($D396="",$E396=""),"",$E396-$D396)</f>
        <v/>
      </c>
      <c r="V396">
        <f>IF(OR($G396="",$T396=""),"",IF($T396&lt;24,IF(LEFT(LOWER($H396),4)="em p",$G396+0.7,$G396),IF(LEFT(LOWER($H396),4)="deit",$G396-0.7,$G396)))</f>
        <v/>
      </c>
      <c r="W396">
        <f>IF(OR($S396="",$T396=""),"",$S396*1000000+IF($T396&lt;=60,$U396,$T396))</f>
        <v/>
      </c>
      <c r="X396">
        <f>IF(OR($S396="",$V396="",$T396&gt;60,$T396=""),"",$S396*1000000+ROUND($V396*10,0))</f>
        <v/>
      </c>
      <c r="Y396">
        <f>IF($W396="","",IFERROR(INDEX(IF($T396&lt;=60,imc05_l,imc519_l),MATCH($W396,IF($T396&lt;=60,imc05_k,imc519_k),1)),""))</f>
        <v/>
      </c>
      <c r="Z396">
        <f>IF($W396="","",IFERROR(INDEX(IF($T396&lt;=60,imc05_m,imc519_m),MATCH($W396,IF($T396&lt;=60,imc05_k,imc519_k),1)),""))</f>
        <v/>
      </c>
      <c r="AA396">
        <f>IF($W396="","",IFERROR(INDEX(IF($T396&lt;=60,imc05_s,imc519_s),MATCH($W396,IF($T396&lt;=60,imc05_k,imc519_k),1)),""))</f>
        <v/>
      </c>
      <c r="AB396">
        <f>IF($Y396="","",IF($Y396=0,LN($J396/$Z396)/$AA396,((($J396/$Z396)^$Y396)-1)/($Y396*$AA396)))</f>
        <v/>
      </c>
      <c r="AC396">
        <f>IF($Y396="","",IF($Y396=0,$Z396*EXP($AA396*2),$Z396*(1+$Y396*$AA396*2)^(1/$Y396)))</f>
        <v/>
      </c>
      <c r="AD396">
        <f>IF($Y396="","",IF($Y396=0,$Z396*EXP($AA396*3),$Z396*(1+$Y396*$AA396*3)^(1/$Y396)))</f>
        <v/>
      </c>
      <c r="AE396">
        <f>IF($Y396="","",IF($Y396=0,$Z396*EXP($AA396*-2),$Z396*(1+$Y396*$AA396*-2)^(1/$Y396)))</f>
        <v/>
      </c>
      <c r="AF396">
        <f>IF($Y396="","",IF($Y396=0,$Z396*EXP($AA396*-3),$Z396*(1+$Y396*$AA396*-3)^(1/$Y396)))</f>
        <v/>
      </c>
      <c r="AG396">
        <f>IF($W396="","",IFERROR(INDEX(IF($T396&lt;=60,est05_l,est519_l),MATCH($W396,IF($T396&lt;=60,est05_k,est519_k),1)),""))</f>
        <v/>
      </c>
      <c r="AH396">
        <f>IF($W396="","",IFERROR(INDEX(IF($T396&lt;=60,est05_m,est519_m),MATCH($W396,IF($T396&lt;=60,est05_k,est519_k),1)),""))</f>
        <v/>
      </c>
      <c r="AI396">
        <f>IF($W396="","",IFERROR(INDEX(IF($T396&lt;=60,est05_s,est519_s),MATCH($W396,IF($T396&lt;=60,est05_k,est519_k),1)),""))</f>
        <v/>
      </c>
      <c r="AJ396">
        <f>IF($W396="","",IFERROR(INDEX(IF($T396&lt;=60,peso05_l,peso510_l),MATCH($W396,IF($T396&lt;=60,peso05_k,peso510_k),1)),""))</f>
        <v/>
      </c>
      <c r="AK396">
        <f>IF($W396="","",IFERROR(INDEX(IF($T396&lt;=60,peso05_m,peso510_m),MATCH($W396,IF($T396&lt;=60,peso05_k,peso510_k),1)),""))</f>
        <v/>
      </c>
      <c r="AL396">
        <f>IF($W396="","",IFERROR(INDEX(IF($T396&lt;=60,peso05_s,peso510_s),MATCH($W396,IF($T396&lt;=60,peso05_k,peso510_k),1)),""))</f>
        <v/>
      </c>
      <c r="AM396">
        <f>IF($AJ396="","",IF($AJ396=0,LN($F396/$AK396)/$AL396,((($F396/$AK396)^$AJ396)-1)/($AJ396*$AL396)))</f>
        <v/>
      </c>
      <c r="AN396">
        <f>IF($AJ396="","",IF($AJ396=0,$AK396*EXP($AL396*2),$AK396*(1+$AJ396*$AL396*2)^(1/$AJ396)))</f>
        <v/>
      </c>
      <c r="AO396">
        <f>IF($AJ396="","",IF($AJ396=0,$AK396*EXP($AL396*3),$AK396*(1+$AJ396*$AL396*3)^(1/$AJ396)))</f>
        <v/>
      </c>
      <c r="AP396">
        <f>IF($AJ396="","",IF($AJ396=0,$AK396*EXP($AL396*-2),$AK396*(1+$AJ396*$AL396*-2)^(1/$AJ396)))</f>
        <v/>
      </c>
      <c r="AQ396">
        <f>IF($AJ396="","",IF($AJ396=0,$AK396*EXP($AL396*-3),$AK396*(1+$AJ396*$AL396*-3)^(1/$AJ396)))</f>
        <v/>
      </c>
      <c r="AR396">
        <f>IF(OR($X396="",$T396&gt;60),"",IFERROR(INDEX(IF($T396&lt;24,pcomp_l,palt_l),MATCH($X396,IF($T396&lt;24,pcomp_k,palt_k),1)),""))</f>
        <v/>
      </c>
      <c r="AS396">
        <f>IF(OR($X396="",$T396&gt;60),"",IFERROR(INDEX(IF($T396&lt;24,pcomp_m,palt_m),MATCH($X396,IF($T396&lt;24,pcomp_k,palt_k),1)),""))</f>
        <v/>
      </c>
      <c r="AT396">
        <f>IF(OR($X396="",$T396&gt;60),"",IFERROR(INDEX(IF($T396&lt;24,pcomp_s,palt_s),MATCH($X396,IF($T396&lt;24,pcomp_k,palt_k),1)),""))</f>
        <v/>
      </c>
      <c r="AU396">
        <f>IF($AR396="","",IF($AR396=0,LN($F396/$AS396)/$AT396,((($F396/$AS396)^$AR396)-1)/($AR396*$AT396)))</f>
        <v/>
      </c>
      <c r="AV396">
        <f>IF($AR396="","",IF($AR396=0,$AS396*EXP($AT396*2),$AS396*(1+$AR396*$AT396*2)^(1/$AR396)))</f>
        <v/>
      </c>
      <c r="AW396">
        <f>IF($AR396="","",IF($AR396=0,$AS396*EXP($AT396*3),$AS396*(1+$AR396*$AT396*3)^(1/$AR396)))</f>
        <v/>
      </c>
      <c r="AX396">
        <f>IF($AR396="","",IF($AR396=0,$AS396*EXP($AT396*-2),$AS396*(1+$AR396*$AT396*-2)^(1/$AR396)))</f>
        <v/>
      </c>
      <c r="AY396">
        <f>IF($AR396="","",IF($AR396=0,$AS396*EXP($AT396*-3),$AS396*(1+$AR396*$AT396*-3)^(1/$AR396)))</f>
        <v/>
      </c>
      <c r="AZ396">
        <f>IF(OR($A396="",$A396&lt;&gt;Ficha!$C$4),"",COUNTIF($A$2:$A396,Ficha!$C$4))</f>
        <v/>
      </c>
    </row>
    <row r="397">
      <c r="A397" s="8">
        <f>IF(INDEX(Banco!$A:$A,ROW())="","",INDEX(Banco!$A:$A,ROW()))</f>
        <v/>
      </c>
      <c r="B397" s="8">
        <f>IF(INDEX(Banco!$B:$B,ROW())="","",INDEX(Banco!$B:$B,ROW()))</f>
        <v/>
      </c>
      <c r="C397" s="8">
        <f>IF(INDEX(Banco!$C:$C,ROW())="","",INDEX(Banco!$C:$C,ROW()))</f>
        <v/>
      </c>
      <c r="D397" s="9">
        <f>IF(INDEX(Banco!$D:$D,ROW())="","",INDEX(Banco!$D:$D,ROW()))</f>
        <v/>
      </c>
      <c r="E397" s="9">
        <f>IF(INDEX(Banco!$E:$E,ROW())="","",INDEX(Banco!$E:$E,ROW()))</f>
        <v/>
      </c>
      <c r="F397" s="10">
        <f>IF(INDEX(Banco!$F:$F,ROW())="","",INDEX(Banco!$F:$F,ROW()))</f>
        <v/>
      </c>
      <c r="G397" s="10">
        <f>IF(INDEX(Banco!$G:$G,ROW())="","",INDEX(Banco!$G:$G,ROW()))</f>
        <v/>
      </c>
      <c r="H397" s="8">
        <f>IF(INDEX(Banco!$H:$H,ROW())="","",INDEX(Banco!$H:$H,ROW()))</f>
        <v/>
      </c>
      <c r="I397">
        <f>IF($T397="","",INT($T397/12)&amp;"a "&amp;MOD($T397,12)&amp;"m")</f>
        <v/>
      </c>
      <c r="J397" s="11">
        <f>IF(OR($F397="",$G397=""),"",ROUND($F397/($G397/100)^2,2))</f>
        <v/>
      </c>
      <c r="K397" s="12">
        <f>IF(OR($S397="",$J397="",$T397="",$T397&lt;0,$T397&gt;228,$Y397=""),"—",ROUND(IF(ABS($AB397)&lt;=3,$AB397,IF($AB397&gt;3,3+($J397-$AD397)/($AD397-$AC397),-3+($J397-$AF397)/($AE397-$AF397))),2))</f>
        <v/>
      </c>
      <c r="L397">
        <f>IF(OR($K397="",$K397="—"),"",IF($T397&lt;=60,IF($K397&lt;-3,"Magreza acentuada",IF($K397&lt;-2,"Magreza",IF($K397&lt;=1,"Eutrofia",IF($K397&lt;=2,"Risco de sobrepeso",IF($K397&lt;=3,"Sobrepeso","Obesidade"))))),IF($K397&lt;-3,"Magreza acentuada",IF($K397&lt;-2,"Magreza",IF($K397&lt;=1,"Eutrofia",IF($K397&lt;=2,"Sobrepeso",IF($K397&lt;=3,"Obesidade","Obesidade grave")))))))</f>
        <v/>
      </c>
      <c r="M397" s="12">
        <f>IF(OR($S397="",$V397="",$T397="",$T397&lt;0,$T397&gt;228,$AG397=""),"—",ROUND(IF($AG397=0,LN($V397/$AH397)/$AI397,((($V397/$AH397)^$AG397)-1)/($AG397*$AI397)),2))</f>
        <v/>
      </c>
      <c r="N397">
        <f>IF(OR($M397="",$M397="—"),"",IF($M397&lt;-3,"Muito baixa",IF($M397&lt;-2,"Baixa","Adequada")))</f>
        <v/>
      </c>
      <c r="O397" s="12">
        <f>IF(OR($S397="",$F397="",$T397="",$T397&lt;0,$T397&gt;120,$AJ397=""),"—",ROUND(IF(ABS($AM397)&lt;=3,$AM397,IF($AM397&gt;3,3+($F397-$AO397)/($AO397-$AN397),-3+($F397-$AQ397)/($AP397-$AQ397))),2))</f>
        <v/>
      </c>
      <c r="P397">
        <f>IF(OR($O397="",$O397="—"),"",IF($O397&lt;-3,"Muito baixo",IF($O397&lt;-2,"Baixo",IF($O397&lt;=2,"Adequado","Elevado"))))</f>
        <v/>
      </c>
      <c r="Q397" s="12">
        <f>IF(OR($S397="",$F397="",$T397="",$T397&lt;0,$T397&gt;60,$AR397=""),"—",ROUND(IF(ABS($AU397)&lt;=3,$AU397,IF($AU397&gt;3,3+($F397-$AW397)/($AW397-$AV397),-3+($F397-$AY397)/($AX397-$AY397))),2))</f>
        <v/>
      </c>
      <c r="R397">
        <f>IF(OR($Q397="",$Q397="—"),"",IF($Q397&lt;-3,"Magreza acentuada",IF($Q397&lt;-2,"Magreza",IF($Q397&lt;=1,"Eutrofia",IF($Q397&lt;=2,"Risco de sobrepeso",IF($Q397&lt;=3,"Sobrepeso","Obesidade"))))))</f>
        <v/>
      </c>
      <c r="S397">
        <f>IF($C397="","",IF(UPPER(LEFT($C397,1))="M",1,IF(UPPER(LEFT($C397,1))="F",2,"")))</f>
        <v/>
      </c>
      <c r="T397">
        <f>IF(OR($D397="",$E397=""),"",DATEDIF($D397,$E397,"m"))</f>
        <v/>
      </c>
      <c r="U397">
        <f>IF(OR($D397="",$E397=""),"",$E397-$D397)</f>
        <v/>
      </c>
      <c r="V397">
        <f>IF(OR($G397="",$T397=""),"",IF($T397&lt;24,IF(LEFT(LOWER($H397),4)="em p",$G397+0.7,$G397),IF(LEFT(LOWER($H397),4)="deit",$G397-0.7,$G397)))</f>
        <v/>
      </c>
      <c r="W397">
        <f>IF(OR($S397="",$T397=""),"",$S397*1000000+IF($T397&lt;=60,$U397,$T397))</f>
        <v/>
      </c>
      <c r="X397">
        <f>IF(OR($S397="",$V397="",$T397&gt;60,$T397=""),"",$S397*1000000+ROUND($V397*10,0))</f>
        <v/>
      </c>
      <c r="Y397">
        <f>IF($W397="","",IFERROR(INDEX(IF($T397&lt;=60,imc05_l,imc519_l),MATCH($W397,IF($T397&lt;=60,imc05_k,imc519_k),1)),""))</f>
        <v/>
      </c>
      <c r="Z397">
        <f>IF($W397="","",IFERROR(INDEX(IF($T397&lt;=60,imc05_m,imc519_m),MATCH($W397,IF($T397&lt;=60,imc05_k,imc519_k),1)),""))</f>
        <v/>
      </c>
      <c r="AA397">
        <f>IF($W397="","",IFERROR(INDEX(IF($T397&lt;=60,imc05_s,imc519_s),MATCH($W397,IF($T397&lt;=60,imc05_k,imc519_k),1)),""))</f>
        <v/>
      </c>
      <c r="AB397">
        <f>IF($Y397="","",IF($Y397=0,LN($J397/$Z397)/$AA397,((($J397/$Z397)^$Y397)-1)/($Y397*$AA397)))</f>
        <v/>
      </c>
      <c r="AC397">
        <f>IF($Y397="","",IF($Y397=0,$Z397*EXP($AA397*2),$Z397*(1+$Y397*$AA397*2)^(1/$Y397)))</f>
        <v/>
      </c>
      <c r="AD397">
        <f>IF($Y397="","",IF($Y397=0,$Z397*EXP($AA397*3),$Z397*(1+$Y397*$AA397*3)^(1/$Y397)))</f>
        <v/>
      </c>
      <c r="AE397">
        <f>IF($Y397="","",IF($Y397=0,$Z397*EXP($AA397*-2),$Z397*(1+$Y397*$AA397*-2)^(1/$Y397)))</f>
        <v/>
      </c>
      <c r="AF397">
        <f>IF($Y397="","",IF($Y397=0,$Z397*EXP($AA397*-3),$Z397*(1+$Y397*$AA397*-3)^(1/$Y397)))</f>
        <v/>
      </c>
      <c r="AG397">
        <f>IF($W397="","",IFERROR(INDEX(IF($T397&lt;=60,est05_l,est519_l),MATCH($W397,IF($T397&lt;=60,est05_k,est519_k),1)),""))</f>
        <v/>
      </c>
      <c r="AH397">
        <f>IF($W397="","",IFERROR(INDEX(IF($T397&lt;=60,est05_m,est519_m),MATCH($W397,IF($T397&lt;=60,est05_k,est519_k),1)),""))</f>
        <v/>
      </c>
      <c r="AI397">
        <f>IF($W397="","",IFERROR(INDEX(IF($T397&lt;=60,est05_s,est519_s),MATCH($W397,IF($T397&lt;=60,est05_k,est519_k),1)),""))</f>
        <v/>
      </c>
      <c r="AJ397">
        <f>IF($W397="","",IFERROR(INDEX(IF($T397&lt;=60,peso05_l,peso510_l),MATCH($W397,IF($T397&lt;=60,peso05_k,peso510_k),1)),""))</f>
        <v/>
      </c>
      <c r="AK397">
        <f>IF($W397="","",IFERROR(INDEX(IF($T397&lt;=60,peso05_m,peso510_m),MATCH($W397,IF($T397&lt;=60,peso05_k,peso510_k),1)),""))</f>
        <v/>
      </c>
      <c r="AL397">
        <f>IF($W397="","",IFERROR(INDEX(IF($T397&lt;=60,peso05_s,peso510_s),MATCH($W397,IF($T397&lt;=60,peso05_k,peso510_k),1)),""))</f>
        <v/>
      </c>
      <c r="AM397">
        <f>IF($AJ397="","",IF($AJ397=0,LN($F397/$AK397)/$AL397,((($F397/$AK397)^$AJ397)-1)/($AJ397*$AL397)))</f>
        <v/>
      </c>
      <c r="AN397">
        <f>IF($AJ397="","",IF($AJ397=0,$AK397*EXP($AL397*2),$AK397*(1+$AJ397*$AL397*2)^(1/$AJ397)))</f>
        <v/>
      </c>
      <c r="AO397">
        <f>IF($AJ397="","",IF($AJ397=0,$AK397*EXP($AL397*3),$AK397*(1+$AJ397*$AL397*3)^(1/$AJ397)))</f>
        <v/>
      </c>
      <c r="AP397">
        <f>IF($AJ397="","",IF($AJ397=0,$AK397*EXP($AL397*-2),$AK397*(1+$AJ397*$AL397*-2)^(1/$AJ397)))</f>
        <v/>
      </c>
      <c r="AQ397">
        <f>IF($AJ397="","",IF($AJ397=0,$AK397*EXP($AL397*-3),$AK397*(1+$AJ397*$AL397*-3)^(1/$AJ397)))</f>
        <v/>
      </c>
      <c r="AR397">
        <f>IF(OR($X397="",$T397&gt;60),"",IFERROR(INDEX(IF($T397&lt;24,pcomp_l,palt_l),MATCH($X397,IF($T397&lt;24,pcomp_k,palt_k),1)),""))</f>
        <v/>
      </c>
      <c r="AS397">
        <f>IF(OR($X397="",$T397&gt;60),"",IFERROR(INDEX(IF($T397&lt;24,pcomp_m,palt_m),MATCH($X397,IF($T397&lt;24,pcomp_k,palt_k),1)),""))</f>
        <v/>
      </c>
      <c r="AT397">
        <f>IF(OR($X397="",$T397&gt;60),"",IFERROR(INDEX(IF($T397&lt;24,pcomp_s,palt_s),MATCH($X397,IF($T397&lt;24,pcomp_k,palt_k),1)),""))</f>
        <v/>
      </c>
      <c r="AU397">
        <f>IF($AR397="","",IF($AR397=0,LN($F397/$AS397)/$AT397,((($F397/$AS397)^$AR397)-1)/($AR397*$AT397)))</f>
        <v/>
      </c>
      <c r="AV397">
        <f>IF($AR397="","",IF($AR397=0,$AS397*EXP($AT397*2),$AS397*(1+$AR397*$AT397*2)^(1/$AR397)))</f>
        <v/>
      </c>
      <c r="AW397">
        <f>IF($AR397="","",IF($AR397=0,$AS397*EXP($AT397*3),$AS397*(1+$AR397*$AT397*3)^(1/$AR397)))</f>
        <v/>
      </c>
      <c r="AX397">
        <f>IF($AR397="","",IF($AR397=0,$AS397*EXP($AT397*-2),$AS397*(1+$AR397*$AT397*-2)^(1/$AR397)))</f>
        <v/>
      </c>
      <c r="AY397">
        <f>IF($AR397="","",IF($AR397=0,$AS397*EXP($AT397*-3),$AS397*(1+$AR397*$AT397*-3)^(1/$AR397)))</f>
        <v/>
      </c>
      <c r="AZ397">
        <f>IF(OR($A397="",$A397&lt;&gt;Ficha!$C$4),"",COUNTIF($A$2:$A397,Ficha!$C$4))</f>
        <v/>
      </c>
    </row>
    <row r="398">
      <c r="A398" s="8">
        <f>IF(INDEX(Banco!$A:$A,ROW())="","",INDEX(Banco!$A:$A,ROW()))</f>
        <v/>
      </c>
      <c r="B398" s="8">
        <f>IF(INDEX(Banco!$B:$B,ROW())="","",INDEX(Banco!$B:$B,ROW()))</f>
        <v/>
      </c>
      <c r="C398" s="8">
        <f>IF(INDEX(Banco!$C:$C,ROW())="","",INDEX(Banco!$C:$C,ROW()))</f>
        <v/>
      </c>
      <c r="D398" s="9">
        <f>IF(INDEX(Banco!$D:$D,ROW())="","",INDEX(Banco!$D:$D,ROW()))</f>
        <v/>
      </c>
      <c r="E398" s="9">
        <f>IF(INDEX(Banco!$E:$E,ROW())="","",INDEX(Banco!$E:$E,ROW()))</f>
        <v/>
      </c>
      <c r="F398" s="10">
        <f>IF(INDEX(Banco!$F:$F,ROW())="","",INDEX(Banco!$F:$F,ROW()))</f>
        <v/>
      </c>
      <c r="G398" s="10">
        <f>IF(INDEX(Banco!$G:$G,ROW())="","",INDEX(Banco!$G:$G,ROW()))</f>
        <v/>
      </c>
      <c r="H398" s="8">
        <f>IF(INDEX(Banco!$H:$H,ROW())="","",INDEX(Banco!$H:$H,ROW()))</f>
        <v/>
      </c>
      <c r="I398">
        <f>IF($T398="","",INT($T398/12)&amp;"a "&amp;MOD($T398,12)&amp;"m")</f>
        <v/>
      </c>
      <c r="J398" s="11">
        <f>IF(OR($F398="",$G398=""),"",ROUND($F398/($G398/100)^2,2))</f>
        <v/>
      </c>
      <c r="K398" s="12">
        <f>IF(OR($S398="",$J398="",$T398="",$T398&lt;0,$T398&gt;228,$Y398=""),"—",ROUND(IF(ABS($AB398)&lt;=3,$AB398,IF($AB398&gt;3,3+($J398-$AD398)/($AD398-$AC398),-3+($J398-$AF398)/($AE398-$AF398))),2))</f>
        <v/>
      </c>
      <c r="L398">
        <f>IF(OR($K398="",$K398="—"),"",IF($T398&lt;=60,IF($K398&lt;-3,"Magreza acentuada",IF($K398&lt;-2,"Magreza",IF($K398&lt;=1,"Eutrofia",IF($K398&lt;=2,"Risco de sobrepeso",IF($K398&lt;=3,"Sobrepeso","Obesidade"))))),IF($K398&lt;-3,"Magreza acentuada",IF($K398&lt;-2,"Magreza",IF($K398&lt;=1,"Eutrofia",IF($K398&lt;=2,"Sobrepeso",IF($K398&lt;=3,"Obesidade","Obesidade grave")))))))</f>
        <v/>
      </c>
      <c r="M398" s="12">
        <f>IF(OR($S398="",$V398="",$T398="",$T398&lt;0,$T398&gt;228,$AG398=""),"—",ROUND(IF($AG398=0,LN($V398/$AH398)/$AI398,((($V398/$AH398)^$AG398)-1)/($AG398*$AI398)),2))</f>
        <v/>
      </c>
      <c r="N398">
        <f>IF(OR($M398="",$M398="—"),"",IF($M398&lt;-3,"Muito baixa",IF($M398&lt;-2,"Baixa","Adequada")))</f>
        <v/>
      </c>
      <c r="O398" s="12">
        <f>IF(OR($S398="",$F398="",$T398="",$T398&lt;0,$T398&gt;120,$AJ398=""),"—",ROUND(IF(ABS($AM398)&lt;=3,$AM398,IF($AM398&gt;3,3+($F398-$AO398)/($AO398-$AN398),-3+($F398-$AQ398)/($AP398-$AQ398))),2))</f>
        <v/>
      </c>
      <c r="P398">
        <f>IF(OR($O398="",$O398="—"),"",IF($O398&lt;-3,"Muito baixo",IF($O398&lt;-2,"Baixo",IF($O398&lt;=2,"Adequado","Elevado"))))</f>
        <v/>
      </c>
      <c r="Q398" s="12">
        <f>IF(OR($S398="",$F398="",$T398="",$T398&lt;0,$T398&gt;60,$AR398=""),"—",ROUND(IF(ABS($AU398)&lt;=3,$AU398,IF($AU398&gt;3,3+($F398-$AW398)/($AW398-$AV398),-3+($F398-$AY398)/($AX398-$AY398))),2))</f>
        <v/>
      </c>
      <c r="R398">
        <f>IF(OR($Q398="",$Q398="—"),"",IF($Q398&lt;-3,"Magreza acentuada",IF($Q398&lt;-2,"Magreza",IF($Q398&lt;=1,"Eutrofia",IF($Q398&lt;=2,"Risco de sobrepeso",IF($Q398&lt;=3,"Sobrepeso","Obesidade"))))))</f>
        <v/>
      </c>
      <c r="S398">
        <f>IF($C398="","",IF(UPPER(LEFT($C398,1))="M",1,IF(UPPER(LEFT($C398,1))="F",2,"")))</f>
        <v/>
      </c>
      <c r="T398">
        <f>IF(OR($D398="",$E398=""),"",DATEDIF($D398,$E398,"m"))</f>
        <v/>
      </c>
      <c r="U398">
        <f>IF(OR($D398="",$E398=""),"",$E398-$D398)</f>
        <v/>
      </c>
      <c r="V398">
        <f>IF(OR($G398="",$T398=""),"",IF($T398&lt;24,IF(LEFT(LOWER($H398),4)="em p",$G398+0.7,$G398),IF(LEFT(LOWER($H398),4)="deit",$G398-0.7,$G398)))</f>
        <v/>
      </c>
      <c r="W398">
        <f>IF(OR($S398="",$T398=""),"",$S398*1000000+IF($T398&lt;=60,$U398,$T398))</f>
        <v/>
      </c>
      <c r="X398">
        <f>IF(OR($S398="",$V398="",$T398&gt;60,$T398=""),"",$S398*1000000+ROUND($V398*10,0))</f>
        <v/>
      </c>
      <c r="Y398">
        <f>IF($W398="","",IFERROR(INDEX(IF($T398&lt;=60,imc05_l,imc519_l),MATCH($W398,IF($T398&lt;=60,imc05_k,imc519_k),1)),""))</f>
        <v/>
      </c>
      <c r="Z398">
        <f>IF($W398="","",IFERROR(INDEX(IF($T398&lt;=60,imc05_m,imc519_m),MATCH($W398,IF($T398&lt;=60,imc05_k,imc519_k),1)),""))</f>
        <v/>
      </c>
      <c r="AA398">
        <f>IF($W398="","",IFERROR(INDEX(IF($T398&lt;=60,imc05_s,imc519_s),MATCH($W398,IF($T398&lt;=60,imc05_k,imc519_k),1)),""))</f>
        <v/>
      </c>
      <c r="AB398">
        <f>IF($Y398="","",IF($Y398=0,LN($J398/$Z398)/$AA398,((($J398/$Z398)^$Y398)-1)/($Y398*$AA398)))</f>
        <v/>
      </c>
      <c r="AC398">
        <f>IF($Y398="","",IF($Y398=0,$Z398*EXP($AA398*2),$Z398*(1+$Y398*$AA398*2)^(1/$Y398)))</f>
        <v/>
      </c>
      <c r="AD398">
        <f>IF($Y398="","",IF($Y398=0,$Z398*EXP($AA398*3),$Z398*(1+$Y398*$AA398*3)^(1/$Y398)))</f>
        <v/>
      </c>
      <c r="AE398">
        <f>IF($Y398="","",IF($Y398=0,$Z398*EXP($AA398*-2),$Z398*(1+$Y398*$AA398*-2)^(1/$Y398)))</f>
        <v/>
      </c>
      <c r="AF398">
        <f>IF($Y398="","",IF($Y398=0,$Z398*EXP($AA398*-3),$Z398*(1+$Y398*$AA398*-3)^(1/$Y398)))</f>
        <v/>
      </c>
      <c r="AG398">
        <f>IF($W398="","",IFERROR(INDEX(IF($T398&lt;=60,est05_l,est519_l),MATCH($W398,IF($T398&lt;=60,est05_k,est519_k),1)),""))</f>
        <v/>
      </c>
      <c r="AH398">
        <f>IF($W398="","",IFERROR(INDEX(IF($T398&lt;=60,est05_m,est519_m),MATCH($W398,IF($T398&lt;=60,est05_k,est519_k),1)),""))</f>
        <v/>
      </c>
      <c r="AI398">
        <f>IF($W398="","",IFERROR(INDEX(IF($T398&lt;=60,est05_s,est519_s),MATCH($W398,IF($T398&lt;=60,est05_k,est519_k),1)),""))</f>
        <v/>
      </c>
      <c r="AJ398">
        <f>IF($W398="","",IFERROR(INDEX(IF($T398&lt;=60,peso05_l,peso510_l),MATCH($W398,IF($T398&lt;=60,peso05_k,peso510_k),1)),""))</f>
        <v/>
      </c>
      <c r="AK398">
        <f>IF($W398="","",IFERROR(INDEX(IF($T398&lt;=60,peso05_m,peso510_m),MATCH($W398,IF($T398&lt;=60,peso05_k,peso510_k),1)),""))</f>
        <v/>
      </c>
      <c r="AL398">
        <f>IF($W398="","",IFERROR(INDEX(IF($T398&lt;=60,peso05_s,peso510_s),MATCH($W398,IF($T398&lt;=60,peso05_k,peso510_k),1)),""))</f>
        <v/>
      </c>
      <c r="AM398">
        <f>IF($AJ398="","",IF($AJ398=0,LN($F398/$AK398)/$AL398,((($F398/$AK398)^$AJ398)-1)/($AJ398*$AL398)))</f>
        <v/>
      </c>
      <c r="AN398">
        <f>IF($AJ398="","",IF($AJ398=0,$AK398*EXP($AL398*2),$AK398*(1+$AJ398*$AL398*2)^(1/$AJ398)))</f>
        <v/>
      </c>
      <c r="AO398">
        <f>IF($AJ398="","",IF($AJ398=0,$AK398*EXP($AL398*3),$AK398*(1+$AJ398*$AL398*3)^(1/$AJ398)))</f>
        <v/>
      </c>
      <c r="AP398">
        <f>IF($AJ398="","",IF($AJ398=0,$AK398*EXP($AL398*-2),$AK398*(1+$AJ398*$AL398*-2)^(1/$AJ398)))</f>
        <v/>
      </c>
      <c r="AQ398">
        <f>IF($AJ398="","",IF($AJ398=0,$AK398*EXP($AL398*-3),$AK398*(1+$AJ398*$AL398*-3)^(1/$AJ398)))</f>
        <v/>
      </c>
      <c r="AR398">
        <f>IF(OR($X398="",$T398&gt;60),"",IFERROR(INDEX(IF($T398&lt;24,pcomp_l,palt_l),MATCH($X398,IF($T398&lt;24,pcomp_k,palt_k),1)),""))</f>
        <v/>
      </c>
      <c r="AS398">
        <f>IF(OR($X398="",$T398&gt;60),"",IFERROR(INDEX(IF($T398&lt;24,pcomp_m,palt_m),MATCH($X398,IF($T398&lt;24,pcomp_k,palt_k),1)),""))</f>
        <v/>
      </c>
      <c r="AT398">
        <f>IF(OR($X398="",$T398&gt;60),"",IFERROR(INDEX(IF($T398&lt;24,pcomp_s,palt_s),MATCH($X398,IF($T398&lt;24,pcomp_k,palt_k),1)),""))</f>
        <v/>
      </c>
      <c r="AU398">
        <f>IF($AR398="","",IF($AR398=0,LN($F398/$AS398)/$AT398,((($F398/$AS398)^$AR398)-1)/($AR398*$AT398)))</f>
        <v/>
      </c>
      <c r="AV398">
        <f>IF($AR398="","",IF($AR398=0,$AS398*EXP($AT398*2),$AS398*(1+$AR398*$AT398*2)^(1/$AR398)))</f>
        <v/>
      </c>
      <c r="AW398">
        <f>IF($AR398="","",IF($AR398=0,$AS398*EXP($AT398*3),$AS398*(1+$AR398*$AT398*3)^(1/$AR398)))</f>
        <v/>
      </c>
      <c r="AX398">
        <f>IF($AR398="","",IF($AR398=0,$AS398*EXP($AT398*-2),$AS398*(1+$AR398*$AT398*-2)^(1/$AR398)))</f>
        <v/>
      </c>
      <c r="AY398">
        <f>IF($AR398="","",IF($AR398=0,$AS398*EXP($AT398*-3),$AS398*(1+$AR398*$AT398*-3)^(1/$AR398)))</f>
        <v/>
      </c>
      <c r="AZ398">
        <f>IF(OR($A398="",$A398&lt;&gt;Ficha!$C$4),"",COUNTIF($A$2:$A398,Ficha!$C$4))</f>
        <v/>
      </c>
    </row>
    <row r="399">
      <c r="A399" s="8">
        <f>IF(INDEX(Banco!$A:$A,ROW())="","",INDEX(Banco!$A:$A,ROW()))</f>
        <v/>
      </c>
      <c r="B399" s="8">
        <f>IF(INDEX(Banco!$B:$B,ROW())="","",INDEX(Banco!$B:$B,ROW()))</f>
        <v/>
      </c>
      <c r="C399" s="8">
        <f>IF(INDEX(Banco!$C:$C,ROW())="","",INDEX(Banco!$C:$C,ROW()))</f>
        <v/>
      </c>
      <c r="D399" s="9">
        <f>IF(INDEX(Banco!$D:$D,ROW())="","",INDEX(Banco!$D:$D,ROW()))</f>
        <v/>
      </c>
      <c r="E399" s="9">
        <f>IF(INDEX(Banco!$E:$E,ROW())="","",INDEX(Banco!$E:$E,ROW()))</f>
        <v/>
      </c>
      <c r="F399" s="10">
        <f>IF(INDEX(Banco!$F:$F,ROW())="","",INDEX(Banco!$F:$F,ROW()))</f>
        <v/>
      </c>
      <c r="G399" s="10">
        <f>IF(INDEX(Banco!$G:$G,ROW())="","",INDEX(Banco!$G:$G,ROW()))</f>
        <v/>
      </c>
      <c r="H399" s="8">
        <f>IF(INDEX(Banco!$H:$H,ROW())="","",INDEX(Banco!$H:$H,ROW()))</f>
        <v/>
      </c>
      <c r="I399">
        <f>IF($T399="","",INT($T399/12)&amp;"a "&amp;MOD($T399,12)&amp;"m")</f>
        <v/>
      </c>
      <c r="J399" s="11">
        <f>IF(OR($F399="",$G399=""),"",ROUND($F399/($G399/100)^2,2))</f>
        <v/>
      </c>
      <c r="K399" s="12">
        <f>IF(OR($S399="",$J399="",$T399="",$T399&lt;0,$T399&gt;228,$Y399=""),"—",ROUND(IF(ABS($AB399)&lt;=3,$AB399,IF($AB399&gt;3,3+($J399-$AD399)/($AD399-$AC399),-3+($J399-$AF399)/($AE399-$AF399))),2))</f>
        <v/>
      </c>
      <c r="L399">
        <f>IF(OR($K399="",$K399="—"),"",IF($T399&lt;=60,IF($K399&lt;-3,"Magreza acentuada",IF($K399&lt;-2,"Magreza",IF($K399&lt;=1,"Eutrofia",IF($K399&lt;=2,"Risco de sobrepeso",IF($K399&lt;=3,"Sobrepeso","Obesidade"))))),IF($K399&lt;-3,"Magreza acentuada",IF($K399&lt;-2,"Magreza",IF($K399&lt;=1,"Eutrofia",IF($K399&lt;=2,"Sobrepeso",IF($K399&lt;=3,"Obesidade","Obesidade grave")))))))</f>
        <v/>
      </c>
      <c r="M399" s="12">
        <f>IF(OR($S399="",$V399="",$T399="",$T399&lt;0,$T399&gt;228,$AG399=""),"—",ROUND(IF($AG399=0,LN($V399/$AH399)/$AI399,((($V399/$AH399)^$AG399)-1)/($AG399*$AI399)),2))</f>
        <v/>
      </c>
      <c r="N399">
        <f>IF(OR($M399="",$M399="—"),"",IF($M399&lt;-3,"Muito baixa",IF($M399&lt;-2,"Baixa","Adequada")))</f>
        <v/>
      </c>
      <c r="O399" s="12">
        <f>IF(OR($S399="",$F399="",$T399="",$T399&lt;0,$T399&gt;120,$AJ399=""),"—",ROUND(IF(ABS($AM399)&lt;=3,$AM399,IF($AM399&gt;3,3+($F399-$AO399)/($AO399-$AN399),-3+($F399-$AQ399)/($AP399-$AQ399))),2))</f>
        <v/>
      </c>
      <c r="P399">
        <f>IF(OR($O399="",$O399="—"),"",IF($O399&lt;-3,"Muito baixo",IF($O399&lt;-2,"Baixo",IF($O399&lt;=2,"Adequado","Elevado"))))</f>
        <v/>
      </c>
      <c r="Q399" s="12">
        <f>IF(OR($S399="",$F399="",$T399="",$T399&lt;0,$T399&gt;60,$AR399=""),"—",ROUND(IF(ABS($AU399)&lt;=3,$AU399,IF($AU399&gt;3,3+($F399-$AW399)/($AW399-$AV399),-3+($F399-$AY399)/($AX399-$AY399))),2))</f>
        <v/>
      </c>
      <c r="R399">
        <f>IF(OR($Q399="",$Q399="—"),"",IF($Q399&lt;-3,"Magreza acentuada",IF($Q399&lt;-2,"Magreza",IF($Q399&lt;=1,"Eutrofia",IF($Q399&lt;=2,"Risco de sobrepeso",IF($Q399&lt;=3,"Sobrepeso","Obesidade"))))))</f>
        <v/>
      </c>
      <c r="S399">
        <f>IF($C399="","",IF(UPPER(LEFT($C399,1))="M",1,IF(UPPER(LEFT($C399,1))="F",2,"")))</f>
        <v/>
      </c>
      <c r="T399">
        <f>IF(OR($D399="",$E399=""),"",DATEDIF($D399,$E399,"m"))</f>
        <v/>
      </c>
      <c r="U399">
        <f>IF(OR($D399="",$E399=""),"",$E399-$D399)</f>
        <v/>
      </c>
      <c r="V399">
        <f>IF(OR($G399="",$T399=""),"",IF($T399&lt;24,IF(LEFT(LOWER($H399),4)="em p",$G399+0.7,$G399),IF(LEFT(LOWER($H399),4)="deit",$G399-0.7,$G399)))</f>
        <v/>
      </c>
      <c r="W399">
        <f>IF(OR($S399="",$T399=""),"",$S399*1000000+IF($T399&lt;=60,$U399,$T399))</f>
        <v/>
      </c>
      <c r="X399">
        <f>IF(OR($S399="",$V399="",$T399&gt;60,$T399=""),"",$S399*1000000+ROUND($V399*10,0))</f>
        <v/>
      </c>
      <c r="Y399">
        <f>IF($W399="","",IFERROR(INDEX(IF($T399&lt;=60,imc05_l,imc519_l),MATCH($W399,IF($T399&lt;=60,imc05_k,imc519_k),1)),""))</f>
        <v/>
      </c>
      <c r="Z399">
        <f>IF($W399="","",IFERROR(INDEX(IF($T399&lt;=60,imc05_m,imc519_m),MATCH($W399,IF($T399&lt;=60,imc05_k,imc519_k),1)),""))</f>
        <v/>
      </c>
      <c r="AA399">
        <f>IF($W399="","",IFERROR(INDEX(IF($T399&lt;=60,imc05_s,imc519_s),MATCH($W399,IF($T399&lt;=60,imc05_k,imc519_k),1)),""))</f>
        <v/>
      </c>
      <c r="AB399">
        <f>IF($Y399="","",IF($Y399=0,LN($J399/$Z399)/$AA399,((($J399/$Z399)^$Y399)-1)/($Y399*$AA399)))</f>
        <v/>
      </c>
      <c r="AC399">
        <f>IF($Y399="","",IF($Y399=0,$Z399*EXP($AA399*2),$Z399*(1+$Y399*$AA399*2)^(1/$Y399)))</f>
        <v/>
      </c>
      <c r="AD399">
        <f>IF($Y399="","",IF($Y399=0,$Z399*EXP($AA399*3),$Z399*(1+$Y399*$AA399*3)^(1/$Y399)))</f>
        <v/>
      </c>
      <c r="AE399">
        <f>IF($Y399="","",IF($Y399=0,$Z399*EXP($AA399*-2),$Z399*(1+$Y399*$AA399*-2)^(1/$Y399)))</f>
        <v/>
      </c>
      <c r="AF399">
        <f>IF($Y399="","",IF($Y399=0,$Z399*EXP($AA399*-3),$Z399*(1+$Y399*$AA399*-3)^(1/$Y399)))</f>
        <v/>
      </c>
      <c r="AG399">
        <f>IF($W399="","",IFERROR(INDEX(IF($T399&lt;=60,est05_l,est519_l),MATCH($W399,IF($T399&lt;=60,est05_k,est519_k),1)),""))</f>
        <v/>
      </c>
      <c r="AH399">
        <f>IF($W399="","",IFERROR(INDEX(IF($T399&lt;=60,est05_m,est519_m),MATCH($W399,IF($T399&lt;=60,est05_k,est519_k),1)),""))</f>
        <v/>
      </c>
      <c r="AI399">
        <f>IF($W399="","",IFERROR(INDEX(IF($T399&lt;=60,est05_s,est519_s),MATCH($W399,IF($T399&lt;=60,est05_k,est519_k),1)),""))</f>
        <v/>
      </c>
      <c r="AJ399">
        <f>IF($W399="","",IFERROR(INDEX(IF($T399&lt;=60,peso05_l,peso510_l),MATCH($W399,IF($T399&lt;=60,peso05_k,peso510_k),1)),""))</f>
        <v/>
      </c>
      <c r="AK399">
        <f>IF($W399="","",IFERROR(INDEX(IF($T399&lt;=60,peso05_m,peso510_m),MATCH($W399,IF($T399&lt;=60,peso05_k,peso510_k),1)),""))</f>
        <v/>
      </c>
      <c r="AL399">
        <f>IF($W399="","",IFERROR(INDEX(IF($T399&lt;=60,peso05_s,peso510_s),MATCH($W399,IF($T399&lt;=60,peso05_k,peso510_k),1)),""))</f>
        <v/>
      </c>
      <c r="AM399">
        <f>IF($AJ399="","",IF($AJ399=0,LN($F399/$AK399)/$AL399,((($F399/$AK399)^$AJ399)-1)/($AJ399*$AL399)))</f>
        <v/>
      </c>
      <c r="AN399">
        <f>IF($AJ399="","",IF($AJ399=0,$AK399*EXP($AL399*2),$AK399*(1+$AJ399*$AL399*2)^(1/$AJ399)))</f>
        <v/>
      </c>
      <c r="AO399">
        <f>IF($AJ399="","",IF($AJ399=0,$AK399*EXP($AL399*3),$AK399*(1+$AJ399*$AL399*3)^(1/$AJ399)))</f>
        <v/>
      </c>
      <c r="AP399">
        <f>IF($AJ399="","",IF($AJ399=0,$AK399*EXP($AL399*-2),$AK399*(1+$AJ399*$AL399*-2)^(1/$AJ399)))</f>
        <v/>
      </c>
      <c r="AQ399">
        <f>IF($AJ399="","",IF($AJ399=0,$AK399*EXP($AL399*-3),$AK399*(1+$AJ399*$AL399*-3)^(1/$AJ399)))</f>
        <v/>
      </c>
      <c r="AR399">
        <f>IF(OR($X399="",$T399&gt;60),"",IFERROR(INDEX(IF($T399&lt;24,pcomp_l,palt_l),MATCH($X399,IF($T399&lt;24,pcomp_k,palt_k),1)),""))</f>
        <v/>
      </c>
      <c r="AS399">
        <f>IF(OR($X399="",$T399&gt;60),"",IFERROR(INDEX(IF($T399&lt;24,pcomp_m,palt_m),MATCH($X399,IF($T399&lt;24,pcomp_k,palt_k),1)),""))</f>
        <v/>
      </c>
      <c r="AT399">
        <f>IF(OR($X399="",$T399&gt;60),"",IFERROR(INDEX(IF($T399&lt;24,pcomp_s,palt_s),MATCH($X399,IF($T399&lt;24,pcomp_k,palt_k),1)),""))</f>
        <v/>
      </c>
      <c r="AU399">
        <f>IF($AR399="","",IF($AR399=0,LN($F399/$AS399)/$AT399,((($F399/$AS399)^$AR399)-1)/($AR399*$AT399)))</f>
        <v/>
      </c>
      <c r="AV399">
        <f>IF($AR399="","",IF($AR399=0,$AS399*EXP($AT399*2),$AS399*(1+$AR399*$AT399*2)^(1/$AR399)))</f>
        <v/>
      </c>
      <c r="AW399">
        <f>IF($AR399="","",IF($AR399=0,$AS399*EXP($AT399*3),$AS399*(1+$AR399*$AT399*3)^(1/$AR399)))</f>
        <v/>
      </c>
      <c r="AX399">
        <f>IF($AR399="","",IF($AR399=0,$AS399*EXP($AT399*-2),$AS399*(1+$AR399*$AT399*-2)^(1/$AR399)))</f>
        <v/>
      </c>
      <c r="AY399">
        <f>IF($AR399="","",IF($AR399=0,$AS399*EXP($AT399*-3),$AS399*(1+$AR399*$AT399*-3)^(1/$AR399)))</f>
        <v/>
      </c>
      <c r="AZ399">
        <f>IF(OR($A399="",$A399&lt;&gt;Ficha!$C$4),"",COUNTIF($A$2:$A399,Ficha!$C$4))</f>
        <v/>
      </c>
    </row>
    <row r="400">
      <c r="A400" s="8">
        <f>IF(INDEX(Banco!$A:$A,ROW())="","",INDEX(Banco!$A:$A,ROW()))</f>
        <v/>
      </c>
      <c r="B400" s="8">
        <f>IF(INDEX(Banco!$B:$B,ROW())="","",INDEX(Banco!$B:$B,ROW()))</f>
        <v/>
      </c>
      <c r="C400" s="8">
        <f>IF(INDEX(Banco!$C:$C,ROW())="","",INDEX(Banco!$C:$C,ROW()))</f>
        <v/>
      </c>
      <c r="D400" s="9">
        <f>IF(INDEX(Banco!$D:$D,ROW())="","",INDEX(Banco!$D:$D,ROW()))</f>
        <v/>
      </c>
      <c r="E400" s="9">
        <f>IF(INDEX(Banco!$E:$E,ROW())="","",INDEX(Banco!$E:$E,ROW()))</f>
        <v/>
      </c>
      <c r="F400" s="10">
        <f>IF(INDEX(Banco!$F:$F,ROW())="","",INDEX(Banco!$F:$F,ROW()))</f>
        <v/>
      </c>
      <c r="G400" s="10">
        <f>IF(INDEX(Banco!$G:$G,ROW())="","",INDEX(Banco!$G:$G,ROW()))</f>
        <v/>
      </c>
      <c r="H400" s="8">
        <f>IF(INDEX(Banco!$H:$H,ROW())="","",INDEX(Banco!$H:$H,ROW()))</f>
        <v/>
      </c>
      <c r="I400">
        <f>IF($T400="","",INT($T400/12)&amp;"a "&amp;MOD($T400,12)&amp;"m")</f>
        <v/>
      </c>
      <c r="J400" s="11">
        <f>IF(OR($F400="",$G400=""),"",ROUND($F400/($G400/100)^2,2))</f>
        <v/>
      </c>
      <c r="K400" s="12">
        <f>IF(OR($S400="",$J400="",$T400="",$T400&lt;0,$T400&gt;228,$Y400=""),"—",ROUND(IF(ABS($AB400)&lt;=3,$AB400,IF($AB400&gt;3,3+($J400-$AD400)/($AD400-$AC400),-3+($J400-$AF400)/($AE400-$AF400))),2))</f>
        <v/>
      </c>
      <c r="L400">
        <f>IF(OR($K400="",$K400="—"),"",IF($T400&lt;=60,IF($K400&lt;-3,"Magreza acentuada",IF($K400&lt;-2,"Magreza",IF($K400&lt;=1,"Eutrofia",IF($K400&lt;=2,"Risco de sobrepeso",IF($K400&lt;=3,"Sobrepeso","Obesidade"))))),IF($K400&lt;-3,"Magreza acentuada",IF($K400&lt;-2,"Magreza",IF($K400&lt;=1,"Eutrofia",IF($K400&lt;=2,"Sobrepeso",IF($K400&lt;=3,"Obesidade","Obesidade grave")))))))</f>
        <v/>
      </c>
      <c r="M400" s="12">
        <f>IF(OR($S400="",$V400="",$T400="",$T400&lt;0,$T400&gt;228,$AG400=""),"—",ROUND(IF($AG400=0,LN($V400/$AH400)/$AI400,((($V400/$AH400)^$AG400)-1)/($AG400*$AI400)),2))</f>
        <v/>
      </c>
      <c r="N400">
        <f>IF(OR($M400="",$M400="—"),"",IF($M400&lt;-3,"Muito baixa",IF($M400&lt;-2,"Baixa","Adequada")))</f>
        <v/>
      </c>
      <c r="O400" s="12">
        <f>IF(OR($S400="",$F400="",$T400="",$T400&lt;0,$T400&gt;120,$AJ400=""),"—",ROUND(IF(ABS($AM400)&lt;=3,$AM400,IF($AM400&gt;3,3+($F400-$AO400)/($AO400-$AN400),-3+($F400-$AQ400)/($AP400-$AQ400))),2))</f>
        <v/>
      </c>
      <c r="P400">
        <f>IF(OR($O400="",$O400="—"),"",IF($O400&lt;-3,"Muito baixo",IF($O400&lt;-2,"Baixo",IF($O400&lt;=2,"Adequado","Elevado"))))</f>
        <v/>
      </c>
      <c r="Q400" s="12">
        <f>IF(OR($S400="",$F400="",$T400="",$T400&lt;0,$T400&gt;60,$AR400=""),"—",ROUND(IF(ABS($AU400)&lt;=3,$AU400,IF($AU400&gt;3,3+($F400-$AW400)/($AW400-$AV400),-3+($F400-$AY400)/($AX400-$AY400))),2))</f>
        <v/>
      </c>
      <c r="R400">
        <f>IF(OR($Q400="",$Q400="—"),"",IF($Q400&lt;-3,"Magreza acentuada",IF($Q400&lt;-2,"Magreza",IF($Q400&lt;=1,"Eutrofia",IF($Q400&lt;=2,"Risco de sobrepeso",IF($Q400&lt;=3,"Sobrepeso","Obesidade"))))))</f>
        <v/>
      </c>
      <c r="S400">
        <f>IF($C400="","",IF(UPPER(LEFT($C400,1))="M",1,IF(UPPER(LEFT($C400,1))="F",2,"")))</f>
        <v/>
      </c>
      <c r="T400">
        <f>IF(OR($D400="",$E400=""),"",DATEDIF($D400,$E400,"m"))</f>
        <v/>
      </c>
      <c r="U400">
        <f>IF(OR($D400="",$E400=""),"",$E400-$D400)</f>
        <v/>
      </c>
      <c r="V400">
        <f>IF(OR($G400="",$T400=""),"",IF($T400&lt;24,IF(LEFT(LOWER($H400),4)="em p",$G400+0.7,$G400),IF(LEFT(LOWER($H400),4)="deit",$G400-0.7,$G400)))</f>
        <v/>
      </c>
      <c r="W400">
        <f>IF(OR($S400="",$T400=""),"",$S400*1000000+IF($T400&lt;=60,$U400,$T400))</f>
        <v/>
      </c>
      <c r="X400">
        <f>IF(OR($S400="",$V400="",$T400&gt;60,$T400=""),"",$S400*1000000+ROUND($V400*10,0))</f>
        <v/>
      </c>
      <c r="Y400">
        <f>IF($W400="","",IFERROR(INDEX(IF($T400&lt;=60,imc05_l,imc519_l),MATCH($W400,IF($T400&lt;=60,imc05_k,imc519_k),1)),""))</f>
        <v/>
      </c>
      <c r="Z400">
        <f>IF($W400="","",IFERROR(INDEX(IF($T400&lt;=60,imc05_m,imc519_m),MATCH($W400,IF($T400&lt;=60,imc05_k,imc519_k),1)),""))</f>
        <v/>
      </c>
      <c r="AA400">
        <f>IF($W400="","",IFERROR(INDEX(IF($T400&lt;=60,imc05_s,imc519_s),MATCH($W400,IF($T400&lt;=60,imc05_k,imc519_k),1)),""))</f>
        <v/>
      </c>
      <c r="AB400">
        <f>IF($Y400="","",IF($Y400=0,LN($J400/$Z400)/$AA400,((($J400/$Z400)^$Y400)-1)/($Y400*$AA400)))</f>
        <v/>
      </c>
      <c r="AC400">
        <f>IF($Y400="","",IF($Y400=0,$Z400*EXP($AA400*2),$Z400*(1+$Y400*$AA400*2)^(1/$Y400)))</f>
        <v/>
      </c>
      <c r="AD400">
        <f>IF($Y400="","",IF($Y400=0,$Z400*EXP($AA400*3),$Z400*(1+$Y400*$AA400*3)^(1/$Y400)))</f>
        <v/>
      </c>
      <c r="AE400">
        <f>IF($Y400="","",IF($Y400=0,$Z400*EXP($AA400*-2),$Z400*(1+$Y400*$AA400*-2)^(1/$Y400)))</f>
        <v/>
      </c>
      <c r="AF400">
        <f>IF($Y400="","",IF($Y400=0,$Z400*EXP($AA400*-3),$Z400*(1+$Y400*$AA400*-3)^(1/$Y400)))</f>
        <v/>
      </c>
      <c r="AG400">
        <f>IF($W400="","",IFERROR(INDEX(IF($T400&lt;=60,est05_l,est519_l),MATCH($W400,IF($T400&lt;=60,est05_k,est519_k),1)),""))</f>
        <v/>
      </c>
      <c r="AH400">
        <f>IF($W400="","",IFERROR(INDEX(IF($T400&lt;=60,est05_m,est519_m),MATCH($W400,IF($T400&lt;=60,est05_k,est519_k),1)),""))</f>
        <v/>
      </c>
      <c r="AI400">
        <f>IF($W400="","",IFERROR(INDEX(IF($T400&lt;=60,est05_s,est519_s),MATCH($W400,IF($T400&lt;=60,est05_k,est519_k),1)),""))</f>
        <v/>
      </c>
      <c r="AJ400">
        <f>IF($W400="","",IFERROR(INDEX(IF($T400&lt;=60,peso05_l,peso510_l),MATCH($W400,IF($T400&lt;=60,peso05_k,peso510_k),1)),""))</f>
        <v/>
      </c>
      <c r="AK400">
        <f>IF($W400="","",IFERROR(INDEX(IF($T400&lt;=60,peso05_m,peso510_m),MATCH($W400,IF($T400&lt;=60,peso05_k,peso510_k),1)),""))</f>
        <v/>
      </c>
      <c r="AL400">
        <f>IF($W400="","",IFERROR(INDEX(IF($T400&lt;=60,peso05_s,peso510_s),MATCH($W400,IF($T400&lt;=60,peso05_k,peso510_k),1)),""))</f>
        <v/>
      </c>
      <c r="AM400">
        <f>IF($AJ400="","",IF($AJ400=0,LN($F400/$AK400)/$AL400,((($F400/$AK400)^$AJ400)-1)/($AJ400*$AL400)))</f>
        <v/>
      </c>
      <c r="AN400">
        <f>IF($AJ400="","",IF($AJ400=0,$AK400*EXP($AL400*2),$AK400*(1+$AJ400*$AL400*2)^(1/$AJ400)))</f>
        <v/>
      </c>
      <c r="AO400">
        <f>IF($AJ400="","",IF($AJ400=0,$AK400*EXP($AL400*3),$AK400*(1+$AJ400*$AL400*3)^(1/$AJ400)))</f>
        <v/>
      </c>
      <c r="AP400">
        <f>IF($AJ400="","",IF($AJ400=0,$AK400*EXP($AL400*-2),$AK400*(1+$AJ400*$AL400*-2)^(1/$AJ400)))</f>
        <v/>
      </c>
      <c r="AQ400">
        <f>IF($AJ400="","",IF($AJ400=0,$AK400*EXP($AL400*-3),$AK400*(1+$AJ400*$AL400*-3)^(1/$AJ400)))</f>
        <v/>
      </c>
      <c r="AR400">
        <f>IF(OR($X400="",$T400&gt;60),"",IFERROR(INDEX(IF($T400&lt;24,pcomp_l,palt_l),MATCH($X400,IF($T400&lt;24,pcomp_k,palt_k),1)),""))</f>
        <v/>
      </c>
      <c r="AS400">
        <f>IF(OR($X400="",$T400&gt;60),"",IFERROR(INDEX(IF($T400&lt;24,pcomp_m,palt_m),MATCH($X400,IF($T400&lt;24,pcomp_k,palt_k),1)),""))</f>
        <v/>
      </c>
      <c r="AT400">
        <f>IF(OR($X400="",$T400&gt;60),"",IFERROR(INDEX(IF($T400&lt;24,pcomp_s,palt_s),MATCH($X400,IF($T400&lt;24,pcomp_k,palt_k),1)),""))</f>
        <v/>
      </c>
      <c r="AU400">
        <f>IF($AR400="","",IF($AR400=0,LN($F400/$AS400)/$AT400,((($F400/$AS400)^$AR400)-1)/($AR400*$AT400)))</f>
        <v/>
      </c>
      <c r="AV400">
        <f>IF($AR400="","",IF($AR400=0,$AS400*EXP($AT400*2),$AS400*(1+$AR400*$AT400*2)^(1/$AR400)))</f>
        <v/>
      </c>
      <c r="AW400">
        <f>IF($AR400="","",IF($AR400=0,$AS400*EXP($AT400*3),$AS400*(1+$AR400*$AT400*3)^(1/$AR400)))</f>
        <v/>
      </c>
      <c r="AX400">
        <f>IF($AR400="","",IF($AR400=0,$AS400*EXP($AT400*-2),$AS400*(1+$AR400*$AT400*-2)^(1/$AR400)))</f>
        <v/>
      </c>
      <c r="AY400">
        <f>IF($AR400="","",IF($AR400=0,$AS400*EXP($AT400*-3),$AS400*(1+$AR400*$AT400*-3)^(1/$AR400)))</f>
        <v/>
      </c>
      <c r="AZ400">
        <f>IF(OR($A400="",$A400&lt;&gt;Ficha!$C$4),"",COUNTIF($A$2:$A400,Ficha!$C$4))</f>
        <v/>
      </c>
    </row>
    <row r="401">
      <c r="A401" s="8">
        <f>IF(INDEX(Banco!$A:$A,ROW())="","",INDEX(Banco!$A:$A,ROW()))</f>
        <v/>
      </c>
      <c r="B401" s="8">
        <f>IF(INDEX(Banco!$B:$B,ROW())="","",INDEX(Banco!$B:$B,ROW()))</f>
        <v/>
      </c>
      <c r="C401" s="8">
        <f>IF(INDEX(Banco!$C:$C,ROW())="","",INDEX(Banco!$C:$C,ROW()))</f>
        <v/>
      </c>
      <c r="D401" s="9">
        <f>IF(INDEX(Banco!$D:$D,ROW())="","",INDEX(Banco!$D:$D,ROW()))</f>
        <v/>
      </c>
      <c r="E401" s="9">
        <f>IF(INDEX(Banco!$E:$E,ROW())="","",INDEX(Banco!$E:$E,ROW()))</f>
        <v/>
      </c>
      <c r="F401" s="10">
        <f>IF(INDEX(Banco!$F:$F,ROW())="","",INDEX(Banco!$F:$F,ROW()))</f>
        <v/>
      </c>
      <c r="G401" s="10">
        <f>IF(INDEX(Banco!$G:$G,ROW())="","",INDEX(Banco!$G:$G,ROW()))</f>
        <v/>
      </c>
      <c r="H401" s="8">
        <f>IF(INDEX(Banco!$H:$H,ROW())="","",INDEX(Banco!$H:$H,ROW()))</f>
        <v/>
      </c>
      <c r="I401">
        <f>IF($T401="","",INT($T401/12)&amp;"a "&amp;MOD($T401,12)&amp;"m")</f>
        <v/>
      </c>
      <c r="J401" s="11">
        <f>IF(OR($F401="",$G401=""),"",ROUND($F401/($G401/100)^2,2))</f>
        <v/>
      </c>
      <c r="K401" s="12">
        <f>IF(OR($S401="",$J401="",$T401="",$T401&lt;0,$T401&gt;228,$Y401=""),"—",ROUND(IF(ABS($AB401)&lt;=3,$AB401,IF($AB401&gt;3,3+($J401-$AD401)/($AD401-$AC401),-3+($J401-$AF401)/($AE401-$AF401))),2))</f>
        <v/>
      </c>
      <c r="L401">
        <f>IF(OR($K401="",$K401="—"),"",IF($T401&lt;=60,IF($K401&lt;-3,"Magreza acentuada",IF($K401&lt;-2,"Magreza",IF($K401&lt;=1,"Eutrofia",IF($K401&lt;=2,"Risco de sobrepeso",IF($K401&lt;=3,"Sobrepeso","Obesidade"))))),IF($K401&lt;-3,"Magreza acentuada",IF($K401&lt;-2,"Magreza",IF($K401&lt;=1,"Eutrofia",IF($K401&lt;=2,"Sobrepeso",IF($K401&lt;=3,"Obesidade","Obesidade grave")))))))</f>
        <v/>
      </c>
      <c r="M401" s="12">
        <f>IF(OR($S401="",$V401="",$T401="",$T401&lt;0,$T401&gt;228,$AG401=""),"—",ROUND(IF($AG401=0,LN($V401/$AH401)/$AI401,((($V401/$AH401)^$AG401)-1)/($AG401*$AI401)),2))</f>
        <v/>
      </c>
      <c r="N401">
        <f>IF(OR($M401="",$M401="—"),"",IF($M401&lt;-3,"Muito baixa",IF($M401&lt;-2,"Baixa","Adequada")))</f>
        <v/>
      </c>
      <c r="O401" s="12">
        <f>IF(OR($S401="",$F401="",$T401="",$T401&lt;0,$T401&gt;120,$AJ401=""),"—",ROUND(IF(ABS($AM401)&lt;=3,$AM401,IF($AM401&gt;3,3+($F401-$AO401)/($AO401-$AN401),-3+($F401-$AQ401)/($AP401-$AQ401))),2))</f>
        <v/>
      </c>
      <c r="P401">
        <f>IF(OR($O401="",$O401="—"),"",IF($O401&lt;-3,"Muito baixo",IF($O401&lt;-2,"Baixo",IF($O401&lt;=2,"Adequado","Elevado"))))</f>
        <v/>
      </c>
      <c r="Q401" s="12">
        <f>IF(OR($S401="",$F401="",$T401="",$T401&lt;0,$T401&gt;60,$AR401=""),"—",ROUND(IF(ABS($AU401)&lt;=3,$AU401,IF($AU401&gt;3,3+($F401-$AW401)/($AW401-$AV401),-3+($F401-$AY401)/($AX401-$AY401))),2))</f>
        <v/>
      </c>
      <c r="R401">
        <f>IF(OR($Q401="",$Q401="—"),"",IF($Q401&lt;-3,"Magreza acentuada",IF($Q401&lt;-2,"Magreza",IF($Q401&lt;=1,"Eutrofia",IF($Q401&lt;=2,"Risco de sobrepeso",IF($Q401&lt;=3,"Sobrepeso","Obesidade"))))))</f>
        <v/>
      </c>
      <c r="S401">
        <f>IF($C401="","",IF(UPPER(LEFT($C401,1))="M",1,IF(UPPER(LEFT($C401,1))="F",2,"")))</f>
        <v/>
      </c>
      <c r="T401">
        <f>IF(OR($D401="",$E401=""),"",DATEDIF($D401,$E401,"m"))</f>
        <v/>
      </c>
      <c r="U401">
        <f>IF(OR($D401="",$E401=""),"",$E401-$D401)</f>
        <v/>
      </c>
      <c r="V401">
        <f>IF(OR($G401="",$T401=""),"",IF($T401&lt;24,IF(LEFT(LOWER($H401),4)="em p",$G401+0.7,$G401),IF(LEFT(LOWER($H401),4)="deit",$G401-0.7,$G401)))</f>
        <v/>
      </c>
      <c r="W401">
        <f>IF(OR($S401="",$T401=""),"",$S401*1000000+IF($T401&lt;=60,$U401,$T401))</f>
        <v/>
      </c>
      <c r="X401">
        <f>IF(OR($S401="",$V401="",$T401&gt;60,$T401=""),"",$S401*1000000+ROUND($V401*10,0))</f>
        <v/>
      </c>
      <c r="Y401">
        <f>IF($W401="","",IFERROR(INDEX(IF($T401&lt;=60,imc05_l,imc519_l),MATCH($W401,IF($T401&lt;=60,imc05_k,imc519_k),1)),""))</f>
        <v/>
      </c>
      <c r="Z401">
        <f>IF($W401="","",IFERROR(INDEX(IF($T401&lt;=60,imc05_m,imc519_m),MATCH($W401,IF($T401&lt;=60,imc05_k,imc519_k),1)),""))</f>
        <v/>
      </c>
      <c r="AA401">
        <f>IF($W401="","",IFERROR(INDEX(IF($T401&lt;=60,imc05_s,imc519_s),MATCH($W401,IF($T401&lt;=60,imc05_k,imc519_k),1)),""))</f>
        <v/>
      </c>
      <c r="AB401">
        <f>IF($Y401="","",IF($Y401=0,LN($J401/$Z401)/$AA401,((($J401/$Z401)^$Y401)-1)/($Y401*$AA401)))</f>
        <v/>
      </c>
      <c r="AC401">
        <f>IF($Y401="","",IF($Y401=0,$Z401*EXP($AA401*2),$Z401*(1+$Y401*$AA401*2)^(1/$Y401)))</f>
        <v/>
      </c>
      <c r="AD401">
        <f>IF($Y401="","",IF($Y401=0,$Z401*EXP($AA401*3),$Z401*(1+$Y401*$AA401*3)^(1/$Y401)))</f>
        <v/>
      </c>
      <c r="AE401">
        <f>IF($Y401="","",IF($Y401=0,$Z401*EXP($AA401*-2),$Z401*(1+$Y401*$AA401*-2)^(1/$Y401)))</f>
        <v/>
      </c>
      <c r="AF401">
        <f>IF($Y401="","",IF($Y401=0,$Z401*EXP($AA401*-3),$Z401*(1+$Y401*$AA401*-3)^(1/$Y401)))</f>
        <v/>
      </c>
      <c r="AG401">
        <f>IF($W401="","",IFERROR(INDEX(IF($T401&lt;=60,est05_l,est519_l),MATCH($W401,IF($T401&lt;=60,est05_k,est519_k),1)),""))</f>
        <v/>
      </c>
      <c r="AH401">
        <f>IF($W401="","",IFERROR(INDEX(IF($T401&lt;=60,est05_m,est519_m),MATCH($W401,IF($T401&lt;=60,est05_k,est519_k),1)),""))</f>
        <v/>
      </c>
      <c r="AI401">
        <f>IF($W401="","",IFERROR(INDEX(IF($T401&lt;=60,est05_s,est519_s),MATCH($W401,IF($T401&lt;=60,est05_k,est519_k),1)),""))</f>
        <v/>
      </c>
      <c r="AJ401">
        <f>IF($W401="","",IFERROR(INDEX(IF($T401&lt;=60,peso05_l,peso510_l),MATCH($W401,IF($T401&lt;=60,peso05_k,peso510_k),1)),""))</f>
        <v/>
      </c>
      <c r="AK401">
        <f>IF($W401="","",IFERROR(INDEX(IF($T401&lt;=60,peso05_m,peso510_m),MATCH($W401,IF($T401&lt;=60,peso05_k,peso510_k),1)),""))</f>
        <v/>
      </c>
      <c r="AL401">
        <f>IF($W401="","",IFERROR(INDEX(IF($T401&lt;=60,peso05_s,peso510_s),MATCH($W401,IF($T401&lt;=60,peso05_k,peso510_k),1)),""))</f>
        <v/>
      </c>
      <c r="AM401">
        <f>IF($AJ401="","",IF($AJ401=0,LN($F401/$AK401)/$AL401,((($F401/$AK401)^$AJ401)-1)/($AJ401*$AL401)))</f>
        <v/>
      </c>
      <c r="AN401">
        <f>IF($AJ401="","",IF($AJ401=0,$AK401*EXP($AL401*2),$AK401*(1+$AJ401*$AL401*2)^(1/$AJ401)))</f>
        <v/>
      </c>
      <c r="AO401">
        <f>IF($AJ401="","",IF($AJ401=0,$AK401*EXP($AL401*3),$AK401*(1+$AJ401*$AL401*3)^(1/$AJ401)))</f>
        <v/>
      </c>
      <c r="AP401">
        <f>IF($AJ401="","",IF($AJ401=0,$AK401*EXP($AL401*-2),$AK401*(1+$AJ401*$AL401*-2)^(1/$AJ401)))</f>
        <v/>
      </c>
      <c r="AQ401">
        <f>IF($AJ401="","",IF($AJ401=0,$AK401*EXP($AL401*-3),$AK401*(1+$AJ401*$AL401*-3)^(1/$AJ401)))</f>
        <v/>
      </c>
      <c r="AR401">
        <f>IF(OR($X401="",$T401&gt;60),"",IFERROR(INDEX(IF($T401&lt;24,pcomp_l,palt_l),MATCH($X401,IF($T401&lt;24,pcomp_k,palt_k),1)),""))</f>
        <v/>
      </c>
      <c r="AS401">
        <f>IF(OR($X401="",$T401&gt;60),"",IFERROR(INDEX(IF($T401&lt;24,pcomp_m,palt_m),MATCH($X401,IF($T401&lt;24,pcomp_k,palt_k),1)),""))</f>
        <v/>
      </c>
      <c r="AT401">
        <f>IF(OR($X401="",$T401&gt;60),"",IFERROR(INDEX(IF($T401&lt;24,pcomp_s,palt_s),MATCH($X401,IF($T401&lt;24,pcomp_k,palt_k),1)),""))</f>
        <v/>
      </c>
      <c r="AU401">
        <f>IF($AR401="","",IF($AR401=0,LN($F401/$AS401)/$AT401,((($F401/$AS401)^$AR401)-1)/($AR401*$AT401)))</f>
        <v/>
      </c>
      <c r="AV401">
        <f>IF($AR401="","",IF($AR401=0,$AS401*EXP($AT401*2),$AS401*(1+$AR401*$AT401*2)^(1/$AR401)))</f>
        <v/>
      </c>
      <c r="AW401">
        <f>IF($AR401="","",IF($AR401=0,$AS401*EXP($AT401*3),$AS401*(1+$AR401*$AT401*3)^(1/$AR401)))</f>
        <v/>
      </c>
      <c r="AX401">
        <f>IF($AR401="","",IF($AR401=0,$AS401*EXP($AT401*-2),$AS401*(1+$AR401*$AT401*-2)^(1/$AR401)))</f>
        <v/>
      </c>
      <c r="AY401">
        <f>IF($AR401="","",IF($AR401=0,$AS401*EXP($AT401*-3),$AS401*(1+$AR401*$AT401*-3)^(1/$AR401)))</f>
        <v/>
      </c>
      <c r="AZ401">
        <f>IF(OR($A401="",$A401&lt;&gt;Ficha!$C$4),"",COUNTIF($A$2:$A401,Ficha!$C$4))</f>
        <v/>
      </c>
    </row>
    <row r="402">
      <c r="A402" s="8">
        <f>IF(INDEX(Banco!$A:$A,ROW())="","",INDEX(Banco!$A:$A,ROW()))</f>
        <v/>
      </c>
      <c r="B402" s="8">
        <f>IF(INDEX(Banco!$B:$B,ROW())="","",INDEX(Banco!$B:$B,ROW()))</f>
        <v/>
      </c>
      <c r="C402" s="8">
        <f>IF(INDEX(Banco!$C:$C,ROW())="","",INDEX(Banco!$C:$C,ROW()))</f>
        <v/>
      </c>
      <c r="D402" s="9">
        <f>IF(INDEX(Banco!$D:$D,ROW())="","",INDEX(Banco!$D:$D,ROW()))</f>
        <v/>
      </c>
      <c r="E402" s="9">
        <f>IF(INDEX(Banco!$E:$E,ROW())="","",INDEX(Banco!$E:$E,ROW()))</f>
        <v/>
      </c>
      <c r="F402" s="10">
        <f>IF(INDEX(Banco!$F:$F,ROW())="","",INDEX(Banco!$F:$F,ROW()))</f>
        <v/>
      </c>
      <c r="G402" s="10">
        <f>IF(INDEX(Banco!$G:$G,ROW())="","",INDEX(Banco!$G:$G,ROW()))</f>
        <v/>
      </c>
      <c r="H402" s="8">
        <f>IF(INDEX(Banco!$H:$H,ROW())="","",INDEX(Banco!$H:$H,ROW()))</f>
        <v/>
      </c>
      <c r="I402">
        <f>IF($T402="","",INT($T402/12)&amp;"a "&amp;MOD($T402,12)&amp;"m")</f>
        <v/>
      </c>
      <c r="J402" s="11">
        <f>IF(OR($F402="",$G402=""),"",ROUND($F402/($G402/100)^2,2))</f>
        <v/>
      </c>
      <c r="K402" s="12">
        <f>IF(OR($S402="",$J402="",$T402="",$T402&lt;0,$T402&gt;228,$Y402=""),"—",ROUND(IF(ABS($AB402)&lt;=3,$AB402,IF($AB402&gt;3,3+($J402-$AD402)/($AD402-$AC402),-3+($J402-$AF402)/($AE402-$AF402))),2))</f>
        <v/>
      </c>
      <c r="L402">
        <f>IF(OR($K402="",$K402="—"),"",IF($T402&lt;=60,IF($K402&lt;-3,"Magreza acentuada",IF($K402&lt;-2,"Magreza",IF($K402&lt;=1,"Eutrofia",IF($K402&lt;=2,"Risco de sobrepeso",IF($K402&lt;=3,"Sobrepeso","Obesidade"))))),IF($K402&lt;-3,"Magreza acentuada",IF($K402&lt;-2,"Magreza",IF($K402&lt;=1,"Eutrofia",IF($K402&lt;=2,"Sobrepeso",IF($K402&lt;=3,"Obesidade","Obesidade grave")))))))</f>
        <v/>
      </c>
      <c r="M402" s="12">
        <f>IF(OR($S402="",$V402="",$T402="",$T402&lt;0,$T402&gt;228,$AG402=""),"—",ROUND(IF($AG402=0,LN($V402/$AH402)/$AI402,((($V402/$AH402)^$AG402)-1)/($AG402*$AI402)),2))</f>
        <v/>
      </c>
      <c r="N402">
        <f>IF(OR($M402="",$M402="—"),"",IF($M402&lt;-3,"Muito baixa",IF($M402&lt;-2,"Baixa","Adequada")))</f>
        <v/>
      </c>
      <c r="O402" s="12">
        <f>IF(OR($S402="",$F402="",$T402="",$T402&lt;0,$T402&gt;120,$AJ402=""),"—",ROUND(IF(ABS($AM402)&lt;=3,$AM402,IF($AM402&gt;3,3+($F402-$AO402)/($AO402-$AN402),-3+($F402-$AQ402)/($AP402-$AQ402))),2))</f>
        <v/>
      </c>
      <c r="P402">
        <f>IF(OR($O402="",$O402="—"),"",IF($O402&lt;-3,"Muito baixo",IF($O402&lt;-2,"Baixo",IF($O402&lt;=2,"Adequado","Elevado"))))</f>
        <v/>
      </c>
      <c r="Q402" s="12">
        <f>IF(OR($S402="",$F402="",$T402="",$T402&lt;0,$T402&gt;60,$AR402=""),"—",ROUND(IF(ABS($AU402)&lt;=3,$AU402,IF($AU402&gt;3,3+($F402-$AW402)/($AW402-$AV402),-3+($F402-$AY402)/($AX402-$AY402))),2))</f>
        <v/>
      </c>
      <c r="R402">
        <f>IF(OR($Q402="",$Q402="—"),"",IF($Q402&lt;-3,"Magreza acentuada",IF($Q402&lt;-2,"Magreza",IF($Q402&lt;=1,"Eutrofia",IF($Q402&lt;=2,"Risco de sobrepeso",IF($Q402&lt;=3,"Sobrepeso","Obesidade"))))))</f>
        <v/>
      </c>
      <c r="S402">
        <f>IF($C402="","",IF(UPPER(LEFT($C402,1))="M",1,IF(UPPER(LEFT($C402,1))="F",2,"")))</f>
        <v/>
      </c>
      <c r="T402">
        <f>IF(OR($D402="",$E402=""),"",DATEDIF($D402,$E402,"m"))</f>
        <v/>
      </c>
      <c r="U402">
        <f>IF(OR($D402="",$E402=""),"",$E402-$D402)</f>
        <v/>
      </c>
      <c r="V402">
        <f>IF(OR($G402="",$T402=""),"",IF($T402&lt;24,IF(LEFT(LOWER($H402),4)="em p",$G402+0.7,$G402),IF(LEFT(LOWER($H402),4)="deit",$G402-0.7,$G402)))</f>
        <v/>
      </c>
      <c r="W402">
        <f>IF(OR($S402="",$T402=""),"",$S402*1000000+IF($T402&lt;=60,$U402,$T402))</f>
        <v/>
      </c>
      <c r="X402">
        <f>IF(OR($S402="",$V402="",$T402&gt;60,$T402=""),"",$S402*1000000+ROUND($V402*10,0))</f>
        <v/>
      </c>
      <c r="Y402">
        <f>IF($W402="","",IFERROR(INDEX(IF($T402&lt;=60,imc05_l,imc519_l),MATCH($W402,IF($T402&lt;=60,imc05_k,imc519_k),1)),""))</f>
        <v/>
      </c>
      <c r="Z402">
        <f>IF($W402="","",IFERROR(INDEX(IF($T402&lt;=60,imc05_m,imc519_m),MATCH($W402,IF($T402&lt;=60,imc05_k,imc519_k),1)),""))</f>
        <v/>
      </c>
      <c r="AA402">
        <f>IF($W402="","",IFERROR(INDEX(IF($T402&lt;=60,imc05_s,imc519_s),MATCH($W402,IF($T402&lt;=60,imc05_k,imc519_k),1)),""))</f>
        <v/>
      </c>
      <c r="AB402">
        <f>IF($Y402="","",IF($Y402=0,LN($J402/$Z402)/$AA402,((($J402/$Z402)^$Y402)-1)/($Y402*$AA402)))</f>
        <v/>
      </c>
      <c r="AC402">
        <f>IF($Y402="","",IF($Y402=0,$Z402*EXP($AA402*2),$Z402*(1+$Y402*$AA402*2)^(1/$Y402)))</f>
        <v/>
      </c>
      <c r="AD402">
        <f>IF($Y402="","",IF($Y402=0,$Z402*EXP($AA402*3),$Z402*(1+$Y402*$AA402*3)^(1/$Y402)))</f>
        <v/>
      </c>
      <c r="AE402">
        <f>IF($Y402="","",IF($Y402=0,$Z402*EXP($AA402*-2),$Z402*(1+$Y402*$AA402*-2)^(1/$Y402)))</f>
        <v/>
      </c>
      <c r="AF402">
        <f>IF($Y402="","",IF($Y402=0,$Z402*EXP($AA402*-3),$Z402*(1+$Y402*$AA402*-3)^(1/$Y402)))</f>
        <v/>
      </c>
      <c r="AG402">
        <f>IF($W402="","",IFERROR(INDEX(IF($T402&lt;=60,est05_l,est519_l),MATCH($W402,IF($T402&lt;=60,est05_k,est519_k),1)),""))</f>
        <v/>
      </c>
      <c r="AH402">
        <f>IF($W402="","",IFERROR(INDEX(IF($T402&lt;=60,est05_m,est519_m),MATCH($W402,IF($T402&lt;=60,est05_k,est519_k),1)),""))</f>
        <v/>
      </c>
      <c r="AI402">
        <f>IF($W402="","",IFERROR(INDEX(IF($T402&lt;=60,est05_s,est519_s),MATCH($W402,IF($T402&lt;=60,est05_k,est519_k),1)),""))</f>
        <v/>
      </c>
      <c r="AJ402">
        <f>IF($W402="","",IFERROR(INDEX(IF($T402&lt;=60,peso05_l,peso510_l),MATCH($W402,IF($T402&lt;=60,peso05_k,peso510_k),1)),""))</f>
        <v/>
      </c>
      <c r="AK402">
        <f>IF($W402="","",IFERROR(INDEX(IF($T402&lt;=60,peso05_m,peso510_m),MATCH($W402,IF($T402&lt;=60,peso05_k,peso510_k),1)),""))</f>
        <v/>
      </c>
      <c r="AL402">
        <f>IF($W402="","",IFERROR(INDEX(IF($T402&lt;=60,peso05_s,peso510_s),MATCH($W402,IF($T402&lt;=60,peso05_k,peso510_k),1)),""))</f>
        <v/>
      </c>
      <c r="AM402">
        <f>IF($AJ402="","",IF($AJ402=0,LN($F402/$AK402)/$AL402,((($F402/$AK402)^$AJ402)-1)/($AJ402*$AL402)))</f>
        <v/>
      </c>
      <c r="AN402">
        <f>IF($AJ402="","",IF($AJ402=0,$AK402*EXP($AL402*2),$AK402*(1+$AJ402*$AL402*2)^(1/$AJ402)))</f>
        <v/>
      </c>
      <c r="AO402">
        <f>IF($AJ402="","",IF($AJ402=0,$AK402*EXP($AL402*3),$AK402*(1+$AJ402*$AL402*3)^(1/$AJ402)))</f>
        <v/>
      </c>
      <c r="AP402">
        <f>IF($AJ402="","",IF($AJ402=0,$AK402*EXP($AL402*-2),$AK402*(1+$AJ402*$AL402*-2)^(1/$AJ402)))</f>
        <v/>
      </c>
      <c r="AQ402">
        <f>IF($AJ402="","",IF($AJ402=0,$AK402*EXP($AL402*-3),$AK402*(1+$AJ402*$AL402*-3)^(1/$AJ402)))</f>
        <v/>
      </c>
      <c r="AR402">
        <f>IF(OR($X402="",$T402&gt;60),"",IFERROR(INDEX(IF($T402&lt;24,pcomp_l,palt_l),MATCH($X402,IF($T402&lt;24,pcomp_k,palt_k),1)),""))</f>
        <v/>
      </c>
      <c r="AS402">
        <f>IF(OR($X402="",$T402&gt;60),"",IFERROR(INDEX(IF($T402&lt;24,pcomp_m,palt_m),MATCH($X402,IF($T402&lt;24,pcomp_k,palt_k),1)),""))</f>
        <v/>
      </c>
      <c r="AT402">
        <f>IF(OR($X402="",$T402&gt;60),"",IFERROR(INDEX(IF($T402&lt;24,pcomp_s,palt_s),MATCH($X402,IF($T402&lt;24,pcomp_k,palt_k),1)),""))</f>
        <v/>
      </c>
      <c r="AU402">
        <f>IF($AR402="","",IF($AR402=0,LN($F402/$AS402)/$AT402,((($F402/$AS402)^$AR402)-1)/($AR402*$AT402)))</f>
        <v/>
      </c>
      <c r="AV402">
        <f>IF($AR402="","",IF($AR402=0,$AS402*EXP($AT402*2),$AS402*(1+$AR402*$AT402*2)^(1/$AR402)))</f>
        <v/>
      </c>
      <c r="AW402">
        <f>IF($AR402="","",IF($AR402=0,$AS402*EXP($AT402*3),$AS402*(1+$AR402*$AT402*3)^(1/$AR402)))</f>
        <v/>
      </c>
      <c r="AX402">
        <f>IF($AR402="","",IF($AR402=0,$AS402*EXP($AT402*-2),$AS402*(1+$AR402*$AT402*-2)^(1/$AR402)))</f>
        <v/>
      </c>
      <c r="AY402">
        <f>IF($AR402="","",IF($AR402=0,$AS402*EXP($AT402*-3),$AS402*(1+$AR402*$AT402*-3)^(1/$AR402)))</f>
        <v/>
      </c>
      <c r="AZ402">
        <f>IF(OR($A402="",$A402&lt;&gt;Ficha!$C$4),"",COUNTIF($A$2:$A402,Ficha!$C$4))</f>
        <v/>
      </c>
    </row>
    <row r="403">
      <c r="A403" s="8">
        <f>IF(INDEX(Banco!$A:$A,ROW())="","",INDEX(Banco!$A:$A,ROW()))</f>
        <v/>
      </c>
      <c r="B403" s="8">
        <f>IF(INDEX(Banco!$B:$B,ROW())="","",INDEX(Banco!$B:$B,ROW()))</f>
        <v/>
      </c>
      <c r="C403" s="8">
        <f>IF(INDEX(Banco!$C:$C,ROW())="","",INDEX(Banco!$C:$C,ROW()))</f>
        <v/>
      </c>
      <c r="D403" s="9">
        <f>IF(INDEX(Banco!$D:$D,ROW())="","",INDEX(Banco!$D:$D,ROW()))</f>
        <v/>
      </c>
      <c r="E403" s="9">
        <f>IF(INDEX(Banco!$E:$E,ROW())="","",INDEX(Banco!$E:$E,ROW()))</f>
        <v/>
      </c>
      <c r="F403" s="10">
        <f>IF(INDEX(Banco!$F:$F,ROW())="","",INDEX(Banco!$F:$F,ROW()))</f>
        <v/>
      </c>
      <c r="G403" s="10">
        <f>IF(INDEX(Banco!$G:$G,ROW())="","",INDEX(Banco!$G:$G,ROW()))</f>
        <v/>
      </c>
      <c r="H403" s="8">
        <f>IF(INDEX(Banco!$H:$H,ROW())="","",INDEX(Banco!$H:$H,ROW()))</f>
        <v/>
      </c>
      <c r="I403">
        <f>IF($T403="","",INT($T403/12)&amp;"a "&amp;MOD($T403,12)&amp;"m")</f>
        <v/>
      </c>
      <c r="J403" s="11">
        <f>IF(OR($F403="",$G403=""),"",ROUND($F403/($G403/100)^2,2))</f>
        <v/>
      </c>
      <c r="K403" s="12">
        <f>IF(OR($S403="",$J403="",$T403="",$T403&lt;0,$T403&gt;228,$Y403=""),"—",ROUND(IF(ABS($AB403)&lt;=3,$AB403,IF($AB403&gt;3,3+($J403-$AD403)/($AD403-$AC403),-3+($J403-$AF403)/($AE403-$AF403))),2))</f>
        <v/>
      </c>
      <c r="L403">
        <f>IF(OR($K403="",$K403="—"),"",IF($T403&lt;=60,IF($K403&lt;-3,"Magreza acentuada",IF($K403&lt;-2,"Magreza",IF($K403&lt;=1,"Eutrofia",IF($K403&lt;=2,"Risco de sobrepeso",IF($K403&lt;=3,"Sobrepeso","Obesidade"))))),IF($K403&lt;-3,"Magreza acentuada",IF($K403&lt;-2,"Magreza",IF($K403&lt;=1,"Eutrofia",IF($K403&lt;=2,"Sobrepeso",IF($K403&lt;=3,"Obesidade","Obesidade grave")))))))</f>
        <v/>
      </c>
      <c r="M403" s="12">
        <f>IF(OR($S403="",$V403="",$T403="",$T403&lt;0,$T403&gt;228,$AG403=""),"—",ROUND(IF($AG403=0,LN($V403/$AH403)/$AI403,((($V403/$AH403)^$AG403)-1)/($AG403*$AI403)),2))</f>
        <v/>
      </c>
      <c r="N403">
        <f>IF(OR($M403="",$M403="—"),"",IF($M403&lt;-3,"Muito baixa",IF($M403&lt;-2,"Baixa","Adequada")))</f>
        <v/>
      </c>
      <c r="O403" s="12">
        <f>IF(OR($S403="",$F403="",$T403="",$T403&lt;0,$T403&gt;120,$AJ403=""),"—",ROUND(IF(ABS($AM403)&lt;=3,$AM403,IF($AM403&gt;3,3+($F403-$AO403)/($AO403-$AN403),-3+($F403-$AQ403)/($AP403-$AQ403))),2))</f>
        <v/>
      </c>
      <c r="P403">
        <f>IF(OR($O403="",$O403="—"),"",IF($O403&lt;-3,"Muito baixo",IF($O403&lt;-2,"Baixo",IF($O403&lt;=2,"Adequado","Elevado"))))</f>
        <v/>
      </c>
      <c r="Q403" s="12">
        <f>IF(OR($S403="",$F403="",$T403="",$T403&lt;0,$T403&gt;60,$AR403=""),"—",ROUND(IF(ABS($AU403)&lt;=3,$AU403,IF($AU403&gt;3,3+($F403-$AW403)/($AW403-$AV403),-3+($F403-$AY403)/($AX403-$AY403))),2))</f>
        <v/>
      </c>
      <c r="R403">
        <f>IF(OR($Q403="",$Q403="—"),"",IF($Q403&lt;-3,"Magreza acentuada",IF($Q403&lt;-2,"Magreza",IF($Q403&lt;=1,"Eutrofia",IF($Q403&lt;=2,"Risco de sobrepeso",IF($Q403&lt;=3,"Sobrepeso","Obesidade"))))))</f>
        <v/>
      </c>
      <c r="S403">
        <f>IF($C403="","",IF(UPPER(LEFT($C403,1))="M",1,IF(UPPER(LEFT($C403,1))="F",2,"")))</f>
        <v/>
      </c>
      <c r="T403">
        <f>IF(OR($D403="",$E403=""),"",DATEDIF($D403,$E403,"m"))</f>
        <v/>
      </c>
      <c r="U403">
        <f>IF(OR($D403="",$E403=""),"",$E403-$D403)</f>
        <v/>
      </c>
      <c r="V403">
        <f>IF(OR($G403="",$T403=""),"",IF($T403&lt;24,IF(LEFT(LOWER($H403),4)="em p",$G403+0.7,$G403),IF(LEFT(LOWER($H403),4)="deit",$G403-0.7,$G403)))</f>
        <v/>
      </c>
      <c r="W403">
        <f>IF(OR($S403="",$T403=""),"",$S403*1000000+IF($T403&lt;=60,$U403,$T403))</f>
        <v/>
      </c>
      <c r="X403">
        <f>IF(OR($S403="",$V403="",$T403&gt;60,$T403=""),"",$S403*1000000+ROUND($V403*10,0))</f>
        <v/>
      </c>
      <c r="Y403">
        <f>IF($W403="","",IFERROR(INDEX(IF($T403&lt;=60,imc05_l,imc519_l),MATCH($W403,IF($T403&lt;=60,imc05_k,imc519_k),1)),""))</f>
        <v/>
      </c>
      <c r="Z403">
        <f>IF($W403="","",IFERROR(INDEX(IF($T403&lt;=60,imc05_m,imc519_m),MATCH($W403,IF($T403&lt;=60,imc05_k,imc519_k),1)),""))</f>
        <v/>
      </c>
      <c r="AA403">
        <f>IF($W403="","",IFERROR(INDEX(IF($T403&lt;=60,imc05_s,imc519_s),MATCH($W403,IF($T403&lt;=60,imc05_k,imc519_k),1)),""))</f>
        <v/>
      </c>
      <c r="AB403">
        <f>IF($Y403="","",IF($Y403=0,LN($J403/$Z403)/$AA403,((($J403/$Z403)^$Y403)-1)/($Y403*$AA403)))</f>
        <v/>
      </c>
      <c r="AC403">
        <f>IF($Y403="","",IF($Y403=0,$Z403*EXP($AA403*2),$Z403*(1+$Y403*$AA403*2)^(1/$Y403)))</f>
        <v/>
      </c>
      <c r="AD403">
        <f>IF($Y403="","",IF($Y403=0,$Z403*EXP($AA403*3),$Z403*(1+$Y403*$AA403*3)^(1/$Y403)))</f>
        <v/>
      </c>
      <c r="AE403">
        <f>IF($Y403="","",IF($Y403=0,$Z403*EXP($AA403*-2),$Z403*(1+$Y403*$AA403*-2)^(1/$Y403)))</f>
        <v/>
      </c>
      <c r="AF403">
        <f>IF($Y403="","",IF($Y403=0,$Z403*EXP($AA403*-3),$Z403*(1+$Y403*$AA403*-3)^(1/$Y403)))</f>
        <v/>
      </c>
      <c r="AG403">
        <f>IF($W403="","",IFERROR(INDEX(IF($T403&lt;=60,est05_l,est519_l),MATCH($W403,IF($T403&lt;=60,est05_k,est519_k),1)),""))</f>
        <v/>
      </c>
      <c r="AH403">
        <f>IF($W403="","",IFERROR(INDEX(IF($T403&lt;=60,est05_m,est519_m),MATCH($W403,IF($T403&lt;=60,est05_k,est519_k),1)),""))</f>
        <v/>
      </c>
      <c r="AI403">
        <f>IF($W403="","",IFERROR(INDEX(IF($T403&lt;=60,est05_s,est519_s),MATCH($W403,IF($T403&lt;=60,est05_k,est519_k),1)),""))</f>
        <v/>
      </c>
      <c r="AJ403">
        <f>IF($W403="","",IFERROR(INDEX(IF($T403&lt;=60,peso05_l,peso510_l),MATCH($W403,IF($T403&lt;=60,peso05_k,peso510_k),1)),""))</f>
        <v/>
      </c>
      <c r="AK403">
        <f>IF($W403="","",IFERROR(INDEX(IF($T403&lt;=60,peso05_m,peso510_m),MATCH($W403,IF($T403&lt;=60,peso05_k,peso510_k),1)),""))</f>
        <v/>
      </c>
      <c r="AL403">
        <f>IF($W403="","",IFERROR(INDEX(IF($T403&lt;=60,peso05_s,peso510_s),MATCH($W403,IF($T403&lt;=60,peso05_k,peso510_k),1)),""))</f>
        <v/>
      </c>
      <c r="AM403">
        <f>IF($AJ403="","",IF($AJ403=0,LN($F403/$AK403)/$AL403,((($F403/$AK403)^$AJ403)-1)/($AJ403*$AL403)))</f>
        <v/>
      </c>
      <c r="AN403">
        <f>IF($AJ403="","",IF($AJ403=0,$AK403*EXP($AL403*2),$AK403*(1+$AJ403*$AL403*2)^(1/$AJ403)))</f>
        <v/>
      </c>
      <c r="AO403">
        <f>IF($AJ403="","",IF($AJ403=0,$AK403*EXP($AL403*3),$AK403*(1+$AJ403*$AL403*3)^(1/$AJ403)))</f>
        <v/>
      </c>
      <c r="AP403">
        <f>IF($AJ403="","",IF($AJ403=0,$AK403*EXP($AL403*-2),$AK403*(1+$AJ403*$AL403*-2)^(1/$AJ403)))</f>
        <v/>
      </c>
      <c r="AQ403">
        <f>IF($AJ403="","",IF($AJ403=0,$AK403*EXP($AL403*-3),$AK403*(1+$AJ403*$AL403*-3)^(1/$AJ403)))</f>
        <v/>
      </c>
      <c r="AR403">
        <f>IF(OR($X403="",$T403&gt;60),"",IFERROR(INDEX(IF($T403&lt;24,pcomp_l,palt_l),MATCH($X403,IF($T403&lt;24,pcomp_k,palt_k),1)),""))</f>
        <v/>
      </c>
      <c r="AS403">
        <f>IF(OR($X403="",$T403&gt;60),"",IFERROR(INDEX(IF($T403&lt;24,pcomp_m,palt_m),MATCH($X403,IF($T403&lt;24,pcomp_k,palt_k),1)),""))</f>
        <v/>
      </c>
      <c r="AT403">
        <f>IF(OR($X403="",$T403&gt;60),"",IFERROR(INDEX(IF($T403&lt;24,pcomp_s,palt_s),MATCH($X403,IF($T403&lt;24,pcomp_k,palt_k),1)),""))</f>
        <v/>
      </c>
      <c r="AU403">
        <f>IF($AR403="","",IF($AR403=0,LN($F403/$AS403)/$AT403,((($F403/$AS403)^$AR403)-1)/($AR403*$AT403)))</f>
        <v/>
      </c>
      <c r="AV403">
        <f>IF($AR403="","",IF($AR403=0,$AS403*EXP($AT403*2),$AS403*(1+$AR403*$AT403*2)^(1/$AR403)))</f>
        <v/>
      </c>
      <c r="AW403">
        <f>IF($AR403="","",IF($AR403=0,$AS403*EXP($AT403*3),$AS403*(1+$AR403*$AT403*3)^(1/$AR403)))</f>
        <v/>
      </c>
      <c r="AX403">
        <f>IF($AR403="","",IF($AR403=0,$AS403*EXP($AT403*-2),$AS403*(1+$AR403*$AT403*-2)^(1/$AR403)))</f>
        <v/>
      </c>
      <c r="AY403">
        <f>IF($AR403="","",IF($AR403=0,$AS403*EXP($AT403*-3),$AS403*(1+$AR403*$AT403*-3)^(1/$AR403)))</f>
        <v/>
      </c>
      <c r="AZ403">
        <f>IF(OR($A403="",$A403&lt;&gt;Ficha!$C$4),"",COUNTIF($A$2:$A403,Ficha!$C$4))</f>
        <v/>
      </c>
    </row>
    <row r="404">
      <c r="A404" s="8">
        <f>IF(INDEX(Banco!$A:$A,ROW())="","",INDEX(Banco!$A:$A,ROW()))</f>
        <v/>
      </c>
      <c r="B404" s="8">
        <f>IF(INDEX(Banco!$B:$B,ROW())="","",INDEX(Banco!$B:$B,ROW()))</f>
        <v/>
      </c>
      <c r="C404" s="8">
        <f>IF(INDEX(Banco!$C:$C,ROW())="","",INDEX(Banco!$C:$C,ROW()))</f>
        <v/>
      </c>
      <c r="D404" s="9">
        <f>IF(INDEX(Banco!$D:$D,ROW())="","",INDEX(Banco!$D:$D,ROW()))</f>
        <v/>
      </c>
      <c r="E404" s="9">
        <f>IF(INDEX(Banco!$E:$E,ROW())="","",INDEX(Banco!$E:$E,ROW()))</f>
        <v/>
      </c>
      <c r="F404" s="10">
        <f>IF(INDEX(Banco!$F:$F,ROW())="","",INDEX(Banco!$F:$F,ROW()))</f>
        <v/>
      </c>
      <c r="G404" s="10">
        <f>IF(INDEX(Banco!$G:$G,ROW())="","",INDEX(Banco!$G:$G,ROW()))</f>
        <v/>
      </c>
      <c r="H404" s="8">
        <f>IF(INDEX(Banco!$H:$H,ROW())="","",INDEX(Banco!$H:$H,ROW()))</f>
        <v/>
      </c>
      <c r="I404">
        <f>IF($T404="","",INT($T404/12)&amp;"a "&amp;MOD($T404,12)&amp;"m")</f>
        <v/>
      </c>
      <c r="J404" s="11">
        <f>IF(OR($F404="",$G404=""),"",ROUND($F404/($G404/100)^2,2))</f>
        <v/>
      </c>
      <c r="K404" s="12">
        <f>IF(OR($S404="",$J404="",$T404="",$T404&lt;0,$T404&gt;228,$Y404=""),"—",ROUND(IF(ABS($AB404)&lt;=3,$AB404,IF($AB404&gt;3,3+($J404-$AD404)/($AD404-$AC404),-3+($J404-$AF404)/($AE404-$AF404))),2))</f>
        <v/>
      </c>
      <c r="L404">
        <f>IF(OR($K404="",$K404="—"),"",IF($T404&lt;=60,IF($K404&lt;-3,"Magreza acentuada",IF($K404&lt;-2,"Magreza",IF($K404&lt;=1,"Eutrofia",IF($K404&lt;=2,"Risco de sobrepeso",IF($K404&lt;=3,"Sobrepeso","Obesidade"))))),IF($K404&lt;-3,"Magreza acentuada",IF($K404&lt;-2,"Magreza",IF($K404&lt;=1,"Eutrofia",IF($K404&lt;=2,"Sobrepeso",IF($K404&lt;=3,"Obesidade","Obesidade grave")))))))</f>
        <v/>
      </c>
      <c r="M404" s="12">
        <f>IF(OR($S404="",$V404="",$T404="",$T404&lt;0,$T404&gt;228,$AG404=""),"—",ROUND(IF($AG404=0,LN($V404/$AH404)/$AI404,((($V404/$AH404)^$AG404)-1)/($AG404*$AI404)),2))</f>
        <v/>
      </c>
      <c r="N404">
        <f>IF(OR($M404="",$M404="—"),"",IF($M404&lt;-3,"Muito baixa",IF($M404&lt;-2,"Baixa","Adequada")))</f>
        <v/>
      </c>
      <c r="O404" s="12">
        <f>IF(OR($S404="",$F404="",$T404="",$T404&lt;0,$T404&gt;120,$AJ404=""),"—",ROUND(IF(ABS($AM404)&lt;=3,$AM404,IF($AM404&gt;3,3+($F404-$AO404)/($AO404-$AN404),-3+($F404-$AQ404)/($AP404-$AQ404))),2))</f>
        <v/>
      </c>
      <c r="P404">
        <f>IF(OR($O404="",$O404="—"),"",IF($O404&lt;-3,"Muito baixo",IF($O404&lt;-2,"Baixo",IF($O404&lt;=2,"Adequado","Elevado"))))</f>
        <v/>
      </c>
      <c r="Q404" s="12">
        <f>IF(OR($S404="",$F404="",$T404="",$T404&lt;0,$T404&gt;60,$AR404=""),"—",ROUND(IF(ABS($AU404)&lt;=3,$AU404,IF($AU404&gt;3,3+($F404-$AW404)/($AW404-$AV404),-3+($F404-$AY404)/($AX404-$AY404))),2))</f>
        <v/>
      </c>
      <c r="R404">
        <f>IF(OR($Q404="",$Q404="—"),"",IF($Q404&lt;-3,"Magreza acentuada",IF($Q404&lt;-2,"Magreza",IF($Q404&lt;=1,"Eutrofia",IF($Q404&lt;=2,"Risco de sobrepeso",IF($Q404&lt;=3,"Sobrepeso","Obesidade"))))))</f>
        <v/>
      </c>
      <c r="S404">
        <f>IF($C404="","",IF(UPPER(LEFT($C404,1))="M",1,IF(UPPER(LEFT($C404,1))="F",2,"")))</f>
        <v/>
      </c>
      <c r="T404">
        <f>IF(OR($D404="",$E404=""),"",DATEDIF($D404,$E404,"m"))</f>
        <v/>
      </c>
      <c r="U404">
        <f>IF(OR($D404="",$E404=""),"",$E404-$D404)</f>
        <v/>
      </c>
      <c r="V404">
        <f>IF(OR($G404="",$T404=""),"",IF($T404&lt;24,IF(LEFT(LOWER($H404),4)="em p",$G404+0.7,$G404),IF(LEFT(LOWER($H404),4)="deit",$G404-0.7,$G404)))</f>
        <v/>
      </c>
      <c r="W404">
        <f>IF(OR($S404="",$T404=""),"",$S404*1000000+IF($T404&lt;=60,$U404,$T404))</f>
        <v/>
      </c>
      <c r="X404">
        <f>IF(OR($S404="",$V404="",$T404&gt;60,$T404=""),"",$S404*1000000+ROUND($V404*10,0))</f>
        <v/>
      </c>
      <c r="Y404">
        <f>IF($W404="","",IFERROR(INDEX(IF($T404&lt;=60,imc05_l,imc519_l),MATCH($W404,IF($T404&lt;=60,imc05_k,imc519_k),1)),""))</f>
        <v/>
      </c>
      <c r="Z404">
        <f>IF($W404="","",IFERROR(INDEX(IF($T404&lt;=60,imc05_m,imc519_m),MATCH($W404,IF($T404&lt;=60,imc05_k,imc519_k),1)),""))</f>
        <v/>
      </c>
      <c r="AA404">
        <f>IF($W404="","",IFERROR(INDEX(IF($T404&lt;=60,imc05_s,imc519_s),MATCH($W404,IF($T404&lt;=60,imc05_k,imc519_k),1)),""))</f>
        <v/>
      </c>
      <c r="AB404">
        <f>IF($Y404="","",IF($Y404=0,LN($J404/$Z404)/$AA404,((($J404/$Z404)^$Y404)-1)/($Y404*$AA404)))</f>
        <v/>
      </c>
      <c r="AC404">
        <f>IF($Y404="","",IF($Y404=0,$Z404*EXP($AA404*2),$Z404*(1+$Y404*$AA404*2)^(1/$Y404)))</f>
        <v/>
      </c>
      <c r="AD404">
        <f>IF($Y404="","",IF($Y404=0,$Z404*EXP($AA404*3),$Z404*(1+$Y404*$AA404*3)^(1/$Y404)))</f>
        <v/>
      </c>
      <c r="AE404">
        <f>IF($Y404="","",IF($Y404=0,$Z404*EXP($AA404*-2),$Z404*(1+$Y404*$AA404*-2)^(1/$Y404)))</f>
        <v/>
      </c>
      <c r="AF404">
        <f>IF($Y404="","",IF($Y404=0,$Z404*EXP($AA404*-3),$Z404*(1+$Y404*$AA404*-3)^(1/$Y404)))</f>
        <v/>
      </c>
      <c r="AG404">
        <f>IF($W404="","",IFERROR(INDEX(IF($T404&lt;=60,est05_l,est519_l),MATCH($W404,IF($T404&lt;=60,est05_k,est519_k),1)),""))</f>
        <v/>
      </c>
      <c r="AH404">
        <f>IF($W404="","",IFERROR(INDEX(IF($T404&lt;=60,est05_m,est519_m),MATCH($W404,IF($T404&lt;=60,est05_k,est519_k),1)),""))</f>
        <v/>
      </c>
      <c r="AI404">
        <f>IF($W404="","",IFERROR(INDEX(IF($T404&lt;=60,est05_s,est519_s),MATCH($W404,IF($T404&lt;=60,est05_k,est519_k),1)),""))</f>
        <v/>
      </c>
      <c r="AJ404">
        <f>IF($W404="","",IFERROR(INDEX(IF($T404&lt;=60,peso05_l,peso510_l),MATCH($W404,IF($T404&lt;=60,peso05_k,peso510_k),1)),""))</f>
        <v/>
      </c>
      <c r="AK404">
        <f>IF($W404="","",IFERROR(INDEX(IF($T404&lt;=60,peso05_m,peso510_m),MATCH($W404,IF($T404&lt;=60,peso05_k,peso510_k),1)),""))</f>
        <v/>
      </c>
      <c r="AL404">
        <f>IF($W404="","",IFERROR(INDEX(IF($T404&lt;=60,peso05_s,peso510_s),MATCH($W404,IF($T404&lt;=60,peso05_k,peso510_k),1)),""))</f>
        <v/>
      </c>
      <c r="AM404">
        <f>IF($AJ404="","",IF($AJ404=0,LN($F404/$AK404)/$AL404,((($F404/$AK404)^$AJ404)-1)/($AJ404*$AL404)))</f>
        <v/>
      </c>
      <c r="AN404">
        <f>IF($AJ404="","",IF($AJ404=0,$AK404*EXP($AL404*2),$AK404*(1+$AJ404*$AL404*2)^(1/$AJ404)))</f>
        <v/>
      </c>
      <c r="AO404">
        <f>IF($AJ404="","",IF($AJ404=0,$AK404*EXP($AL404*3),$AK404*(1+$AJ404*$AL404*3)^(1/$AJ404)))</f>
        <v/>
      </c>
      <c r="AP404">
        <f>IF($AJ404="","",IF($AJ404=0,$AK404*EXP($AL404*-2),$AK404*(1+$AJ404*$AL404*-2)^(1/$AJ404)))</f>
        <v/>
      </c>
      <c r="AQ404">
        <f>IF($AJ404="","",IF($AJ404=0,$AK404*EXP($AL404*-3),$AK404*(1+$AJ404*$AL404*-3)^(1/$AJ404)))</f>
        <v/>
      </c>
      <c r="AR404">
        <f>IF(OR($X404="",$T404&gt;60),"",IFERROR(INDEX(IF($T404&lt;24,pcomp_l,palt_l),MATCH($X404,IF($T404&lt;24,pcomp_k,palt_k),1)),""))</f>
        <v/>
      </c>
      <c r="AS404">
        <f>IF(OR($X404="",$T404&gt;60),"",IFERROR(INDEX(IF($T404&lt;24,pcomp_m,palt_m),MATCH($X404,IF($T404&lt;24,pcomp_k,palt_k),1)),""))</f>
        <v/>
      </c>
      <c r="AT404">
        <f>IF(OR($X404="",$T404&gt;60),"",IFERROR(INDEX(IF($T404&lt;24,pcomp_s,palt_s),MATCH($X404,IF($T404&lt;24,pcomp_k,palt_k),1)),""))</f>
        <v/>
      </c>
      <c r="AU404">
        <f>IF($AR404="","",IF($AR404=0,LN($F404/$AS404)/$AT404,((($F404/$AS404)^$AR404)-1)/($AR404*$AT404)))</f>
        <v/>
      </c>
      <c r="AV404">
        <f>IF($AR404="","",IF($AR404=0,$AS404*EXP($AT404*2),$AS404*(1+$AR404*$AT404*2)^(1/$AR404)))</f>
        <v/>
      </c>
      <c r="AW404">
        <f>IF($AR404="","",IF($AR404=0,$AS404*EXP($AT404*3),$AS404*(1+$AR404*$AT404*3)^(1/$AR404)))</f>
        <v/>
      </c>
      <c r="AX404">
        <f>IF($AR404="","",IF($AR404=0,$AS404*EXP($AT404*-2),$AS404*(1+$AR404*$AT404*-2)^(1/$AR404)))</f>
        <v/>
      </c>
      <c r="AY404">
        <f>IF($AR404="","",IF($AR404=0,$AS404*EXP($AT404*-3),$AS404*(1+$AR404*$AT404*-3)^(1/$AR404)))</f>
        <v/>
      </c>
      <c r="AZ404">
        <f>IF(OR($A404="",$A404&lt;&gt;Ficha!$C$4),"",COUNTIF($A$2:$A404,Ficha!$C$4))</f>
        <v/>
      </c>
    </row>
    <row r="405">
      <c r="A405" s="8">
        <f>IF(INDEX(Banco!$A:$A,ROW())="","",INDEX(Banco!$A:$A,ROW()))</f>
        <v/>
      </c>
      <c r="B405" s="8">
        <f>IF(INDEX(Banco!$B:$B,ROW())="","",INDEX(Banco!$B:$B,ROW()))</f>
        <v/>
      </c>
      <c r="C405" s="8">
        <f>IF(INDEX(Banco!$C:$C,ROW())="","",INDEX(Banco!$C:$C,ROW()))</f>
        <v/>
      </c>
      <c r="D405" s="9">
        <f>IF(INDEX(Banco!$D:$D,ROW())="","",INDEX(Banco!$D:$D,ROW()))</f>
        <v/>
      </c>
      <c r="E405" s="9">
        <f>IF(INDEX(Banco!$E:$E,ROW())="","",INDEX(Banco!$E:$E,ROW()))</f>
        <v/>
      </c>
      <c r="F405" s="10">
        <f>IF(INDEX(Banco!$F:$F,ROW())="","",INDEX(Banco!$F:$F,ROW()))</f>
        <v/>
      </c>
      <c r="G405" s="10">
        <f>IF(INDEX(Banco!$G:$G,ROW())="","",INDEX(Banco!$G:$G,ROW()))</f>
        <v/>
      </c>
      <c r="H405" s="8">
        <f>IF(INDEX(Banco!$H:$H,ROW())="","",INDEX(Banco!$H:$H,ROW()))</f>
        <v/>
      </c>
      <c r="I405">
        <f>IF($T405="","",INT($T405/12)&amp;"a "&amp;MOD($T405,12)&amp;"m")</f>
        <v/>
      </c>
      <c r="J405" s="11">
        <f>IF(OR($F405="",$G405=""),"",ROUND($F405/($G405/100)^2,2))</f>
        <v/>
      </c>
      <c r="K405" s="12">
        <f>IF(OR($S405="",$J405="",$T405="",$T405&lt;0,$T405&gt;228,$Y405=""),"—",ROUND(IF(ABS($AB405)&lt;=3,$AB405,IF($AB405&gt;3,3+($J405-$AD405)/($AD405-$AC405),-3+($J405-$AF405)/($AE405-$AF405))),2))</f>
        <v/>
      </c>
      <c r="L405">
        <f>IF(OR($K405="",$K405="—"),"",IF($T405&lt;=60,IF($K405&lt;-3,"Magreza acentuada",IF($K405&lt;-2,"Magreza",IF($K405&lt;=1,"Eutrofia",IF($K405&lt;=2,"Risco de sobrepeso",IF($K405&lt;=3,"Sobrepeso","Obesidade"))))),IF($K405&lt;-3,"Magreza acentuada",IF($K405&lt;-2,"Magreza",IF($K405&lt;=1,"Eutrofia",IF($K405&lt;=2,"Sobrepeso",IF($K405&lt;=3,"Obesidade","Obesidade grave")))))))</f>
        <v/>
      </c>
      <c r="M405" s="12">
        <f>IF(OR($S405="",$V405="",$T405="",$T405&lt;0,$T405&gt;228,$AG405=""),"—",ROUND(IF($AG405=0,LN($V405/$AH405)/$AI405,((($V405/$AH405)^$AG405)-1)/($AG405*$AI405)),2))</f>
        <v/>
      </c>
      <c r="N405">
        <f>IF(OR($M405="",$M405="—"),"",IF($M405&lt;-3,"Muito baixa",IF($M405&lt;-2,"Baixa","Adequada")))</f>
        <v/>
      </c>
      <c r="O405" s="12">
        <f>IF(OR($S405="",$F405="",$T405="",$T405&lt;0,$T405&gt;120,$AJ405=""),"—",ROUND(IF(ABS($AM405)&lt;=3,$AM405,IF($AM405&gt;3,3+($F405-$AO405)/($AO405-$AN405),-3+($F405-$AQ405)/($AP405-$AQ405))),2))</f>
        <v/>
      </c>
      <c r="P405">
        <f>IF(OR($O405="",$O405="—"),"",IF($O405&lt;-3,"Muito baixo",IF($O405&lt;-2,"Baixo",IF($O405&lt;=2,"Adequado","Elevado"))))</f>
        <v/>
      </c>
      <c r="Q405" s="12">
        <f>IF(OR($S405="",$F405="",$T405="",$T405&lt;0,$T405&gt;60,$AR405=""),"—",ROUND(IF(ABS($AU405)&lt;=3,$AU405,IF($AU405&gt;3,3+($F405-$AW405)/($AW405-$AV405),-3+($F405-$AY405)/($AX405-$AY405))),2))</f>
        <v/>
      </c>
      <c r="R405">
        <f>IF(OR($Q405="",$Q405="—"),"",IF($Q405&lt;-3,"Magreza acentuada",IF($Q405&lt;-2,"Magreza",IF($Q405&lt;=1,"Eutrofia",IF($Q405&lt;=2,"Risco de sobrepeso",IF($Q405&lt;=3,"Sobrepeso","Obesidade"))))))</f>
        <v/>
      </c>
      <c r="S405">
        <f>IF($C405="","",IF(UPPER(LEFT($C405,1))="M",1,IF(UPPER(LEFT($C405,1))="F",2,"")))</f>
        <v/>
      </c>
      <c r="T405">
        <f>IF(OR($D405="",$E405=""),"",DATEDIF($D405,$E405,"m"))</f>
        <v/>
      </c>
      <c r="U405">
        <f>IF(OR($D405="",$E405=""),"",$E405-$D405)</f>
        <v/>
      </c>
      <c r="V405">
        <f>IF(OR($G405="",$T405=""),"",IF($T405&lt;24,IF(LEFT(LOWER($H405),4)="em p",$G405+0.7,$G405),IF(LEFT(LOWER($H405),4)="deit",$G405-0.7,$G405)))</f>
        <v/>
      </c>
      <c r="W405">
        <f>IF(OR($S405="",$T405=""),"",$S405*1000000+IF($T405&lt;=60,$U405,$T405))</f>
        <v/>
      </c>
      <c r="X405">
        <f>IF(OR($S405="",$V405="",$T405&gt;60,$T405=""),"",$S405*1000000+ROUND($V405*10,0))</f>
        <v/>
      </c>
      <c r="Y405">
        <f>IF($W405="","",IFERROR(INDEX(IF($T405&lt;=60,imc05_l,imc519_l),MATCH($W405,IF($T405&lt;=60,imc05_k,imc519_k),1)),""))</f>
        <v/>
      </c>
      <c r="Z405">
        <f>IF($W405="","",IFERROR(INDEX(IF($T405&lt;=60,imc05_m,imc519_m),MATCH($W405,IF($T405&lt;=60,imc05_k,imc519_k),1)),""))</f>
        <v/>
      </c>
      <c r="AA405">
        <f>IF($W405="","",IFERROR(INDEX(IF($T405&lt;=60,imc05_s,imc519_s),MATCH($W405,IF($T405&lt;=60,imc05_k,imc519_k),1)),""))</f>
        <v/>
      </c>
      <c r="AB405">
        <f>IF($Y405="","",IF($Y405=0,LN($J405/$Z405)/$AA405,((($J405/$Z405)^$Y405)-1)/($Y405*$AA405)))</f>
        <v/>
      </c>
      <c r="AC405">
        <f>IF($Y405="","",IF($Y405=0,$Z405*EXP($AA405*2),$Z405*(1+$Y405*$AA405*2)^(1/$Y405)))</f>
        <v/>
      </c>
      <c r="AD405">
        <f>IF($Y405="","",IF($Y405=0,$Z405*EXP($AA405*3),$Z405*(1+$Y405*$AA405*3)^(1/$Y405)))</f>
        <v/>
      </c>
      <c r="AE405">
        <f>IF($Y405="","",IF($Y405=0,$Z405*EXP($AA405*-2),$Z405*(1+$Y405*$AA405*-2)^(1/$Y405)))</f>
        <v/>
      </c>
      <c r="AF405">
        <f>IF($Y405="","",IF($Y405=0,$Z405*EXP($AA405*-3),$Z405*(1+$Y405*$AA405*-3)^(1/$Y405)))</f>
        <v/>
      </c>
      <c r="AG405">
        <f>IF($W405="","",IFERROR(INDEX(IF($T405&lt;=60,est05_l,est519_l),MATCH($W405,IF($T405&lt;=60,est05_k,est519_k),1)),""))</f>
        <v/>
      </c>
      <c r="AH405">
        <f>IF($W405="","",IFERROR(INDEX(IF($T405&lt;=60,est05_m,est519_m),MATCH($W405,IF($T405&lt;=60,est05_k,est519_k),1)),""))</f>
        <v/>
      </c>
      <c r="AI405">
        <f>IF($W405="","",IFERROR(INDEX(IF($T405&lt;=60,est05_s,est519_s),MATCH($W405,IF($T405&lt;=60,est05_k,est519_k),1)),""))</f>
        <v/>
      </c>
      <c r="AJ405">
        <f>IF($W405="","",IFERROR(INDEX(IF($T405&lt;=60,peso05_l,peso510_l),MATCH($W405,IF($T405&lt;=60,peso05_k,peso510_k),1)),""))</f>
        <v/>
      </c>
      <c r="AK405">
        <f>IF($W405="","",IFERROR(INDEX(IF($T405&lt;=60,peso05_m,peso510_m),MATCH($W405,IF($T405&lt;=60,peso05_k,peso510_k),1)),""))</f>
        <v/>
      </c>
      <c r="AL405">
        <f>IF($W405="","",IFERROR(INDEX(IF($T405&lt;=60,peso05_s,peso510_s),MATCH($W405,IF($T405&lt;=60,peso05_k,peso510_k),1)),""))</f>
        <v/>
      </c>
      <c r="AM405">
        <f>IF($AJ405="","",IF($AJ405=0,LN($F405/$AK405)/$AL405,((($F405/$AK405)^$AJ405)-1)/($AJ405*$AL405)))</f>
        <v/>
      </c>
      <c r="AN405">
        <f>IF($AJ405="","",IF($AJ405=0,$AK405*EXP($AL405*2),$AK405*(1+$AJ405*$AL405*2)^(1/$AJ405)))</f>
        <v/>
      </c>
      <c r="AO405">
        <f>IF($AJ405="","",IF($AJ405=0,$AK405*EXP($AL405*3),$AK405*(1+$AJ405*$AL405*3)^(1/$AJ405)))</f>
        <v/>
      </c>
      <c r="AP405">
        <f>IF($AJ405="","",IF($AJ405=0,$AK405*EXP($AL405*-2),$AK405*(1+$AJ405*$AL405*-2)^(1/$AJ405)))</f>
        <v/>
      </c>
      <c r="AQ405">
        <f>IF($AJ405="","",IF($AJ405=0,$AK405*EXP($AL405*-3),$AK405*(1+$AJ405*$AL405*-3)^(1/$AJ405)))</f>
        <v/>
      </c>
      <c r="AR405">
        <f>IF(OR($X405="",$T405&gt;60),"",IFERROR(INDEX(IF($T405&lt;24,pcomp_l,palt_l),MATCH($X405,IF($T405&lt;24,pcomp_k,palt_k),1)),""))</f>
        <v/>
      </c>
      <c r="AS405">
        <f>IF(OR($X405="",$T405&gt;60),"",IFERROR(INDEX(IF($T405&lt;24,pcomp_m,palt_m),MATCH($X405,IF($T405&lt;24,pcomp_k,palt_k),1)),""))</f>
        <v/>
      </c>
      <c r="AT405">
        <f>IF(OR($X405="",$T405&gt;60),"",IFERROR(INDEX(IF($T405&lt;24,pcomp_s,palt_s),MATCH($X405,IF($T405&lt;24,pcomp_k,palt_k),1)),""))</f>
        <v/>
      </c>
      <c r="AU405">
        <f>IF($AR405="","",IF($AR405=0,LN($F405/$AS405)/$AT405,((($F405/$AS405)^$AR405)-1)/($AR405*$AT405)))</f>
        <v/>
      </c>
      <c r="AV405">
        <f>IF($AR405="","",IF($AR405=0,$AS405*EXP($AT405*2),$AS405*(1+$AR405*$AT405*2)^(1/$AR405)))</f>
        <v/>
      </c>
      <c r="AW405">
        <f>IF($AR405="","",IF($AR405=0,$AS405*EXP($AT405*3),$AS405*(1+$AR405*$AT405*3)^(1/$AR405)))</f>
        <v/>
      </c>
      <c r="AX405">
        <f>IF($AR405="","",IF($AR405=0,$AS405*EXP($AT405*-2),$AS405*(1+$AR405*$AT405*-2)^(1/$AR405)))</f>
        <v/>
      </c>
      <c r="AY405">
        <f>IF($AR405="","",IF($AR405=0,$AS405*EXP($AT405*-3),$AS405*(1+$AR405*$AT405*-3)^(1/$AR405)))</f>
        <v/>
      </c>
      <c r="AZ405">
        <f>IF(OR($A405="",$A405&lt;&gt;Ficha!$C$4),"",COUNTIF($A$2:$A405,Ficha!$C$4))</f>
        <v/>
      </c>
    </row>
    <row r="406">
      <c r="A406" s="8">
        <f>IF(INDEX(Banco!$A:$A,ROW())="","",INDEX(Banco!$A:$A,ROW()))</f>
        <v/>
      </c>
      <c r="B406" s="8">
        <f>IF(INDEX(Banco!$B:$B,ROW())="","",INDEX(Banco!$B:$B,ROW()))</f>
        <v/>
      </c>
      <c r="C406" s="8">
        <f>IF(INDEX(Banco!$C:$C,ROW())="","",INDEX(Banco!$C:$C,ROW()))</f>
        <v/>
      </c>
      <c r="D406" s="9">
        <f>IF(INDEX(Banco!$D:$D,ROW())="","",INDEX(Banco!$D:$D,ROW()))</f>
        <v/>
      </c>
      <c r="E406" s="9">
        <f>IF(INDEX(Banco!$E:$E,ROW())="","",INDEX(Banco!$E:$E,ROW()))</f>
        <v/>
      </c>
      <c r="F406" s="10">
        <f>IF(INDEX(Banco!$F:$F,ROW())="","",INDEX(Banco!$F:$F,ROW()))</f>
        <v/>
      </c>
      <c r="G406" s="10">
        <f>IF(INDEX(Banco!$G:$G,ROW())="","",INDEX(Banco!$G:$G,ROW()))</f>
        <v/>
      </c>
      <c r="H406" s="8">
        <f>IF(INDEX(Banco!$H:$H,ROW())="","",INDEX(Banco!$H:$H,ROW()))</f>
        <v/>
      </c>
      <c r="I406">
        <f>IF($T406="","",INT($T406/12)&amp;"a "&amp;MOD($T406,12)&amp;"m")</f>
        <v/>
      </c>
      <c r="J406" s="11">
        <f>IF(OR($F406="",$G406=""),"",ROUND($F406/($G406/100)^2,2))</f>
        <v/>
      </c>
      <c r="K406" s="12">
        <f>IF(OR($S406="",$J406="",$T406="",$T406&lt;0,$T406&gt;228,$Y406=""),"—",ROUND(IF(ABS($AB406)&lt;=3,$AB406,IF($AB406&gt;3,3+($J406-$AD406)/($AD406-$AC406),-3+($J406-$AF406)/($AE406-$AF406))),2))</f>
        <v/>
      </c>
      <c r="L406">
        <f>IF(OR($K406="",$K406="—"),"",IF($T406&lt;=60,IF($K406&lt;-3,"Magreza acentuada",IF($K406&lt;-2,"Magreza",IF($K406&lt;=1,"Eutrofia",IF($K406&lt;=2,"Risco de sobrepeso",IF($K406&lt;=3,"Sobrepeso","Obesidade"))))),IF($K406&lt;-3,"Magreza acentuada",IF($K406&lt;-2,"Magreza",IF($K406&lt;=1,"Eutrofia",IF($K406&lt;=2,"Sobrepeso",IF($K406&lt;=3,"Obesidade","Obesidade grave")))))))</f>
        <v/>
      </c>
      <c r="M406" s="12">
        <f>IF(OR($S406="",$V406="",$T406="",$T406&lt;0,$T406&gt;228,$AG406=""),"—",ROUND(IF($AG406=0,LN($V406/$AH406)/$AI406,((($V406/$AH406)^$AG406)-1)/($AG406*$AI406)),2))</f>
        <v/>
      </c>
      <c r="N406">
        <f>IF(OR($M406="",$M406="—"),"",IF($M406&lt;-3,"Muito baixa",IF($M406&lt;-2,"Baixa","Adequada")))</f>
        <v/>
      </c>
      <c r="O406" s="12">
        <f>IF(OR($S406="",$F406="",$T406="",$T406&lt;0,$T406&gt;120,$AJ406=""),"—",ROUND(IF(ABS($AM406)&lt;=3,$AM406,IF($AM406&gt;3,3+($F406-$AO406)/($AO406-$AN406),-3+($F406-$AQ406)/($AP406-$AQ406))),2))</f>
        <v/>
      </c>
      <c r="P406">
        <f>IF(OR($O406="",$O406="—"),"",IF($O406&lt;-3,"Muito baixo",IF($O406&lt;-2,"Baixo",IF($O406&lt;=2,"Adequado","Elevado"))))</f>
        <v/>
      </c>
      <c r="Q406" s="12">
        <f>IF(OR($S406="",$F406="",$T406="",$T406&lt;0,$T406&gt;60,$AR406=""),"—",ROUND(IF(ABS($AU406)&lt;=3,$AU406,IF($AU406&gt;3,3+($F406-$AW406)/($AW406-$AV406),-3+($F406-$AY406)/($AX406-$AY406))),2))</f>
        <v/>
      </c>
      <c r="R406">
        <f>IF(OR($Q406="",$Q406="—"),"",IF($Q406&lt;-3,"Magreza acentuada",IF($Q406&lt;-2,"Magreza",IF($Q406&lt;=1,"Eutrofia",IF($Q406&lt;=2,"Risco de sobrepeso",IF($Q406&lt;=3,"Sobrepeso","Obesidade"))))))</f>
        <v/>
      </c>
      <c r="S406">
        <f>IF($C406="","",IF(UPPER(LEFT($C406,1))="M",1,IF(UPPER(LEFT($C406,1))="F",2,"")))</f>
        <v/>
      </c>
      <c r="T406">
        <f>IF(OR($D406="",$E406=""),"",DATEDIF($D406,$E406,"m"))</f>
        <v/>
      </c>
      <c r="U406">
        <f>IF(OR($D406="",$E406=""),"",$E406-$D406)</f>
        <v/>
      </c>
      <c r="V406">
        <f>IF(OR($G406="",$T406=""),"",IF($T406&lt;24,IF(LEFT(LOWER($H406),4)="em p",$G406+0.7,$G406),IF(LEFT(LOWER($H406),4)="deit",$G406-0.7,$G406)))</f>
        <v/>
      </c>
      <c r="W406">
        <f>IF(OR($S406="",$T406=""),"",$S406*1000000+IF($T406&lt;=60,$U406,$T406))</f>
        <v/>
      </c>
      <c r="X406">
        <f>IF(OR($S406="",$V406="",$T406&gt;60,$T406=""),"",$S406*1000000+ROUND($V406*10,0))</f>
        <v/>
      </c>
      <c r="Y406">
        <f>IF($W406="","",IFERROR(INDEX(IF($T406&lt;=60,imc05_l,imc519_l),MATCH($W406,IF($T406&lt;=60,imc05_k,imc519_k),1)),""))</f>
        <v/>
      </c>
      <c r="Z406">
        <f>IF($W406="","",IFERROR(INDEX(IF($T406&lt;=60,imc05_m,imc519_m),MATCH($W406,IF($T406&lt;=60,imc05_k,imc519_k),1)),""))</f>
        <v/>
      </c>
      <c r="AA406">
        <f>IF($W406="","",IFERROR(INDEX(IF($T406&lt;=60,imc05_s,imc519_s),MATCH($W406,IF($T406&lt;=60,imc05_k,imc519_k),1)),""))</f>
        <v/>
      </c>
      <c r="AB406">
        <f>IF($Y406="","",IF($Y406=0,LN($J406/$Z406)/$AA406,((($J406/$Z406)^$Y406)-1)/($Y406*$AA406)))</f>
        <v/>
      </c>
      <c r="AC406">
        <f>IF($Y406="","",IF($Y406=0,$Z406*EXP($AA406*2),$Z406*(1+$Y406*$AA406*2)^(1/$Y406)))</f>
        <v/>
      </c>
      <c r="AD406">
        <f>IF($Y406="","",IF($Y406=0,$Z406*EXP($AA406*3),$Z406*(1+$Y406*$AA406*3)^(1/$Y406)))</f>
        <v/>
      </c>
      <c r="AE406">
        <f>IF($Y406="","",IF($Y406=0,$Z406*EXP($AA406*-2),$Z406*(1+$Y406*$AA406*-2)^(1/$Y406)))</f>
        <v/>
      </c>
      <c r="AF406">
        <f>IF($Y406="","",IF($Y406=0,$Z406*EXP($AA406*-3),$Z406*(1+$Y406*$AA406*-3)^(1/$Y406)))</f>
        <v/>
      </c>
      <c r="AG406">
        <f>IF($W406="","",IFERROR(INDEX(IF($T406&lt;=60,est05_l,est519_l),MATCH($W406,IF($T406&lt;=60,est05_k,est519_k),1)),""))</f>
        <v/>
      </c>
      <c r="AH406">
        <f>IF($W406="","",IFERROR(INDEX(IF($T406&lt;=60,est05_m,est519_m),MATCH($W406,IF($T406&lt;=60,est05_k,est519_k),1)),""))</f>
        <v/>
      </c>
      <c r="AI406">
        <f>IF($W406="","",IFERROR(INDEX(IF($T406&lt;=60,est05_s,est519_s),MATCH($W406,IF($T406&lt;=60,est05_k,est519_k),1)),""))</f>
        <v/>
      </c>
      <c r="AJ406">
        <f>IF($W406="","",IFERROR(INDEX(IF($T406&lt;=60,peso05_l,peso510_l),MATCH($W406,IF($T406&lt;=60,peso05_k,peso510_k),1)),""))</f>
        <v/>
      </c>
      <c r="AK406">
        <f>IF($W406="","",IFERROR(INDEX(IF($T406&lt;=60,peso05_m,peso510_m),MATCH($W406,IF($T406&lt;=60,peso05_k,peso510_k),1)),""))</f>
        <v/>
      </c>
      <c r="AL406">
        <f>IF($W406="","",IFERROR(INDEX(IF($T406&lt;=60,peso05_s,peso510_s),MATCH($W406,IF($T406&lt;=60,peso05_k,peso510_k),1)),""))</f>
        <v/>
      </c>
      <c r="AM406">
        <f>IF($AJ406="","",IF($AJ406=0,LN($F406/$AK406)/$AL406,((($F406/$AK406)^$AJ406)-1)/($AJ406*$AL406)))</f>
        <v/>
      </c>
      <c r="AN406">
        <f>IF($AJ406="","",IF($AJ406=0,$AK406*EXP($AL406*2),$AK406*(1+$AJ406*$AL406*2)^(1/$AJ406)))</f>
        <v/>
      </c>
      <c r="AO406">
        <f>IF($AJ406="","",IF($AJ406=0,$AK406*EXP($AL406*3),$AK406*(1+$AJ406*$AL406*3)^(1/$AJ406)))</f>
        <v/>
      </c>
      <c r="AP406">
        <f>IF($AJ406="","",IF($AJ406=0,$AK406*EXP($AL406*-2),$AK406*(1+$AJ406*$AL406*-2)^(1/$AJ406)))</f>
        <v/>
      </c>
      <c r="AQ406">
        <f>IF($AJ406="","",IF($AJ406=0,$AK406*EXP($AL406*-3),$AK406*(1+$AJ406*$AL406*-3)^(1/$AJ406)))</f>
        <v/>
      </c>
      <c r="AR406">
        <f>IF(OR($X406="",$T406&gt;60),"",IFERROR(INDEX(IF($T406&lt;24,pcomp_l,palt_l),MATCH($X406,IF($T406&lt;24,pcomp_k,palt_k),1)),""))</f>
        <v/>
      </c>
      <c r="AS406">
        <f>IF(OR($X406="",$T406&gt;60),"",IFERROR(INDEX(IF($T406&lt;24,pcomp_m,palt_m),MATCH($X406,IF($T406&lt;24,pcomp_k,palt_k),1)),""))</f>
        <v/>
      </c>
      <c r="AT406">
        <f>IF(OR($X406="",$T406&gt;60),"",IFERROR(INDEX(IF($T406&lt;24,pcomp_s,palt_s),MATCH($X406,IF($T406&lt;24,pcomp_k,palt_k),1)),""))</f>
        <v/>
      </c>
      <c r="AU406">
        <f>IF($AR406="","",IF($AR406=0,LN($F406/$AS406)/$AT406,((($F406/$AS406)^$AR406)-1)/($AR406*$AT406)))</f>
        <v/>
      </c>
      <c r="AV406">
        <f>IF($AR406="","",IF($AR406=0,$AS406*EXP($AT406*2),$AS406*(1+$AR406*$AT406*2)^(1/$AR406)))</f>
        <v/>
      </c>
      <c r="AW406">
        <f>IF($AR406="","",IF($AR406=0,$AS406*EXP($AT406*3),$AS406*(1+$AR406*$AT406*3)^(1/$AR406)))</f>
        <v/>
      </c>
      <c r="AX406">
        <f>IF($AR406="","",IF($AR406=0,$AS406*EXP($AT406*-2),$AS406*(1+$AR406*$AT406*-2)^(1/$AR406)))</f>
        <v/>
      </c>
      <c r="AY406">
        <f>IF($AR406="","",IF($AR406=0,$AS406*EXP($AT406*-3),$AS406*(1+$AR406*$AT406*-3)^(1/$AR406)))</f>
        <v/>
      </c>
      <c r="AZ406">
        <f>IF(OR($A406="",$A406&lt;&gt;Ficha!$C$4),"",COUNTIF($A$2:$A406,Ficha!$C$4))</f>
        <v/>
      </c>
    </row>
    <row r="407">
      <c r="A407" s="8">
        <f>IF(INDEX(Banco!$A:$A,ROW())="","",INDEX(Banco!$A:$A,ROW()))</f>
        <v/>
      </c>
      <c r="B407" s="8">
        <f>IF(INDEX(Banco!$B:$B,ROW())="","",INDEX(Banco!$B:$B,ROW()))</f>
        <v/>
      </c>
      <c r="C407" s="8">
        <f>IF(INDEX(Banco!$C:$C,ROW())="","",INDEX(Banco!$C:$C,ROW()))</f>
        <v/>
      </c>
      <c r="D407" s="9">
        <f>IF(INDEX(Banco!$D:$D,ROW())="","",INDEX(Banco!$D:$D,ROW()))</f>
        <v/>
      </c>
      <c r="E407" s="9">
        <f>IF(INDEX(Banco!$E:$E,ROW())="","",INDEX(Banco!$E:$E,ROW()))</f>
        <v/>
      </c>
      <c r="F407" s="10">
        <f>IF(INDEX(Banco!$F:$F,ROW())="","",INDEX(Banco!$F:$F,ROW()))</f>
        <v/>
      </c>
      <c r="G407" s="10">
        <f>IF(INDEX(Banco!$G:$G,ROW())="","",INDEX(Banco!$G:$G,ROW()))</f>
        <v/>
      </c>
      <c r="H407" s="8">
        <f>IF(INDEX(Banco!$H:$H,ROW())="","",INDEX(Banco!$H:$H,ROW()))</f>
        <v/>
      </c>
      <c r="I407">
        <f>IF($T407="","",INT($T407/12)&amp;"a "&amp;MOD($T407,12)&amp;"m")</f>
        <v/>
      </c>
      <c r="J407" s="11">
        <f>IF(OR($F407="",$G407=""),"",ROUND($F407/($G407/100)^2,2))</f>
        <v/>
      </c>
      <c r="K407" s="12">
        <f>IF(OR($S407="",$J407="",$T407="",$T407&lt;0,$T407&gt;228,$Y407=""),"—",ROUND(IF(ABS($AB407)&lt;=3,$AB407,IF($AB407&gt;3,3+($J407-$AD407)/($AD407-$AC407),-3+($J407-$AF407)/($AE407-$AF407))),2))</f>
        <v/>
      </c>
      <c r="L407">
        <f>IF(OR($K407="",$K407="—"),"",IF($T407&lt;=60,IF($K407&lt;-3,"Magreza acentuada",IF($K407&lt;-2,"Magreza",IF($K407&lt;=1,"Eutrofia",IF($K407&lt;=2,"Risco de sobrepeso",IF($K407&lt;=3,"Sobrepeso","Obesidade"))))),IF($K407&lt;-3,"Magreza acentuada",IF($K407&lt;-2,"Magreza",IF($K407&lt;=1,"Eutrofia",IF($K407&lt;=2,"Sobrepeso",IF($K407&lt;=3,"Obesidade","Obesidade grave")))))))</f>
        <v/>
      </c>
      <c r="M407" s="12">
        <f>IF(OR($S407="",$V407="",$T407="",$T407&lt;0,$T407&gt;228,$AG407=""),"—",ROUND(IF($AG407=0,LN($V407/$AH407)/$AI407,((($V407/$AH407)^$AG407)-1)/($AG407*$AI407)),2))</f>
        <v/>
      </c>
      <c r="N407">
        <f>IF(OR($M407="",$M407="—"),"",IF($M407&lt;-3,"Muito baixa",IF($M407&lt;-2,"Baixa","Adequada")))</f>
        <v/>
      </c>
      <c r="O407" s="12">
        <f>IF(OR($S407="",$F407="",$T407="",$T407&lt;0,$T407&gt;120,$AJ407=""),"—",ROUND(IF(ABS($AM407)&lt;=3,$AM407,IF($AM407&gt;3,3+($F407-$AO407)/($AO407-$AN407),-3+($F407-$AQ407)/($AP407-$AQ407))),2))</f>
        <v/>
      </c>
      <c r="P407">
        <f>IF(OR($O407="",$O407="—"),"",IF($O407&lt;-3,"Muito baixo",IF($O407&lt;-2,"Baixo",IF($O407&lt;=2,"Adequado","Elevado"))))</f>
        <v/>
      </c>
      <c r="Q407" s="12">
        <f>IF(OR($S407="",$F407="",$T407="",$T407&lt;0,$T407&gt;60,$AR407=""),"—",ROUND(IF(ABS($AU407)&lt;=3,$AU407,IF($AU407&gt;3,3+($F407-$AW407)/($AW407-$AV407),-3+($F407-$AY407)/($AX407-$AY407))),2))</f>
        <v/>
      </c>
      <c r="R407">
        <f>IF(OR($Q407="",$Q407="—"),"",IF($Q407&lt;-3,"Magreza acentuada",IF($Q407&lt;-2,"Magreza",IF($Q407&lt;=1,"Eutrofia",IF($Q407&lt;=2,"Risco de sobrepeso",IF($Q407&lt;=3,"Sobrepeso","Obesidade"))))))</f>
        <v/>
      </c>
      <c r="S407">
        <f>IF($C407="","",IF(UPPER(LEFT($C407,1))="M",1,IF(UPPER(LEFT($C407,1))="F",2,"")))</f>
        <v/>
      </c>
      <c r="T407">
        <f>IF(OR($D407="",$E407=""),"",DATEDIF($D407,$E407,"m"))</f>
        <v/>
      </c>
      <c r="U407">
        <f>IF(OR($D407="",$E407=""),"",$E407-$D407)</f>
        <v/>
      </c>
      <c r="V407">
        <f>IF(OR($G407="",$T407=""),"",IF($T407&lt;24,IF(LEFT(LOWER($H407),4)="em p",$G407+0.7,$G407),IF(LEFT(LOWER($H407),4)="deit",$G407-0.7,$G407)))</f>
        <v/>
      </c>
      <c r="W407">
        <f>IF(OR($S407="",$T407=""),"",$S407*1000000+IF($T407&lt;=60,$U407,$T407))</f>
        <v/>
      </c>
      <c r="X407">
        <f>IF(OR($S407="",$V407="",$T407&gt;60,$T407=""),"",$S407*1000000+ROUND($V407*10,0))</f>
        <v/>
      </c>
      <c r="Y407">
        <f>IF($W407="","",IFERROR(INDEX(IF($T407&lt;=60,imc05_l,imc519_l),MATCH($W407,IF($T407&lt;=60,imc05_k,imc519_k),1)),""))</f>
        <v/>
      </c>
      <c r="Z407">
        <f>IF($W407="","",IFERROR(INDEX(IF($T407&lt;=60,imc05_m,imc519_m),MATCH($W407,IF($T407&lt;=60,imc05_k,imc519_k),1)),""))</f>
        <v/>
      </c>
      <c r="AA407">
        <f>IF($W407="","",IFERROR(INDEX(IF($T407&lt;=60,imc05_s,imc519_s),MATCH($W407,IF($T407&lt;=60,imc05_k,imc519_k),1)),""))</f>
        <v/>
      </c>
      <c r="AB407">
        <f>IF($Y407="","",IF($Y407=0,LN($J407/$Z407)/$AA407,((($J407/$Z407)^$Y407)-1)/($Y407*$AA407)))</f>
        <v/>
      </c>
      <c r="AC407">
        <f>IF($Y407="","",IF($Y407=0,$Z407*EXP($AA407*2),$Z407*(1+$Y407*$AA407*2)^(1/$Y407)))</f>
        <v/>
      </c>
      <c r="AD407">
        <f>IF($Y407="","",IF($Y407=0,$Z407*EXP($AA407*3),$Z407*(1+$Y407*$AA407*3)^(1/$Y407)))</f>
        <v/>
      </c>
      <c r="AE407">
        <f>IF($Y407="","",IF($Y407=0,$Z407*EXP($AA407*-2),$Z407*(1+$Y407*$AA407*-2)^(1/$Y407)))</f>
        <v/>
      </c>
      <c r="AF407">
        <f>IF($Y407="","",IF($Y407=0,$Z407*EXP($AA407*-3),$Z407*(1+$Y407*$AA407*-3)^(1/$Y407)))</f>
        <v/>
      </c>
      <c r="AG407">
        <f>IF($W407="","",IFERROR(INDEX(IF($T407&lt;=60,est05_l,est519_l),MATCH($W407,IF($T407&lt;=60,est05_k,est519_k),1)),""))</f>
        <v/>
      </c>
      <c r="AH407">
        <f>IF($W407="","",IFERROR(INDEX(IF($T407&lt;=60,est05_m,est519_m),MATCH($W407,IF($T407&lt;=60,est05_k,est519_k),1)),""))</f>
        <v/>
      </c>
      <c r="AI407">
        <f>IF($W407="","",IFERROR(INDEX(IF($T407&lt;=60,est05_s,est519_s),MATCH($W407,IF($T407&lt;=60,est05_k,est519_k),1)),""))</f>
        <v/>
      </c>
      <c r="AJ407">
        <f>IF($W407="","",IFERROR(INDEX(IF($T407&lt;=60,peso05_l,peso510_l),MATCH($W407,IF($T407&lt;=60,peso05_k,peso510_k),1)),""))</f>
        <v/>
      </c>
      <c r="AK407">
        <f>IF($W407="","",IFERROR(INDEX(IF($T407&lt;=60,peso05_m,peso510_m),MATCH($W407,IF($T407&lt;=60,peso05_k,peso510_k),1)),""))</f>
        <v/>
      </c>
      <c r="AL407">
        <f>IF($W407="","",IFERROR(INDEX(IF($T407&lt;=60,peso05_s,peso510_s),MATCH($W407,IF($T407&lt;=60,peso05_k,peso510_k),1)),""))</f>
        <v/>
      </c>
      <c r="AM407">
        <f>IF($AJ407="","",IF($AJ407=0,LN($F407/$AK407)/$AL407,((($F407/$AK407)^$AJ407)-1)/($AJ407*$AL407)))</f>
        <v/>
      </c>
      <c r="AN407">
        <f>IF($AJ407="","",IF($AJ407=0,$AK407*EXP($AL407*2),$AK407*(1+$AJ407*$AL407*2)^(1/$AJ407)))</f>
        <v/>
      </c>
      <c r="AO407">
        <f>IF($AJ407="","",IF($AJ407=0,$AK407*EXP($AL407*3),$AK407*(1+$AJ407*$AL407*3)^(1/$AJ407)))</f>
        <v/>
      </c>
      <c r="AP407">
        <f>IF($AJ407="","",IF($AJ407=0,$AK407*EXP($AL407*-2),$AK407*(1+$AJ407*$AL407*-2)^(1/$AJ407)))</f>
        <v/>
      </c>
      <c r="AQ407">
        <f>IF($AJ407="","",IF($AJ407=0,$AK407*EXP($AL407*-3),$AK407*(1+$AJ407*$AL407*-3)^(1/$AJ407)))</f>
        <v/>
      </c>
      <c r="AR407">
        <f>IF(OR($X407="",$T407&gt;60),"",IFERROR(INDEX(IF($T407&lt;24,pcomp_l,palt_l),MATCH($X407,IF($T407&lt;24,pcomp_k,palt_k),1)),""))</f>
        <v/>
      </c>
      <c r="AS407">
        <f>IF(OR($X407="",$T407&gt;60),"",IFERROR(INDEX(IF($T407&lt;24,pcomp_m,palt_m),MATCH($X407,IF($T407&lt;24,pcomp_k,palt_k),1)),""))</f>
        <v/>
      </c>
      <c r="AT407">
        <f>IF(OR($X407="",$T407&gt;60),"",IFERROR(INDEX(IF($T407&lt;24,pcomp_s,palt_s),MATCH($X407,IF($T407&lt;24,pcomp_k,palt_k),1)),""))</f>
        <v/>
      </c>
      <c r="AU407">
        <f>IF($AR407="","",IF($AR407=0,LN($F407/$AS407)/$AT407,((($F407/$AS407)^$AR407)-1)/($AR407*$AT407)))</f>
        <v/>
      </c>
      <c r="AV407">
        <f>IF($AR407="","",IF($AR407=0,$AS407*EXP($AT407*2),$AS407*(1+$AR407*$AT407*2)^(1/$AR407)))</f>
        <v/>
      </c>
      <c r="AW407">
        <f>IF($AR407="","",IF($AR407=0,$AS407*EXP($AT407*3),$AS407*(1+$AR407*$AT407*3)^(1/$AR407)))</f>
        <v/>
      </c>
      <c r="AX407">
        <f>IF($AR407="","",IF($AR407=0,$AS407*EXP($AT407*-2),$AS407*(1+$AR407*$AT407*-2)^(1/$AR407)))</f>
        <v/>
      </c>
      <c r="AY407">
        <f>IF($AR407="","",IF($AR407=0,$AS407*EXP($AT407*-3),$AS407*(1+$AR407*$AT407*-3)^(1/$AR407)))</f>
        <v/>
      </c>
      <c r="AZ407">
        <f>IF(OR($A407="",$A407&lt;&gt;Ficha!$C$4),"",COUNTIF($A$2:$A407,Ficha!$C$4))</f>
        <v/>
      </c>
    </row>
    <row r="408">
      <c r="A408" s="8">
        <f>IF(INDEX(Banco!$A:$A,ROW())="","",INDEX(Banco!$A:$A,ROW()))</f>
        <v/>
      </c>
      <c r="B408" s="8">
        <f>IF(INDEX(Banco!$B:$B,ROW())="","",INDEX(Banco!$B:$B,ROW()))</f>
        <v/>
      </c>
      <c r="C408" s="8">
        <f>IF(INDEX(Banco!$C:$C,ROW())="","",INDEX(Banco!$C:$C,ROW()))</f>
        <v/>
      </c>
      <c r="D408" s="9">
        <f>IF(INDEX(Banco!$D:$D,ROW())="","",INDEX(Banco!$D:$D,ROW()))</f>
        <v/>
      </c>
      <c r="E408" s="9">
        <f>IF(INDEX(Banco!$E:$E,ROW())="","",INDEX(Banco!$E:$E,ROW()))</f>
        <v/>
      </c>
      <c r="F408" s="10">
        <f>IF(INDEX(Banco!$F:$F,ROW())="","",INDEX(Banco!$F:$F,ROW()))</f>
        <v/>
      </c>
      <c r="G408" s="10">
        <f>IF(INDEX(Banco!$G:$G,ROW())="","",INDEX(Banco!$G:$G,ROW()))</f>
        <v/>
      </c>
      <c r="H408" s="8">
        <f>IF(INDEX(Banco!$H:$H,ROW())="","",INDEX(Banco!$H:$H,ROW()))</f>
        <v/>
      </c>
      <c r="I408">
        <f>IF($T408="","",INT($T408/12)&amp;"a "&amp;MOD($T408,12)&amp;"m")</f>
        <v/>
      </c>
      <c r="J408" s="11">
        <f>IF(OR($F408="",$G408=""),"",ROUND($F408/($G408/100)^2,2))</f>
        <v/>
      </c>
      <c r="K408" s="12">
        <f>IF(OR($S408="",$J408="",$T408="",$T408&lt;0,$T408&gt;228,$Y408=""),"—",ROUND(IF(ABS($AB408)&lt;=3,$AB408,IF($AB408&gt;3,3+($J408-$AD408)/($AD408-$AC408),-3+($J408-$AF408)/($AE408-$AF408))),2))</f>
        <v/>
      </c>
      <c r="L408">
        <f>IF(OR($K408="",$K408="—"),"",IF($T408&lt;=60,IF($K408&lt;-3,"Magreza acentuada",IF($K408&lt;-2,"Magreza",IF($K408&lt;=1,"Eutrofia",IF($K408&lt;=2,"Risco de sobrepeso",IF($K408&lt;=3,"Sobrepeso","Obesidade"))))),IF($K408&lt;-3,"Magreza acentuada",IF($K408&lt;-2,"Magreza",IF($K408&lt;=1,"Eutrofia",IF($K408&lt;=2,"Sobrepeso",IF($K408&lt;=3,"Obesidade","Obesidade grave")))))))</f>
        <v/>
      </c>
      <c r="M408" s="12">
        <f>IF(OR($S408="",$V408="",$T408="",$T408&lt;0,$T408&gt;228,$AG408=""),"—",ROUND(IF($AG408=0,LN($V408/$AH408)/$AI408,((($V408/$AH408)^$AG408)-1)/($AG408*$AI408)),2))</f>
        <v/>
      </c>
      <c r="N408">
        <f>IF(OR($M408="",$M408="—"),"",IF($M408&lt;-3,"Muito baixa",IF($M408&lt;-2,"Baixa","Adequada")))</f>
        <v/>
      </c>
      <c r="O408" s="12">
        <f>IF(OR($S408="",$F408="",$T408="",$T408&lt;0,$T408&gt;120,$AJ408=""),"—",ROUND(IF(ABS($AM408)&lt;=3,$AM408,IF($AM408&gt;3,3+($F408-$AO408)/($AO408-$AN408),-3+($F408-$AQ408)/($AP408-$AQ408))),2))</f>
        <v/>
      </c>
      <c r="P408">
        <f>IF(OR($O408="",$O408="—"),"",IF($O408&lt;-3,"Muito baixo",IF($O408&lt;-2,"Baixo",IF($O408&lt;=2,"Adequado","Elevado"))))</f>
        <v/>
      </c>
      <c r="Q408" s="12">
        <f>IF(OR($S408="",$F408="",$T408="",$T408&lt;0,$T408&gt;60,$AR408=""),"—",ROUND(IF(ABS($AU408)&lt;=3,$AU408,IF($AU408&gt;3,3+($F408-$AW408)/($AW408-$AV408),-3+($F408-$AY408)/($AX408-$AY408))),2))</f>
        <v/>
      </c>
      <c r="R408">
        <f>IF(OR($Q408="",$Q408="—"),"",IF($Q408&lt;-3,"Magreza acentuada",IF($Q408&lt;-2,"Magreza",IF($Q408&lt;=1,"Eutrofia",IF($Q408&lt;=2,"Risco de sobrepeso",IF($Q408&lt;=3,"Sobrepeso","Obesidade"))))))</f>
        <v/>
      </c>
      <c r="S408">
        <f>IF($C408="","",IF(UPPER(LEFT($C408,1))="M",1,IF(UPPER(LEFT($C408,1))="F",2,"")))</f>
        <v/>
      </c>
      <c r="T408">
        <f>IF(OR($D408="",$E408=""),"",DATEDIF($D408,$E408,"m"))</f>
        <v/>
      </c>
      <c r="U408">
        <f>IF(OR($D408="",$E408=""),"",$E408-$D408)</f>
        <v/>
      </c>
      <c r="V408">
        <f>IF(OR($G408="",$T408=""),"",IF($T408&lt;24,IF(LEFT(LOWER($H408),4)="em p",$G408+0.7,$G408),IF(LEFT(LOWER($H408),4)="deit",$G408-0.7,$G408)))</f>
        <v/>
      </c>
      <c r="W408">
        <f>IF(OR($S408="",$T408=""),"",$S408*1000000+IF($T408&lt;=60,$U408,$T408))</f>
        <v/>
      </c>
      <c r="X408">
        <f>IF(OR($S408="",$V408="",$T408&gt;60,$T408=""),"",$S408*1000000+ROUND($V408*10,0))</f>
        <v/>
      </c>
      <c r="Y408">
        <f>IF($W408="","",IFERROR(INDEX(IF($T408&lt;=60,imc05_l,imc519_l),MATCH($W408,IF($T408&lt;=60,imc05_k,imc519_k),1)),""))</f>
        <v/>
      </c>
      <c r="Z408">
        <f>IF($W408="","",IFERROR(INDEX(IF($T408&lt;=60,imc05_m,imc519_m),MATCH($W408,IF($T408&lt;=60,imc05_k,imc519_k),1)),""))</f>
        <v/>
      </c>
      <c r="AA408">
        <f>IF($W408="","",IFERROR(INDEX(IF($T408&lt;=60,imc05_s,imc519_s),MATCH($W408,IF($T408&lt;=60,imc05_k,imc519_k),1)),""))</f>
        <v/>
      </c>
      <c r="AB408">
        <f>IF($Y408="","",IF($Y408=0,LN($J408/$Z408)/$AA408,((($J408/$Z408)^$Y408)-1)/($Y408*$AA408)))</f>
        <v/>
      </c>
      <c r="AC408">
        <f>IF($Y408="","",IF($Y408=0,$Z408*EXP($AA408*2),$Z408*(1+$Y408*$AA408*2)^(1/$Y408)))</f>
        <v/>
      </c>
      <c r="AD408">
        <f>IF($Y408="","",IF($Y408=0,$Z408*EXP($AA408*3),$Z408*(1+$Y408*$AA408*3)^(1/$Y408)))</f>
        <v/>
      </c>
      <c r="AE408">
        <f>IF($Y408="","",IF($Y408=0,$Z408*EXP($AA408*-2),$Z408*(1+$Y408*$AA408*-2)^(1/$Y408)))</f>
        <v/>
      </c>
      <c r="AF408">
        <f>IF($Y408="","",IF($Y408=0,$Z408*EXP($AA408*-3),$Z408*(1+$Y408*$AA408*-3)^(1/$Y408)))</f>
        <v/>
      </c>
      <c r="AG408">
        <f>IF($W408="","",IFERROR(INDEX(IF($T408&lt;=60,est05_l,est519_l),MATCH($W408,IF($T408&lt;=60,est05_k,est519_k),1)),""))</f>
        <v/>
      </c>
      <c r="AH408">
        <f>IF($W408="","",IFERROR(INDEX(IF($T408&lt;=60,est05_m,est519_m),MATCH($W408,IF($T408&lt;=60,est05_k,est519_k),1)),""))</f>
        <v/>
      </c>
      <c r="AI408">
        <f>IF($W408="","",IFERROR(INDEX(IF($T408&lt;=60,est05_s,est519_s),MATCH($W408,IF($T408&lt;=60,est05_k,est519_k),1)),""))</f>
        <v/>
      </c>
      <c r="AJ408">
        <f>IF($W408="","",IFERROR(INDEX(IF($T408&lt;=60,peso05_l,peso510_l),MATCH($W408,IF($T408&lt;=60,peso05_k,peso510_k),1)),""))</f>
        <v/>
      </c>
      <c r="AK408">
        <f>IF($W408="","",IFERROR(INDEX(IF($T408&lt;=60,peso05_m,peso510_m),MATCH($W408,IF($T408&lt;=60,peso05_k,peso510_k),1)),""))</f>
        <v/>
      </c>
      <c r="AL408">
        <f>IF($W408="","",IFERROR(INDEX(IF($T408&lt;=60,peso05_s,peso510_s),MATCH($W408,IF($T408&lt;=60,peso05_k,peso510_k),1)),""))</f>
        <v/>
      </c>
      <c r="AM408">
        <f>IF($AJ408="","",IF($AJ408=0,LN($F408/$AK408)/$AL408,((($F408/$AK408)^$AJ408)-1)/($AJ408*$AL408)))</f>
        <v/>
      </c>
      <c r="AN408">
        <f>IF($AJ408="","",IF($AJ408=0,$AK408*EXP($AL408*2),$AK408*(1+$AJ408*$AL408*2)^(1/$AJ408)))</f>
        <v/>
      </c>
      <c r="AO408">
        <f>IF($AJ408="","",IF($AJ408=0,$AK408*EXP($AL408*3),$AK408*(1+$AJ408*$AL408*3)^(1/$AJ408)))</f>
        <v/>
      </c>
      <c r="AP408">
        <f>IF($AJ408="","",IF($AJ408=0,$AK408*EXP($AL408*-2),$AK408*(1+$AJ408*$AL408*-2)^(1/$AJ408)))</f>
        <v/>
      </c>
      <c r="AQ408">
        <f>IF($AJ408="","",IF($AJ408=0,$AK408*EXP($AL408*-3),$AK408*(1+$AJ408*$AL408*-3)^(1/$AJ408)))</f>
        <v/>
      </c>
      <c r="AR408">
        <f>IF(OR($X408="",$T408&gt;60),"",IFERROR(INDEX(IF($T408&lt;24,pcomp_l,palt_l),MATCH($X408,IF($T408&lt;24,pcomp_k,palt_k),1)),""))</f>
        <v/>
      </c>
      <c r="AS408">
        <f>IF(OR($X408="",$T408&gt;60),"",IFERROR(INDEX(IF($T408&lt;24,pcomp_m,palt_m),MATCH($X408,IF($T408&lt;24,pcomp_k,palt_k),1)),""))</f>
        <v/>
      </c>
      <c r="AT408">
        <f>IF(OR($X408="",$T408&gt;60),"",IFERROR(INDEX(IF($T408&lt;24,pcomp_s,palt_s),MATCH($X408,IF($T408&lt;24,pcomp_k,palt_k),1)),""))</f>
        <v/>
      </c>
      <c r="AU408">
        <f>IF($AR408="","",IF($AR408=0,LN($F408/$AS408)/$AT408,((($F408/$AS408)^$AR408)-1)/($AR408*$AT408)))</f>
        <v/>
      </c>
      <c r="AV408">
        <f>IF($AR408="","",IF($AR408=0,$AS408*EXP($AT408*2),$AS408*(1+$AR408*$AT408*2)^(1/$AR408)))</f>
        <v/>
      </c>
      <c r="AW408">
        <f>IF($AR408="","",IF($AR408=0,$AS408*EXP($AT408*3),$AS408*(1+$AR408*$AT408*3)^(1/$AR408)))</f>
        <v/>
      </c>
      <c r="AX408">
        <f>IF($AR408="","",IF($AR408=0,$AS408*EXP($AT408*-2),$AS408*(1+$AR408*$AT408*-2)^(1/$AR408)))</f>
        <v/>
      </c>
      <c r="AY408">
        <f>IF($AR408="","",IF($AR408=0,$AS408*EXP($AT408*-3),$AS408*(1+$AR408*$AT408*-3)^(1/$AR408)))</f>
        <v/>
      </c>
      <c r="AZ408">
        <f>IF(OR($A408="",$A408&lt;&gt;Ficha!$C$4),"",COUNTIF($A$2:$A408,Ficha!$C$4))</f>
        <v/>
      </c>
    </row>
    <row r="409">
      <c r="A409" s="8">
        <f>IF(INDEX(Banco!$A:$A,ROW())="","",INDEX(Banco!$A:$A,ROW()))</f>
        <v/>
      </c>
      <c r="B409" s="8">
        <f>IF(INDEX(Banco!$B:$B,ROW())="","",INDEX(Banco!$B:$B,ROW()))</f>
        <v/>
      </c>
      <c r="C409" s="8">
        <f>IF(INDEX(Banco!$C:$C,ROW())="","",INDEX(Banco!$C:$C,ROW()))</f>
        <v/>
      </c>
      <c r="D409" s="9">
        <f>IF(INDEX(Banco!$D:$D,ROW())="","",INDEX(Banco!$D:$D,ROW()))</f>
        <v/>
      </c>
      <c r="E409" s="9">
        <f>IF(INDEX(Banco!$E:$E,ROW())="","",INDEX(Banco!$E:$E,ROW()))</f>
        <v/>
      </c>
      <c r="F409" s="10">
        <f>IF(INDEX(Banco!$F:$F,ROW())="","",INDEX(Banco!$F:$F,ROW()))</f>
        <v/>
      </c>
      <c r="G409" s="10">
        <f>IF(INDEX(Banco!$G:$G,ROW())="","",INDEX(Banco!$G:$G,ROW()))</f>
        <v/>
      </c>
      <c r="H409" s="8">
        <f>IF(INDEX(Banco!$H:$H,ROW())="","",INDEX(Banco!$H:$H,ROW()))</f>
        <v/>
      </c>
      <c r="I409">
        <f>IF($T409="","",INT($T409/12)&amp;"a "&amp;MOD($T409,12)&amp;"m")</f>
        <v/>
      </c>
      <c r="J409" s="11">
        <f>IF(OR($F409="",$G409=""),"",ROUND($F409/($G409/100)^2,2))</f>
        <v/>
      </c>
      <c r="K409" s="12">
        <f>IF(OR($S409="",$J409="",$T409="",$T409&lt;0,$T409&gt;228,$Y409=""),"—",ROUND(IF(ABS($AB409)&lt;=3,$AB409,IF($AB409&gt;3,3+($J409-$AD409)/($AD409-$AC409),-3+($J409-$AF409)/($AE409-$AF409))),2))</f>
        <v/>
      </c>
      <c r="L409">
        <f>IF(OR($K409="",$K409="—"),"",IF($T409&lt;=60,IF($K409&lt;-3,"Magreza acentuada",IF($K409&lt;-2,"Magreza",IF($K409&lt;=1,"Eutrofia",IF($K409&lt;=2,"Risco de sobrepeso",IF($K409&lt;=3,"Sobrepeso","Obesidade"))))),IF($K409&lt;-3,"Magreza acentuada",IF($K409&lt;-2,"Magreza",IF($K409&lt;=1,"Eutrofia",IF($K409&lt;=2,"Sobrepeso",IF($K409&lt;=3,"Obesidade","Obesidade grave")))))))</f>
        <v/>
      </c>
      <c r="M409" s="12">
        <f>IF(OR($S409="",$V409="",$T409="",$T409&lt;0,$T409&gt;228,$AG409=""),"—",ROUND(IF($AG409=0,LN($V409/$AH409)/$AI409,((($V409/$AH409)^$AG409)-1)/($AG409*$AI409)),2))</f>
        <v/>
      </c>
      <c r="N409">
        <f>IF(OR($M409="",$M409="—"),"",IF($M409&lt;-3,"Muito baixa",IF($M409&lt;-2,"Baixa","Adequada")))</f>
        <v/>
      </c>
      <c r="O409" s="12">
        <f>IF(OR($S409="",$F409="",$T409="",$T409&lt;0,$T409&gt;120,$AJ409=""),"—",ROUND(IF(ABS($AM409)&lt;=3,$AM409,IF($AM409&gt;3,3+($F409-$AO409)/($AO409-$AN409),-3+($F409-$AQ409)/($AP409-$AQ409))),2))</f>
        <v/>
      </c>
      <c r="P409">
        <f>IF(OR($O409="",$O409="—"),"",IF($O409&lt;-3,"Muito baixo",IF($O409&lt;-2,"Baixo",IF($O409&lt;=2,"Adequado","Elevado"))))</f>
        <v/>
      </c>
      <c r="Q409" s="12">
        <f>IF(OR($S409="",$F409="",$T409="",$T409&lt;0,$T409&gt;60,$AR409=""),"—",ROUND(IF(ABS($AU409)&lt;=3,$AU409,IF($AU409&gt;3,3+($F409-$AW409)/($AW409-$AV409),-3+($F409-$AY409)/($AX409-$AY409))),2))</f>
        <v/>
      </c>
      <c r="R409">
        <f>IF(OR($Q409="",$Q409="—"),"",IF($Q409&lt;-3,"Magreza acentuada",IF($Q409&lt;-2,"Magreza",IF($Q409&lt;=1,"Eutrofia",IF($Q409&lt;=2,"Risco de sobrepeso",IF($Q409&lt;=3,"Sobrepeso","Obesidade"))))))</f>
        <v/>
      </c>
      <c r="S409">
        <f>IF($C409="","",IF(UPPER(LEFT($C409,1))="M",1,IF(UPPER(LEFT($C409,1))="F",2,"")))</f>
        <v/>
      </c>
      <c r="T409">
        <f>IF(OR($D409="",$E409=""),"",DATEDIF($D409,$E409,"m"))</f>
        <v/>
      </c>
      <c r="U409">
        <f>IF(OR($D409="",$E409=""),"",$E409-$D409)</f>
        <v/>
      </c>
      <c r="V409">
        <f>IF(OR($G409="",$T409=""),"",IF($T409&lt;24,IF(LEFT(LOWER($H409),4)="em p",$G409+0.7,$G409),IF(LEFT(LOWER($H409),4)="deit",$G409-0.7,$G409)))</f>
        <v/>
      </c>
      <c r="W409">
        <f>IF(OR($S409="",$T409=""),"",$S409*1000000+IF($T409&lt;=60,$U409,$T409))</f>
        <v/>
      </c>
      <c r="X409">
        <f>IF(OR($S409="",$V409="",$T409&gt;60,$T409=""),"",$S409*1000000+ROUND($V409*10,0))</f>
        <v/>
      </c>
      <c r="Y409">
        <f>IF($W409="","",IFERROR(INDEX(IF($T409&lt;=60,imc05_l,imc519_l),MATCH($W409,IF($T409&lt;=60,imc05_k,imc519_k),1)),""))</f>
        <v/>
      </c>
      <c r="Z409">
        <f>IF($W409="","",IFERROR(INDEX(IF($T409&lt;=60,imc05_m,imc519_m),MATCH($W409,IF($T409&lt;=60,imc05_k,imc519_k),1)),""))</f>
        <v/>
      </c>
      <c r="AA409">
        <f>IF($W409="","",IFERROR(INDEX(IF($T409&lt;=60,imc05_s,imc519_s),MATCH($W409,IF($T409&lt;=60,imc05_k,imc519_k),1)),""))</f>
        <v/>
      </c>
      <c r="AB409">
        <f>IF($Y409="","",IF($Y409=0,LN($J409/$Z409)/$AA409,((($J409/$Z409)^$Y409)-1)/($Y409*$AA409)))</f>
        <v/>
      </c>
      <c r="AC409">
        <f>IF($Y409="","",IF($Y409=0,$Z409*EXP($AA409*2),$Z409*(1+$Y409*$AA409*2)^(1/$Y409)))</f>
        <v/>
      </c>
      <c r="AD409">
        <f>IF($Y409="","",IF($Y409=0,$Z409*EXP($AA409*3),$Z409*(1+$Y409*$AA409*3)^(1/$Y409)))</f>
        <v/>
      </c>
      <c r="AE409">
        <f>IF($Y409="","",IF($Y409=0,$Z409*EXP($AA409*-2),$Z409*(1+$Y409*$AA409*-2)^(1/$Y409)))</f>
        <v/>
      </c>
      <c r="AF409">
        <f>IF($Y409="","",IF($Y409=0,$Z409*EXP($AA409*-3),$Z409*(1+$Y409*$AA409*-3)^(1/$Y409)))</f>
        <v/>
      </c>
      <c r="AG409">
        <f>IF($W409="","",IFERROR(INDEX(IF($T409&lt;=60,est05_l,est519_l),MATCH($W409,IF($T409&lt;=60,est05_k,est519_k),1)),""))</f>
        <v/>
      </c>
      <c r="AH409">
        <f>IF($W409="","",IFERROR(INDEX(IF($T409&lt;=60,est05_m,est519_m),MATCH($W409,IF($T409&lt;=60,est05_k,est519_k),1)),""))</f>
        <v/>
      </c>
      <c r="AI409">
        <f>IF($W409="","",IFERROR(INDEX(IF($T409&lt;=60,est05_s,est519_s),MATCH($W409,IF($T409&lt;=60,est05_k,est519_k),1)),""))</f>
        <v/>
      </c>
      <c r="AJ409">
        <f>IF($W409="","",IFERROR(INDEX(IF($T409&lt;=60,peso05_l,peso510_l),MATCH($W409,IF($T409&lt;=60,peso05_k,peso510_k),1)),""))</f>
        <v/>
      </c>
      <c r="AK409">
        <f>IF($W409="","",IFERROR(INDEX(IF($T409&lt;=60,peso05_m,peso510_m),MATCH($W409,IF($T409&lt;=60,peso05_k,peso510_k),1)),""))</f>
        <v/>
      </c>
      <c r="AL409">
        <f>IF($W409="","",IFERROR(INDEX(IF($T409&lt;=60,peso05_s,peso510_s),MATCH($W409,IF($T409&lt;=60,peso05_k,peso510_k),1)),""))</f>
        <v/>
      </c>
      <c r="AM409">
        <f>IF($AJ409="","",IF($AJ409=0,LN($F409/$AK409)/$AL409,((($F409/$AK409)^$AJ409)-1)/($AJ409*$AL409)))</f>
        <v/>
      </c>
      <c r="AN409">
        <f>IF($AJ409="","",IF($AJ409=0,$AK409*EXP($AL409*2),$AK409*(1+$AJ409*$AL409*2)^(1/$AJ409)))</f>
        <v/>
      </c>
      <c r="AO409">
        <f>IF($AJ409="","",IF($AJ409=0,$AK409*EXP($AL409*3),$AK409*(1+$AJ409*$AL409*3)^(1/$AJ409)))</f>
        <v/>
      </c>
      <c r="AP409">
        <f>IF($AJ409="","",IF($AJ409=0,$AK409*EXP($AL409*-2),$AK409*(1+$AJ409*$AL409*-2)^(1/$AJ409)))</f>
        <v/>
      </c>
      <c r="AQ409">
        <f>IF($AJ409="","",IF($AJ409=0,$AK409*EXP($AL409*-3),$AK409*(1+$AJ409*$AL409*-3)^(1/$AJ409)))</f>
        <v/>
      </c>
      <c r="AR409">
        <f>IF(OR($X409="",$T409&gt;60),"",IFERROR(INDEX(IF($T409&lt;24,pcomp_l,palt_l),MATCH($X409,IF($T409&lt;24,pcomp_k,palt_k),1)),""))</f>
        <v/>
      </c>
      <c r="AS409">
        <f>IF(OR($X409="",$T409&gt;60),"",IFERROR(INDEX(IF($T409&lt;24,pcomp_m,palt_m),MATCH($X409,IF($T409&lt;24,pcomp_k,palt_k),1)),""))</f>
        <v/>
      </c>
      <c r="AT409">
        <f>IF(OR($X409="",$T409&gt;60),"",IFERROR(INDEX(IF($T409&lt;24,pcomp_s,palt_s),MATCH($X409,IF($T409&lt;24,pcomp_k,palt_k),1)),""))</f>
        <v/>
      </c>
      <c r="AU409">
        <f>IF($AR409="","",IF($AR409=0,LN($F409/$AS409)/$AT409,((($F409/$AS409)^$AR409)-1)/($AR409*$AT409)))</f>
        <v/>
      </c>
      <c r="AV409">
        <f>IF($AR409="","",IF($AR409=0,$AS409*EXP($AT409*2),$AS409*(1+$AR409*$AT409*2)^(1/$AR409)))</f>
        <v/>
      </c>
      <c r="AW409">
        <f>IF($AR409="","",IF($AR409=0,$AS409*EXP($AT409*3),$AS409*(1+$AR409*$AT409*3)^(1/$AR409)))</f>
        <v/>
      </c>
      <c r="AX409">
        <f>IF($AR409="","",IF($AR409=0,$AS409*EXP($AT409*-2),$AS409*(1+$AR409*$AT409*-2)^(1/$AR409)))</f>
        <v/>
      </c>
      <c r="AY409">
        <f>IF($AR409="","",IF($AR409=0,$AS409*EXP($AT409*-3),$AS409*(1+$AR409*$AT409*-3)^(1/$AR409)))</f>
        <v/>
      </c>
      <c r="AZ409">
        <f>IF(OR($A409="",$A409&lt;&gt;Ficha!$C$4),"",COUNTIF($A$2:$A409,Ficha!$C$4))</f>
        <v/>
      </c>
    </row>
    <row r="410">
      <c r="A410" s="8">
        <f>IF(INDEX(Banco!$A:$A,ROW())="","",INDEX(Banco!$A:$A,ROW()))</f>
        <v/>
      </c>
      <c r="B410" s="8">
        <f>IF(INDEX(Banco!$B:$B,ROW())="","",INDEX(Banco!$B:$B,ROW()))</f>
        <v/>
      </c>
      <c r="C410" s="8">
        <f>IF(INDEX(Banco!$C:$C,ROW())="","",INDEX(Banco!$C:$C,ROW()))</f>
        <v/>
      </c>
      <c r="D410" s="9">
        <f>IF(INDEX(Banco!$D:$D,ROW())="","",INDEX(Banco!$D:$D,ROW()))</f>
        <v/>
      </c>
      <c r="E410" s="9">
        <f>IF(INDEX(Banco!$E:$E,ROW())="","",INDEX(Banco!$E:$E,ROW()))</f>
        <v/>
      </c>
      <c r="F410" s="10">
        <f>IF(INDEX(Banco!$F:$F,ROW())="","",INDEX(Banco!$F:$F,ROW()))</f>
        <v/>
      </c>
      <c r="G410" s="10">
        <f>IF(INDEX(Banco!$G:$G,ROW())="","",INDEX(Banco!$G:$G,ROW()))</f>
        <v/>
      </c>
      <c r="H410" s="8">
        <f>IF(INDEX(Banco!$H:$H,ROW())="","",INDEX(Banco!$H:$H,ROW()))</f>
        <v/>
      </c>
      <c r="I410">
        <f>IF($T410="","",INT($T410/12)&amp;"a "&amp;MOD($T410,12)&amp;"m")</f>
        <v/>
      </c>
      <c r="J410" s="11">
        <f>IF(OR($F410="",$G410=""),"",ROUND($F410/($G410/100)^2,2))</f>
        <v/>
      </c>
      <c r="K410" s="12">
        <f>IF(OR($S410="",$J410="",$T410="",$T410&lt;0,$T410&gt;228,$Y410=""),"—",ROUND(IF(ABS($AB410)&lt;=3,$AB410,IF($AB410&gt;3,3+($J410-$AD410)/($AD410-$AC410),-3+($J410-$AF410)/($AE410-$AF410))),2))</f>
        <v/>
      </c>
      <c r="L410">
        <f>IF(OR($K410="",$K410="—"),"",IF($T410&lt;=60,IF($K410&lt;-3,"Magreza acentuada",IF($K410&lt;-2,"Magreza",IF($K410&lt;=1,"Eutrofia",IF($K410&lt;=2,"Risco de sobrepeso",IF($K410&lt;=3,"Sobrepeso","Obesidade"))))),IF($K410&lt;-3,"Magreza acentuada",IF($K410&lt;-2,"Magreza",IF($K410&lt;=1,"Eutrofia",IF($K410&lt;=2,"Sobrepeso",IF($K410&lt;=3,"Obesidade","Obesidade grave")))))))</f>
        <v/>
      </c>
      <c r="M410" s="12">
        <f>IF(OR($S410="",$V410="",$T410="",$T410&lt;0,$T410&gt;228,$AG410=""),"—",ROUND(IF($AG410=0,LN($V410/$AH410)/$AI410,((($V410/$AH410)^$AG410)-1)/($AG410*$AI410)),2))</f>
        <v/>
      </c>
      <c r="N410">
        <f>IF(OR($M410="",$M410="—"),"",IF($M410&lt;-3,"Muito baixa",IF($M410&lt;-2,"Baixa","Adequada")))</f>
        <v/>
      </c>
      <c r="O410" s="12">
        <f>IF(OR($S410="",$F410="",$T410="",$T410&lt;0,$T410&gt;120,$AJ410=""),"—",ROUND(IF(ABS($AM410)&lt;=3,$AM410,IF($AM410&gt;3,3+($F410-$AO410)/($AO410-$AN410),-3+($F410-$AQ410)/($AP410-$AQ410))),2))</f>
        <v/>
      </c>
      <c r="P410">
        <f>IF(OR($O410="",$O410="—"),"",IF($O410&lt;-3,"Muito baixo",IF($O410&lt;-2,"Baixo",IF($O410&lt;=2,"Adequado","Elevado"))))</f>
        <v/>
      </c>
      <c r="Q410" s="12">
        <f>IF(OR($S410="",$F410="",$T410="",$T410&lt;0,$T410&gt;60,$AR410=""),"—",ROUND(IF(ABS($AU410)&lt;=3,$AU410,IF($AU410&gt;3,3+($F410-$AW410)/($AW410-$AV410),-3+($F410-$AY410)/($AX410-$AY410))),2))</f>
        <v/>
      </c>
      <c r="R410">
        <f>IF(OR($Q410="",$Q410="—"),"",IF($Q410&lt;-3,"Magreza acentuada",IF($Q410&lt;-2,"Magreza",IF($Q410&lt;=1,"Eutrofia",IF($Q410&lt;=2,"Risco de sobrepeso",IF($Q410&lt;=3,"Sobrepeso","Obesidade"))))))</f>
        <v/>
      </c>
      <c r="S410">
        <f>IF($C410="","",IF(UPPER(LEFT($C410,1))="M",1,IF(UPPER(LEFT($C410,1))="F",2,"")))</f>
        <v/>
      </c>
      <c r="T410">
        <f>IF(OR($D410="",$E410=""),"",DATEDIF($D410,$E410,"m"))</f>
        <v/>
      </c>
      <c r="U410">
        <f>IF(OR($D410="",$E410=""),"",$E410-$D410)</f>
        <v/>
      </c>
      <c r="V410">
        <f>IF(OR($G410="",$T410=""),"",IF($T410&lt;24,IF(LEFT(LOWER($H410),4)="em p",$G410+0.7,$G410),IF(LEFT(LOWER($H410),4)="deit",$G410-0.7,$G410)))</f>
        <v/>
      </c>
      <c r="W410">
        <f>IF(OR($S410="",$T410=""),"",$S410*1000000+IF($T410&lt;=60,$U410,$T410))</f>
        <v/>
      </c>
      <c r="X410">
        <f>IF(OR($S410="",$V410="",$T410&gt;60,$T410=""),"",$S410*1000000+ROUND($V410*10,0))</f>
        <v/>
      </c>
      <c r="Y410">
        <f>IF($W410="","",IFERROR(INDEX(IF($T410&lt;=60,imc05_l,imc519_l),MATCH($W410,IF($T410&lt;=60,imc05_k,imc519_k),1)),""))</f>
        <v/>
      </c>
      <c r="Z410">
        <f>IF($W410="","",IFERROR(INDEX(IF($T410&lt;=60,imc05_m,imc519_m),MATCH($W410,IF($T410&lt;=60,imc05_k,imc519_k),1)),""))</f>
        <v/>
      </c>
      <c r="AA410">
        <f>IF($W410="","",IFERROR(INDEX(IF($T410&lt;=60,imc05_s,imc519_s),MATCH($W410,IF($T410&lt;=60,imc05_k,imc519_k),1)),""))</f>
        <v/>
      </c>
      <c r="AB410">
        <f>IF($Y410="","",IF($Y410=0,LN($J410/$Z410)/$AA410,((($J410/$Z410)^$Y410)-1)/($Y410*$AA410)))</f>
        <v/>
      </c>
      <c r="AC410">
        <f>IF($Y410="","",IF($Y410=0,$Z410*EXP($AA410*2),$Z410*(1+$Y410*$AA410*2)^(1/$Y410)))</f>
        <v/>
      </c>
      <c r="AD410">
        <f>IF($Y410="","",IF($Y410=0,$Z410*EXP($AA410*3),$Z410*(1+$Y410*$AA410*3)^(1/$Y410)))</f>
        <v/>
      </c>
      <c r="AE410">
        <f>IF($Y410="","",IF($Y410=0,$Z410*EXP($AA410*-2),$Z410*(1+$Y410*$AA410*-2)^(1/$Y410)))</f>
        <v/>
      </c>
      <c r="AF410">
        <f>IF($Y410="","",IF($Y410=0,$Z410*EXP($AA410*-3),$Z410*(1+$Y410*$AA410*-3)^(1/$Y410)))</f>
        <v/>
      </c>
      <c r="AG410">
        <f>IF($W410="","",IFERROR(INDEX(IF($T410&lt;=60,est05_l,est519_l),MATCH($W410,IF($T410&lt;=60,est05_k,est519_k),1)),""))</f>
        <v/>
      </c>
      <c r="AH410">
        <f>IF($W410="","",IFERROR(INDEX(IF($T410&lt;=60,est05_m,est519_m),MATCH($W410,IF($T410&lt;=60,est05_k,est519_k),1)),""))</f>
        <v/>
      </c>
      <c r="AI410">
        <f>IF($W410="","",IFERROR(INDEX(IF($T410&lt;=60,est05_s,est519_s),MATCH($W410,IF($T410&lt;=60,est05_k,est519_k),1)),""))</f>
        <v/>
      </c>
      <c r="AJ410">
        <f>IF($W410="","",IFERROR(INDEX(IF($T410&lt;=60,peso05_l,peso510_l),MATCH($W410,IF($T410&lt;=60,peso05_k,peso510_k),1)),""))</f>
        <v/>
      </c>
      <c r="AK410">
        <f>IF($W410="","",IFERROR(INDEX(IF($T410&lt;=60,peso05_m,peso510_m),MATCH($W410,IF($T410&lt;=60,peso05_k,peso510_k),1)),""))</f>
        <v/>
      </c>
      <c r="AL410">
        <f>IF($W410="","",IFERROR(INDEX(IF($T410&lt;=60,peso05_s,peso510_s),MATCH($W410,IF($T410&lt;=60,peso05_k,peso510_k),1)),""))</f>
        <v/>
      </c>
      <c r="AM410">
        <f>IF($AJ410="","",IF($AJ410=0,LN($F410/$AK410)/$AL410,((($F410/$AK410)^$AJ410)-1)/($AJ410*$AL410)))</f>
        <v/>
      </c>
      <c r="AN410">
        <f>IF($AJ410="","",IF($AJ410=0,$AK410*EXP($AL410*2),$AK410*(1+$AJ410*$AL410*2)^(1/$AJ410)))</f>
        <v/>
      </c>
      <c r="AO410">
        <f>IF($AJ410="","",IF($AJ410=0,$AK410*EXP($AL410*3),$AK410*(1+$AJ410*$AL410*3)^(1/$AJ410)))</f>
        <v/>
      </c>
      <c r="AP410">
        <f>IF($AJ410="","",IF($AJ410=0,$AK410*EXP($AL410*-2),$AK410*(1+$AJ410*$AL410*-2)^(1/$AJ410)))</f>
        <v/>
      </c>
      <c r="AQ410">
        <f>IF($AJ410="","",IF($AJ410=0,$AK410*EXP($AL410*-3),$AK410*(1+$AJ410*$AL410*-3)^(1/$AJ410)))</f>
        <v/>
      </c>
      <c r="AR410">
        <f>IF(OR($X410="",$T410&gt;60),"",IFERROR(INDEX(IF($T410&lt;24,pcomp_l,palt_l),MATCH($X410,IF($T410&lt;24,pcomp_k,palt_k),1)),""))</f>
        <v/>
      </c>
      <c r="AS410">
        <f>IF(OR($X410="",$T410&gt;60),"",IFERROR(INDEX(IF($T410&lt;24,pcomp_m,palt_m),MATCH($X410,IF($T410&lt;24,pcomp_k,palt_k),1)),""))</f>
        <v/>
      </c>
      <c r="AT410">
        <f>IF(OR($X410="",$T410&gt;60),"",IFERROR(INDEX(IF($T410&lt;24,pcomp_s,palt_s),MATCH($X410,IF($T410&lt;24,pcomp_k,palt_k),1)),""))</f>
        <v/>
      </c>
      <c r="AU410">
        <f>IF($AR410="","",IF($AR410=0,LN($F410/$AS410)/$AT410,((($F410/$AS410)^$AR410)-1)/($AR410*$AT410)))</f>
        <v/>
      </c>
      <c r="AV410">
        <f>IF($AR410="","",IF($AR410=0,$AS410*EXP($AT410*2),$AS410*(1+$AR410*$AT410*2)^(1/$AR410)))</f>
        <v/>
      </c>
      <c r="AW410">
        <f>IF($AR410="","",IF($AR410=0,$AS410*EXP($AT410*3),$AS410*(1+$AR410*$AT410*3)^(1/$AR410)))</f>
        <v/>
      </c>
      <c r="AX410">
        <f>IF($AR410="","",IF($AR410=0,$AS410*EXP($AT410*-2),$AS410*(1+$AR410*$AT410*-2)^(1/$AR410)))</f>
        <v/>
      </c>
      <c r="AY410">
        <f>IF($AR410="","",IF($AR410=0,$AS410*EXP($AT410*-3),$AS410*(1+$AR410*$AT410*-3)^(1/$AR410)))</f>
        <v/>
      </c>
      <c r="AZ410">
        <f>IF(OR($A410="",$A410&lt;&gt;Ficha!$C$4),"",COUNTIF($A$2:$A410,Ficha!$C$4))</f>
        <v/>
      </c>
    </row>
    <row r="411">
      <c r="A411" s="8">
        <f>IF(INDEX(Banco!$A:$A,ROW())="","",INDEX(Banco!$A:$A,ROW()))</f>
        <v/>
      </c>
      <c r="B411" s="8">
        <f>IF(INDEX(Banco!$B:$B,ROW())="","",INDEX(Banco!$B:$B,ROW()))</f>
        <v/>
      </c>
      <c r="C411" s="8">
        <f>IF(INDEX(Banco!$C:$C,ROW())="","",INDEX(Banco!$C:$C,ROW()))</f>
        <v/>
      </c>
      <c r="D411" s="9">
        <f>IF(INDEX(Banco!$D:$D,ROW())="","",INDEX(Banco!$D:$D,ROW()))</f>
        <v/>
      </c>
      <c r="E411" s="9">
        <f>IF(INDEX(Banco!$E:$E,ROW())="","",INDEX(Banco!$E:$E,ROW()))</f>
        <v/>
      </c>
      <c r="F411" s="10">
        <f>IF(INDEX(Banco!$F:$F,ROW())="","",INDEX(Banco!$F:$F,ROW()))</f>
        <v/>
      </c>
      <c r="G411" s="10">
        <f>IF(INDEX(Banco!$G:$G,ROW())="","",INDEX(Banco!$G:$G,ROW()))</f>
        <v/>
      </c>
      <c r="H411" s="8">
        <f>IF(INDEX(Banco!$H:$H,ROW())="","",INDEX(Banco!$H:$H,ROW()))</f>
        <v/>
      </c>
      <c r="I411">
        <f>IF($T411="","",INT($T411/12)&amp;"a "&amp;MOD($T411,12)&amp;"m")</f>
        <v/>
      </c>
      <c r="J411" s="11">
        <f>IF(OR($F411="",$G411=""),"",ROUND($F411/($G411/100)^2,2))</f>
        <v/>
      </c>
      <c r="K411" s="12">
        <f>IF(OR($S411="",$J411="",$T411="",$T411&lt;0,$T411&gt;228,$Y411=""),"—",ROUND(IF(ABS($AB411)&lt;=3,$AB411,IF($AB411&gt;3,3+($J411-$AD411)/($AD411-$AC411),-3+($J411-$AF411)/($AE411-$AF411))),2))</f>
        <v/>
      </c>
      <c r="L411">
        <f>IF(OR($K411="",$K411="—"),"",IF($T411&lt;=60,IF($K411&lt;-3,"Magreza acentuada",IF($K411&lt;-2,"Magreza",IF($K411&lt;=1,"Eutrofia",IF($K411&lt;=2,"Risco de sobrepeso",IF($K411&lt;=3,"Sobrepeso","Obesidade"))))),IF($K411&lt;-3,"Magreza acentuada",IF($K411&lt;-2,"Magreza",IF($K411&lt;=1,"Eutrofia",IF($K411&lt;=2,"Sobrepeso",IF($K411&lt;=3,"Obesidade","Obesidade grave")))))))</f>
        <v/>
      </c>
      <c r="M411" s="12">
        <f>IF(OR($S411="",$V411="",$T411="",$T411&lt;0,$T411&gt;228,$AG411=""),"—",ROUND(IF($AG411=0,LN($V411/$AH411)/$AI411,((($V411/$AH411)^$AG411)-1)/($AG411*$AI411)),2))</f>
        <v/>
      </c>
      <c r="N411">
        <f>IF(OR($M411="",$M411="—"),"",IF($M411&lt;-3,"Muito baixa",IF($M411&lt;-2,"Baixa","Adequada")))</f>
        <v/>
      </c>
      <c r="O411" s="12">
        <f>IF(OR($S411="",$F411="",$T411="",$T411&lt;0,$T411&gt;120,$AJ411=""),"—",ROUND(IF(ABS($AM411)&lt;=3,$AM411,IF($AM411&gt;3,3+($F411-$AO411)/($AO411-$AN411),-3+($F411-$AQ411)/($AP411-$AQ411))),2))</f>
        <v/>
      </c>
      <c r="P411">
        <f>IF(OR($O411="",$O411="—"),"",IF($O411&lt;-3,"Muito baixo",IF($O411&lt;-2,"Baixo",IF($O411&lt;=2,"Adequado","Elevado"))))</f>
        <v/>
      </c>
      <c r="Q411" s="12">
        <f>IF(OR($S411="",$F411="",$T411="",$T411&lt;0,$T411&gt;60,$AR411=""),"—",ROUND(IF(ABS($AU411)&lt;=3,$AU411,IF($AU411&gt;3,3+($F411-$AW411)/($AW411-$AV411),-3+($F411-$AY411)/($AX411-$AY411))),2))</f>
        <v/>
      </c>
      <c r="R411">
        <f>IF(OR($Q411="",$Q411="—"),"",IF($Q411&lt;-3,"Magreza acentuada",IF($Q411&lt;-2,"Magreza",IF($Q411&lt;=1,"Eutrofia",IF($Q411&lt;=2,"Risco de sobrepeso",IF($Q411&lt;=3,"Sobrepeso","Obesidade"))))))</f>
        <v/>
      </c>
      <c r="S411">
        <f>IF($C411="","",IF(UPPER(LEFT($C411,1))="M",1,IF(UPPER(LEFT($C411,1))="F",2,"")))</f>
        <v/>
      </c>
      <c r="T411">
        <f>IF(OR($D411="",$E411=""),"",DATEDIF($D411,$E411,"m"))</f>
        <v/>
      </c>
      <c r="U411">
        <f>IF(OR($D411="",$E411=""),"",$E411-$D411)</f>
        <v/>
      </c>
      <c r="V411">
        <f>IF(OR($G411="",$T411=""),"",IF($T411&lt;24,IF(LEFT(LOWER($H411),4)="em p",$G411+0.7,$G411),IF(LEFT(LOWER($H411),4)="deit",$G411-0.7,$G411)))</f>
        <v/>
      </c>
      <c r="W411">
        <f>IF(OR($S411="",$T411=""),"",$S411*1000000+IF($T411&lt;=60,$U411,$T411))</f>
        <v/>
      </c>
      <c r="X411">
        <f>IF(OR($S411="",$V411="",$T411&gt;60,$T411=""),"",$S411*1000000+ROUND($V411*10,0))</f>
        <v/>
      </c>
      <c r="Y411">
        <f>IF($W411="","",IFERROR(INDEX(IF($T411&lt;=60,imc05_l,imc519_l),MATCH($W411,IF($T411&lt;=60,imc05_k,imc519_k),1)),""))</f>
        <v/>
      </c>
      <c r="Z411">
        <f>IF($W411="","",IFERROR(INDEX(IF($T411&lt;=60,imc05_m,imc519_m),MATCH($W411,IF($T411&lt;=60,imc05_k,imc519_k),1)),""))</f>
        <v/>
      </c>
      <c r="AA411">
        <f>IF($W411="","",IFERROR(INDEX(IF($T411&lt;=60,imc05_s,imc519_s),MATCH($W411,IF($T411&lt;=60,imc05_k,imc519_k),1)),""))</f>
        <v/>
      </c>
      <c r="AB411">
        <f>IF($Y411="","",IF($Y411=0,LN($J411/$Z411)/$AA411,((($J411/$Z411)^$Y411)-1)/($Y411*$AA411)))</f>
        <v/>
      </c>
      <c r="AC411">
        <f>IF($Y411="","",IF($Y411=0,$Z411*EXP($AA411*2),$Z411*(1+$Y411*$AA411*2)^(1/$Y411)))</f>
        <v/>
      </c>
      <c r="AD411">
        <f>IF($Y411="","",IF($Y411=0,$Z411*EXP($AA411*3),$Z411*(1+$Y411*$AA411*3)^(1/$Y411)))</f>
        <v/>
      </c>
      <c r="AE411">
        <f>IF($Y411="","",IF($Y411=0,$Z411*EXP($AA411*-2),$Z411*(1+$Y411*$AA411*-2)^(1/$Y411)))</f>
        <v/>
      </c>
      <c r="AF411">
        <f>IF($Y411="","",IF($Y411=0,$Z411*EXP($AA411*-3),$Z411*(1+$Y411*$AA411*-3)^(1/$Y411)))</f>
        <v/>
      </c>
      <c r="AG411">
        <f>IF($W411="","",IFERROR(INDEX(IF($T411&lt;=60,est05_l,est519_l),MATCH($W411,IF($T411&lt;=60,est05_k,est519_k),1)),""))</f>
        <v/>
      </c>
      <c r="AH411">
        <f>IF($W411="","",IFERROR(INDEX(IF($T411&lt;=60,est05_m,est519_m),MATCH($W411,IF($T411&lt;=60,est05_k,est519_k),1)),""))</f>
        <v/>
      </c>
      <c r="AI411">
        <f>IF($W411="","",IFERROR(INDEX(IF($T411&lt;=60,est05_s,est519_s),MATCH($W411,IF($T411&lt;=60,est05_k,est519_k),1)),""))</f>
        <v/>
      </c>
      <c r="AJ411">
        <f>IF($W411="","",IFERROR(INDEX(IF($T411&lt;=60,peso05_l,peso510_l),MATCH($W411,IF($T411&lt;=60,peso05_k,peso510_k),1)),""))</f>
        <v/>
      </c>
      <c r="AK411">
        <f>IF($W411="","",IFERROR(INDEX(IF($T411&lt;=60,peso05_m,peso510_m),MATCH($W411,IF($T411&lt;=60,peso05_k,peso510_k),1)),""))</f>
        <v/>
      </c>
      <c r="AL411">
        <f>IF($W411="","",IFERROR(INDEX(IF($T411&lt;=60,peso05_s,peso510_s),MATCH($W411,IF($T411&lt;=60,peso05_k,peso510_k),1)),""))</f>
        <v/>
      </c>
      <c r="AM411">
        <f>IF($AJ411="","",IF($AJ411=0,LN($F411/$AK411)/$AL411,((($F411/$AK411)^$AJ411)-1)/($AJ411*$AL411)))</f>
        <v/>
      </c>
      <c r="AN411">
        <f>IF($AJ411="","",IF($AJ411=0,$AK411*EXP($AL411*2),$AK411*(1+$AJ411*$AL411*2)^(1/$AJ411)))</f>
        <v/>
      </c>
      <c r="AO411">
        <f>IF($AJ411="","",IF($AJ411=0,$AK411*EXP($AL411*3),$AK411*(1+$AJ411*$AL411*3)^(1/$AJ411)))</f>
        <v/>
      </c>
      <c r="AP411">
        <f>IF($AJ411="","",IF($AJ411=0,$AK411*EXP($AL411*-2),$AK411*(1+$AJ411*$AL411*-2)^(1/$AJ411)))</f>
        <v/>
      </c>
      <c r="AQ411">
        <f>IF($AJ411="","",IF($AJ411=0,$AK411*EXP($AL411*-3),$AK411*(1+$AJ411*$AL411*-3)^(1/$AJ411)))</f>
        <v/>
      </c>
      <c r="AR411">
        <f>IF(OR($X411="",$T411&gt;60),"",IFERROR(INDEX(IF($T411&lt;24,pcomp_l,palt_l),MATCH($X411,IF($T411&lt;24,pcomp_k,palt_k),1)),""))</f>
        <v/>
      </c>
      <c r="AS411">
        <f>IF(OR($X411="",$T411&gt;60),"",IFERROR(INDEX(IF($T411&lt;24,pcomp_m,palt_m),MATCH($X411,IF($T411&lt;24,pcomp_k,palt_k),1)),""))</f>
        <v/>
      </c>
      <c r="AT411">
        <f>IF(OR($X411="",$T411&gt;60),"",IFERROR(INDEX(IF($T411&lt;24,pcomp_s,palt_s),MATCH($X411,IF($T411&lt;24,pcomp_k,palt_k),1)),""))</f>
        <v/>
      </c>
      <c r="AU411">
        <f>IF($AR411="","",IF($AR411=0,LN($F411/$AS411)/$AT411,((($F411/$AS411)^$AR411)-1)/($AR411*$AT411)))</f>
        <v/>
      </c>
      <c r="AV411">
        <f>IF($AR411="","",IF($AR411=0,$AS411*EXP($AT411*2),$AS411*(1+$AR411*$AT411*2)^(1/$AR411)))</f>
        <v/>
      </c>
      <c r="AW411">
        <f>IF($AR411="","",IF($AR411=0,$AS411*EXP($AT411*3),$AS411*(1+$AR411*$AT411*3)^(1/$AR411)))</f>
        <v/>
      </c>
      <c r="AX411">
        <f>IF($AR411="","",IF($AR411=0,$AS411*EXP($AT411*-2),$AS411*(1+$AR411*$AT411*-2)^(1/$AR411)))</f>
        <v/>
      </c>
      <c r="AY411">
        <f>IF($AR411="","",IF($AR411=0,$AS411*EXP($AT411*-3),$AS411*(1+$AR411*$AT411*-3)^(1/$AR411)))</f>
        <v/>
      </c>
      <c r="AZ411">
        <f>IF(OR($A411="",$A411&lt;&gt;Ficha!$C$4),"",COUNTIF($A$2:$A411,Ficha!$C$4))</f>
        <v/>
      </c>
    </row>
    <row r="412">
      <c r="A412" s="8">
        <f>IF(INDEX(Banco!$A:$A,ROW())="","",INDEX(Banco!$A:$A,ROW()))</f>
        <v/>
      </c>
      <c r="B412" s="8">
        <f>IF(INDEX(Banco!$B:$B,ROW())="","",INDEX(Banco!$B:$B,ROW()))</f>
        <v/>
      </c>
      <c r="C412" s="8">
        <f>IF(INDEX(Banco!$C:$C,ROW())="","",INDEX(Banco!$C:$C,ROW()))</f>
        <v/>
      </c>
      <c r="D412" s="9">
        <f>IF(INDEX(Banco!$D:$D,ROW())="","",INDEX(Banco!$D:$D,ROW()))</f>
        <v/>
      </c>
      <c r="E412" s="9">
        <f>IF(INDEX(Banco!$E:$E,ROW())="","",INDEX(Banco!$E:$E,ROW()))</f>
        <v/>
      </c>
      <c r="F412" s="10">
        <f>IF(INDEX(Banco!$F:$F,ROW())="","",INDEX(Banco!$F:$F,ROW()))</f>
        <v/>
      </c>
      <c r="G412" s="10">
        <f>IF(INDEX(Banco!$G:$G,ROW())="","",INDEX(Banco!$G:$G,ROW()))</f>
        <v/>
      </c>
      <c r="H412" s="8">
        <f>IF(INDEX(Banco!$H:$H,ROW())="","",INDEX(Banco!$H:$H,ROW()))</f>
        <v/>
      </c>
      <c r="I412">
        <f>IF($T412="","",INT($T412/12)&amp;"a "&amp;MOD($T412,12)&amp;"m")</f>
        <v/>
      </c>
      <c r="J412" s="11">
        <f>IF(OR($F412="",$G412=""),"",ROUND($F412/($G412/100)^2,2))</f>
        <v/>
      </c>
      <c r="K412" s="12">
        <f>IF(OR($S412="",$J412="",$T412="",$T412&lt;0,$T412&gt;228,$Y412=""),"—",ROUND(IF(ABS($AB412)&lt;=3,$AB412,IF($AB412&gt;3,3+($J412-$AD412)/($AD412-$AC412),-3+($J412-$AF412)/($AE412-$AF412))),2))</f>
        <v/>
      </c>
      <c r="L412">
        <f>IF(OR($K412="",$K412="—"),"",IF($T412&lt;=60,IF($K412&lt;-3,"Magreza acentuada",IF($K412&lt;-2,"Magreza",IF($K412&lt;=1,"Eutrofia",IF($K412&lt;=2,"Risco de sobrepeso",IF($K412&lt;=3,"Sobrepeso","Obesidade"))))),IF($K412&lt;-3,"Magreza acentuada",IF($K412&lt;-2,"Magreza",IF($K412&lt;=1,"Eutrofia",IF($K412&lt;=2,"Sobrepeso",IF($K412&lt;=3,"Obesidade","Obesidade grave")))))))</f>
        <v/>
      </c>
      <c r="M412" s="12">
        <f>IF(OR($S412="",$V412="",$T412="",$T412&lt;0,$T412&gt;228,$AG412=""),"—",ROUND(IF($AG412=0,LN($V412/$AH412)/$AI412,((($V412/$AH412)^$AG412)-1)/($AG412*$AI412)),2))</f>
        <v/>
      </c>
      <c r="N412">
        <f>IF(OR($M412="",$M412="—"),"",IF($M412&lt;-3,"Muito baixa",IF($M412&lt;-2,"Baixa","Adequada")))</f>
        <v/>
      </c>
      <c r="O412" s="12">
        <f>IF(OR($S412="",$F412="",$T412="",$T412&lt;0,$T412&gt;120,$AJ412=""),"—",ROUND(IF(ABS($AM412)&lt;=3,$AM412,IF($AM412&gt;3,3+($F412-$AO412)/($AO412-$AN412),-3+($F412-$AQ412)/($AP412-$AQ412))),2))</f>
        <v/>
      </c>
      <c r="P412">
        <f>IF(OR($O412="",$O412="—"),"",IF($O412&lt;-3,"Muito baixo",IF($O412&lt;-2,"Baixo",IF($O412&lt;=2,"Adequado","Elevado"))))</f>
        <v/>
      </c>
      <c r="Q412" s="12">
        <f>IF(OR($S412="",$F412="",$T412="",$T412&lt;0,$T412&gt;60,$AR412=""),"—",ROUND(IF(ABS($AU412)&lt;=3,$AU412,IF($AU412&gt;3,3+($F412-$AW412)/($AW412-$AV412),-3+($F412-$AY412)/($AX412-$AY412))),2))</f>
        <v/>
      </c>
      <c r="R412">
        <f>IF(OR($Q412="",$Q412="—"),"",IF($Q412&lt;-3,"Magreza acentuada",IF($Q412&lt;-2,"Magreza",IF($Q412&lt;=1,"Eutrofia",IF($Q412&lt;=2,"Risco de sobrepeso",IF($Q412&lt;=3,"Sobrepeso","Obesidade"))))))</f>
        <v/>
      </c>
      <c r="S412">
        <f>IF($C412="","",IF(UPPER(LEFT($C412,1))="M",1,IF(UPPER(LEFT($C412,1))="F",2,"")))</f>
        <v/>
      </c>
      <c r="T412">
        <f>IF(OR($D412="",$E412=""),"",DATEDIF($D412,$E412,"m"))</f>
        <v/>
      </c>
      <c r="U412">
        <f>IF(OR($D412="",$E412=""),"",$E412-$D412)</f>
        <v/>
      </c>
      <c r="V412">
        <f>IF(OR($G412="",$T412=""),"",IF($T412&lt;24,IF(LEFT(LOWER($H412),4)="em p",$G412+0.7,$G412),IF(LEFT(LOWER($H412),4)="deit",$G412-0.7,$G412)))</f>
        <v/>
      </c>
      <c r="W412">
        <f>IF(OR($S412="",$T412=""),"",$S412*1000000+IF($T412&lt;=60,$U412,$T412))</f>
        <v/>
      </c>
      <c r="X412">
        <f>IF(OR($S412="",$V412="",$T412&gt;60,$T412=""),"",$S412*1000000+ROUND($V412*10,0))</f>
        <v/>
      </c>
      <c r="Y412">
        <f>IF($W412="","",IFERROR(INDEX(IF($T412&lt;=60,imc05_l,imc519_l),MATCH($W412,IF($T412&lt;=60,imc05_k,imc519_k),1)),""))</f>
        <v/>
      </c>
      <c r="Z412">
        <f>IF($W412="","",IFERROR(INDEX(IF($T412&lt;=60,imc05_m,imc519_m),MATCH($W412,IF($T412&lt;=60,imc05_k,imc519_k),1)),""))</f>
        <v/>
      </c>
      <c r="AA412">
        <f>IF($W412="","",IFERROR(INDEX(IF($T412&lt;=60,imc05_s,imc519_s),MATCH($W412,IF($T412&lt;=60,imc05_k,imc519_k),1)),""))</f>
        <v/>
      </c>
      <c r="AB412">
        <f>IF($Y412="","",IF($Y412=0,LN($J412/$Z412)/$AA412,((($J412/$Z412)^$Y412)-1)/($Y412*$AA412)))</f>
        <v/>
      </c>
      <c r="AC412">
        <f>IF($Y412="","",IF($Y412=0,$Z412*EXP($AA412*2),$Z412*(1+$Y412*$AA412*2)^(1/$Y412)))</f>
        <v/>
      </c>
      <c r="AD412">
        <f>IF($Y412="","",IF($Y412=0,$Z412*EXP($AA412*3),$Z412*(1+$Y412*$AA412*3)^(1/$Y412)))</f>
        <v/>
      </c>
      <c r="AE412">
        <f>IF($Y412="","",IF($Y412=0,$Z412*EXP($AA412*-2),$Z412*(1+$Y412*$AA412*-2)^(1/$Y412)))</f>
        <v/>
      </c>
      <c r="AF412">
        <f>IF($Y412="","",IF($Y412=0,$Z412*EXP($AA412*-3),$Z412*(1+$Y412*$AA412*-3)^(1/$Y412)))</f>
        <v/>
      </c>
      <c r="AG412">
        <f>IF($W412="","",IFERROR(INDEX(IF($T412&lt;=60,est05_l,est519_l),MATCH($W412,IF($T412&lt;=60,est05_k,est519_k),1)),""))</f>
        <v/>
      </c>
      <c r="AH412">
        <f>IF($W412="","",IFERROR(INDEX(IF($T412&lt;=60,est05_m,est519_m),MATCH($W412,IF($T412&lt;=60,est05_k,est519_k),1)),""))</f>
        <v/>
      </c>
      <c r="AI412">
        <f>IF($W412="","",IFERROR(INDEX(IF($T412&lt;=60,est05_s,est519_s),MATCH($W412,IF($T412&lt;=60,est05_k,est519_k),1)),""))</f>
        <v/>
      </c>
      <c r="AJ412">
        <f>IF($W412="","",IFERROR(INDEX(IF($T412&lt;=60,peso05_l,peso510_l),MATCH($W412,IF($T412&lt;=60,peso05_k,peso510_k),1)),""))</f>
        <v/>
      </c>
      <c r="AK412">
        <f>IF($W412="","",IFERROR(INDEX(IF($T412&lt;=60,peso05_m,peso510_m),MATCH($W412,IF($T412&lt;=60,peso05_k,peso510_k),1)),""))</f>
        <v/>
      </c>
      <c r="AL412">
        <f>IF($W412="","",IFERROR(INDEX(IF($T412&lt;=60,peso05_s,peso510_s),MATCH($W412,IF($T412&lt;=60,peso05_k,peso510_k),1)),""))</f>
        <v/>
      </c>
      <c r="AM412">
        <f>IF($AJ412="","",IF($AJ412=0,LN($F412/$AK412)/$AL412,((($F412/$AK412)^$AJ412)-1)/($AJ412*$AL412)))</f>
        <v/>
      </c>
      <c r="AN412">
        <f>IF($AJ412="","",IF($AJ412=0,$AK412*EXP($AL412*2),$AK412*(1+$AJ412*$AL412*2)^(1/$AJ412)))</f>
        <v/>
      </c>
      <c r="AO412">
        <f>IF($AJ412="","",IF($AJ412=0,$AK412*EXP($AL412*3),$AK412*(1+$AJ412*$AL412*3)^(1/$AJ412)))</f>
        <v/>
      </c>
      <c r="AP412">
        <f>IF($AJ412="","",IF($AJ412=0,$AK412*EXP($AL412*-2),$AK412*(1+$AJ412*$AL412*-2)^(1/$AJ412)))</f>
        <v/>
      </c>
      <c r="AQ412">
        <f>IF($AJ412="","",IF($AJ412=0,$AK412*EXP($AL412*-3),$AK412*(1+$AJ412*$AL412*-3)^(1/$AJ412)))</f>
        <v/>
      </c>
      <c r="AR412">
        <f>IF(OR($X412="",$T412&gt;60),"",IFERROR(INDEX(IF($T412&lt;24,pcomp_l,palt_l),MATCH($X412,IF($T412&lt;24,pcomp_k,palt_k),1)),""))</f>
        <v/>
      </c>
      <c r="AS412">
        <f>IF(OR($X412="",$T412&gt;60),"",IFERROR(INDEX(IF($T412&lt;24,pcomp_m,palt_m),MATCH($X412,IF($T412&lt;24,pcomp_k,palt_k),1)),""))</f>
        <v/>
      </c>
      <c r="AT412">
        <f>IF(OR($X412="",$T412&gt;60),"",IFERROR(INDEX(IF($T412&lt;24,pcomp_s,palt_s),MATCH($X412,IF($T412&lt;24,pcomp_k,palt_k),1)),""))</f>
        <v/>
      </c>
      <c r="AU412">
        <f>IF($AR412="","",IF($AR412=0,LN($F412/$AS412)/$AT412,((($F412/$AS412)^$AR412)-1)/($AR412*$AT412)))</f>
        <v/>
      </c>
      <c r="AV412">
        <f>IF($AR412="","",IF($AR412=0,$AS412*EXP($AT412*2),$AS412*(1+$AR412*$AT412*2)^(1/$AR412)))</f>
        <v/>
      </c>
      <c r="AW412">
        <f>IF($AR412="","",IF($AR412=0,$AS412*EXP($AT412*3),$AS412*(1+$AR412*$AT412*3)^(1/$AR412)))</f>
        <v/>
      </c>
      <c r="AX412">
        <f>IF($AR412="","",IF($AR412=0,$AS412*EXP($AT412*-2),$AS412*(1+$AR412*$AT412*-2)^(1/$AR412)))</f>
        <v/>
      </c>
      <c r="AY412">
        <f>IF($AR412="","",IF($AR412=0,$AS412*EXP($AT412*-3),$AS412*(1+$AR412*$AT412*-3)^(1/$AR412)))</f>
        <v/>
      </c>
      <c r="AZ412">
        <f>IF(OR($A412="",$A412&lt;&gt;Ficha!$C$4),"",COUNTIF($A$2:$A412,Ficha!$C$4))</f>
        <v/>
      </c>
    </row>
    <row r="413">
      <c r="A413" s="8">
        <f>IF(INDEX(Banco!$A:$A,ROW())="","",INDEX(Banco!$A:$A,ROW()))</f>
        <v/>
      </c>
      <c r="B413" s="8">
        <f>IF(INDEX(Banco!$B:$B,ROW())="","",INDEX(Banco!$B:$B,ROW()))</f>
        <v/>
      </c>
      <c r="C413" s="8">
        <f>IF(INDEX(Banco!$C:$C,ROW())="","",INDEX(Banco!$C:$C,ROW()))</f>
        <v/>
      </c>
      <c r="D413" s="9">
        <f>IF(INDEX(Banco!$D:$D,ROW())="","",INDEX(Banco!$D:$D,ROW()))</f>
        <v/>
      </c>
      <c r="E413" s="9">
        <f>IF(INDEX(Banco!$E:$E,ROW())="","",INDEX(Banco!$E:$E,ROW()))</f>
        <v/>
      </c>
      <c r="F413" s="10">
        <f>IF(INDEX(Banco!$F:$F,ROW())="","",INDEX(Banco!$F:$F,ROW()))</f>
        <v/>
      </c>
      <c r="G413" s="10">
        <f>IF(INDEX(Banco!$G:$G,ROW())="","",INDEX(Banco!$G:$G,ROW()))</f>
        <v/>
      </c>
      <c r="H413" s="8">
        <f>IF(INDEX(Banco!$H:$H,ROW())="","",INDEX(Banco!$H:$H,ROW()))</f>
        <v/>
      </c>
      <c r="I413">
        <f>IF($T413="","",INT($T413/12)&amp;"a "&amp;MOD($T413,12)&amp;"m")</f>
        <v/>
      </c>
      <c r="J413" s="11">
        <f>IF(OR($F413="",$G413=""),"",ROUND($F413/($G413/100)^2,2))</f>
        <v/>
      </c>
      <c r="K413" s="12">
        <f>IF(OR($S413="",$J413="",$T413="",$T413&lt;0,$T413&gt;228,$Y413=""),"—",ROUND(IF(ABS($AB413)&lt;=3,$AB413,IF($AB413&gt;3,3+($J413-$AD413)/($AD413-$AC413),-3+($J413-$AF413)/($AE413-$AF413))),2))</f>
        <v/>
      </c>
      <c r="L413">
        <f>IF(OR($K413="",$K413="—"),"",IF($T413&lt;=60,IF($K413&lt;-3,"Magreza acentuada",IF($K413&lt;-2,"Magreza",IF($K413&lt;=1,"Eutrofia",IF($K413&lt;=2,"Risco de sobrepeso",IF($K413&lt;=3,"Sobrepeso","Obesidade"))))),IF($K413&lt;-3,"Magreza acentuada",IF($K413&lt;-2,"Magreza",IF($K413&lt;=1,"Eutrofia",IF($K413&lt;=2,"Sobrepeso",IF($K413&lt;=3,"Obesidade","Obesidade grave")))))))</f>
        <v/>
      </c>
      <c r="M413" s="12">
        <f>IF(OR($S413="",$V413="",$T413="",$T413&lt;0,$T413&gt;228,$AG413=""),"—",ROUND(IF($AG413=0,LN($V413/$AH413)/$AI413,((($V413/$AH413)^$AG413)-1)/($AG413*$AI413)),2))</f>
        <v/>
      </c>
      <c r="N413">
        <f>IF(OR($M413="",$M413="—"),"",IF($M413&lt;-3,"Muito baixa",IF($M413&lt;-2,"Baixa","Adequada")))</f>
        <v/>
      </c>
      <c r="O413" s="12">
        <f>IF(OR($S413="",$F413="",$T413="",$T413&lt;0,$T413&gt;120,$AJ413=""),"—",ROUND(IF(ABS($AM413)&lt;=3,$AM413,IF($AM413&gt;3,3+($F413-$AO413)/($AO413-$AN413),-3+($F413-$AQ413)/($AP413-$AQ413))),2))</f>
        <v/>
      </c>
      <c r="P413">
        <f>IF(OR($O413="",$O413="—"),"",IF($O413&lt;-3,"Muito baixo",IF($O413&lt;-2,"Baixo",IF($O413&lt;=2,"Adequado","Elevado"))))</f>
        <v/>
      </c>
      <c r="Q413" s="12">
        <f>IF(OR($S413="",$F413="",$T413="",$T413&lt;0,$T413&gt;60,$AR413=""),"—",ROUND(IF(ABS($AU413)&lt;=3,$AU413,IF($AU413&gt;3,3+($F413-$AW413)/($AW413-$AV413),-3+($F413-$AY413)/($AX413-$AY413))),2))</f>
        <v/>
      </c>
      <c r="R413">
        <f>IF(OR($Q413="",$Q413="—"),"",IF($Q413&lt;-3,"Magreza acentuada",IF($Q413&lt;-2,"Magreza",IF($Q413&lt;=1,"Eutrofia",IF($Q413&lt;=2,"Risco de sobrepeso",IF($Q413&lt;=3,"Sobrepeso","Obesidade"))))))</f>
        <v/>
      </c>
      <c r="S413">
        <f>IF($C413="","",IF(UPPER(LEFT($C413,1))="M",1,IF(UPPER(LEFT($C413,1))="F",2,"")))</f>
        <v/>
      </c>
      <c r="T413">
        <f>IF(OR($D413="",$E413=""),"",DATEDIF($D413,$E413,"m"))</f>
        <v/>
      </c>
      <c r="U413">
        <f>IF(OR($D413="",$E413=""),"",$E413-$D413)</f>
        <v/>
      </c>
      <c r="V413">
        <f>IF(OR($G413="",$T413=""),"",IF($T413&lt;24,IF(LEFT(LOWER($H413),4)="em p",$G413+0.7,$G413),IF(LEFT(LOWER($H413),4)="deit",$G413-0.7,$G413)))</f>
        <v/>
      </c>
      <c r="W413">
        <f>IF(OR($S413="",$T413=""),"",$S413*1000000+IF($T413&lt;=60,$U413,$T413))</f>
        <v/>
      </c>
      <c r="X413">
        <f>IF(OR($S413="",$V413="",$T413&gt;60,$T413=""),"",$S413*1000000+ROUND($V413*10,0))</f>
        <v/>
      </c>
      <c r="Y413">
        <f>IF($W413="","",IFERROR(INDEX(IF($T413&lt;=60,imc05_l,imc519_l),MATCH($W413,IF($T413&lt;=60,imc05_k,imc519_k),1)),""))</f>
        <v/>
      </c>
      <c r="Z413">
        <f>IF($W413="","",IFERROR(INDEX(IF($T413&lt;=60,imc05_m,imc519_m),MATCH($W413,IF($T413&lt;=60,imc05_k,imc519_k),1)),""))</f>
        <v/>
      </c>
      <c r="AA413">
        <f>IF($W413="","",IFERROR(INDEX(IF($T413&lt;=60,imc05_s,imc519_s),MATCH($W413,IF($T413&lt;=60,imc05_k,imc519_k),1)),""))</f>
        <v/>
      </c>
      <c r="AB413">
        <f>IF($Y413="","",IF($Y413=0,LN($J413/$Z413)/$AA413,((($J413/$Z413)^$Y413)-1)/($Y413*$AA413)))</f>
        <v/>
      </c>
      <c r="AC413">
        <f>IF($Y413="","",IF($Y413=0,$Z413*EXP($AA413*2),$Z413*(1+$Y413*$AA413*2)^(1/$Y413)))</f>
        <v/>
      </c>
      <c r="AD413">
        <f>IF($Y413="","",IF($Y413=0,$Z413*EXP($AA413*3),$Z413*(1+$Y413*$AA413*3)^(1/$Y413)))</f>
        <v/>
      </c>
      <c r="AE413">
        <f>IF($Y413="","",IF($Y413=0,$Z413*EXP($AA413*-2),$Z413*(1+$Y413*$AA413*-2)^(1/$Y413)))</f>
        <v/>
      </c>
      <c r="AF413">
        <f>IF($Y413="","",IF($Y413=0,$Z413*EXP($AA413*-3),$Z413*(1+$Y413*$AA413*-3)^(1/$Y413)))</f>
        <v/>
      </c>
      <c r="AG413">
        <f>IF($W413="","",IFERROR(INDEX(IF($T413&lt;=60,est05_l,est519_l),MATCH($W413,IF($T413&lt;=60,est05_k,est519_k),1)),""))</f>
        <v/>
      </c>
      <c r="AH413">
        <f>IF($W413="","",IFERROR(INDEX(IF($T413&lt;=60,est05_m,est519_m),MATCH($W413,IF($T413&lt;=60,est05_k,est519_k),1)),""))</f>
        <v/>
      </c>
      <c r="AI413">
        <f>IF($W413="","",IFERROR(INDEX(IF($T413&lt;=60,est05_s,est519_s),MATCH($W413,IF($T413&lt;=60,est05_k,est519_k),1)),""))</f>
        <v/>
      </c>
      <c r="AJ413">
        <f>IF($W413="","",IFERROR(INDEX(IF($T413&lt;=60,peso05_l,peso510_l),MATCH($W413,IF($T413&lt;=60,peso05_k,peso510_k),1)),""))</f>
        <v/>
      </c>
      <c r="AK413">
        <f>IF($W413="","",IFERROR(INDEX(IF($T413&lt;=60,peso05_m,peso510_m),MATCH($W413,IF($T413&lt;=60,peso05_k,peso510_k),1)),""))</f>
        <v/>
      </c>
      <c r="AL413">
        <f>IF($W413="","",IFERROR(INDEX(IF($T413&lt;=60,peso05_s,peso510_s),MATCH($W413,IF($T413&lt;=60,peso05_k,peso510_k),1)),""))</f>
        <v/>
      </c>
      <c r="AM413">
        <f>IF($AJ413="","",IF($AJ413=0,LN($F413/$AK413)/$AL413,((($F413/$AK413)^$AJ413)-1)/($AJ413*$AL413)))</f>
        <v/>
      </c>
      <c r="AN413">
        <f>IF($AJ413="","",IF($AJ413=0,$AK413*EXP($AL413*2),$AK413*(1+$AJ413*$AL413*2)^(1/$AJ413)))</f>
        <v/>
      </c>
      <c r="AO413">
        <f>IF($AJ413="","",IF($AJ413=0,$AK413*EXP($AL413*3),$AK413*(1+$AJ413*$AL413*3)^(1/$AJ413)))</f>
        <v/>
      </c>
      <c r="AP413">
        <f>IF($AJ413="","",IF($AJ413=0,$AK413*EXP($AL413*-2),$AK413*(1+$AJ413*$AL413*-2)^(1/$AJ413)))</f>
        <v/>
      </c>
      <c r="AQ413">
        <f>IF($AJ413="","",IF($AJ413=0,$AK413*EXP($AL413*-3),$AK413*(1+$AJ413*$AL413*-3)^(1/$AJ413)))</f>
        <v/>
      </c>
      <c r="AR413">
        <f>IF(OR($X413="",$T413&gt;60),"",IFERROR(INDEX(IF($T413&lt;24,pcomp_l,palt_l),MATCH($X413,IF($T413&lt;24,pcomp_k,palt_k),1)),""))</f>
        <v/>
      </c>
      <c r="AS413">
        <f>IF(OR($X413="",$T413&gt;60),"",IFERROR(INDEX(IF($T413&lt;24,pcomp_m,palt_m),MATCH($X413,IF($T413&lt;24,pcomp_k,palt_k),1)),""))</f>
        <v/>
      </c>
      <c r="AT413">
        <f>IF(OR($X413="",$T413&gt;60),"",IFERROR(INDEX(IF($T413&lt;24,pcomp_s,palt_s),MATCH($X413,IF($T413&lt;24,pcomp_k,palt_k),1)),""))</f>
        <v/>
      </c>
      <c r="AU413">
        <f>IF($AR413="","",IF($AR413=0,LN($F413/$AS413)/$AT413,((($F413/$AS413)^$AR413)-1)/($AR413*$AT413)))</f>
        <v/>
      </c>
      <c r="AV413">
        <f>IF($AR413="","",IF($AR413=0,$AS413*EXP($AT413*2),$AS413*(1+$AR413*$AT413*2)^(1/$AR413)))</f>
        <v/>
      </c>
      <c r="AW413">
        <f>IF($AR413="","",IF($AR413=0,$AS413*EXP($AT413*3),$AS413*(1+$AR413*$AT413*3)^(1/$AR413)))</f>
        <v/>
      </c>
      <c r="AX413">
        <f>IF($AR413="","",IF($AR413=0,$AS413*EXP($AT413*-2),$AS413*(1+$AR413*$AT413*-2)^(1/$AR413)))</f>
        <v/>
      </c>
      <c r="AY413">
        <f>IF($AR413="","",IF($AR413=0,$AS413*EXP($AT413*-3),$AS413*(1+$AR413*$AT413*-3)^(1/$AR413)))</f>
        <v/>
      </c>
      <c r="AZ413">
        <f>IF(OR($A413="",$A413&lt;&gt;Ficha!$C$4),"",COUNTIF($A$2:$A413,Ficha!$C$4))</f>
        <v/>
      </c>
    </row>
    <row r="414">
      <c r="A414" s="8">
        <f>IF(INDEX(Banco!$A:$A,ROW())="","",INDEX(Banco!$A:$A,ROW()))</f>
        <v/>
      </c>
      <c r="B414" s="8">
        <f>IF(INDEX(Banco!$B:$B,ROW())="","",INDEX(Banco!$B:$B,ROW()))</f>
        <v/>
      </c>
      <c r="C414" s="8">
        <f>IF(INDEX(Banco!$C:$C,ROW())="","",INDEX(Banco!$C:$C,ROW()))</f>
        <v/>
      </c>
      <c r="D414" s="9">
        <f>IF(INDEX(Banco!$D:$D,ROW())="","",INDEX(Banco!$D:$D,ROW()))</f>
        <v/>
      </c>
      <c r="E414" s="9">
        <f>IF(INDEX(Banco!$E:$E,ROW())="","",INDEX(Banco!$E:$E,ROW()))</f>
        <v/>
      </c>
      <c r="F414" s="10">
        <f>IF(INDEX(Banco!$F:$F,ROW())="","",INDEX(Banco!$F:$F,ROW()))</f>
        <v/>
      </c>
      <c r="G414" s="10">
        <f>IF(INDEX(Banco!$G:$G,ROW())="","",INDEX(Banco!$G:$G,ROW()))</f>
        <v/>
      </c>
      <c r="H414" s="8">
        <f>IF(INDEX(Banco!$H:$H,ROW())="","",INDEX(Banco!$H:$H,ROW()))</f>
        <v/>
      </c>
      <c r="I414">
        <f>IF($T414="","",INT($T414/12)&amp;"a "&amp;MOD($T414,12)&amp;"m")</f>
        <v/>
      </c>
      <c r="J414" s="11">
        <f>IF(OR($F414="",$G414=""),"",ROUND($F414/($G414/100)^2,2))</f>
        <v/>
      </c>
      <c r="K414" s="12">
        <f>IF(OR($S414="",$J414="",$T414="",$T414&lt;0,$T414&gt;228,$Y414=""),"—",ROUND(IF(ABS($AB414)&lt;=3,$AB414,IF($AB414&gt;3,3+($J414-$AD414)/($AD414-$AC414),-3+($J414-$AF414)/($AE414-$AF414))),2))</f>
        <v/>
      </c>
      <c r="L414">
        <f>IF(OR($K414="",$K414="—"),"",IF($T414&lt;=60,IF($K414&lt;-3,"Magreza acentuada",IF($K414&lt;-2,"Magreza",IF($K414&lt;=1,"Eutrofia",IF($K414&lt;=2,"Risco de sobrepeso",IF($K414&lt;=3,"Sobrepeso","Obesidade"))))),IF($K414&lt;-3,"Magreza acentuada",IF($K414&lt;-2,"Magreza",IF($K414&lt;=1,"Eutrofia",IF($K414&lt;=2,"Sobrepeso",IF($K414&lt;=3,"Obesidade","Obesidade grave")))))))</f>
        <v/>
      </c>
      <c r="M414" s="12">
        <f>IF(OR($S414="",$V414="",$T414="",$T414&lt;0,$T414&gt;228,$AG414=""),"—",ROUND(IF($AG414=0,LN($V414/$AH414)/$AI414,((($V414/$AH414)^$AG414)-1)/($AG414*$AI414)),2))</f>
        <v/>
      </c>
      <c r="N414">
        <f>IF(OR($M414="",$M414="—"),"",IF($M414&lt;-3,"Muito baixa",IF($M414&lt;-2,"Baixa","Adequada")))</f>
        <v/>
      </c>
      <c r="O414" s="12">
        <f>IF(OR($S414="",$F414="",$T414="",$T414&lt;0,$T414&gt;120,$AJ414=""),"—",ROUND(IF(ABS($AM414)&lt;=3,$AM414,IF($AM414&gt;3,3+($F414-$AO414)/($AO414-$AN414),-3+($F414-$AQ414)/($AP414-$AQ414))),2))</f>
        <v/>
      </c>
      <c r="P414">
        <f>IF(OR($O414="",$O414="—"),"",IF($O414&lt;-3,"Muito baixo",IF($O414&lt;-2,"Baixo",IF($O414&lt;=2,"Adequado","Elevado"))))</f>
        <v/>
      </c>
      <c r="Q414" s="12">
        <f>IF(OR($S414="",$F414="",$T414="",$T414&lt;0,$T414&gt;60,$AR414=""),"—",ROUND(IF(ABS($AU414)&lt;=3,$AU414,IF($AU414&gt;3,3+($F414-$AW414)/($AW414-$AV414),-3+($F414-$AY414)/($AX414-$AY414))),2))</f>
        <v/>
      </c>
      <c r="R414">
        <f>IF(OR($Q414="",$Q414="—"),"",IF($Q414&lt;-3,"Magreza acentuada",IF($Q414&lt;-2,"Magreza",IF($Q414&lt;=1,"Eutrofia",IF($Q414&lt;=2,"Risco de sobrepeso",IF($Q414&lt;=3,"Sobrepeso","Obesidade"))))))</f>
        <v/>
      </c>
      <c r="S414">
        <f>IF($C414="","",IF(UPPER(LEFT($C414,1))="M",1,IF(UPPER(LEFT($C414,1))="F",2,"")))</f>
        <v/>
      </c>
      <c r="T414">
        <f>IF(OR($D414="",$E414=""),"",DATEDIF($D414,$E414,"m"))</f>
        <v/>
      </c>
      <c r="U414">
        <f>IF(OR($D414="",$E414=""),"",$E414-$D414)</f>
        <v/>
      </c>
      <c r="V414">
        <f>IF(OR($G414="",$T414=""),"",IF($T414&lt;24,IF(LEFT(LOWER($H414),4)="em p",$G414+0.7,$G414),IF(LEFT(LOWER($H414),4)="deit",$G414-0.7,$G414)))</f>
        <v/>
      </c>
      <c r="W414">
        <f>IF(OR($S414="",$T414=""),"",$S414*1000000+IF($T414&lt;=60,$U414,$T414))</f>
        <v/>
      </c>
      <c r="X414">
        <f>IF(OR($S414="",$V414="",$T414&gt;60,$T414=""),"",$S414*1000000+ROUND($V414*10,0))</f>
        <v/>
      </c>
      <c r="Y414">
        <f>IF($W414="","",IFERROR(INDEX(IF($T414&lt;=60,imc05_l,imc519_l),MATCH($W414,IF($T414&lt;=60,imc05_k,imc519_k),1)),""))</f>
        <v/>
      </c>
      <c r="Z414">
        <f>IF($W414="","",IFERROR(INDEX(IF($T414&lt;=60,imc05_m,imc519_m),MATCH($W414,IF($T414&lt;=60,imc05_k,imc519_k),1)),""))</f>
        <v/>
      </c>
      <c r="AA414">
        <f>IF($W414="","",IFERROR(INDEX(IF($T414&lt;=60,imc05_s,imc519_s),MATCH($W414,IF($T414&lt;=60,imc05_k,imc519_k),1)),""))</f>
        <v/>
      </c>
      <c r="AB414">
        <f>IF($Y414="","",IF($Y414=0,LN($J414/$Z414)/$AA414,((($J414/$Z414)^$Y414)-1)/($Y414*$AA414)))</f>
        <v/>
      </c>
      <c r="AC414">
        <f>IF($Y414="","",IF($Y414=0,$Z414*EXP($AA414*2),$Z414*(1+$Y414*$AA414*2)^(1/$Y414)))</f>
        <v/>
      </c>
      <c r="AD414">
        <f>IF($Y414="","",IF($Y414=0,$Z414*EXP($AA414*3),$Z414*(1+$Y414*$AA414*3)^(1/$Y414)))</f>
        <v/>
      </c>
      <c r="AE414">
        <f>IF($Y414="","",IF($Y414=0,$Z414*EXP($AA414*-2),$Z414*(1+$Y414*$AA414*-2)^(1/$Y414)))</f>
        <v/>
      </c>
      <c r="AF414">
        <f>IF($Y414="","",IF($Y414=0,$Z414*EXP($AA414*-3),$Z414*(1+$Y414*$AA414*-3)^(1/$Y414)))</f>
        <v/>
      </c>
      <c r="AG414">
        <f>IF($W414="","",IFERROR(INDEX(IF($T414&lt;=60,est05_l,est519_l),MATCH($W414,IF($T414&lt;=60,est05_k,est519_k),1)),""))</f>
        <v/>
      </c>
      <c r="AH414">
        <f>IF($W414="","",IFERROR(INDEX(IF($T414&lt;=60,est05_m,est519_m),MATCH($W414,IF($T414&lt;=60,est05_k,est519_k),1)),""))</f>
        <v/>
      </c>
      <c r="AI414">
        <f>IF($W414="","",IFERROR(INDEX(IF($T414&lt;=60,est05_s,est519_s),MATCH($W414,IF($T414&lt;=60,est05_k,est519_k),1)),""))</f>
        <v/>
      </c>
      <c r="AJ414">
        <f>IF($W414="","",IFERROR(INDEX(IF($T414&lt;=60,peso05_l,peso510_l),MATCH($W414,IF($T414&lt;=60,peso05_k,peso510_k),1)),""))</f>
        <v/>
      </c>
      <c r="AK414">
        <f>IF($W414="","",IFERROR(INDEX(IF($T414&lt;=60,peso05_m,peso510_m),MATCH($W414,IF($T414&lt;=60,peso05_k,peso510_k),1)),""))</f>
        <v/>
      </c>
      <c r="AL414">
        <f>IF($W414="","",IFERROR(INDEX(IF($T414&lt;=60,peso05_s,peso510_s),MATCH($W414,IF($T414&lt;=60,peso05_k,peso510_k),1)),""))</f>
        <v/>
      </c>
      <c r="AM414">
        <f>IF($AJ414="","",IF($AJ414=0,LN($F414/$AK414)/$AL414,((($F414/$AK414)^$AJ414)-1)/($AJ414*$AL414)))</f>
        <v/>
      </c>
      <c r="AN414">
        <f>IF($AJ414="","",IF($AJ414=0,$AK414*EXP($AL414*2),$AK414*(1+$AJ414*$AL414*2)^(1/$AJ414)))</f>
        <v/>
      </c>
      <c r="AO414">
        <f>IF($AJ414="","",IF($AJ414=0,$AK414*EXP($AL414*3),$AK414*(1+$AJ414*$AL414*3)^(1/$AJ414)))</f>
        <v/>
      </c>
      <c r="AP414">
        <f>IF($AJ414="","",IF($AJ414=0,$AK414*EXP($AL414*-2),$AK414*(1+$AJ414*$AL414*-2)^(1/$AJ414)))</f>
        <v/>
      </c>
      <c r="AQ414">
        <f>IF($AJ414="","",IF($AJ414=0,$AK414*EXP($AL414*-3),$AK414*(1+$AJ414*$AL414*-3)^(1/$AJ414)))</f>
        <v/>
      </c>
      <c r="AR414">
        <f>IF(OR($X414="",$T414&gt;60),"",IFERROR(INDEX(IF($T414&lt;24,pcomp_l,palt_l),MATCH($X414,IF($T414&lt;24,pcomp_k,palt_k),1)),""))</f>
        <v/>
      </c>
      <c r="AS414">
        <f>IF(OR($X414="",$T414&gt;60),"",IFERROR(INDEX(IF($T414&lt;24,pcomp_m,palt_m),MATCH($X414,IF($T414&lt;24,pcomp_k,palt_k),1)),""))</f>
        <v/>
      </c>
      <c r="AT414">
        <f>IF(OR($X414="",$T414&gt;60),"",IFERROR(INDEX(IF($T414&lt;24,pcomp_s,palt_s),MATCH($X414,IF($T414&lt;24,pcomp_k,palt_k),1)),""))</f>
        <v/>
      </c>
      <c r="AU414">
        <f>IF($AR414="","",IF($AR414=0,LN($F414/$AS414)/$AT414,((($F414/$AS414)^$AR414)-1)/($AR414*$AT414)))</f>
        <v/>
      </c>
      <c r="AV414">
        <f>IF($AR414="","",IF($AR414=0,$AS414*EXP($AT414*2),$AS414*(1+$AR414*$AT414*2)^(1/$AR414)))</f>
        <v/>
      </c>
      <c r="AW414">
        <f>IF($AR414="","",IF($AR414=0,$AS414*EXP($AT414*3),$AS414*(1+$AR414*$AT414*3)^(1/$AR414)))</f>
        <v/>
      </c>
      <c r="AX414">
        <f>IF($AR414="","",IF($AR414=0,$AS414*EXP($AT414*-2),$AS414*(1+$AR414*$AT414*-2)^(1/$AR414)))</f>
        <v/>
      </c>
      <c r="AY414">
        <f>IF($AR414="","",IF($AR414=0,$AS414*EXP($AT414*-3),$AS414*(1+$AR414*$AT414*-3)^(1/$AR414)))</f>
        <v/>
      </c>
      <c r="AZ414">
        <f>IF(OR($A414="",$A414&lt;&gt;Ficha!$C$4),"",COUNTIF($A$2:$A414,Ficha!$C$4))</f>
        <v/>
      </c>
    </row>
    <row r="415">
      <c r="A415" s="8">
        <f>IF(INDEX(Banco!$A:$A,ROW())="","",INDEX(Banco!$A:$A,ROW()))</f>
        <v/>
      </c>
      <c r="B415" s="8">
        <f>IF(INDEX(Banco!$B:$B,ROW())="","",INDEX(Banco!$B:$B,ROW()))</f>
        <v/>
      </c>
      <c r="C415" s="8">
        <f>IF(INDEX(Banco!$C:$C,ROW())="","",INDEX(Banco!$C:$C,ROW()))</f>
        <v/>
      </c>
      <c r="D415" s="9">
        <f>IF(INDEX(Banco!$D:$D,ROW())="","",INDEX(Banco!$D:$D,ROW()))</f>
        <v/>
      </c>
      <c r="E415" s="9">
        <f>IF(INDEX(Banco!$E:$E,ROW())="","",INDEX(Banco!$E:$E,ROW()))</f>
        <v/>
      </c>
      <c r="F415" s="10">
        <f>IF(INDEX(Banco!$F:$F,ROW())="","",INDEX(Banco!$F:$F,ROW()))</f>
        <v/>
      </c>
      <c r="G415" s="10">
        <f>IF(INDEX(Banco!$G:$G,ROW())="","",INDEX(Banco!$G:$G,ROW()))</f>
        <v/>
      </c>
      <c r="H415" s="8">
        <f>IF(INDEX(Banco!$H:$H,ROW())="","",INDEX(Banco!$H:$H,ROW()))</f>
        <v/>
      </c>
      <c r="I415">
        <f>IF($T415="","",INT($T415/12)&amp;"a "&amp;MOD($T415,12)&amp;"m")</f>
        <v/>
      </c>
      <c r="J415" s="11">
        <f>IF(OR($F415="",$G415=""),"",ROUND($F415/($G415/100)^2,2))</f>
        <v/>
      </c>
      <c r="K415" s="12">
        <f>IF(OR($S415="",$J415="",$T415="",$T415&lt;0,$T415&gt;228,$Y415=""),"—",ROUND(IF(ABS($AB415)&lt;=3,$AB415,IF($AB415&gt;3,3+($J415-$AD415)/($AD415-$AC415),-3+($J415-$AF415)/($AE415-$AF415))),2))</f>
        <v/>
      </c>
      <c r="L415">
        <f>IF(OR($K415="",$K415="—"),"",IF($T415&lt;=60,IF($K415&lt;-3,"Magreza acentuada",IF($K415&lt;-2,"Magreza",IF($K415&lt;=1,"Eutrofia",IF($K415&lt;=2,"Risco de sobrepeso",IF($K415&lt;=3,"Sobrepeso","Obesidade"))))),IF($K415&lt;-3,"Magreza acentuada",IF($K415&lt;-2,"Magreza",IF($K415&lt;=1,"Eutrofia",IF($K415&lt;=2,"Sobrepeso",IF($K415&lt;=3,"Obesidade","Obesidade grave")))))))</f>
        <v/>
      </c>
      <c r="M415" s="12">
        <f>IF(OR($S415="",$V415="",$T415="",$T415&lt;0,$T415&gt;228,$AG415=""),"—",ROUND(IF($AG415=0,LN($V415/$AH415)/$AI415,((($V415/$AH415)^$AG415)-1)/($AG415*$AI415)),2))</f>
        <v/>
      </c>
      <c r="N415">
        <f>IF(OR($M415="",$M415="—"),"",IF($M415&lt;-3,"Muito baixa",IF($M415&lt;-2,"Baixa","Adequada")))</f>
        <v/>
      </c>
      <c r="O415" s="12">
        <f>IF(OR($S415="",$F415="",$T415="",$T415&lt;0,$T415&gt;120,$AJ415=""),"—",ROUND(IF(ABS($AM415)&lt;=3,$AM415,IF($AM415&gt;3,3+($F415-$AO415)/($AO415-$AN415),-3+($F415-$AQ415)/($AP415-$AQ415))),2))</f>
        <v/>
      </c>
      <c r="P415">
        <f>IF(OR($O415="",$O415="—"),"",IF($O415&lt;-3,"Muito baixo",IF($O415&lt;-2,"Baixo",IF($O415&lt;=2,"Adequado","Elevado"))))</f>
        <v/>
      </c>
      <c r="Q415" s="12">
        <f>IF(OR($S415="",$F415="",$T415="",$T415&lt;0,$T415&gt;60,$AR415=""),"—",ROUND(IF(ABS($AU415)&lt;=3,$AU415,IF($AU415&gt;3,3+($F415-$AW415)/($AW415-$AV415),-3+($F415-$AY415)/($AX415-$AY415))),2))</f>
        <v/>
      </c>
      <c r="R415">
        <f>IF(OR($Q415="",$Q415="—"),"",IF($Q415&lt;-3,"Magreza acentuada",IF($Q415&lt;-2,"Magreza",IF($Q415&lt;=1,"Eutrofia",IF($Q415&lt;=2,"Risco de sobrepeso",IF($Q415&lt;=3,"Sobrepeso","Obesidade"))))))</f>
        <v/>
      </c>
      <c r="S415">
        <f>IF($C415="","",IF(UPPER(LEFT($C415,1))="M",1,IF(UPPER(LEFT($C415,1))="F",2,"")))</f>
        <v/>
      </c>
      <c r="T415">
        <f>IF(OR($D415="",$E415=""),"",DATEDIF($D415,$E415,"m"))</f>
        <v/>
      </c>
      <c r="U415">
        <f>IF(OR($D415="",$E415=""),"",$E415-$D415)</f>
        <v/>
      </c>
      <c r="V415">
        <f>IF(OR($G415="",$T415=""),"",IF($T415&lt;24,IF(LEFT(LOWER($H415),4)="em p",$G415+0.7,$G415),IF(LEFT(LOWER($H415),4)="deit",$G415-0.7,$G415)))</f>
        <v/>
      </c>
      <c r="W415">
        <f>IF(OR($S415="",$T415=""),"",$S415*1000000+IF($T415&lt;=60,$U415,$T415))</f>
        <v/>
      </c>
      <c r="X415">
        <f>IF(OR($S415="",$V415="",$T415&gt;60,$T415=""),"",$S415*1000000+ROUND($V415*10,0))</f>
        <v/>
      </c>
      <c r="Y415">
        <f>IF($W415="","",IFERROR(INDEX(IF($T415&lt;=60,imc05_l,imc519_l),MATCH($W415,IF($T415&lt;=60,imc05_k,imc519_k),1)),""))</f>
        <v/>
      </c>
      <c r="Z415">
        <f>IF($W415="","",IFERROR(INDEX(IF($T415&lt;=60,imc05_m,imc519_m),MATCH($W415,IF($T415&lt;=60,imc05_k,imc519_k),1)),""))</f>
        <v/>
      </c>
      <c r="AA415">
        <f>IF($W415="","",IFERROR(INDEX(IF($T415&lt;=60,imc05_s,imc519_s),MATCH($W415,IF($T415&lt;=60,imc05_k,imc519_k),1)),""))</f>
        <v/>
      </c>
      <c r="AB415">
        <f>IF($Y415="","",IF($Y415=0,LN($J415/$Z415)/$AA415,((($J415/$Z415)^$Y415)-1)/($Y415*$AA415)))</f>
        <v/>
      </c>
      <c r="AC415">
        <f>IF($Y415="","",IF($Y415=0,$Z415*EXP($AA415*2),$Z415*(1+$Y415*$AA415*2)^(1/$Y415)))</f>
        <v/>
      </c>
      <c r="AD415">
        <f>IF($Y415="","",IF($Y415=0,$Z415*EXP($AA415*3),$Z415*(1+$Y415*$AA415*3)^(1/$Y415)))</f>
        <v/>
      </c>
      <c r="AE415">
        <f>IF($Y415="","",IF($Y415=0,$Z415*EXP($AA415*-2),$Z415*(1+$Y415*$AA415*-2)^(1/$Y415)))</f>
        <v/>
      </c>
      <c r="AF415">
        <f>IF($Y415="","",IF($Y415=0,$Z415*EXP($AA415*-3),$Z415*(1+$Y415*$AA415*-3)^(1/$Y415)))</f>
        <v/>
      </c>
      <c r="AG415">
        <f>IF($W415="","",IFERROR(INDEX(IF($T415&lt;=60,est05_l,est519_l),MATCH($W415,IF($T415&lt;=60,est05_k,est519_k),1)),""))</f>
        <v/>
      </c>
      <c r="AH415">
        <f>IF($W415="","",IFERROR(INDEX(IF($T415&lt;=60,est05_m,est519_m),MATCH($W415,IF($T415&lt;=60,est05_k,est519_k),1)),""))</f>
        <v/>
      </c>
      <c r="AI415">
        <f>IF($W415="","",IFERROR(INDEX(IF($T415&lt;=60,est05_s,est519_s),MATCH($W415,IF($T415&lt;=60,est05_k,est519_k),1)),""))</f>
        <v/>
      </c>
      <c r="AJ415">
        <f>IF($W415="","",IFERROR(INDEX(IF($T415&lt;=60,peso05_l,peso510_l),MATCH($W415,IF($T415&lt;=60,peso05_k,peso510_k),1)),""))</f>
        <v/>
      </c>
      <c r="AK415">
        <f>IF($W415="","",IFERROR(INDEX(IF($T415&lt;=60,peso05_m,peso510_m),MATCH($W415,IF($T415&lt;=60,peso05_k,peso510_k),1)),""))</f>
        <v/>
      </c>
      <c r="AL415">
        <f>IF($W415="","",IFERROR(INDEX(IF($T415&lt;=60,peso05_s,peso510_s),MATCH($W415,IF($T415&lt;=60,peso05_k,peso510_k),1)),""))</f>
        <v/>
      </c>
      <c r="AM415">
        <f>IF($AJ415="","",IF($AJ415=0,LN($F415/$AK415)/$AL415,((($F415/$AK415)^$AJ415)-1)/($AJ415*$AL415)))</f>
        <v/>
      </c>
      <c r="AN415">
        <f>IF($AJ415="","",IF($AJ415=0,$AK415*EXP($AL415*2),$AK415*(1+$AJ415*$AL415*2)^(1/$AJ415)))</f>
        <v/>
      </c>
      <c r="AO415">
        <f>IF($AJ415="","",IF($AJ415=0,$AK415*EXP($AL415*3),$AK415*(1+$AJ415*$AL415*3)^(1/$AJ415)))</f>
        <v/>
      </c>
      <c r="AP415">
        <f>IF($AJ415="","",IF($AJ415=0,$AK415*EXP($AL415*-2),$AK415*(1+$AJ415*$AL415*-2)^(1/$AJ415)))</f>
        <v/>
      </c>
      <c r="AQ415">
        <f>IF($AJ415="","",IF($AJ415=0,$AK415*EXP($AL415*-3),$AK415*(1+$AJ415*$AL415*-3)^(1/$AJ415)))</f>
        <v/>
      </c>
      <c r="AR415">
        <f>IF(OR($X415="",$T415&gt;60),"",IFERROR(INDEX(IF($T415&lt;24,pcomp_l,palt_l),MATCH($X415,IF($T415&lt;24,pcomp_k,palt_k),1)),""))</f>
        <v/>
      </c>
      <c r="AS415">
        <f>IF(OR($X415="",$T415&gt;60),"",IFERROR(INDEX(IF($T415&lt;24,pcomp_m,palt_m),MATCH($X415,IF($T415&lt;24,pcomp_k,palt_k),1)),""))</f>
        <v/>
      </c>
      <c r="AT415">
        <f>IF(OR($X415="",$T415&gt;60),"",IFERROR(INDEX(IF($T415&lt;24,pcomp_s,palt_s),MATCH($X415,IF($T415&lt;24,pcomp_k,palt_k),1)),""))</f>
        <v/>
      </c>
      <c r="AU415">
        <f>IF($AR415="","",IF($AR415=0,LN($F415/$AS415)/$AT415,((($F415/$AS415)^$AR415)-1)/($AR415*$AT415)))</f>
        <v/>
      </c>
      <c r="AV415">
        <f>IF($AR415="","",IF($AR415=0,$AS415*EXP($AT415*2),$AS415*(1+$AR415*$AT415*2)^(1/$AR415)))</f>
        <v/>
      </c>
      <c r="AW415">
        <f>IF($AR415="","",IF($AR415=0,$AS415*EXP($AT415*3),$AS415*(1+$AR415*$AT415*3)^(1/$AR415)))</f>
        <v/>
      </c>
      <c r="AX415">
        <f>IF($AR415="","",IF($AR415=0,$AS415*EXP($AT415*-2),$AS415*(1+$AR415*$AT415*-2)^(1/$AR415)))</f>
        <v/>
      </c>
      <c r="AY415">
        <f>IF($AR415="","",IF($AR415=0,$AS415*EXP($AT415*-3),$AS415*(1+$AR415*$AT415*-3)^(1/$AR415)))</f>
        <v/>
      </c>
      <c r="AZ415">
        <f>IF(OR($A415="",$A415&lt;&gt;Ficha!$C$4),"",COUNTIF($A$2:$A415,Ficha!$C$4))</f>
        <v/>
      </c>
    </row>
    <row r="416">
      <c r="A416" s="8">
        <f>IF(INDEX(Banco!$A:$A,ROW())="","",INDEX(Banco!$A:$A,ROW()))</f>
        <v/>
      </c>
      <c r="B416" s="8">
        <f>IF(INDEX(Banco!$B:$B,ROW())="","",INDEX(Banco!$B:$B,ROW()))</f>
        <v/>
      </c>
      <c r="C416" s="8">
        <f>IF(INDEX(Banco!$C:$C,ROW())="","",INDEX(Banco!$C:$C,ROW()))</f>
        <v/>
      </c>
      <c r="D416" s="9">
        <f>IF(INDEX(Banco!$D:$D,ROW())="","",INDEX(Banco!$D:$D,ROW()))</f>
        <v/>
      </c>
      <c r="E416" s="9">
        <f>IF(INDEX(Banco!$E:$E,ROW())="","",INDEX(Banco!$E:$E,ROW()))</f>
        <v/>
      </c>
      <c r="F416" s="10">
        <f>IF(INDEX(Banco!$F:$F,ROW())="","",INDEX(Banco!$F:$F,ROW()))</f>
        <v/>
      </c>
      <c r="G416" s="10">
        <f>IF(INDEX(Banco!$G:$G,ROW())="","",INDEX(Banco!$G:$G,ROW()))</f>
        <v/>
      </c>
      <c r="H416" s="8">
        <f>IF(INDEX(Banco!$H:$H,ROW())="","",INDEX(Banco!$H:$H,ROW()))</f>
        <v/>
      </c>
      <c r="I416">
        <f>IF($T416="","",INT($T416/12)&amp;"a "&amp;MOD($T416,12)&amp;"m")</f>
        <v/>
      </c>
      <c r="J416" s="11">
        <f>IF(OR($F416="",$G416=""),"",ROUND($F416/($G416/100)^2,2))</f>
        <v/>
      </c>
      <c r="K416" s="12">
        <f>IF(OR($S416="",$J416="",$T416="",$T416&lt;0,$T416&gt;228,$Y416=""),"—",ROUND(IF(ABS($AB416)&lt;=3,$AB416,IF($AB416&gt;3,3+($J416-$AD416)/($AD416-$AC416),-3+($J416-$AF416)/($AE416-$AF416))),2))</f>
        <v/>
      </c>
      <c r="L416">
        <f>IF(OR($K416="",$K416="—"),"",IF($T416&lt;=60,IF($K416&lt;-3,"Magreza acentuada",IF($K416&lt;-2,"Magreza",IF($K416&lt;=1,"Eutrofia",IF($K416&lt;=2,"Risco de sobrepeso",IF($K416&lt;=3,"Sobrepeso","Obesidade"))))),IF($K416&lt;-3,"Magreza acentuada",IF($K416&lt;-2,"Magreza",IF($K416&lt;=1,"Eutrofia",IF($K416&lt;=2,"Sobrepeso",IF($K416&lt;=3,"Obesidade","Obesidade grave")))))))</f>
        <v/>
      </c>
      <c r="M416" s="12">
        <f>IF(OR($S416="",$V416="",$T416="",$T416&lt;0,$T416&gt;228,$AG416=""),"—",ROUND(IF($AG416=0,LN($V416/$AH416)/$AI416,((($V416/$AH416)^$AG416)-1)/($AG416*$AI416)),2))</f>
        <v/>
      </c>
      <c r="N416">
        <f>IF(OR($M416="",$M416="—"),"",IF($M416&lt;-3,"Muito baixa",IF($M416&lt;-2,"Baixa","Adequada")))</f>
        <v/>
      </c>
      <c r="O416" s="12">
        <f>IF(OR($S416="",$F416="",$T416="",$T416&lt;0,$T416&gt;120,$AJ416=""),"—",ROUND(IF(ABS($AM416)&lt;=3,$AM416,IF($AM416&gt;3,3+($F416-$AO416)/($AO416-$AN416),-3+($F416-$AQ416)/($AP416-$AQ416))),2))</f>
        <v/>
      </c>
      <c r="P416">
        <f>IF(OR($O416="",$O416="—"),"",IF($O416&lt;-3,"Muito baixo",IF($O416&lt;-2,"Baixo",IF($O416&lt;=2,"Adequado","Elevado"))))</f>
        <v/>
      </c>
      <c r="Q416" s="12">
        <f>IF(OR($S416="",$F416="",$T416="",$T416&lt;0,$T416&gt;60,$AR416=""),"—",ROUND(IF(ABS($AU416)&lt;=3,$AU416,IF($AU416&gt;3,3+($F416-$AW416)/($AW416-$AV416),-3+($F416-$AY416)/($AX416-$AY416))),2))</f>
        <v/>
      </c>
      <c r="R416">
        <f>IF(OR($Q416="",$Q416="—"),"",IF($Q416&lt;-3,"Magreza acentuada",IF($Q416&lt;-2,"Magreza",IF($Q416&lt;=1,"Eutrofia",IF($Q416&lt;=2,"Risco de sobrepeso",IF($Q416&lt;=3,"Sobrepeso","Obesidade"))))))</f>
        <v/>
      </c>
      <c r="S416">
        <f>IF($C416="","",IF(UPPER(LEFT($C416,1))="M",1,IF(UPPER(LEFT($C416,1))="F",2,"")))</f>
        <v/>
      </c>
      <c r="T416">
        <f>IF(OR($D416="",$E416=""),"",DATEDIF($D416,$E416,"m"))</f>
        <v/>
      </c>
      <c r="U416">
        <f>IF(OR($D416="",$E416=""),"",$E416-$D416)</f>
        <v/>
      </c>
      <c r="V416">
        <f>IF(OR($G416="",$T416=""),"",IF($T416&lt;24,IF(LEFT(LOWER($H416),4)="em p",$G416+0.7,$G416),IF(LEFT(LOWER($H416),4)="deit",$G416-0.7,$G416)))</f>
        <v/>
      </c>
      <c r="W416">
        <f>IF(OR($S416="",$T416=""),"",$S416*1000000+IF($T416&lt;=60,$U416,$T416))</f>
        <v/>
      </c>
      <c r="X416">
        <f>IF(OR($S416="",$V416="",$T416&gt;60,$T416=""),"",$S416*1000000+ROUND($V416*10,0))</f>
        <v/>
      </c>
      <c r="Y416">
        <f>IF($W416="","",IFERROR(INDEX(IF($T416&lt;=60,imc05_l,imc519_l),MATCH($W416,IF($T416&lt;=60,imc05_k,imc519_k),1)),""))</f>
        <v/>
      </c>
      <c r="Z416">
        <f>IF($W416="","",IFERROR(INDEX(IF($T416&lt;=60,imc05_m,imc519_m),MATCH($W416,IF($T416&lt;=60,imc05_k,imc519_k),1)),""))</f>
        <v/>
      </c>
      <c r="AA416">
        <f>IF($W416="","",IFERROR(INDEX(IF($T416&lt;=60,imc05_s,imc519_s),MATCH($W416,IF($T416&lt;=60,imc05_k,imc519_k),1)),""))</f>
        <v/>
      </c>
      <c r="AB416">
        <f>IF($Y416="","",IF($Y416=0,LN($J416/$Z416)/$AA416,((($J416/$Z416)^$Y416)-1)/($Y416*$AA416)))</f>
        <v/>
      </c>
      <c r="AC416">
        <f>IF($Y416="","",IF($Y416=0,$Z416*EXP($AA416*2),$Z416*(1+$Y416*$AA416*2)^(1/$Y416)))</f>
        <v/>
      </c>
      <c r="AD416">
        <f>IF($Y416="","",IF($Y416=0,$Z416*EXP($AA416*3),$Z416*(1+$Y416*$AA416*3)^(1/$Y416)))</f>
        <v/>
      </c>
      <c r="AE416">
        <f>IF($Y416="","",IF($Y416=0,$Z416*EXP($AA416*-2),$Z416*(1+$Y416*$AA416*-2)^(1/$Y416)))</f>
        <v/>
      </c>
      <c r="AF416">
        <f>IF($Y416="","",IF($Y416=0,$Z416*EXP($AA416*-3),$Z416*(1+$Y416*$AA416*-3)^(1/$Y416)))</f>
        <v/>
      </c>
      <c r="AG416">
        <f>IF($W416="","",IFERROR(INDEX(IF($T416&lt;=60,est05_l,est519_l),MATCH($W416,IF($T416&lt;=60,est05_k,est519_k),1)),""))</f>
        <v/>
      </c>
      <c r="AH416">
        <f>IF($W416="","",IFERROR(INDEX(IF($T416&lt;=60,est05_m,est519_m),MATCH($W416,IF($T416&lt;=60,est05_k,est519_k),1)),""))</f>
        <v/>
      </c>
      <c r="AI416">
        <f>IF($W416="","",IFERROR(INDEX(IF($T416&lt;=60,est05_s,est519_s),MATCH($W416,IF($T416&lt;=60,est05_k,est519_k),1)),""))</f>
        <v/>
      </c>
      <c r="AJ416">
        <f>IF($W416="","",IFERROR(INDEX(IF($T416&lt;=60,peso05_l,peso510_l),MATCH($W416,IF($T416&lt;=60,peso05_k,peso510_k),1)),""))</f>
        <v/>
      </c>
      <c r="AK416">
        <f>IF($W416="","",IFERROR(INDEX(IF($T416&lt;=60,peso05_m,peso510_m),MATCH($W416,IF($T416&lt;=60,peso05_k,peso510_k),1)),""))</f>
        <v/>
      </c>
      <c r="AL416">
        <f>IF($W416="","",IFERROR(INDEX(IF($T416&lt;=60,peso05_s,peso510_s),MATCH($W416,IF($T416&lt;=60,peso05_k,peso510_k),1)),""))</f>
        <v/>
      </c>
      <c r="AM416">
        <f>IF($AJ416="","",IF($AJ416=0,LN($F416/$AK416)/$AL416,((($F416/$AK416)^$AJ416)-1)/($AJ416*$AL416)))</f>
        <v/>
      </c>
      <c r="AN416">
        <f>IF($AJ416="","",IF($AJ416=0,$AK416*EXP($AL416*2),$AK416*(1+$AJ416*$AL416*2)^(1/$AJ416)))</f>
        <v/>
      </c>
      <c r="AO416">
        <f>IF($AJ416="","",IF($AJ416=0,$AK416*EXP($AL416*3),$AK416*(1+$AJ416*$AL416*3)^(1/$AJ416)))</f>
        <v/>
      </c>
      <c r="AP416">
        <f>IF($AJ416="","",IF($AJ416=0,$AK416*EXP($AL416*-2),$AK416*(1+$AJ416*$AL416*-2)^(1/$AJ416)))</f>
        <v/>
      </c>
      <c r="AQ416">
        <f>IF($AJ416="","",IF($AJ416=0,$AK416*EXP($AL416*-3),$AK416*(1+$AJ416*$AL416*-3)^(1/$AJ416)))</f>
        <v/>
      </c>
      <c r="AR416">
        <f>IF(OR($X416="",$T416&gt;60),"",IFERROR(INDEX(IF($T416&lt;24,pcomp_l,palt_l),MATCH($X416,IF($T416&lt;24,pcomp_k,palt_k),1)),""))</f>
        <v/>
      </c>
      <c r="AS416">
        <f>IF(OR($X416="",$T416&gt;60),"",IFERROR(INDEX(IF($T416&lt;24,pcomp_m,palt_m),MATCH($X416,IF($T416&lt;24,pcomp_k,palt_k),1)),""))</f>
        <v/>
      </c>
      <c r="AT416">
        <f>IF(OR($X416="",$T416&gt;60),"",IFERROR(INDEX(IF($T416&lt;24,pcomp_s,palt_s),MATCH($X416,IF($T416&lt;24,pcomp_k,palt_k),1)),""))</f>
        <v/>
      </c>
      <c r="AU416">
        <f>IF($AR416="","",IF($AR416=0,LN($F416/$AS416)/$AT416,((($F416/$AS416)^$AR416)-1)/($AR416*$AT416)))</f>
        <v/>
      </c>
      <c r="AV416">
        <f>IF($AR416="","",IF($AR416=0,$AS416*EXP($AT416*2),$AS416*(1+$AR416*$AT416*2)^(1/$AR416)))</f>
        <v/>
      </c>
      <c r="AW416">
        <f>IF($AR416="","",IF($AR416=0,$AS416*EXP($AT416*3),$AS416*(1+$AR416*$AT416*3)^(1/$AR416)))</f>
        <v/>
      </c>
      <c r="AX416">
        <f>IF($AR416="","",IF($AR416=0,$AS416*EXP($AT416*-2),$AS416*(1+$AR416*$AT416*-2)^(1/$AR416)))</f>
        <v/>
      </c>
      <c r="AY416">
        <f>IF($AR416="","",IF($AR416=0,$AS416*EXP($AT416*-3),$AS416*(1+$AR416*$AT416*-3)^(1/$AR416)))</f>
        <v/>
      </c>
      <c r="AZ416">
        <f>IF(OR($A416="",$A416&lt;&gt;Ficha!$C$4),"",COUNTIF($A$2:$A416,Ficha!$C$4))</f>
        <v/>
      </c>
    </row>
    <row r="417">
      <c r="A417" s="8">
        <f>IF(INDEX(Banco!$A:$A,ROW())="","",INDEX(Banco!$A:$A,ROW()))</f>
        <v/>
      </c>
      <c r="B417" s="8">
        <f>IF(INDEX(Banco!$B:$B,ROW())="","",INDEX(Banco!$B:$B,ROW()))</f>
        <v/>
      </c>
      <c r="C417" s="8">
        <f>IF(INDEX(Banco!$C:$C,ROW())="","",INDEX(Banco!$C:$C,ROW()))</f>
        <v/>
      </c>
      <c r="D417" s="9">
        <f>IF(INDEX(Banco!$D:$D,ROW())="","",INDEX(Banco!$D:$D,ROW()))</f>
        <v/>
      </c>
      <c r="E417" s="9">
        <f>IF(INDEX(Banco!$E:$E,ROW())="","",INDEX(Banco!$E:$E,ROW()))</f>
        <v/>
      </c>
      <c r="F417" s="10">
        <f>IF(INDEX(Banco!$F:$F,ROW())="","",INDEX(Banco!$F:$F,ROW()))</f>
        <v/>
      </c>
      <c r="G417" s="10">
        <f>IF(INDEX(Banco!$G:$G,ROW())="","",INDEX(Banco!$G:$G,ROW()))</f>
        <v/>
      </c>
      <c r="H417" s="8">
        <f>IF(INDEX(Banco!$H:$H,ROW())="","",INDEX(Banco!$H:$H,ROW()))</f>
        <v/>
      </c>
      <c r="I417">
        <f>IF($T417="","",INT($T417/12)&amp;"a "&amp;MOD($T417,12)&amp;"m")</f>
        <v/>
      </c>
      <c r="J417" s="11">
        <f>IF(OR($F417="",$G417=""),"",ROUND($F417/($G417/100)^2,2))</f>
        <v/>
      </c>
      <c r="K417" s="12">
        <f>IF(OR($S417="",$J417="",$T417="",$T417&lt;0,$T417&gt;228,$Y417=""),"—",ROUND(IF(ABS($AB417)&lt;=3,$AB417,IF($AB417&gt;3,3+($J417-$AD417)/($AD417-$AC417),-3+($J417-$AF417)/($AE417-$AF417))),2))</f>
        <v/>
      </c>
      <c r="L417">
        <f>IF(OR($K417="",$K417="—"),"",IF($T417&lt;=60,IF($K417&lt;-3,"Magreza acentuada",IF($K417&lt;-2,"Magreza",IF($K417&lt;=1,"Eutrofia",IF($K417&lt;=2,"Risco de sobrepeso",IF($K417&lt;=3,"Sobrepeso","Obesidade"))))),IF($K417&lt;-3,"Magreza acentuada",IF($K417&lt;-2,"Magreza",IF($K417&lt;=1,"Eutrofia",IF($K417&lt;=2,"Sobrepeso",IF($K417&lt;=3,"Obesidade","Obesidade grave")))))))</f>
        <v/>
      </c>
      <c r="M417" s="12">
        <f>IF(OR($S417="",$V417="",$T417="",$T417&lt;0,$T417&gt;228,$AG417=""),"—",ROUND(IF($AG417=0,LN($V417/$AH417)/$AI417,((($V417/$AH417)^$AG417)-1)/($AG417*$AI417)),2))</f>
        <v/>
      </c>
      <c r="N417">
        <f>IF(OR($M417="",$M417="—"),"",IF($M417&lt;-3,"Muito baixa",IF($M417&lt;-2,"Baixa","Adequada")))</f>
        <v/>
      </c>
      <c r="O417" s="12">
        <f>IF(OR($S417="",$F417="",$T417="",$T417&lt;0,$T417&gt;120,$AJ417=""),"—",ROUND(IF(ABS($AM417)&lt;=3,$AM417,IF($AM417&gt;3,3+($F417-$AO417)/($AO417-$AN417),-3+($F417-$AQ417)/($AP417-$AQ417))),2))</f>
        <v/>
      </c>
      <c r="P417">
        <f>IF(OR($O417="",$O417="—"),"",IF($O417&lt;-3,"Muito baixo",IF($O417&lt;-2,"Baixo",IF($O417&lt;=2,"Adequado","Elevado"))))</f>
        <v/>
      </c>
      <c r="Q417" s="12">
        <f>IF(OR($S417="",$F417="",$T417="",$T417&lt;0,$T417&gt;60,$AR417=""),"—",ROUND(IF(ABS($AU417)&lt;=3,$AU417,IF($AU417&gt;3,3+($F417-$AW417)/($AW417-$AV417),-3+($F417-$AY417)/($AX417-$AY417))),2))</f>
        <v/>
      </c>
      <c r="R417">
        <f>IF(OR($Q417="",$Q417="—"),"",IF($Q417&lt;-3,"Magreza acentuada",IF($Q417&lt;-2,"Magreza",IF($Q417&lt;=1,"Eutrofia",IF($Q417&lt;=2,"Risco de sobrepeso",IF($Q417&lt;=3,"Sobrepeso","Obesidade"))))))</f>
        <v/>
      </c>
      <c r="S417">
        <f>IF($C417="","",IF(UPPER(LEFT($C417,1))="M",1,IF(UPPER(LEFT($C417,1))="F",2,"")))</f>
        <v/>
      </c>
      <c r="T417">
        <f>IF(OR($D417="",$E417=""),"",DATEDIF($D417,$E417,"m"))</f>
        <v/>
      </c>
      <c r="U417">
        <f>IF(OR($D417="",$E417=""),"",$E417-$D417)</f>
        <v/>
      </c>
      <c r="V417">
        <f>IF(OR($G417="",$T417=""),"",IF($T417&lt;24,IF(LEFT(LOWER($H417),4)="em p",$G417+0.7,$G417),IF(LEFT(LOWER($H417),4)="deit",$G417-0.7,$G417)))</f>
        <v/>
      </c>
      <c r="W417">
        <f>IF(OR($S417="",$T417=""),"",$S417*1000000+IF($T417&lt;=60,$U417,$T417))</f>
        <v/>
      </c>
      <c r="X417">
        <f>IF(OR($S417="",$V417="",$T417&gt;60,$T417=""),"",$S417*1000000+ROUND($V417*10,0))</f>
        <v/>
      </c>
      <c r="Y417">
        <f>IF($W417="","",IFERROR(INDEX(IF($T417&lt;=60,imc05_l,imc519_l),MATCH($W417,IF($T417&lt;=60,imc05_k,imc519_k),1)),""))</f>
        <v/>
      </c>
      <c r="Z417">
        <f>IF($W417="","",IFERROR(INDEX(IF($T417&lt;=60,imc05_m,imc519_m),MATCH($W417,IF($T417&lt;=60,imc05_k,imc519_k),1)),""))</f>
        <v/>
      </c>
      <c r="AA417">
        <f>IF($W417="","",IFERROR(INDEX(IF($T417&lt;=60,imc05_s,imc519_s),MATCH($W417,IF($T417&lt;=60,imc05_k,imc519_k),1)),""))</f>
        <v/>
      </c>
      <c r="AB417">
        <f>IF($Y417="","",IF($Y417=0,LN($J417/$Z417)/$AA417,((($J417/$Z417)^$Y417)-1)/($Y417*$AA417)))</f>
        <v/>
      </c>
      <c r="AC417">
        <f>IF($Y417="","",IF($Y417=0,$Z417*EXP($AA417*2),$Z417*(1+$Y417*$AA417*2)^(1/$Y417)))</f>
        <v/>
      </c>
      <c r="AD417">
        <f>IF($Y417="","",IF($Y417=0,$Z417*EXP($AA417*3),$Z417*(1+$Y417*$AA417*3)^(1/$Y417)))</f>
        <v/>
      </c>
      <c r="AE417">
        <f>IF($Y417="","",IF($Y417=0,$Z417*EXP($AA417*-2),$Z417*(1+$Y417*$AA417*-2)^(1/$Y417)))</f>
        <v/>
      </c>
      <c r="AF417">
        <f>IF($Y417="","",IF($Y417=0,$Z417*EXP($AA417*-3),$Z417*(1+$Y417*$AA417*-3)^(1/$Y417)))</f>
        <v/>
      </c>
      <c r="AG417">
        <f>IF($W417="","",IFERROR(INDEX(IF($T417&lt;=60,est05_l,est519_l),MATCH($W417,IF($T417&lt;=60,est05_k,est519_k),1)),""))</f>
        <v/>
      </c>
      <c r="AH417">
        <f>IF($W417="","",IFERROR(INDEX(IF($T417&lt;=60,est05_m,est519_m),MATCH($W417,IF($T417&lt;=60,est05_k,est519_k),1)),""))</f>
        <v/>
      </c>
      <c r="AI417">
        <f>IF($W417="","",IFERROR(INDEX(IF($T417&lt;=60,est05_s,est519_s),MATCH($W417,IF($T417&lt;=60,est05_k,est519_k),1)),""))</f>
        <v/>
      </c>
      <c r="AJ417">
        <f>IF($W417="","",IFERROR(INDEX(IF($T417&lt;=60,peso05_l,peso510_l),MATCH($W417,IF($T417&lt;=60,peso05_k,peso510_k),1)),""))</f>
        <v/>
      </c>
      <c r="AK417">
        <f>IF($W417="","",IFERROR(INDEX(IF($T417&lt;=60,peso05_m,peso510_m),MATCH($W417,IF($T417&lt;=60,peso05_k,peso510_k),1)),""))</f>
        <v/>
      </c>
      <c r="AL417">
        <f>IF($W417="","",IFERROR(INDEX(IF($T417&lt;=60,peso05_s,peso510_s),MATCH($W417,IF($T417&lt;=60,peso05_k,peso510_k),1)),""))</f>
        <v/>
      </c>
      <c r="AM417">
        <f>IF($AJ417="","",IF($AJ417=0,LN($F417/$AK417)/$AL417,((($F417/$AK417)^$AJ417)-1)/($AJ417*$AL417)))</f>
        <v/>
      </c>
      <c r="AN417">
        <f>IF($AJ417="","",IF($AJ417=0,$AK417*EXP($AL417*2),$AK417*(1+$AJ417*$AL417*2)^(1/$AJ417)))</f>
        <v/>
      </c>
      <c r="AO417">
        <f>IF($AJ417="","",IF($AJ417=0,$AK417*EXP($AL417*3),$AK417*(1+$AJ417*$AL417*3)^(1/$AJ417)))</f>
        <v/>
      </c>
      <c r="AP417">
        <f>IF($AJ417="","",IF($AJ417=0,$AK417*EXP($AL417*-2),$AK417*(1+$AJ417*$AL417*-2)^(1/$AJ417)))</f>
        <v/>
      </c>
      <c r="AQ417">
        <f>IF($AJ417="","",IF($AJ417=0,$AK417*EXP($AL417*-3),$AK417*(1+$AJ417*$AL417*-3)^(1/$AJ417)))</f>
        <v/>
      </c>
      <c r="AR417">
        <f>IF(OR($X417="",$T417&gt;60),"",IFERROR(INDEX(IF($T417&lt;24,pcomp_l,palt_l),MATCH($X417,IF($T417&lt;24,pcomp_k,palt_k),1)),""))</f>
        <v/>
      </c>
      <c r="AS417">
        <f>IF(OR($X417="",$T417&gt;60),"",IFERROR(INDEX(IF($T417&lt;24,pcomp_m,palt_m),MATCH($X417,IF($T417&lt;24,pcomp_k,palt_k),1)),""))</f>
        <v/>
      </c>
      <c r="AT417">
        <f>IF(OR($X417="",$T417&gt;60),"",IFERROR(INDEX(IF($T417&lt;24,pcomp_s,palt_s),MATCH($X417,IF($T417&lt;24,pcomp_k,palt_k),1)),""))</f>
        <v/>
      </c>
      <c r="AU417">
        <f>IF($AR417="","",IF($AR417=0,LN($F417/$AS417)/$AT417,((($F417/$AS417)^$AR417)-1)/($AR417*$AT417)))</f>
        <v/>
      </c>
      <c r="AV417">
        <f>IF($AR417="","",IF($AR417=0,$AS417*EXP($AT417*2),$AS417*(1+$AR417*$AT417*2)^(1/$AR417)))</f>
        <v/>
      </c>
      <c r="AW417">
        <f>IF($AR417="","",IF($AR417=0,$AS417*EXP($AT417*3),$AS417*(1+$AR417*$AT417*3)^(1/$AR417)))</f>
        <v/>
      </c>
      <c r="AX417">
        <f>IF($AR417="","",IF($AR417=0,$AS417*EXP($AT417*-2),$AS417*(1+$AR417*$AT417*-2)^(1/$AR417)))</f>
        <v/>
      </c>
      <c r="AY417">
        <f>IF($AR417="","",IF($AR417=0,$AS417*EXP($AT417*-3),$AS417*(1+$AR417*$AT417*-3)^(1/$AR417)))</f>
        <v/>
      </c>
      <c r="AZ417">
        <f>IF(OR($A417="",$A417&lt;&gt;Ficha!$C$4),"",COUNTIF($A$2:$A417,Ficha!$C$4))</f>
        <v/>
      </c>
    </row>
    <row r="418">
      <c r="A418" s="8">
        <f>IF(INDEX(Banco!$A:$A,ROW())="","",INDEX(Banco!$A:$A,ROW()))</f>
        <v/>
      </c>
      <c r="B418" s="8">
        <f>IF(INDEX(Banco!$B:$B,ROW())="","",INDEX(Banco!$B:$B,ROW()))</f>
        <v/>
      </c>
      <c r="C418" s="8">
        <f>IF(INDEX(Banco!$C:$C,ROW())="","",INDEX(Banco!$C:$C,ROW()))</f>
        <v/>
      </c>
      <c r="D418" s="9">
        <f>IF(INDEX(Banco!$D:$D,ROW())="","",INDEX(Banco!$D:$D,ROW()))</f>
        <v/>
      </c>
      <c r="E418" s="9">
        <f>IF(INDEX(Banco!$E:$E,ROW())="","",INDEX(Banco!$E:$E,ROW()))</f>
        <v/>
      </c>
      <c r="F418" s="10">
        <f>IF(INDEX(Banco!$F:$F,ROW())="","",INDEX(Banco!$F:$F,ROW()))</f>
        <v/>
      </c>
      <c r="G418" s="10">
        <f>IF(INDEX(Banco!$G:$G,ROW())="","",INDEX(Banco!$G:$G,ROW()))</f>
        <v/>
      </c>
      <c r="H418" s="8">
        <f>IF(INDEX(Banco!$H:$H,ROW())="","",INDEX(Banco!$H:$H,ROW()))</f>
        <v/>
      </c>
      <c r="I418">
        <f>IF($T418="","",INT($T418/12)&amp;"a "&amp;MOD($T418,12)&amp;"m")</f>
        <v/>
      </c>
      <c r="J418" s="11">
        <f>IF(OR($F418="",$G418=""),"",ROUND($F418/($G418/100)^2,2))</f>
        <v/>
      </c>
      <c r="K418" s="12">
        <f>IF(OR($S418="",$J418="",$T418="",$T418&lt;0,$T418&gt;228,$Y418=""),"—",ROUND(IF(ABS($AB418)&lt;=3,$AB418,IF($AB418&gt;3,3+($J418-$AD418)/($AD418-$AC418),-3+($J418-$AF418)/($AE418-$AF418))),2))</f>
        <v/>
      </c>
      <c r="L418">
        <f>IF(OR($K418="",$K418="—"),"",IF($T418&lt;=60,IF($K418&lt;-3,"Magreza acentuada",IF($K418&lt;-2,"Magreza",IF($K418&lt;=1,"Eutrofia",IF($K418&lt;=2,"Risco de sobrepeso",IF($K418&lt;=3,"Sobrepeso","Obesidade"))))),IF($K418&lt;-3,"Magreza acentuada",IF($K418&lt;-2,"Magreza",IF($K418&lt;=1,"Eutrofia",IF($K418&lt;=2,"Sobrepeso",IF($K418&lt;=3,"Obesidade","Obesidade grave")))))))</f>
        <v/>
      </c>
      <c r="M418" s="12">
        <f>IF(OR($S418="",$V418="",$T418="",$T418&lt;0,$T418&gt;228,$AG418=""),"—",ROUND(IF($AG418=0,LN($V418/$AH418)/$AI418,((($V418/$AH418)^$AG418)-1)/($AG418*$AI418)),2))</f>
        <v/>
      </c>
      <c r="N418">
        <f>IF(OR($M418="",$M418="—"),"",IF($M418&lt;-3,"Muito baixa",IF($M418&lt;-2,"Baixa","Adequada")))</f>
        <v/>
      </c>
      <c r="O418" s="12">
        <f>IF(OR($S418="",$F418="",$T418="",$T418&lt;0,$T418&gt;120,$AJ418=""),"—",ROUND(IF(ABS($AM418)&lt;=3,$AM418,IF($AM418&gt;3,3+($F418-$AO418)/($AO418-$AN418),-3+($F418-$AQ418)/($AP418-$AQ418))),2))</f>
        <v/>
      </c>
      <c r="P418">
        <f>IF(OR($O418="",$O418="—"),"",IF($O418&lt;-3,"Muito baixo",IF($O418&lt;-2,"Baixo",IF($O418&lt;=2,"Adequado","Elevado"))))</f>
        <v/>
      </c>
      <c r="Q418" s="12">
        <f>IF(OR($S418="",$F418="",$T418="",$T418&lt;0,$T418&gt;60,$AR418=""),"—",ROUND(IF(ABS($AU418)&lt;=3,$AU418,IF($AU418&gt;3,3+($F418-$AW418)/($AW418-$AV418),-3+($F418-$AY418)/($AX418-$AY418))),2))</f>
        <v/>
      </c>
      <c r="R418">
        <f>IF(OR($Q418="",$Q418="—"),"",IF($Q418&lt;-3,"Magreza acentuada",IF($Q418&lt;-2,"Magreza",IF($Q418&lt;=1,"Eutrofia",IF($Q418&lt;=2,"Risco de sobrepeso",IF($Q418&lt;=3,"Sobrepeso","Obesidade"))))))</f>
        <v/>
      </c>
      <c r="S418">
        <f>IF($C418="","",IF(UPPER(LEFT($C418,1))="M",1,IF(UPPER(LEFT($C418,1))="F",2,"")))</f>
        <v/>
      </c>
      <c r="T418">
        <f>IF(OR($D418="",$E418=""),"",DATEDIF($D418,$E418,"m"))</f>
        <v/>
      </c>
      <c r="U418">
        <f>IF(OR($D418="",$E418=""),"",$E418-$D418)</f>
        <v/>
      </c>
      <c r="V418">
        <f>IF(OR($G418="",$T418=""),"",IF($T418&lt;24,IF(LEFT(LOWER($H418),4)="em p",$G418+0.7,$G418),IF(LEFT(LOWER($H418),4)="deit",$G418-0.7,$G418)))</f>
        <v/>
      </c>
      <c r="W418">
        <f>IF(OR($S418="",$T418=""),"",$S418*1000000+IF($T418&lt;=60,$U418,$T418))</f>
        <v/>
      </c>
      <c r="X418">
        <f>IF(OR($S418="",$V418="",$T418&gt;60,$T418=""),"",$S418*1000000+ROUND($V418*10,0))</f>
        <v/>
      </c>
      <c r="Y418">
        <f>IF($W418="","",IFERROR(INDEX(IF($T418&lt;=60,imc05_l,imc519_l),MATCH($W418,IF($T418&lt;=60,imc05_k,imc519_k),1)),""))</f>
        <v/>
      </c>
      <c r="Z418">
        <f>IF($W418="","",IFERROR(INDEX(IF($T418&lt;=60,imc05_m,imc519_m),MATCH($W418,IF($T418&lt;=60,imc05_k,imc519_k),1)),""))</f>
        <v/>
      </c>
      <c r="AA418">
        <f>IF($W418="","",IFERROR(INDEX(IF($T418&lt;=60,imc05_s,imc519_s),MATCH($W418,IF($T418&lt;=60,imc05_k,imc519_k),1)),""))</f>
        <v/>
      </c>
      <c r="AB418">
        <f>IF($Y418="","",IF($Y418=0,LN($J418/$Z418)/$AA418,((($J418/$Z418)^$Y418)-1)/($Y418*$AA418)))</f>
        <v/>
      </c>
      <c r="AC418">
        <f>IF($Y418="","",IF($Y418=0,$Z418*EXP($AA418*2),$Z418*(1+$Y418*$AA418*2)^(1/$Y418)))</f>
        <v/>
      </c>
      <c r="AD418">
        <f>IF($Y418="","",IF($Y418=0,$Z418*EXP($AA418*3),$Z418*(1+$Y418*$AA418*3)^(1/$Y418)))</f>
        <v/>
      </c>
      <c r="AE418">
        <f>IF($Y418="","",IF($Y418=0,$Z418*EXP($AA418*-2),$Z418*(1+$Y418*$AA418*-2)^(1/$Y418)))</f>
        <v/>
      </c>
      <c r="AF418">
        <f>IF($Y418="","",IF($Y418=0,$Z418*EXP($AA418*-3),$Z418*(1+$Y418*$AA418*-3)^(1/$Y418)))</f>
        <v/>
      </c>
      <c r="AG418">
        <f>IF($W418="","",IFERROR(INDEX(IF($T418&lt;=60,est05_l,est519_l),MATCH($W418,IF($T418&lt;=60,est05_k,est519_k),1)),""))</f>
        <v/>
      </c>
      <c r="AH418">
        <f>IF($W418="","",IFERROR(INDEX(IF($T418&lt;=60,est05_m,est519_m),MATCH($W418,IF($T418&lt;=60,est05_k,est519_k),1)),""))</f>
        <v/>
      </c>
      <c r="AI418">
        <f>IF($W418="","",IFERROR(INDEX(IF($T418&lt;=60,est05_s,est519_s),MATCH($W418,IF($T418&lt;=60,est05_k,est519_k),1)),""))</f>
        <v/>
      </c>
      <c r="AJ418">
        <f>IF($W418="","",IFERROR(INDEX(IF($T418&lt;=60,peso05_l,peso510_l),MATCH($W418,IF($T418&lt;=60,peso05_k,peso510_k),1)),""))</f>
        <v/>
      </c>
      <c r="AK418">
        <f>IF($W418="","",IFERROR(INDEX(IF($T418&lt;=60,peso05_m,peso510_m),MATCH($W418,IF($T418&lt;=60,peso05_k,peso510_k),1)),""))</f>
        <v/>
      </c>
      <c r="AL418">
        <f>IF($W418="","",IFERROR(INDEX(IF($T418&lt;=60,peso05_s,peso510_s),MATCH($W418,IF($T418&lt;=60,peso05_k,peso510_k),1)),""))</f>
        <v/>
      </c>
      <c r="AM418">
        <f>IF($AJ418="","",IF($AJ418=0,LN($F418/$AK418)/$AL418,((($F418/$AK418)^$AJ418)-1)/($AJ418*$AL418)))</f>
        <v/>
      </c>
      <c r="AN418">
        <f>IF($AJ418="","",IF($AJ418=0,$AK418*EXP($AL418*2),$AK418*(1+$AJ418*$AL418*2)^(1/$AJ418)))</f>
        <v/>
      </c>
      <c r="AO418">
        <f>IF($AJ418="","",IF($AJ418=0,$AK418*EXP($AL418*3),$AK418*(1+$AJ418*$AL418*3)^(1/$AJ418)))</f>
        <v/>
      </c>
      <c r="AP418">
        <f>IF($AJ418="","",IF($AJ418=0,$AK418*EXP($AL418*-2),$AK418*(1+$AJ418*$AL418*-2)^(1/$AJ418)))</f>
        <v/>
      </c>
      <c r="AQ418">
        <f>IF($AJ418="","",IF($AJ418=0,$AK418*EXP($AL418*-3),$AK418*(1+$AJ418*$AL418*-3)^(1/$AJ418)))</f>
        <v/>
      </c>
      <c r="AR418">
        <f>IF(OR($X418="",$T418&gt;60),"",IFERROR(INDEX(IF($T418&lt;24,pcomp_l,palt_l),MATCH($X418,IF($T418&lt;24,pcomp_k,palt_k),1)),""))</f>
        <v/>
      </c>
      <c r="AS418">
        <f>IF(OR($X418="",$T418&gt;60),"",IFERROR(INDEX(IF($T418&lt;24,pcomp_m,palt_m),MATCH($X418,IF($T418&lt;24,pcomp_k,palt_k),1)),""))</f>
        <v/>
      </c>
      <c r="AT418">
        <f>IF(OR($X418="",$T418&gt;60),"",IFERROR(INDEX(IF($T418&lt;24,pcomp_s,palt_s),MATCH($X418,IF($T418&lt;24,pcomp_k,palt_k),1)),""))</f>
        <v/>
      </c>
      <c r="AU418">
        <f>IF($AR418="","",IF($AR418=0,LN($F418/$AS418)/$AT418,((($F418/$AS418)^$AR418)-1)/($AR418*$AT418)))</f>
        <v/>
      </c>
      <c r="AV418">
        <f>IF($AR418="","",IF($AR418=0,$AS418*EXP($AT418*2),$AS418*(1+$AR418*$AT418*2)^(1/$AR418)))</f>
        <v/>
      </c>
      <c r="AW418">
        <f>IF($AR418="","",IF($AR418=0,$AS418*EXP($AT418*3),$AS418*(1+$AR418*$AT418*3)^(1/$AR418)))</f>
        <v/>
      </c>
      <c r="AX418">
        <f>IF($AR418="","",IF($AR418=0,$AS418*EXP($AT418*-2),$AS418*(1+$AR418*$AT418*-2)^(1/$AR418)))</f>
        <v/>
      </c>
      <c r="AY418">
        <f>IF($AR418="","",IF($AR418=0,$AS418*EXP($AT418*-3),$AS418*(1+$AR418*$AT418*-3)^(1/$AR418)))</f>
        <v/>
      </c>
      <c r="AZ418">
        <f>IF(OR($A418="",$A418&lt;&gt;Ficha!$C$4),"",COUNTIF($A$2:$A418,Ficha!$C$4))</f>
        <v/>
      </c>
    </row>
    <row r="419">
      <c r="A419" s="8">
        <f>IF(INDEX(Banco!$A:$A,ROW())="","",INDEX(Banco!$A:$A,ROW()))</f>
        <v/>
      </c>
      <c r="B419" s="8">
        <f>IF(INDEX(Banco!$B:$B,ROW())="","",INDEX(Banco!$B:$B,ROW()))</f>
        <v/>
      </c>
      <c r="C419" s="8">
        <f>IF(INDEX(Banco!$C:$C,ROW())="","",INDEX(Banco!$C:$C,ROW()))</f>
        <v/>
      </c>
      <c r="D419" s="9">
        <f>IF(INDEX(Banco!$D:$D,ROW())="","",INDEX(Banco!$D:$D,ROW()))</f>
        <v/>
      </c>
      <c r="E419" s="9">
        <f>IF(INDEX(Banco!$E:$E,ROW())="","",INDEX(Banco!$E:$E,ROW()))</f>
        <v/>
      </c>
      <c r="F419" s="10">
        <f>IF(INDEX(Banco!$F:$F,ROW())="","",INDEX(Banco!$F:$F,ROW()))</f>
        <v/>
      </c>
      <c r="G419" s="10">
        <f>IF(INDEX(Banco!$G:$G,ROW())="","",INDEX(Banco!$G:$G,ROW()))</f>
        <v/>
      </c>
      <c r="H419" s="8">
        <f>IF(INDEX(Banco!$H:$H,ROW())="","",INDEX(Banco!$H:$H,ROW()))</f>
        <v/>
      </c>
      <c r="I419">
        <f>IF($T419="","",INT($T419/12)&amp;"a "&amp;MOD($T419,12)&amp;"m")</f>
        <v/>
      </c>
      <c r="J419" s="11">
        <f>IF(OR($F419="",$G419=""),"",ROUND($F419/($G419/100)^2,2))</f>
        <v/>
      </c>
      <c r="K419" s="12">
        <f>IF(OR($S419="",$J419="",$T419="",$T419&lt;0,$T419&gt;228,$Y419=""),"—",ROUND(IF(ABS($AB419)&lt;=3,$AB419,IF($AB419&gt;3,3+($J419-$AD419)/($AD419-$AC419),-3+($J419-$AF419)/($AE419-$AF419))),2))</f>
        <v/>
      </c>
      <c r="L419">
        <f>IF(OR($K419="",$K419="—"),"",IF($T419&lt;=60,IF($K419&lt;-3,"Magreza acentuada",IF($K419&lt;-2,"Magreza",IF($K419&lt;=1,"Eutrofia",IF($K419&lt;=2,"Risco de sobrepeso",IF($K419&lt;=3,"Sobrepeso","Obesidade"))))),IF($K419&lt;-3,"Magreza acentuada",IF($K419&lt;-2,"Magreza",IF($K419&lt;=1,"Eutrofia",IF($K419&lt;=2,"Sobrepeso",IF($K419&lt;=3,"Obesidade","Obesidade grave")))))))</f>
        <v/>
      </c>
      <c r="M419" s="12">
        <f>IF(OR($S419="",$V419="",$T419="",$T419&lt;0,$T419&gt;228,$AG419=""),"—",ROUND(IF($AG419=0,LN($V419/$AH419)/$AI419,((($V419/$AH419)^$AG419)-1)/($AG419*$AI419)),2))</f>
        <v/>
      </c>
      <c r="N419">
        <f>IF(OR($M419="",$M419="—"),"",IF($M419&lt;-3,"Muito baixa",IF($M419&lt;-2,"Baixa","Adequada")))</f>
        <v/>
      </c>
      <c r="O419" s="12">
        <f>IF(OR($S419="",$F419="",$T419="",$T419&lt;0,$T419&gt;120,$AJ419=""),"—",ROUND(IF(ABS($AM419)&lt;=3,$AM419,IF($AM419&gt;3,3+($F419-$AO419)/($AO419-$AN419),-3+($F419-$AQ419)/($AP419-$AQ419))),2))</f>
        <v/>
      </c>
      <c r="P419">
        <f>IF(OR($O419="",$O419="—"),"",IF($O419&lt;-3,"Muito baixo",IF($O419&lt;-2,"Baixo",IF($O419&lt;=2,"Adequado","Elevado"))))</f>
        <v/>
      </c>
      <c r="Q419" s="12">
        <f>IF(OR($S419="",$F419="",$T419="",$T419&lt;0,$T419&gt;60,$AR419=""),"—",ROUND(IF(ABS($AU419)&lt;=3,$AU419,IF($AU419&gt;3,3+($F419-$AW419)/($AW419-$AV419),-3+($F419-$AY419)/($AX419-$AY419))),2))</f>
        <v/>
      </c>
      <c r="R419">
        <f>IF(OR($Q419="",$Q419="—"),"",IF($Q419&lt;-3,"Magreza acentuada",IF($Q419&lt;-2,"Magreza",IF($Q419&lt;=1,"Eutrofia",IF($Q419&lt;=2,"Risco de sobrepeso",IF($Q419&lt;=3,"Sobrepeso","Obesidade"))))))</f>
        <v/>
      </c>
      <c r="S419">
        <f>IF($C419="","",IF(UPPER(LEFT($C419,1))="M",1,IF(UPPER(LEFT($C419,1))="F",2,"")))</f>
        <v/>
      </c>
      <c r="T419">
        <f>IF(OR($D419="",$E419=""),"",DATEDIF($D419,$E419,"m"))</f>
        <v/>
      </c>
      <c r="U419">
        <f>IF(OR($D419="",$E419=""),"",$E419-$D419)</f>
        <v/>
      </c>
      <c r="V419">
        <f>IF(OR($G419="",$T419=""),"",IF($T419&lt;24,IF(LEFT(LOWER($H419),4)="em p",$G419+0.7,$G419),IF(LEFT(LOWER($H419),4)="deit",$G419-0.7,$G419)))</f>
        <v/>
      </c>
      <c r="W419">
        <f>IF(OR($S419="",$T419=""),"",$S419*1000000+IF($T419&lt;=60,$U419,$T419))</f>
        <v/>
      </c>
      <c r="X419">
        <f>IF(OR($S419="",$V419="",$T419&gt;60,$T419=""),"",$S419*1000000+ROUND($V419*10,0))</f>
        <v/>
      </c>
      <c r="Y419">
        <f>IF($W419="","",IFERROR(INDEX(IF($T419&lt;=60,imc05_l,imc519_l),MATCH($W419,IF($T419&lt;=60,imc05_k,imc519_k),1)),""))</f>
        <v/>
      </c>
      <c r="Z419">
        <f>IF($W419="","",IFERROR(INDEX(IF($T419&lt;=60,imc05_m,imc519_m),MATCH($W419,IF($T419&lt;=60,imc05_k,imc519_k),1)),""))</f>
        <v/>
      </c>
      <c r="AA419">
        <f>IF($W419="","",IFERROR(INDEX(IF($T419&lt;=60,imc05_s,imc519_s),MATCH($W419,IF($T419&lt;=60,imc05_k,imc519_k),1)),""))</f>
        <v/>
      </c>
      <c r="AB419">
        <f>IF($Y419="","",IF($Y419=0,LN($J419/$Z419)/$AA419,((($J419/$Z419)^$Y419)-1)/($Y419*$AA419)))</f>
        <v/>
      </c>
      <c r="AC419">
        <f>IF($Y419="","",IF($Y419=0,$Z419*EXP($AA419*2),$Z419*(1+$Y419*$AA419*2)^(1/$Y419)))</f>
        <v/>
      </c>
      <c r="AD419">
        <f>IF($Y419="","",IF($Y419=0,$Z419*EXP($AA419*3),$Z419*(1+$Y419*$AA419*3)^(1/$Y419)))</f>
        <v/>
      </c>
      <c r="AE419">
        <f>IF($Y419="","",IF($Y419=0,$Z419*EXP($AA419*-2),$Z419*(1+$Y419*$AA419*-2)^(1/$Y419)))</f>
        <v/>
      </c>
      <c r="AF419">
        <f>IF($Y419="","",IF($Y419=0,$Z419*EXP($AA419*-3),$Z419*(1+$Y419*$AA419*-3)^(1/$Y419)))</f>
        <v/>
      </c>
      <c r="AG419">
        <f>IF($W419="","",IFERROR(INDEX(IF($T419&lt;=60,est05_l,est519_l),MATCH($W419,IF($T419&lt;=60,est05_k,est519_k),1)),""))</f>
        <v/>
      </c>
      <c r="AH419">
        <f>IF($W419="","",IFERROR(INDEX(IF($T419&lt;=60,est05_m,est519_m),MATCH($W419,IF($T419&lt;=60,est05_k,est519_k),1)),""))</f>
        <v/>
      </c>
      <c r="AI419">
        <f>IF($W419="","",IFERROR(INDEX(IF($T419&lt;=60,est05_s,est519_s),MATCH($W419,IF($T419&lt;=60,est05_k,est519_k),1)),""))</f>
        <v/>
      </c>
      <c r="AJ419">
        <f>IF($W419="","",IFERROR(INDEX(IF($T419&lt;=60,peso05_l,peso510_l),MATCH($W419,IF($T419&lt;=60,peso05_k,peso510_k),1)),""))</f>
        <v/>
      </c>
      <c r="AK419">
        <f>IF($W419="","",IFERROR(INDEX(IF($T419&lt;=60,peso05_m,peso510_m),MATCH($W419,IF($T419&lt;=60,peso05_k,peso510_k),1)),""))</f>
        <v/>
      </c>
      <c r="AL419">
        <f>IF($W419="","",IFERROR(INDEX(IF($T419&lt;=60,peso05_s,peso510_s),MATCH($W419,IF($T419&lt;=60,peso05_k,peso510_k),1)),""))</f>
        <v/>
      </c>
      <c r="AM419">
        <f>IF($AJ419="","",IF($AJ419=0,LN($F419/$AK419)/$AL419,((($F419/$AK419)^$AJ419)-1)/($AJ419*$AL419)))</f>
        <v/>
      </c>
      <c r="AN419">
        <f>IF($AJ419="","",IF($AJ419=0,$AK419*EXP($AL419*2),$AK419*(1+$AJ419*$AL419*2)^(1/$AJ419)))</f>
        <v/>
      </c>
      <c r="AO419">
        <f>IF($AJ419="","",IF($AJ419=0,$AK419*EXP($AL419*3),$AK419*(1+$AJ419*$AL419*3)^(1/$AJ419)))</f>
        <v/>
      </c>
      <c r="AP419">
        <f>IF($AJ419="","",IF($AJ419=0,$AK419*EXP($AL419*-2),$AK419*(1+$AJ419*$AL419*-2)^(1/$AJ419)))</f>
        <v/>
      </c>
      <c r="AQ419">
        <f>IF($AJ419="","",IF($AJ419=0,$AK419*EXP($AL419*-3),$AK419*(1+$AJ419*$AL419*-3)^(1/$AJ419)))</f>
        <v/>
      </c>
      <c r="AR419">
        <f>IF(OR($X419="",$T419&gt;60),"",IFERROR(INDEX(IF($T419&lt;24,pcomp_l,palt_l),MATCH($X419,IF($T419&lt;24,pcomp_k,palt_k),1)),""))</f>
        <v/>
      </c>
      <c r="AS419">
        <f>IF(OR($X419="",$T419&gt;60),"",IFERROR(INDEX(IF($T419&lt;24,pcomp_m,palt_m),MATCH($X419,IF($T419&lt;24,pcomp_k,palt_k),1)),""))</f>
        <v/>
      </c>
      <c r="AT419">
        <f>IF(OR($X419="",$T419&gt;60),"",IFERROR(INDEX(IF($T419&lt;24,pcomp_s,palt_s),MATCH($X419,IF($T419&lt;24,pcomp_k,palt_k),1)),""))</f>
        <v/>
      </c>
      <c r="AU419">
        <f>IF($AR419="","",IF($AR419=0,LN($F419/$AS419)/$AT419,((($F419/$AS419)^$AR419)-1)/($AR419*$AT419)))</f>
        <v/>
      </c>
      <c r="AV419">
        <f>IF($AR419="","",IF($AR419=0,$AS419*EXP($AT419*2),$AS419*(1+$AR419*$AT419*2)^(1/$AR419)))</f>
        <v/>
      </c>
      <c r="AW419">
        <f>IF($AR419="","",IF($AR419=0,$AS419*EXP($AT419*3),$AS419*(1+$AR419*$AT419*3)^(1/$AR419)))</f>
        <v/>
      </c>
      <c r="AX419">
        <f>IF($AR419="","",IF($AR419=0,$AS419*EXP($AT419*-2),$AS419*(1+$AR419*$AT419*-2)^(1/$AR419)))</f>
        <v/>
      </c>
      <c r="AY419">
        <f>IF($AR419="","",IF($AR419=0,$AS419*EXP($AT419*-3),$AS419*(1+$AR419*$AT419*-3)^(1/$AR419)))</f>
        <v/>
      </c>
      <c r="AZ419">
        <f>IF(OR($A419="",$A419&lt;&gt;Ficha!$C$4),"",COUNTIF($A$2:$A419,Ficha!$C$4))</f>
        <v/>
      </c>
    </row>
    <row r="420">
      <c r="A420" s="8">
        <f>IF(INDEX(Banco!$A:$A,ROW())="","",INDEX(Banco!$A:$A,ROW()))</f>
        <v/>
      </c>
      <c r="B420" s="8">
        <f>IF(INDEX(Banco!$B:$B,ROW())="","",INDEX(Banco!$B:$B,ROW()))</f>
        <v/>
      </c>
      <c r="C420" s="8">
        <f>IF(INDEX(Banco!$C:$C,ROW())="","",INDEX(Banco!$C:$C,ROW()))</f>
        <v/>
      </c>
      <c r="D420" s="9">
        <f>IF(INDEX(Banco!$D:$D,ROW())="","",INDEX(Banco!$D:$D,ROW()))</f>
        <v/>
      </c>
      <c r="E420" s="9">
        <f>IF(INDEX(Banco!$E:$E,ROW())="","",INDEX(Banco!$E:$E,ROW()))</f>
        <v/>
      </c>
      <c r="F420" s="10">
        <f>IF(INDEX(Banco!$F:$F,ROW())="","",INDEX(Banco!$F:$F,ROW()))</f>
        <v/>
      </c>
      <c r="G420" s="10">
        <f>IF(INDEX(Banco!$G:$G,ROW())="","",INDEX(Banco!$G:$G,ROW()))</f>
        <v/>
      </c>
      <c r="H420" s="8">
        <f>IF(INDEX(Banco!$H:$H,ROW())="","",INDEX(Banco!$H:$H,ROW()))</f>
        <v/>
      </c>
      <c r="I420">
        <f>IF($T420="","",INT($T420/12)&amp;"a "&amp;MOD($T420,12)&amp;"m")</f>
        <v/>
      </c>
      <c r="J420" s="11">
        <f>IF(OR($F420="",$G420=""),"",ROUND($F420/($G420/100)^2,2))</f>
        <v/>
      </c>
      <c r="K420" s="12">
        <f>IF(OR($S420="",$J420="",$T420="",$T420&lt;0,$T420&gt;228,$Y420=""),"—",ROUND(IF(ABS($AB420)&lt;=3,$AB420,IF($AB420&gt;3,3+($J420-$AD420)/($AD420-$AC420),-3+($J420-$AF420)/($AE420-$AF420))),2))</f>
        <v/>
      </c>
      <c r="L420">
        <f>IF(OR($K420="",$K420="—"),"",IF($T420&lt;=60,IF($K420&lt;-3,"Magreza acentuada",IF($K420&lt;-2,"Magreza",IF($K420&lt;=1,"Eutrofia",IF($K420&lt;=2,"Risco de sobrepeso",IF($K420&lt;=3,"Sobrepeso","Obesidade"))))),IF($K420&lt;-3,"Magreza acentuada",IF($K420&lt;-2,"Magreza",IF($K420&lt;=1,"Eutrofia",IF($K420&lt;=2,"Sobrepeso",IF($K420&lt;=3,"Obesidade","Obesidade grave")))))))</f>
        <v/>
      </c>
      <c r="M420" s="12">
        <f>IF(OR($S420="",$V420="",$T420="",$T420&lt;0,$T420&gt;228,$AG420=""),"—",ROUND(IF($AG420=0,LN($V420/$AH420)/$AI420,((($V420/$AH420)^$AG420)-1)/($AG420*$AI420)),2))</f>
        <v/>
      </c>
      <c r="N420">
        <f>IF(OR($M420="",$M420="—"),"",IF($M420&lt;-3,"Muito baixa",IF($M420&lt;-2,"Baixa","Adequada")))</f>
        <v/>
      </c>
      <c r="O420" s="12">
        <f>IF(OR($S420="",$F420="",$T420="",$T420&lt;0,$T420&gt;120,$AJ420=""),"—",ROUND(IF(ABS($AM420)&lt;=3,$AM420,IF($AM420&gt;3,3+($F420-$AO420)/($AO420-$AN420),-3+($F420-$AQ420)/($AP420-$AQ420))),2))</f>
        <v/>
      </c>
      <c r="P420">
        <f>IF(OR($O420="",$O420="—"),"",IF($O420&lt;-3,"Muito baixo",IF($O420&lt;-2,"Baixo",IF($O420&lt;=2,"Adequado","Elevado"))))</f>
        <v/>
      </c>
      <c r="Q420" s="12">
        <f>IF(OR($S420="",$F420="",$T420="",$T420&lt;0,$T420&gt;60,$AR420=""),"—",ROUND(IF(ABS($AU420)&lt;=3,$AU420,IF($AU420&gt;3,3+($F420-$AW420)/($AW420-$AV420),-3+($F420-$AY420)/($AX420-$AY420))),2))</f>
        <v/>
      </c>
      <c r="R420">
        <f>IF(OR($Q420="",$Q420="—"),"",IF($Q420&lt;-3,"Magreza acentuada",IF($Q420&lt;-2,"Magreza",IF($Q420&lt;=1,"Eutrofia",IF($Q420&lt;=2,"Risco de sobrepeso",IF($Q420&lt;=3,"Sobrepeso","Obesidade"))))))</f>
        <v/>
      </c>
      <c r="S420">
        <f>IF($C420="","",IF(UPPER(LEFT($C420,1))="M",1,IF(UPPER(LEFT($C420,1))="F",2,"")))</f>
        <v/>
      </c>
      <c r="T420">
        <f>IF(OR($D420="",$E420=""),"",DATEDIF($D420,$E420,"m"))</f>
        <v/>
      </c>
      <c r="U420">
        <f>IF(OR($D420="",$E420=""),"",$E420-$D420)</f>
        <v/>
      </c>
      <c r="V420">
        <f>IF(OR($G420="",$T420=""),"",IF($T420&lt;24,IF(LEFT(LOWER($H420),4)="em p",$G420+0.7,$G420),IF(LEFT(LOWER($H420),4)="deit",$G420-0.7,$G420)))</f>
        <v/>
      </c>
      <c r="W420">
        <f>IF(OR($S420="",$T420=""),"",$S420*1000000+IF($T420&lt;=60,$U420,$T420))</f>
        <v/>
      </c>
      <c r="X420">
        <f>IF(OR($S420="",$V420="",$T420&gt;60,$T420=""),"",$S420*1000000+ROUND($V420*10,0))</f>
        <v/>
      </c>
      <c r="Y420">
        <f>IF($W420="","",IFERROR(INDEX(IF($T420&lt;=60,imc05_l,imc519_l),MATCH($W420,IF($T420&lt;=60,imc05_k,imc519_k),1)),""))</f>
        <v/>
      </c>
      <c r="Z420">
        <f>IF($W420="","",IFERROR(INDEX(IF($T420&lt;=60,imc05_m,imc519_m),MATCH($W420,IF($T420&lt;=60,imc05_k,imc519_k),1)),""))</f>
        <v/>
      </c>
      <c r="AA420">
        <f>IF($W420="","",IFERROR(INDEX(IF($T420&lt;=60,imc05_s,imc519_s),MATCH($W420,IF($T420&lt;=60,imc05_k,imc519_k),1)),""))</f>
        <v/>
      </c>
      <c r="AB420">
        <f>IF($Y420="","",IF($Y420=0,LN($J420/$Z420)/$AA420,((($J420/$Z420)^$Y420)-1)/($Y420*$AA420)))</f>
        <v/>
      </c>
      <c r="AC420">
        <f>IF($Y420="","",IF($Y420=0,$Z420*EXP($AA420*2),$Z420*(1+$Y420*$AA420*2)^(1/$Y420)))</f>
        <v/>
      </c>
      <c r="AD420">
        <f>IF($Y420="","",IF($Y420=0,$Z420*EXP($AA420*3),$Z420*(1+$Y420*$AA420*3)^(1/$Y420)))</f>
        <v/>
      </c>
      <c r="AE420">
        <f>IF($Y420="","",IF($Y420=0,$Z420*EXP($AA420*-2),$Z420*(1+$Y420*$AA420*-2)^(1/$Y420)))</f>
        <v/>
      </c>
      <c r="AF420">
        <f>IF($Y420="","",IF($Y420=0,$Z420*EXP($AA420*-3),$Z420*(1+$Y420*$AA420*-3)^(1/$Y420)))</f>
        <v/>
      </c>
      <c r="AG420">
        <f>IF($W420="","",IFERROR(INDEX(IF($T420&lt;=60,est05_l,est519_l),MATCH($W420,IF($T420&lt;=60,est05_k,est519_k),1)),""))</f>
        <v/>
      </c>
      <c r="AH420">
        <f>IF($W420="","",IFERROR(INDEX(IF($T420&lt;=60,est05_m,est519_m),MATCH($W420,IF($T420&lt;=60,est05_k,est519_k),1)),""))</f>
        <v/>
      </c>
      <c r="AI420">
        <f>IF($W420="","",IFERROR(INDEX(IF($T420&lt;=60,est05_s,est519_s),MATCH($W420,IF($T420&lt;=60,est05_k,est519_k),1)),""))</f>
        <v/>
      </c>
      <c r="AJ420">
        <f>IF($W420="","",IFERROR(INDEX(IF($T420&lt;=60,peso05_l,peso510_l),MATCH($W420,IF($T420&lt;=60,peso05_k,peso510_k),1)),""))</f>
        <v/>
      </c>
      <c r="AK420">
        <f>IF($W420="","",IFERROR(INDEX(IF($T420&lt;=60,peso05_m,peso510_m),MATCH($W420,IF($T420&lt;=60,peso05_k,peso510_k),1)),""))</f>
        <v/>
      </c>
      <c r="AL420">
        <f>IF($W420="","",IFERROR(INDEX(IF($T420&lt;=60,peso05_s,peso510_s),MATCH($W420,IF($T420&lt;=60,peso05_k,peso510_k),1)),""))</f>
        <v/>
      </c>
      <c r="AM420">
        <f>IF($AJ420="","",IF($AJ420=0,LN($F420/$AK420)/$AL420,((($F420/$AK420)^$AJ420)-1)/($AJ420*$AL420)))</f>
        <v/>
      </c>
      <c r="AN420">
        <f>IF($AJ420="","",IF($AJ420=0,$AK420*EXP($AL420*2),$AK420*(1+$AJ420*$AL420*2)^(1/$AJ420)))</f>
        <v/>
      </c>
      <c r="AO420">
        <f>IF($AJ420="","",IF($AJ420=0,$AK420*EXP($AL420*3),$AK420*(1+$AJ420*$AL420*3)^(1/$AJ420)))</f>
        <v/>
      </c>
      <c r="AP420">
        <f>IF($AJ420="","",IF($AJ420=0,$AK420*EXP($AL420*-2),$AK420*(1+$AJ420*$AL420*-2)^(1/$AJ420)))</f>
        <v/>
      </c>
      <c r="AQ420">
        <f>IF($AJ420="","",IF($AJ420=0,$AK420*EXP($AL420*-3),$AK420*(1+$AJ420*$AL420*-3)^(1/$AJ420)))</f>
        <v/>
      </c>
      <c r="AR420">
        <f>IF(OR($X420="",$T420&gt;60),"",IFERROR(INDEX(IF($T420&lt;24,pcomp_l,palt_l),MATCH($X420,IF($T420&lt;24,pcomp_k,palt_k),1)),""))</f>
        <v/>
      </c>
      <c r="AS420">
        <f>IF(OR($X420="",$T420&gt;60),"",IFERROR(INDEX(IF($T420&lt;24,pcomp_m,palt_m),MATCH($X420,IF($T420&lt;24,pcomp_k,palt_k),1)),""))</f>
        <v/>
      </c>
      <c r="AT420">
        <f>IF(OR($X420="",$T420&gt;60),"",IFERROR(INDEX(IF($T420&lt;24,pcomp_s,palt_s),MATCH($X420,IF($T420&lt;24,pcomp_k,palt_k),1)),""))</f>
        <v/>
      </c>
      <c r="AU420">
        <f>IF($AR420="","",IF($AR420=0,LN($F420/$AS420)/$AT420,((($F420/$AS420)^$AR420)-1)/($AR420*$AT420)))</f>
        <v/>
      </c>
      <c r="AV420">
        <f>IF($AR420="","",IF($AR420=0,$AS420*EXP($AT420*2),$AS420*(1+$AR420*$AT420*2)^(1/$AR420)))</f>
        <v/>
      </c>
      <c r="AW420">
        <f>IF($AR420="","",IF($AR420=0,$AS420*EXP($AT420*3),$AS420*(1+$AR420*$AT420*3)^(1/$AR420)))</f>
        <v/>
      </c>
      <c r="AX420">
        <f>IF($AR420="","",IF($AR420=0,$AS420*EXP($AT420*-2),$AS420*(1+$AR420*$AT420*-2)^(1/$AR420)))</f>
        <v/>
      </c>
      <c r="AY420">
        <f>IF($AR420="","",IF($AR420=0,$AS420*EXP($AT420*-3),$AS420*(1+$AR420*$AT420*-3)^(1/$AR420)))</f>
        <v/>
      </c>
      <c r="AZ420">
        <f>IF(OR($A420="",$A420&lt;&gt;Ficha!$C$4),"",COUNTIF($A$2:$A420,Ficha!$C$4))</f>
        <v/>
      </c>
    </row>
    <row r="421">
      <c r="A421" s="8">
        <f>IF(INDEX(Banco!$A:$A,ROW())="","",INDEX(Banco!$A:$A,ROW()))</f>
        <v/>
      </c>
      <c r="B421" s="8">
        <f>IF(INDEX(Banco!$B:$B,ROW())="","",INDEX(Banco!$B:$B,ROW()))</f>
        <v/>
      </c>
      <c r="C421" s="8">
        <f>IF(INDEX(Banco!$C:$C,ROW())="","",INDEX(Banco!$C:$C,ROW()))</f>
        <v/>
      </c>
      <c r="D421" s="9">
        <f>IF(INDEX(Banco!$D:$D,ROW())="","",INDEX(Banco!$D:$D,ROW()))</f>
        <v/>
      </c>
      <c r="E421" s="9">
        <f>IF(INDEX(Banco!$E:$E,ROW())="","",INDEX(Banco!$E:$E,ROW()))</f>
        <v/>
      </c>
      <c r="F421" s="10">
        <f>IF(INDEX(Banco!$F:$F,ROW())="","",INDEX(Banco!$F:$F,ROW()))</f>
        <v/>
      </c>
      <c r="G421" s="10">
        <f>IF(INDEX(Banco!$G:$G,ROW())="","",INDEX(Banco!$G:$G,ROW()))</f>
        <v/>
      </c>
      <c r="H421" s="8">
        <f>IF(INDEX(Banco!$H:$H,ROW())="","",INDEX(Banco!$H:$H,ROW()))</f>
        <v/>
      </c>
      <c r="I421">
        <f>IF($T421="","",INT($T421/12)&amp;"a "&amp;MOD($T421,12)&amp;"m")</f>
        <v/>
      </c>
      <c r="J421" s="11">
        <f>IF(OR($F421="",$G421=""),"",ROUND($F421/($G421/100)^2,2))</f>
        <v/>
      </c>
      <c r="K421" s="12">
        <f>IF(OR($S421="",$J421="",$T421="",$T421&lt;0,$T421&gt;228,$Y421=""),"—",ROUND(IF(ABS($AB421)&lt;=3,$AB421,IF($AB421&gt;3,3+($J421-$AD421)/($AD421-$AC421),-3+($J421-$AF421)/($AE421-$AF421))),2))</f>
        <v/>
      </c>
      <c r="L421">
        <f>IF(OR($K421="",$K421="—"),"",IF($T421&lt;=60,IF($K421&lt;-3,"Magreza acentuada",IF($K421&lt;-2,"Magreza",IF($K421&lt;=1,"Eutrofia",IF($K421&lt;=2,"Risco de sobrepeso",IF($K421&lt;=3,"Sobrepeso","Obesidade"))))),IF($K421&lt;-3,"Magreza acentuada",IF($K421&lt;-2,"Magreza",IF($K421&lt;=1,"Eutrofia",IF($K421&lt;=2,"Sobrepeso",IF($K421&lt;=3,"Obesidade","Obesidade grave")))))))</f>
        <v/>
      </c>
      <c r="M421" s="12">
        <f>IF(OR($S421="",$V421="",$T421="",$T421&lt;0,$T421&gt;228,$AG421=""),"—",ROUND(IF($AG421=0,LN($V421/$AH421)/$AI421,((($V421/$AH421)^$AG421)-1)/($AG421*$AI421)),2))</f>
        <v/>
      </c>
      <c r="N421">
        <f>IF(OR($M421="",$M421="—"),"",IF($M421&lt;-3,"Muito baixa",IF($M421&lt;-2,"Baixa","Adequada")))</f>
        <v/>
      </c>
      <c r="O421" s="12">
        <f>IF(OR($S421="",$F421="",$T421="",$T421&lt;0,$T421&gt;120,$AJ421=""),"—",ROUND(IF(ABS($AM421)&lt;=3,$AM421,IF($AM421&gt;3,3+($F421-$AO421)/($AO421-$AN421),-3+($F421-$AQ421)/($AP421-$AQ421))),2))</f>
        <v/>
      </c>
      <c r="P421">
        <f>IF(OR($O421="",$O421="—"),"",IF($O421&lt;-3,"Muito baixo",IF($O421&lt;-2,"Baixo",IF($O421&lt;=2,"Adequado","Elevado"))))</f>
        <v/>
      </c>
      <c r="Q421" s="12">
        <f>IF(OR($S421="",$F421="",$T421="",$T421&lt;0,$T421&gt;60,$AR421=""),"—",ROUND(IF(ABS($AU421)&lt;=3,$AU421,IF($AU421&gt;3,3+($F421-$AW421)/($AW421-$AV421),-3+($F421-$AY421)/($AX421-$AY421))),2))</f>
        <v/>
      </c>
      <c r="R421">
        <f>IF(OR($Q421="",$Q421="—"),"",IF($Q421&lt;-3,"Magreza acentuada",IF($Q421&lt;-2,"Magreza",IF($Q421&lt;=1,"Eutrofia",IF($Q421&lt;=2,"Risco de sobrepeso",IF($Q421&lt;=3,"Sobrepeso","Obesidade"))))))</f>
        <v/>
      </c>
      <c r="S421">
        <f>IF($C421="","",IF(UPPER(LEFT($C421,1))="M",1,IF(UPPER(LEFT($C421,1))="F",2,"")))</f>
        <v/>
      </c>
      <c r="T421">
        <f>IF(OR($D421="",$E421=""),"",DATEDIF($D421,$E421,"m"))</f>
        <v/>
      </c>
      <c r="U421">
        <f>IF(OR($D421="",$E421=""),"",$E421-$D421)</f>
        <v/>
      </c>
      <c r="V421">
        <f>IF(OR($G421="",$T421=""),"",IF($T421&lt;24,IF(LEFT(LOWER($H421),4)="em p",$G421+0.7,$G421),IF(LEFT(LOWER($H421),4)="deit",$G421-0.7,$G421)))</f>
        <v/>
      </c>
      <c r="W421">
        <f>IF(OR($S421="",$T421=""),"",$S421*1000000+IF($T421&lt;=60,$U421,$T421))</f>
        <v/>
      </c>
      <c r="X421">
        <f>IF(OR($S421="",$V421="",$T421&gt;60,$T421=""),"",$S421*1000000+ROUND($V421*10,0))</f>
        <v/>
      </c>
      <c r="Y421">
        <f>IF($W421="","",IFERROR(INDEX(IF($T421&lt;=60,imc05_l,imc519_l),MATCH($W421,IF($T421&lt;=60,imc05_k,imc519_k),1)),""))</f>
        <v/>
      </c>
      <c r="Z421">
        <f>IF($W421="","",IFERROR(INDEX(IF($T421&lt;=60,imc05_m,imc519_m),MATCH($W421,IF($T421&lt;=60,imc05_k,imc519_k),1)),""))</f>
        <v/>
      </c>
      <c r="AA421">
        <f>IF($W421="","",IFERROR(INDEX(IF($T421&lt;=60,imc05_s,imc519_s),MATCH($W421,IF($T421&lt;=60,imc05_k,imc519_k),1)),""))</f>
        <v/>
      </c>
      <c r="AB421">
        <f>IF($Y421="","",IF($Y421=0,LN($J421/$Z421)/$AA421,((($J421/$Z421)^$Y421)-1)/($Y421*$AA421)))</f>
        <v/>
      </c>
      <c r="AC421">
        <f>IF($Y421="","",IF($Y421=0,$Z421*EXP($AA421*2),$Z421*(1+$Y421*$AA421*2)^(1/$Y421)))</f>
        <v/>
      </c>
      <c r="AD421">
        <f>IF($Y421="","",IF($Y421=0,$Z421*EXP($AA421*3),$Z421*(1+$Y421*$AA421*3)^(1/$Y421)))</f>
        <v/>
      </c>
      <c r="AE421">
        <f>IF($Y421="","",IF($Y421=0,$Z421*EXP($AA421*-2),$Z421*(1+$Y421*$AA421*-2)^(1/$Y421)))</f>
        <v/>
      </c>
      <c r="AF421">
        <f>IF($Y421="","",IF($Y421=0,$Z421*EXP($AA421*-3),$Z421*(1+$Y421*$AA421*-3)^(1/$Y421)))</f>
        <v/>
      </c>
      <c r="AG421">
        <f>IF($W421="","",IFERROR(INDEX(IF($T421&lt;=60,est05_l,est519_l),MATCH($W421,IF($T421&lt;=60,est05_k,est519_k),1)),""))</f>
        <v/>
      </c>
      <c r="AH421">
        <f>IF($W421="","",IFERROR(INDEX(IF($T421&lt;=60,est05_m,est519_m),MATCH($W421,IF($T421&lt;=60,est05_k,est519_k),1)),""))</f>
        <v/>
      </c>
      <c r="AI421">
        <f>IF($W421="","",IFERROR(INDEX(IF($T421&lt;=60,est05_s,est519_s),MATCH($W421,IF($T421&lt;=60,est05_k,est519_k),1)),""))</f>
        <v/>
      </c>
      <c r="AJ421">
        <f>IF($W421="","",IFERROR(INDEX(IF($T421&lt;=60,peso05_l,peso510_l),MATCH($W421,IF($T421&lt;=60,peso05_k,peso510_k),1)),""))</f>
        <v/>
      </c>
      <c r="AK421">
        <f>IF($W421="","",IFERROR(INDEX(IF($T421&lt;=60,peso05_m,peso510_m),MATCH($W421,IF($T421&lt;=60,peso05_k,peso510_k),1)),""))</f>
        <v/>
      </c>
      <c r="AL421">
        <f>IF($W421="","",IFERROR(INDEX(IF($T421&lt;=60,peso05_s,peso510_s),MATCH($W421,IF($T421&lt;=60,peso05_k,peso510_k),1)),""))</f>
        <v/>
      </c>
      <c r="AM421">
        <f>IF($AJ421="","",IF($AJ421=0,LN($F421/$AK421)/$AL421,((($F421/$AK421)^$AJ421)-1)/($AJ421*$AL421)))</f>
        <v/>
      </c>
      <c r="AN421">
        <f>IF($AJ421="","",IF($AJ421=0,$AK421*EXP($AL421*2),$AK421*(1+$AJ421*$AL421*2)^(1/$AJ421)))</f>
        <v/>
      </c>
      <c r="AO421">
        <f>IF($AJ421="","",IF($AJ421=0,$AK421*EXP($AL421*3),$AK421*(1+$AJ421*$AL421*3)^(1/$AJ421)))</f>
        <v/>
      </c>
      <c r="AP421">
        <f>IF($AJ421="","",IF($AJ421=0,$AK421*EXP($AL421*-2),$AK421*(1+$AJ421*$AL421*-2)^(1/$AJ421)))</f>
        <v/>
      </c>
      <c r="AQ421">
        <f>IF($AJ421="","",IF($AJ421=0,$AK421*EXP($AL421*-3),$AK421*(1+$AJ421*$AL421*-3)^(1/$AJ421)))</f>
        <v/>
      </c>
      <c r="AR421">
        <f>IF(OR($X421="",$T421&gt;60),"",IFERROR(INDEX(IF($T421&lt;24,pcomp_l,palt_l),MATCH($X421,IF($T421&lt;24,pcomp_k,palt_k),1)),""))</f>
        <v/>
      </c>
      <c r="AS421">
        <f>IF(OR($X421="",$T421&gt;60),"",IFERROR(INDEX(IF($T421&lt;24,pcomp_m,palt_m),MATCH($X421,IF($T421&lt;24,pcomp_k,palt_k),1)),""))</f>
        <v/>
      </c>
      <c r="AT421">
        <f>IF(OR($X421="",$T421&gt;60),"",IFERROR(INDEX(IF($T421&lt;24,pcomp_s,palt_s),MATCH($X421,IF($T421&lt;24,pcomp_k,palt_k),1)),""))</f>
        <v/>
      </c>
      <c r="AU421">
        <f>IF($AR421="","",IF($AR421=0,LN($F421/$AS421)/$AT421,((($F421/$AS421)^$AR421)-1)/($AR421*$AT421)))</f>
        <v/>
      </c>
      <c r="AV421">
        <f>IF($AR421="","",IF($AR421=0,$AS421*EXP($AT421*2),$AS421*(1+$AR421*$AT421*2)^(1/$AR421)))</f>
        <v/>
      </c>
      <c r="AW421">
        <f>IF($AR421="","",IF($AR421=0,$AS421*EXP($AT421*3),$AS421*(1+$AR421*$AT421*3)^(1/$AR421)))</f>
        <v/>
      </c>
      <c r="AX421">
        <f>IF($AR421="","",IF($AR421=0,$AS421*EXP($AT421*-2),$AS421*(1+$AR421*$AT421*-2)^(1/$AR421)))</f>
        <v/>
      </c>
      <c r="AY421">
        <f>IF($AR421="","",IF($AR421=0,$AS421*EXP($AT421*-3),$AS421*(1+$AR421*$AT421*-3)^(1/$AR421)))</f>
        <v/>
      </c>
      <c r="AZ421">
        <f>IF(OR($A421="",$A421&lt;&gt;Ficha!$C$4),"",COUNTIF($A$2:$A421,Ficha!$C$4))</f>
        <v/>
      </c>
    </row>
    <row r="422">
      <c r="A422" s="8">
        <f>IF(INDEX(Banco!$A:$A,ROW())="","",INDEX(Banco!$A:$A,ROW()))</f>
        <v/>
      </c>
      <c r="B422" s="8">
        <f>IF(INDEX(Banco!$B:$B,ROW())="","",INDEX(Banco!$B:$B,ROW()))</f>
        <v/>
      </c>
      <c r="C422" s="8">
        <f>IF(INDEX(Banco!$C:$C,ROW())="","",INDEX(Banco!$C:$C,ROW()))</f>
        <v/>
      </c>
      <c r="D422" s="9">
        <f>IF(INDEX(Banco!$D:$D,ROW())="","",INDEX(Banco!$D:$D,ROW()))</f>
        <v/>
      </c>
      <c r="E422" s="9">
        <f>IF(INDEX(Banco!$E:$E,ROW())="","",INDEX(Banco!$E:$E,ROW()))</f>
        <v/>
      </c>
      <c r="F422" s="10">
        <f>IF(INDEX(Banco!$F:$F,ROW())="","",INDEX(Banco!$F:$F,ROW()))</f>
        <v/>
      </c>
      <c r="G422" s="10">
        <f>IF(INDEX(Banco!$G:$G,ROW())="","",INDEX(Banco!$G:$G,ROW()))</f>
        <v/>
      </c>
      <c r="H422" s="8">
        <f>IF(INDEX(Banco!$H:$H,ROW())="","",INDEX(Banco!$H:$H,ROW()))</f>
        <v/>
      </c>
      <c r="I422">
        <f>IF($T422="","",INT($T422/12)&amp;"a "&amp;MOD($T422,12)&amp;"m")</f>
        <v/>
      </c>
      <c r="J422" s="11">
        <f>IF(OR($F422="",$G422=""),"",ROUND($F422/($G422/100)^2,2))</f>
        <v/>
      </c>
      <c r="K422" s="12">
        <f>IF(OR($S422="",$J422="",$T422="",$T422&lt;0,$T422&gt;228,$Y422=""),"—",ROUND(IF(ABS($AB422)&lt;=3,$AB422,IF($AB422&gt;3,3+($J422-$AD422)/($AD422-$AC422),-3+($J422-$AF422)/($AE422-$AF422))),2))</f>
        <v/>
      </c>
      <c r="L422">
        <f>IF(OR($K422="",$K422="—"),"",IF($T422&lt;=60,IF($K422&lt;-3,"Magreza acentuada",IF($K422&lt;-2,"Magreza",IF($K422&lt;=1,"Eutrofia",IF($K422&lt;=2,"Risco de sobrepeso",IF($K422&lt;=3,"Sobrepeso","Obesidade"))))),IF($K422&lt;-3,"Magreza acentuada",IF($K422&lt;-2,"Magreza",IF($K422&lt;=1,"Eutrofia",IF($K422&lt;=2,"Sobrepeso",IF($K422&lt;=3,"Obesidade","Obesidade grave")))))))</f>
        <v/>
      </c>
      <c r="M422" s="12">
        <f>IF(OR($S422="",$V422="",$T422="",$T422&lt;0,$T422&gt;228,$AG422=""),"—",ROUND(IF($AG422=0,LN($V422/$AH422)/$AI422,((($V422/$AH422)^$AG422)-1)/($AG422*$AI422)),2))</f>
        <v/>
      </c>
      <c r="N422">
        <f>IF(OR($M422="",$M422="—"),"",IF($M422&lt;-3,"Muito baixa",IF($M422&lt;-2,"Baixa","Adequada")))</f>
        <v/>
      </c>
      <c r="O422" s="12">
        <f>IF(OR($S422="",$F422="",$T422="",$T422&lt;0,$T422&gt;120,$AJ422=""),"—",ROUND(IF(ABS($AM422)&lt;=3,$AM422,IF($AM422&gt;3,3+($F422-$AO422)/($AO422-$AN422),-3+($F422-$AQ422)/($AP422-$AQ422))),2))</f>
        <v/>
      </c>
      <c r="P422">
        <f>IF(OR($O422="",$O422="—"),"",IF($O422&lt;-3,"Muito baixo",IF($O422&lt;-2,"Baixo",IF($O422&lt;=2,"Adequado","Elevado"))))</f>
        <v/>
      </c>
      <c r="Q422" s="12">
        <f>IF(OR($S422="",$F422="",$T422="",$T422&lt;0,$T422&gt;60,$AR422=""),"—",ROUND(IF(ABS($AU422)&lt;=3,$AU422,IF($AU422&gt;3,3+($F422-$AW422)/($AW422-$AV422),-3+($F422-$AY422)/($AX422-$AY422))),2))</f>
        <v/>
      </c>
      <c r="R422">
        <f>IF(OR($Q422="",$Q422="—"),"",IF($Q422&lt;-3,"Magreza acentuada",IF($Q422&lt;-2,"Magreza",IF($Q422&lt;=1,"Eutrofia",IF($Q422&lt;=2,"Risco de sobrepeso",IF($Q422&lt;=3,"Sobrepeso","Obesidade"))))))</f>
        <v/>
      </c>
      <c r="S422">
        <f>IF($C422="","",IF(UPPER(LEFT($C422,1))="M",1,IF(UPPER(LEFT($C422,1))="F",2,"")))</f>
        <v/>
      </c>
      <c r="T422">
        <f>IF(OR($D422="",$E422=""),"",DATEDIF($D422,$E422,"m"))</f>
        <v/>
      </c>
      <c r="U422">
        <f>IF(OR($D422="",$E422=""),"",$E422-$D422)</f>
        <v/>
      </c>
      <c r="V422">
        <f>IF(OR($G422="",$T422=""),"",IF($T422&lt;24,IF(LEFT(LOWER($H422),4)="em p",$G422+0.7,$G422),IF(LEFT(LOWER($H422),4)="deit",$G422-0.7,$G422)))</f>
        <v/>
      </c>
      <c r="W422">
        <f>IF(OR($S422="",$T422=""),"",$S422*1000000+IF($T422&lt;=60,$U422,$T422))</f>
        <v/>
      </c>
      <c r="X422">
        <f>IF(OR($S422="",$V422="",$T422&gt;60,$T422=""),"",$S422*1000000+ROUND($V422*10,0))</f>
        <v/>
      </c>
      <c r="Y422">
        <f>IF($W422="","",IFERROR(INDEX(IF($T422&lt;=60,imc05_l,imc519_l),MATCH($W422,IF($T422&lt;=60,imc05_k,imc519_k),1)),""))</f>
        <v/>
      </c>
      <c r="Z422">
        <f>IF($W422="","",IFERROR(INDEX(IF($T422&lt;=60,imc05_m,imc519_m),MATCH($W422,IF($T422&lt;=60,imc05_k,imc519_k),1)),""))</f>
        <v/>
      </c>
      <c r="AA422">
        <f>IF($W422="","",IFERROR(INDEX(IF($T422&lt;=60,imc05_s,imc519_s),MATCH($W422,IF($T422&lt;=60,imc05_k,imc519_k),1)),""))</f>
        <v/>
      </c>
      <c r="AB422">
        <f>IF($Y422="","",IF($Y422=0,LN($J422/$Z422)/$AA422,((($J422/$Z422)^$Y422)-1)/($Y422*$AA422)))</f>
        <v/>
      </c>
      <c r="AC422">
        <f>IF($Y422="","",IF($Y422=0,$Z422*EXP($AA422*2),$Z422*(1+$Y422*$AA422*2)^(1/$Y422)))</f>
        <v/>
      </c>
      <c r="AD422">
        <f>IF($Y422="","",IF($Y422=0,$Z422*EXP($AA422*3),$Z422*(1+$Y422*$AA422*3)^(1/$Y422)))</f>
        <v/>
      </c>
      <c r="AE422">
        <f>IF($Y422="","",IF($Y422=0,$Z422*EXP($AA422*-2),$Z422*(1+$Y422*$AA422*-2)^(1/$Y422)))</f>
        <v/>
      </c>
      <c r="AF422">
        <f>IF($Y422="","",IF($Y422=0,$Z422*EXP($AA422*-3),$Z422*(1+$Y422*$AA422*-3)^(1/$Y422)))</f>
        <v/>
      </c>
      <c r="AG422">
        <f>IF($W422="","",IFERROR(INDEX(IF($T422&lt;=60,est05_l,est519_l),MATCH($W422,IF($T422&lt;=60,est05_k,est519_k),1)),""))</f>
        <v/>
      </c>
      <c r="AH422">
        <f>IF($W422="","",IFERROR(INDEX(IF($T422&lt;=60,est05_m,est519_m),MATCH($W422,IF($T422&lt;=60,est05_k,est519_k),1)),""))</f>
        <v/>
      </c>
      <c r="AI422">
        <f>IF($W422="","",IFERROR(INDEX(IF($T422&lt;=60,est05_s,est519_s),MATCH($W422,IF($T422&lt;=60,est05_k,est519_k),1)),""))</f>
        <v/>
      </c>
      <c r="AJ422">
        <f>IF($W422="","",IFERROR(INDEX(IF($T422&lt;=60,peso05_l,peso510_l),MATCH($W422,IF($T422&lt;=60,peso05_k,peso510_k),1)),""))</f>
        <v/>
      </c>
      <c r="AK422">
        <f>IF($W422="","",IFERROR(INDEX(IF($T422&lt;=60,peso05_m,peso510_m),MATCH($W422,IF($T422&lt;=60,peso05_k,peso510_k),1)),""))</f>
        <v/>
      </c>
      <c r="AL422">
        <f>IF($W422="","",IFERROR(INDEX(IF($T422&lt;=60,peso05_s,peso510_s),MATCH($W422,IF($T422&lt;=60,peso05_k,peso510_k),1)),""))</f>
        <v/>
      </c>
      <c r="AM422">
        <f>IF($AJ422="","",IF($AJ422=0,LN($F422/$AK422)/$AL422,((($F422/$AK422)^$AJ422)-1)/($AJ422*$AL422)))</f>
        <v/>
      </c>
      <c r="AN422">
        <f>IF($AJ422="","",IF($AJ422=0,$AK422*EXP($AL422*2),$AK422*(1+$AJ422*$AL422*2)^(1/$AJ422)))</f>
        <v/>
      </c>
      <c r="AO422">
        <f>IF($AJ422="","",IF($AJ422=0,$AK422*EXP($AL422*3),$AK422*(1+$AJ422*$AL422*3)^(1/$AJ422)))</f>
        <v/>
      </c>
      <c r="AP422">
        <f>IF($AJ422="","",IF($AJ422=0,$AK422*EXP($AL422*-2),$AK422*(1+$AJ422*$AL422*-2)^(1/$AJ422)))</f>
        <v/>
      </c>
      <c r="AQ422">
        <f>IF($AJ422="","",IF($AJ422=0,$AK422*EXP($AL422*-3),$AK422*(1+$AJ422*$AL422*-3)^(1/$AJ422)))</f>
        <v/>
      </c>
      <c r="AR422">
        <f>IF(OR($X422="",$T422&gt;60),"",IFERROR(INDEX(IF($T422&lt;24,pcomp_l,palt_l),MATCH($X422,IF($T422&lt;24,pcomp_k,palt_k),1)),""))</f>
        <v/>
      </c>
      <c r="AS422">
        <f>IF(OR($X422="",$T422&gt;60),"",IFERROR(INDEX(IF($T422&lt;24,pcomp_m,palt_m),MATCH($X422,IF($T422&lt;24,pcomp_k,palt_k),1)),""))</f>
        <v/>
      </c>
      <c r="AT422">
        <f>IF(OR($X422="",$T422&gt;60),"",IFERROR(INDEX(IF($T422&lt;24,pcomp_s,palt_s),MATCH($X422,IF($T422&lt;24,pcomp_k,palt_k),1)),""))</f>
        <v/>
      </c>
      <c r="AU422">
        <f>IF($AR422="","",IF($AR422=0,LN($F422/$AS422)/$AT422,((($F422/$AS422)^$AR422)-1)/($AR422*$AT422)))</f>
        <v/>
      </c>
      <c r="AV422">
        <f>IF($AR422="","",IF($AR422=0,$AS422*EXP($AT422*2),$AS422*(1+$AR422*$AT422*2)^(1/$AR422)))</f>
        <v/>
      </c>
      <c r="AW422">
        <f>IF($AR422="","",IF($AR422=0,$AS422*EXP($AT422*3),$AS422*(1+$AR422*$AT422*3)^(1/$AR422)))</f>
        <v/>
      </c>
      <c r="AX422">
        <f>IF($AR422="","",IF($AR422=0,$AS422*EXP($AT422*-2),$AS422*(1+$AR422*$AT422*-2)^(1/$AR422)))</f>
        <v/>
      </c>
      <c r="AY422">
        <f>IF($AR422="","",IF($AR422=0,$AS422*EXP($AT422*-3),$AS422*(1+$AR422*$AT422*-3)^(1/$AR422)))</f>
        <v/>
      </c>
      <c r="AZ422">
        <f>IF(OR($A422="",$A422&lt;&gt;Ficha!$C$4),"",COUNTIF($A$2:$A422,Ficha!$C$4))</f>
        <v/>
      </c>
    </row>
    <row r="423">
      <c r="A423" s="8">
        <f>IF(INDEX(Banco!$A:$A,ROW())="","",INDEX(Banco!$A:$A,ROW()))</f>
        <v/>
      </c>
      <c r="B423" s="8">
        <f>IF(INDEX(Banco!$B:$B,ROW())="","",INDEX(Banco!$B:$B,ROW()))</f>
        <v/>
      </c>
      <c r="C423" s="8">
        <f>IF(INDEX(Banco!$C:$C,ROW())="","",INDEX(Banco!$C:$C,ROW()))</f>
        <v/>
      </c>
      <c r="D423" s="9">
        <f>IF(INDEX(Banco!$D:$D,ROW())="","",INDEX(Banco!$D:$D,ROW()))</f>
        <v/>
      </c>
      <c r="E423" s="9">
        <f>IF(INDEX(Banco!$E:$E,ROW())="","",INDEX(Banco!$E:$E,ROW()))</f>
        <v/>
      </c>
      <c r="F423" s="10">
        <f>IF(INDEX(Banco!$F:$F,ROW())="","",INDEX(Banco!$F:$F,ROW()))</f>
        <v/>
      </c>
      <c r="G423" s="10">
        <f>IF(INDEX(Banco!$G:$G,ROW())="","",INDEX(Banco!$G:$G,ROW()))</f>
        <v/>
      </c>
      <c r="H423" s="8">
        <f>IF(INDEX(Banco!$H:$H,ROW())="","",INDEX(Banco!$H:$H,ROW()))</f>
        <v/>
      </c>
      <c r="I423">
        <f>IF($T423="","",INT($T423/12)&amp;"a "&amp;MOD($T423,12)&amp;"m")</f>
        <v/>
      </c>
      <c r="J423" s="11">
        <f>IF(OR($F423="",$G423=""),"",ROUND($F423/($G423/100)^2,2))</f>
        <v/>
      </c>
      <c r="K423" s="12">
        <f>IF(OR($S423="",$J423="",$T423="",$T423&lt;0,$T423&gt;228,$Y423=""),"—",ROUND(IF(ABS($AB423)&lt;=3,$AB423,IF($AB423&gt;3,3+($J423-$AD423)/($AD423-$AC423),-3+($J423-$AF423)/($AE423-$AF423))),2))</f>
        <v/>
      </c>
      <c r="L423">
        <f>IF(OR($K423="",$K423="—"),"",IF($T423&lt;=60,IF($K423&lt;-3,"Magreza acentuada",IF($K423&lt;-2,"Magreza",IF($K423&lt;=1,"Eutrofia",IF($K423&lt;=2,"Risco de sobrepeso",IF($K423&lt;=3,"Sobrepeso","Obesidade"))))),IF($K423&lt;-3,"Magreza acentuada",IF($K423&lt;-2,"Magreza",IF($K423&lt;=1,"Eutrofia",IF($K423&lt;=2,"Sobrepeso",IF($K423&lt;=3,"Obesidade","Obesidade grave")))))))</f>
        <v/>
      </c>
      <c r="M423" s="12">
        <f>IF(OR($S423="",$V423="",$T423="",$T423&lt;0,$T423&gt;228,$AG423=""),"—",ROUND(IF($AG423=0,LN($V423/$AH423)/$AI423,((($V423/$AH423)^$AG423)-1)/($AG423*$AI423)),2))</f>
        <v/>
      </c>
      <c r="N423">
        <f>IF(OR($M423="",$M423="—"),"",IF($M423&lt;-3,"Muito baixa",IF($M423&lt;-2,"Baixa","Adequada")))</f>
        <v/>
      </c>
      <c r="O423" s="12">
        <f>IF(OR($S423="",$F423="",$T423="",$T423&lt;0,$T423&gt;120,$AJ423=""),"—",ROUND(IF(ABS($AM423)&lt;=3,$AM423,IF($AM423&gt;3,3+($F423-$AO423)/($AO423-$AN423),-3+($F423-$AQ423)/($AP423-$AQ423))),2))</f>
        <v/>
      </c>
      <c r="P423">
        <f>IF(OR($O423="",$O423="—"),"",IF($O423&lt;-3,"Muito baixo",IF($O423&lt;-2,"Baixo",IF($O423&lt;=2,"Adequado","Elevado"))))</f>
        <v/>
      </c>
      <c r="Q423" s="12">
        <f>IF(OR($S423="",$F423="",$T423="",$T423&lt;0,$T423&gt;60,$AR423=""),"—",ROUND(IF(ABS($AU423)&lt;=3,$AU423,IF($AU423&gt;3,3+($F423-$AW423)/($AW423-$AV423),-3+($F423-$AY423)/($AX423-$AY423))),2))</f>
        <v/>
      </c>
      <c r="R423">
        <f>IF(OR($Q423="",$Q423="—"),"",IF($Q423&lt;-3,"Magreza acentuada",IF($Q423&lt;-2,"Magreza",IF($Q423&lt;=1,"Eutrofia",IF($Q423&lt;=2,"Risco de sobrepeso",IF($Q423&lt;=3,"Sobrepeso","Obesidade"))))))</f>
        <v/>
      </c>
      <c r="S423">
        <f>IF($C423="","",IF(UPPER(LEFT($C423,1))="M",1,IF(UPPER(LEFT($C423,1))="F",2,"")))</f>
        <v/>
      </c>
      <c r="T423">
        <f>IF(OR($D423="",$E423=""),"",DATEDIF($D423,$E423,"m"))</f>
        <v/>
      </c>
      <c r="U423">
        <f>IF(OR($D423="",$E423=""),"",$E423-$D423)</f>
        <v/>
      </c>
      <c r="V423">
        <f>IF(OR($G423="",$T423=""),"",IF($T423&lt;24,IF(LEFT(LOWER($H423),4)="em p",$G423+0.7,$G423),IF(LEFT(LOWER($H423),4)="deit",$G423-0.7,$G423)))</f>
        <v/>
      </c>
      <c r="W423">
        <f>IF(OR($S423="",$T423=""),"",$S423*1000000+IF($T423&lt;=60,$U423,$T423))</f>
        <v/>
      </c>
      <c r="X423">
        <f>IF(OR($S423="",$V423="",$T423&gt;60,$T423=""),"",$S423*1000000+ROUND($V423*10,0))</f>
        <v/>
      </c>
      <c r="Y423">
        <f>IF($W423="","",IFERROR(INDEX(IF($T423&lt;=60,imc05_l,imc519_l),MATCH($W423,IF($T423&lt;=60,imc05_k,imc519_k),1)),""))</f>
        <v/>
      </c>
      <c r="Z423">
        <f>IF($W423="","",IFERROR(INDEX(IF($T423&lt;=60,imc05_m,imc519_m),MATCH($W423,IF($T423&lt;=60,imc05_k,imc519_k),1)),""))</f>
        <v/>
      </c>
      <c r="AA423">
        <f>IF($W423="","",IFERROR(INDEX(IF($T423&lt;=60,imc05_s,imc519_s),MATCH($W423,IF($T423&lt;=60,imc05_k,imc519_k),1)),""))</f>
        <v/>
      </c>
      <c r="AB423">
        <f>IF($Y423="","",IF($Y423=0,LN($J423/$Z423)/$AA423,((($J423/$Z423)^$Y423)-1)/($Y423*$AA423)))</f>
        <v/>
      </c>
      <c r="AC423">
        <f>IF($Y423="","",IF($Y423=0,$Z423*EXP($AA423*2),$Z423*(1+$Y423*$AA423*2)^(1/$Y423)))</f>
        <v/>
      </c>
      <c r="AD423">
        <f>IF($Y423="","",IF($Y423=0,$Z423*EXP($AA423*3),$Z423*(1+$Y423*$AA423*3)^(1/$Y423)))</f>
        <v/>
      </c>
      <c r="AE423">
        <f>IF($Y423="","",IF($Y423=0,$Z423*EXP($AA423*-2),$Z423*(1+$Y423*$AA423*-2)^(1/$Y423)))</f>
        <v/>
      </c>
      <c r="AF423">
        <f>IF($Y423="","",IF($Y423=0,$Z423*EXP($AA423*-3),$Z423*(1+$Y423*$AA423*-3)^(1/$Y423)))</f>
        <v/>
      </c>
      <c r="AG423">
        <f>IF($W423="","",IFERROR(INDEX(IF($T423&lt;=60,est05_l,est519_l),MATCH($W423,IF($T423&lt;=60,est05_k,est519_k),1)),""))</f>
        <v/>
      </c>
      <c r="AH423">
        <f>IF($W423="","",IFERROR(INDEX(IF($T423&lt;=60,est05_m,est519_m),MATCH($W423,IF($T423&lt;=60,est05_k,est519_k),1)),""))</f>
        <v/>
      </c>
      <c r="AI423">
        <f>IF($W423="","",IFERROR(INDEX(IF($T423&lt;=60,est05_s,est519_s),MATCH($W423,IF($T423&lt;=60,est05_k,est519_k),1)),""))</f>
        <v/>
      </c>
      <c r="AJ423">
        <f>IF($W423="","",IFERROR(INDEX(IF($T423&lt;=60,peso05_l,peso510_l),MATCH($W423,IF($T423&lt;=60,peso05_k,peso510_k),1)),""))</f>
        <v/>
      </c>
      <c r="AK423">
        <f>IF($W423="","",IFERROR(INDEX(IF($T423&lt;=60,peso05_m,peso510_m),MATCH($W423,IF($T423&lt;=60,peso05_k,peso510_k),1)),""))</f>
        <v/>
      </c>
      <c r="AL423">
        <f>IF($W423="","",IFERROR(INDEX(IF($T423&lt;=60,peso05_s,peso510_s),MATCH($W423,IF($T423&lt;=60,peso05_k,peso510_k),1)),""))</f>
        <v/>
      </c>
      <c r="AM423">
        <f>IF($AJ423="","",IF($AJ423=0,LN($F423/$AK423)/$AL423,((($F423/$AK423)^$AJ423)-1)/($AJ423*$AL423)))</f>
        <v/>
      </c>
      <c r="AN423">
        <f>IF($AJ423="","",IF($AJ423=0,$AK423*EXP($AL423*2),$AK423*(1+$AJ423*$AL423*2)^(1/$AJ423)))</f>
        <v/>
      </c>
      <c r="AO423">
        <f>IF($AJ423="","",IF($AJ423=0,$AK423*EXP($AL423*3),$AK423*(1+$AJ423*$AL423*3)^(1/$AJ423)))</f>
        <v/>
      </c>
      <c r="AP423">
        <f>IF($AJ423="","",IF($AJ423=0,$AK423*EXP($AL423*-2),$AK423*(1+$AJ423*$AL423*-2)^(1/$AJ423)))</f>
        <v/>
      </c>
      <c r="AQ423">
        <f>IF($AJ423="","",IF($AJ423=0,$AK423*EXP($AL423*-3),$AK423*(1+$AJ423*$AL423*-3)^(1/$AJ423)))</f>
        <v/>
      </c>
      <c r="AR423">
        <f>IF(OR($X423="",$T423&gt;60),"",IFERROR(INDEX(IF($T423&lt;24,pcomp_l,palt_l),MATCH($X423,IF($T423&lt;24,pcomp_k,palt_k),1)),""))</f>
        <v/>
      </c>
      <c r="AS423">
        <f>IF(OR($X423="",$T423&gt;60),"",IFERROR(INDEX(IF($T423&lt;24,pcomp_m,palt_m),MATCH($X423,IF($T423&lt;24,pcomp_k,palt_k),1)),""))</f>
        <v/>
      </c>
      <c r="AT423">
        <f>IF(OR($X423="",$T423&gt;60),"",IFERROR(INDEX(IF($T423&lt;24,pcomp_s,palt_s),MATCH($X423,IF($T423&lt;24,pcomp_k,palt_k),1)),""))</f>
        <v/>
      </c>
      <c r="AU423">
        <f>IF($AR423="","",IF($AR423=0,LN($F423/$AS423)/$AT423,((($F423/$AS423)^$AR423)-1)/($AR423*$AT423)))</f>
        <v/>
      </c>
      <c r="AV423">
        <f>IF($AR423="","",IF($AR423=0,$AS423*EXP($AT423*2),$AS423*(1+$AR423*$AT423*2)^(1/$AR423)))</f>
        <v/>
      </c>
      <c r="AW423">
        <f>IF($AR423="","",IF($AR423=0,$AS423*EXP($AT423*3),$AS423*(1+$AR423*$AT423*3)^(1/$AR423)))</f>
        <v/>
      </c>
      <c r="AX423">
        <f>IF($AR423="","",IF($AR423=0,$AS423*EXP($AT423*-2),$AS423*(1+$AR423*$AT423*-2)^(1/$AR423)))</f>
        <v/>
      </c>
      <c r="AY423">
        <f>IF($AR423="","",IF($AR423=0,$AS423*EXP($AT423*-3),$AS423*(1+$AR423*$AT423*-3)^(1/$AR423)))</f>
        <v/>
      </c>
      <c r="AZ423">
        <f>IF(OR($A423="",$A423&lt;&gt;Ficha!$C$4),"",COUNTIF($A$2:$A423,Ficha!$C$4))</f>
        <v/>
      </c>
    </row>
    <row r="424">
      <c r="A424" s="8">
        <f>IF(INDEX(Banco!$A:$A,ROW())="","",INDEX(Banco!$A:$A,ROW()))</f>
        <v/>
      </c>
      <c r="B424" s="8">
        <f>IF(INDEX(Banco!$B:$B,ROW())="","",INDEX(Banco!$B:$B,ROW()))</f>
        <v/>
      </c>
      <c r="C424" s="8">
        <f>IF(INDEX(Banco!$C:$C,ROW())="","",INDEX(Banco!$C:$C,ROW()))</f>
        <v/>
      </c>
      <c r="D424" s="9">
        <f>IF(INDEX(Banco!$D:$D,ROW())="","",INDEX(Banco!$D:$D,ROW()))</f>
        <v/>
      </c>
      <c r="E424" s="9">
        <f>IF(INDEX(Banco!$E:$E,ROW())="","",INDEX(Banco!$E:$E,ROW()))</f>
        <v/>
      </c>
      <c r="F424" s="10">
        <f>IF(INDEX(Banco!$F:$F,ROW())="","",INDEX(Banco!$F:$F,ROW()))</f>
        <v/>
      </c>
      <c r="G424" s="10">
        <f>IF(INDEX(Banco!$G:$G,ROW())="","",INDEX(Banco!$G:$G,ROW()))</f>
        <v/>
      </c>
      <c r="H424" s="8">
        <f>IF(INDEX(Banco!$H:$H,ROW())="","",INDEX(Banco!$H:$H,ROW()))</f>
        <v/>
      </c>
      <c r="I424">
        <f>IF($T424="","",INT($T424/12)&amp;"a "&amp;MOD($T424,12)&amp;"m")</f>
        <v/>
      </c>
      <c r="J424" s="11">
        <f>IF(OR($F424="",$G424=""),"",ROUND($F424/($G424/100)^2,2))</f>
        <v/>
      </c>
      <c r="K424" s="12">
        <f>IF(OR($S424="",$J424="",$T424="",$T424&lt;0,$T424&gt;228,$Y424=""),"—",ROUND(IF(ABS($AB424)&lt;=3,$AB424,IF($AB424&gt;3,3+($J424-$AD424)/($AD424-$AC424),-3+($J424-$AF424)/($AE424-$AF424))),2))</f>
        <v/>
      </c>
      <c r="L424">
        <f>IF(OR($K424="",$K424="—"),"",IF($T424&lt;=60,IF($K424&lt;-3,"Magreza acentuada",IF($K424&lt;-2,"Magreza",IF($K424&lt;=1,"Eutrofia",IF($K424&lt;=2,"Risco de sobrepeso",IF($K424&lt;=3,"Sobrepeso","Obesidade"))))),IF($K424&lt;-3,"Magreza acentuada",IF($K424&lt;-2,"Magreza",IF($K424&lt;=1,"Eutrofia",IF($K424&lt;=2,"Sobrepeso",IF($K424&lt;=3,"Obesidade","Obesidade grave")))))))</f>
        <v/>
      </c>
      <c r="M424" s="12">
        <f>IF(OR($S424="",$V424="",$T424="",$T424&lt;0,$T424&gt;228,$AG424=""),"—",ROUND(IF($AG424=0,LN($V424/$AH424)/$AI424,((($V424/$AH424)^$AG424)-1)/($AG424*$AI424)),2))</f>
        <v/>
      </c>
      <c r="N424">
        <f>IF(OR($M424="",$M424="—"),"",IF($M424&lt;-3,"Muito baixa",IF($M424&lt;-2,"Baixa","Adequada")))</f>
        <v/>
      </c>
      <c r="O424" s="12">
        <f>IF(OR($S424="",$F424="",$T424="",$T424&lt;0,$T424&gt;120,$AJ424=""),"—",ROUND(IF(ABS($AM424)&lt;=3,$AM424,IF($AM424&gt;3,3+($F424-$AO424)/($AO424-$AN424),-3+($F424-$AQ424)/($AP424-$AQ424))),2))</f>
        <v/>
      </c>
      <c r="P424">
        <f>IF(OR($O424="",$O424="—"),"",IF($O424&lt;-3,"Muito baixo",IF($O424&lt;-2,"Baixo",IF($O424&lt;=2,"Adequado","Elevado"))))</f>
        <v/>
      </c>
      <c r="Q424" s="12">
        <f>IF(OR($S424="",$F424="",$T424="",$T424&lt;0,$T424&gt;60,$AR424=""),"—",ROUND(IF(ABS($AU424)&lt;=3,$AU424,IF($AU424&gt;3,3+($F424-$AW424)/($AW424-$AV424),-3+($F424-$AY424)/($AX424-$AY424))),2))</f>
        <v/>
      </c>
      <c r="R424">
        <f>IF(OR($Q424="",$Q424="—"),"",IF($Q424&lt;-3,"Magreza acentuada",IF($Q424&lt;-2,"Magreza",IF($Q424&lt;=1,"Eutrofia",IF($Q424&lt;=2,"Risco de sobrepeso",IF($Q424&lt;=3,"Sobrepeso","Obesidade"))))))</f>
        <v/>
      </c>
      <c r="S424">
        <f>IF($C424="","",IF(UPPER(LEFT($C424,1))="M",1,IF(UPPER(LEFT($C424,1))="F",2,"")))</f>
        <v/>
      </c>
      <c r="T424">
        <f>IF(OR($D424="",$E424=""),"",DATEDIF($D424,$E424,"m"))</f>
        <v/>
      </c>
      <c r="U424">
        <f>IF(OR($D424="",$E424=""),"",$E424-$D424)</f>
        <v/>
      </c>
      <c r="V424">
        <f>IF(OR($G424="",$T424=""),"",IF($T424&lt;24,IF(LEFT(LOWER($H424),4)="em p",$G424+0.7,$G424),IF(LEFT(LOWER($H424),4)="deit",$G424-0.7,$G424)))</f>
        <v/>
      </c>
      <c r="W424">
        <f>IF(OR($S424="",$T424=""),"",$S424*1000000+IF($T424&lt;=60,$U424,$T424))</f>
        <v/>
      </c>
      <c r="X424">
        <f>IF(OR($S424="",$V424="",$T424&gt;60,$T424=""),"",$S424*1000000+ROUND($V424*10,0))</f>
        <v/>
      </c>
      <c r="Y424">
        <f>IF($W424="","",IFERROR(INDEX(IF($T424&lt;=60,imc05_l,imc519_l),MATCH($W424,IF($T424&lt;=60,imc05_k,imc519_k),1)),""))</f>
        <v/>
      </c>
      <c r="Z424">
        <f>IF($W424="","",IFERROR(INDEX(IF($T424&lt;=60,imc05_m,imc519_m),MATCH($W424,IF($T424&lt;=60,imc05_k,imc519_k),1)),""))</f>
        <v/>
      </c>
      <c r="AA424">
        <f>IF($W424="","",IFERROR(INDEX(IF($T424&lt;=60,imc05_s,imc519_s),MATCH($W424,IF($T424&lt;=60,imc05_k,imc519_k),1)),""))</f>
        <v/>
      </c>
      <c r="AB424">
        <f>IF($Y424="","",IF($Y424=0,LN($J424/$Z424)/$AA424,((($J424/$Z424)^$Y424)-1)/($Y424*$AA424)))</f>
        <v/>
      </c>
      <c r="AC424">
        <f>IF($Y424="","",IF($Y424=0,$Z424*EXP($AA424*2),$Z424*(1+$Y424*$AA424*2)^(1/$Y424)))</f>
        <v/>
      </c>
      <c r="AD424">
        <f>IF($Y424="","",IF($Y424=0,$Z424*EXP($AA424*3),$Z424*(1+$Y424*$AA424*3)^(1/$Y424)))</f>
        <v/>
      </c>
      <c r="AE424">
        <f>IF($Y424="","",IF($Y424=0,$Z424*EXP($AA424*-2),$Z424*(1+$Y424*$AA424*-2)^(1/$Y424)))</f>
        <v/>
      </c>
      <c r="AF424">
        <f>IF($Y424="","",IF($Y424=0,$Z424*EXP($AA424*-3),$Z424*(1+$Y424*$AA424*-3)^(1/$Y424)))</f>
        <v/>
      </c>
      <c r="AG424">
        <f>IF($W424="","",IFERROR(INDEX(IF($T424&lt;=60,est05_l,est519_l),MATCH($W424,IF($T424&lt;=60,est05_k,est519_k),1)),""))</f>
        <v/>
      </c>
      <c r="AH424">
        <f>IF($W424="","",IFERROR(INDEX(IF($T424&lt;=60,est05_m,est519_m),MATCH($W424,IF($T424&lt;=60,est05_k,est519_k),1)),""))</f>
        <v/>
      </c>
      <c r="AI424">
        <f>IF($W424="","",IFERROR(INDEX(IF($T424&lt;=60,est05_s,est519_s),MATCH($W424,IF($T424&lt;=60,est05_k,est519_k),1)),""))</f>
        <v/>
      </c>
      <c r="AJ424">
        <f>IF($W424="","",IFERROR(INDEX(IF($T424&lt;=60,peso05_l,peso510_l),MATCH($W424,IF($T424&lt;=60,peso05_k,peso510_k),1)),""))</f>
        <v/>
      </c>
      <c r="AK424">
        <f>IF($W424="","",IFERROR(INDEX(IF($T424&lt;=60,peso05_m,peso510_m),MATCH($W424,IF($T424&lt;=60,peso05_k,peso510_k),1)),""))</f>
        <v/>
      </c>
      <c r="AL424">
        <f>IF($W424="","",IFERROR(INDEX(IF($T424&lt;=60,peso05_s,peso510_s),MATCH($W424,IF($T424&lt;=60,peso05_k,peso510_k),1)),""))</f>
        <v/>
      </c>
      <c r="AM424">
        <f>IF($AJ424="","",IF($AJ424=0,LN($F424/$AK424)/$AL424,((($F424/$AK424)^$AJ424)-1)/($AJ424*$AL424)))</f>
        <v/>
      </c>
      <c r="AN424">
        <f>IF($AJ424="","",IF($AJ424=0,$AK424*EXP($AL424*2),$AK424*(1+$AJ424*$AL424*2)^(1/$AJ424)))</f>
        <v/>
      </c>
      <c r="AO424">
        <f>IF($AJ424="","",IF($AJ424=0,$AK424*EXP($AL424*3),$AK424*(1+$AJ424*$AL424*3)^(1/$AJ424)))</f>
        <v/>
      </c>
      <c r="AP424">
        <f>IF($AJ424="","",IF($AJ424=0,$AK424*EXP($AL424*-2),$AK424*(1+$AJ424*$AL424*-2)^(1/$AJ424)))</f>
        <v/>
      </c>
      <c r="AQ424">
        <f>IF($AJ424="","",IF($AJ424=0,$AK424*EXP($AL424*-3),$AK424*(1+$AJ424*$AL424*-3)^(1/$AJ424)))</f>
        <v/>
      </c>
      <c r="AR424">
        <f>IF(OR($X424="",$T424&gt;60),"",IFERROR(INDEX(IF($T424&lt;24,pcomp_l,palt_l),MATCH($X424,IF($T424&lt;24,pcomp_k,palt_k),1)),""))</f>
        <v/>
      </c>
      <c r="AS424">
        <f>IF(OR($X424="",$T424&gt;60),"",IFERROR(INDEX(IF($T424&lt;24,pcomp_m,palt_m),MATCH($X424,IF($T424&lt;24,pcomp_k,palt_k),1)),""))</f>
        <v/>
      </c>
      <c r="AT424">
        <f>IF(OR($X424="",$T424&gt;60),"",IFERROR(INDEX(IF($T424&lt;24,pcomp_s,palt_s),MATCH($X424,IF($T424&lt;24,pcomp_k,palt_k),1)),""))</f>
        <v/>
      </c>
      <c r="AU424">
        <f>IF($AR424="","",IF($AR424=0,LN($F424/$AS424)/$AT424,((($F424/$AS424)^$AR424)-1)/($AR424*$AT424)))</f>
        <v/>
      </c>
      <c r="AV424">
        <f>IF($AR424="","",IF($AR424=0,$AS424*EXP($AT424*2),$AS424*(1+$AR424*$AT424*2)^(1/$AR424)))</f>
        <v/>
      </c>
      <c r="AW424">
        <f>IF($AR424="","",IF($AR424=0,$AS424*EXP($AT424*3),$AS424*(1+$AR424*$AT424*3)^(1/$AR424)))</f>
        <v/>
      </c>
      <c r="AX424">
        <f>IF($AR424="","",IF($AR424=0,$AS424*EXP($AT424*-2),$AS424*(1+$AR424*$AT424*-2)^(1/$AR424)))</f>
        <v/>
      </c>
      <c r="AY424">
        <f>IF($AR424="","",IF($AR424=0,$AS424*EXP($AT424*-3),$AS424*(1+$AR424*$AT424*-3)^(1/$AR424)))</f>
        <v/>
      </c>
      <c r="AZ424">
        <f>IF(OR($A424="",$A424&lt;&gt;Ficha!$C$4),"",COUNTIF($A$2:$A424,Ficha!$C$4))</f>
        <v/>
      </c>
    </row>
    <row r="425">
      <c r="A425" s="8">
        <f>IF(INDEX(Banco!$A:$A,ROW())="","",INDEX(Banco!$A:$A,ROW()))</f>
        <v/>
      </c>
      <c r="B425" s="8">
        <f>IF(INDEX(Banco!$B:$B,ROW())="","",INDEX(Banco!$B:$B,ROW()))</f>
        <v/>
      </c>
      <c r="C425" s="8">
        <f>IF(INDEX(Banco!$C:$C,ROW())="","",INDEX(Banco!$C:$C,ROW()))</f>
        <v/>
      </c>
      <c r="D425" s="9">
        <f>IF(INDEX(Banco!$D:$D,ROW())="","",INDEX(Banco!$D:$D,ROW()))</f>
        <v/>
      </c>
      <c r="E425" s="9">
        <f>IF(INDEX(Banco!$E:$E,ROW())="","",INDEX(Banco!$E:$E,ROW()))</f>
        <v/>
      </c>
      <c r="F425" s="10">
        <f>IF(INDEX(Banco!$F:$F,ROW())="","",INDEX(Banco!$F:$F,ROW()))</f>
        <v/>
      </c>
      <c r="G425" s="10">
        <f>IF(INDEX(Banco!$G:$G,ROW())="","",INDEX(Banco!$G:$G,ROW()))</f>
        <v/>
      </c>
      <c r="H425" s="8">
        <f>IF(INDEX(Banco!$H:$H,ROW())="","",INDEX(Banco!$H:$H,ROW()))</f>
        <v/>
      </c>
      <c r="I425">
        <f>IF($T425="","",INT($T425/12)&amp;"a "&amp;MOD($T425,12)&amp;"m")</f>
        <v/>
      </c>
      <c r="J425" s="11">
        <f>IF(OR($F425="",$G425=""),"",ROUND($F425/($G425/100)^2,2))</f>
        <v/>
      </c>
      <c r="K425" s="12">
        <f>IF(OR($S425="",$J425="",$T425="",$T425&lt;0,$T425&gt;228,$Y425=""),"—",ROUND(IF(ABS($AB425)&lt;=3,$AB425,IF($AB425&gt;3,3+($J425-$AD425)/($AD425-$AC425),-3+($J425-$AF425)/($AE425-$AF425))),2))</f>
        <v/>
      </c>
      <c r="L425">
        <f>IF(OR($K425="",$K425="—"),"",IF($T425&lt;=60,IF($K425&lt;-3,"Magreza acentuada",IF($K425&lt;-2,"Magreza",IF($K425&lt;=1,"Eutrofia",IF($K425&lt;=2,"Risco de sobrepeso",IF($K425&lt;=3,"Sobrepeso","Obesidade"))))),IF($K425&lt;-3,"Magreza acentuada",IF($K425&lt;-2,"Magreza",IF($K425&lt;=1,"Eutrofia",IF($K425&lt;=2,"Sobrepeso",IF($K425&lt;=3,"Obesidade","Obesidade grave")))))))</f>
        <v/>
      </c>
      <c r="M425" s="12">
        <f>IF(OR($S425="",$V425="",$T425="",$T425&lt;0,$T425&gt;228,$AG425=""),"—",ROUND(IF($AG425=0,LN($V425/$AH425)/$AI425,((($V425/$AH425)^$AG425)-1)/($AG425*$AI425)),2))</f>
        <v/>
      </c>
      <c r="N425">
        <f>IF(OR($M425="",$M425="—"),"",IF($M425&lt;-3,"Muito baixa",IF($M425&lt;-2,"Baixa","Adequada")))</f>
        <v/>
      </c>
      <c r="O425" s="12">
        <f>IF(OR($S425="",$F425="",$T425="",$T425&lt;0,$T425&gt;120,$AJ425=""),"—",ROUND(IF(ABS($AM425)&lt;=3,$AM425,IF($AM425&gt;3,3+($F425-$AO425)/($AO425-$AN425),-3+($F425-$AQ425)/($AP425-$AQ425))),2))</f>
        <v/>
      </c>
      <c r="P425">
        <f>IF(OR($O425="",$O425="—"),"",IF($O425&lt;-3,"Muito baixo",IF($O425&lt;-2,"Baixo",IF($O425&lt;=2,"Adequado","Elevado"))))</f>
        <v/>
      </c>
      <c r="Q425" s="12">
        <f>IF(OR($S425="",$F425="",$T425="",$T425&lt;0,$T425&gt;60,$AR425=""),"—",ROUND(IF(ABS($AU425)&lt;=3,$AU425,IF($AU425&gt;3,3+($F425-$AW425)/($AW425-$AV425),-3+($F425-$AY425)/($AX425-$AY425))),2))</f>
        <v/>
      </c>
      <c r="R425">
        <f>IF(OR($Q425="",$Q425="—"),"",IF($Q425&lt;-3,"Magreza acentuada",IF($Q425&lt;-2,"Magreza",IF($Q425&lt;=1,"Eutrofia",IF($Q425&lt;=2,"Risco de sobrepeso",IF($Q425&lt;=3,"Sobrepeso","Obesidade"))))))</f>
        <v/>
      </c>
      <c r="S425">
        <f>IF($C425="","",IF(UPPER(LEFT($C425,1))="M",1,IF(UPPER(LEFT($C425,1))="F",2,"")))</f>
        <v/>
      </c>
      <c r="T425">
        <f>IF(OR($D425="",$E425=""),"",DATEDIF($D425,$E425,"m"))</f>
        <v/>
      </c>
      <c r="U425">
        <f>IF(OR($D425="",$E425=""),"",$E425-$D425)</f>
        <v/>
      </c>
      <c r="V425">
        <f>IF(OR($G425="",$T425=""),"",IF($T425&lt;24,IF(LEFT(LOWER($H425),4)="em p",$G425+0.7,$G425),IF(LEFT(LOWER($H425),4)="deit",$G425-0.7,$G425)))</f>
        <v/>
      </c>
      <c r="W425">
        <f>IF(OR($S425="",$T425=""),"",$S425*1000000+IF($T425&lt;=60,$U425,$T425))</f>
        <v/>
      </c>
      <c r="X425">
        <f>IF(OR($S425="",$V425="",$T425&gt;60,$T425=""),"",$S425*1000000+ROUND($V425*10,0))</f>
        <v/>
      </c>
      <c r="Y425">
        <f>IF($W425="","",IFERROR(INDEX(IF($T425&lt;=60,imc05_l,imc519_l),MATCH($W425,IF($T425&lt;=60,imc05_k,imc519_k),1)),""))</f>
        <v/>
      </c>
      <c r="Z425">
        <f>IF($W425="","",IFERROR(INDEX(IF($T425&lt;=60,imc05_m,imc519_m),MATCH($W425,IF($T425&lt;=60,imc05_k,imc519_k),1)),""))</f>
        <v/>
      </c>
      <c r="AA425">
        <f>IF($W425="","",IFERROR(INDEX(IF($T425&lt;=60,imc05_s,imc519_s),MATCH($W425,IF($T425&lt;=60,imc05_k,imc519_k),1)),""))</f>
        <v/>
      </c>
      <c r="AB425">
        <f>IF($Y425="","",IF($Y425=0,LN($J425/$Z425)/$AA425,((($J425/$Z425)^$Y425)-1)/($Y425*$AA425)))</f>
        <v/>
      </c>
      <c r="AC425">
        <f>IF($Y425="","",IF($Y425=0,$Z425*EXP($AA425*2),$Z425*(1+$Y425*$AA425*2)^(1/$Y425)))</f>
        <v/>
      </c>
      <c r="AD425">
        <f>IF($Y425="","",IF($Y425=0,$Z425*EXP($AA425*3),$Z425*(1+$Y425*$AA425*3)^(1/$Y425)))</f>
        <v/>
      </c>
      <c r="AE425">
        <f>IF($Y425="","",IF($Y425=0,$Z425*EXP($AA425*-2),$Z425*(1+$Y425*$AA425*-2)^(1/$Y425)))</f>
        <v/>
      </c>
      <c r="AF425">
        <f>IF($Y425="","",IF($Y425=0,$Z425*EXP($AA425*-3),$Z425*(1+$Y425*$AA425*-3)^(1/$Y425)))</f>
        <v/>
      </c>
      <c r="AG425">
        <f>IF($W425="","",IFERROR(INDEX(IF($T425&lt;=60,est05_l,est519_l),MATCH($W425,IF($T425&lt;=60,est05_k,est519_k),1)),""))</f>
        <v/>
      </c>
      <c r="AH425">
        <f>IF($W425="","",IFERROR(INDEX(IF($T425&lt;=60,est05_m,est519_m),MATCH($W425,IF($T425&lt;=60,est05_k,est519_k),1)),""))</f>
        <v/>
      </c>
      <c r="AI425">
        <f>IF($W425="","",IFERROR(INDEX(IF($T425&lt;=60,est05_s,est519_s),MATCH($W425,IF($T425&lt;=60,est05_k,est519_k),1)),""))</f>
        <v/>
      </c>
      <c r="AJ425">
        <f>IF($W425="","",IFERROR(INDEX(IF($T425&lt;=60,peso05_l,peso510_l),MATCH($W425,IF($T425&lt;=60,peso05_k,peso510_k),1)),""))</f>
        <v/>
      </c>
      <c r="AK425">
        <f>IF($W425="","",IFERROR(INDEX(IF($T425&lt;=60,peso05_m,peso510_m),MATCH($W425,IF($T425&lt;=60,peso05_k,peso510_k),1)),""))</f>
        <v/>
      </c>
      <c r="AL425">
        <f>IF($W425="","",IFERROR(INDEX(IF($T425&lt;=60,peso05_s,peso510_s),MATCH($W425,IF($T425&lt;=60,peso05_k,peso510_k),1)),""))</f>
        <v/>
      </c>
      <c r="AM425">
        <f>IF($AJ425="","",IF($AJ425=0,LN($F425/$AK425)/$AL425,((($F425/$AK425)^$AJ425)-1)/($AJ425*$AL425)))</f>
        <v/>
      </c>
      <c r="AN425">
        <f>IF($AJ425="","",IF($AJ425=0,$AK425*EXP($AL425*2),$AK425*(1+$AJ425*$AL425*2)^(1/$AJ425)))</f>
        <v/>
      </c>
      <c r="AO425">
        <f>IF($AJ425="","",IF($AJ425=0,$AK425*EXP($AL425*3),$AK425*(1+$AJ425*$AL425*3)^(1/$AJ425)))</f>
        <v/>
      </c>
      <c r="AP425">
        <f>IF($AJ425="","",IF($AJ425=0,$AK425*EXP($AL425*-2),$AK425*(1+$AJ425*$AL425*-2)^(1/$AJ425)))</f>
        <v/>
      </c>
      <c r="AQ425">
        <f>IF($AJ425="","",IF($AJ425=0,$AK425*EXP($AL425*-3),$AK425*(1+$AJ425*$AL425*-3)^(1/$AJ425)))</f>
        <v/>
      </c>
      <c r="AR425">
        <f>IF(OR($X425="",$T425&gt;60),"",IFERROR(INDEX(IF($T425&lt;24,pcomp_l,palt_l),MATCH($X425,IF($T425&lt;24,pcomp_k,palt_k),1)),""))</f>
        <v/>
      </c>
      <c r="AS425">
        <f>IF(OR($X425="",$T425&gt;60),"",IFERROR(INDEX(IF($T425&lt;24,pcomp_m,palt_m),MATCH($X425,IF($T425&lt;24,pcomp_k,palt_k),1)),""))</f>
        <v/>
      </c>
      <c r="AT425">
        <f>IF(OR($X425="",$T425&gt;60),"",IFERROR(INDEX(IF($T425&lt;24,pcomp_s,palt_s),MATCH($X425,IF($T425&lt;24,pcomp_k,palt_k),1)),""))</f>
        <v/>
      </c>
      <c r="AU425">
        <f>IF($AR425="","",IF($AR425=0,LN($F425/$AS425)/$AT425,((($F425/$AS425)^$AR425)-1)/($AR425*$AT425)))</f>
        <v/>
      </c>
      <c r="AV425">
        <f>IF($AR425="","",IF($AR425=0,$AS425*EXP($AT425*2),$AS425*(1+$AR425*$AT425*2)^(1/$AR425)))</f>
        <v/>
      </c>
      <c r="AW425">
        <f>IF($AR425="","",IF($AR425=0,$AS425*EXP($AT425*3),$AS425*(1+$AR425*$AT425*3)^(1/$AR425)))</f>
        <v/>
      </c>
      <c r="AX425">
        <f>IF($AR425="","",IF($AR425=0,$AS425*EXP($AT425*-2),$AS425*(1+$AR425*$AT425*-2)^(1/$AR425)))</f>
        <v/>
      </c>
      <c r="AY425">
        <f>IF($AR425="","",IF($AR425=0,$AS425*EXP($AT425*-3),$AS425*(1+$AR425*$AT425*-3)^(1/$AR425)))</f>
        <v/>
      </c>
      <c r="AZ425">
        <f>IF(OR($A425="",$A425&lt;&gt;Ficha!$C$4),"",COUNTIF($A$2:$A425,Ficha!$C$4))</f>
        <v/>
      </c>
    </row>
    <row r="426">
      <c r="A426" s="8">
        <f>IF(INDEX(Banco!$A:$A,ROW())="","",INDEX(Banco!$A:$A,ROW()))</f>
        <v/>
      </c>
      <c r="B426" s="8">
        <f>IF(INDEX(Banco!$B:$B,ROW())="","",INDEX(Banco!$B:$B,ROW()))</f>
        <v/>
      </c>
      <c r="C426" s="8">
        <f>IF(INDEX(Banco!$C:$C,ROW())="","",INDEX(Banco!$C:$C,ROW()))</f>
        <v/>
      </c>
      <c r="D426" s="9">
        <f>IF(INDEX(Banco!$D:$D,ROW())="","",INDEX(Banco!$D:$D,ROW()))</f>
        <v/>
      </c>
      <c r="E426" s="9">
        <f>IF(INDEX(Banco!$E:$E,ROW())="","",INDEX(Banco!$E:$E,ROW()))</f>
        <v/>
      </c>
      <c r="F426" s="10">
        <f>IF(INDEX(Banco!$F:$F,ROW())="","",INDEX(Banco!$F:$F,ROW()))</f>
        <v/>
      </c>
      <c r="G426" s="10">
        <f>IF(INDEX(Banco!$G:$G,ROW())="","",INDEX(Banco!$G:$G,ROW()))</f>
        <v/>
      </c>
      <c r="H426" s="8">
        <f>IF(INDEX(Banco!$H:$H,ROW())="","",INDEX(Banco!$H:$H,ROW()))</f>
        <v/>
      </c>
      <c r="I426">
        <f>IF($T426="","",INT($T426/12)&amp;"a "&amp;MOD($T426,12)&amp;"m")</f>
        <v/>
      </c>
      <c r="J426" s="11">
        <f>IF(OR($F426="",$G426=""),"",ROUND($F426/($G426/100)^2,2))</f>
        <v/>
      </c>
      <c r="K426" s="12">
        <f>IF(OR($S426="",$J426="",$T426="",$T426&lt;0,$T426&gt;228,$Y426=""),"—",ROUND(IF(ABS($AB426)&lt;=3,$AB426,IF($AB426&gt;3,3+($J426-$AD426)/($AD426-$AC426),-3+($J426-$AF426)/($AE426-$AF426))),2))</f>
        <v/>
      </c>
      <c r="L426">
        <f>IF(OR($K426="",$K426="—"),"",IF($T426&lt;=60,IF($K426&lt;-3,"Magreza acentuada",IF($K426&lt;-2,"Magreza",IF($K426&lt;=1,"Eutrofia",IF($K426&lt;=2,"Risco de sobrepeso",IF($K426&lt;=3,"Sobrepeso","Obesidade"))))),IF($K426&lt;-3,"Magreza acentuada",IF($K426&lt;-2,"Magreza",IF($K426&lt;=1,"Eutrofia",IF($K426&lt;=2,"Sobrepeso",IF($K426&lt;=3,"Obesidade","Obesidade grave")))))))</f>
        <v/>
      </c>
      <c r="M426" s="12">
        <f>IF(OR($S426="",$V426="",$T426="",$T426&lt;0,$T426&gt;228,$AG426=""),"—",ROUND(IF($AG426=0,LN($V426/$AH426)/$AI426,((($V426/$AH426)^$AG426)-1)/($AG426*$AI426)),2))</f>
        <v/>
      </c>
      <c r="N426">
        <f>IF(OR($M426="",$M426="—"),"",IF($M426&lt;-3,"Muito baixa",IF($M426&lt;-2,"Baixa","Adequada")))</f>
        <v/>
      </c>
      <c r="O426" s="12">
        <f>IF(OR($S426="",$F426="",$T426="",$T426&lt;0,$T426&gt;120,$AJ426=""),"—",ROUND(IF(ABS($AM426)&lt;=3,$AM426,IF($AM426&gt;3,3+($F426-$AO426)/($AO426-$AN426),-3+($F426-$AQ426)/($AP426-$AQ426))),2))</f>
        <v/>
      </c>
      <c r="P426">
        <f>IF(OR($O426="",$O426="—"),"",IF($O426&lt;-3,"Muito baixo",IF($O426&lt;-2,"Baixo",IF($O426&lt;=2,"Adequado","Elevado"))))</f>
        <v/>
      </c>
      <c r="Q426" s="12">
        <f>IF(OR($S426="",$F426="",$T426="",$T426&lt;0,$T426&gt;60,$AR426=""),"—",ROUND(IF(ABS($AU426)&lt;=3,$AU426,IF($AU426&gt;3,3+($F426-$AW426)/($AW426-$AV426),-3+($F426-$AY426)/($AX426-$AY426))),2))</f>
        <v/>
      </c>
      <c r="R426">
        <f>IF(OR($Q426="",$Q426="—"),"",IF($Q426&lt;-3,"Magreza acentuada",IF($Q426&lt;-2,"Magreza",IF($Q426&lt;=1,"Eutrofia",IF($Q426&lt;=2,"Risco de sobrepeso",IF($Q426&lt;=3,"Sobrepeso","Obesidade"))))))</f>
        <v/>
      </c>
      <c r="S426">
        <f>IF($C426="","",IF(UPPER(LEFT($C426,1))="M",1,IF(UPPER(LEFT($C426,1))="F",2,"")))</f>
        <v/>
      </c>
      <c r="T426">
        <f>IF(OR($D426="",$E426=""),"",DATEDIF($D426,$E426,"m"))</f>
        <v/>
      </c>
      <c r="U426">
        <f>IF(OR($D426="",$E426=""),"",$E426-$D426)</f>
        <v/>
      </c>
      <c r="V426">
        <f>IF(OR($G426="",$T426=""),"",IF($T426&lt;24,IF(LEFT(LOWER($H426),4)="em p",$G426+0.7,$G426),IF(LEFT(LOWER($H426),4)="deit",$G426-0.7,$G426)))</f>
        <v/>
      </c>
      <c r="W426">
        <f>IF(OR($S426="",$T426=""),"",$S426*1000000+IF($T426&lt;=60,$U426,$T426))</f>
        <v/>
      </c>
      <c r="X426">
        <f>IF(OR($S426="",$V426="",$T426&gt;60,$T426=""),"",$S426*1000000+ROUND($V426*10,0))</f>
        <v/>
      </c>
      <c r="Y426">
        <f>IF($W426="","",IFERROR(INDEX(IF($T426&lt;=60,imc05_l,imc519_l),MATCH($W426,IF($T426&lt;=60,imc05_k,imc519_k),1)),""))</f>
        <v/>
      </c>
      <c r="Z426">
        <f>IF($W426="","",IFERROR(INDEX(IF($T426&lt;=60,imc05_m,imc519_m),MATCH($W426,IF($T426&lt;=60,imc05_k,imc519_k),1)),""))</f>
        <v/>
      </c>
      <c r="AA426">
        <f>IF($W426="","",IFERROR(INDEX(IF($T426&lt;=60,imc05_s,imc519_s),MATCH($W426,IF($T426&lt;=60,imc05_k,imc519_k),1)),""))</f>
        <v/>
      </c>
      <c r="AB426">
        <f>IF($Y426="","",IF($Y426=0,LN($J426/$Z426)/$AA426,((($J426/$Z426)^$Y426)-1)/($Y426*$AA426)))</f>
        <v/>
      </c>
      <c r="AC426">
        <f>IF($Y426="","",IF($Y426=0,$Z426*EXP($AA426*2),$Z426*(1+$Y426*$AA426*2)^(1/$Y426)))</f>
        <v/>
      </c>
      <c r="AD426">
        <f>IF($Y426="","",IF($Y426=0,$Z426*EXP($AA426*3),$Z426*(1+$Y426*$AA426*3)^(1/$Y426)))</f>
        <v/>
      </c>
      <c r="AE426">
        <f>IF($Y426="","",IF($Y426=0,$Z426*EXP($AA426*-2),$Z426*(1+$Y426*$AA426*-2)^(1/$Y426)))</f>
        <v/>
      </c>
      <c r="AF426">
        <f>IF($Y426="","",IF($Y426=0,$Z426*EXP($AA426*-3),$Z426*(1+$Y426*$AA426*-3)^(1/$Y426)))</f>
        <v/>
      </c>
      <c r="AG426">
        <f>IF($W426="","",IFERROR(INDEX(IF($T426&lt;=60,est05_l,est519_l),MATCH($W426,IF($T426&lt;=60,est05_k,est519_k),1)),""))</f>
        <v/>
      </c>
      <c r="AH426">
        <f>IF($W426="","",IFERROR(INDEX(IF($T426&lt;=60,est05_m,est519_m),MATCH($W426,IF($T426&lt;=60,est05_k,est519_k),1)),""))</f>
        <v/>
      </c>
      <c r="AI426">
        <f>IF($W426="","",IFERROR(INDEX(IF($T426&lt;=60,est05_s,est519_s),MATCH($W426,IF($T426&lt;=60,est05_k,est519_k),1)),""))</f>
        <v/>
      </c>
      <c r="AJ426">
        <f>IF($W426="","",IFERROR(INDEX(IF($T426&lt;=60,peso05_l,peso510_l),MATCH($W426,IF($T426&lt;=60,peso05_k,peso510_k),1)),""))</f>
        <v/>
      </c>
      <c r="AK426">
        <f>IF($W426="","",IFERROR(INDEX(IF($T426&lt;=60,peso05_m,peso510_m),MATCH($W426,IF($T426&lt;=60,peso05_k,peso510_k),1)),""))</f>
        <v/>
      </c>
      <c r="AL426">
        <f>IF($W426="","",IFERROR(INDEX(IF($T426&lt;=60,peso05_s,peso510_s),MATCH($W426,IF($T426&lt;=60,peso05_k,peso510_k),1)),""))</f>
        <v/>
      </c>
      <c r="AM426">
        <f>IF($AJ426="","",IF($AJ426=0,LN($F426/$AK426)/$AL426,((($F426/$AK426)^$AJ426)-1)/($AJ426*$AL426)))</f>
        <v/>
      </c>
      <c r="AN426">
        <f>IF($AJ426="","",IF($AJ426=0,$AK426*EXP($AL426*2),$AK426*(1+$AJ426*$AL426*2)^(1/$AJ426)))</f>
        <v/>
      </c>
      <c r="AO426">
        <f>IF($AJ426="","",IF($AJ426=0,$AK426*EXP($AL426*3),$AK426*(1+$AJ426*$AL426*3)^(1/$AJ426)))</f>
        <v/>
      </c>
      <c r="AP426">
        <f>IF($AJ426="","",IF($AJ426=0,$AK426*EXP($AL426*-2),$AK426*(1+$AJ426*$AL426*-2)^(1/$AJ426)))</f>
        <v/>
      </c>
      <c r="AQ426">
        <f>IF($AJ426="","",IF($AJ426=0,$AK426*EXP($AL426*-3),$AK426*(1+$AJ426*$AL426*-3)^(1/$AJ426)))</f>
        <v/>
      </c>
      <c r="AR426">
        <f>IF(OR($X426="",$T426&gt;60),"",IFERROR(INDEX(IF($T426&lt;24,pcomp_l,palt_l),MATCH($X426,IF($T426&lt;24,pcomp_k,palt_k),1)),""))</f>
        <v/>
      </c>
      <c r="AS426">
        <f>IF(OR($X426="",$T426&gt;60),"",IFERROR(INDEX(IF($T426&lt;24,pcomp_m,palt_m),MATCH($X426,IF($T426&lt;24,pcomp_k,palt_k),1)),""))</f>
        <v/>
      </c>
      <c r="AT426">
        <f>IF(OR($X426="",$T426&gt;60),"",IFERROR(INDEX(IF($T426&lt;24,pcomp_s,palt_s),MATCH($X426,IF($T426&lt;24,pcomp_k,palt_k),1)),""))</f>
        <v/>
      </c>
      <c r="AU426">
        <f>IF($AR426="","",IF($AR426=0,LN($F426/$AS426)/$AT426,((($F426/$AS426)^$AR426)-1)/($AR426*$AT426)))</f>
        <v/>
      </c>
      <c r="AV426">
        <f>IF($AR426="","",IF($AR426=0,$AS426*EXP($AT426*2),$AS426*(1+$AR426*$AT426*2)^(1/$AR426)))</f>
        <v/>
      </c>
      <c r="AW426">
        <f>IF($AR426="","",IF($AR426=0,$AS426*EXP($AT426*3),$AS426*(1+$AR426*$AT426*3)^(1/$AR426)))</f>
        <v/>
      </c>
      <c r="AX426">
        <f>IF($AR426="","",IF($AR426=0,$AS426*EXP($AT426*-2),$AS426*(1+$AR426*$AT426*-2)^(1/$AR426)))</f>
        <v/>
      </c>
      <c r="AY426">
        <f>IF($AR426="","",IF($AR426=0,$AS426*EXP($AT426*-3),$AS426*(1+$AR426*$AT426*-3)^(1/$AR426)))</f>
        <v/>
      </c>
      <c r="AZ426">
        <f>IF(OR($A426="",$A426&lt;&gt;Ficha!$C$4),"",COUNTIF($A$2:$A426,Ficha!$C$4))</f>
        <v/>
      </c>
    </row>
    <row r="427">
      <c r="A427" s="8">
        <f>IF(INDEX(Banco!$A:$A,ROW())="","",INDEX(Banco!$A:$A,ROW()))</f>
        <v/>
      </c>
      <c r="B427" s="8">
        <f>IF(INDEX(Banco!$B:$B,ROW())="","",INDEX(Banco!$B:$B,ROW()))</f>
        <v/>
      </c>
      <c r="C427" s="8">
        <f>IF(INDEX(Banco!$C:$C,ROW())="","",INDEX(Banco!$C:$C,ROW()))</f>
        <v/>
      </c>
      <c r="D427" s="9">
        <f>IF(INDEX(Banco!$D:$D,ROW())="","",INDEX(Banco!$D:$D,ROW()))</f>
        <v/>
      </c>
      <c r="E427" s="9">
        <f>IF(INDEX(Banco!$E:$E,ROW())="","",INDEX(Banco!$E:$E,ROW()))</f>
        <v/>
      </c>
      <c r="F427" s="10">
        <f>IF(INDEX(Banco!$F:$F,ROW())="","",INDEX(Banco!$F:$F,ROW()))</f>
        <v/>
      </c>
      <c r="G427" s="10">
        <f>IF(INDEX(Banco!$G:$G,ROW())="","",INDEX(Banco!$G:$G,ROW()))</f>
        <v/>
      </c>
      <c r="H427" s="8">
        <f>IF(INDEX(Banco!$H:$H,ROW())="","",INDEX(Banco!$H:$H,ROW()))</f>
        <v/>
      </c>
      <c r="I427">
        <f>IF($T427="","",INT($T427/12)&amp;"a "&amp;MOD($T427,12)&amp;"m")</f>
        <v/>
      </c>
      <c r="J427" s="11">
        <f>IF(OR($F427="",$G427=""),"",ROUND($F427/($G427/100)^2,2))</f>
        <v/>
      </c>
      <c r="K427" s="12">
        <f>IF(OR($S427="",$J427="",$T427="",$T427&lt;0,$T427&gt;228,$Y427=""),"—",ROUND(IF(ABS($AB427)&lt;=3,$AB427,IF($AB427&gt;3,3+($J427-$AD427)/($AD427-$AC427),-3+($J427-$AF427)/($AE427-$AF427))),2))</f>
        <v/>
      </c>
      <c r="L427">
        <f>IF(OR($K427="",$K427="—"),"",IF($T427&lt;=60,IF($K427&lt;-3,"Magreza acentuada",IF($K427&lt;-2,"Magreza",IF($K427&lt;=1,"Eutrofia",IF($K427&lt;=2,"Risco de sobrepeso",IF($K427&lt;=3,"Sobrepeso","Obesidade"))))),IF($K427&lt;-3,"Magreza acentuada",IF($K427&lt;-2,"Magreza",IF($K427&lt;=1,"Eutrofia",IF($K427&lt;=2,"Sobrepeso",IF($K427&lt;=3,"Obesidade","Obesidade grave")))))))</f>
        <v/>
      </c>
      <c r="M427" s="12">
        <f>IF(OR($S427="",$V427="",$T427="",$T427&lt;0,$T427&gt;228,$AG427=""),"—",ROUND(IF($AG427=0,LN($V427/$AH427)/$AI427,((($V427/$AH427)^$AG427)-1)/($AG427*$AI427)),2))</f>
        <v/>
      </c>
      <c r="N427">
        <f>IF(OR($M427="",$M427="—"),"",IF($M427&lt;-3,"Muito baixa",IF($M427&lt;-2,"Baixa","Adequada")))</f>
        <v/>
      </c>
      <c r="O427" s="12">
        <f>IF(OR($S427="",$F427="",$T427="",$T427&lt;0,$T427&gt;120,$AJ427=""),"—",ROUND(IF(ABS($AM427)&lt;=3,$AM427,IF($AM427&gt;3,3+($F427-$AO427)/($AO427-$AN427),-3+($F427-$AQ427)/($AP427-$AQ427))),2))</f>
        <v/>
      </c>
      <c r="P427">
        <f>IF(OR($O427="",$O427="—"),"",IF($O427&lt;-3,"Muito baixo",IF($O427&lt;-2,"Baixo",IF($O427&lt;=2,"Adequado","Elevado"))))</f>
        <v/>
      </c>
      <c r="Q427" s="12">
        <f>IF(OR($S427="",$F427="",$T427="",$T427&lt;0,$T427&gt;60,$AR427=""),"—",ROUND(IF(ABS($AU427)&lt;=3,$AU427,IF($AU427&gt;3,3+($F427-$AW427)/($AW427-$AV427),-3+($F427-$AY427)/($AX427-$AY427))),2))</f>
        <v/>
      </c>
      <c r="R427">
        <f>IF(OR($Q427="",$Q427="—"),"",IF($Q427&lt;-3,"Magreza acentuada",IF($Q427&lt;-2,"Magreza",IF($Q427&lt;=1,"Eutrofia",IF($Q427&lt;=2,"Risco de sobrepeso",IF($Q427&lt;=3,"Sobrepeso","Obesidade"))))))</f>
        <v/>
      </c>
      <c r="S427">
        <f>IF($C427="","",IF(UPPER(LEFT($C427,1))="M",1,IF(UPPER(LEFT($C427,1))="F",2,"")))</f>
        <v/>
      </c>
      <c r="T427">
        <f>IF(OR($D427="",$E427=""),"",DATEDIF($D427,$E427,"m"))</f>
        <v/>
      </c>
      <c r="U427">
        <f>IF(OR($D427="",$E427=""),"",$E427-$D427)</f>
        <v/>
      </c>
      <c r="V427">
        <f>IF(OR($G427="",$T427=""),"",IF($T427&lt;24,IF(LEFT(LOWER($H427),4)="em p",$G427+0.7,$G427),IF(LEFT(LOWER($H427),4)="deit",$G427-0.7,$G427)))</f>
        <v/>
      </c>
      <c r="W427">
        <f>IF(OR($S427="",$T427=""),"",$S427*1000000+IF($T427&lt;=60,$U427,$T427))</f>
        <v/>
      </c>
      <c r="X427">
        <f>IF(OR($S427="",$V427="",$T427&gt;60,$T427=""),"",$S427*1000000+ROUND($V427*10,0))</f>
        <v/>
      </c>
      <c r="Y427">
        <f>IF($W427="","",IFERROR(INDEX(IF($T427&lt;=60,imc05_l,imc519_l),MATCH($W427,IF($T427&lt;=60,imc05_k,imc519_k),1)),""))</f>
        <v/>
      </c>
      <c r="Z427">
        <f>IF($W427="","",IFERROR(INDEX(IF($T427&lt;=60,imc05_m,imc519_m),MATCH($W427,IF($T427&lt;=60,imc05_k,imc519_k),1)),""))</f>
        <v/>
      </c>
      <c r="AA427">
        <f>IF($W427="","",IFERROR(INDEX(IF($T427&lt;=60,imc05_s,imc519_s),MATCH($W427,IF($T427&lt;=60,imc05_k,imc519_k),1)),""))</f>
        <v/>
      </c>
      <c r="AB427">
        <f>IF($Y427="","",IF($Y427=0,LN($J427/$Z427)/$AA427,((($J427/$Z427)^$Y427)-1)/($Y427*$AA427)))</f>
        <v/>
      </c>
      <c r="AC427">
        <f>IF($Y427="","",IF($Y427=0,$Z427*EXP($AA427*2),$Z427*(1+$Y427*$AA427*2)^(1/$Y427)))</f>
        <v/>
      </c>
      <c r="AD427">
        <f>IF($Y427="","",IF($Y427=0,$Z427*EXP($AA427*3),$Z427*(1+$Y427*$AA427*3)^(1/$Y427)))</f>
        <v/>
      </c>
      <c r="AE427">
        <f>IF($Y427="","",IF($Y427=0,$Z427*EXP($AA427*-2),$Z427*(1+$Y427*$AA427*-2)^(1/$Y427)))</f>
        <v/>
      </c>
      <c r="AF427">
        <f>IF($Y427="","",IF($Y427=0,$Z427*EXP($AA427*-3),$Z427*(1+$Y427*$AA427*-3)^(1/$Y427)))</f>
        <v/>
      </c>
      <c r="AG427">
        <f>IF($W427="","",IFERROR(INDEX(IF($T427&lt;=60,est05_l,est519_l),MATCH($W427,IF($T427&lt;=60,est05_k,est519_k),1)),""))</f>
        <v/>
      </c>
      <c r="AH427">
        <f>IF($W427="","",IFERROR(INDEX(IF($T427&lt;=60,est05_m,est519_m),MATCH($W427,IF($T427&lt;=60,est05_k,est519_k),1)),""))</f>
        <v/>
      </c>
      <c r="AI427">
        <f>IF($W427="","",IFERROR(INDEX(IF($T427&lt;=60,est05_s,est519_s),MATCH($W427,IF($T427&lt;=60,est05_k,est519_k),1)),""))</f>
        <v/>
      </c>
      <c r="AJ427">
        <f>IF($W427="","",IFERROR(INDEX(IF($T427&lt;=60,peso05_l,peso510_l),MATCH($W427,IF($T427&lt;=60,peso05_k,peso510_k),1)),""))</f>
        <v/>
      </c>
      <c r="AK427">
        <f>IF($W427="","",IFERROR(INDEX(IF($T427&lt;=60,peso05_m,peso510_m),MATCH($W427,IF($T427&lt;=60,peso05_k,peso510_k),1)),""))</f>
        <v/>
      </c>
      <c r="AL427">
        <f>IF($W427="","",IFERROR(INDEX(IF($T427&lt;=60,peso05_s,peso510_s),MATCH($W427,IF($T427&lt;=60,peso05_k,peso510_k),1)),""))</f>
        <v/>
      </c>
      <c r="AM427">
        <f>IF($AJ427="","",IF($AJ427=0,LN($F427/$AK427)/$AL427,((($F427/$AK427)^$AJ427)-1)/($AJ427*$AL427)))</f>
        <v/>
      </c>
      <c r="AN427">
        <f>IF($AJ427="","",IF($AJ427=0,$AK427*EXP($AL427*2),$AK427*(1+$AJ427*$AL427*2)^(1/$AJ427)))</f>
        <v/>
      </c>
      <c r="AO427">
        <f>IF($AJ427="","",IF($AJ427=0,$AK427*EXP($AL427*3),$AK427*(1+$AJ427*$AL427*3)^(1/$AJ427)))</f>
        <v/>
      </c>
      <c r="AP427">
        <f>IF($AJ427="","",IF($AJ427=0,$AK427*EXP($AL427*-2),$AK427*(1+$AJ427*$AL427*-2)^(1/$AJ427)))</f>
        <v/>
      </c>
      <c r="AQ427">
        <f>IF($AJ427="","",IF($AJ427=0,$AK427*EXP($AL427*-3),$AK427*(1+$AJ427*$AL427*-3)^(1/$AJ427)))</f>
        <v/>
      </c>
      <c r="AR427">
        <f>IF(OR($X427="",$T427&gt;60),"",IFERROR(INDEX(IF($T427&lt;24,pcomp_l,palt_l),MATCH($X427,IF($T427&lt;24,pcomp_k,palt_k),1)),""))</f>
        <v/>
      </c>
      <c r="AS427">
        <f>IF(OR($X427="",$T427&gt;60),"",IFERROR(INDEX(IF($T427&lt;24,pcomp_m,palt_m),MATCH($X427,IF($T427&lt;24,pcomp_k,palt_k),1)),""))</f>
        <v/>
      </c>
      <c r="AT427">
        <f>IF(OR($X427="",$T427&gt;60),"",IFERROR(INDEX(IF($T427&lt;24,pcomp_s,palt_s),MATCH($X427,IF($T427&lt;24,pcomp_k,palt_k),1)),""))</f>
        <v/>
      </c>
      <c r="AU427">
        <f>IF($AR427="","",IF($AR427=0,LN($F427/$AS427)/$AT427,((($F427/$AS427)^$AR427)-1)/($AR427*$AT427)))</f>
        <v/>
      </c>
      <c r="AV427">
        <f>IF($AR427="","",IF($AR427=0,$AS427*EXP($AT427*2),$AS427*(1+$AR427*$AT427*2)^(1/$AR427)))</f>
        <v/>
      </c>
      <c r="AW427">
        <f>IF($AR427="","",IF($AR427=0,$AS427*EXP($AT427*3),$AS427*(1+$AR427*$AT427*3)^(1/$AR427)))</f>
        <v/>
      </c>
      <c r="AX427">
        <f>IF($AR427="","",IF($AR427=0,$AS427*EXP($AT427*-2),$AS427*(1+$AR427*$AT427*-2)^(1/$AR427)))</f>
        <v/>
      </c>
      <c r="AY427">
        <f>IF($AR427="","",IF($AR427=0,$AS427*EXP($AT427*-3),$AS427*(1+$AR427*$AT427*-3)^(1/$AR427)))</f>
        <v/>
      </c>
      <c r="AZ427">
        <f>IF(OR($A427="",$A427&lt;&gt;Ficha!$C$4),"",COUNTIF($A$2:$A427,Ficha!$C$4))</f>
        <v/>
      </c>
    </row>
    <row r="428">
      <c r="A428" s="8">
        <f>IF(INDEX(Banco!$A:$A,ROW())="","",INDEX(Banco!$A:$A,ROW()))</f>
        <v/>
      </c>
      <c r="B428" s="8">
        <f>IF(INDEX(Banco!$B:$B,ROW())="","",INDEX(Banco!$B:$B,ROW()))</f>
        <v/>
      </c>
      <c r="C428" s="8">
        <f>IF(INDEX(Banco!$C:$C,ROW())="","",INDEX(Banco!$C:$C,ROW()))</f>
        <v/>
      </c>
      <c r="D428" s="9">
        <f>IF(INDEX(Banco!$D:$D,ROW())="","",INDEX(Banco!$D:$D,ROW()))</f>
        <v/>
      </c>
      <c r="E428" s="9">
        <f>IF(INDEX(Banco!$E:$E,ROW())="","",INDEX(Banco!$E:$E,ROW()))</f>
        <v/>
      </c>
      <c r="F428" s="10">
        <f>IF(INDEX(Banco!$F:$F,ROW())="","",INDEX(Banco!$F:$F,ROW()))</f>
        <v/>
      </c>
      <c r="G428" s="10">
        <f>IF(INDEX(Banco!$G:$G,ROW())="","",INDEX(Banco!$G:$G,ROW()))</f>
        <v/>
      </c>
      <c r="H428" s="8">
        <f>IF(INDEX(Banco!$H:$H,ROW())="","",INDEX(Banco!$H:$H,ROW()))</f>
        <v/>
      </c>
      <c r="I428">
        <f>IF($T428="","",INT($T428/12)&amp;"a "&amp;MOD($T428,12)&amp;"m")</f>
        <v/>
      </c>
      <c r="J428" s="11">
        <f>IF(OR($F428="",$G428=""),"",ROUND($F428/($G428/100)^2,2))</f>
        <v/>
      </c>
      <c r="K428" s="12">
        <f>IF(OR($S428="",$J428="",$T428="",$T428&lt;0,$T428&gt;228,$Y428=""),"—",ROUND(IF(ABS($AB428)&lt;=3,$AB428,IF($AB428&gt;3,3+($J428-$AD428)/($AD428-$AC428),-3+($J428-$AF428)/($AE428-$AF428))),2))</f>
        <v/>
      </c>
      <c r="L428">
        <f>IF(OR($K428="",$K428="—"),"",IF($T428&lt;=60,IF($K428&lt;-3,"Magreza acentuada",IF($K428&lt;-2,"Magreza",IF($K428&lt;=1,"Eutrofia",IF($K428&lt;=2,"Risco de sobrepeso",IF($K428&lt;=3,"Sobrepeso","Obesidade"))))),IF($K428&lt;-3,"Magreza acentuada",IF($K428&lt;-2,"Magreza",IF($K428&lt;=1,"Eutrofia",IF($K428&lt;=2,"Sobrepeso",IF($K428&lt;=3,"Obesidade","Obesidade grave")))))))</f>
        <v/>
      </c>
      <c r="M428" s="12">
        <f>IF(OR($S428="",$V428="",$T428="",$T428&lt;0,$T428&gt;228,$AG428=""),"—",ROUND(IF($AG428=0,LN($V428/$AH428)/$AI428,((($V428/$AH428)^$AG428)-1)/($AG428*$AI428)),2))</f>
        <v/>
      </c>
      <c r="N428">
        <f>IF(OR($M428="",$M428="—"),"",IF($M428&lt;-3,"Muito baixa",IF($M428&lt;-2,"Baixa","Adequada")))</f>
        <v/>
      </c>
      <c r="O428" s="12">
        <f>IF(OR($S428="",$F428="",$T428="",$T428&lt;0,$T428&gt;120,$AJ428=""),"—",ROUND(IF(ABS($AM428)&lt;=3,$AM428,IF($AM428&gt;3,3+($F428-$AO428)/($AO428-$AN428),-3+($F428-$AQ428)/($AP428-$AQ428))),2))</f>
        <v/>
      </c>
      <c r="P428">
        <f>IF(OR($O428="",$O428="—"),"",IF($O428&lt;-3,"Muito baixo",IF($O428&lt;-2,"Baixo",IF($O428&lt;=2,"Adequado","Elevado"))))</f>
        <v/>
      </c>
      <c r="Q428" s="12">
        <f>IF(OR($S428="",$F428="",$T428="",$T428&lt;0,$T428&gt;60,$AR428=""),"—",ROUND(IF(ABS($AU428)&lt;=3,$AU428,IF($AU428&gt;3,3+($F428-$AW428)/($AW428-$AV428),-3+($F428-$AY428)/($AX428-$AY428))),2))</f>
        <v/>
      </c>
      <c r="R428">
        <f>IF(OR($Q428="",$Q428="—"),"",IF($Q428&lt;-3,"Magreza acentuada",IF($Q428&lt;-2,"Magreza",IF($Q428&lt;=1,"Eutrofia",IF($Q428&lt;=2,"Risco de sobrepeso",IF($Q428&lt;=3,"Sobrepeso","Obesidade"))))))</f>
        <v/>
      </c>
      <c r="S428">
        <f>IF($C428="","",IF(UPPER(LEFT($C428,1))="M",1,IF(UPPER(LEFT($C428,1))="F",2,"")))</f>
        <v/>
      </c>
      <c r="T428">
        <f>IF(OR($D428="",$E428=""),"",DATEDIF($D428,$E428,"m"))</f>
        <v/>
      </c>
      <c r="U428">
        <f>IF(OR($D428="",$E428=""),"",$E428-$D428)</f>
        <v/>
      </c>
      <c r="V428">
        <f>IF(OR($G428="",$T428=""),"",IF($T428&lt;24,IF(LEFT(LOWER($H428),4)="em p",$G428+0.7,$G428),IF(LEFT(LOWER($H428),4)="deit",$G428-0.7,$G428)))</f>
        <v/>
      </c>
      <c r="W428">
        <f>IF(OR($S428="",$T428=""),"",$S428*1000000+IF($T428&lt;=60,$U428,$T428))</f>
        <v/>
      </c>
      <c r="X428">
        <f>IF(OR($S428="",$V428="",$T428&gt;60,$T428=""),"",$S428*1000000+ROUND($V428*10,0))</f>
        <v/>
      </c>
      <c r="Y428">
        <f>IF($W428="","",IFERROR(INDEX(IF($T428&lt;=60,imc05_l,imc519_l),MATCH($W428,IF($T428&lt;=60,imc05_k,imc519_k),1)),""))</f>
        <v/>
      </c>
      <c r="Z428">
        <f>IF($W428="","",IFERROR(INDEX(IF($T428&lt;=60,imc05_m,imc519_m),MATCH($W428,IF($T428&lt;=60,imc05_k,imc519_k),1)),""))</f>
        <v/>
      </c>
      <c r="AA428">
        <f>IF($W428="","",IFERROR(INDEX(IF($T428&lt;=60,imc05_s,imc519_s),MATCH($W428,IF($T428&lt;=60,imc05_k,imc519_k),1)),""))</f>
        <v/>
      </c>
      <c r="AB428">
        <f>IF($Y428="","",IF($Y428=0,LN($J428/$Z428)/$AA428,((($J428/$Z428)^$Y428)-1)/($Y428*$AA428)))</f>
        <v/>
      </c>
      <c r="AC428">
        <f>IF($Y428="","",IF($Y428=0,$Z428*EXP($AA428*2),$Z428*(1+$Y428*$AA428*2)^(1/$Y428)))</f>
        <v/>
      </c>
      <c r="AD428">
        <f>IF($Y428="","",IF($Y428=0,$Z428*EXP($AA428*3),$Z428*(1+$Y428*$AA428*3)^(1/$Y428)))</f>
        <v/>
      </c>
      <c r="AE428">
        <f>IF($Y428="","",IF($Y428=0,$Z428*EXP($AA428*-2),$Z428*(1+$Y428*$AA428*-2)^(1/$Y428)))</f>
        <v/>
      </c>
      <c r="AF428">
        <f>IF($Y428="","",IF($Y428=0,$Z428*EXP($AA428*-3),$Z428*(1+$Y428*$AA428*-3)^(1/$Y428)))</f>
        <v/>
      </c>
      <c r="AG428">
        <f>IF($W428="","",IFERROR(INDEX(IF($T428&lt;=60,est05_l,est519_l),MATCH($W428,IF($T428&lt;=60,est05_k,est519_k),1)),""))</f>
        <v/>
      </c>
      <c r="AH428">
        <f>IF($W428="","",IFERROR(INDEX(IF($T428&lt;=60,est05_m,est519_m),MATCH($W428,IF($T428&lt;=60,est05_k,est519_k),1)),""))</f>
        <v/>
      </c>
      <c r="AI428">
        <f>IF($W428="","",IFERROR(INDEX(IF($T428&lt;=60,est05_s,est519_s),MATCH($W428,IF($T428&lt;=60,est05_k,est519_k),1)),""))</f>
        <v/>
      </c>
      <c r="AJ428">
        <f>IF($W428="","",IFERROR(INDEX(IF($T428&lt;=60,peso05_l,peso510_l),MATCH($W428,IF($T428&lt;=60,peso05_k,peso510_k),1)),""))</f>
        <v/>
      </c>
      <c r="AK428">
        <f>IF($W428="","",IFERROR(INDEX(IF($T428&lt;=60,peso05_m,peso510_m),MATCH($W428,IF($T428&lt;=60,peso05_k,peso510_k),1)),""))</f>
        <v/>
      </c>
      <c r="AL428">
        <f>IF($W428="","",IFERROR(INDEX(IF($T428&lt;=60,peso05_s,peso510_s),MATCH($W428,IF($T428&lt;=60,peso05_k,peso510_k),1)),""))</f>
        <v/>
      </c>
      <c r="AM428">
        <f>IF($AJ428="","",IF($AJ428=0,LN($F428/$AK428)/$AL428,((($F428/$AK428)^$AJ428)-1)/($AJ428*$AL428)))</f>
        <v/>
      </c>
      <c r="AN428">
        <f>IF($AJ428="","",IF($AJ428=0,$AK428*EXP($AL428*2),$AK428*(1+$AJ428*$AL428*2)^(1/$AJ428)))</f>
        <v/>
      </c>
      <c r="AO428">
        <f>IF($AJ428="","",IF($AJ428=0,$AK428*EXP($AL428*3),$AK428*(1+$AJ428*$AL428*3)^(1/$AJ428)))</f>
        <v/>
      </c>
      <c r="AP428">
        <f>IF($AJ428="","",IF($AJ428=0,$AK428*EXP($AL428*-2),$AK428*(1+$AJ428*$AL428*-2)^(1/$AJ428)))</f>
        <v/>
      </c>
      <c r="AQ428">
        <f>IF($AJ428="","",IF($AJ428=0,$AK428*EXP($AL428*-3),$AK428*(1+$AJ428*$AL428*-3)^(1/$AJ428)))</f>
        <v/>
      </c>
      <c r="AR428">
        <f>IF(OR($X428="",$T428&gt;60),"",IFERROR(INDEX(IF($T428&lt;24,pcomp_l,palt_l),MATCH($X428,IF($T428&lt;24,pcomp_k,palt_k),1)),""))</f>
        <v/>
      </c>
      <c r="AS428">
        <f>IF(OR($X428="",$T428&gt;60),"",IFERROR(INDEX(IF($T428&lt;24,pcomp_m,palt_m),MATCH($X428,IF($T428&lt;24,pcomp_k,palt_k),1)),""))</f>
        <v/>
      </c>
      <c r="AT428">
        <f>IF(OR($X428="",$T428&gt;60),"",IFERROR(INDEX(IF($T428&lt;24,pcomp_s,palt_s),MATCH($X428,IF($T428&lt;24,pcomp_k,palt_k),1)),""))</f>
        <v/>
      </c>
      <c r="AU428">
        <f>IF($AR428="","",IF($AR428=0,LN($F428/$AS428)/$AT428,((($F428/$AS428)^$AR428)-1)/($AR428*$AT428)))</f>
        <v/>
      </c>
      <c r="AV428">
        <f>IF($AR428="","",IF($AR428=0,$AS428*EXP($AT428*2),$AS428*(1+$AR428*$AT428*2)^(1/$AR428)))</f>
        <v/>
      </c>
      <c r="AW428">
        <f>IF($AR428="","",IF($AR428=0,$AS428*EXP($AT428*3),$AS428*(1+$AR428*$AT428*3)^(1/$AR428)))</f>
        <v/>
      </c>
      <c r="AX428">
        <f>IF($AR428="","",IF($AR428=0,$AS428*EXP($AT428*-2),$AS428*(1+$AR428*$AT428*-2)^(1/$AR428)))</f>
        <v/>
      </c>
      <c r="AY428">
        <f>IF($AR428="","",IF($AR428=0,$AS428*EXP($AT428*-3),$AS428*(1+$AR428*$AT428*-3)^(1/$AR428)))</f>
        <v/>
      </c>
      <c r="AZ428">
        <f>IF(OR($A428="",$A428&lt;&gt;Ficha!$C$4),"",COUNTIF($A$2:$A428,Ficha!$C$4))</f>
        <v/>
      </c>
    </row>
    <row r="429">
      <c r="A429" s="8">
        <f>IF(INDEX(Banco!$A:$A,ROW())="","",INDEX(Banco!$A:$A,ROW()))</f>
        <v/>
      </c>
      <c r="B429" s="8">
        <f>IF(INDEX(Banco!$B:$B,ROW())="","",INDEX(Banco!$B:$B,ROW()))</f>
        <v/>
      </c>
      <c r="C429" s="8">
        <f>IF(INDEX(Banco!$C:$C,ROW())="","",INDEX(Banco!$C:$C,ROW()))</f>
        <v/>
      </c>
      <c r="D429" s="9">
        <f>IF(INDEX(Banco!$D:$D,ROW())="","",INDEX(Banco!$D:$D,ROW()))</f>
        <v/>
      </c>
      <c r="E429" s="9">
        <f>IF(INDEX(Banco!$E:$E,ROW())="","",INDEX(Banco!$E:$E,ROW()))</f>
        <v/>
      </c>
      <c r="F429" s="10">
        <f>IF(INDEX(Banco!$F:$F,ROW())="","",INDEX(Banco!$F:$F,ROW()))</f>
        <v/>
      </c>
      <c r="G429" s="10">
        <f>IF(INDEX(Banco!$G:$G,ROW())="","",INDEX(Banco!$G:$G,ROW()))</f>
        <v/>
      </c>
      <c r="H429" s="8">
        <f>IF(INDEX(Banco!$H:$H,ROW())="","",INDEX(Banco!$H:$H,ROW()))</f>
        <v/>
      </c>
      <c r="I429">
        <f>IF($T429="","",INT($T429/12)&amp;"a "&amp;MOD($T429,12)&amp;"m")</f>
        <v/>
      </c>
      <c r="J429" s="11">
        <f>IF(OR($F429="",$G429=""),"",ROUND($F429/($G429/100)^2,2))</f>
        <v/>
      </c>
      <c r="K429" s="12">
        <f>IF(OR($S429="",$J429="",$T429="",$T429&lt;0,$T429&gt;228,$Y429=""),"—",ROUND(IF(ABS($AB429)&lt;=3,$AB429,IF($AB429&gt;3,3+($J429-$AD429)/($AD429-$AC429),-3+($J429-$AF429)/($AE429-$AF429))),2))</f>
        <v/>
      </c>
      <c r="L429">
        <f>IF(OR($K429="",$K429="—"),"",IF($T429&lt;=60,IF($K429&lt;-3,"Magreza acentuada",IF($K429&lt;-2,"Magreza",IF($K429&lt;=1,"Eutrofia",IF($K429&lt;=2,"Risco de sobrepeso",IF($K429&lt;=3,"Sobrepeso","Obesidade"))))),IF($K429&lt;-3,"Magreza acentuada",IF($K429&lt;-2,"Magreza",IF($K429&lt;=1,"Eutrofia",IF($K429&lt;=2,"Sobrepeso",IF($K429&lt;=3,"Obesidade","Obesidade grave")))))))</f>
        <v/>
      </c>
      <c r="M429" s="12">
        <f>IF(OR($S429="",$V429="",$T429="",$T429&lt;0,$T429&gt;228,$AG429=""),"—",ROUND(IF($AG429=0,LN($V429/$AH429)/$AI429,((($V429/$AH429)^$AG429)-1)/($AG429*$AI429)),2))</f>
        <v/>
      </c>
      <c r="N429">
        <f>IF(OR($M429="",$M429="—"),"",IF($M429&lt;-3,"Muito baixa",IF($M429&lt;-2,"Baixa","Adequada")))</f>
        <v/>
      </c>
      <c r="O429" s="12">
        <f>IF(OR($S429="",$F429="",$T429="",$T429&lt;0,$T429&gt;120,$AJ429=""),"—",ROUND(IF(ABS($AM429)&lt;=3,$AM429,IF($AM429&gt;3,3+($F429-$AO429)/($AO429-$AN429),-3+($F429-$AQ429)/($AP429-$AQ429))),2))</f>
        <v/>
      </c>
      <c r="P429">
        <f>IF(OR($O429="",$O429="—"),"",IF($O429&lt;-3,"Muito baixo",IF($O429&lt;-2,"Baixo",IF($O429&lt;=2,"Adequado","Elevado"))))</f>
        <v/>
      </c>
      <c r="Q429" s="12">
        <f>IF(OR($S429="",$F429="",$T429="",$T429&lt;0,$T429&gt;60,$AR429=""),"—",ROUND(IF(ABS($AU429)&lt;=3,$AU429,IF($AU429&gt;3,3+($F429-$AW429)/($AW429-$AV429),-3+($F429-$AY429)/($AX429-$AY429))),2))</f>
        <v/>
      </c>
      <c r="R429">
        <f>IF(OR($Q429="",$Q429="—"),"",IF($Q429&lt;-3,"Magreza acentuada",IF($Q429&lt;-2,"Magreza",IF($Q429&lt;=1,"Eutrofia",IF($Q429&lt;=2,"Risco de sobrepeso",IF($Q429&lt;=3,"Sobrepeso","Obesidade"))))))</f>
        <v/>
      </c>
      <c r="S429">
        <f>IF($C429="","",IF(UPPER(LEFT($C429,1))="M",1,IF(UPPER(LEFT($C429,1))="F",2,"")))</f>
        <v/>
      </c>
      <c r="T429">
        <f>IF(OR($D429="",$E429=""),"",DATEDIF($D429,$E429,"m"))</f>
        <v/>
      </c>
      <c r="U429">
        <f>IF(OR($D429="",$E429=""),"",$E429-$D429)</f>
        <v/>
      </c>
      <c r="V429">
        <f>IF(OR($G429="",$T429=""),"",IF($T429&lt;24,IF(LEFT(LOWER($H429),4)="em p",$G429+0.7,$G429),IF(LEFT(LOWER($H429),4)="deit",$G429-0.7,$G429)))</f>
        <v/>
      </c>
      <c r="W429">
        <f>IF(OR($S429="",$T429=""),"",$S429*1000000+IF($T429&lt;=60,$U429,$T429))</f>
        <v/>
      </c>
      <c r="X429">
        <f>IF(OR($S429="",$V429="",$T429&gt;60,$T429=""),"",$S429*1000000+ROUND($V429*10,0))</f>
        <v/>
      </c>
      <c r="Y429">
        <f>IF($W429="","",IFERROR(INDEX(IF($T429&lt;=60,imc05_l,imc519_l),MATCH($W429,IF($T429&lt;=60,imc05_k,imc519_k),1)),""))</f>
        <v/>
      </c>
      <c r="Z429">
        <f>IF($W429="","",IFERROR(INDEX(IF($T429&lt;=60,imc05_m,imc519_m),MATCH($W429,IF($T429&lt;=60,imc05_k,imc519_k),1)),""))</f>
        <v/>
      </c>
      <c r="AA429">
        <f>IF($W429="","",IFERROR(INDEX(IF($T429&lt;=60,imc05_s,imc519_s),MATCH($W429,IF($T429&lt;=60,imc05_k,imc519_k),1)),""))</f>
        <v/>
      </c>
      <c r="AB429">
        <f>IF($Y429="","",IF($Y429=0,LN($J429/$Z429)/$AA429,((($J429/$Z429)^$Y429)-1)/($Y429*$AA429)))</f>
        <v/>
      </c>
      <c r="AC429">
        <f>IF($Y429="","",IF($Y429=0,$Z429*EXP($AA429*2),$Z429*(1+$Y429*$AA429*2)^(1/$Y429)))</f>
        <v/>
      </c>
      <c r="AD429">
        <f>IF($Y429="","",IF($Y429=0,$Z429*EXP($AA429*3),$Z429*(1+$Y429*$AA429*3)^(1/$Y429)))</f>
        <v/>
      </c>
      <c r="AE429">
        <f>IF($Y429="","",IF($Y429=0,$Z429*EXP($AA429*-2),$Z429*(1+$Y429*$AA429*-2)^(1/$Y429)))</f>
        <v/>
      </c>
      <c r="AF429">
        <f>IF($Y429="","",IF($Y429=0,$Z429*EXP($AA429*-3),$Z429*(1+$Y429*$AA429*-3)^(1/$Y429)))</f>
        <v/>
      </c>
      <c r="AG429">
        <f>IF($W429="","",IFERROR(INDEX(IF($T429&lt;=60,est05_l,est519_l),MATCH($W429,IF($T429&lt;=60,est05_k,est519_k),1)),""))</f>
        <v/>
      </c>
      <c r="AH429">
        <f>IF($W429="","",IFERROR(INDEX(IF($T429&lt;=60,est05_m,est519_m),MATCH($W429,IF($T429&lt;=60,est05_k,est519_k),1)),""))</f>
        <v/>
      </c>
      <c r="AI429">
        <f>IF($W429="","",IFERROR(INDEX(IF($T429&lt;=60,est05_s,est519_s),MATCH($W429,IF($T429&lt;=60,est05_k,est519_k),1)),""))</f>
        <v/>
      </c>
      <c r="AJ429">
        <f>IF($W429="","",IFERROR(INDEX(IF($T429&lt;=60,peso05_l,peso510_l),MATCH($W429,IF($T429&lt;=60,peso05_k,peso510_k),1)),""))</f>
        <v/>
      </c>
      <c r="AK429">
        <f>IF($W429="","",IFERROR(INDEX(IF($T429&lt;=60,peso05_m,peso510_m),MATCH($W429,IF($T429&lt;=60,peso05_k,peso510_k),1)),""))</f>
        <v/>
      </c>
      <c r="AL429">
        <f>IF($W429="","",IFERROR(INDEX(IF($T429&lt;=60,peso05_s,peso510_s),MATCH($W429,IF($T429&lt;=60,peso05_k,peso510_k),1)),""))</f>
        <v/>
      </c>
      <c r="AM429">
        <f>IF($AJ429="","",IF($AJ429=0,LN($F429/$AK429)/$AL429,((($F429/$AK429)^$AJ429)-1)/($AJ429*$AL429)))</f>
        <v/>
      </c>
      <c r="AN429">
        <f>IF($AJ429="","",IF($AJ429=0,$AK429*EXP($AL429*2),$AK429*(1+$AJ429*$AL429*2)^(1/$AJ429)))</f>
        <v/>
      </c>
      <c r="AO429">
        <f>IF($AJ429="","",IF($AJ429=0,$AK429*EXP($AL429*3),$AK429*(1+$AJ429*$AL429*3)^(1/$AJ429)))</f>
        <v/>
      </c>
      <c r="AP429">
        <f>IF($AJ429="","",IF($AJ429=0,$AK429*EXP($AL429*-2),$AK429*(1+$AJ429*$AL429*-2)^(1/$AJ429)))</f>
        <v/>
      </c>
      <c r="AQ429">
        <f>IF($AJ429="","",IF($AJ429=0,$AK429*EXP($AL429*-3),$AK429*(1+$AJ429*$AL429*-3)^(1/$AJ429)))</f>
        <v/>
      </c>
      <c r="AR429">
        <f>IF(OR($X429="",$T429&gt;60),"",IFERROR(INDEX(IF($T429&lt;24,pcomp_l,palt_l),MATCH($X429,IF($T429&lt;24,pcomp_k,palt_k),1)),""))</f>
        <v/>
      </c>
      <c r="AS429">
        <f>IF(OR($X429="",$T429&gt;60),"",IFERROR(INDEX(IF($T429&lt;24,pcomp_m,palt_m),MATCH($X429,IF($T429&lt;24,pcomp_k,palt_k),1)),""))</f>
        <v/>
      </c>
      <c r="AT429">
        <f>IF(OR($X429="",$T429&gt;60),"",IFERROR(INDEX(IF($T429&lt;24,pcomp_s,palt_s),MATCH($X429,IF($T429&lt;24,pcomp_k,palt_k),1)),""))</f>
        <v/>
      </c>
      <c r="AU429">
        <f>IF($AR429="","",IF($AR429=0,LN($F429/$AS429)/$AT429,((($F429/$AS429)^$AR429)-1)/($AR429*$AT429)))</f>
        <v/>
      </c>
      <c r="AV429">
        <f>IF($AR429="","",IF($AR429=0,$AS429*EXP($AT429*2),$AS429*(1+$AR429*$AT429*2)^(1/$AR429)))</f>
        <v/>
      </c>
      <c r="AW429">
        <f>IF($AR429="","",IF($AR429=0,$AS429*EXP($AT429*3),$AS429*(1+$AR429*$AT429*3)^(1/$AR429)))</f>
        <v/>
      </c>
      <c r="AX429">
        <f>IF($AR429="","",IF($AR429=0,$AS429*EXP($AT429*-2),$AS429*(1+$AR429*$AT429*-2)^(1/$AR429)))</f>
        <v/>
      </c>
      <c r="AY429">
        <f>IF($AR429="","",IF($AR429=0,$AS429*EXP($AT429*-3),$AS429*(1+$AR429*$AT429*-3)^(1/$AR429)))</f>
        <v/>
      </c>
      <c r="AZ429">
        <f>IF(OR($A429="",$A429&lt;&gt;Ficha!$C$4),"",COUNTIF($A$2:$A429,Ficha!$C$4))</f>
        <v/>
      </c>
    </row>
    <row r="430">
      <c r="A430" s="8">
        <f>IF(INDEX(Banco!$A:$A,ROW())="","",INDEX(Banco!$A:$A,ROW()))</f>
        <v/>
      </c>
      <c r="B430" s="8">
        <f>IF(INDEX(Banco!$B:$B,ROW())="","",INDEX(Banco!$B:$B,ROW()))</f>
        <v/>
      </c>
      <c r="C430" s="8">
        <f>IF(INDEX(Banco!$C:$C,ROW())="","",INDEX(Banco!$C:$C,ROW()))</f>
        <v/>
      </c>
      <c r="D430" s="9">
        <f>IF(INDEX(Banco!$D:$D,ROW())="","",INDEX(Banco!$D:$D,ROW()))</f>
        <v/>
      </c>
      <c r="E430" s="9">
        <f>IF(INDEX(Banco!$E:$E,ROW())="","",INDEX(Banco!$E:$E,ROW()))</f>
        <v/>
      </c>
      <c r="F430" s="10">
        <f>IF(INDEX(Banco!$F:$F,ROW())="","",INDEX(Banco!$F:$F,ROW()))</f>
        <v/>
      </c>
      <c r="G430" s="10">
        <f>IF(INDEX(Banco!$G:$G,ROW())="","",INDEX(Banco!$G:$G,ROW()))</f>
        <v/>
      </c>
      <c r="H430" s="8">
        <f>IF(INDEX(Banco!$H:$H,ROW())="","",INDEX(Banco!$H:$H,ROW()))</f>
        <v/>
      </c>
      <c r="I430">
        <f>IF($T430="","",INT($T430/12)&amp;"a "&amp;MOD($T430,12)&amp;"m")</f>
        <v/>
      </c>
      <c r="J430" s="11">
        <f>IF(OR($F430="",$G430=""),"",ROUND($F430/($G430/100)^2,2))</f>
        <v/>
      </c>
      <c r="K430" s="12">
        <f>IF(OR($S430="",$J430="",$T430="",$T430&lt;0,$T430&gt;228,$Y430=""),"—",ROUND(IF(ABS($AB430)&lt;=3,$AB430,IF($AB430&gt;3,3+($J430-$AD430)/($AD430-$AC430),-3+($J430-$AF430)/($AE430-$AF430))),2))</f>
        <v/>
      </c>
      <c r="L430">
        <f>IF(OR($K430="",$K430="—"),"",IF($T430&lt;=60,IF($K430&lt;-3,"Magreza acentuada",IF($K430&lt;-2,"Magreza",IF($K430&lt;=1,"Eutrofia",IF($K430&lt;=2,"Risco de sobrepeso",IF($K430&lt;=3,"Sobrepeso","Obesidade"))))),IF($K430&lt;-3,"Magreza acentuada",IF($K430&lt;-2,"Magreza",IF($K430&lt;=1,"Eutrofia",IF($K430&lt;=2,"Sobrepeso",IF($K430&lt;=3,"Obesidade","Obesidade grave")))))))</f>
        <v/>
      </c>
      <c r="M430" s="12">
        <f>IF(OR($S430="",$V430="",$T430="",$T430&lt;0,$T430&gt;228,$AG430=""),"—",ROUND(IF($AG430=0,LN($V430/$AH430)/$AI430,((($V430/$AH430)^$AG430)-1)/($AG430*$AI430)),2))</f>
        <v/>
      </c>
      <c r="N430">
        <f>IF(OR($M430="",$M430="—"),"",IF($M430&lt;-3,"Muito baixa",IF($M430&lt;-2,"Baixa","Adequada")))</f>
        <v/>
      </c>
      <c r="O430" s="12">
        <f>IF(OR($S430="",$F430="",$T430="",$T430&lt;0,$T430&gt;120,$AJ430=""),"—",ROUND(IF(ABS($AM430)&lt;=3,$AM430,IF($AM430&gt;3,3+($F430-$AO430)/($AO430-$AN430),-3+($F430-$AQ430)/($AP430-$AQ430))),2))</f>
        <v/>
      </c>
      <c r="P430">
        <f>IF(OR($O430="",$O430="—"),"",IF($O430&lt;-3,"Muito baixo",IF($O430&lt;-2,"Baixo",IF($O430&lt;=2,"Adequado","Elevado"))))</f>
        <v/>
      </c>
      <c r="Q430" s="12">
        <f>IF(OR($S430="",$F430="",$T430="",$T430&lt;0,$T430&gt;60,$AR430=""),"—",ROUND(IF(ABS($AU430)&lt;=3,$AU430,IF($AU430&gt;3,3+($F430-$AW430)/($AW430-$AV430),-3+($F430-$AY430)/($AX430-$AY430))),2))</f>
        <v/>
      </c>
      <c r="R430">
        <f>IF(OR($Q430="",$Q430="—"),"",IF($Q430&lt;-3,"Magreza acentuada",IF($Q430&lt;-2,"Magreza",IF($Q430&lt;=1,"Eutrofia",IF($Q430&lt;=2,"Risco de sobrepeso",IF($Q430&lt;=3,"Sobrepeso","Obesidade"))))))</f>
        <v/>
      </c>
      <c r="S430">
        <f>IF($C430="","",IF(UPPER(LEFT($C430,1))="M",1,IF(UPPER(LEFT($C430,1))="F",2,"")))</f>
        <v/>
      </c>
      <c r="T430">
        <f>IF(OR($D430="",$E430=""),"",DATEDIF($D430,$E430,"m"))</f>
        <v/>
      </c>
      <c r="U430">
        <f>IF(OR($D430="",$E430=""),"",$E430-$D430)</f>
        <v/>
      </c>
      <c r="V430">
        <f>IF(OR($G430="",$T430=""),"",IF($T430&lt;24,IF(LEFT(LOWER($H430),4)="em p",$G430+0.7,$G430),IF(LEFT(LOWER($H430),4)="deit",$G430-0.7,$G430)))</f>
        <v/>
      </c>
      <c r="W430">
        <f>IF(OR($S430="",$T430=""),"",$S430*1000000+IF($T430&lt;=60,$U430,$T430))</f>
        <v/>
      </c>
      <c r="X430">
        <f>IF(OR($S430="",$V430="",$T430&gt;60,$T430=""),"",$S430*1000000+ROUND($V430*10,0))</f>
        <v/>
      </c>
      <c r="Y430">
        <f>IF($W430="","",IFERROR(INDEX(IF($T430&lt;=60,imc05_l,imc519_l),MATCH($W430,IF($T430&lt;=60,imc05_k,imc519_k),1)),""))</f>
        <v/>
      </c>
      <c r="Z430">
        <f>IF($W430="","",IFERROR(INDEX(IF($T430&lt;=60,imc05_m,imc519_m),MATCH($W430,IF($T430&lt;=60,imc05_k,imc519_k),1)),""))</f>
        <v/>
      </c>
      <c r="AA430">
        <f>IF($W430="","",IFERROR(INDEX(IF($T430&lt;=60,imc05_s,imc519_s),MATCH($W430,IF($T430&lt;=60,imc05_k,imc519_k),1)),""))</f>
        <v/>
      </c>
      <c r="AB430">
        <f>IF($Y430="","",IF($Y430=0,LN($J430/$Z430)/$AA430,((($J430/$Z430)^$Y430)-1)/($Y430*$AA430)))</f>
        <v/>
      </c>
      <c r="AC430">
        <f>IF($Y430="","",IF($Y430=0,$Z430*EXP($AA430*2),$Z430*(1+$Y430*$AA430*2)^(1/$Y430)))</f>
        <v/>
      </c>
      <c r="AD430">
        <f>IF($Y430="","",IF($Y430=0,$Z430*EXP($AA430*3),$Z430*(1+$Y430*$AA430*3)^(1/$Y430)))</f>
        <v/>
      </c>
      <c r="AE430">
        <f>IF($Y430="","",IF($Y430=0,$Z430*EXP($AA430*-2),$Z430*(1+$Y430*$AA430*-2)^(1/$Y430)))</f>
        <v/>
      </c>
      <c r="AF430">
        <f>IF($Y430="","",IF($Y430=0,$Z430*EXP($AA430*-3),$Z430*(1+$Y430*$AA430*-3)^(1/$Y430)))</f>
        <v/>
      </c>
      <c r="AG430">
        <f>IF($W430="","",IFERROR(INDEX(IF($T430&lt;=60,est05_l,est519_l),MATCH($W430,IF($T430&lt;=60,est05_k,est519_k),1)),""))</f>
        <v/>
      </c>
      <c r="AH430">
        <f>IF($W430="","",IFERROR(INDEX(IF($T430&lt;=60,est05_m,est519_m),MATCH($W430,IF($T430&lt;=60,est05_k,est519_k),1)),""))</f>
        <v/>
      </c>
      <c r="AI430">
        <f>IF($W430="","",IFERROR(INDEX(IF($T430&lt;=60,est05_s,est519_s),MATCH($W430,IF($T430&lt;=60,est05_k,est519_k),1)),""))</f>
        <v/>
      </c>
      <c r="AJ430">
        <f>IF($W430="","",IFERROR(INDEX(IF($T430&lt;=60,peso05_l,peso510_l),MATCH($W430,IF($T430&lt;=60,peso05_k,peso510_k),1)),""))</f>
        <v/>
      </c>
      <c r="AK430">
        <f>IF($W430="","",IFERROR(INDEX(IF($T430&lt;=60,peso05_m,peso510_m),MATCH($W430,IF($T430&lt;=60,peso05_k,peso510_k),1)),""))</f>
        <v/>
      </c>
      <c r="AL430">
        <f>IF($W430="","",IFERROR(INDEX(IF($T430&lt;=60,peso05_s,peso510_s),MATCH($W430,IF($T430&lt;=60,peso05_k,peso510_k),1)),""))</f>
        <v/>
      </c>
      <c r="AM430">
        <f>IF($AJ430="","",IF($AJ430=0,LN($F430/$AK430)/$AL430,((($F430/$AK430)^$AJ430)-1)/($AJ430*$AL430)))</f>
        <v/>
      </c>
      <c r="AN430">
        <f>IF($AJ430="","",IF($AJ430=0,$AK430*EXP($AL430*2),$AK430*(1+$AJ430*$AL430*2)^(1/$AJ430)))</f>
        <v/>
      </c>
      <c r="AO430">
        <f>IF($AJ430="","",IF($AJ430=0,$AK430*EXP($AL430*3),$AK430*(1+$AJ430*$AL430*3)^(1/$AJ430)))</f>
        <v/>
      </c>
      <c r="AP430">
        <f>IF($AJ430="","",IF($AJ430=0,$AK430*EXP($AL430*-2),$AK430*(1+$AJ430*$AL430*-2)^(1/$AJ430)))</f>
        <v/>
      </c>
      <c r="AQ430">
        <f>IF($AJ430="","",IF($AJ430=0,$AK430*EXP($AL430*-3),$AK430*(1+$AJ430*$AL430*-3)^(1/$AJ430)))</f>
        <v/>
      </c>
      <c r="AR430">
        <f>IF(OR($X430="",$T430&gt;60),"",IFERROR(INDEX(IF($T430&lt;24,pcomp_l,palt_l),MATCH($X430,IF($T430&lt;24,pcomp_k,palt_k),1)),""))</f>
        <v/>
      </c>
      <c r="AS430">
        <f>IF(OR($X430="",$T430&gt;60),"",IFERROR(INDEX(IF($T430&lt;24,pcomp_m,palt_m),MATCH($X430,IF($T430&lt;24,pcomp_k,palt_k),1)),""))</f>
        <v/>
      </c>
      <c r="AT430">
        <f>IF(OR($X430="",$T430&gt;60),"",IFERROR(INDEX(IF($T430&lt;24,pcomp_s,palt_s),MATCH($X430,IF($T430&lt;24,pcomp_k,palt_k),1)),""))</f>
        <v/>
      </c>
      <c r="AU430">
        <f>IF($AR430="","",IF($AR430=0,LN($F430/$AS430)/$AT430,((($F430/$AS430)^$AR430)-1)/($AR430*$AT430)))</f>
        <v/>
      </c>
      <c r="AV430">
        <f>IF($AR430="","",IF($AR430=0,$AS430*EXP($AT430*2),$AS430*(1+$AR430*$AT430*2)^(1/$AR430)))</f>
        <v/>
      </c>
      <c r="AW430">
        <f>IF($AR430="","",IF($AR430=0,$AS430*EXP($AT430*3),$AS430*(1+$AR430*$AT430*3)^(1/$AR430)))</f>
        <v/>
      </c>
      <c r="AX430">
        <f>IF($AR430="","",IF($AR430=0,$AS430*EXP($AT430*-2),$AS430*(1+$AR430*$AT430*-2)^(1/$AR430)))</f>
        <v/>
      </c>
      <c r="AY430">
        <f>IF($AR430="","",IF($AR430=0,$AS430*EXP($AT430*-3),$AS430*(1+$AR430*$AT430*-3)^(1/$AR430)))</f>
        <v/>
      </c>
      <c r="AZ430">
        <f>IF(OR($A430="",$A430&lt;&gt;Ficha!$C$4),"",COUNTIF($A$2:$A430,Ficha!$C$4))</f>
        <v/>
      </c>
    </row>
    <row r="431">
      <c r="A431" s="8">
        <f>IF(INDEX(Banco!$A:$A,ROW())="","",INDEX(Banco!$A:$A,ROW()))</f>
        <v/>
      </c>
      <c r="B431" s="8">
        <f>IF(INDEX(Banco!$B:$B,ROW())="","",INDEX(Banco!$B:$B,ROW()))</f>
        <v/>
      </c>
      <c r="C431" s="8">
        <f>IF(INDEX(Banco!$C:$C,ROW())="","",INDEX(Banco!$C:$C,ROW()))</f>
        <v/>
      </c>
      <c r="D431" s="9">
        <f>IF(INDEX(Banco!$D:$D,ROW())="","",INDEX(Banco!$D:$D,ROW()))</f>
        <v/>
      </c>
      <c r="E431" s="9">
        <f>IF(INDEX(Banco!$E:$E,ROW())="","",INDEX(Banco!$E:$E,ROW()))</f>
        <v/>
      </c>
      <c r="F431" s="10">
        <f>IF(INDEX(Banco!$F:$F,ROW())="","",INDEX(Banco!$F:$F,ROW()))</f>
        <v/>
      </c>
      <c r="G431" s="10">
        <f>IF(INDEX(Banco!$G:$G,ROW())="","",INDEX(Banco!$G:$G,ROW()))</f>
        <v/>
      </c>
      <c r="H431" s="8">
        <f>IF(INDEX(Banco!$H:$H,ROW())="","",INDEX(Banco!$H:$H,ROW()))</f>
        <v/>
      </c>
      <c r="I431">
        <f>IF($T431="","",INT($T431/12)&amp;"a "&amp;MOD($T431,12)&amp;"m")</f>
        <v/>
      </c>
      <c r="J431" s="11">
        <f>IF(OR($F431="",$G431=""),"",ROUND($F431/($G431/100)^2,2))</f>
        <v/>
      </c>
      <c r="K431" s="12">
        <f>IF(OR($S431="",$J431="",$T431="",$T431&lt;0,$T431&gt;228,$Y431=""),"—",ROUND(IF(ABS($AB431)&lt;=3,$AB431,IF($AB431&gt;3,3+($J431-$AD431)/($AD431-$AC431),-3+($J431-$AF431)/($AE431-$AF431))),2))</f>
        <v/>
      </c>
      <c r="L431">
        <f>IF(OR($K431="",$K431="—"),"",IF($T431&lt;=60,IF($K431&lt;-3,"Magreza acentuada",IF($K431&lt;-2,"Magreza",IF($K431&lt;=1,"Eutrofia",IF($K431&lt;=2,"Risco de sobrepeso",IF($K431&lt;=3,"Sobrepeso","Obesidade"))))),IF($K431&lt;-3,"Magreza acentuada",IF($K431&lt;-2,"Magreza",IF($K431&lt;=1,"Eutrofia",IF($K431&lt;=2,"Sobrepeso",IF($K431&lt;=3,"Obesidade","Obesidade grave")))))))</f>
        <v/>
      </c>
      <c r="M431" s="12">
        <f>IF(OR($S431="",$V431="",$T431="",$T431&lt;0,$T431&gt;228,$AG431=""),"—",ROUND(IF($AG431=0,LN($V431/$AH431)/$AI431,((($V431/$AH431)^$AG431)-1)/($AG431*$AI431)),2))</f>
        <v/>
      </c>
      <c r="N431">
        <f>IF(OR($M431="",$M431="—"),"",IF($M431&lt;-3,"Muito baixa",IF($M431&lt;-2,"Baixa","Adequada")))</f>
        <v/>
      </c>
      <c r="O431" s="12">
        <f>IF(OR($S431="",$F431="",$T431="",$T431&lt;0,$T431&gt;120,$AJ431=""),"—",ROUND(IF(ABS($AM431)&lt;=3,$AM431,IF($AM431&gt;3,3+($F431-$AO431)/($AO431-$AN431),-3+($F431-$AQ431)/($AP431-$AQ431))),2))</f>
        <v/>
      </c>
      <c r="P431">
        <f>IF(OR($O431="",$O431="—"),"",IF($O431&lt;-3,"Muito baixo",IF($O431&lt;-2,"Baixo",IF($O431&lt;=2,"Adequado","Elevado"))))</f>
        <v/>
      </c>
      <c r="Q431" s="12">
        <f>IF(OR($S431="",$F431="",$T431="",$T431&lt;0,$T431&gt;60,$AR431=""),"—",ROUND(IF(ABS($AU431)&lt;=3,$AU431,IF($AU431&gt;3,3+($F431-$AW431)/($AW431-$AV431),-3+($F431-$AY431)/($AX431-$AY431))),2))</f>
        <v/>
      </c>
      <c r="R431">
        <f>IF(OR($Q431="",$Q431="—"),"",IF($Q431&lt;-3,"Magreza acentuada",IF($Q431&lt;-2,"Magreza",IF($Q431&lt;=1,"Eutrofia",IF($Q431&lt;=2,"Risco de sobrepeso",IF($Q431&lt;=3,"Sobrepeso","Obesidade"))))))</f>
        <v/>
      </c>
      <c r="S431">
        <f>IF($C431="","",IF(UPPER(LEFT($C431,1))="M",1,IF(UPPER(LEFT($C431,1))="F",2,"")))</f>
        <v/>
      </c>
      <c r="T431">
        <f>IF(OR($D431="",$E431=""),"",DATEDIF($D431,$E431,"m"))</f>
        <v/>
      </c>
      <c r="U431">
        <f>IF(OR($D431="",$E431=""),"",$E431-$D431)</f>
        <v/>
      </c>
      <c r="V431">
        <f>IF(OR($G431="",$T431=""),"",IF($T431&lt;24,IF(LEFT(LOWER($H431),4)="em p",$G431+0.7,$G431),IF(LEFT(LOWER($H431),4)="deit",$G431-0.7,$G431)))</f>
        <v/>
      </c>
      <c r="W431">
        <f>IF(OR($S431="",$T431=""),"",$S431*1000000+IF($T431&lt;=60,$U431,$T431))</f>
        <v/>
      </c>
      <c r="X431">
        <f>IF(OR($S431="",$V431="",$T431&gt;60,$T431=""),"",$S431*1000000+ROUND($V431*10,0))</f>
        <v/>
      </c>
      <c r="Y431">
        <f>IF($W431="","",IFERROR(INDEX(IF($T431&lt;=60,imc05_l,imc519_l),MATCH($W431,IF($T431&lt;=60,imc05_k,imc519_k),1)),""))</f>
        <v/>
      </c>
      <c r="Z431">
        <f>IF($W431="","",IFERROR(INDEX(IF($T431&lt;=60,imc05_m,imc519_m),MATCH($W431,IF($T431&lt;=60,imc05_k,imc519_k),1)),""))</f>
        <v/>
      </c>
      <c r="AA431">
        <f>IF($W431="","",IFERROR(INDEX(IF($T431&lt;=60,imc05_s,imc519_s),MATCH($W431,IF($T431&lt;=60,imc05_k,imc519_k),1)),""))</f>
        <v/>
      </c>
      <c r="AB431">
        <f>IF($Y431="","",IF($Y431=0,LN($J431/$Z431)/$AA431,((($J431/$Z431)^$Y431)-1)/($Y431*$AA431)))</f>
        <v/>
      </c>
      <c r="AC431">
        <f>IF($Y431="","",IF($Y431=0,$Z431*EXP($AA431*2),$Z431*(1+$Y431*$AA431*2)^(1/$Y431)))</f>
        <v/>
      </c>
      <c r="AD431">
        <f>IF($Y431="","",IF($Y431=0,$Z431*EXP($AA431*3),$Z431*(1+$Y431*$AA431*3)^(1/$Y431)))</f>
        <v/>
      </c>
      <c r="AE431">
        <f>IF($Y431="","",IF($Y431=0,$Z431*EXP($AA431*-2),$Z431*(1+$Y431*$AA431*-2)^(1/$Y431)))</f>
        <v/>
      </c>
      <c r="AF431">
        <f>IF($Y431="","",IF($Y431=0,$Z431*EXP($AA431*-3),$Z431*(1+$Y431*$AA431*-3)^(1/$Y431)))</f>
        <v/>
      </c>
      <c r="AG431">
        <f>IF($W431="","",IFERROR(INDEX(IF($T431&lt;=60,est05_l,est519_l),MATCH($W431,IF($T431&lt;=60,est05_k,est519_k),1)),""))</f>
        <v/>
      </c>
      <c r="AH431">
        <f>IF($W431="","",IFERROR(INDEX(IF($T431&lt;=60,est05_m,est519_m),MATCH($W431,IF($T431&lt;=60,est05_k,est519_k),1)),""))</f>
        <v/>
      </c>
      <c r="AI431">
        <f>IF($W431="","",IFERROR(INDEX(IF($T431&lt;=60,est05_s,est519_s),MATCH($W431,IF($T431&lt;=60,est05_k,est519_k),1)),""))</f>
        <v/>
      </c>
      <c r="AJ431">
        <f>IF($W431="","",IFERROR(INDEX(IF($T431&lt;=60,peso05_l,peso510_l),MATCH($W431,IF($T431&lt;=60,peso05_k,peso510_k),1)),""))</f>
        <v/>
      </c>
      <c r="AK431">
        <f>IF($W431="","",IFERROR(INDEX(IF($T431&lt;=60,peso05_m,peso510_m),MATCH($W431,IF($T431&lt;=60,peso05_k,peso510_k),1)),""))</f>
        <v/>
      </c>
      <c r="AL431">
        <f>IF($W431="","",IFERROR(INDEX(IF($T431&lt;=60,peso05_s,peso510_s),MATCH($W431,IF($T431&lt;=60,peso05_k,peso510_k),1)),""))</f>
        <v/>
      </c>
      <c r="AM431">
        <f>IF($AJ431="","",IF($AJ431=0,LN($F431/$AK431)/$AL431,((($F431/$AK431)^$AJ431)-1)/($AJ431*$AL431)))</f>
        <v/>
      </c>
      <c r="AN431">
        <f>IF($AJ431="","",IF($AJ431=0,$AK431*EXP($AL431*2),$AK431*(1+$AJ431*$AL431*2)^(1/$AJ431)))</f>
        <v/>
      </c>
      <c r="AO431">
        <f>IF($AJ431="","",IF($AJ431=0,$AK431*EXP($AL431*3),$AK431*(1+$AJ431*$AL431*3)^(1/$AJ431)))</f>
        <v/>
      </c>
      <c r="AP431">
        <f>IF($AJ431="","",IF($AJ431=0,$AK431*EXP($AL431*-2),$AK431*(1+$AJ431*$AL431*-2)^(1/$AJ431)))</f>
        <v/>
      </c>
      <c r="AQ431">
        <f>IF($AJ431="","",IF($AJ431=0,$AK431*EXP($AL431*-3),$AK431*(1+$AJ431*$AL431*-3)^(1/$AJ431)))</f>
        <v/>
      </c>
      <c r="AR431">
        <f>IF(OR($X431="",$T431&gt;60),"",IFERROR(INDEX(IF($T431&lt;24,pcomp_l,palt_l),MATCH($X431,IF($T431&lt;24,pcomp_k,palt_k),1)),""))</f>
        <v/>
      </c>
      <c r="AS431">
        <f>IF(OR($X431="",$T431&gt;60),"",IFERROR(INDEX(IF($T431&lt;24,pcomp_m,palt_m),MATCH($X431,IF($T431&lt;24,pcomp_k,palt_k),1)),""))</f>
        <v/>
      </c>
      <c r="AT431">
        <f>IF(OR($X431="",$T431&gt;60),"",IFERROR(INDEX(IF($T431&lt;24,pcomp_s,palt_s),MATCH($X431,IF($T431&lt;24,pcomp_k,palt_k),1)),""))</f>
        <v/>
      </c>
      <c r="AU431">
        <f>IF($AR431="","",IF($AR431=0,LN($F431/$AS431)/$AT431,((($F431/$AS431)^$AR431)-1)/($AR431*$AT431)))</f>
        <v/>
      </c>
      <c r="AV431">
        <f>IF($AR431="","",IF($AR431=0,$AS431*EXP($AT431*2),$AS431*(1+$AR431*$AT431*2)^(1/$AR431)))</f>
        <v/>
      </c>
      <c r="AW431">
        <f>IF($AR431="","",IF($AR431=0,$AS431*EXP($AT431*3),$AS431*(1+$AR431*$AT431*3)^(1/$AR431)))</f>
        <v/>
      </c>
      <c r="AX431">
        <f>IF($AR431="","",IF($AR431=0,$AS431*EXP($AT431*-2),$AS431*(1+$AR431*$AT431*-2)^(1/$AR431)))</f>
        <v/>
      </c>
      <c r="AY431">
        <f>IF($AR431="","",IF($AR431=0,$AS431*EXP($AT431*-3),$AS431*(1+$AR431*$AT431*-3)^(1/$AR431)))</f>
        <v/>
      </c>
      <c r="AZ431">
        <f>IF(OR($A431="",$A431&lt;&gt;Ficha!$C$4),"",COUNTIF($A$2:$A431,Ficha!$C$4))</f>
        <v/>
      </c>
    </row>
    <row r="432">
      <c r="A432" s="8">
        <f>IF(INDEX(Banco!$A:$A,ROW())="","",INDEX(Banco!$A:$A,ROW()))</f>
        <v/>
      </c>
      <c r="B432" s="8">
        <f>IF(INDEX(Banco!$B:$B,ROW())="","",INDEX(Banco!$B:$B,ROW()))</f>
        <v/>
      </c>
      <c r="C432" s="8">
        <f>IF(INDEX(Banco!$C:$C,ROW())="","",INDEX(Banco!$C:$C,ROW()))</f>
        <v/>
      </c>
      <c r="D432" s="9">
        <f>IF(INDEX(Banco!$D:$D,ROW())="","",INDEX(Banco!$D:$D,ROW()))</f>
        <v/>
      </c>
      <c r="E432" s="9">
        <f>IF(INDEX(Banco!$E:$E,ROW())="","",INDEX(Banco!$E:$E,ROW()))</f>
        <v/>
      </c>
      <c r="F432" s="10">
        <f>IF(INDEX(Banco!$F:$F,ROW())="","",INDEX(Banco!$F:$F,ROW()))</f>
        <v/>
      </c>
      <c r="G432" s="10">
        <f>IF(INDEX(Banco!$G:$G,ROW())="","",INDEX(Banco!$G:$G,ROW()))</f>
        <v/>
      </c>
      <c r="H432" s="8">
        <f>IF(INDEX(Banco!$H:$H,ROW())="","",INDEX(Banco!$H:$H,ROW()))</f>
        <v/>
      </c>
      <c r="I432">
        <f>IF($T432="","",INT($T432/12)&amp;"a "&amp;MOD($T432,12)&amp;"m")</f>
        <v/>
      </c>
      <c r="J432" s="11">
        <f>IF(OR($F432="",$G432=""),"",ROUND($F432/($G432/100)^2,2))</f>
        <v/>
      </c>
      <c r="K432" s="12">
        <f>IF(OR($S432="",$J432="",$T432="",$T432&lt;0,$T432&gt;228,$Y432=""),"—",ROUND(IF(ABS($AB432)&lt;=3,$AB432,IF($AB432&gt;3,3+($J432-$AD432)/($AD432-$AC432),-3+($J432-$AF432)/($AE432-$AF432))),2))</f>
        <v/>
      </c>
      <c r="L432">
        <f>IF(OR($K432="",$K432="—"),"",IF($T432&lt;=60,IF($K432&lt;-3,"Magreza acentuada",IF($K432&lt;-2,"Magreza",IF($K432&lt;=1,"Eutrofia",IF($K432&lt;=2,"Risco de sobrepeso",IF($K432&lt;=3,"Sobrepeso","Obesidade"))))),IF($K432&lt;-3,"Magreza acentuada",IF($K432&lt;-2,"Magreza",IF($K432&lt;=1,"Eutrofia",IF($K432&lt;=2,"Sobrepeso",IF($K432&lt;=3,"Obesidade","Obesidade grave")))))))</f>
        <v/>
      </c>
      <c r="M432" s="12">
        <f>IF(OR($S432="",$V432="",$T432="",$T432&lt;0,$T432&gt;228,$AG432=""),"—",ROUND(IF($AG432=0,LN($V432/$AH432)/$AI432,((($V432/$AH432)^$AG432)-1)/($AG432*$AI432)),2))</f>
        <v/>
      </c>
      <c r="N432">
        <f>IF(OR($M432="",$M432="—"),"",IF($M432&lt;-3,"Muito baixa",IF($M432&lt;-2,"Baixa","Adequada")))</f>
        <v/>
      </c>
      <c r="O432" s="12">
        <f>IF(OR($S432="",$F432="",$T432="",$T432&lt;0,$T432&gt;120,$AJ432=""),"—",ROUND(IF(ABS($AM432)&lt;=3,$AM432,IF($AM432&gt;3,3+($F432-$AO432)/($AO432-$AN432),-3+($F432-$AQ432)/($AP432-$AQ432))),2))</f>
        <v/>
      </c>
      <c r="P432">
        <f>IF(OR($O432="",$O432="—"),"",IF($O432&lt;-3,"Muito baixo",IF($O432&lt;-2,"Baixo",IF($O432&lt;=2,"Adequado","Elevado"))))</f>
        <v/>
      </c>
      <c r="Q432" s="12">
        <f>IF(OR($S432="",$F432="",$T432="",$T432&lt;0,$T432&gt;60,$AR432=""),"—",ROUND(IF(ABS($AU432)&lt;=3,$AU432,IF($AU432&gt;3,3+($F432-$AW432)/($AW432-$AV432),-3+($F432-$AY432)/($AX432-$AY432))),2))</f>
        <v/>
      </c>
      <c r="R432">
        <f>IF(OR($Q432="",$Q432="—"),"",IF($Q432&lt;-3,"Magreza acentuada",IF($Q432&lt;-2,"Magreza",IF($Q432&lt;=1,"Eutrofia",IF($Q432&lt;=2,"Risco de sobrepeso",IF($Q432&lt;=3,"Sobrepeso","Obesidade"))))))</f>
        <v/>
      </c>
      <c r="S432">
        <f>IF($C432="","",IF(UPPER(LEFT($C432,1))="M",1,IF(UPPER(LEFT($C432,1))="F",2,"")))</f>
        <v/>
      </c>
      <c r="T432">
        <f>IF(OR($D432="",$E432=""),"",DATEDIF($D432,$E432,"m"))</f>
        <v/>
      </c>
      <c r="U432">
        <f>IF(OR($D432="",$E432=""),"",$E432-$D432)</f>
        <v/>
      </c>
      <c r="V432">
        <f>IF(OR($G432="",$T432=""),"",IF($T432&lt;24,IF(LEFT(LOWER($H432),4)="em p",$G432+0.7,$G432),IF(LEFT(LOWER($H432),4)="deit",$G432-0.7,$G432)))</f>
        <v/>
      </c>
      <c r="W432">
        <f>IF(OR($S432="",$T432=""),"",$S432*1000000+IF($T432&lt;=60,$U432,$T432))</f>
        <v/>
      </c>
      <c r="X432">
        <f>IF(OR($S432="",$V432="",$T432&gt;60,$T432=""),"",$S432*1000000+ROUND($V432*10,0))</f>
        <v/>
      </c>
      <c r="Y432">
        <f>IF($W432="","",IFERROR(INDEX(IF($T432&lt;=60,imc05_l,imc519_l),MATCH($W432,IF($T432&lt;=60,imc05_k,imc519_k),1)),""))</f>
        <v/>
      </c>
      <c r="Z432">
        <f>IF($W432="","",IFERROR(INDEX(IF($T432&lt;=60,imc05_m,imc519_m),MATCH($W432,IF($T432&lt;=60,imc05_k,imc519_k),1)),""))</f>
        <v/>
      </c>
      <c r="AA432">
        <f>IF($W432="","",IFERROR(INDEX(IF($T432&lt;=60,imc05_s,imc519_s),MATCH($W432,IF($T432&lt;=60,imc05_k,imc519_k),1)),""))</f>
        <v/>
      </c>
      <c r="AB432">
        <f>IF($Y432="","",IF($Y432=0,LN($J432/$Z432)/$AA432,((($J432/$Z432)^$Y432)-1)/($Y432*$AA432)))</f>
        <v/>
      </c>
      <c r="AC432">
        <f>IF($Y432="","",IF($Y432=0,$Z432*EXP($AA432*2),$Z432*(1+$Y432*$AA432*2)^(1/$Y432)))</f>
        <v/>
      </c>
      <c r="AD432">
        <f>IF($Y432="","",IF($Y432=0,$Z432*EXP($AA432*3),$Z432*(1+$Y432*$AA432*3)^(1/$Y432)))</f>
        <v/>
      </c>
      <c r="AE432">
        <f>IF($Y432="","",IF($Y432=0,$Z432*EXP($AA432*-2),$Z432*(1+$Y432*$AA432*-2)^(1/$Y432)))</f>
        <v/>
      </c>
      <c r="AF432">
        <f>IF($Y432="","",IF($Y432=0,$Z432*EXP($AA432*-3),$Z432*(1+$Y432*$AA432*-3)^(1/$Y432)))</f>
        <v/>
      </c>
      <c r="AG432">
        <f>IF($W432="","",IFERROR(INDEX(IF($T432&lt;=60,est05_l,est519_l),MATCH($W432,IF($T432&lt;=60,est05_k,est519_k),1)),""))</f>
        <v/>
      </c>
      <c r="AH432">
        <f>IF($W432="","",IFERROR(INDEX(IF($T432&lt;=60,est05_m,est519_m),MATCH($W432,IF($T432&lt;=60,est05_k,est519_k),1)),""))</f>
        <v/>
      </c>
      <c r="AI432">
        <f>IF($W432="","",IFERROR(INDEX(IF($T432&lt;=60,est05_s,est519_s),MATCH($W432,IF($T432&lt;=60,est05_k,est519_k),1)),""))</f>
        <v/>
      </c>
      <c r="AJ432">
        <f>IF($W432="","",IFERROR(INDEX(IF($T432&lt;=60,peso05_l,peso510_l),MATCH($W432,IF($T432&lt;=60,peso05_k,peso510_k),1)),""))</f>
        <v/>
      </c>
      <c r="AK432">
        <f>IF($W432="","",IFERROR(INDEX(IF($T432&lt;=60,peso05_m,peso510_m),MATCH($W432,IF($T432&lt;=60,peso05_k,peso510_k),1)),""))</f>
        <v/>
      </c>
      <c r="AL432">
        <f>IF($W432="","",IFERROR(INDEX(IF($T432&lt;=60,peso05_s,peso510_s),MATCH($W432,IF($T432&lt;=60,peso05_k,peso510_k),1)),""))</f>
        <v/>
      </c>
      <c r="AM432">
        <f>IF($AJ432="","",IF($AJ432=0,LN($F432/$AK432)/$AL432,((($F432/$AK432)^$AJ432)-1)/($AJ432*$AL432)))</f>
        <v/>
      </c>
      <c r="AN432">
        <f>IF($AJ432="","",IF($AJ432=0,$AK432*EXP($AL432*2),$AK432*(1+$AJ432*$AL432*2)^(1/$AJ432)))</f>
        <v/>
      </c>
      <c r="AO432">
        <f>IF($AJ432="","",IF($AJ432=0,$AK432*EXP($AL432*3),$AK432*(1+$AJ432*$AL432*3)^(1/$AJ432)))</f>
        <v/>
      </c>
      <c r="AP432">
        <f>IF($AJ432="","",IF($AJ432=0,$AK432*EXP($AL432*-2),$AK432*(1+$AJ432*$AL432*-2)^(1/$AJ432)))</f>
        <v/>
      </c>
      <c r="AQ432">
        <f>IF($AJ432="","",IF($AJ432=0,$AK432*EXP($AL432*-3),$AK432*(1+$AJ432*$AL432*-3)^(1/$AJ432)))</f>
        <v/>
      </c>
      <c r="AR432">
        <f>IF(OR($X432="",$T432&gt;60),"",IFERROR(INDEX(IF($T432&lt;24,pcomp_l,palt_l),MATCH($X432,IF($T432&lt;24,pcomp_k,palt_k),1)),""))</f>
        <v/>
      </c>
      <c r="AS432">
        <f>IF(OR($X432="",$T432&gt;60),"",IFERROR(INDEX(IF($T432&lt;24,pcomp_m,palt_m),MATCH($X432,IF($T432&lt;24,pcomp_k,palt_k),1)),""))</f>
        <v/>
      </c>
      <c r="AT432">
        <f>IF(OR($X432="",$T432&gt;60),"",IFERROR(INDEX(IF($T432&lt;24,pcomp_s,palt_s),MATCH($X432,IF($T432&lt;24,pcomp_k,palt_k),1)),""))</f>
        <v/>
      </c>
      <c r="AU432">
        <f>IF($AR432="","",IF($AR432=0,LN($F432/$AS432)/$AT432,((($F432/$AS432)^$AR432)-1)/($AR432*$AT432)))</f>
        <v/>
      </c>
      <c r="AV432">
        <f>IF($AR432="","",IF($AR432=0,$AS432*EXP($AT432*2),$AS432*(1+$AR432*$AT432*2)^(1/$AR432)))</f>
        <v/>
      </c>
      <c r="AW432">
        <f>IF($AR432="","",IF($AR432=0,$AS432*EXP($AT432*3),$AS432*(1+$AR432*$AT432*3)^(1/$AR432)))</f>
        <v/>
      </c>
      <c r="AX432">
        <f>IF($AR432="","",IF($AR432=0,$AS432*EXP($AT432*-2),$AS432*(1+$AR432*$AT432*-2)^(1/$AR432)))</f>
        <v/>
      </c>
      <c r="AY432">
        <f>IF($AR432="","",IF($AR432=0,$AS432*EXP($AT432*-3),$AS432*(1+$AR432*$AT432*-3)^(1/$AR432)))</f>
        <v/>
      </c>
      <c r="AZ432">
        <f>IF(OR($A432="",$A432&lt;&gt;Ficha!$C$4),"",COUNTIF($A$2:$A432,Ficha!$C$4))</f>
        <v/>
      </c>
    </row>
    <row r="433">
      <c r="A433" s="8">
        <f>IF(INDEX(Banco!$A:$A,ROW())="","",INDEX(Banco!$A:$A,ROW()))</f>
        <v/>
      </c>
      <c r="B433" s="8">
        <f>IF(INDEX(Banco!$B:$B,ROW())="","",INDEX(Banco!$B:$B,ROW()))</f>
        <v/>
      </c>
      <c r="C433" s="8">
        <f>IF(INDEX(Banco!$C:$C,ROW())="","",INDEX(Banco!$C:$C,ROW()))</f>
        <v/>
      </c>
      <c r="D433" s="9">
        <f>IF(INDEX(Banco!$D:$D,ROW())="","",INDEX(Banco!$D:$D,ROW()))</f>
        <v/>
      </c>
      <c r="E433" s="9">
        <f>IF(INDEX(Banco!$E:$E,ROW())="","",INDEX(Banco!$E:$E,ROW()))</f>
        <v/>
      </c>
      <c r="F433" s="10">
        <f>IF(INDEX(Banco!$F:$F,ROW())="","",INDEX(Banco!$F:$F,ROW()))</f>
        <v/>
      </c>
      <c r="G433" s="10">
        <f>IF(INDEX(Banco!$G:$G,ROW())="","",INDEX(Banco!$G:$G,ROW()))</f>
        <v/>
      </c>
      <c r="H433" s="8">
        <f>IF(INDEX(Banco!$H:$H,ROW())="","",INDEX(Banco!$H:$H,ROW()))</f>
        <v/>
      </c>
      <c r="I433">
        <f>IF($T433="","",INT($T433/12)&amp;"a "&amp;MOD($T433,12)&amp;"m")</f>
        <v/>
      </c>
      <c r="J433" s="11">
        <f>IF(OR($F433="",$G433=""),"",ROUND($F433/($G433/100)^2,2))</f>
        <v/>
      </c>
      <c r="K433" s="12">
        <f>IF(OR($S433="",$J433="",$T433="",$T433&lt;0,$T433&gt;228,$Y433=""),"—",ROUND(IF(ABS($AB433)&lt;=3,$AB433,IF($AB433&gt;3,3+($J433-$AD433)/($AD433-$AC433),-3+($J433-$AF433)/($AE433-$AF433))),2))</f>
        <v/>
      </c>
      <c r="L433">
        <f>IF(OR($K433="",$K433="—"),"",IF($T433&lt;=60,IF($K433&lt;-3,"Magreza acentuada",IF($K433&lt;-2,"Magreza",IF($K433&lt;=1,"Eutrofia",IF($K433&lt;=2,"Risco de sobrepeso",IF($K433&lt;=3,"Sobrepeso","Obesidade"))))),IF($K433&lt;-3,"Magreza acentuada",IF($K433&lt;-2,"Magreza",IF($K433&lt;=1,"Eutrofia",IF($K433&lt;=2,"Sobrepeso",IF($K433&lt;=3,"Obesidade","Obesidade grave")))))))</f>
        <v/>
      </c>
      <c r="M433" s="12">
        <f>IF(OR($S433="",$V433="",$T433="",$T433&lt;0,$T433&gt;228,$AG433=""),"—",ROUND(IF($AG433=0,LN($V433/$AH433)/$AI433,((($V433/$AH433)^$AG433)-1)/($AG433*$AI433)),2))</f>
        <v/>
      </c>
      <c r="N433">
        <f>IF(OR($M433="",$M433="—"),"",IF($M433&lt;-3,"Muito baixa",IF($M433&lt;-2,"Baixa","Adequada")))</f>
        <v/>
      </c>
      <c r="O433" s="12">
        <f>IF(OR($S433="",$F433="",$T433="",$T433&lt;0,$T433&gt;120,$AJ433=""),"—",ROUND(IF(ABS($AM433)&lt;=3,$AM433,IF($AM433&gt;3,3+($F433-$AO433)/($AO433-$AN433),-3+($F433-$AQ433)/($AP433-$AQ433))),2))</f>
        <v/>
      </c>
      <c r="P433">
        <f>IF(OR($O433="",$O433="—"),"",IF($O433&lt;-3,"Muito baixo",IF($O433&lt;-2,"Baixo",IF($O433&lt;=2,"Adequado","Elevado"))))</f>
        <v/>
      </c>
      <c r="Q433" s="12">
        <f>IF(OR($S433="",$F433="",$T433="",$T433&lt;0,$T433&gt;60,$AR433=""),"—",ROUND(IF(ABS($AU433)&lt;=3,$AU433,IF($AU433&gt;3,3+($F433-$AW433)/($AW433-$AV433),-3+($F433-$AY433)/($AX433-$AY433))),2))</f>
        <v/>
      </c>
      <c r="R433">
        <f>IF(OR($Q433="",$Q433="—"),"",IF($Q433&lt;-3,"Magreza acentuada",IF($Q433&lt;-2,"Magreza",IF($Q433&lt;=1,"Eutrofia",IF($Q433&lt;=2,"Risco de sobrepeso",IF($Q433&lt;=3,"Sobrepeso","Obesidade"))))))</f>
        <v/>
      </c>
      <c r="S433">
        <f>IF($C433="","",IF(UPPER(LEFT($C433,1))="M",1,IF(UPPER(LEFT($C433,1))="F",2,"")))</f>
        <v/>
      </c>
      <c r="T433">
        <f>IF(OR($D433="",$E433=""),"",DATEDIF($D433,$E433,"m"))</f>
        <v/>
      </c>
      <c r="U433">
        <f>IF(OR($D433="",$E433=""),"",$E433-$D433)</f>
        <v/>
      </c>
      <c r="V433">
        <f>IF(OR($G433="",$T433=""),"",IF($T433&lt;24,IF(LEFT(LOWER($H433),4)="em p",$G433+0.7,$G433),IF(LEFT(LOWER($H433),4)="deit",$G433-0.7,$G433)))</f>
        <v/>
      </c>
      <c r="W433">
        <f>IF(OR($S433="",$T433=""),"",$S433*1000000+IF($T433&lt;=60,$U433,$T433))</f>
        <v/>
      </c>
      <c r="X433">
        <f>IF(OR($S433="",$V433="",$T433&gt;60,$T433=""),"",$S433*1000000+ROUND($V433*10,0))</f>
        <v/>
      </c>
      <c r="Y433">
        <f>IF($W433="","",IFERROR(INDEX(IF($T433&lt;=60,imc05_l,imc519_l),MATCH($W433,IF($T433&lt;=60,imc05_k,imc519_k),1)),""))</f>
        <v/>
      </c>
      <c r="Z433">
        <f>IF($W433="","",IFERROR(INDEX(IF($T433&lt;=60,imc05_m,imc519_m),MATCH($W433,IF($T433&lt;=60,imc05_k,imc519_k),1)),""))</f>
        <v/>
      </c>
      <c r="AA433">
        <f>IF($W433="","",IFERROR(INDEX(IF($T433&lt;=60,imc05_s,imc519_s),MATCH($W433,IF($T433&lt;=60,imc05_k,imc519_k),1)),""))</f>
        <v/>
      </c>
      <c r="AB433">
        <f>IF($Y433="","",IF($Y433=0,LN($J433/$Z433)/$AA433,((($J433/$Z433)^$Y433)-1)/($Y433*$AA433)))</f>
        <v/>
      </c>
      <c r="AC433">
        <f>IF($Y433="","",IF($Y433=0,$Z433*EXP($AA433*2),$Z433*(1+$Y433*$AA433*2)^(1/$Y433)))</f>
        <v/>
      </c>
      <c r="AD433">
        <f>IF($Y433="","",IF($Y433=0,$Z433*EXP($AA433*3),$Z433*(1+$Y433*$AA433*3)^(1/$Y433)))</f>
        <v/>
      </c>
      <c r="AE433">
        <f>IF($Y433="","",IF($Y433=0,$Z433*EXP($AA433*-2),$Z433*(1+$Y433*$AA433*-2)^(1/$Y433)))</f>
        <v/>
      </c>
      <c r="AF433">
        <f>IF($Y433="","",IF($Y433=0,$Z433*EXP($AA433*-3),$Z433*(1+$Y433*$AA433*-3)^(1/$Y433)))</f>
        <v/>
      </c>
      <c r="AG433">
        <f>IF($W433="","",IFERROR(INDEX(IF($T433&lt;=60,est05_l,est519_l),MATCH($W433,IF($T433&lt;=60,est05_k,est519_k),1)),""))</f>
        <v/>
      </c>
      <c r="AH433">
        <f>IF($W433="","",IFERROR(INDEX(IF($T433&lt;=60,est05_m,est519_m),MATCH($W433,IF($T433&lt;=60,est05_k,est519_k),1)),""))</f>
        <v/>
      </c>
      <c r="AI433">
        <f>IF($W433="","",IFERROR(INDEX(IF($T433&lt;=60,est05_s,est519_s),MATCH($W433,IF($T433&lt;=60,est05_k,est519_k),1)),""))</f>
        <v/>
      </c>
      <c r="AJ433">
        <f>IF($W433="","",IFERROR(INDEX(IF($T433&lt;=60,peso05_l,peso510_l),MATCH($W433,IF($T433&lt;=60,peso05_k,peso510_k),1)),""))</f>
        <v/>
      </c>
      <c r="AK433">
        <f>IF($W433="","",IFERROR(INDEX(IF($T433&lt;=60,peso05_m,peso510_m),MATCH($W433,IF($T433&lt;=60,peso05_k,peso510_k),1)),""))</f>
        <v/>
      </c>
      <c r="AL433">
        <f>IF($W433="","",IFERROR(INDEX(IF($T433&lt;=60,peso05_s,peso510_s),MATCH($W433,IF($T433&lt;=60,peso05_k,peso510_k),1)),""))</f>
        <v/>
      </c>
      <c r="AM433">
        <f>IF($AJ433="","",IF($AJ433=0,LN($F433/$AK433)/$AL433,((($F433/$AK433)^$AJ433)-1)/($AJ433*$AL433)))</f>
        <v/>
      </c>
      <c r="AN433">
        <f>IF($AJ433="","",IF($AJ433=0,$AK433*EXP($AL433*2),$AK433*(1+$AJ433*$AL433*2)^(1/$AJ433)))</f>
        <v/>
      </c>
      <c r="AO433">
        <f>IF($AJ433="","",IF($AJ433=0,$AK433*EXP($AL433*3),$AK433*(1+$AJ433*$AL433*3)^(1/$AJ433)))</f>
        <v/>
      </c>
      <c r="AP433">
        <f>IF($AJ433="","",IF($AJ433=0,$AK433*EXP($AL433*-2),$AK433*(1+$AJ433*$AL433*-2)^(1/$AJ433)))</f>
        <v/>
      </c>
      <c r="AQ433">
        <f>IF($AJ433="","",IF($AJ433=0,$AK433*EXP($AL433*-3),$AK433*(1+$AJ433*$AL433*-3)^(1/$AJ433)))</f>
        <v/>
      </c>
      <c r="AR433">
        <f>IF(OR($X433="",$T433&gt;60),"",IFERROR(INDEX(IF($T433&lt;24,pcomp_l,palt_l),MATCH($X433,IF($T433&lt;24,pcomp_k,palt_k),1)),""))</f>
        <v/>
      </c>
      <c r="AS433">
        <f>IF(OR($X433="",$T433&gt;60),"",IFERROR(INDEX(IF($T433&lt;24,pcomp_m,palt_m),MATCH($X433,IF($T433&lt;24,pcomp_k,palt_k),1)),""))</f>
        <v/>
      </c>
      <c r="AT433">
        <f>IF(OR($X433="",$T433&gt;60),"",IFERROR(INDEX(IF($T433&lt;24,pcomp_s,palt_s),MATCH($X433,IF($T433&lt;24,pcomp_k,palt_k),1)),""))</f>
        <v/>
      </c>
      <c r="AU433">
        <f>IF($AR433="","",IF($AR433=0,LN($F433/$AS433)/$AT433,((($F433/$AS433)^$AR433)-1)/($AR433*$AT433)))</f>
        <v/>
      </c>
      <c r="AV433">
        <f>IF($AR433="","",IF($AR433=0,$AS433*EXP($AT433*2),$AS433*(1+$AR433*$AT433*2)^(1/$AR433)))</f>
        <v/>
      </c>
      <c r="AW433">
        <f>IF($AR433="","",IF($AR433=0,$AS433*EXP($AT433*3),$AS433*(1+$AR433*$AT433*3)^(1/$AR433)))</f>
        <v/>
      </c>
      <c r="AX433">
        <f>IF($AR433="","",IF($AR433=0,$AS433*EXP($AT433*-2),$AS433*(1+$AR433*$AT433*-2)^(1/$AR433)))</f>
        <v/>
      </c>
      <c r="AY433">
        <f>IF($AR433="","",IF($AR433=0,$AS433*EXP($AT433*-3),$AS433*(1+$AR433*$AT433*-3)^(1/$AR433)))</f>
        <v/>
      </c>
      <c r="AZ433">
        <f>IF(OR($A433="",$A433&lt;&gt;Ficha!$C$4),"",COUNTIF($A$2:$A433,Ficha!$C$4))</f>
        <v/>
      </c>
    </row>
    <row r="434">
      <c r="A434" s="8">
        <f>IF(INDEX(Banco!$A:$A,ROW())="","",INDEX(Banco!$A:$A,ROW()))</f>
        <v/>
      </c>
      <c r="B434" s="8">
        <f>IF(INDEX(Banco!$B:$B,ROW())="","",INDEX(Banco!$B:$B,ROW()))</f>
        <v/>
      </c>
      <c r="C434" s="8">
        <f>IF(INDEX(Banco!$C:$C,ROW())="","",INDEX(Banco!$C:$C,ROW()))</f>
        <v/>
      </c>
      <c r="D434" s="9">
        <f>IF(INDEX(Banco!$D:$D,ROW())="","",INDEX(Banco!$D:$D,ROW()))</f>
        <v/>
      </c>
      <c r="E434" s="9">
        <f>IF(INDEX(Banco!$E:$E,ROW())="","",INDEX(Banco!$E:$E,ROW()))</f>
        <v/>
      </c>
      <c r="F434" s="10">
        <f>IF(INDEX(Banco!$F:$F,ROW())="","",INDEX(Banco!$F:$F,ROW()))</f>
        <v/>
      </c>
      <c r="G434" s="10">
        <f>IF(INDEX(Banco!$G:$G,ROW())="","",INDEX(Banco!$G:$G,ROW()))</f>
        <v/>
      </c>
      <c r="H434" s="8">
        <f>IF(INDEX(Banco!$H:$H,ROW())="","",INDEX(Banco!$H:$H,ROW()))</f>
        <v/>
      </c>
      <c r="I434">
        <f>IF($T434="","",INT($T434/12)&amp;"a "&amp;MOD($T434,12)&amp;"m")</f>
        <v/>
      </c>
      <c r="J434" s="11">
        <f>IF(OR($F434="",$G434=""),"",ROUND($F434/($G434/100)^2,2))</f>
        <v/>
      </c>
      <c r="K434" s="12">
        <f>IF(OR($S434="",$J434="",$T434="",$T434&lt;0,$T434&gt;228,$Y434=""),"—",ROUND(IF(ABS($AB434)&lt;=3,$AB434,IF($AB434&gt;3,3+($J434-$AD434)/($AD434-$AC434),-3+($J434-$AF434)/($AE434-$AF434))),2))</f>
        <v/>
      </c>
      <c r="L434">
        <f>IF(OR($K434="",$K434="—"),"",IF($T434&lt;=60,IF($K434&lt;-3,"Magreza acentuada",IF($K434&lt;-2,"Magreza",IF($K434&lt;=1,"Eutrofia",IF($K434&lt;=2,"Risco de sobrepeso",IF($K434&lt;=3,"Sobrepeso","Obesidade"))))),IF($K434&lt;-3,"Magreza acentuada",IF($K434&lt;-2,"Magreza",IF($K434&lt;=1,"Eutrofia",IF($K434&lt;=2,"Sobrepeso",IF($K434&lt;=3,"Obesidade","Obesidade grave")))))))</f>
        <v/>
      </c>
      <c r="M434" s="12">
        <f>IF(OR($S434="",$V434="",$T434="",$T434&lt;0,$T434&gt;228,$AG434=""),"—",ROUND(IF($AG434=0,LN($V434/$AH434)/$AI434,((($V434/$AH434)^$AG434)-1)/($AG434*$AI434)),2))</f>
        <v/>
      </c>
      <c r="N434">
        <f>IF(OR($M434="",$M434="—"),"",IF($M434&lt;-3,"Muito baixa",IF($M434&lt;-2,"Baixa","Adequada")))</f>
        <v/>
      </c>
      <c r="O434" s="12">
        <f>IF(OR($S434="",$F434="",$T434="",$T434&lt;0,$T434&gt;120,$AJ434=""),"—",ROUND(IF(ABS($AM434)&lt;=3,$AM434,IF($AM434&gt;3,3+($F434-$AO434)/($AO434-$AN434),-3+($F434-$AQ434)/($AP434-$AQ434))),2))</f>
        <v/>
      </c>
      <c r="P434">
        <f>IF(OR($O434="",$O434="—"),"",IF($O434&lt;-3,"Muito baixo",IF($O434&lt;-2,"Baixo",IF($O434&lt;=2,"Adequado","Elevado"))))</f>
        <v/>
      </c>
      <c r="Q434" s="12">
        <f>IF(OR($S434="",$F434="",$T434="",$T434&lt;0,$T434&gt;60,$AR434=""),"—",ROUND(IF(ABS($AU434)&lt;=3,$AU434,IF($AU434&gt;3,3+($F434-$AW434)/($AW434-$AV434),-3+($F434-$AY434)/($AX434-$AY434))),2))</f>
        <v/>
      </c>
      <c r="R434">
        <f>IF(OR($Q434="",$Q434="—"),"",IF($Q434&lt;-3,"Magreza acentuada",IF($Q434&lt;-2,"Magreza",IF($Q434&lt;=1,"Eutrofia",IF($Q434&lt;=2,"Risco de sobrepeso",IF($Q434&lt;=3,"Sobrepeso","Obesidade"))))))</f>
        <v/>
      </c>
      <c r="S434">
        <f>IF($C434="","",IF(UPPER(LEFT($C434,1))="M",1,IF(UPPER(LEFT($C434,1))="F",2,"")))</f>
        <v/>
      </c>
      <c r="T434">
        <f>IF(OR($D434="",$E434=""),"",DATEDIF($D434,$E434,"m"))</f>
        <v/>
      </c>
      <c r="U434">
        <f>IF(OR($D434="",$E434=""),"",$E434-$D434)</f>
        <v/>
      </c>
      <c r="V434">
        <f>IF(OR($G434="",$T434=""),"",IF($T434&lt;24,IF(LEFT(LOWER($H434),4)="em p",$G434+0.7,$G434),IF(LEFT(LOWER($H434),4)="deit",$G434-0.7,$G434)))</f>
        <v/>
      </c>
      <c r="W434">
        <f>IF(OR($S434="",$T434=""),"",$S434*1000000+IF($T434&lt;=60,$U434,$T434))</f>
        <v/>
      </c>
      <c r="X434">
        <f>IF(OR($S434="",$V434="",$T434&gt;60,$T434=""),"",$S434*1000000+ROUND($V434*10,0))</f>
        <v/>
      </c>
      <c r="Y434">
        <f>IF($W434="","",IFERROR(INDEX(IF($T434&lt;=60,imc05_l,imc519_l),MATCH($W434,IF($T434&lt;=60,imc05_k,imc519_k),1)),""))</f>
        <v/>
      </c>
      <c r="Z434">
        <f>IF($W434="","",IFERROR(INDEX(IF($T434&lt;=60,imc05_m,imc519_m),MATCH($W434,IF($T434&lt;=60,imc05_k,imc519_k),1)),""))</f>
        <v/>
      </c>
      <c r="AA434">
        <f>IF($W434="","",IFERROR(INDEX(IF($T434&lt;=60,imc05_s,imc519_s),MATCH($W434,IF($T434&lt;=60,imc05_k,imc519_k),1)),""))</f>
        <v/>
      </c>
      <c r="AB434">
        <f>IF($Y434="","",IF($Y434=0,LN($J434/$Z434)/$AA434,((($J434/$Z434)^$Y434)-1)/($Y434*$AA434)))</f>
        <v/>
      </c>
      <c r="AC434">
        <f>IF($Y434="","",IF($Y434=0,$Z434*EXP($AA434*2),$Z434*(1+$Y434*$AA434*2)^(1/$Y434)))</f>
        <v/>
      </c>
      <c r="AD434">
        <f>IF($Y434="","",IF($Y434=0,$Z434*EXP($AA434*3),$Z434*(1+$Y434*$AA434*3)^(1/$Y434)))</f>
        <v/>
      </c>
      <c r="AE434">
        <f>IF($Y434="","",IF($Y434=0,$Z434*EXP($AA434*-2),$Z434*(1+$Y434*$AA434*-2)^(1/$Y434)))</f>
        <v/>
      </c>
      <c r="AF434">
        <f>IF($Y434="","",IF($Y434=0,$Z434*EXP($AA434*-3),$Z434*(1+$Y434*$AA434*-3)^(1/$Y434)))</f>
        <v/>
      </c>
      <c r="AG434">
        <f>IF($W434="","",IFERROR(INDEX(IF($T434&lt;=60,est05_l,est519_l),MATCH($W434,IF($T434&lt;=60,est05_k,est519_k),1)),""))</f>
        <v/>
      </c>
      <c r="AH434">
        <f>IF($W434="","",IFERROR(INDEX(IF($T434&lt;=60,est05_m,est519_m),MATCH($W434,IF($T434&lt;=60,est05_k,est519_k),1)),""))</f>
        <v/>
      </c>
      <c r="AI434">
        <f>IF($W434="","",IFERROR(INDEX(IF($T434&lt;=60,est05_s,est519_s),MATCH($W434,IF($T434&lt;=60,est05_k,est519_k),1)),""))</f>
        <v/>
      </c>
      <c r="AJ434">
        <f>IF($W434="","",IFERROR(INDEX(IF($T434&lt;=60,peso05_l,peso510_l),MATCH($W434,IF($T434&lt;=60,peso05_k,peso510_k),1)),""))</f>
        <v/>
      </c>
      <c r="AK434">
        <f>IF($W434="","",IFERROR(INDEX(IF($T434&lt;=60,peso05_m,peso510_m),MATCH($W434,IF($T434&lt;=60,peso05_k,peso510_k),1)),""))</f>
        <v/>
      </c>
      <c r="AL434">
        <f>IF($W434="","",IFERROR(INDEX(IF($T434&lt;=60,peso05_s,peso510_s),MATCH($W434,IF($T434&lt;=60,peso05_k,peso510_k),1)),""))</f>
        <v/>
      </c>
      <c r="AM434">
        <f>IF($AJ434="","",IF($AJ434=0,LN($F434/$AK434)/$AL434,((($F434/$AK434)^$AJ434)-1)/($AJ434*$AL434)))</f>
        <v/>
      </c>
      <c r="AN434">
        <f>IF($AJ434="","",IF($AJ434=0,$AK434*EXP($AL434*2),$AK434*(1+$AJ434*$AL434*2)^(1/$AJ434)))</f>
        <v/>
      </c>
      <c r="AO434">
        <f>IF($AJ434="","",IF($AJ434=0,$AK434*EXP($AL434*3),$AK434*(1+$AJ434*$AL434*3)^(1/$AJ434)))</f>
        <v/>
      </c>
      <c r="AP434">
        <f>IF($AJ434="","",IF($AJ434=0,$AK434*EXP($AL434*-2),$AK434*(1+$AJ434*$AL434*-2)^(1/$AJ434)))</f>
        <v/>
      </c>
      <c r="AQ434">
        <f>IF($AJ434="","",IF($AJ434=0,$AK434*EXP($AL434*-3),$AK434*(1+$AJ434*$AL434*-3)^(1/$AJ434)))</f>
        <v/>
      </c>
      <c r="AR434">
        <f>IF(OR($X434="",$T434&gt;60),"",IFERROR(INDEX(IF($T434&lt;24,pcomp_l,palt_l),MATCH($X434,IF($T434&lt;24,pcomp_k,palt_k),1)),""))</f>
        <v/>
      </c>
      <c r="AS434">
        <f>IF(OR($X434="",$T434&gt;60),"",IFERROR(INDEX(IF($T434&lt;24,pcomp_m,palt_m),MATCH($X434,IF($T434&lt;24,pcomp_k,palt_k),1)),""))</f>
        <v/>
      </c>
      <c r="AT434">
        <f>IF(OR($X434="",$T434&gt;60),"",IFERROR(INDEX(IF($T434&lt;24,pcomp_s,palt_s),MATCH($X434,IF($T434&lt;24,pcomp_k,palt_k),1)),""))</f>
        <v/>
      </c>
      <c r="AU434">
        <f>IF($AR434="","",IF($AR434=0,LN($F434/$AS434)/$AT434,((($F434/$AS434)^$AR434)-1)/($AR434*$AT434)))</f>
        <v/>
      </c>
      <c r="AV434">
        <f>IF($AR434="","",IF($AR434=0,$AS434*EXP($AT434*2),$AS434*(1+$AR434*$AT434*2)^(1/$AR434)))</f>
        <v/>
      </c>
      <c r="AW434">
        <f>IF($AR434="","",IF($AR434=0,$AS434*EXP($AT434*3),$AS434*(1+$AR434*$AT434*3)^(1/$AR434)))</f>
        <v/>
      </c>
      <c r="AX434">
        <f>IF($AR434="","",IF($AR434=0,$AS434*EXP($AT434*-2),$AS434*(1+$AR434*$AT434*-2)^(1/$AR434)))</f>
        <v/>
      </c>
      <c r="AY434">
        <f>IF($AR434="","",IF($AR434=0,$AS434*EXP($AT434*-3),$AS434*(1+$AR434*$AT434*-3)^(1/$AR434)))</f>
        <v/>
      </c>
      <c r="AZ434">
        <f>IF(OR($A434="",$A434&lt;&gt;Ficha!$C$4),"",COUNTIF($A$2:$A434,Ficha!$C$4))</f>
        <v/>
      </c>
    </row>
    <row r="435">
      <c r="A435" s="8">
        <f>IF(INDEX(Banco!$A:$A,ROW())="","",INDEX(Banco!$A:$A,ROW()))</f>
        <v/>
      </c>
      <c r="B435" s="8">
        <f>IF(INDEX(Banco!$B:$B,ROW())="","",INDEX(Banco!$B:$B,ROW()))</f>
        <v/>
      </c>
      <c r="C435" s="8">
        <f>IF(INDEX(Banco!$C:$C,ROW())="","",INDEX(Banco!$C:$C,ROW()))</f>
        <v/>
      </c>
      <c r="D435" s="9">
        <f>IF(INDEX(Banco!$D:$D,ROW())="","",INDEX(Banco!$D:$D,ROW()))</f>
        <v/>
      </c>
      <c r="E435" s="9">
        <f>IF(INDEX(Banco!$E:$E,ROW())="","",INDEX(Banco!$E:$E,ROW()))</f>
        <v/>
      </c>
      <c r="F435" s="10">
        <f>IF(INDEX(Banco!$F:$F,ROW())="","",INDEX(Banco!$F:$F,ROW()))</f>
        <v/>
      </c>
      <c r="G435" s="10">
        <f>IF(INDEX(Banco!$G:$G,ROW())="","",INDEX(Banco!$G:$G,ROW()))</f>
        <v/>
      </c>
      <c r="H435" s="8">
        <f>IF(INDEX(Banco!$H:$H,ROW())="","",INDEX(Banco!$H:$H,ROW()))</f>
        <v/>
      </c>
      <c r="I435">
        <f>IF($T435="","",INT($T435/12)&amp;"a "&amp;MOD($T435,12)&amp;"m")</f>
        <v/>
      </c>
      <c r="J435" s="11">
        <f>IF(OR($F435="",$G435=""),"",ROUND($F435/($G435/100)^2,2))</f>
        <v/>
      </c>
      <c r="K435" s="12">
        <f>IF(OR($S435="",$J435="",$T435="",$T435&lt;0,$T435&gt;228,$Y435=""),"—",ROUND(IF(ABS($AB435)&lt;=3,$AB435,IF($AB435&gt;3,3+($J435-$AD435)/($AD435-$AC435),-3+($J435-$AF435)/($AE435-$AF435))),2))</f>
        <v/>
      </c>
      <c r="L435">
        <f>IF(OR($K435="",$K435="—"),"",IF($T435&lt;=60,IF($K435&lt;-3,"Magreza acentuada",IF($K435&lt;-2,"Magreza",IF($K435&lt;=1,"Eutrofia",IF($K435&lt;=2,"Risco de sobrepeso",IF($K435&lt;=3,"Sobrepeso","Obesidade"))))),IF($K435&lt;-3,"Magreza acentuada",IF($K435&lt;-2,"Magreza",IF($K435&lt;=1,"Eutrofia",IF($K435&lt;=2,"Sobrepeso",IF($K435&lt;=3,"Obesidade","Obesidade grave")))))))</f>
        <v/>
      </c>
      <c r="M435" s="12">
        <f>IF(OR($S435="",$V435="",$T435="",$T435&lt;0,$T435&gt;228,$AG435=""),"—",ROUND(IF($AG435=0,LN($V435/$AH435)/$AI435,((($V435/$AH435)^$AG435)-1)/($AG435*$AI435)),2))</f>
        <v/>
      </c>
      <c r="N435">
        <f>IF(OR($M435="",$M435="—"),"",IF($M435&lt;-3,"Muito baixa",IF($M435&lt;-2,"Baixa","Adequada")))</f>
        <v/>
      </c>
      <c r="O435" s="12">
        <f>IF(OR($S435="",$F435="",$T435="",$T435&lt;0,$T435&gt;120,$AJ435=""),"—",ROUND(IF(ABS($AM435)&lt;=3,$AM435,IF($AM435&gt;3,3+($F435-$AO435)/($AO435-$AN435),-3+($F435-$AQ435)/($AP435-$AQ435))),2))</f>
        <v/>
      </c>
      <c r="P435">
        <f>IF(OR($O435="",$O435="—"),"",IF($O435&lt;-3,"Muito baixo",IF($O435&lt;-2,"Baixo",IF($O435&lt;=2,"Adequado","Elevado"))))</f>
        <v/>
      </c>
      <c r="Q435" s="12">
        <f>IF(OR($S435="",$F435="",$T435="",$T435&lt;0,$T435&gt;60,$AR435=""),"—",ROUND(IF(ABS($AU435)&lt;=3,$AU435,IF($AU435&gt;3,3+($F435-$AW435)/($AW435-$AV435),-3+($F435-$AY435)/($AX435-$AY435))),2))</f>
        <v/>
      </c>
      <c r="R435">
        <f>IF(OR($Q435="",$Q435="—"),"",IF($Q435&lt;-3,"Magreza acentuada",IF($Q435&lt;-2,"Magreza",IF($Q435&lt;=1,"Eutrofia",IF($Q435&lt;=2,"Risco de sobrepeso",IF($Q435&lt;=3,"Sobrepeso","Obesidade"))))))</f>
        <v/>
      </c>
      <c r="S435">
        <f>IF($C435="","",IF(UPPER(LEFT($C435,1))="M",1,IF(UPPER(LEFT($C435,1))="F",2,"")))</f>
        <v/>
      </c>
      <c r="T435">
        <f>IF(OR($D435="",$E435=""),"",DATEDIF($D435,$E435,"m"))</f>
        <v/>
      </c>
      <c r="U435">
        <f>IF(OR($D435="",$E435=""),"",$E435-$D435)</f>
        <v/>
      </c>
      <c r="V435">
        <f>IF(OR($G435="",$T435=""),"",IF($T435&lt;24,IF(LEFT(LOWER($H435),4)="em p",$G435+0.7,$G435),IF(LEFT(LOWER($H435),4)="deit",$G435-0.7,$G435)))</f>
        <v/>
      </c>
      <c r="W435">
        <f>IF(OR($S435="",$T435=""),"",$S435*1000000+IF($T435&lt;=60,$U435,$T435))</f>
        <v/>
      </c>
      <c r="X435">
        <f>IF(OR($S435="",$V435="",$T435&gt;60,$T435=""),"",$S435*1000000+ROUND($V435*10,0))</f>
        <v/>
      </c>
      <c r="Y435">
        <f>IF($W435="","",IFERROR(INDEX(IF($T435&lt;=60,imc05_l,imc519_l),MATCH($W435,IF($T435&lt;=60,imc05_k,imc519_k),1)),""))</f>
        <v/>
      </c>
      <c r="Z435">
        <f>IF($W435="","",IFERROR(INDEX(IF($T435&lt;=60,imc05_m,imc519_m),MATCH($W435,IF($T435&lt;=60,imc05_k,imc519_k),1)),""))</f>
        <v/>
      </c>
      <c r="AA435">
        <f>IF($W435="","",IFERROR(INDEX(IF($T435&lt;=60,imc05_s,imc519_s),MATCH($W435,IF($T435&lt;=60,imc05_k,imc519_k),1)),""))</f>
        <v/>
      </c>
      <c r="AB435">
        <f>IF($Y435="","",IF($Y435=0,LN($J435/$Z435)/$AA435,((($J435/$Z435)^$Y435)-1)/($Y435*$AA435)))</f>
        <v/>
      </c>
      <c r="AC435">
        <f>IF($Y435="","",IF($Y435=0,$Z435*EXP($AA435*2),$Z435*(1+$Y435*$AA435*2)^(1/$Y435)))</f>
        <v/>
      </c>
      <c r="AD435">
        <f>IF($Y435="","",IF($Y435=0,$Z435*EXP($AA435*3),$Z435*(1+$Y435*$AA435*3)^(1/$Y435)))</f>
        <v/>
      </c>
      <c r="AE435">
        <f>IF($Y435="","",IF($Y435=0,$Z435*EXP($AA435*-2),$Z435*(1+$Y435*$AA435*-2)^(1/$Y435)))</f>
        <v/>
      </c>
      <c r="AF435">
        <f>IF($Y435="","",IF($Y435=0,$Z435*EXP($AA435*-3),$Z435*(1+$Y435*$AA435*-3)^(1/$Y435)))</f>
        <v/>
      </c>
      <c r="AG435">
        <f>IF($W435="","",IFERROR(INDEX(IF($T435&lt;=60,est05_l,est519_l),MATCH($W435,IF($T435&lt;=60,est05_k,est519_k),1)),""))</f>
        <v/>
      </c>
      <c r="AH435">
        <f>IF($W435="","",IFERROR(INDEX(IF($T435&lt;=60,est05_m,est519_m),MATCH($W435,IF($T435&lt;=60,est05_k,est519_k),1)),""))</f>
        <v/>
      </c>
      <c r="AI435">
        <f>IF($W435="","",IFERROR(INDEX(IF($T435&lt;=60,est05_s,est519_s),MATCH($W435,IF($T435&lt;=60,est05_k,est519_k),1)),""))</f>
        <v/>
      </c>
      <c r="AJ435">
        <f>IF($W435="","",IFERROR(INDEX(IF($T435&lt;=60,peso05_l,peso510_l),MATCH($W435,IF($T435&lt;=60,peso05_k,peso510_k),1)),""))</f>
        <v/>
      </c>
      <c r="AK435">
        <f>IF($W435="","",IFERROR(INDEX(IF($T435&lt;=60,peso05_m,peso510_m),MATCH($W435,IF($T435&lt;=60,peso05_k,peso510_k),1)),""))</f>
        <v/>
      </c>
      <c r="AL435">
        <f>IF($W435="","",IFERROR(INDEX(IF($T435&lt;=60,peso05_s,peso510_s),MATCH($W435,IF($T435&lt;=60,peso05_k,peso510_k),1)),""))</f>
        <v/>
      </c>
      <c r="AM435">
        <f>IF($AJ435="","",IF($AJ435=0,LN($F435/$AK435)/$AL435,((($F435/$AK435)^$AJ435)-1)/($AJ435*$AL435)))</f>
        <v/>
      </c>
      <c r="AN435">
        <f>IF($AJ435="","",IF($AJ435=0,$AK435*EXP($AL435*2),$AK435*(1+$AJ435*$AL435*2)^(1/$AJ435)))</f>
        <v/>
      </c>
      <c r="AO435">
        <f>IF($AJ435="","",IF($AJ435=0,$AK435*EXP($AL435*3),$AK435*(1+$AJ435*$AL435*3)^(1/$AJ435)))</f>
        <v/>
      </c>
      <c r="AP435">
        <f>IF($AJ435="","",IF($AJ435=0,$AK435*EXP($AL435*-2),$AK435*(1+$AJ435*$AL435*-2)^(1/$AJ435)))</f>
        <v/>
      </c>
      <c r="AQ435">
        <f>IF($AJ435="","",IF($AJ435=0,$AK435*EXP($AL435*-3),$AK435*(1+$AJ435*$AL435*-3)^(1/$AJ435)))</f>
        <v/>
      </c>
      <c r="AR435">
        <f>IF(OR($X435="",$T435&gt;60),"",IFERROR(INDEX(IF($T435&lt;24,pcomp_l,palt_l),MATCH($X435,IF($T435&lt;24,pcomp_k,palt_k),1)),""))</f>
        <v/>
      </c>
      <c r="AS435">
        <f>IF(OR($X435="",$T435&gt;60),"",IFERROR(INDEX(IF($T435&lt;24,pcomp_m,palt_m),MATCH($X435,IF($T435&lt;24,pcomp_k,palt_k),1)),""))</f>
        <v/>
      </c>
      <c r="AT435">
        <f>IF(OR($X435="",$T435&gt;60),"",IFERROR(INDEX(IF($T435&lt;24,pcomp_s,palt_s),MATCH($X435,IF($T435&lt;24,pcomp_k,palt_k),1)),""))</f>
        <v/>
      </c>
      <c r="AU435">
        <f>IF($AR435="","",IF($AR435=0,LN($F435/$AS435)/$AT435,((($F435/$AS435)^$AR435)-1)/($AR435*$AT435)))</f>
        <v/>
      </c>
      <c r="AV435">
        <f>IF($AR435="","",IF($AR435=0,$AS435*EXP($AT435*2),$AS435*(1+$AR435*$AT435*2)^(1/$AR435)))</f>
        <v/>
      </c>
      <c r="AW435">
        <f>IF($AR435="","",IF($AR435=0,$AS435*EXP($AT435*3),$AS435*(1+$AR435*$AT435*3)^(1/$AR435)))</f>
        <v/>
      </c>
      <c r="AX435">
        <f>IF($AR435="","",IF($AR435=0,$AS435*EXP($AT435*-2),$AS435*(1+$AR435*$AT435*-2)^(1/$AR435)))</f>
        <v/>
      </c>
      <c r="AY435">
        <f>IF($AR435="","",IF($AR435=0,$AS435*EXP($AT435*-3),$AS435*(1+$AR435*$AT435*-3)^(1/$AR435)))</f>
        <v/>
      </c>
      <c r="AZ435">
        <f>IF(OR($A435="",$A435&lt;&gt;Ficha!$C$4),"",COUNTIF($A$2:$A435,Ficha!$C$4))</f>
        <v/>
      </c>
    </row>
    <row r="436">
      <c r="A436" s="8">
        <f>IF(INDEX(Banco!$A:$A,ROW())="","",INDEX(Banco!$A:$A,ROW()))</f>
        <v/>
      </c>
      <c r="B436" s="8">
        <f>IF(INDEX(Banco!$B:$B,ROW())="","",INDEX(Banco!$B:$B,ROW()))</f>
        <v/>
      </c>
      <c r="C436" s="8">
        <f>IF(INDEX(Banco!$C:$C,ROW())="","",INDEX(Banco!$C:$C,ROW()))</f>
        <v/>
      </c>
      <c r="D436" s="9">
        <f>IF(INDEX(Banco!$D:$D,ROW())="","",INDEX(Banco!$D:$D,ROW()))</f>
        <v/>
      </c>
      <c r="E436" s="9">
        <f>IF(INDEX(Banco!$E:$E,ROW())="","",INDEX(Banco!$E:$E,ROW()))</f>
        <v/>
      </c>
      <c r="F436" s="10">
        <f>IF(INDEX(Banco!$F:$F,ROW())="","",INDEX(Banco!$F:$F,ROW()))</f>
        <v/>
      </c>
      <c r="G436" s="10">
        <f>IF(INDEX(Banco!$G:$G,ROW())="","",INDEX(Banco!$G:$G,ROW()))</f>
        <v/>
      </c>
      <c r="H436" s="8">
        <f>IF(INDEX(Banco!$H:$H,ROW())="","",INDEX(Banco!$H:$H,ROW()))</f>
        <v/>
      </c>
      <c r="I436">
        <f>IF($T436="","",INT($T436/12)&amp;"a "&amp;MOD($T436,12)&amp;"m")</f>
        <v/>
      </c>
      <c r="J436" s="11">
        <f>IF(OR($F436="",$G436=""),"",ROUND($F436/($G436/100)^2,2))</f>
        <v/>
      </c>
      <c r="K436" s="12">
        <f>IF(OR($S436="",$J436="",$T436="",$T436&lt;0,$T436&gt;228,$Y436=""),"—",ROUND(IF(ABS($AB436)&lt;=3,$AB436,IF($AB436&gt;3,3+($J436-$AD436)/($AD436-$AC436),-3+($J436-$AF436)/($AE436-$AF436))),2))</f>
        <v/>
      </c>
      <c r="L436">
        <f>IF(OR($K436="",$K436="—"),"",IF($T436&lt;=60,IF($K436&lt;-3,"Magreza acentuada",IF($K436&lt;-2,"Magreza",IF($K436&lt;=1,"Eutrofia",IF($K436&lt;=2,"Risco de sobrepeso",IF($K436&lt;=3,"Sobrepeso","Obesidade"))))),IF($K436&lt;-3,"Magreza acentuada",IF($K436&lt;-2,"Magreza",IF($K436&lt;=1,"Eutrofia",IF($K436&lt;=2,"Sobrepeso",IF($K436&lt;=3,"Obesidade","Obesidade grave")))))))</f>
        <v/>
      </c>
      <c r="M436" s="12">
        <f>IF(OR($S436="",$V436="",$T436="",$T436&lt;0,$T436&gt;228,$AG436=""),"—",ROUND(IF($AG436=0,LN($V436/$AH436)/$AI436,((($V436/$AH436)^$AG436)-1)/($AG436*$AI436)),2))</f>
        <v/>
      </c>
      <c r="N436">
        <f>IF(OR($M436="",$M436="—"),"",IF($M436&lt;-3,"Muito baixa",IF($M436&lt;-2,"Baixa","Adequada")))</f>
        <v/>
      </c>
      <c r="O436" s="12">
        <f>IF(OR($S436="",$F436="",$T436="",$T436&lt;0,$T436&gt;120,$AJ436=""),"—",ROUND(IF(ABS($AM436)&lt;=3,$AM436,IF($AM436&gt;3,3+($F436-$AO436)/($AO436-$AN436),-3+($F436-$AQ436)/($AP436-$AQ436))),2))</f>
        <v/>
      </c>
      <c r="P436">
        <f>IF(OR($O436="",$O436="—"),"",IF($O436&lt;-3,"Muito baixo",IF($O436&lt;-2,"Baixo",IF($O436&lt;=2,"Adequado","Elevado"))))</f>
        <v/>
      </c>
      <c r="Q436" s="12">
        <f>IF(OR($S436="",$F436="",$T436="",$T436&lt;0,$T436&gt;60,$AR436=""),"—",ROUND(IF(ABS($AU436)&lt;=3,$AU436,IF($AU436&gt;3,3+($F436-$AW436)/($AW436-$AV436),-3+($F436-$AY436)/($AX436-$AY436))),2))</f>
        <v/>
      </c>
      <c r="R436">
        <f>IF(OR($Q436="",$Q436="—"),"",IF($Q436&lt;-3,"Magreza acentuada",IF($Q436&lt;-2,"Magreza",IF($Q436&lt;=1,"Eutrofia",IF($Q436&lt;=2,"Risco de sobrepeso",IF($Q436&lt;=3,"Sobrepeso","Obesidade"))))))</f>
        <v/>
      </c>
      <c r="S436">
        <f>IF($C436="","",IF(UPPER(LEFT($C436,1))="M",1,IF(UPPER(LEFT($C436,1))="F",2,"")))</f>
        <v/>
      </c>
      <c r="T436">
        <f>IF(OR($D436="",$E436=""),"",DATEDIF($D436,$E436,"m"))</f>
        <v/>
      </c>
      <c r="U436">
        <f>IF(OR($D436="",$E436=""),"",$E436-$D436)</f>
        <v/>
      </c>
      <c r="V436">
        <f>IF(OR($G436="",$T436=""),"",IF($T436&lt;24,IF(LEFT(LOWER($H436),4)="em p",$G436+0.7,$G436),IF(LEFT(LOWER($H436),4)="deit",$G436-0.7,$G436)))</f>
        <v/>
      </c>
      <c r="W436">
        <f>IF(OR($S436="",$T436=""),"",$S436*1000000+IF($T436&lt;=60,$U436,$T436))</f>
        <v/>
      </c>
      <c r="X436">
        <f>IF(OR($S436="",$V436="",$T436&gt;60,$T436=""),"",$S436*1000000+ROUND($V436*10,0))</f>
        <v/>
      </c>
      <c r="Y436">
        <f>IF($W436="","",IFERROR(INDEX(IF($T436&lt;=60,imc05_l,imc519_l),MATCH($W436,IF($T436&lt;=60,imc05_k,imc519_k),1)),""))</f>
        <v/>
      </c>
      <c r="Z436">
        <f>IF($W436="","",IFERROR(INDEX(IF($T436&lt;=60,imc05_m,imc519_m),MATCH($W436,IF($T436&lt;=60,imc05_k,imc519_k),1)),""))</f>
        <v/>
      </c>
      <c r="AA436">
        <f>IF($W436="","",IFERROR(INDEX(IF($T436&lt;=60,imc05_s,imc519_s),MATCH($W436,IF($T436&lt;=60,imc05_k,imc519_k),1)),""))</f>
        <v/>
      </c>
      <c r="AB436">
        <f>IF($Y436="","",IF($Y436=0,LN($J436/$Z436)/$AA436,((($J436/$Z436)^$Y436)-1)/($Y436*$AA436)))</f>
        <v/>
      </c>
      <c r="AC436">
        <f>IF($Y436="","",IF($Y436=0,$Z436*EXP($AA436*2),$Z436*(1+$Y436*$AA436*2)^(1/$Y436)))</f>
        <v/>
      </c>
      <c r="AD436">
        <f>IF($Y436="","",IF($Y436=0,$Z436*EXP($AA436*3),$Z436*(1+$Y436*$AA436*3)^(1/$Y436)))</f>
        <v/>
      </c>
      <c r="AE436">
        <f>IF($Y436="","",IF($Y436=0,$Z436*EXP($AA436*-2),$Z436*(1+$Y436*$AA436*-2)^(1/$Y436)))</f>
        <v/>
      </c>
      <c r="AF436">
        <f>IF($Y436="","",IF($Y436=0,$Z436*EXP($AA436*-3),$Z436*(1+$Y436*$AA436*-3)^(1/$Y436)))</f>
        <v/>
      </c>
      <c r="AG436">
        <f>IF($W436="","",IFERROR(INDEX(IF($T436&lt;=60,est05_l,est519_l),MATCH($W436,IF($T436&lt;=60,est05_k,est519_k),1)),""))</f>
        <v/>
      </c>
      <c r="AH436">
        <f>IF($W436="","",IFERROR(INDEX(IF($T436&lt;=60,est05_m,est519_m),MATCH($W436,IF($T436&lt;=60,est05_k,est519_k),1)),""))</f>
        <v/>
      </c>
      <c r="AI436">
        <f>IF($W436="","",IFERROR(INDEX(IF($T436&lt;=60,est05_s,est519_s),MATCH($W436,IF($T436&lt;=60,est05_k,est519_k),1)),""))</f>
        <v/>
      </c>
      <c r="AJ436">
        <f>IF($W436="","",IFERROR(INDEX(IF($T436&lt;=60,peso05_l,peso510_l),MATCH($W436,IF($T436&lt;=60,peso05_k,peso510_k),1)),""))</f>
        <v/>
      </c>
      <c r="AK436">
        <f>IF($W436="","",IFERROR(INDEX(IF($T436&lt;=60,peso05_m,peso510_m),MATCH($W436,IF($T436&lt;=60,peso05_k,peso510_k),1)),""))</f>
        <v/>
      </c>
      <c r="AL436">
        <f>IF($W436="","",IFERROR(INDEX(IF($T436&lt;=60,peso05_s,peso510_s),MATCH($W436,IF($T436&lt;=60,peso05_k,peso510_k),1)),""))</f>
        <v/>
      </c>
      <c r="AM436">
        <f>IF($AJ436="","",IF($AJ436=0,LN($F436/$AK436)/$AL436,((($F436/$AK436)^$AJ436)-1)/($AJ436*$AL436)))</f>
        <v/>
      </c>
      <c r="AN436">
        <f>IF($AJ436="","",IF($AJ436=0,$AK436*EXP($AL436*2),$AK436*(1+$AJ436*$AL436*2)^(1/$AJ436)))</f>
        <v/>
      </c>
      <c r="AO436">
        <f>IF($AJ436="","",IF($AJ436=0,$AK436*EXP($AL436*3),$AK436*(1+$AJ436*$AL436*3)^(1/$AJ436)))</f>
        <v/>
      </c>
      <c r="AP436">
        <f>IF($AJ436="","",IF($AJ436=0,$AK436*EXP($AL436*-2),$AK436*(1+$AJ436*$AL436*-2)^(1/$AJ436)))</f>
        <v/>
      </c>
      <c r="AQ436">
        <f>IF($AJ436="","",IF($AJ436=0,$AK436*EXP($AL436*-3),$AK436*(1+$AJ436*$AL436*-3)^(1/$AJ436)))</f>
        <v/>
      </c>
      <c r="AR436">
        <f>IF(OR($X436="",$T436&gt;60),"",IFERROR(INDEX(IF($T436&lt;24,pcomp_l,palt_l),MATCH($X436,IF($T436&lt;24,pcomp_k,palt_k),1)),""))</f>
        <v/>
      </c>
      <c r="AS436">
        <f>IF(OR($X436="",$T436&gt;60),"",IFERROR(INDEX(IF($T436&lt;24,pcomp_m,palt_m),MATCH($X436,IF($T436&lt;24,pcomp_k,palt_k),1)),""))</f>
        <v/>
      </c>
      <c r="AT436">
        <f>IF(OR($X436="",$T436&gt;60),"",IFERROR(INDEX(IF($T436&lt;24,pcomp_s,palt_s),MATCH($X436,IF($T436&lt;24,pcomp_k,palt_k),1)),""))</f>
        <v/>
      </c>
      <c r="AU436">
        <f>IF($AR436="","",IF($AR436=0,LN($F436/$AS436)/$AT436,((($F436/$AS436)^$AR436)-1)/($AR436*$AT436)))</f>
        <v/>
      </c>
      <c r="AV436">
        <f>IF($AR436="","",IF($AR436=0,$AS436*EXP($AT436*2),$AS436*(1+$AR436*$AT436*2)^(1/$AR436)))</f>
        <v/>
      </c>
      <c r="AW436">
        <f>IF($AR436="","",IF($AR436=0,$AS436*EXP($AT436*3),$AS436*(1+$AR436*$AT436*3)^(1/$AR436)))</f>
        <v/>
      </c>
      <c r="AX436">
        <f>IF($AR436="","",IF($AR436=0,$AS436*EXP($AT436*-2),$AS436*(1+$AR436*$AT436*-2)^(1/$AR436)))</f>
        <v/>
      </c>
      <c r="AY436">
        <f>IF($AR436="","",IF($AR436=0,$AS436*EXP($AT436*-3),$AS436*(1+$AR436*$AT436*-3)^(1/$AR436)))</f>
        <v/>
      </c>
      <c r="AZ436">
        <f>IF(OR($A436="",$A436&lt;&gt;Ficha!$C$4),"",COUNTIF($A$2:$A436,Ficha!$C$4))</f>
        <v/>
      </c>
    </row>
    <row r="437">
      <c r="A437" s="8">
        <f>IF(INDEX(Banco!$A:$A,ROW())="","",INDEX(Banco!$A:$A,ROW()))</f>
        <v/>
      </c>
      <c r="B437" s="8">
        <f>IF(INDEX(Banco!$B:$B,ROW())="","",INDEX(Banco!$B:$B,ROW()))</f>
        <v/>
      </c>
      <c r="C437" s="8">
        <f>IF(INDEX(Banco!$C:$C,ROW())="","",INDEX(Banco!$C:$C,ROW()))</f>
        <v/>
      </c>
      <c r="D437" s="9">
        <f>IF(INDEX(Banco!$D:$D,ROW())="","",INDEX(Banco!$D:$D,ROW()))</f>
        <v/>
      </c>
      <c r="E437" s="9">
        <f>IF(INDEX(Banco!$E:$E,ROW())="","",INDEX(Banco!$E:$E,ROW()))</f>
        <v/>
      </c>
      <c r="F437" s="10">
        <f>IF(INDEX(Banco!$F:$F,ROW())="","",INDEX(Banco!$F:$F,ROW()))</f>
        <v/>
      </c>
      <c r="G437" s="10">
        <f>IF(INDEX(Banco!$G:$G,ROW())="","",INDEX(Banco!$G:$G,ROW()))</f>
        <v/>
      </c>
      <c r="H437" s="8">
        <f>IF(INDEX(Banco!$H:$H,ROW())="","",INDEX(Banco!$H:$H,ROW()))</f>
        <v/>
      </c>
      <c r="I437">
        <f>IF($T437="","",INT($T437/12)&amp;"a "&amp;MOD($T437,12)&amp;"m")</f>
        <v/>
      </c>
      <c r="J437" s="11">
        <f>IF(OR($F437="",$G437=""),"",ROUND($F437/($G437/100)^2,2))</f>
        <v/>
      </c>
      <c r="K437" s="12">
        <f>IF(OR($S437="",$J437="",$T437="",$T437&lt;0,$T437&gt;228,$Y437=""),"—",ROUND(IF(ABS($AB437)&lt;=3,$AB437,IF($AB437&gt;3,3+($J437-$AD437)/($AD437-$AC437),-3+($J437-$AF437)/($AE437-$AF437))),2))</f>
        <v/>
      </c>
      <c r="L437">
        <f>IF(OR($K437="",$K437="—"),"",IF($T437&lt;=60,IF($K437&lt;-3,"Magreza acentuada",IF($K437&lt;-2,"Magreza",IF($K437&lt;=1,"Eutrofia",IF($K437&lt;=2,"Risco de sobrepeso",IF($K437&lt;=3,"Sobrepeso","Obesidade"))))),IF($K437&lt;-3,"Magreza acentuada",IF($K437&lt;-2,"Magreza",IF($K437&lt;=1,"Eutrofia",IF($K437&lt;=2,"Sobrepeso",IF($K437&lt;=3,"Obesidade","Obesidade grave")))))))</f>
        <v/>
      </c>
      <c r="M437" s="12">
        <f>IF(OR($S437="",$V437="",$T437="",$T437&lt;0,$T437&gt;228,$AG437=""),"—",ROUND(IF($AG437=0,LN($V437/$AH437)/$AI437,((($V437/$AH437)^$AG437)-1)/($AG437*$AI437)),2))</f>
        <v/>
      </c>
      <c r="N437">
        <f>IF(OR($M437="",$M437="—"),"",IF($M437&lt;-3,"Muito baixa",IF($M437&lt;-2,"Baixa","Adequada")))</f>
        <v/>
      </c>
      <c r="O437" s="12">
        <f>IF(OR($S437="",$F437="",$T437="",$T437&lt;0,$T437&gt;120,$AJ437=""),"—",ROUND(IF(ABS($AM437)&lt;=3,$AM437,IF($AM437&gt;3,3+($F437-$AO437)/($AO437-$AN437),-3+($F437-$AQ437)/($AP437-$AQ437))),2))</f>
        <v/>
      </c>
      <c r="P437">
        <f>IF(OR($O437="",$O437="—"),"",IF($O437&lt;-3,"Muito baixo",IF($O437&lt;-2,"Baixo",IF($O437&lt;=2,"Adequado","Elevado"))))</f>
        <v/>
      </c>
      <c r="Q437" s="12">
        <f>IF(OR($S437="",$F437="",$T437="",$T437&lt;0,$T437&gt;60,$AR437=""),"—",ROUND(IF(ABS($AU437)&lt;=3,$AU437,IF($AU437&gt;3,3+($F437-$AW437)/($AW437-$AV437),-3+($F437-$AY437)/($AX437-$AY437))),2))</f>
        <v/>
      </c>
      <c r="R437">
        <f>IF(OR($Q437="",$Q437="—"),"",IF($Q437&lt;-3,"Magreza acentuada",IF($Q437&lt;-2,"Magreza",IF($Q437&lt;=1,"Eutrofia",IF($Q437&lt;=2,"Risco de sobrepeso",IF($Q437&lt;=3,"Sobrepeso","Obesidade"))))))</f>
        <v/>
      </c>
      <c r="S437">
        <f>IF($C437="","",IF(UPPER(LEFT($C437,1))="M",1,IF(UPPER(LEFT($C437,1))="F",2,"")))</f>
        <v/>
      </c>
      <c r="T437">
        <f>IF(OR($D437="",$E437=""),"",DATEDIF($D437,$E437,"m"))</f>
        <v/>
      </c>
      <c r="U437">
        <f>IF(OR($D437="",$E437=""),"",$E437-$D437)</f>
        <v/>
      </c>
      <c r="V437">
        <f>IF(OR($G437="",$T437=""),"",IF($T437&lt;24,IF(LEFT(LOWER($H437),4)="em p",$G437+0.7,$G437),IF(LEFT(LOWER($H437),4)="deit",$G437-0.7,$G437)))</f>
        <v/>
      </c>
      <c r="W437">
        <f>IF(OR($S437="",$T437=""),"",$S437*1000000+IF($T437&lt;=60,$U437,$T437))</f>
        <v/>
      </c>
      <c r="X437">
        <f>IF(OR($S437="",$V437="",$T437&gt;60,$T437=""),"",$S437*1000000+ROUND($V437*10,0))</f>
        <v/>
      </c>
      <c r="Y437">
        <f>IF($W437="","",IFERROR(INDEX(IF($T437&lt;=60,imc05_l,imc519_l),MATCH($W437,IF($T437&lt;=60,imc05_k,imc519_k),1)),""))</f>
        <v/>
      </c>
      <c r="Z437">
        <f>IF($W437="","",IFERROR(INDEX(IF($T437&lt;=60,imc05_m,imc519_m),MATCH($W437,IF($T437&lt;=60,imc05_k,imc519_k),1)),""))</f>
        <v/>
      </c>
      <c r="AA437">
        <f>IF($W437="","",IFERROR(INDEX(IF($T437&lt;=60,imc05_s,imc519_s),MATCH($W437,IF($T437&lt;=60,imc05_k,imc519_k),1)),""))</f>
        <v/>
      </c>
      <c r="AB437">
        <f>IF($Y437="","",IF($Y437=0,LN($J437/$Z437)/$AA437,((($J437/$Z437)^$Y437)-1)/($Y437*$AA437)))</f>
        <v/>
      </c>
      <c r="AC437">
        <f>IF($Y437="","",IF($Y437=0,$Z437*EXP($AA437*2),$Z437*(1+$Y437*$AA437*2)^(1/$Y437)))</f>
        <v/>
      </c>
      <c r="AD437">
        <f>IF($Y437="","",IF($Y437=0,$Z437*EXP($AA437*3),$Z437*(1+$Y437*$AA437*3)^(1/$Y437)))</f>
        <v/>
      </c>
      <c r="AE437">
        <f>IF($Y437="","",IF($Y437=0,$Z437*EXP($AA437*-2),$Z437*(1+$Y437*$AA437*-2)^(1/$Y437)))</f>
        <v/>
      </c>
      <c r="AF437">
        <f>IF($Y437="","",IF($Y437=0,$Z437*EXP($AA437*-3),$Z437*(1+$Y437*$AA437*-3)^(1/$Y437)))</f>
        <v/>
      </c>
      <c r="AG437">
        <f>IF($W437="","",IFERROR(INDEX(IF($T437&lt;=60,est05_l,est519_l),MATCH($W437,IF($T437&lt;=60,est05_k,est519_k),1)),""))</f>
        <v/>
      </c>
      <c r="AH437">
        <f>IF($W437="","",IFERROR(INDEX(IF($T437&lt;=60,est05_m,est519_m),MATCH($W437,IF($T437&lt;=60,est05_k,est519_k),1)),""))</f>
        <v/>
      </c>
      <c r="AI437">
        <f>IF($W437="","",IFERROR(INDEX(IF($T437&lt;=60,est05_s,est519_s),MATCH($W437,IF($T437&lt;=60,est05_k,est519_k),1)),""))</f>
        <v/>
      </c>
      <c r="AJ437">
        <f>IF($W437="","",IFERROR(INDEX(IF($T437&lt;=60,peso05_l,peso510_l),MATCH($W437,IF($T437&lt;=60,peso05_k,peso510_k),1)),""))</f>
        <v/>
      </c>
      <c r="AK437">
        <f>IF($W437="","",IFERROR(INDEX(IF($T437&lt;=60,peso05_m,peso510_m),MATCH($W437,IF($T437&lt;=60,peso05_k,peso510_k),1)),""))</f>
        <v/>
      </c>
      <c r="AL437">
        <f>IF($W437="","",IFERROR(INDEX(IF($T437&lt;=60,peso05_s,peso510_s),MATCH($W437,IF($T437&lt;=60,peso05_k,peso510_k),1)),""))</f>
        <v/>
      </c>
      <c r="AM437">
        <f>IF($AJ437="","",IF($AJ437=0,LN($F437/$AK437)/$AL437,((($F437/$AK437)^$AJ437)-1)/($AJ437*$AL437)))</f>
        <v/>
      </c>
      <c r="AN437">
        <f>IF($AJ437="","",IF($AJ437=0,$AK437*EXP($AL437*2),$AK437*(1+$AJ437*$AL437*2)^(1/$AJ437)))</f>
        <v/>
      </c>
      <c r="AO437">
        <f>IF($AJ437="","",IF($AJ437=0,$AK437*EXP($AL437*3),$AK437*(1+$AJ437*$AL437*3)^(1/$AJ437)))</f>
        <v/>
      </c>
      <c r="AP437">
        <f>IF($AJ437="","",IF($AJ437=0,$AK437*EXP($AL437*-2),$AK437*(1+$AJ437*$AL437*-2)^(1/$AJ437)))</f>
        <v/>
      </c>
      <c r="AQ437">
        <f>IF($AJ437="","",IF($AJ437=0,$AK437*EXP($AL437*-3),$AK437*(1+$AJ437*$AL437*-3)^(1/$AJ437)))</f>
        <v/>
      </c>
      <c r="AR437">
        <f>IF(OR($X437="",$T437&gt;60),"",IFERROR(INDEX(IF($T437&lt;24,pcomp_l,palt_l),MATCH($X437,IF($T437&lt;24,pcomp_k,palt_k),1)),""))</f>
        <v/>
      </c>
      <c r="AS437">
        <f>IF(OR($X437="",$T437&gt;60),"",IFERROR(INDEX(IF($T437&lt;24,pcomp_m,palt_m),MATCH($X437,IF($T437&lt;24,pcomp_k,palt_k),1)),""))</f>
        <v/>
      </c>
      <c r="AT437">
        <f>IF(OR($X437="",$T437&gt;60),"",IFERROR(INDEX(IF($T437&lt;24,pcomp_s,palt_s),MATCH($X437,IF($T437&lt;24,pcomp_k,palt_k),1)),""))</f>
        <v/>
      </c>
      <c r="AU437">
        <f>IF($AR437="","",IF($AR437=0,LN($F437/$AS437)/$AT437,((($F437/$AS437)^$AR437)-1)/($AR437*$AT437)))</f>
        <v/>
      </c>
      <c r="AV437">
        <f>IF($AR437="","",IF($AR437=0,$AS437*EXP($AT437*2),$AS437*(1+$AR437*$AT437*2)^(1/$AR437)))</f>
        <v/>
      </c>
      <c r="AW437">
        <f>IF($AR437="","",IF($AR437=0,$AS437*EXP($AT437*3),$AS437*(1+$AR437*$AT437*3)^(1/$AR437)))</f>
        <v/>
      </c>
      <c r="AX437">
        <f>IF($AR437="","",IF($AR437=0,$AS437*EXP($AT437*-2),$AS437*(1+$AR437*$AT437*-2)^(1/$AR437)))</f>
        <v/>
      </c>
      <c r="AY437">
        <f>IF($AR437="","",IF($AR437=0,$AS437*EXP($AT437*-3),$AS437*(1+$AR437*$AT437*-3)^(1/$AR437)))</f>
        <v/>
      </c>
      <c r="AZ437">
        <f>IF(OR($A437="",$A437&lt;&gt;Ficha!$C$4),"",COUNTIF($A$2:$A437,Ficha!$C$4))</f>
        <v/>
      </c>
    </row>
    <row r="438">
      <c r="A438" s="8">
        <f>IF(INDEX(Banco!$A:$A,ROW())="","",INDEX(Banco!$A:$A,ROW()))</f>
        <v/>
      </c>
      <c r="B438" s="8">
        <f>IF(INDEX(Banco!$B:$B,ROW())="","",INDEX(Banco!$B:$B,ROW()))</f>
        <v/>
      </c>
      <c r="C438" s="8">
        <f>IF(INDEX(Banco!$C:$C,ROW())="","",INDEX(Banco!$C:$C,ROW()))</f>
        <v/>
      </c>
      <c r="D438" s="9">
        <f>IF(INDEX(Banco!$D:$D,ROW())="","",INDEX(Banco!$D:$D,ROW()))</f>
        <v/>
      </c>
      <c r="E438" s="9">
        <f>IF(INDEX(Banco!$E:$E,ROW())="","",INDEX(Banco!$E:$E,ROW()))</f>
        <v/>
      </c>
      <c r="F438" s="10">
        <f>IF(INDEX(Banco!$F:$F,ROW())="","",INDEX(Banco!$F:$F,ROW()))</f>
        <v/>
      </c>
      <c r="G438" s="10">
        <f>IF(INDEX(Banco!$G:$G,ROW())="","",INDEX(Banco!$G:$G,ROW()))</f>
        <v/>
      </c>
      <c r="H438" s="8">
        <f>IF(INDEX(Banco!$H:$H,ROW())="","",INDEX(Banco!$H:$H,ROW()))</f>
        <v/>
      </c>
      <c r="I438">
        <f>IF($T438="","",INT($T438/12)&amp;"a "&amp;MOD($T438,12)&amp;"m")</f>
        <v/>
      </c>
      <c r="J438" s="11">
        <f>IF(OR($F438="",$G438=""),"",ROUND($F438/($G438/100)^2,2))</f>
        <v/>
      </c>
      <c r="K438" s="12">
        <f>IF(OR($S438="",$J438="",$T438="",$T438&lt;0,$T438&gt;228,$Y438=""),"—",ROUND(IF(ABS($AB438)&lt;=3,$AB438,IF($AB438&gt;3,3+($J438-$AD438)/($AD438-$AC438),-3+($J438-$AF438)/($AE438-$AF438))),2))</f>
        <v/>
      </c>
      <c r="L438">
        <f>IF(OR($K438="",$K438="—"),"",IF($T438&lt;=60,IF($K438&lt;-3,"Magreza acentuada",IF($K438&lt;-2,"Magreza",IF($K438&lt;=1,"Eutrofia",IF($K438&lt;=2,"Risco de sobrepeso",IF($K438&lt;=3,"Sobrepeso","Obesidade"))))),IF($K438&lt;-3,"Magreza acentuada",IF($K438&lt;-2,"Magreza",IF($K438&lt;=1,"Eutrofia",IF($K438&lt;=2,"Sobrepeso",IF($K438&lt;=3,"Obesidade","Obesidade grave")))))))</f>
        <v/>
      </c>
      <c r="M438" s="12">
        <f>IF(OR($S438="",$V438="",$T438="",$T438&lt;0,$T438&gt;228,$AG438=""),"—",ROUND(IF($AG438=0,LN($V438/$AH438)/$AI438,((($V438/$AH438)^$AG438)-1)/($AG438*$AI438)),2))</f>
        <v/>
      </c>
      <c r="N438">
        <f>IF(OR($M438="",$M438="—"),"",IF($M438&lt;-3,"Muito baixa",IF($M438&lt;-2,"Baixa","Adequada")))</f>
        <v/>
      </c>
      <c r="O438" s="12">
        <f>IF(OR($S438="",$F438="",$T438="",$T438&lt;0,$T438&gt;120,$AJ438=""),"—",ROUND(IF(ABS($AM438)&lt;=3,$AM438,IF($AM438&gt;3,3+($F438-$AO438)/($AO438-$AN438),-3+($F438-$AQ438)/($AP438-$AQ438))),2))</f>
        <v/>
      </c>
      <c r="P438">
        <f>IF(OR($O438="",$O438="—"),"",IF($O438&lt;-3,"Muito baixo",IF($O438&lt;-2,"Baixo",IF($O438&lt;=2,"Adequado","Elevado"))))</f>
        <v/>
      </c>
      <c r="Q438" s="12">
        <f>IF(OR($S438="",$F438="",$T438="",$T438&lt;0,$T438&gt;60,$AR438=""),"—",ROUND(IF(ABS($AU438)&lt;=3,$AU438,IF($AU438&gt;3,3+($F438-$AW438)/($AW438-$AV438),-3+($F438-$AY438)/($AX438-$AY438))),2))</f>
        <v/>
      </c>
      <c r="R438">
        <f>IF(OR($Q438="",$Q438="—"),"",IF($Q438&lt;-3,"Magreza acentuada",IF($Q438&lt;-2,"Magreza",IF($Q438&lt;=1,"Eutrofia",IF($Q438&lt;=2,"Risco de sobrepeso",IF($Q438&lt;=3,"Sobrepeso","Obesidade"))))))</f>
        <v/>
      </c>
      <c r="S438">
        <f>IF($C438="","",IF(UPPER(LEFT($C438,1))="M",1,IF(UPPER(LEFT($C438,1))="F",2,"")))</f>
        <v/>
      </c>
      <c r="T438">
        <f>IF(OR($D438="",$E438=""),"",DATEDIF($D438,$E438,"m"))</f>
        <v/>
      </c>
      <c r="U438">
        <f>IF(OR($D438="",$E438=""),"",$E438-$D438)</f>
        <v/>
      </c>
      <c r="V438">
        <f>IF(OR($G438="",$T438=""),"",IF($T438&lt;24,IF(LEFT(LOWER($H438),4)="em p",$G438+0.7,$G438),IF(LEFT(LOWER($H438),4)="deit",$G438-0.7,$G438)))</f>
        <v/>
      </c>
      <c r="W438">
        <f>IF(OR($S438="",$T438=""),"",$S438*1000000+IF($T438&lt;=60,$U438,$T438))</f>
        <v/>
      </c>
      <c r="X438">
        <f>IF(OR($S438="",$V438="",$T438&gt;60,$T438=""),"",$S438*1000000+ROUND($V438*10,0))</f>
        <v/>
      </c>
      <c r="Y438">
        <f>IF($W438="","",IFERROR(INDEX(IF($T438&lt;=60,imc05_l,imc519_l),MATCH($W438,IF($T438&lt;=60,imc05_k,imc519_k),1)),""))</f>
        <v/>
      </c>
      <c r="Z438">
        <f>IF($W438="","",IFERROR(INDEX(IF($T438&lt;=60,imc05_m,imc519_m),MATCH($W438,IF($T438&lt;=60,imc05_k,imc519_k),1)),""))</f>
        <v/>
      </c>
      <c r="AA438">
        <f>IF($W438="","",IFERROR(INDEX(IF($T438&lt;=60,imc05_s,imc519_s),MATCH($W438,IF($T438&lt;=60,imc05_k,imc519_k),1)),""))</f>
        <v/>
      </c>
      <c r="AB438">
        <f>IF($Y438="","",IF($Y438=0,LN($J438/$Z438)/$AA438,((($J438/$Z438)^$Y438)-1)/($Y438*$AA438)))</f>
        <v/>
      </c>
      <c r="AC438">
        <f>IF($Y438="","",IF($Y438=0,$Z438*EXP($AA438*2),$Z438*(1+$Y438*$AA438*2)^(1/$Y438)))</f>
        <v/>
      </c>
      <c r="AD438">
        <f>IF($Y438="","",IF($Y438=0,$Z438*EXP($AA438*3),$Z438*(1+$Y438*$AA438*3)^(1/$Y438)))</f>
        <v/>
      </c>
      <c r="AE438">
        <f>IF($Y438="","",IF($Y438=0,$Z438*EXP($AA438*-2),$Z438*(1+$Y438*$AA438*-2)^(1/$Y438)))</f>
        <v/>
      </c>
      <c r="AF438">
        <f>IF($Y438="","",IF($Y438=0,$Z438*EXP($AA438*-3),$Z438*(1+$Y438*$AA438*-3)^(1/$Y438)))</f>
        <v/>
      </c>
      <c r="AG438">
        <f>IF($W438="","",IFERROR(INDEX(IF($T438&lt;=60,est05_l,est519_l),MATCH($W438,IF($T438&lt;=60,est05_k,est519_k),1)),""))</f>
        <v/>
      </c>
      <c r="AH438">
        <f>IF($W438="","",IFERROR(INDEX(IF($T438&lt;=60,est05_m,est519_m),MATCH($W438,IF($T438&lt;=60,est05_k,est519_k),1)),""))</f>
        <v/>
      </c>
      <c r="AI438">
        <f>IF($W438="","",IFERROR(INDEX(IF($T438&lt;=60,est05_s,est519_s),MATCH($W438,IF($T438&lt;=60,est05_k,est519_k),1)),""))</f>
        <v/>
      </c>
      <c r="AJ438">
        <f>IF($W438="","",IFERROR(INDEX(IF($T438&lt;=60,peso05_l,peso510_l),MATCH($W438,IF($T438&lt;=60,peso05_k,peso510_k),1)),""))</f>
        <v/>
      </c>
      <c r="AK438">
        <f>IF($W438="","",IFERROR(INDEX(IF($T438&lt;=60,peso05_m,peso510_m),MATCH($W438,IF($T438&lt;=60,peso05_k,peso510_k),1)),""))</f>
        <v/>
      </c>
      <c r="AL438">
        <f>IF($W438="","",IFERROR(INDEX(IF($T438&lt;=60,peso05_s,peso510_s),MATCH($W438,IF($T438&lt;=60,peso05_k,peso510_k),1)),""))</f>
        <v/>
      </c>
      <c r="AM438">
        <f>IF($AJ438="","",IF($AJ438=0,LN($F438/$AK438)/$AL438,((($F438/$AK438)^$AJ438)-1)/($AJ438*$AL438)))</f>
        <v/>
      </c>
      <c r="AN438">
        <f>IF($AJ438="","",IF($AJ438=0,$AK438*EXP($AL438*2),$AK438*(1+$AJ438*$AL438*2)^(1/$AJ438)))</f>
        <v/>
      </c>
      <c r="AO438">
        <f>IF($AJ438="","",IF($AJ438=0,$AK438*EXP($AL438*3),$AK438*(1+$AJ438*$AL438*3)^(1/$AJ438)))</f>
        <v/>
      </c>
      <c r="AP438">
        <f>IF($AJ438="","",IF($AJ438=0,$AK438*EXP($AL438*-2),$AK438*(1+$AJ438*$AL438*-2)^(1/$AJ438)))</f>
        <v/>
      </c>
      <c r="AQ438">
        <f>IF($AJ438="","",IF($AJ438=0,$AK438*EXP($AL438*-3),$AK438*(1+$AJ438*$AL438*-3)^(1/$AJ438)))</f>
        <v/>
      </c>
      <c r="AR438">
        <f>IF(OR($X438="",$T438&gt;60),"",IFERROR(INDEX(IF($T438&lt;24,pcomp_l,palt_l),MATCH($X438,IF($T438&lt;24,pcomp_k,palt_k),1)),""))</f>
        <v/>
      </c>
      <c r="AS438">
        <f>IF(OR($X438="",$T438&gt;60),"",IFERROR(INDEX(IF($T438&lt;24,pcomp_m,palt_m),MATCH($X438,IF($T438&lt;24,pcomp_k,palt_k),1)),""))</f>
        <v/>
      </c>
      <c r="AT438">
        <f>IF(OR($X438="",$T438&gt;60),"",IFERROR(INDEX(IF($T438&lt;24,pcomp_s,palt_s),MATCH($X438,IF($T438&lt;24,pcomp_k,palt_k),1)),""))</f>
        <v/>
      </c>
      <c r="AU438">
        <f>IF($AR438="","",IF($AR438=0,LN($F438/$AS438)/$AT438,((($F438/$AS438)^$AR438)-1)/($AR438*$AT438)))</f>
        <v/>
      </c>
      <c r="AV438">
        <f>IF($AR438="","",IF($AR438=0,$AS438*EXP($AT438*2),$AS438*(1+$AR438*$AT438*2)^(1/$AR438)))</f>
        <v/>
      </c>
      <c r="AW438">
        <f>IF($AR438="","",IF($AR438=0,$AS438*EXP($AT438*3),$AS438*(1+$AR438*$AT438*3)^(1/$AR438)))</f>
        <v/>
      </c>
      <c r="AX438">
        <f>IF($AR438="","",IF($AR438=0,$AS438*EXP($AT438*-2),$AS438*(1+$AR438*$AT438*-2)^(1/$AR438)))</f>
        <v/>
      </c>
      <c r="AY438">
        <f>IF($AR438="","",IF($AR438=0,$AS438*EXP($AT438*-3),$AS438*(1+$AR438*$AT438*-3)^(1/$AR438)))</f>
        <v/>
      </c>
      <c r="AZ438">
        <f>IF(OR($A438="",$A438&lt;&gt;Ficha!$C$4),"",COUNTIF($A$2:$A438,Ficha!$C$4))</f>
        <v/>
      </c>
    </row>
    <row r="439">
      <c r="A439" s="8">
        <f>IF(INDEX(Banco!$A:$A,ROW())="","",INDEX(Banco!$A:$A,ROW()))</f>
        <v/>
      </c>
      <c r="B439" s="8">
        <f>IF(INDEX(Banco!$B:$B,ROW())="","",INDEX(Banco!$B:$B,ROW()))</f>
        <v/>
      </c>
      <c r="C439" s="8">
        <f>IF(INDEX(Banco!$C:$C,ROW())="","",INDEX(Banco!$C:$C,ROW()))</f>
        <v/>
      </c>
      <c r="D439" s="9">
        <f>IF(INDEX(Banco!$D:$D,ROW())="","",INDEX(Banco!$D:$D,ROW()))</f>
        <v/>
      </c>
      <c r="E439" s="9">
        <f>IF(INDEX(Banco!$E:$E,ROW())="","",INDEX(Banco!$E:$E,ROW()))</f>
        <v/>
      </c>
      <c r="F439" s="10">
        <f>IF(INDEX(Banco!$F:$F,ROW())="","",INDEX(Banco!$F:$F,ROW()))</f>
        <v/>
      </c>
      <c r="G439" s="10">
        <f>IF(INDEX(Banco!$G:$G,ROW())="","",INDEX(Banco!$G:$G,ROW()))</f>
        <v/>
      </c>
      <c r="H439" s="8">
        <f>IF(INDEX(Banco!$H:$H,ROW())="","",INDEX(Banco!$H:$H,ROW()))</f>
        <v/>
      </c>
      <c r="I439">
        <f>IF($T439="","",INT($T439/12)&amp;"a "&amp;MOD($T439,12)&amp;"m")</f>
        <v/>
      </c>
      <c r="J439" s="11">
        <f>IF(OR($F439="",$G439=""),"",ROUND($F439/($G439/100)^2,2))</f>
        <v/>
      </c>
      <c r="K439" s="12">
        <f>IF(OR($S439="",$J439="",$T439="",$T439&lt;0,$T439&gt;228,$Y439=""),"—",ROUND(IF(ABS($AB439)&lt;=3,$AB439,IF($AB439&gt;3,3+($J439-$AD439)/($AD439-$AC439),-3+($J439-$AF439)/($AE439-$AF439))),2))</f>
        <v/>
      </c>
      <c r="L439">
        <f>IF(OR($K439="",$K439="—"),"",IF($T439&lt;=60,IF($K439&lt;-3,"Magreza acentuada",IF($K439&lt;-2,"Magreza",IF($K439&lt;=1,"Eutrofia",IF($K439&lt;=2,"Risco de sobrepeso",IF($K439&lt;=3,"Sobrepeso","Obesidade"))))),IF($K439&lt;-3,"Magreza acentuada",IF($K439&lt;-2,"Magreza",IF($K439&lt;=1,"Eutrofia",IF($K439&lt;=2,"Sobrepeso",IF($K439&lt;=3,"Obesidade","Obesidade grave")))))))</f>
        <v/>
      </c>
      <c r="M439" s="12">
        <f>IF(OR($S439="",$V439="",$T439="",$T439&lt;0,$T439&gt;228,$AG439=""),"—",ROUND(IF($AG439=0,LN($V439/$AH439)/$AI439,((($V439/$AH439)^$AG439)-1)/($AG439*$AI439)),2))</f>
        <v/>
      </c>
      <c r="N439">
        <f>IF(OR($M439="",$M439="—"),"",IF($M439&lt;-3,"Muito baixa",IF($M439&lt;-2,"Baixa","Adequada")))</f>
        <v/>
      </c>
      <c r="O439" s="12">
        <f>IF(OR($S439="",$F439="",$T439="",$T439&lt;0,$T439&gt;120,$AJ439=""),"—",ROUND(IF(ABS($AM439)&lt;=3,$AM439,IF($AM439&gt;3,3+($F439-$AO439)/($AO439-$AN439),-3+($F439-$AQ439)/($AP439-$AQ439))),2))</f>
        <v/>
      </c>
      <c r="P439">
        <f>IF(OR($O439="",$O439="—"),"",IF($O439&lt;-3,"Muito baixo",IF($O439&lt;-2,"Baixo",IF($O439&lt;=2,"Adequado","Elevado"))))</f>
        <v/>
      </c>
      <c r="Q439" s="12">
        <f>IF(OR($S439="",$F439="",$T439="",$T439&lt;0,$T439&gt;60,$AR439=""),"—",ROUND(IF(ABS($AU439)&lt;=3,$AU439,IF($AU439&gt;3,3+($F439-$AW439)/($AW439-$AV439),-3+($F439-$AY439)/($AX439-$AY439))),2))</f>
        <v/>
      </c>
      <c r="R439">
        <f>IF(OR($Q439="",$Q439="—"),"",IF($Q439&lt;-3,"Magreza acentuada",IF($Q439&lt;-2,"Magreza",IF($Q439&lt;=1,"Eutrofia",IF($Q439&lt;=2,"Risco de sobrepeso",IF($Q439&lt;=3,"Sobrepeso","Obesidade"))))))</f>
        <v/>
      </c>
      <c r="S439">
        <f>IF($C439="","",IF(UPPER(LEFT($C439,1))="M",1,IF(UPPER(LEFT($C439,1))="F",2,"")))</f>
        <v/>
      </c>
      <c r="T439">
        <f>IF(OR($D439="",$E439=""),"",DATEDIF($D439,$E439,"m"))</f>
        <v/>
      </c>
      <c r="U439">
        <f>IF(OR($D439="",$E439=""),"",$E439-$D439)</f>
        <v/>
      </c>
      <c r="V439">
        <f>IF(OR($G439="",$T439=""),"",IF($T439&lt;24,IF(LEFT(LOWER($H439),4)="em p",$G439+0.7,$G439),IF(LEFT(LOWER($H439),4)="deit",$G439-0.7,$G439)))</f>
        <v/>
      </c>
      <c r="W439">
        <f>IF(OR($S439="",$T439=""),"",$S439*1000000+IF($T439&lt;=60,$U439,$T439))</f>
        <v/>
      </c>
      <c r="X439">
        <f>IF(OR($S439="",$V439="",$T439&gt;60,$T439=""),"",$S439*1000000+ROUND($V439*10,0))</f>
        <v/>
      </c>
      <c r="Y439">
        <f>IF($W439="","",IFERROR(INDEX(IF($T439&lt;=60,imc05_l,imc519_l),MATCH($W439,IF($T439&lt;=60,imc05_k,imc519_k),1)),""))</f>
        <v/>
      </c>
      <c r="Z439">
        <f>IF($W439="","",IFERROR(INDEX(IF($T439&lt;=60,imc05_m,imc519_m),MATCH($W439,IF($T439&lt;=60,imc05_k,imc519_k),1)),""))</f>
        <v/>
      </c>
      <c r="AA439">
        <f>IF($W439="","",IFERROR(INDEX(IF($T439&lt;=60,imc05_s,imc519_s),MATCH($W439,IF($T439&lt;=60,imc05_k,imc519_k),1)),""))</f>
        <v/>
      </c>
      <c r="AB439">
        <f>IF($Y439="","",IF($Y439=0,LN($J439/$Z439)/$AA439,((($J439/$Z439)^$Y439)-1)/($Y439*$AA439)))</f>
        <v/>
      </c>
      <c r="AC439">
        <f>IF($Y439="","",IF($Y439=0,$Z439*EXP($AA439*2),$Z439*(1+$Y439*$AA439*2)^(1/$Y439)))</f>
        <v/>
      </c>
      <c r="AD439">
        <f>IF($Y439="","",IF($Y439=0,$Z439*EXP($AA439*3),$Z439*(1+$Y439*$AA439*3)^(1/$Y439)))</f>
        <v/>
      </c>
      <c r="AE439">
        <f>IF($Y439="","",IF($Y439=0,$Z439*EXP($AA439*-2),$Z439*(1+$Y439*$AA439*-2)^(1/$Y439)))</f>
        <v/>
      </c>
      <c r="AF439">
        <f>IF($Y439="","",IF($Y439=0,$Z439*EXP($AA439*-3),$Z439*(1+$Y439*$AA439*-3)^(1/$Y439)))</f>
        <v/>
      </c>
      <c r="AG439">
        <f>IF($W439="","",IFERROR(INDEX(IF($T439&lt;=60,est05_l,est519_l),MATCH($W439,IF($T439&lt;=60,est05_k,est519_k),1)),""))</f>
        <v/>
      </c>
      <c r="AH439">
        <f>IF($W439="","",IFERROR(INDEX(IF($T439&lt;=60,est05_m,est519_m),MATCH($W439,IF($T439&lt;=60,est05_k,est519_k),1)),""))</f>
        <v/>
      </c>
      <c r="AI439">
        <f>IF($W439="","",IFERROR(INDEX(IF($T439&lt;=60,est05_s,est519_s),MATCH($W439,IF($T439&lt;=60,est05_k,est519_k),1)),""))</f>
        <v/>
      </c>
      <c r="AJ439">
        <f>IF($W439="","",IFERROR(INDEX(IF($T439&lt;=60,peso05_l,peso510_l),MATCH($W439,IF($T439&lt;=60,peso05_k,peso510_k),1)),""))</f>
        <v/>
      </c>
      <c r="AK439">
        <f>IF($W439="","",IFERROR(INDEX(IF($T439&lt;=60,peso05_m,peso510_m),MATCH($W439,IF($T439&lt;=60,peso05_k,peso510_k),1)),""))</f>
        <v/>
      </c>
      <c r="AL439">
        <f>IF($W439="","",IFERROR(INDEX(IF($T439&lt;=60,peso05_s,peso510_s),MATCH($W439,IF($T439&lt;=60,peso05_k,peso510_k),1)),""))</f>
        <v/>
      </c>
      <c r="AM439">
        <f>IF($AJ439="","",IF($AJ439=0,LN($F439/$AK439)/$AL439,((($F439/$AK439)^$AJ439)-1)/($AJ439*$AL439)))</f>
        <v/>
      </c>
      <c r="AN439">
        <f>IF($AJ439="","",IF($AJ439=0,$AK439*EXP($AL439*2),$AK439*(1+$AJ439*$AL439*2)^(1/$AJ439)))</f>
        <v/>
      </c>
      <c r="AO439">
        <f>IF($AJ439="","",IF($AJ439=0,$AK439*EXP($AL439*3),$AK439*(1+$AJ439*$AL439*3)^(1/$AJ439)))</f>
        <v/>
      </c>
      <c r="AP439">
        <f>IF($AJ439="","",IF($AJ439=0,$AK439*EXP($AL439*-2),$AK439*(1+$AJ439*$AL439*-2)^(1/$AJ439)))</f>
        <v/>
      </c>
      <c r="AQ439">
        <f>IF($AJ439="","",IF($AJ439=0,$AK439*EXP($AL439*-3),$AK439*(1+$AJ439*$AL439*-3)^(1/$AJ439)))</f>
        <v/>
      </c>
      <c r="AR439">
        <f>IF(OR($X439="",$T439&gt;60),"",IFERROR(INDEX(IF($T439&lt;24,pcomp_l,palt_l),MATCH($X439,IF($T439&lt;24,pcomp_k,palt_k),1)),""))</f>
        <v/>
      </c>
      <c r="AS439">
        <f>IF(OR($X439="",$T439&gt;60),"",IFERROR(INDEX(IF($T439&lt;24,pcomp_m,palt_m),MATCH($X439,IF($T439&lt;24,pcomp_k,palt_k),1)),""))</f>
        <v/>
      </c>
      <c r="AT439">
        <f>IF(OR($X439="",$T439&gt;60),"",IFERROR(INDEX(IF($T439&lt;24,pcomp_s,palt_s),MATCH($X439,IF($T439&lt;24,pcomp_k,palt_k),1)),""))</f>
        <v/>
      </c>
      <c r="AU439">
        <f>IF($AR439="","",IF($AR439=0,LN($F439/$AS439)/$AT439,((($F439/$AS439)^$AR439)-1)/($AR439*$AT439)))</f>
        <v/>
      </c>
      <c r="AV439">
        <f>IF($AR439="","",IF($AR439=0,$AS439*EXP($AT439*2),$AS439*(1+$AR439*$AT439*2)^(1/$AR439)))</f>
        <v/>
      </c>
      <c r="AW439">
        <f>IF($AR439="","",IF($AR439=0,$AS439*EXP($AT439*3),$AS439*(1+$AR439*$AT439*3)^(1/$AR439)))</f>
        <v/>
      </c>
      <c r="AX439">
        <f>IF($AR439="","",IF($AR439=0,$AS439*EXP($AT439*-2),$AS439*(1+$AR439*$AT439*-2)^(1/$AR439)))</f>
        <v/>
      </c>
      <c r="AY439">
        <f>IF($AR439="","",IF($AR439=0,$AS439*EXP($AT439*-3),$AS439*(1+$AR439*$AT439*-3)^(1/$AR439)))</f>
        <v/>
      </c>
      <c r="AZ439">
        <f>IF(OR($A439="",$A439&lt;&gt;Ficha!$C$4),"",COUNTIF($A$2:$A439,Ficha!$C$4))</f>
        <v/>
      </c>
    </row>
    <row r="440">
      <c r="A440" s="8">
        <f>IF(INDEX(Banco!$A:$A,ROW())="","",INDEX(Banco!$A:$A,ROW()))</f>
        <v/>
      </c>
      <c r="B440" s="8">
        <f>IF(INDEX(Banco!$B:$B,ROW())="","",INDEX(Banco!$B:$B,ROW()))</f>
        <v/>
      </c>
      <c r="C440" s="8">
        <f>IF(INDEX(Banco!$C:$C,ROW())="","",INDEX(Banco!$C:$C,ROW()))</f>
        <v/>
      </c>
      <c r="D440" s="9">
        <f>IF(INDEX(Banco!$D:$D,ROW())="","",INDEX(Banco!$D:$D,ROW()))</f>
        <v/>
      </c>
      <c r="E440" s="9">
        <f>IF(INDEX(Banco!$E:$E,ROW())="","",INDEX(Banco!$E:$E,ROW()))</f>
        <v/>
      </c>
      <c r="F440" s="10">
        <f>IF(INDEX(Banco!$F:$F,ROW())="","",INDEX(Banco!$F:$F,ROW()))</f>
        <v/>
      </c>
      <c r="G440" s="10">
        <f>IF(INDEX(Banco!$G:$G,ROW())="","",INDEX(Banco!$G:$G,ROW()))</f>
        <v/>
      </c>
      <c r="H440" s="8">
        <f>IF(INDEX(Banco!$H:$H,ROW())="","",INDEX(Banco!$H:$H,ROW()))</f>
        <v/>
      </c>
      <c r="I440">
        <f>IF($T440="","",INT($T440/12)&amp;"a "&amp;MOD($T440,12)&amp;"m")</f>
        <v/>
      </c>
      <c r="J440" s="11">
        <f>IF(OR($F440="",$G440=""),"",ROUND($F440/($G440/100)^2,2))</f>
        <v/>
      </c>
      <c r="K440" s="12">
        <f>IF(OR($S440="",$J440="",$T440="",$T440&lt;0,$T440&gt;228,$Y440=""),"—",ROUND(IF(ABS($AB440)&lt;=3,$AB440,IF($AB440&gt;3,3+($J440-$AD440)/($AD440-$AC440),-3+($J440-$AF440)/($AE440-$AF440))),2))</f>
        <v/>
      </c>
      <c r="L440">
        <f>IF(OR($K440="",$K440="—"),"",IF($T440&lt;=60,IF($K440&lt;-3,"Magreza acentuada",IF($K440&lt;-2,"Magreza",IF($K440&lt;=1,"Eutrofia",IF($K440&lt;=2,"Risco de sobrepeso",IF($K440&lt;=3,"Sobrepeso","Obesidade"))))),IF($K440&lt;-3,"Magreza acentuada",IF($K440&lt;-2,"Magreza",IF($K440&lt;=1,"Eutrofia",IF($K440&lt;=2,"Sobrepeso",IF($K440&lt;=3,"Obesidade","Obesidade grave")))))))</f>
        <v/>
      </c>
      <c r="M440" s="12">
        <f>IF(OR($S440="",$V440="",$T440="",$T440&lt;0,$T440&gt;228,$AG440=""),"—",ROUND(IF($AG440=0,LN($V440/$AH440)/$AI440,((($V440/$AH440)^$AG440)-1)/($AG440*$AI440)),2))</f>
        <v/>
      </c>
      <c r="N440">
        <f>IF(OR($M440="",$M440="—"),"",IF($M440&lt;-3,"Muito baixa",IF($M440&lt;-2,"Baixa","Adequada")))</f>
        <v/>
      </c>
      <c r="O440" s="12">
        <f>IF(OR($S440="",$F440="",$T440="",$T440&lt;0,$T440&gt;120,$AJ440=""),"—",ROUND(IF(ABS($AM440)&lt;=3,$AM440,IF($AM440&gt;3,3+($F440-$AO440)/($AO440-$AN440),-3+($F440-$AQ440)/($AP440-$AQ440))),2))</f>
        <v/>
      </c>
      <c r="P440">
        <f>IF(OR($O440="",$O440="—"),"",IF($O440&lt;-3,"Muito baixo",IF($O440&lt;-2,"Baixo",IF($O440&lt;=2,"Adequado","Elevado"))))</f>
        <v/>
      </c>
      <c r="Q440" s="12">
        <f>IF(OR($S440="",$F440="",$T440="",$T440&lt;0,$T440&gt;60,$AR440=""),"—",ROUND(IF(ABS($AU440)&lt;=3,$AU440,IF($AU440&gt;3,3+($F440-$AW440)/($AW440-$AV440),-3+($F440-$AY440)/($AX440-$AY440))),2))</f>
        <v/>
      </c>
      <c r="R440">
        <f>IF(OR($Q440="",$Q440="—"),"",IF($Q440&lt;-3,"Magreza acentuada",IF($Q440&lt;-2,"Magreza",IF($Q440&lt;=1,"Eutrofia",IF($Q440&lt;=2,"Risco de sobrepeso",IF($Q440&lt;=3,"Sobrepeso","Obesidade"))))))</f>
        <v/>
      </c>
      <c r="S440">
        <f>IF($C440="","",IF(UPPER(LEFT($C440,1))="M",1,IF(UPPER(LEFT($C440,1))="F",2,"")))</f>
        <v/>
      </c>
      <c r="T440">
        <f>IF(OR($D440="",$E440=""),"",DATEDIF($D440,$E440,"m"))</f>
        <v/>
      </c>
      <c r="U440">
        <f>IF(OR($D440="",$E440=""),"",$E440-$D440)</f>
        <v/>
      </c>
      <c r="V440">
        <f>IF(OR($G440="",$T440=""),"",IF($T440&lt;24,IF(LEFT(LOWER($H440),4)="em p",$G440+0.7,$G440),IF(LEFT(LOWER($H440),4)="deit",$G440-0.7,$G440)))</f>
        <v/>
      </c>
      <c r="W440">
        <f>IF(OR($S440="",$T440=""),"",$S440*1000000+IF($T440&lt;=60,$U440,$T440))</f>
        <v/>
      </c>
      <c r="X440">
        <f>IF(OR($S440="",$V440="",$T440&gt;60,$T440=""),"",$S440*1000000+ROUND($V440*10,0))</f>
        <v/>
      </c>
      <c r="Y440">
        <f>IF($W440="","",IFERROR(INDEX(IF($T440&lt;=60,imc05_l,imc519_l),MATCH($W440,IF($T440&lt;=60,imc05_k,imc519_k),1)),""))</f>
        <v/>
      </c>
      <c r="Z440">
        <f>IF($W440="","",IFERROR(INDEX(IF($T440&lt;=60,imc05_m,imc519_m),MATCH($W440,IF($T440&lt;=60,imc05_k,imc519_k),1)),""))</f>
        <v/>
      </c>
      <c r="AA440">
        <f>IF($W440="","",IFERROR(INDEX(IF($T440&lt;=60,imc05_s,imc519_s),MATCH($W440,IF($T440&lt;=60,imc05_k,imc519_k),1)),""))</f>
        <v/>
      </c>
      <c r="AB440">
        <f>IF($Y440="","",IF($Y440=0,LN($J440/$Z440)/$AA440,((($J440/$Z440)^$Y440)-1)/($Y440*$AA440)))</f>
        <v/>
      </c>
      <c r="AC440">
        <f>IF($Y440="","",IF($Y440=0,$Z440*EXP($AA440*2),$Z440*(1+$Y440*$AA440*2)^(1/$Y440)))</f>
        <v/>
      </c>
      <c r="AD440">
        <f>IF($Y440="","",IF($Y440=0,$Z440*EXP($AA440*3),$Z440*(1+$Y440*$AA440*3)^(1/$Y440)))</f>
        <v/>
      </c>
      <c r="AE440">
        <f>IF($Y440="","",IF($Y440=0,$Z440*EXP($AA440*-2),$Z440*(1+$Y440*$AA440*-2)^(1/$Y440)))</f>
        <v/>
      </c>
      <c r="AF440">
        <f>IF($Y440="","",IF($Y440=0,$Z440*EXP($AA440*-3),$Z440*(1+$Y440*$AA440*-3)^(1/$Y440)))</f>
        <v/>
      </c>
      <c r="AG440">
        <f>IF($W440="","",IFERROR(INDEX(IF($T440&lt;=60,est05_l,est519_l),MATCH($W440,IF($T440&lt;=60,est05_k,est519_k),1)),""))</f>
        <v/>
      </c>
      <c r="AH440">
        <f>IF($W440="","",IFERROR(INDEX(IF($T440&lt;=60,est05_m,est519_m),MATCH($W440,IF($T440&lt;=60,est05_k,est519_k),1)),""))</f>
        <v/>
      </c>
      <c r="AI440">
        <f>IF($W440="","",IFERROR(INDEX(IF($T440&lt;=60,est05_s,est519_s),MATCH($W440,IF($T440&lt;=60,est05_k,est519_k),1)),""))</f>
        <v/>
      </c>
      <c r="AJ440">
        <f>IF($W440="","",IFERROR(INDEX(IF($T440&lt;=60,peso05_l,peso510_l),MATCH($W440,IF($T440&lt;=60,peso05_k,peso510_k),1)),""))</f>
        <v/>
      </c>
      <c r="AK440">
        <f>IF($W440="","",IFERROR(INDEX(IF($T440&lt;=60,peso05_m,peso510_m),MATCH($W440,IF($T440&lt;=60,peso05_k,peso510_k),1)),""))</f>
        <v/>
      </c>
      <c r="AL440">
        <f>IF($W440="","",IFERROR(INDEX(IF($T440&lt;=60,peso05_s,peso510_s),MATCH($W440,IF($T440&lt;=60,peso05_k,peso510_k),1)),""))</f>
        <v/>
      </c>
      <c r="AM440">
        <f>IF($AJ440="","",IF($AJ440=0,LN($F440/$AK440)/$AL440,((($F440/$AK440)^$AJ440)-1)/($AJ440*$AL440)))</f>
        <v/>
      </c>
      <c r="AN440">
        <f>IF($AJ440="","",IF($AJ440=0,$AK440*EXP($AL440*2),$AK440*(1+$AJ440*$AL440*2)^(1/$AJ440)))</f>
        <v/>
      </c>
      <c r="AO440">
        <f>IF($AJ440="","",IF($AJ440=0,$AK440*EXP($AL440*3),$AK440*(1+$AJ440*$AL440*3)^(1/$AJ440)))</f>
        <v/>
      </c>
      <c r="AP440">
        <f>IF($AJ440="","",IF($AJ440=0,$AK440*EXP($AL440*-2),$AK440*(1+$AJ440*$AL440*-2)^(1/$AJ440)))</f>
        <v/>
      </c>
      <c r="AQ440">
        <f>IF($AJ440="","",IF($AJ440=0,$AK440*EXP($AL440*-3),$AK440*(1+$AJ440*$AL440*-3)^(1/$AJ440)))</f>
        <v/>
      </c>
      <c r="AR440">
        <f>IF(OR($X440="",$T440&gt;60),"",IFERROR(INDEX(IF($T440&lt;24,pcomp_l,palt_l),MATCH($X440,IF($T440&lt;24,pcomp_k,palt_k),1)),""))</f>
        <v/>
      </c>
      <c r="AS440">
        <f>IF(OR($X440="",$T440&gt;60),"",IFERROR(INDEX(IF($T440&lt;24,pcomp_m,palt_m),MATCH($X440,IF($T440&lt;24,pcomp_k,palt_k),1)),""))</f>
        <v/>
      </c>
      <c r="AT440">
        <f>IF(OR($X440="",$T440&gt;60),"",IFERROR(INDEX(IF($T440&lt;24,pcomp_s,palt_s),MATCH($X440,IF($T440&lt;24,pcomp_k,palt_k),1)),""))</f>
        <v/>
      </c>
      <c r="AU440">
        <f>IF($AR440="","",IF($AR440=0,LN($F440/$AS440)/$AT440,((($F440/$AS440)^$AR440)-1)/($AR440*$AT440)))</f>
        <v/>
      </c>
      <c r="AV440">
        <f>IF($AR440="","",IF($AR440=0,$AS440*EXP($AT440*2),$AS440*(1+$AR440*$AT440*2)^(1/$AR440)))</f>
        <v/>
      </c>
      <c r="AW440">
        <f>IF($AR440="","",IF($AR440=0,$AS440*EXP($AT440*3),$AS440*(1+$AR440*$AT440*3)^(1/$AR440)))</f>
        <v/>
      </c>
      <c r="AX440">
        <f>IF($AR440="","",IF($AR440=0,$AS440*EXP($AT440*-2),$AS440*(1+$AR440*$AT440*-2)^(1/$AR440)))</f>
        <v/>
      </c>
      <c r="AY440">
        <f>IF($AR440="","",IF($AR440=0,$AS440*EXP($AT440*-3),$AS440*(1+$AR440*$AT440*-3)^(1/$AR440)))</f>
        <v/>
      </c>
      <c r="AZ440">
        <f>IF(OR($A440="",$A440&lt;&gt;Ficha!$C$4),"",COUNTIF($A$2:$A440,Ficha!$C$4))</f>
        <v/>
      </c>
    </row>
    <row r="441">
      <c r="A441" s="8">
        <f>IF(INDEX(Banco!$A:$A,ROW())="","",INDEX(Banco!$A:$A,ROW()))</f>
        <v/>
      </c>
      <c r="B441" s="8">
        <f>IF(INDEX(Banco!$B:$B,ROW())="","",INDEX(Banco!$B:$B,ROW()))</f>
        <v/>
      </c>
      <c r="C441" s="8">
        <f>IF(INDEX(Banco!$C:$C,ROW())="","",INDEX(Banco!$C:$C,ROW()))</f>
        <v/>
      </c>
      <c r="D441" s="9">
        <f>IF(INDEX(Banco!$D:$D,ROW())="","",INDEX(Banco!$D:$D,ROW()))</f>
        <v/>
      </c>
      <c r="E441" s="9">
        <f>IF(INDEX(Banco!$E:$E,ROW())="","",INDEX(Banco!$E:$E,ROW()))</f>
        <v/>
      </c>
      <c r="F441" s="10">
        <f>IF(INDEX(Banco!$F:$F,ROW())="","",INDEX(Banco!$F:$F,ROW()))</f>
        <v/>
      </c>
      <c r="G441" s="10">
        <f>IF(INDEX(Banco!$G:$G,ROW())="","",INDEX(Banco!$G:$G,ROW()))</f>
        <v/>
      </c>
      <c r="H441" s="8">
        <f>IF(INDEX(Banco!$H:$H,ROW())="","",INDEX(Banco!$H:$H,ROW()))</f>
        <v/>
      </c>
      <c r="I441">
        <f>IF($T441="","",INT($T441/12)&amp;"a "&amp;MOD($T441,12)&amp;"m")</f>
        <v/>
      </c>
      <c r="J441" s="11">
        <f>IF(OR($F441="",$G441=""),"",ROUND($F441/($G441/100)^2,2))</f>
        <v/>
      </c>
      <c r="K441" s="12">
        <f>IF(OR($S441="",$J441="",$T441="",$T441&lt;0,$T441&gt;228,$Y441=""),"—",ROUND(IF(ABS($AB441)&lt;=3,$AB441,IF($AB441&gt;3,3+($J441-$AD441)/($AD441-$AC441),-3+($J441-$AF441)/($AE441-$AF441))),2))</f>
        <v/>
      </c>
      <c r="L441">
        <f>IF(OR($K441="",$K441="—"),"",IF($T441&lt;=60,IF($K441&lt;-3,"Magreza acentuada",IF($K441&lt;-2,"Magreza",IF($K441&lt;=1,"Eutrofia",IF($K441&lt;=2,"Risco de sobrepeso",IF($K441&lt;=3,"Sobrepeso","Obesidade"))))),IF($K441&lt;-3,"Magreza acentuada",IF($K441&lt;-2,"Magreza",IF($K441&lt;=1,"Eutrofia",IF($K441&lt;=2,"Sobrepeso",IF($K441&lt;=3,"Obesidade","Obesidade grave")))))))</f>
        <v/>
      </c>
      <c r="M441" s="12">
        <f>IF(OR($S441="",$V441="",$T441="",$T441&lt;0,$T441&gt;228,$AG441=""),"—",ROUND(IF($AG441=0,LN($V441/$AH441)/$AI441,((($V441/$AH441)^$AG441)-1)/($AG441*$AI441)),2))</f>
        <v/>
      </c>
      <c r="N441">
        <f>IF(OR($M441="",$M441="—"),"",IF($M441&lt;-3,"Muito baixa",IF($M441&lt;-2,"Baixa","Adequada")))</f>
        <v/>
      </c>
      <c r="O441" s="12">
        <f>IF(OR($S441="",$F441="",$T441="",$T441&lt;0,$T441&gt;120,$AJ441=""),"—",ROUND(IF(ABS($AM441)&lt;=3,$AM441,IF($AM441&gt;3,3+($F441-$AO441)/($AO441-$AN441),-3+($F441-$AQ441)/($AP441-$AQ441))),2))</f>
        <v/>
      </c>
      <c r="P441">
        <f>IF(OR($O441="",$O441="—"),"",IF($O441&lt;-3,"Muito baixo",IF($O441&lt;-2,"Baixo",IF($O441&lt;=2,"Adequado","Elevado"))))</f>
        <v/>
      </c>
      <c r="Q441" s="12">
        <f>IF(OR($S441="",$F441="",$T441="",$T441&lt;0,$T441&gt;60,$AR441=""),"—",ROUND(IF(ABS($AU441)&lt;=3,$AU441,IF($AU441&gt;3,3+($F441-$AW441)/($AW441-$AV441),-3+($F441-$AY441)/($AX441-$AY441))),2))</f>
        <v/>
      </c>
      <c r="R441">
        <f>IF(OR($Q441="",$Q441="—"),"",IF($Q441&lt;-3,"Magreza acentuada",IF($Q441&lt;-2,"Magreza",IF($Q441&lt;=1,"Eutrofia",IF($Q441&lt;=2,"Risco de sobrepeso",IF($Q441&lt;=3,"Sobrepeso","Obesidade"))))))</f>
        <v/>
      </c>
      <c r="S441">
        <f>IF($C441="","",IF(UPPER(LEFT($C441,1))="M",1,IF(UPPER(LEFT($C441,1))="F",2,"")))</f>
        <v/>
      </c>
      <c r="T441">
        <f>IF(OR($D441="",$E441=""),"",DATEDIF($D441,$E441,"m"))</f>
        <v/>
      </c>
      <c r="U441">
        <f>IF(OR($D441="",$E441=""),"",$E441-$D441)</f>
        <v/>
      </c>
      <c r="V441">
        <f>IF(OR($G441="",$T441=""),"",IF($T441&lt;24,IF(LEFT(LOWER($H441),4)="em p",$G441+0.7,$G441),IF(LEFT(LOWER($H441),4)="deit",$G441-0.7,$G441)))</f>
        <v/>
      </c>
      <c r="W441">
        <f>IF(OR($S441="",$T441=""),"",$S441*1000000+IF($T441&lt;=60,$U441,$T441))</f>
        <v/>
      </c>
      <c r="X441">
        <f>IF(OR($S441="",$V441="",$T441&gt;60,$T441=""),"",$S441*1000000+ROUND($V441*10,0))</f>
        <v/>
      </c>
      <c r="Y441">
        <f>IF($W441="","",IFERROR(INDEX(IF($T441&lt;=60,imc05_l,imc519_l),MATCH($W441,IF($T441&lt;=60,imc05_k,imc519_k),1)),""))</f>
        <v/>
      </c>
      <c r="Z441">
        <f>IF($W441="","",IFERROR(INDEX(IF($T441&lt;=60,imc05_m,imc519_m),MATCH($W441,IF($T441&lt;=60,imc05_k,imc519_k),1)),""))</f>
        <v/>
      </c>
      <c r="AA441">
        <f>IF($W441="","",IFERROR(INDEX(IF($T441&lt;=60,imc05_s,imc519_s),MATCH($W441,IF($T441&lt;=60,imc05_k,imc519_k),1)),""))</f>
        <v/>
      </c>
      <c r="AB441">
        <f>IF($Y441="","",IF($Y441=0,LN($J441/$Z441)/$AA441,((($J441/$Z441)^$Y441)-1)/($Y441*$AA441)))</f>
        <v/>
      </c>
      <c r="AC441">
        <f>IF($Y441="","",IF($Y441=0,$Z441*EXP($AA441*2),$Z441*(1+$Y441*$AA441*2)^(1/$Y441)))</f>
        <v/>
      </c>
      <c r="AD441">
        <f>IF($Y441="","",IF($Y441=0,$Z441*EXP($AA441*3),$Z441*(1+$Y441*$AA441*3)^(1/$Y441)))</f>
        <v/>
      </c>
      <c r="AE441">
        <f>IF($Y441="","",IF($Y441=0,$Z441*EXP($AA441*-2),$Z441*(1+$Y441*$AA441*-2)^(1/$Y441)))</f>
        <v/>
      </c>
      <c r="AF441">
        <f>IF($Y441="","",IF($Y441=0,$Z441*EXP($AA441*-3),$Z441*(1+$Y441*$AA441*-3)^(1/$Y441)))</f>
        <v/>
      </c>
      <c r="AG441">
        <f>IF($W441="","",IFERROR(INDEX(IF($T441&lt;=60,est05_l,est519_l),MATCH($W441,IF($T441&lt;=60,est05_k,est519_k),1)),""))</f>
        <v/>
      </c>
      <c r="AH441">
        <f>IF($W441="","",IFERROR(INDEX(IF($T441&lt;=60,est05_m,est519_m),MATCH($W441,IF($T441&lt;=60,est05_k,est519_k),1)),""))</f>
        <v/>
      </c>
      <c r="AI441">
        <f>IF($W441="","",IFERROR(INDEX(IF($T441&lt;=60,est05_s,est519_s),MATCH($W441,IF($T441&lt;=60,est05_k,est519_k),1)),""))</f>
        <v/>
      </c>
      <c r="AJ441">
        <f>IF($W441="","",IFERROR(INDEX(IF($T441&lt;=60,peso05_l,peso510_l),MATCH($W441,IF($T441&lt;=60,peso05_k,peso510_k),1)),""))</f>
        <v/>
      </c>
      <c r="AK441">
        <f>IF($W441="","",IFERROR(INDEX(IF($T441&lt;=60,peso05_m,peso510_m),MATCH($W441,IF($T441&lt;=60,peso05_k,peso510_k),1)),""))</f>
        <v/>
      </c>
      <c r="AL441">
        <f>IF($W441="","",IFERROR(INDEX(IF($T441&lt;=60,peso05_s,peso510_s),MATCH($W441,IF($T441&lt;=60,peso05_k,peso510_k),1)),""))</f>
        <v/>
      </c>
      <c r="AM441">
        <f>IF($AJ441="","",IF($AJ441=0,LN($F441/$AK441)/$AL441,((($F441/$AK441)^$AJ441)-1)/($AJ441*$AL441)))</f>
        <v/>
      </c>
      <c r="AN441">
        <f>IF($AJ441="","",IF($AJ441=0,$AK441*EXP($AL441*2),$AK441*(1+$AJ441*$AL441*2)^(1/$AJ441)))</f>
        <v/>
      </c>
      <c r="AO441">
        <f>IF($AJ441="","",IF($AJ441=0,$AK441*EXP($AL441*3),$AK441*(1+$AJ441*$AL441*3)^(1/$AJ441)))</f>
        <v/>
      </c>
      <c r="AP441">
        <f>IF($AJ441="","",IF($AJ441=0,$AK441*EXP($AL441*-2),$AK441*(1+$AJ441*$AL441*-2)^(1/$AJ441)))</f>
        <v/>
      </c>
      <c r="AQ441">
        <f>IF($AJ441="","",IF($AJ441=0,$AK441*EXP($AL441*-3),$AK441*(1+$AJ441*$AL441*-3)^(1/$AJ441)))</f>
        <v/>
      </c>
      <c r="AR441">
        <f>IF(OR($X441="",$T441&gt;60),"",IFERROR(INDEX(IF($T441&lt;24,pcomp_l,palt_l),MATCH($X441,IF($T441&lt;24,pcomp_k,palt_k),1)),""))</f>
        <v/>
      </c>
      <c r="AS441">
        <f>IF(OR($X441="",$T441&gt;60),"",IFERROR(INDEX(IF($T441&lt;24,pcomp_m,palt_m),MATCH($X441,IF($T441&lt;24,pcomp_k,palt_k),1)),""))</f>
        <v/>
      </c>
      <c r="AT441">
        <f>IF(OR($X441="",$T441&gt;60),"",IFERROR(INDEX(IF($T441&lt;24,pcomp_s,palt_s),MATCH($X441,IF($T441&lt;24,pcomp_k,palt_k),1)),""))</f>
        <v/>
      </c>
      <c r="AU441">
        <f>IF($AR441="","",IF($AR441=0,LN($F441/$AS441)/$AT441,((($F441/$AS441)^$AR441)-1)/($AR441*$AT441)))</f>
        <v/>
      </c>
      <c r="AV441">
        <f>IF($AR441="","",IF($AR441=0,$AS441*EXP($AT441*2),$AS441*(1+$AR441*$AT441*2)^(1/$AR441)))</f>
        <v/>
      </c>
      <c r="AW441">
        <f>IF($AR441="","",IF($AR441=0,$AS441*EXP($AT441*3),$AS441*(1+$AR441*$AT441*3)^(1/$AR441)))</f>
        <v/>
      </c>
      <c r="AX441">
        <f>IF($AR441="","",IF($AR441=0,$AS441*EXP($AT441*-2),$AS441*(1+$AR441*$AT441*-2)^(1/$AR441)))</f>
        <v/>
      </c>
      <c r="AY441">
        <f>IF($AR441="","",IF($AR441=0,$AS441*EXP($AT441*-3),$AS441*(1+$AR441*$AT441*-3)^(1/$AR441)))</f>
        <v/>
      </c>
      <c r="AZ441">
        <f>IF(OR($A441="",$A441&lt;&gt;Ficha!$C$4),"",COUNTIF($A$2:$A441,Ficha!$C$4))</f>
        <v/>
      </c>
    </row>
    <row r="442">
      <c r="A442" s="8">
        <f>IF(INDEX(Banco!$A:$A,ROW())="","",INDEX(Banco!$A:$A,ROW()))</f>
        <v/>
      </c>
      <c r="B442" s="8">
        <f>IF(INDEX(Banco!$B:$B,ROW())="","",INDEX(Banco!$B:$B,ROW()))</f>
        <v/>
      </c>
      <c r="C442" s="8">
        <f>IF(INDEX(Banco!$C:$C,ROW())="","",INDEX(Banco!$C:$C,ROW()))</f>
        <v/>
      </c>
      <c r="D442" s="9">
        <f>IF(INDEX(Banco!$D:$D,ROW())="","",INDEX(Banco!$D:$D,ROW()))</f>
        <v/>
      </c>
      <c r="E442" s="9">
        <f>IF(INDEX(Banco!$E:$E,ROW())="","",INDEX(Banco!$E:$E,ROW()))</f>
        <v/>
      </c>
      <c r="F442" s="10">
        <f>IF(INDEX(Banco!$F:$F,ROW())="","",INDEX(Banco!$F:$F,ROW()))</f>
        <v/>
      </c>
      <c r="G442" s="10">
        <f>IF(INDEX(Banco!$G:$G,ROW())="","",INDEX(Banco!$G:$G,ROW()))</f>
        <v/>
      </c>
      <c r="H442" s="8">
        <f>IF(INDEX(Banco!$H:$H,ROW())="","",INDEX(Banco!$H:$H,ROW()))</f>
        <v/>
      </c>
      <c r="I442">
        <f>IF($T442="","",INT($T442/12)&amp;"a "&amp;MOD($T442,12)&amp;"m")</f>
        <v/>
      </c>
      <c r="J442" s="11">
        <f>IF(OR($F442="",$G442=""),"",ROUND($F442/($G442/100)^2,2))</f>
        <v/>
      </c>
      <c r="K442" s="12">
        <f>IF(OR($S442="",$J442="",$T442="",$T442&lt;0,$T442&gt;228,$Y442=""),"—",ROUND(IF(ABS($AB442)&lt;=3,$AB442,IF($AB442&gt;3,3+($J442-$AD442)/($AD442-$AC442),-3+($J442-$AF442)/($AE442-$AF442))),2))</f>
        <v/>
      </c>
      <c r="L442">
        <f>IF(OR($K442="",$K442="—"),"",IF($T442&lt;=60,IF($K442&lt;-3,"Magreza acentuada",IF($K442&lt;-2,"Magreza",IF($K442&lt;=1,"Eutrofia",IF($K442&lt;=2,"Risco de sobrepeso",IF($K442&lt;=3,"Sobrepeso","Obesidade"))))),IF($K442&lt;-3,"Magreza acentuada",IF($K442&lt;-2,"Magreza",IF($K442&lt;=1,"Eutrofia",IF($K442&lt;=2,"Sobrepeso",IF($K442&lt;=3,"Obesidade","Obesidade grave")))))))</f>
        <v/>
      </c>
      <c r="M442" s="12">
        <f>IF(OR($S442="",$V442="",$T442="",$T442&lt;0,$T442&gt;228,$AG442=""),"—",ROUND(IF($AG442=0,LN($V442/$AH442)/$AI442,((($V442/$AH442)^$AG442)-1)/($AG442*$AI442)),2))</f>
        <v/>
      </c>
      <c r="N442">
        <f>IF(OR($M442="",$M442="—"),"",IF($M442&lt;-3,"Muito baixa",IF($M442&lt;-2,"Baixa","Adequada")))</f>
        <v/>
      </c>
      <c r="O442" s="12">
        <f>IF(OR($S442="",$F442="",$T442="",$T442&lt;0,$T442&gt;120,$AJ442=""),"—",ROUND(IF(ABS($AM442)&lt;=3,$AM442,IF($AM442&gt;3,3+($F442-$AO442)/($AO442-$AN442),-3+($F442-$AQ442)/($AP442-$AQ442))),2))</f>
        <v/>
      </c>
      <c r="P442">
        <f>IF(OR($O442="",$O442="—"),"",IF($O442&lt;-3,"Muito baixo",IF($O442&lt;-2,"Baixo",IF($O442&lt;=2,"Adequado","Elevado"))))</f>
        <v/>
      </c>
      <c r="Q442" s="12">
        <f>IF(OR($S442="",$F442="",$T442="",$T442&lt;0,$T442&gt;60,$AR442=""),"—",ROUND(IF(ABS($AU442)&lt;=3,$AU442,IF($AU442&gt;3,3+($F442-$AW442)/($AW442-$AV442),-3+($F442-$AY442)/($AX442-$AY442))),2))</f>
        <v/>
      </c>
      <c r="R442">
        <f>IF(OR($Q442="",$Q442="—"),"",IF($Q442&lt;-3,"Magreza acentuada",IF($Q442&lt;-2,"Magreza",IF($Q442&lt;=1,"Eutrofia",IF($Q442&lt;=2,"Risco de sobrepeso",IF($Q442&lt;=3,"Sobrepeso","Obesidade"))))))</f>
        <v/>
      </c>
      <c r="S442">
        <f>IF($C442="","",IF(UPPER(LEFT($C442,1))="M",1,IF(UPPER(LEFT($C442,1))="F",2,"")))</f>
        <v/>
      </c>
      <c r="T442">
        <f>IF(OR($D442="",$E442=""),"",DATEDIF($D442,$E442,"m"))</f>
        <v/>
      </c>
      <c r="U442">
        <f>IF(OR($D442="",$E442=""),"",$E442-$D442)</f>
        <v/>
      </c>
      <c r="V442">
        <f>IF(OR($G442="",$T442=""),"",IF($T442&lt;24,IF(LEFT(LOWER($H442),4)="em p",$G442+0.7,$G442),IF(LEFT(LOWER($H442),4)="deit",$G442-0.7,$G442)))</f>
        <v/>
      </c>
      <c r="W442">
        <f>IF(OR($S442="",$T442=""),"",$S442*1000000+IF($T442&lt;=60,$U442,$T442))</f>
        <v/>
      </c>
      <c r="X442">
        <f>IF(OR($S442="",$V442="",$T442&gt;60,$T442=""),"",$S442*1000000+ROUND($V442*10,0))</f>
        <v/>
      </c>
      <c r="Y442">
        <f>IF($W442="","",IFERROR(INDEX(IF($T442&lt;=60,imc05_l,imc519_l),MATCH($W442,IF($T442&lt;=60,imc05_k,imc519_k),1)),""))</f>
        <v/>
      </c>
      <c r="Z442">
        <f>IF($W442="","",IFERROR(INDEX(IF($T442&lt;=60,imc05_m,imc519_m),MATCH($W442,IF($T442&lt;=60,imc05_k,imc519_k),1)),""))</f>
        <v/>
      </c>
      <c r="AA442">
        <f>IF($W442="","",IFERROR(INDEX(IF($T442&lt;=60,imc05_s,imc519_s),MATCH($W442,IF($T442&lt;=60,imc05_k,imc519_k),1)),""))</f>
        <v/>
      </c>
      <c r="AB442">
        <f>IF($Y442="","",IF($Y442=0,LN($J442/$Z442)/$AA442,((($J442/$Z442)^$Y442)-1)/($Y442*$AA442)))</f>
        <v/>
      </c>
      <c r="AC442">
        <f>IF($Y442="","",IF($Y442=0,$Z442*EXP($AA442*2),$Z442*(1+$Y442*$AA442*2)^(1/$Y442)))</f>
        <v/>
      </c>
      <c r="AD442">
        <f>IF($Y442="","",IF($Y442=0,$Z442*EXP($AA442*3),$Z442*(1+$Y442*$AA442*3)^(1/$Y442)))</f>
        <v/>
      </c>
      <c r="AE442">
        <f>IF($Y442="","",IF($Y442=0,$Z442*EXP($AA442*-2),$Z442*(1+$Y442*$AA442*-2)^(1/$Y442)))</f>
        <v/>
      </c>
      <c r="AF442">
        <f>IF($Y442="","",IF($Y442=0,$Z442*EXP($AA442*-3),$Z442*(1+$Y442*$AA442*-3)^(1/$Y442)))</f>
        <v/>
      </c>
      <c r="AG442">
        <f>IF($W442="","",IFERROR(INDEX(IF($T442&lt;=60,est05_l,est519_l),MATCH($W442,IF($T442&lt;=60,est05_k,est519_k),1)),""))</f>
        <v/>
      </c>
      <c r="AH442">
        <f>IF($W442="","",IFERROR(INDEX(IF($T442&lt;=60,est05_m,est519_m),MATCH($W442,IF($T442&lt;=60,est05_k,est519_k),1)),""))</f>
        <v/>
      </c>
      <c r="AI442">
        <f>IF($W442="","",IFERROR(INDEX(IF($T442&lt;=60,est05_s,est519_s),MATCH($W442,IF($T442&lt;=60,est05_k,est519_k),1)),""))</f>
        <v/>
      </c>
      <c r="AJ442">
        <f>IF($W442="","",IFERROR(INDEX(IF($T442&lt;=60,peso05_l,peso510_l),MATCH($W442,IF($T442&lt;=60,peso05_k,peso510_k),1)),""))</f>
        <v/>
      </c>
      <c r="AK442">
        <f>IF($W442="","",IFERROR(INDEX(IF($T442&lt;=60,peso05_m,peso510_m),MATCH($W442,IF($T442&lt;=60,peso05_k,peso510_k),1)),""))</f>
        <v/>
      </c>
      <c r="AL442">
        <f>IF($W442="","",IFERROR(INDEX(IF($T442&lt;=60,peso05_s,peso510_s),MATCH($W442,IF($T442&lt;=60,peso05_k,peso510_k),1)),""))</f>
        <v/>
      </c>
      <c r="AM442">
        <f>IF($AJ442="","",IF($AJ442=0,LN($F442/$AK442)/$AL442,((($F442/$AK442)^$AJ442)-1)/($AJ442*$AL442)))</f>
        <v/>
      </c>
      <c r="AN442">
        <f>IF($AJ442="","",IF($AJ442=0,$AK442*EXP($AL442*2),$AK442*(1+$AJ442*$AL442*2)^(1/$AJ442)))</f>
        <v/>
      </c>
      <c r="AO442">
        <f>IF($AJ442="","",IF($AJ442=0,$AK442*EXP($AL442*3),$AK442*(1+$AJ442*$AL442*3)^(1/$AJ442)))</f>
        <v/>
      </c>
      <c r="AP442">
        <f>IF($AJ442="","",IF($AJ442=0,$AK442*EXP($AL442*-2),$AK442*(1+$AJ442*$AL442*-2)^(1/$AJ442)))</f>
        <v/>
      </c>
      <c r="AQ442">
        <f>IF($AJ442="","",IF($AJ442=0,$AK442*EXP($AL442*-3),$AK442*(1+$AJ442*$AL442*-3)^(1/$AJ442)))</f>
        <v/>
      </c>
      <c r="AR442">
        <f>IF(OR($X442="",$T442&gt;60),"",IFERROR(INDEX(IF($T442&lt;24,pcomp_l,palt_l),MATCH($X442,IF($T442&lt;24,pcomp_k,palt_k),1)),""))</f>
        <v/>
      </c>
      <c r="AS442">
        <f>IF(OR($X442="",$T442&gt;60),"",IFERROR(INDEX(IF($T442&lt;24,pcomp_m,palt_m),MATCH($X442,IF($T442&lt;24,pcomp_k,palt_k),1)),""))</f>
        <v/>
      </c>
      <c r="AT442">
        <f>IF(OR($X442="",$T442&gt;60),"",IFERROR(INDEX(IF($T442&lt;24,pcomp_s,palt_s),MATCH($X442,IF($T442&lt;24,pcomp_k,palt_k),1)),""))</f>
        <v/>
      </c>
      <c r="AU442">
        <f>IF($AR442="","",IF($AR442=0,LN($F442/$AS442)/$AT442,((($F442/$AS442)^$AR442)-1)/($AR442*$AT442)))</f>
        <v/>
      </c>
      <c r="AV442">
        <f>IF($AR442="","",IF($AR442=0,$AS442*EXP($AT442*2),$AS442*(1+$AR442*$AT442*2)^(1/$AR442)))</f>
        <v/>
      </c>
      <c r="AW442">
        <f>IF($AR442="","",IF($AR442=0,$AS442*EXP($AT442*3),$AS442*(1+$AR442*$AT442*3)^(1/$AR442)))</f>
        <v/>
      </c>
      <c r="AX442">
        <f>IF($AR442="","",IF($AR442=0,$AS442*EXP($AT442*-2),$AS442*(1+$AR442*$AT442*-2)^(1/$AR442)))</f>
        <v/>
      </c>
      <c r="AY442">
        <f>IF($AR442="","",IF($AR442=0,$AS442*EXP($AT442*-3),$AS442*(1+$AR442*$AT442*-3)^(1/$AR442)))</f>
        <v/>
      </c>
      <c r="AZ442">
        <f>IF(OR($A442="",$A442&lt;&gt;Ficha!$C$4),"",COUNTIF($A$2:$A442,Ficha!$C$4))</f>
        <v/>
      </c>
    </row>
    <row r="443">
      <c r="A443" s="8">
        <f>IF(INDEX(Banco!$A:$A,ROW())="","",INDEX(Banco!$A:$A,ROW()))</f>
        <v/>
      </c>
      <c r="B443" s="8">
        <f>IF(INDEX(Banco!$B:$B,ROW())="","",INDEX(Banco!$B:$B,ROW()))</f>
        <v/>
      </c>
      <c r="C443" s="8">
        <f>IF(INDEX(Banco!$C:$C,ROW())="","",INDEX(Banco!$C:$C,ROW()))</f>
        <v/>
      </c>
      <c r="D443" s="9">
        <f>IF(INDEX(Banco!$D:$D,ROW())="","",INDEX(Banco!$D:$D,ROW()))</f>
        <v/>
      </c>
      <c r="E443" s="9">
        <f>IF(INDEX(Banco!$E:$E,ROW())="","",INDEX(Banco!$E:$E,ROW()))</f>
        <v/>
      </c>
      <c r="F443" s="10">
        <f>IF(INDEX(Banco!$F:$F,ROW())="","",INDEX(Banco!$F:$F,ROW()))</f>
        <v/>
      </c>
      <c r="G443" s="10">
        <f>IF(INDEX(Banco!$G:$G,ROW())="","",INDEX(Banco!$G:$G,ROW()))</f>
        <v/>
      </c>
      <c r="H443" s="8">
        <f>IF(INDEX(Banco!$H:$H,ROW())="","",INDEX(Banco!$H:$H,ROW()))</f>
        <v/>
      </c>
      <c r="I443">
        <f>IF($T443="","",INT($T443/12)&amp;"a "&amp;MOD($T443,12)&amp;"m")</f>
        <v/>
      </c>
      <c r="J443" s="11">
        <f>IF(OR($F443="",$G443=""),"",ROUND($F443/($G443/100)^2,2))</f>
        <v/>
      </c>
      <c r="K443" s="12">
        <f>IF(OR($S443="",$J443="",$T443="",$T443&lt;0,$T443&gt;228,$Y443=""),"—",ROUND(IF(ABS($AB443)&lt;=3,$AB443,IF($AB443&gt;3,3+($J443-$AD443)/($AD443-$AC443),-3+($J443-$AF443)/($AE443-$AF443))),2))</f>
        <v/>
      </c>
      <c r="L443">
        <f>IF(OR($K443="",$K443="—"),"",IF($T443&lt;=60,IF($K443&lt;-3,"Magreza acentuada",IF($K443&lt;-2,"Magreza",IF($K443&lt;=1,"Eutrofia",IF($K443&lt;=2,"Risco de sobrepeso",IF($K443&lt;=3,"Sobrepeso","Obesidade"))))),IF($K443&lt;-3,"Magreza acentuada",IF($K443&lt;-2,"Magreza",IF($K443&lt;=1,"Eutrofia",IF($K443&lt;=2,"Sobrepeso",IF($K443&lt;=3,"Obesidade","Obesidade grave")))))))</f>
        <v/>
      </c>
      <c r="M443" s="12">
        <f>IF(OR($S443="",$V443="",$T443="",$T443&lt;0,$T443&gt;228,$AG443=""),"—",ROUND(IF($AG443=0,LN($V443/$AH443)/$AI443,((($V443/$AH443)^$AG443)-1)/($AG443*$AI443)),2))</f>
        <v/>
      </c>
      <c r="N443">
        <f>IF(OR($M443="",$M443="—"),"",IF($M443&lt;-3,"Muito baixa",IF($M443&lt;-2,"Baixa","Adequada")))</f>
        <v/>
      </c>
      <c r="O443" s="12">
        <f>IF(OR($S443="",$F443="",$T443="",$T443&lt;0,$T443&gt;120,$AJ443=""),"—",ROUND(IF(ABS($AM443)&lt;=3,$AM443,IF($AM443&gt;3,3+($F443-$AO443)/($AO443-$AN443),-3+($F443-$AQ443)/($AP443-$AQ443))),2))</f>
        <v/>
      </c>
      <c r="P443">
        <f>IF(OR($O443="",$O443="—"),"",IF($O443&lt;-3,"Muito baixo",IF($O443&lt;-2,"Baixo",IF($O443&lt;=2,"Adequado","Elevado"))))</f>
        <v/>
      </c>
      <c r="Q443" s="12">
        <f>IF(OR($S443="",$F443="",$T443="",$T443&lt;0,$T443&gt;60,$AR443=""),"—",ROUND(IF(ABS($AU443)&lt;=3,$AU443,IF($AU443&gt;3,3+($F443-$AW443)/($AW443-$AV443),-3+($F443-$AY443)/($AX443-$AY443))),2))</f>
        <v/>
      </c>
      <c r="R443">
        <f>IF(OR($Q443="",$Q443="—"),"",IF($Q443&lt;-3,"Magreza acentuada",IF($Q443&lt;-2,"Magreza",IF($Q443&lt;=1,"Eutrofia",IF($Q443&lt;=2,"Risco de sobrepeso",IF($Q443&lt;=3,"Sobrepeso","Obesidade"))))))</f>
        <v/>
      </c>
      <c r="S443">
        <f>IF($C443="","",IF(UPPER(LEFT($C443,1))="M",1,IF(UPPER(LEFT($C443,1))="F",2,"")))</f>
        <v/>
      </c>
      <c r="T443">
        <f>IF(OR($D443="",$E443=""),"",DATEDIF($D443,$E443,"m"))</f>
        <v/>
      </c>
      <c r="U443">
        <f>IF(OR($D443="",$E443=""),"",$E443-$D443)</f>
        <v/>
      </c>
      <c r="V443">
        <f>IF(OR($G443="",$T443=""),"",IF($T443&lt;24,IF(LEFT(LOWER($H443),4)="em p",$G443+0.7,$G443),IF(LEFT(LOWER($H443),4)="deit",$G443-0.7,$G443)))</f>
        <v/>
      </c>
      <c r="W443">
        <f>IF(OR($S443="",$T443=""),"",$S443*1000000+IF($T443&lt;=60,$U443,$T443))</f>
        <v/>
      </c>
      <c r="X443">
        <f>IF(OR($S443="",$V443="",$T443&gt;60,$T443=""),"",$S443*1000000+ROUND($V443*10,0))</f>
        <v/>
      </c>
      <c r="Y443">
        <f>IF($W443="","",IFERROR(INDEX(IF($T443&lt;=60,imc05_l,imc519_l),MATCH($W443,IF($T443&lt;=60,imc05_k,imc519_k),1)),""))</f>
        <v/>
      </c>
      <c r="Z443">
        <f>IF($W443="","",IFERROR(INDEX(IF($T443&lt;=60,imc05_m,imc519_m),MATCH($W443,IF($T443&lt;=60,imc05_k,imc519_k),1)),""))</f>
        <v/>
      </c>
      <c r="AA443">
        <f>IF($W443="","",IFERROR(INDEX(IF($T443&lt;=60,imc05_s,imc519_s),MATCH($W443,IF($T443&lt;=60,imc05_k,imc519_k),1)),""))</f>
        <v/>
      </c>
      <c r="AB443">
        <f>IF($Y443="","",IF($Y443=0,LN($J443/$Z443)/$AA443,((($J443/$Z443)^$Y443)-1)/($Y443*$AA443)))</f>
        <v/>
      </c>
      <c r="AC443">
        <f>IF($Y443="","",IF($Y443=0,$Z443*EXP($AA443*2),$Z443*(1+$Y443*$AA443*2)^(1/$Y443)))</f>
        <v/>
      </c>
      <c r="AD443">
        <f>IF($Y443="","",IF($Y443=0,$Z443*EXP($AA443*3),$Z443*(1+$Y443*$AA443*3)^(1/$Y443)))</f>
        <v/>
      </c>
      <c r="AE443">
        <f>IF($Y443="","",IF($Y443=0,$Z443*EXP($AA443*-2),$Z443*(1+$Y443*$AA443*-2)^(1/$Y443)))</f>
        <v/>
      </c>
      <c r="AF443">
        <f>IF($Y443="","",IF($Y443=0,$Z443*EXP($AA443*-3),$Z443*(1+$Y443*$AA443*-3)^(1/$Y443)))</f>
        <v/>
      </c>
      <c r="AG443">
        <f>IF($W443="","",IFERROR(INDEX(IF($T443&lt;=60,est05_l,est519_l),MATCH($W443,IF($T443&lt;=60,est05_k,est519_k),1)),""))</f>
        <v/>
      </c>
      <c r="AH443">
        <f>IF($W443="","",IFERROR(INDEX(IF($T443&lt;=60,est05_m,est519_m),MATCH($W443,IF($T443&lt;=60,est05_k,est519_k),1)),""))</f>
        <v/>
      </c>
      <c r="AI443">
        <f>IF($W443="","",IFERROR(INDEX(IF($T443&lt;=60,est05_s,est519_s),MATCH($W443,IF($T443&lt;=60,est05_k,est519_k),1)),""))</f>
        <v/>
      </c>
      <c r="AJ443">
        <f>IF($W443="","",IFERROR(INDEX(IF($T443&lt;=60,peso05_l,peso510_l),MATCH($W443,IF($T443&lt;=60,peso05_k,peso510_k),1)),""))</f>
        <v/>
      </c>
      <c r="AK443">
        <f>IF($W443="","",IFERROR(INDEX(IF($T443&lt;=60,peso05_m,peso510_m),MATCH($W443,IF($T443&lt;=60,peso05_k,peso510_k),1)),""))</f>
        <v/>
      </c>
      <c r="AL443">
        <f>IF($W443="","",IFERROR(INDEX(IF($T443&lt;=60,peso05_s,peso510_s),MATCH($W443,IF($T443&lt;=60,peso05_k,peso510_k),1)),""))</f>
        <v/>
      </c>
      <c r="AM443">
        <f>IF($AJ443="","",IF($AJ443=0,LN($F443/$AK443)/$AL443,((($F443/$AK443)^$AJ443)-1)/($AJ443*$AL443)))</f>
        <v/>
      </c>
      <c r="AN443">
        <f>IF($AJ443="","",IF($AJ443=0,$AK443*EXP($AL443*2),$AK443*(1+$AJ443*$AL443*2)^(1/$AJ443)))</f>
        <v/>
      </c>
      <c r="AO443">
        <f>IF($AJ443="","",IF($AJ443=0,$AK443*EXP($AL443*3),$AK443*(1+$AJ443*$AL443*3)^(1/$AJ443)))</f>
        <v/>
      </c>
      <c r="AP443">
        <f>IF($AJ443="","",IF($AJ443=0,$AK443*EXP($AL443*-2),$AK443*(1+$AJ443*$AL443*-2)^(1/$AJ443)))</f>
        <v/>
      </c>
      <c r="AQ443">
        <f>IF($AJ443="","",IF($AJ443=0,$AK443*EXP($AL443*-3),$AK443*(1+$AJ443*$AL443*-3)^(1/$AJ443)))</f>
        <v/>
      </c>
      <c r="AR443">
        <f>IF(OR($X443="",$T443&gt;60),"",IFERROR(INDEX(IF($T443&lt;24,pcomp_l,palt_l),MATCH($X443,IF($T443&lt;24,pcomp_k,palt_k),1)),""))</f>
        <v/>
      </c>
      <c r="AS443">
        <f>IF(OR($X443="",$T443&gt;60),"",IFERROR(INDEX(IF($T443&lt;24,pcomp_m,palt_m),MATCH($X443,IF($T443&lt;24,pcomp_k,palt_k),1)),""))</f>
        <v/>
      </c>
      <c r="AT443">
        <f>IF(OR($X443="",$T443&gt;60),"",IFERROR(INDEX(IF($T443&lt;24,pcomp_s,palt_s),MATCH($X443,IF($T443&lt;24,pcomp_k,palt_k),1)),""))</f>
        <v/>
      </c>
      <c r="AU443">
        <f>IF($AR443="","",IF($AR443=0,LN($F443/$AS443)/$AT443,((($F443/$AS443)^$AR443)-1)/($AR443*$AT443)))</f>
        <v/>
      </c>
      <c r="AV443">
        <f>IF($AR443="","",IF($AR443=0,$AS443*EXP($AT443*2),$AS443*(1+$AR443*$AT443*2)^(1/$AR443)))</f>
        <v/>
      </c>
      <c r="AW443">
        <f>IF($AR443="","",IF($AR443=0,$AS443*EXP($AT443*3),$AS443*(1+$AR443*$AT443*3)^(1/$AR443)))</f>
        <v/>
      </c>
      <c r="AX443">
        <f>IF($AR443="","",IF($AR443=0,$AS443*EXP($AT443*-2),$AS443*(1+$AR443*$AT443*-2)^(1/$AR443)))</f>
        <v/>
      </c>
      <c r="AY443">
        <f>IF($AR443="","",IF($AR443=0,$AS443*EXP($AT443*-3),$AS443*(1+$AR443*$AT443*-3)^(1/$AR443)))</f>
        <v/>
      </c>
      <c r="AZ443">
        <f>IF(OR($A443="",$A443&lt;&gt;Ficha!$C$4),"",COUNTIF($A$2:$A443,Ficha!$C$4))</f>
        <v/>
      </c>
    </row>
    <row r="444">
      <c r="A444" s="8">
        <f>IF(INDEX(Banco!$A:$A,ROW())="","",INDEX(Banco!$A:$A,ROW()))</f>
        <v/>
      </c>
      <c r="B444" s="8">
        <f>IF(INDEX(Banco!$B:$B,ROW())="","",INDEX(Banco!$B:$B,ROW()))</f>
        <v/>
      </c>
      <c r="C444" s="8">
        <f>IF(INDEX(Banco!$C:$C,ROW())="","",INDEX(Banco!$C:$C,ROW()))</f>
        <v/>
      </c>
      <c r="D444" s="9">
        <f>IF(INDEX(Banco!$D:$D,ROW())="","",INDEX(Banco!$D:$D,ROW()))</f>
        <v/>
      </c>
      <c r="E444" s="9">
        <f>IF(INDEX(Banco!$E:$E,ROW())="","",INDEX(Banco!$E:$E,ROW()))</f>
        <v/>
      </c>
      <c r="F444" s="10">
        <f>IF(INDEX(Banco!$F:$F,ROW())="","",INDEX(Banco!$F:$F,ROW()))</f>
        <v/>
      </c>
      <c r="G444" s="10">
        <f>IF(INDEX(Banco!$G:$G,ROW())="","",INDEX(Banco!$G:$G,ROW()))</f>
        <v/>
      </c>
      <c r="H444" s="8">
        <f>IF(INDEX(Banco!$H:$H,ROW())="","",INDEX(Banco!$H:$H,ROW()))</f>
        <v/>
      </c>
      <c r="I444">
        <f>IF($T444="","",INT($T444/12)&amp;"a "&amp;MOD($T444,12)&amp;"m")</f>
        <v/>
      </c>
      <c r="J444" s="11">
        <f>IF(OR($F444="",$G444=""),"",ROUND($F444/($G444/100)^2,2))</f>
        <v/>
      </c>
      <c r="K444" s="12">
        <f>IF(OR($S444="",$J444="",$T444="",$T444&lt;0,$T444&gt;228,$Y444=""),"—",ROUND(IF(ABS($AB444)&lt;=3,$AB444,IF($AB444&gt;3,3+($J444-$AD444)/($AD444-$AC444),-3+($J444-$AF444)/($AE444-$AF444))),2))</f>
        <v/>
      </c>
      <c r="L444">
        <f>IF(OR($K444="",$K444="—"),"",IF($T444&lt;=60,IF($K444&lt;-3,"Magreza acentuada",IF($K444&lt;-2,"Magreza",IF($K444&lt;=1,"Eutrofia",IF($K444&lt;=2,"Risco de sobrepeso",IF($K444&lt;=3,"Sobrepeso","Obesidade"))))),IF($K444&lt;-3,"Magreza acentuada",IF($K444&lt;-2,"Magreza",IF($K444&lt;=1,"Eutrofia",IF($K444&lt;=2,"Sobrepeso",IF($K444&lt;=3,"Obesidade","Obesidade grave")))))))</f>
        <v/>
      </c>
      <c r="M444" s="12">
        <f>IF(OR($S444="",$V444="",$T444="",$T444&lt;0,$T444&gt;228,$AG444=""),"—",ROUND(IF($AG444=0,LN($V444/$AH444)/$AI444,((($V444/$AH444)^$AG444)-1)/($AG444*$AI444)),2))</f>
        <v/>
      </c>
      <c r="N444">
        <f>IF(OR($M444="",$M444="—"),"",IF($M444&lt;-3,"Muito baixa",IF($M444&lt;-2,"Baixa","Adequada")))</f>
        <v/>
      </c>
      <c r="O444" s="12">
        <f>IF(OR($S444="",$F444="",$T444="",$T444&lt;0,$T444&gt;120,$AJ444=""),"—",ROUND(IF(ABS($AM444)&lt;=3,$AM444,IF($AM444&gt;3,3+($F444-$AO444)/($AO444-$AN444),-3+($F444-$AQ444)/($AP444-$AQ444))),2))</f>
        <v/>
      </c>
      <c r="P444">
        <f>IF(OR($O444="",$O444="—"),"",IF($O444&lt;-3,"Muito baixo",IF($O444&lt;-2,"Baixo",IF($O444&lt;=2,"Adequado","Elevado"))))</f>
        <v/>
      </c>
      <c r="Q444" s="12">
        <f>IF(OR($S444="",$F444="",$T444="",$T444&lt;0,$T444&gt;60,$AR444=""),"—",ROUND(IF(ABS($AU444)&lt;=3,$AU444,IF($AU444&gt;3,3+($F444-$AW444)/($AW444-$AV444),-3+($F444-$AY444)/($AX444-$AY444))),2))</f>
        <v/>
      </c>
      <c r="R444">
        <f>IF(OR($Q444="",$Q444="—"),"",IF($Q444&lt;-3,"Magreza acentuada",IF($Q444&lt;-2,"Magreza",IF($Q444&lt;=1,"Eutrofia",IF($Q444&lt;=2,"Risco de sobrepeso",IF($Q444&lt;=3,"Sobrepeso","Obesidade"))))))</f>
        <v/>
      </c>
      <c r="S444">
        <f>IF($C444="","",IF(UPPER(LEFT($C444,1))="M",1,IF(UPPER(LEFT($C444,1))="F",2,"")))</f>
        <v/>
      </c>
      <c r="T444">
        <f>IF(OR($D444="",$E444=""),"",DATEDIF($D444,$E444,"m"))</f>
        <v/>
      </c>
      <c r="U444">
        <f>IF(OR($D444="",$E444=""),"",$E444-$D444)</f>
        <v/>
      </c>
      <c r="V444">
        <f>IF(OR($G444="",$T444=""),"",IF($T444&lt;24,IF(LEFT(LOWER($H444),4)="em p",$G444+0.7,$G444),IF(LEFT(LOWER($H444),4)="deit",$G444-0.7,$G444)))</f>
        <v/>
      </c>
      <c r="W444">
        <f>IF(OR($S444="",$T444=""),"",$S444*1000000+IF($T444&lt;=60,$U444,$T444))</f>
        <v/>
      </c>
      <c r="X444">
        <f>IF(OR($S444="",$V444="",$T444&gt;60,$T444=""),"",$S444*1000000+ROUND($V444*10,0))</f>
        <v/>
      </c>
      <c r="Y444">
        <f>IF($W444="","",IFERROR(INDEX(IF($T444&lt;=60,imc05_l,imc519_l),MATCH($W444,IF($T444&lt;=60,imc05_k,imc519_k),1)),""))</f>
        <v/>
      </c>
      <c r="Z444">
        <f>IF($W444="","",IFERROR(INDEX(IF($T444&lt;=60,imc05_m,imc519_m),MATCH($W444,IF($T444&lt;=60,imc05_k,imc519_k),1)),""))</f>
        <v/>
      </c>
      <c r="AA444">
        <f>IF($W444="","",IFERROR(INDEX(IF($T444&lt;=60,imc05_s,imc519_s),MATCH($W444,IF($T444&lt;=60,imc05_k,imc519_k),1)),""))</f>
        <v/>
      </c>
      <c r="AB444">
        <f>IF($Y444="","",IF($Y444=0,LN($J444/$Z444)/$AA444,((($J444/$Z444)^$Y444)-1)/($Y444*$AA444)))</f>
        <v/>
      </c>
      <c r="AC444">
        <f>IF($Y444="","",IF($Y444=0,$Z444*EXP($AA444*2),$Z444*(1+$Y444*$AA444*2)^(1/$Y444)))</f>
        <v/>
      </c>
      <c r="AD444">
        <f>IF($Y444="","",IF($Y444=0,$Z444*EXP($AA444*3),$Z444*(1+$Y444*$AA444*3)^(1/$Y444)))</f>
        <v/>
      </c>
      <c r="AE444">
        <f>IF($Y444="","",IF($Y444=0,$Z444*EXP($AA444*-2),$Z444*(1+$Y444*$AA444*-2)^(1/$Y444)))</f>
        <v/>
      </c>
      <c r="AF444">
        <f>IF($Y444="","",IF($Y444=0,$Z444*EXP($AA444*-3),$Z444*(1+$Y444*$AA444*-3)^(1/$Y444)))</f>
        <v/>
      </c>
      <c r="AG444">
        <f>IF($W444="","",IFERROR(INDEX(IF($T444&lt;=60,est05_l,est519_l),MATCH($W444,IF($T444&lt;=60,est05_k,est519_k),1)),""))</f>
        <v/>
      </c>
      <c r="AH444">
        <f>IF($W444="","",IFERROR(INDEX(IF($T444&lt;=60,est05_m,est519_m),MATCH($W444,IF($T444&lt;=60,est05_k,est519_k),1)),""))</f>
        <v/>
      </c>
      <c r="AI444">
        <f>IF($W444="","",IFERROR(INDEX(IF($T444&lt;=60,est05_s,est519_s),MATCH($W444,IF($T444&lt;=60,est05_k,est519_k),1)),""))</f>
        <v/>
      </c>
      <c r="AJ444">
        <f>IF($W444="","",IFERROR(INDEX(IF($T444&lt;=60,peso05_l,peso510_l),MATCH($W444,IF($T444&lt;=60,peso05_k,peso510_k),1)),""))</f>
        <v/>
      </c>
      <c r="AK444">
        <f>IF($W444="","",IFERROR(INDEX(IF($T444&lt;=60,peso05_m,peso510_m),MATCH($W444,IF($T444&lt;=60,peso05_k,peso510_k),1)),""))</f>
        <v/>
      </c>
      <c r="AL444">
        <f>IF($W444="","",IFERROR(INDEX(IF($T444&lt;=60,peso05_s,peso510_s),MATCH($W444,IF($T444&lt;=60,peso05_k,peso510_k),1)),""))</f>
        <v/>
      </c>
      <c r="AM444">
        <f>IF($AJ444="","",IF($AJ444=0,LN($F444/$AK444)/$AL444,((($F444/$AK444)^$AJ444)-1)/($AJ444*$AL444)))</f>
        <v/>
      </c>
      <c r="AN444">
        <f>IF($AJ444="","",IF($AJ444=0,$AK444*EXP($AL444*2),$AK444*(1+$AJ444*$AL444*2)^(1/$AJ444)))</f>
        <v/>
      </c>
      <c r="AO444">
        <f>IF($AJ444="","",IF($AJ444=0,$AK444*EXP($AL444*3),$AK444*(1+$AJ444*$AL444*3)^(1/$AJ444)))</f>
        <v/>
      </c>
      <c r="AP444">
        <f>IF($AJ444="","",IF($AJ444=0,$AK444*EXP($AL444*-2),$AK444*(1+$AJ444*$AL444*-2)^(1/$AJ444)))</f>
        <v/>
      </c>
      <c r="AQ444">
        <f>IF($AJ444="","",IF($AJ444=0,$AK444*EXP($AL444*-3),$AK444*(1+$AJ444*$AL444*-3)^(1/$AJ444)))</f>
        <v/>
      </c>
      <c r="AR444">
        <f>IF(OR($X444="",$T444&gt;60),"",IFERROR(INDEX(IF($T444&lt;24,pcomp_l,palt_l),MATCH($X444,IF($T444&lt;24,pcomp_k,palt_k),1)),""))</f>
        <v/>
      </c>
      <c r="AS444">
        <f>IF(OR($X444="",$T444&gt;60),"",IFERROR(INDEX(IF($T444&lt;24,pcomp_m,palt_m),MATCH($X444,IF($T444&lt;24,pcomp_k,palt_k),1)),""))</f>
        <v/>
      </c>
      <c r="AT444">
        <f>IF(OR($X444="",$T444&gt;60),"",IFERROR(INDEX(IF($T444&lt;24,pcomp_s,palt_s),MATCH($X444,IF($T444&lt;24,pcomp_k,palt_k),1)),""))</f>
        <v/>
      </c>
      <c r="AU444">
        <f>IF($AR444="","",IF($AR444=0,LN($F444/$AS444)/$AT444,((($F444/$AS444)^$AR444)-1)/($AR444*$AT444)))</f>
        <v/>
      </c>
      <c r="AV444">
        <f>IF($AR444="","",IF($AR444=0,$AS444*EXP($AT444*2),$AS444*(1+$AR444*$AT444*2)^(1/$AR444)))</f>
        <v/>
      </c>
      <c r="AW444">
        <f>IF($AR444="","",IF($AR444=0,$AS444*EXP($AT444*3),$AS444*(1+$AR444*$AT444*3)^(1/$AR444)))</f>
        <v/>
      </c>
      <c r="AX444">
        <f>IF($AR444="","",IF($AR444=0,$AS444*EXP($AT444*-2),$AS444*(1+$AR444*$AT444*-2)^(1/$AR444)))</f>
        <v/>
      </c>
      <c r="AY444">
        <f>IF($AR444="","",IF($AR444=0,$AS444*EXP($AT444*-3),$AS444*(1+$AR444*$AT444*-3)^(1/$AR444)))</f>
        <v/>
      </c>
      <c r="AZ444">
        <f>IF(OR($A444="",$A444&lt;&gt;Ficha!$C$4),"",COUNTIF($A$2:$A444,Ficha!$C$4))</f>
        <v/>
      </c>
    </row>
    <row r="445">
      <c r="A445" s="8">
        <f>IF(INDEX(Banco!$A:$A,ROW())="","",INDEX(Banco!$A:$A,ROW()))</f>
        <v/>
      </c>
      <c r="B445" s="8">
        <f>IF(INDEX(Banco!$B:$B,ROW())="","",INDEX(Banco!$B:$B,ROW()))</f>
        <v/>
      </c>
      <c r="C445" s="8">
        <f>IF(INDEX(Banco!$C:$C,ROW())="","",INDEX(Banco!$C:$C,ROW()))</f>
        <v/>
      </c>
      <c r="D445" s="9">
        <f>IF(INDEX(Banco!$D:$D,ROW())="","",INDEX(Banco!$D:$D,ROW()))</f>
        <v/>
      </c>
      <c r="E445" s="9">
        <f>IF(INDEX(Banco!$E:$E,ROW())="","",INDEX(Banco!$E:$E,ROW()))</f>
        <v/>
      </c>
      <c r="F445" s="10">
        <f>IF(INDEX(Banco!$F:$F,ROW())="","",INDEX(Banco!$F:$F,ROW()))</f>
        <v/>
      </c>
      <c r="G445" s="10">
        <f>IF(INDEX(Banco!$G:$G,ROW())="","",INDEX(Banco!$G:$G,ROW()))</f>
        <v/>
      </c>
      <c r="H445" s="8">
        <f>IF(INDEX(Banco!$H:$H,ROW())="","",INDEX(Banco!$H:$H,ROW()))</f>
        <v/>
      </c>
      <c r="I445">
        <f>IF($T445="","",INT($T445/12)&amp;"a "&amp;MOD($T445,12)&amp;"m")</f>
        <v/>
      </c>
      <c r="J445" s="11">
        <f>IF(OR($F445="",$G445=""),"",ROUND($F445/($G445/100)^2,2))</f>
        <v/>
      </c>
      <c r="K445" s="12">
        <f>IF(OR($S445="",$J445="",$T445="",$T445&lt;0,$T445&gt;228,$Y445=""),"—",ROUND(IF(ABS($AB445)&lt;=3,$AB445,IF($AB445&gt;3,3+($J445-$AD445)/($AD445-$AC445),-3+($J445-$AF445)/($AE445-$AF445))),2))</f>
        <v/>
      </c>
      <c r="L445">
        <f>IF(OR($K445="",$K445="—"),"",IF($T445&lt;=60,IF($K445&lt;-3,"Magreza acentuada",IF($K445&lt;-2,"Magreza",IF($K445&lt;=1,"Eutrofia",IF($K445&lt;=2,"Risco de sobrepeso",IF($K445&lt;=3,"Sobrepeso","Obesidade"))))),IF($K445&lt;-3,"Magreza acentuada",IF($K445&lt;-2,"Magreza",IF($K445&lt;=1,"Eutrofia",IF($K445&lt;=2,"Sobrepeso",IF($K445&lt;=3,"Obesidade","Obesidade grave")))))))</f>
        <v/>
      </c>
      <c r="M445" s="12">
        <f>IF(OR($S445="",$V445="",$T445="",$T445&lt;0,$T445&gt;228,$AG445=""),"—",ROUND(IF($AG445=0,LN($V445/$AH445)/$AI445,((($V445/$AH445)^$AG445)-1)/($AG445*$AI445)),2))</f>
        <v/>
      </c>
      <c r="N445">
        <f>IF(OR($M445="",$M445="—"),"",IF($M445&lt;-3,"Muito baixa",IF($M445&lt;-2,"Baixa","Adequada")))</f>
        <v/>
      </c>
      <c r="O445" s="12">
        <f>IF(OR($S445="",$F445="",$T445="",$T445&lt;0,$T445&gt;120,$AJ445=""),"—",ROUND(IF(ABS($AM445)&lt;=3,$AM445,IF($AM445&gt;3,3+($F445-$AO445)/($AO445-$AN445),-3+($F445-$AQ445)/($AP445-$AQ445))),2))</f>
        <v/>
      </c>
      <c r="P445">
        <f>IF(OR($O445="",$O445="—"),"",IF($O445&lt;-3,"Muito baixo",IF($O445&lt;-2,"Baixo",IF($O445&lt;=2,"Adequado","Elevado"))))</f>
        <v/>
      </c>
      <c r="Q445" s="12">
        <f>IF(OR($S445="",$F445="",$T445="",$T445&lt;0,$T445&gt;60,$AR445=""),"—",ROUND(IF(ABS($AU445)&lt;=3,$AU445,IF($AU445&gt;3,3+($F445-$AW445)/($AW445-$AV445),-3+($F445-$AY445)/($AX445-$AY445))),2))</f>
        <v/>
      </c>
      <c r="R445">
        <f>IF(OR($Q445="",$Q445="—"),"",IF($Q445&lt;-3,"Magreza acentuada",IF($Q445&lt;-2,"Magreza",IF($Q445&lt;=1,"Eutrofia",IF($Q445&lt;=2,"Risco de sobrepeso",IF($Q445&lt;=3,"Sobrepeso","Obesidade"))))))</f>
        <v/>
      </c>
      <c r="S445">
        <f>IF($C445="","",IF(UPPER(LEFT($C445,1))="M",1,IF(UPPER(LEFT($C445,1))="F",2,"")))</f>
        <v/>
      </c>
      <c r="T445">
        <f>IF(OR($D445="",$E445=""),"",DATEDIF($D445,$E445,"m"))</f>
        <v/>
      </c>
      <c r="U445">
        <f>IF(OR($D445="",$E445=""),"",$E445-$D445)</f>
        <v/>
      </c>
      <c r="V445">
        <f>IF(OR($G445="",$T445=""),"",IF($T445&lt;24,IF(LEFT(LOWER($H445),4)="em p",$G445+0.7,$G445),IF(LEFT(LOWER($H445),4)="deit",$G445-0.7,$G445)))</f>
        <v/>
      </c>
      <c r="W445">
        <f>IF(OR($S445="",$T445=""),"",$S445*1000000+IF($T445&lt;=60,$U445,$T445))</f>
        <v/>
      </c>
      <c r="X445">
        <f>IF(OR($S445="",$V445="",$T445&gt;60,$T445=""),"",$S445*1000000+ROUND($V445*10,0))</f>
        <v/>
      </c>
      <c r="Y445">
        <f>IF($W445="","",IFERROR(INDEX(IF($T445&lt;=60,imc05_l,imc519_l),MATCH($W445,IF($T445&lt;=60,imc05_k,imc519_k),1)),""))</f>
        <v/>
      </c>
      <c r="Z445">
        <f>IF($W445="","",IFERROR(INDEX(IF($T445&lt;=60,imc05_m,imc519_m),MATCH($W445,IF($T445&lt;=60,imc05_k,imc519_k),1)),""))</f>
        <v/>
      </c>
      <c r="AA445">
        <f>IF($W445="","",IFERROR(INDEX(IF($T445&lt;=60,imc05_s,imc519_s),MATCH($W445,IF($T445&lt;=60,imc05_k,imc519_k),1)),""))</f>
        <v/>
      </c>
      <c r="AB445">
        <f>IF($Y445="","",IF($Y445=0,LN($J445/$Z445)/$AA445,((($J445/$Z445)^$Y445)-1)/($Y445*$AA445)))</f>
        <v/>
      </c>
      <c r="AC445">
        <f>IF($Y445="","",IF($Y445=0,$Z445*EXP($AA445*2),$Z445*(1+$Y445*$AA445*2)^(1/$Y445)))</f>
        <v/>
      </c>
      <c r="AD445">
        <f>IF($Y445="","",IF($Y445=0,$Z445*EXP($AA445*3),$Z445*(1+$Y445*$AA445*3)^(1/$Y445)))</f>
        <v/>
      </c>
      <c r="AE445">
        <f>IF($Y445="","",IF($Y445=0,$Z445*EXP($AA445*-2),$Z445*(1+$Y445*$AA445*-2)^(1/$Y445)))</f>
        <v/>
      </c>
      <c r="AF445">
        <f>IF($Y445="","",IF($Y445=0,$Z445*EXP($AA445*-3),$Z445*(1+$Y445*$AA445*-3)^(1/$Y445)))</f>
        <v/>
      </c>
      <c r="AG445">
        <f>IF($W445="","",IFERROR(INDEX(IF($T445&lt;=60,est05_l,est519_l),MATCH($W445,IF($T445&lt;=60,est05_k,est519_k),1)),""))</f>
        <v/>
      </c>
      <c r="AH445">
        <f>IF($W445="","",IFERROR(INDEX(IF($T445&lt;=60,est05_m,est519_m),MATCH($W445,IF($T445&lt;=60,est05_k,est519_k),1)),""))</f>
        <v/>
      </c>
      <c r="AI445">
        <f>IF($W445="","",IFERROR(INDEX(IF($T445&lt;=60,est05_s,est519_s),MATCH($W445,IF($T445&lt;=60,est05_k,est519_k),1)),""))</f>
        <v/>
      </c>
      <c r="AJ445">
        <f>IF($W445="","",IFERROR(INDEX(IF($T445&lt;=60,peso05_l,peso510_l),MATCH($W445,IF($T445&lt;=60,peso05_k,peso510_k),1)),""))</f>
        <v/>
      </c>
      <c r="AK445">
        <f>IF($W445="","",IFERROR(INDEX(IF($T445&lt;=60,peso05_m,peso510_m),MATCH($W445,IF($T445&lt;=60,peso05_k,peso510_k),1)),""))</f>
        <v/>
      </c>
      <c r="AL445">
        <f>IF($W445="","",IFERROR(INDEX(IF($T445&lt;=60,peso05_s,peso510_s),MATCH($W445,IF($T445&lt;=60,peso05_k,peso510_k),1)),""))</f>
        <v/>
      </c>
      <c r="AM445">
        <f>IF($AJ445="","",IF($AJ445=0,LN($F445/$AK445)/$AL445,((($F445/$AK445)^$AJ445)-1)/($AJ445*$AL445)))</f>
        <v/>
      </c>
      <c r="AN445">
        <f>IF($AJ445="","",IF($AJ445=0,$AK445*EXP($AL445*2),$AK445*(1+$AJ445*$AL445*2)^(1/$AJ445)))</f>
        <v/>
      </c>
      <c r="AO445">
        <f>IF($AJ445="","",IF($AJ445=0,$AK445*EXP($AL445*3),$AK445*(1+$AJ445*$AL445*3)^(1/$AJ445)))</f>
        <v/>
      </c>
      <c r="AP445">
        <f>IF($AJ445="","",IF($AJ445=0,$AK445*EXP($AL445*-2),$AK445*(1+$AJ445*$AL445*-2)^(1/$AJ445)))</f>
        <v/>
      </c>
      <c r="AQ445">
        <f>IF($AJ445="","",IF($AJ445=0,$AK445*EXP($AL445*-3),$AK445*(1+$AJ445*$AL445*-3)^(1/$AJ445)))</f>
        <v/>
      </c>
      <c r="AR445">
        <f>IF(OR($X445="",$T445&gt;60),"",IFERROR(INDEX(IF($T445&lt;24,pcomp_l,palt_l),MATCH($X445,IF($T445&lt;24,pcomp_k,palt_k),1)),""))</f>
        <v/>
      </c>
      <c r="AS445">
        <f>IF(OR($X445="",$T445&gt;60),"",IFERROR(INDEX(IF($T445&lt;24,pcomp_m,palt_m),MATCH($X445,IF($T445&lt;24,pcomp_k,palt_k),1)),""))</f>
        <v/>
      </c>
      <c r="AT445">
        <f>IF(OR($X445="",$T445&gt;60),"",IFERROR(INDEX(IF($T445&lt;24,pcomp_s,palt_s),MATCH($X445,IF($T445&lt;24,pcomp_k,palt_k),1)),""))</f>
        <v/>
      </c>
      <c r="AU445">
        <f>IF($AR445="","",IF($AR445=0,LN($F445/$AS445)/$AT445,((($F445/$AS445)^$AR445)-1)/($AR445*$AT445)))</f>
        <v/>
      </c>
      <c r="AV445">
        <f>IF($AR445="","",IF($AR445=0,$AS445*EXP($AT445*2),$AS445*(1+$AR445*$AT445*2)^(1/$AR445)))</f>
        <v/>
      </c>
      <c r="AW445">
        <f>IF($AR445="","",IF($AR445=0,$AS445*EXP($AT445*3),$AS445*(1+$AR445*$AT445*3)^(1/$AR445)))</f>
        <v/>
      </c>
      <c r="AX445">
        <f>IF($AR445="","",IF($AR445=0,$AS445*EXP($AT445*-2),$AS445*(1+$AR445*$AT445*-2)^(1/$AR445)))</f>
        <v/>
      </c>
      <c r="AY445">
        <f>IF($AR445="","",IF($AR445=0,$AS445*EXP($AT445*-3),$AS445*(1+$AR445*$AT445*-3)^(1/$AR445)))</f>
        <v/>
      </c>
      <c r="AZ445">
        <f>IF(OR($A445="",$A445&lt;&gt;Ficha!$C$4),"",COUNTIF($A$2:$A445,Ficha!$C$4))</f>
        <v/>
      </c>
    </row>
    <row r="446">
      <c r="A446" s="8">
        <f>IF(INDEX(Banco!$A:$A,ROW())="","",INDEX(Banco!$A:$A,ROW()))</f>
        <v/>
      </c>
      <c r="B446" s="8">
        <f>IF(INDEX(Banco!$B:$B,ROW())="","",INDEX(Banco!$B:$B,ROW()))</f>
        <v/>
      </c>
      <c r="C446" s="8">
        <f>IF(INDEX(Banco!$C:$C,ROW())="","",INDEX(Banco!$C:$C,ROW()))</f>
        <v/>
      </c>
      <c r="D446" s="9">
        <f>IF(INDEX(Banco!$D:$D,ROW())="","",INDEX(Banco!$D:$D,ROW()))</f>
        <v/>
      </c>
      <c r="E446" s="9">
        <f>IF(INDEX(Banco!$E:$E,ROW())="","",INDEX(Banco!$E:$E,ROW()))</f>
        <v/>
      </c>
      <c r="F446" s="10">
        <f>IF(INDEX(Banco!$F:$F,ROW())="","",INDEX(Banco!$F:$F,ROW()))</f>
        <v/>
      </c>
      <c r="G446" s="10">
        <f>IF(INDEX(Banco!$G:$G,ROW())="","",INDEX(Banco!$G:$G,ROW()))</f>
        <v/>
      </c>
      <c r="H446" s="8">
        <f>IF(INDEX(Banco!$H:$H,ROW())="","",INDEX(Banco!$H:$H,ROW()))</f>
        <v/>
      </c>
      <c r="I446">
        <f>IF($T446="","",INT($T446/12)&amp;"a "&amp;MOD($T446,12)&amp;"m")</f>
        <v/>
      </c>
      <c r="J446" s="11">
        <f>IF(OR($F446="",$G446=""),"",ROUND($F446/($G446/100)^2,2))</f>
        <v/>
      </c>
      <c r="K446" s="12">
        <f>IF(OR($S446="",$J446="",$T446="",$T446&lt;0,$T446&gt;228,$Y446=""),"—",ROUND(IF(ABS($AB446)&lt;=3,$AB446,IF($AB446&gt;3,3+($J446-$AD446)/($AD446-$AC446),-3+($J446-$AF446)/($AE446-$AF446))),2))</f>
        <v/>
      </c>
      <c r="L446">
        <f>IF(OR($K446="",$K446="—"),"",IF($T446&lt;=60,IF($K446&lt;-3,"Magreza acentuada",IF($K446&lt;-2,"Magreza",IF($K446&lt;=1,"Eutrofia",IF($K446&lt;=2,"Risco de sobrepeso",IF($K446&lt;=3,"Sobrepeso","Obesidade"))))),IF($K446&lt;-3,"Magreza acentuada",IF($K446&lt;-2,"Magreza",IF($K446&lt;=1,"Eutrofia",IF($K446&lt;=2,"Sobrepeso",IF($K446&lt;=3,"Obesidade","Obesidade grave")))))))</f>
        <v/>
      </c>
      <c r="M446" s="12">
        <f>IF(OR($S446="",$V446="",$T446="",$T446&lt;0,$T446&gt;228,$AG446=""),"—",ROUND(IF($AG446=0,LN($V446/$AH446)/$AI446,((($V446/$AH446)^$AG446)-1)/($AG446*$AI446)),2))</f>
        <v/>
      </c>
      <c r="N446">
        <f>IF(OR($M446="",$M446="—"),"",IF($M446&lt;-3,"Muito baixa",IF($M446&lt;-2,"Baixa","Adequada")))</f>
        <v/>
      </c>
      <c r="O446" s="12">
        <f>IF(OR($S446="",$F446="",$T446="",$T446&lt;0,$T446&gt;120,$AJ446=""),"—",ROUND(IF(ABS($AM446)&lt;=3,$AM446,IF($AM446&gt;3,3+($F446-$AO446)/($AO446-$AN446),-3+($F446-$AQ446)/($AP446-$AQ446))),2))</f>
        <v/>
      </c>
      <c r="P446">
        <f>IF(OR($O446="",$O446="—"),"",IF($O446&lt;-3,"Muito baixo",IF($O446&lt;-2,"Baixo",IF($O446&lt;=2,"Adequado","Elevado"))))</f>
        <v/>
      </c>
      <c r="Q446" s="12">
        <f>IF(OR($S446="",$F446="",$T446="",$T446&lt;0,$T446&gt;60,$AR446=""),"—",ROUND(IF(ABS($AU446)&lt;=3,$AU446,IF($AU446&gt;3,3+($F446-$AW446)/($AW446-$AV446),-3+($F446-$AY446)/($AX446-$AY446))),2))</f>
        <v/>
      </c>
      <c r="R446">
        <f>IF(OR($Q446="",$Q446="—"),"",IF($Q446&lt;-3,"Magreza acentuada",IF($Q446&lt;-2,"Magreza",IF($Q446&lt;=1,"Eutrofia",IF($Q446&lt;=2,"Risco de sobrepeso",IF($Q446&lt;=3,"Sobrepeso","Obesidade"))))))</f>
        <v/>
      </c>
      <c r="S446">
        <f>IF($C446="","",IF(UPPER(LEFT($C446,1))="M",1,IF(UPPER(LEFT($C446,1))="F",2,"")))</f>
        <v/>
      </c>
      <c r="T446">
        <f>IF(OR($D446="",$E446=""),"",DATEDIF($D446,$E446,"m"))</f>
        <v/>
      </c>
      <c r="U446">
        <f>IF(OR($D446="",$E446=""),"",$E446-$D446)</f>
        <v/>
      </c>
      <c r="V446">
        <f>IF(OR($G446="",$T446=""),"",IF($T446&lt;24,IF(LEFT(LOWER($H446),4)="em p",$G446+0.7,$G446),IF(LEFT(LOWER($H446),4)="deit",$G446-0.7,$G446)))</f>
        <v/>
      </c>
      <c r="W446">
        <f>IF(OR($S446="",$T446=""),"",$S446*1000000+IF($T446&lt;=60,$U446,$T446))</f>
        <v/>
      </c>
      <c r="X446">
        <f>IF(OR($S446="",$V446="",$T446&gt;60,$T446=""),"",$S446*1000000+ROUND($V446*10,0))</f>
        <v/>
      </c>
      <c r="Y446">
        <f>IF($W446="","",IFERROR(INDEX(IF($T446&lt;=60,imc05_l,imc519_l),MATCH($W446,IF($T446&lt;=60,imc05_k,imc519_k),1)),""))</f>
        <v/>
      </c>
      <c r="Z446">
        <f>IF($W446="","",IFERROR(INDEX(IF($T446&lt;=60,imc05_m,imc519_m),MATCH($W446,IF($T446&lt;=60,imc05_k,imc519_k),1)),""))</f>
        <v/>
      </c>
      <c r="AA446">
        <f>IF($W446="","",IFERROR(INDEX(IF($T446&lt;=60,imc05_s,imc519_s),MATCH($W446,IF($T446&lt;=60,imc05_k,imc519_k),1)),""))</f>
        <v/>
      </c>
      <c r="AB446">
        <f>IF($Y446="","",IF($Y446=0,LN($J446/$Z446)/$AA446,((($J446/$Z446)^$Y446)-1)/($Y446*$AA446)))</f>
        <v/>
      </c>
      <c r="AC446">
        <f>IF($Y446="","",IF($Y446=0,$Z446*EXP($AA446*2),$Z446*(1+$Y446*$AA446*2)^(1/$Y446)))</f>
        <v/>
      </c>
      <c r="AD446">
        <f>IF($Y446="","",IF($Y446=0,$Z446*EXP($AA446*3),$Z446*(1+$Y446*$AA446*3)^(1/$Y446)))</f>
        <v/>
      </c>
      <c r="AE446">
        <f>IF($Y446="","",IF($Y446=0,$Z446*EXP($AA446*-2),$Z446*(1+$Y446*$AA446*-2)^(1/$Y446)))</f>
        <v/>
      </c>
      <c r="AF446">
        <f>IF($Y446="","",IF($Y446=0,$Z446*EXP($AA446*-3),$Z446*(1+$Y446*$AA446*-3)^(1/$Y446)))</f>
        <v/>
      </c>
      <c r="AG446">
        <f>IF($W446="","",IFERROR(INDEX(IF($T446&lt;=60,est05_l,est519_l),MATCH($W446,IF($T446&lt;=60,est05_k,est519_k),1)),""))</f>
        <v/>
      </c>
      <c r="AH446">
        <f>IF($W446="","",IFERROR(INDEX(IF($T446&lt;=60,est05_m,est519_m),MATCH($W446,IF($T446&lt;=60,est05_k,est519_k),1)),""))</f>
        <v/>
      </c>
      <c r="AI446">
        <f>IF($W446="","",IFERROR(INDEX(IF($T446&lt;=60,est05_s,est519_s),MATCH($W446,IF($T446&lt;=60,est05_k,est519_k),1)),""))</f>
        <v/>
      </c>
      <c r="AJ446">
        <f>IF($W446="","",IFERROR(INDEX(IF($T446&lt;=60,peso05_l,peso510_l),MATCH($W446,IF($T446&lt;=60,peso05_k,peso510_k),1)),""))</f>
        <v/>
      </c>
      <c r="AK446">
        <f>IF($W446="","",IFERROR(INDEX(IF($T446&lt;=60,peso05_m,peso510_m),MATCH($W446,IF($T446&lt;=60,peso05_k,peso510_k),1)),""))</f>
        <v/>
      </c>
      <c r="AL446">
        <f>IF($W446="","",IFERROR(INDEX(IF($T446&lt;=60,peso05_s,peso510_s),MATCH($W446,IF($T446&lt;=60,peso05_k,peso510_k),1)),""))</f>
        <v/>
      </c>
      <c r="AM446">
        <f>IF($AJ446="","",IF($AJ446=0,LN($F446/$AK446)/$AL446,((($F446/$AK446)^$AJ446)-1)/($AJ446*$AL446)))</f>
        <v/>
      </c>
      <c r="AN446">
        <f>IF($AJ446="","",IF($AJ446=0,$AK446*EXP($AL446*2),$AK446*(1+$AJ446*$AL446*2)^(1/$AJ446)))</f>
        <v/>
      </c>
      <c r="AO446">
        <f>IF($AJ446="","",IF($AJ446=0,$AK446*EXP($AL446*3),$AK446*(1+$AJ446*$AL446*3)^(1/$AJ446)))</f>
        <v/>
      </c>
      <c r="AP446">
        <f>IF($AJ446="","",IF($AJ446=0,$AK446*EXP($AL446*-2),$AK446*(1+$AJ446*$AL446*-2)^(1/$AJ446)))</f>
        <v/>
      </c>
      <c r="AQ446">
        <f>IF($AJ446="","",IF($AJ446=0,$AK446*EXP($AL446*-3),$AK446*(1+$AJ446*$AL446*-3)^(1/$AJ446)))</f>
        <v/>
      </c>
      <c r="AR446">
        <f>IF(OR($X446="",$T446&gt;60),"",IFERROR(INDEX(IF($T446&lt;24,pcomp_l,palt_l),MATCH($X446,IF($T446&lt;24,pcomp_k,palt_k),1)),""))</f>
        <v/>
      </c>
      <c r="AS446">
        <f>IF(OR($X446="",$T446&gt;60),"",IFERROR(INDEX(IF($T446&lt;24,pcomp_m,palt_m),MATCH($X446,IF($T446&lt;24,pcomp_k,palt_k),1)),""))</f>
        <v/>
      </c>
      <c r="AT446">
        <f>IF(OR($X446="",$T446&gt;60),"",IFERROR(INDEX(IF($T446&lt;24,pcomp_s,palt_s),MATCH($X446,IF($T446&lt;24,pcomp_k,palt_k),1)),""))</f>
        <v/>
      </c>
      <c r="AU446">
        <f>IF($AR446="","",IF($AR446=0,LN($F446/$AS446)/$AT446,((($F446/$AS446)^$AR446)-1)/($AR446*$AT446)))</f>
        <v/>
      </c>
      <c r="AV446">
        <f>IF($AR446="","",IF($AR446=0,$AS446*EXP($AT446*2),$AS446*(1+$AR446*$AT446*2)^(1/$AR446)))</f>
        <v/>
      </c>
      <c r="AW446">
        <f>IF($AR446="","",IF($AR446=0,$AS446*EXP($AT446*3),$AS446*(1+$AR446*$AT446*3)^(1/$AR446)))</f>
        <v/>
      </c>
      <c r="AX446">
        <f>IF($AR446="","",IF($AR446=0,$AS446*EXP($AT446*-2),$AS446*(1+$AR446*$AT446*-2)^(1/$AR446)))</f>
        <v/>
      </c>
      <c r="AY446">
        <f>IF($AR446="","",IF($AR446=0,$AS446*EXP($AT446*-3),$AS446*(1+$AR446*$AT446*-3)^(1/$AR446)))</f>
        <v/>
      </c>
      <c r="AZ446">
        <f>IF(OR($A446="",$A446&lt;&gt;Ficha!$C$4),"",COUNTIF($A$2:$A446,Ficha!$C$4))</f>
        <v/>
      </c>
    </row>
    <row r="447">
      <c r="A447" s="8">
        <f>IF(INDEX(Banco!$A:$A,ROW())="","",INDEX(Banco!$A:$A,ROW()))</f>
        <v/>
      </c>
      <c r="B447" s="8">
        <f>IF(INDEX(Banco!$B:$B,ROW())="","",INDEX(Banco!$B:$B,ROW()))</f>
        <v/>
      </c>
      <c r="C447" s="8">
        <f>IF(INDEX(Banco!$C:$C,ROW())="","",INDEX(Banco!$C:$C,ROW()))</f>
        <v/>
      </c>
      <c r="D447" s="9">
        <f>IF(INDEX(Banco!$D:$D,ROW())="","",INDEX(Banco!$D:$D,ROW()))</f>
        <v/>
      </c>
      <c r="E447" s="9">
        <f>IF(INDEX(Banco!$E:$E,ROW())="","",INDEX(Banco!$E:$E,ROW()))</f>
        <v/>
      </c>
      <c r="F447" s="10">
        <f>IF(INDEX(Banco!$F:$F,ROW())="","",INDEX(Banco!$F:$F,ROW()))</f>
        <v/>
      </c>
      <c r="G447" s="10">
        <f>IF(INDEX(Banco!$G:$G,ROW())="","",INDEX(Banco!$G:$G,ROW()))</f>
        <v/>
      </c>
      <c r="H447" s="8">
        <f>IF(INDEX(Banco!$H:$H,ROW())="","",INDEX(Banco!$H:$H,ROW()))</f>
        <v/>
      </c>
      <c r="I447">
        <f>IF($T447="","",INT($T447/12)&amp;"a "&amp;MOD($T447,12)&amp;"m")</f>
        <v/>
      </c>
      <c r="J447" s="11">
        <f>IF(OR($F447="",$G447=""),"",ROUND($F447/($G447/100)^2,2))</f>
        <v/>
      </c>
      <c r="K447" s="12">
        <f>IF(OR($S447="",$J447="",$T447="",$T447&lt;0,$T447&gt;228,$Y447=""),"—",ROUND(IF(ABS($AB447)&lt;=3,$AB447,IF($AB447&gt;3,3+($J447-$AD447)/($AD447-$AC447),-3+($J447-$AF447)/($AE447-$AF447))),2))</f>
        <v/>
      </c>
      <c r="L447">
        <f>IF(OR($K447="",$K447="—"),"",IF($T447&lt;=60,IF($K447&lt;-3,"Magreza acentuada",IF($K447&lt;-2,"Magreza",IF($K447&lt;=1,"Eutrofia",IF($K447&lt;=2,"Risco de sobrepeso",IF($K447&lt;=3,"Sobrepeso","Obesidade"))))),IF($K447&lt;-3,"Magreza acentuada",IF($K447&lt;-2,"Magreza",IF($K447&lt;=1,"Eutrofia",IF($K447&lt;=2,"Sobrepeso",IF($K447&lt;=3,"Obesidade","Obesidade grave")))))))</f>
        <v/>
      </c>
      <c r="M447" s="12">
        <f>IF(OR($S447="",$V447="",$T447="",$T447&lt;0,$T447&gt;228,$AG447=""),"—",ROUND(IF($AG447=0,LN($V447/$AH447)/$AI447,((($V447/$AH447)^$AG447)-1)/($AG447*$AI447)),2))</f>
        <v/>
      </c>
      <c r="N447">
        <f>IF(OR($M447="",$M447="—"),"",IF($M447&lt;-3,"Muito baixa",IF($M447&lt;-2,"Baixa","Adequada")))</f>
        <v/>
      </c>
      <c r="O447" s="12">
        <f>IF(OR($S447="",$F447="",$T447="",$T447&lt;0,$T447&gt;120,$AJ447=""),"—",ROUND(IF(ABS($AM447)&lt;=3,$AM447,IF($AM447&gt;3,3+($F447-$AO447)/($AO447-$AN447),-3+($F447-$AQ447)/($AP447-$AQ447))),2))</f>
        <v/>
      </c>
      <c r="P447">
        <f>IF(OR($O447="",$O447="—"),"",IF($O447&lt;-3,"Muito baixo",IF($O447&lt;-2,"Baixo",IF($O447&lt;=2,"Adequado","Elevado"))))</f>
        <v/>
      </c>
      <c r="Q447" s="12">
        <f>IF(OR($S447="",$F447="",$T447="",$T447&lt;0,$T447&gt;60,$AR447=""),"—",ROUND(IF(ABS($AU447)&lt;=3,$AU447,IF($AU447&gt;3,3+($F447-$AW447)/($AW447-$AV447),-3+($F447-$AY447)/($AX447-$AY447))),2))</f>
        <v/>
      </c>
      <c r="R447">
        <f>IF(OR($Q447="",$Q447="—"),"",IF($Q447&lt;-3,"Magreza acentuada",IF($Q447&lt;-2,"Magreza",IF($Q447&lt;=1,"Eutrofia",IF($Q447&lt;=2,"Risco de sobrepeso",IF($Q447&lt;=3,"Sobrepeso","Obesidade"))))))</f>
        <v/>
      </c>
      <c r="S447">
        <f>IF($C447="","",IF(UPPER(LEFT($C447,1))="M",1,IF(UPPER(LEFT($C447,1))="F",2,"")))</f>
        <v/>
      </c>
      <c r="T447">
        <f>IF(OR($D447="",$E447=""),"",DATEDIF($D447,$E447,"m"))</f>
        <v/>
      </c>
      <c r="U447">
        <f>IF(OR($D447="",$E447=""),"",$E447-$D447)</f>
        <v/>
      </c>
      <c r="V447">
        <f>IF(OR($G447="",$T447=""),"",IF($T447&lt;24,IF(LEFT(LOWER($H447),4)="em p",$G447+0.7,$G447),IF(LEFT(LOWER($H447),4)="deit",$G447-0.7,$G447)))</f>
        <v/>
      </c>
      <c r="W447">
        <f>IF(OR($S447="",$T447=""),"",$S447*1000000+IF($T447&lt;=60,$U447,$T447))</f>
        <v/>
      </c>
      <c r="X447">
        <f>IF(OR($S447="",$V447="",$T447&gt;60,$T447=""),"",$S447*1000000+ROUND($V447*10,0))</f>
        <v/>
      </c>
      <c r="Y447">
        <f>IF($W447="","",IFERROR(INDEX(IF($T447&lt;=60,imc05_l,imc519_l),MATCH($W447,IF($T447&lt;=60,imc05_k,imc519_k),1)),""))</f>
        <v/>
      </c>
      <c r="Z447">
        <f>IF($W447="","",IFERROR(INDEX(IF($T447&lt;=60,imc05_m,imc519_m),MATCH($W447,IF($T447&lt;=60,imc05_k,imc519_k),1)),""))</f>
        <v/>
      </c>
      <c r="AA447">
        <f>IF($W447="","",IFERROR(INDEX(IF($T447&lt;=60,imc05_s,imc519_s),MATCH($W447,IF($T447&lt;=60,imc05_k,imc519_k),1)),""))</f>
        <v/>
      </c>
      <c r="AB447">
        <f>IF($Y447="","",IF($Y447=0,LN($J447/$Z447)/$AA447,((($J447/$Z447)^$Y447)-1)/($Y447*$AA447)))</f>
        <v/>
      </c>
      <c r="AC447">
        <f>IF($Y447="","",IF($Y447=0,$Z447*EXP($AA447*2),$Z447*(1+$Y447*$AA447*2)^(1/$Y447)))</f>
        <v/>
      </c>
      <c r="AD447">
        <f>IF($Y447="","",IF($Y447=0,$Z447*EXP($AA447*3),$Z447*(1+$Y447*$AA447*3)^(1/$Y447)))</f>
        <v/>
      </c>
      <c r="AE447">
        <f>IF($Y447="","",IF($Y447=0,$Z447*EXP($AA447*-2),$Z447*(1+$Y447*$AA447*-2)^(1/$Y447)))</f>
        <v/>
      </c>
      <c r="AF447">
        <f>IF($Y447="","",IF($Y447=0,$Z447*EXP($AA447*-3),$Z447*(1+$Y447*$AA447*-3)^(1/$Y447)))</f>
        <v/>
      </c>
      <c r="AG447">
        <f>IF($W447="","",IFERROR(INDEX(IF($T447&lt;=60,est05_l,est519_l),MATCH($W447,IF($T447&lt;=60,est05_k,est519_k),1)),""))</f>
        <v/>
      </c>
      <c r="AH447">
        <f>IF($W447="","",IFERROR(INDEX(IF($T447&lt;=60,est05_m,est519_m),MATCH($W447,IF($T447&lt;=60,est05_k,est519_k),1)),""))</f>
        <v/>
      </c>
      <c r="AI447">
        <f>IF($W447="","",IFERROR(INDEX(IF($T447&lt;=60,est05_s,est519_s),MATCH($W447,IF($T447&lt;=60,est05_k,est519_k),1)),""))</f>
        <v/>
      </c>
      <c r="AJ447">
        <f>IF($W447="","",IFERROR(INDEX(IF($T447&lt;=60,peso05_l,peso510_l),MATCH($W447,IF($T447&lt;=60,peso05_k,peso510_k),1)),""))</f>
        <v/>
      </c>
      <c r="AK447">
        <f>IF($W447="","",IFERROR(INDEX(IF($T447&lt;=60,peso05_m,peso510_m),MATCH($W447,IF($T447&lt;=60,peso05_k,peso510_k),1)),""))</f>
        <v/>
      </c>
      <c r="AL447">
        <f>IF($W447="","",IFERROR(INDEX(IF($T447&lt;=60,peso05_s,peso510_s),MATCH($W447,IF($T447&lt;=60,peso05_k,peso510_k),1)),""))</f>
        <v/>
      </c>
      <c r="AM447">
        <f>IF($AJ447="","",IF($AJ447=0,LN($F447/$AK447)/$AL447,((($F447/$AK447)^$AJ447)-1)/($AJ447*$AL447)))</f>
        <v/>
      </c>
      <c r="AN447">
        <f>IF($AJ447="","",IF($AJ447=0,$AK447*EXP($AL447*2),$AK447*(1+$AJ447*$AL447*2)^(1/$AJ447)))</f>
        <v/>
      </c>
      <c r="AO447">
        <f>IF($AJ447="","",IF($AJ447=0,$AK447*EXP($AL447*3),$AK447*(1+$AJ447*$AL447*3)^(1/$AJ447)))</f>
        <v/>
      </c>
      <c r="AP447">
        <f>IF($AJ447="","",IF($AJ447=0,$AK447*EXP($AL447*-2),$AK447*(1+$AJ447*$AL447*-2)^(1/$AJ447)))</f>
        <v/>
      </c>
      <c r="AQ447">
        <f>IF($AJ447="","",IF($AJ447=0,$AK447*EXP($AL447*-3),$AK447*(1+$AJ447*$AL447*-3)^(1/$AJ447)))</f>
        <v/>
      </c>
      <c r="AR447">
        <f>IF(OR($X447="",$T447&gt;60),"",IFERROR(INDEX(IF($T447&lt;24,pcomp_l,palt_l),MATCH($X447,IF($T447&lt;24,pcomp_k,palt_k),1)),""))</f>
        <v/>
      </c>
      <c r="AS447">
        <f>IF(OR($X447="",$T447&gt;60),"",IFERROR(INDEX(IF($T447&lt;24,pcomp_m,palt_m),MATCH($X447,IF($T447&lt;24,pcomp_k,palt_k),1)),""))</f>
        <v/>
      </c>
      <c r="AT447">
        <f>IF(OR($X447="",$T447&gt;60),"",IFERROR(INDEX(IF($T447&lt;24,pcomp_s,palt_s),MATCH($X447,IF($T447&lt;24,pcomp_k,palt_k),1)),""))</f>
        <v/>
      </c>
      <c r="AU447">
        <f>IF($AR447="","",IF($AR447=0,LN($F447/$AS447)/$AT447,((($F447/$AS447)^$AR447)-1)/($AR447*$AT447)))</f>
        <v/>
      </c>
      <c r="AV447">
        <f>IF($AR447="","",IF($AR447=0,$AS447*EXP($AT447*2),$AS447*(1+$AR447*$AT447*2)^(1/$AR447)))</f>
        <v/>
      </c>
      <c r="AW447">
        <f>IF($AR447="","",IF($AR447=0,$AS447*EXP($AT447*3),$AS447*(1+$AR447*$AT447*3)^(1/$AR447)))</f>
        <v/>
      </c>
      <c r="AX447">
        <f>IF($AR447="","",IF($AR447=0,$AS447*EXP($AT447*-2),$AS447*(1+$AR447*$AT447*-2)^(1/$AR447)))</f>
        <v/>
      </c>
      <c r="AY447">
        <f>IF($AR447="","",IF($AR447=0,$AS447*EXP($AT447*-3),$AS447*(1+$AR447*$AT447*-3)^(1/$AR447)))</f>
        <v/>
      </c>
      <c r="AZ447">
        <f>IF(OR($A447="",$A447&lt;&gt;Ficha!$C$4),"",COUNTIF($A$2:$A447,Ficha!$C$4))</f>
        <v/>
      </c>
    </row>
    <row r="448">
      <c r="A448" s="8">
        <f>IF(INDEX(Banco!$A:$A,ROW())="","",INDEX(Banco!$A:$A,ROW()))</f>
        <v/>
      </c>
      <c r="B448" s="8">
        <f>IF(INDEX(Banco!$B:$B,ROW())="","",INDEX(Banco!$B:$B,ROW()))</f>
        <v/>
      </c>
      <c r="C448" s="8">
        <f>IF(INDEX(Banco!$C:$C,ROW())="","",INDEX(Banco!$C:$C,ROW()))</f>
        <v/>
      </c>
      <c r="D448" s="9">
        <f>IF(INDEX(Banco!$D:$D,ROW())="","",INDEX(Banco!$D:$D,ROW()))</f>
        <v/>
      </c>
      <c r="E448" s="9">
        <f>IF(INDEX(Banco!$E:$E,ROW())="","",INDEX(Banco!$E:$E,ROW()))</f>
        <v/>
      </c>
      <c r="F448" s="10">
        <f>IF(INDEX(Banco!$F:$F,ROW())="","",INDEX(Banco!$F:$F,ROW()))</f>
        <v/>
      </c>
      <c r="G448" s="10">
        <f>IF(INDEX(Banco!$G:$G,ROW())="","",INDEX(Banco!$G:$G,ROW()))</f>
        <v/>
      </c>
      <c r="H448" s="8">
        <f>IF(INDEX(Banco!$H:$H,ROW())="","",INDEX(Banco!$H:$H,ROW()))</f>
        <v/>
      </c>
      <c r="I448">
        <f>IF($T448="","",INT($T448/12)&amp;"a "&amp;MOD($T448,12)&amp;"m")</f>
        <v/>
      </c>
      <c r="J448" s="11">
        <f>IF(OR($F448="",$G448=""),"",ROUND($F448/($G448/100)^2,2))</f>
        <v/>
      </c>
      <c r="K448" s="12">
        <f>IF(OR($S448="",$J448="",$T448="",$T448&lt;0,$T448&gt;228,$Y448=""),"—",ROUND(IF(ABS($AB448)&lt;=3,$AB448,IF($AB448&gt;3,3+($J448-$AD448)/($AD448-$AC448),-3+($J448-$AF448)/($AE448-$AF448))),2))</f>
        <v/>
      </c>
      <c r="L448">
        <f>IF(OR($K448="",$K448="—"),"",IF($T448&lt;=60,IF($K448&lt;-3,"Magreza acentuada",IF($K448&lt;-2,"Magreza",IF($K448&lt;=1,"Eutrofia",IF($K448&lt;=2,"Risco de sobrepeso",IF($K448&lt;=3,"Sobrepeso","Obesidade"))))),IF($K448&lt;-3,"Magreza acentuada",IF($K448&lt;-2,"Magreza",IF($K448&lt;=1,"Eutrofia",IF($K448&lt;=2,"Sobrepeso",IF($K448&lt;=3,"Obesidade","Obesidade grave")))))))</f>
        <v/>
      </c>
      <c r="M448" s="12">
        <f>IF(OR($S448="",$V448="",$T448="",$T448&lt;0,$T448&gt;228,$AG448=""),"—",ROUND(IF($AG448=0,LN($V448/$AH448)/$AI448,((($V448/$AH448)^$AG448)-1)/($AG448*$AI448)),2))</f>
        <v/>
      </c>
      <c r="N448">
        <f>IF(OR($M448="",$M448="—"),"",IF($M448&lt;-3,"Muito baixa",IF($M448&lt;-2,"Baixa","Adequada")))</f>
        <v/>
      </c>
      <c r="O448" s="12">
        <f>IF(OR($S448="",$F448="",$T448="",$T448&lt;0,$T448&gt;120,$AJ448=""),"—",ROUND(IF(ABS($AM448)&lt;=3,$AM448,IF($AM448&gt;3,3+($F448-$AO448)/($AO448-$AN448),-3+($F448-$AQ448)/($AP448-$AQ448))),2))</f>
        <v/>
      </c>
      <c r="P448">
        <f>IF(OR($O448="",$O448="—"),"",IF($O448&lt;-3,"Muito baixo",IF($O448&lt;-2,"Baixo",IF($O448&lt;=2,"Adequado","Elevado"))))</f>
        <v/>
      </c>
      <c r="Q448" s="12">
        <f>IF(OR($S448="",$F448="",$T448="",$T448&lt;0,$T448&gt;60,$AR448=""),"—",ROUND(IF(ABS($AU448)&lt;=3,$AU448,IF($AU448&gt;3,3+($F448-$AW448)/($AW448-$AV448),-3+($F448-$AY448)/($AX448-$AY448))),2))</f>
        <v/>
      </c>
      <c r="R448">
        <f>IF(OR($Q448="",$Q448="—"),"",IF($Q448&lt;-3,"Magreza acentuada",IF($Q448&lt;-2,"Magreza",IF($Q448&lt;=1,"Eutrofia",IF($Q448&lt;=2,"Risco de sobrepeso",IF($Q448&lt;=3,"Sobrepeso","Obesidade"))))))</f>
        <v/>
      </c>
      <c r="S448">
        <f>IF($C448="","",IF(UPPER(LEFT($C448,1))="M",1,IF(UPPER(LEFT($C448,1))="F",2,"")))</f>
        <v/>
      </c>
      <c r="T448">
        <f>IF(OR($D448="",$E448=""),"",DATEDIF($D448,$E448,"m"))</f>
        <v/>
      </c>
      <c r="U448">
        <f>IF(OR($D448="",$E448=""),"",$E448-$D448)</f>
        <v/>
      </c>
      <c r="V448">
        <f>IF(OR($G448="",$T448=""),"",IF($T448&lt;24,IF(LEFT(LOWER($H448),4)="em p",$G448+0.7,$G448),IF(LEFT(LOWER($H448),4)="deit",$G448-0.7,$G448)))</f>
        <v/>
      </c>
      <c r="W448">
        <f>IF(OR($S448="",$T448=""),"",$S448*1000000+IF($T448&lt;=60,$U448,$T448))</f>
        <v/>
      </c>
      <c r="X448">
        <f>IF(OR($S448="",$V448="",$T448&gt;60,$T448=""),"",$S448*1000000+ROUND($V448*10,0))</f>
        <v/>
      </c>
      <c r="Y448">
        <f>IF($W448="","",IFERROR(INDEX(IF($T448&lt;=60,imc05_l,imc519_l),MATCH($W448,IF($T448&lt;=60,imc05_k,imc519_k),1)),""))</f>
        <v/>
      </c>
      <c r="Z448">
        <f>IF($W448="","",IFERROR(INDEX(IF($T448&lt;=60,imc05_m,imc519_m),MATCH($W448,IF($T448&lt;=60,imc05_k,imc519_k),1)),""))</f>
        <v/>
      </c>
      <c r="AA448">
        <f>IF($W448="","",IFERROR(INDEX(IF($T448&lt;=60,imc05_s,imc519_s),MATCH($W448,IF($T448&lt;=60,imc05_k,imc519_k),1)),""))</f>
        <v/>
      </c>
      <c r="AB448">
        <f>IF($Y448="","",IF($Y448=0,LN($J448/$Z448)/$AA448,((($J448/$Z448)^$Y448)-1)/($Y448*$AA448)))</f>
        <v/>
      </c>
      <c r="AC448">
        <f>IF($Y448="","",IF($Y448=0,$Z448*EXP($AA448*2),$Z448*(1+$Y448*$AA448*2)^(1/$Y448)))</f>
        <v/>
      </c>
      <c r="AD448">
        <f>IF($Y448="","",IF($Y448=0,$Z448*EXP($AA448*3),$Z448*(1+$Y448*$AA448*3)^(1/$Y448)))</f>
        <v/>
      </c>
      <c r="AE448">
        <f>IF($Y448="","",IF($Y448=0,$Z448*EXP($AA448*-2),$Z448*(1+$Y448*$AA448*-2)^(1/$Y448)))</f>
        <v/>
      </c>
      <c r="AF448">
        <f>IF($Y448="","",IF($Y448=0,$Z448*EXP($AA448*-3),$Z448*(1+$Y448*$AA448*-3)^(1/$Y448)))</f>
        <v/>
      </c>
      <c r="AG448">
        <f>IF($W448="","",IFERROR(INDEX(IF($T448&lt;=60,est05_l,est519_l),MATCH($W448,IF($T448&lt;=60,est05_k,est519_k),1)),""))</f>
        <v/>
      </c>
      <c r="AH448">
        <f>IF($W448="","",IFERROR(INDEX(IF($T448&lt;=60,est05_m,est519_m),MATCH($W448,IF($T448&lt;=60,est05_k,est519_k),1)),""))</f>
        <v/>
      </c>
      <c r="AI448">
        <f>IF($W448="","",IFERROR(INDEX(IF($T448&lt;=60,est05_s,est519_s),MATCH($W448,IF($T448&lt;=60,est05_k,est519_k),1)),""))</f>
        <v/>
      </c>
      <c r="AJ448">
        <f>IF($W448="","",IFERROR(INDEX(IF($T448&lt;=60,peso05_l,peso510_l),MATCH($W448,IF($T448&lt;=60,peso05_k,peso510_k),1)),""))</f>
        <v/>
      </c>
      <c r="AK448">
        <f>IF($W448="","",IFERROR(INDEX(IF($T448&lt;=60,peso05_m,peso510_m),MATCH($W448,IF($T448&lt;=60,peso05_k,peso510_k),1)),""))</f>
        <v/>
      </c>
      <c r="AL448">
        <f>IF($W448="","",IFERROR(INDEX(IF($T448&lt;=60,peso05_s,peso510_s),MATCH($W448,IF($T448&lt;=60,peso05_k,peso510_k),1)),""))</f>
        <v/>
      </c>
      <c r="AM448">
        <f>IF($AJ448="","",IF($AJ448=0,LN($F448/$AK448)/$AL448,((($F448/$AK448)^$AJ448)-1)/($AJ448*$AL448)))</f>
        <v/>
      </c>
      <c r="AN448">
        <f>IF($AJ448="","",IF($AJ448=0,$AK448*EXP($AL448*2),$AK448*(1+$AJ448*$AL448*2)^(1/$AJ448)))</f>
        <v/>
      </c>
      <c r="AO448">
        <f>IF($AJ448="","",IF($AJ448=0,$AK448*EXP($AL448*3),$AK448*(1+$AJ448*$AL448*3)^(1/$AJ448)))</f>
        <v/>
      </c>
      <c r="AP448">
        <f>IF($AJ448="","",IF($AJ448=0,$AK448*EXP($AL448*-2),$AK448*(1+$AJ448*$AL448*-2)^(1/$AJ448)))</f>
        <v/>
      </c>
      <c r="AQ448">
        <f>IF($AJ448="","",IF($AJ448=0,$AK448*EXP($AL448*-3),$AK448*(1+$AJ448*$AL448*-3)^(1/$AJ448)))</f>
        <v/>
      </c>
      <c r="AR448">
        <f>IF(OR($X448="",$T448&gt;60),"",IFERROR(INDEX(IF($T448&lt;24,pcomp_l,palt_l),MATCH($X448,IF($T448&lt;24,pcomp_k,palt_k),1)),""))</f>
        <v/>
      </c>
      <c r="AS448">
        <f>IF(OR($X448="",$T448&gt;60),"",IFERROR(INDEX(IF($T448&lt;24,pcomp_m,palt_m),MATCH($X448,IF($T448&lt;24,pcomp_k,palt_k),1)),""))</f>
        <v/>
      </c>
      <c r="AT448">
        <f>IF(OR($X448="",$T448&gt;60),"",IFERROR(INDEX(IF($T448&lt;24,pcomp_s,palt_s),MATCH($X448,IF($T448&lt;24,pcomp_k,palt_k),1)),""))</f>
        <v/>
      </c>
      <c r="AU448">
        <f>IF($AR448="","",IF($AR448=0,LN($F448/$AS448)/$AT448,((($F448/$AS448)^$AR448)-1)/($AR448*$AT448)))</f>
        <v/>
      </c>
      <c r="AV448">
        <f>IF($AR448="","",IF($AR448=0,$AS448*EXP($AT448*2),$AS448*(1+$AR448*$AT448*2)^(1/$AR448)))</f>
        <v/>
      </c>
      <c r="AW448">
        <f>IF($AR448="","",IF($AR448=0,$AS448*EXP($AT448*3),$AS448*(1+$AR448*$AT448*3)^(1/$AR448)))</f>
        <v/>
      </c>
      <c r="AX448">
        <f>IF($AR448="","",IF($AR448=0,$AS448*EXP($AT448*-2),$AS448*(1+$AR448*$AT448*-2)^(1/$AR448)))</f>
        <v/>
      </c>
      <c r="AY448">
        <f>IF($AR448="","",IF($AR448=0,$AS448*EXP($AT448*-3),$AS448*(1+$AR448*$AT448*-3)^(1/$AR448)))</f>
        <v/>
      </c>
      <c r="AZ448">
        <f>IF(OR($A448="",$A448&lt;&gt;Ficha!$C$4),"",COUNTIF($A$2:$A448,Ficha!$C$4))</f>
        <v/>
      </c>
    </row>
    <row r="449">
      <c r="A449" s="8">
        <f>IF(INDEX(Banco!$A:$A,ROW())="","",INDEX(Banco!$A:$A,ROW()))</f>
        <v/>
      </c>
      <c r="B449" s="8">
        <f>IF(INDEX(Banco!$B:$B,ROW())="","",INDEX(Banco!$B:$B,ROW()))</f>
        <v/>
      </c>
      <c r="C449" s="8">
        <f>IF(INDEX(Banco!$C:$C,ROW())="","",INDEX(Banco!$C:$C,ROW()))</f>
        <v/>
      </c>
      <c r="D449" s="9">
        <f>IF(INDEX(Banco!$D:$D,ROW())="","",INDEX(Banco!$D:$D,ROW()))</f>
        <v/>
      </c>
      <c r="E449" s="9">
        <f>IF(INDEX(Banco!$E:$E,ROW())="","",INDEX(Banco!$E:$E,ROW()))</f>
        <v/>
      </c>
      <c r="F449" s="10">
        <f>IF(INDEX(Banco!$F:$F,ROW())="","",INDEX(Banco!$F:$F,ROW()))</f>
        <v/>
      </c>
      <c r="G449" s="10">
        <f>IF(INDEX(Banco!$G:$G,ROW())="","",INDEX(Banco!$G:$G,ROW()))</f>
        <v/>
      </c>
      <c r="H449" s="8">
        <f>IF(INDEX(Banco!$H:$H,ROW())="","",INDEX(Banco!$H:$H,ROW()))</f>
        <v/>
      </c>
      <c r="I449">
        <f>IF($T449="","",INT($T449/12)&amp;"a "&amp;MOD($T449,12)&amp;"m")</f>
        <v/>
      </c>
      <c r="J449" s="11">
        <f>IF(OR($F449="",$G449=""),"",ROUND($F449/($G449/100)^2,2))</f>
        <v/>
      </c>
      <c r="K449" s="12">
        <f>IF(OR($S449="",$J449="",$T449="",$T449&lt;0,$T449&gt;228,$Y449=""),"—",ROUND(IF(ABS($AB449)&lt;=3,$AB449,IF($AB449&gt;3,3+($J449-$AD449)/($AD449-$AC449),-3+($J449-$AF449)/($AE449-$AF449))),2))</f>
        <v/>
      </c>
      <c r="L449">
        <f>IF(OR($K449="",$K449="—"),"",IF($T449&lt;=60,IF($K449&lt;-3,"Magreza acentuada",IF($K449&lt;-2,"Magreza",IF($K449&lt;=1,"Eutrofia",IF($K449&lt;=2,"Risco de sobrepeso",IF($K449&lt;=3,"Sobrepeso","Obesidade"))))),IF($K449&lt;-3,"Magreza acentuada",IF($K449&lt;-2,"Magreza",IF($K449&lt;=1,"Eutrofia",IF($K449&lt;=2,"Sobrepeso",IF($K449&lt;=3,"Obesidade","Obesidade grave")))))))</f>
        <v/>
      </c>
      <c r="M449" s="12">
        <f>IF(OR($S449="",$V449="",$T449="",$T449&lt;0,$T449&gt;228,$AG449=""),"—",ROUND(IF($AG449=0,LN($V449/$AH449)/$AI449,((($V449/$AH449)^$AG449)-1)/($AG449*$AI449)),2))</f>
        <v/>
      </c>
      <c r="N449">
        <f>IF(OR($M449="",$M449="—"),"",IF($M449&lt;-3,"Muito baixa",IF($M449&lt;-2,"Baixa","Adequada")))</f>
        <v/>
      </c>
      <c r="O449" s="12">
        <f>IF(OR($S449="",$F449="",$T449="",$T449&lt;0,$T449&gt;120,$AJ449=""),"—",ROUND(IF(ABS($AM449)&lt;=3,$AM449,IF($AM449&gt;3,3+($F449-$AO449)/($AO449-$AN449),-3+($F449-$AQ449)/($AP449-$AQ449))),2))</f>
        <v/>
      </c>
      <c r="P449">
        <f>IF(OR($O449="",$O449="—"),"",IF($O449&lt;-3,"Muito baixo",IF($O449&lt;-2,"Baixo",IF($O449&lt;=2,"Adequado","Elevado"))))</f>
        <v/>
      </c>
      <c r="Q449" s="12">
        <f>IF(OR($S449="",$F449="",$T449="",$T449&lt;0,$T449&gt;60,$AR449=""),"—",ROUND(IF(ABS($AU449)&lt;=3,$AU449,IF($AU449&gt;3,3+($F449-$AW449)/($AW449-$AV449),-3+($F449-$AY449)/($AX449-$AY449))),2))</f>
        <v/>
      </c>
      <c r="R449">
        <f>IF(OR($Q449="",$Q449="—"),"",IF($Q449&lt;-3,"Magreza acentuada",IF($Q449&lt;-2,"Magreza",IF($Q449&lt;=1,"Eutrofia",IF($Q449&lt;=2,"Risco de sobrepeso",IF($Q449&lt;=3,"Sobrepeso","Obesidade"))))))</f>
        <v/>
      </c>
      <c r="S449">
        <f>IF($C449="","",IF(UPPER(LEFT($C449,1))="M",1,IF(UPPER(LEFT($C449,1))="F",2,"")))</f>
        <v/>
      </c>
      <c r="T449">
        <f>IF(OR($D449="",$E449=""),"",DATEDIF($D449,$E449,"m"))</f>
        <v/>
      </c>
      <c r="U449">
        <f>IF(OR($D449="",$E449=""),"",$E449-$D449)</f>
        <v/>
      </c>
      <c r="V449">
        <f>IF(OR($G449="",$T449=""),"",IF($T449&lt;24,IF(LEFT(LOWER($H449),4)="em p",$G449+0.7,$G449),IF(LEFT(LOWER($H449),4)="deit",$G449-0.7,$G449)))</f>
        <v/>
      </c>
      <c r="W449">
        <f>IF(OR($S449="",$T449=""),"",$S449*1000000+IF($T449&lt;=60,$U449,$T449))</f>
        <v/>
      </c>
      <c r="X449">
        <f>IF(OR($S449="",$V449="",$T449&gt;60,$T449=""),"",$S449*1000000+ROUND($V449*10,0))</f>
        <v/>
      </c>
      <c r="Y449">
        <f>IF($W449="","",IFERROR(INDEX(IF($T449&lt;=60,imc05_l,imc519_l),MATCH($W449,IF($T449&lt;=60,imc05_k,imc519_k),1)),""))</f>
        <v/>
      </c>
      <c r="Z449">
        <f>IF($W449="","",IFERROR(INDEX(IF($T449&lt;=60,imc05_m,imc519_m),MATCH($W449,IF($T449&lt;=60,imc05_k,imc519_k),1)),""))</f>
        <v/>
      </c>
      <c r="AA449">
        <f>IF($W449="","",IFERROR(INDEX(IF($T449&lt;=60,imc05_s,imc519_s),MATCH($W449,IF($T449&lt;=60,imc05_k,imc519_k),1)),""))</f>
        <v/>
      </c>
      <c r="AB449">
        <f>IF($Y449="","",IF($Y449=0,LN($J449/$Z449)/$AA449,((($J449/$Z449)^$Y449)-1)/($Y449*$AA449)))</f>
        <v/>
      </c>
      <c r="AC449">
        <f>IF($Y449="","",IF($Y449=0,$Z449*EXP($AA449*2),$Z449*(1+$Y449*$AA449*2)^(1/$Y449)))</f>
        <v/>
      </c>
      <c r="AD449">
        <f>IF($Y449="","",IF($Y449=0,$Z449*EXP($AA449*3),$Z449*(1+$Y449*$AA449*3)^(1/$Y449)))</f>
        <v/>
      </c>
      <c r="AE449">
        <f>IF($Y449="","",IF($Y449=0,$Z449*EXP($AA449*-2),$Z449*(1+$Y449*$AA449*-2)^(1/$Y449)))</f>
        <v/>
      </c>
      <c r="AF449">
        <f>IF($Y449="","",IF($Y449=0,$Z449*EXP($AA449*-3),$Z449*(1+$Y449*$AA449*-3)^(1/$Y449)))</f>
        <v/>
      </c>
      <c r="AG449">
        <f>IF($W449="","",IFERROR(INDEX(IF($T449&lt;=60,est05_l,est519_l),MATCH($W449,IF($T449&lt;=60,est05_k,est519_k),1)),""))</f>
        <v/>
      </c>
      <c r="AH449">
        <f>IF($W449="","",IFERROR(INDEX(IF($T449&lt;=60,est05_m,est519_m),MATCH($W449,IF($T449&lt;=60,est05_k,est519_k),1)),""))</f>
        <v/>
      </c>
      <c r="AI449">
        <f>IF($W449="","",IFERROR(INDEX(IF($T449&lt;=60,est05_s,est519_s),MATCH($W449,IF($T449&lt;=60,est05_k,est519_k),1)),""))</f>
        <v/>
      </c>
      <c r="AJ449">
        <f>IF($W449="","",IFERROR(INDEX(IF($T449&lt;=60,peso05_l,peso510_l),MATCH($W449,IF($T449&lt;=60,peso05_k,peso510_k),1)),""))</f>
        <v/>
      </c>
      <c r="AK449">
        <f>IF($W449="","",IFERROR(INDEX(IF($T449&lt;=60,peso05_m,peso510_m),MATCH($W449,IF($T449&lt;=60,peso05_k,peso510_k),1)),""))</f>
        <v/>
      </c>
      <c r="AL449">
        <f>IF($W449="","",IFERROR(INDEX(IF($T449&lt;=60,peso05_s,peso510_s),MATCH($W449,IF($T449&lt;=60,peso05_k,peso510_k),1)),""))</f>
        <v/>
      </c>
      <c r="AM449">
        <f>IF($AJ449="","",IF($AJ449=0,LN($F449/$AK449)/$AL449,((($F449/$AK449)^$AJ449)-1)/($AJ449*$AL449)))</f>
        <v/>
      </c>
      <c r="AN449">
        <f>IF($AJ449="","",IF($AJ449=0,$AK449*EXP($AL449*2),$AK449*(1+$AJ449*$AL449*2)^(1/$AJ449)))</f>
        <v/>
      </c>
      <c r="AO449">
        <f>IF($AJ449="","",IF($AJ449=0,$AK449*EXP($AL449*3),$AK449*(1+$AJ449*$AL449*3)^(1/$AJ449)))</f>
        <v/>
      </c>
      <c r="AP449">
        <f>IF($AJ449="","",IF($AJ449=0,$AK449*EXP($AL449*-2),$AK449*(1+$AJ449*$AL449*-2)^(1/$AJ449)))</f>
        <v/>
      </c>
      <c r="AQ449">
        <f>IF($AJ449="","",IF($AJ449=0,$AK449*EXP($AL449*-3),$AK449*(1+$AJ449*$AL449*-3)^(1/$AJ449)))</f>
        <v/>
      </c>
      <c r="AR449">
        <f>IF(OR($X449="",$T449&gt;60),"",IFERROR(INDEX(IF($T449&lt;24,pcomp_l,palt_l),MATCH($X449,IF($T449&lt;24,pcomp_k,palt_k),1)),""))</f>
        <v/>
      </c>
      <c r="AS449">
        <f>IF(OR($X449="",$T449&gt;60),"",IFERROR(INDEX(IF($T449&lt;24,pcomp_m,palt_m),MATCH($X449,IF($T449&lt;24,pcomp_k,palt_k),1)),""))</f>
        <v/>
      </c>
      <c r="AT449">
        <f>IF(OR($X449="",$T449&gt;60),"",IFERROR(INDEX(IF($T449&lt;24,pcomp_s,palt_s),MATCH($X449,IF($T449&lt;24,pcomp_k,palt_k),1)),""))</f>
        <v/>
      </c>
      <c r="AU449">
        <f>IF($AR449="","",IF($AR449=0,LN($F449/$AS449)/$AT449,((($F449/$AS449)^$AR449)-1)/($AR449*$AT449)))</f>
        <v/>
      </c>
      <c r="AV449">
        <f>IF($AR449="","",IF($AR449=0,$AS449*EXP($AT449*2),$AS449*(1+$AR449*$AT449*2)^(1/$AR449)))</f>
        <v/>
      </c>
      <c r="AW449">
        <f>IF($AR449="","",IF($AR449=0,$AS449*EXP($AT449*3),$AS449*(1+$AR449*$AT449*3)^(1/$AR449)))</f>
        <v/>
      </c>
      <c r="AX449">
        <f>IF($AR449="","",IF($AR449=0,$AS449*EXP($AT449*-2),$AS449*(1+$AR449*$AT449*-2)^(1/$AR449)))</f>
        <v/>
      </c>
      <c r="AY449">
        <f>IF($AR449="","",IF($AR449=0,$AS449*EXP($AT449*-3),$AS449*(1+$AR449*$AT449*-3)^(1/$AR449)))</f>
        <v/>
      </c>
      <c r="AZ449">
        <f>IF(OR($A449="",$A449&lt;&gt;Ficha!$C$4),"",COUNTIF($A$2:$A449,Ficha!$C$4))</f>
        <v/>
      </c>
    </row>
    <row r="450">
      <c r="A450" s="8">
        <f>IF(INDEX(Banco!$A:$A,ROW())="","",INDEX(Banco!$A:$A,ROW()))</f>
        <v/>
      </c>
      <c r="B450" s="8">
        <f>IF(INDEX(Banco!$B:$B,ROW())="","",INDEX(Banco!$B:$B,ROW()))</f>
        <v/>
      </c>
      <c r="C450" s="8">
        <f>IF(INDEX(Banco!$C:$C,ROW())="","",INDEX(Banco!$C:$C,ROW()))</f>
        <v/>
      </c>
      <c r="D450" s="9">
        <f>IF(INDEX(Banco!$D:$D,ROW())="","",INDEX(Banco!$D:$D,ROW()))</f>
        <v/>
      </c>
      <c r="E450" s="9">
        <f>IF(INDEX(Banco!$E:$E,ROW())="","",INDEX(Banco!$E:$E,ROW()))</f>
        <v/>
      </c>
      <c r="F450" s="10">
        <f>IF(INDEX(Banco!$F:$F,ROW())="","",INDEX(Banco!$F:$F,ROW()))</f>
        <v/>
      </c>
      <c r="G450" s="10">
        <f>IF(INDEX(Banco!$G:$G,ROW())="","",INDEX(Banco!$G:$G,ROW()))</f>
        <v/>
      </c>
      <c r="H450" s="8">
        <f>IF(INDEX(Banco!$H:$H,ROW())="","",INDEX(Banco!$H:$H,ROW()))</f>
        <v/>
      </c>
      <c r="I450">
        <f>IF($T450="","",INT($T450/12)&amp;"a "&amp;MOD($T450,12)&amp;"m")</f>
        <v/>
      </c>
      <c r="J450" s="11">
        <f>IF(OR($F450="",$G450=""),"",ROUND($F450/($G450/100)^2,2))</f>
        <v/>
      </c>
      <c r="K450" s="12">
        <f>IF(OR($S450="",$J450="",$T450="",$T450&lt;0,$T450&gt;228,$Y450=""),"—",ROUND(IF(ABS($AB450)&lt;=3,$AB450,IF($AB450&gt;3,3+($J450-$AD450)/($AD450-$AC450),-3+($J450-$AF450)/($AE450-$AF450))),2))</f>
        <v/>
      </c>
      <c r="L450">
        <f>IF(OR($K450="",$K450="—"),"",IF($T450&lt;=60,IF($K450&lt;-3,"Magreza acentuada",IF($K450&lt;-2,"Magreza",IF($K450&lt;=1,"Eutrofia",IF($K450&lt;=2,"Risco de sobrepeso",IF($K450&lt;=3,"Sobrepeso","Obesidade"))))),IF($K450&lt;-3,"Magreza acentuada",IF($K450&lt;-2,"Magreza",IF($K450&lt;=1,"Eutrofia",IF($K450&lt;=2,"Sobrepeso",IF($K450&lt;=3,"Obesidade","Obesidade grave")))))))</f>
        <v/>
      </c>
      <c r="M450" s="12">
        <f>IF(OR($S450="",$V450="",$T450="",$T450&lt;0,$T450&gt;228,$AG450=""),"—",ROUND(IF($AG450=0,LN($V450/$AH450)/$AI450,((($V450/$AH450)^$AG450)-1)/($AG450*$AI450)),2))</f>
        <v/>
      </c>
      <c r="N450">
        <f>IF(OR($M450="",$M450="—"),"",IF($M450&lt;-3,"Muito baixa",IF($M450&lt;-2,"Baixa","Adequada")))</f>
        <v/>
      </c>
      <c r="O450" s="12">
        <f>IF(OR($S450="",$F450="",$T450="",$T450&lt;0,$T450&gt;120,$AJ450=""),"—",ROUND(IF(ABS($AM450)&lt;=3,$AM450,IF($AM450&gt;3,3+($F450-$AO450)/($AO450-$AN450),-3+($F450-$AQ450)/($AP450-$AQ450))),2))</f>
        <v/>
      </c>
      <c r="P450">
        <f>IF(OR($O450="",$O450="—"),"",IF($O450&lt;-3,"Muito baixo",IF($O450&lt;-2,"Baixo",IF($O450&lt;=2,"Adequado","Elevado"))))</f>
        <v/>
      </c>
      <c r="Q450" s="12">
        <f>IF(OR($S450="",$F450="",$T450="",$T450&lt;0,$T450&gt;60,$AR450=""),"—",ROUND(IF(ABS($AU450)&lt;=3,$AU450,IF($AU450&gt;3,3+($F450-$AW450)/($AW450-$AV450),-3+($F450-$AY450)/($AX450-$AY450))),2))</f>
        <v/>
      </c>
      <c r="R450">
        <f>IF(OR($Q450="",$Q450="—"),"",IF($Q450&lt;-3,"Magreza acentuada",IF($Q450&lt;-2,"Magreza",IF($Q450&lt;=1,"Eutrofia",IF($Q450&lt;=2,"Risco de sobrepeso",IF($Q450&lt;=3,"Sobrepeso","Obesidade"))))))</f>
        <v/>
      </c>
      <c r="S450">
        <f>IF($C450="","",IF(UPPER(LEFT($C450,1))="M",1,IF(UPPER(LEFT($C450,1))="F",2,"")))</f>
        <v/>
      </c>
      <c r="T450">
        <f>IF(OR($D450="",$E450=""),"",DATEDIF($D450,$E450,"m"))</f>
        <v/>
      </c>
      <c r="U450">
        <f>IF(OR($D450="",$E450=""),"",$E450-$D450)</f>
        <v/>
      </c>
      <c r="V450">
        <f>IF(OR($G450="",$T450=""),"",IF($T450&lt;24,IF(LEFT(LOWER($H450),4)="em p",$G450+0.7,$G450),IF(LEFT(LOWER($H450),4)="deit",$G450-0.7,$G450)))</f>
        <v/>
      </c>
      <c r="W450">
        <f>IF(OR($S450="",$T450=""),"",$S450*1000000+IF($T450&lt;=60,$U450,$T450))</f>
        <v/>
      </c>
      <c r="X450">
        <f>IF(OR($S450="",$V450="",$T450&gt;60,$T450=""),"",$S450*1000000+ROUND($V450*10,0))</f>
        <v/>
      </c>
      <c r="Y450">
        <f>IF($W450="","",IFERROR(INDEX(IF($T450&lt;=60,imc05_l,imc519_l),MATCH($W450,IF($T450&lt;=60,imc05_k,imc519_k),1)),""))</f>
        <v/>
      </c>
      <c r="Z450">
        <f>IF($W450="","",IFERROR(INDEX(IF($T450&lt;=60,imc05_m,imc519_m),MATCH($W450,IF($T450&lt;=60,imc05_k,imc519_k),1)),""))</f>
        <v/>
      </c>
      <c r="AA450">
        <f>IF($W450="","",IFERROR(INDEX(IF($T450&lt;=60,imc05_s,imc519_s),MATCH($W450,IF($T450&lt;=60,imc05_k,imc519_k),1)),""))</f>
        <v/>
      </c>
      <c r="AB450">
        <f>IF($Y450="","",IF($Y450=0,LN($J450/$Z450)/$AA450,((($J450/$Z450)^$Y450)-1)/($Y450*$AA450)))</f>
        <v/>
      </c>
      <c r="AC450">
        <f>IF($Y450="","",IF($Y450=0,$Z450*EXP($AA450*2),$Z450*(1+$Y450*$AA450*2)^(1/$Y450)))</f>
        <v/>
      </c>
      <c r="AD450">
        <f>IF($Y450="","",IF($Y450=0,$Z450*EXP($AA450*3),$Z450*(1+$Y450*$AA450*3)^(1/$Y450)))</f>
        <v/>
      </c>
      <c r="AE450">
        <f>IF($Y450="","",IF($Y450=0,$Z450*EXP($AA450*-2),$Z450*(1+$Y450*$AA450*-2)^(1/$Y450)))</f>
        <v/>
      </c>
      <c r="AF450">
        <f>IF($Y450="","",IF($Y450=0,$Z450*EXP($AA450*-3),$Z450*(1+$Y450*$AA450*-3)^(1/$Y450)))</f>
        <v/>
      </c>
      <c r="AG450">
        <f>IF($W450="","",IFERROR(INDEX(IF($T450&lt;=60,est05_l,est519_l),MATCH($W450,IF($T450&lt;=60,est05_k,est519_k),1)),""))</f>
        <v/>
      </c>
      <c r="AH450">
        <f>IF($W450="","",IFERROR(INDEX(IF($T450&lt;=60,est05_m,est519_m),MATCH($W450,IF($T450&lt;=60,est05_k,est519_k),1)),""))</f>
        <v/>
      </c>
      <c r="AI450">
        <f>IF($W450="","",IFERROR(INDEX(IF($T450&lt;=60,est05_s,est519_s),MATCH($W450,IF($T450&lt;=60,est05_k,est519_k),1)),""))</f>
        <v/>
      </c>
      <c r="AJ450">
        <f>IF($W450="","",IFERROR(INDEX(IF($T450&lt;=60,peso05_l,peso510_l),MATCH($W450,IF($T450&lt;=60,peso05_k,peso510_k),1)),""))</f>
        <v/>
      </c>
      <c r="AK450">
        <f>IF($W450="","",IFERROR(INDEX(IF($T450&lt;=60,peso05_m,peso510_m),MATCH($W450,IF($T450&lt;=60,peso05_k,peso510_k),1)),""))</f>
        <v/>
      </c>
      <c r="AL450">
        <f>IF($W450="","",IFERROR(INDEX(IF($T450&lt;=60,peso05_s,peso510_s),MATCH($W450,IF($T450&lt;=60,peso05_k,peso510_k),1)),""))</f>
        <v/>
      </c>
      <c r="AM450">
        <f>IF($AJ450="","",IF($AJ450=0,LN($F450/$AK450)/$AL450,((($F450/$AK450)^$AJ450)-1)/($AJ450*$AL450)))</f>
        <v/>
      </c>
      <c r="AN450">
        <f>IF($AJ450="","",IF($AJ450=0,$AK450*EXP($AL450*2),$AK450*(1+$AJ450*$AL450*2)^(1/$AJ450)))</f>
        <v/>
      </c>
      <c r="AO450">
        <f>IF($AJ450="","",IF($AJ450=0,$AK450*EXP($AL450*3),$AK450*(1+$AJ450*$AL450*3)^(1/$AJ450)))</f>
        <v/>
      </c>
      <c r="AP450">
        <f>IF($AJ450="","",IF($AJ450=0,$AK450*EXP($AL450*-2),$AK450*(1+$AJ450*$AL450*-2)^(1/$AJ450)))</f>
        <v/>
      </c>
      <c r="AQ450">
        <f>IF($AJ450="","",IF($AJ450=0,$AK450*EXP($AL450*-3),$AK450*(1+$AJ450*$AL450*-3)^(1/$AJ450)))</f>
        <v/>
      </c>
      <c r="AR450">
        <f>IF(OR($X450="",$T450&gt;60),"",IFERROR(INDEX(IF($T450&lt;24,pcomp_l,palt_l),MATCH($X450,IF($T450&lt;24,pcomp_k,palt_k),1)),""))</f>
        <v/>
      </c>
      <c r="AS450">
        <f>IF(OR($X450="",$T450&gt;60),"",IFERROR(INDEX(IF($T450&lt;24,pcomp_m,palt_m),MATCH($X450,IF($T450&lt;24,pcomp_k,palt_k),1)),""))</f>
        <v/>
      </c>
      <c r="AT450">
        <f>IF(OR($X450="",$T450&gt;60),"",IFERROR(INDEX(IF($T450&lt;24,pcomp_s,palt_s),MATCH($X450,IF($T450&lt;24,pcomp_k,palt_k),1)),""))</f>
        <v/>
      </c>
      <c r="AU450">
        <f>IF($AR450="","",IF($AR450=0,LN($F450/$AS450)/$AT450,((($F450/$AS450)^$AR450)-1)/($AR450*$AT450)))</f>
        <v/>
      </c>
      <c r="AV450">
        <f>IF($AR450="","",IF($AR450=0,$AS450*EXP($AT450*2),$AS450*(1+$AR450*$AT450*2)^(1/$AR450)))</f>
        <v/>
      </c>
      <c r="AW450">
        <f>IF($AR450="","",IF($AR450=0,$AS450*EXP($AT450*3),$AS450*(1+$AR450*$AT450*3)^(1/$AR450)))</f>
        <v/>
      </c>
      <c r="AX450">
        <f>IF($AR450="","",IF($AR450=0,$AS450*EXP($AT450*-2),$AS450*(1+$AR450*$AT450*-2)^(1/$AR450)))</f>
        <v/>
      </c>
      <c r="AY450">
        <f>IF($AR450="","",IF($AR450=0,$AS450*EXP($AT450*-3),$AS450*(1+$AR450*$AT450*-3)^(1/$AR450)))</f>
        <v/>
      </c>
      <c r="AZ450">
        <f>IF(OR($A450="",$A450&lt;&gt;Ficha!$C$4),"",COUNTIF($A$2:$A450,Ficha!$C$4))</f>
        <v/>
      </c>
    </row>
    <row r="451">
      <c r="A451" s="8">
        <f>IF(INDEX(Banco!$A:$A,ROW())="","",INDEX(Banco!$A:$A,ROW()))</f>
        <v/>
      </c>
      <c r="B451" s="8">
        <f>IF(INDEX(Banco!$B:$B,ROW())="","",INDEX(Banco!$B:$B,ROW()))</f>
        <v/>
      </c>
      <c r="C451" s="8">
        <f>IF(INDEX(Banco!$C:$C,ROW())="","",INDEX(Banco!$C:$C,ROW()))</f>
        <v/>
      </c>
      <c r="D451" s="9">
        <f>IF(INDEX(Banco!$D:$D,ROW())="","",INDEX(Banco!$D:$D,ROW()))</f>
        <v/>
      </c>
      <c r="E451" s="9">
        <f>IF(INDEX(Banco!$E:$E,ROW())="","",INDEX(Banco!$E:$E,ROW()))</f>
        <v/>
      </c>
      <c r="F451" s="10">
        <f>IF(INDEX(Banco!$F:$F,ROW())="","",INDEX(Banco!$F:$F,ROW()))</f>
        <v/>
      </c>
      <c r="G451" s="10">
        <f>IF(INDEX(Banco!$G:$G,ROW())="","",INDEX(Banco!$G:$G,ROW()))</f>
        <v/>
      </c>
      <c r="H451" s="8">
        <f>IF(INDEX(Banco!$H:$H,ROW())="","",INDEX(Banco!$H:$H,ROW()))</f>
        <v/>
      </c>
      <c r="I451">
        <f>IF($T451="","",INT($T451/12)&amp;"a "&amp;MOD($T451,12)&amp;"m")</f>
        <v/>
      </c>
      <c r="J451" s="11">
        <f>IF(OR($F451="",$G451=""),"",ROUND($F451/($G451/100)^2,2))</f>
        <v/>
      </c>
      <c r="K451" s="12">
        <f>IF(OR($S451="",$J451="",$T451="",$T451&lt;0,$T451&gt;228,$Y451=""),"—",ROUND(IF(ABS($AB451)&lt;=3,$AB451,IF($AB451&gt;3,3+($J451-$AD451)/($AD451-$AC451),-3+($J451-$AF451)/($AE451-$AF451))),2))</f>
        <v/>
      </c>
      <c r="L451">
        <f>IF(OR($K451="",$K451="—"),"",IF($T451&lt;=60,IF($K451&lt;-3,"Magreza acentuada",IF($K451&lt;-2,"Magreza",IF($K451&lt;=1,"Eutrofia",IF($K451&lt;=2,"Risco de sobrepeso",IF($K451&lt;=3,"Sobrepeso","Obesidade"))))),IF($K451&lt;-3,"Magreza acentuada",IF($K451&lt;-2,"Magreza",IF($K451&lt;=1,"Eutrofia",IF($K451&lt;=2,"Sobrepeso",IF($K451&lt;=3,"Obesidade","Obesidade grave")))))))</f>
        <v/>
      </c>
      <c r="M451" s="12">
        <f>IF(OR($S451="",$V451="",$T451="",$T451&lt;0,$T451&gt;228,$AG451=""),"—",ROUND(IF($AG451=0,LN($V451/$AH451)/$AI451,((($V451/$AH451)^$AG451)-1)/($AG451*$AI451)),2))</f>
        <v/>
      </c>
      <c r="N451">
        <f>IF(OR($M451="",$M451="—"),"",IF($M451&lt;-3,"Muito baixa",IF($M451&lt;-2,"Baixa","Adequada")))</f>
        <v/>
      </c>
      <c r="O451" s="12">
        <f>IF(OR($S451="",$F451="",$T451="",$T451&lt;0,$T451&gt;120,$AJ451=""),"—",ROUND(IF(ABS($AM451)&lt;=3,$AM451,IF($AM451&gt;3,3+($F451-$AO451)/($AO451-$AN451),-3+($F451-$AQ451)/($AP451-$AQ451))),2))</f>
        <v/>
      </c>
      <c r="P451">
        <f>IF(OR($O451="",$O451="—"),"",IF($O451&lt;-3,"Muito baixo",IF($O451&lt;-2,"Baixo",IF($O451&lt;=2,"Adequado","Elevado"))))</f>
        <v/>
      </c>
      <c r="Q451" s="12">
        <f>IF(OR($S451="",$F451="",$T451="",$T451&lt;0,$T451&gt;60,$AR451=""),"—",ROUND(IF(ABS($AU451)&lt;=3,$AU451,IF($AU451&gt;3,3+($F451-$AW451)/($AW451-$AV451),-3+($F451-$AY451)/($AX451-$AY451))),2))</f>
        <v/>
      </c>
      <c r="R451">
        <f>IF(OR($Q451="",$Q451="—"),"",IF($Q451&lt;-3,"Magreza acentuada",IF($Q451&lt;-2,"Magreza",IF($Q451&lt;=1,"Eutrofia",IF($Q451&lt;=2,"Risco de sobrepeso",IF($Q451&lt;=3,"Sobrepeso","Obesidade"))))))</f>
        <v/>
      </c>
      <c r="S451">
        <f>IF($C451="","",IF(UPPER(LEFT($C451,1))="M",1,IF(UPPER(LEFT($C451,1))="F",2,"")))</f>
        <v/>
      </c>
      <c r="T451">
        <f>IF(OR($D451="",$E451=""),"",DATEDIF($D451,$E451,"m"))</f>
        <v/>
      </c>
      <c r="U451">
        <f>IF(OR($D451="",$E451=""),"",$E451-$D451)</f>
        <v/>
      </c>
      <c r="V451">
        <f>IF(OR($G451="",$T451=""),"",IF($T451&lt;24,IF(LEFT(LOWER($H451),4)="em p",$G451+0.7,$G451),IF(LEFT(LOWER($H451),4)="deit",$G451-0.7,$G451)))</f>
        <v/>
      </c>
      <c r="W451">
        <f>IF(OR($S451="",$T451=""),"",$S451*1000000+IF($T451&lt;=60,$U451,$T451))</f>
        <v/>
      </c>
      <c r="X451">
        <f>IF(OR($S451="",$V451="",$T451&gt;60,$T451=""),"",$S451*1000000+ROUND($V451*10,0))</f>
        <v/>
      </c>
      <c r="Y451">
        <f>IF($W451="","",IFERROR(INDEX(IF($T451&lt;=60,imc05_l,imc519_l),MATCH($W451,IF($T451&lt;=60,imc05_k,imc519_k),1)),""))</f>
        <v/>
      </c>
      <c r="Z451">
        <f>IF($W451="","",IFERROR(INDEX(IF($T451&lt;=60,imc05_m,imc519_m),MATCH($W451,IF($T451&lt;=60,imc05_k,imc519_k),1)),""))</f>
        <v/>
      </c>
      <c r="AA451">
        <f>IF($W451="","",IFERROR(INDEX(IF($T451&lt;=60,imc05_s,imc519_s),MATCH($W451,IF($T451&lt;=60,imc05_k,imc519_k),1)),""))</f>
        <v/>
      </c>
      <c r="AB451">
        <f>IF($Y451="","",IF($Y451=0,LN($J451/$Z451)/$AA451,((($J451/$Z451)^$Y451)-1)/($Y451*$AA451)))</f>
        <v/>
      </c>
      <c r="AC451">
        <f>IF($Y451="","",IF($Y451=0,$Z451*EXP($AA451*2),$Z451*(1+$Y451*$AA451*2)^(1/$Y451)))</f>
        <v/>
      </c>
      <c r="AD451">
        <f>IF($Y451="","",IF($Y451=0,$Z451*EXP($AA451*3),$Z451*(1+$Y451*$AA451*3)^(1/$Y451)))</f>
        <v/>
      </c>
      <c r="AE451">
        <f>IF($Y451="","",IF($Y451=0,$Z451*EXP($AA451*-2),$Z451*(1+$Y451*$AA451*-2)^(1/$Y451)))</f>
        <v/>
      </c>
      <c r="AF451">
        <f>IF($Y451="","",IF($Y451=0,$Z451*EXP($AA451*-3),$Z451*(1+$Y451*$AA451*-3)^(1/$Y451)))</f>
        <v/>
      </c>
      <c r="AG451">
        <f>IF($W451="","",IFERROR(INDEX(IF($T451&lt;=60,est05_l,est519_l),MATCH($W451,IF($T451&lt;=60,est05_k,est519_k),1)),""))</f>
        <v/>
      </c>
      <c r="AH451">
        <f>IF($W451="","",IFERROR(INDEX(IF($T451&lt;=60,est05_m,est519_m),MATCH($W451,IF($T451&lt;=60,est05_k,est519_k),1)),""))</f>
        <v/>
      </c>
      <c r="AI451">
        <f>IF($W451="","",IFERROR(INDEX(IF($T451&lt;=60,est05_s,est519_s),MATCH($W451,IF($T451&lt;=60,est05_k,est519_k),1)),""))</f>
        <v/>
      </c>
      <c r="AJ451">
        <f>IF($W451="","",IFERROR(INDEX(IF($T451&lt;=60,peso05_l,peso510_l),MATCH($W451,IF($T451&lt;=60,peso05_k,peso510_k),1)),""))</f>
        <v/>
      </c>
      <c r="AK451">
        <f>IF($W451="","",IFERROR(INDEX(IF($T451&lt;=60,peso05_m,peso510_m),MATCH($W451,IF($T451&lt;=60,peso05_k,peso510_k),1)),""))</f>
        <v/>
      </c>
      <c r="AL451">
        <f>IF($W451="","",IFERROR(INDEX(IF($T451&lt;=60,peso05_s,peso510_s),MATCH($W451,IF($T451&lt;=60,peso05_k,peso510_k),1)),""))</f>
        <v/>
      </c>
      <c r="AM451">
        <f>IF($AJ451="","",IF($AJ451=0,LN($F451/$AK451)/$AL451,((($F451/$AK451)^$AJ451)-1)/($AJ451*$AL451)))</f>
        <v/>
      </c>
      <c r="AN451">
        <f>IF($AJ451="","",IF($AJ451=0,$AK451*EXP($AL451*2),$AK451*(1+$AJ451*$AL451*2)^(1/$AJ451)))</f>
        <v/>
      </c>
      <c r="AO451">
        <f>IF($AJ451="","",IF($AJ451=0,$AK451*EXP($AL451*3),$AK451*(1+$AJ451*$AL451*3)^(1/$AJ451)))</f>
        <v/>
      </c>
      <c r="AP451">
        <f>IF($AJ451="","",IF($AJ451=0,$AK451*EXP($AL451*-2),$AK451*(1+$AJ451*$AL451*-2)^(1/$AJ451)))</f>
        <v/>
      </c>
      <c r="AQ451">
        <f>IF($AJ451="","",IF($AJ451=0,$AK451*EXP($AL451*-3),$AK451*(1+$AJ451*$AL451*-3)^(1/$AJ451)))</f>
        <v/>
      </c>
      <c r="AR451">
        <f>IF(OR($X451="",$T451&gt;60),"",IFERROR(INDEX(IF($T451&lt;24,pcomp_l,palt_l),MATCH($X451,IF($T451&lt;24,pcomp_k,palt_k),1)),""))</f>
        <v/>
      </c>
      <c r="AS451">
        <f>IF(OR($X451="",$T451&gt;60),"",IFERROR(INDEX(IF($T451&lt;24,pcomp_m,palt_m),MATCH($X451,IF($T451&lt;24,pcomp_k,palt_k),1)),""))</f>
        <v/>
      </c>
      <c r="AT451">
        <f>IF(OR($X451="",$T451&gt;60),"",IFERROR(INDEX(IF($T451&lt;24,pcomp_s,palt_s),MATCH($X451,IF($T451&lt;24,pcomp_k,palt_k),1)),""))</f>
        <v/>
      </c>
      <c r="AU451">
        <f>IF($AR451="","",IF($AR451=0,LN($F451/$AS451)/$AT451,((($F451/$AS451)^$AR451)-1)/($AR451*$AT451)))</f>
        <v/>
      </c>
      <c r="AV451">
        <f>IF($AR451="","",IF($AR451=0,$AS451*EXP($AT451*2),$AS451*(1+$AR451*$AT451*2)^(1/$AR451)))</f>
        <v/>
      </c>
      <c r="AW451">
        <f>IF($AR451="","",IF($AR451=0,$AS451*EXP($AT451*3),$AS451*(1+$AR451*$AT451*3)^(1/$AR451)))</f>
        <v/>
      </c>
      <c r="AX451">
        <f>IF($AR451="","",IF($AR451=0,$AS451*EXP($AT451*-2),$AS451*(1+$AR451*$AT451*-2)^(1/$AR451)))</f>
        <v/>
      </c>
      <c r="AY451">
        <f>IF($AR451="","",IF($AR451=0,$AS451*EXP($AT451*-3),$AS451*(1+$AR451*$AT451*-3)^(1/$AR451)))</f>
        <v/>
      </c>
      <c r="AZ451">
        <f>IF(OR($A451="",$A451&lt;&gt;Ficha!$C$4),"",COUNTIF($A$2:$A451,Ficha!$C$4))</f>
        <v/>
      </c>
    </row>
    <row r="452">
      <c r="A452" s="8">
        <f>IF(INDEX(Banco!$A:$A,ROW())="","",INDEX(Banco!$A:$A,ROW()))</f>
        <v/>
      </c>
      <c r="B452" s="8">
        <f>IF(INDEX(Banco!$B:$B,ROW())="","",INDEX(Banco!$B:$B,ROW()))</f>
        <v/>
      </c>
      <c r="C452" s="8">
        <f>IF(INDEX(Banco!$C:$C,ROW())="","",INDEX(Banco!$C:$C,ROW()))</f>
        <v/>
      </c>
      <c r="D452" s="9">
        <f>IF(INDEX(Banco!$D:$D,ROW())="","",INDEX(Banco!$D:$D,ROW()))</f>
        <v/>
      </c>
      <c r="E452" s="9">
        <f>IF(INDEX(Banco!$E:$E,ROW())="","",INDEX(Banco!$E:$E,ROW()))</f>
        <v/>
      </c>
      <c r="F452" s="10">
        <f>IF(INDEX(Banco!$F:$F,ROW())="","",INDEX(Banco!$F:$F,ROW()))</f>
        <v/>
      </c>
      <c r="G452" s="10">
        <f>IF(INDEX(Banco!$G:$G,ROW())="","",INDEX(Banco!$G:$G,ROW()))</f>
        <v/>
      </c>
      <c r="H452" s="8">
        <f>IF(INDEX(Banco!$H:$H,ROW())="","",INDEX(Banco!$H:$H,ROW()))</f>
        <v/>
      </c>
      <c r="I452">
        <f>IF($T452="","",INT($T452/12)&amp;"a "&amp;MOD($T452,12)&amp;"m")</f>
        <v/>
      </c>
      <c r="J452" s="11">
        <f>IF(OR($F452="",$G452=""),"",ROUND($F452/($G452/100)^2,2))</f>
        <v/>
      </c>
      <c r="K452" s="12">
        <f>IF(OR($S452="",$J452="",$T452="",$T452&lt;0,$T452&gt;228,$Y452=""),"—",ROUND(IF(ABS($AB452)&lt;=3,$AB452,IF($AB452&gt;3,3+($J452-$AD452)/($AD452-$AC452),-3+($J452-$AF452)/($AE452-$AF452))),2))</f>
        <v/>
      </c>
      <c r="L452">
        <f>IF(OR($K452="",$K452="—"),"",IF($T452&lt;=60,IF($K452&lt;-3,"Magreza acentuada",IF($K452&lt;-2,"Magreza",IF($K452&lt;=1,"Eutrofia",IF($K452&lt;=2,"Risco de sobrepeso",IF($K452&lt;=3,"Sobrepeso","Obesidade"))))),IF($K452&lt;-3,"Magreza acentuada",IF($K452&lt;-2,"Magreza",IF($K452&lt;=1,"Eutrofia",IF($K452&lt;=2,"Sobrepeso",IF($K452&lt;=3,"Obesidade","Obesidade grave")))))))</f>
        <v/>
      </c>
      <c r="M452" s="12">
        <f>IF(OR($S452="",$V452="",$T452="",$T452&lt;0,$T452&gt;228,$AG452=""),"—",ROUND(IF($AG452=0,LN($V452/$AH452)/$AI452,((($V452/$AH452)^$AG452)-1)/($AG452*$AI452)),2))</f>
        <v/>
      </c>
      <c r="N452">
        <f>IF(OR($M452="",$M452="—"),"",IF($M452&lt;-3,"Muito baixa",IF($M452&lt;-2,"Baixa","Adequada")))</f>
        <v/>
      </c>
      <c r="O452" s="12">
        <f>IF(OR($S452="",$F452="",$T452="",$T452&lt;0,$T452&gt;120,$AJ452=""),"—",ROUND(IF(ABS($AM452)&lt;=3,$AM452,IF($AM452&gt;3,3+($F452-$AO452)/($AO452-$AN452),-3+($F452-$AQ452)/($AP452-$AQ452))),2))</f>
        <v/>
      </c>
      <c r="P452">
        <f>IF(OR($O452="",$O452="—"),"",IF($O452&lt;-3,"Muito baixo",IF($O452&lt;-2,"Baixo",IF($O452&lt;=2,"Adequado","Elevado"))))</f>
        <v/>
      </c>
      <c r="Q452" s="12">
        <f>IF(OR($S452="",$F452="",$T452="",$T452&lt;0,$T452&gt;60,$AR452=""),"—",ROUND(IF(ABS($AU452)&lt;=3,$AU452,IF($AU452&gt;3,3+($F452-$AW452)/($AW452-$AV452),-3+($F452-$AY452)/($AX452-$AY452))),2))</f>
        <v/>
      </c>
      <c r="R452">
        <f>IF(OR($Q452="",$Q452="—"),"",IF($Q452&lt;-3,"Magreza acentuada",IF($Q452&lt;-2,"Magreza",IF($Q452&lt;=1,"Eutrofia",IF($Q452&lt;=2,"Risco de sobrepeso",IF($Q452&lt;=3,"Sobrepeso","Obesidade"))))))</f>
        <v/>
      </c>
      <c r="S452">
        <f>IF($C452="","",IF(UPPER(LEFT($C452,1))="M",1,IF(UPPER(LEFT($C452,1))="F",2,"")))</f>
        <v/>
      </c>
      <c r="T452">
        <f>IF(OR($D452="",$E452=""),"",DATEDIF($D452,$E452,"m"))</f>
        <v/>
      </c>
      <c r="U452">
        <f>IF(OR($D452="",$E452=""),"",$E452-$D452)</f>
        <v/>
      </c>
      <c r="V452">
        <f>IF(OR($G452="",$T452=""),"",IF($T452&lt;24,IF(LEFT(LOWER($H452),4)="em p",$G452+0.7,$G452),IF(LEFT(LOWER($H452),4)="deit",$G452-0.7,$G452)))</f>
        <v/>
      </c>
      <c r="W452">
        <f>IF(OR($S452="",$T452=""),"",$S452*1000000+IF($T452&lt;=60,$U452,$T452))</f>
        <v/>
      </c>
      <c r="X452">
        <f>IF(OR($S452="",$V452="",$T452&gt;60,$T452=""),"",$S452*1000000+ROUND($V452*10,0))</f>
        <v/>
      </c>
      <c r="Y452">
        <f>IF($W452="","",IFERROR(INDEX(IF($T452&lt;=60,imc05_l,imc519_l),MATCH($W452,IF($T452&lt;=60,imc05_k,imc519_k),1)),""))</f>
        <v/>
      </c>
      <c r="Z452">
        <f>IF($W452="","",IFERROR(INDEX(IF($T452&lt;=60,imc05_m,imc519_m),MATCH($W452,IF($T452&lt;=60,imc05_k,imc519_k),1)),""))</f>
        <v/>
      </c>
      <c r="AA452">
        <f>IF($W452="","",IFERROR(INDEX(IF($T452&lt;=60,imc05_s,imc519_s),MATCH($W452,IF($T452&lt;=60,imc05_k,imc519_k),1)),""))</f>
        <v/>
      </c>
      <c r="AB452">
        <f>IF($Y452="","",IF($Y452=0,LN($J452/$Z452)/$AA452,((($J452/$Z452)^$Y452)-1)/($Y452*$AA452)))</f>
        <v/>
      </c>
      <c r="AC452">
        <f>IF($Y452="","",IF($Y452=0,$Z452*EXP($AA452*2),$Z452*(1+$Y452*$AA452*2)^(1/$Y452)))</f>
        <v/>
      </c>
      <c r="AD452">
        <f>IF($Y452="","",IF($Y452=0,$Z452*EXP($AA452*3),$Z452*(1+$Y452*$AA452*3)^(1/$Y452)))</f>
        <v/>
      </c>
      <c r="AE452">
        <f>IF($Y452="","",IF($Y452=0,$Z452*EXP($AA452*-2),$Z452*(1+$Y452*$AA452*-2)^(1/$Y452)))</f>
        <v/>
      </c>
      <c r="AF452">
        <f>IF($Y452="","",IF($Y452=0,$Z452*EXP($AA452*-3),$Z452*(1+$Y452*$AA452*-3)^(1/$Y452)))</f>
        <v/>
      </c>
      <c r="AG452">
        <f>IF($W452="","",IFERROR(INDEX(IF($T452&lt;=60,est05_l,est519_l),MATCH($W452,IF($T452&lt;=60,est05_k,est519_k),1)),""))</f>
        <v/>
      </c>
      <c r="AH452">
        <f>IF($W452="","",IFERROR(INDEX(IF($T452&lt;=60,est05_m,est519_m),MATCH($W452,IF($T452&lt;=60,est05_k,est519_k),1)),""))</f>
        <v/>
      </c>
      <c r="AI452">
        <f>IF($W452="","",IFERROR(INDEX(IF($T452&lt;=60,est05_s,est519_s),MATCH($W452,IF($T452&lt;=60,est05_k,est519_k),1)),""))</f>
        <v/>
      </c>
      <c r="AJ452">
        <f>IF($W452="","",IFERROR(INDEX(IF($T452&lt;=60,peso05_l,peso510_l),MATCH($W452,IF($T452&lt;=60,peso05_k,peso510_k),1)),""))</f>
        <v/>
      </c>
      <c r="AK452">
        <f>IF($W452="","",IFERROR(INDEX(IF($T452&lt;=60,peso05_m,peso510_m),MATCH($W452,IF($T452&lt;=60,peso05_k,peso510_k),1)),""))</f>
        <v/>
      </c>
      <c r="AL452">
        <f>IF($W452="","",IFERROR(INDEX(IF($T452&lt;=60,peso05_s,peso510_s),MATCH($W452,IF($T452&lt;=60,peso05_k,peso510_k),1)),""))</f>
        <v/>
      </c>
      <c r="AM452">
        <f>IF($AJ452="","",IF($AJ452=0,LN($F452/$AK452)/$AL452,((($F452/$AK452)^$AJ452)-1)/($AJ452*$AL452)))</f>
        <v/>
      </c>
      <c r="AN452">
        <f>IF($AJ452="","",IF($AJ452=0,$AK452*EXP($AL452*2),$AK452*(1+$AJ452*$AL452*2)^(1/$AJ452)))</f>
        <v/>
      </c>
      <c r="AO452">
        <f>IF($AJ452="","",IF($AJ452=0,$AK452*EXP($AL452*3),$AK452*(1+$AJ452*$AL452*3)^(1/$AJ452)))</f>
        <v/>
      </c>
      <c r="AP452">
        <f>IF($AJ452="","",IF($AJ452=0,$AK452*EXP($AL452*-2),$AK452*(1+$AJ452*$AL452*-2)^(1/$AJ452)))</f>
        <v/>
      </c>
      <c r="AQ452">
        <f>IF($AJ452="","",IF($AJ452=0,$AK452*EXP($AL452*-3),$AK452*(1+$AJ452*$AL452*-3)^(1/$AJ452)))</f>
        <v/>
      </c>
      <c r="AR452">
        <f>IF(OR($X452="",$T452&gt;60),"",IFERROR(INDEX(IF($T452&lt;24,pcomp_l,palt_l),MATCH($X452,IF($T452&lt;24,pcomp_k,palt_k),1)),""))</f>
        <v/>
      </c>
      <c r="AS452">
        <f>IF(OR($X452="",$T452&gt;60),"",IFERROR(INDEX(IF($T452&lt;24,pcomp_m,palt_m),MATCH($X452,IF($T452&lt;24,pcomp_k,palt_k),1)),""))</f>
        <v/>
      </c>
      <c r="AT452">
        <f>IF(OR($X452="",$T452&gt;60),"",IFERROR(INDEX(IF($T452&lt;24,pcomp_s,palt_s),MATCH($X452,IF($T452&lt;24,pcomp_k,palt_k),1)),""))</f>
        <v/>
      </c>
      <c r="AU452">
        <f>IF($AR452="","",IF($AR452=0,LN($F452/$AS452)/$AT452,((($F452/$AS452)^$AR452)-1)/($AR452*$AT452)))</f>
        <v/>
      </c>
      <c r="AV452">
        <f>IF($AR452="","",IF($AR452=0,$AS452*EXP($AT452*2),$AS452*(1+$AR452*$AT452*2)^(1/$AR452)))</f>
        <v/>
      </c>
      <c r="AW452">
        <f>IF($AR452="","",IF($AR452=0,$AS452*EXP($AT452*3),$AS452*(1+$AR452*$AT452*3)^(1/$AR452)))</f>
        <v/>
      </c>
      <c r="AX452">
        <f>IF($AR452="","",IF($AR452=0,$AS452*EXP($AT452*-2),$AS452*(1+$AR452*$AT452*-2)^(1/$AR452)))</f>
        <v/>
      </c>
      <c r="AY452">
        <f>IF($AR452="","",IF($AR452=0,$AS452*EXP($AT452*-3),$AS452*(1+$AR452*$AT452*-3)^(1/$AR452)))</f>
        <v/>
      </c>
      <c r="AZ452">
        <f>IF(OR($A452="",$A452&lt;&gt;Ficha!$C$4),"",COUNTIF($A$2:$A452,Ficha!$C$4))</f>
        <v/>
      </c>
    </row>
    <row r="453">
      <c r="A453" s="8">
        <f>IF(INDEX(Banco!$A:$A,ROW())="","",INDEX(Banco!$A:$A,ROW()))</f>
        <v/>
      </c>
      <c r="B453" s="8">
        <f>IF(INDEX(Banco!$B:$B,ROW())="","",INDEX(Banco!$B:$B,ROW()))</f>
        <v/>
      </c>
      <c r="C453" s="8">
        <f>IF(INDEX(Banco!$C:$C,ROW())="","",INDEX(Banco!$C:$C,ROW()))</f>
        <v/>
      </c>
      <c r="D453" s="9">
        <f>IF(INDEX(Banco!$D:$D,ROW())="","",INDEX(Banco!$D:$D,ROW()))</f>
        <v/>
      </c>
      <c r="E453" s="9">
        <f>IF(INDEX(Banco!$E:$E,ROW())="","",INDEX(Banco!$E:$E,ROW()))</f>
        <v/>
      </c>
      <c r="F453" s="10">
        <f>IF(INDEX(Banco!$F:$F,ROW())="","",INDEX(Banco!$F:$F,ROW()))</f>
        <v/>
      </c>
      <c r="G453" s="10">
        <f>IF(INDEX(Banco!$G:$G,ROW())="","",INDEX(Banco!$G:$G,ROW()))</f>
        <v/>
      </c>
      <c r="H453" s="8">
        <f>IF(INDEX(Banco!$H:$H,ROW())="","",INDEX(Banco!$H:$H,ROW()))</f>
        <v/>
      </c>
      <c r="I453">
        <f>IF($T453="","",INT($T453/12)&amp;"a "&amp;MOD($T453,12)&amp;"m")</f>
        <v/>
      </c>
      <c r="J453" s="11">
        <f>IF(OR($F453="",$G453=""),"",ROUND($F453/($G453/100)^2,2))</f>
        <v/>
      </c>
      <c r="K453" s="12">
        <f>IF(OR($S453="",$J453="",$T453="",$T453&lt;0,$T453&gt;228,$Y453=""),"—",ROUND(IF(ABS($AB453)&lt;=3,$AB453,IF($AB453&gt;3,3+($J453-$AD453)/($AD453-$AC453),-3+($J453-$AF453)/($AE453-$AF453))),2))</f>
        <v/>
      </c>
      <c r="L453">
        <f>IF(OR($K453="",$K453="—"),"",IF($T453&lt;=60,IF($K453&lt;-3,"Magreza acentuada",IF($K453&lt;-2,"Magreza",IF($K453&lt;=1,"Eutrofia",IF($K453&lt;=2,"Risco de sobrepeso",IF($K453&lt;=3,"Sobrepeso","Obesidade"))))),IF($K453&lt;-3,"Magreza acentuada",IF($K453&lt;-2,"Magreza",IF($K453&lt;=1,"Eutrofia",IF($K453&lt;=2,"Sobrepeso",IF($K453&lt;=3,"Obesidade","Obesidade grave")))))))</f>
        <v/>
      </c>
      <c r="M453" s="12">
        <f>IF(OR($S453="",$V453="",$T453="",$T453&lt;0,$T453&gt;228,$AG453=""),"—",ROUND(IF($AG453=0,LN($V453/$AH453)/$AI453,((($V453/$AH453)^$AG453)-1)/($AG453*$AI453)),2))</f>
        <v/>
      </c>
      <c r="N453">
        <f>IF(OR($M453="",$M453="—"),"",IF($M453&lt;-3,"Muito baixa",IF($M453&lt;-2,"Baixa","Adequada")))</f>
        <v/>
      </c>
      <c r="O453" s="12">
        <f>IF(OR($S453="",$F453="",$T453="",$T453&lt;0,$T453&gt;120,$AJ453=""),"—",ROUND(IF(ABS($AM453)&lt;=3,$AM453,IF($AM453&gt;3,3+($F453-$AO453)/($AO453-$AN453),-3+($F453-$AQ453)/($AP453-$AQ453))),2))</f>
        <v/>
      </c>
      <c r="P453">
        <f>IF(OR($O453="",$O453="—"),"",IF($O453&lt;-3,"Muito baixo",IF($O453&lt;-2,"Baixo",IF($O453&lt;=2,"Adequado","Elevado"))))</f>
        <v/>
      </c>
      <c r="Q453" s="12">
        <f>IF(OR($S453="",$F453="",$T453="",$T453&lt;0,$T453&gt;60,$AR453=""),"—",ROUND(IF(ABS($AU453)&lt;=3,$AU453,IF($AU453&gt;3,3+($F453-$AW453)/($AW453-$AV453),-3+($F453-$AY453)/($AX453-$AY453))),2))</f>
        <v/>
      </c>
      <c r="R453">
        <f>IF(OR($Q453="",$Q453="—"),"",IF($Q453&lt;-3,"Magreza acentuada",IF($Q453&lt;-2,"Magreza",IF($Q453&lt;=1,"Eutrofia",IF($Q453&lt;=2,"Risco de sobrepeso",IF($Q453&lt;=3,"Sobrepeso","Obesidade"))))))</f>
        <v/>
      </c>
      <c r="S453">
        <f>IF($C453="","",IF(UPPER(LEFT($C453,1))="M",1,IF(UPPER(LEFT($C453,1))="F",2,"")))</f>
        <v/>
      </c>
      <c r="T453">
        <f>IF(OR($D453="",$E453=""),"",DATEDIF($D453,$E453,"m"))</f>
        <v/>
      </c>
      <c r="U453">
        <f>IF(OR($D453="",$E453=""),"",$E453-$D453)</f>
        <v/>
      </c>
      <c r="V453">
        <f>IF(OR($G453="",$T453=""),"",IF($T453&lt;24,IF(LEFT(LOWER($H453),4)="em p",$G453+0.7,$G453),IF(LEFT(LOWER($H453),4)="deit",$G453-0.7,$G453)))</f>
        <v/>
      </c>
      <c r="W453">
        <f>IF(OR($S453="",$T453=""),"",$S453*1000000+IF($T453&lt;=60,$U453,$T453))</f>
        <v/>
      </c>
      <c r="X453">
        <f>IF(OR($S453="",$V453="",$T453&gt;60,$T453=""),"",$S453*1000000+ROUND($V453*10,0))</f>
        <v/>
      </c>
      <c r="Y453">
        <f>IF($W453="","",IFERROR(INDEX(IF($T453&lt;=60,imc05_l,imc519_l),MATCH($W453,IF($T453&lt;=60,imc05_k,imc519_k),1)),""))</f>
        <v/>
      </c>
      <c r="Z453">
        <f>IF($W453="","",IFERROR(INDEX(IF($T453&lt;=60,imc05_m,imc519_m),MATCH($W453,IF($T453&lt;=60,imc05_k,imc519_k),1)),""))</f>
        <v/>
      </c>
      <c r="AA453">
        <f>IF($W453="","",IFERROR(INDEX(IF($T453&lt;=60,imc05_s,imc519_s),MATCH($W453,IF($T453&lt;=60,imc05_k,imc519_k),1)),""))</f>
        <v/>
      </c>
      <c r="AB453">
        <f>IF($Y453="","",IF($Y453=0,LN($J453/$Z453)/$AA453,((($J453/$Z453)^$Y453)-1)/($Y453*$AA453)))</f>
        <v/>
      </c>
      <c r="AC453">
        <f>IF($Y453="","",IF($Y453=0,$Z453*EXP($AA453*2),$Z453*(1+$Y453*$AA453*2)^(1/$Y453)))</f>
        <v/>
      </c>
      <c r="AD453">
        <f>IF($Y453="","",IF($Y453=0,$Z453*EXP($AA453*3),$Z453*(1+$Y453*$AA453*3)^(1/$Y453)))</f>
        <v/>
      </c>
      <c r="AE453">
        <f>IF($Y453="","",IF($Y453=0,$Z453*EXP($AA453*-2),$Z453*(1+$Y453*$AA453*-2)^(1/$Y453)))</f>
        <v/>
      </c>
      <c r="AF453">
        <f>IF($Y453="","",IF($Y453=0,$Z453*EXP($AA453*-3),$Z453*(1+$Y453*$AA453*-3)^(1/$Y453)))</f>
        <v/>
      </c>
      <c r="AG453">
        <f>IF($W453="","",IFERROR(INDEX(IF($T453&lt;=60,est05_l,est519_l),MATCH($W453,IF($T453&lt;=60,est05_k,est519_k),1)),""))</f>
        <v/>
      </c>
      <c r="AH453">
        <f>IF($W453="","",IFERROR(INDEX(IF($T453&lt;=60,est05_m,est519_m),MATCH($W453,IF($T453&lt;=60,est05_k,est519_k),1)),""))</f>
        <v/>
      </c>
      <c r="AI453">
        <f>IF($W453="","",IFERROR(INDEX(IF($T453&lt;=60,est05_s,est519_s),MATCH($W453,IF($T453&lt;=60,est05_k,est519_k),1)),""))</f>
        <v/>
      </c>
      <c r="AJ453">
        <f>IF($W453="","",IFERROR(INDEX(IF($T453&lt;=60,peso05_l,peso510_l),MATCH($W453,IF($T453&lt;=60,peso05_k,peso510_k),1)),""))</f>
        <v/>
      </c>
      <c r="AK453">
        <f>IF($W453="","",IFERROR(INDEX(IF($T453&lt;=60,peso05_m,peso510_m),MATCH($W453,IF($T453&lt;=60,peso05_k,peso510_k),1)),""))</f>
        <v/>
      </c>
      <c r="AL453">
        <f>IF($W453="","",IFERROR(INDEX(IF($T453&lt;=60,peso05_s,peso510_s),MATCH($W453,IF($T453&lt;=60,peso05_k,peso510_k),1)),""))</f>
        <v/>
      </c>
      <c r="AM453">
        <f>IF($AJ453="","",IF($AJ453=0,LN($F453/$AK453)/$AL453,((($F453/$AK453)^$AJ453)-1)/($AJ453*$AL453)))</f>
        <v/>
      </c>
      <c r="AN453">
        <f>IF($AJ453="","",IF($AJ453=0,$AK453*EXP($AL453*2),$AK453*(1+$AJ453*$AL453*2)^(1/$AJ453)))</f>
        <v/>
      </c>
      <c r="AO453">
        <f>IF($AJ453="","",IF($AJ453=0,$AK453*EXP($AL453*3),$AK453*(1+$AJ453*$AL453*3)^(1/$AJ453)))</f>
        <v/>
      </c>
      <c r="AP453">
        <f>IF($AJ453="","",IF($AJ453=0,$AK453*EXP($AL453*-2),$AK453*(1+$AJ453*$AL453*-2)^(1/$AJ453)))</f>
        <v/>
      </c>
      <c r="AQ453">
        <f>IF($AJ453="","",IF($AJ453=0,$AK453*EXP($AL453*-3),$AK453*(1+$AJ453*$AL453*-3)^(1/$AJ453)))</f>
        <v/>
      </c>
      <c r="AR453">
        <f>IF(OR($X453="",$T453&gt;60),"",IFERROR(INDEX(IF($T453&lt;24,pcomp_l,palt_l),MATCH($X453,IF($T453&lt;24,pcomp_k,palt_k),1)),""))</f>
        <v/>
      </c>
      <c r="AS453">
        <f>IF(OR($X453="",$T453&gt;60),"",IFERROR(INDEX(IF($T453&lt;24,pcomp_m,palt_m),MATCH($X453,IF($T453&lt;24,pcomp_k,palt_k),1)),""))</f>
        <v/>
      </c>
      <c r="AT453">
        <f>IF(OR($X453="",$T453&gt;60),"",IFERROR(INDEX(IF($T453&lt;24,pcomp_s,palt_s),MATCH($X453,IF($T453&lt;24,pcomp_k,palt_k),1)),""))</f>
        <v/>
      </c>
      <c r="AU453">
        <f>IF($AR453="","",IF($AR453=0,LN($F453/$AS453)/$AT453,((($F453/$AS453)^$AR453)-1)/($AR453*$AT453)))</f>
        <v/>
      </c>
      <c r="AV453">
        <f>IF($AR453="","",IF($AR453=0,$AS453*EXP($AT453*2),$AS453*(1+$AR453*$AT453*2)^(1/$AR453)))</f>
        <v/>
      </c>
      <c r="AW453">
        <f>IF($AR453="","",IF($AR453=0,$AS453*EXP($AT453*3),$AS453*(1+$AR453*$AT453*3)^(1/$AR453)))</f>
        <v/>
      </c>
      <c r="AX453">
        <f>IF($AR453="","",IF($AR453=0,$AS453*EXP($AT453*-2),$AS453*(1+$AR453*$AT453*-2)^(1/$AR453)))</f>
        <v/>
      </c>
      <c r="AY453">
        <f>IF($AR453="","",IF($AR453=0,$AS453*EXP($AT453*-3),$AS453*(1+$AR453*$AT453*-3)^(1/$AR453)))</f>
        <v/>
      </c>
      <c r="AZ453">
        <f>IF(OR($A453="",$A453&lt;&gt;Ficha!$C$4),"",COUNTIF($A$2:$A453,Ficha!$C$4))</f>
        <v/>
      </c>
    </row>
    <row r="454">
      <c r="A454" s="8">
        <f>IF(INDEX(Banco!$A:$A,ROW())="","",INDEX(Banco!$A:$A,ROW()))</f>
        <v/>
      </c>
      <c r="B454" s="8">
        <f>IF(INDEX(Banco!$B:$B,ROW())="","",INDEX(Banco!$B:$B,ROW()))</f>
        <v/>
      </c>
      <c r="C454" s="8">
        <f>IF(INDEX(Banco!$C:$C,ROW())="","",INDEX(Banco!$C:$C,ROW()))</f>
        <v/>
      </c>
      <c r="D454" s="9">
        <f>IF(INDEX(Banco!$D:$D,ROW())="","",INDEX(Banco!$D:$D,ROW()))</f>
        <v/>
      </c>
      <c r="E454" s="9">
        <f>IF(INDEX(Banco!$E:$E,ROW())="","",INDEX(Banco!$E:$E,ROW()))</f>
        <v/>
      </c>
      <c r="F454" s="10">
        <f>IF(INDEX(Banco!$F:$F,ROW())="","",INDEX(Banco!$F:$F,ROW()))</f>
        <v/>
      </c>
      <c r="G454" s="10">
        <f>IF(INDEX(Banco!$G:$G,ROW())="","",INDEX(Banco!$G:$G,ROW()))</f>
        <v/>
      </c>
      <c r="H454" s="8">
        <f>IF(INDEX(Banco!$H:$H,ROW())="","",INDEX(Banco!$H:$H,ROW()))</f>
        <v/>
      </c>
      <c r="I454">
        <f>IF($T454="","",INT($T454/12)&amp;"a "&amp;MOD($T454,12)&amp;"m")</f>
        <v/>
      </c>
      <c r="J454" s="11">
        <f>IF(OR($F454="",$G454=""),"",ROUND($F454/($G454/100)^2,2))</f>
        <v/>
      </c>
      <c r="K454" s="12">
        <f>IF(OR($S454="",$J454="",$T454="",$T454&lt;0,$T454&gt;228,$Y454=""),"—",ROUND(IF(ABS($AB454)&lt;=3,$AB454,IF($AB454&gt;3,3+($J454-$AD454)/($AD454-$AC454),-3+($J454-$AF454)/($AE454-$AF454))),2))</f>
        <v/>
      </c>
      <c r="L454">
        <f>IF(OR($K454="",$K454="—"),"",IF($T454&lt;=60,IF($K454&lt;-3,"Magreza acentuada",IF($K454&lt;-2,"Magreza",IF($K454&lt;=1,"Eutrofia",IF($K454&lt;=2,"Risco de sobrepeso",IF($K454&lt;=3,"Sobrepeso","Obesidade"))))),IF($K454&lt;-3,"Magreza acentuada",IF($K454&lt;-2,"Magreza",IF($K454&lt;=1,"Eutrofia",IF($K454&lt;=2,"Sobrepeso",IF($K454&lt;=3,"Obesidade","Obesidade grave")))))))</f>
        <v/>
      </c>
      <c r="M454" s="12">
        <f>IF(OR($S454="",$V454="",$T454="",$T454&lt;0,$T454&gt;228,$AG454=""),"—",ROUND(IF($AG454=0,LN($V454/$AH454)/$AI454,((($V454/$AH454)^$AG454)-1)/($AG454*$AI454)),2))</f>
        <v/>
      </c>
      <c r="N454">
        <f>IF(OR($M454="",$M454="—"),"",IF($M454&lt;-3,"Muito baixa",IF($M454&lt;-2,"Baixa","Adequada")))</f>
        <v/>
      </c>
      <c r="O454" s="12">
        <f>IF(OR($S454="",$F454="",$T454="",$T454&lt;0,$T454&gt;120,$AJ454=""),"—",ROUND(IF(ABS($AM454)&lt;=3,$AM454,IF($AM454&gt;3,3+($F454-$AO454)/($AO454-$AN454),-3+($F454-$AQ454)/($AP454-$AQ454))),2))</f>
        <v/>
      </c>
      <c r="P454">
        <f>IF(OR($O454="",$O454="—"),"",IF($O454&lt;-3,"Muito baixo",IF($O454&lt;-2,"Baixo",IF($O454&lt;=2,"Adequado","Elevado"))))</f>
        <v/>
      </c>
      <c r="Q454" s="12">
        <f>IF(OR($S454="",$F454="",$T454="",$T454&lt;0,$T454&gt;60,$AR454=""),"—",ROUND(IF(ABS($AU454)&lt;=3,$AU454,IF($AU454&gt;3,3+($F454-$AW454)/($AW454-$AV454),-3+($F454-$AY454)/($AX454-$AY454))),2))</f>
        <v/>
      </c>
      <c r="R454">
        <f>IF(OR($Q454="",$Q454="—"),"",IF($Q454&lt;-3,"Magreza acentuada",IF($Q454&lt;-2,"Magreza",IF($Q454&lt;=1,"Eutrofia",IF($Q454&lt;=2,"Risco de sobrepeso",IF($Q454&lt;=3,"Sobrepeso","Obesidade"))))))</f>
        <v/>
      </c>
      <c r="S454">
        <f>IF($C454="","",IF(UPPER(LEFT($C454,1))="M",1,IF(UPPER(LEFT($C454,1))="F",2,"")))</f>
        <v/>
      </c>
      <c r="T454">
        <f>IF(OR($D454="",$E454=""),"",DATEDIF($D454,$E454,"m"))</f>
        <v/>
      </c>
      <c r="U454">
        <f>IF(OR($D454="",$E454=""),"",$E454-$D454)</f>
        <v/>
      </c>
      <c r="V454">
        <f>IF(OR($G454="",$T454=""),"",IF($T454&lt;24,IF(LEFT(LOWER($H454),4)="em p",$G454+0.7,$G454),IF(LEFT(LOWER($H454),4)="deit",$G454-0.7,$G454)))</f>
        <v/>
      </c>
      <c r="W454">
        <f>IF(OR($S454="",$T454=""),"",$S454*1000000+IF($T454&lt;=60,$U454,$T454))</f>
        <v/>
      </c>
      <c r="X454">
        <f>IF(OR($S454="",$V454="",$T454&gt;60,$T454=""),"",$S454*1000000+ROUND($V454*10,0))</f>
        <v/>
      </c>
      <c r="Y454">
        <f>IF($W454="","",IFERROR(INDEX(IF($T454&lt;=60,imc05_l,imc519_l),MATCH($W454,IF($T454&lt;=60,imc05_k,imc519_k),1)),""))</f>
        <v/>
      </c>
      <c r="Z454">
        <f>IF($W454="","",IFERROR(INDEX(IF($T454&lt;=60,imc05_m,imc519_m),MATCH($W454,IF($T454&lt;=60,imc05_k,imc519_k),1)),""))</f>
        <v/>
      </c>
      <c r="AA454">
        <f>IF($W454="","",IFERROR(INDEX(IF($T454&lt;=60,imc05_s,imc519_s),MATCH($W454,IF($T454&lt;=60,imc05_k,imc519_k),1)),""))</f>
        <v/>
      </c>
      <c r="AB454">
        <f>IF($Y454="","",IF($Y454=0,LN($J454/$Z454)/$AA454,((($J454/$Z454)^$Y454)-1)/($Y454*$AA454)))</f>
        <v/>
      </c>
      <c r="AC454">
        <f>IF($Y454="","",IF($Y454=0,$Z454*EXP($AA454*2),$Z454*(1+$Y454*$AA454*2)^(1/$Y454)))</f>
        <v/>
      </c>
      <c r="AD454">
        <f>IF($Y454="","",IF($Y454=0,$Z454*EXP($AA454*3),$Z454*(1+$Y454*$AA454*3)^(1/$Y454)))</f>
        <v/>
      </c>
      <c r="AE454">
        <f>IF($Y454="","",IF($Y454=0,$Z454*EXP($AA454*-2),$Z454*(1+$Y454*$AA454*-2)^(1/$Y454)))</f>
        <v/>
      </c>
      <c r="AF454">
        <f>IF($Y454="","",IF($Y454=0,$Z454*EXP($AA454*-3),$Z454*(1+$Y454*$AA454*-3)^(1/$Y454)))</f>
        <v/>
      </c>
      <c r="AG454">
        <f>IF($W454="","",IFERROR(INDEX(IF($T454&lt;=60,est05_l,est519_l),MATCH($W454,IF($T454&lt;=60,est05_k,est519_k),1)),""))</f>
        <v/>
      </c>
      <c r="AH454">
        <f>IF($W454="","",IFERROR(INDEX(IF($T454&lt;=60,est05_m,est519_m),MATCH($W454,IF($T454&lt;=60,est05_k,est519_k),1)),""))</f>
        <v/>
      </c>
      <c r="AI454">
        <f>IF($W454="","",IFERROR(INDEX(IF($T454&lt;=60,est05_s,est519_s),MATCH($W454,IF($T454&lt;=60,est05_k,est519_k),1)),""))</f>
        <v/>
      </c>
      <c r="AJ454">
        <f>IF($W454="","",IFERROR(INDEX(IF($T454&lt;=60,peso05_l,peso510_l),MATCH($W454,IF($T454&lt;=60,peso05_k,peso510_k),1)),""))</f>
        <v/>
      </c>
      <c r="AK454">
        <f>IF($W454="","",IFERROR(INDEX(IF($T454&lt;=60,peso05_m,peso510_m),MATCH($W454,IF($T454&lt;=60,peso05_k,peso510_k),1)),""))</f>
        <v/>
      </c>
      <c r="AL454">
        <f>IF($W454="","",IFERROR(INDEX(IF($T454&lt;=60,peso05_s,peso510_s),MATCH($W454,IF($T454&lt;=60,peso05_k,peso510_k),1)),""))</f>
        <v/>
      </c>
      <c r="AM454">
        <f>IF($AJ454="","",IF($AJ454=0,LN($F454/$AK454)/$AL454,((($F454/$AK454)^$AJ454)-1)/($AJ454*$AL454)))</f>
        <v/>
      </c>
      <c r="AN454">
        <f>IF($AJ454="","",IF($AJ454=0,$AK454*EXP($AL454*2),$AK454*(1+$AJ454*$AL454*2)^(1/$AJ454)))</f>
        <v/>
      </c>
      <c r="AO454">
        <f>IF($AJ454="","",IF($AJ454=0,$AK454*EXP($AL454*3),$AK454*(1+$AJ454*$AL454*3)^(1/$AJ454)))</f>
        <v/>
      </c>
      <c r="AP454">
        <f>IF($AJ454="","",IF($AJ454=0,$AK454*EXP($AL454*-2),$AK454*(1+$AJ454*$AL454*-2)^(1/$AJ454)))</f>
        <v/>
      </c>
      <c r="AQ454">
        <f>IF($AJ454="","",IF($AJ454=0,$AK454*EXP($AL454*-3),$AK454*(1+$AJ454*$AL454*-3)^(1/$AJ454)))</f>
        <v/>
      </c>
      <c r="AR454">
        <f>IF(OR($X454="",$T454&gt;60),"",IFERROR(INDEX(IF($T454&lt;24,pcomp_l,palt_l),MATCH($X454,IF($T454&lt;24,pcomp_k,palt_k),1)),""))</f>
        <v/>
      </c>
      <c r="AS454">
        <f>IF(OR($X454="",$T454&gt;60),"",IFERROR(INDEX(IF($T454&lt;24,pcomp_m,palt_m),MATCH($X454,IF($T454&lt;24,pcomp_k,palt_k),1)),""))</f>
        <v/>
      </c>
      <c r="AT454">
        <f>IF(OR($X454="",$T454&gt;60),"",IFERROR(INDEX(IF($T454&lt;24,pcomp_s,palt_s),MATCH($X454,IF($T454&lt;24,pcomp_k,palt_k),1)),""))</f>
        <v/>
      </c>
      <c r="AU454">
        <f>IF($AR454="","",IF($AR454=0,LN($F454/$AS454)/$AT454,((($F454/$AS454)^$AR454)-1)/($AR454*$AT454)))</f>
        <v/>
      </c>
      <c r="AV454">
        <f>IF($AR454="","",IF($AR454=0,$AS454*EXP($AT454*2),$AS454*(1+$AR454*$AT454*2)^(1/$AR454)))</f>
        <v/>
      </c>
      <c r="AW454">
        <f>IF($AR454="","",IF($AR454=0,$AS454*EXP($AT454*3),$AS454*(1+$AR454*$AT454*3)^(1/$AR454)))</f>
        <v/>
      </c>
      <c r="AX454">
        <f>IF($AR454="","",IF($AR454=0,$AS454*EXP($AT454*-2),$AS454*(1+$AR454*$AT454*-2)^(1/$AR454)))</f>
        <v/>
      </c>
      <c r="AY454">
        <f>IF($AR454="","",IF($AR454=0,$AS454*EXP($AT454*-3),$AS454*(1+$AR454*$AT454*-3)^(1/$AR454)))</f>
        <v/>
      </c>
      <c r="AZ454">
        <f>IF(OR($A454="",$A454&lt;&gt;Ficha!$C$4),"",COUNTIF($A$2:$A454,Ficha!$C$4))</f>
        <v/>
      </c>
    </row>
    <row r="455">
      <c r="A455" s="8">
        <f>IF(INDEX(Banco!$A:$A,ROW())="","",INDEX(Banco!$A:$A,ROW()))</f>
        <v/>
      </c>
      <c r="B455" s="8">
        <f>IF(INDEX(Banco!$B:$B,ROW())="","",INDEX(Banco!$B:$B,ROW()))</f>
        <v/>
      </c>
      <c r="C455" s="8">
        <f>IF(INDEX(Banco!$C:$C,ROW())="","",INDEX(Banco!$C:$C,ROW()))</f>
        <v/>
      </c>
      <c r="D455" s="9">
        <f>IF(INDEX(Banco!$D:$D,ROW())="","",INDEX(Banco!$D:$D,ROW()))</f>
        <v/>
      </c>
      <c r="E455" s="9">
        <f>IF(INDEX(Banco!$E:$E,ROW())="","",INDEX(Banco!$E:$E,ROW()))</f>
        <v/>
      </c>
      <c r="F455" s="10">
        <f>IF(INDEX(Banco!$F:$F,ROW())="","",INDEX(Banco!$F:$F,ROW()))</f>
        <v/>
      </c>
      <c r="G455" s="10">
        <f>IF(INDEX(Banco!$G:$G,ROW())="","",INDEX(Banco!$G:$G,ROW()))</f>
        <v/>
      </c>
      <c r="H455" s="8">
        <f>IF(INDEX(Banco!$H:$H,ROW())="","",INDEX(Banco!$H:$H,ROW()))</f>
        <v/>
      </c>
      <c r="I455">
        <f>IF($T455="","",INT($T455/12)&amp;"a "&amp;MOD($T455,12)&amp;"m")</f>
        <v/>
      </c>
      <c r="J455" s="11">
        <f>IF(OR($F455="",$G455=""),"",ROUND($F455/($G455/100)^2,2))</f>
        <v/>
      </c>
      <c r="K455" s="12">
        <f>IF(OR($S455="",$J455="",$T455="",$T455&lt;0,$T455&gt;228,$Y455=""),"—",ROUND(IF(ABS($AB455)&lt;=3,$AB455,IF($AB455&gt;3,3+($J455-$AD455)/($AD455-$AC455),-3+($J455-$AF455)/($AE455-$AF455))),2))</f>
        <v/>
      </c>
      <c r="L455">
        <f>IF(OR($K455="",$K455="—"),"",IF($T455&lt;=60,IF($K455&lt;-3,"Magreza acentuada",IF($K455&lt;-2,"Magreza",IF($K455&lt;=1,"Eutrofia",IF($K455&lt;=2,"Risco de sobrepeso",IF($K455&lt;=3,"Sobrepeso","Obesidade"))))),IF($K455&lt;-3,"Magreza acentuada",IF($K455&lt;-2,"Magreza",IF($K455&lt;=1,"Eutrofia",IF($K455&lt;=2,"Sobrepeso",IF($K455&lt;=3,"Obesidade","Obesidade grave")))))))</f>
        <v/>
      </c>
      <c r="M455" s="12">
        <f>IF(OR($S455="",$V455="",$T455="",$T455&lt;0,$T455&gt;228,$AG455=""),"—",ROUND(IF($AG455=0,LN($V455/$AH455)/$AI455,((($V455/$AH455)^$AG455)-1)/($AG455*$AI455)),2))</f>
        <v/>
      </c>
      <c r="N455">
        <f>IF(OR($M455="",$M455="—"),"",IF($M455&lt;-3,"Muito baixa",IF($M455&lt;-2,"Baixa","Adequada")))</f>
        <v/>
      </c>
      <c r="O455" s="12">
        <f>IF(OR($S455="",$F455="",$T455="",$T455&lt;0,$T455&gt;120,$AJ455=""),"—",ROUND(IF(ABS($AM455)&lt;=3,$AM455,IF($AM455&gt;3,3+($F455-$AO455)/($AO455-$AN455),-3+($F455-$AQ455)/($AP455-$AQ455))),2))</f>
        <v/>
      </c>
      <c r="P455">
        <f>IF(OR($O455="",$O455="—"),"",IF($O455&lt;-3,"Muito baixo",IF($O455&lt;-2,"Baixo",IF($O455&lt;=2,"Adequado","Elevado"))))</f>
        <v/>
      </c>
      <c r="Q455" s="12">
        <f>IF(OR($S455="",$F455="",$T455="",$T455&lt;0,$T455&gt;60,$AR455=""),"—",ROUND(IF(ABS($AU455)&lt;=3,$AU455,IF($AU455&gt;3,3+($F455-$AW455)/($AW455-$AV455),-3+($F455-$AY455)/($AX455-$AY455))),2))</f>
        <v/>
      </c>
      <c r="R455">
        <f>IF(OR($Q455="",$Q455="—"),"",IF($Q455&lt;-3,"Magreza acentuada",IF($Q455&lt;-2,"Magreza",IF($Q455&lt;=1,"Eutrofia",IF($Q455&lt;=2,"Risco de sobrepeso",IF($Q455&lt;=3,"Sobrepeso","Obesidade"))))))</f>
        <v/>
      </c>
      <c r="S455">
        <f>IF($C455="","",IF(UPPER(LEFT($C455,1))="M",1,IF(UPPER(LEFT($C455,1))="F",2,"")))</f>
        <v/>
      </c>
      <c r="T455">
        <f>IF(OR($D455="",$E455=""),"",DATEDIF($D455,$E455,"m"))</f>
        <v/>
      </c>
      <c r="U455">
        <f>IF(OR($D455="",$E455=""),"",$E455-$D455)</f>
        <v/>
      </c>
      <c r="V455">
        <f>IF(OR($G455="",$T455=""),"",IF($T455&lt;24,IF(LEFT(LOWER($H455),4)="em p",$G455+0.7,$G455),IF(LEFT(LOWER($H455),4)="deit",$G455-0.7,$G455)))</f>
        <v/>
      </c>
      <c r="W455">
        <f>IF(OR($S455="",$T455=""),"",$S455*1000000+IF($T455&lt;=60,$U455,$T455))</f>
        <v/>
      </c>
      <c r="X455">
        <f>IF(OR($S455="",$V455="",$T455&gt;60,$T455=""),"",$S455*1000000+ROUND($V455*10,0))</f>
        <v/>
      </c>
      <c r="Y455">
        <f>IF($W455="","",IFERROR(INDEX(IF($T455&lt;=60,imc05_l,imc519_l),MATCH($W455,IF($T455&lt;=60,imc05_k,imc519_k),1)),""))</f>
        <v/>
      </c>
      <c r="Z455">
        <f>IF($W455="","",IFERROR(INDEX(IF($T455&lt;=60,imc05_m,imc519_m),MATCH($W455,IF($T455&lt;=60,imc05_k,imc519_k),1)),""))</f>
        <v/>
      </c>
      <c r="AA455">
        <f>IF($W455="","",IFERROR(INDEX(IF($T455&lt;=60,imc05_s,imc519_s),MATCH($W455,IF($T455&lt;=60,imc05_k,imc519_k),1)),""))</f>
        <v/>
      </c>
      <c r="AB455">
        <f>IF($Y455="","",IF($Y455=0,LN($J455/$Z455)/$AA455,((($J455/$Z455)^$Y455)-1)/($Y455*$AA455)))</f>
        <v/>
      </c>
      <c r="AC455">
        <f>IF($Y455="","",IF($Y455=0,$Z455*EXP($AA455*2),$Z455*(1+$Y455*$AA455*2)^(1/$Y455)))</f>
        <v/>
      </c>
      <c r="AD455">
        <f>IF($Y455="","",IF($Y455=0,$Z455*EXP($AA455*3),$Z455*(1+$Y455*$AA455*3)^(1/$Y455)))</f>
        <v/>
      </c>
      <c r="AE455">
        <f>IF($Y455="","",IF($Y455=0,$Z455*EXP($AA455*-2),$Z455*(1+$Y455*$AA455*-2)^(1/$Y455)))</f>
        <v/>
      </c>
      <c r="AF455">
        <f>IF($Y455="","",IF($Y455=0,$Z455*EXP($AA455*-3),$Z455*(1+$Y455*$AA455*-3)^(1/$Y455)))</f>
        <v/>
      </c>
      <c r="AG455">
        <f>IF($W455="","",IFERROR(INDEX(IF($T455&lt;=60,est05_l,est519_l),MATCH($W455,IF($T455&lt;=60,est05_k,est519_k),1)),""))</f>
        <v/>
      </c>
      <c r="AH455">
        <f>IF($W455="","",IFERROR(INDEX(IF($T455&lt;=60,est05_m,est519_m),MATCH($W455,IF($T455&lt;=60,est05_k,est519_k),1)),""))</f>
        <v/>
      </c>
      <c r="AI455">
        <f>IF($W455="","",IFERROR(INDEX(IF($T455&lt;=60,est05_s,est519_s),MATCH($W455,IF($T455&lt;=60,est05_k,est519_k),1)),""))</f>
        <v/>
      </c>
      <c r="AJ455">
        <f>IF($W455="","",IFERROR(INDEX(IF($T455&lt;=60,peso05_l,peso510_l),MATCH($W455,IF($T455&lt;=60,peso05_k,peso510_k),1)),""))</f>
        <v/>
      </c>
      <c r="AK455">
        <f>IF($W455="","",IFERROR(INDEX(IF($T455&lt;=60,peso05_m,peso510_m),MATCH($W455,IF($T455&lt;=60,peso05_k,peso510_k),1)),""))</f>
        <v/>
      </c>
      <c r="AL455">
        <f>IF($W455="","",IFERROR(INDEX(IF($T455&lt;=60,peso05_s,peso510_s),MATCH($W455,IF($T455&lt;=60,peso05_k,peso510_k),1)),""))</f>
        <v/>
      </c>
      <c r="AM455">
        <f>IF($AJ455="","",IF($AJ455=0,LN($F455/$AK455)/$AL455,((($F455/$AK455)^$AJ455)-1)/($AJ455*$AL455)))</f>
        <v/>
      </c>
      <c r="AN455">
        <f>IF($AJ455="","",IF($AJ455=0,$AK455*EXP($AL455*2),$AK455*(1+$AJ455*$AL455*2)^(1/$AJ455)))</f>
        <v/>
      </c>
      <c r="AO455">
        <f>IF($AJ455="","",IF($AJ455=0,$AK455*EXP($AL455*3),$AK455*(1+$AJ455*$AL455*3)^(1/$AJ455)))</f>
        <v/>
      </c>
      <c r="AP455">
        <f>IF($AJ455="","",IF($AJ455=0,$AK455*EXP($AL455*-2),$AK455*(1+$AJ455*$AL455*-2)^(1/$AJ455)))</f>
        <v/>
      </c>
      <c r="AQ455">
        <f>IF($AJ455="","",IF($AJ455=0,$AK455*EXP($AL455*-3),$AK455*(1+$AJ455*$AL455*-3)^(1/$AJ455)))</f>
        <v/>
      </c>
      <c r="AR455">
        <f>IF(OR($X455="",$T455&gt;60),"",IFERROR(INDEX(IF($T455&lt;24,pcomp_l,palt_l),MATCH($X455,IF($T455&lt;24,pcomp_k,palt_k),1)),""))</f>
        <v/>
      </c>
      <c r="AS455">
        <f>IF(OR($X455="",$T455&gt;60),"",IFERROR(INDEX(IF($T455&lt;24,pcomp_m,palt_m),MATCH($X455,IF($T455&lt;24,pcomp_k,palt_k),1)),""))</f>
        <v/>
      </c>
      <c r="AT455">
        <f>IF(OR($X455="",$T455&gt;60),"",IFERROR(INDEX(IF($T455&lt;24,pcomp_s,palt_s),MATCH($X455,IF($T455&lt;24,pcomp_k,palt_k),1)),""))</f>
        <v/>
      </c>
      <c r="AU455">
        <f>IF($AR455="","",IF($AR455=0,LN($F455/$AS455)/$AT455,((($F455/$AS455)^$AR455)-1)/($AR455*$AT455)))</f>
        <v/>
      </c>
      <c r="AV455">
        <f>IF($AR455="","",IF($AR455=0,$AS455*EXP($AT455*2),$AS455*(1+$AR455*$AT455*2)^(1/$AR455)))</f>
        <v/>
      </c>
      <c r="AW455">
        <f>IF($AR455="","",IF($AR455=0,$AS455*EXP($AT455*3),$AS455*(1+$AR455*$AT455*3)^(1/$AR455)))</f>
        <v/>
      </c>
      <c r="AX455">
        <f>IF($AR455="","",IF($AR455=0,$AS455*EXP($AT455*-2),$AS455*(1+$AR455*$AT455*-2)^(1/$AR455)))</f>
        <v/>
      </c>
      <c r="AY455">
        <f>IF($AR455="","",IF($AR455=0,$AS455*EXP($AT455*-3),$AS455*(1+$AR455*$AT455*-3)^(1/$AR455)))</f>
        <v/>
      </c>
      <c r="AZ455">
        <f>IF(OR($A455="",$A455&lt;&gt;Ficha!$C$4),"",COUNTIF($A$2:$A455,Ficha!$C$4))</f>
        <v/>
      </c>
    </row>
    <row r="456">
      <c r="A456" s="8">
        <f>IF(INDEX(Banco!$A:$A,ROW())="","",INDEX(Banco!$A:$A,ROW()))</f>
        <v/>
      </c>
      <c r="B456" s="8">
        <f>IF(INDEX(Banco!$B:$B,ROW())="","",INDEX(Banco!$B:$B,ROW()))</f>
        <v/>
      </c>
      <c r="C456" s="8">
        <f>IF(INDEX(Banco!$C:$C,ROW())="","",INDEX(Banco!$C:$C,ROW()))</f>
        <v/>
      </c>
      <c r="D456" s="9">
        <f>IF(INDEX(Banco!$D:$D,ROW())="","",INDEX(Banco!$D:$D,ROW()))</f>
        <v/>
      </c>
      <c r="E456" s="9">
        <f>IF(INDEX(Banco!$E:$E,ROW())="","",INDEX(Banco!$E:$E,ROW()))</f>
        <v/>
      </c>
      <c r="F456" s="10">
        <f>IF(INDEX(Banco!$F:$F,ROW())="","",INDEX(Banco!$F:$F,ROW()))</f>
        <v/>
      </c>
      <c r="G456" s="10">
        <f>IF(INDEX(Banco!$G:$G,ROW())="","",INDEX(Banco!$G:$G,ROW()))</f>
        <v/>
      </c>
      <c r="H456" s="8">
        <f>IF(INDEX(Banco!$H:$H,ROW())="","",INDEX(Banco!$H:$H,ROW()))</f>
        <v/>
      </c>
      <c r="I456">
        <f>IF($T456="","",INT($T456/12)&amp;"a "&amp;MOD($T456,12)&amp;"m")</f>
        <v/>
      </c>
      <c r="J456" s="11">
        <f>IF(OR($F456="",$G456=""),"",ROUND($F456/($G456/100)^2,2))</f>
        <v/>
      </c>
      <c r="K456" s="12">
        <f>IF(OR($S456="",$J456="",$T456="",$T456&lt;0,$T456&gt;228,$Y456=""),"—",ROUND(IF(ABS($AB456)&lt;=3,$AB456,IF($AB456&gt;3,3+($J456-$AD456)/($AD456-$AC456),-3+($J456-$AF456)/($AE456-$AF456))),2))</f>
        <v/>
      </c>
      <c r="L456">
        <f>IF(OR($K456="",$K456="—"),"",IF($T456&lt;=60,IF($K456&lt;-3,"Magreza acentuada",IF($K456&lt;-2,"Magreza",IF($K456&lt;=1,"Eutrofia",IF($K456&lt;=2,"Risco de sobrepeso",IF($K456&lt;=3,"Sobrepeso","Obesidade"))))),IF($K456&lt;-3,"Magreza acentuada",IF($K456&lt;-2,"Magreza",IF($K456&lt;=1,"Eutrofia",IF($K456&lt;=2,"Sobrepeso",IF($K456&lt;=3,"Obesidade","Obesidade grave")))))))</f>
        <v/>
      </c>
      <c r="M456" s="12">
        <f>IF(OR($S456="",$V456="",$T456="",$T456&lt;0,$T456&gt;228,$AG456=""),"—",ROUND(IF($AG456=0,LN($V456/$AH456)/$AI456,((($V456/$AH456)^$AG456)-1)/($AG456*$AI456)),2))</f>
        <v/>
      </c>
      <c r="N456">
        <f>IF(OR($M456="",$M456="—"),"",IF($M456&lt;-3,"Muito baixa",IF($M456&lt;-2,"Baixa","Adequada")))</f>
        <v/>
      </c>
      <c r="O456" s="12">
        <f>IF(OR($S456="",$F456="",$T456="",$T456&lt;0,$T456&gt;120,$AJ456=""),"—",ROUND(IF(ABS($AM456)&lt;=3,$AM456,IF($AM456&gt;3,3+($F456-$AO456)/($AO456-$AN456),-3+($F456-$AQ456)/($AP456-$AQ456))),2))</f>
        <v/>
      </c>
      <c r="P456">
        <f>IF(OR($O456="",$O456="—"),"",IF($O456&lt;-3,"Muito baixo",IF($O456&lt;-2,"Baixo",IF($O456&lt;=2,"Adequado","Elevado"))))</f>
        <v/>
      </c>
      <c r="Q456" s="12">
        <f>IF(OR($S456="",$F456="",$T456="",$T456&lt;0,$T456&gt;60,$AR456=""),"—",ROUND(IF(ABS($AU456)&lt;=3,$AU456,IF($AU456&gt;3,3+($F456-$AW456)/($AW456-$AV456),-3+($F456-$AY456)/($AX456-$AY456))),2))</f>
        <v/>
      </c>
      <c r="R456">
        <f>IF(OR($Q456="",$Q456="—"),"",IF($Q456&lt;-3,"Magreza acentuada",IF($Q456&lt;-2,"Magreza",IF($Q456&lt;=1,"Eutrofia",IF($Q456&lt;=2,"Risco de sobrepeso",IF($Q456&lt;=3,"Sobrepeso","Obesidade"))))))</f>
        <v/>
      </c>
      <c r="S456">
        <f>IF($C456="","",IF(UPPER(LEFT($C456,1))="M",1,IF(UPPER(LEFT($C456,1))="F",2,"")))</f>
        <v/>
      </c>
      <c r="T456">
        <f>IF(OR($D456="",$E456=""),"",DATEDIF($D456,$E456,"m"))</f>
        <v/>
      </c>
      <c r="U456">
        <f>IF(OR($D456="",$E456=""),"",$E456-$D456)</f>
        <v/>
      </c>
      <c r="V456">
        <f>IF(OR($G456="",$T456=""),"",IF($T456&lt;24,IF(LEFT(LOWER($H456),4)="em p",$G456+0.7,$G456),IF(LEFT(LOWER($H456),4)="deit",$G456-0.7,$G456)))</f>
        <v/>
      </c>
      <c r="W456">
        <f>IF(OR($S456="",$T456=""),"",$S456*1000000+IF($T456&lt;=60,$U456,$T456))</f>
        <v/>
      </c>
      <c r="X456">
        <f>IF(OR($S456="",$V456="",$T456&gt;60,$T456=""),"",$S456*1000000+ROUND($V456*10,0))</f>
        <v/>
      </c>
      <c r="Y456">
        <f>IF($W456="","",IFERROR(INDEX(IF($T456&lt;=60,imc05_l,imc519_l),MATCH($W456,IF($T456&lt;=60,imc05_k,imc519_k),1)),""))</f>
        <v/>
      </c>
      <c r="Z456">
        <f>IF($W456="","",IFERROR(INDEX(IF($T456&lt;=60,imc05_m,imc519_m),MATCH($W456,IF($T456&lt;=60,imc05_k,imc519_k),1)),""))</f>
        <v/>
      </c>
      <c r="AA456">
        <f>IF($W456="","",IFERROR(INDEX(IF($T456&lt;=60,imc05_s,imc519_s),MATCH($W456,IF($T456&lt;=60,imc05_k,imc519_k),1)),""))</f>
        <v/>
      </c>
      <c r="AB456">
        <f>IF($Y456="","",IF($Y456=0,LN($J456/$Z456)/$AA456,((($J456/$Z456)^$Y456)-1)/($Y456*$AA456)))</f>
        <v/>
      </c>
      <c r="AC456">
        <f>IF($Y456="","",IF($Y456=0,$Z456*EXP($AA456*2),$Z456*(1+$Y456*$AA456*2)^(1/$Y456)))</f>
        <v/>
      </c>
      <c r="AD456">
        <f>IF($Y456="","",IF($Y456=0,$Z456*EXP($AA456*3),$Z456*(1+$Y456*$AA456*3)^(1/$Y456)))</f>
        <v/>
      </c>
      <c r="AE456">
        <f>IF($Y456="","",IF($Y456=0,$Z456*EXP($AA456*-2),$Z456*(1+$Y456*$AA456*-2)^(1/$Y456)))</f>
        <v/>
      </c>
      <c r="AF456">
        <f>IF($Y456="","",IF($Y456=0,$Z456*EXP($AA456*-3),$Z456*(1+$Y456*$AA456*-3)^(1/$Y456)))</f>
        <v/>
      </c>
      <c r="AG456">
        <f>IF($W456="","",IFERROR(INDEX(IF($T456&lt;=60,est05_l,est519_l),MATCH($W456,IF($T456&lt;=60,est05_k,est519_k),1)),""))</f>
        <v/>
      </c>
      <c r="AH456">
        <f>IF($W456="","",IFERROR(INDEX(IF($T456&lt;=60,est05_m,est519_m),MATCH($W456,IF($T456&lt;=60,est05_k,est519_k),1)),""))</f>
        <v/>
      </c>
      <c r="AI456">
        <f>IF($W456="","",IFERROR(INDEX(IF($T456&lt;=60,est05_s,est519_s),MATCH($W456,IF($T456&lt;=60,est05_k,est519_k),1)),""))</f>
        <v/>
      </c>
      <c r="AJ456">
        <f>IF($W456="","",IFERROR(INDEX(IF($T456&lt;=60,peso05_l,peso510_l),MATCH($W456,IF($T456&lt;=60,peso05_k,peso510_k),1)),""))</f>
        <v/>
      </c>
      <c r="AK456">
        <f>IF($W456="","",IFERROR(INDEX(IF($T456&lt;=60,peso05_m,peso510_m),MATCH($W456,IF($T456&lt;=60,peso05_k,peso510_k),1)),""))</f>
        <v/>
      </c>
      <c r="AL456">
        <f>IF($W456="","",IFERROR(INDEX(IF($T456&lt;=60,peso05_s,peso510_s),MATCH($W456,IF($T456&lt;=60,peso05_k,peso510_k),1)),""))</f>
        <v/>
      </c>
      <c r="AM456">
        <f>IF($AJ456="","",IF($AJ456=0,LN($F456/$AK456)/$AL456,((($F456/$AK456)^$AJ456)-1)/($AJ456*$AL456)))</f>
        <v/>
      </c>
      <c r="AN456">
        <f>IF($AJ456="","",IF($AJ456=0,$AK456*EXP($AL456*2),$AK456*(1+$AJ456*$AL456*2)^(1/$AJ456)))</f>
        <v/>
      </c>
      <c r="AO456">
        <f>IF($AJ456="","",IF($AJ456=0,$AK456*EXP($AL456*3),$AK456*(1+$AJ456*$AL456*3)^(1/$AJ456)))</f>
        <v/>
      </c>
      <c r="AP456">
        <f>IF($AJ456="","",IF($AJ456=0,$AK456*EXP($AL456*-2),$AK456*(1+$AJ456*$AL456*-2)^(1/$AJ456)))</f>
        <v/>
      </c>
      <c r="AQ456">
        <f>IF($AJ456="","",IF($AJ456=0,$AK456*EXP($AL456*-3),$AK456*(1+$AJ456*$AL456*-3)^(1/$AJ456)))</f>
        <v/>
      </c>
      <c r="AR456">
        <f>IF(OR($X456="",$T456&gt;60),"",IFERROR(INDEX(IF($T456&lt;24,pcomp_l,palt_l),MATCH($X456,IF($T456&lt;24,pcomp_k,palt_k),1)),""))</f>
        <v/>
      </c>
      <c r="AS456">
        <f>IF(OR($X456="",$T456&gt;60),"",IFERROR(INDEX(IF($T456&lt;24,pcomp_m,palt_m),MATCH($X456,IF($T456&lt;24,pcomp_k,palt_k),1)),""))</f>
        <v/>
      </c>
      <c r="AT456">
        <f>IF(OR($X456="",$T456&gt;60),"",IFERROR(INDEX(IF($T456&lt;24,pcomp_s,palt_s),MATCH($X456,IF($T456&lt;24,pcomp_k,palt_k),1)),""))</f>
        <v/>
      </c>
      <c r="AU456">
        <f>IF($AR456="","",IF($AR456=0,LN($F456/$AS456)/$AT456,((($F456/$AS456)^$AR456)-1)/($AR456*$AT456)))</f>
        <v/>
      </c>
      <c r="AV456">
        <f>IF($AR456="","",IF($AR456=0,$AS456*EXP($AT456*2),$AS456*(1+$AR456*$AT456*2)^(1/$AR456)))</f>
        <v/>
      </c>
      <c r="AW456">
        <f>IF($AR456="","",IF($AR456=0,$AS456*EXP($AT456*3),$AS456*(1+$AR456*$AT456*3)^(1/$AR456)))</f>
        <v/>
      </c>
      <c r="AX456">
        <f>IF($AR456="","",IF($AR456=0,$AS456*EXP($AT456*-2),$AS456*(1+$AR456*$AT456*-2)^(1/$AR456)))</f>
        <v/>
      </c>
      <c r="AY456">
        <f>IF($AR456="","",IF($AR456=0,$AS456*EXP($AT456*-3),$AS456*(1+$AR456*$AT456*-3)^(1/$AR456)))</f>
        <v/>
      </c>
      <c r="AZ456">
        <f>IF(OR($A456="",$A456&lt;&gt;Ficha!$C$4),"",COUNTIF($A$2:$A456,Ficha!$C$4))</f>
        <v/>
      </c>
    </row>
    <row r="457">
      <c r="A457" s="8">
        <f>IF(INDEX(Banco!$A:$A,ROW())="","",INDEX(Banco!$A:$A,ROW()))</f>
        <v/>
      </c>
      <c r="B457" s="8">
        <f>IF(INDEX(Banco!$B:$B,ROW())="","",INDEX(Banco!$B:$B,ROW()))</f>
        <v/>
      </c>
      <c r="C457" s="8">
        <f>IF(INDEX(Banco!$C:$C,ROW())="","",INDEX(Banco!$C:$C,ROW()))</f>
        <v/>
      </c>
      <c r="D457" s="9">
        <f>IF(INDEX(Banco!$D:$D,ROW())="","",INDEX(Banco!$D:$D,ROW()))</f>
        <v/>
      </c>
      <c r="E457" s="9">
        <f>IF(INDEX(Banco!$E:$E,ROW())="","",INDEX(Banco!$E:$E,ROW()))</f>
        <v/>
      </c>
      <c r="F457" s="10">
        <f>IF(INDEX(Banco!$F:$F,ROW())="","",INDEX(Banco!$F:$F,ROW()))</f>
        <v/>
      </c>
      <c r="G457" s="10">
        <f>IF(INDEX(Banco!$G:$G,ROW())="","",INDEX(Banco!$G:$G,ROW()))</f>
        <v/>
      </c>
      <c r="H457" s="8">
        <f>IF(INDEX(Banco!$H:$H,ROW())="","",INDEX(Banco!$H:$H,ROW()))</f>
        <v/>
      </c>
      <c r="I457">
        <f>IF($T457="","",INT($T457/12)&amp;"a "&amp;MOD($T457,12)&amp;"m")</f>
        <v/>
      </c>
      <c r="J457" s="11">
        <f>IF(OR($F457="",$G457=""),"",ROUND($F457/($G457/100)^2,2))</f>
        <v/>
      </c>
      <c r="K457" s="12">
        <f>IF(OR($S457="",$J457="",$T457="",$T457&lt;0,$T457&gt;228,$Y457=""),"—",ROUND(IF(ABS($AB457)&lt;=3,$AB457,IF($AB457&gt;3,3+($J457-$AD457)/($AD457-$AC457),-3+($J457-$AF457)/($AE457-$AF457))),2))</f>
        <v/>
      </c>
      <c r="L457">
        <f>IF(OR($K457="",$K457="—"),"",IF($T457&lt;=60,IF($K457&lt;-3,"Magreza acentuada",IF($K457&lt;-2,"Magreza",IF($K457&lt;=1,"Eutrofia",IF($K457&lt;=2,"Risco de sobrepeso",IF($K457&lt;=3,"Sobrepeso","Obesidade"))))),IF($K457&lt;-3,"Magreza acentuada",IF($K457&lt;-2,"Magreza",IF($K457&lt;=1,"Eutrofia",IF($K457&lt;=2,"Sobrepeso",IF($K457&lt;=3,"Obesidade","Obesidade grave")))))))</f>
        <v/>
      </c>
      <c r="M457" s="12">
        <f>IF(OR($S457="",$V457="",$T457="",$T457&lt;0,$T457&gt;228,$AG457=""),"—",ROUND(IF($AG457=0,LN($V457/$AH457)/$AI457,((($V457/$AH457)^$AG457)-1)/($AG457*$AI457)),2))</f>
        <v/>
      </c>
      <c r="N457">
        <f>IF(OR($M457="",$M457="—"),"",IF($M457&lt;-3,"Muito baixa",IF($M457&lt;-2,"Baixa","Adequada")))</f>
        <v/>
      </c>
      <c r="O457" s="12">
        <f>IF(OR($S457="",$F457="",$T457="",$T457&lt;0,$T457&gt;120,$AJ457=""),"—",ROUND(IF(ABS($AM457)&lt;=3,$AM457,IF($AM457&gt;3,3+($F457-$AO457)/($AO457-$AN457),-3+($F457-$AQ457)/($AP457-$AQ457))),2))</f>
        <v/>
      </c>
      <c r="P457">
        <f>IF(OR($O457="",$O457="—"),"",IF($O457&lt;-3,"Muito baixo",IF($O457&lt;-2,"Baixo",IF($O457&lt;=2,"Adequado","Elevado"))))</f>
        <v/>
      </c>
      <c r="Q457" s="12">
        <f>IF(OR($S457="",$F457="",$T457="",$T457&lt;0,$T457&gt;60,$AR457=""),"—",ROUND(IF(ABS($AU457)&lt;=3,$AU457,IF($AU457&gt;3,3+($F457-$AW457)/($AW457-$AV457),-3+($F457-$AY457)/($AX457-$AY457))),2))</f>
        <v/>
      </c>
      <c r="R457">
        <f>IF(OR($Q457="",$Q457="—"),"",IF($Q457&lt;-3,"Magreza acentuada",IF($Q457&lt;-2,"Magreza",IF($Q457&lt;=1,"Eutrofia",IF($Q457&lt;=2,"Risco de sobrepeso",IF($Q457&lt;=3,"Sobrepeso","Obesidade"))))))</f>
        <v/>
      </c>
      <c r="S457">
        <f>IF($C457="","",IF(UPPER(LEFT($C457,1))="M",1,IF(UPPER(LEFT($C457,1))="F",2,"")))</f>
        <v/>
      </c>
      <c r="T457">
        <f>IF(OR($D457="",$E457=""),"",DATEDIF($D457,$E457,"m"))</f>
        <v/>
      </c>
      <c r="U457">
        <f>IF(OR($D457="",$E457=""),"",$E457-$D457)</f>
        <v/>
      </c>
      <c r="V457">
        <f>IF(OR($G457="",$T457=""),"",IF($T457&lt;24,IF(LEFT(LOWER($H457),4)="em p",$G457+0.7,$G457),IF(LEFT(LOWER($H457),4)="deit",$G457-0.7,$G457)))</f>
        <v/>
      </c>
      <c r="W457">
        <f>IF(OR($S457="",$T457=""),"",$S457*1000000+IF($T457&lt;=60,$U457,$T457))</f>
        <v/>
      </c>
      <c r="X457">
        <f>IF(OR($S457="",$V457="",$T457&gt;60,$T457=""),"",$S457*1000000+ROUND($V457*10,0))</f>
        <v/>
      </c>
      <c r="Y457">
        <f>IF($W457="","",IFERROR(INDEX(IF($T457&lt;=60,imc05_l,imc519_l),MATCH($W457,IF($T457&lt;=60,imc05_k,imc519_k),1)),""))</f>
        <v/>
      </c>
      <c r="Z457">
        <f>IF($W457="","",IFERROR(INDEX(IF($T457&lt;=60,imc05_m,imc519_m),MATCH($W457,IF($T457&lt;=60,imc05_k,imc519_k),1)),""))</f>
        <v/>
      </c>
      <c r="AA457">
        <f>IF($W457="","",IFERROR(INDEX(IF($T457&lt;=60,imc05_s,imc519_s),MATCH($W457,IF($T457&lt;=60,imc05_k,imc519_k),1)),""))</f>
        <v/>
      </c>
      <c r="AB457">
        <f>IF($Y457="","",IF($Y457=0,LN($J457/$Z457)/$AA457,((($J457/$Z457)^$Y457)-1)/($Y457*$AA457)))</f>
        <v/>
      </c>
      <c r="AC457">
        <f>IF($Y457="","",IF($Y457=0,$Z457*EXP($AA457*2),$Z457*(1+$Y457*$AA457*2)^(1/$Y457)))</f>
        <v/>
      </c>
      <c r="AD457">
        <f>IF($Y457="","",IF($Y457=0,$Z457*EXP($AA457*3),$Z457*(1+$Y457*$AA457*3)^(1/$Y457)))</f>
        <v/>
      </c>
      <c r="AE457">
        <f>IF($Y457="","",IF($Y457=0,$Z457*EXP($AA457*-2),$Z457*(1+$Y457*$AA457*-2)^(1/$Y457)))</f>
        <v/>
      </c>
      <c r="AF457">
        <f>IF($Y457="","",IF($Y457=0,$Z457*EXP($AA457*-3),$Z457*(1+$Y457*$AA457*-3)^(1/$Y457)))</f>
        <v/>
      </c>
      <c r="AG457">
        <f>IF($W457="","",IFERROR(INDEX(IF($T457&lt;=60,est05_l,est519_l),MATCH($W457,IF($T457&lt;=60,est05_k,est519_k),1)),""))</f>
        <v/>
      </c>
      <c r="AH457">
        <f>IF($W457="","",IFERROR(INDEX(IF($T457&lt;=60,est05_m,est519_m),MATCH($W457,IF($T457&lt;=60,est05_k,est519_k),1)),""))</f>
        <v/>
      </c>
      <c r="AI457">
        <f>IF($W457="","",IFERROR(INDEX(IF($T457&lt;=60,est05_s,est519_s),MATCH($W457,IF($T457&lt;=60,est05_k,est519_k),1)),""))</f>
        <v/>
      </c>
      <c r="AJ457">
        <f>IF($W457="","",IFERROR(INDEX(IF($T457&lt;=60,peso05_l,peso510_l),MATCH($W457,IF($T457&lt;=60,peso05_k,peso510_k),1)),""))</f>
        <v/>
      </c>
      <c r="AK457">
        <f>IF($W457="","",IFERROR(INDEX(IF($T457&lt;=60,peso05_m,peso510_m),MATCH($W457,IF($T457&lt;=60,peso05_k,peso510_k),1)),""))</f>
        <v/>
      </c>
      <c r="AL457">
        <f>IF($W457="","",IFERROR(INDEX(IF($T457&lt;=60,peso05_s,peso510_s),MATCH($W457,IF($T457&lt;=60,peso05_k,peso510_k),1)),""))</f>
        <v/>
      </c>
      <c r="AM457">
        <f>IF($AJ457="","",IF($AJ457=0,LN($F457/$AK457)/$AL457,((($F457/$AK457)^$AJ457)-1)/($AJ457*$AL457)))</f>
        <v/>
      </c>
      <c r="AN457">
        <f>IF($AJ457="","",IF($AJ457=0,$AK457*EXP($AL457*2),$AK457*(1+$AJ457*$AL457*2)^(1/$AJ457)))</f>
        <v/>
      </c>
      <c r="AO457">
        <f>IF($AJ457="","",IF($AJ457=0,$AK457*EXP($AL457*3),$AK457*(1+$AJ457*$AL457*3)^(1/$AJ457)))</f>
        <v/>
      </c>
      <c r="AP457">
        <f>IF($AJ457="","",IF($AJ457=0,$AK457*EXP($AL457*-2),$AK457*(1+$AJ457*$AL457*-2)^(1/$AJ457)))</f>
        <v/>
      </c>
      <c r="AQ457">
        <f>IF($AJ457="","",IF($AJ457=0,$AK457*EXP($AL457*-3),$AK457*(1+$AJ457*$AL457*-3)^(1/$AJ457)))</f>
        <v/>
      </c>
      <c r="AR457">
        <f>IF(OR($X457="",$T457&gt;60),"",IFERROR(INDEX(IF($T457&lt;24,pcomp_l,palt_l),MATCH($X457,IF($T457&lt;24,pcomp_k,palt_k),1)),""))</f>
        <v/>
      </c>
      <c r="AS457">
        <f>IF(OR($X457="",$T457&gt;60),"",IFERROR(INDEX(IF($T457&lt;24,pcomp_m,palt_m),MATCH($X457,IF($T457&lt;24,pcomp_k,palt_k),1)),""))</f>
        <v/>
      </c>
      <c r="AT457">
        <f>IF(OR($X457="",$T457&gt;60),"",IFERROR(INDEX(IF($T457&lt;24,pcomp_s,palt_s),MATCH($X457,IF($T457&lt;24,pcomp_k,palt_k),1)),""))</f>
        <v/>
      </c>
      <c r="AU457">
        <f>IF($AR457="","",IF($AR457=0,LN($F457/$AS457)/$AT457,((($F457/$AS457)^$AR457)-1)/($AR457*$AT457)))</f>
        <v/>
      </c>
      <c r="AV457">
        <f>IF($AR457="","",IF($AR457=0,$AS457*EXP($AT457*2),$AS457*(1+$AR457*$AT457*2)^(1/$AR457)))</f>
        <v/>
      </c>
      <c r="AW457">
        <f>IF($AR457="","",IF($AR457=0,$AS457*EXP($AT457*3),$AS457*(1+$AR457*$AT457*3)^(1/$AR457)))</f>
        <v/>
      </c>
      <c r="AX457">
        <f>IF($AR457="","",IF($AR457=0,$AS457*EXP($AT457*-2),$AS457*(1+$AR457*$AT457*-2)^(1/$AR457)))</f>
        <v/>
      </c>
      <c r="AY457">
        <f>IF($AR457="","",IF($AR457=0,$AS457*EXP($AT457*-3),$AS457*(1+$AR457*$AT457*-3)^(1/$AR457)))</f>
        <v/>
      </c>
      <c r="AZ457">
        <f>IF(OR($A457="",$A457&lt;&gt;Ficha!$C$4),"",COUNTIF($A$2:$A457,Ficha!$C$4))</f>
        <v/>
      </c>
    </row>
    <row r="458">
      <c r="A458" s="8">
        <f>IF(INDEX(Banco!$A:$A,ROW())="","",INDEX(Banco!$A:$A,ROW()))</f>
        <v/>
      </c>
      <c r="B458" s="8">
        <f>IF(INDEX(Banco!$B:$B,ROW())="","",INDEX(Banco!$B:$B,ROW()))</f>
        <v/>
      </c>
      <c r="C458" s="8">
        <f>IF(INDEX(Banco!$C:$C,ROW())="","",INDEX(Banco!$C:$C,ROW()))</f>
        <v/>
      </c>
      <c r="D458" s="9">
        <f>IF(INDEX(Banco!$D:$D,ROW())="","",INDEX(Banco!$D:$D,ROW()))</f>
        <v/>
      </c>
      <c r="E458" s="9">
        <f>IF(INDEX(Banco!$E:$E,ROW())="","",INDEX(Banco!$E:$E,ROW()))</f>
        <v/>
      </c>
      <c r="F458" s="10">
        <f>IF(INDEX(Banco!$F:$F,ROW())="","",INDEX(Banco!$F:$F,ROW()))</f>
        <v/>
      </c>
      <c r="G458" s="10">
        <f>IF(INDEX(Banco!$G:$G,ROW())="","",INDEX(Banco!$G:$G,ROW()))</f>
        <v/>
      </c>
      <c r="H458" s="8">
        <f>IF(INDEX(Banco!$H:$H,ROW())="","",INDEX(Banco!$H:$H,ROW()))</f>
        <v/>
      </c>
      <c r="I458">
        <f>IF($T458="","",INT($T458/12)&amp;"a "&amp;MOD($T458,12)&amp;"m")</f>
        <v/>
      </c>
      <c r="J458" s="11">
        <f>IF(OR($F458="",$G458=""),"",ROUND($F458/($G458/100)^2,2))</f>
        <v/>
      </c>
      <c r="K458" s="12">
        <f>IF(OR($S458="",$J458="",$T458="",$T458&lt;0,$T458&gt;228,$Y458=""),"—",ROUND(IF(ABS($AB458)&lt;=3,$AB458,IF($AB458&gt;3,3+($J458-$AD458)/($AD458-$AC458),-3+($J458-$AF458)/($AE458-$AF458))),2))</f>
        <v/>
      </c>
      <c r="L458">
        <f>IF(OR($K458="",$K458="—"),"",IF($T458&lt;=60,IF($K458&lt;-3,"Magreza acentuada",IF($K458&lt;-2,"Magreza",IF($K458&lt;=1,"Eutrofia",IF($K458&lt;=2,"Risco de sobrepeso",IF($K458&lt;=3,"Sobrepeso","Obesidade"))))),IF($K458&lt;-3,"Magreza acentuada",IF($K458&lt;-2,"Magreza",IF($K458&lt;=1,"Eutrofia",IF($K458&lt;=2,"Sobrepeso",IF($K458&lt;=3,"Obesidade","Obesidade grave")))))))</f>
        <v/>
      </c>
      <c r="M458" s="12">
        <f>IF(OR($S458="",$V458="",$T458="",$T458&lt;0,$T458&gt;228,$AG458=""),"—",ROUND(IF($AG458=0,LN($V458/$AH458)/$AI458,((($V458/$AH458)^$AG458)-1)/($AG458*$AI458)),2))</f>
        <v/>
      </c>
      <c r="N458">
        <f>IF(OR($M458="",$M458="—"),"",IF($M458&lt;-3,"Muito baixa",IF($M458&lt;-2,"Baixa","Adequada")))</f>
        <v/>
      </c>
      <c r="O458" s="12">
        <f>IF(OR($S458="",$F458="",$T458="",$T458&lt;0,$T458&gt;120,$AJ458=""),"—",ROUND(IF(ABS($AM458)&lt;=3,$AM458,IF($AM458&gt;3,3+($F458-$AO458)/($AO458-$AN458),-3+($F458-$AQ458)/($AP458-$AQ458))),2))</f>
        <v/>
      </c>
      <c r="P458">
        <f>IF(OR($O458="",$O458="—"),"",IF($O458&lt;-3,"Muito baixo",IF($O458&lt;-2,"Baixo",IF($O458&lt;=2,"Adequado","Elevado"))))</f>
        <v/>
      </c>
      <c r="Q458" s="12">
        <f>IF(OR($S458="",$F458="",$T458="",$T458&lt;0,$T458&gt;60,$AR458=""),"—",ROUND(IF(ABS($AU458)&lt;=3,$AU458,IF($AU458&gt;3,3+($F458-$AW458)/($AW458-$AV458),-3+($F458-$AY458)/($AX458-$AY458))),2))</f>
        <v/>
      </c>
      <c r="R458">
        <f>IF(OR($Q458="",$Q458="—"),"",IF($Q458&lt;-3,"Magreza acentuada",IF($Q458&lt;-2,"Magreza",IF($Q458&lt;=1,"Eutrofia",IF($Q458&lt;=2,"Risco de sobrepeso",IF($Q458&lt;=3,"Sobrepeso","Obesidade"))))))</f>
        <v/>
      </c>
      <c r="S458">
        <f>IF($C458="","",IF(UPPER(LEFT($C458,1))="M",1,IF(UPPER(LEFT($C458,1))="F",2,"")))</f>
        <v/>
      </c>
      <c r="T458">
        <f>IF(OR($D458="",$E458=""),"",DATEDIF($D458,$E458,"m"))</f>
        <v/>
      </c>
      <c r="U458">
        <f>IF(OR($D458="",$E458=""),"",$E458-$D458)</f>
        <v/>
      </c>
      <c r="V458">
        <f>IF(OR($G458="",$T458=""),"",IF($T458&lt;24,IF(LEFT(LOWER($H458),4)="em p",$G458+0.7,$G458),IF(LEFT(LOWER($H458),4)="deit",$G458-0.7,$G458)))</f>
        <v/>
      </c>
      <c r="W458">
        <f>IF(OR($S458="",$T458=""),"",$S458*1000000+IF($T458&lt;=60,$U458,$T458))</f>
        <v/>
      </c>
      <c r="X458">
        <f>IF(OR($S458="",$V458="",$T458&gt;60,$T458=""),"",$S458*1000000+ROUND($V458*10,0))</f>
        <v/>
      </c>
      <c r="Y458">
        <f>IF($W458="","",IFERROR(INDEX(IF($T458&lt;=60,imc05_l,imc519_l),MATCH($W458,IF($T458&lt;=60,imc05_k,imc519_k),1)),""))</f>
        <v/>
      </c>
      <c r="Z458">
        <f>IF($W458="","",IFERROR(INDEX(IF($T458&lt;=60,imc05_m,imc519_m),MATCH($W458,IF($T458&lt;=60,imc05_k,imc519_k),1)),""))</f>
        <v/>
      </c>
      <c r="AA458">
        <f>IF($W458="","",IFERROR(INDEX(IF($T458&lt;=60,imc05_s,imc519_s),MATCH($W458,IF($T458&lt;=60,imc05_k,imc519_k),1)),""))</f>
        <v/>
      </c>
      <c r="AB458">
        <f>IF($Y458="","",IF($Y458=0,LN($J458/$Z458)/$AA458,((($J458/$Z458)^$Y458)-1)/($Y458*$AA458)))</f>
        <v/>
      </c>
      <c r="AC458">
        <f>IF($Y458="","",IF($Y458=0,$Z458*EXP($AA458*2),$Z458*(1+$Y458*$AA458*2)^(1/$Y458)))</f>
        <v/>
      </c>
      <c r="AD458">
        <f>IF($Y458="","",IF($Y458=0,$Z458*EXP($AA458*3),$Z458*(1+$Y458*$AA458*3)^(1/$Y458)))</f>
        <v/>
      </c>
      <c r="AE458">
        <f>IF($Y458="","",IF($Y458=0,$Z458*EXP($AA458*-2),$Z458*(1+$Y458*$AA458*-2)^(1/$Y458)))</f>
        <v/>
      </c>
      <c r="AF458">
        <f>IF($Y458="","",IF($Y458=0,$Z458*EXP($AA458*-3),$Z458*(1+$Y458*$AA458*-3)^(1/$Y458)))</f>
        <v/>
      </c>
      <c r="AG458">
        <f>IF($W458="","",IFERROR(INDEX(IF($T458&lt;=60,est05_l,est519_l),MATCH($W458,IF($T458&lt;=60,est05_k,est519_k),1)),""))</f>
        <v/>
      </c>
      <c r="AH458">
        <f>IF($W458="","",IFERROR(INDEX(IF($T458&lt;=60,est05_m,est519_m),MATCH($W458,IF($T458&lt;=60,est05_k,est519_k),1)),""))</f>
        <v/>
      </c>
      <c r="AI458">
        <f>IF($W458="","",IFERROR(INDEX(IF($T458&lt;=60,est05_s,est519_s),MATCH($W458,IF($T458&lt;=60,est05_k,est519_k),1)),""))</f>
        <v/>
      </c>
      <c r="AJ458">
        <f>IF($W458="","",IFERROR(INDEX(IF($T458&lt;=60,peso05_l,peso510_l),MATCH($W458,IF($T458&lt;=60,peso05_k,peso510_k),1)),""))</f>
        <v/>
      </c>
      <c r="AK458">
        <f>IF($W458="","",IFERROR(INDEX(IF($T458&lt;=60,peso05_m,peso510_m),MATCH($W458,IF($T458&lt;=60,peso05_k,peso510_k),1)),""))</f>
        <v/>
      </c>
      <c r="AL458">
        <f>IF($W458="","",IFERROR(INDEX(IF($T458&lt;=60,peso05_s,peso510_s),MATCH($W458,IF($T458&lt;=60,peso05_k,peso510_k),1)),""))</f>
        <v/>
      </c>
      <c r="AM458">
        <f>IF($AJ458="","",IF($AJ458=0,LN($F458/$AK458)/$AL458,((($F458/$AK458)^$AJ458)-1)/($AJ458*$AL458)))</f>
        <v/>
      </c>
      <c r="AN458">
        <f>IF($AJ458="","",IF($AJ458=0,$AK458*EXP($AL458*2),$AK458*(1+$AJ458*$AL458*2)^(1/$AJ458)))</f>
        <v/>
      </c>
      <c r="AO458">
        <f>IF($AJ458="","",IF($AJ458=0,$AK458*EXP($AL458*3),$AK458*(1+$AJ458*$AL458*3)^(1/$AJ458)))</f>
        <v/>
      </c>
      <c r="AP458">
        <f>IF($AJ458="","",IF($AJ458=0,$AK458*EXP($AL458*-2),$AK458*(1+$AJ458*$AL458*-2)^(1/$AJ458)))</f>
        <v/>
      </c>
      <c r="AQ458">
        <f>IF($AJ458="","",IF($AJ458=0,$AK458*EXP($AL458*-3),$AK458*(1+$AJ458*$AL458*-3)^(1/$AJ458)))</f>
        <v/>
      </c>
      <c r="AR458">
        <f>IF(OR($X458="",$T458&gt;60),"",IFERROR(INDEX(IF($T458&lt;24,pcomp_l,palt_l),MATCH($X458,IF($T458&lt;24,pcomp_k,palt_k),1)),""))</f>
        <v/>
      </c>
      <c r="AS458">
        <f>IF(OR($X458="",$T458&gt;60),"",IFERROR(INDEX(IF($T458&lt;24,pcomp_m,palt_m),MATCH($X458,IF($T458&lt;24,pcomp_k,palt_k),1)),""))</f>
        <v/>
      </c>
      <c r="AT458">
        <f>IF(OR($X458="",$T458&gt;60),"",IFERROR(INDEX(IF($T458&lt;24,pcomp_s,palt_s),MATCH($X458,IF($T458&lt;24,pcomp_k,palt_k),1)),""))</f>
        <v/>
      </c>
      <c r="AU458">
        <f>IF($AR458="","",IF($AR458=0,LN($F458/$AS458)/$AT458,((($F458/$AS458)^$AR458)-1)/($AR458*$AT458)))</f>
        <v/>
      </c>
      <c r="AV458">
        <f>IF($AR458="","",IF($AR458=0,$AS458*EXP($AT458*2),$AS458*(1+$AR458*$AT458*2)^(1/$AR458)))</f>
        <v/>
      </c>
      <c r="AW458">
        <f>IF($AR458="","",IF($AR458=0,$AS458*EXP($AT458*3),$AS458*(1+$AR458*$AT458*3)^(1/$AR458)))</f>
        <v/>
      </c>
      <c r="AX458">
        <f>IF($AR458="","",IF($AR458=0,$AS458*EXP($AT458*-2),$AS458*(1+$AR458*$AT458*-2)^(1/$AR458)))</f>
        <v/>
      </c>
      <c r="AY458">
        <f>IF($AR458="","",IF($AR458=0,$AS458*EXP($AT458*-3),$AS458*(1+$AR458*$AT458*-3)^(1/$AR458)))</f>
        <v/>
      </c>
      <c r="AZ458">
        <f>IF(OR($A458="",$A458&lt;&gt;Ficha!$C$4),"",COUNTIF($A$2:$A458,Ficha!$C$4))</f>
        <v/>
      </c>
    </row>
    <row r="459">
      <c r="A459" s="8">
        <f>IF(INDEX(Banco!$A:$A,ROW())="","",INDEX(Banco!$A:$A,ROW()))</f>
        <v/>
      </c>
      <c r="B459" s="8">
        <f>IF(INDEX(Banco!$B:$B,ROW())="","",INDEX(Banco!$B:$B,ROW()))</f>
        <v/>
      </c>
      <c r="C459" s="8">
        <f>IF(INDEX(Banco!$C:$C,ROW())="","",INDEX(Banco!$C:$C,ROW()))</f>
        <v/>
      </c>
      <c r="D459" s="9">
        <f>IF(INDEX(Banco!$D:$D,ROW())="","",INDEX(Banco!$D:$D,ROW()))</f>
        <v/>
      </c>
      <c r="E459" s="9">
        <f>IF(INDEX(Banco!$E:$E,ROW())="","",INDEX(Banco!$E:$E,ROW()))</f>
        <v/>
      </c>
      <c r="F459" s="10">
        <f>IF(INDEX(Banco!$F:$F,ROW())="","",INDEX(Banco!$F:$F,ROW()))</f>
        <v/>
      </c>
      <c r="G459" s="10">
        <f>IF(INDEX(Banco!$G:$G,ROW())="","",INDEX(Banco!$G:$G,ROW()))</f>
        <v/>
      </c>
      <c r="H459" s="8">
        <f>IF(INDEX(Banco!$H:$H,ROW())="","",INDEX(Banco!$H:$H,ROW()))</f>
        <v/>
      </c>
      <c r="I459">
        <f>IF($T459="","",INT($T459/12)&amp;"a "&amp;MOD($T459,12)&amp;"m")</f>
        <v/>
      </c>
      <c r="J459" s="11">
        <f>IF(OR($F459="",$G459=""),"",ROUND($F459/($G459/100)^2,2))</f>
        <v/>
      </c>
      <c r="K459" s="12">
        <f>IF(OR($S459="",$J459="",$T459="",$T459&lt;0,$T459&gt;228,$Y459=""),"—",ROUND(IF(ABS($AB459)&lt;=3,$AB459,IF($AB459&gt;3,3+($J459-$AD459)/($AD459-$AC459),-3+($J459-$AF459)/($AE459-$AF459))),2))</f>
        <v/>
      </c>
      <c r="L459">
        <f>IF(OR($K459="",$K459="—"),"",IF($T459&lt;=60,IF($K459&lt;-3,"Magreza acentuada",IF($K459&lt;-2,"Magreza",IF($K459&lt;=1,"Eutrofia",IF($K459&lt;=2,"Risco de sobrepeso",IF($K459&lt;=3,"Sobrepeso","Obesidade"))))),IF($K459&lt;-3,"Magreza acentuada",IF($K459&lt;-2,"Magreza",IF($K459&lt;=1,"Eutrofia",IF($K459&lt;=2,"Sobrepeso",IF($K459&lt;=3,"Obesidade","Obesidade grave")))))))</f>
        <v/>
      </c>
      <c r="M459" s="12">
        <f>IF(OR($S459="",$V459="",$T459="",$T459&lt;0,$T459&gt;228,$AG459=""),"—",ROUND(IF($AG459=0,LN($V459/$AH459)/$AI459,((($V459/$AH459)^$AG459)-1)/($AG459*$AI459)),2))</f>
        <v/>
      </c>
      <c r="N459">
        <f>IF(OR($M459="",$M459="—"),"",IF($M459&lt;-3,"Muito baixa",IF($M459&lt;-2,"Baixa","Adequada")))</f>
        <v/>
      </c>
      <c r="O459" s="12">
        <f>IF(OR($S459="",$F459="",$T459="",$T459&lt;0,$T459&gt;120,$AJ459=""),"—",ROUND(IF(ABS($AM459)&lt;=3,$AM459,IF($AM459&gt;3,3+($F459-$AO459)/($AO459-$AN459),-3+($F459-$AQ459)/($AP459-$AQ459))),2))</f>
        <v/>
      </c>
      <c r="P459">
        <f>IF(OR($O459="",$O459="—"),"",IF($O459&lt;-3,"Muito baixo",IF($O459&lt;-2,"Baixo",IF($O459&lt;=2,"Adequado","Elevado"))))</f>
        <v/>
      </c>
      <c r="Q459" s="12">
        <f>IF(OR($S459="",$F459="",$T459="",$T459&lt;0,$T459&gt;60,$AR459=""),"—",ROUND(IF(ABS($AU459)&lt;=3,$AU459,IF($AU459&gt;3,3+($F459-$AW459)/($AW459-$AV459),-3+($F459-$AY459)/($AX459-$AY459))),2))</f>
        <v/>
      </c>
      <c r="R459">
        <f>IF(OR($Q459="",$Q459="—"),"",IF($Q459&lt;-3,"Magreza acentuada",IF($Q459&lt;-2,"Magreza",IF($Q459&lt;=1,"Eutrofia",IF($Q459&lt;=2,"Risco de sobrepeso",IF($Q459&lt;=3,"Sobrepeso","Obesidade"))))))</f>
        <v/>
      </c>
      <c r="S459">
        <f>IF($C459="","",IF(UPPER(LEFT($C459,1))="M",1,IF(UPPER(LEFT($C459,1))="F",2,"")))</f>
        <v/>
      </c>
      <c r="T459">
        <f>IF(OR($D459="",$E459=""),"",DATEDIF($D459,$E459,"m"))</f>
        <v/>
      </c>
      <c r="U459">
        <f>IF(OR($D459="",$E459=""),"",$E459-$D459)</f>
        <v/>
      </c>
      <c r="V459">
        <f>IF(OR($G459="",$T459=""),"",IF($T459&lt;24,IF(LEFT(LOWER($H459),4)="em p",$G459+0.7,$G459),IF(LEFT(LOWER($H459),4)="deit",$G459-0.7,$G459)))</f>
        <v/>
      </c>
      <c r="W459">
        <f>IF(OR($S459="",$T459=""),"",$S459*1000000+IF($T459&lt;=60,$U459,$T459))</f>
        <v/>
      </c>
      <c r="X459">
        <f>IF(OR($S459="",$V459="",$T459&gt;60,$T459=""),"",$S459*1000000+ROUND($V459*10,0))</f>
        <v/>
      </c>
      <c r="Y459">
        <f>IF($W459="","",IFERROR(INDEX(IF($T459&lt;=60,imc05_l,imc519_l),MATCH($W459,IF($T459&lt;=60,imc05_k,imc519_k),1)),""))</f>
        <v/>
      </c>
      <c r="Z459">
        <f>IF($W459="","",IFERROR(INDEX(IF($T459&lt;=60,imc05_m,imc519_m),MATCH($W459,IF($T459&lt;=60,imc05_k,imc519_k),1)),""))</f>
        <v/>
      </c>
      <c r="AA459">
        <f>IF($W459="","",IFERROR(INDEX(IF($T459&lt;=60,imc05_s,imc519_s),MATCH($W459,IF($T459&lt;=60,imc05_k,imc519_k),1)),""))</f>
        <v/>
      </c>
      <c r="AB459">
        <f>IF($Y459="","",IF($Y459=0,LN($J459/$Z459)/$AA459,((($J459/$Z459)^$Y459)-1)/($Y459*$AA459)))</f>
        <v/>
      </c>
      <c r="AC459">
        <f>IF($Y459="","",IF($Y459=0,$Z459*EXP($AA459*2),$Z459*(1+$Y459*$AA459*2)^(1/$Y459)))</f>
        <v/>
      </c>
      <c r="AD459">
        <f>IF($Y459="","",IF($Y459=0,$Z459*EXP($AA459*3),$Z459*(1+$Y459*$AA459*3)^(1/$Y459)))</f>
        <v/>
      </c>
      <c r="AE459">
        <f>IF($Y459="","",IF($Y459=0,$Z459*EXP($AA459*-2),$Z459*(1+$Y459*$AA459*-2)^(1/$Y459)))</f>
        <v/>
      </c>
      <c r="AF459">
        <f>IF($Y459="","",IF($Y459=0,$Z459*EXP($AA459*-3),$Z459*(1+$Y459*$AA459*-3)^(1/$Y459)))</f>
        <v/>
      </c>
      <c r="AG459">
        <f>IF($W459="","",IFERROR(INDEX(IF($T459&lt;=60,est05_l,est519_l),MATCH($W459,IF($T459&lt;=60,est05_k,est519_k),1)),""))</f>
        <v/>
      </c>
      <c r="AH459">
        <f>IF($W459="","",IFERROR(INDEX(IF($T459&lt;=60,est05_m,est519_m),MATCH($W459,IF($T459&lt;=60,est05_k,est519_k),1)),""))</f>
        <v/>
      </c>
      <c r="AI459">
        <f>IF($W459="","",IFERROR(INDEX(IF($T459&lt;=60,est05_s,est519_s),MATCH($W459,IF($T459&lt;=60,est05_k,est519_k),1)),""))</f>
        <v/>
      </c>
      <c r="AJ459">
        <f>IF($W459="","",IFERROR(INDEX(IF($T459&lt;=60,peso05_l,peso510_l),MATCH($W459,IF($T459&lt;=60,peso05_k,peso510_k),1)),""))</f>
        <v/>
      </c>
      <c r="AK459">
        <f>IF($W459="","",IFERROR(INDEX(IF($T459&lt;=60,peso05_m,peso510_m),MATCH($W459,IF($T459&lt;=60,peso05_k,peso510_k),1)),""))</f>
        <v/>
      </c>
      <c r="AL459">
        <f>IF($W459="","",IFERROR(INDEX(IF($T459&lt;=60,peso05_s,peso510_s),MATCH($W459,IF($T459&lt;=60,peso05_k,peso510_k),1)),""))</f>
        <v/>
      </c>
      <c r="AM459">
        <f>IF($AJ459="","",IF($AJ459=0,LN($F459/$AK459)/$AL459,((($F459/$AK459)^$AJ459)-1)/($AJ459*$AL459)))</f>
        <v/>
      </c>
      <c r="AN459">
        <f>IF($AJ459="","",IF($AJ459=0,$AK459*EXP($AL459*2),$AK459*(1+$AJ459*$AL459*2)^(1/$AJ459)))</f>
        <v/>
      </c>
      <c r="AO459">
        <f>IF($AJ459="","",IF($AJ459=0,$AK459*EXP($AL459*3),$AK459*(1+$AJ459*$AL459*3)^(1/$AJ459)))</f>
        <v/>
      </c>
      <c r="AP459">
        <f>IF($AJ459="","",IF($AJ459=0,$AK459*EXP($AL459*-2),$AK459*(1+$AJ459*$AL459*-2)^(1/$AJ459)))</f>
        <v/>
      </c>
      <c r="AQ459">
        <f>IF($AJ459="","",IF($AJ459=0,$AK459*EXP($AL459*-3),$AK459*(1+$AJ459*$AL459*-3)^(1/$AJ459)))</f>
        <v/>
      </c>
      <c r="AR459">
        <f>IF(OR($X459="",$T459&gt;60),"",IFERROR(INDEX(IF($T459&lt;24,pcomp_l,palt_l),MATCH($X459,IF($T459&lt;24,pcomp_k,palt_k),1)),""))</f>
        <v/>
      </c>
      <c r="AS459">
        <f>IF(OR($X459="",$T459&gt;60),"",IFERROR(INDEX(IF($T459&lt;24,pcomp_m,palt_m),MATCH($X459,IF($T459&lt;24,pcomp_k,palt_k),1)),""))</f>
        <v/>
      </c>
      <c r="AT459">
        <f>IF(OR($X459="",$T459&gt;60),"",IFERROR(INDEX(IF($T459&lt;24,pcomp_s,palt_s),MATCH($X459,IF($T459&lt;24,pcomp_k,palt_k),1)),""))</f>
        <v/>
      </c>
      <c r="AU459">
        <f>IF($AR459="","",IF($AR459=0,LN($F459/$AS459)/$AT459,((($F459/$AS459)^$AR459)-1)/($AR459*$AT459)))</f>
        <v/>
      </c>
      <c r="AV459">
        <f>IF($AR459="","",IF($AR459=0,$AS459*EXP($AT459*2),$AS459*(1+$AR459*$AT459*2)^(1/$AR459)))</f>
        <v/>
      </c>
      <c r="AW459">
        <f>IF($AR459="","",IF($AR459=0,$AS459*EXP($AT459*3),$AS459*(1+$AR459*$AT459*3)^(1/$AR459)))</f>
        <v/>
      </c>
      <c r="AX459">
        <f>IF($AR459="","",IF($AR459=0,$AS459*EXP($AT459*-2),$AS459*(1+$AR459*$AT459*-2)^(1/$AR459)))</f>
        <v/>
      </c>
      <c r="AY459">
        <f>IF($AR459="","",IF($AR459=0,$AS459*EXP($AT459*-3),$AS459*(1+$AR459*$AT459*-3)^(1/$AR459)))</f>
        <v/>
      </c>
      <c r="AZ459">
        <f>IF(OR($A459="",$A459&lt;&gt;Ficha!$C$4),"",COUNTIF($A$2:$A459,Ficha!$C$4))</f>
        <v/>
      </c>
    </row>
    <row r="460">
      <c r="A460" s="8">
        <f>IF(INDEX(Banco!$A:$A,ROW())="","",INDEX(Banco!$A:$A,ROW()))</f>
        <v/>
      </c>
      <c r="B460" s="8">
        <f>IF(INDEX(Banco!$B:$B,ROW())="","",INDEX(Banco!$B:$B,ROW()))</f>
        <v/>
      </c>
      <c r="C460" s="8">
        <f>IF(INDEX(Banco!$C:$C,ROW())="","",INDEX(Banco!$C:$C,ROW()))</f>
        <v/>
      </c>
      <c r="D460" s="9">
        <f>IF(INDEX(Banco!$D:$D,ROW())="","",INDEX(Banco!$D:$D,ROW()))</f>
        <v/>
      </c>
      <c r="E460" s="9">
        <f>IF(INDEX(Banco!$E:$E,ROW())="","",INDEX(Banco!$E:$E,ROW()))</f>
        <v/>
      </c>
      <c r="F460" s="10">
        <f>IF(INDEX(Banco!$F:$F,ROW())="","",INDEX(Banco!$F:$F,ROW()))</f>
        <v/>
      </c>
      <c r="G460" s="10">
        <f>IF(INDEX(Banco!$G:$G,ROW())="","",INDEX(Banco!$G:$G,ROW()))</f>
        <v/>
      </c>
      <c r="H460" s="8">
        <f>IF(INDEX(Banco!$H:$H,ROW())="","",INDEX(Banco!$H:$H,ROW()))</f>
        <v/>
      </c>
      <c r="I460">
        <f>IF($T460="","",INT($T460/12)&amp;"a "&amp;MOD($T460,12)&amp;"m")</f>
        <v/>
      </c>
      <c r="J460" s="11">
        <f>IF(OR($F460="",$G460=""),"",ROUND($F460/($G460/100)^2,2))</f>
        <v/>
      </c>
      <c r="K460" s="12">
        <f>IF(OR($S460="",$J460="",$T460="",$T460&lt;0,$T460&gt;228,$Y460=""),"—",ROUND(IF(ABS($AB460)&lt;=3,$AB460,IF($AB460&gt;3,3+($J460-$AD460)/($AD460-$AC460),-3+($J460-$AF460)/($AE460-$AF460))),2))</f>
        <v/>
      </c>
      <c r="L460">
        <f>IF(OR($K460="",$K460="—"),"",IF($T460&lt;=60,IF($K460&lt;-3,"Magreza acentuada",IF($K460&lt;-2,"Magreza",IF($K460&lt;=1,"Eutrofia",IF($K460&lt;=2,"Risco de sobrepeso",IF($K460&lt;=3,"Sobrepeso","Obesidade"))))),IF($K460&lt;-3,"Magreza acentuada",IF($K460&lt;-2,"Magreza",IF($K460&lt;=1,"Eutrofia",IF($K460&lt;=2,"Sobrepeso",IF($K460&lt;=3,"Obesidade","Obesidade grave")))))))</f>
        <v/>
      </c>
      <c r="M460" s="12">
        <f>IF(OR($S460="",$V460="",$T460="",$T460&lt;0,$T460&gt;228,$AG460=""),"—",ROUND(IF($AG460=0,LN($V460/$AH460)/$AI460,((($V460/$AH460)^$AG460)-1)/($AG460*$AI460)),2))</f>
        <v/>
      </c>
      <c r="N460">
        <f>IF(OR($M460="",$M460="—"),"",IF($M460&lt;-3,"Muito baixa",IF($M460&lt;-2,"Baixa","Adequada")))</f>
        <v/>
      </c>
      <c r="O460" s="12">
        <f>IF(OR($S460="",$F460="",$T460="",$T460&lt;0,$T460&gt;120,$AJ460=""),"—",ROUND(IF(ABS($AM460)&lt;=3,$AM460,IF($AM460&gt;3,3+($F460-$AO460)/($AO460-$AN460),-3+($F460-$AQ460)/($AP460-$AQ460))),2))</f>
        <v/>
      </c>
      <c r="P460">
        <f>IF(OR($O460="",$O460="—"),"",IF($O460&lt;-3,"Muito baixo",IF($O460&lt;-2,"Baixo",IF($O460&lt;=2,"Adequado","Elevado"))))</f>
        <v/>
      </c>
      <c r="Q460" s="12">
        <f>IF(OR($S460="",$F460="",$T460="",$T460&lt;0,$T460&gt;60,$AR460=""),"—",ROUND(IF(ABS($AU460)&lt;=3,$AU460,IF($AU460&gt;3,3+($F460-$AW460)/($AW460-$AV460),-3+($F460-$AY460)/($AX460-$AY460))),2))</f>
        <v/>
      </c>
      <c r="R460">
        <f>IF(OR($Q460="",$Q460="—"),"",IF($Q460&lt;-3,"Magreza acentuada",IF($Q460&lt;-2,"Magreza",IF($Q460&lt;=1,"Eutrofia",IF($Q460&lt;=2,"Risco de sobrepeso",IF($Q460&lt;=3,"Sobrepeso","Obesidade"))))))</f>
        <v/>
      </c>
      <c r="S460">
        <f>IF($C460="","",IF(UPPER(LEFT($C460,1))="M",1,IF(UPPER(LEFT($C460,1))="F",2,"")))</f>
        <v/>
      </c>
      <c r="T460">
        <f>IF(OR($D460="",$E460=""),"",DATEDIF($D460,$E460,"m"))</f>
        <v/>
      </c>
      <c r="U460">
        <f>IF(OR($D460="",$E460=""),"",$E460-$D460)</f>
        <v/>
      </c>
      <c r="V460">
        <f>IF(OR($G460="",$T460=""),"",IF($T460&lt;24,IF(LEFT(LOWER($H460),4)="em p",$G460+0.7,$G460),IF(LEFT(LOWER($H460),4)="deit",$G460-0.7,$G460)))</f>
        <v/>
      </c>
      <c r="W460">
        <f>IF(OR($S460="",$T460=""),"",$S460*1000000+IF($T460&lt;=60,$U460,$T460))</f>
        <v/>
      </c>
      <c r="X460">
        <f>IF(OR($S460="",$V460="",$T460&gt;60,$T460=""),"",$S460*1000000+ROUND($V460*10,0))</f>
        <v/>
      </c>
      <c r="Y460">
        <f>IF($W460="","",IFERROR(INDEX(IF($T460&lt;=60,imc05_l,imc519_l),MATCH($W460,IF($T460&lt;=60,imc05_k,imc519_k),1)),""))</f>
        <v/>
      </c>
      <c r="Z460">
        <f>IF($W460="","",IFERROR(INDEX(IF($T460&lt;=60,imc05_m,imc519_m),MATCH($W460,IF($T460&lt;=60,imc05_k,imc519_k),1)),""))</f>
        <v/>
      </c>
      <c r="AA460">
        <f>IF($W460="","",IFERROR(INDEX(IF($T460&lt;=60,imc05_s,imc519_s),MATCH($W460,IF($T460&lt;=60,imc05_k,imc519_k),1)),""))</f>
        <v/>
      </c>
      <c r="AB460">
        <f>IF($Y460="","",IF($Y460=0,LN($J460/$Z460)/$AA460,((($J460/$Z460)^$Y460)-1)/($Y460*$AA460)))</f>
        <v/>
      </c>
      <c r="AC460">
        <f>IF($Y460="","",IF($Y460=0,$Z460*EXP($AA460*2),$Z460*(1+$Y460*$AA460*2)^(1/$Y460)))</f>
        <v/>
      </c>
      <c r="AD460">
        <f>IF($Y460="","",IF($Y460=0,$Z460*EXP($AA460*3),$Z460*(1+$Y460*$AA460*3)^(1/$Y460)))</f>
        <v/>
      </c>
      <c r="AE460">
        <f>IF($Y460="","",IF($Y460=0,$Z460*EXP($AA460*-2),$Z460*(1+$Y460*$AA460*-2)^(1/$Y460)))</f>
        <v/>
      </c>
      <c r="AF460">
        <f>IF($Y460="","",IF($Y460=0,$Z460*EXP($AA460*-3),$Z460*(1+$Y460*$AA460*-3)^(1/$Y460)))</f>
        <v/>
      </c>
      <c r="AG460">
        <f>IF($W460="","",IFERROR(INDEX(IF($T460&lt;=60,est05_l,est519_l),MATCH($W460,IF($T460&lt;=60,est05_k,est519_k),1)),""))</f>
        <v/>
      </c>
      <c r="AH460">
        <f>IF($W460="","",IFERROR(INDEX(IF($T460&lt;=60,est05_m,est519_m),MATCH($W460,IF($T460&lt;=60,est05_k,est519_k),1)),""))</f>
        <v/>
      </c>
      <c r="AI460">
        <f>IF($W460="","",IFERROR(INDEX(IF($T460&lt;=60,est05_s,est519_s),MATCH($W460,IF($T460&lt;=60,est05_k,est519_k),1)),""))</f>
        <v/>
      </c>
      <c r="AJ460">
        <f>IF($W460="","",IFERROR(INDEX(IF($T460&lt;=60,peso05_l,peso510_l),MATCH($W460,IF($T460&lt;=60,peso05_k,peso510_k),1)),""))</f>
        <v/>
      </c>
      <c r="AK460">
        <f>IF($W460="","",IFERROR(INDEX(IF($T460&lt;=60,peso05_m,peso510_m),MATCH($W460,IF($T460&lt;=60,peso05_k,peso510_k),1)),""))</f>
        <v/>
      </c>
      <c r="AL460">
        <f>IF($W460="","",IFERROR(INDEX(IF($T460&lt;=60,peso05_s,peso510_s),MATCH($W460,IF($T460&lt;=60,peso05_k,peso510_k),1)),""))</f>
        <v/>
      </c>
      <c r="AM460">
        <f>IF($AJ460="","",IF($AJ460=0,LN($F460/$AK460)/$AL460,((($F460/$AK460)^$AJ460)-1)/($AJ460*$AL460)))</f>
        <v/>
      </c>
      <c r="AN460">
        <f>IF($AJ460="","",IF($AJ460=0,$AK460*EXP($AL460*2),$AK460*(1+$AJ460*$AL460*2)^(1/$AJ460)))</f>
        <v/>
      </c>
      <c r="AO460">
        <f>IF($AJ460="","",IF($AJ460=0,$AK460*EXP($AL460*3),$AK460*(1+$AJ460*$AL460*3)^(1/$AJ460)))</f>
        <v/>
      </c>
      <c r="AP460">
        <f>IF($AJ460="","",IF($AJ460=0,$AK460*EXP($AL460*-2),$AK460*(1+$AJ460*$AL460*-2)^(1/$AJ460)))</f>
        <v/>
      </c>
      <c r="AQ460">
        <f>IF($AJ460="","",IF($AJ460=0,$AK460*EXP($AL460*-3),$AK460*(1+$AJ460*$AL460*-3)^(1/$AJ460)))</f>
        <v/>
      </c>
      <c r="AR460">
        <f>IF(OR($X460="",$T460&gt;60),"",IFERROR(INDEX(IF($T460&lt;24,pcomp_l,palt_l),MATCH($X460,IF($T460&lt;24,pcomp_k,palt_k),1)),""))</f>
        <v/>
      </c>
      <c r="AS460">
        <f>IF(OR($X460="",$T460&gt;60),"",IFERROR(INDEX(IF($T460&lt;24,pcomp_m,palt_m),MATCH($X460,IF($T460&lt;24,pcomp_k,palt_k),1)),""))</f>
        <v/>
      </c>
      <c r="AT460">
        <f>IF(OR($X460="",$T460&gt;60),"",IFERROR(INDEX(IF($T460&lt;24,pcomp_s,palt_s),MATCH($X460,IF($T460&lt;24,pcomp_k,palt_k),1)),""))</f>
        <v/>
      </c>
      <c r="AU460">
        <f>IF($AR460="","",IF($AR460=0,LN($F460/$AS460)/$AT460,((($F460/$AS460)^$AR460)-1)/($AR460*$AT460)))</f>
        <v/>
      </c>
      <c r="AV460">
        <f>IF($AR460="","",IF($AR460=0,$AS460*EXP($AT460*2),$AS460*(1+$AR460*$AT460*2)^(1/$AR460)))</f>
        <v/>
      </c>
      <c r="AW460">
        <f>IF($AR460="","",IF($AR460=0,$AS460*EXP($AT460*3),$AS460*(1+$AR460*$AT460*3)^(1/$AR460)))</f>
        <v/>
      </c>
      <c r="AX460">
        <f>IF($AR460="","",IF($AR460=0,$AS460*EXP($AT460*-2),$AS460*(1+$AR460*$AT460*-2)^(1/$AR460)))</f>
        <v/>
      </c>
      <c r="AY460">
        <f>IF($AR460="","",IF($AR460=0,$AS460*EXP($AT460*-3),$AS460*(1+$AR460*$AT460*-3)^(1/$AR460)))</f>
        <v/>
      </c>
      <c r="AZ460">
        <f>IF(OR($A460="",$A460&lt;&gt;Ficha!$C$4),"",COUNTIF($A$2:$A460,Ficha!$C$4))</f>
        <v/>
      </c>
    </row>
    <row r="461">
      <c r="A461" s="8">
        <f>IF(INDEX(Banco!$A:$A,ROW())="","",INDEX(Banco!$A:$A,ROW()))</f>
        <v/>
      </c>
      <c r="B461" s="8">
        <f>IF(INDEX(Banco!$B:$B,ROW())="","",INDEX(Banco!$B:$B,ROW()))</f>
        <v/>
      </c>
      <c r="C461" s="8">
        <f>IF(INDEX(Banco!$C:$C,ROW())="","",INDEX(Banco!$C:$C,ROW()))</f>
        <v/>
      </c>
      <c r="D461" s="9">
        <f>IF(INDEX(Banco!$D:$D,ROW())="","",INDEX(Banco!$D:$D,ROW()))</f>
        <v/>
      </c>
      <c r="E461" s="9">
        <f>IF(INDEX(Banco!$E:$E,ROW())="","",INDEX(Banco!$E:$E,ROW()))</f>
        <v/>
      </c>
      <c r="F461" s="10">
        <f>IF(INDEX(Banco!$F:$F,ROW())="","",INDEX(Banco!$F:$F,ROW()))</f>
        <v/>
      </c>
      <c r="G461" s="10">
        <f>IF(INDEX(Banco!$G:$G,ROW())="","",INDEX(Banco!$G:$G,ROW()))</f>
        <v/>
      </c>
      <c r="H461" s="8">
        <f>IF(INDEX(Banco!$H:$H,ROW())="","",INDEX(Banco!$H:$H,ROW()))</f>
        <v/>
      </c>
      <c r="I461">
        <f>IF($T461="","",INT($T461/12)&amp;"a "&amp;MOD($T461,12)&amp;"m")</f>
        <v/>
      </c>
      <c r="J461" s="11">
        <f>IF(OR($F461="",$G461=""),"",ROUND($F461/($G461/100)^2,2))</f>
        <v/>
      </c>
      <c r="K461" s="12">
        <f>IF(OR($S461="",$J461="",$T461="",$T461&lt;0,$T461&gt;228,$Y461=""),"—",ROUND(IF(ABS($AB461)&lt;=3,$AB461,IF($AB461&gt;3,3+($J461-$AD461)/($AD461-$AC461),-3+($J461-$AF461)/($AE461-$AF461))),2))</f>
        <v/>
      </c>
      <c r="L461">
        <f>IF(OR($K461="",$K461="—"),"",IF($T461&lt;=60,IF($K461&lt;-3,"Magreza acentuada",IF($K461&lt;-2,"Magreza",IF($K461&lt;=1,"Eutrofia",IF($K461&lt;=2,"Risco de sobrepeso",IF($K461&lt;=3,"Sobrepeso","Obesidade"))))),IF($K461&lt;-3,"Magreza acentuada",IF($K461&lt;-2,"Magreza",IF($K461&lt;=1,"Eutrofia",IF($K461&lt;=2,"Sobrepeso",IF($K461&lt;=3,"Obesidade","Obesidade grave")))))))</f>
        <v/>
      </c>
      <c r="M461" s="12">
        <f>IF(OR($S461="",$V461="",$T461="",$T461&lt;0,$T461&gt;228,$AG461=""),"—",ROUND(IF($AG461=0,LN($V461/$AH461)/$AI461,((($V461/$AH461)^$AG461)-1)/($AG461*$AI461)),2))</f>
        <v/>
      </c>
      <c r="N461">
        <f>IF(OR($M461="",$M461="—"),"",IF($M461&lt;-3,"Muito baixa",IF($M461&lt;-2,"Baixa","Adequada")))</f>
        <v/>
      </c>
      <c r="O461" s="12">
        <f>IF(OR($S461="",$F461="",$T461="",$T461&lt;0,$T461&gt;120,$AJ461=""),"—",ROUND(IF(ABS($AM461)&lt;=3,$AM461,IF($AM461&gt;3,3+($F461-$AO461)/($AO461-$AN461),-3+($F461-$AQ461)/($AP461-$AQ461))),2))</f>
        <v/>
      </c>
      <c r="P461">
        <f>IF(OR($O461="",$O461="—"),"",IF($O461&lt;-3,"Muito baixo",IF($O461&lt;-2,"Baixo",IF($O461&lt;=2,"Adequado","Elevado"))))</f>
        <v/>
      </c>
      <c r="Q461" s="12">
        <f>IF(OR($S461="",$F461="",$T461="",$T461&lt;0,$T461&gt;60,$AR461=""),"—",ROUND(IF(ABS($AU461)&lt;=3,$AU461,IF($AU461&gt;3,3+($F461-$AW461)/($AW461-$AV461),-3+($F461-$AY461)/($AX461-$AY461))),2))</f>
        <v/>
      </c>
      <c r="R461">
        <f>IF(OR($Q461="",$Q461="—"),"",IF($Q461&lt;-3,"Magreza acentuada",IF($Q461&lt;-2,"Magreza",IF($Q461&lt;=1,"Eutrofia",IF($Q461&lt;=2,"Risco de sobrepeso",IF($Q461&lt;=3,"Sobrepeso","Obesidade"))))))</f>
        <v/>
      </c>
      <c r="S461">
        <f>IF($C461="","",IF(UPPER(LEFT($C461,1))="M",1,IF(UPPER(LEFT($C461,1))="F",2,"")))</f>
        <v/>
      </c>
      <c r="T461">
        <f>IF(OR($D461="",$E461=""),"",DATEDIF($D461,$E461,"m"))</f>
        <v/>
      </c>
      <c r="U461">
        <f>IF(OR($D461="",$E461=""),"",$E461-$D461)</f>
        <v/>
      </c>
      <c r="V461">
        <f>IF(OR($G461="",$T461=""),"",IF($T461&lt;24,IF(LEFT(LOWER($H461),4)="em p",$G461+0.7,$G461),IF(LEFT(LOWER($H461),4)="deit",$G461-0.7,$G461)))</f>
        <v/>
      </c>
      <c r="W461">
        <f>IF(OR($S461="",$T461=""),"",$S461*1000000+IF($T461&lt;=60,$U461,$T461))</f>
        <v/>
      </c>
      <c r="X461">
        <f>IF(OR($S461="",$V461="",$T461&gt;60,$T461=""),"",$S461*1000000+ROUND($V461*10,0))</f>
        <v/>
      </c>
      <c r="Y461">
        <f>IF($W461="","",IFERROR(INDEX(IF($T461&lt;=60,imc05_l,imc519_l),MATCH($W461,IF($T461&lt;=60,imc05_k,imc519_k),1)),""))</f>
        <v/>
      </c>
      <c r="Z461">
        <f>IF($W461="","",IFERROR(INDEX(IF($T461&lt;=60,imc05_m,imc519_m),MATCH($W461,IF($T461&lt;=60,imc05_k,imc519_k),1)),""))</f>
        <v/>
      </c>
      <c r="AA461">
        <f>IF($W461="","",IFERROR(INDEX(IF($T461&lt;=60,imc05_s,imc519_s),MATCH($W461,IF($T461&lt;=60,imc05_k,imc519_k),1)),""))</f>
        <v/>
      </c>
      <c r="AB461">
        <f>IF($Y461="","",IF($Y461=0,LN($J461/$Z461)/$AA461,((($J461/$Z461)^$Y461)-1)/($Y461*$AA461)))</f>
        <v/>
      </c>
      <c r="AC461">
        <f>IF($Y461="","",IF($Y461=0,$Z461*EXP($AA461*2),$Z461*(1+$Y461*$AA461*2)^(1/$Y461)))</f>
        <v/>
      </c>
      <c r="AD461">
        <f>IF($Y461="","",IF($Y461=0,$Z461*EXP($AA461*3),$Z461*(1+$Y461*$AA461*3)^(1/$Y461)))</f>
        <v/>
      </c>
      <c r="AE461">
        <f>IF($Y461="","",IF($Y461=0,$Z461*EXP($AA461*-2),$Z461*(1+$Y461*$AA461*-2)^(1/$Y461)))</f>
        <v/>
      </c>
      <c r="AF461">
        <f>IF($Y461="","",IF($Y461=0,$Z461*EXP($AA461*-3),$Z461*(1+$Y461*$AA461*-3)^(1/$Y461)))</f>
        <v/>
      </c>
      <c r="AG461">
        <f>IF($W461="","",IFERROR(INDEX(IF($T461&lt;=60,est05_l,est519_l),MATCH($W461,IF($T461&lt;=60,est05_k,est519_k),1)),""))</f>
        <v/>
      </c>
      <c r="AH461">
        <f>IF($W461="","",IFERROR(INDEX(IF($T461&lt;=60,est05_m,est519_m),MATCH($W461,IF($T461&lt;=60,est05_k,est519_k),1)),""))</f>
        <v/>
      </c>
      <c r="AI461">
        <f>IF($W461="","",IFERROR(INDEX(IF($T461&lt;=60,est05_s,est519_s),MATCH($W461,IF($T461&lt;=60,est05_k,est519_k),1)),""))</f>
        <v/>
      </c>
      <c r="AJ461">
        <f>IF($W461="","",IFERROR(INDEX(IF($T461&lt;=60,peso05_l,peso510_l),MATCH($W461,IF($T461&lt;=60,peso05_k,peso510_k),1)),""))</f>
        <v/>
      </c>
      <c r="AK461">
        <f>IF($W461="","",IFERROR(INDEX(IF($T461&lt;=60,peso05_m,peso510_m),MATCH($W461,IF($T461&lt;=60,peso05_k,peso510_k),1)),""))</f>
        <v/>
      </c>
      <c r="AL461">
        <f>IF($W461="","",IFERROR(INDEX(IF($T461&lt;=60,peso05_s,peso510_s),MATCH($W461,IF($T461&lt;=60,peso05_k,peso510_k),1)),""))</f>
        <v/>
      </c>
      <c r="AM461">
        <f>IF($AJ461="","",IF($AJ461=0,LN($F461/$AK461)/$AL461,((($F461/$AK461)^$AJ461)-1)/($AJ461*$AL461)))</f>
        <v/>
      </c>
      <c r="AN461">
        <f>IF($AJ461="","",IF($AJ461=0,$AK461*EXP($AL461*2),$AK461*(1+$AJ461*$AL461*2)^(1/$AJ461)))</f>
        <v/>
      </c>
      <c r="AO461">
        <f>IF($AJ461="","",IF($AJ461=0,$AK461*EXP($AL461*3),$AK461*(1+$AJ461*$AL461*3)^(1/$AJ461)))</f>
        <v/>
      </c>
      <c r="AP461">
        <f>IF($AJ461="","",IF($AJ461=0,$AK461*EXP($AL461*-2),$AK461*(1+$AJ461*$AL461*-2)^(1/$AJ461)))</f>
        <v/>
      </c>
      <c r="AQ461">
        <f>IF($AJ461="","",IF($AJ461=0,$AK461*EXP($AL461*-3),$AK461*(1+$AJ461*$AL461*-3)^(1/$AJ461)))</f>
        <v/>
      </c>
      <c r="AR461">
        <f>IF(OR($X461="",$T461&gt;60),"",IFERROR(INDEX(IF($T461&lt;24,pcomp_l,palt_l),MATCH($X461,IF($T461&lt;24,pcomp_k,palt_k),1)),""))</f>
        <v/>
      </c>
      <c r="AS461">
        <f>IF(OR($X461="",$T461&gt;60),"",IFERROR(INDEX(IF($T461&lt;24,pcomp_m,palt_m),MATCH($X461,IF($T461&lt;24,pcomp_k,palt_k),1)),""))</f>
        <v/>
      </c>
      <c r="AT461">
        <f>IF(OR($X461="",$T461&gt;60),"",IFERROR(INDEX(IF($T461&lt;24,pcomp_s,palt_s),MATCH($X461,IF($T461&lt;24,pcomp_k,palt_k),1)),""))</f>
        <v/>
      </c>
      <c r="AU461">
        <f>IF($AR461="","",IF($AR461=0,LN($F461/$AS461)/$AT461,((($F461/$AS461)^$AR461)-1)/($AR461*$AT461)))</f>
        <v/>
      </c>
      <c r="AV461">
        <f>IF($AR461="","",IF($AR461=0,$AS461*EXP($AT461*2),$AS461*(1+$AR461*$AT461*2)^(1/$AR461)))</f>
        <v/>
      </c>
      <c r="AW461">
        <f>IF($AR461="","",IF($AR461=0,$AS461*EXP($AT461*3),$AS461*(1+$AR461*$AT461*3)^(1/$AR461)))</f>
        <v/>
      </c>
      <c r="AX461">
        <f>IF($AR461="","",IF($AR461=0,$AS461*EXP($AT461*-2),$AS461*(1+$AR461*$AT461*-2)^(1/$AR461)))</f>
        <v/>
      </c>
      <c r="AY461">
        <f>IF($AR461="","",IF($AR461=0,$AS461*EXP($AT461*-3),$AS461*(1+$AR461*$AT461*-3)^(1/$AR461)))</f>
        <v/>
      </c>
      <c r="AZ461">
        <f>IF(OR($A461="",$A461&lt;&gt;Ficha!$C$4),"",COUNTIF($A$2:$A461,Ficha!$C$4))</f>
        <v/>
      </c>
    </row>
    <row r="462">
      <c r="A462" s="8">
        <f>IF(INDEX(Banco!$A:$A,ROW())="","",INDEX(Banco!$A:$A,ROW()))</f>
        <v/>
      </c>
      <c r="B462" s="8">
        <f>IF(INDEX(Banco!$B:$B,ROW())="","",INDEX(Banco!$B:$B,ROW()))</f>
        <v/>
      </c>
      <c r="C462" s="8">
        <f>IF(INDEX(Banco!$C:$C,ROW())="","",INDEX(Banco!$C:$C,ROW()))</f>
        <v/>
      </c>
      <c r="D462" s="9">
        <f>IF(INDEX(Banco!$D:$D,ROW())="","",INDEX(Banco!$D:$D,ROW()))</f>
        <v/>
      </c>
      <c r="E462" s="9">
        <f>IF(INDEX(Banco!$E:$E,ROW())="","",INDEX(Banco!$E:$E,ROW()))</f>
        <v/>
      </c>
      <c r="F462" s="10">
        <f>IF(INDEX(Banco!$F:$F,ROW())="","",INDEX(Banco!$F:$F,ROW()))</f>
        <v/>
      </c>
      <c r="G462" s="10">
        <f>IF(INDEX(Banco!$G:$G,ROW())="","",INDEX(Banco!$G:$G,ROW()))</f>
        <v/>
      </c>
      <c r="H462" s="8">
        <f>IF(INDEX(Banco!$H:$H,ROW())="","",INDEX(Banco!$H:$H,ROW()))</f>
        <v/>
      </c>
      <c r="I462">
        <f>IF($T462="","",INT($T462/12)&amp;"a "&amp;MOD($T462,12)&amp;"m")</f>
        <v/>
      </c>
      <c r="J462" s="11">
        <f>IF(OR($F462="",$G462=""),"",ROUND($F462/($G462/100)^2,2))</f>
        <v/>
      </c>
      <c r="K462" s="12">
        <f>IF(OR($S462="",$J462="",$T462="",$T462&lt;0,$T462&gt;228,$Y462=""),"—",ROUND(IF(ABS($AB462)&lt;=3,$AB462,IF($AB462&gt;3,3+($J462-$AD462)/($AD462-$AC462),-3+($J462-$AF462)/($AE462-$AF462))),2))</f>
        <v/>
      </c>
      <c r="L462">
        <f>IF(OR($K462="",$K462="—"),"",IF($T462&lt;=60,IF($K462&lt;-3,"Magreza acentuada",IF($K462&lt;-2,"Magreza",IF($K462&lt;=1,"Eutrofia",IF($K462&lt;=2,"Risco de sobrepeso",IF($K462&lt;=3,"Sobrepeso","Obesidade"))))),IF($K462&lt;-3,"Magreza acentuada",IF($K462&lt;-2,"Magreza",IF($K462&lt;=1,"Eutrofia",IF($K462&lt;=2,"Sobrepeso",IF($K462&lt;=3,"Obesidade","Obesidade grave")))))))</f>
        <v/>
      </c>
      <c r="M462" s="12">
        <f>IF(OR($S462="",$V462="",$T462="",$T462&lt;0,$T462&gt;228,$AG462=""),"—",ROUND(IF($AG462=0,LN($V462/$AH462)/$AI462,((($V462/$AH462)^$AG462)-1)/($AG462*$AI462)),2))</f>
        <v/>
      </c>
      <c r="N462">
        <f>IF(OR($M462="",$M462="—"),"",IF($M462&lt;-3,"Muito baixa",IF($M462&lt;-2,"Baixa","Adequada")))</f>
        <v/>
      </c>
      <c r="O462" s="12">
        <f>IF(OR($S462="",$F462="",$T462="",$T462&lt;0,$T462&gt;120,$AJ462=""),"—",ROUND(IF(ABS($AM462)&lt;=3,$AM462,IF($AM462&gt;3,3+($F462-$AO462)/($AO462-$AN462),-3+($F462-$AQ462)/($AP462-$AQ462))),2))</f>
        <v/>
      </c>
      <c r="P462">
        <f>IF(OR($O462="",$O462="—"),"",IF($O462&lt;-3,"Muito baixo",IF($O462&lt;-2,"Baixo",IF($O462&lt;=2,"Adequado","Elevado"))))</f>
        <v/>
      </c>
      <c r="Q462" s="12">
        <f>IF(OR($S462="",$F462="",$T462="",$T462&lt;0,$T462&gt;60,$AR462=""),"—",ROUND(IF(ABS($AU462)&lt;=3,$AU462,IF($AU462&gt;3,3+($F462-$AW462)/($AW462-$AV462),-3+($F462-$AY462)/($AX462-$AY462))),2))</f>
        <v/>
      </c>
      <c r="R462">
        <f>IF(OR($Q462="",$Q462="—"),"",IF($Q462&lt;-3,"Magreza acentuada",IF($Q462&lt;-2,"Magreza",IF($Q462&lt;=1,"Eutrofia",IF($Q462&lt;=2,"Risco de sobrepeso",IF($Q462&lt;=3,"Sobrepeso","Obesidade"))))))</f>
        <v/>
      </c>
      <c r="S462">
        <f>IF($C462="","",IF(UPPER(LEFT($C462,1))="M",1,IF(UPPER(LEFT($C462,1))="F",2,"")))</f>
        <v/>
      </c>
      <c r="T462">
        <f>IF(OR($D462="",$E462=""),"",DATEDIF($D462,$E462,"m"))</f>
        <v/>
      </c>
      <c r="U462">
        <f>IF(OR($D462="",$E462=""),"",$E462-$D462)</f>
        <v/>
      </c>
      <c r="V462">
        <f>IF(OR($G462="",$T462=""),"",IF($T462&lt;24,IF(LEFT(LOWER($H462),4)="em p",$G462+0.7,$G462),IF(LEFT(LOWER($H462),4)="deit",$G462-0.7,$G462)))</f>
        <v/>
      </c>
      <c r="W462">
        <f>IF(OR($S462="",$T462=""),"",$S462*1000000+IF($T462&lt;=60,$U462,$T462))</f>
        <v/>
      </c>
      <c r="X462">
        <f>IF(OR($S462="",$V462="",$T462&gt;60,$T462=""),"",$S462*1000000+ROUND($V462*10,0))</f>
        <v/>
      </c>
      <c r="Y462">
        <f>IF($W462="","",IFERROR(INDEX(IF($T462&lt;=60,imc05_l,imc519_l),MATCH($W462,IF($T462&lt;=60,imc05_k,imc519_k),1)),""))</f>
        <v/>
      </c>
      <c r="Z462">
        <f>IF($W462="","",IFERROR(INDEX(IF($T462&lt;=60,imc05_m,imc519_m),MATCH($W462,IF($T462&lt;=60,imc05_k,imc519_k),1)),""))</f>
        <v/>
      </c>
      <c r="AA462">
        <f>IF($W462="","",IFERROR(INDEX(IF($T462&lt;=60,imc05_s,imc519_s),MATCH($W462,IF($T462&lt;=60,imc05_k,imc519_k),1)),""))</f>
        <v/>
      </c>
      <c r="AB462">
        <f>IF($Y462="","",IF($Y462=0,LN($J462/$Z462)/$AA462,((($J462/$Z462)^$Y462)-1)/($Y462*$AA462)))</f>
        <v/>
      </c>
      <c r="AC462">
        <f>IF($Y462="","",IF($Y462=0,$Z462*EXP($AA462*2),$Z462*(1+$Y462*$AA462*2)^(1/$Y462)))</f>
        <v/>
      </c>
      <c r="AD462">
        <f>IF($Y462="","",IF($Y462=0,$Z462*EXP($AA462*3),$Z462*(1+$Y462*$AA462*3)^(1/$Y462)))</f>
        <v/>
      </c>
      <c r="AE462">
        <f>IF($Y462="","",IF($Y462=0,$Z462*EXP($AA462*-2),$Z462*(1+$Y462*$AA462*-2)^(1/$Y462)))</f>
        <v/>
      </c>
      <c r="AF462">
        <f>IF($Y462="","",IF($Y462=0,$Z462*EXP($AA462*-3),$Z462*(1+$Y462*$AA462*-3)^(1/$Y462)))</f>
        <v/>
      </c>
      <c r="AG462">
        <f>IF($W462="","",IFERROR(INDEX(IF($T462&lt;=60,est05_l,est519_l),MATCH($W462,IF($T462&lt;=60,est05_k,est519_k),1)),""))</f>
        <v/>
      </c>
      <c r="AH462">
        <f>IF($W462="","",IFERROR(INDEX(IF($T462&lt;=60,est05_m,est519_m),MATCH($W462,IF($T462&lt;=60,est05_k,est519_k),1)),""))</f>
        <v/>
      </c>
      <c r="AI462">
        <f>IF($W462="","",IFERROR(INDEX(IF($T462&lt;=60,est05_s,est519_s),MATCH($W462,IF($T462&lt;=60,est05_k,est519_k),1)),""))</f>
        <v/>
      </c>
      <c r="AJ462">
        <f>IF($W462="","",IFERROR(INDEX(IF($T462&lt;=60,peso05_l,peso510_l),MATCH($W462,IF($T462&lt;=60,peso05_k,peso510_k),1)),""))</f>
        <v/>
      </c>
      <c r="AK462">
        <f>IF($W462="","",IFERROR(INDEX(IF($T462&lt;=60,peso05_m,peso510_m),MATCH($W462,IF($T462&lt;=60,peso05_k,peso510_k),1)),""))</f>
        <v/>
      </c>
      <c r="AL462">
        <f>IF($W462="","",IFERROR(INDEX(IF($T462&lt;=60,peso05_s,peso510_s),MATCH($W462,IF($T462&lt;=60,peso05_k,peso510_k),1)),""))</f>
        <v/>
      </c>
      <c r="AM462">
        <f>IF($AJ462="","",IF($AJ462=0,LN($F462/$AK462)/$AL462,((($F462/$AK462)^$AJ462)-1)/($AJ462*$AL462)))</f>
        <v/>
      </c>
      <c r="AN462">
        <f>IF($AJ462="","",IF($AJ462=0,$AK462*EXP($AL462*2),$AK462*(1+$AJ462*$AL462*2)^(1/$AJ462)))</f>
        <v/>
      </c>
      <c r="AO462">
        <f>IF($AJ462="","",IF($AJ462=0,$AK462*EXP($AL462*3),$AK462*(1+$AJ462*$AL462*3)^(1/$AJ462)))</f>
        <v/>
      </c>
      <c r="AP462">
        <f>IF($AJ462="","",IF($AJ462=0,$AK462*EXP($AL462*-2),$AK462*(1+$AJ462*$AL462*-2)^(1/$AJ462)))</f>
        <v/>
      </c>
      <c r="AQ462">
        <f>IF($AJ462="","",IF($AJ462=0,$AK462*EXP($AL462*-3),$AK462*(1+$AJ462*$AL462*-3)^(1/$AJ462)))</f>
        <v/>
      </c>
      <c r="AR462">
        <f>IF(OR($X462="",$T462&gt;60),"",IFERROR(INDEX(IF($T462&lt;24,pcomp_l,palt_l),MATCH($X462,IF($T462&lt;24,pcomp_k,palt_k),1)),""))</f>
        <v/>
      </c>
      <c r="AS462">
        <f>IF(OR($X462="",$T462&gt;60),"",IFERROR(INDEX(IF($T462&lt;24,pcomp_m,palt_m),MATCH($X462,IF($T462&lt;24,pcomp_k,palt_k),1)),""))</f>
        <v/>
      </c>
      <c r="AT462">
        <f>IF(OR($X462="",$T462&gt;60),"",IFERROR(INDEX(IF($T462&lt;24,pcomp_s,palt_s),MATCH($X462,IF($T462&lt;24,pcomp_k,palt_k),1)),""))</f>
        <v/>
      </c>
      <c r="AU462">
        <f>IF($AR462="","",IF($AR462=0,LN($F462/$AS462)/$AT462,((($F462/$AS462)^$AR462)-1)/($AR462*$AT462)))</f>
        <v/>
      </c>
      <c r="AV462">
        <f>IF($AR462="","",IF($AR462=0,$AS462*EXP($AT462*2),$AS462*(1+$AR462*$AT462*2)^(1/$AR462)))</f>
        <v/>
      </c>
      <c r="AW462">
        <f>IF($AR462="","",IF($AR462=0,$AS462*EXP($AT462*3),$AS462*(1+$AR462*$AT462*3)^(1/$AR462)))</f>
        <v/>
      </c>
      <c r="AX462">
        <f>IF($AR462="","",IF($AR462=0,$AS462*EXP($AT462*-2),$AS462*(1+$AR462*$AT462*-2)^(1/$AR462)))</f>
        <v/>
      </c>
      <c r="AY462">
        <f>IF($AR462="","",IF($AR462=0,$AS462*EXP($AT462*-3),$AS462*(1+$AR462*$AT462*-3)^(1/$AR462)))</f>
        <v/>
      </c>
      <c r="AZ462">
        <f>IF(OR($A462="",$A462&lt;&gt;Ficha!$C$4),"",COUNTIF($A$2:$A462,Ficha!$C$4))</f>
        <v/>
      </c>
    </row>
    <row r="463">
      <c r="A463" s="8">
        <f>IF(INDEX(Banco!$A:$A,ROW())="","",INDEX(Banco!$A:$A,ROW()))</f>
        <v/>
      </c>
      <c r="B463" s="8">
        <f>IF(INDEX(Banco!$B:$B,ROW())="","",INDEX(Banco!$B:$B,ROW()))</f>
        <v/>
      </c>
      <c r="C463" s="8">
        <f>IF(INDEX(Banco!$C:$C,ROW())="","",INDEX(Banco!$C:$C,ROW()))</f>
        <v/>
      </c>
      <c r="D463" s="9">
        <f>IF(INDEX(Banco!$D:$D,ROW())="","",INDEX(Banco!$D:$D,ROW()))</f>
        <v/>
      </c>
      <c r="E463" s="9">
        <f>IF(INDEX(Banco!$E:$E,ROW())="","",INDEX(Banco!$E:$E,ROW()))</f>
        <v/>
      </c>
      <c r="F463" s="10">
        <f>IF(INDEX(Banco!$F:$F,ROW())="","",INDEX(Banco!$F:$F,ROW()))</f>
        <v/>
      </c>
      <c r="G463" s="10">
        <f>IF(INDEX(Banco!$G:$G,ROW())="","",INDEX(Banco!$G:$G,ROW()))</f>
        <v/>
      </c>
      <c r="H463" s="8">
        <f>IF(INDEX(Banco!$H:$H,ROW())="","",INDEX(Banco!$H:$H,ROW()))</f>
        <v/>
      </c>
      <c r="I463">
        <f>IF($T463="","",INT($T463/12)&amp;"a "&amp;MOD($T463,12)&amp;"m")</f>
        <v/>
      </c>
      <c r="J463" s="11">
        <f>IF(OR($F463="",$G463=""),"",ROUND($F463/($G463/100)^2,2))</f>
        <v/>
      </c>
      <c r="K463" s="12">
        <f>IF(OR($S463="",$J463="",$T463="",$T463&lt;0,$T463&gt;228,$Y463=""),"—",ROUND(IF(ABS($AB463)&lt;=3,$AB463,IF($AB463&gt;3,3+($J463-$AD463)/($AD463-$AC463),-3+($J463-$AF463)/($AE463-$AF463))),2))</f>
        <v/>
      </c>
      <c r="L463">
        <f>IF(OR($K463="",$K463="—"),"",IF($T463&lt;=60,IF($K463&lt;-3,"Magreza acentuada",IF($K463&lt;-2,"Magreza",IF($K463&lt;=1,"Eutrofia",IF($K463&lt;=2,"Risco de sobrepeso",IF($K463&lt;=3,"Sobrepeso","Obesidade"))))),IF($K463&lt;-3,"Magreza acentuada",IF($K463&lt;-2,"Magreza",IF($K463&lt;=1,"Eutrofia",IF($K463&lt;=2,"Sobrepeso",IF($K463&lt;=3,"Obesidade","Obesidade grave")))))))</f>
        <v/>
      </c>
      <c r="M463" s="12">
        <f>IF(OR($S463="",$V463="",$T463="",$T463&lt;0,$T463&gt;228,$AG463=""),"—",ROUND(IF($AG463=0,LN($V463/$AH463)/$AI463,((($V463/$AH463)^$AG463)-1)/($AG463*$AI463)),2))</f>
        <v/>
      </c>
      <c r="N463">
        <f>IF(OR($M463="",$M463="—"),"",IF($M463&lt;-3,"Muito baixa",IF($M463&lt;-2,"Baixa","Adequada")))</f>
        <v/>
      </c>
      <c r="O463" s="12">
        <f>IF(OR($S463="",$F463="",$T463="",$T463&lt;0,$T463&gt;120,$AJ463=""),"—",ROUND(IF(ABS($AM463)&lt;=3,$AM463,IF($AM463&gt;3,3+($F463-$AO463)/($AO463-$AN463),-3+($F463-$AQ463)/($AP463-$AQ463))),2))</f>
        <v/>
      </c>
      <c r="P463">
        <f>IF(OR($O463="",$O463="—"),"",IF($O463&lt;-3,"Muito baixo",IF($O463&lt;-2,"Baixo",IF($O463&lt;=2,"Adequado","Elevado"))))</f>
        <v/>
      </c>
      <c r="Q463" s="12">
        <f>IF(OR($S463="",$F463="",$T463="",$T463&lt;0,$T463&gt;60,$AR463=""),"—",ROUND(IF(ABS($AU463)&lt;=3,$AU463,IF($AU463&gt;3,3+($F463-$AW463)/($AW463-$AV463),-3+($F463-$AY463)/($AX463-$AY463))),2))</f>
        <v/>
      </c>
      <c r="R463">
        <f>IF(OR($Q463="",$Q463="—"),"",IF($Q463&lt;-3,"Magreza acentuada",IF($Q463&lt;-2,"Magreza",IF($Q463&lt;=1,"Eutrofia",IF($Q463&lt;=2,"Risco de sobrepeso",IF($Q463&lt;=3,"Sobrepeso","Obesidade"))))))</f>
        <v/>
      </c>
      <c r="S463">
        <f>IF($C463="","",IF(UPPER(LEFT($C463,1))="M",1,IF(UPPER(LEFT($C463,1))="F",2,"")))</f>
        <v/>
      </c>
      <c r="T463">
        <f>IF(OR($D463="",$E463=""),"",DATEDIF($D463,$E463,"m"))</f>
        <v/>
      </c>
      <c r="U463">
        <f>IF(OR($D463="",$E463=""),"",$E463-$D463)</f>
        <v/>
      </c>
      <c r="V463">
        <f>IF(OR($G463="",$T463=""),"",IF($T463&lt;24,IF(LEFT(LOWER($H463),4)="em p",$G463+0.7,$G463),IF(LEFT(LOWER($H463),4)="deit",$G463-0.7,$G463)))</f>
        <v/>
      </c>
      <c r="W463">
        <f>IF(OR($S463="",$T463=""),"",$S463*1000000+IF($T463&lt;=60,$U463,$T463))</f>
        <v/>
      </c>
      <c r="X463">
        <f>IF(OR($S463="",$V463="",$T463&gt;60,$T463=""),"",$S463*1000000+ROUND($V463*10,0))</f>
        <v/>
      </c>
      <c r="Y463">
        <f>IF($W463="","",IFERROR(INDEX(IF($T463&lt;=60,imc05_l,imc519_l),MATCH($W463,IF($T463&lt;=60,imc05_k,imc519_k),1)),""))</f>
        <v/>
      </c>
      <c r="Z463">
        <f>IF($W463="","",IFERROR(INDEX(IF($T463&lt;=60,imc05_m,imc519_m),MATCH($W463,IF($T463&lt;=60,imc05_k,imc519_k),1)),""))</f>
        <v/>
      </c>
      <c r="AA463">
        <f>IF($W463="","",IFERROR(INDEX(IF($T463&lt;=60,imc05_s,imc519_s),MATCH($W463,IF($T463&lt;=60,imc05_k,imc519_k),1)),""))</f>
        <v/>
      </c>
      <c r="AB463">
        <f>IF($Y463="","",IF($Y463=0,LN($J463/$Z463)/$AA463,((($J463/$Z463)^$Y463)-1)/($Y463*$AA463)))</f>
        <v/>
      </c>
      <c r="AC463">
        <f>IF($Y463="","",IF($Y463=0,$Z463*EXP($AA463*2),$Z463*(1+$Y463*$AA463*2)^(1/$Y463)))</f>
        <v/>
      </c>
      <c r="AD463">
        <f>IF($Y463="","",IF($Y463=0,$Z463*EXP($AA463*3),$Z463*(1+$Y463*$AA463*3)^(1/$Y463)))</f>
        <v/>
      </c>
      <c r="AE463">
        <f>IF($Y463="","",IF($Y463=0,$Z463*EXP($AA463*-2),$Z463*(1+$Y463*$AA463*-2)^(1/$Y463)))</f>
        <v/>
      </c>
      <c r="AF463">
        <f>IF($Y463="","",IF($Y463=0,$Z463*EXP($AA463*-3),$Z463*(1+$Y463*$AA463*-3)^(1/$Y463)))</f>
        <v/>
      </c>
      <c r="AG463">
        <f>IF($W463="","",IFERROR(INDEX(IF($T463&lt;=60,est05_l,est519_l),MATCH($W463,IF($T463&lt;=60,est05_k,est519_k),1)),""))</f>
        <v/>
      </c>
      <c r="AH463">
        <f>IF($W463="","",IFERROR(INDEX(IF($T463&lt;=60,est05_m,est519_m),MATCH($W463,IF($T463&lt;=60,est05_k,est519_k),1)),""))</f>
        <v/>
      </c>
      <c r="AI463">
        <f>IF($W463="","",IFERROR(INDEX(IF($T463&lt;=60,est05_s,est519_s),MATCH($W463,IF($T463&lt;=60,est05_k,est519_k),1)),""))</f>
        <v/>
      </c>
      <c r="AJ463">
        <f>IF($W463="","",IFERROR(INDEX(IF($T463&lt;=60,peso05_l,peso510_l),MATCH($W463,IF($T463&lt;=60,peso05_k,peso510_k),1)),""))</f>
        <v/>
      </c>
      <c r="AK463">
        <f>IF($W463="","",IFERROR(INDEX(IF($T463&lt;=60,peso05_m,peso510_m),MATCH($W463,IF($T463&lt;=60,peso05_k,peso510_k),1)),""))</f>
        <v/>
      </c>
      <c r="AL463">
        <f>IF($W463="","",IFERROR(INDEX(IF($T463&lt;=60,peso05_s,peso510_s),MATCH($W463,IF($T463&lt;=60,peso05_k,peso510_k),1)),""))</f>
        <v/>
      </c>
      <c r="AM463">
        <f>IF($AJ463="","",IF($AJ463=0,LN($F463/$AK463)/$AL463,((($F463/$AK463)^$AJ463)-1)/($AJ463*$AL463)))</f>
        <v/>
      </c>
      <c r="AN463">
        <f>IF($AJ463="","",IF($AJ463=0,$AK463*EXP($AL463*2),$AK463*(1+$AJ463*$AL463*2)^(1/$AJ463)))</f>
        <v/>
      </c>
      <c r="AO463">
        <f>IF($AJ463="","",IF($AJ463=0,$AK463*EXP($AL463*3),$AK463*(1+$AJ463*$AL463*3)^(1/$AJ463)))</f>
        <v/>
      </c>
      <c r="AP463">
        <f>IF($AJ463="","",IF($AJ463=0,$AK463*EXP($AL463*-2),$AK463*(1+$AJ463*$AL463*-2)^(1/$AJ463)))</f>
        <v/>
      </c>
      <c r="AQ463">
        <f>IF($AJ463="","",IF($AJ463=0,$AK463*EXP($AL463*-3),$AK463*(1+$AJ463*$AL463*-3)^(1/$AJ463)))</f>
        <v/>
      </c>
      <c r="AR463">
        <f>IF(OR($X463="",$T463&gt;60),"",IFERROR(INDEX(IF($T463&lt;24,pcomp_l,palt_l),MATCH($X463,IF($T463&lt;24,pcomp_k,palt_k),1)),""))</f>
        <v/>
      </c>
      <c r="AS463">
        <f>IF(OR($X463="",$T463&gt;60),"",IFERROR(INDEX(IF($T463&lt;24,pcomp_m,palt_m),MATCH($X463,IF($T463&lt;24,pcomp_k,palt_k),1)),""))</f>
        <v/>
      </c>
      <c r="AT463">
        <f>IF(OR($X463="",$T463&gt;60),"",IFERROR(INDEX(IF($T463&lt;24,pcomp_s,palt_s),MATCH($X463,IF($T463&lt;24,pcomp_k,palt_k),1)),""))</f>
        <v/>
      </c>
      <c r="AU463">
        <f>IF($AR463="","",IF($AR463=0,LN($F463/$AS463)/$AT463,((($F463/$AS463)^$AR463)-1)/($AR463*$AT463)))</f>
        <v/>
      </c>
      <c r="AV463">
        <f>IF($AR463="","",IF($AR463=0,$AS463*EXP($AT463*2),$AS463*(1+$AR463*$AT463*2)^(1/$AR463)))</f>
        <v/>
      </c>
      <c r="AW463">
        <f>IF($AR463="","",IF($AR463=0,$AS463*EXP($AT463*3),$AS463*(1+$AR463*$AT463*3)^(1/$AR463)))</f>
        <v/>
      </c>
      <c r="AX463">
        <f>IF($AR463="","",IF($AR463=0,$AS463*EXP($AT463*-2),$AS463*(1+$AR463*$AT463*-2)^(1/$AR463)))</f>
        <v/>
      </c>
      <c r="AY463">
        <f>IF($AR463="","",IF($AR463=0,$AS463*EXP($AT463*-3),$AS463*(1+$AR463*$AT463*-3)^(1/$AR463)))</f>
        <v/>
      </c>
      <c r="AZ463">
        <f>IF(OR($A463="",$A463&lt;&gt;Ficha!$C$4),"",COUNTIF($A$2:$A463,Ficha!$C$4))</f>
        <v/>
      </c>
    </row>
    <row r="464">
      <c r="A464" s="8">
        <f>IF(INDEX(Banco!$A:$A,ROW())="","",INDEX(Banco!$A:$A,ROW()))</f>
        <v/>
      </c>
      <c r="B464" s="8">
        <f>IF(INDEX(Banco!$B:$B,ROW())="","",INDEX(Banco!$B:$B,ROW()))</f>
        <v/>
      </c>
      <c r="C464" s="8">
        <f>IF(INDEX(Banco!$C:$C,ROW())="","",INDEX(Banco!$C:$C,ROW()))</f>
        <v/>
      </c>
      <c r="D464" s="9">
        <f>IF(INDEX(Banco!$D:$D,ROW())="","",INDEX(Banco!$D:$D,ROW()))</f>
        <v/>
      </c>
      <c r="E464" s="9">
        <f>IF(INDEX(Banco!$E:$E,ROW())="","",INDEX(Banco!$E:$E,ROW()))</f>
        <v/>
      </c>
      <c r="F464" s="10">
        <f>IF(INDEX(Banco!$F:$F,ROW())="","",INDEX(Banco!$F:$F,ROW()))</f>
        <v/>
      </c>
      <c r="G464" s="10">
        <f>IF(INDEX(Banco!$G:$G,ROW())="","",INDEX(Banco!$G:$G,ROW()))</f>
        <v/>
      </c>
      <c r="H464" s="8">
        <f>IF(INDEX(Banco!$H:$H,ROW())="","",INDEX(Banco!$H:$H,ROW()))</f>
        <v/>
      </c>
      <c r="I464">
        <f>IF($T464="","",INT($T464/12)&amp;"a "&amp;MOD($T464,12)&amp;"m")</f>
        <v/>
      </c>
      <c r="J464" s="11">
        <f>IF(OR($F464="",$G464=""),"",ROUND($F464/($G464/100)^2,2))</f>
        <v/>
      </c>
      <c r="K464" s="12">
        <f>IF(OR($S464="",$J464="",$T464="",$T464&lt;0,$T464&gt;228,$Y464=""),"—",ROUND(IF(ABS($AB464)&lt;=3,$AB464,IF($AB464&gt;3,3+($J464-$AD464)/($AD464-$AC464),-3+($J464-$AF464)/($AE464-$AF464))),2))</f>
        <v/>
      </c>
      <c r="L464">
        <f>IF(OR($K464="",$K464="—"),"",IF($T464&lt;=60,IF($K464&lt;-3,"Magreza acentuada",IF($K464&lt;-2,"Magreza",IF($K464&lt;=1,"Eutrofia",IF($K464&lt;=2,"Risco de sobrepeso",IF($K464&lt;=3,"Sobrepeso","Obesidade"))))),IF($K464&lt;-3,"Magreza acentuada",IF($K464&lt;-2,"Magreza",IF($K464&lt;=1,"Eutrofia",IF($K464&lt;=2,"Sobrepeso",IF($K464&lt;=3,"Obesidade","Obesidade grave")))))))</f>
        <v/>
      </c>
      <c r="M464" s="12">
        <f>IF(OR($S464="",$V464="",$T464="",$T464&lt;0,$T464&gt;228,$AG464=""),"—",ROUND(IF($AG464=0,LN($V464/$AH464)/$AI464,((($V464/$AH464)^$AG464)-1)/($AG464*$AI464)),2))</f>
        <v/>
      </c>
      <c r="N464">
        <f>IF(OR($M464="",$M464="—"),"",IF($M464&lt;-3,"Muito baixa",IF($M464&lt;-2,"Baixa","Adequada")))</f>
        <v/>
      </c>
      <c r="O464" s="12">
        <f>IF(OR($S464="",$F464="",$T464="",$T464&lt;0,$T464&gt;120,$AJ464=""),"—",ROUND(IF(ABS($AM464)&lt;=3,$AM464,IF($AM464&gt;3,3+($F464-$AO464)/($AO464-$AN464),-3+($F464-$AQ464)/($AP464-$AQ464))),2))</f>
        <v/>
      </c>
      <c r="P464">
        <f>IF(OR($O464="",$O464="—"),"",IF($O464&lt;-3,"Muito baixo",IF($O464&lt;-2,"Baixo",IF($O464&lt;=2,"Adequado","Elevado"))))</f>
        <v/>
      </c>
      <c r="Q464" s="12">
        <f>IF(OR($S464="",$F464="",$T464="",$T464&lt;0,$T464&gt;60,$AR464=""),"—",ROUND(IF(ABS($AU464)&lt;=3,$AU464,IF($AU464&gt;3,3+($F464-$AW464)/($AW464-$AV464),-3+($F464-$AY464)/($AX464-$AY464))),2))</f>
        <v/>
      </c>
      <c r="R464">
        <f>IF(OR($Q464="",$Q464="—"),"",IF($Q464&lt;-3,"Magreza acentuada",IF($Q464&lt;-2,"Magreza",IF($Q464&lt;=1,"Eutrofia",IF($Q464&lt;=2,"Risco de sobrepeso",IF($Q464&lt;=3,"Sobrepeso","Obesidade"))))))</f>
        <v/>
      </c>
      <c r="S464">
        <f>IF($C464="","",IF(UPPER(LEFT($C464,1))="M",1,IF(UPPER(LEFT($C464,1))="F",2,"")))</f>
        <v/>
      </c>
      <c r="T464">
        <f>IF(OR($D464="",$E464=""),"",DATEDIF($D464,$E464,"m"))</f>
        <v/>
      </c>
      <c r="U464">
        <f>IF(OR($D464="",$E464=""),"",$E464-$D464)</f>
        <v/>
      </c>
      <c r="V464">
        <f>IF(OR($G464="",$T464=""),"",IF($T464&lt;24,IF(LEFT(LOWER($H464),4)="em p",$G464+0.7,$G464),IF(LEFT(LOWER($H464),4)="deit",$G464-0.7,$G464)))</f>
        <v/>
      </c>
      <c r="W464">
        <f>IF(OR($S464="",$T464=""),"",$S464*1000000+IF($T464&lt;=60,$U464,$T464))</f>
        <v/>
      </c>
      <c r="X464">
        <f>IF(OR($S464="",$V464="",$T464&gt;60,$T464=""),"",$S464*1000000+ROUND($V464*10,0))</f>
        <v/>
      </c>
      <c r="Y464">
        <f>IF($W464="","",IFERROR(INDEX(IF($T464&lt;=60,imc05_l,imc519_l),MATCH($W464,IF($T464&lt;=60,imc05_k,imc519_k),1)),""))</f>
        <v/>
      </c>
      <c r="Z464">
        <f>IF($W464="","",IFERROR(INDEX(IF($T464&lt;=60,imc05_m,imc519_m),MATCH($W464,IF($T464&lt;=60,imc05_k,imc519_k),1)),""))</f>
        <v/>
      </c>
      <c r="AA464">
        <f>IF($W464="","",IFERROR(INDEX(IF($T464&lt;=60,imc05_s,imc519_s),MATCH($W464,IF($T464&lt;=60,imc05_k,imc519_k),1)),""))</f>
        <v/>
      </c>
      <c r="AB464">
        <f>IF($Y464="","",IF($Y464=0,LN($J464/$Z464)/$AA464,((($J464/$Z464)^$Y464)-1)/($Y464*$AA464)))</f>
        <v/>
      </c>
      <c r="AC464">
        <f>IF($Y464="","",IF($Y464=0,$Z464*EXP($AA464*2),$Z464*(1+$Y464*$AA464*2)^(1/$Y464)))</f>
        <v/>
      </c>
      <c r="AD464">
        <f>IF($Y464="","",IF($Y464=0,$Z464*EXP($AA464*3),$Z464*(1+$Y464*$AA464*3)^(1/$Y464)))</f>
        <v/>
      </c>
      <c r="AE464">
        <f>IF($Y464="","",IF($Y464=0,$Z464*EXP($AA464*-2),$Z464*(1+$Y464*$AA464*-2)^(1/$Y464)))</f>
        <v/>
      </c>
      <c r="AF464">
        <f>IF($Y464="","",IF($Y464=0,$Z464*EXP($AA464*-3),$Z464*(1+$Y464*$AA464*-3)^(1/$Y464)))</f>
        <v/>
      </c>
      <c r="AG464">
        <f>IF($W464="","",IFERROR(INDEX(IF($T464&lt;=60,est05_l,est519_l),MATCH($W464,IF($T464&lt;=60,est05_k,est519_k),1)),""))</f>
        <v/>
      </c>
      <c r="AH464">
        <f>IF($W464="","",IFERROR(INDEX(IF($T464&lt;=60,est05_m,est519_m),MATCH($W464,IF($T464&lt;=60,est05_k,est519_k),1)),""))</f>
        <v/>
      </c>
      <c r="AI464">
        <f>IF($W464="","",IFERROR(INDEX(IF($T464&lt;=60,est05_s,est519_s),MATCH($W464,IF($T464&lt;=60,est05_k,est519_k),1)),""))</f>
        <v/>
      </c>
      <c r="AJ464">
        <f>IF($W464="","",IFERROR(INDEX(IF($T464&lt;=60,peso05_l,peso510_l),MATCH($W464,IF($T464&lt;=60,peso05_k,peso510_k),1)),""))</f>
        <v/>
      </c>
      <c r="AK464">
        <f>IF($W464="","",IFERROR(INDEX(IF($T464&lt;=60,peso05_m,peso510_m),MATCH($W464,IF($T464&lt;=60,peso05_k,peso510_k),1)),""))</f>
        <v/>
      </c>
      <c r="AL464">
        <f>IF($W464="","",IFERROR(INDEX(IF($T464&lt;=60,peso05_s,peso510_s),MATCH($W464,IF($T464&lt;=60,peso05_k,peso510_k),1)),""))</f>
        <v/>
      </c>
      <c r="AM464">
        <f>IF($AJ464="","",IF($AJ464=0,LN($F464/$AK464)/$AL464,((($F464/$AK464)^$AJ464)-1)/($AJ464*$AL464)))</f>
        <v/>
      </c>
      <c r="AN464">
        <f>IF($AJ464="","",IF($AJ464=0,$AK464*EXP($AL464*2),$AK464*(1+$AJ464*$AL464*2)^(1/$AJ464)))</f>
        <v/>
      </c>
      <c r="AO464">
        <f>IF($AJ464="","",IF($AJ464=0,$AK464*EXP($AL464*3),$AK464*(1+$AJ464*$AL464*3)^(1/$AJ464)))</f>
        <v/>
      </c>
      <c r="AP464">
        <f>IF($AJ464="","",IF($AJ464=0,$AK464*EXP($AL464*-2),$AK464*(1+$AJ464*$AL464*-2)^(1/$AJ464)))</f>
        <v/>
      </c>
      <c r="AQ464">
        <f>IF($AJ464="","",IF($AJ464=0,$AK464*EXP($AL464*-3),$AK464*(1+$AJ464*$AL464*-3)^(1/$AJ464)))</f>
        <v/>
      </c>
      <c r="AR464">
        <f>IF(OR($X464="",$T464&gt;60),"",IFERROR(INDEX(IF($T464&lt;24,pcomp_l,palt_l),MATCH($X464,IF($T464&lt;24,pcomp_k,palt_k),1)),""))</f>
        <v/>
      </c>
      <c r="AS464">
        <f>IF(OR($X464="",$T464&gt;60),"",IFERROR(INDEX(IF($T464&lt;24,pcomp_m,palt_m),MATCH($X464,IF($T464&lt;24,pcomp_k,palt_k),1)),""))</f>
        <v/>
      </c>
      <c r="AT464">
        <f>IF(OR($X464="",$T464&gt;60),"",IFERROR(INDEX(IF($T464&lt;24,pcomp_s,palt_s),MATCH($X464,IF($T464&lt;24,pcomp_k,palt_k),1)),""))</f>
        <v/>
      </c>
      <c r="AU464">
        <f>IF($AR464="","",IF($AR464=0,LN($F464/$AS464)/$AT464,((($F464/$AS464)^$AR464)-1)/($AR464*$AT464)))</f>
        <v/>
      </c>
      <c r="AV464">
        <f>IF($AR464="","",IF($AR464=0,$AS464*EXP($AT464*2),$AS464*(1+$AR464*$AT464*2)^(1/$AR464)))</f>
        <v/>
      </c>
      <c r="AW464">
        <f>IF($AR464="","",IF($AR464=0,$AS464*EXP($AT464*3),$AS464*(1+$AR464*$AT464*3)^(1/$AR464)))</f>
        <v/>
      </c>
      <c r="AX464">
        <f>IF($AR464="","",IF($AR464=0,$AS464*EXP($AT464*-2),$AS464*(1+$AR464*$AT464*-2)^(1/$AR464)))</f>
        <v/>
      </c>
      <c r="AY464">
        <f>IF($AR464="","",IF($AR464=0,$AS464*EXP($AT464*-3),$AS464*(1+$AR464*$AT464*-3)^(1/$AR464)))</f>
        <v/>
      </c>
      <c r="AZ464">
        <f>IF(OR($A464="",$A464&lt;&gt;Ficha!$C$4),"",COUNTIF($A$2:$A464,Ficha!$C$4))</f>
        <v/>
      </c>
    </row>
    <row r="465">
      <c r="A465" s="8">
        <f>IF(INDEX(Banco!$A:$A,ROW())="","",INDEX(Banco!$A:$A,ROW()))</f>
        <v/>
      </c>
      <c r="B465" s="8">
        <f>IF(INDEX(Banco!$B:$B,ROW())="","",INDEX(Banco!$B:$B,ROW()))</f>
        <v/>
      </c>
      <c r="C465" s="8">
        <f>IF(INDEX(Banco!$C:$C,ROW())="","",INDEX(Banco!$C:$C,ROW()))</f>
        <v/>
      </c>
      <c r="D465" s="9">
        <f>IF(INDEX(Banco!$D:$D,ROW())="","",INDEX(Banco!$D:$D,ROW()))</f>
        <v/>
      </c>
      <c r="E465" s="9">
        <f>IF(INDEX(Banco!$E:$E,ROW())="","",INDEX(Banco!$E:$E,ROW()))</f>
        <v/>
      </c>
      <c r="F465" s="10">
        <f>IF(INDEX(Banco!$F:$F,ROW())="","",INDEX(Banco!$F:$F,ROW()))</f>
        <v/>
      </c>
      <c r="G465" s="10">
        <f>IF(INDEX(Banco!$G:$G,ROW())="","",INDEX(Banco!$G:$G,ROW()))</f>
        <v/>
      </c>
      <c r="H465" s="8">
        <f>IF(INDEX(Banco!$H:$H,ROW())="","",INDEX(Banco!$H:$H,ROW()))</f>
        <v/>
      </c>
      <c r="I465">
        <f>IF($T465="","",INT($T465/12)&amp;"a "&amp;MOD($T465,12)&amp;"m")</f>
        <v/>
      </c>
      <c r="J465" s="11">
        <f>IF(OR($F465="",$G465=""),"",ROUND($F465/($G465/100)^2,2))</f>
        <v/>
      </c>
      <c r="K465" s="12">
        <f>IF(OR($S465="",$J465="",$T465="",$T465&lt;0,$T465&gt;228,$Y465=""),"—",ROUND(IF(ABS($AB465)&lt;=3,$AB465,IF($AB465&gt;3,3+($J465-$AD465)/($AD465-$AC465),-3+($J465-$AF465)/($AE465-$AF465))),2))</f>
        <v/>
      </c>
      <c r="L465">
        <f>IF(OR($K465="",$K465="—"),"",IF($T465&lt;=60,IF($K465&lt;-3,"Magreza acentuada",IF($K465&lt;-2,"Magreza",IF($K465&lt;=1,"Eutrofia",IF($K465&lt;=2,"Risco de sobrepeso",IF($K465&lt;=3,"Sobrepeso","Obesidade"))))),IF($K465&lt;-3,"Magreza acentuada",IF($K465&lt;-2,"Magreza",IF($K465&lt;=1,"Eutrofia",IF($K465&lt;=2,"Sobrepeso",IF($K465&lt;=3,"Obesidade","Obesidade grave")))))))</f>
        <v/>
      </c>
      <c r="M465" s="12">
        <f>IF(OR($S465="",$V465="",$T465="",$T465&lt;0,$T465&gt;228,$AG465=""),"—",ROUND(IF($AG465=0,LN($V465/$AH465)/$AI465,((($V465/$AH465)^$AG465)-1)/($AG465*$AI465)),2))</f>
        <v/>
      </c>
      <c r="N465">
        <f>IF(OR($M465="",$M465="—"),"",IF($M465&lt;-3,"Muito baixa",IF($M465&lt;-2,"Baixa","Adequada")))</f>
        <v/>
      </c>
      <c r="O465" s="12">
        <f>IF(OR($S465="",$F465="",$T465="",$T465&lt;0,$T465&gt;120,$AJ465=""),"—",ROUND(IF(ABS($AM465)&lt;=3,$AM465,IF($AM465&gt;3,3+($F465-$AO465)/($AO465-$AN465),-3+($F465-$AQ465)/($AP465-$AQ465))),2))</f>
        <v/>
      </c>
      <c r="P465">
        <f>IF(OR($O465="",$O465="—"),"",IF($O465&lt;-3,"Muito baixo",IF($O465&lt;-2,"Baixo",IF($O465&lt;=2,"Adequado","Elevado"))))</f>
        <v/>
      </c>
      <c r="Q465" s="12">
        <f>IF(OR($S465="",$F465="",$T465="",$T465&lt;0,$T465&gt;60,$AR465=""),"—",ROUND(IF(ABS($AU465)&lt;=3,$AU465,IF($AU465&gt;3,3+($F465-$AW465)/($AW465-$AV465),-3+($F465-$AY465)/($AX465-$AY465))),2))</f>
        <v/>
      </c>
      <c r="R465">
        <f>IF(OR($Q465="",$Q465="—"),"",IF($Q465&lt;-3,"Magreza acentuada",IF($Q465&lt;-2,"Magreza",IF($Q465&lt;=1,"Eutrofia",IF($Q465&lt;=2,"Risco de sobrepeso",IF($Q465&lt;=3,"Sobrepeso","Obesidade"))))))</f>
        <v/>
      </c>
      <c r="S465">
        <f>IF($C465="","",IF(UPPER(LEFT($C465,1))="M",1,IF(UPPER(LEFT($C465,1))="F",2,"")))</f>
        <v/>
      </c>
      <c r="T465">
        <f>IF(OR($D465="",$E465=""),"",DATEDIF($D465,$E465,"m"))</f>
        <v/>
      </c>
      <c r="U465">
        <f>IF(OR($D465="",$E465=""),"",$E465-$D465)</f>
        <v/>
      </c>
      <c r="V465">
        <f>IF(OR($G465="",$T465=""),"",IF($T465&lt;24,IF(LEFT(LOWER($H465),4)="em p",$G465+0.7,$G465),IF(LEFT(LOWER($H465),4)="deit",$G465-0.7,$G465)))</f>
        <v/>
      </c>
      <c r="W465">
        <f>IF(OR($S465="",$T465=""),"",$S465*1000000+IF($T465&lt;=60,$U465,$T465))</f>
        <v/>
      </c>
      <c r="X465">
        <f>IF(OR($S465="",$V465="",$T465&gt;60,$T465=""),"",$S465*1000000+ROUND($V465*10,0))</f>
        <v/>
      </c>
      <c r="Y465">
        <f>IF($W465="","",IFERROR(INDEX(IF($T465&lt;=60,imc05_l,imc519_l),MATCH($W465,IF($T465&lt;=60,imc05_k,imc519_k),1)),""))</f>
        <v/>
      </c>
      <c r="Z465">
        <f>IF($W465="","",IFERROR(INDEX(IF($T465&lt;=60,imc05_m,imc519_m),MATCH($W465,IF($T465&lt;=60,imc05_k,imc519_k),1)),""))</f>
        <v/>
      </c>
      <c r="AA465">
        <f>IF($W465="","",IFERROR(INDEX(IF($T465&lt;=60,imc05_s,imc519_s),MATCH($W465,IF($T465&lt;=60,imc05_k,imc519_k),1)),""))</f>
        <v/>
      </c>
      <c r="AB465">
        <f>IF($Y465="","",IF($Y465=0,LN($J465/$Z465)/$AA465,((($J465/$Z465)^$Y465)-1)/($Y465*$AA465)))</f>
        <v/>
      </c>
      <c r="AC465">
        <f>IF($Y465="","",IF($Y465=0,$Z465*EXP($AA465*2),$Z465*(1+$Y465*$AA465*2)^(1/$Y465)))</f>
        <v/>
      </c>
      <c r="AD465">
        <f>IF($Y465="","",IF($Y465=0,$Z465*EXP($AA465*3),$Z465*(1+$Y465*$AA465*3)^(1/$Y465)))</f>
        <v/>
      </c>
      <c r="AE465">
        <f>IF($Y465="","",IF($Y465=0,$Z465*EXP($AA465*-2),$Z465*(1+$Y465*$AA465*-2)^(1/$Y465)))</f>
        <v/>
      </c>
      <c r="AF465">
        <f>IF($Y465="","",IF($Y465=0,$Z465*EXP($AA465*-3),$Z465*(1+$Y465*$AA465*-3)^(1/$Y465)))</f>
        <v/>
      </c>
      <c r="AG465">
        <f>IF($W465="","",IFERROR(INDEX(IF($T465&lt;=60,est05_l,est519_l),MATCH($W465,IF($T465&lt;=60,est05_k,est519_k),1)),""))</f>
        <v/>
      </c>
      <c r="AH465">
        <f>IF($W465="","",IFERROR(INDEX(IF($T465&lt;=60,est05_m,est519_m),MATCH($W465,IF($T465&lt;=60,est05_k,est519_k),1)),""))</f>
        <v/>
      </c>
      <c r="AI465">
        <f>IF($W465="","",IFERROR(INDEX(IF($T465&lt;=60,est05_s,est519_s),MATCH($W465,IF($T465&lt;=60,est05_k,est519_k),1)),""))</f>
        <v/>
      </c>
      <c r="AJ465">
        <f>IF($W465="","",IFERROR(INDEX(IF($T465&lt;=60,peso05_l,peso510_l),MATCH($W465,IF($T465&lt;=60,peso05_k,peso510_k),1)),""))</f>
        <v/>
      </c>
      <c r="AK465">
        <f>IF($W465="","",IFERROR(INDEX(IF($T465&lt;=60,peso05_m,peso510_m),MATCH($W465,IF($T465&lt;=60,peso05_k,peso510_k),1)),""))</f>
        <v/>
      </c>
      <c r="AL465">
        <f>IF($W465="","",IFERROR(INDEX(IF($T465&lt;=60,peso05_s,peso510_s),MATCH($W465,IF($T465&lt;=60,peso05_k,peso510_k),1)),""))</f>
        <v/>
      </c>
      <c r="AM465">
        <f>IF($AJ465="","",IF($AJ465=0,LN($F465/$AK465)/$AL465,((($F465/$AK465)^$AJ465)-1)/($AJ465*$AL465)))</f>
        <v/>
      </c>
      <c r="AN465">
        <f>IF($AJ465="","",IF($AJ465=0,$AK465*EXP($AL465*2),$AK465*(1+$AJ465*$AL465*2)^(1/$AJ465)))</f>
        <v/>
      </c>
      <c r="AO465">
        <f>IF($AJ465="","",IF($AJ465=0,$AK465*EXP($AL465*3),$AK465*(1+$AJ465*$AL465*3)^(1/$AJ465)))</f>
        <v/>
      </c>
      <c r="AP465">
        <f>IF($AJ465="","",IF($AJ465=0,$AK465*EXP($AL465*-2),$AK465*(1+$AJ465*$AL465*-2)^(1/$AJ465)))</f>
        <v/>
      </c>
      <c r="AQ465">
        <f>IF($AJ465="","",IF($AJ465=0,$AK465*EXP($AL465*-3),$AK465*(1+$AJ465*$AL465*-3)^(1/$AJ465)))</f>
        <v/>
      </c>
      <c r="AR465">
        <f>IF(OR($X465="",$T465&gt;60),"",IFERROR(INDEX(IF($T465&lt;24,pcomp_l,palt_l),MATCH($X465,IF($T465&lt;24,pcomp_k,palt_k),1)),""))</f>
        <v/>
      </c>
      <c r="AS465">
        <f>IF(OR($X465="",$T465&gt;60),"",IFERROR(INDEX(IF($T465&lt;24,pcomp_m,palt_m),MATCH($X465,IF($T465&lt;24,pcomp_k,palt_k),1)),""))</f>
        <v/>
      </c>
      <c r="AT465">
        <f>IF(OR($X465="",$T465&gt;60),"",IFERROR(INDEX(IF($T465&lt;24,pcomp_s,palt_s),MATCH($X465,IF($T465&lt;24,pcomp_k,palt_k),1)),""))</f>
        <v/>
      </c>
      <c r="AU465">
        <f>IF($AR465="","",IF($AR465=0,LN($F465/$AS465)/$AT465,((($F465/$AS465)^$AR465)-1)/($AR465*$AT465)))</f>
        <v/>
      </c>
      <c r="AV465">
        <f>IF($AR465="","",IF($AR465=0,$AS465*EXP($AT465*2),$AS465*(1+$AR465*$AT465*2)^(1/$AR465)))</f>
        <v/>
      </c>
      <c r="AW465">
        <f>IF($AR465="","",IF($AR465=0,$AS465*EXP($AT465*3),$AS465*(1+$AR465*$AT465*3)^(1/$AR465)))</f>
        <v/>
      </c>
      <c r="AX465">
        <f>IF($AR465="","",IF($AR465=0,$AS465*EXP($AT465*-2),$AS465*(1+$AR465*$AT465*-2)^(1/$AR465)))</f>
        <v/>
      </c>
      <c r="AY465">
        <f>IF($AR465="","",IF($AR465=0,$AS465*EXP($AT465*-3),$AS465*(1+$AR465*$AT465*-3)^(1/$AR465)))</f>
        <v/>
      </c>
      <c r="AZ465">
        <f>IF(OR($A465="",$A465&lt;&gt;Ficha!$C$4),"",COUNTIF($A$2:$A465,Ficha!$C$4))</f>
        <v/>
      </c>
    </row>
    <row r="466">
      <c r="A466" s="8">
        <f>IF(INDEX(Banco!$A:$A,ROW())="","",INDEX(Banco!$A:$A,ROW()))</f>
        <v/>
      </c>
      <c r="B466" s="8">
        <f>IF(INDEX(Banco!$B:$B,ROW())="","",INDEX(Banco!$B:$B,ROW()))</f>
        <v/>
      </c>
      <c r="C466" s="8">
        <f>IF(INDEX(Banco!$C:$C,ROW())="","",INDEX(Banco!$C:$C,ROW()))</f>
        <v/>
      </c>
      <c r="D466" s="9">
        <f>IF(INDEX(Banco!$D:$D,ROW())="","",INDEX(Banco!$D:$D,ROW()))</f>
        <v/>
      </c>
      <c r="E466" s="9">
        <f>IF(INDEX(Banco!$E:$E,ROW())="","",INDEX(Banco!$E:$E,ROW()))</f>
        <v/>
      </c>
      <c r="F466" s="10">
        <f>IF(INDEX(Banco!$F:$F,ROW())="","",INDEX(Banco!$F:$F,ROW()))</f>
        <v/>
      </c>
      <c r="G466" s="10">
        <f>IF(INDEX(Banco!$G:$G,ROW())="","",INDEX(Banco!$G:$G,ROW()))</f>
        <v/>
      </c>
      <c r="H466" s="8">
        <f>IF(INDEX(Banco!$H:$H,ROW())="","",INDEX(Banco!$H:$H,ROW()))</f>
        <v/>
      </c>
      <c r="I466">
        <f>IF($T466="","",INT($T466/12)&amp;"a "&amp;MOD($T466,12)&amp;"m")</f>
        <v/>
      </c>
      <c r="J466" s="11">
        <f>IF(OR($F466="",$G466=""),"",ROUND($F466/($G466/100)^2,2))</f>
        <v/>
      </c>
      <c r="K466" s="12">
        <f>IF(OR($S466="",$J466="",$T466="",$T466&lt;0,$T466&gt;228,$Y466=""),"—",ROUND(IF(ABS($AB466)&lt;=3,$AB466,IF($AB466&gt;3,3+($J466-$AD466)/($AD466-$AC466),-3+($J466-$AF466)/($AE466-$AF466))),2))</f>
        <v/>
      </c>
      <c r="L466">
        <f>IF(OR($K466="",$K466="—"),"",IF($T466&lt;=60,IF($K466&lt;-3,"Magreza acentuada",IF($K466&lt;-2,"Magreza",IF($K466&lt;=1,"Eutrofia",IF($K466&lt;=2,"Risco de sobrepeso",IF($K466&lt;=3,"Sobrepeso","Obesidade"))))),IF($K466&lt;-3,"Magreza acentuada",IF($K466&lt;-2,"Magreza",IF($K466&lt;=1,"Eutrofia",IF($K466&lt;=2,"Sobrepeso",IF($K466&lt;=3,"Obesidade","Obesidade grave")))))))</f>
        <v/>
      </c>
      <c r="M466" s="12">
        <f>IF(OR($S466="",$V466="",$T466="",$T466&lt;0,$T466&gt;228,$AG466=""),"—",ROUND(IF($AG466=0,LN($V466/$AH466)/$AI466,((($V466/$AH466)^$AG466)-1)/($AG466*$AI466)),2))</f>
        <v/>
      </c>
      <c r="N466">
        <f>IF(OR($M466="",$M466="—"),"",IF($M466&lt;-3,"Muito baixa",IF($M466&lt;-2,"Baixa","Adequada")))</f>
        <v/>
      </c>
      <c r="O466" s="12">
        <f>IF(OR($S466="",$F466="",$T466="",$T466&lt;0,$T466&gt;120,$AJ466=""),"—",ROUND(IF(ABS($AM466)&lt;=3,$AM466,IF($AM466&gt;3,3+($F466-$AO466)/($AO466-$AN466),-3+($F466-$AQ466)/($AP466-$AQ466))),2))</f>
        <v/>
      </c>
      <c r="P466">
        <f>IF(OR($O466="",$O466="—"),"",IF($O466&lt;-3,"Muito baixo",IF($O466&lt;-2,"Baixo",IF($O466&lt;=2,"Adequado","Elevado"))))</f>
        <v/>
      </c>
      <c r="Q466" s="12">
        <f>IF(OR($S466="",$F466="",$T466="",$T466&lt;0,$T466&gt;60,$AR466=""),"—",ROUND(IF(ABS($AU466)&lt;=3,$AU466,IF($AU466&gt;3,3+($F466-$AW466)/($AW466-$AV466),-3+($F466-$AY466)/($AX466-$AY466))),2))</f>
        <v/>
      </c>
      <c r="R466">
        <f>IF(OR($Q466="",$Q466="—"),"",IF($Q466&lt;-3,"Magreza acentuada",IF($Q466&lt;-2,"Magreza",IF($Q466&lt;=1,"Eutrofia",IF($Q466&lt;=2,"Risco de sobrepeso",IF($Q466&lt;=3,"Sobrepeso","Obesidade"))))))</f>
        <v/>
      </c>
      <c r="S466">
        <f>IF($C466="","",IF(UPPER(LEFT($C466,1))="M",1,IF(UPPER(LEFT($C466,1))="F",2,"")))</f>
        <v/>
      </c>
      <c r="T466">
        <f>IF(OR($D466="",$E466=""),"",DATEDIF($D466,$E466,"m"))</f>
        <v/>
      </c>
      <c r="U466">
        <f>IF(OR($D466="",$E466=""),"",$E466-$D466)</f>
        <v/>
      </c>
      <c r="V466">
        <f>IF(OR($G466="",$T466=""),"",IF($T466&lt;24,IF(LEFT(LOWER($H466),4)="em p",$G466+0.7,$G466),IF(LEFT(LOWER($H466),4)="deit",$G466-0.7,$G466)))</f>
        <v/>
      </c>
      <c r="W466">
        <f>IF(OR($S466="",$T466=""),"",$S466*1000000+IF($T466&lt;=60,$U466,$T466))</f>
        <v/>
      </c>
      <c r="X466">
        <f>IF(OR($S466="",$V466="",$T466&gt;60,$T466=""),"",$S466*1000000+ROUND($V466*10,0))</f>
        <v/>
      </c>
      <c r="Y466">
        <f>IF($W466="","",IFERROR(INDEX(IF($T466&lt;=60,imc05_l,imc519_l),MATCH($W466,IF($T466&lt;=60,imc05_k,imc519_k),1)),""))</f>
        <v/>
      </c>
      <c r="Z466">
        <f>IF($W466="","",IFERROR(INDEX(IF($T466&lt;=60,imc05_m,imc519_m),MATCH($W466,IF($T466&lt;=60,imc05_k,imc519_k),1)),""))</f>
        <v/>
      </c>
      <c r="AA466">
        <f>IF($W466="","",IFERROR(INDEX(IF($T466&lt;=60,imc05_s,imc519_s),MATCH($W466,IF($T466&lt;=60,imc05_k,imc519_k),1)),""))</f>
        <v/>
      </c>
      <c r="AB466">
        <f>IF($Y466="","",IF($Y466=0,LN($J466/$Z466)/$AA466,((($J466/$Z466)^$Y466)-1)/($Y466*$AA466)))</f>
        <v/>
      </c>
      <c r="AC466">
        <f>IF($Y466="","",IF($Y466=0,$Z466*EXP($AA466*2),$Z466*(1+$Y466*$AA466*2)^(1/$Y466)))</f>
        <v/>
      </c>
      <c r="AD466">
        <f>IF($Y466="","",IF($Y466=0,$Z466*EXP($AA466*3),$Z466*(1+$Y466*$AA466*3)^(1/$Y466)))</f>
        <v/>
      </c>
      <c r="AE466">
        <f>IF($Y466="","",IF($Y466=0,$Z466*EXP($AA466*-2),$Z466*(1+$Y466*$AA466*-2)^(1/$Y466)))</f>
        <v/>
      </c>
      <c r="AF466">
        <f>IF($Y466="","",IF($Y466=0,$Z466*EXP($AA466*-3),$Z466*(1+$Y466*$AA466*-3)^(1/$Y466)))</f>
        <v/>
      </c>
      <c r="AG466">
        <f>IF($W466="","",IFERROR(INDEX(IF($T466&lt;=60,est05_l,est519_l),MATCH($W466,IF($T466&lt;=60,est05_k,est519_k),1)),""))</f>
        <v/>
      </c>
      <c r="AH466">
        <f>IF($W466="","",IFERROR(INDEX(IF($T466&lt;=60,est05_m,est519_m),MATCH($W466,IF($T466&lt;=60,est05_k,est519_k),1)),""))</f>
        <v/>
      </c>
      <c r="AI466">
        <f>IF($W466="","",IFERROR(INDEX(IF($T466&lt;=60,est05_s,est519_s),MATCH($W466,IF($T466&lt;=60,est05_k,est519_k),1)),""))</f>
        <v/>
      </c>
      <c r="AJ466">
        <f>IF($W466="","",IFERROR(INDEX(IF($T466&lt;=60,peso05_l,peso510_l),MATCH($W466,IF($T466&lt;=60,peso05_k,peso510_k),1)),""))</f>
        <v/>
      </c>
      <c r="AK466">
        <f>IF($W466="","",IFERROR(INDEX(IF($T466&lt;=60,peso05_m,peso510_m),MATCH($W466,IF($T466&lt;=60,peso05_k,peso510_k),1)),""))</f>
        <v/>
      </c>
      <c r="AL466">
        <f>IF($W466="","",IFERROR(INDEX(IF($T466&lt;=60,peso05_s,peso510_s),MATCH($W466,IF($T466&lt;=60,peso05_k,peso510_k),1)),""))</f>
        <v/>
      </c>
      <c r="AM466">
        <f>IF($AJ466="","",IF($AJ466=0,LN($F466/$AK466)/$AL466,((($F466/$AK466)^$AJ466)-1)/($AJ466*$AL466)))</f>
        <v/>
      </c>
      <c r="AN466">
        <f>IF($AJ466="","",IF($AJ466=0,$AK466*EXP($AL466*2),$AK466*(1+$AJ466*$AL466*2)^(1/$AJ466)))</f>
        <v/>
      </c>
      <c r="AO466">
        <f>IF($AJ466="","",IF($AJ466=0,$AK466*EXP($AL466*3),$AK466*(1+$AJ466*$AL466*3)^(1/$AJ466)))</f>
        <v/>
      </c>
      <c r="AP466">
        <f>IF($AJ466="","",IF($AJ466=0,$AK466*EXP($AL466*-2),$AK466*(1+$AJ466*$AL466*-2)^(1/$AJ466)))</f>
        <v/>
      </c>
      <c r="AQ466">
        <f>IF($AJ466="","",IF($AJ466=0,$AK466*EXP($AL466*-3),$AK466*(1+$AJ466*$AL466*-3)^(1/$AJ466)))</f>
        <v/>
      </c>
      <c r="AR466">
        <f>IF(OR($X466="",$T466&gt;60),"",IFERROR(INDEX(IF($T466&lt;24,pcomp_l,palt_l),MATCH($X466,IF($T466&lt;24,pcomp_k,palt_k),1)),""))</f>
        <v/>
      </c>
      <c r="AS466">
        <f>IF(OR($X466="",$T466&gt;60),"",IFERROR(INDEX(IF($T466&lt;24,pcomp_m,palt_m),MATCH($X466,IF($T466&lt;24,pcomp_k,palt_k),1)),""))</f>
        <v/>
      </c>
      <c r="AT466">
        <f>IF(OR($X466="",$T466&gt;60),"",IFERROR(INDEX(IF($T466&lt;24,pcomp_s,palt_s),MATCH($X466,IF($T466&lt;24,pcomp_k,palt_k),1)),""))</f>
        <v/>
      </c>
      <c r="AU466">
        <f>IF($AR466="","",IF($AR466=0,LN($F466/$AS466)/$AT466,((($F466/$AS466)^$AR466)-1)/($AR466*$AT466)))</f>
        <v/>
      </c>
      <c r="AV466">
        <f>IF($AR466="","",IF($AR466=0,$AS466*EXP($AT466*2),$AS466*(1+$AR466*$AT466*2)^(1/$AR466)))</f>
        <v/>
      </c>
      <c r="AW466">
        <f>IF($AR466="","",IF($AR466=0,$AS466*EXP($AT466*3),$AS466*(1+$AR466*$AT466*3)^(1/$AR466)))</f>
        <v/>
      </c>
      <c r="AX466">
        <f>IF($AR466="","",IF($AR466=0,$AS466*EXP($AT466*-2),$AS466*(1+$AR466*$AT466*-2)^(1/$AR466)))</f>
        <v/>
      </c>
      <c r="AY466">
        <f>IF($AR466="","",IF($AR466=0,$AS466*EXP($AT466*-3),$AS466*(1+$AR466*$AT466*-3)^(1/$AR466)))</f>
        <v/>
      </c>
      <c r="AZ466">
        <f>IF(OR($A466="",$A466&lt;&gt;Ficha!$C$4),"",COUNTIF($A$2:$A466,Ficha!$C$4))</f>
        <v/>
      </c>
    </row>
    <row r="467">
      <c r="A467" s="8">
        <f>IF(INDEX(Banco!$A:$A,ROW())="","",INDEX(Banco!$A:$A,ROW()))</f>
        <v/>
      </c>
      <c r="B467" s="8">
        <f>IF(INDEX(Banco!$B:$B,ROW())="","",INDEX(Banco!$B:$B,ROW()))</f>
        <v/>
      </c>
      <c r="C467" s="8">
        <f>IF(INDEX(Banco!$C:$C,ROW())="","",INDEX(Banco!$C:$C,ROW()))</f>
        <v/>
      </c>
      <c r="D467" s="9">
        <f>IF(INDEX(Banco!$D:$D,ROW())="","",INDEX(Banco!$D:$D,ROW()))</f>
        <v/>
      </c>
      <c r="E467" s="9">
        <f>IF(INDEX(Banco!$E:$E,ROW())="","",INDEX(Banco!$E:$E,ROW()))</f>
        <v/>
      </c>
      <c r="F467" s="10">
        <f>IF(INDEX(Banco!$F:$F,ROW())="","",INDEX(Banco!$F:$F,ROW()))</f>
        <v/>
      </c>
      <c r="G467" s="10">
        <f>IF(INDEX(Banco!$G:$G,ROW())="","",INDEX(Banco!$G:$G,ROW()))</f>
        <v/>
      </c>
      <c r="H467" s="8">
        <f>IF(INDEX(Banco!$H:$H,ROW())="","",INDEX(Banco!$H:$H,ROW()))</f>
        <v/>
      </c>
      <c r="I467">
        <f>IF($T467="","",INT($T467/12)&amp;"a "&amp;MOD($T467,12)&amp;"m")</f>
        <v/>
      </c>
      <c r="J467" s="11">
        <f>IF(OR($F467="",$G467=""),"",ROUND($F467/($G467/100)^2,2))</f>
        <v/>
      </c>
      <c r="K467" s="12">
        <f>IF(OR($S467="",$J467="",$T467="",$T467&lt;0,$T467&gt;228,$Y467=""),"—",ROUND(IF(ABS($AB467)&lt;=3,$AB467,IF($AB467&gt;3,3+($J467-$AD467)/($AD467-$AC467),-3+($J467-$AF467)/($AE467-$AF467))),2))</f>
        <v/>
      </c>
      <c r="L467">
        <f>IF(OR($K467="",$K467="—"),"",IF($T467&lt;=60,IF($K467&lt;-3,"Magreza acentuada",IF($K467&lt;-2,"Magreza",IF($K467&lt;=1,"Eutrofia",IF($K467&lt;=2,"Risco de sobrepeso",IF($K467&lt;=3,"Sobrepeso","Obesidade"))))),IF($K467&lt;-3,"Magreza acentuada",IF($K467&lt;-2,"Magreza",IF($K467&lt;=1,"Eutrofia",IF($K467&lt;=2,"Sobrepeso",IF($K467&lt;=3,"Obesidade","Obesidade grave")))))))</f>
        <v/>
      </c>
      <c r="M467" s="12">
        <f>IF(OR($S467="",$V467="",$T467="",$T467&lt;0,$T467&gt;228,$AG467=""),"—",ROUND(IF($AG467=0,LN($V467/$AH467)/$AI467,((($V467/$AH467)^$AG467)-1)/($AG467*$AI467)),2))</f>
        <v/>
      </c>
      <c r="N467">
        <f>IF(OR($M467="",$M467="—"),"",IF($M467&lt;-3,"Muito baixa",IF($M467&lt;-2,"Baixa","Adequada")))</f>
        <v/>
      </c>
      <c r="O467" s="12">
        <f>IF(OR($S467="",$F467="",$T467="",$T467&lt;0,$T467&gt;120,$AJ467=""),"—",ROUND(IF(ABS($AM467)&lt;=3,$AM467,IF($AM467&gt;3,3+($F467-$AO467)/($AO467-$AN467),-3+($F467-$AQ467)/($AP467-$AQ467))),2))</f>
        <v/>
      </c>
      <c r="P467">
        <f>IF(OR($O467="",$O467="—"),"",IF($O467&lt;-3,"Muito baixo",IF($O467&lt;-2,"Baixo",IF($O467&lt;=2,"Adequado","Elevado"))))</f>
        <v/>
      </c>
      <c r="Q467" s="12">
        <f>IF(OR($S467="",$F467="",$T467="",$T467&lt;0,$T467&gt;60,$AR467=""),"—",ROUND(IF(ABS($AU467)&lt;=3,$AU467,IF($AU467&gt;3,3+($F467-$AW467)/($AW467-$AV467),-3+($F467-$AY467)/($AX467-$AY467))),2))</f>
        <v/>
      </c>
      <c r="R467">
        <f>IF(OR($Q467="",$Q467="—"),"",IF($Q467&lt;-3,"Magreza acentuada",IF($Q467&lt;-2,"Magreza",IF($Q467&lt;=1,"Eutrofia",IF($Q467&lt;=2,"Risco de sobrepeso",IF($Q467&lt;=3,"Sobrepeso","Obesidade"))))))</f>
        <v/>
      </c>
      <c r="S467">
        <f>IF($C467="","",IF(UPPER(LEFT($C467,1))="M",1,IF(UPPER(LEFT($C467,1))="F",2,"")))</f>
        <v/>
      </c>
      <c r="T467">
        <f>IF(OR($D467="",$E467=""),"",DATEDIF($D467,$E467,"m"))</f>
        <v/>
      </c>
      <c r="U467">
        <f>IF(OR($D467="",$E467=""),"",$E467-$D467)</f>
        <v/>
      </c>
      <c r="V467">
        <f>IF(OR($G467="",$T467=""),"",IF($T467&lt;24,IF(LEFT(LOWER($H467),4)="em p",$G467+0.7,$G467),IF(LEFT(LOWER($H467),4)="deit",$G467-0.7,$G467)))</f>
        <v/>
      </c>
      <c r="W467">
        <f>IF(OR($S467="",$T467=""),"",$S467*1000000+IF($T467&lt;=60,$U467,$T467))</f>
        <v/>
      </c>
      <c r="X467">
        <f>IF(OR($S467="",$V467="",$T467&gt;60,$T467=""),"",$S467*1000000+ROUND($V467*10,0))</f>
        <v/>
      </c>
      <c r="Y467">
        <f>IF($W467="","",IFERROR(INDEX(IF($T467&lt;=60,imc05_l,imc519_l),MATCH($W467,IF($T467&lt;=60,imc05_k,imc519_k),1)),""))</f>
        <v/>
      </c>
      <c r="Z467">
        <f>IF($W467="","",IFERROR(INDEX(IF($T467&lt;=60,imc05_m,imc519_m),MATCH($W467,IF($T467&lt;=60,imc05_k,imc519_k),1)),""))</f>
        <v/>
      </c>
      <c r="AA467">
        <f>IF($W467="","",IFERROR(INDEX(IF($T467&lt;=60,imc05_s,imc519_s),MATCH($W467,IF($T467&lt;=60,imc05_k,imc519_k),1)),""))</f>
        <v/>
      </c>
      <c r="AB467">
        <f>IF($Y467="","",IF($Y467=0,LN($J467/$Z467)/$AA467,((($J467/$Z467)^$Y467)-1)/($Y467*$AA467)))</f>
        <v/>
      </c>
      <c r="AC467">
        <f>IF($Y467="","",IF($Y467=0,$Z467*EXP($AA467*2),$Z467*(1+$Y467*$AA467*2)^(1/$Y467)))</f>
        <v/>
      </c>
      <c r="AD467">
        <f>IF($Y467="","",IF($Y467=0,$Z467*EXP($AA467*3),$Z467*(1+$Y467*$AA467*3)^(1/$Y467)))</f>
        <v/>
      </c>
      <c r="AE467">
        <f>IF($Y467="","",IF($Y467=0,$Z467*EXP($AA467*-2),$Z467*(1+$Y467*$AA467*-2)^(1/$Y467)))</f>
        <v/>
      </c>
      <c r="AF467">
        <f>IF($Y467="","",IF($Y467=0,$Z467*EXP($AA467*-3),$Z467*(1+$Y467*$AA467*-3)^(1/$Y467)))</f>
        <v/>
      </c>
      <c r="AG467">
        <f>IF($W467="","",IFERROR(INDEX(IF($T467&lt;=60,est05_l,est519_l),MATCH($W467,IF($T467&lt;=60,est05_k,est519_k),1)),""))</f>
        <v/>
      </c>
      <c r="AH467">
        <f>IF($W467="","",IFERROR(INDEX(IF($T467&lt;=60,est05_m,est519_m),MATCH($W467,IF($T467&lt;=60,est05_k,est519_k),1)),""))</f>
        <v/>
      </c>
      <c r="AI467">
        <f>IF($W467="","",IFERROR(INDEX(IF($T467&lt;=60,est05_s,est519_s),MATCH($W467,IF($T467&lt;=60,est05_k,est519_k),1)),""))</f>
        <v/>
      </c>
      <c r="AJ467">
        <f>IF($W467="","",IFERROR(INDEX(IF($T467&lt;=60,peso05_l,peso510_l),MATCH($W467,IF($T467&lt;=60,peso05_k,peso510_k),1)),""))</f>
        <v/>
      </c>
      <c r="AK467">
        <f>IF($W467="","",IFERROR(INDEX(IF($T467&lt;=60,peso05_m,peso510_m),MATCH($W467,IF($T467&lt;=60,peso05_k,peso510_k),1)),""))</f>
        <v/>
      </c>
      <c r="AL467">
        <f>IF($W467="","",IFERROR(INDEX(IF($T467&lt;=60,peso05_s,peso510_s),MATCH($W467,IF($T467&lt;=60,peso05_k,peso510_k),1)),""))</f>
        <v/>
      </c>
      <c r="AM467">
        <f>IF($AJ467="","",IF($AJ467=0,LN($F467/$AK467)/$AL467,((($F467/$AK467)^$AJ467)-1)/($AJ467*$AL467)))</f>
        <v/>
      </c>
      <c r="AN467">
        <f>IF($AJ467="","",IF($AJ467=0,$AK467*EXP($AL467*2),$AK467*(1+$AJ467*$AL467*2)^(1/$AJ467)))</f>
        <v/>
      </c>
      <c r="AO467">
        <f>IF($AJ467="","",IF($AJ467=0,$AK467*EXP($AL467*3),$AK467*(1+$AJ467*$AL467*3)^(1/$AJ467)))</f>
        <v/>
      </c>
      <c r="AP467">
        <f>IF($AJ467="","",IF($AJ467=0,$AK467*EXP($AL467*-2),$AK467*(1+$AJ467*$AL467*-2)^(1/$AJ467)))</f>
        <v/>
      </c>
      <c r="AQ467">
        <f>IF($AJ467="","",IF($AJ467=0,$AK467*EXP($AL467*-3),$AK467*(1+$AJ467*$AL467*-3)^(1/$AJ467)))</f>
        <v/>
      </c>
      <c r="AR467">
        <f>IF(OR($X467="",$T467&gt;60),"",IFERROR(INDEX(IF($T467&lt;24,pcomp_l,palt_l),MATCH($X467,IF($T467&lt;24,pcomp_k,palt_k),1)),""))</f>
        <v/>
      </c>
      <c r="AS467">
        <f>IF(OR($X467="",$T467&gt;60),"",IFERROR(INDEX(IF($T467&lt;24,pcomp_m,palt_m),MATCH($X467,IF($T467&lt;24,pcomp_k,palt_k),1)),""))</f>
        <v/>
      </c>
      <c r="AT467">
        <f>IF(OR($X467="",$T467&gt;60),"",IFERROR(INDEX(IF($T467&lt;24,pcomp_s,palt_s),MATCH($X467,IF($T467&lt;24,pcomp_k,palt_k),1)),""))</f>
        <v/>
      </c>
      <c r="AU467">
        <f>IF($AR467="","",IF($AR467=0,LN($F467/$AS467)/$AT467,((($F467/$AS467)^$AR467)-1)/($AR467*$AT467)))</f>
        <v/>
      </c>
      <c r="AV467">
        <f>IF($AR467="","",IF($AR467=0,$AS467*EXP($AT467*2),$AS467*(1+$AR467*$AT467*2)^(1/$AR467)))</f>
        <v/>
      </c>
      <c r="AW467">
        <f>IF($AR467="","",IF($AR467=0,$AS467*EXP($AT467*3),$AS467*(1+$AR467*$AT467*3)^(1/$AR467)))</f>
        <v/>
      </c>
      <c r="AX467">
        <f>IF($AR467="","",IF($AR467=0,$AS467*EXP($AT467*-2),$AS467*(1+$AR467*$AT467*-2)^(1/$AR467)))</f>
        <v/>
      </c>
      <c r="AY467">
        <f>IF($AR467="","",IF($AR467=0,$AS467*EXP($AT467*-3),$AS467*(1+$AR467*$AT467*-3)^(1/$AR467)))</f>
        <v/>
      </c>
      <c r="AZ467">
        <f>IF(OR($A467="",$A467&lt;&gt;Ficha!$C$4),"",COUNTIF($A$2:$A467,Ficha!$C$4))</f>
        <v/>
      </c>
    </row>
    <row r="468">
      <c r="A468" s="8">
        <f>IF(INDEX(Banco!$A:$A,ROW())="","",INDEX(Banco!$A:$A,ROW()))</f>
        <v/>
      </c>
      <c r="B468" s="8">
        <f>IF(INDEX(Banco!$B:$B,ROW())="","",INDEX(Banco!$B:$B,ROW()))</f>
        <v/>
      </c>
      <c r="C468" s="8">
        <f>IF(INDEX(Banco!$C:$C,ROW())="","",INDEX(Banco!$C:$C,ROW()))</f>
        <v/>
      </c>
      <c r="D468" s="9">
        <f>IF(INDEX(Banco!$D:$D,ROW())="","",INDEX(Banco!$D:$D,ROW()))</f>
        <v/>
      </c>
      <c r="E468" s="9">
        <f>IF(INDEX(Banco!$E:$E,ROW())="","",INDEX(Banco!$E:$E,ROW()))</f>
        <v/>
      </c>
      <c r="F468" s="10">
        <f>IF(INDEX(Banco!$F:$F,ROW())="","",INDEX(Banco!$F:$F,ROW()))</f>
        <v/>
      </c>
      <c r="G468" s="10">
        <f>IF(INDEX(Banco!$G:$G,ROW())="","",INDEX(Banco!$G:$G,ROW()))</f>
        <v/>
      </c>
      <c r="H468" s="8">
        <f>IF(INDEX(Banco!$H:$H,ROW())="","",INDEX(Banco!$H:$H,ROW()))</f>
        <v/>
      </c>
      <c r="I468">
        <f>IF($T468="","",INT($T468/12)&amp;"a "&amp;MOD($T468,12)&amp;"m")</f>
        <v/>
      </c>
      <c r="J468" s="11">
        <f>IF(OR($F468="",$G468=""),"",ROUND($F468/($G468/100)^2,2))</f>
        <v/>
      </c>
      <c r="K468" s="12">
        <f>IF(OR($S468="",$J468="",$T468="",$T468&lt;0,$T468&gt;228,$Y468=""),"—",ROUND(IF(ABS($AB468)&lt;=3,$AB468,IF($AB468&gt;3,3+($J468-$AD468)/($AD468-$AC468),-3+($J468-$AF468)/($AE468-$AF468))),2))</f>
        <v/>
      </c>
      <c r="L468">
        <f>IF(OR($K468="",$K468="—"),"",IF($T468&lt;=60,IF($K468&lt;-3,"Magreza acentuada",IF($K468&lt;-2,"Magreza",IF($K468&lt;=1,"Eutrofia",IF($K468&lt;=2,"Risco de sobrepeso",IF($K468&lt;=3,"Sobrepeso","Obesidade"))))),IF($K468&lt;-3,"Magreza acentuada",IF($K468&lt;-2,"Magreza",IF($K468&lt;=1,"Eutrofia",IF($K468&lt;=2,"Sobrepeso",IF($K468&lt;=3,"Obesidade","Obesidade grave")))))))</f>
        <v/>
      </c>
      <c r="M468" s="12">
        <f>IF(OR($S468="",$V468="",$T468="",$T468&lt;0,$T468&gt;228,$AG468=""),"—",ROUND(IF($AG468=0,LN($V468/$AH468)/$AI468,((($V468/$AH468)^$AG468)-1)/($AG468*$AI468)),2))</f>
        <v/>
      </c>
      <c r="N468">
        <f>IF(OR($M468="",$M468="—"),"",IF($M468&lt;-3,"Muito baixa",IF($M468&lt;-2,"Baixa","Adequada")))</f>
        <v/>
      </c>
      <c r="O468" s="12">
        <f>IF(OR($S468="",$F468="",$T468="",$T468&lt;0,$T468&gt;120,$AJ468=""),"—",ROUND(IF(ABS($AM468)&lt;=3,$AM468,IF($AM468&gt;3,3+($F468-$AO468)/($AO468-$AN468),-3+($F468-$AQ468)/($AP468-$AQ468))),2))</f>
        <v/>
      </c>
      <c r="P468">
        <f>IF(OR($O468="",$O468="—"),"",IF($O468&lt;-3,"Muito baixo",IF($O468&lt;-2,"Baixo",IF($O468&lt;=2,"Adequado","Elevado"))))</f>
        <v/>
      </c>
      <c r="Q468" s="12">
        <f>IF(OR($S468="",$F468="",$T468="",$T468&lt;0,$T468&gt;60,$AR468=""),"—",ROUND(IF(ABS($AU468)&lt;=3,$AU468,IF($AU468&gt;3,3+($F468-$AW468)/($AW468-$AV468),-3+($F468-$AY468)/($AX468-$AY468))),2))</f>
        <v/>
      </c>
      <c r="R468">
        <f>IF(OR($Q468="",$Q468="—"),"",IF($Q468&lt;-3,"Magreza acentuada",IF($Q468&lt;-2,"Magreza",IF($Q468&lt;=1,"Eutrofia",IF($Q468&lt;=2,"Risco de sobrepeso",IF($Q468&lt;=3,"Sobrepeso","Obesidade"))))))</f>
        <v/>
      </c>
      <c r="S468">
        <f>IF($C468="","",IF(UPPER(LEFT($C468,1))="M",1,IF(UPPER(LEFT($C468,1))="F",2,"")))</f>
        <v/>
      </c>
      <c r="T468">
        <f>IF(OR($D468="",$E468=""),"",DATEDIF($D468,$E468,"m"))</f>
        <v/>
      </c>
      <c r="U468">
        <f>IF(OR($D468="",$E468=""),"",$E468-$D468)</f>
        <v/>
      </c>
      <c r="V468">
        <f>IF(OR($G468="",$T468=""),"",IF($T468&lt;24,IF(LEFT(LOWER($H468),4)="em p",$G468+0.7,$G468),IF(LEFT(LOWER($H468),4)="deit",$G468-0.7,$G468)))</f>
        <v/>
      </c>
      <c r="W468">
        <f>IF(OR($S468="",$T468=""),"",$S468*1000000+IF($T468&lt;=60,$U468,$T468))</f>
        <v/>
      </c>
      <c r="X468">
        <f>IF(OR($S468="",$V468="",$T468&gt;60,$T468=""),"",$S468*1000000+ROUND($V468*10,0))</f>
        <v/>
      </c>
      <c r="Y468">
        <f>IF($W468="","",IFERROR(INDEX(IF($T468&lt;=60,imc05_l,imc519_l),MATCH($W468,IF($T468&lt;=60,imc05_k,imc519_k),1)),""))</f>
        <v/>
      </c>
      <c r="Z468">
        <f>IF($W468="","",IFERROR(INDEX(IF($T468&lt;=60,imc05_m,imc519_m),MATCH($W468,IF($T468&lt;=60,imc05_k,imc519_k),1)),""))</f>
        <v/>
      </c>
      <c r="AA468">
        <f>IF($W468="","",IFERROR(INDEX(IF($T468&lt;=60,imc05_s,imc519_s),MATCH($W468,IF($T468&lt;=60,imc05_k,imc519_k),1)),""))</f>
        <v/>
      </c>
      <c r="AB468">
        <f>IF($Y468="","",IF($Y468=0,LN($J468/$Z468)/$AA468,((($J468/$Z468)^$Y468)-1)/($Y468*$AA468)))</f>
        <v/>
      </c>
      <c r="AC468">
        <f>IF($Y468="","",IF($Y468=0,$Z468*EXP($AA468*2),$Z468*(1+$Y468*$AA468*2)^(1/$Y468)))</f>
        <v/>
      </c>
      <c r="AD468">
        <f>IF($Y468="","",IF($Y468=0,$Z468*EXP($AA468*3),$Z468*(1+$Y468*$AA468*3)^(1/$Y468)))</f>
        <v/>
      </c>
      <c r="AE468">
        <f>IF($Y468="","",IF($Y468=0,$Z468*EXP($AA468*-2),$Z468*(1+$Y468*$AA468*-2)^(1/$Y468)))</f>
        <v/>
      </c>
      <c r="AF468">
        <f>IF($Y468="","",IF($Y468=0,$Z468*EXP($AA468*-3),$Z468*(1+$Y468*$AA468*-3)^(1/$Y468)))</f>
        <v/>
      </c>
      <c r="AG468">
        <f>IF($W468="","",IFERROR(INDEX(IF($T468&lt;=60,est05_l,est519_l),MATCH($W468,IF($T468&lt;=60,est05_k,est519_k),1)),""))</f>
        <v/>
      </c>
      <c r="AH468">
        <f>IF($W468="","",IFERROR(INDEX(IF($T468&lt;=60,est05_m,est519_m),MATCH($W468,IF($T468&lt;=60,est05_k,est519_k),1)),""))</f>
        <v/>
      </c>
      <c r="AI468">
        <f>IF($W468="","",IFERROR(INDEX(IF($T468&lt;=60,est05_s,est519_s),MATCH($W468,IF($T468&lt;=60,est05_k,est519_k),1)),""))</f>
        <v/>
      </c>
      <c r="AJ468">
        <f>IF($W468="","",IFERROR(INDEX(IF($T468&lt;=60,peso05_l,peso510_l),MATCH($W468,IF($T468&lt;=60,peso05_k,peso510_k),1)),""))</f>
        <v/>
      </c>
      <c r="AK468">
        <f>IF($W468="","",IFERROR(INDEX(IF($T468&lt;=60,peso05_m,peso510_m),MATCH($W468,IF($T468&lt;=60,peso05_k,peso510_k),1)),""))</f>
        <v/>
      </c>
      <c r="AL468">
        <f>IF($W468="","",IFERROR(INDEX(IF($T468&lt;=60,peso05_s,peso510_s),MATCH($W468,IF($T468&lt;=60,peso05_k,peso510_k),1)),""))</f>
        <v/>
      </c>
      <c r="AM468">
        <f>IF($AJ468="","",IF($AJ468=0,LN($F468/$AK468)/$AL468,((($F468/$AK468)^$AJ468)-1)/($AJ468*$AL468)))</f>
        <v/>
      </c>
      <c r="AN468">
        <f>IF($AJ468="","",IF($AJ468=0,$AK468*EXP($AL468*2),$AK468*(1+$AJ468*$AL468*2)^(1/$AJ468)))</f>
        <v/>
      </c>
      <c r="AO468">
        <f>IF($AJ468="","",IF($AJ468=0,$AK468*EXP($AL468*3),$AK468*(1+$AJ468*$AL468*3)^(1/$AJ468)))</f>
        <v/>
      </c>
      <c r="AP468">
        <f>IF($AJ468="","",IF($AJ468=0,$AK468*EXP($AL468*-2),$AK468*(1+$AJ468*$AL468*-2)^(1/$AJ468)))</f>
        <v/>
      </c>
      <c r="AQ468">
        <f>IF($AJ468="","",IF($AJ468=0,$AK468*EXP($AL468*-3),$AK468*(1+$AJ468*$AL468*-3)^(1/$AJ468)))</f>
        <v/>
      </c>
      <c r="AR468">
        <f>IF(OR($X468="",$T468&gt;60),"",IFERROR(INDEX(IF($T468&lt;24,pcomp_l,palt_l),MATCH($X468,IF($T468&lt;24,pcomp_k,palt_k),1)),""))</f>
        <v/>
      </c>
      <c r="AS468">
        <f>IF(OR($X468="",$T468&gt;60),"",IFERROR(INDEX(IF($T468&lt;24,pcomp_m,palt_m),MATCH($X468,IF($T468&lt;24,pcomp_k,palt_k),1)),""))</f>
        <v/>
      </c>
      <c r="AT468">
        <f>IF(OR($X468="",$T468&gt;60),"",IFERROR(INDEX(IF($T468&lt;24,pcomp_s,palt_s),MATCH($X468,IF($T468&lt;24,pcomp_k,palt_k),1)),""))</f>
        <v/>
      </c>
      <c r="AU468">
        <f>IF($AR468="","",IF($AR468=0,LN($F468/$AS468)/$AT468,((($F468/$AS468)^$AR468)-1)/($AR468*$AT468)))</f>
        <v/>
      </c>
      <c r="AV468">
        <f>IF($AR468="","",IF($AR468=0,$AS468*EXP($AT468*2),$AS468*(1+$AR468*$AT468*2)^(1/$AR468)))</f>
        <v/>
      </c>
      <c r="AW468">
        <f>IF($AR468="","",IF($AR468=0,$AS468*EXP($AT468*3),$AS468*(1+$AR468*$AT468*3)^(1/$AR468)))</f>
        <v/>
      </c>
      <c r="AX468">
        <f>IF($AR468="","",IF($AR468=0,$AS468*EXP($AT468*-2),$AS468*(1+$AR468*$AT468*-2)^(1/$AR468)))</f>
        <v/>
      </c>
      <c r="AY468">
        <f>IF($AR468="","",IF($AR468=0,$AS468*EXP($AT468*-3),$AS468*(1+$AR468*$AT468*-3)^(1/$AR468)))</f>
        <v/>
      </c>
      <c r="AZ468">
        <f>IF(OR($A468="",$A468&lt;&gt;Ficha!$C$4),"",COUNTIF($A$2:$A468,Ficha!$C$4))</f>
        <v/>
      </c>
    </row>
    <row r="469">
      <c r="A469" s="8">
        <f>IF(INDEX(Banco!$A:$A,ROW())="","",INDEX(Banco!$A:$A,ROW()))</f>
        <v/>
      </c>
      <c r="B469" s="8">
        <f>IF(INDEX(Banco!$B:$B,ROW())="","",INDEX(Banco!$B:$B,ROW()))</f>
        <v/>
      </c>
      <c r="C469" s="8">
        <f>IF(INDEX(Banco!$C:$C,ROW())="","",INDEX(Banco!$C:$C,ROW()))</f>
        <v/>
      </c>
      <c r="D469" s="9">
        <f>IF(INDEX(Banco!$D:$D,ROW())="","",INDEX(Banco!$D:$D,ROW()))</f>
        <v/>
      </c>
      <c r="E469" s="9">
        <f>IF(INDEX(Banco!$E:$E,ROW())="","",INDEX(Banco!$E:$E,ROW()))</f>
        <v/>
      </c>
      <c r="F469" s="10">
        <f>IF(INDEX(Banco!$F:$F,ROW())="","",INDEX(Banco!$F:$F,ROW()))</f>
        <v/>
      </c>
      <c r="G469" s="10">
        <f>IF(INDEX(Banco!$G:$G,ROW())="","",INDEX(Banco!$G:$G,ROW()))</f>
        <v/>
      </c>
      <c r="H469" s="8">
        <f>IF(INDEX(Banco!$H:$H,ROW())="","",INDEX(Banco!$H:$H,ROW()))</f>
        <v/>
      </c>
      <c r="I469">
        <f>IF($T469="","",INT($T469/12)&amp;"a "&amp;MOD($T469,12)&amp;"m")</f>
        <v/>
      </c>
      <c r="J469" s="11">
        <f>IF(OR($F469="",$G469=""),"",ROUND($F469/($G469/100)^2,2))</f>
        <v/>
      </c>
      <c r="K469" s="12">
        <f>IF(OR($S469="",$J469="",$T469="",$T469&lt;0,$T469&gt;228,$Y469=""),"—",ROUND(IF(ABS($AB469)&lt;=3,$AB469,IF($AB469&gt;3,3+($J469-$AD469)/($AD469-$AC469),-3+($J469-$AF469)/($AE469-$AF469))),2))</f>
        <v/>
      </c>
      <c r="L469">
        <f>IF(OR($K469="",$K469="—"),"",IF($T469&lt;=60,IF($K469&lt;-3,"Magreza acentuada",IF($K469&lt;-2,"Magreza",IF($K469&lt;=1,"Eutrofia",IF($K469&lt;=2,"Risco de sobrepeso",IF($K469&lt;=3,"Sobrepeso","Obesidade"))))),IF($K469&lt;-3,"Magreza acentuada",IF($K469&lt;-2,"Magreza",IF($K469&lt;=1,"Eutrofia",IF($K469&lt;=2,"Sobrepeso",IF($K469&lt;=3,"Obesidade","Obesidade grave")))))))</f>
        <v/>
      </c>
      <c r="M469" s="12">
        <f>IF(OR($S469="",$V469="",$T469="",$T469&lt;0,$T469&gt;228,$AG469=""),"—",ROUND(IF($AG469=0,LN($V469/$AH469)/$AI469,((($V469/$AH469)^$AG469)-1)/($AG469*$AI469)),2))</f>
        <v/>
      </c>
      <c r="N469">
        <f>IF(OR($M469="",$M469="—"),"",IF($M469&lt;-3,"Muito baixa",IF($M469&lt;-2,"Baixa","Adequada")))</f>
        <v/>
      </c>
      <c r="O469" s="12">
        <f>IF(OR($S469="",$F469="",$T469="",$T469&lt;0,$T469&gt;120,$AJ469=""),"—",ROUND(IF(ABS($AM469)&lt;=3,$AM469,IF($AM469&gt;3,3+($F469-$AO469)/($AO469-$AN469),-3+($F469-$AQ469)/($AP469-$AQ469))),2))</f>
        <v/>
      </c>
      <c r="P469">
        <f>IF(OR($O469="",$O469="—"),"",IF($O469&lt;-3,"Muito baixo",IF($O469&lt;-2,"Baixo",IF($O469&lt;=2,"Adequado","Elevado"))))</f>
        <v/>
      </c>
      <c r="Q469" s="12">
        <f>IF(OR($S469="",$F469="",$T469="",$T469&lt;0,$T469&gt;60,$AR469=""),"—",ROUND(IF(ABS($AU469)&lt;=3,$AU469,IF($AU469&gt;3,3+($F469-$AW469)/($AW469-$AV469),-3+($F469-$AY469)/($AX469-$AY469))),2))</f>
        <v/>
      </c>
      <c r="R469">
        <f>IF(OR($Q469="",$Q469="—"),"",IF($Q469&lt;-3,"Magreza acentuada",IF($Q469&lt;-2,"Magreza",IF($Q469&lt;=1,"Eutrofia",IF($Q469&lt;=2,"Risco de sobrepeso",IF($Q469&lt;=3,"Sobrepeso","Obesidade"))))))</f>
        <v/>
      </c>
      <c r="S469">
        <f>IF($C469="","",IF(UPPER(LEFT($C469,1))="M",1,IF(UPPER(LEFT($C469,1))="F",2,"")))</f>
        <v/>
      </c>
      <c r="T469">
        <f>IF(OR($D469="",$E469=""),"",DATEDIF($D469,$E469,"m"))</f>
        <v/>
      </c>
      <c r="U469">
        <f>IF(OR($D469="",$E469=""),"",$E469-$D469)</f>
        <v/>
      </c>
      <c r="V469">
        <f>IF(OR($G469="",$T469=""),"",IF($T469&lt;24,IF(LEFT(LOWER($H469),4)="em p",$G469+0.7,$G469),IF(LEFT(LOWER($H469),4)="deit",$G469-0.7,$G469)))</f>
        <v/>
      </c>
      <c r="W469">
        <f>IF(OR($S469="",$T469=""),"",$S469*1000000+IF($T469&lt;=60,$U469,$T469))</f>
        <v/>
      </c>
      <c r="X469">
        <f>IF(OR($S469="",$V469="",$T469&gt;60,$T469=""),"",$S469*1000000+ROUND($V469*10,0))</f>
        <v/>
      </c>
      <c r="Y469">
        <f>IF($W469="","",IFERROR(INDEX(IF($T469&lt;=60,imc05_l,imc519_l),MATCH($W469,IF($T469&lt;=60,imc05_k,imc519_k),1)),""))</f>
        <v/>
      </c>
      <c r="Z469">
        <f>IF($W469="","",IFERROR(INDEX(IF($T469&lt;=60,imc05_m,imc519_m),MATCH($W469,IF($T469&lt;=60,imc05_k,imc519_k),1)),""))</f>
        <v/>
      </c>
      <c r="AA469">
        <f>IF($W469="","",IFERROR(INDEX(IF($T469&lt;=60,imc05_s,imc519_s),MATCH($W469,IF($T469&lt;=60,imc05_k,imc519_k),1)),""))</f>
        <v/>
      </c>
      <c r="AB469">
        <f>IF($Y469="","",IF($Y469=0,LN($J469/$Z469)/$AA469,((($J469/$Z469)^$Y469)-1)/($Y469*$AA469)))</f>
        <v/>
      </c>
      <c r="AC469">
        <f>IF($Y469="","",IF($Y469=0,$Z469*EXP($AA469*2),$Z469*(1+$Y469*$AA469*2)^(1/$Y469)))</f>
        <v/>
      </c>
      <c r="AD469">
        <f>IF($Y469="","",IF($Y469=0,$Z469*EXP($AA469*3),$Z469*(1+$Y469*$AA469*3)^(1/$Y469)))</f>
        <v/>
      </c>
      <c r="AE469">
        <f>IF($Y469="","",IF($Y469=0,$Z469*EXP($AA469*-2),$Z469*(1+$Y469*$AA469*-2)^(1/$Y469)))</f>
        <v/>
      </c>
      <c r="AF469">
        <f>IF($Y469="","",IF($Y469=0,$Z469*EXP($AA469*-3),$Z469*(1+$Y469*$AA469*-3)^(1/$Y469)))</f>
        <v/>
      </c>
      <c r="AG469">
        <f>IF($W469="","",IFERROR(INDEX(IF($T469&lt;=60,est05_l,est519_l),MATCH($W469,IF($T469&lt;=60,est05_k,est519_k),1)),""))</f>
        <v/>
      </c>
      <c r="AH469">
        <f>IF($W469="","",IFERROR(INDEX(IF($T469&lt;=60,est05_m,est519_m),MATCH($W469,IF($T469&lt;=60,est05_k,est519_k),1)),""))</f>
        <v/>
      </c>
      <c r="AI469">
        <f>IF($W469="","",IFERROR(INDEX(IF($T469&lt;=60,est05_s,est519_s),MATCH($W469,IF($T469&lt;=60,est05_k,est519_k),1)),""))</f>
        <v/>
      </c>
      <c r="AJ469">
        <f>IF($W469="","",IFERROR(INDEX(IF($T469&lt;=60,peso05_l,peso510_l),MATCH($W469,IF($T469&lt;=60,peso05_k,peso510_k),1)),""))</f>
        <v/>
      </c>
      <c r="AK469">
        <f>IF($W469="","",IFERROR(INDEX(IF($T469&lt;=60,peso05_m,peso510_m),MATCH($W469,IF($T469&lt;=60,peso05_k,peso510_k),1)),""))</f>
        <v/>
      </c>
      <c r="AL469">
        <f>IF($W469="","",IFERROR(INDEX(IF($T469&lt;=60,peso05_s,peso510_s),MATCH($W469,IF($T469&lt;=60,peso05_k,peso510_k),1)),""))</f>
        <v/>
      </c>
      <c r="AM469">
        <f>IF($AJ469="","",IF($AJ469=0,LN($F469/$AK469)/$AL469,((($F469/$AK469)^$AJ469)-1)/($AJ469*$AL469)))</f>
        <v/>
      </c>
      <c r="AN469">
        <f>IF($AJ469="","",IF($AJ469=0,$AK469*EXP($AL469*2),$AK469*(1+$AJ469*$AL469*2)^(1/$AJ469)))</f>
        <v/>
      </c>
      <c r="AO469">
        <f>IF($AJ469="","",IF($AJ469=0,$AK469*EXP($AL469*3),$AK469*(1+$AJ469*$AL469*3)^(1/$AJ469)))</f>
        <v/>
      </c>
      <c r="AP469">
        <f>IF($AJ469="","",IF($AJ469=0,$AK469*EXP($AL469*-2),$AK469*(1+$AJ469*$AL469*-2)^(1/$AJ469)))</f>
        <v/>
      </c>
      <c r="AQ469">
        <f>IF($AJ469="","",IF($AJ469=0,$AK469*EXP($AL469*-3),$AK469*(1+$AJ469*$AL469*-3)^(1/$AJ469)))</f>
        <v/>
      </c>
      <c r="AR469">
        <f>IF(OR($X469="",$T469&gt;60),"",IFERROR(INDEX(IF($T469&lt;24,pcomp_l,palt_l),MATCH($X469,IF($T469&lt;24,pcomp_k,palt_k),1)),""))</f>
        <v/>
      </c>
      <c r="AS469">
        <f>IF(OR($X469="",$T469&gt;60),"",IFERROR(INDEX(IF($T469&lt;24,pcomp_m,palt_m),MATCH($X469,IF($T469&lt;24,pcomp_k,palt_k),1)),""))</f>
        <v/>
      </c>
      <c r="AT469">
        <f>IF(OR($X469="",$T469&gt;60),"",IFERROR(INDEX(IF($T469&lt;24,pcomp_s,palt_s),MATCH($X469,IF($T469&lt;24,pcomp_k,palt_k),1)),""))</f>
        <v/>
      </c>
      <c r="AU469">
        <f>IF($AR469="","",IF($AR469=0,LN($F469/$AS469)/$AT469,((($F469/$AS469)^$AR469)-1)/($AR469*$AT469)))</f>
        <v/>
      </c>
      <c r="AV469">
        <f>IF($AR469="","",IF($AR469=0,$AS469*EXP($AT469*2),$AS469*(1+$AR469*$AT469*2)^(1/$AR469)))</f>
        <v/>
      </c>
      <c r="AW469">
        <f>IF($AR469="","",IF($AR469=0,$AS469*EXP($AT469*3),$AS469*(1+$AR469*$AT469*3)^(1/$AR469)))</f>
        <v/>
      </c>
      <c r="AX469">
        <f>IF($AR469="","",IF($AR469=0,$AS469*EXP($AT469*-2),$AS469*(1+$AR469*$AT469*-2)^(1/$AR469)))</f>
        <v/>
      </c>
      <c r="AY469">
        <f>IF($AR469="","",IF($AR469=0,$AS469*EXP($AT469*-3),$AS469*(1+$AR469*$AT469*-3)^(1/$AR469)))</f>
        <v/>
      </c>
      <c r="AZ469">
        <f>IF(OR($A469="",$A469&lt;&gt;Ficha!$C$4),"",COUNTIF($A$2:$A469,Ficha!$C$4))</f>
        <v/>
      </c>
    </row>
    <row r="470">
      <c r="A470" s="8">
        <f>IF(INDEX(Banco!$A:$A,ROW())="","",INDEX(Banco!$A:$A,ROW()))</f>
        <v/>
      </c>
      <c r="B470" s="8">
        <f>IF(INDEX(Banco!$B:$B,ROW())="","",INDEX(Banco!$B:$B,ROW()))</f>
        <v/>
      </c>
      <c r="C470" s="8">
        <f>IF(INDEX(Banco!$C:$C,ROW())="","",INDEX(Banco!$C:$C,ROW()))</f>
        <v/>
      </c>
      <c r="D470" s="9">
        <f>IF(INDEX(Banco!$D:$D,ROW())="","",INDEX(Banco!$D:$D,ROW()))</f>
        <v/>
      </c>
      <c r="E470" s="9">
        <f>IF(INDEX(Banco!$E:$E,ROW())="","",INDEX(Banco!$E:$E,ROW()))</f>
        <v/>
      </c>
      <c r="F470" s="10">
        <f>IF(INDEX(Banco!$F:$F,ROW())="","",INDEX(Banco!$F:$F,ROW()))</f>
        <v/>
      </c>
      <c r="G470" s="10">
        <f>IF(INDEX(Banco!$G:$G,ROW())="","",INDEX(Banco!$G:$G,ROW()))</f>
        <v/>
      </c>
      <c r="H470" s="8">
        <f>IF(INDEX(Banco!$H:$H,ROW())="","",INDEX(Banco!$H:$H,ROW()))</f>
        <v/>
      </c>
      <c r="I470">
        <f>IF($T470="","",INT($T470/12)&amp;"a "&amp;MOD($T470,12)&amp;"m")</f>
        <v/>
      </c>
      <c r="J470" s="11">
        <f>IF(OR($F470="",$G470=""),"",ROUND($F470/($G470/100)^2,2))</f>
        <v/>
      </c>
      <c r="K470" s="12">
        <f>IF(OR($S470="",$J470="",$T470="",$T470&lt;0,$T470&gt;228,$Y470=""),"—",ROUND(IF(ABS($AB470)&lt;=3,$AB470,IF($AB470&gt;3,3+($J470-$AD470)/($AD470-$AC470),-3+($J470-$AF470)/($AE470-$AF470))),2))</f>
        <v/>
      </c>
      <c r="L470">
        <f>IF(OR($K470="",$K470="—"),"",IF($T470&lt;=60,IF($K470&lt;-3,"Magreza acentuada",IF($K470&lt;-2,"Magreza",IF($K470&lt;=1,"Eutrofia",IF($K470&lt;=2,"Risco de sobrepeso",IF($K470&lt;=3,"Sobrepeso","Obesidade"))))),IF($K470&lt;-3,"Magreza acentuada",IF($K470&lt;-2,"Magreza",IF($K470&lt;=1,"Eutrofia",IF($K470&lt;=2,"Sobrepeso",IF($K470&lt;=3,"Obesidade","Obesidade grave")))))))</f>
        <v/>
      </c>
      <c r="M470" s="12">
        <f>IF(OR($S470="",$V470="",$T470="",$T470&lt;0,$T470&gt;228,$AG470=""),"—",ROUND(IF($AG470=0,LN($V470/$AH470)/$AI470,((($V470/$AH470)^$AG470)-1)/($AG470*$AI470)),2))</f>
        <v/>
      </c>
      <c r="N470">
        <f>IF(OR($M470="",$M470="—"),"",IF($M470&lt;-3,"Muito baixa",IF($M470&lt;-2,"Baixa","Adequada")))</f>
        <v/>
      </c>
      <c r="O470" s="12">
        <f>IF(OR($S470="",$F470="",$T470="",$T470&lt;0,$T470&gt;120,$AJ470=""),"—",ROUND(IF(ABS($AM470)&lt;=3,$AM470,IF($AM470&gt;3,3+($F470-$AO470)/($AO470-$AN470),-3+($F470-$AQ470)/($AP470-$AQ470))),2))</f>
        <v/>
      </c>
      <c r="P470">
        <f>IF(OR($O470="",$O470="—"),"",IF($O470&lt;-3,"Muito baixo",IF($O470&lt;-2,"Baixo",IF($O470&lt;=2,"Adequado","Elevado"))))</f>
        <v/>
      </c>
      <c r="Q470" s="12">
        <f>IF(OR($S470="",$F470="",$T470="",$T470&lt;0,$T470&gt;60,$AR470=""),"—",ROUND(IF(ABS($AU470)&lt;=3,$AU470,IF($AU470&gt;3,3+($F470-$AW470)/($AW470-$AV470),-3+($F470-$AY470)/($AX470-$AY470))),2))</f>
        <v/>
      </c>
      <c r="R470">
        <f>IF(OR($Q470="",$Q470="—"),"",IF($Q470&lt;-3,"Magreza acentuada",IF($Q470&lt;-2,"Magreza",IF($Q470&lt;=1,"Eutrofia",IF($Q470&lt;=2,"Risco de sobrepeso",IF($Q470&lt;=3,"Sobrepeso","Obesidade"))))))</f>
        <v/>
      </c>
      <c r="S470">
        <f>IF($C470="","",IF(UPPER(LEFT($C470,1))="M",1,IF(UPPER(LEFT($C470,1))="F",2,"")))</f>
        <v/>
      </c>
      <c r="T470">
        <f>IF(OR($D470="",$E470=""),"",DATEDIF($D470,$E470,"m"))</f>
        <v/>
      </c>
      <c r="U470">
        <f>IF(OR($D470="",$E470=""),"",$E470-$D470)</f>
        <v/>
      </c>
      <c r="V470">
        <f>IF(OR($G470="",$T470=""),"",IF($T470&lt;24,IF(LEFT(LOWER($H470),4)="em p",$G470+0.7,$G470),IF(LEFT(LOWER($H470),4)="deit",$G470-0.7,$G470)))</f>
        <v/>
      </c>
      <c r="W470">
        <f>IF(OR($S470="",$T470=""),"",$S470*1000000+IF($T470&lt;=60,$U470,$T470))</f>
        <v/>
      </c>
      <c r="X470">
        <f>IF(OR($S470="",$V470="",$T470&gt;60,$T470=""),"",$S470*1000000+ROUND($V470*10,0))</f>
        <v/>
      </c>
      <c r="Y470">
        <f>IF($W470="","",IFERROR(INDEX(IF($T470&lt;=60,imc05_l,imc519_l),MATCH($W470,IF($T470&lt;=60,imc05_k,imc519_k),1)),""))</f>
        <v/>
      </c>
      <c r="Z470">
        <f>IF($W470="","",IFERROR(INDEX(IF($T470&lt;=60,imc05_m,imc519_m),MATCH($W470,IF($T470&lt;=60,imc05_k,imc519_k),1)),""))</f>
        <v/>
      </c>
      <c r="AA470">
        <f>IF($W470="","",IFERROR(INDEX(IF($T470&lt;=60,imc05_s,imc519_s),MATCH($W470,IF($T470&lt;=60,imc05_k,imc519_k),1)),""))</f>
        <v/>
      </c>
      <c r="AB470">
        <f>IF($Y470="","",IF($Y470=0,LN($J470/$Z470)/$AA470,((($J470/$Z470)^$Y470)-1)/($Y470*$AA470)))</f>
        <v/>
      </c>
      <c r="AC470">
        <f>IF($Y470="","",IF($Y470=0,$Z470*EXP($AA470*2),$Z470*(1+$Y470*$AA470*2)^(1/$Y470)))</f>
        <v/>
      </c>
      <c r="AD470">
        <f>IF($Y470="","",IF($Y470=0,$Z470*EXP($AA470*3),$Z470*(1+$Y470*$AA470*3)^(1/$Y470)))</f>
        <v/>
      </c>
      <c r="AE470">
        <f>IF($Y470="","",IF($Y470=0,$Z470*EXP($AA470*-2),$Z470*(1+$Y470*$AA470*-2)^(1/$Y470)))</f>
        <v/>
      </c>
      <c r="AF470">
        <f>IF($Y470="","",IF($Y470=0,$Z470*EXP($AA470*-3),$Z470*(1+$Y470*$AA470*-3)^(1/$Y470)))</f>
        <v/>
      </c>
      <c r="AG470">
        <f>IF($W470="","",IFERROR(INDEX(IF($T470&lt;=60,est05_l,est519_l),MATCH($W470,IF($T470&lt;=60,est05_k,est519_k),1)),""))</f>
        <v/>
      </c>
      <c r="AH470">
        <f>IF($W470="","",IFERROR(INDEX(IF($T470&lt;=60,est05_m,est519_m),MATCH($W470,IF($T470&lt;=60,est05_k,est519_k),1)),""))</f>
        <v/>
      </c>
      <c r="AI470">
        <f>IF($W470="","",IFERROR(INDEX(IF($T470&lt;=60,est05_s,est519_s),MATCH($W470,IF($T470&lt;=60,est05_k,est519_k),1)),""))</f>
        <v/>
      </c>
      <c r="AJ470">
        <f>IF($W470="","",IFERROR(INDEX(IF($T470&lt;=60,peso05_l,peso510_l),MATCH($W470,IF($T470&lt;=60,peso05_k,peso510_k),1)),""))</f>
        <v/>
      </c>
      <c r="AK470">
        <f>IF($W470="","",IFERROR(INDEX(IF($T470&lt;=60,peso05_m,peso510_m),MATCH($W470,IF($T470&lt;=60,peso05_k,peso510_k),1)),""))</f>
        <v/>
      </c>
      <c r="AL470">
        <f>IF($W470="","",IFERROR(INDEX(IF($T470&lt;=60,peso05_s,peso510_s),MATCH($W470,IF($T470&lt;=60,peso05_k,peso510_k),1)),""))</f>
        <v/>
      </c>
      <c r="AM470">
        <f>IF($AJ470="","",IF($AJ470=0,LN($F470/$AK470)/$AL470,((($F470/$AK470)^$AJ470)-1)/($AJ470*$AL470)))</f>
        <v/>
      </c>
      <c r="AN470">
        <f>IF($AJ470="","",IF($AJ470=0,$AK470*EXP($AL470*2),$AK470*(1+$AJ470*$AL470*2)^(1/$AJ470)))</f>
        <v/>
      </c>
      <c r="AO470">
        <f>IF($AJ470="","",IF($AJ470=0,$AK470*EXP($AL470*3),$AK470*(1+$AJ470*$AL470*3)^(1/$AJ470)))</f>
        <v/>
      </c>
      <c r="AP470">
        <f>IF($AJ470="","",IF($AJ470=0,$AK470*EXP($AL470*-2),$AK470*(1+$AJ470*$AL470*-2)^(1/$AJ470)))</f>
        <v/>
      </c>
      <c r="AQ470">
        <f>IF($AJ470="","",IF($AJ470=0,$AK470*EXP($AL470*-3),$AK470*(1+$AJ470*$AL470*-3)^(1/$AJ470)))</f>
        <v/>
      </c>
      <c r="AR470">
        <f>IF(OR($X470="",$T470&gt;60),"",IFERROR(INDEX(IF($T470&lt;24,pcomp_l,palt_l),MATCH($X470,IF($T470&lt;24,pcomp_k,palt_k),1)),""))</f>
        <v/>
      </c>
      <c r="AS470">
        <f>IF(OR($X470="",$T470&gt;60),"",IFERROR(INDEX(IF($T470&lt;24,pcomp_m,palt_m),MATCH($X470,IF($T470&lt;24,pcomp_k,palt_k),1)),""))</f>
        <v/>
      </c>
      <c r="AT470">
        <f>IF(OR($X470="",$T470&gt;60),"",IFERROR(INDEX(IF($T470&lt;24,pcomp_s,palt_s),MATCH($X470,IF($T470&lt;24,pcomp_k,palt_k),1)),""))</f>
        <v/>
      </c>
      <c r="AU470">
        <f>IF($AR470="","",IF($AR470=0,LN($F470/$AS470)/$AT470,((($F470/$AS470)^$AR470)-1)/($AR470*$AT470)))</f>
        <v/>
      </c>
      <c r="AV470">
        <f>IF($AR470="","",IF($AR470=0,$AS470*EXP($AT470*2),$AS470*(1+$AR470*$AT470*2)^(1/$AR470)))</f>
        <v/>
      </c>
      <c r="AW470">
        <f>IF($AR470="","",IF($AR470=0,$AS470*EXP($AT470*3),$AS470*(1+$AR470*$AT470*3)^(1/$AR470)))</f>
        <v/>
      </c>
      <c r="AX470">
        <f>IF($AR470="","",IF($AR470=0,$AS470*EXP($AT470*-2),$AS470*(1+$AR470*$AT470*-2)^(1/$AR470)))</f>
        <v/>
      </c>
      <c r="AY470">
        <f>IF($AR470="","",IF($AR470=0,$AS470*EXP($AT470*-3),$AS470*(1+$AR470*$AT470*-3)^(1/$AR470)))</f>
        <v/>
      </c>
      <c r="AZ470">
        <f>IF(OR($A470="",$A470&lt;&gt;Ficha!$C$4),"",COUNTIF($A$2:$A470,Ficha!$C$4))</f>
        <v/>
      </c>
    </row>
    <row r="471">
      <c r="A471" s="8">
        <f>IF(INDEX(Banco!$A:$A,ROW())="","",INDEX(Banco!$A:$A,ROW()))</f>
        <v/>
      </c>
      <c r="B471" s="8">
        <f>IF(INDEX(Banco!$B:$B,ROW())="","",INDEX(Banco!$B:$B,ROW()))</f>
        <v/>
      </c>
      <c r="C471" s="8">
        <f>IF(INDEX(Banco!$C:$C,ROW())="","",INDEX(Banco!$C:$C,ROW()))</f>
        <v/>
      </c>
      <c r="D471" s="9">
        <f>IF(INDEX(Banco!$D:$D,ROW())="","",INDEX(Banco!$D:$D,ROW()))</f>
        <v/>
      </c>
      <c r="E471" s="9">
        <f>IF(INDEX(Banco!$E:$E,ROW())="","",INDEX(Banco!$E:$E,ROW()))</f>
        <v/>
      </c>
      <c r="F471" s="10">
        <f>IF(INDEX(Banco!$F:$F,ROW())="","",INDEX(Banco!$F:$F,ROW()))</f>
        <v/>
      </c>
      <c r="G471" s="10">
        <f>IF(INDEX(Banco!$G:$G,ROW())="","",INDEX(Banco!$G:$G,ROW()))</f>
        <v/>
      </c>
      <c r="H471" s="8">
        <f>IF(INDEX(Banco!$H:$H,ROW())="","",INDEX(Banco!$H:$H,ROW()))</f>
        <v/>
      </c>
      <c r="I471">
        <f>IF($T471="","",INT($T471/12)&amp;"a "&amp;MOD($T471,12)&amp;"m")</f>
        <v/>
      </c>
      <c r="J471" s="11">
        <f>IF(OR($F471="",$G471=""),"",ROUND($F471/($G471/100)^2,2))</f>
        <v/>
      </c>
      <c r="K471" s="12">
        <f>IF(OR($S471="",$J471="",$T471="",$T471&lt;0,$T471&gt;228,$Y471=""),"—",ROUND(IF(ABS($AB471)&lt;=3,$AB471,IF($AB471&gt;3,3+($J471-$AD471)/($AD471-$AC471),-3+($J471-$AF471)/($AE471-$AF471))),2))</f>
        <v/>
      </c>
      <c r="L471">
        <f>IF(OR($K471="",$K471="—"),"",IF($T471&lt;=60,IF($K471&lt;-3,"Magreza acentuada",IF($K471&lt;-2,"Magreza",IF($K471&lt;=1,"Eutrofia",IF($K471&lt;=2,"Risco de sobrepeso",IF($K471&lt;=3,"Sobrepeso","Obesidade"))))),IF($K471&lt;-3,"Magreza acentuada",IF($K471&lt;-2,"Magreza",IF($K471&lt;=1,"Eutrofia",IF($K471&lt;=2,"Sobrepeso",IF($K471&lt;=3,"Obesidade","Obesidade grave")))))))</f>
        <v/>
      </c>
      <c r="M471" s="12">
        <f>IF(OR($S471="",$V471="",$T471="",$T471&lt;0,$T471&gt;228,$AG471=""),"—",ROUND(IF($AG471=0,LN($V471/$AH471)/$AI471,((($V471/$AH471)^$AG471)-1)/($AG471*$AI471)),2))</f>
        <v/>
      </c>
      <c r="N471">
        <f>IF(OR($M471="",$M471="—"),"",IF($M471&lt;-3,"Muito baixa",IF($M471&lt;-2,"Baixa","Adequada")))</f>
        <v/>
      </c>
      <c r="O471" s="12">
        <f>IF(OR($S471="",$F471="",$T471="",$T471&lt;0,$T471&gt;120,$AJ471=""),"—",ROUND(IF(ABS($AM471)&lt;=3,$AM471,IF($AM471&gt;3,3+($F471-$AO471)/($AO471-$AN471),-3+($F471-$AQ471)/($AP471-$AQ471))),2))</f>
        <v/>
      </c>
      <c r="P471">
        <f>IF(OR($O471="",$O471="—"),"",IF($O471&lt;-3,"Muito baixo",IF($O471&lt;-2,"Baixo",IF($O471&lt;=2,"Adequado","Elevado"))))</f>
        <v/>
      </c>
      <c r="Q471" s="12">
        <f>IF(OR($S471="",$F471="",$T471="",$T471&lt;0,$T471&gt;60,$AR471=""),"—",ROUND(IF(ABS($AU471)&lt;=3,$AU471,IF($AU471&gt;3,3+($F471-$AW471)/($AW471-$AV471),-3+($F471-$AY471)/($AX471-$AY471))),2))</f>
        <v/>
      </c>
      <c r="R471">
        <f>IF(OR($Q471="",$Q471="—"),"",IF($Q471&lt;-3,"Magreza acentuada",IF($Q471&lt;-2,"Magreza",IF($Q471&lt;=1,"Eutrofia",IF($Q471&lt;=2,"Risco de sobrepeso",IF($Q471&lt;=3,"Sobrepeso","Obesidade"))))))</f>
        <v/>
      </c>
      <c r="S471">
        <f>IF($C471="","",IF(UPPER(LEFT($C471,1))="M",1,IF(UPPER(LEFT($C471,1))="F",2,"")))</f>
        <v/>
      </c>
      <c r="T471">
        <f>IF(OR($D471="",$E471=""),"",DATEDIF($D471,$E471,"m"))</f>
        <v/>
      </c>
      <c r="U471">
        <f>IF(OR($D471="",$E471=""),"",$E471-$D471)</f>
        <v/>
      </c>
      <c r="V471">
        <f>IF(OR($G471="",$T471=""),"",IF($T471&lt;24,IF(LEFT(LOWER($H471),4)="em p",$G471+0.7,$G471),IF(LEFT(LOWER($H471),4)="deit",$G471-0.7,$G471)))</f>
        <v/>
      </c>
      <c r="W471">
        <f>IF(OR($S471="",$T471=""),"",$S471*1000000+IF($T471&lt;=60,$U471,$T471))</f>
        <v/>
      </c>
      <c r="X471">
        <f>IF(OR($S471="",$V471="",$T471&gt;60,$T471=""),"",$S471*1000000+ROUND($V471*10,0))</f>
        <v/>
      </c>
      <c r="Y471">
        <f>IF($W471="","",IFERROR(INDEX(IF($T471&lt;=60,imc05_l,imc519_l),MATCH($W471,IF($T471&lt;=60,imc05_k,imc519_k),1)),""))</f>
        <v/>
      </c>
      <c r="Z471">
        <f>IF($W471="","",IFERROR(INDEX(IF($T471&lt;=60,imc05_m,imc519_m),MATCH($W471,IF($T471&lt;=60,imc05_k,imc519_k),1)),""))</f>
        <v/>
      </c>
      <c r="AA471">
        <f>IF($W471="","",IFERROR(INDEX(IF($T471&lt;=60,imc05_s,imc519_s),MATCH($W471,IF($T471&lt;=60,imc05_k,imc519_k),1)),""))</f>
        <v/>
      </c>
      <c r="AB471">
        <f>IF($Y471="","",IF($Y471=0,LN($J471/$Z471)/$AA471,((($J471/$Z471)^$Y471)-1)/($Y471*$AA471)))</f>
        <v/>
      </c>
      <c r="AC471">
        <f>IF($Y471="","",IF($Y471=0,$Z471*EXP($AA471*2),$Z471*(1+$Y471*$AA471*2)^(1/$Y471)))</f>
        <v/>
      </c>
      <c r="AD471">
        <f>IF($Y471="","",IF($Y471=0,$Z471*EXP($AA471*3),$Z471*(1+$Y471*$AA471*3)^(1/$Y471)))</f>
        <v/>
      </c>
      <c r="AE471">
        <f>IF($Y471="","",IF($Y471=0,$Z471*EXP($AA471*-2),$Z471*(1+$Y471*$AA471*-2)^(1/$Y471)))</f>
        <v/>
      </c>
      <c r="AF471">
        <f>IF($Y471="","",IF($Y471=0,$Z471*EXP($AA471*-3),$Z471*(1+$Y471*$AA471*-3)^(1/$Y471)))</f>
        <v/>
      </c>
      <c r="AG471">
        <f>IF($W471="","",IFERROR(INDEX(IF($T471&lt;=60,est05_l,est519_l),MATCH($W471,IF($T471&lt;=60,est05_k,est519_k),1)),""))</f>
        <v/>
      </c>
      <c r="AH471">
        <f>IF($W471="","",IFERROR(INDEX(IF($T471&lt;=60,est05_m,est519_m),MATCH($W471,IF($T471&lt;=60,est05_k,est519_k),1)),""))</f>
        <v/>
      </c>
      <c r="AI471">
        <f>IF($W471="","",IFERROR(INDEX(IF($T471&lt;=60,est05_s,est519_s),MATCH($W471,IF($T471&lt;=60,est05_k,est519_k),1)),""))</f>
        <v/>
      </c>
      <c r="AJ471">
        <f>IF($W471="","",IFERROR(INDEX(IF($T471&lt;=60,peso05_l,peso510_l),MATCH($W471,IF($T471&lt;=60,peso05_k,peso510_k),1)),""))</f>
        <v/>
      </c>
      <c r="AK471">
        <f>IF($W471="","",IFERROR(INDEX(IF($T471&lt;=60,peso05_m,peso510_m),MATCH($W471,IF($T471&lt;=60,peso05_k,peso510_k),1)),""))</f>
        <v/>
      </c>
      <c r="AL471">
        <f>IF($W471="","",IFERROR(INDEX(IF($T471&lt;=60,peso05_s,peso510_s),MATCH($W471,IF($T471&lt;=60,peso05_k,peso510_k),1)),""))</f>
        <v/>
      </c>
      <c r="AM471">
        <f>IF($AJ471="","",IF($AJ471=0,LN($F471/$AK471)/$AL471,((($F471/$AK471)^$AJ471)-1)/($AJ471*$AL471)))</f>
        <v/>
      </c>
      <c r="AN471">
        <f>IF($AJ471="","",IF($AJ471=0,$AK471*EXP($AL471*2),$AK471*(1+$AJ471*$AL471*2)^(1/$AJ471)))</f>
        <v/>
      </c>
      <c r="AO471">
        <f>IF($AJ471="","",IF($AJ471=0,$AK471*EXP($AL471*3),$AK471*(1+$AJ471*$AL471*3)^(1/$AJ471)))</f>
        <v/>
      </c>
      <c r="AP471">
        <f>IF($AJ471="","",IF($AJ471=0,$AK471*EXP($AL471*-2),$AK471*(1+$AJ471*$AL471*-2)^(1/$AJ471)))</f>
        <v/>
      </c>
      <c r="AQ471">
        <f>IF($AJ471="","",IF($AJ471=0,$AK471*EXP($AL471*-3),$AK471*(1+$AJ471*$AL471*-3)^(1/$AJ471)))</f>
        <v/>
      </c>
      <c r="AR471">
        <f>IF(OR($X471="",$T471&gt;60),"",IFERROR(INDEX(IF($T471&lt;24,pcomp_l,palt_l),MATCH($X471,IF($T471&lt;24,pcomp_k,palt_k),1)),""))</f>
        <v/>
      </c>
      <c r="AS471">
        <f>IF(OR($X471="",$T471&gt;60),"",IFERROR(INDEX(IF($T471&lt;24,pcomp_m,palt_m),MATCH($X471,IF($T471&lt;24,pcomp_k,palt_k),1)),""))</f>
        <v/>
      </c>
      <c r="AT471">
        <f>IF(OR($X471="",$T471&gt;60),"",IFERROR(INDEX(IF($T471&lt;24,pcomp_s,palt_s),MATCH($X471,IF($T471&lt;24,pcomp_k,palt_k),1)),""))</f>
        <v/>
      </c>
      <c r="AU471">
        <f>IF($AR471="","",IF($AR471=0,LN($F471/$AS471)/$AT471,((($F471/$AS471)^$AR471)-1)/($AR471*$AT471)))</f>
        <v/>
      </c>
      <c r="AV471">
        <f>IF($AR471="","",IF($AR471=0,$AS471*EXP($AT471*2),$AS471*(1+$AR471*$AT471*2)^(1/$AR471)))</f>
        <v/>
      </c>
      <c r="AW471">
        <f>IF($AR471="","",IF($AR471=0,$AS471*EXP($AT471*3),$AS471*(1+$AR471*$AT471*3)^(1/$AR471)))</f>
        <v/>
      </c>
      <c r="AX471">
        <f>IF($AR471="","",IF($AR471=0,$AS471*EXP($AT471*-2),$AS471*(1+$AR471*$AT471*-2)^(1/$AR471)))</f>
        <v/>
      </c>
      <c r="AY471">
        <f>IF($AR471="","",IF($AR471=0,$AS471*EXP($AT471*-3),$AS471*(1+$AR471*$AT471*-3)^(1/$AR471)))</f>
        <v/>
      </c>
      <c r="AZ471">
        <f>IF(OR($A471="",$A471&lt;&gt;Ficha!$C$4),"",COUNTIF($A$2:$A471,Ficha!$C$4))</f>
        <v/>
      </c>
    </row>
    <row r="472">
      <c r="A472" s="8">
        <f>IF(INDEX(Banco!$A:$A,ROW())="","",INDEX(Banco!$A:$A,ROW()))</f>
        <v/>
      </c>
      <c r="B472" s="8">
        <f>IF(INDEX(Banco!$B:$B,ROW())="","",INDEX(Banco!$B:$B,ROW()))</f>
        <v/>
      </c>
      <c r="C472" s="8">
        <f>IF(INDEX(Banco!$C:$C,ROW())="","",INDEX(Banco!$C:$C,ROW()))</f>
        <v/>
      </c>
      <c r="D472" s="9">
        <f>IF(INDEX(Banco!$D:$D,ROW())="","",INDEX(Banco!$D:$D,ROW()))</f>
        <v/>
      </c>
      <c r="E472" s="9">
        <f>IF(INDEX(Banco!$E:$E,ROW())="","",INDEX(Banco!$E:$E,ROW()))</f>
        <v/>
      </c>
      <c r="F472" s="10">
        <f>IF(INDEX(Banco!$F:$F,ROW())="","",INDEX(Banco!$F:$F,ROW()))</f>
        <v/>
      </c>
      <c r="G472" s="10">
        <f>IF(INDEX(Banco!$G:$G,ROW())="","",INDEX(Banco!$G:$G,ROW()))</f>
        <v/>
      </c>
      <c r="H472" s="8">
        <f>IF(INDEX(Banco!$H:$H,ROW())="","",INDEX(Banco!$H:$H,ROW()))</f>
        <v/>
      </c>
      <c r="I472">
        <f>IF($T472="","",INT($T472/12)&amp;"a "&amp;MOD($T472,12)&amp;"m")</f>
        <v/>
      </c>
      <c r="J472" s="11">
        <f>IF(OR($F472="",$G472=""),"",ROUND($F472/($G472/100)^2,2))</f>
        <v/>
      </c>
      <c r="K472" s="12">
        <f>IF(OR($S472="",$J472="",$T472="",$T472&lt;0,$T472&gt;228,$Y472=""),"—",ROUND(IF(ABS($AB472)&lt;=3,$AB472,IF($AB472&gt;3,3+($J472-$AD472)/($AD472-$AC472),-3+($J472-$AF472)/($AE472-$AF472))),2))</f>
        <v/>
      </c>
      <c r="L472">
        <f>IF(OR($K472="",$K472="—"),"",IF($T472&lt;=60,IF($K472&lt;-3,"Magreza acentuada",IF($K472&lt;-2,"Magreza",IF($K472&lt;=1,"Eutrofia",IF($K472&lt;=2,"Risco de sobrepeso",IF($K472&lt;=3,"Sobrepeso","Obesidade"))))),IF($K472&lt;-3,"Magreza acentuada",IF($K472&lt;-2,"Magreza",IF($K472&lt;=1,"Eutrofia",IF($K472&lt;=2,"Sobrepeso",IF($K472&lt;=3,"Obesidade","Obesidade grave")))))))</f>
        <v/>
      </c>
      <c r="M472" s="12">
        <f>IF(OR($S472="",$V472="",$T472="",$T472&lt;0,$T472&gt;228,$AG472=""),"—",ROUND(IF($AG472=0,LN($V472/$AH472)/$AI472,((($V472/$AH472)^$AG472)-1)/($AG472*$AI472)),2))</f>
        <v/>
      </c>
      <c r="N472">
        <f>IF(OR($M472="",$M472="—"),"",IF($M472&lt;-3,"Muito baixa",IF($M472&lt;-2,"Baixa","Adequada")))</f>
        <v/>
      </c>
      <c r="O472" s="12">
        <f>IF(OR($S472="",$F472="",$T472="",$T472&lt;0,$T472&gt;120,$AJ472=""),"—",ROUND(IF(ABS($AM472)&lt;=3,$AM472,IF($AM472&gt;3,3+($F472-$AO472)/($AO472-$AN472),-3+($F472-$AQ472)/($AP472-$AQ472))),2))</f>
        <v/>
      </c>
      <c r="P472">
        <f>IF(OR($O472="",$O472="—"),"",IF($O472&lt;-3,"Muito baixo",IF($O472&lt;-2,"Baixo",IF($O472&lt;=2,"Adequado","Elevado"))))</f>
        <v/>
      </c>
      <c r="Q472" s="12">
        <f>IF(OR($S472="",$F472="",$T472="",$T472&lt;0,$T472&gt;60,$AR472=""),"—",ROUND(IF(ABS($AU472)&lt;=3,$AU472,IF($AU472&gt;3,3+($F472-$AW472)/($AW472-$AV472),-3+($F472-$AY472)/($AX472-$AY472))),2))</f>
        <v/>
      </c>
      <c r="R472">
        <f>IF(OR($Q472="",$Q472="—"),"",IF($Q472&lt;-3,"Magreza acentuada",IF($Q472&lt;-2,"Magreza",IF($Q472&lt;=1,"Eutrofia",IF($Q472&lt;=2,"Risco de sobrepeso",IF($Q472&lt;=3,"Sobrepeso","Obesidade"))))))</f>
        <v/>
      </c>
      <c r="S472">
        <f>IF($C472="","",IF(UPPER(LEFT($C472,1))="M",1,IF(UPPER(LEFT($C472,1))="F",2,"")))</f>
        <v/>
      </c>
      <c r="T472">
        <f>IF(OR($D472="",$E472=""),"",DATEDIF($D472,$E472,"m"))</f>
        <v/>
      </c>
      <c r="U472">
        <f>IF(OR($D472="",$E472=""),"",$E472-$D472)</f>
        <v/>
      </c>
      <c r="V472">
        <f>IF(OR($G472="",$T472=""),"",IF($T472&lt;24,IF(LEFT(LOWER($H472),4)="em p",$G472+0.7,$G472),IF(LEFT(LOWER($H472),4)="deit",$G472-0.7,$G472)))</f>
        <v/>
      </c>
      <c r="W472">
        <f>IF(OR($S472="",$T472=""),"",$S472*1000000+IF($T472&lt;=60,$U472,$T472))</f>
        <v/>
      </c>
      <c r="X472">
        <f>IF(OR($S472="",$V472="",$T472&gt;60,$T472=""),"",$S472*1000000+ROUND($V472*10,0))</f>
        <v/>
      </c>
      <c r="Y472">
        <f>IF($W472="","",IFERROR(INDEX(IF($T472&lt;=60,imc05_l,imc519_l),MATCH($W472,IF($T472&lt;=60,imc05_k,imc519_k),1)),""))</f>
        <v/>
      </c>
      <c r="Z472">
        <f>IF($W472="","",IFERROR(INDEX(IF($T472&lt;=60,imc05_m,imc519_m),MATCH($W472,IF($T472&lt;=60,imc05_k,imc519_k),1)),""))</f>
        <v/>
      </c>
      <c r="AA472">
        <f>IF($W472="","",IFERROR(INDEX(IF($T472&lt;=60,imc05_s,imc519_s),MATCH($W472,IF($T472&lt;=60,imc05_k,imc519_k),1)),""))</f>
        <v/>
      </c>
      <c r="AB472">
        <f>IF($Y472="","",IF($Y472=0,LN($J472/$Z472)/$AA472,((($J472/$Z472)^$Y472)-1)/($Y472*$AA472)))</f>
        <v/>
      </c>
      <c r="AC472">
        <f>IF($Y472="","",IF($Y472=0,$Z472*EXP($AA472*2),$Z472*(1+$Y472*$AA472*2)^(1/$Y472)))</f>
        <v/>
      </c>
      <c r="AD472">
        <f>IF($Y472="","",IF($Y472=0,$Z472*EXP($AA472*3),$Z472*(1+$Y472*$AA472*3)^(1/$Y472)))</f>
        <v/>
      </c>
      <c r="AE472">
        <f>IF($Y472="","",IF($Y472=0,$Z472*EXP($AA472*-2),$Z472*(1+$Y472*$AA472*-2)^(1/$Y472)))</f>
        <v/>
      </c>
      <c r="AF472">
        <f>IF($Y472="","",IF($Y472=0,$Z472*EXP($AA472*-3),$Z472*(1+$Y472*$AA472*-3)^(1/$Y472)))</f>
        <v/>
      </c>
      <c r="AG472">
        <f>IF($W472="","",IFERROR(INDEX(IF($T472&lt;=60,est05_l,est519_l),MATCH($W472,IF($T472&lt;=60,est05_k,est519_k),1)),""))</f>
        <v/>
      </c>
      <c r="AH472">
        <f>IF($W472="","",IFERROR(INDEX(IF($T472&lt;=60,est05_m,est519_m),MATCH($W472,IF($T472&lt;=60,est05_k,est519_k),1)),""))</f>
        <v/>
      </c>
      <c r="AI472">
        <f>IF($W472="","",IFERROR(INDEX(IF($T472&lt;=60,est05_s,est519_s),MATCH($W472,IF($T472&lt;=60,est05_k,est519_k),1)),""))</f>
        <v/>
      </c>
      <c r="AJ472">
        <f>IF($W472="","",IFERROR(INDEX(IF($T472&lt;=60,peso05_l,peso510_l),MATCH($W472,IF($T472&lt;=60,peso05_k,peso510_k),1)),""))</f>
        <v/>
      </c>
      <c r="AK472">
        <f>IF($W472="","",IFERROR(INDEX(IF($T472&lt;=60,peso05_m,peso510_m),MATCH($W472,IF($T472&lt;=60,peso05_k,peso510_k),1)),""))</f>
        <v/>
      </c>
      <c r="AL472">
        <f>IF($W472="","",IFERROR(INDEX(IF($T472&lt;=60,peso05_s,peso510_s),MATCH($W472,IF($T472&lt;=60,peso05_k,peso510_k),1)),""))</f>
        <v/>
      </c>
      <c r="AM472">
        <f>IF($AJ472="","",IF($AJ472=0,LN($F472/$AK472)/$AL472,((($F472/$AK472)^$AJ472)-1)/($AJ472*$AL472)))</f>
        <v/>
      </c>
      <c r="AN472">
        <f>IF($AJ472="","",IF($AJ472=0,$AK472*EXP($AL472*2),$AK472*(1+$AJ472*$AL472*2)^(1/$AJ472)))</f>
        <v/>
      </c>
      <c r="AO472">
        <f>IF($AJ472="","",IF($AJ472=0,$AK472*EXP($AL472*3),$AK472*(1+$AJ472*$AL472*3)^(1/$AJ472)))</f>
        <v/>
      </c>
      <c r="AP472">
        <f>IF($AJ472="","",IF($AJ472=0,$AK472*EXP($AL472*-2),$AK472*(1+$AJ472*$AL472*-2)^(1/$AJ472)))</f>
        <v/>
      </c>
      <c r="AQ472">
        <f>IF($AJ472="","",IF($AJ472=0,$AK472*EXP($AL472*-3),$AK472*(1+$AJ472*$AL472*-3)^(1/$AJ472)))</f>
        <v/>
      </c>
      <c r="AR472">
        <f>IF(OR($X472="",$T472&gt;60),"",IFERROR(INDEX(IF($T472&lt;24,pcomp_l,palt_l),MATCH($X472,IF($T472&lt;24,pcomp_k,palt_k),1)),""))</f>
        <v/>
      </c>
      <c r="AS472">
        <f>IF(OR($X472="",$T472&gt;60),"",IFERROR(INDEX(IF($T472&lt;24,pcomp_m,palt_m),MATCH($X472,IF($T472&lt;24,pcomp_k,palt_k),1)),""))</f>
        <v/>
      </c>
      <c r="AT472">
        <f>IF(OR($X472="",$T472&gt;60),"",IFERROR(INDEX(IF($T472&lt;24,pcomp_s,palt_s),MATCH($X472,IF($T472&lt;24,pcomp_k,palt_k),1)),""))</f>
        <v/>
      </c>
      <c r="AU472">
        <f>IF($AR472="","",IF($AR472=0,LN($F472/$AS472)/$AT472,((($F472/$AS472)^$AR472)-1)/($AR472*$AT472)))</f>
        <v/>
      </c>
      <c r="AV472">
        <f>IF($AR472="","",IF($AR472=0,$AS472*EXP($AT472*2),$AS472*(1+$AR472*$AT472*2)^(1/$AR472)))</f>
        <v/>
      </c>
      <c r="AW472">
        <f>IF($AR472="","",IF($AR472=0,$AS472*EXP($AT472*3),$AS472*(1+$AR472*$AT472*3)^(1/$AR472)))</f>
        <v/>
      </c>
      <c r="AX472">
        <f>IF($AR472="","",IF($AR472=0,$AS472*EXP($AT472*-2),$AS472*(1+$AR472*$AT472*-2)^(1/$AR472)))</f>
        <v/>
      </c>
      <c r="AY472">
        <f>IF($AR472="","",IF($AR472=0,$AS472*EXP($AT472*-3),$AS472*(1+$AR472*$AT472*-3)^(1/$AR472)))</f>
        <v/>
      </c>
      <c r="AZ472">
        <f>IF(OR($A472="",$A472&lt;&gt;Ficha!$C$4),"",COUNTIF($A$2:$A472,Ficha!$C$4))</f>
        <v/>
      </c>
    </row>
    <row r="473">
      <c r="A473" s="8">
        <f>IF(INDEX(Banco!$A:$A,ROW())="","",INDEX(Banco!$A:$A,ROW()))</f>
        <v/>
      </c>
      <c r="B473" s="8">
        <f>IF(INDEX(Banco!$B:$B,ROW())="","",INDEX(Banco!$B:$B,ROW()))</f>
        <v/>
      </c>
      <c r="C473" s="8">
        <f>IF(INDEX(Banco!$C:$C,ROW())="","",INDEX(Banco!$C:$C,ROW()))</f>
        <v/>
      </c>
      <c r="D473" s="9">
        <f>IF(INDEX(Banco!$D:$D,ROW())="","",INDEX(Banco!$D:$D,ROW()))</f>
        <v/>
      </c>
      <c r="E473" s="9">
        <f>IF(INDEX(Banco!$E:$E,ROW())="","",INDEX(Banco!$E:$E,ROW()))</f>
        <v/>
      </c>
      <c r="F473" s="10">
        <f>IF(INDEX(Banco!$F:$F,ROW())="","",INDEX(Banco!$F:$F,ROW()))</f>
        <v/>
      </c>
      <c r="G473" s="10">
        <f>IF(INDEX(Banco!$G:$G,ROW())="","",INDEX(Banco!$G:$G,ROW()))</f>
        <v/>
      </c>
      <c r="H473" s="8">
        <f>IF(INDEX(Banco!$H:$H,ROW())="","",INDEX(Banco!$H:$H,ROW()))</f>
        <v/>
      </c>
      <c r="I473">
        <f>IF($T473="","",INT($T473/12)&amp;"a "&amp;MOD($T473,12)&amp;"m")</f>
        <v/>
      </c>
      <c r="J473" s="11">
        <f>IF(OR($F473="",$G473=""),"",ROUND($F473/($G473/100)^2,2))</f>
        <v/>
      </c>
      <c r="K473" s="12">
        <f>IF(OR($S473="",$J473="",$T473="",$T473&lt;0,$T473&gt;228,$Y473=""),"—",ROUND(IF(ABS($AB473)&lt;=3,$AB473,IF($AB473&gt;3,3+($J473-$AD473)/($AD473-$AC473),-3+($J473-$AF473)/($AE473-$AF473))),2))</f>
        <v/>
      </c>
      <c r="L473">
        <f>IF(OR($K473="",$K473="—"),"",IF($T473&lt;=60,IF($K473&lt;-3,"Magreza acentuada",IF($K473&lt;-2,"Magreza",IF($K473&lt;=1,"Eutrofia",IF($K473&lt;=2,"Risco de sobrepeso",IF($K473&lt;=3,"Sobrepeso","Obesidade"))))),IF($K473&lt;-3,"Magreza acentuada",IF($K473&lt;-2,"Magreza",IF($K473&lt;=1,"Eutrofia",IF($K473&lt;=2,"Sobrepeso",IF($K473&lt;=3,"Obesidade","Obesidade grave")))))))</f>
        <v/>
      </c>
      <c r="M473" s="12">
        <f>IF(OR($S473="",$V473="",$T473="",$T473&lt;0,$T473&gt;228,$AG473=""),"—",ROUND(IF($AG473=0,LN($V473/$AH473)/$AI473,((($V473/$AH473)^$AG473)-1)/($AG473*$AI473)),2))</f>
        <v/>
      </c>
      <c r="N473">
        <f>IF(OR($M473="",$M473="—"),"",IF($M473&lt;-3,"Muito baixa",IF($M473&lt;-2,"Baixa","Adequada")))</f>
        <v/>
      </c>
      <c r="O473" s="12">
        <f>IF(OR($S473="",$F473="",$T473="",$T473&lt;0,$T473&gt;120,$AJ473=""),"—",ROUND(IF(ABS($AM473)&lt;=3,$AM473,IF($AM473&gt;3,3+($F473-$AO473)/($AO473-$AN473),-3+($F473-$AQ473)/($AP473-$AQ473))),2))</f>
        <v/>
      </c>
      <c r="P473">
        <f>IF(OR($O473="",$O473="—"),"",IF($O473&lt;-3,"Muito baixo",IF($O473&lt;-2,"Baixo",IF($O473&lt;=2,"Adequado","Elevado"))))</f>
        <v/>
      </c>
      <c r="Q473" s="12">
        <f>IF(OR($S473="",$F473="",$T473="",$T473&lt;0,$T473&gt;60,$AR473=""),"—",ROUND(IF(ABS($AU473)&lt;=3,$AU473,IF($AU473&gt;3,3+($F473-$AW473)/($AW473-$AV473),-3+($F473-$AY473)/($AX473-$AY473))),2))</f>
        <v/>
      </c>
      <c r="R473">
        <f>IF(OR($Q473="",$Q473="—"),"",IF($Q473&lt;-3,"Magreza acentuada",IF($Q473&lt;-2,"Magreza",IF($Q473&lt;=1,"Eutrofia",IF($Q473&lt;=2,"Risco de sobrepeso",IF($Q473&lt;=3,"Sobrepeso","Obesidade"))))))</f>
        <v/>
      </c>
      <c r="S473">
        <f>IF($C473="","",IF(UPPER(LEFT($C473,1))="M",1,IF(UPPER(LEFT($C473,1))="F",2,"")))</f>
        <v/>
      </c>
      <c r="T473">
        <f>IF(OR($D473="",$E473=""),"",DATEDIF($D473,$E473,"m"))</f>
        <v/>
      </c>
      <c r="U473">
        <f>IF(OR($D473="",$E473=""),"",$E473-$D473)</f>
        <v/>
      </c>
      <c r="V473">
        <f>IF(OR($G473="",$T473=""),"",IF($T473&lt;24,IF(LEFT(LOWER($H473),4)="em p",$G473+0.7,$G473),IF(LEFT(LOWER($H473),4)="deit",$G473-0.7,$G473)))</f>
        <v/>
      </c>
      <c r="W473">
        <f>IF(OR($S473="",$T473=""),"",$S473*1000000+IF($T473&lt;=60,$U473,$T473))</f>
        <v/>
      </c>
      <c r="X473">
        <f>IF(OR($S473="",$V473="",$T473&gt;60,$T473=""),"",$S473*1000000+ROUND($V473*10,0))</f>
        <v/>
      </c>
      <c r="Y473">
        <f>IF($W473="","",IFERROR(INDEX(IF($T473&lt;=60,imc05_l,imc519_l),MATCH($W473,IF($T473&lt;=60,imc05_k,imc519_k),1)),""))</f>
        <v/>
      </c>
      <c r="Z473">
        <f>IF($W473="","",IFERROR(INDEX(IF($T473&lt;=60,imc05_m,imc519_m),MATCH($W473,IF($T473&lt;=60,imc05_k,imc519_k),1)),""))</f>
        <v/>
      </c>
      <c r="AA473">
        <f>IF($W473="","",IFERROR(INDEX(IF($T473&lt;=60,imc05_s,imc519_s),MATCH($W473,IF($T473&lt;=60,imc05_k,imc519_k),1)),""))</f>
        <v/>
      </c>
      <c r="AB473">
        <f>IF($Y473="","",IF($Y473=0,LN($J473/$Z473)/$AA473,((($J473/$Z473)^$Y473)-1)/($Y473*$AA473)))</f>
        <v/>
      </c>
      <c r="AC473">
        <f>IF($Y473="","",IF($Y473=0,$Z473*EXP($AA473*2),$Z473*(1+$Y473*$AA473*2)^(1/$Y473)))</f>
        <v/>
      </c>
      <c r="AD473">
        <f>IF($Y473="","",IF($Y473=0,$Z473*EXP($AA473*3),$Z473*(1+$Y473*$AA473*3)^(1/$Y473)))</f>
        <v/>
      </c>
      <c r="AE473">
        <f>IF($Y473="","",IF($Y473=0,$Z473*EXP($AA473*-2),$Z473*(1+$Y473*$AA473*-2)^(1/$Y473)))</f>
        <v/>
      </c>
      <c r="AF473">
        <f>IF($Y473="","",IF($Y473=0,$Z473*EXP($AA473*-3),$Z473*(1+$Y473*$AA473*-3)^(1/$Y473)))</f>
        <v/>
      </c>
      <c r="AG473">
        <f>IF($W473="","",IFERROR(INDEX(IF($T473&lt;=60,est05_l,est519_l),MATCH($W473,IF($T473&lt;=60,est05_k,est519_k),1)),""))</f>
        <v/>
      </c>
      <c r="AH473">
        <f>IF($W473="","",IFERROR(INDEX(IF($T473&lt;=60,est05_m,est519_m),MATCH($W473,IF($T473&lt;=60,est05_k,est519_k),1)),""))</f>
        <v/>
      </c>
      <c r="AI473">
        <f>IF($W473="","",IFERROR(INDEX(IF($T473&lt;=60,est05_s,est519_s),MATCH($W473,IF($T473&lt;=60,est05_k,est519_k),1)),""))</f>
        <v/>
      </c>
      <c r="AJ473">
        <f>IF($W473="","",IFERROR(INDEX(IF($T473&lt;=60,peso05_l,peso510_l),MATCH($W473,IF($T473&lt;=60,peso05_k,peso510_k),1)),""))</f>
        <v/>
      </c>
      <c r="AK473">
        <f>IF($W473="","",IFERROR(INDEX(IF($T473&lt;=60,peso05_m,peso510_m),MATCH($W473,IF($T473&lt;=60,peso05_k,peso510_k),1)),""))</f>
        <v/>
      </c>
      <c r="AL473">
        <f>IF($W473="","",IFERROR(INDEX(IF($T473&lt;=60,peso05_s,peso510_s),MATCH($W473,IF($T473&lt;=60,peso05_k,peso510_k),1)),""))</f>
        <v/>
      </c>
      <c r="AM473">
        <f>IF($AJ473="","",IF($AJ473=0,LN($F473/$AK473)/$AL473,((($F473/$AK473)^$AJ473)-1)/($AJ473*$AL473)))</f>
        <v/>
      </c>
      <c r="AN473">
        <f>IF($AJ473="","",IF($AJ473=0,$AK473*EXP($AL473*2),$AK473*(1+$AJ473*$AL473*2)^(1/$AJ473)))</f>
        <v/>
      </c>
      <c r="AO473">
        <f>IF($AJ473="","",IF($AJ473=0,$AK473*EXP($AL473*3),$AK473*(1+$AJ473*$AL473*3)^(1/$AJ473)))</f>
        <v/>
      </c>
      <c r="AP473">
        <f>IF($AJ473="","",IF($AJ473=0,$AK473*EXP($AL473*-2),$AK473*(1+$AJ473*$AL473*-2)^(1/$AJ473)))</f>
        <v/>
      </c>
      <c r="AQ473">
        <f>IF($AJ473="","",IF($AJ473=0,$AK473*EXP($AL473*-3),$AK473*(1+$AJ473*$AL473*-3)^(1/$AJ473)))</f>
        <v/>
      </c>
      <c r="AR473">
        <f>IF(OR($X473="",$T473&gt;60),"",IFERROR(INDEX(IF($T473&lt;24,pcomp_l,palt_l),MATCH($X473,IF($T473&lt;24,pcomp_k,palt_k),1)),""))</f>
        <v/>
      </c>
      <c r="AS473">
        <f>IF(OR($X473="",$T473&gt;60),"",IFERROR(INDEX(IF($T473&lt;24,pcomp_m,palt_m),MATCH($X473,IF($T473&lt;24,pcomp_k,palt_k),1)),""))</f>
        <v/>
      </c>
      <c r="AT473">
        <f>IF(OR($X473="",$T473&gt;60),"",IFERROR(INDEX(IF($T473&lt;24,pcomp_s,palt_s),MATCH($X473,IF($T473&lt;24,pcomp_k,palt_k),1)),""))</f>
        <v/>
      </c>
      <c r="AU473">
        <f>IF($AR473="","",IF($AR473=0,LN($F473/$AS473)/$AT473,((($F473/$AS473)^$AR473)-1)/($AR473*$AT473)))</f>
        <v/>
      </c>
      <c r="AV473">
        <f>IF($AR473="","",IF($AR473=0,$AS473*EXP($AT473*2),$AS473*(1+$AR473*$AT473*2)^(1/$AR473)))</f>
        <v/>
      </c>
      <c r="AW473">
        <f>IF($AR473="","",IF($AR473=0,$AS473*EXP($AT473*3),$AS473*(1+$AR473*$AT473*3)^(1/$AR473)))</f>
        <v/>
      </c>
      <c r="AX473">
        <f>IF($AR473="","",IF($AR473=0,$AS473*EXP($AT473*-2),$AS473*(1+$AR473*$AT473*-2)^(1/$AR473)))</f>
        <v/>
      </c>
      <c r="AY473">
        <f>IF($AR473="","",IF($AR473=0,$AS473*EXP($AT473*-3),$AS473*(1+$AR473*$AT473*-3)^(1/$AR473)))</f>
        <v/>
      </c>
      <c r="AZ473">
        <f>IF(OR($A473="",$A473&lt;&gt;Ficha!$C$4),"",COUNTIF($A$2:$A473,Ficha!$C$4))</f>
        <v/>
      </c>
    </row>
    <row r="474">
      <c r="A474" s="8">
        <f>IF(INDEX(Banco!$A:$A,ROW())="","",INDEX(Banco!$A:$A,ROW()))</f>
        <v/>
      </c>
      <c r="B474" s="8">
        <f>IF(INDEX(Banco!$B:$B,ROW())="","",INDEX(Banco!$B:$B,ROW()))</f>
        <v/>
      </c>
      <c r="C474" s="8">
        <f>IF(INDEX(Banco!$C:$C,ROW())="","",INDEX(Banco!$C:$C,ROW()))</f>
        <v/>
      </c>
      <c r="D474" s="9">
        <f>IF(INDEX(Banco!$D:$D,ROW())="","",INDEX(Banco!$D:$D,ROW()))</f>
        <v/>
      </c>
      <c r="E474" s="9">
        <f>IF(INDEX(Banco!$E:$E,ROW())="","",INDEX(Banco!$E:$E,ROW()))</f>
        <v/>
      </c>
      <c r="F474" s="10">
        <f>IF(INDEX(Banco!$F:$F,ROW())="","",INDEX(Banco!$F:$F,ROW()))</f>
        <v/>
      </c>
      <c r="G474" s="10">
        <f>IF(INDEX(Banco!$G:$G,ROW())="","",INDEX(Banco!$G:$G,ROW()))</f>
        <v/>
      </c>
      <c r="H474" s="8">
        <f>IF(INDEX(Banco!$H:$H,ROW())="","",INDEX(Banco!$H:$H,ROW()))</f>
        <v/>
      </c>
      <c r="I474">
        <f>IF($T474="","",INT($T474/12)&amp;"a "&amp;MOD($T474,12)&amp;"m")</f>
        <v/>
      </c>
      <c r="J474" s="11">
        <f>IF(OR($F474="",$G474=""),"",ROUND($F474/($G474/100)^2,2))</f>
        <v/>
      </c>
      <c r="K474" s="12">
        <f>IF(OR($S474="",$J474="",$T474="",$T474&lt;0,$T474&gt;228,$Y474=""),"—",ROUND(IF(ABS($AB474)&lt;=3,$AB474,IF($AB474&gt;3,3+($J474-$AD474)/($AD474-$AC474),-3+($J474-$AF474)/($AE474-$AF474))),2))</f>
        <v/>
      </c>
      <c r="L474">
        <f>IF(OR($K474="",$K474="—"),"",IF($T474&lt;=60,IF($K474&lt;-3,"Magreza acentuada",IF($K474&lt;-2,"Magreza",IF($K474&lt;=1,"Eutrofia",IF($K474&lt;=2,"Risco de sobrepeso",IF($K474&lt;=3,"Sobrepeso","Obesidade"))))),IF($K474&lt;-3,"Magreza acentuada",IF($K474&lt;-2,"Magreza",IF($K474&lt;=1,"Eutrofia",IF($K474&lt;=2,"Sobrepeso",IF($K474&lt;=3,"Obesidade","Obesidade grave")))))))</f>
        <v/>
      </c>
      <c r="M474" s="12">
        <f>IF(OR($S474="",$V474="",$T474="",$T474&lt;0,$T474&gt;228,$AG474=""),"—",ROUND(IF($AG474=0,LN($V474/$AH474)/$AI474,((($V474/$AH474)^$AG474)-1)/($AG474*$AI474)),2))</f>
        <v/>
      </c>
      <c r="N474">
        <f>IF(OR($M474="",$M474="—"),"",IF($M474&lt;-3,"Muito baixa",IF($M474&lt;-2,"Baixa","Adequada")))</f>
        <v/>
      </c>
      <c r="O474" s="12">
        <f>IF(OR($S474="",$F474="",$T474="",$T474&lt;0,$T474&gt;120,$AJ474=""),"—",ROUND(IF(ABS($AM474)&lt;=3,$AM474,IF($AM474&gt;3,3+($F474-$AO474)/($AO474-$AN474),-3+($F474-$AQ474)/($AP474-$AQ474))),2))</f>
        <v/>
      </c>
      <c r="P474">
        <f>IF(OR($O474="",$O474="—"),"",IF($O474&lt;-3,"Muito baixo",IF($O474&lt;-2,"Baixo",IF($O474&lt;=2,"Adequado","Elevado"))))</f>
        <v/>
      </c>
      <c r="Q474" s="12">
        <f>IF(OR($S474="",$F474="",$T474="",$T474&lt;0,$T474&gt;60,$AR474=""),"—",ROUND(IF(ABS($AU474)&lt;=3,$AU474,IF($AU474&gt;3,3+($F474-$AW474)/($AW474-$AV474),-3+($F474-$AY474)/($AX474-$AY474))),2))</f>
        <v/>
      </c>
      <c r="R474">
        <f>IF(OR($Q474="",$Q474="—"),"",IF($Q474&lt;-3,"Magreza acentuada",IF($Q474&lt;-2,"Magreza",IF($Q474&lt;=1,"Eutrofia",IF($Q474&lt;=2,"Risco de sobrepeso",IF($Q474&lt;=3,"Sobrepeso","Obesidade"))))))</f>
        <v/>
      </c>
      <c r="S474">
        <f>IF($C474="","",IF(UPPER(LEFT($C474,1))="M",1,IF(UPPER(LEFT($C474,1))="F",2,"")))</f>
        <v/>
      </c>
      <c r="T474">
        <f>IF(OR($D474="",$E474=""),"",DATEDIF($D474,$E474,"m"))</f>
        <v/>
      </c>
      <c r="U474">
        <f>IF(OR($D474="",$E474=""),"",$E474-$D474)</f>
        <v/>
      </c>
      <c r="V474">
        <f>IF(OR($G474="",$T474=""),"",IF($T474&lt;24,IF(LEFT(LOWER($H474),4)="em p",$G474+0.7,$G474),IF(LEFT(LOWER($H474),4)="deit",$G474-0.7,$G474)))</f>
        <v/>
      </c>
      <c r="W474">
        <f>IF(OR($S474="",$T474=""),"",$S474*1000000+IF($T474&lt;=60,$U474,$T474))</f>
        <v/>
      </c>
      <c r="X474">
        <f>IF(OR($S474="",$V474="",$T474&gt;60,$T474=""),"",$S474*1000000+ROUND($V474*10,0))</f>
        <v/>
      </c>
      <c r="Y474">
        <f>IF($W474="","",IFERROR(INDEX(IF($T474&lt;=60,imc05_l,imc519_l),MATCH($W474,IF($T474&lt;=60,imc05_k,imc519_k),1)),""))</f>
        <v/>
      </c>
      <c r="Z474">
        <f>IF($W474="","",IFERROR(INDEX(IF($T474&lt;=60,imc05_m,imc519_m),MATCH($W474,IF($T474&lt;=60,imc05_k,imc519_k),1)),""))</f>
        <v/>
      </c>
      <c r="AA474">
        <f>IF($W474="","",IFERROR(INDEX(IF($T474&lt;=60,imc05_s,imc519_s),MATCH($W474,IF($T474&lt;=60,imc05_k,imc519_k),1)),""))</f>
        <v/>
      </c>
      <c r="AB474">
        <f>IF($Y474="","",IF($Y474=0,LN($J474/$Z474)/$AA474,((($J474/$Z474)^$Y474)-1)/($Y474*$AA474)))</f>
        <v/>
      </c>
      <c r="AC474">
        <f>IF($Y474="","",IF($Y474=0,$Z474*EXP($AA474*2),$Z474*(1+$Y474*$AA474*2)^(1/$Y474)))</f>
        <v/>
      </c>
      <c r="AD474">
        <f>IF($Y474="","",IF($Y474=0,$Z474*EXP($AA474*3),$Z474*(1+$Y474*$AA474*3)^(1/$Y474)))</f>
        <v/>
      </c>
      <c r="AE474">
        <f>IF($Y474="","",IF($Y474=0,$Z474*EXP($AA474*-2),$Z474*(1+$Y474*$AA474*-2)^(1/$Y474)))</f>
        <v/>
      </c>
      <c r="AF474">
        <f>IF($Y474="","",IF($Y474=0,$Z474*EXP($AA474*-3),$Z474*(1+$Y474*$AA474*-3)^(1/$Y474)))</f>
        <v/>
      </c>
      <c r="AG474">
        <f>IF($W474="","",IFERROR(INDEX(IF($T474&lt;=60,est05_l,est519_l),MATCH($W474,IF($T474&lt;=60,est05_k,est519_k),1)),""))</f>
        <v/>
      </c>
      <c r="AH474">
        <f>IF($W474="","",IFERROR(INDEX(IF($T474&lt;=60,est05_m,est519_m),MATCH($W474,IF($T474&lt;=60,est05_k,est519_k),1)),""))</f>
        <v/>
      </c>
      <c r="AI474">
        <f>IF($W474="","",IFERROR(INDEX(IF($T474&lt;=60,est05_s,est519_s),MATCH($W474,IF($T474&lt;=60,est05_k,est519_k),1)),""))</f>
        <v/>
      </c>
      <c r="AJ474">
        <f>IF($W474="","",IFERROR(INDEX(IF($T474&lt;=60,peso05_l,peso510_l),MATCH($W474,IF($T474&lt;=60,peso05_k,peso510_k),1)),""))</f>
        <v/>
      </c>
      <c r="AK474">
        <f>IF($W474="","",IFERROR(INDEX(IF($T474&lt;=60,peso05_m,peso510_m),MATCH($W474,IF($T474&lt;=60,peso05_k,peso510_k),1)),""))</f>
        <v/>
      </c>
      <c r="AL474">
        <f>IF($W474="","",IFERROR(INDEX(IF($T474&lt;=60,peso05_s,peso510_s),MATCH($W474,IF($T474&lt;=60,peso05_k,peso510_k),1)),""))</f>
        <v/>
      </c>
      <c r="AM474">
        <f>IF($AJ474="","",IF($AJ474=0,LN($F474/$AK474)/$AL474,((($F474/$AK474)^$AJ474)-1)/($AJ474*$AL474)))</f>
        <v/>
      </c>
      <c r="AN474">
        <f>IF($AJ474="","",IF($AJ474=0,$AK474*EXP($AL474*2),$AK474*(1+$AJ474*$AL474*2)^(1/$AJ474)))</f>
        <v/>
      </c>
      <c r="AO474">
        <f>IF($AJ474="","",IF($AJ474=0,$AK474*EXP($AL474*3),$AK474*(1+$AJ474*$AL474*3)^(1/$AJ474)))</f>
        <v/>
      </c>
      <c r="AP474">
        <f>IF($AJ474="","",IF($AJ474=0,$AK474*EXP($AL474*-2),$AK474*(1+$AJ474*$AL474*-2)^(1/$AJ474)))</f>
        <v/>
      </c>
      <c r="AQ474">
        <f>IF($AJ474="","",IF($AJ474=0,$AK474*EXP($AL474*-3),$AK474*(1+$AJ474*$AL474*-3)^(1/$AJ474)))</f>
        <v/>
      </c>
      <c r="AR474">
        <f>IF(OR($X474="",$T474&gt;60),"",IFERROR(INDEX(IF($T474&lt;24,pcomp_l,palt_l),MATCH($X474,IF($T474&lt;24,pcomp_k,palt_k),1)),""))</f>
        <v/>
      </c>
      <c r="AS474">
        <f>IF(OR($X474="",$T474&gt;60),"",IFERROR(INDEX(IF($T474&lt;24,pcomp_m,palt_m),MATCH($X474,IF($T474&lt;24,pcomp_k,palt_k),1)),""))</f>
        <v/>
      </c>
      <c r="AT474">
        <f>IF(OR($X474="",$T474&gt;60),"",IFERROR(INDEX(IF($T474&lt;24,pcomp_s,palt_s),MATCH($X474,IF($T474&lt;24,pcomp_k,palt_k),1)),""))</f>
        <v/>
      </c>
      <c r="AU474">
        <f>IF($AR474="","",IF($AR474=0,LN($F474/$AS474)/$AT474,((($F474/$AS474)^$AR474)-1)/($AR474*$AT474)))</f>
        <v/>
      </c>
      <c r="AV474">
        <f>IF($AR474="","",IF($AR474=0,$AS474*EXP($AT474*2),$AS474*(1+$AR474*$AT474*2)^(1/$AR474)))</f>
        <v/>
      </c>
      <c r="AW474">
        <f>IF($AR474="","",IF($AR474=0,$AS474*EXP($AT474*3),$AS474*(1+$AR474*$AT474*3)^(1/$AR474)))</f>
        <v/>
      </c>
      <c r="AX474">
        <f>IF($AR474="","",IF($AR474=0,$AS474*EXP($AT474*-2),$AS474*(1+$AR474*$AT474*-2)^(1/$AR474)))</f>
        <v/>
      </c>
      <c r="AY474">
        <f>IF($AR474="","",IF($AR474=0,$AS474*EXP($AT474*-3),$AS474*(1+$AR474*$AT474*-3)^(1/$AR474)))</f>
        <v/>
      </c>
      <c r="AZ474">
        <f>IF(OR($A474="",$A474&lt;&gt;Ficha!$C$4),"",COUNTIF($A$2:$A474,Ficha!$C$4))</f>
        <v/>
      </c>
    </row>
    <row r="475">
      <c r="A475" s="8">
        <f>IF(INDEX(Banco!$A:$A,ROW())="","",INDEX(Banco!$A:$A,ROW()))</f>
        <v/>
      </c>
      <c r="B475" s="8">
        <f>IF(INDEX(Banco!$B:$B,ROW())="","",INDEX(Banco!$B:$B,ROW()))</f>
        <v/>
      </c>
      <c r="C475" s="8">
        <f>IF(INDEX(Banco!$C:$C,ROW())="","",INDEX(Banco!$C:$C,ROW()))</f>
        <v/>
      </c>
      <c r="D475" s="9">
        <f>IF(INDEX(Banco!$D:$D,ROW())="","",INDEX(Banco!$D:$D,ROW()))</f>
        <v/>
      </c>
      <c r="E475" s="9">
        <f>IF(INDEX(Banco!$E:$E,ROW())="","",INDEX(Banco!$E:$E,ROW()))</f>
        <v/>
      </c>
      <c r="F475" s="10">
        <f>IF(INDEX(Banco!$F:$F,ROW())="","",INDEX(Banco!$F:$F,ROW()))</f>
        <v/>
      </c>
      <c r="G475" s="10">
        <f>IF(INDEX(Banco!$G:$G,ROW())="","",INDEX(Banco!$G:$G,ROW()))</f>
        <v/>
      </c>
      <c r="H475" s="8">
        <f>IF(INDEX(Banco!$H:$H,ROW())="","",INDEX(Banco!$H:$H,ROW()))</f>
        <v/>
      </c>
      <c r="I475">
        <f>IF($T475="","",INT($T475/12)&amp;"a "&amp;MOD($T475,12)&amp;"m")</f>
        <v/>
      </c>
      <c r="J475" s="11">
        <f>IF(OR($F475="",$G475=""),"",ROUND($F475/($G475/100)^2,2))</f>
        <v/>
      </c>
      <c r="K475" s="12">
        <f>IF(OR($S475="",$J475="",$T475="",$T475&lt;0,$T475&gt;228,$Y475=""),"—",ROUND(IF(ABS($AB475)&lt;=3,$AB475,IF($AB475&gt;3,3+($J475-$AD475)/($AD475-$AC475),-3+($J475-$AF475)/($AE475-$AF475))),2))</f>
        <v/>
      </c>
      <c r="L475">
        <f>IF(OR($K475="",$K475="—"),"",IF($T475&lt;=60,IF($K475&lt;-3,"Magreza acentuada",IF($K475&lt;-2,"Magreza",IF($K475&lt;=1,"Eutrofia",IF($K475&lt;=2,"Risco de sobrepeso",IF($K475&lt;=3,"Sobrepeso","Obesidade"))))),IF($K475&lt;-3,"Magreza acentuada",IF($K475&lt;-2,"Magreza",IF($K475&lt;=1,"Eutrofia",IF($K475&lt;=2,"Sobrepeso",IF($K475&lt;=3,"Obesidade","Obesidade grave")))))))</f>
        <v/>
      </c>
      <c r="M475" s="12">
        <f>IF(OR($S475="",$V475="",$T475="",$T475&lt;0,$T475&gt;228,$AG475=""),"—",ROUND(IF($AG475=0,LN($V475/$AH475)/$AI475,((($V475/$AH475)^$AG475)-1)/($AG475*$AI475)),2))</f>
        <v/>
      </c>
      <c r="N475">
        <f>IF(OR($M475="",$M475="—"),"",IF($M475&lt;-3,"Muito baixa",IF($M475&lt;-2,"Baixa","Adequada")))</f>
        <v/>
      </c>
      <c r="O475" s="12">
        <f>IF(OR($S475="",$F475="",$T475="",$T475&lt;0,$T475&gt;120,$AJ475=""),"—",ROUND(IF(ABS($AM475)&lt;=3,$AM475,IF($AM475&gt;3,3+($F475-$AO475)/($AO475-$AN475),-3+($F475-$AQ475)/($AP475-$AQ475))),2))</f>
        <v/>
      </c>
      <c r="P475">
        <f>IF(OR($O475="",$O475="—"),"",IF($O475&lt;-3,"Muito baixo",IF($O475&lt;-2,"Baixo",IF($O475&lt;=2,"Adequado","Elevado"))))</f>
        <v/>
      </c>
      <c r="Q475" s="12">
        <f>IF(OR($S475="",$F475="",$T475="",$T475&lt;0,$T475&gt;60,$AR475=""),"—",ROUND(IF(ABS($AU475)&lt;=3,$AU475,IF($AU475&gt;3,3+($F475-$AW475)/($AW475-$AV475),-3+($F475-$AY475)/($AX475-$AY475))),2))</f>
        <v/>
      </c>
      <c r="R475">
        <f>IF(OR($Q475="",$Q475="—"),"",IF($Q475&lt;-3,"Magreza acentuada",IF($Q475&lt;-2,"Magreza",IF($Q475&lt;=1,"Eutrofia",IF($Q475&lt;=2,"Risco de sobrepeso",IF($Q475&lt;=3,"Sobrepeso","Obesidade"))))))</f>
        <v/>
      </c>
      <c r="S475">
        <f>IF($C475="","",IF(UPPER(LEFT($C475,1))="M",1,IF(UPPER(LEFT($C475,1))="F",2,"")))</f>
        <v/>
      </c>
      <c r="T475">
        <f>IF(OR($D475="",$E475=""),"",DATEDIF($D475,$E475,"m"))</f>
        <v/>
      </c>
      <c r="U475">
        <f>IF(OR($D475="",$E475=""),"",$E475-$D475)</f>
        <v/>
      </c>
      <c r="V475">
        <f>IF(OR($G475="",$T475=""),"",IF($T475&lt;24,IF(LEFT(LOWER($H475),4)="em p",$G475+0.7,$G475),IF(LEFT(LOWER($H475),4)="deit",$G475-0.7,$G475)))</f>
        <v/>
      </c>
      <c r="W475">
        <f>IF(OR($S475="",$T475=""),"",$S475*1000000+IF($T475&lt;=60,$U475,$T475))</f>
        <v/>
      </c>
      <c r="X475">
        <f>IF(OR($S475="",$V475="",$T475&gt;60,$T475=""),"",$S475*1000000+ROUND($V475*10,0))</f>
        <v/>
      </c>
      <c r="Y475">
        <f>IF($W475="","",IFERROR(INDEX(IF($T475&lt;=60,imc05_l,imc519_l),MATCH($W475,IF($T475&lt;=60,imc05_k,imc519_k),1)),""))</f>
        <v/>
      </c>
      <c r="Z475">
        <f>IF($W475="","",IFERROR(INDEX(IF($T475&lt;=60,imc05_m,imc519_m),MATCH($W475,IF($T475&lt;=60,imc05_k,imc519_k),1)),""))</f>
        <v/>
      </c>
      <c r="AA475">
        <f>IF($W475="","",IFERROR(INDEX(IF($T475&lt;=60,imc05_s,imc519_s),MATCH($W475,IF($T475&lt;=60,imc05_k,imc519_k),1)),""))</f>
        <v/>
      </c>
      <c r="AB475">
        <f>IF($Y475="","",IF($Y475=0,LN($J475/$Z475)/$AA475,((($J475/$Z475)^$Y475)-1)/($Y475*$AA475)))</f>
        <v/>
      </c>
      <c r="AC475">
        <f>IF($Y475="","",IF($Y475=0,$Z475*EXP($AA475*2),$Z475*(1+$Y475*$AA475*2)^(1/$Y475)))</f>
        <v/>
      </c>
      <c r="AD475">
        <f>IF($Y475="","",IF($Y475=0,$Z475*EXP($AA475*3),$Z475*(1+$Y475*$AA475*3)^(1/$Y475)))</f>
        <v/>
      </c>
      <c r="AE475">
        <f>IF($Y475="","",IF($Y475=0,$Z475*EXP($AA475*-2),$Z475*(1+$Y475*$AA475*-2)^(1/$Y475)))</f>
        <v/>
      </c>
      <c r="AF475">
        <f>IF($Y475="","",IF($Y475=0,$Z475*EXP($AA475*-3),$Z475*(1+$Y475*$AA475*-3)^(1/$Y475)))</f>
        <v/>
      </c>
      <c r="AG475">
        <f>IF($W475="","",IFERROR(INDEX(IF($T475&lt;=60,est05_l,est519_l),MATCH($W475,IF($T475&lt;=60,est05_k,est519_k),1)),""))</f>
        <v/>
      </c>
      <c r="AH475">
        <f>IF($W475="","",IFERROR(INDEX(IF($T475&lt;=60,est05_m,est519_m),MATCH($W475,IF($T475&lt;=60,est05_k,est519_k),1)),""))</f>
        <v/>
      </c>
      <c r="AI475">
        <f>IF($W475="","",IFERROR(INDEX(IF($T475&lt;=60,est05_s,est519_s),MATCH($W475,IF($T475&lt;=60,est05_k,est519_k),1)),""))</f>
        <v/>
      </c>
      <c r="AJ475">
        <f>IF($W475="","",IFERROR(INDEX(IF($T475&lt;=60,peso05_l,peso510_l),MATCH($W475,IF($T475&lt;=60,peso05_k,peso510_k),1)),""))</f>
        <v/>
      </c>
      <c r="AK475">
        <f>IF($W475="","",IFERROR(INDEX(IF($T475&lt;=60,peso05_m,peso510_m),MATCH($W475,IF($T475&lt;=60,peso05_k,peso510_k),1)),""))</f>
        <v/>
      </c>
      <c r="AL475">
        <f>IF($W475="","",IFERROR(INDEX(IF($T475&lt;=60,peso05_s,peso510_s),MATCH($W475,IF($T475&lt;=60,peso05_k,peso510_k),1)),""))</f>
        <v/>
      </c>
      <c r="AM475">
        <f>IF($AJ475="","",IF($AJ475=0,LN($F475/$AK475)/$AL475,((($F475/$AK475)^$AJ475)-1)/($AJ475*$AL475)))</f>
        <v/>
      </c>
      <c r="AN475">
        <f>IF($AJ475="","",IF($AJ475=0,$AK475*EXP($AL475*2),$AK475*(1+$AJ475*$AL475*2)^(1/$AJ475)))</f>
        <v/>
      </c>
      <c r="AO475">
        <f>IF($AJ475="","",IF($AJ475=0,$AK475*EXP($AL475*3),$AK475*(1+$AJ475*$AL475*3)^(1/$AJ475)))</f>
        <v/>
      </c>
      <c r="AP475">
        <f>IF($AJ475="","",IF($AJ475=0,$AK475*EXP($AL475*-2),$AK475*(1+$AJ475*$AL475*-2)^(1/$AJ475)))</f>
        <v/>
      </c>
      <c r="AQ475">
        <f>IF($AJ475="","",IF($AJ475=0,$AK475*EXP($AL475*-3),$AK475*(1+$AJ475*$AL475*-3)^(1/$AJ475)))</f>
        <v/>
      </c>
      <c r="AR475">
        <f>IF(OR($X475="",$T475&gt;60),"",IFERROR(INDEX(IF($T475&lt;24,pcomp_l,palt_l),MATCH($X475,IF($T475&lt;24,pcomp_k,palt_k),1)),""))</f>
        <v/>
      </c>
      <c r="AS475">
        <f>IF(OR($X475="",$T475&gt;60),"",IFERROR(INDEX(IF($T475&lt;24,pcomp_m,palt_m),MATCH($X475,IF($T475&lt;24,pcomp_k,palt_k),1)),""))</f>
        <v/>
      </c>
      <c r="AT475">
        <f>IF(OR($X475="",$T475&gt;60),"",IFERROR(INDEX(IF($T475&lt;24,pcomp_s,palt_s),MATCH($X475,IF($T475&lt;24,pcomp_k,palt_k),1)),""))</f>
        <v/>
      </c>
      <c r="AU475">
        <f>IF($AR475="","",IF($AR475=0,LN($F475/$AS475)/$AT475,((($F475/$AS475)^$AR475)-1)/($AR475*$AT475)))</f>
        <v/>
      </c>
      <c r="AV475">
        <f>IF($AR475="","",IF($AR475=0,$AS475*EXP($AT475*2),$AS475*(1+$AR475*$AT475*2)^(1/$AR475)))</f>
        <v/>
      </c>
      <c r="AW475">
        <f>IF($AR475="","",IF($AR475=0,$AS475*EXP($AT475*3),$AS475*(1+$AR475*$AT475*3)^(1/$AR475)))</f>
        <v/>
      </c>
      <c r="AX475">
        <f>IF($AR475="","",IF($AR475=0,$AS475*EXP($AT475*-2),$AS475*(1+$AR475*$AT475*-2)^(1/$AR475)))</f>
        <v/>
      </c>
      <c r="AY475">
        <f>IF($AR475="","",IF($AR475=0,$AS475*EXP($AT475*-3),$AS475*(1+$AR475*$AT475*-3)^(1/$AR475)))</f>
        <v/>
      </c>
      <c r="AZ475">
        <f>IF(OR($A475="",$A475&lt;&gt;Ficha!$C$4),"",COUNTIF($A$2:$A475,Ficha!$C$4))</f>
        <v/>
      </c>
    </row>
    <row r="476">
      <c r="A476" s="8">
        <f>IF(INDEX(Banco!$A:$A,ROW())="","",INDEX(Banco!$A:$A,ROW()))</f>
        <v/>
      </c>
      <c r="B476" s="8">
        <f>IF(INDEX(Banco!$B:$B,ROW())="","",INDEX(Banco!$B:$B,ROW()))</f>
        <v/>
      </c>
      <c r="C476" s="8">
        <f>IF(INDEX(Banco!$C:$C,ROW())="","",INDEX(Banco!$C:$C,ROW()))</f>
        <v/>
      </c>
      <c r="D476" s="9">
        <f>IF(INDEX(Banco!$D:$D,ROW())="","",INDEX(Banco!$D:$D,ROW()))</f>
        <v/>
      </c>
      <c r="E476" s="9">
        <f>IF(INDEX(Banco!$E:$E,ROW())="","",INDEX(Banco!$E:$E,ROW()))</f>
        <v/>
      </c>
      <c r="F476" s="10">
        <f>IF(INDEX(Banco!$F:$F,ROW())="","",INDEX(Banco!$F:$F,ROW()))</f>
        <v/>
      </c>
      <c r="G476" s="10">
        <f>IF(INDEX(Banco!$G:$G,ROW())="","",INDEX(Banco!$G:$G,ROW()))</f>
        <v/>
      </c>
      <c r="H476" s="8">
        <f>IF(INDEX(Banco!$H:$H,ROW())="","",INDEX(Banco!$H:$H,ROW()))</f>
        <v/>
      </c>
      <c r="I476">
        <f>IF($T476="","",INT($T476/12)&amp;"a "&amp;MOD($T476,12)&amp;"m")</f>
        <v/>
      </c>
      <c r="J476" s="11">
        <f>IF(OR($F476="",$G476=""),"",ROUND($F476/($G476/100)^2,2))</f>
        <v/>
      </c>
      <c r="K476" s="12">
        <f>IF(OR($S476="",$J476="",$T476="",$T476&lt;0,$T476&gt;228,$Y476=""),"—",ROUND(IF(ABS($AB476)&lt;=3,$AB476,IF($AB476&gt;3,3+($J476-$AD476)/($AD476-$AC476),-3+($J476-$AF476)/($AE476-$AF476))),2))</f>
        <v/>
      </c>
      <c r="L476">
        <f>IF(OR($K476="",$K476="—"),"",IF($T476&lt;=60,IF($K476&lt;-3,"Magreza acentuada",IF($K476&lt;-2,"Magreza",IF($K476&lt;=1,"Eutrofia",IF($K476&lt;=2,"Risco de sobrepeso",IF($K476&lt;=3,"Sobrepeso","Obesidade"))))),IF($K476&lt;-3,"Magreza acentuada",IF($K476&lt;-2,"Magreza",IF($K476&lt;=1,"Eutrofia",IF($K476&lt;=2,"Sobrepeso",IF($K476&lt;=3,"Obesidade","Obesidade grave")))))))</f>
        <v/>
      </c>
      <c r="M476" s="12">
        <f>IF(OR($S476="",$V476="",$T476="",$T476&lt;0,$T476&gt;228,$AG476=""),"—",ROUND(IF($AG476=0,LN($V476/$AH476)/$AI476,((($V476/$AH476)^$AG476)-1)/($AG476*$AI476)),2))</f>
        <v/>
      </c>
      <c r="N476">
        <f>IF(OR($M476="",$M476="—"),"",IF($M476&lt;-3,"Muito baixa",IF($M476&lt;-2,"Baixa","Adequada")))</f>
        <v/>
      </c>
      <c r="O476" s="12">
        <f>IF(OR($S476="",$F476="",$T476="",$T476&lt;0,$T476&gt;120,$AJ476=""),"—",ROUND(IF(ABS($AM476)&lt;=3,$AM476,IF($AM476&gt;3,3+($F476-$AO476)/($AO476-$AN476),-3+($F476-$AQ476)/($AP476-$AQ476))),2))</f>
        <v/>
      </c>
      <c r="P476">
        <f>IF(OR($O476="",$O476="—"),"",IF($O476&lt;-3,"Muito baixo",IF($O476&lt;-2,"Baixo",IF($O476&lt;=2,"Adequado","Elevado"))))</f>
        <v/>
      </c>
      <c r="Q476" s="12">
        <f>IF(OR($S476="",$F476="",$T476="",$T476&lt;0,$T476&gt;60,$AR476=""),"—",ROUND(IF(ABS($AU476)&lt;=3,$AU476,IF($AU476&gt;3,3+($F476-$AW476)/($AW476-$AV476),-3+($F476-$AY476)/($AX476-$AY476))),2))</f>
        <v/>
      </c>
      <c r="R476">
        <f>IF(OR($Q476="",$Q476="—"),"",IF($Q476&lt;-3,"Magreza acentuada",IF($Q476&lt;-2,"Magreza",IF($Q476&lt;=1,"Eutrofia",IF($Q476&lt;=2,"Risco de sobrepeso",IF($Q476&lt;=3,"Sobrepeso","Obesidade"))))))</f>
        <v/>
      </c>
      <c r="S476">
        <f>IF($C476="","",IF(UPPER(LEFT($C476,1))="M",1,IF(UPPER(LEFT($C476,1))="F",2,"")))</f>
        <v/>
      </c>
      <c r="T476">
        <f>IF(OR($D476="",$E476=""),"",DATEDIF($D476,$E476,"m"))</f>
        <v/>
      </c>
      <c r="U476">
        <f>IF(OR($D476="",$E476=""),"",$E476-$D476)</f>
        <v/>
      </c>
      <c r="V476">
        <f>IF(OR($G476="",$T476=""),"",IF($T476&lt;24,IF(LEFT(LOWER($H476),4)="em p",$G476+0.7,$G476),IF(LEFT(LOWER($H476),4)="deit",$G476-0.7,$G476)))</f>
        <v/>
      </c>
      <c r="W476">
        <f>IF(OR($S476="",$T476=""),"",$S476*1000000+IF($T476&lt;=60,$U476,$T476))</f>
        <v/>
      </c>
      <c r="X476">
        <f>IF(OR($S476="",$V476="",$T476&gt;60,$T476=""),"",$S476*1000000+ROUND($V476*10,0))</f>
        <v/>
      </c>
      <c r="Y476">
        <f>IF($W476="","",IFERROR(INDEX(IF($T476&lt;=60,imc05_l,imc519_l),MATCH($W476,IF($T476&lt;=60,imc05_k,imc519_k),1)),""))</f>
        <v/>
      </c>
      <c r="Z476">
        <f>IF($W476="","",IFERROR(INDEX(IF($T476&lt;=60,imc05_m,imc519_m),MATCH($W476,IF($T476&lt;=60,imc05_k,imc519_k),1)),""))</f>
        <v/>
      </c>
      <c r="AA476">
        <f>IF($W476="","",IFERROR(INDEX(IF($T476&lt;=60,imc05_s,imc519_s),MATCH($W476,IF($T476&lt;=60,imc05_k,imc519_k),1)),""))</f>
        <v/>
      </c>
      <c r="AB476">
        <f>IF($Y476="","",IF($Y476=0,LN($J476/$Z476)/$AA476,((($J476/$Z476)^$Y476)-1)/($Y476*$AA476)))</f>
        <v/>
      </c>
      <c r="AC476">
        <f>IF($Y476="","",IF($Y476=0,$Z476*EXP($AA476*2),$Z476*(1+$Y476*$AA476*2)^(1/$Y476)))</f>
        <v/>
      </c>
      <c r="AD476">
        <f>IF($Y476="","",IF($Y476=0,$Z476*EXP($AA476*3),$Z476*(1+$Y476*$AA476*3)^(1/$Y476)))</f>
        <v/>
      </c>
      <c r="AE476">
        <f>IF($Y476="","",IF($Y476=0,$Z476*EXP($AA476*-2),$Z476*(1+$Y476*$AA476*-2)^(1/$Y476)))</f>
        <v/>
      </c>
      <c r="AF476">
        <f>IF($Y476="","",IF($Y476=0,$Z476*EXP($AA476*-3),$Z476*(1+$Y476*$AA476*-3)^(1/$Y476)))</f>
        <v/>
      </c>
      <c r="AG476">
        <f>IF($W476="","",IFERROR(INDEX(IF($T476&lt;=60,est05_l,est519_l),MATCH($W476,IF($T476&lt;=60,est05_k,est519_k),1)),""))</f>
        <v/>
      </c>
      <c r="AH476">
        <f>IF($W476="","",IFERROR(INDEX(IF($T476&lt;=60,est05_m,est519_m),MATCH($W476,IF($T476&lt;=60,est05_k,est519_k),1)),""))</f>
        <v/>
      </c>
      <c r="AI476">
        <f>IF($W476="","",IFERROR(INDEX(IF($T476&lt;=60,est05_s,est519_s),MATCH($W476,IF($T476&lt;=60,est05_k,est519_k),1)),""))</f>
        <v/>
      </c>
      <c r="AJ476">
        <f>IF($W476="","",IFERROR(INDEX(IF($T476&lt;=60,peso05_l,peso510_l),MATCH($W476,IF($T476&lt;=60,peso05_k,peso510_k),1)),""))</f>
        <v/>
      </c>
      <c r="AK476">
        <f>IF($W476="","",IFERROR(INDEX(IF($T476&lt;=60,peso05_m,peso510_m),MATCH($W476,IF($T476&lt;=60,peso05_k,peso510_k),1)),""))</f>
        <v/>
      </c>
      <c r="AL476">
        <f>IF($W476="","",IFERROR(INDEX(IF($T476&lt;=60,peso05_s,peso510_s),MATCH($W476,IF($T476&lt;=60,peso05_k,peso510_k),1)),""))</f>
        <v/>
      </c>
      <c r="AM476">
        <f>IF($AJ476="","",IF($AJ476=0,LN($F476/$AK476)/$AL476,((($F476/$AK476)^$AJ476)-1)/($AJ476*$AL476)))</f>
        <v/>
      </c>
      <c r="AN476">
        <f>IF($AJ476="","",IF($AJ476=0,$AK476*EXP($AL476*2),$AK476*(1+$AJ476*$AL476*2)^(1/$AJ476)))</f>
        <v/>
      </c>
      <c r="AO476">
        <f>IF($AJ476="","",IF($AJ476=0,$AK476*EXP($AL476*3),$AK476*(1+$AJ476*$AL476*3)^(1/$AJ476)))</f>
        <v/>
      </c>
      <c r="AP476">
        <f>IF($AJ476="","",IF($AJ476=0,$AK476*EXP($AL476*-2),$AK476*(1+$AJ476*$AL476*-2)^(1/$AJ476)))</f>
        <v/>
      </c>
      <c r="AQ476">
        <f>IF($AJ476="","",IF($AJ476=0,$AK476*EXP($AL476*-3),$AK476*(1+$AJ476*$AL476*-3)^(1/$AJ476)))</f>
        <v/>
      </c>
      <c r="AR476">
        <f>IF(OR($X476="",$T476&gt;60),"",IFERROR(INDEX(IF($T476&lt;24,pcomp_l,palt_l),MATCH($X476,IF($T476&lt;24,pcomp_k,palt_k),1)),""))</f>
        <v/>
      </c>
      <c r="AS476">
        <f>IF(OR($X476="",$T476&gt;60),"",IFERROR(INDEX(IF($T476&lt;24,pcomp_m,palt_m),MATCH($X476,IF($T476&lt;24,pcomp_k,palt_k),1)),""))</f>
        <v/>
      </c>
      <c r="AT476">
        <f>IF(OR($X476="",$T476&gt;60),"",IFERROR(INDEX(IF($T476&lt;24,pcomp_s,palt_s),MATCH($X476,IF($T476&lt;24,pcomp_k,palt_k),1)),""))</f>
        <v/>
      </c>
      <c r="AU476">
        <f>IF($AR476="","",IF($AR476=0,LN($F476/$AS476)/$AT476,((($F476/$AS476)^$AR476)-1)/($AR476*$AT476)))</f>
        <v/>
      </c>
      <c r="AV476">
        <f>IF($AR476="","",IF($AR476=0,$AS476*EXP($AT476*2),$AS476*(1+$AR476*$AT476*2)^(1/$AR476)))</f>
        <v/>
      </c>
      <c r="AW476">
        <f>IF($AR476="","",IF($AR476=0,$AS476*EXP($AT476*3),$AS476*(1+$AR476*$AT476*3)^(1/$AR476)))</f>
        <v/>
      </c>
      <c r="AX476">
        <f>IF($AR476="","",IF($AR476=0,$AS476*EXP($AT476*-2),$AS476*(1+$AR476*$AT476*-2)^(1/$AR476)))</f>
        <v/>
      </c>
      <c r="AY476">
        <f>IF($AR476="","",IF($AR476=0,$AS476*EXP($AT476*-3),$AS476*(1+$AR476*$AT476*-3)^(1/$AR476)))</f>
        <v/>
      </c>
      <c r="AZ476">
        <f>IF(OR($A476="",$A476&lt;&gt;Ficha!$C$4),"",COUNTIF($A$2:$A476,Ficha!$C$4))</f>
        <v/>
      </c>
    </row>
    <row r="477">
      <c r="A477" s="8">
        <f>IF(INDEX(Banco!$A:$A,ROW())="","",INDEX(Banco!$A:$A,ROW()))</f>
        <v/>
      </c>
      <c r="B477" s="8">
        <f>IF(INDEX(Banco!$B:$B,ROW())="","",INDEX(Banco!$B:$B,ROW()))</f>
        <v/>
      </c>
      <c r="C477" s="8">
        <f>IF(INDEX(Banco!$C:$C,ROW())="","",INDEX(Banco!$C:$C,ROW()))</f>
        <v/>
      </c>
      <c r="D477" s="9">
        <f>IF(INDEX(Banco!$D:$D,ROW())="","",INDEX(Banco!$D:$D,ROW()))</f>
        <v/>
      </c>
      <c r="E477" s="9">
        <f>IF(INDEX(Banco!$E:$E,ROW())="","",INDEX(Banco!$E:$E,ROW()))</f>
        <v/>
      </c>
      <c r="F477" s="10">
        <f>IF(INDEX(Banco!$F:$F,ROW())="","",INDEX(Banco!$F:$F,ROW()))</f>
        <v/>
      </c>
      <c r="G477" s="10">
        <f>IF(INDEX(Banco!$G:$G,ROW())="","",INDEX(Banco!$G:$G,ROW()))</f>
        <v/>
      </c>
      <c r="H477" s="8">
        <f>IF(INDEX(Banco!$H:$H,ROW())="","",INDEX(Banco!$H:$H,ROW()))</f>
        <v/>
      </c>
      <c r="I477">
        <f>IF($T477="","",INT($T477/12)&amp;"a "&amp;MOD($T477,12)&amp;"m")</f>
        <v/>
      </c>
      <c r="J477" s="11">
        <f>IF(OR($F477="",$G477=""),"",ROUND($F477/($G477/100)^2,2))</f>
        <v/>
      </c>
      <c r="K477" s="12">
        <f>IF(OR($S477="",$J477="",$T477="",$T477&lt;0,$T477&gt;228,$Y477=""),"—",ROUND(IF(ABS($AB477)&lt;=3,$AB477,IF($AB477&gt;3,3+($J477-$AD477)/($AD477-$AC477),-3+($J477-$AF477)/($AE477-$AF477))),2))</f>
        <v/>
      </c>
      <c r="L477">
        <f>IF(OR($K477="",$K477="—"),"",IF($T477&lt;=60,IF($K477&lt;-3,"Magreza acentuada",IF($K477&lt;-2,"Magreza",IF($K477&lt;=1,"Eutrofia",IF($K477&lt;=2,"Risco de sobrepeso",IF($K477&lt;=3,"Sobrepeso","Obesidade"))))),IF($K477&lt;-3,"Magreza acentuada",IF($K477&lt;-2,"Magreza",IF($K477&lt;=1,"Eutrofia",IF($K477&lt;=2,"Sobrepeso",IF($K477&lt;=3,"Obesidade","Obesidade grave")))))))</f>
        <v/>
      </c>
      <c r="M477" s="12">
        <f>IF(OR($S477="",$V477="",$T477="",$T477&lt;0,$T477&gt;228,$AG477=""),"—",ROUND(IF($AG477=0,LN($V477/$AH477)/$AI477,((($V477/$AH477)^$AG477)-1)/($AG477*$AI477)),2))</f>
        <v/>
      </c>
      <c r="N477">
        <f>IF(OR($M477="",$M477="—"),"",IF($M477&lt;-3,"Muito baixa",IF($M477&lt;-2,"Baixa","Adequada")))</f>
        <v/>
      </c>
      <c r="O477" s="12">
        <f>IF(OR($S477="",$F477="",$T477="",$T477&lt;0,$T477&gt;120,$AJ477=""),"—",ROUND(IF(ABS($AM477)&lt;=3,$AM477,IF($AM477&gt;3,3+($F477-$AO477)/($AO477-$AN477),-3+($F477-$AQ477)/($AP477-$AQ477))),2))</f>
        <v/>
      </c>
      <c r="P477">
        <f>IF(OR($O477="",$O477="—"),"",IF($O477&lt;-3,"Muito baixo",IF($O477&lt;-2,"Baixo",IF($O477&lt;=2,"Adequado","Elevado"))))</f>
        <v/>
      </c>
      <c r="Q477" s="12">
        <f>IF(OR($S477="",$F477="",$T477="",$T477&lt;0,$T477&gt;60,$AR477=""),"—",ROUND(IF(ABS($AU477)&lt;=3,$AU477,IF($AU477&gt;3,3+($F477-$AW477)/($AW477-$AV477),-3+($F477-$AY477)/($AX477-$AY477))),2))</f>
        <v/>
      </c>
      <c r="R477">
        <f>IF(OR($Q477="",$Q477="—"),"",IF($Q477&lt;-3,"Magreza acentuada",IF($Q477&lt;-2,"Magreza",IF($Q477&lt;=1,"Eutrofia",IF($Q477&lt;=2,"Risco de sobrepeso",IF($Q477&lt;=3,"Sobrepeso","Obesidade"))))))</f>
        <v/>
      </c>
      <c r="S477">
        <f>IF($C477="","",IF(UPPER(LEFT($C477,1))="M",1,IF(UPPER(LEFT($C477,1))="F",2,"")))</f>
        <v/>
      </c>
      <c r="T477">
        <f>IF(OR($D477="",$E477=""),"",DATEDIF($D477,$E477,"m"))</f>
        <v/>
      </c>
      <c r="U477">
        <f>IF(OR($D477="",$E477=""),"",$E477-$D477)</f>
        <v/>
      </c>
      <c r="V477">
        <f>IF(OR($G477="",$T477=""),"",IF($T477&lt;24,IF(LEFT(LOWER($H477),4)="em p",$G477+0.7,$G477),IF(LEFT(LOWER($H477),4)="deit",$G477-0.7,$G477)))</f>
        <v/>
      </c>
      <c r="W477">
        <f>IF(OR($S477="",$T477=""),"",$S477*1000000+IF($T477&lt;=60,$U477,$T477))</f>
        <v/>
      </c>
      <c r="X477">
        <f>IF(OR($S477="",$V477="",$T477&gt;60,$T477=""),"",$S477*1000000+ROUND($V477*10,0))</f>
        <v/>
      </c>
      <c r="Y477">
        <f>IF($W477="","",IFERROR(INDEX(IF($T477&lt;=60,imc05_l,imc519_l),MATCH($W477,IF($T477&lt;=60,imc05_k,imc519_k),1)),""))</f>
        <v/>
      </c>
      <c r="Z477">
        <f>IF($W477="","",IFERROR(INDEX(IF($T477&lt;=60,imc05_m,imc519_m),MATCH($W477,IF($T477&lt;=60,imc05_k,imc519_k),1)),""))</f>
        <v/>
      </c>
      <c r="AA477">
        <f>IF($W477="","",IFERROR(INDEX(IF($T477&lt;=60,imc05_s,imc519_s),MATCH($W477,IF($T477&lt;=60,imc05_k,imc519_k),1)),""))</f>
        <v/>
      </c>
      <c r="AB477">
        <f>IF($Y477="","",IF($Y477=0,LN($J477/$Z477)/$AA477,((($J477/$Z477)^$Y477)-1)/($Y477*$AA477)))</f>
        <v/>
      </c>
      <c r="AC477">
        <f>IF($Y477="","",IF($Y477=0,$Z477*EXP($AA477*2),$Z477*(1+$Y477*$AA477*2)^(1/$Y477)))</f>
        <v/>
      </c>
      <c r="AD477">
        <f>IF($Y477="","",IF($Y477=0,$Z477*EXP($AA477*3),$Z477*(1+$Y477*$AA477*3)^(1/$Y477)))</f>
        <v/>
      </c>
      <c r="AE477">
        <f>IF($Y477="","",IF($Y477=0,$Z477*EXP($AA477*-2),$Z477*(1+$Y477*$AA477*-2)^(1/$Y477)))</f>
        <v/>
      </c>
      <c r="AF477">
        <f>IF($Y477="","",IF($Y477=0,$Z477*EXP($AA477*-3),$Z477*(1+$Y477*$AA477*-3)^(1/$Y477)))</f>
        <v/>
      </c>
      <c r="AG477">
        <f>IF($W477="","",IFERROR(INDEX(IF($T477&lt;=60,est05_l,est519_l),MATCH($W477,IF($T477&lt;=60,est05_k,est519_k),1)),""))</f>
        <v/>
      </c>
      <c r="AH477">
        <f>IF($W477="","",IFERROR(INDEX(IF($T477&lt;=60,est05_m,est519_m),MATCH($W477,IF($T477&lt;=60,est05_k,est519_k),1)),""))</f>
        <v/>
      </c>
      <c r="AI477">
        <f>IF($W477="","",IFERROR(INDEX(IF($T477&lt;=60,est05_s,est519_s),MATCH($W477,IF($T477&lt;=60,est05_k,est519_k),1)),""))</f>
        <v/>
      </c>
      <c r="AJ477">
        <f>IF($W477="","",IFERROR(INDEX(IF($T477&lt;=60,peso05_l,peso510_l),MATCH($W477,IF($T477&lt;=60,peso05_k,peso510_k),1)),""))</f>
        <v/>
      </c>
      <c r="AK477">
        <f>IF($W477="","",IFERROR(INDEX(IF($T477&lt;=60,peso05_m,peso510_m),MATCH($W477,IF($T477&lt;=60,peso05_k,peso510_k),1)),""))</f>
        <v/>
      </c>
      <c r="AL477">
        <f>IF($W477="","",IFERROR(INDEX(IF($T477&lt;=60,peso05_s,peso510_s),MATCH($W477,IF($T477&lt;=60,peso05_k,peso510_k),1)),""))</f>
        <v/>
      </c>
      <c r="AM477">
        <f>IF($AJ477="","",IF($AJ477=0,LN($F477/$AK477)/$AL477,((($F477/$AK477)^$AJ477)-1)/($AJ477*$AL477)))</f>
        <v/>
      </c>
      <c r="AN477">
        <f>IF($AJ477="","",IF($AJ477=0,$AK477*EXP($AL477*2),$AK477*(1+$AJ477*$AL477*2)^(1/$AJ477)))</f>
        <v/>
      </c>
      <c r="AO477">
        <f>IF($AJ477="","",IF($AJ477=0,$AK477*EXP($AL477*3),$AK477*(1+$AJ477*$AL477*3)^(1/$AJ477)))</f>
        <v/>
      </c>
      <c r="AP477">
        <f>IF($AJ477="","",IF($AJ477=0,$AK477*EXP($AL477*-2),$AK477*(1+$AJ477*$AL477*-2)^(1/$AJ477)))</f>
        <v/>
      </c>
      <c r="AQ477">
        <f>IF($AJ477="","",IF($AJ477=0,$AK477*EXP($AL477*-3),$AK477*(1+$AJ477*$AL477*-3)^(1/$AJ477)))</f>
        <v/>
      </c>
      <c r="AR477">
        <f>IF(OR($X477="",$T477&gt;60),"",IFERROR(INDEX(IF($T477&lt;24,pcomp_l,palt_l),MATCH($X477,IF($T477&lt;24,pcomp_k,palt_k),1)),""))</f>
        <v/>
      </c>
      <c r="AS477">
        <f>IF(OR($X477="",$T477&gt;60),"",IFERROR(INDEX(IF($T477&lt;24,pcomp_m,palt_m),MATCH($X477,IF($T477&lt;24,pcomp_k,palt_k),1)),""))</f>
        <v/>
      </c>
      <c r="AT477">
        <f>IF(OR($X477="",$T477&gt;60),"",IFERROR(INDEX(IF($T477&lt;24,pcomp_s,palt_s),MATCH($X477,IF($T477&lt;24,pcomp_k,palt_k),1)),""))</f>
        <v/>
      </c>
      <c r="AU477">
        <f>IF($AR477="","",IF($AR477=0,LN($F477/$AS477)/$AT477,((($F477/$AS477)^$AR477)-1)/($AR477*$AT477)))</f>
        <v/>
      </c>
      <c r="AV477">
        <f>IF($AR477="","",IF($AR477=0,$AS477*EXP($AT477*2),$AS477*(1+$AR477*$AT477*2)^(1/$AR477)))</f>
        <v/>
      </c>
      <c r="AW477">
        <f>IF($AR477="","",IF($AR477=0,$AS477*EXP($AT477*3),$AS477*(1+$AR477*$AT477*3)^(1/$AR477)))</f>
        <v/>
      </c>
      <c r="AX477">
        <f>IF($AR477="","",IF($AR477=0,$AS477*EXP($AT477*-2),$AS477*(1+$AR477*$AT477*-2)^(1/$AR477)))</f>
        <v/>
      </c>
      <c r="AY477">
        <f>IF($AR477="","",IF($AR477=0,$AS477*EXP($AT477*-3),$AS477*(1+$AR477*$AT477*-3)^(1/$AR477)))</f>
        <v/>
      </c>
      <c r="AZ477">
        <f>IF(OR($A477="",$A477&lt;&gt;Ficha!$C$4),"",COUNTIF($A$2:$A477,Ficha!$C$4))</f>
        <v/>
      </c>
    </row>
    <row r="478">
      <c r="A478" s="8">
        <f>IF(INDEX(Banco!$A:$A,ROW())="","",INDEX(Banco!$A:$A,ROW()))</f>
        <v/>
      </c>
      <c r="B478" s="8">
        <f>IF(INDEX(Banco!$B:$B,ROW())="","",INDEX(Banco!$B:$B,ROW()))</f>
        <v/>
      </c>
      <c r="C478" s="8">
        <f>IF(INDEX(Banco!$C:$C,ROW())="","",INDEX(Banco!$C:$C,ROW()))</f>
        <v/>
      </c>
      <c r="D478" s="9">
        <f>IF(INDEX(Banco!$D:$D,ROW())="","",INDEX(Banco!$D:$D,ROW()))</f>
        <v/>
      </c>
      <c r="E478" s="9">
        <f>IF(INDEX(Banco!$E:$E,ROW())="","",INDEX(Banco!$E:$E,ROW()))</f>
        <v/>
      </c>
      <c r="F478" s="10">
        <f>IF(INDEX(Banco!$F:$F,ROW())="","",INDEX(Banco!$F:$F,ROW()))</f>
        <v/>
      </c>
      <c r="G478" s="10">
        <f>IF(INDEX(Banco!$G:$G,ROW())="","",INDEX(Banco!$G:$G,ROW()))</f>
        <v/>
      </c>
      <c r="H478" s="8">
        <f>IF(INDEX(Banco!$H:$H,ROW())="","",INDEX(Banco!$H:$H,ROW()))</f>
        <v/>
      </c>
      <c r="I478">
        <f>IF($T478="","",INT($T478/12)&amp;"a "&amp;MOD($T478,12)&amp;"m")</f>
        <v/>
      </c>
      <c r="J478" s="11">
        <f>IF(OR($F478="",$G478=""),"",ROUND($F478/($G478/100)^2,2))</f>
        <v/>
      </c>
      <c r="K478" s="12">
        <f>IF(OR($S478="",$J478="",$T478="",$T478&lt;0,$T478&gt;228,$Y478=""),"—",ROUND(IF(ABS($AB478)&lt;=3,$AB478,IF($AB478&gt;3,3+($J478-$AD478)/($AD478-$AC478),-3+($J478-$AF478)/($AE478-$AF478))),2))</f>
        <v/>
      </c>
      <c r="L478">
        <f>IF(OR($K478="",$K478="—"),"",IF($T478&lt;=60,IF($K478&lt;-3,"Magreza acentuada",IF($K478&lt;-2,"Magreza",IF($K478&lt;=1,"Eutrofia",IF($K478&lt;=2,"Risco de sobrepeso",IF($K478&lt;=3,"Sobrepeso","Obesidade"))))),IF($K478&lt;-3,"Magreza acentuada",IF($K478&lt;-2,"Magreza",IF($K478&lt;=1,"Eutrofia",IF($K478&lt;=2,"Sobrepeso",IF($K478&lt;=3,"Obesidade","Obesidade grave")))))))</f>
        <v/>
      </c>
      <c r="M478" s="12">
        <f>IF(OR($S478="",$V478="",$T478="",$T478&lt;0,$T478&gt;228,$AG478=""),"—",ROUND(IF($AG478=0,LN($V478/$AH478)/$AI478,((($V478/$AH478)^$AG478)-1)/($AG478*$AI478)),2))</f>
        <v/>
      </c>
      <c r="N478">
        <f>IF(OR($M478="",$M478="—"),"",IF($M478&lt;-3,"Muito baixa",IF($M478&lt;-2,"Baixa","Adequada")))</f>
        <v/>
      </c>
      <c r="O478" s="12">
        <f>IF(OR($S478="",$F478="",$T478="",$T478&lt;0,$T478&gt;120,$AJ478=""),"—",ROUND(IF(ABS($AM478)&lt;=3,$AM478,IF($AM478&gt;3,3+($F478-$AO478)/($AO478-$AN478),-3+($F478-$AQ478)/($AP478-$AQ478))),2))</f>
        <v/>
      </c>
      <c r="P478">
        <f>IF(OR($O478="",$O478="—"),"",IF($O478&lt;-3,"Muito baixo",IF($O478&lt;-2,"Baixo",IF($O478&lt;=2,"Adequado","Elevado"))))</f>
        <v/>
      </c>
      <c r="Q478" s="12">
        <f>IF(OR($S478="",$F478="",$T478="",$T478&lt;0,$T478&gt;60,$AR478=""),"—",ROUND(IF(ABS($AU478)&lt;=3,$AU478,IF($AU478&gt;3,3+($F478-$AW478)/($AW478-$AV478),-3+($F478-$AY478)/($AX478-$AY478))),2))</f>
        <v/>
      </c>
      <c r="R478">
        <f>IF(OR($Q478="",$Q478="—"),"",IF($Q478&lt;-3,"Magreza acentuada",IF($Q478&lt;-2,"Magreza",IF($Q478&lt;=1,"Eutrofia",IF($Q478&lt;=2,"Risco de sobrepeso",IF($Q478&lt;=3,"Sobrepeso","Obesidade"))))))</f>
        <v/>
      </c>
      <c r="S478">
        <f>IF($C478="","",IF(UPPER(LEFT($C478,1))="M",1,IF(UPPER(LEFT($C478,1))="F",2,"")))</f>
        <v/>
      </c>
      <c r="T478">
        <f>IF(OR($D478="",$E478=""),"",DATEDIF($D478,$E478,"m"))</f>
        <v/>
      </c>
      <c r="U478">
        <f>IF(OR($D478="",$E478=""),"",$E478-$D478)</f>
        <v/>
      </c>
      <c r="V478">
        <f>IF(OR($G478="",$T478=""),"",IF($T478&lt;24,IF(LEFT(LOWER($H478),4)="em p",$G478+0.7,$G478),IF(LEFT(LOWER($H478),4)="deit",$G478-0.7,$G478)))</f>
        <v/>
      </c>
      <c r="W478">
        <f>IF(OR($S478="",$T478=""),"",$S478*1000000+IF($T478&lt;=60,$U478,$T478))</f>
        <v/>
      </c>
      <c r="X478">
        <f>IF(OR($S478="",$V478="",$T478&gt;60,$T478=""),"",$S478*1000000+ROUND($V478*10,0))</f>
        <v/>
      </c>
      <c r="Y478">
        <f>IF($W478="","",IFERROR(INDEX(IF($T478&lt;=60,imc05_l,imc519_l),MATCH($W478,IF($T478&lt;=60,imc05_k,imc519_k),1)),""))</f>
        <v/>
      </c>
      <c r="Z478">
        <f>IF($W478="","",IFERROR(INDEX(IF($T478&lt;=60,imc05_m,imc519_m),MATCH($W478,IF($T478&lt;=60,imc05_k,imc519_k),1)),""))</f>
        <v/>
      </c>
      <c r="AA478">
        <f>IF($W478="","",IFERROR(INDEX(IF($T478&lt;=60,imc05_s,imc519_s),MATCH($W478,IF($T478&lt;=60,imc05_k,imc519_k),1)),""))</f>
        <v/>
      </c>
      <c r="AB478">
        <f>IF($Y478="","",IF($Y478=0,LN($J478/$Z478)/$AA478,((($J478/$Z478)^$Y478)-1)/($Y478*$AA478)))</f>
        <v/>
      </c>
      <c r="AC478">
        <f>IF($Y478="","",IF($Y478=0,$Z478*EXP($AA478*2),$Z478*(1+$Y478*$AA478*2)^(1/$Y478)))</f>
        <v/>
      </c>
      <c r="AD478">
        <f>IF($Y478="","",IF($Y478=0,$Z478*EXP($AA478*3),$Z478*(1+$Y478*$AA478*3)^(1/$Y478)))</f>
        <v/>
      </c>
      <c r="AE478">
        <f>IF($Y478="","",IF($Y478=0,$Z478*EXP($AA478*-2),$Z478*(1+$Y478*$AA478*-2)^(1/$Y478)))</f>
        <v/>
      </c>
      <c r="AF478">
        <f>IF($Y478="","",IF($Y478=0,$Z478*EXP($AA478*-3),$Z478*(1+$Y478*$AA478*-3)^(1/$Y478)))</f>
        <v/>
      </c>
      <c r="AG478">
        <f>IF($W478="","",IFERROR(INDEX(IF($T478&lt;=60,est05_l,est519_l),MATCH($W478,IF($T478&lt;=60,est05_k,est519_k),1)),""))</f>
        <v/>
      </c>
      <c r="AH478">
        <f>IF($W478="","",IFERROR(INDEX(IF($T478&lt;=60,est05_m,est519_m),MATCH($W478,IF($T478&lt;=60,est05_k,est519_k),1)),""))</f>
        <v/>
      </c>
      <c r="AI478">
        <f>IF($W478="","",IFERROR(INDEX(IF($T478&lt;=60,est05_s,est519_s),MATCH($W478,IF($T478&lt;=60,est05_k,est519_k),1)),""))</f>
        <v/>
      </c>
      <c r="AJ478">
        <f>IF($W478="","",IFERROR(INDEX(IF($T478&lt;=60,peso05_l,peso510_l),MATCH($W478,IF($T478&lt;=60,peso05_k,peso510_k),1)),""))</f>
        <v/>
      </c>
      <c r="AK478">
        <f>IF($W478="","",IFERROR(INDEX(IF($T478&lt;=60,peso05_m,peso510_m),MATCH($W478,IF($T478&lt;=60,peso05_k,peso510_k),1)),""))</f>
        <v/>
      </c>
      <c r="AL478">
        <f>IF($W478="","",IFERROR(INDEX(IF($T478&lt;=60,peso05_s,peso510_s),MATCH($W478,IF($T478&lt;=60,peso05_k,peso510_k),1)),""))</f>
        <v/>
      </c>
      <c r="AM478">
        <f>IF($AJ478="","",IF($AJ478=0,LN($F478/$AK478)/$AL478,((($F478/$AK478)^$AJ478)-1)/($AJ478*$AL478)))</f>
        <v/>
      </c>
      <c r="AN478">
        <f>IF($AJ478="","",IF($AJ478=0,$AK478*EXP($AL478*2),$AK478*(1+$AJ478*$AL478*2)^(1/$AJ478)))</f>
        <v/>
      </c>
      <c r="AO478">
        <f>IF($AJ478="","",IF($AJ478=0,$AK478*EXP($AL478*3),$AK478*(1+$AJ478*$AL478*3)^(1/$AJ478)))</f>
        <v/>
      </c>
      <c r="AP478">
        <f>IF($AJ478="","",IF($AJ478=0,$AK478*EXP($AL478*-2),$AK478*(1+$AJ478*$AL478*-2)^(1/$AJ478)))</f>
        <v/>
      </c>
      <c r="AQ478">
        <f>IF($AJ478="","",IF($AJ478=0,$AK478*EXP($AL478*-3),$AK478*(1+$AJ478*$AL478*-3)^(1/$AJ478)))</f>
        <v/>
      </c>
      <c r="AR478">
        <f>IF(OR($X478="",$T478&gt;60),"",IFERROR(INDEX(IF($T478&lt;24,pcomp_l,palt_l),MATCH($X478,IF($T478&lt;24,pcomp_k,palt_k),1)),""))</f>
        <v/>
      </c>
      <c r="AS478">
        <f>IF(OR($X478="",$T478&gt;60),"",IFERROR(INDEX(IF($T478&lt;24,pcomp_m,palt_m),MATCH($X478,IF($T478&lt;24,pcomp_k,palt_k),1)),""))</f>
        <v/>
      </c>
      <c r="AT478">
        <f>IF(OR($X478="",$T478&gt;60),"",IFERROR(INDEX(IF($T478&lt;24,pcomp_s,palt_s),MATCH($X478,IF($T478&lt;24,pcomp_k,palt_k),1)),""))</f>
        <v/>
      </c>
      <c r="AU478">
        <f>IF($AR478="","",IF($AR478=0,LN($F478/$AS478)/$AT478,((($F478/$AS478)^$AR478)-1)/($AR478*$AT478)))</f>
        <v/>
      </c>
      <c r="AV478">
        <f>IF($AR478="","",IF($AR478=0,$AS478*EXP($AT478*2),$AS478*(1+$AR478*$AT478*2)^(1/$AR478)))</f>
        <v/>
      </c>
      <c r="AW478">
        <f>IF($AR478="","",IF($AR478=0,$AS478*EXP($AT478*3),$AS478*(1+$AR478*$AT478*3)^(1/$AR478)))</f>
        <v/>
      </c>
      <c r="AX478">
        <f>IF($AR478="","",IF($AR478=0,$AS478*EXP($AT478*-2),$AS478*(1+$AR478*$AT478*-2)^(1/$AR478)))</f>
        <v/>
      </c>
      <c r="AY478">
        <f>IF($AR478="","",IF($AR478=0,$AS478*EXP($AT478*-3),$AS478*(1+$AR478*$AT478*-3)^(1/$AR478)))</f>
        <v/>
      </c>
      <c r="AZ478">
        <f>IF(OR($A478="",$A478&lt;&gt;Ficha!$C$4),"",COUNTIF($A$2:$A478,Ficha!$C$4))</f>
        <v/>
      </c>
    </row>
    <row r="479">
      <c r="A479" s="8">
        <f>IF(INDEX(Banco!$A:$A,ROW())="","",INDEX(Banco!$A:$A,ROW()))</f>
        <v/>
      </c>
      <c r="B479" s="8">
        <f>IF(INDEX(Banco!$B:$B,ROW())="","",INDEX(Banco!$B:$B,ROW()))</f>
        <v/>
      </c>
      <c r="C479" s="8">
        <f>IF(INDEX(Banco!$C:$C,ROW())="","",INDEX(Banco!$C:$C,ROW()))</f>
        <v/>
      </c>
      <c r="D479" s="9">
        <f>IF(INDEX(Banco!$D:$D,ROW())="","",INDEX(Banco!$D:$D,ROW()))</f>
        <v/>
      </c>
      <c r="E479" s="9">
        <f>IF(INDEX(Banco!$E:$E,ROW())="","",INDEX(Banco!$E:$E,ROW()))</f>
        <v/>
      </c>
      <c r="F479" s="10">
        <f>IF(INDEX(Banco!$F:$F,ROW())="","",INDEX(Banco!$F:$F,ROW()))</f>
        <v/>
      </c>
      <c r="G479" s="10">
        <f>IF(INDEX(Banco!$G:$G,ROW())="","",INDEX(Banco!$G:$G,ROW()))</f>
        <v/>
      </c>
      <c r="H479" s="8">
        <f>IF(INDEX(Banco!$H:$H,ROW())="","",INDEX(Banco!$H:$H,ROW()))</f>
        <v/>
      </c>
      <c r="I479">
        <f>IF($T479="","",INT($T479/12)&amp;"a "&amp;MOD($T479,12)&amp;"m")</f>
        <v/>
      </c>
      <c r="J479" s="11">
        <f>IF(OR($F479="",$G479=""),"",ROUND($F479/($G479/100)^2,2))</f>
        <v/>
      </c>
      <c r="K479" s="12">
        <f>IF(OR($S479="",$J479="",$T479="",$T479&lt;0,$T479&gt;228,$Y479=""),"—",ROUND(IF(ABS($AB479)&lt;=3,$AB479,IF($AB479&gt;3,3+($J479-$AD479)/($AD479-$AC479),-3+($J479-$AF479)/($AE479-$AF479))),2))</f>
        <v/>
      </c>
      <c r="L479">
        <f>IF(OR($K479="",$K479="—"),"",IF($T479&lt;=60,IF($K479&lt;-3,"Magreza acentuada",IF($K479&lt;-2,"Magreza",IF($K479&lt;=1,"Eutrofia",IF($K479&lt;=2,"Risco de sobrepeso",IF($K479&lt;=3,"Sobrepeso","Obesidade"))))),IF($K479&lt;-3,"Magreza acentuada",IF($K479&lt;-2,"Magreza",IF($K479&lt;=1,"Eutrofia",IF($K479&lt;=2,"Sobrepeso",IF($K479&lt;=3,"Obesidade","Obesidade grave")))))))</f>
        <v/>
      </c>
      <c r="M479" s="12">
        <f>IF(OR($S479="",$V479="",$T479="",$T479&lt;0,$T479&gt;228,$AG479=""),"—",ROUND(IF($AG479=0,LN($V479/$AH479)/$AI479,((($V479/$AH479)^$AG479)-1)/($AG479*$AI479)),2))</f>
        <v/>
      </c>
      <c r="N479">
        <f>IF(OR($M479="",$M479="—"),"",IF($M479&lt;-3,"Muito baixa",IF($M479&lt;-2,"Baixa","Adequada")))</f>
        <v/>
      </c>
      <c r="O479" s="12">
        <f>IF(OR($S479="",$F479="",$T479="",$T479&lt;0,$T479&gt;120,$AJ479=""),"—",ROUND(IF(ABS($AM479)&lt;=3,$AM479,IF($AM479&gt;3,3+($F479-$AO479)/($AO479-$AN479),-3+($F479-$AQ479)/($AP479-$AQ479))),2))</f>
        <v/>
      </c>
      <c r="P479">
        <f>IF(OR($O479="",$O479="—"),"",IF($O479&lt;-3,"Muito baixo",IF($O479&lt;-2,"Baixo",IF($O479&lt;=2,"Adequado","Elevado"))))</f>
        <v/>
      </c>
      <c r="Q479" s="12">
        <f>IF(OR($S479="",$F479="",$T479="",$T479&lt;0,$T479&gt;60,$AR479=""),"—",ROUND(IF(ABS($AU479)&lt;=3,$AU479,IF($AU479&gt;3,3+($F479-$AW479)/($AW479-$AV479),-3+($F479-$AY479)/($AX479-$AY479))),2))</f>
        <v/>
      </c>
      <c r="R479">
        <f>IF(OR($Q479="",$Q479="—"),"",IF($Q479&lt;-3,"Magreza acentuada",IF($Q479&lt;-2,"Magreza",IF($Q479&lt;=1,"Eutrofia",IF($Q479&lt;=2,"Risco de sobrepeso",IF($Q479&lt;=3,"Sobrepeso","Obesidade"))))))</f>
        <v/>
      </c>
      <c r="S479">
        <f>IF($C479="","",IF(UPPER(LEFT($C479,1))="M",1,IF(UPPER(LEFT($C479,1))="F",2,"")))</f>
        <v/>
      </c>
      <c r="T479">
        <f>IF(OR($D479="",$E479=""),"",DATEDIF($D479,$E479,"m"))</f>
        <v/>
      </c>
      <c r="U479">
        <f>IF(OR($D479="",$E479=""),"",$E479-$D479)</f>
        <v/>
      </c>
      <c r="V479">
        <f>IF(OR($G479="",$T479=""),"",IF($T479&lt;24,IF(LEFT(LOWER($H479),4)="em p",$G479+0.7,$G479),IF(LEFT(LOWER($H479),4)="deit",$G479-0.7,$G479)))</f>
        <v/>
      </c>
      <c r="W479">
        <f>IF(OR($S479="",$T479=""),"",$S479*1000000+IF($T479&lt;=60,$U479,$T479))</f>
        <v/>
      </c>
      <c r="X479">
        <f>IF(OR($S479="",$V479="",$T479&gt;60,$T479=""),"",$S479*1000000+ROUND($V479*10,0))</f>
        <v/>
      </c>
      <c r="Y479">
        <f>IF($W479="","",IFERROR(INDEX(IF($T479&lt;=60,imc05_l,imc519_l),MATCH($W479,IF($T479&lt;=60,imc05_k,imc519_k),1)),""))</f>
        <v/>
      </c>
      <c r="Z479">
        <f>IF($W479="","",IFERROR(INDEX(IF($T479&lt;=60,imc05_m,imc519_m),MATCH($W479,IF($T479&lt;=60,imc05_k,imc519_k),1)),""))</f>
        <v/>
      </c>
      <c r="AA479">
        <f>IF($W479="","",IFERROR(INDEX(IF($T479&lt;=60,imc05_s,imc519_s),MATCH($W479,IF($T479&lt;=60,imc05_k,imc519_k),1)),""))</f>
        <v/>
      </c>
      <c r="AB479">
        <f>IF($Y479="","",IF($Y479=0,LN($J479/$Z479)/$AA479,((($J479/$Z479)^$Y479)-1)/($Y479*$AA479)))</f>
        <v/>
      </c>
      <c r="AC479">
        <f>IF($Y479="","",IF($Y479=0,$Z479*EXP($AA479*2),$Z479*(1+$Y479*$AA479*2)^(1/$Y479)))</f>
        <v/>
      </c>
      <c r="AD479">
        <f>IF($Y479="","",IF($Y479=0,$Z479*EXP($AA479*3),$Z479*(1+$Y479*$AA479*3)^(1/$Y479)))</f>
        <v/>
      </c>
      <c r="AE479">
        <f>IF($Y479="","",IF($Y479=0,$Z479*EXP($AA479*-2),$Z479*(1+$Y479*$AA479*-2)^(1/$Y479)))</f>
        <v/>
      </c>
      <c r="AF479">
        <f>IF($Y479="","",IF($Y479=0,$Z479*EXP($AA479*-3),$Z479*(1+$Y479*$AA479*-3)^(1/$Y479)))</f>
        <v/>
      </c>
      <c r="AG479">
        <f>IF($W479="","",IFERROR(INDEX(IF($T479&lt;=60,est05_l,est519_l),MATCH($W479,IF($T479&lt;=60,est05_k,est519_k),1)),""))</f>
        <v/>
      </c>
      <c r="AH479">
        <f>IF($W479="","",IFERROR(INDEX(IF($T479&lt;=60,est05_m,est519_m),MATCH($W479,IF($T479&lt;=60,est05_k,est519_k),1)),""))</f>
        <v/>
      </c>
      <c r="AI479">
        <f>IF($W479="","",IFERROR(INDEX(IF($T479&lt;=60,est05_s,est519_s),MATCH($W479,IF($T479&lt;=60,est05_k,est519_k),1)),""))</f>
        <v/>
      </c>
      <c r="AJ479">
        <f>IF($W479="","",IFERROR(INDEX(IF($T479&lt;=60,peso05_l,peso510_l),MATCH($W479,IF($T479&lt;=60,peso05_k,peso510_k),1)),""))</f>
        <v/>
      </c>
      <c r="AK479">
        <f>IF($W479="","",IFERROR(INDEX(IF($T479&lt;=60,peso05_m,peso510_m),MATCH($W479,IF($T479&lt;=60,peso05_k,peso510_k),1)),""))</f>
        <v/>
      </c>
      <c r="AL479">
        <f>IF($W479="","",IFERROR(INDEX(IF($T479&lt;=60,peso05_s,peso510_s),MATCH($W479,IF($T479&lt;=60,peso05_k,peso510_k),1)),""))</f>
        <v/>
      </c>
      <c r="AM479">
        <f>IF($AJ479="","",IF($AJ479=0,LN($F479/$AK479)/$AL479,((($F479/$AK479)^$AJ479)-1)/($AJ479*$AL479)))</f>
        <v/>
      </c>
      <c r="AN479">
        <f>IF($AJ479="","",IF($AJ479=0,$AK479*EXP($AL479*2),$AK479*(1+$AJ479*$AL479*2)^(1/$AJ479)))</f>
        <v/>
      </c>
      <c r="AO479">
        <f>IF($AJ479="","",IF($AJ479=0,$AK479*EXP($AL479*3),$AK479*(1+$AJ479*$AL479*3)^(1/$AJ479)))</f>
        <v/>
      </c>
      <c r="AP479">
        <f>IF($AJ479="","",IF($AJ479=0,$AK479*EXP($AL479*-2),$AK479*(1+$AJ479*$AL479*-2)^(1/$AJ479)))</f>
        <v/>
      </c>
      <c r="AQ479">
        <f>IF($AJ479="","",IF($AJ479=0,$AK479*EXP($AL479*-3),$AK479*(1+$AJ479*$AL479*-3)^(1/$AJ479)))</f>
        <v/>
      </c>
      <c r="AR479">
        <f>IF(OR($X479="",$T479&gt;60),"",IFERROR(INDEX(IF($T479&lt;24,pcomp_l,palt_l),MATCH($X479,IF($T479&lt;24,pcomp_k,palt_k),1)),""))</f>
        <v/>
      </c>
      <c r="AS479">
        <f>IF(OR($X479="",$T479&gt;60),"",IFERROR(INDEX(IF($T479&lt;24,pcomp_m,palt_m),MATCH($X479,IF($T479&lt;24,pcomp_k,palt_k),1)),""))</f>
        <v/>
      </c>
      <c r="AT479">
        <f>IF(OR($X479="",$T479&gt;60),"",IFERROR(INDEX(IF($T479&lt;24,pcomp_s,palt_s),MATCH($X479,IF($T479&lt;24,pcomp_k,palt_k),1)),""))</f>
        <v/>
      </c>
      <c r="AU479">
        <f>IF($AR479="","",IF($AR479=0,LN($F479/$AS479)/$AT479,((($F479/$AS479)^$AR479)-1)/($AR479*$AT479)))</f>
        <v/>
      </c>
      <c r="AV479">
        <f>IF($AR479="","",IF($AR479=0,$AS479*EXP($AT479*2),$AS479*(1+$AR479*$AT479*2)^(1/$AR479)))</f>
        <v/>
      </c>
      <c r="AW479">
        <f>IF($AR479="","",IF($AR479=0,$AS479*EXP($AT479*3),$AS479*(1+$AR479*$AT479*3)^(1/$AR479)))</f>
        <v/>
      </c>
      <c r="AX479">
        <f>IF($AR479="","",IF($AR479=0,$AS479*EXP($AT479*-2),$AS479*(1+$AR479*$AT479*-2)^(1/$AR479)))</f>
        <v/>
      </c>
      <c r="AY479">
        <f>IF($AR479="","",IF($AR479=0,$AS479*EXP($AT479*-3),$AS479*(1+$AR479*$AT479*-3)^(1/$AR479)))</f>
        <v/>
      </c>
      <c r="AZ479">
        <f>IF(OR($A479="",$A479&lt;&gt;Ficha!$C$4),"",COUNTIF($A$2:$A479,Ficha!$C$4))</f>
        <v/>
      </c>
    </row>
    <row r="480">
      <c r="A480" s="8">
        <f>IF(INDEX(Banco!$A:$A,ROW())="","",INDEX(Banco!$A:$A,ROW()))</f>
        <v/>
      </c>
      <c r="B480" s="8">
        <f>IF(INDEX(Banco!$B:$B,ROW())="","",INDEX(Banco!$B:$B,ROW()))</f>
        <v/>
      </c>
      <c r="C480" s="8">
        <f>IF(INDEX(Banco!$C:$C,ROW())="","",INDEX(Banco!$C:$C,ROW()))</f>
        <v/>
      </c>
      <c r="D480" s="9">
        <f>IF(INDEX(Banco!$D:$D,ROW())="","",INDEX(Banco!$D:$D,ROW()))</f>
        <v/>
      </c>
      <c r="E480" s="9">
        <f>IF(INDEX(Banco!$E:$E,ROW())="","",INDEX(Banco!$E:$E,ROW()))</f>
        <v/>
      </c>
      <c r="F480" s="10">
        <f>IF(INDEX(Banco!$F:$F,ROW())="","",INDEX(Banco!$F:$F,ROW()))</f>
        <v/>
      </c>
      <c r="G480" s="10">
        <f>IF(INDEX(Banco!$G:$G,ROW())="","",INDEX(Banco!$G:$G,ROW()))</f>
        <v/>
      </c>
      <c r="H480" s="8">
        <f>IF(INDEX(Banco!$H:$H,ROW())="","",INDEX(Banco!$H:$H,ROW()))</f>
        <v/>
      </c>
      <c r="I480">
        <f>IF($T480="","",INT($T480/12)&amp;"a "&amp;MOD($T480,12)&amp;"m")</f>
        <v/>
      </c>
      <c r="J480" s="11">
        <f>IF(OR($F480="",$G480=""),"",ROUND($F480/($G480/100)^2,2))</f>
        <v/>
      </c>
      <c r="K480" s="12">
        <f>IF(OR($S480="",$J480="",$T480="",$T480&lt;0,$T480&gt;228,$Y480=""),"—",ROUND(IF(ABS($AB480)&lt;=3,$AB480,IF($AB480&gt;3,3+($J480-$AD480)/($AD480-$AC480),-3+($J480-$AF480)/($AE480-$AF480))),2))</f>
        <v/>
      </c>
      <c r="L480">
        <f>IF(OR($K480="",$K480="—"),"",IF($T480&lt;=60,IF($K480&lt;-3,"Magreza acentuada",IF($K480&lt;-2,"Magreza",IF($K480&lt;=1,"Eutrofia",IF($K480&lt;=2,"Risco de sobrepeso",IF($K480&lt;=3,"Sobrepeso","Obesidade"))))),IF($K480&lt;-3,"Magreza acentuada",IF($K480&lt;-2,"Magreza",IF($K480&lt;=1,"Eutrofia",IF($K480&lt;=2,"Sobrepeso",IF($K480&lt;=3,"Obesidade","Obesidade grave")))))))</f>
        <v/>
      </c>
      <c r="M480" s="12">
        <f>IF(OR($S480="",$V480="",$T480="",$T480&lt;0,$T480&gt;228,$AG480=""),"—",ROUND(IF($AG480=0,LN($V480/$AH480)/$AI480,((($V480/$AH480)^$AG480)-1)/($AG480*$AI480)),2))</f>
        <v/>
      </c>
      <c r="N480">
        <f>IF(OR($M480="",$M480="—"),"",IF($M480&lt;-3,"Muito baixa",IF($M480&lt;-2,"Baixa","Adequada")))</f>
        <v/>
      </c>
      <c r="O480" s="12">
        <f>IF(OR($S480="",$F480="",$T480="",$T480&lt;0,$T480&gt;120,$AJ480=""),"—",ROUND(IF(ABS($AM480)&lt;=3,$AM480,IF($AM480&gt;3,3+($F480-$AO480)/($AO480-$AN480),-3+($F480-$AQ480)/($AP480-$AQ480))),2))</f>
        <v/>
      </c>
      <c r="P480">
        <f>IF(OR($O480="",$O480="—"),"",IF($O480&lt;-3,"Muito baixo",IF($O480&lt;-2,"Baixo",IF($O480&lt;=2,"Adequado","Elevado"))))</f>
        <v/>
      </c>
      <c r="Q480" s="12">
        <f>IF(OR($S480="",$F480="",$T480="",$T480&lt;0,$T480&gt;60,$AR480=""),"—",ROUND(IF(ABS($AU480)&lt;=3,$AU480,IF($AU480&gt;3,3+($F480-$AW480)/($AW480-$AV480),-3+($F480-$AY480)/($AX480-$AY480))),2))</f>
        <v/>
      </c>
      <c r="R480">
        <f>IF(OR($Q480="",$Q480="—"),"",IF($Q480&lt;-3,"Magreza acentuada",IF($Q480&lt;-2,"Magreza",IF($Q480&lt;=1,"Eutrofia",IF($Q480&lt;=2,"Risco de sobrepeso",IF($Q480&lt;=3,"Sobrepeso","Obesidade"))))))</f>
        <v/>
      </c>
      <c r="S480">
        <f>IF($C480="","",IF(UPPER(LEFT($C480,1))="M",1,IF(UPPER(LEFT($C480,1))="F",2,"")))</f>
        <v/>
      </c>
      <c r="T480">
        <f>IF(OR($D480="",$E480=""),"",DATEDIF($D480,$E480,"m"))</f>
        <v/>
      </c>
      <c r="U480">
        <f>IF(OR($D480="",$E480=""),"",$E480-$D480)</f>
        <v/>
      </c>
      <c r="V480">
        <f>IF(OR($G480="",$T480=""),"",IF($T480&lt;24,IF(LEFT(LOWER($H480),4)="em p",$G480+0.7,$G480),IF(LEFT(LOWER($H480),4)="deit",$G480-0.7,$G480)))</f>
        <v/>
      </c>
      <c r="W480">
        <f>IF(OR($S480="",$T480=""),"",$S480*1000000+IF($T480&lt;=60,$U480,$T480))</f>
        <v/>
      </c>
      <c r="X480">
        <f>IF(OR($S480="",$V480="",$T480&gt;60,$T480=""),"",$S480*1000000+ROUND($V480*10,0))</f>
        <v/>
      </c>
      <c r="Y480">
        <f>IF($W480="","",IFERROR(INDEX(IF($T480&lt;=60,imc05_l,imc519_l),MATCH($W480,IF($T480&lt;=60,imc05_k,imc519_k),1)),""))</f>
        <v/>
      </c>
      <c r="Z480">
        <f>IF($W480="","",IFERROR(INDEX(IF($T480&lt;=60,imc05_m,imc519_m),MATCH($W480,IF($T480&lt;=60,imc05_k,imc519_k),1)),""))</f>
        <v/>
      </c>
      <c r="AA480">
        <f>IF($W480="","",IFERROR(INDEX(IF($T480&lt;=60,imc05_s,imc519_s),MATCH($W480,IF($T480&lt;=60,imc05_k,imc519_k),1)),""))</f>
        <v/>
      </c>
      <c r="AB480">
        <f>IF($Y480="","",IF($Y480=0,LN($J480/$Z480)/$AA480,((($J480/$Z480)^$Y480)-1)/($Y480*$AA480)))</f>
        <v/>
      </c>
      <c r="AC480">
        <f>IF($Y480="","",IF($Y480=0,$Z480*EXP($AA480*2),$Z480*(1+$Y480*$AA480*2)^(1/$Y480)))</f>
        <v/>
      </c>
      <c r="AD480">
        <f>IF($Y480="","",IF($Y480=0,$Z480*EXP($AA480*3),$Z480*(1+$Y480*$AA480*3)^(1/$Y480)))</f>
        <v/>
      </c>
      <c r="AE480">
        <f>IF($Y480="","",IF($Y480=0,$Z480*EXP($AA480*-2),$Z480*(1+$Y480*$AA480*-2)^(1/$Y480)))</f>
        <v/>
      </c>
      <c r="AF480">
        <f>IF($Y480="","",IF($Y480=0,$Z480*EXP($AA480*-3),$Z480*(1+$Y480*$AA480*-3)^(1/$Y480)))</f>
        <v/>
      </c>
      <c r="AG480">
        <f>IF($W480="","",IFERROR(INDEX(IF($T480&lt;=60,est05_l,est519_l),MATCH($W480,IF($T480&lt;=60,est05_k,est519_k),1)),""))</f>
        <v/>
      </c>
      <c r="AH480">
        <f>IF($W480="","",IFERROR(INDEX(IF($T480&lt;=60,est05_m,est519_m),MATCH($W480,IF($T480&lt;=60,est05_k,est519_k),1)),""))</f>
        <v/>
      </c>
      <c r="AI480">
        <f>IF($W480="","",IFERROR(INDEX(IF($T480&lt;=60,est05_s,est519_s),MATCH($W480,IF($T480&lt;=60,est05_k,est519_k),1)),""))</f>
        <v/>
      </c>
      <c r="AJ480">
        <f>IF($W480="","",IFERROR(INDEX(IF($T480&lt;=60,peso05_l,peso510_l),MATCH($W480,IF($T480&lt;=60,peso05_k,peso510_k),1)),""))</f>
        <v/>
      </c>
      <c r="AK480">
        <f>IF($W480="","",IFERROR(INDEX(IF($T480&lt;=60,peso05_m,peso510_m),MATCH($W480,IF($T480&lt;=60,peso05_k,peso510_k),1)),""))</f>
        <v/>
      </c>
      <c r="AL480">
        <f>IF($W480="","",IFERROR(INDEX(IF($T480&lt;=60,peso05_s,peso510_s),MATCH($W480,IF($T480&lt;=60,peso05_k,peso510_k),1)),""))</f>
        <v/>
      </c>
      <c r="AM480">
        <f>IF($AJ480="","",IF($AJ480=0,LN($F480/$AK480)/$AL480,((($F480/$AK480)^$AJ480)-1)/($AJ480*$AL480)))</f>
        <v/>
      </c>
      <c r="AN480">
        <f>IF($AJ480="","",IF($AJ480=0,$AK480*EXP($AL480*2),$AK480*(1+$AJ480*$AL480*2)^(1/$AJ480)))</f>
        <v/>
      </c>
      <c r="AO480">
        <f>IF($AJ480="","",IF($AJ480=0,$AK480*EXP($AL480*3),$AK480*(1+$AJ480*$AL480*3)^(1/$AJ480)))</f>
        <v/>
      </c>
      <c r="AP480">
        <f>IF($AJ480="","",IF($AJ480=0,$AK480*EXP($AL480*-2),$AK480*(1+$AJ480*$AL480*-2)^(1/$AJ480)))</f>
        <v/>
      </c>
      <c r="AQ480">
        <f>IF($AJ480="","",IF($AJ480=0,$AK480*EXP($AL480*-3),$AK480*(1+$AJ480*$AL480*-3)^(1/$AJ480)))</f>
        <v/>
      </c>
      <c r="AR480">
        <f>IF(OR($X480="",$T480&gt;60),"",IFERROR(INDEX(IF($T480&lt;24,pcomp_l,palt_l),MATCH($X480,IF($T480&lt;24,pcomp_k,palt_k),1)),""))</f>
        <v/>
      </c>
      <c r="AS480">
        <f>IF(OR($X480="",$T480&gt;60),"",IFERROR(INDEX(IF($T480&lt;24,pcomp_m,palt_m),MATCH($X480,IF($T480&lt;24,pcomp_k,palt_k),1)),""))</f>
        <v/>
      </c>
      <c r="AT480">
        <f>IF(OR($X480="",$T480&gt;60),"",IFERROR(INDEX(IF($T480&lt;24,pcomp_s,palt_s),MATCH($X480,IF($T480&lt;24,pcomp_k,palt_k),1)),""))</f>
        <v/>
      </c>
      <c r="AU480">
        <f>IF($AR480="","",IF($AR480=0,LN($F480/$AS480)/$AT480,((($F480/$AS480)^$AR480)-1)/($AR480*$AT480)))</f>
        <v/>
      </c>
      <c r="AV480">
        <f>IF($AR480="","",IF($AR480=0,$AS480*EXP($AT480*2),$AS480*(1+$AR480*$AT480*2)^(1/$AR480)))</f>
        <v/>
      </c>
      <c r="AW480">
        <f>IF($AR480="","",IF($AR480=0,$AS480*EXP($AT480*3),$AS480*(1+$AR480*$AT480*3)^(1/$AR480)))</f>
        <v/>
      </c>
      <c r="AX480">
        <f>IF($AR480="","",IF($AR480=0,$AS480*EXP($AT480*-2),$AS480*(1+$AR480*$AT480*-2)^(1/$AR480)))</f>
        <v/>
      </c>
      <c r="AY480">
        <f>IF($AR480="","",IF($AR480=0,$AS480*EXP($AT480*-3),$AS480*(1+$AR480*$AT480*-3)^(1/$AR480)))</f>
        <v/>
      </c>
      <c r="AZ480">
        <f>IF(OR($A480="",$A480&lt;&gt;Ficha!$C$4),"",COUNTIF($A$2:$A480,Ficha!$C$4))</f>
        <v/>
      </c>
    </row>
    <row r="481">
      <c r="A481" s="8">
        <f>IF(INDEX(Banco!$A:$A,ROW())="","",INDEX(Banco!$A:$A,ROW()))</f>
        <v/>
      </c>
      <c r="B481" s="8">
        <f>IF(INDEX(Banco!$B:$B,ROW())="","",INDEX(Banco!$B:$B,ROW()))</f>
        <v/>
      </c>
      <c r="C481" s="8">
        <f>IF(INDEX(Banco!$C:$C,ROW())="","",INDEX(Banco!$C:$C,ROW()))</f>
        <v/>
      </c>
      <c r="D481" s="9">
        <f>IF(INDEX(Banco!$D:$D,ROW())="","",INDEX(Banco!$D:$D,ROW()))</f>
        <v/>
      </c>
      <c r="E481" s="9">
        <f>IF(INDEX(Banco!$E:$E,ROW())="","",INDEX(Banco!$E:$E,ROW()))</f>
        <v/>
      </c>
      <c r="F481" s="10">
        <f>IF(INDEX(Banco!$F:$F,ROW())="","",INDEX(Banco!$F:$F,ROW()))</f>
        <v/>
      </c>
      <c r="G481" s="10">
        <f>IF(INDEX(Banco!$G:$G,ROW())="","",INDEX(Banco!$G:$G,ROW()))</f>
        <v/>
      </c>
      <c r="H481" s="8">
        <f>IF(INDEX(Banco!$H:$H,ROW())="","",INDEX(Banco!$H:$H,ROW()))</f>
        <v/>
      </c>
      <c r="I481">
        <f>IF($T481="","",INT($T481/12)&amp;"a "&amp;MOD($T481,12)&amp;"m")</f>
        <v/>
      </c>
      <c r="J481" s="11">
        <f>IF(OR($F481="",$G481=""),"",ROUND($F481/($G481/100)^2,2))</f>
        <v/>
      </c>
      <c r="K481" s="12">
        <f>IF(OR($S481="",$J481="",$T481="",$T481&lt;0,$T481&gt;228,$Y481=""),"—",ROUND(IF(ABS($AB481)&lt;=3,$AB481,IF($AB481&gt;3,3+($J481-$AD481)/($AD481-$AC481),-3+($J481-$AF481)/($AE481-$AF481))),2))</f>
        <v/>
      </c>
      <c r="L481">
        <f>IF(OR($K481="",$K481="—"),"",IF($T481&lt;=60,IF($K481&lt;-3,"Magreza acentuada",IF($K481&lt;-2,"Magreza",IF($K481&lt;=1,"Eutrofia",IF($K481&lt;=2,"Risco de sobrepeso",IF($K481&lt;=3,"Sobrepeso","Obesidade"))))),IF($K481&lt;-3,"Magreza acentuada",IF($K481&lt;-2,"Magreza",IF($K481&lt;=1,"Eutrofia",IF($K481&lt;=2,"Sobrepeso",IF($K481&lt;=3,"Obesidade","Obesidade grave")))))))</f>
        <v/>
      </c>
      <c r="M481" s="12">
        <f>IF(OR($S481="",$V481="",$T481="",$T481&lt;0,$T481&gt;228,$AG481=""),"—",ROUND(IF($AG481=0,LN($V481/$AH481)/$AI481,((($V481/$AH481)^$AG481)-1)/($AG481*$AI481)),2))</f>
        <v/>
      </c>
      <c r="N481">
        <f>IF(OR($M481="",$M481="—"),"",IF($M481&lt;-3,"Muito baixa",IF($M481&lt;-2,"Baixa","Adequada")))</f>
        <v/>
      </c>
      <c r="O481" s="12">
        <f>IF(OR($S481="",$F481="",$T481="",$T481&lt;0,$T481&gt;120,$AJ481=""),"—",ROUND(IF(ABS($AM481)&lt;=3,$AM481,IF($AM481&gt;3,3+($F481-$AO481)/($AO481-$AN481),-3+($F481-$AQ481)/($AP481-$AQ481))),2))</f>
        <v/>
      </c>
      <c r="P481">
        <f>IF(OR($O481="",$O481="—"),"",IF($O481&lt;-3,"Muito baixo",IF($O481&lt;-2,"Baixo",IF($O481&lt;=2,"Adequado","Elevado"))))</f>
        <v/>
      </c>
      <c r="Q481" s="12">
        <f>IF(OR($S481="",$F481="",$T481="",$T481&lt;0,$T481&gt;60,$AR481=""),"—",ROUND(IF(ABS($AU481)&lt;=3,$AU481,IF($AU481&gt;3,3+($F481-$AW481)/($AW481-$AV481),-3+($F481-$AY481)/($AX481-$AY481))),2))</f>
        <v/>
      </c>
      <c r="R481">
        <f>IF(OR($Q481="",$Q481="—"),"",IF($Q481&lt;-3,"Magreza acentuada",IF($Q481&lt;-2,"Magreza",IF($Q481&lt;=1,"Eutrofia",IF($Q481&lt;=2,"Risco de sobrepeso",IF($Q481&lt;=3,"Sobrepeso","Obesidade"))))))</f>
        <v/>
      </c>
      <c r="S481">
        <f>IF($C481="","",IF(UPPER(LEFT($C481,1))="M",1,IF(UPPER(LEFT($C481,1))="F",2,"")))</f>
        <v/>
      </c>
      <c r="T481">
        <f>IF(OR($D481="",$E481=""),"",DATEDIF($D481,$E481,"m"))</f>
        <v/>
      </c>
      <c r="U481">
        <f>IF(OR($D481="",$E481=""),"",$E481-$D481)</f>
        <v/>
      </c>
      <c r="V481">
        <f>IF(OR($G481="",$T481=""),"",IF($T481&lt;24,IF(LEFT(LOWER($H481),4)="em p",$G481+0.7,$G481),IF(LEFT(LOWER($H481),4)="deit",$G481-0.7,$G481)))</f>
        <v/>
      </c>
      <c r="W481">
        <f>IF(OR($S481="",$T481=""),"",$S481*1000000+IF($T481&lt;=60,$U481,$T481))</f>
        <v/>
      </c>
      <c r="X481">
        <f>IF(OR($S481="",$V481="",$T481&gt;60,$T481=""),"",$S481*1000000+ROUND($V481*10,0))</f>
        <v/>
      </c>
      <c r="Y481">
        <f>IF($W481="","",IFERROR(INDEX(IF($T481&lt;=60,imc05_l,imc519_l),MATCH($W481,IF($T481&lt;=60,imc05_k,imc519_k),1)),""))</f>
        <v/>
      </c>
      <c r="Z481">
        <f>IF($W481="","",IFERROR(INDEX(IF($T481&lt;=60,imc05_m,imc519_m),MATCH($W481,IF($T481&lt;=60,imc05_k,imc519_k),1)),""))</f>
        <v/>
      </c>
      <c r="AA481">
        <f>IF($W481="","",IFERROR(INDEX(IF($T481&lt;=60,imc05_s,imc519_s),MATCH($W481,IF($T481&lt;=60,imc05_k,imc519_k),1)),""))</f>
        <v/>
      </c>
      <c r="AB481">
        <f>IF($Y481="","",IF($Y481=0,LN($J481/$Z481)/$AA481,((($J481/$Z481)^$Y481)-1)/($Y481*$AA481)))</f>
        <v/>
      </c>
      <c r="AC481">
        <f>IF($Y481="","",IF($Y481=0,$Z481*EXP($AA481*2),$Z481*(1+$Y481*$AA481*2)^(1/$Y481)))</f>
        <v/>
      </c>
      <c r="AD481">
        <f>IF($Y481="","",IF($Y481=0,$Z481*EXP($AA481*3),$Z481*(1+$Y481*$AA481*3)^(1/$Y481)))</f>
        <v/>
      </c>
      <c r="AE481">
        <f>IF($Y481="","",IF($Y481=0,$Z481*EXP($AA481*-2),$Z481*(1+$Y481*$AA481*-2)^(1/$Y481)))</f>
        <v/>
      </c>
      <c r="AF481">
        <f>IF($Y481="","",IF($Y481=0,$Z481*EXP($AA481*-3),$Z481*(1+$Y481*$AA481*-3)^(1/$Y481)))</f>
        <v/>
      </c>
      <c r="AG481">
        <f>IF($W481="","",IFERROR(INDEX(IF($T481&lt;=60,est05_l,est519_l),MATCH($W481,IF($T481&lt;=60,est05_k,est519_k),1)),""))</f>
        <v/>
      </c>
      <c r="AH481">
        <f>IF($W481="","",IFERROR(INDEX(IF($T481&lt;=60,est05_m,est519_m),MATCH($W481,IF($T481&lt;=60,est05_k,est519_k),1)),""))</f>
        <v/>
      </c>
      <c r="AI481">
        <f>IF($W481="","",IFERROR(INDEX(IF($T481&lt;=60,est05_s,est519_s),MATCH($W481,IF($T481&lt;=60,est05_k,est519_k),1)),""))</f>
        <v/>
      </c>
      <c r="AJ481">
        <f>IF($W481="","",IFERROR(INDEX(IF($T481&lt;=60,peso05_l,peso510_l),MATCH($W481,IF($T481&lt;=60,peso05_k,peso510_k),1)),""))</f>
        <v/>
      </c>
      <c r="AK481">
        <f>IF($W481="","",IFERROR(INDEX(IF($T481&lt;=60,peso05_m,peso510_m),MATCH($W481,IF($T481&lt;=60,peso05_k,peso510_k),1)),""))</f>
        <v/>
      </c>
      <c r="AL481">
        <f>IF($W481="","",IFERROR(INDEX(IF($T481&lt;=60,peso05_s,peso510_s),MATCH($W481,IF($T481&lt;=60,peso05_k,peso510_k),1)),""))</f>
        <v/>
      </c>
      <c r="AM481">
        <f>IF($AJ481="","",IF($AJ481=0,LN($F481/$AK481)/$AL481,((($F481/$AK481)^$AJ481)-1)/($AJ481*$AL481)))</f>
        <v/>
      </c>
      <c r="AN481">
        <f>IF($AJ481="","",IF($AJ481=0,$AK481*EXP($AL481*2),$AK481*(1+$AJ481*$AL481*2)^(1/$AJ481)))</f>
        <v/>
      </c>
      <c r="AO481">
        <f>IF($AJ481="","",IF($AJ481=0,$AK481*EXP($AL481*3),$AK481*(1+$AJ481*$AL481*3)^(1/$AJ481)))</f>
        <v/>
      </c>
      <c r="AP481">
        <f>IF($AJ481="","",IF($AJ481=0,$AK481*EXP($AL481*-2),$AK481*(1+$AJ481*$AL481*-2)^(1/$AJ481)))</f>
        <v/>
      </c>
      <c r="AQ481">
        <f>IF($AJ481="","",IF($AJ481=0,$AK481*EXP($AL481*-3),$AK481*(1+$AJ481*$AL481*-3)^(1/$AJ481)))</f>
        <v/>
      </c>
      <c r="AR481">
        <f>IF(OR($X481="",$T481&gt;60),"",IFERROR(INDEX(IF($T481&lt;24,pcomp_l,palt_l),MATCH($X481,IF($T481&lt;24,pcomp_k,palt_k),1)),""))</f>
        <v/>
      </c>
      <c r="AS481">
        <f>IF(OR($X481="",$T481&gt;60),"",IFERROR(INDEX(IF($T481&lt;24,pcomp_m,palt_m),MATCH($X481,IF($T481&lt;24,pcomp_k,palt_k),1)),""))</f>
        <v/>
      </c>
      <c r="AT481">
        <f>IF(OR($X481="",$T481&gt;60),"",IFERROR(INDEX(IF($T481&lt;24,pcomp_s,palt_s),MATCH($X481,IF($T481&lt;24,pcomp_k,palt_k),1)),""))</f>
        <v/>
      </c>
      <c r="AU481">
        <f>IF($AR481="","",IF($AR481=0,LN($F481/$AS481)/$AT481,((($F481/$AS481)^$AR481)-1)/($AR481*$AT481)))</f>
        <v/>
      </c>
      <c r="AV481">
        <f>IF($AR481="","",IF($AR481=0,$AS481*EXP($AT481*2),$AS481*(1+$AR481*$AT481*2)^(1/$AR481)))</f>
        <v/>
      </c>
      <c r="AW481">
        <f>IF($AR481="","",IF($AR481=0,$AS481*EXP($AT481*3),$AS481*(1+$AR481*$AT481*3)^(1/$AR481)))</f>
        <v/>
      </c>
      <c r="AX481">
        <f>IF($AR481="","",IF($AR481=0,$AS481*EXP($AT481*-2),$AS481*(1+$AR481*$AT481*-2)^(1/$AR481)))</f>
        <v/>
      </c>
      <c r="AY481">
        <f>IF($AR481="","",IF($AR481=0,$AS481*EXP($AT481*-3),$AS481*(1+$AR481*$AT481*-3)^(1/$AR481)))</f>
        <v/>
      </c>
      <c r="AZ481">
        <f>IF(OR($A481="",$A481&lt;&gt;Ficha!$C$4),"",COUNTIF($A$2:$A481,Ficha!$C$4))</f>
        <v/>
      </c>
    </row>
    <row r="482">
      <c r="A482" s="8">
        <f>IF(INDEX(Banco!$A:$A,ROW())="","",INDEX(Banco!$A:$A,ROW()))</f>
        <v/>
      </c>
      <c r="B482" s="8">
        <f>IF(INDEX(Banco!$B:$B,ROW())="","",INDEX(Banco!$B:$B,ROW()))</f>
        <v/>
      </c>
      <c r="C482" s="8">
        <f>IF(INDEX(Banco!$C:$C,ROW())="","",INDEX(Banco!$C:$C,ROW()))</f>
        <v/>
      </c>
      <c r="D482" s="9">
        <f>IF(INDEX(Banco!$D:$D,ROW())="","",INDEX(Banco!$D:$D,ROW()))</f>
        <v/>
      </c>
      <c r="E482" s="9">
        <f>IF(INDEX(Banco!$E:$E,ROW())="","",INDEX(Banco!$E:$E,ROW()))</f>
        <v/>
      </c>
      <c r="F482" s="10">
        <f>IF(INDEX(Banco!$F:$F,ROW())="","",INDEX(Banco!$F:$F,ROW()))</f>
        <v/>
      </c>
      <c r="G482" s="10">
        <f>IF(INDEX(Banco!$G:$G,ROW())="","",INDEX(Banco!$G:$G,ROW()))</f>
        <v/>
      </c>
      <c r="H482" s="8">
        <f>IF(INDEX(Banco!$H:$H,ROW())="","",INDEX(Banco!$H:$H,ROW()))</f>
        <v/>
      </c>
      <c r="I482">
        <f>IF($T482="","",INT($T482/12)&amp;"a "&amp;MOD($T482,12)&amp;"m")</f>
        <v/>
      </c>
      <c r="J482" s="11">
        <f>IF(OR($F482="",$G482=""),"",ROUND($F482/($G482/100)^2,2))</f>
        <v/>
      </c>
      <c r="K482" s="12">
        <f>IF(OR($S482="",$J482="",$T482="",$T482&lt;0,$T482&gt;228,$Y482=""),"—",ROUND(IF(ABS($AB482)&lt;=3,$AB482,IF($AB482&gt;3,3+($J482-$AD482)/($AD482-$AC482),-3+($J482-$AF482)/($AE482-$AF482))),2))</f>
        <v/>
      </c>
      <c r="L482">
        <f>IF(OR($K482="",$K482="—"),"",IF($T482&lt;=60,IF($K482&lt;-3,"Magreza acentuada",IF($K482&lt;-2,"Magreza",IF($K482&lt;=1,"Eutrofia",IF($K482&lt;=2,"Risco de sobrepeso",IF($K482&lt;=3,"Sobrepeso","Obesidade"))))),IF($K482&lt;-3,"Magreza acentuada",IF($K482&lt;-2,"Magreza",IF($K482&lt;=1,"Eutrofia",IF($K482&lt;=2,"Sobrepeso",IF($K482&lt;=3,"Obesidade","Obesidade grave")))))))</f>
        <v/>
      </c>
      <c r="M482" s="12">
        <f>IF(OR($S482="",$V482="",$T482="",$T482&lt;0,$T482&gt;228,$AG482=""),"—",ROUND(IF($AG482=0,LN($V482/$AH482)/$AI482,((($V482/$AH482)^$AG482)-1)/($AG482*$AI482)),2))</f>
        <v/>
      </c>
      <c r="N482">
        <f>IF(OR($M482="",$M482="—"),"",IF($M482&lt;-3,"Muito baixa",IF($M482&lt;-2,"Baixa","Adequada")))</f>
        <v/>
      </c>
      <c r="O482" s="12">
        <f>IF(OR($S482="",$F482="",$T482="",$T482&lt;0,$T482&gt;120,$AJ482=""),"—",ROUND(IF(ABS($AM482)&lt;=3,$AM482,IF($AM482&gt;3,3+($F482-$AO482)/($AO482-$AN482),-3+($F482-$AQ482)/($AP482-$AQ482))),2))</f>
        <v/>
      </c>
      <c r="P482">
        <f>IF(OR($O482="",$O482="—"),"",IF($O482&lt;-3,"Muito baixo",IF($O482&lt;-2,"Baixo",IF($O482&lt;=2,"Adequado","Elevado"))))</f>
        <v/>
      </c>
      <c r="Q482" s="12">
        <f>IF(OR($S482="",$F482="",$T482="",$T482&lt;0,$T482&gt;60,$AR482=""),"—",ROUND(IF(ABS($AU482)&lt;=3,$AU482,IF($AU482&gt;3,3+($F482-$AW482)/($AW482-$AV482),-3+($F482-$AY482)/($AX482-$AY482))),2))</f>
        <v/>
      </c>
      <c r="R482">
        <f>IF(OR($Q482="",$Q482="—"),"",IF($Q482&lt;-3,"Magreza acentuada",IF($Q482&lt;-2,"Magreza",IF($Q482&lt;=1,"Eutrofia",IF($Q482&lt;=2,"Risco de sobrepeso",IF($Q482&lt;=3,"Sobrepeso","Obesidade"))))))</f>
        <v/>
      </c>
      <c r="S482">
        <f>IF($C482="","",IF(UPPER(LEFT($C482,1))="M",1,IF(UPPER(LEFT($C482,1))="F",2,"")))</f>
        <v/>
      </c>
      <c r="T482">
        <f>IF(OR($D482="",$E482=""),"",DATEDIF($D482,$E482,"m"))</f>
        <v/>
      </c>
      <c r="U482">
        <f>IF(OR($D482="",$E482=""),"",$E482-$D482)</f>
        <v/>
      </c>
      <c r="V482">
        <f>IF(OR($G482="",$T482=""),"",IF($T482&lt;24,IF(LEFT(LOWER($H482),4)="em p",$G482+0.7,$G482),IF(LEFT(LOWER($H482),4)="deit",$G482-0.7,$G482)))</f>
        <v/>
      </c>
      <c r="W482">
        <f>IF(OR($S482="",$T482=""),"",$S482*1000000+IF($T482&lt;=60,$U482,$T482))</f>
        <v/>
      </c>
      <c r="X482">
        <f>IF(OR($S482="",$V482="",$T482&gt;60,$T482=""),"",$S482*1000000+ROUND($V482*10,0))</f>
        <v/>
      </c>
      <c r="Y482">
        <f>IF($W482="","",IFERROR(INDEX(IF($T482&lt;=60,imc05_l,imc519_l),MATCH($W482,IF($T482&lt;=60,imc05_k,imc519_k),1)),""))</f>
        <v/>
      </c>
      <c r="Z482">
        <f>IF($W482="","",IFERROR(INDEX(IF($T482&lt;=60,imc05_m,imc519_m),MATCH($W482,IF($T482&lt;=60,imc05_k,imc519_k),1)),""))</f>
        <v/>
      </c>
      <c r="AA482">
        <f>IF($W482="","",IFERROR(INDEX(IF($T482&lt;=60,imc05_s,imc519_s),MATCH($W482,IF($T482&lt;=60,imc05_k,imc519_k),1)),""))</f>
        <v/>
      </c>
      <c r="AB482">
        <f>IF($Y482="","",IF($Y482=0,LN($J482/$Z482)/$AA482,((($J482/$Z482)^$Y482)-1)/($Y482*$AA482)))</f>
        <v/>
      </c>
      <c r="AC482">
        <f>IF($Y482="","",IF($Y482=0,$Z482*EXP($AA482*2),$Z482*(1+$Y482*$AA482*2)^(1/$Y482)))</f>
        <v/>
      </c>
      <c r="AD482">
        <f>IF($Y482="","",IF($Y482=0,$Z482*EXP($AA482*3),$Z482*(1+$Y482*$AA482*3)^(1/$Y482)))</f>
        <v/>
      </c>
      <c r="AE482">
        <f>IF($Y482="","",IF($Y482=0,$Z482*EXP($AA482*-2),$Z482*(1+$Y482*$AA482*-2)^(1/$Y482)))</f>
        <v/>
      </c>
      <c r="AF482">
        <f>IF($Y482="","",IF($Y482=0,$Z482*EXP($AA482*-3),$Z482*(1+$Y482*$AA482*-3)^(1/$Y482)))</f>
        <v/>
      </c>
      <c r="AG482">
        <f>IF($W482="","",IFERROR(INDEX(IF($T482&lt;=60,est05_l,est519_l),MATCH($W482,IF($T482&lt;=60,est05_k,est519_k),1)),""))</f>
        <v/>
      </c>
      <c r="AH482">
        <f>IF($W482="","",IFERROR(INDEX(IF($T482&lt;=60,est05_m,est519_m),MATCH($W482,IF($T482&lt;=60,est05_k,est519_k),1)),""))</f>
        <v/>
      </c>
      <c r="AI482">
        <f>IF($W482="","",IFERROR(INDEX(IF($T482&lt;=60,est05_s,est519_s),MATCH($W482,IF($T482&lt;=60,est05_k,est519_k),1)),""))</f>
        <v/>
      </c>
      <c r="AJ482">
        <f>IF($W482="","",IFERROR(INDEX(IF($T482&lt;=60,peso05_l,peso510_l),MATCH($W482,IF($T482&lt;=60,peso05_k,peso510_k),1)),""))</f>
        <v/>
      </c>
      <c r="AK482">
        <f>IF($W482="","",IFERROR(INDEX(IF($T482&lt;=60,peso05_m,peso510_m),MATCH($W482,IF($T482&lt;=60,peso05_k,peso510_k),1)),""))</f>
        <v/>
      </c>
      <c r="AL482">
        <f>IF($W482="","",IFERROR(INDEX(IF($T482&lt;=60,peso05_s,peso510_s),MATCH($W482,IF($T482&lt;=60,peso05_k,peso510_k),1)),""))</f>
        <v/>
      </c>
      <c r="AM482">
        <f>IF($AJ482="","",IF($AJ482=0,LN($F482/$AK482)/$AL482,((($F482/$AK482)^$AJ482)-1)/($AJ482*$AL482)))</f>
        <v/>
      </c>
      <c r="AN482">
        <f>IF($AJ482="","",IF($AJ482=0,$AK482*EXP($AL482*2),$AK482*(1+$AJ482*$AL482*2)^(1/$AJ482)))</f>
        <v/>
      </c>
      <c r="AO482">
        <f>IF($AJ482="","",IF($AJ482=0,$AK482*EXP($AL482*3),$AK482*(1+$AJ482*$AL482*3)^(1/$AJ482)))</f>
        <v/>
      </c>
      <c r="AP482">
        <f>IF($AJ482="","",IF($AJ482=0,$AK482*EXP($AL482*-2),$AK482*(1+$AJ482*$AL482*-2)^(1/$AJ482)))</f>
        <v/>
      </c>
      <c r="AQ482">
        <f>IF($AJ482="","",IF($AJ482=0,$AK482*EXP($AL482*-3),$AK482*(1+$AJ482*$AL482*-3)^(1/$AJ482)))</f>
        <v/>
      </c>
      <c r="AR482">
        <f>IF(OR($X482="",$T482&gt;60),"",IFERROR(INDEX(IF($T482&lt;24,pcomp_l,palt_l),MATCH($X482,IF($T482&lt;24,pcomp_k,palt_k),1)),""))</f>
        <v/>
      </c>
      <c r="AS482">
        <f>IF(OR($X482="",$T482&gt;60),"",IFERROR(INDEX(IF($T482&lt;24,pcomp_m,palt_m),MATCH($X482,IF($T482&lt;24,pcomp_k,palt_k),1)),""))</f>
        <v/>
      </c>
      <c r="AT482">
        <f>IF(OR($X482="",$T482&gt;60),"",IFERROR(INDEX(IF($T482&lt;24,pcomp_s,palt_s),MATCH($X482,IF($T482&lt;24,pcomp_k,palt_k),1)),""))</f>
        <v/>
      </c>
      <c r="AU482">
        <f>IF($AR482="","",IF($AR482=0,LN($F482/$AS482)/$AT482,((($F482/$AS482)^$AR482)-1)/($AR482*$AT482)))</f>
        <v/>
      </c>
      <c r="AV482">
        <f>IF($AR482="","",IF($AR482=0,$AS482*EXP($AT482*2),$AS482*(1+$AR482*$AT482*2)^(1/$AR482)))</f>
        <v/>
      </c>
      <c r="AW482">
        <f>IF($AR482="","",IF($AR482=0,$AS482*EXP($AT482*3),$AS482*(1+$AR482*$AT482*3)^(1/$AR482)))</f>
        <v/>
      </c>
      <c r="AX482">
        <f>IF($AR482="","",IF($AR482=0,$AS482*EXP($AT482*-2),$AS482*(1+$AR482*$AT482*-2)^(1/$AR482)))</f>
        <v/>
      </c>
      <c r="AY482">
        <f>IF($AR482="","",IF($AR482=0,$AS482*EXP($AT482*-3),$AS482*(1+$AR482*$AT482*-3)^(1/$AR482)))</f>
        <v/>
      </c>
      <c r="AZ482">
        <f>IF(OR($A482="",$A482&lt;&gt;Ficha!$C$4),"",COUNTIF($A$2:$A482,Ficha!$C$4))</f>
        <v/>
      </c>
    </row>
    <row r="483">
      <c r="A483" s="8">
        <f>IF(INDEX(Banco!$A:$A,ROW())="","",INDEX(Banco!$A:$A,ROW()))</f>
        <v/>
      </c>
      <c r="B483" s="8">
        <f>IF(INDEX(Banco!$B:$B,ROW())="","",INDEX(Banco!$B:$B,ROW()))</f>
        <v/>
      </c>
      <c r="C483" s="8">
        <f>IF(INDEX(Banco!$C:$C,ROW())="","",INDEX(Banco!$C:$C,ROW()))</f>
        <v/>
      </c>
      <c r="D483" s="9">
        <f>IF(INDEX(Banco!$D:$D,ROW())="","",INDEX(Banco!$D:$D,ROW()))</f>
        <v/>
      </c>
      <c r="E483" s="9">
        <f>IF(INDEX(Banco!$E:$E,ROW())="","",INDEX(Banco!$E:$E,ROW()))</f>
        <v/>
      </c>
      <c r="F483" s="10">
        <f>IF(INDEX(Banco!$F:$F,ROW())="","",INDEX(Banco!$F:$F,ROW()))</f>
        <v/>
      </c>
      <c r="G483" s="10">
        <f>IF(INDEX(Banco!$G:$G,ROW())="","",INDEX(Banco!$G:$G,ROW()))</f>
        <v/>
      </c>
      <c r="H483" s="8">
        <f>IF(INDEX(Banco!$H:$H,ROW())="","",INDEX(Banco!$H:$H,ROW()))</f>
        <v/>
      </c>
      <c r="I483">
        <f>IF($T483="","",INT($T483/12)&amp;"a "&amp;MOD($T483,12)&amp;"m")</f>
        <v/>
      </c>
      <c r="J483" s="11">
        <f>IF(OR($F483="",$G483=""),"",ROUND($F483/($G483/100)^2,2))</f>
        <v/>
      </c>
      <c r="K483" s="12">
        <f>IF(OR($S483="",$J483="",$T483="",$T483&lt;0,$T483&gt;228,$Y483=""),"—",ROUND(IF(ABS($AB483)&lt;=3,$AB483,IF($AB483&gt;3,3+($J483-$AD483)/($AD483-$AC483),-3+($J483-$AF483)/($AE483-$AF483))),2))</f>
        <v/>
      </c>
      <c r="L483">
        <f>IF(OR($K483="",$K483="—"),"",IF($T483&lt;=60,IF($K483&lt;-3,"Magreza acentuada",IF($K483&lt;-2,"Magreza",IF($K483&lt;=1,"Eutrofia",IF($K483&lt;=2,"Risco de sobrepeso",IF($K483&lt;=3,"Sobrepeso","Obesidade"))))),IF($K483&lt;-3,"Magreza acentuada",IF($K483&lt;-2,"Magreza",IF($K483&lt;=1,"Eutrofia",IF($K483&lt;=2,"Sobrepeso",IF($K483&lt;=3,"Obesidade","Obesidade grave")))))))</f>
        <v/>
      </c>
      <c r="M483" s="12">
        <f>IF(OR($S483="",$V483="",$T483="",$T483&lt;0,$T483&gt;228,$AG483=""),"—",ROUND(IF($AG483=0,LN($V483/$AH483)/$AI483,((($V483/$AH483)^$AG483)-1)/($AG483*$AI483)),2))</f>
        <v/>
      </c>
      <c r="N483">
        <f>IF(OR($M483="",$M483="—"),"",IF($M483&lt;-3,"Muito baixa",IF($M483&lt;-2,"Baixa","Adequada")))</f>
        <v/>
      </c>
      <c r="O483" s="12">
        <f>IF(OR($S483="",$F483="",$T483="",$T483&lt;0,$T483&gt;120,$AJ483=""),"—",ROUND(IF(ABS($AM483)&lt;=3,$AM483,IF($AM483&gt;3,3+($F483-$AO483)/($AO483-$AN483),-3+($F483-$AQ483)/($AP483-$AQ483))),2))</f>
        <v/>
      </c>
      <c r="P483">
        <f>IF(OR($O483="",$O483="—"),"",IF($O483&lt;-3,"Muito baixo",IF($O483&lt;-2,"Baixo",IF($O483&lt;=2,"Adequado","Elevado"))))</f>
        <v/>
      </c>
      <c r="Q483" s="12">
        <f>IF(OR($S483="",$F483="",$T483="",$T483&lt;0,$T483&gt;60,$AR483=""),"—",ROUND(IF(ABS($AU483)&lt;=3,$AU483,IF($AU483&gt;3,3+($F483-$AW483)/($AW483-$AV483),-3+($F483-$AY483)/($AX483-$AY483))),2))</f>
        <v/>
      </c>
      <c r="R483">
        <f>IF(OR($Q483="",$Q483="—"),"",IF($Q483&lt;-3,"Magreza acentuada",IF($Q483&lt;-2,"Magreza",IF($Q483&lt;=1,"Eutrofia",IF($Q483&lt;=2,"Risco de sobrepeso",IF($Q483&lt;=3,"Sobrepeso","Obesidade"))))))</f>
        <v/>
      </c>
      <c r="S483">
        <f>IF($C483="","",IF(UPPER(LEFT($C483,1))="M",1,IF(UPPER(LEFT($C483,1))="F",2,"")))</f>
        <v/>
      </c>
      <c r="T483">
        <f>IF(OR($D483="",$E483=""),"",DATEDIF($D483,$E483,"m"))</f>
        <v/>
      </c>
      <c r="U483">
        <f>IF(OR($D483="",$E483=""),"",$E483-$D483)</f>
        <v/>
      </c>
      <c r="V483">
        <f>IF(OR($G483="",$T483=""),"",IF($T483&lt;24,IF(LEFT(LOWER($H483),4)="em p",$G483+0.7,$G483),IF(LEFT(LOWER($H483),4)="deit",$G483-0.7,$G483)))</f>
        <v/>
      </c>
      <c r="W483">
        <f>IF(OR($S483="",$T483=""),"",$S483*1000000+IF($T483&lt;=60,$U483,$T483))</f>
        <v/>
      </c>
      <c r="X483">
        <f>IF(OR($S483="",$V483="",$T483&gt;60,$T483=""),"",$S483*1000000+ROUND($V483*10,0))</f>
        <v/>
      </c>
      <c r="Y483">
        <f>IF($W483="","",IFERROR(INDEX(IF($T483&lt;=60,imc05_l,imc519_l),MATCH($W483,IF($T483&lt;=60,imc05_k,imc519_k),1)),""))</f>
        <v/>
      </c>
      <c r="Z483">
        <f>IF($W483="","",IFERROR(INDEX(IF($T483&lt;=60,imc05_m,imc519_m),MATCH($W483,IF($T483&lt;=60,imc05_k,imc519_k),1)),""))</f>
        <v/>
      </c>
      <c r="AA483">
        <f>IF($W483="","",IFERROR(INDEX(IF($T483&lt;=60,imc05_s,imc519_s),MATCH($W483,IF($T483&lt;=60,imc05_k,imc519_k),1)),""))</f>
        <v/>
      </c>
      <c r="AB483">
        <f>IF($Y483="","",IF($Y483=0,LN($J483/$Z483)/$AA483,((($J483/$Z483)^$Y483)-1)/($Y483*$AA483)))</f>
        <v/>
      </c>
      <c r="AC483">
        <f>IF($Y483="","",IF($Y483=0,$Z483*EXP($AA483*2),$Z483*(1+$Y483*$AA483*2)^(1/$Y483)))</f>
        <v/>
      </c>
      <c r="AD483">
        <f>IF($Y483="","",IF($Y483=0,$Z483*EXP($AA483*3),$Z483*(1+$Y483*$AA483*3)^(1/$Y483)))</f>
        <v/>
      </c>
      <c r="AE483">
        <f>IF($Y483="","",IF($Y483=0,$Z483*EXP($AA483*-2),$Z483*(1+$Y483*$AA483*-2)^(1/$Y483)))</f>
        <v/>
      </c>
      <c r="AF483">
        <f>IF($Y483="","",IF($Y483=0,$Z483*EXP($AA483*-3),$Z483*(1+$Y483*$AA483*-3)^(1/$Y483)))</f>
        <v/>
      </c>
      <c r="AG483">
        <f>IF($W483="","",IFERROR(INDEX(IF($T483&lt;=60,est05_l,est519_l),MATCH($W483,IF($T483&lt;=60,est05_k,est519_k),1)),""))</f>
        <v/>
      </c>
      <c r="AH483">
        <f>IF($W483="","",IFERROR(INDEX(IF($T483&lt;=60,est05_m,est519_m),MATCH($W483,IF($T483&lt;=60,est05_k,est519_k),1)),""))</f>
        <v/>
      </c>
      <c r="AI483">
        <f>IF($W483="","",IFERROR(INDEX(IF($T483&lt;=60,est05_s,est519_s),MATCH($W483,IF($T483&lt;=60,est05_k,est519_k),1)),""))</f>
        <v/>
      </c>
      <c r="AJ483">
        <f>IF($W483="","",IFERROR(INDEX(IF($T483&lt;=60,peso05_l,peso510_l),MATCH($W483,IF($T483&lt;=60,peso05_k,peso510_k),1)),""))</f>
        <v/>
      </c>
      <c r="AK483">
        <f>IF($W483="","",IFERROR(INDEX(IF($T483&lt;=60,peso05_m,peso510_m),MATCH($W483,IF($T483&lt;=60,peso05_k,peso510_k),1)),""))</f>
        <v/>
      </c>
      <c r="AL483">
        <f>IF($W483="","",IFERROR(INDEX(IF($T483&lt;=60,peso05_s,peso510_s),MATCH($W483,IF($T483&lt;=60,peso05_k,peso510_k),1)),""))</f>
        <v/>
      </c>
      <c r="AM483">
        <f>IF($AJ483="","",IF($AJ483=0,LN($F483/$AK483)/$AL483,((($F483/$AK483)^$AJ483)-1)/($AJ483*$AL483)))</f>
        <v/>
      </c>
      <c r="AN483">
        <f>IF($AJ483="","",IF($AJ483=0,$AK483*EXP($AL483*2),$AK483*(1+$AJ483*$AL483*2)^(1/$AJ483)))</f>
        <v/>
      </c>
      <c r="AO483">
        <f>IF($AJ483="","",IF($AJ483=0,$AK483*EXP($AL483*3),$AK483*(1+$AJ483*$AL483*3)^(1/$AJ483)))</f>
        <v/>
      </c>
      <c r="AP483">
        <f>IF($AJ483="","",IF($AJ483=0,$AK483*EXP($AL483*-2),$AK483*(1+$AJ483*$AL483*-2)^(1/$AJ483)))</f>
        <v/>
      </c>
      <c r="AQ483">
        <f>IF($AJ483="","",IF($AJ483=0,$AK483*EXP($AL483*-3),$AK483*(1+$AJ483*$AL483*-3)^(1/$AJ483)))</f>
        <v/>
      </c>
      <c r="AR483">
        <f>IF(OR($X483="",$T483&gt;60),"",IFERROR(INDEX(IF($T483&lt;24,pcomp_l,palt_l),MATCH($X483,IF($T483&lt;24,pcomp_k,palt_k),1)),""))</f>
        <v/>
      </c>
      <c r="AS483">
        <f>IF(OR($X483="",$T483&gt;60),"",IFERROR(INDEX(IF($T483&lt;24,pcomp_m,palt_m),MATCH($X483,IF($T483&lt;24,pcomp_k,palt_k),1)),""))</f>
        <v/>
      </c>
      <c r="AT483">
        <f>IF(OR($X483="",$T483&gt;60),"",IFERROR(INDEX(IF($T483&lt;24,pcomp_s,palt_s),MATCH($X483,IF($T483&lt;24,pcomp_k,palt_k),1)),""))</f>
        <v/>
      </c>
      <c r="AU483">
        <f>IF($AR483="","",IF($AR483=0,LN($F483/$AS483)/$AT483,((($F483/$AS483)^$AR483)-1)/($AR483*$AT483)))</f>
        <v/>
      </c>
      <c r="AV483">
        <f>IF($AR483="","",IF($AR483=0,$AS483*EXP($AT483*2),$AS483*(1+$AR483*$AT483*2)^(1/$AR483)))</f>
        <v/>
      </c>
      <c r="AW483">
        <f>IF($AR483="","",IF($AR483=0,$AS483*EXP($AT483*3),$AS483*(1+$AR483*$AT483*3)^(1/$AR483)))</f>
        <v/>
      </c>
      <c r="AX483">
        <f>IF($AR483="","",IF($AR483=0,$AS483*EXP($AT483*-2),$AS483*(1+$AR483*$AT483*-2)^(1/$AR483)))</f>
        <v/>
      </c>
      <c r="AY483">
        <f>IF($AR483="","",IF($AR483=0,$AS483*EXP($AT483*-3),$AS483*(1+$AR483*$AT483*-3)^(1/$AR483)))</f>
        <v/>
      </c>
      <c r="AZ483">
        <f>IF(OR($A483="",$A483&lt;&gt;Ficha!$C$4),"",COUNTIF($A$2:$A483,Ficha!$C$4))</f>
        <v/>
      </c>
    </row>
    <row r="484">
      <c r="A484" s="8">
        <f>IF(INDEX(Banco!$A:$A,ROW())="","",INDEX(Banco!$A:$A,ROW()))</f>
        <v/>
      </c>
      <c r="B484" s="8">
        <f>IF(INDEX(Banco!$B:$B,ROW())="","",INDEX(Banco!$B:$B,ROW()))</f>
        <v/>
      </c>
      <c r="C484" s="8">
        <f>IF(INDEX(Banco!$C:$C,ROW())="","",INDEX(Banco!$C:$C,ROW()))</f>
        <v/>
      </c>
      <c r="D484" s="9">
        <f>IF(INDEX(Banco!$D:$D,ROW())="","",INDEX(Banco!$D:$D,ROW()))</f>
        <v/>
      </c>
      <c r="E484" s="9">
        <f>IF(INDEX(Banco!$E:$E,ROW())="","",INDEX(Banco!$E:$E,ROW()))</f>
        <v/>
      </c>
      <c r="F484" s="10">
        <f>IF(INDEX(Banco!$F:$F,ROW())="","",INDEX(Banco!$F:$F,ROW()))</f>
        <v/>
      </c>
      <c r="G484" s="10">
        <f>IF(INDEX(Banco!$G:$G,ROW())="","",INDEX(Banco!$G:$G,ROW()))</f>
        <v/>
      </c>
      <c r="H484" s="8">
        <f>IF(INDEX(Banco!$H:$H,ROW())="","",INDEX(Banco!$H:$H,ROW()))</f>
        <v/>
      </c>
      <c r="I484">
        <f>IF($T484="","",INT($T484/12)&amp;"a "&amp;MOD($T484,12)&amp;"m")</f>
        <v/>
      </c>
      <c r="J484" s="11">
        <f>IF(OR($F484="",$G484=""),"",ROUND($F484/($G484/100)^2,2))</f>
        <v/>
      </c>
      <c r="K484" s="12">
        <f>IF(OR($S484="",$J484="",$T484="",$T484&lt;0,$T484&gt;228,$Y484=""),"—",ROUND(IF(ABS($AB484)&lt;=3,$AB484,IF($AB484&gt;3,3+($J484-$AD484)/($AD484-$AC484),-3+($J484-$AF484)/($AE484-$AF484))),2))</f>
        <v/>
      </c>
      <c r="L484">
        <f>IF(OR($K484="",$K484="—"),"",IF($T484&lt;=60,IF($K484&lt;-3,"Magreza acentuada",IF($K484&lt;-2,"Magreza",IF($K484&lt;=1,"Eutrofia",IF($K484&lt;=2,"Risco de sobrepeso",IF($K484&lt;=3,"Sobrepeso","Obesidade"))))),IF($K484&lt;-3,"Magreza acentuada",IF($K484&lt;-2,"Magreza",IF($K484&lt;=1,"Eutrofia",IF($K484&lt;=2,"Sobrepeso",IF($K484&lt;=3,"Obesidade","Obesidade grave")))))))</f>
        <v/>
      </c>
      <c r="M484" s="12">
        <f>IF(OR($S484="",$V484="",$T484="",$T484&lt;0,$T484&gt;228,$AG484=""),"—",ROUND(IF($AG484=0,LN($V484/$AH484)/$AI484,((($V484/$AH484)^$AG484)-1)/($AG484*$AI484)),2))</f>
        <v/>
      </c>
      <c r="N484">
        <f>IF(OR($M484="",$M484="—"),"",IF($M484&lt;-3,"Muito baixa",IF($M484&lt;-2,"Baixa","Adequada")))</f>
        <v/>
      </c>
      <c r="O484" s="12">
        <f>IF(OR($S484="",$F484="",$T484="",$T484&lt;0,$T484&gt;120,$AJ484=""),"—",ROUND(IF(ABS($AM484)&lt;=3,$AM484,IF($AM484&gt;3,3+($F484-$AO484)/($AO484-$AN484),-3+($F484-$AQ484)/($AP484-$AQ484))),2))</f>
        <v/>
      </c>
      <c r="P484">
        <f>IF(OR($O484="",$O484="—"),"",IF($O484&lt;-3,"Muito baixo",IF($O484&lt;-2,"Baixo",IF($O484&lt;=2,"Adequado","Elevado"))))</f>
        <v/>
      </c>
      <c r="Q484" s="12">
        <f>IF(OR($S484="",$F484="",$T484="",$T484&lt;0,$T484&gt;60,$AR484=""),"—",ROUND(IF(ABS($AU484)&lt;=3,$AU484,IF($AU484&gt;3,3+($F484-$AW484)/($AW484-$AV484),-3+($F484-$AY484)/($AX484-$AY484))),2))</f>
        <v/>
      </c>
      <c r="R484">
        <f>IF(OR($Q484="",$Q484="—"),"",IF($Q484&lt;-3,"Magreza acentuada",IF($Q484&lt;-2,"Magreza",IF($Q484&lt;=1,"Eutrofia",IF($Q484&lt;=2,"Risco de sobrepeso",IF($Q484&lt;=3,"Sobrepeso","Obesidade"))))))</f>
        <v/>
      </c>
      <c r="S484">
        <f>IF($C484="","",IF(UPPER(LEFT($C484,1))="M",1,IF(UPPER(LEFT($C484,1))="F",2,"")))</f>
        <v/>
      </c>
      <c r="T484">
        <f>IF(OR($D484="",$E484=""),"",DATEDIF($D484,$E484,"m"))</f>
        <v/>
      </c>
      <c r="U484">
        <f>IF(OR($D484="",$E484=""),"",$E484-$D484)</f>
        <v/>
      </c>
      <c r="V484">
        <f>IF(OR($G484="",$T484=""),"",IF($T484&lt;24,IF(LEFT(LOWER($H484),4)="em p",$G484+0.7,$G484),IF(LEFT(LOWER($H484),4)="deit",$G484-0.7,$G484)))</f>
        <v/>
      </c>
      <c r="W484">
        <f>IF(OR($S484="",$T484=""),"",$S484*1000000+IF($T484&lt;=60,$U484,$T484))</f>
        <v/>
      </c>
      <c r="X484">
        <f>IF(OR($S484="",$V484="",$T484&gt;60,$T484=""),"",$S484*1000000+ROUND($V484*10,0))</f>
        <v/>
      </c>
      <c r="Y484">
        <f>IF($W484="","",IFERROR(INDEX(IF($T484&lt;=60,imc05_l,imc519_l),MATCH($W484,IF($T484&lt;=60,imc05_k,imc519_k),1)),""))</f>
        <v/>
      </c>
      <c r="Z484">
        <f>IF($W484="","",IFERROR(INDEX(IF($T484&lt;=60,imc05_m,imc519_m),MATCH($W484,IF($T484&lt;=60,imc05_k,imc519_k),1)),""))</f>
        <v/>
      </c>
      <c r="AA484">
        <f>IF($W484="","",IFERROR(INDEX(IF($T484&lt;=60,imc05_s,imc519_s),MATCH($W484,IF($T484&lt;=60,imc05_k,imc519_k),1)),""))</f>
        <v/>
      </c>
      <c r="AB484">
        <f>IF($Y484="","",IF($Y484=0,LN($J484/$Z484)/$AA484,((($J484/$Z484)^$Y484)-1)/($Y484*$AA484)))</f>
        <v/>
      </c>
      <c r="AC484">
        <f>IF($Y484="","",IF($Y484=0,$Z484*EXP($AA484*2),$Z484*(1+$Y484*$AA484*2)^(1/$Y484)))</f>
        <v/>
      </c>
      <c r="AD484">
        <f>IF($Y484="","",IF($Y484=0,$Z484*EXP($AA484*3),$Z484*(1+$Y484*$AA484*3)^(1/$Y484)))</f>
        <v/>
      </c>
      <c r="AE484">
        <f>IF($Y484="","",IF($Y484=0,$Z484*EXP($AA484*-2),$Z484*(1+$Y484*$AA484*-2)^(1/$Y484)))</f>
        <v/>
      </c>
      <c r="AF484">
        <f>IF($Y484="","",IF($Y484=0,$Z484*EXP($AA484*-3),$Z484*(1+$Y484*$AA484*-3)^(1/$Y484)))</f>
        <v/>
      </c>
      <c r="AG484">
        <f>IF($W484="","",IFERROR(INDEX(IF($T484&lt;=60,est05_l,est519_l),MATCH($W484,IF($T484&lt;=60,est05_k,est519_k),1)),""))</f>
        <v/>
      </c>
      <c r="AH484">
        <f>IF($W484="","",IFERROR(INDEX(IF($T484&lt;=60,est05_m,est519_m),MATCH($W484,IF($T484&lt;=60,est05_k,est519_k),1)),""))</f>
        <v/>
      </c>
      <c r="AI484">
        <f>IF($W484="","",IFERROR(INDEX(IF($T484&lt;=60,est05_s,est519_s),MATCH($W484,IF($T484&lt;=60,est05_k,est519_k),1)),""))</f>
        <v/>
      </c>
      <c r="AJ484">
        <f>IF($W484="","",IFERROR(INDEX(IF($T484&lt;=60,peso05_l,peso510_l),MATCH($W484,IF($T484&lt;=60,peso05_k,peso510_k),1)),""))</f>
        <v/>
      </c>
      <c r="AK484">
        <f>IF($W484="","",IFERROR(INDEX(IF($T484&lt;=60,peso05_m,peso510_m),MATCH($W484,IF($T484&lt;=60,peso05_k,peso510_k),1)),""))</f>
        <v/>
      </c>
      <c r="AL484">
        <f>IF($W484="","",IFERROR(INDEX(IF($T484&lt;=60,peso05_s,peso510_s),MATCH($W484,IF($T484&lt;=60,peso05_k,peso510_k),1)),""))</f>
        <v/>
      </c>
      <c r="AM484">
        <f>IF($AJ484="","",IF($AJ484=0,LN($F484/$AK484)/$AL484,((($F484/$AK484)^$AJ484)-1)/($AJ484*$AL484)))</f>
        <v/>
      </c>
      <c r="AN484">
        <f>IF($AJ484="","",IF($AJ484=0,$AK484*EXP($AL484*2),$AK484*(1+$AJ484*$AL484*2)^(1/$AJ484)))</f>
        <v/>
      </c>
      <c r="AO484">
        <f>IF($AJ484="","",IF($AJ484=0,$AK484*EXP($AL484*3),$AK484*(1+$AJ484*$AL484*3)^(1/$AJ484)))</f>
        <v/>
      </c>
      <c r="AP484">
        <f>IF($AJ484="","",IF($AJ484=0,$AK484*EXP($AL484*-2),$AK484*(1+$AJ484*$AL484*-2)^(1/$AJ484)))</f>
        <v/>
      </c>
      <c r="AQ484">
        <f>IF($AJ484="","",IF($AJ484=0,$AK484*EXP($AL484*-3),$AK484*(1+$AJ484*$AL484*-3)^(1/$AJ484)))</f>
        <v/>
      </c>
      <c r="AR484">
        <f>IF(OR($X484="",$T484&gt;60),"",IFERROR(INDEX(IF($T484&lt;24,pcomp_l,palt_l),MATCH($X484,IF($T484&lt;24,pcomp_k,palt_k),1)),""))</f>
        <v/>
      </c>
      <c r="AS484">
        <f>IF(OR($X484="",$T484&gt;60),"",IFERROR(INDEX(IF($T484&lt;24,pcomp_m,palt_m),MATCH($X484,IF($T484&lt;24,pcomp_k,palt_k),1)),""))</f>
        <v/>
      </c>
      <c r="AT484">
        <f>IF(OR($X484="",$T484&gt;60),"",IFERROR(INDEX(IF($T484&lt;24,pcomp_s,palt_s),MATCH($X484,IF($T484&lt;24,pcomp_k,palt_k),1)),""))</f>
        <v/>
      </c>
      <c r="AU484">
        <f>IF($AR484="","",IF($AR484=0,LN($F484/$AS484)/$AT484,((($F484/$AS484)^$AR484)-1)/($AR484*$AT484)))</f>
        <v/>
      </c>
      <c r="AV484">
        <f>IF($AR484="","",IF($AR484=0,$AS484*EXP($AT484*2),$AS484*(1+$AR484*$AT484*2)^(1/$AR484)))</f>
        <v/>
      </c>
      <c r="AW484">
        <f>IF($AR484="","",IF($AR484=0,$AS484*EXP($AT484*3),$AS484*(1+$AR484*$AT484*3)^(1/$AR484)))</f>
        <v/>
      </c>
      <c r="AX484">
        <f>IF($AR484="","",IF($AR484=0,$AS484*EXP($AT484*-2),$AS484*(1+$AR484*$AT484*-2)^(1/$AR484)))</f>
        <v/>
      </c>
      <c r="AY484">
        <f>IF($AR484="","",IF($AR484=0,$AS484*EXP($AT484*-3),$AS484*(1+$AR484*$AT484*-3)^(1/$AR484)))</f>
        <v/>
      </c>
      <c r="AZ484">
        <f>IF(OR($A484="",$A484&lt;&gt;Ficha!$C$4),"",COUNTIF($A$2:$A484,Ficha!$C$4))</f>
        <v/>
      </c>
    </row>
    <row r="485">
      <c r="A485" s="8">
        <f>IF(INDEX(Banco!$A:$A,ROW())="","",INDEX(Banco!$A:$A,ROW()))</f>
        <v/>
      </c>
      <c r="B485" s="8">
        <f>IF(INDEX(Banco!$B:$B,ROW())="","",INDEX(Banco!$B:$B,ROW()))</f>
        <v/>
      </c>
      <c r="C485" s="8">
        <f>IF(INDEX(Banco!$C:$C,ROW())="","",INDEX(Banco!$C:$C,ROW()))</f>
        <v/>
      </c>
      <c r="D485" s="9">
        <f>IF(INDEX(Banco!$D:$D,ROW())="","",INDEX(Banco!$D:$D,ROW()))</f>
        <v/>
      </c>
      <c r="E485" s="9">
        <f>IF(INDEX(Banco!$E:$E,ROW())="","",INDEX(Banco!$E:$E,ROW()))</f>
        <v/>
      </c>
      <c r="F485" s="10">
        <f>IF(INDEX(Banco!$F:$F,ROW())="","",INDEX(Banco!$F:$F,ROW()))</f>
        <v/>
      </c>
      <c r="G485" s="10">
        <f>IF(INDEX(Banco!$G:$G,ROW())="","",INDEX(Banco!$G:$G,ROW()))</f>
        <v/>
      </c>
      <c r="H485" s="8">
        <f>IF(INDEX(Banco!$H:$H,ROW())="","",INDEX(Banco!$H:$H,ROW()))</f>
        <v/>
      </c>
      <c r="I485">
        <f>IF($T485="","",INT($T485/12)&amp;"a "&amp;MOD($T485,12)&amp;"m")</f>
        <v/>
      </c>
      <c r="J485" s="11">
        <f>IF(OR($F485="",$G485=""),"",ROUND($F485/($G485/100)^2,2))</f>
        <v/>
      </c>
      <c r="K485" s="12">
        <f>IF(OR($S485="",$J485="",$T485="",$T485&lt;0,$T485&gt;228,$Y485=""),"—",ROUND(IF(ABS($AB485)&lt;=3,$AB485,IF($AB485&gt;3,3+($J485-$AD485)/($AD485-$AC485),-3+($J485-$AF485)/($AE485-$AF485))),2))</f>
        <v/>
      </c>
      <c r="L485">
        <f>IF(OR($K485="",$K485="—"),"",IF($T485&lt;=60,IF($K485&lt;-3,"Magreza acentuada",IF($K485&lt;-2,"Magreza",IF($K485&lt;=1,"Eutrofia",IF($K485&lt;=2,"Risco de sobrepeso",IF($K485&lt;=3,"Sobrepeso","Obesidade"))))),IF($K485&lt;-3,"Magreza acentuada",IF($K485&lt;-2,"Magreza",IF($K485&lt;=1,"Eutrofia",IF($K485&lt;=2,"Sobrepeso",IF($K485&lt;=3,"Obesidade","Obesidade grave")))))))</f>
        <v/>
      </c>
      <c r="M485" s="12">
        <f>IF(OR($S485="",$V485="",$T485="",$T485&lt;0,$T485&gt;228,$AG485=""),"—",ROUND(IF($AG485=0,LN($V485/$AH485)/$AI485,((($V485/$AH485)^$AG485)-1)/($AG485*$AI485)),2))</f>
        <v/>
      </c>
      <c r="N485">
        <f>IF(OR($M485="",$M485="—"),"",IF($M485&lt;-3,"Muito baixa",IF($M485&lt;-2,"Baixa","Adequada")))</f>
        <v/>
      </c>
      <c r="O485" s="12">
        <f>IF(OR($S485="",$F485="",$T485="",$T485&lt;0,$T485&gt;120,$AJ485=""),"—",ROUND(IF(ABS($AM485)&lt;=3,$AM485,IF($AM485&gt;3,3+($F485-$AO485)/($AO485-$AN485),-3+($F485-$AQ485)/($AP485-$AQ485))),2))</f>
        <v/>
      </c>
      <c r="P485">
        <f>IF(OR($O485="",$O485="—"),"",IF($O485&lt;-3,"Muito baixo",IF($O485&lt;-2,"Baixo",IF($O485&lt;=2,"Adequado","Elevado"))))</f>
        <v/>
      </c>
      <c r="Q485" s="12">
        <f>IF(OR($S485="",$F485="",$T485="",$T485&lt;0,$T485&gt;60,$AR485=""),"—",ROUND(IF(ABS($AU485)&lt;=3,$AU485,IF($AU485&gt;3,3+($F485-$AW485)/($AW485-$AV485),-3+($F485-$AY485)/($AX485-$AY485))),2))</f>
        <v/>
      </c>
      <c r="R485">
        <f>IF(OR($Q485="",$Q485="—"),"",IF($Q485&lt;-3,"Magreza acentuada",IF($Q485&lt;-2,"Magreza",IF($Q485&lt;=1,"Eutrofia",IF($Q485&lt;=2,"Risco de sobrepeso",IF($Q485&lt;=3,"Sobrepeso","Obesidade"))))))</f>
        <v/>
      </c>
      <c r="S485">
        <f>IF($C485="","",IF(UPPER(LEFT($C485,1))="M",1,IF(UPPER(LEFT($C485,1))="F",2,"")))</f>
        <v/>
      </c>
      <c r="T485">
        <f>IF(OR($D485="",$E485=""),"",DATEDIF($D485,$E485,"m"))</f>
        <v/>
      </c>
      <c r="U485">
        <f>IF(OR($D485="",$E485=""),"",$E485-$D485)</f>
        <v/>
      </c>
      <c r="V485">
        <f>IF(OR($G485="",$T485=""),"",IF($T485&lt;24,IF(LEFT(LOWER($H485),4)="em p",$G485+0.7,$G485),IF(LEFT(LOWER($H485),4)="deit",$G485-0.7,$G485)))</f>
        <v/>
      </c>
      <c r="W485">
        <f>IF(OR($S485="",$T485=""),"",$S485*1000000+IF($T485&lt;=60,$U485,$T485))</f>
        <v/>
      </c>
      <c r="X485">
        <f>IF(OR($S485="",$V485="",$T485&gt;60,$T485=""),"",$S485*1000000+ROUND($V485*10,0))</f>
        <v/>
      </c>
      <c r="Y485">
        <f>IF($W485="","",IFERROR(INDEX(IF($T485&lt;=60,imc05_l,imc519_l),MATCH($W485,IF($T485&lt;=60,imc05_k,imc519_k),1)),""))</f>
        <v/>
      </c>
      <c r="Z485">
        <f>IF($W485="","",IFERROR(INDEX(IF($T485&lt;=60,imc05_m,imc519_m),MATCH($W485,IF($T485&lt;=60,imc05_k,imc519_k),1)),""))</f>
        <v/>
      </c>
      <c r="AA485">
        <f>IF($W485="","",IFERROR(INDEX(IF($T485&lt;=60,imc05_s,imc519_s),MATCH($W485,IF($T485&lt;=60,imc05_k,imc519_k),1)),""))</f>
        <v/>
      </c>
      <c r="AB485">
        <f>IF($Y485="","",IF($Y485=0,LN($J485/$Z485)/$AA485,((($J485/$Z485)^$Y485)-1)/($Y485*$AA485)))</f>
        <v/>
      </c>
      <c r="AC485">
        <f>IF($Y485="","",IF($Y485=0,$Z485*EXP($AA485*2),$Z485*(1+$Y485*$AA485*2)^(1/$Y485)))</f>
        <v/>
      </c>
      <c r="AD485">
        <f>IF($Y485="","",IF($Y485=0,$Z485*EXP($AA485*3),$Z485*(1+$Y485*$AA485*3)^(1/$Y485)))</f>
        <v/>
      </c>
      <c r="AE485">
        <f>IF($Y485="","",IF($Y485=0,$Z485*EXP($AA485*-2),$Z485*(1+$Y485*$AA485*-2)^(1/$Y485)))</f>
        <v/>
      </c>
      <c r="AF485">
        <f>IF($Y485="","",IF($Y485=0,$Z485*EXP($AA485*-3),$Z485*(1+$Y485*$AA485*-3)^(1/$Y485)))</f>
        <v/>
      </c>
      <c r="AG485">
        <f>IF($W485="","",IFERROR(INDEX(IF($T485&lt;=60,est05_l,est519_l),MATCH($W485,IF($T485&lt;=60,est05_k,est519_k),1)),""))</f>
        <v/>
      </c>
      <c r="AH485">
        <f>IF($W485="","",IFERROR(INDEX(IF($T485&lt;=60,est05_m,est519_m),MATCH($W485,IF($T485&lt;=60,est05_k,est519_k),1)),""))</f>
        <v/>
      </c>
      <c r="AI485">
        <f>IF($W485="","",IFERROR(INDEX(IF($T485&lt;=60,est05_s,est519_s),MATCH($W485,IF($T485&lt;=60,est05_k,est519_k),1)),""))</f>
        <v/>
      </c>
      <c r="AJ485">
        <f>IF($W485="","",IFERROR(INDEX(IF($T485&lt;=60,peso05_l,peso510_l),MATCH($W485,IF($T485&lt;=60,peso05_k,peso510_k),1)),""))</f>
        <v/>
      </c>
      <c r="AK485">
        <f>IF($W485="","",IFERROR(INDEX(IF($T485&lt;=60,peso05_m,peso510_m),MATCH($W485,IF($T485&lt;=60,peso05_k,peso510_k),1)),""))</f>
        <v/>
      </c>
      <c r="AL485">
        <f>IF($W485="","",IFERROR(INDEX(IF($T485&lt;=60,peso05_s,peso510_s),MATCH($W485,IF($T485&lt;=60,peso05_k,peso510_k),1)),""))</f>
        <v/>
      </c>
      <c r="AM485">
        <f>IF($AJ485="","",IF($AJ485=0,LN($F485/$AK485)/$AL485,((($F485/$AK485)^$AJ485)-1)/($AJ485*$AL485)))</f>
        <v/>
      </c>
      <c r="AN485">
        <f>IF($AJ485="","",IF($AJ485=0,$AK485*EXP($AL485*2),$AK485*(1+$AJ485*$AL485*2)^(1/$AJ485)))</f>
        <v/>
      </c>
      <c r="AO485">
        <f>IF($AJ485="","",IF($AJ485=0,$AK485*EXP($AL485*3),$AK485*(1+$AJ485*$AL485*3)^(1/$AJ485)))</f>
        <v/>
      </c>
      <c r="AP485">
        <f>IF($AJ485="","",IF($AJ485=0,$AK485*EXP($AL485*-2),$AK485*(1+$AJ485*$AL485*-2)^(1/$AJ485)))</f>
        <v/>
      </c>
      <c r="AQ485">
        <f>IF($AJ485="","",IF($AJ485=0,$AK485*EXP($AL485*-3),$AK485*(1+$AJ485*$AL485*-3)^(1/$AJ485)))</f>
        <v/>
      </c>
      <c r="AR485">
        <f>IF(OR($X485="",$T485&gt;60),"",IFERROR(INDEX(IF($T485&lt;24,pcomp_l,palt_l),MATCH($X485,IF($T485&lt;24,pcomp_k,palt_k),1)),""))</f>
        <v/>
      </c>
      <c r="AS485">
        <f>IF(OR($X485="",$T485&gt;60),"",IFERROR(INDEX(IF($T485&lt;24,pcomp_m,palt_m),MATCH($X485,IF($T485&lt;24,pcomp_k,palt_k),1)),""))</f>
        <v/>
      </c>
      <c r="AT485">
        <f>IF(OR($X485="",$T485&gt;60),"",IFERROR(INDEX(IF($T485&lt;24,pcomp_s,palt_s),MATCH($X485,IF($T485&lt;24,pcomp_k,palt_k),1)),""))</f>
        <v/>
      </c>
      <c r="AU485">
        <f>IF($AR485="","",IF($AR485=0,LN($F485/$AS485)/$AT485,((($F485/$AS485)^$AR485)-1)/($AR485*$AT485)))</f>
        <v/>
      </c>
      <c r="AV485">
        <f>IF($AR485="","",IF($AR485=0,$AS485*EXP($AT485*2),$AS485*(1+$AR485*$AT485*2)^(1/$AR485)))</f>
        <v/>
      </c>
      <c r="AW485">
        <f>IF($AR485="","",IF($AR485=0,$AS485*EXP($AT485*3),$AS485*(1+$AR485*$AT485*3)^(1/$AR485)))</f>
        <v/>
      </c>
      <c r="AX485">
        <f>IF($AR485="","",IF($AR485=0,$AS485*EXP($AT485*-2),$AS485*(1+$AR485*$AT485*-2)^(1/$AR485)))</f>
        <v/>
      </c>
      <c r="AY485">
        <f>IF($AR485="","",IF($AR485=0,$AS485*EXP($AT485*-3),$AS485*(1+$AR485*$AT485*-3)^(1/$AR485)))</f>
        <v/>
      </c>
      <c r="AZ485">
        <f>IF(OR($A485="",$A485&lt;&gt;Ficha!$C$4),"",COUNTIF($A$2:$A485,Ficha!$C$4))</f>
        <v/>
      </c>
    </row>
    <row r="486">
      <c r="A486" s="8">
        <f>IF(INDEX(Banco!$A:$A,ROW())="","",INDEX(Banco!$A:$A,ROW()))</f>
        <v/>
      </c>
      <c r="B486" s="8">
        <f>IF(INDEX(Banco!$B:$B,ROW())="","",INDEX(Banco!$B:$B,ROW()))</f>
        <v/>
      </c>
      <c r="C486" s="8">
        <f>IF(INDEX(Banco!$C:$C,ROW())="","",INDEX(Banco!$C:$C,ROW()))</f>
        <v/>
      </c>
      <c r="D486" s="9">
        <f>IF(INDEX(Banco!$D:$D,ROW())="","",INDEX(Banco!$D:$D,ROW()))</f>
        <v/>
      </c>
      <c r="E486" s="9">
        <f>IF(INDEX(Banco!$E:$E,ROW())="","",INDEX(Banco!$E:$E,ROW()))</f>
        <v/>
      </c>
      <c r="F486" s="10">
        <f>IF(INDEX(Banco!$F:$F,ROW())="","",INDEX(Banco!$F:$F,ROW()))</f>
        <v/>
      </c>
      <c r="G486" s="10">
        <f>IF(INDEX(Banco!$G:$G,ROW())="","",INDEX(Banco!$G:$G,ROW()))</f>
        <v/>
      </c>
      <c r="H486" s="8">
        <f>IF(INDEX(Banco!$H:$H,ROW())="","",INDEX(Banco!$H:$H,ROW()))</f>
        <v/>
      </c>
      <c r="I486">
        <f>IF($T486="","",INT($T486/12)&amp;"a "&amp;MOD($T486,12)&amp;"m")</f>
        <v/>
      </c>
      <c r="J486" s="11">
        <f>IF(OR($F486="",$G486=""),"",ROUND($F486/($G486/100)^2,2))</f>
        <v/>
      </c>
      <c r="K486" s="12">
        <f>IF(OR($S486="",$J486="",$T486="",$T486&lt;0,$T486&gt;228,$Y486=""),"—",ROUND(IF(ABS($AB486)&lt;=3,$AB486,IF($AB486&gt;3,3+($J486-$AD486)/($AD486-$AC486),-3+($J486-$AF486)/($AE486-$AF486))),2))</f>
        <v/>
      </c>
      <c r="L486">
        <f>IF(OR($K486="",$K486="—"),"",IF($T486&lt;=60,IF($K486&lt;-3,"Magreza acentuada",IF($K486&lt;-2,"Magreza",IF($K486&lt;=1,"Eutrofia",IF($K486&lt;=2,"Risco de sobrepeso",IF($K486&lt;=3,"Sobrepeso","Obesidade"))))),IF($K486&lt;-3,"Magreza acentuada",IF($K486&lt;-2,"Magreza",IF($K486&lt;=1,"Eutrofia",IF($K486&lt;=2,"Sobrepeso",IF($K486&lt;=3,"Obesidade","Obesidade grave")))))))</f>
        <v/>
      </c>
      <c r="M486" s="12">
        <f>IF(OR($S486="",$V486="",$T486="",$T486&lt;0,$T486&gt;228,$AG486=""),"—",ROUND(IF($AG486=0,LN($V486/$AH486)/$AI486,((($V486/$AH486)^$AG486)-1)/($AG486*$AI486)),2))</f>
        <v/>
      </c>
      <c r="N486">
        <f>IF(OR($M486="",$M486="—"),"",IF($M486&lt;-3,"Muito baixa",IF($M486&lt;-2,"Baixa","Adequada")))</f>
        <v/>
      </c>
      <c r="O486" s="12">
        <f>IF(OR($S486="",$F486="",$T486="",$T486&lt;0,$T486&gt;120,$AJ486=""),"—",ROUND(IF(ABS($AM486)&lt;=3,$AM486,IF($AM486&gt;3,3+($F486-$AO486)/($AO486-$AN486),-3+($F486-$AQ486)/($AP486-$AQ486))),2))</f>
        <v/>
      </c>
      <c r="P486">
        <f>IF(OR($O486="",$O486="—"),"",IF($O486&lt;-3,"Muito baixo",IF($O486&lt;-2,"Baixo",IF($O486&lt;=2,"Adequado","Elevado"))))</f>
        <v/>
      </c>
      <c r="Q486" s="12">
        <f>IF(OR($S486="",$F486="",$T486="",$T486&lt;0,$T486&gt;60,$AR486=""),"—",ROUND(IF(ABS($AU486)&lt;=3,$AU486,IF($AU486&gt;3,3+($F486-$AW486)/($AW486-$AV486),-3+($F486-$AY486)/($AX486-$AY486))),2))</f>
        <v/>
      </c>
      <c r="R486">
        <f>IF(OR($Q486="",$Q486="—"),"",IF($Q486&lt;-3,"Magreza acentuada",IF($Q486&lt;-2,"Magreza",IF($Q486&lt;=1,"Eutrofia",IF($Q486&lt;=2,"Risco de sobrepeso",IF($Q486&lt;=3,"Sobrepeso","Obesidade"))))))</f>
        <v/>
      </c>
      <c r="S486">
        <f>IF($C486="","",IF(UPPER(LEFT($C486,1))="M",1,IF(UPPER(LEFT($C486,1))="F",2,"")))</f>
        <v/>
      </c>
      <c r="T486">
        <f>IF(OR($D486="",$E486=""),"",DATEDIF($D486,$E486,"m"))</f>
        <v/>
      </c>
      <c r="U486">
        <f>IF(OR($D486="",$E486=""),"",$E486-$D486)</f>
        <v/>
      </c>
      <c r="V486">
        <f>IF(OR($G486="",$T486=""),"",IF($T486&lt;24,IF(LEFT(LOWER($H486),4)="em p",$G486+0.7,$G486),IF(LEFT(LOWER($H486),4)="deit",$G486-0.7,$G486)))</f>
        <v/>
      </c>
      <c r="W486">
        <f>IF(OR($S486="",$T486=""),"",$S486*1000000+IF($T486&lt;=60,$U486,$T486))</f>
        <v/>
      </c>
      <c r="X486">
        <f>IF(OR($S486="",$V486="",$T486&gt;60,$T486=""),"",$S486*1000000+ROUND($V486*10,0))</f>
        <v/>
      </c>
      <c r="Y486">
        <f>IF($W486="","",IFERROR(INDEX(IF($T486&lt;=60,imc05_l,imc519_l),MATCH($W486,IF($T486&lt;=60,imc05_k,imc519_k),1)),""))</f>
        <v/>
      </c>
      <c r="Z486">
        <f>IF($W486="","",IFERROR(INDEX(IF($T486&lt;=60,imc05_m,imc519_m),MATCH($W486,IF($T486&lt;=60,imc05_k,imc519_k),1)),""))</f>
        <v/>
      </c>
      <c r="AA486">
        <f>IF($W486="","",IFERROR(INDEX(IF($T486&lt;=60,imc05_s,imc519_s),MATCH($W486,IF($T486&lt;=60,imc05_k,imc519_k),1)),""))</f>
        <v/>
      </c>
      <c r="AB486">
        <f>IF($Y486="","",IF($Y486=0,LN($J486/$Z486)/$AA486,((($J486/$Z486)^$Y486)-1)/($Y486*$AA486)))</f>
        <v/>
      </c>
      <c r="AC486">
        <f>IF($Y486="","",IF($Y486=0,$Z486*EXP($AA486*2),$Z486*(1+$Y486*$AA486*2)^(1/$Y486)))</f>
        <v/>
      </c>
      <c r="AD486">
        <f>IF($Y486="","",IF($Y486=0,$Z486*EXP($AA486*3),$Z486*(1+$Y486*$AA486*3)^(1/$Y486)))</f>
        <v/>
      </c>
      <c r="AE486">
        <f>IF($Y486="","",IF($Y486=0,$Z486*EXP($AA486*-2),$Z486*(1+$Y486*$AA486*-2)^(1/$Y486)))</f>
        <v/>
      </c>
      <c r="AF486">
        <f>IF($Y486="","",IF($Y486=0,$Z486*EXP($AA486*-3),$Z486*(1+$Y486*$AA486*-3)^(1/$Y486)))</f>
        <v/>
      </c>
      <c r="AG486">
        <f>IF($W486="","",IFERROR(INDEX(IF($T486&lt;=60,est05_l,est519_l),MATCH($W486,IF($T486&lt;=60,est05_k,est519_k),1)),""))</f>
        <v/>
      </c>
      <c r="AH486">
        <f>IF($W486="","",IFERROR(INDEX(IF($T486&lt;=60,est05_m,est519_m),MATCH($W486,IF($T486&lt;=60,est05_k,est519_k),1)),""))</f>
        <v/>
      </c>
      <c r="AI486">
        <f>IF($W486="","",IFERROR(INDEX(IF($T486&lt;=60,est05_s,est519_s),MATCH($W486,IF($T486&lt;=60,est05_k,est519_k),1)),""))</f>
        <v/>
      </c>
      <c r="AJ486">
        <f>IF($W486="","",IFERROR(INDEX(IF($T486&lt;=60,peso05_l,peso510_l),MATCH($W486,IF($T486&lt;=60,peso05_k,peso510_k),1)),""))</f>
        <v/>
      </c>
      <c r="AK486">
        <f>IF($W486="","",IFERROR(INDEX(IF($T486&lt;=60,peso05_m,peso510_m),MATCH($W486,IF($T486&lt;=60,peso05_k,peso510_k),1)),""))</f>
        <v/>
      </c>
      <c r="AL486">
        <f>IF($W486="","",IFERROR(INDEX(IF($T486&lt;=60,peso05_s,peso510_s),MATCH($W486,IF($T486&lt;=60,peso05_k,peso510_k),1)),""))</f>
        <v/>
      </c>
      <c r="AM486">
        <f>IF($AJ486="","",IF($AJ486=0,LN($F486/$AK486)/$AL486,((($F486/$AK486)^$AJ486)-1)/($AJ486*$AL486)))</f>
        <v/>
      </c>
      <c r="AN486">
        <f>IF($AJ486="","",IF($AJ486=0,$AK486*EXP($AL486*2),$AK486*(1+$AJ486*$AL486*2)^(1/$AJ486)))</f>
        <v/>
      </c>
      <c r="AO486">
        <f>IF($AJ486="","",IF($AJ486=0,$AK486*EXP($AL486*3),$AK486*(1+$AJ486*$AL486*3)^(1/$AJ486)))</f>
        <v/>
      </c>
      <c r="AP486">
        <f>IF($AJ486="","",IF($AJ486=0,$AK486*EXP($AL486*-2),$AK486*(1+$AJ486*$AL486*-2)^(1/$AJ486)))</f>
        <v/>
      </c>
      <c r="AQ486">
        <f>IF($AJ486="","",IF($AJ486=0,$AK486*EXP($AL486*-3),$AK486*(1+$AJ486*$AL486*-3)^(1/$AJ486)))</f>
        <v/>
      </c>
      <c r="AR486">
        <f>IF(OR($X486="",$T486&gt;60),"",IFERROR(INDEX(IF($T486&lt;24,pcomp_l,palt_l),MATCH($X486,IF($T486&lt;24,pcomp_k,palt_k),1)),""))</f>
        <v/>
      </c>
      <c r="AS486">
        <f>IF(OR($X486="",$T486&gt;60),"",IFERROR(INDEX(IF($T486&lt;24,pcomp_m,palt_m),MATCH($X486,IF($T486&lt;24,pcomp_k,palt_k),1)),""))</f>
        <v/>
      </c>
      <c r="AT486">
        <f>IF(OR($X486="",$T486&gt;60),"",IFERROR(INDEX(IF($T486&lt;24,pcomp_s,palt_s),MATCH($X486,IF($T486&lt;24,pcomp_k,palt_k),1)),""))</f>
        <v/>
      </c>
      <c r="AU486">
        <f>IF($AR486="","",IF($AR486=0,LN($F486/$AS486)/$AT486,((($F486/$AS486)^$AR486)-1)/($AR486*$AT486)))</f>
        <v/>
      </c>
      <c r="AV486">
        <f>IF($AR486="","",IF($AR486=0,$AS486*EXP($AT486*2),$AS486*(1+$AR486*$AT486*2)^(1/$AR486)))</f>
        <v/>
      </c>
      <c r="AW486">
        <f>IF($AR486="","",IF($AR486=0,$AS486*EXP($AT486*3),$AS486*(1+$AR486*$AT486*3)^(1/$AR486)))</f>
        <v/>
      </c>
      <c r="AX486">
        <f>IF($AR486="","",IF($AR486=0,$AS486*EXP($AT486*-2),$AS486*(1+$AR486*$AT486*-2)^(1/$AR486)))</f>
        <v/>
      </c>
      <c r="AY486">
        <f>IF($AR486="","",IF($AR486=0,$AS486*EXP($AT486*-3),$AS486*(1+$AR486*$AT486*-3)^(1/$AR486)))</f>
        <v/>
      </c>
      <c r="AZ486">
        <f>IF(OR($A486="",$A486&lt;&gt;Ficha!$C$4),"",COUNTIF($A$2:$A486,Ficha!$C$4))</f>
        <v/>
      </c>
    </row>
    <row r="487">
      <c r="A487" s="8">
        <f>IF(INDEX(Banco!$A:$A,ROW())="","",INDEX(Banco!$A:$A,ROW()))</f>
        <v/>
      </c>
      <c r="B487" s="8">
        <f>IF(INDEX(Banco!$B:$B,ROW())="","",INDEX(Banco!$B:$B,ROW()))</f>
        <v/>
      </c>
      <c r="C487" s="8">
        <f>IF(INDEX(Banco!$C:$C,ROW())="","",INDEX(Banco!$C:$C,ROW()))</f>
        <v/>
      </c>
      <c r="D487" s="9">
        <f>IF(INDEX(Banco!$D:$D,ROW())="","",INDEX(Banco!$D:$D,ROW()))</f>
        <v/>
      </c>
      <c r="E487" s="9">
        <f>IF(INDEX(Banco!$E:$E,ROW())="","",INDEX(Banco!$E:$E,ROW()))</f>
        <v/>
      </c>
      <c r="F487" s="10">
        <f>IF(INDEX(Banco!$F:$F,ROW())="","",INDEX(Banco!$F:$F,ROW()))</f>
        <v/>
      </c>
      <c r="G487" s="10">
        <f>IF(INDEX(Banco!$G:$G,ROW())="","",INDEX(Banco!$G:$G,ROW()))</f>
        <v/>
      </c>
      <c r="H487" s="8">
        <f>IF(INDEX(Banco!$H:$H,ROW())="","",INDEX(Banco!$H:$H,ROW()))</f>
        <v/>
      </c>
      <c r="I487">
        <f>IF($T487="","",INT($T487/12)&amp;"a "&amp;MOD($T487,12)&amp;"m")</f>
        <v/>
      </c>
      <c r="J487" s="11">
        <f>IF(OR($F487="",$G487=""),"",ROUND($F487/($G487/100)^2,2))</f>
        <v/>
      </c>
      <c r="K487" s="12">
        <f>IF(OR($S487="",$J487="",$T487="",$T487&lt;0,$T487&gt;228,$Y487=""),"—",ROUND(IF(ABS($AB487)&lt;=3,$AB487,IF($AB487&gt;3,3+($J487-$AD487)/($AD487-$AC487),-3+($J487-$AF487)/($AE487-$AF487))),2))</f>
        <v/>
      </c>
      <c r="L487">
        <f>IF(OR($K487="",$K487="—"),"",IF($T487&lt;=60,IF($K487&lt;-3,"Magreza acentuada",IF($K487&lt;-2,"Magreza",IF($K487&lt;=1,"Eutrofia",IF($K487&lt;=2,"Risco de sobrepeso",IF($K487&lt;=3,"Sobrepeso","Obesidade"))))),IF($K487&lt;-3,"Magreza acentuada",IF($K487&lt;-2,"Magreza",IF($K487&lt;=1,"Eutrofia",IF($K487&lt;=2,"Sobrepeso",IF($K487&lt;=3,"Obesidade","Obesidade grave")))))))</f>
        <v/>
      </c>
      <c r="M487" s="12">
        <f>IF(OR($S487="",$V487="",$T487="",$T487&lt;0,$T487&gt;228,$AG487=""),"—",ROUND(IF($AG487=0,LN($V487/$AH487)/$AI487,((($V487/$AH487)^$AG487)-1)/($AG487*$AI487)),2))</f>
        <v/>
      </c>
      <c r="N487">
        <f>IF(OR($M487="",$M487="—"),"",IF($M487&lt;-3,"Muito baixa",IF($M487&lt;-2,"Baixa","Adequada")))</f>
        <v/>
      </c>
      <c r="O487" s="12">
        <f>IF(OR($S487="",$F487="",$T487="",$T487&lt;0,$T487&gt;120,$AJ487=""),"—",ROUND(IF(ABS($AM487)&lt;=3,$AM487,IF($AM487&gt;3,3+($F487-$AO487)/($AO487-$AN487),-3+($F487-$AQ487)/($AP487-$AQ487))),2))</f>
        <v/>
      </c>
      <c r="P487">
        <f>IF(OR($O487="",$O487="—"),"",IF($O487&lt;-3,"Muito baixo",IF($O487&lt;-2,"Baixo",IF($O487&lt;=2,"Adequado","Elevado"))))</f>
        <v/>
      </c>
      <c r="Q487" s="12">
        <f>IF(OR($S487="",$F487="",$T487="",$T487&lt;0,$T487&gt;60,$AR487=""),"—",ROUND(IF(ABS($AU487)&lt;=3,$AU487,IF($AU487&gt;3,3+($F487-$AW487)/($AW487-$AV487),-3+($F487-$AY487)/($AX487-$AY487))),2))</f>
        <v/>
      </c>
      <c r="R487">
        <f>IF(OR($Q487="",$Q487="—"),"",IF($Q487&lt;-3,"Magreza acentuada",IF($Q487&lt;-2,"Magreza",IF($Q487&lt;=1,"Eutrofia",IF($Q487&lt;=2,"Risco de sobrepeso",IF($Q487&lt;=3,"Sobrepeso","Obesidade"))))))</f>
        <v/>
      </c>
      <c r="S487">
        <f>IF($C487="","",IF(UPPER(LEFT($C487,1))="M",1,IF(UPPER(LEFT($C487,1))="F",2,"")))</f>
        <v/>
      </c>
      <c r="T487">
        <f>IF(OR($D487="",$E487=""),"",DATEDIF($D487,$E487,"m"))</f>
        <v/>
      </c>
      <c r="U487">
        <f>IF(OR($D487="",$E487=""),"",$E487-$D487)</f>
        <v/>
      </c>
      <c r="V487">
        <f>IF(OR($G487="",$T487=""),"",IF($T487&lt;24,IF(LEFT(LOWER($H487),4)="em p",$G487+0.7,$G487),IF(LEFT(LOWER($H487),4)="deit",$G487-0.7,$G487)))</f>
        <v/>
      </c>
      <c r="W487">
        <f>IF(OR($S487="",$T487=""),"",$S487*1000000+IF($T487&lt;=60,$U487,$T487))</f>
        <v/>
      </c>
      <c r="X487">
        <f>IF(OR($S487="",$V487="",$T487&gt;60,$T487=""),"",$S487*1000000+ROUND($V487*10,0))</f>
        <v/>
      </c>
      <c r="Y487">
        <f>IF($W487="","",IFERROR(INDEX(IF($T487&lt;=60,imc05_l,imc519_l),MATCH($W487,IF($T487&lt;=60,imc05_k,imc519_k),1)),""))</f>
        <v/>
      </c>
      <c r="Z487">
        <f>IF($W487="","",IFERROR(INDEX(IF($T487&lt;=60,imc05_m,imc519_m),MATCH($W487,IF($T487&lt;=60,imc05_k,imc519_k),1)),""))</f>
        <v/>
      </c>
      <c r="AA487">
        <f>IF($W487="","",IFERROR(INDEX(IF($T487&lt;=60,imc05_s,imc519_s),MATCH($W487,IF($T487&lt;=60,imc05_k,imc519_k),1)),""))</f>
        <v/>
      </c>
      <c r="AB487">
        <f>IF($Y487="","",IF($Y487=0,LN($J487/$Z487)/$AA487,((($J487/$Z487)^$Y487)-1)/($Y487*$AA487)))</f>
        <v/>
      </c>
      <c r="AC487">
        <f>IF($Y487="","",IF($Y487=0,$Z487*EXP($AA487*2),$Z487*(1+$Y487*$AA487*2)^(1/$Y487)))</f>
        <v/>
      </c>
      <c r="AD487">
        <f>IF($Y487="","",IF($Y487=0,$Z487*EXP($AA487*3),$Z487*(1+$Y487*$AA487*3)^(1/$Y487)))</f>
        <v/>
      </c>
      <c r="AE487">
        <f>IF($Y487="","",IF($Y487=0,$Z487*EXP($AA487*-2),$Z487*(1+$Y487*$AA487*-2)^(1/$Y487)))</f>
        <v/>
      </c>
      <c r="AF487">
        <f>IF($Y487="","",IF($Y487=0,$Z487*EXP($AA487*-3),$Z487*(1+$Y487*$AA487*-3)^(1/$Y487)))</f>
        <v/>
      </c>
      <c r="AG487">
        <f>IF($W487="","",IFERROR(INDEX(IF($T487&lt;=60,est05_l,est519_l),MATCH($W487,IF($T487&lt;=60,est05_k,est519_k),1)),""))</f>
        <v/>
      </c>
      <c r="AH487">
        <f>IF($W487="","",IFERROR(INDEX(IF($T487&lt;=60,est05_m,est519_m),MATCH($W487,IF($T487&lt;=60,est05_k,est519_k),1)),""))</f>
        <v/>
      </c>
      <c r="AI487">
        <f>IF($W487="","",IFERROR(INDEX(IF($T487&lt;=60,est05_s,est519_s),MATCH($W487,IF($T487&lt;=60,est05_k,est519_k),1)),""))</f>
        <v/>
      </c>
      <c r="AJ487">
        <f>IF($W487="","",IFERROR(INDEX(IF($T487&lt;=60,peso05_l,peso510_l),MATCH($W487,IF($T487&lt;=60,peso05_k,peso510_k),1)),""))</f>
        <v/>
      </c>
      <c r="AK487">
        <f>IF($W487="","",IFERROR(INDEX(IF($T487&lt;=60,peso05_m,peso510_m),MATCH($W487,IF($T487&lt;=60,peso05_k,peso510_k),1)),""))</f>
        <v/>
      </c>
      <c r="AL487">
        <f>IF($W487="","",IFERROR(INDEX(IF($T487&lt;=60,peso05_s,peso510_s),MATCH($W487,IF($T487&lt;=60,peso05_k,peso510_k),1)),""))</f>
        <v/>
      </c>
      <c r="AM487">
        <f>IF($AJ487="","",IF($AJ487=0,LN($F487/$AK487)/$AL487,((($F487/$AK487)^$AJ487)-1)/($AJ487*$AL487)))</f>
        <v/>
      </c>
      <c r="AN487">
        <f>IF($AJ487="","",IF($AJ487=0,$AK487*EXP($AL487*2),$AK487*(1+$AJ487*$AL487*2)^(1/$AJ487)))</f>
        <v/>
      </c>
      <c r="AO487">
        <f>IF($AJ487="","",IF($AJ487=0,$AK487*EXP($AL487*3),$AK487*(1+$AJ487*$AL487*3)^(1/$AJ487)))</f>
        <v/>
      </c>
      <c r="AP487">
        <f>IF($AJ487="","",IF($AJ487=0,$AK487*EXP($AL487*-2),$AK487*(1+$AJ487*$AL487*-2)^(1/$AJ487)))</f>
        <v/>
      </c>
      <c r="AQ487">
        <f>IF($AJ487="","",IF($AJ487=0,$AK487*EXP($AL487*-3),$AK487*(1+$AJ487*$AL487*-3)^(1/$AJ487)))</f>
        <v/>
      </c>
      <c r="AR487">
        <f>IF(OR($X487="",$T487&gt;60),"",IFERROR(INDEX(IF($T487&lt;24,pcomp_l,palt_l),MATCH($X487,IF($T487&lt;24,pcomp_k,palt_k),1)),""))</f>
        <v/>
      </c>
      <c r="AS487">
        <f>IF(OR($X487="",$T487&gt;60),"",IFERROR(INDEX(IF($T487&lt;24,pcomp_m,palt_m),MATCH($X487,IF($T487&lt;24,pcomp_k,palt_k),1)),""))</f>
        <v/>
      </c>
      <c r="AT487">
        <f>IF(OR($X487="",$T487&gt;60),"",IFERROR(INDEX(IF($T487&lt;24,pcomp_s,palt_s),MATCH($X487,IF($T487&lt;24,pcomp_k,palt_k),1)),""))</f>
        <v/>
      </c>
      <c r="AU487">
        <f>IF($AR487="","",IF($AR487=0,LN($F487/$AS487)/$AT487,((($F487/$AS487)^$AR487)-1)/($AR487*$AT487)))</f>
        <v/>
      </c>
      <c r="AV487">
        <f>IF($AR487="","",IF($AR487=0,$AS487*EXP($AT487*2),$AS487*(1+$AR487*$AT487*2)^(1/$AR487)))</f>
        <v/>
      </c>
      <c r="AW487">
        <f>IF($AR487="","",IF($AR487=0,$AS487*EXP($AT487*3),$AS487*(1+$AR487*$AT487*3)^(1/$AR487)))</f>
        <v/>
      </c>
      <c r="AX487">
        <f>IF($AR487="","",IF($AR487=0,$AS487*EXP($AT487*-2),$AS487*(1+$AR487*$AT487*-2)^(1/$AR487)))</f>
        <v/>
      </c>
      <c r="AY487">
        <f>IF($AR487="","",IF($AR487=0,$AS487*EXP($AT487*-3),$AS487*(1+$AR487*$AT487*-3)^(1/$AR487)))</f>
        <v/>
      </c>
      <c r="AZ487">
        <f>IF(OR($A487="",$A487&lt;&gt;Ficha!$C$4),"",COUNTIF($A$2:$A487,Ficha!$C$4))</f>
        <v/>
      </c>
    </row>
    <row r="488">
      <c r="A488" s="8">
        <f>IF(INDEX(Banco!$A:$A,ROW())="","",INDEX(Banco!$A:$A,ROW()))</f>
        <v/>
      </c>
      <c r="B488" s="8">
        <f>IF(INDEX(Banco!$B:$B,ROW())="","",INDEX(Banco!$B:$B,ROW()))</f>
        <v/>
      </c>
      <c r="C488" s="8">
        <f>IF(INDEX(Banco!$C:$C,ROW())="","",INDEX(Banco!$C:$C,ROW()))</f>
        <v/>
      </c>
      <c r="D488" s="9">
        <f>IF(INDEX(Banco!$D:$D,ROW())="","",INDEX(Banco!$D:$D,ROW()))</f>
        <v/>
      </c>
      <c r="E488" s="9">
        <f>IF(INDEX(Banco!$E:$E,ROW())="","",INDEX(Banco!$E:$E,ROW()))</f>
        <v/>
      </c>
      <c r="F488" s="10">
        <f>IF(INDEX(Banco!$F:$F,ROW())="","",INDEX(Banco!$F:$F,ROW()))</f>
        <v/>
      </c>
      <c r="G488" s="10">
        <f>IF(INDEX(Banco!$G:$G,ROW())="","",INDEX(Banco!$G:$G,ROW()))</f>
        <v/>
      </c>
      <c r="H488" s="8">
        <f>IF(INDEX(Banco!$H:$H,ROW())="","",INDEX(Banco!$H:$H,ROW()))</f>
        <v/>
      </c>
      <c r="I488">
        <f>IF($T488="","",INT($T488/12)&amp;"a "&amp;MOD($T488,12)&amp;"m")</f>
        <v/>
      </c>
      <c r="J488" s="11">
        <f>IF(OR($F488="",$G488=""),"",ROUND($F488/($G488/100)^2,2))</f>
        <v/>
      </c>
      <c r="K488" s="12">
        <f>IF(OR($S488="",$J488="",$T488="",$T488&lt;0,$T488&gt;228,$Y488=""),"—",ROUND(IF(ABS($AB488)&lt;=3,$AB488,IF($AB488&gt;3,3+($J488-$AD488)/($AD488-$AC488),-3+($J488-$AF488)/($AE488-$AF488))),2))</f>
        <v/>
      </c>
      <c r="L488">
        <f>IF(OR($K488="",$K488="—"),"",IF($T488&lt;=60,IF($K488&lt;-3,"Magreza acentuada",IF($K488&lt;-2,"Magreza",IF($K488&lt;=1,"Eutrofia",IF($K488&lt;=2,"Risco de sobrepeso",IF($K488&lt;=3,"Sobrepeso","Obesidade"))))),IF($K488&lt;-3,"Magreza acentuada",IF($K488&lt;-2,"Magreza",IF($K488&lt;=1,"Eutrofia",IF($K488&lt;=2,"Sobrepeso",IF($K488&lt;=3,"Obesidade","Obesidade grave")))))))</f>
        <v/>
      </c>
      <c r="M488" s="12">
        <f>IF(OR($S488="",$V488="",$T488="",$T488&lt;0,$T488&gt;228,$AG488=""),"—",ROUND(IF($AG488=0,LN($V488/$AH488)/$AI488,((($V488/$AH488)^$AG488)-1)/($AG488*$AI488)),2))</f>
        <v/>
      </c>
      <c r="N488">
        <f>IF(OR($M488="",$M488="—"),"",IF($M488&lt;-3,"Muito baixa",IF($M488&lt;-2,"Baixa","Adequada")))</f>
        <v/>
      </c>
      <c r="O488" s="12">
        <f>IF(OR($S488="",$F488="",$T488="",$T488&lt;0,$T488&gt;120,$AJ488=""),"—",ROUND(IF(ABS($AM488)&lt;=3,$AM488,IF($AM488&gt;3,3+($F488-$AO488)/($AO488-$AN488),-3+($F488-$AQ488)/($AP488-$AQ488))),2))</f>
        <v/>
      </c>
      <c r="P488">
        <f>IF(OR($O488="",$O488="—"),"",IF($O488&lt;-3,"Muito baixo",IF($O488&lt;-2,"Baixo",IF($O488&lt;=2,"Adequado","Elevado"))))</f>
        <v/>
      </c>
      <c r="Q488" s="12">
        <f>IF(OR($S488="",$F488="",$T488="",$T488&lt;0,$T488&gt;60,$AR488=""),"—",ROUND(IF(ABS($AU488)&lt;=3,$AU488,IF($AU488&gt;3,3+($F488-$AW488)/($AW488-$AV488),-3+($F488-$AY488)/($AX488-$AY488))),2))</f>
        <v/>
      </c>
      <c r="R488">
        <f>IF(OR($Q488="",$Q488="—"),"",IF($Q488&lt;-3,"Magreza acentuada",IF($Q488&lt;-2,"Magreza",IF($Q488&lt;=1,"Eutrofia",IF($Q488&lt;=2,"Risco de sobrepeso",IF($Q488&lt;=3,"Sobrepeso","Obesidade"))))))</f>
        <v/>
      </c>
      <c r="S488">
        <f>IF($C488="","",IF(UPPER(LEFT($C488,1))="M",1,IF(UPPER(LEFT($C488,1))="F",2,"")))</f>
        <v/>
      </c>
      <c r="T488">
        <f>IF(OR($D488="",$E488=""),"",DATEDIF($D488,$E488,"m"))</f>
        <v/>
      </c>
      <c r="U488">
        <f>IF(OR($D488="",$E488=""),"",$E488-$D488)</f>
        <v/>
      </c>
      <c r="V488">
        <f>IF(OR($G488="",$T488=""),"",IF($T488&lt;24,IF(LEFT(LOWER($H488),4)="em p",$G488+0.7,$G488),IF(LEFT(LOWER($H488),4)="deit",$G488-0.7,$G488)))</f>
        <v/>
      </c>
      <c r="W488">
        <f>IF(OR($S488="",$T488=""),"",$S488*1000000+IF($T488&lt;=60,$U488,$T488))</f>
        <v/>
      </c>
      <c r="X488">
        <f>IF(OR($S488="",$V488="",$T488&gt;60,$T488=""),"",$S488*1000000+ROUND($V488*10,0))</f>
        <v/>
      </c>
      <c r="Y488">
        <f>IF($W488="","",IFERROR(INDEX(IF($T488&lt;=60,imc05_l,imc519_l),MATCH($W488,IF($T488&lt;=60,imc05_k,imc519_k),1)),""))</f>
        <v/>
      </c>
      <c r="Z488">
        <f>IF($W488="","",IFERROR(INDEX(IF($T488&lt;=60,imc05_m,imc519_m),MATCH($W488,IF($T488&lt;=60,imc05_k,imc519_k),1)),""))</f>
        <v/>
      </c>
      <c r="AA488">
        <f>IF($W488="","",IFERROR(INDEX(IF($T488&lt;=60,imc05_s,imc519_s),MATCH($W488,IF($T488&lt;=60,imc05_k,imc519_k),1)),""))</f>
        <v/>
      </c>
      <c r="AB488">
        <f>IF($Y488="","",IF($Y488=0,LN($J488/$Z488)/$AA488,((($J488/$Z488)^$Y488)-1)/($Y488*$AA488)))</f>
        <v/>
      </c>
      <c r="AC488">
        <f>IF($Y488="","",IF($Y488=0,$Z488*EXP($AA488*2),$Z488*(1+$Y488*$AA488*2)^(1/$Y488)))</f>
        <v/>
      </c>
      <c r="AD488">
        <f>IF($Y488="","",IF($Y488=0,$Z488*EXP($AA488*3),$Z488*(1+$Y488*$AA488*3)^(1/$Y488)))</f>
        <v/>
      </c>
      <c r="AE488">
        <f>IF($Y488="","",IF($Y488=0,$Z488*EXP($AA488*-2),$Z488*(1+$Y488*$AA488*-2)^(1/$Y488)))</f>
        <v/>
      </c>
      <c r="AF488">
        <f>IF($Y488="","",IF($Y488=0,$Z488*EXP($AA488*-3),$Z488*(1+$Y488*$AA488*-3)^(1/$Y488)))</f>
        <v/>
      </c>
      <c r="AG488">
        <f>IF($W488="","",IFERROR(INDEX(IF($T488&lt;=60,est05_l,est519_l),MATCH($W488,IF($T488&lt;=60,est05_k,est519_k),1)),""))</f>
        <v/>
      </c>
      <c r="AH488">
        <f>IF($W488="","",IFERROR(INDEX(IF($T488&lt;=60,est05_m,est519_m),MATCH($W488,IF($T488&lt;=60,est05_k,est519_k),1)),""))</f>
        <v/>
      </c>
      <c r="AI488">
        <f>IF($W488="","",IFERROR(INDEX(IF($T488&lt;=60,est05_s,est519_s),MATCH($W488,IF($T488&lt;=60,est05_k,est519_k),1)),""))</f>
        <v/>
      </c>
      <c r="AJ488">
        <f>IF($W488="","",IFERROR(INDEX(IF($T488&lt;=60,peso05_l,peso510_l),MATCH($W488,IF($T488&lt;=60,peso05_k,peso510_k),1)),""))</f>
        <v/>
      </c>
      <c r="AK488">
        <f>IF($W488="","",IFERROR(INDEX(IF($T488&lt;=60,peso05_m,peso510_m),MATCH($W488,IF($T488&lt;=60,peso05_k,peso510_k),1)),""))</f>
        <v/>
      </c>
      <c r="AL488">
        <f>IF($W488="","",IFERROR(INDEX(IF($T488&lt;=60,peso05_s,peso510_s),MATCH($W488,IF($T488&lt;=60,peso05_k,peso510_k),1)),""))</f>
        <v/>
      </c>
      <c r="AM488">
        <f>IF($AJ488="","",IF($AJ488=0,LN($F488/$AK488)/$AL488,((($F488/$AK488)^$AJ488)-1)/($AJ488*$AL488)))</f>
        <v/>
      </c>
      <c r="AN488">
        <f>IF($AJ488="","",IF($AJ488=0,$AK488*EXP($AL488*2),$AK488*(1+$AJ488*$AL488*2)^(1/$AJ488)))</f>
        <v/>
      </c>
      <c r="AO488">
        <f>IF($AJ488="","",IF($AJ488=0,$AK488*EXP($AL488*3),$AK488*(1+$AJ488*$AL488*3)^(1/$AJ488)))</f>
        <v/>
      </c>
      <c r="AP488">
        <f>IF($AJ488="","",IF($AJ488=0,$AK488*EXP($AL488*-2),$AK488*(1+$AJ488*$AL488*-2)^(1/$AJ488)))</f>
        <v/>
      </c>
      <c r="AQ488">
        <f>IF($AJ488="","",IF($AJ488=0,$AK488*EXP($AL488*-3),$AK488*(1+$AJ488*$AL488*-3)^(1/$AJ488)))</f>
        <v/>
      </c>
      <c r="AR488">
        <f>IF(OR($X488="",$T488&gt;60),"",IFERROR(INDEX(IF($T488&lt;24,pcomp_l,palt_l),MATCH($X488,IF($T488&lt;24,pcomp_k,palt_k),1)),""))</f>
        <v/>
      </c>
      <c r="AS488">
        <f>IF(OR($X488="",$T488&gt;60),"",IFERROR(INDEX(IF($T488&lt;24,pcomp_m,palt_m),MATCH($X488,IF($T488&lt;24,pcomp_k,palt_k),1)),""))</f>
        <v/>
      </c>
      <c r="AT488">
        <f>IF(OR($X488="",$T488&gt;60),"",IFERROR(INDEX(IF($T488&lt;24,pcomp_s,palt_s),MATCH($X488,IF($T488&lt;24,pcomp_k,palt_k),1)),""))</f>
        <v/>
      </c>
      <c r="AU488">
        <f>IF($AR488="","",IF($AR488=0,LN($F488/$AS488)/$AT488,((($F488/$AS488)^$AR488)-1)/($AR488*$AT488)))</f>
        <v/>
      </c>
      <c r="AV488">
        <f>IF($AR488="","",IF($AR488=0,$AS488*EXP($AT488*2),$AS488*(1+$AR488*$AT488*2)^(1/$AR488)))</f>
        <v/>
      </c>
      <c r="AW488">
        <f>IF($AR488="","",IF($AR488=0,$AS488*EXP($AT488*3),$AS488*(1+$AR488*$AT488*3)^(1/$AR488)))</f>
        <v/>
      </c>
      <c r="AX488">
        <f>IF($AR488="","",IF($AR488=0,$AS488*EXP($AT488*-2),$AS488*(1+$AR488*$AT488*-2)^(1/$AR488)))</f>
        <v/>
      </c>
      <c r="AY488">
        <f>IF($AR488="","",IF($AR488=0,$AS488*EXP($AT488*-3),$AS488*(1+$AR488*$AT488*-3)^(1/$AR488)))</f>
        <v/>
      </c>
      <c r="AZ488">
        <f>IF(OR($A488="",$A488&lt;&gt;Ficha!$C$4),"",COUNTIF($A$2:$A488,Ficha!$C$4))</f>
        <v/>
      </c>
    </row>
    <row r="489">
      <c r="A489" s="8">
        <f>IF(INDEX(Banco!$A:$A,ROW())="","",INDEX(Banco!$A:$A,ROW()))</f>
        <v/>
      </c>
      <c r="B489" s="8">
        <f>IF(INDEX(Banco!$B:$B,ROW())="","",INDEX(Banco!$B:$B,ROW()))</f>
        <v/>
      </c>
      <c r="C489" s="8">
        <f>IF(INDEX(Banco!$C:$C,ROW())="","",INDEX(Banco!$C:$C,ROW()))</f>
        <v/>
      </c>
      <c r="D489" s="9">
        <f>IF(INDEX(Banco!$D:$D,ROW())="","",INDEX(Banco!$D:$D,ROW()))</f>
        <v/>
      </c>
      <c r="E489" s="9">
        <f>IF(INDEX(Banco!$E:$E,ROW())="","",INDEX(Banco!$E:$E,ROW()))</f>
        <v/>
      </c>
      <c r="F489" s="10">
        <f>IF(INDEX(Banco!$F:$F,ROW())="","",INDEX(Banco!$F:$F,ROW()))</f>
        <v/>
      </c>
      <c r="G489" s="10">
        <f>IF(INDEX(Banco!$G:$G,ROW())="","",INDEX(Banco!$G:$G,ROW()))</f>
        <v/>
      </c>
      <c r="H489" s="8">
        <f>IF(INDEX(Banco!$H:$H,ROW())="","",INDEX(Banco!$H:$H,ROW()))</f>
        <v/>
      </c>
      <c r="I489">
        <f>IF($T489="","",INT($T489/12)&amp;"a "&amp;MOD($T489,12)&amp;"m")</f>
        <v/>
      </c>
      <c r="J489" s="11">
        <f>IF(OR($F489="",$G489=""),"",ROUND($F489/($G489/100)^2,2))</f>
        <v/>
      </c>
      <c r="K489" s="12">
        <f>IF(OR($S489="",$J489="",$T489="",$T489&lt;0,$T489&gt;228,$Y489=""),"—",ROUND(IF(ABS($AB489)&lt;=3,$AB489,IF($AB489&gt;3,3+($J489-$AD489)/($AD489-$AC489),-3+($J489-$AF489)/($AE489-$AF489))),2))</f>
        <v/>
      </c>
      <c r="L489">
        <f>IF(OR($K489="",$K489="—"),"",IF($T489&lt;=60,IF($K489&lt;-3,"Magreza acentuada",IF($K489&lt;-2,"Magreza",IF($K489&lt;=1,"Eutrofia",IF($K489&lt;=2,"Risco de sobrepeso",IF($K489&lt;=3,"Sobrepeso","Obesidade"))))),IF($K489&lt;-3,"Magreza acentuada",IF($K489&lt;-2,"Magreza",IF($K489&lt;=1,"Eutrofia",IF($K489&lt;=2,"Sobrepeso",IF($K489&lt;=3,"Obesidade","Obesidade grave")))))))</f>
        <v/>
      </c>
      <c r="M489" s="12">
        <f>IF(OR($S489="",$V489="",$T489="",$T489&lt;0,$T489&gt;228,$AG489=""),"—",ROUND(IF($AG489=0,LN($V489/$AH489)/$AI489,((($V489/$AH489)^$AG489)-1)/($AG489*$AI489)),2))</f>
        <v/>
      </c>
      <c r="N489">
        <f>IF(OR($M489="",$M489="—"),"",IF($M489&lt;-3,"Muito baixa",IF($M489&lt;-2,"Baixa","Adequada")))</f>
        <v/>
      </c>
      <c r="O489" s="12">
        <f>IF(OR($S489="",$F489="",$T489="",$T489&lt;0,$T489&gt;120,$AJ489=""),"—",ROUND(IF(ABS($AM489)&lt;=3,$AM489,IF($AM489&gt;3,3+($F489-$AO489)/($AO489-$AN489),-3+($F489-$AQ489)/($AP489-$AQ489))),2))</f>
        <v/>
      </c>
      <c r="P489">
        <f>IF(OR($O489="",$O489="—"),"",IF($O489&lt;-3,"Muito baixo",IF($O489&lt;-2,"Baixo",IF($O489&lt;=2,"Adequado","Elevado"))))</f>
        <v/>
      </c>
      <c r="Q489" s="12">
        <f>IF(OR($S489="",$F489="",$T489="",$T489&lt;0,$T489&gt;60,$AR489=""),"—",ROUND(IF(ABS($AU489)&lt;=3,$AU489,IF($AU489&gt;3,3+($F489-$AW489)/($AW489-$AV489),-3+($F489-$AY489)/($AX489-$AY489))),2))</f>
        <v/>
      </c>
      <c r="R489">
        <f>IF(OR($Q489="",$Q489="—"),"",IF($Q489&lt;-3,"Magreza acentuada",IF($Q489&lt;-2,"Magreza",IF($Q489&lt;=1,"Eutrofia",IF($Q489&lt;=2,"Risco de sobrepeso",IF($Q489&lt;=3,"Sobrepeso","Obesidade"))))))</f>
        <v/>
      </c>
      <c r="S489">
        <f>IF($C489="","",IF(UPPER(LEFT($C489,1))="M",1,IF(UPPER(LEFT($C489,1))="F",2,"")))</f>
        <v/>
      </c>
      <c r="T489">
        <f>IF(OR($D489="",$E489=""),"",DATEDIF($D489,$E489,"m"))</f>
        <v/>
      </c>
      <c r="U489">
        <f>IF(OR($D489="",$E489=""),"",$E489-$D489)</f>
        <v/>
      </c>
      <c r="V489">
        <f>IF(OR($G489="",$T489=""),"",IF($T489&lt;24,IF(LEFT(LOWER($H489),4)="em p",$G489+0.7,$G489),IF(LEFT(LOWER($H489),4)="deit",$G489-0.7,$G489)))</f>
        <v/>
      </c>
      <c r="W489">
        <f>IF(OR($S489="",$T489=""),"",$S489*1000000+IF($T489&lt;=60,$U489,$T489))</f>
        <v/>
      </c>
      <c r="X489">
        <f>IF(OR($S489="",$V489="",$T489&gt;60,$T489=""),"",$S489*1000000+ROUND($V489*10,0))</f>
        <v/>
      </c>
      <c r="Y489">
        <f>IF($W489="","",IFERROR(INDEX(IF($T489&lt;=60,imc05_l,imc519_l),MATCH($W489,IF($T489&lt;=60,imc05_k,imc519_k),1)),""))</f>
        <v/>
      </c>
      <c r="Z489">
        <f>IF($W489="","",IFERROR(INDEX(IF($T489&lt;=60,imc05_m,imc519_m),MATCH($W489,IF($T489&lt;=60,imc05_k,imc519_k),1)),""))</f>
        <v/>
      </c>
      <c r="AA489">
        <f>IF($W489="","",IFERROR(INDEX(IF($T489&lt;=60,imc05_s,imc519_s),MATCH($W489,IF($T489&lt;=60,imc05_k,imc519_k),1)),""))</f>
        <v/>
      </c>
      <c r="AB489">
        <f>IF($Y489="","",IF($Y489=0,LN($J489/$Z489)/$AA489,((($J489/$Z489)^$Y489)-1)/($Y489*$AA489)))</f>
        <v/>
      </c>
      <c r="AC489">
        <f>IF($Y489="","",IF($Y489=0,$Z489*EXP($AA489*2),$Z489*(1+$Y489*$AA489*2)^(1/$Y489)))</f>
        <v/>
      </c>
      <c r="AD489">
        <f>IF($Y489="","",IF($Y489=0,$Z489*EXP($AA489*3),$Z489*(1+$Y489*$AA489*3)^(1/$Y489)))</f>
        <v/>
      </c>
      <c r="AE489">
        <f>IF($Y489="","",IF($Y489=0,$Z489*EXP($AA489*-2),$Z489*(1+$Y489*$AA489*-2)^(1/$Y489)))</f>
        <v/>
      </c>
      <c r="AF489">
        <f>IF($Y489="","",IF($Y489=0,$Z489*EXP($AA489*-3),$Z489*(1+$Y489*$AA489*-3)^(1/$Y489)))</f>
        <v/>
      </c>
      <c r="AG489">
        <f>IF($W489="","",IFERROR(INDEX(IF($T489&lt;=60,est05_l,est519_l),MATCH($W489,IF($T489&lt;=60,est05_k,est519_k),1)),""))</f>
        <v/>
      </c>
      <c r="AH489">
        <f>IF($W489="","",IFERROR(INDEX(IF($T489&lt;=60,est05_m,est519_m),MATCH($W489,IF($T489&lt;=60,est05_k,est519_k),1)),""))</f>
        <v/>
      </c>
      <c r="AI489">
        <f>IF($W489="","",IFERROR(INDEX(IF($T489&lt;=60,est05_s,est519_s),MATCH($W489,IF($T489&lt;=60,est05_k,est519_k),1)),""))</f>
        <v/>
      </c>
      <c r="AJ489">
        <f>IF($W489="","",IFERROR(INDEX(IF($T489&lt;=60,peso05_l,peso510_l),MATCH($W489,IF($T489&lt;=60,peso05_k,peso510_k),1)),""))</f>
        <v/>
      </c>
      <c r="AK489">
        <f>IF($W489="","",IFERROR(INDEX(IF($T489&lt;=60,peso05_m,peso510_m),MATCH($W489,IF($T489&lt;=60,peso05_k,peso510_k),1)),""))</f>
        <v/>
      </c>
      <c r="AL489">
        <f>IF($W489="","",IFERROR(INDEX(IF($T489&lt;=60,peso05_s,peso510_s),MATCH($W489,IF($T489&lt;=60,peso05_k,peso510_k),1)),""))</f>
        <v/>
      </c>
      <c r="AM489">
        <f>IF($AJ489="","",IF($AJ489=0,LN($F489/$AK489)/$AL489,((($F489/$AK489)^$AJ489)-1)/($AJ489*$AL489)))</f>
        <v/>
      </c>
      <c r="AN489">
        <f>IF($AJ489="","",IF($AJ489=0,$AK489*EXP($AL489*2),$AK489*(1+$AJ489*$AL489*2)^(1/$AJ489)))</f>
        <v/>
      </c>
      <c r="AO489">
        <f>IF($AJ489="","",IF($AJ489=0,$AK489*EXP($AL489*3),$AK489*(1+$AJ489*$AL489*3)^(1/$AJ489)))</f>
        <v/>
      </c>
      <c r="AP489">
        <f>IF($AJ489="","",IF($AJ489=0,$AK489*EXP($AL489*-2),$AK489*(1+$AJ489*$AL489*-2)^(1/$AJ489)))</f>
        <v/>
      </c>
      <c r="AQ489">
        <f>IF($AJ489="","",IF($AJ489=0,$AK489*EXP($AL489*-3),$AK489*(1+$AJ489*$AL489*-3)^(1/$AJ489)))</f>
        <v/>
      </c>
      <c r="AR489">
        <f>IF(OR($X489="",$T489&gt;60),"",IFERROR(INDEX(IF($T489&lt;24,pcomp_l,palt_l),MATCH($X489,IF($T489&lt;24,pcomp_k,palt_k),1)),""))</f>
        <v/>
      </c>
      <c r="AS489">
        <f>IF(OR($X489="",$T489&gt;60),"",IFERROR(INDEX(IF($T489&lt;24,pcomp_m,palt_m),MATCH($X489,IF($T489&lt;24,pcomp_k,palt_k),1)),""))</f>
        <v/>
      </c>
      <c r="AT489">
        <f>IF(OR($X489="",$T489&gt;60),"",IFERROR(INDEX(IF($T489&lt;24,pcomp_s,palt_s),MATCH($X489,IF($T489&lt;24,pcomp_k,palt_k),1)),""))</f>
        <v/>
      </c>
      <c r="AU489">
        <f>IF($AR489="","",IF($AR489=0,LN($F489/$AS489)/$AT489,((($F489/$AS489)^$AR489)-1)/($AR489*$AT489)))</f>
        <v/>
      </c>
      <c r="AV489">
        <f>IF($AR489="","",IF($AR489=0,$AS489*EXP($AT489*2),$AS489*(1+$AR489*$AT489*2)^(1/$AR489)))</f>
        <v/>
      </c>
      <c r="AW489">
        <f>IF($AR489="","",IF($AR489=0,$AS489*EXP($AT489*3),$AS489*(1+$AR489*$AT489*3)^(1/$AR489)))</f>
        <v/>
      </c>
      <c r="AX489">
        <f>IF($AR489="","",IF($AR489=0,$AS489*EXP($AT489*-2),$AS489*(1+$AR489*$AT489*-2)^(1/$AR489)))</f>
        <v/>
      </c>
      <c r="AY489">
        <f>IF($AR489="","",IF($AR489=0,$AS489*EXP($AT489*-3),$AS489*(1+$AR489*$AT489*-3)^(1/$AR489)))</f>
        <v/>
      </c>
      <c r="AZ489">
        <f>IF(OR($A489="",$A489&lt;&gt;Ficha!$C$4),"",COUNTIF($A$2:$A489,Ficha!$C$4))</f>
        <v/>
      </c>
    </row>
    <row r="490">
      <c r="A490" s="8">
        <f>IF(INDEX(Banco!$A:$A,ROW())="","",INDEX(Banco!$A:$A,ROW()))</f>
        <v/>
      </c>
      <c r="B490" s="8">
        <f>IF(INDEX(Banco!$B:$B,ROW())="","",INDEX(Banco!$B:$B,ROW()))</f>
        <v/>
      </c>
      <c r="C490" s="8">
        <f>IF(INDEX(Banco!$C:$C,ROW())="","",INDEX(Banco!$C:$C,ROW()))</f>
        <v/>
      </c>
      <c r="D490" s="9">
        <f>IF(INDEX(Banco!$D:$D,ROW())="","",INDEX(Banco!$D:$D,ROW()))</f>
        <v/>
      </c>
      <c r="E490" s="9">
        <f>IF(INDEX(Banco!$E:$E,ROW())="","",INDEX(Banco!$E:$E,ROW()))</f>
        <v/>
      </c>
      <c r="F490" s="10">
        <f>IF(INDEX(Banco!$F:$F,ROW())="","",INDEX(Banco!$F:$F,ROW()))</f>
        <v/>
      </c>
      <c r="G490" s="10">
        <f>IF(INDEX(Banco!$G:$G,ROW())="","",INDEX(Banco!$G:$G,ROW()))</f>
        <v/>
      </c>
      <c r="H490" s="8">
        <f>IF(INDEX(Banco!$H:$H,ROW())="","",INDEX(Banco!$H:$H,ROW()))</f>
        <v/>
      </c>
      <c r="I490">
        <f>IF($T490="","",INT($T490/12)&amp;"a "&amp;MOD($T490,12)&amp;"m")</f>
        <v/>
      </c>
      <c r="J490" s="11">
        <f>IF(OR($F490="",$G490=""),"",ROUND($F490/($G490/100)^2,2))</f>
        <v/>
      </c>
      <c r="K490" s="12">
        <f>IF(OR($S490="",$J490="",$T490="",$T490&lt;0,$T490&gt;228,$Y490=""),"—",ROUND(IF(ABS($AB490)&lt;=3,$AB490,IF($AB490&gt;3,3+($J490-$AD490)/($AD490-$AC490),-3+($J490-$AF490)/($AE490-$AF490))),2))</f>
        <v/>
      </c>
      <c r="L490">
        <f>IF(OR($K490="",$K490="—"),"",IF($T490&lt;=60,IF($K490&lt;-3,"Magreza acentuada",IF($K490&lt;-2,"Magreza",IF($K490&lt;=1,"Eutrofia",IF($K490&lt;=2,"Risco de sobrepeso",IF($K490&lt;=3,"Sobrepeso","Obesidade"))))),IF($K490&lt;-3,"Magreza acentuada",IF($K490&lt;-2,"Magreza",IF($K490&lt;=1,"Eutrofia",IF($K490&lt;=2,"Sobrepeso",IF($K490&lt;=3,"Obesidade","Obesidade grave")))))))</f>
        <v/>
      </c>
      <c r="M490" s="12">
        <f>IF(OR($S490="",$V490="",$T490="",$T490&lt;0,$T490&gt;228,$AG490=""),"—",ROUND(IF($AG490=0,LN($V490/$AH490)/$AI490,((($V490/$AH490)^$AG490)-1)/($AG490*$AI490)),2))</f>
        <v/>
      </c>
      <c r="N490">
        <f>IF(OR($M490="",$M490="—"),"",IF($M490&lt;-3,"Muito baixa",IF($M490&lt;-2,"Baixa","Adequada")))</f>
        <v/>
      </c>
      <c r="O490" s="12">
        <f>IF(OR($S490="",$F490="",$T490="",$T490&lt;0,$T490&gt;120,$AJ490=""),"—",ROUND(IF(ABS($AM490)&lt;=3,$AM490,IF($AM490&gt;3,3+($F490-$AO490)/($AO490-$AN490),-3+($F490-$AQ490)/($AP490-$AQ490))),2))</f>
        <v/>
      </c>
      <c r="P490">
        <f>IF(OR($O490="",$O490="—"),"",IF($O490&lt;-3,"Muito baixo",IF($O490&lt;-2,"Baixo",IF($O490&lt;=2,"Adequado","Elevado"))))</f>
        <v/>
      </c>
      <c r="Q490" s="12">
        <f>IF(OR($S490="",$F490="",$T490="",$T490&lt;0,$T490&gt;60,$AR490=""),"—",ROUND(IF(ABS($AU490)&lt;=3,$AU490,IF($AU490&gt;3,3+($F490-$AW490)/($AW490-$AV490),-3+($F490-$AY490)/($AX490-$AY490))),2))</f>
        <v/>
      </c>
      <c r="R490">
        <f>IF(OR($Q490="",$Q490="—"),"",IF($Q490&lt;-3,"Magreza acentuada",IF($Q490&lt;-2,"Magreza",IF($Q490&lt;=1,"Eutrofia",IF($Q490&lt;=2,"Risco de sobrepeso",IF($Q490&lt;=3,"Sobrepeso","Obesidade"))))))</f>
        <v/>
      </c>
      <c r="S490">
        <f>IF($C490="","",IF(UPPER(LEFT($C490,1))="M",1,IF(UPPER(LEFT($C490,1))="F",2,"")))</f>
        <v/>
      </c>
      <c r="T490">
        <f>IF(OR($D490="",$E490=""),"",DATEDIF($D490,$E490,"m"))</f>
        <v/>
      </c>
      <c r="U490">
        <f>IF(OR($D490="",$E490=""),"",$E490-$D490)</f>
        <v/>
      </c>
      <c r="V490">
        <f>IF(OR($G490="",$T490=""),"",IF($T490&lt;24,IF(LEFT(LOWER($H490),4)="em p",$G490+0.7,$G490),IF(LEFT(LOWER($H490),4)="deit",$G490-0.7,$G490)))</f>
        <v/>
      </c>
      <c r="W490">
        <f>IF(OR($S490="",$T490=""),"",$S490*1000000+IF($T490&lt;=60,$U490,$T490))</f>
        <v/>
      </c>
      <c r="X490">
        <f>IF(OR($S490="",$V490="",$T490&gt;60,$T490=""),"",$S490*1000000+ROUND($V490*10,0))</f>
        <v/>
      </c>
      <c r="Y490">
        <f>IF($W490="","",IFERROR(INDEX(IF($T490&lt;=60,imc05_l,imc519_l),MATCH($W490,IF($T490&lt;=60,imc05_k,imc519_k),1)),""))</f>
        <v/>
      </c>
      <c r="Z490">
        <f>IF($W490="","",IFERROR(INDEX(IF($T490&lt;=60,imc05_m,imc519_m),MATCH($W490,IF($T490&lt;=60,imc05_k,imc519_k),1)),""))</f>
        <v/>
      </c>
      <c r="AA490">
        <f>IF($W490="","",IFERROR(INDEX(IF($T490&lt;=60,imc05_s,imc519_s),MATCH($W490,IF($T490&lt;=60,imc05_k,imc519_k),1)),""))</f>
        <v/>
      </c>
      <c r="AB490">
        <f>IF($Y490="","",IF($Y490=0,LN($J490/$Z490)/$AA490,((($J490/$Z490)^$Y490)-1)/($Y490*$AA490)))</f>
        <v/>
      </c>
      <c r="AC490">
        <f>IF($Y490="","",IF($Y490=0,$Z490*EXP($AA490*2),$Z490*(1+$Y490*$AA490*2)^(1/$Y490)))</f>
        <v/>
      </c>
      <c r="AD490">
        <f>IF($Y490="","",IF($Y490=0,$Z490*EXP($AA490*3),$Z490*(1+$Y490*$AA490*3)^(1/$Y490)))</f>
        <v/>
      </c>
      <c r="AE490">
        <f>IF($Y490="","",IF($Y490=0,$Z490*EXP($AA490*-2),$Z490*(1+$Y490*$AA490*-2)^(1/$Y490)))</f>
        <v/>
      </c>
      <c r="AF490">
        <f>IF($Y490="","",IF($Y490=0,$Z490*EXP($AA490*-3),$Z490*(1+$Y490*$AA490*-3)^(1/$Y490)))</f>
        <v/>
      </c>
      <c r="AG490">
        <f>IF($W490="","",IFERROR(INDEX(IF($T490&lt;=60,est05_l,est519_l),MATCH($W490,IF($T490&lt;=60,est05_k,est519_k),1)),""))</f>
        <v/>
      </c>
      <c r="AH490">
        <f>IF($W490="","",IFERROR(INDEX(IF($T490&lt;=60,est05_m,est519_m),MATCH($W490,IF($T490&lt;=60,est05_k,est519_k),1)),""))</f>
        <v/>
      </c>
      <c r="AI490">
        <f>IF($W490="","",IFERROR(INDEX(IF($T490&lt;=60,est05_s,est519_s),MATCH($W490,IF($T490&lt;=60,est05_k,est519_k),1)),""))</f>
        <v/>
      </c>
      <c r="AJ490">
        <f>IF($W490="","",IFERROR(INDEX(IF($T490&lt;=60,peso05_l,peso510_l),MATCH($W490,IF($T490&lt;=60,peso05_k,peso510_k),1)),""))</f>
        <v/>
      </c>
      <c r="AK490">
        <f>IF($W490="","",IFERROR(INDEX(IF($T490&lt;=60,peso05_m,peso510_m),MATCH($W490,IF($T490&lt;=60,peso05_k,peso510_k),1)),""))</f>
        <v/>
      </c>
      <c r="AL490">
        <f>IF($W490="","",IFERROR(INDEX(IF($T490&lt;=60,peso05_s,peso510_s),MATCH($W490,IF($T490&lt;=60,peso05_k,peso510_k),1)),""))</f>
        <v/>
      </c>
      <c r="AM490">
        <f>IF($AJ490="","",IF($AJ490=0,LN($F490/$AK490)/$AL490,((($F490/$AK490)^$AJ490)-1)/($AJ490*$AL490)))</f>
        <v/>
      </c>
      <c r="AN490">
        <f>IF($AJ490="","",IF($AJ490=0,$AK490*EXP($AL490*2),$AK490*(1+$AJ490*$AL490*2)^(1/$AJ490)))</f>
        <v/>
      </c>
      <c r="AO490">
        <f>IF($AJ490="","",IF($AJ490=0,$AK490*EXP($AL490*3),$AK490*(1+$AJ490*$AL490*3)^(1/$AJ490)))</f>
        <v/>
      </c>
      <c r="AP490">
        <f>IF($AJ490="","",IF($AJ490=0,$AK490*EXP($AL490*-2),$AK490*(1+$AJ490*$AL490*-2)^(1/$AJ490)))</f>
        <v/>
      </c>
      <c r="AQ490">
        <f>IF($AJ490="","",IF($AJ490=0,$AK490*EXP($AL490*-3),$AK490*(1+$AJ490*$AL490*-3)^(1/$AJ490)))</f>
        <v/>
      </c>
      <c r="AR490">
        <f>IF(OR($X490="",$T490&gt;60),"",IFERROR(INDEX(IF($T490&lt;24,pcomp_l,palt_l),MATCH($X490,IF($T490&lt;24,pcomp_k,palt_k),1)),""))</f>
        <v/>
      </c>
      <c r="AS490">
        <f>IF(OR($X490="",$T490&gt;60),"",IFERROR(INDEX(IF($T490&lt;24,pcomp_m,palt_m),MATCH($X490,IF($T490&lt;24,pcomp_k,palt_k),1)),""))</f>
        <v/>
      </c>
      <c r="AT490">
        <f>IF(OR($X490="",$T490&gt;60),"",IFERROR(INDEX(IF($T490&lt;24,pcomp_s,palt_s),MATCH($X490,IF($T490&lt;24,pcomp_k,palt_k),1)),""))</f>
        <v/>
      </c>
      <c r="AU490">
        <f>IF($AR490="","",IF($AR490=0,LN($F490/$AS490)/$AT490,((($F490/$AS490)^$AR490)-1)/($AR490*$AT490)))</f>
        <v/>
      </c>
      <c r="AV490">
        <f>IF($AR490="","",IF($AR490=0,$AS490*EXP($AT490*2),$AS490*(1+$AR490*$AT490*2)^(1/$AR490)))</f>
        <v/>
      </c>
      <c r="AW490">
        <f>IF($AR490="","",IF($AR490=0,$AS490*EXP($AT490*3),$AS490*(1+$AR490*$AT490*3)^(1/$AR490)))</f>
        <v/>
      </c>
      <c r="AX490">
        <f>IF($AR490="","",IF($AR490=0,$AS490*EXP($AT490*-2),$AS490*(1+$AR490*$AT490*-2)^(1/$AR490)))</f>
        <v/>
      </c>
      <c r="AY490">
        <f>IF($AR490="","",IF($AR490=0,$AS490*EXP($AT490*-3),$AS490*(1+$AR490*$AT490*-3)^(1/$AR490)))</f>
        <v/>
      </c>
      <c r="AZ490">
        <f>IF(OR($A490="",$A490&lt;&gt;Ficha!$C$4),"",COUNTIF($A$2:$A490,Ficha!$C$4))</f>
        <v/>
      </c>
    </row>
    <row r="491">
      <c r="A491" s="8">
        <f>IF(INDEX(Banco!$A:$A,ROW())="","",INDEX(Banco!$A:$A,ROW()))</f>
        <v/>
      </c>
      <c r="B491" s="8">
        <f>IF(INDEX(Banco!$B:$B,ROW())="","",INDEX(Banco!$B:$B,ROW()))</f>
        <v/>
      </c>
      <c r="C491" s="8">
        <f>IF(INDEX(Banco!$C:$C,ROW())="","",INDEX(Banco!$C:$C,ROW()))</f>
        <v/>
      </c>
      <c r="D491" s="9">
        <f>IF(INDEX(Banco!$D:$D,ROW())="","",INDEX(Banco!$D:$D,ROW()))</f>
        <v/>
      </c>
      <c r="E491" s="9">
        <f>IF(INDEX(Banco!$E:$E,ROW())="","",INDEX(Banco!$E:$E,ROW()))</f>
        <v/>
      </c>
      <c r="F491" s="10">
        <f>IF(INDEX(Banco!$F:$F,ROW())="","",INDEX(Banco!$F:$F,ROW()))</f>
        <v/>
      </c>
      <c r="G491" s="10">
        <f>IF(INDEX(Banco!$G:$G,ROW())="","",INDEX(Banco!$G:$G,ROW()))</f>
        <v/>
      </c>
      <c r="H491" s="8">
        <f>IF(INDEX(Banco!$H:$H,ROW())="","",INDEX(Banco!$H:$H,ROW()))</f>
        <v/>
      </c>
      <c r="I491">
        <f>IF($T491="","",INT($T491/12)&amp;"a "&amp;MOD($T491,12)&amp;"m")</f>
        <v/>
      </c>
      <c r="J491" s="11">
        <f>IF(OR($F491="",$G491=""),"",ROUND($F491/($G491/100)^2,2))</f>
        <v/>
      </c>
      <c r="K491" s="12">
        <f>IF(OR($S491="",$J491="",$T491="",$T491&lt;0,$T491&gt;228,$Y491=""),"—",ROUND(IF(ABS($AB491)&lt;=3,$AB491,IF($AB491&gt;3,3+($J491-$AD491)/($AD491-$AC491),-3+($J491-$AF491)/($AE491-$AF491))),2))</f>
        <v/>
      </c>
      <c r="L491">
        <f>IF(OR($K491="",$K491="—"),"",IF($T491&lt;=60,IF($K491&lt;-3,"Magreza acentuada",IF($K491&lt;-2,"Magreza",IF($K491&lt;=1,"Eutrofia",IF($K491&lt;=2,"Risco de sobrepeso",IF($K491&lt;=3,"Sobrepeso","Obesidade"))))),IF($K491&lt;-3,"Magreza acentuada",IF($K491&lt;-2,"Magreza",IF($K491&lt;=1,"Eutrofia",IF($K491&lt;=2,"Sobrepeso",IF($K491&lt;=3,"Obesidade","Obesidade grave")))))))</f>
        <v/>
      </c>
      <c r="M491" s="12">
        <f>IF(OR($S491="",$V491="",$T491="",$T491&lt;0,$T491&gt;228,$AG491=""),"—",ROUND(IF($AG491=0,LN($V491/$AH491)/$AI491,((($V491/$AH491)^$AG491)-1)/($AG491*$AI491)),2))</f>
        <v/>
      </c>
      <c r="N491">
        <f>IF(OR($M491="",$M491="—"),"",IF($M491&lt;-3,"Muito baixa",IF($M491&lt;-2,"Baixa","Adequada")))</f>
        <v/>
      </c>
      <c r="O491" s="12">
        <f>IF(OR($S491="",$F491="",$T491="",$T491&lt;0,$T491&gt;120,$AJ491=""),"—",ROUND(IF(ABS($AM491)&lt;=3,$AM491,IF($AM491&gt;3,3+($F491-$AO491)/($AO491-$AN491),-3+($F491-$AQ491)/($AP491-$AQ491))),2))</f>
        <v/>
      </c>
      <c r="P491">
        <f>IF(OR($O491="",$O491="—"),"",IF($O491&lt;-3,"Muito baixo",IF($O491&lt;-2,"Baixo",IF($O491&lt;=2,"Adequado","Elevado"))))</f>
        <v/>
      </c>
      <c r="Q491" s="12">
        <f>IF(OR($S491="",$F491="",$T491="",$T491&lt;0,$T491&gt;60,$AR491=""),"—",ROUND(IF(ABS($AU491)&lt;=3,$AU491,IF($AU491&gt;3,3+($F491-$AW491)/($AW491-$AV491),-3+($F491-$AY491)/($AX491-$AY491))),2))</f>
        <v/>
      </c>
      <c r="R491">
        <f>IF(OR($Q491="",$Q491="—"),"",IF($Q491&lt;-3,"Magreza acentuada",IF($Q491&lt;-2,"Magreza",IF($Q491&lt;=1,"Eutrofia",IF($Q491&lt;=2,"Risco de sobrepeso",IF($Q491&lt;=3,"Sobrepeso","Obesidade"))))))</f>
        <v/>
      </c>
      <c r="S491">
        <f>IF($C491="","",IF(UPPER(LEFT($C491,1))="M",1,IF(UPPER(LEFT($C491,1))="F",2,"")))</f>
        <v/>
      </c>
      <c r="T491">
        <f>IF(OR($D491="",$E491=""),"",DATEDIF($D491,$E491,"m"))</f>
        <v/>
      </c>
      <c r="U491">
        <f>IF(OR($D491="",$E491=""),"",$E491-$D491)</f>
        <v/>
      </c>
      <c r="V491">
        <f>IF(OR($G491="",$T491=""),"",IF($T491&lt;24,IF(LEFT(LOWER($H491),4)="em p",$G491+0.7,$G491),IF(LEFT(LOWER($H491),4)="deit",$G491-0.7,$G491)))</f>
        <v/>
      </c>
      <c r="W491">
        <f>IF(OR($S491="",$T491=""),"",$S491*1000000+IF($T491&lt;=60,$U491,$T491))</f>
        <v/>
      </c>
      <c r="X491">
        <f>IF(OR($S491="",$V491="",$T491&gt;60,$T491=""),"",$S491*1000000+ROUND($V491*10,0))</f>
        <v/>
      </c>
      <c r="Y491">
        <f>IF($W491="","",IFERROR(INDEX(IF($T491&lt;=60,imc05_l,imc519_l),MATCH($W491,IF($T491&lt;=60,imc05_k,imc519_k),1)),""))</f>
        <v/>
      </c>
      <c r="Z491">
        <f>IF($W491="","",IFERROR(INDEX(IF($T491&lt;=60,imc05_m,imc519_m),MATCH($W491,IF($T491&lt;=60,imc05_k,imc519_k),1)),""))</f>
        <v/>
      </c>
      <c r="AA491">
        <f>IF($W491="","",IFERROR(INDEX(IF($T491&lt;=60,imc05_s,imc519_s),MATCH($W491,IF($T491&lt;=60,imc05_k,imc519_k),1)),""))</f>
        <v/>
      </c>
      <c r="AB491">
        <f>IF($Y491="","",IF($Y491=0,LN($J491/$Z491)/$AA491,((($J491/$Z491)^$Y491)-1)/($Y491*$AA491)))</f>
        <v/>
      </c>
      <c r="AC491">
        <f>IF($Y491="","",IF($Y491=0,$Z491*EXP($AA491*2),$Z491*(1+$Y491*$AA491*2)^(1/$Y491)))</f>
        <v/>
      </c>
      <c r="AD491">
        <f>IF($Y491="","",IF($Y491=0,$Z491*EXP($AA491*3),$Z491*(1+$Y491*$AA491*3)^(1/$Y491)))</f>
        <v/>
      </c>
      <c r="AE491">
        <f>IF($Y491="","",IF($Y491=0,$Z491*EXP($AA491*-2),$Z491*(1+$Y491*$AA491*-2)^(1/$Y491)))</f>
        <v/>
      </c>
      <c r="AF491">
        <f>IF($Y491="","",IF($Y491=0,$Z491*EXP($AA491*-3),$Z491*(1+$Y491*$AA491*-3)^(1/$Y491)))</f>
        <v/>
      </c>
      <c r="AG491">
        <f>IF($W491="","",IFERROR(INDEX(IF($T491&lt;=60,est05_l,est519_l),MATCH($W491,IF($T491&lt;=60,est05_k,est519_k),1)),""))</f>
        <v/>
      </c>
      <c r="AH491">
        <f>IF($W491="","",IFERROR(INDEX(IF($T491&lt;=60,est05_m,est519_m),MATCH($W491,IF($T491&lt;=60,est05_k,est519_k),1)),""))</f>
        <v/>
      </c>
      <c r="AI491">
        <f>IF($W491="","",IFERROR(INDEX(IF($T491&lt;=60,est05_s,est519_s),MATCH($W491,IF($T491&lt;=60,est05_k,est519_k),1)),""))</f>
        <v/>
      </c>
      <c r="AJ491">
        <f>IF($W491="","",IFERROR(INDEX(IF($T491&lt;=60,peso05_l,peso510_l),MATCH($W491,IF($T491&lt;=60,peso05_k,peso510_k),1)),""))</f>
        <v/>
      </c>
      <c r="AK491">
        <f>IF($W491="","",IFERROR(INDEX(IF($T491&lt;=60,peso05_m,peso510_m),MATCH($W491,IF($T491&lt;=60,peso05_k,peso510_k),1)),""))</f>
        <v/>
      </c>
      <c r="AL491">
        <f>IF($W491="","",IFERROR(INDEX(IF($T491&lt;=60,peso05_s,peso510_s),MATCH($W491,IF($T491&lt;=60,peso05_k,peso510_k),1)),""))</f>
        <v/>
      </c>
      <c r="AM491">
        <f>IF($AJ491="","",IF($AJ491=0,LN($F491/$AK491)/$AL491,((($F491/$AK491)^$AJ491)-1)/($AJ491*$AL491)))</f>
        <v/>
      </c>
      <c r="AN491">
        <f>IF($AJ491="","",IF($AJ491=0,$AK491*EXP($AL491*2),$AK491*(1+$AJ491*$AL491*2)^(1/$AJ491)))</f>
        <v/>
      </c>
      <c r="AO491">
        <f>IF($AJ491="","",IF($AJ491=0,$AK491*EXP($AL491*3),$AK491*(1+$AJ491*$AL491*3)^(1/$AJ491)))</f>
        <v/>
      </c>
      <c r="AP491">
        <f>IF($AJ491="","",IF($AJ491=0,$AK491*EXP($AL491*-2),$AK491*(1+$AJ491*$AL491*-2)^(1/$AJ491)))</f>
        <v/>
      </c>
      <c r="AQ491">
        <f>IF($AJ491="","",IF($AJ491=0,$AK491*EXP($AL491*-3),$AK491*(1+$AJ491*$AL491*-3)^(1/$AJ491)))</f>
        <v/>
      </c>
      <c r="AR491">
        <f>IF(OR($X491="",$T491&gt;60),"",IFERROR(INDEX(IF($T491&lt;24,pcomp_l,palt_l),MATCH($X491,IF($T491&lt;24,pcomp_k,palt_k),1)),""))</f>
        <v/>
      </c>
      <c r="AS491">
        <f>IF(OR($X491="",$T491&gt;60),"",IFERROR(INDEX(IF($T491&lt;24,pcomp_m,palt_m),MATCH($X491,IF($T491&lt;24,pcomp_k,palt_k),1)),""))</f>
        <v/>
      </c>
      <c r="AT491">
        <f>IF(OR($X491="",$T491&gt;60),"",IFERROR(INDEX(IF($T491&lt;24,pcomp_s,palt_s),MATCH($X491,IF($T491&lt;24,pcomp_k,palt_k),1)),""))</f>
        <v/>
      </c>
      <c r="AU491">
        <f>IF($AR491="","",IF($AR491=0,LN($F491/$AS491)/$AT491,((($F491/$AS491)^$AR491)-1)/($AR491*$AT491)))</f>
        <v/>
      </c>
      <c r="AV491">
        <f>IF($AR491="","",IF($AR491=0,$AS491*EXP($AT491*2),$AS491*(1+$AR491*$AT491*2)^(1/$AR491)))</f>
        <v/>
      </c>
      <c r="AW491">
        <f>IF($AR491="","",IF($AR491=0,$AS491*EXP($AT491*3),$AS491*(1+$AR491*$AT491*3)^(1/$AR491)))</f>
        <v/>
      </c>
      <c r="AX491">
        <f>IF($AR491="","",IF($AR491=0,$AS491*EXP($AT491*-2),$AS491*(1+$AR491*$AT491*-2)^(1/$AR491)))</f>
        <v/>
      </c>
      <c r="AY491">
        <f>IF($AR491="","",IF($AR491=0,$AS491*EXP($AT491*-3),$AS491*(1+$AR491*$AT491*-3)^(1/$AR491)))</f>
        <v/>
      </c>
      <c r="AZ491">
        <f>IF(OR($A491="",$A491&lt;&gt;Ficha!$C$4),"",COUNTIF($A$2:$A491,Ficha!$C$4))</f>
        <v/>
      </c>
    </row>
    <row r="492">
      <c r="A492" s="8">
        <f>IF(INDEX(Banco!$A:$A,ROW())="","",INDEX(Banco!$A:$A,ROW()))</f>
        <v/>
      </c>
      <c r="B492" s="8">
        <f>IF(INDEX(Banco!$B:$B,ROW())="","",INDEX(Banco!$B:$B,ROW()))</f>
        <v/>
      </c>
      <c r="C492" s="8">
        <f>IF(INDEX(Banco!$C:$C,ROW())="","",INDEX(Banco!$C:$C,ROW()))</f>
        <v/>
      </c>
      <c r="D492" s="9">
        <f>IF(INDEX(Banco!$D:$D,ROW())="","",INDEX(Banco!$D:$D,ROW()))</f>
        <v/>
      </c>
      <c r="E492" s="9">
        <f>IF(INDEX(Banco!$E:$E,ROW())="","",INDEX(Banco!$E:$E,ROW()))</f>
        <v/>
      </c>
      <c r="F492" s="10">
        <f>IF(INDEX(Banco!$F:$F,ROW())="","",INDEX(Banco!$F:$F,ROW()))</f>
        <v/>
      </c>
      <c r="G492" s="10">
        <f>IF(INDEX(Banco!$G:$G,ROW())="","",INDEX(Banco!$G:$G,ROW()))</f>
        <v/>
      </c>
      <c r="H492" s="8">
        <f>IF(INDEX(Banco!$H:$H,ROW())="","",INDEX(Banco!$H:$H,ROW()))</f>
        <v/>
      </c>
      <c r="I492">
        <f>IF($T492="","",INT($T492/12)&amp;"a "&amp;MOD($T492,12)&amp;"m")</f>
        <v/>
      </c>
      <c r="J492" s="11">
        <f>IF(OR($F492="",$G492=""),"",ROUND($F492/($G492/100)^2,2))</f>
        <v/>
      </c>
      <c r="K492" s="12">
        <f>IF(OR($S492="",$J492="",$T492="",$T492&lt;0,$T492&gt;228,$Y492=""),"—",ROUND(IF(ABS($AB492)&lt;=3,$AB492,IF($AB492&gt;3,3+($J492-$AD492)/($AD492-$AC492),-3+($J492-$AF492)/($AE492-$AF492))),2))</f>
        <v/>
      </c>
      <c r="L492">
        <f>IF(OR($K492="",$K492="—"),"",IF($T492&lt;=60,IF($K492&lt;-3,"Magreza acentuada",IF($K492&lt;-2,"Magreza",IF($K492&lt;=1,"Eutrofia",IF($K492&lt;=2,"Risco de sobrepeso",IF($K492&lt;=3,"Sobrepeso","Obesidade"))))),IF($K492&lt;-3,"Magreza acentuada",IF($K492&lt;-2,"Magreza",IF($K492&lt;=1,"Eutrofia",IF($K492&lt;=2,"Sobrepeso",IF($K492&lt;=3,"Obesidade","Obesidade grave")))))))</f>
        <v/>
      </c>
      <c r="M492" s="12">
        <f>IF(OR($S492="",$V492="",$T492="",$T492&lt;0,$T492&gt;228,$AG492=""),"—",ROUND(IF($AG492=0,LN($V492/$AH492)/$AI492,((($V492/$AH492)^$AG492)-1)/($AG492*$AI492)),2))</f>
        <v/>
      </c>
      <c r="N492">
        <f>IF(OR($M492="",$M492="—"),"",IF($M492&lt;-3,"Muito baixa",IF($M492&lt;-2,"Baixa","Adequada")))</f>
        <v/>
      </c>
      <c r="O492" s="12">
        <f>IF(OR($S492="",$F492="",$T492="",$T492&lt;0,$T492&gt;120,$AJ492=""),"—",ROUND(IF(ABS($AM492)&lt;=3,$AM492,IF($AM492&gt;3,3+($F492-$AO492)/($AO492-$AN492),-3+($F492-$AQ492)/($AP492-$AQ492))),2))</f>
        <v/>
      </c>
      <c r="P492">
        <f>IF(OR($O492="",$O492="—"),"",IF($O492&lt;-3,"Muito baixo",IF($O492&lt;-2,"Baixo",IF($O492&lt;=2,"Adequado","Elevado"))))</f>
        <v/>
      </c>
      <c r="Q492" s="12">
        <f>IF(OR($S492="",$F492="",$T492="",$T492&lt;0,$T492&gt;60,$AR492=""),"—",ROUND(IF(ABS($AU492)&lt;=3,$AU492,IF($AU492&gt;3,3+($F492-$AW492)/($AW492-$AV492),-3+($F492-$AY492)/($AX492-$AY492))),2))</f>
        <v/>
      </c>
      <c r="R492">
        <f>IF(OR($Q492="",$Q492="—"),"",IF($Q492&lt;-3,"Magreza acentuada",IF($Q492&lt;-2,"Magreza",IF($Q492&lt;=1,"Eutrofia",IF($Q492&lt;=2,"Risco de sobrepeso",IF($Q492&lt;=3,"Sobrepeso","Obesidade"))))))</f>
        <v/>
      </c>
      <c r="S492">
        <f>IF($C492="","",IF(UPPER(LEFT($C492,1))="M",1,IF(UPPER(LEFT($C492,1))="F",2,"")))</f>
        <v/>
      </c>
      <c r="T492">
        <f>IF(OR($D492="",$E492=""),"",DATEDIF($D492,$E492,"m"))</f>
        <v/>
      </c>
      <c r="U492">
        <f>IF(OR($D492="",$E492=""),"",$E492-$D492)</f>
        <v/>
      </c>
      <c r="V492">
        <f>IF(OR($G492="",$T492=""),"",IF($T492&lt;24,IF(LEFT(LOWER($H492),4)="em p",$G492+0.7,$G492),IF(LEFT(LOWER($H492),4)="deit",$G492-0.7,$G492)))</f>
        <v/>
      </c>
      <c r="W492">
        <f>IF(OR($S492="",$T492=""),"",$S492*1000000+IF($T492&lt;=60,$U492,$T492))</f>
        <v/>
      </c>
      <c r="X492">
        <f>IF(OR($S492="",$V492="",$T492&gt;60,$T492=""),"",$S492*1000000+ROUND($V492*10,0))</f>
        <v/>
      </c>
      <c r="Y492">
        <f>IF($W492="","",IFERROR(INDEX(IF($T492&lt;=60,imc05_l,imc519_l),MATCH($W492,IF($T492&lt;=60,imc05_k,imc519_k),1)),""))</f>
        <v/>
      </c>
      <c r="Z492">
        <f>IF($W492="","",IFERROR(INDEX(IF($T492&lt;=60,imc05_m,imc519_m),MATCH($W492,IF($T492&lt;=60,imc05_k,imc519_k),1)),""))</f>
        <v/>
      </c>
      <c r="AA492">
        <f>IF($W492="","",IFERROR(INDEX(IF($T492&lt;=60,imc05_s,imc519_s),MATCH($W492,IF($T492&lt;=60,imc05_k,imc519_k),1)),""))</f>
        <v/>
      </c>
      <c r="AB492">
        <f>IF($Y492="","",IF($Y492=0,LN($J492/$Z492)/$AA492,((($J492/$Z492)^$Y492)-1)/($Y492*$AA492)))</f>
        <v/>
      </c>
      <c r="AC492">
        <f>IF($Y492="","",IF($Y492=0,$Z492*EXP($AA492*2),$Z492*(1+$Y492*$AA492*2)^(1/$Y492)))</f>
        <v/>
      </c>
      <c r="AD492">
        <f>IF($Y492="","",IF($Y492=0,$Z492*EXP($AA492*3),$Z492*(1+$Y492*$AA492*3)^(1/$Y492)))</f>
        <v/>
      </c>
      <c r="AE492">
        <f>IF($Y492="","",IF($Y492=0,$Z492*EXP($AA492*-2),$Z492*(1+$Y492*$AA492*-2)^(1/$Y492)))</f>
        <v/>
      </c>
      <c r="AF492">
        <f>IF($Y492="","",IF($Y492=0,$Z492*EXP($AA492*-3),$Z492*(1+$Y492*$AA492*-3)^(1/$Y492)))</f>
        <v/>
      </c>
      <c r="AG492">
        <f>IF($W492="","",IFERROR(INDEX(IF($T492&lt;=60,est05_l,est519_l),MATCH($W492,IF($T492&lt;=60,est05_k,est519_k),1)),""))</f>
        <v/>
      </c>
      <c r="AH492">
        <f>IF($W492="","",IFERROR(INDEX(IF($T492&lt;=60,est05_m,est519_m),MATCH($W492,IF($T492&lt;=60,est05_k,est519_k),1)),""))</f>
        <v/>
      </c>
      <c r="AI492">
        <f>IF($W492="","",IFERROR(INDEX(IF($T492&lt;=60,est05_s,est519_s),MATCH($W492,IF($T492&lt;=60,est05_k,est519_k),1)),""))</f>
        <v/>
      </c>
      <c r="AJ492">
        <f>IF($W492="","",IFERROR(INDEX(IF($T492&lt;=60,peso05_l,peso510_l),MATCH($W492,IF($T492&lt;=60,peso05_k,peso510_k),1)),""))</f>
        <v/>
      </c>
      <c r="AK492">
        <f>IF($W492="","",IFERROR(INDEX(IF($T492&lt;=60,peso05_m,peso510_m),MATCH($W492,IF($T492&lt;=60,peso05_k,peso510_k),1)),""))</f>
        <v/>
      </c>
      <c r="AL492">
        <f>IF($W492="","",IFERROR(INDEX(IF($T492&lt;=60,peso05_s,peso510_s),MATCH($W492,IF($T492&lt;=60,peso05_k,peso510_k),1)),""))</f>
        <v/>
      </c>
      <c r="AM492">
        <f>IF($AJ492="","",IF($AJ492=0,LN($F492/$AK492)/$AL492,((($F492/$AK492)^$AJ492)-1)/($AJ492*$AL492)))</f>
        <v/>
      </c>
      <c r="AN492">
        <f>IF($AJ492="","",IF($AJ492=0,$AK492*EXP($AL492*2),$AK492*(1+$AJ492*$AL492*2)^(1/$AJ492)))</f>
        <v/>
      </c>
      <c r="AO492">
        <f>IF($AJ492="","",IF($AJ492=0,$AK492*EXP($AL492*3),$AK492*(1+$AJ492*$AL492*3)^(1/$AJ492)))</f>
        <v/>
      </c>
      <c r="AP492">
        <f>IF($AJ492="","",IF($AJ492=0,$AK492*EXP($AL492*-2),$AK492*(1+$AJ492*$AL492*-2)^(1/$AJ492)))</f>
        <v/>
      </c>
      <c r="AQ492">
        <f>IF($AJ492="","",IF($AJ492=0,$AK492*EXP($AL492*-3),$AK492*(1+$AJ492*$AL492*-3)^(1/$AJ492)))</f>
        <v/>
      </c>
      <c r="AR492">
        <f>IF(OR($X492="",$T492&gt;60),"",IFERROR(INDEX(IF($T492&lt;24,pcomp_l,palt_l),MATCH($X492,IF($T492&lt;24,pcomp_k,palt_k),1)),""))</f>
        <v/>
      </c>
      <c r="AS492">
        <f>IF(OR($X492="",$T492&gt;60),"",IFERROR(INDEX(IF($T492&lt;24,pcomp_m,palt_m),MATCH($X492,IF($T492&lt;24,pcomp_k,palt_k),1)),""))</f>
        <v/>
      </c>
      <c r="AT492">
        <f>IF(OR($X492="",$T492&gt;60),"",IFERROR(INDEX(IF($T492&lt;24,pcomp_s,palt_s),MATCH($X492,IF($T492&lt;24,pcomp_k,palt_k),1)),""))</f>
        <v/>
      </c>
      <c r="AU492">
        <f>IF($AR492="","",IF($AR492=0,LN($F492/$AS492)/$AT492,((($F492/$AS492)^$AR492)-1)/($AR492*$AT492)))</f>
        <v/>
      </c>
      <c r="AV492">
        <f>IF($AR492="","",IF($AR492=0,$AS492*EXP($AT492*2),$AS492*(1+$AR492*$AT492*2)^(1/$AR492)))</f>
        <v/>
      </c>
      <c r="AW492">
        <f>IF($AR492="","",IF($AR492=0,$AS492*EXP($AT492*3),$AS492*(1+$AR492*$AT492*3)^(1/$AR492)))</f>
        <v/>
      </c>
      <c r="AX492">
        <f>IF($AR492="","",IF($AR492=0,$AS492*EXP($AT492*-2),$AS492*(1+$AR492*$AT492*-2)^(1/$AR492)))</f>
        <v/>
      </c>
      <c r="AY492">
        <f>IF($AR492="","",IF($AR492=0,$AS492*EXP($AT492*-3),$AS492*(1+$AR492*$AT492*-3)^(1/$AR492)))</f>
        <v/>
      </c>
      <c r="AZ492">
        <f>IF(OR($A492="",$A492&lt;&gt;Ficha!$C$4),"",COUNTIF($A$2:$A492,Ficha!$C$4))</f>
        <v/>
      </c>
    </row>
    <row r="493">
      <c r="A493" s="8">
        <f>IF(INDEX(Banco!$A:$A,ROW())="","",INDEX(Banco!$A:$A,ROW()))</f>
        <v/>
      </c>
      <c r="B493" s="8">
        <f>IF(INDEX(Banco!$B:$B,ROW())="","",INDEX(Banco!$B:$B,ROW()))</f>
        <v/>
      </c>
      <c r="C493" s="8">
        <f>IF(INDEX(Banco!$C:$C,ROW())="","",INDEX(Banco!$C:$C,ROW()))</f>
        <v/>
      </c>
      <c r="D493" s="9">
        <f>IF(INDEX(Banco!$D:$D,ROW())="","",INDEX(Banco!$D:$D,ROW()))</f>
        <v/>
      </c>
      <c r="E493" s="9">
        <f>IF(INDEX(Banco!$E:$E,ROW())="","",INDEX(Banco!$E:$E,ROW()))</f>
        <v/>
      </c>
      <c r="F493" s="10">
        <f>IF(INDEX(Banco!$F:$F,ROW())="","",INDEX(Banco!$F:$F,ROW()))</f>
        <v/>
      </c>
      <c r="G493" s="10">
        <f>IF(INDEX(Banco!$G:$G,ROW())="","",INDEX(Banco!$G:$G,ROW()))</f>
        <v/>
      </c>
      <c r="H493" s="8">
        <f>IF(INDEX(Banco!$H:$H,ROW())="","",INDEX(Banco!$H:$H,ROW()))</f>
        <v/>
      </c>
      <c r="I493">
        <f>IF($T493="","",INT($T493/12)&amp;"a "&amp;MOD($T493,12)&amp;"m")</f>
        <v/>
      </c>
      <c r="J493" s="11">
        <f>IF(OR($F493="",$G493=""),"",ROUND($F493/($G493/100)^2,2))</f>
        <v/>
      </c>
      <c r="K493" s="12">
        <f>IF(OR($S493="",$J493="",$T493="",$T493&lt;0,$T493&gt;228,$Y493=""),"—",ROUND(IF(ABS($AB493)&lt;=3,$AB493,IF($AB493&gt;3,3+($J493-$AD493)/($AD493-$AC493),-3+($J493-$AF493)/($AE493-$AF493))),2))</f>
        <v/>
      </c>
      <c r="L493">
        <f>IF(OR($K493="",$K493="—"),"",IF($T493&lt;=60,IF($K493&lt;-3,"Magreza acentuada",IF($K493&lt;-2,"Magreza",IF($K493&lt;=1,"Eutrofia",IF($K493&lt;=2,"Risco de sobrepeso",IF($K493&lt;=3,"Sobrepeso","Obesidade"))))),IF($K493&lt;-3,"Magreza acentuada",IF($K493&lt;-2,"Magreza",IF($K493&lt;=1,"Eutrofia",IF($K493&lt;=2,"Sobrepeso",IF($K493&lt;=3,"Obesidade","Obesidade grave")))))))</f>
        <v/>
      </c>
      <c r="M493" s="12">
        <f>IF(OR($S493="",$V493="",$T493="",$T493&lt;0,$T493&gt;228,$AG493=""),"—",ROUND(IF($AG493=0,LN($V493/$AH493)/$AI493,((($V493/$AH493)^$AG493)-1)/($AG493*$AI493)),2))</f>
        <v/>
      </c>
      <c r="N493">
        <f>IF(OR($M493="",$M493="—"),"",IF($M493&lt;-3,"Muito baixa",IF($M493&lt;-2,"Baixa","Adequada")))</f>
        <v/>
      </c>
      <c r="O493" s="12">
        <f>IF(OR($S493="",$F493="",$T493="",$T493&lt;0,$T493&gt;120,$AJ493=""),"—",ROUND(IF(ABS($AM493)&lt;=3,$AM493,IF($AM493&gt;3,3+($F493-$AO493)/($AO493-$AN493),-3+($F493-$AQ493)/($AP493-$AQ493))),2))</f>
        <v/>
      </c>
      <c r="P493">
        <f>IF(OR($O493="",$O493="—"),"",IF($O493&lt;-3,"Muito baixo",IF($O493&lt;-2,"Baixo",IF($O493&lt;=2,"Adequado","Elevado"))))</f>
        <v/>
      </c>
      <c r="Q493" s="12">
        <f>IF(OR($S493="",$F493="",$T493="",$T493&lt;0,$T493&gt;60,$AR493=""),"—",ROUND(IF(ABS($AU493)&lt;=3,$AU493,IF($AU493&gt;3,3+($F493-$AW493)/($AW493-$AV493),-3+($F493-$AY493)/($AX493-$AY493))),2))</f>
        <v/>
      </c>
      <c r="R493">
        <f>IF(OR($Q493="",$Q493="—"),"",IF($Q493&lt;-3,"Magreza acentuada",IF($Q493&lt;-2,"Magreza",IF($Q493&lt;=1,"Eutrofia",IF($Q493&lt;=2,"Risco de sobrepeso",IF($Q493&lt;=3,"Sobrepeso","Obesidade"))))))</f>
        <v/>
      </c>
      <c r="S493">
        <f>IF($C493="","",IF(UPPER(LEFT($C493,1))="M",1,IF(UPPER(LEFT($C493,1))="F",2,"")))</f>
        <v/>
      </c>
      <c r="T493">
        <f>IF(OR($D493="",$E493=""),"",DATEDIF($D493,$E493,"m"))</f>
        <v/>
      </c>
      <c r="U493">
        <f>IF(OR($D493="",$E493=""),"",$E493-$D493)</f>
        <v/>
      </c>
      <c r="V493">
        <f>IF(OR($G493="",$T493=""),"",IF($T493&lt;24,IF(LEFT(LOWER($H493),4)="em p",$G493+0.7,$G493),IF(LEFT(LOWER($H493),4)="deit",$G493-0.7,$G493)))</f>
        <v/>
      </c>
      <c r="W493">
        <f>IF(OR($S493="",$T493=""),"",$S493*1000000+IF($T493&lt;=60,$U493,$T493))</f>
        <v/>
      </c>
      <c r="X493">
        <f>IF(OR($S493="",$V493="",$T493&gt;60,$T493=""),"",$S493*1000000+ROUND($V493*10,0))</f>
        <v/>
      </c>
      <c r="Y493">
        <f>IF($W493="","",IFERROR(INDEX(IF($T493&lt;=60,imc05_l,imc519_l),MATCH($W493,IF($T493&lt;=60,imc05_k,imc519_k),1)),""))</f>
        <v/>
      </c>
      <c r="Z493">
        <f>IF($W493="","",IFERROR(INDEX(IF($T493&lt;=60,imc05_m,imc519_m),MATCH($W493,IF($T493&lt;=60,imc05_k,imc519_k),1)),""))</f>
        <v/>
      </c>
      <c r="AA493">
        <f>IF($W493="","",IFERROR(INDEX(IF($T493&lt;=60,imc05_s,imc519_s),MATCH($W493,IF($T493&lt;=60,imc05_k,imc519_k),1)),""))</f>
        <v/>
      </c>
      <c r="AB493">
        <f>IF($Y493="","",IF($Y493=0,LN($J493/$Z493)/$AA493,((($J493/$Z493)^$Y493)-1)/($Y493*$AA493)))</f>
        <v/>
      </c>
      <c r="AC493">
        <f>IF($Y493="","",IF($Y493=0,$Z493*EXP($AA493*2),$Z493*(1+$Y493*$AA493*2)^(1/$Y493)))</f>
        <v/>
      </c>
      <c r="AD493">
        <f>IF($Y493="","",IF($Y493=0,$Z493*EXP($AA493*3),$Z493*(1+$Y493*$AA493*3)^(1/$Y493)))</f>
        <v/>
      </c>
      <c r="AE493">
        <f>IF($Y493="","",IF($Y493=0,$Z493*EXP($AA493*-2),$Z493*(1+$Y493*$AA493*-2)^(1/$Y493)))</f>
        <v/>
      </c>
      <c r="AF493">
        <f>IF($Y493="","",IF($Y493=0,$Z493*EXP($AA493*-3),$Z493*(1+$Y493*$AA493*-3)^(1/$Y493)))</f>
        <v/>
      </c>
      <c r="AG493">
        <f>IF($W493="","",IFERROR(INDEX(IF($T493&lt;=60,est05_l,est519_l),MATCH($W493,IF($T493&lt;=60,est05_k,est519_k),1)),""))</f>
        <v/>
      </c>
      <c r="AH493">
        <f>IF($W493="","",IFERROR(INDEX(IF($T493&lt;=60,est05_m,est519_m),MATCH($W493,IF($T493&lt;=60,est05_k,est519_k),1)),""))</f>
        <v/>
      </c>
      <c r="AI493">
        <f>IF($W493="","",IFERROR(INDEX(IF($T493&lt;=60,est05_s,est519_s),MATCH($W493,IF($T493&lt;=60,est05_k,est519_k),1)),""))</f>
        <v/>
      </c>
      <c r="AJ493">
        <f>IF($W493="","",IFERROR(INDEX(IF($T493&lt;=60,peso05_l,peso510_l),MATCH($W493,IF($T493&lt;=60,peso05_k,peso510_k),1)),""))</f>
        <v/>
      </c>
      <c r="AK493">
        <f>IF($W493="","",IFERROR(INDEX(IF($T493&lt;=60,peso05_m,peso510_m),MATCH($W493,IF($T493&lt;=60,peso05_k,peso510_k),1)),""))</f>
        <v/>
      </c>
      <c r="AL493">
        <f>IF($W493="","",IFERROR(INDEX(IF($T493&lt;=60,peso05_s,peso510_s),MATCH($W493,IF($T493&lt;=60,peso05_k,peso510_k),1)),""))</f>
        <v/>
      </c>
      <c r="AM493">
        <f>IF($AJ493="","",IF($AJ493=0,LN($F493/$AK493)/$AL493,((($F493/$AK493)^$AJ493)-1)/($AJ493*$AL493)))</f>
        <v/>
      </c>
      <c r="AN493">
        <f>IF($AJ493="","",IF($AJ493=0,$AK493*EXP($AL493*2),$AK493*(1+$AJ493*$AL493*2)^(1/$AJ493)))</f>
        <v/>
      </c>
      <c r="AO493">
        <f>IF($AJ493="","",IF($AJ493=0,$AK493*EXP($AL493*3),$AK493*(1+$AJ493*$AL493*3)^(1/$AJ493)))</f>
        <v/>
      </c>
      <c r="AP493">
        <f>IF($AJ493="","",IF($AJ493=0,$AK493*EXP($AL493*-2),$AK493*(1+$AJ493*$AL493*-2)^(1/$AJ493)))</f>
        <v/>
      </c>
      <c r="AQ493">
        <f>IF($AJ493="","",IF($AJ493=0,$AK493*EXP($AL493*-3),$AK493*(1+$AJ493*$AL493*-3)^(1/$AJ493)))</f>
        <v/>
      </c>
      <c r="AR493">
        <f>IF(OR($X493="",$T493&gt;60),"",IFERROR(INDEX(IF($T493&lt;24,pcomp_l,palt_l),MATCH($X493,IF($T493&lt;24,pcomp_k,palt_k),1)),""))</f>
        <v/>
      </c>
      <c r="AS493">
        <f>IF(OR($X493="",$T493&gt;60),"",IFERROR(INDEX(IF($T493&lt;24,pcomp_m,palt_m),MATCH($X493,IF($T493&lt;24,pcomp_k,palt_k),1)),""))</f>
        <v/>
      </c>
      <c r="AT493">
        <f>IF(OR($X493="",$T493&gt;60),"",IFERROR(INDEX(IF($T493&lt;24,pcomp_s,palt_s),MATCH($X493,IF($T493&lt;24,pcomp_k,palt_k),1)),""))</f>
        <v/>
      </c>
      <c r="AU493">
        <f>IF($AR493="","",IF($AR493=0,LN($F493/$AS493)/$AT493,((($F493/$AS493)^$AR493)-1)/($AR493*$AT493)))</f>
        <v/>
      </c>
      <c r="AV493">
        <f>IF($AR493="","",IF($AR493=0,$AS493*EXP($AT493*2),$AS493*(1+$AR493*$AT493*2)^(1/$AR493)))</f>
        <v/>
      </c>
      <c r="AW493">
        <f>IF($AR493="","",IF($AR493=0,$AS493*EXP($AT493*3),$AS493*(1+$AR493*$AT493*3)^(1/$AR493)))</f>
        <v/>
      </c>
      <c r="AX493">
        <f>IF($AR493="","",IF($AR493=0,$AS493*EXP($AT493*-2),$AS493*(1+$AR493*$AT493*-2)^(1/$AR493)))</f>
        <v/>
      </c>
      <c r="AY493">
        <f>IF($AR493="","",IF($AR493=0,$AS493*EXP($AT493*-3),$AS493*(1+$AR493*$AT493*-3)^(1/$AR493)))</f>
        <v/>
      </c>
      <c r="AZ493">
        <f>IF(OR($A493="",$A493&lt;&gt;Ficha!$C$4),"",COUNTIF($A$2:$A493,Ficha!$C$4))</f>
        <v/>
      </c>
    </row>
    <row r="494">
      <c r="A494" s="8">
        <f>IF(INDEX(Banco!$A:$A,ROW())="","",INDEX(Banco!$A:$A,ROW()))</f>
        <v/>
      </c>
      <c r="B494" s="8">
        <f>IF(INDEX(Banco!$B:$B,ROW())="","",INDEX(Banco!$B:$B,ROW()))</f>
        <v/>
      </c>
      <c r="C494" s="8">
        <f>IF(INDEX(Banco!$C:$C,ROW())="","",INDEX(Banco!$C:$C,ROW()))</f>
        <v/>
      </c>
      <c r="D494" s="9">
        <f>IF(INDEX(Banco!$D:$D,ROW())="","",INDEX(Banco!$D:$D,ROW()))</f>
        <v/>
      </c>
      <c r="E494" s="9">
        <f>IF(INDEX(Banco!$E:$E,ROW())="","",INDEX(Banco!$E:$E,ROW()))</f>
        <v/>
      </c>
      <c r="F494" s="10">
        <f>IF(INDEX(Banco!$F:$F,ROW())="","",INDEX(Banco!$F:$F,ROW()))</f>
        <v/>
      </c>
      <c r="G494" s="10">
        <f>IF(INDEX(Banco!$G:$G,ROW())="","",INDEX(Banco!$G:$G,ROW()))</f>
        <v/>
      </c>
      <c r="H494" s="8">
        <f>IF(INDEX(Banco!$H:$H,ROW())="","",INDEX(Banco!$H:$H,ROW()))</f>
        <v/>
      </c>
      <c r="I494">
        <f>IF($T494="","",INT($T494/12)&amp;"a "&amp;MOD($T494,12)&amp;"m")</f>
        <v/>
      </c>
      <c r="J494" s="11">
        <f>IF(OR($F494="",$G494=""),"",ROUND($F494/($G494/100)^2,2))</f>
        <v/>
      </c>
      <c r="K494" s="12">
        <f>IF(OR($S494="",$J494="",$T494="",$T494&lt;0,$T494&gt;228,$Y494=""),"—",ROUND(IF(ABS($AB494)&lt;=3,$AB494,IF($AB494&gt;3,3+($J494-$AD494)/($AD494-$AC494),-3+($J494-$AF494)/($AE494-$AF494))),2))</f>
        <v/>
      </c>
      <c r="L494">
        <f>IF(OR($K494="",$K494="—"),"",IF($T494&lt;=60,IF($K494&lt;-3,"Magreza acentuada",IF($K494&lt;-2,"Magreza",IF($K494&lt;=1,"Eutrofia",IF($K494&lt;=2,"Risco de sobrepeso",IF($K494&lt;=3,"Sobrepeso","Obesidade"))))),IF($K494&lt;-3,"Magreza acentuada",IF($K494&lt;-2,"Magreza",IF($K494&lt;=1,"Eutrofia",IF($K494&lt;=2,"Sobrepeso",IF($K494&lt;=3,"Obesidade","Obesidade grave")))))))</f>
        <v/>
      </c>
      <c r="M494" s="12">
        <f>IF(OR($S494="",$V494="",$T494="",$T494&lt;0,$T494&gt;228,$AG494=""),"—",ROUND(IF($AG494=0,LN($V494/$AH494)/$AI494,((($V494/$AH494)^$AG494)-1)/($AG494*$AI494)),2))</f>
        <v/>
      </c>
      <c r="N494">
        <f>IF(OR($M494="",$M494="—"),"",IF($M494&lt;-3,"Muito baixa",IF($M494&lt;-2,"Baixa","Adequada")))</f>
        <v/>
      </c>
      <c r="O494" s="12">
        <f>IF(OR($S494="",$F494="",$T494="",$T494&lt;0,$T494&gt;120,$AJ494=""),"—",ROUND(IF(ABS($AM494)&lt;=3,$AM494,IF($AM494&gt;3,3+($F494-$AO494)/($AO494-$AN494),-3+($F494-$AQ494)/($AP494-$AQ494))),2))</f>
        <v/>
      </c>
      <c r="P494">
        <f>IF(OR($O494="",$O494="—"),"",IF($O494&lt;-3,"Muito baixo",IF($O494&lt;-2,"Baixo",IF($O494&lt;=2,"Adequado","Elevado"))))</f>
        <v/>
      </c>
      <c r="Q494" s="12">
        <f>IF(OR($S494="",$F494="",$T494="",$T494&lt;0,$T494&gt;60,$AR494=""),"—",ROUND(IF(ABS($AU494)&lt;=3,$AU494,IF($AU494&gt;3,3+($F494-$AW494)/($AW494-$AV494),-3+($F494-$AY494)/($AX494-$AY494))),2))</f>
        <v/>
      </c>
      <c r="R494">
        <f>IF(OR($Q494="",$Q494="—"),"",IF($Q494&lt;-3,"Magreza acentuada",IF($Q494&lt;-2,"Magreza",IF($Q494&lt;=1,"Eutrofia",IF($Q494&lt;=2,"Risco de sobrepeso",IF($Q494&lt;=3,"Sobrepeso","Obesidade"))))))</f>
        <v/>
      </c>
      <c r="S494">
        <f>IF($C494="","",IF(UPPER(LEFT($C494,1))="M",1,IF(UPPER(LEFT($C494,1))="F",2,"")))</f>
        <v/>
      </c>
      <c r="T494">
        <f>IF(OR($D494="",$E494=""),"",DATEDIF($D494,$E494,"m"))</f>
        <v/>
      </c>
      <c r="U494">
        <f>IF(OR($D494="",$E494=""),"",$E494-$D494)</f>
        <v/>
      </c>
      <c r="V494">
        <f>IF(OR($G494="",$T494=""),"",IF($T494&lt;24,IF(LEFT(LOWER($H494),4)="em p",$G494+0.7,$G494),IF(LEFT(LOWER($H494),4)="deit",$G494-0.7,$G494)))</f>
        <v/>
      </c>
      <c r="W494">
        <f>IF(OR($S494="",$T494=""),"",$S494*1000000+IF($T494&lt;=60,$U494,$T494))</f>
        <v/>
      </c>
      <c r="X494">
        <f>IF(OR($S494="",$V494="",$T494&gt;60,$T494=""),"",$S494*1000000+ROUND($V494*10,0))</f>
        <v/>
      </c>
      <c r="Y494">
        <f>IF($W494="","",IFERROR(INDEX(IF($T494&lt;=60,imc05_l,imc519_l),MATCH($W494,IF($T494&lt;=60,imc05_k,imc519_k),1)),""))</f>
        <v/>
      </c>
      <c r="Z494">
        <f>IF($W494="","",IFERROR(INDEX(IF($T494&lt;=60,imc05_m,imc519_m),MATCH($W494,IF($T494&lt;=60,imc05_k,imc519_k),1)),""))</f>
        <v/>
      </c>
      <c r="AA494">
        <f>IF($W494="","",IFERROR(INDEX(IF($T494&lt;=60,imc05_s,imc519_s),MATCH($W494,IF($T494&lt;=60,imc05_k,imc519_k),1)),""))</f>
        <v/>
      </c>
      <c r="AB494">
        <f>IF($Y494="","",IF($Y494=0,LN($J494/$Z494)/$AA494,((($J494/$Z494)^$Y494)-1)/($Y494*$AA494)))</f>
        <v/>
      </c>
      <c r="AC494">
        <f>IF($Y494="","",IF($Y494=0,$Z494*EXP($AA494*2),$Z494*(1+$Y494*$AA494*2)^(1/$Y494)))</f>
        <v/>
      </c>
      <c r="AD494">
        <f>IF($Y494="","",IF($Y494=0,$Z494*EXP($AA494*3),$Z494*(1+$Y494*$AA494*3)^(1/$Y494)))</f>
        <v/>
      </c>
      <c r="AE494">
        <f>IF($Y494="","",IF($Y494=0,$Z494*EXP($AA494*-2),$Z494*(1+$Y494*$AA494*-2)^(1/$Y494)))</f>
        <v/>
      </c>
      <c r="AF494">
        <f>IF($Y494="","",IF($Y494=0,$Z494*EXP($AA494*-3),$Z494*(1+$Y494*$AA494*-3)^(1/$Y494)))</f>
        <v/>
      </c>
      <c r="AG494">
        <f>IF($W494="","",IFERROR(INDEX(IF($T494&lt;=60,est05_l,est519_l),MATCH($W494,IF($T494&lt;=60,est05_k,est519_k),1)),""))</f>
        <v/>
      </c>
      <c r="AH494">
        <f>IF($W494="","",IFERROR(INDEX(IF($T494&lt;=60,est05_m,est519_m),MATCH($W494,IF($T494&lt;=60,est05_k,est519_k),1)),""))</f>
        <v/>
      </c>
      <c r="AI494">
        <f>IF($W494="","",IFERROR(INDEX(IF($T494&lt;=60,est05_s,est519_s),MATCH($W494,IF($T494&lt;=60,est05_k,est519_k),1)),""))</f>
        <v/>
      </c>
      <c r="AJ494">
        <f>IF($W494="","",IFERROR(INDEX(IF($T494&lt;=60,peso05_l,peso510_l),MATCH($W494,IF($T494&lt;=60,peso05_k,peso510_k),1)),""))</f>
        <v/>
      </c>
      <c r="AK494">
        <f>IF($W494="","",IFERROR(INDEX(IF($T494&lt;=60,peso05_m,peso510_m),MATCH($W494,IF($T494&lt;=60,peso05_k,peso510_k),1)),""))</f>
        <v/>
      </c>
      <c r="AL494">
        <f>IF($W494="","",IFERROR(INDEX(IF($T494&lt;=60,peso05_s,peso510_s),MATCH($W494,IF($T494&lt;=60,peso05_k,peso510_k),1)),""))</f>
        <v/>
      </c>
      <c r="AM494">
        <f>IF($AJ494="","",IF($AJ494=0,LN($F494/$AK494)/$AL494,((($F494/$AK494)^$AJ494)-1)/($AJ494*$AL494)))</f>
        <v/>
      </c>
      <c r="AN494">
        <f>IF($AJ494="","",IF($AJ494=0,$AK494*EXP($AL494*2),$AK494*(1+$AJ494*$AL494*2)^(1/$AJ494)))</f>
        <v/>
      </c>
      <c r="AO494">
        <f>IF($AJ494="","",IF($AJ494=0,$AK494*EXP($AL494*3),$AK494*(1+$AJ494*$AL494*3)^(1/$AJ494)))</f>
        <v/>
      </c>
      <c r="AP494">
        <f>IF($AJ494="","",IF($AJ494=0,$AK494*EXP($AL494*-2),$AK494*(1+$AJ494*$AL494*-2)^(1/$AJ494)))</f>
        <v/>
      </c>
      <c r="AQ494">
        <f>IF($AJ494="","",IF($AJ494=0,$AK494*EXP($AL494*-3),$AK494*(1+$AJ494*$AL494*-3)^(1/$AJ494)))</f>
        <v/>
      </c>
      <c r="AR494">
        <f>IF(OR($X494="",$T494&gt;60),"",IFERROR(INDEX(IF($T494&lt;24,pcomp_l,palt_l),MATCH($X494,IF($T494&lt;24,pcomp_k,palt_k),1)),""))</f>
        <v/>
      </c>
      <c r="AS494">
        <f>IF(OR($X494="",$T494&gt;60),"",IFERROR(INDEX(IF($T494&lt;24,pcomp_m,palt_m),MATCH($X494,IF($T494&lt;24,pcomp_k,palt_k),1)),""))</f>
        <v/>
      </c>
      <c r="AT494">
        <f>IF(OR($X494="",$T494&gt;60),"",IFERROR(INDEX(IF($T494&lt;24,pcomp_s,palt_s),MATCH($X494,IF($T494&lt;24,pcomp_k,palt_k),1)),""))</f>
        <v/>
      </c>
      <c r="AU494">
        <f>IF($AR494="","",IF($AR494=0,LN($F494/$AS494)/$AT494,((($F494/$AS494)^$AR494)-1)/($AR494*$AT494)))</f>
        <v/>
      </c>
      <c r="AV494">
        <f>IF($AR494="","",IF($AR494=0,$AS494*EXP($AT494*2),$AS494*(1+$AR494*$AT494*2)^(1/$AR494)))</f>
        <v/>
      </c>
      <c r="AW494">
        <f>IF($AR494="","",IF($AR494=0,$AS494*EXP($AT494*3),$AS494*(1+$AR494*$AT494*3)^(1/$AR494)))</f>
        <v/>
      </c>
      <c r="AX494">
        <f>IF($AR494="","",IF($AR494=0,$AS494*EXP($AT494*-2),$AS494*(1+$AR494*$AT494*-2)^(1/$AR494)))</f>
        <v/>
      </c>
      <c r="AY494">
        <f>IF($AR494="","",IF($AR494=0,$AS494*EXP($AT494*-3),$AS494*(1+$AR494*$AT494*-3)^(1/$AR494)))</f>
        <v/>
      </c>
      <c r="AZ494">
        <f>IF(OR($A494="",$A494&lt;&gt;Ficha!$C$4),"",COUNTIF($A$2:$A494,Ficha!$C$4))</f>
        <v/>
      </c>
    </row>
    <row r="495">
      <c r="A495" s="8">
        <f>IF(INDEX(Banco!$A:$A,ROW())="","",INDEX(Banco!$A:$A,ROW()))</f>
        <v/>
      </c>
      <c r="B495" s="8">
        <f>IF(INDEX(Banco!$B:$B,ROW())="","",INDEX(Banco!$B:$B,ROW()))</f>
        <v/>
      </c>
      <c r="C495" s="8">
        <f>IF(INDEX(Banco!$C:$C,ROW())="","",INDEX(Banco!$C:$C,ROW()))</f>
        <v/>
      </c>
      <c r="D495" s="9">
        <f>IF(INDEX(Banco!$D:$D,ROW())="","",INDEX(Banco!$D:$D,ROW()))</f>
        <v/>
      </c>
      <c r="E495" s="9">
        <f>IF(INDEX(Banco!$E:$E,ROW())="","",INDEX(Banco!$E:$E,ROW()))</f>
        <v/>
      </c>
      <c r="F495" s="10">
        <f>IF(INDEX(Banco!$F:$F,ROW())="","",INDEX(Banco!$F:$F,ROW()))</f>
        <v/>
      </c>
      <c r="G495" s="10">
        <f>IF(INDEX(Banco!$G:$G,ROW())="","",INDEX(Banco!$G:$G,ROW()))</f>
        <v/>
      </c>
      <c r="H495" s="8">
        <f>IF(INDEX(Banco!$H:$H,ROW())="","",INDEX(Banco!$H:$H,ROW()))</f>
        <v/>
      </c>
      <c r="I495">
        <f>IF($T495="","",INT($T495/12)&amp;"a "&amp;MOD($T495,12)&amp;"m")</f>
        <v/>
      </c>
      <c r="J495" s="11">
        <f>IF(OR($F495="",$G495=""),"",ROUND($F495/($G495/100)^2,2))</f>
        <v/>
      </c>
      <c r="K495" s="12">
        <f>IF(OR($S495="",$J495="",$T495="",$T495&lt;0,$T495&gt;228,$Y495=""),"—",ROUND(IF(ABS($AB495)&lt;=3,$AB495,IF($AB495&gt;3,3+($J495-$AD495)/($AD495-$AC495),-3+($J495-$AF495)/($AE495-$AF495))),2))</f>
        <v/>
      </c>
      <c r="L495">
        <f>IF(OR($K495="",$K495="—"),"",IF($T495&lt;=60,IF($K495&lt;-3,"Magreza acentuada",IF($K495&lt;-2,"Magreza",IF($K495&lt;=1,"Eutrofia",IF($K495&lt;=2,"Risco de sobrepeso",IF($K495&lt;=3,"Sobrepeso","Obesidade"))))),IF($K495&lt;-3,"Magreza acentuada",IF($K495&lt;-2,"Magreza",IF($K495&lt;=1,"Eutrofia",IF($K495&lt;=2,"Sobrepeso",IF($K495&lt;=3,"Obesidade","Obesidade grave")))))))</f>
        <v/>
      </c>
      <c r="M495" s="12">
        <f>IF(OR($S495="",$V495="",$T495="",$T495&lt;0,$T495&gt;228,$AG495=""),"—",ROUND(IF($AG495=0,LN($V495/$AH495)/$AI495,((($V495/$AH495)^$AG495)-1)/($AG495*$AI495)),2))</f>
        <v/>
      </c>
      <c r="N495">
        <f>IF(OR($M495="",$M495="—"),"",IF($M495&lt;-3,"Muito baixa",IF($M495&lt;-2,"Baixa","Adequada")))</f>
        <v/>
      </c>
      <c r="O495" s="12">
        <f>IF(OR($S495="",$F495="",$T495="",$T495&lt;0,$T495&gt;120,$AJ495=""),"—",ROUND(IF(ABS($AM495)&lt;=3,$AM495,IF($AM495&gt;3,3+($F495-$AO495)/($AO495-$AN495),-3+($F495-$AQ495)/($AP495-$AQ495))),2))</f>
        <v/>
      </c>
      <c r="P495">
        <f>IF(OR($O495="",$O495="—"),"",IF($O495&lt;-3,"Muito baixo",IF($O495&lt;-2,"Baixo",IF($O495&lt;=2,"Adequado","Elevado"))))</f>
        <v/>
      </c>
      <c r="Q495" s="12">
        <f>IF(OR($S495="",$F495="",$T495="",$T495&lt;0,$T495&gt;60,$AR495=""),"—",ROUND(IF(ABS($AU495)&lt;=3,$AU495,IF($AU495&gt;3,3+($F495-$AW495)/($AW495-$AV495),-3+($F495-$AY495)/($AX495-$AY495))),2))</f>
        <v/>
      </c>
      <c r="R495">
        <f>IF(OR($Q495="",$Q495="—"),"",IF($Q495&lt;-3,"Magreza acentuada",IF($Q495&lt;-2,"Magreza",IF($Q495&lt;=1,"Eutrofia",IF($Q495&lt;=2,"Risco de sobrepeso",IF($Q495&lt;=3,"Sobrepeso","Obesidade"))))))</f>
        <v/>
      </c>
      <c r="S495">
        <f>IF($C495="","",IF(UPPER(LEFT($C495,1))="M",1,IF(UPPER(LEFT($C495,1))="F",2,"")))</f>
        <v/>
      </c>
      <c r="T495">
        <f>IF(OR($D495="",$E495=""),"",DATEDIF($D495,$E495,"m"))</f>
        <v/>
      </c>
      <c r="U495">
        <f>IF(OR($D495="",$E495=""),"",$E495-$D495)</f>
        <v/>
      </c>
      <c r="V495">
        <f>IF(OR($G495="",$T495=""),"",IF($T495&lt;24,IF(LEFT(LOWER($H495),4)="em p",$G495+0.7,$G495),IF(LEFT(LOWER($H495),4)="deit",$G495-0.7,$G495)))</f>
        <v/>
      </c>
      <c r="W495">
        <f>IF(OR($S495="",$T495=""),"",$S495*1000000+IF($T495&lt;=60,$U495,$T495))</f>
        <v/>
      </c>
      <c r="X495">
        <f>IF(OR($S495="",$V495="",$T495&gt;60,$T495=""),"",$S495*1000000+ROUND($V495*10,0))</f>
        <v/>
      </c>
      <c r="Y495">
        <f>IF($W495="","",IFERROR(INDEX(IF($T495&lt;=60,imc05_l,imc519_l),MATCH($W495,IF($T495&lt;=60,imc05_k,imc519_k),1)),""))</f>
        <v/>
      </c>
      <c r="Z495">
        <f>IF($W495="","",IFERROR(INDEX(IF($T495&lt;=60,imc05_m,imc519_m),MATCH($W495,IF($T495&lt;=60,imc05_k,imc519_k),1)),""))</f>
        <v/>
      </c>
      <c r="AA495">
        <f>IF($W495="","",IFERROR(INDEX(IF($T495&lt;=60,imc05_s,imc519_s),MATCH($W495,IF($T495&lt;=60,imc05_k,imc519_k),1)),""))</f>
        <v/>
      </c>
      <c r="AB495">
        <f>IF($Y495="","",IF($Y495=0,LN($J495/$Z495)/$AA495,((($J495/$Z495)^$Y495)-1)/($Y495*$AA495)))</f>
        <v/>
      </c>
      <c r="AC495">
        <f>IF($Y495="","",IF($Y495=0,$Z495*EXP($AA495*2),$Z495*(1+$Y495*$AA495*2)^(1/$Y495)))</f>
        <v/>
      </c>
      <c r="AD495">
        <f>IF($Y495="","",IF($Y495=0,$Z495*EXP($AA495*3),$Z495*(1+$Y495*$AA495*3)^(1/$Y495)))</f>
        <v/>
      </c>
      <c r="AE495">
        <f>IF($Y495="","",IF($Y495=0,$Z495*EXP($AA495*-2),$Z495*(1+$Y495*$AA495*-2)^(1/$Y495)))</f>
        <v/>
      </c>
      <c r="AF495">
        <f>IF($Y495="","",IF($Y495=0,$Z495*EXP($AA495*-3),$Z495*(1+$Y495*$AA495*-3)^(1/$Y495)))</f>
        <v/>
      </c>
      <c r="AG495">
        <f>IF($W495="","",IFERROR(INDEX(IF($T495&lt;=60,est05_l,est519_l),MATCH($W495,IF($T495&lt;=60,est05_k,est519_k),1)),""))</f>
        <v/>
      </c>
      <c r="AH495">
        <f>IF($W495="","",IFERROR(INDEX(IF($T495&lt;=60,est05_m,est519_m),MATCH($W495,IF($T495&lt;=60,est05_k,est519_k),1)),""))</f>
        <v/>
      </c>
      <c r="AI495">
        <f>IF($W495="","",IFERROR(INDEX(IF($T495&lt;=60,est05_s,est519_s),MATCH($W495,IF($T495&lt;=60,est05_k,est519_k),1)),""))</f>
        <v/>
      </c>
      <c r="AJ495">
        <f>IF($W495="","",IFERROR(INDEX(IF($T495&lt;=60,peso05_l,peso510_l),MATCH($W495,IF($T495&lt;=60,peso05_k,peso510_k),1)),""))</f>
        <v/>
      </c>
      <c r="AK495">
        <f>IF($W495="","",IFERROR(INDEX(IF($T495&lt;=60,peso05_m,peso510_m),MATCH($W495,IF($T495&lt;=60,peso05_k,peso510_k),1)),""))</f>
        <v/>
      </c>
      <c r="AL495">
        <f>IF($W495="","",IFERROR(INDEX(IF($T495&lt;=60,peso05_s,peso510_s),MATCH($W495,IF($T495&lt;=60,peso05_k,peso510_k),1)),""))</f>
        <v/>
      </c>
      <c r="AM495">
        <f>IF($AJ495="","",IF($AJ495=0,LN($F495/$AK495)/$AL495,((($F495/$AK495)^$AJ495)-1)/($AJ495*$AL495)))</f>
        <v/>
      </c>
      <c r="AN495">
        <f>IF($AJ495="","",IF($AJ495=0,$AK495*EXP($AL495*2),$AK495*(1+$AJ495*$AL495*2)^(1/$AJ495)))</f>
        <v/>
      </c>
      <c r="AO495">
        <f>IF($AJ495="","",IF($AJ495=0,$AK495*EXP($AL495*3),$AK495*(1+$AJ495*$AL495*3)^(1/$AJ495)))</f>
        <v/>
      </c>
      <c r="AP495">
        <f>IF($AJ495="","",IF($AJ495=0,$AK495*EXP($AL495*-2),$AK495*(1+$AJ495*$AL495*-2)^(1/$AJ495)))</f>
        <v/>
      </c>
      <c r="AQ495">
        <f>IF($AJ495="","",IF($AJ495=0,$AK495*EXP($AL495*-3),$AK495*(1+$AJ495*$AL495*-3)^(1/$AJ495)))</f>
        <v/>
      </c>
      <c r="AR495">
        <f>IF(OR($X495="",$T495&gt;60),"",IFERROR(INDEX(IF($T495&lt;24,pcomp_l,palt_l),MATCH($X495,IF($T495&lt;24,pcomp_k,palt_k),1)),""))</f>
        <v/>
      </c>
      <c r="AS495">
        <f>IF(OR($X495="",$T495&gt;60),"",IFERROR(INDEX(IF($T495&lt;24,pcomp_m,palt_m),MATCH($X495,IF($T495&lt;24,pcomp_k,palt_k),1)),""))</f>
        <v/>
      </c>
      <c r="AT495">
        <f>IF(OR($X495="",$T495&gt;60),"",IFERROR(INDEX(IF($T495&lt;24,pcomp_s,palt_s),MATCH($X495,IF($T495&lt;24,pcomp_k,palt_k),1)),""))</f>
        <v/>
      </c>
      <c r="AU495">
        <f>IF($AR495="","",IF($AR495=0,LN($F495/$AS495)/$AT495,((($F495/$AS495)^$AR495)-1)/($AR495*$AT495)))</f>
        <v/>
      </c>
      <c r="AV495">
        <f>IF($AR495="","",IF($AR495=0,$AS495*EXP($AT495*2),$AS495*(1+$AR495*$AT495*2)^(1/$AR495)))</f>
        <v/>
      </c>
      <c r="AW495">
        <f>IF($AR495="","",IF($AR495=0,$AS495*EXP($AT495*3),$AS495*(1+$AR495*$AT495*3)^(1/$AR495)))</f>
        <v/>
      </c>
      <c r="AX495">
        <f>IF($AR495="","",IF($AR495=0,$AS495*EXP($AT495*-2),$AS495*(1+$AR495*$AT495*-2)^(1/$AR495)))</f>
        <v/>
      </c>
      <c r="AY495">
        <f>IF($AR495="","",IF($AR495=0,$AS495*EXP($AT495*-3),$AS495*(1+$AR495*$AT495*-3)^(1/$AR495)))</f>
        <v/>
      </c>
      <c r="AZ495">
        <f>IF(OR($A495="",$A495&lt;&gt;Ficha!$C$4),"",COUNTIF($A$2:$A495,Ficha!$C$4))</f>
        <v/>
      </c>
    </row>
    <row r="496">
      <c r="A496" s="8">
        <f>IF(INDEX(Banco!$A:$A,ROW())="","",INDEX(Banco!$A:$A,ROW()))</f>
        <v/>
      </c>
      <c r="B496" s="8">
        <f>IF(INDEX(Banco!$B:$B,ROW())="","",INDEX(Banco!$B:$B,ROW()))</f>
        <v/>
      </c>
      <c r="C496" s="8">
        <f>IF(INDEX(Banco!$C:$C,ROW())="","",INDEX(Banco!$C:$C,ROW()))</f>
        <v/>
      </c>
      <c r="D496" s="9">
        <f>IF(INDEX(Banco!$D:$D,ROW())="","",INDEX(Banco!$D:$D,ROW()))</f>
        <v/>
      </c>
      <c r="E496" s="9">
        <f>IF(INDEX(Banco!$E:$E,ROW())="","",INDEX(Banco!$E:$E,ROW()))</f>
        <v/>
      </c>
      <c r="F496" s="10">
        <f>IF(INDEX(Banco!$F:$F,ROW())="","",INDEX(Banco!$F:$F,ROW()))</f>
        <v/>
      </c>
      <c r="G496" s="10">
        <f>IF(INDEX(Banco!$G:$G,ROW())="","",INDEX(Banco!$G:$G,ROW()))</f>
        <v/>
      </c>
      <c r="H496" s="8">
        <f>IF(INDEX(Banco!$H:$H,ROW())="","",INDEX(Banco!$H:$H,ROW()))</f>
        <v/>
      </c>
      <c r="I496">
        <f>IF($T496="","",INT($T496/12)&amp;"a "&amp;MOD($T496,12)&amp;"m")</f>
        <v/>
      </c>
      <c r="J496" s="11">
        <f>IF(OR($F496="",$G496=""),"",ROUND($F496/($G496/100)^2,2))</f>
        <v/>
      </c>
      <c r="K496" s="12">
        <f>IF(OR($S496="",$J496="",$T496="",$T496&lt;0,$T496&gt;228,$Y496=""),"—",ROUND(IF(ABS($AB496)&lt;=3,$AB496,IF($AB496&gt;3,3+($J496-$AD496)/($AD496-$AC496),-3+($J496-$AF496)/($AE496-$AF496))),2))</f>
        <v/>
      </c>
      <c r="L496">
        <f>IF(OR($K496="",$K496="—"),"",IF($T496&lt;=60,IF($K496&lt;-3,"Magreza acentuada",IF($K496&lt;-2,"Magreza",IF($K496&lt;=1,"Eutrofia",IF($K496&lt;=2,"Risco de sobrepeso",IF($K496&lt;=3,"Sobrepeso","Obesidade"))))),IF($K496&lt;-3,"Magreza acentuada",IF($K496&lt;-2,"Magreza",IF($K496&lt;=1,"Eutrofia",IF($K496&lt;=2,"Sobrepeso",IF($K496&lt;=3,"Obesidade","Obesidade grave")))))))</f>
        <v/>
      </c>
      <c r="M496" s="12">
        <f>IF(OR($S496="",$V496="",$T496="",$T496&lt;0,$T496&gt;228,$AG496=""),"—",ROUND(IF($AG496=0,LN($V496/$AH496)/$AI496,((($V496/$AH496)^$AG496)-1)/($AG496*$AI496)),2))</f>
        <v/>
      </c>
      <c r="N496">
        <f>IF(OR($M496="",$M496="—"),"",IF($M496&lt;-3,"Muito baixa",IF($M496&lt;-2,"Baixa","Adequada")))</f>
        <v/>
      </c>
      <c r="O496" s="12">
        <f>IF(OR($S496="",$F496="",$T496="",$T496&lt;0,$T496&gt;120,$AJ496=""),"—",ROUND(IF(ABS($AM496)&lt;=3,$AM496,IF($AM496&gt;3,3+($F496-$AO496)/($AO496-$AN496),-3+($F496-$AQ496)/($AP496-$AQ496))),2))</f>
        <v/>
      </c>
      <c r="P496">
        <f>IF(OR($O496="",$O496="—"),"",IF($O496&lt;-3,"Muito baixo",IF($O496&lt;-2,"Baixo",IF($O496&lt;=2,"Adequado","Elevado"))))</f>
        <v/>
      </c>
      <c r="Q496" s="12">
        <f>IF(OR($S496="",$F496="",$T496="",$T496&lt;0,$T496&gt;60,$AR496=""),"—",ROUND(IF(ABS($AU496)&lt;=3,$AU496,IF($AU496&gt;3,3+($F496-$AW496)/($AW496-$AV496),-3+($F496-$AY496)/($AX496-$AY496))),2))</f>
        <v/>
      </c>
      <c r="R496">
        <f>IF(OR($Q496="",$Q496="—"),"",IF($Q496&lt;-3,"Magreza acentuada",IF($Q496&lt;-2,"Magreza",IF($Q496&lt;=1,"Eutrofia",IF($Q496&lt;=2,"Risco de sobrepeso",IF($Q496&lt;=3,"Sobrepeso","Obesidade"))))))</f>
        <v/>
      </c>
      <c r="S496">
        <f>IF($C496="","",IF(UPPER(LEFT($C496,1))="M",1,IF(UPPER(LEFT($C496,1))="F",2,"")))</f>
        <v/>
      </c>
      <c r="T496">
        <f>IF(OR($D496="",$E496=""),"",DATEDIF($D496,$E496,"m"))</f>
        <v/>
      </c>
      <c r="U496">
        <f>IF(OR($D496="",$E496=""),"",$E496-$D496)</f>
        <v/>
      </c>
      <c r="V496">
        <f>IF(OR($G496="",$T496=""),"",IF($T496&lt;24,IF(LEFT(LOWER($H496),4)="em p",$G496+0.7,$G496),IF(LEFT(LOWER($H496),4)="deit",$G496-0.7,$G496)))</f>
        <v/>
      </c>
      <c r="W496">
        <f>IF(OR($S496="",$T496=""),"",$S496*1000000+IF($T496&lt;=60,$U496,$T496))</f>
        <v/>
      </c>
      <c r="X496">
        <f>IF(OR($S496="",$V496="",$T496&gt;60,$T496=""),"",$S496*1000000+ROUND($V496*10,0))</f>
        <v/>
      </c>
      <c r="Y496">
        <f>IF($W496="","",IFERROR(INDEX(IF($T496&lt;=60,imc05_l,imc519_l),MATCH($W496,IF($T496&lt;=60,imc05_k,imc519_k),1)),""))</f>
        <v/>
      </c>
      <c r="Z496">
        <f>IF($W496="","",IFERROR(INDEX(IF($T496&lt;=60,imc05_m,imc519_m),MATCH($W496,IF($T496&lt;=60,imc05_k,imc519_k),1)),""))</f>
        <v/>
      </c>
      <c r="AA496">
        <f>IF($W496="","",IFERROR(INDEX(IF($T496&lt;=60,imc05_s,imc519_s),MATCH($W496,IF($T496&lt;=60,imc05_k,imc519_k),1)),""))</f>
        <v/>
      </c>
      <c r="AB496">
        <f>IF($Y496="","",IF($Y496=0,LN($J496/$Z496)/$AA496,((($J496/$Z496)^$Y496)-1)/($Y496*$AA496)))</f>
        <v/>
      </c>
      <c r="AC496">
        <f>IF($Y496="","",IF($Y496=0,$Z496*EXP($AA496*2),$Z496*(1+$Y496*$AA496*2)^(1/$Y496)))</f>
        <v/>
      </c>
      <c r="AD496">
        <f>IF($Y496="","",IF($Y496=0,$Z496*EXP($AA496*3),$Z496*(1+$Y496*$AA496*3)^(1/$Y496)))</f>
        <v/>
      </c>
      <c r="AE496">
        <f>IF($Y496="","",IF($Y496=0,$Z496*EXP($AA496*-2),$Z496*(1+$Y496*$AA496*-2)^(1/$Y496)))</f>
        <v/>
      </c>
      <c r="AF496">
        <f>IF($Y496="","",IF($Y496=0,$Z496*EXP($AA496*-3),$Z496*(1+$Y496*$AA496*-3)^(1/$Y496)))</f>
        <v/>
      </c>
      <c r="AG496">
        <f>IF($W496="","",IFERROR(INDEX(IF($T496&lt;=60,est05_l,est519_l),MATCH($W496,IF($T496&lt;=60,est05_k,est519_k),1)),""))</f>
        <v/>
      </c>
      <c r="AH496">
        <f>IF($W496="","",IFERROR(INDEX(IF($T496&lt;=60,est05_m,est519_m),MATCH($W496,IF($T496&lt;=60,est05_k,est519_k),1)),""))</f>
        <v/>
      </c>
      <c r="AI496">
        <f>IF($W496="","",IFERROR(INDEX(IF($T496&lt;=60,est05_s,est519_s),MATCH($W496,IF($T496&lt;=60,est05_k,est519_k),1)),""))</f>
        <v/>
      </c>
      <c r="AJ496">
        <f>IF($W496="","",IFERROR(INDEX(IF($T496&lt;=60,peso05_l,peso510_l),MATCH($W496,IF($T496&lt;=60,peso05_k,peso510_k),1)),""))</f>
        <v/>
      </c>
      <c r="AK496">
        <f>IF($W496="","",IFERROR(INDEX(IF($T496&lt;=60,peso05_m,peso510_m),MATCH($W496,IF($T496&lt;=60,peso05_k,peso510_k),1)),""))</f>
        <v/>
      </c>
      <c r="AL496">
        <f>IF($W496="","",IFERROR(INDEX(IF($T496&lt;=60,peso05_s,peso510_s),MATCH($W496,IF($T496&lt;=60,peso05_k,peso510_k),1)),""))</f>
        <v/>
      </c>
      <c r="AM496">
        <f>IF($AJ496="","",IF($AJ496=0,LN($F496/$AK496)/$AL496,((($F496/$AK496)^$AJ496)-1)/($AJ496*$AL496)))</f>
        <v/>
      </c>
      <c r="AN496">
        <f>IF($AJ496="","",IF($AJ496=0,$AK496*EXP($AL496*2),$AK496*(1+$AJ496*$AL496*2)^(1/$AJ496)))</f>
        <v/>
      </c>
      <c r="AO496">
        <f>IF($AJ496="","",IF($AJ496=0,$AK496*EXP($AL496*3),$AK496*(1+$AJ496*$AL496*3)^(1/$AJ496)))</f>
        <v/>
      </c>
      <c r="AP496">
        <f>IF($AJ496="","",IF($AJ496=0,$AK496*EXP($AL496*-2),$AK496*(1+$AJ496*$AL496*-2)^(1/$AJ496)))</f>
        <v/>
      </c>
      <c r="AQ496">
        <f>IF($AJ496="","",IF($AJ496=0,$AK496*EXP($AL496*-3),$AK496*(1+$AJ496*$AL496*-3)^(1/$AJ496)))</f>
        <v/>
      </c>
      <c r="AR496">
        <f>IF(OR($X496="",$T496&gt;60),"",IFERROR(INDEX(IF($T496&lt;24,pcomp_l,palt_l),MATCH($X496,IF($T496&lt;24,pcomp_k,palt_k),1)),""))</f>
        <v/>
      </c>
      <c r="AS496">
        <f>IF(OR($X496="",$T496&gt;60),"",IFERROR(INDEX(IF($T496&lt;24,pcomp_m,palt_m),MATCH($X496,IF($T496&lt;24,pcomp_k,palt_k),1)),""))</f>
        <v/>
      </c>
      <c r="AT496">
        <f>IF(OR($X496="",$T496&gt;60),"",IFERROR(INDEX(IF($T496&lt;24,pcomp_s,palt_s),MATCH($X496,IF($T496&lt;24,pcomp_k,palt_k),1)),""))</f>
        <v/>
      </c>
      <c r="AU496">
        <f>IF($AR496="","",IF($AR496=0,LN($F496/$AS496)/$AT496,((($F496/$AS496)^$AR496)-1)/($AR496*$AT496)))</f>
        <v/>
      </c>
      <c r="AV496">
        <f>IF($AR496="","",IF($AR496=0,$AS496*EXP($AT496*2),$AS496*(1+$AR496*$AT496*2)^(1/$AR496)))</f>
        <v/>
      </c>
      <c r="AW496">
        <f>IF($AR496="","",IF($AR496=0,$AS496*EXP($AT496*3),$AS496*(1+$AR496*$AT496*3)^(1/$AR496)))</f>
        <v/>
      </c>
      <c r="AX496">
        <f>IF($AR496="","",IF($AR496=0,$AS496*EXP($AT496*-2),$AS496*(1+$AR496*$AT496*-2)^(1/$AR496)))</f>
        <v/>
      </c>
      <c r="AY496">
        <f>IF($AR496="","",IF($AR496=0,$AS496*EXP($AT496*-3),$AS496*(1+$AR496*$AT496*-3)^(1/$AR496)))</f>
        <v/>
      </c>
      <c r="AZ496">
        <f>IF(OR($A496="",$A496&lt;&gt;Ficha!$C$4),"",COUNTIF($A$2:$A496,Ficha!$C$4))</f>
        <v/>
      </c>
    </row>
    <row r="497">
      <c r="A497" s="8">
        <f>IF(INDEX(Banco!$A:$A,ROW())="","",INDEX(Banco!$A:$A,ROW()))</f>
        <v/>
      </c>
      <c r="B497" s="8">
        <f>IF(INDEX(Banco!$B:$B,ROW())="","",INDEX(Banco!$B:$B,ROW()))</f>
        <v/>
      </c>
      <c r="C497" s="8">
        <f>IF(INDEX(Banco!$C:$C,ROW())="","",INDEX(Banco!$C:$C,ROW()))</f>
        <v/>
      </c>
      <c r="D497" s="9">
        <f>IF(INDEX(Banco!$D:$D,ROW())="","",INDEX(Banco!$D:$D,ROW()))</f>
        <v/>
      </c>
      <c r="E497" s="9">
        <f>IF(INDEX(Banco!$E:$E,ROW())="","",INDEX(Banco!$E:$E,ROW()))</f>
        <v/>
      </c>
      <c r="F497" s="10">
        <f>IF(INDEX(Banco!$F:$F,ROW())="","",INDEX(Banco!$F:$F,ROW()))</f>
        <v/>
      </c>
      <c r="G497" s="10">
        <f>IF(INDEX(Banco!$G:$G,ROW())="","",INDEX(Banco!$G:$G,ROW()))</f>
        <v/>
      </c>
      <c r="H497" s="8">
        <f>IF(INDEX(Banco!$H:$H,ROW())="","",INDEX(Banco!$H:$H,ROW()))</f>
        <v/>
      </c>
      <c r="I497">
        <f>IF($T497="","",INT($T497/12)&amp;"a "&amp;MOD($T497,12)&amp;"m")</f>
        <v/>
      </c>
      <c r="J497" s="11">
        <f>IF(OR($F497="",$G497=""),"",ROUND($F497/($G497/100)^2,2))</f>
        <v/>
      </c>
      <c r="K497" s="12">
        <f>IF(OR($S497="",$J497="",$T497="",$T497&lt;0,$T497&gt;228,$Y497=""),"—",ROUND(IF(ABS($AB497)&lt;=3,$AB497,IF($AB497&gt;3,3+($J497-$AD497)/($AD497-$AC497),-3+($J497-$AF497)/($AE497-$AF497))),2))</f>
        <v/>
      </c>
      <c r="L497">
        <f>IF(OR($K497="",$K497="—"),"",IF($T497&lt;=60,IF($K497&lt;-3,"Magreza acentuada",IF($K497&lt;-2,"Magreza",IF($K497&lt;=1,"Eutrofia",IF($K497&lt;=2,"Risco de sobrepeso",IF($K497&lt;=3,"Sobrepeso","Obesidade"))))),IF($K497&lt;-3,"Magreza acentuada",IF($K497&lt;-2,"Magreza",IF($K497&lt;=1,"Eutrofia",IF($K497&lt;=2,"Sobrepeso",IF($K497&lt;=3,"Obesidade","Obesidade grave")))))))</f>
        <v/>
      </c>
      <c r="M497" s="12">
        <f>IF(OR($S497="",$V497="",$T497="",$T497&lt;0,$T497&gt;228,$AG497=""),"—",ROUND(IF($AG497=0,LN($V497/$AH497)/$AI497,((($V497/$AH497)^$AG497)-1)/($AG497*$AI497)),2))</f>
        <v/>
      </c>
      <c r="N497">
        <f>IF(OR($M497="",$M497="—"),"",IF($M497&lt;-3,"Muito baixa",IF($M497&lt;-2,"Baixa","Adequada")))</f>
        <v/>
      </c>
      <c r="O497" s="12">
        <f>IF(OR($S497="",$F497="",$T497="",$T497&lt;0,$T497&gt;120,$AJ497=""),"—",ROUND(IF(ABS($AM497)&lt;=3,$AM497,IF($AM497&gt;3,3+($F497-$AO497)/($AO497-$AN497),-3+($F497-$AQ497)/($AP497-$AQ497))),2))</f>
        <v/>
      </c>
      <c r="P497">
        <f>IF(OR($O497="",$O497="—"),"",IF($O497&lt;-3,"Muito baixo",IF($O497&lt;-2,"Baixo",IF($O497&lt;=2,"Adequado","Elevado"))))</f>
        <v/>
      </c>
      <c r="Q497" s="12">
        <f>IF(OR($S497="",$F497="",$T497="",$T497&lt;0,$T497&gt;60,$AR497=""),"—",ROUND(IF(ABS($AU497)&lt;=3,$AU497,IF($AU497&gt;3,3+($F497-$AW497)/($AW497-$AV497),-3+($F497-$AY497)/($AX497-$AY497))),2))</f>
        <v/>
      </c>
      <c r="R497">
        <f>IF(OR($Q497="",$Q497="—"),"",IF($Q497&lt;-3,"Magreza acentuada",IF($Q497&lt;-2,"Magreza",IF($Q497&lt;=1,"Eutrofia",IF($Q497&lt;=2,"Risco de sobrepeso",IF($Q497&lt;=3,"Sobrepeso","Obesidade"))))))</f>
        <v/>
      </c>
      <c r="S497">
        <f>IF($C497="","",IF(UPPER(LEFT($C497,1))="M",1,IF(UPPER(LEFT($C497,1))="F",2,"")))</f>
        <v/>
      </c>
      <c r="T497">
        <f>IF(OR($D497="",$E497=""),"",DATEDIF($D497,$E497,"m"))</f>
        <v/>
      </c>
      <c r="U497">
        <f>IF(OR($D497="",$E497=""),"",$E497-$D497)</f>
        <v/>
      </c>
      <c r="V497">
        <f>IF(OR($G497="",$T497=""),"",IF($T497&lt;24,IF(LEFT(LOWER($H497),4)="em p",$G497+0.7,$G497),IF(LEFT(LOWER($H497),4)="deit",$G497-0.7,$G497)))</f>
        <v/>
      </c>
      <c r="W497">
        <f>IF(OR($S497="",$T497=""),"",$S497*1000000+IF($T497&lt;=60,$U497,$T497))</f>
        <v/>
      </c>
      <c r="X497">
        <f>IF(OR($S497="",$V497="",$T497&gt;60,$T497=""),"",$S497*1000000+ROUND($V497*10,0))</f>
        <v/>
      </c>
      <c r="Y497">
        <f>IF($W497="","",IFERROR(INDEX(IF($T497&lt;=60,imc05_l,imc519_l),MATCH($W497,IF($T497&lt;=60,imc05_k,imc519_k),1)),""))</f>
        <v/>
      </c>
      <c r="Z497">
        <f>IF($W497="","",IFERROR(INDEX(IF($T497&lt;=60,imc05_m,imc519_m),MATCH($W497,IF($T497&lt;=60,imc05_k,imc519_k),1)),""))</f>
        <v/>
      </c>
      <c r="AA497">
        <f>IF($W497="","",IFERROR(INDEX(IF($T497&lt;=60,imc05_s,imc519_s),MATCH($W497,IF($T497&lt;=60,imc05_k,imc519_k),1)),""))</f>
        <v/>
      </c>
      <c r="AB497">
        <f>IF($Y497="","",IF($Y497=0,LN($J497/$Z497)/$AA497,((($J497/$Z497)^$Y497)-1)/($Y497*$AA497)))</f>
        <v/>
      </c>
      <c r="AC497">
        <f>IF($Y497="","",IF($Y497=0,$Z497*EXP($AA497*2),$Z497*(1+$Y497*$AA497*2)^(1/$Y497)))</f>
        <v/>
      </c>
      <c r="AD497">
        <f>IF($Y497="","",IF($Y497=0,$Z497*EXP($AA497*3),$Z497*(1+$Y497*$AA497*3)^(1/$Y497)))</f>
        <v/>
      </c>
      <c r="AE497">
        <f>IF($Y497="","",IF($Y497=0,$Z497*EXP($AA497*-2),$Z497*(1+$Y497*$AA497*-2)^(1/$Y497)))</f>
        <v/>
      </c>
      <c r="AF497">
        <f>IF($Y497="","",IF($Y497=0,$Z497*EXP($AA497*-3),$Z497*(1+$Y497*$AA497*-3)^(1/$Y497)))</f>
        <v/>
      </c>
      <c r="AG497">
        <f>IF($W497="","",IFERROR(INDEX(IF($T497&lt;=60,est05_l,est519_l),MATCH($W497,IF($T497&lt;=60,est05_k,est519_k),1)),""))</f>
        <v/>
      </c>
      <c r="AH497">
        <f>IF($W497="","",IFERROR(INDEX(IF($T497&lt;=60,est05_m,est519_m),MATCH($W497,IF($T497&lt;=60,est05_k,est519_k),1)),""))</f>
        <v/>
      </c>
      <c r="AI497">
        <f>IF($W497="","",IFERROR(INDEX(IF($T497&lt;=60,est05_s,est519_s),MATCH($W497,IF($T497&lt;=60,est05_k,est519_k),1)),""))</f>
        <v/>
      </c>
      <c r="AJ497">
        <f>IF($W497="","",IFERROR(INDEX(IF($T497&lt;=60,peso05_l,peso510_l),MATCH($W497,IF($T497&lt;=60,peso05_k,peso510_k),1)),""))</f>
        <v/>
      </c>
      <c r="AK497">
        <f>IF($W497="","",IFERROR(INDEX(IF($T497&lt;=60,peso05_m,peso510_m),MATCH($W497,IF($T497&lt;=60,peso05_k,peso510_k),1)),""))</f>
        <v/>
      </c>
      <c r="AL497">
        <f>IF($W497="","",IFERROR(INDEX(IF($T497&lt;=60,peso05_s,peso510_s),MATCH($W497,IF($T497&lt;=60,peso05_k,peso510_k),1)),""))</f>
        <v/>
      </c>
      <c r="AM497">
        <f>IF($AJ497="","",IF($AJ497=0,LN($F497/$AK497)/$AL497,((($F497/$AK497)^$AJ497)-1)/($AJ497*$AL497)))</f>
        <v/>
      </c>
      <c r="AN497">
        <f>IF($AJ497="","",IF($AJ497=0,$AK497*EXP($AL497*2),$AK497*(1+$AJ497*$AL497*2)^(1/$AJ497)))</f>
        <v/>
      </c>
      <c r="AO497">
        <f>IF($AJ497="","",IF($AJ497=0,$AK497*EXP($AL497*3),$AK497*(1+$AJ497*$AL497*3)^(1/$AJ497)))</f>
        <v/>
      </c>
      <c r="AP497">
        <f>IF($AJ497="","",IF($AJ497=0,$AK497*EXP($AL497*-2),$AK497*(1+$AJ497*$AL497*-2)^(1/$AJ497)))</f>
        <v/>
      </c>
      <c r="AQ497">
        <f>IF($AJ497="","",IF($AJ497=0,$AK497*EXP($AL497*-3),$AK497*(1+$AJ497*$AL497*-3)^(1/$AJ497)))</f>
        <v/>
      </c>
      <c r="AR497">
        <f>IF(OR($X497="",$T497&gt;60),"",IFERROR(INDEX(IF($T497&lt;24,pcomp_l,palt_l),MATCH($X497,IF($T497&lt;24,pcomp_k,palt_k),1)),""))</f>
        <v/>
      </c>
      <c r="AS497">
        <f>IF(OR($X497="",$T497&gt;60),"",IFERROR(INDEX(IF($T497&lt;24,pcomp_m,palt_m),MATCH($X497,IF($T497&lt;24,pcomp_k,palt_k),1)),""))</f>
        <v/>
      </c>
      <c r="AT497">
        <f>IF(OR($X497="",$T497&gt;60),"",IFERROR(INDEX(IF($T497&lt;24,pcomp_s,palt_s),MATCH($X497,IF($T497&lt;24,pcomp_k,palt_k),1)),""))</f>
        <v/>
      </c>
      <c r="AU497">
        <f>IF($AR497="","",IF($AR497=0,LN($F497/$AS497)/$AT497,((($F497/$AS497)^$AR497)-1)/($AR497*$AT497)))</f>
        <v/>
      </c>
      <c r="AV497">
        <f>IF($AR497="","",IF($AR497=0,$AS497*EXP($AT497*2),$AS497*(1+$AR497*$AT497*2)^(1/$AR497)))</f>
        <v/>
      </c>
      <c r="AW497">
        <f>IF($AR497="","",IF($AR497=0,$AS497*EXP($AT497*3),$AS497*(1+$AR497*$AT497*3)^(1/$AR497)))</f>
        <v/>
      </c>
      <c r="AX497">
        <f>IF($AR497="","",IF($AR497=0,$AS497*EXP($AT497*-2),$AS497*(1+$AR497*$AT497*-2)^(1/$AR497)))</f>
        <v/>
      </c>
      <c r="AY497">
        <f>IF($AR497="","",IF($AR497=0,$AS497*EXP($AT497*-3),$AS497*(1+$AR497*$AT497*-3)^(1/$AR497)))</f>
        <v/>
      </c>
      <c r="AZ497">
        <f>IF(OR($A497="",$A497&lt;&gt;Ficha!$C$4),"",COUNTIF($A$2:$A497,Ficha!$C$4))</f>
        <v/>
      </c>
    </row>
    <row r="498">
      <c r="A498" s="8">
        <f>IF(INDEX(Banco!$A:$A,ROW())="","",INDEX(Banco!$A:$A,ROW()))</f>
        <v/>
      </c>
      <c r="B498" s="8">
        <f>IF(INDEX(Banco!$B:$B,ROW())="","",INDEX(Banco!$B:$B,ROW()))</f>
        <v/>
      </c>
      <c r="C498" s="8">
        <f>IF(INDEX(Banco!$C:$C,ROW())="","",INDEX(Banco!$C:$C,ROW()))</f>
        <v/>
      </c>
      <c r="D498" s="9">
        <f>IF(INDEX(Banco!$D:$D,ROW())="","",INDEX(Banco!$D:$D,ROW()))</f>
        <v/>
      </c>
      <c r="E498" s="9">
        <f>IF(INDEX(Banco!$E:$E,ROW())="","",INDEX(Banco!$E:$E,ROW()))</f>
        <v/>
      </c>
      <c r="F498" s="10">
        <f>IF(INDEX(Banco!$F:$F,ROW())="","",INDEX(Banco!$F:$F,ROW()))</f>
        <v/>
      </c>
      <c r="G498" s="10">
        <f>IF(INDEX(Banco!$G:$G,ROW())="","",INDEX(Banco!$G:$G,ROW()))</f>
        <v/>
      </c>
      <c r="H498" s="8">
        <f>IF(INDEX(Banco!$H:$H,ROW())="","",INDEX(Banco!$H:$H,ROW()))</f>
        <v/>
      </c>
      <c r="I498">
        <f>IF($T498="","",INT($T498/12)&amp;"a "&amp;MOD($T498,12)&amp;"m")</f>
        <v/>
      </c>
      <c r="J498" s="11">
        <f>IF(OR($F498="",$G498=""),"",ROUND($F498/($G498/100)^2,2))</f>
        <v/>
      </c>
      <c r="K498" s="12">
        <f>IF(OR($S498="",$J498="",$T498="",$T498&lt;0,$T498&gt;228,$Y498=""),"—",ROUND(IF(ABS($AB498)&lt;=3,$AB498,IF($AB498&gt;3,3+($J498-$AD498)/($AD498-$AC498),-3+($J498-$AF498)/($AE498-$AF498))),2))</f>
        <v/>
      </c>
      <c r="L498">
        <f>IF(OR($K498="",$K498="—"),"",IF($T498&lt;=60,IF($K498&lt;-3,"Magreza acentuada",IF($K498&lt;-2,"Magreza",IF($K498&lt;=1,"Eutrofia",IF($K498&lt;=2,"Risco de sobrepeso",IF($K498&lt;=3,"Sobrepeso","Obesidade"))))),IF($K498&lt;-3,"Magreza acentuada",IF($K498&lt;-2,"Magreza",IF($K498&lt;=1,"Eutrofia",IF($K498&lt;=2,"Sobrepeso",IF($K498&lt;=3,"Obesidade","Obesidade grave")))))))</f>
        <v/>
      </c>
      <c r="M498" s="12">
        <f>IF(OR($S498="",$V498="",$T498="",$T498&lt;0,$T498&gt;228,$AG498=""),"—",ROUND(IF($AG498=0,LN($V498/$AH498)/$AI498,((($V498/$AH498)^$AG498)-1)/($AG498*$AI498)),2))</f>
        <v/>
      </c>
      <c r="N498">
        <f>IF(OR($M498="",$M498="—"),"",IF($M498&lt;-3,"Muito baixa",IF($M498&lt;-2,"Baixa","Adequada")))</f>
        <v/>
      </c>
      <c r="O498" s="12">
        <f>IF(OR($S498="",$F498="",$T498="",$T498&lt;0,$T498&gt;120,$AJ498=""),"—",ROUND(IF(ABS($AM498)&lt;=3,$AM498,IF($AM498&gt;3,3+($F498-$AO498)/($AO498-$AN498),-3+($F498-$AQ498)/($AP498-$AQ498))),2))</f>
        <v/>
      </c>
      <c r="P498">
        <f>IF(OR($O498="",$O498="—"),"",IF($O498&lt;-3,"Muito baixo",IF($O498&lt;-2,"Baixo",IF($O498&lt;=2,"Adequado","Elevado"))))</f>
        <v/>
      </c>
      <c r="Q498" s="12">
        <f>IF(OR($S498="",$F498="",$T498="",$T498&lt;0,$T498&gt;60,$AR498=""),"—",ROUND(IF(ABS($AU498)&lt;=3,$AU498,IF($AU498&gt;3,3+($F498-$AW498)/($AW498-$AV498),-3+($F498-$AY498)/($AX498-$AY498))),2))</f>
        <v/>
      </c>
      <c r="R498">
        <f>IF(OR($Q498="",$Q498="—"),"",IF($Q498&lt;-3,"Magreza acentuada",IF($Q498&lt;-2,"Magreza",IF($Q498&lt;=1,"Eutrofia",IF($Q498&lt;=2,"Risco de sobrepeso",IF($Q498&lt;=3,"Sobrepeso","Obesidade"))))))</f>
        <v/>
      </c>
      <c r="S498">
        <f>IF($C498="","",IF(UPPER(LEFT($C498,1))="M",1,IF(UPPER(LEFT($C498,1))="F",2,"")))</f>
        <v/>
      </c>
      <c r="T498">
        <f>IF(OR($D498="",$E498=""),"",DATEDIF($D498,$E498,"m"))</f>
        <v/>
      </c>
      <c r="U498">
        <f>IF(OR($D498="",$E498=""),"",$E498-$D498)</f>
        <v/>
      </c>
      <c r="V498">
        <f>IF(OR($G498="",$T498=""),"",IF($T498&lt;24,IF(LEFT(LOWER($H498),4)="em p",$G498+0.7,$G498),IF(LEFT(LOWER($H498),4)="deit",$G498-0.7,$G498)))</f>
        <v/>
      </c>
      <c r="W498">
        <f>IF(OR($S498="",$T498=""),"",$S498*1000000+IF($T498&lt;=60,$U498,$T498))</f>
        <v/>
      </c>
      <c r="X498">
        <f>IF(OR($S498="",$V498="",$T498&gt;60,$T498=""),"",$S498*1000000+ROUND($V498*10,0))</f>
        <v/>
      </c>
      <c r="Y498">
        <f>IF($W498="","",IFERROR(INDEX(IF($T498&lt;=60,imc05_l,imc519_l),MATCH($W498,IF($T498&lt;=60,imc05_k,imc519_k),1)),""))</f>
        <v/>
      </c>
      <c r="Z498">
        <f>IF($W498="","",IFERROR(INDEX(IF($T498&lt;=60,imc05_m,imc519_m),MATCH($W498,IF($T498&lt;=60,imc05_k,imc519_k),1)),""))</f>
        <v/>
      </c>
      <c r="AA498">
        <f>IF($W498="","",IFERROR(INDEX(IF($T498&lt;=60,imc05_s,imc519_s),MATCH($W498,IF($T498&lt;=60,imc05_k,imc519_k),1)),""))</f>
        <v/>
      </c>
      <c r="AB498">
        <f>IF($Y498="","",IF($Y498=0,LN($J498/$Z498)/$AA498,((($J498/$Z498)^$Y498)-1)/($Y498*$AA498)))</f>
        <v/>
      </c>
      <c r="AC498">
        <f>IF($Y498="","",IF($Y498=0,$Z498*EXP($AA498*2),$Z498*(1+$Y498*$AA498*2)^(1/$Y498)))</f>
        <v/>
      </c>
      <c r="AD498">
        <f>IF($Y498="","",IF($Y498=0,$Z498*EXP($AA498*3),$Z498*(1+$Y498*$AA498*3)^(1/$Y498)))</f>
        <v/>
      </c>
      <c r="AE498">
        <f>IF($Y498="","",IF($Y498=0,$Z498*EXP($AA498*-2),$Z498*(1+$Y498*$AA498*-2)^(1/$Y498)))</f>
        <v/>
      </c>
      <c r="AF498">
        <f>IF($Y498="","",IF($Y498=0,$Z498*EXP($AA498*-3),$Z498*(1+$Y498*$AA498*-3)^(1/$Y498)))</f>
        <v/>
      </c>
      <c r="AG498">
        <f>IF($W498="","",IFERROR(INDEX(IF($T498&lt;=60,est05_l,est519_l),MATCH($W498,IF($T498&lt;=60,est05_k,est519_k),1)),""))</f>
        <v/>
      </c>
      <c r="AH498">
        <f>IF($W498="","",IFERROR(INDEX(IF($T498&lt;=60,est05_m,est519_m),MATCH($W498,IF($T498&lt;=60,est05_k,est519_k),1)),""))</f>
        <v/>
      </c>
      <c r="AI498">
        <f>IF($W498="","",IFERROR(INDEX(IF($T498&lt;=60,est05_s,est519_s),MATCH($W498,IF($T498&lt;=60,est05_k,est519_k),1)),""))</f>
        <v/>
      </c>
      <c r="AJ498">
        <f>IF($W498="","",IFERROR(INDEX(IF($T498&lt;=60,peso05_l,peso510_l),MATCH($W498,IF($T498&lt;=60,peso05_k,peso510_k),1)),""))</f>
        <v/>
      </c>
      <c r="AK498">
        <f>IF($W498="","",IFERROR(INDEX(IF($T498&lt;=60,peso05_m,peso510_m),MATCH($W498,IF($T498&lt;=60,peso05_k,peso510_k),1)),""))</f>
        <v/>
      </c>
      <c r="AL498">
        <f>IF($W498="","",IFERROR(INDEX(IF($T498&lt;=60,peso05_s,peso510_s),MATCH($W498,IF($T498&lt;=60,peso05_k,peso510_k),1)),""))</f>
        <v/>
      </c>
      <c r="AM498">
        <f>IF($AJ498="","",IF($AJ498=0,LN($F498/$AK498)/$AL498,((($F498/$AK498)^$AJ498)-1)/($AJ498*$AL498)))</f>
        <v/>
      </c>
      <c r="AN498">
        <f>IF($AJ498="","",IF($AJ498=0,$AK498*EXP($AL498*2),$AK498*(1+$AJ498*$AL498*2)^(1/$AJ498)))</f>
        <v/>
      </c>
      <c r="AO498">
        <f>IF($AJ498="","",IF($AJ498=0,$AK498*EXP($AL498*3),$AK498*(1+$AJ498*$AL498*3)^(1/$AJ498)))</f>
        <v/>
      </c>
      <c r="AP498">
        <f>IF($AJ498="","",IF($AJ498=0,$AK498*EXP($AL498*-2),$AK498*(1+$AJ498*$AL498*-2)^(1/$AJ498)))</f>
        <v/>
      </c>
      <c r="AQ498">
        <f>IF($AJ498="","",IF($AJ498=0,$AK498*EXP($AL498*-3),$AK498*(1+$AJ498*$AL498*-3)^(1/$AJ498)))</f>
        <v/>
      </c>
      <c r="AR498">
        <f>IF(OR($X498="",$T498&gt;60),"",IFERROR(INDEX(IF($T498&lt;24,pcomp_l,palt_l),MATCH($X498,IF($T498&lt;24,pcomp_k,palt_k),1)),""))</f>
        <v/>
      </c>
      <c r="AS498">
        <f>IF(OR($X498="",$T498&gt;60),"",IFERROR(INDEX(IF($T498&lt;24,pcomp_m,palt_m),MATCH($X498,IF($T498&lt;24,pcomp_k,palt_k),1)),""))</f>
        <v/>
      </c>
      <c r="AT498">
        <f>IF(OR($X498="",$T498&gt;60),"",IFERROR(INDEX(IF($T498&lt;24,pcomp_s,palt_s),MATCH($X498,IF($T498&lt;24,pcomp_k,palt_k),1)),""))</f>
        <v/>
      </c>
      <c r="AU498">
        <f>IF($AR498="","",IF($AR498=0,LN($F498/$AS498)/$AT498,((($F498/$AS498)^$AR498)-1)/($AR498*$AT498)))</f>
        <v/>
      </c>
      <c r="AV498">
        <f>IF($AR498="","",IF($AR498=0,$AS498*EXP($AT498*2),$AS498*(1+$AR498*$AT498*2)^(1/$AR498)))</f>
        <v/>
      </c>
      <c r="AW498">
        <f>IF($AR498="","",IF($AR498=0,$AS498*EXP($AT498*3),$AS498*(1+$AR498*$AT498*3)^(1/$AR498)))</f>
        <v/>
      </c>
      <c r="AX498">
        <f>IF($AR498="","",IF($AR498=0,$AS498*EXP($AT498*-2),$AS498*(1+$AR498*$AT498*-2)^(1/$AR498)))</f>
        <v/>
      </c>
      <c r="AY498">
        <f>IF($AR498="","",IF($AR498=0,$AS498*EXP($AT498*-3),$AS498*(1+$AR498*$AT498*-3)^(1/$AR498)))</f>
        <v/>
      </c>
      <c r="AZ498">
        <f>IF(OR($A498="",$A498&lt;&gt;Ficha!$C$4),"",COUNTIF($A$2:$A498,Ficha!$C$4))</f>
        <v/>
      </c>
    </row>
    <row r="499">
      <c r="A499" s="8">
        <f>IF(INDEX(Banco!$A:$A,ROW())="","",INDEX(Banco!$A:$A,ROW()))</f>
        <v/>
      </c>
      <c r="B499" s="8">
        <f>IF(INDEX(Banco!$B:$B,ROW())="","",INDEX(Banco!$B:$B,ROW()))</f>
        <v/>
      </c>
      <c r="C499" s="8">
        <f>IF(INDEX(Banco!$C:$C,ROW())="","",INDEX(Banco!$C:$C,ROW()))</f>
        <v/>
      </c>
      <c r="D499" s="9">
        <f>IF(INDEX(Banco!$D:$D,ROW())="","",INDEX(Banco!$D:$D,ROW()))</f>
        <v/>
      </c>
      <c r="E499" s="9">
        <f>IF(INDEX(Banco!$E:$E,ROW())="","",INDEX(Banco!$E:$E,ROW()))</f>
        <v/>
      </c>
      <c r="F499" s="10">
        <f>IF(INDEX(Banco!$F:$F,ROW())="","",INDEX(Banco!$F:$F,ROW()))</f>
        <v/>
      </c>
      <c r="G499" s="10">
        <f>IF(INDEX(Banco!$G:$G,ROW())="","",INDEX(Banco!$G:$G,ROW()))</f>
        <v/>
      </c>
      <c r="H499" s="8">
        <f>IF(INDEX(Banco!$H:$H,ROW())="","",INDEX(Banco!$H:$H,ROW()))</f>
        <v/>
      </c>
      <c r="I499">
        <f>IF($T499="","",INT($T499/12)&amp;"a "&amp;MOD($T499,12)&amp;"m")</f>
        <v/>
      </c>
      <c r="J499" s="11">
        <f>IF(OR($F499="",$G499=""),"",ROUND($F499/($G499/100)^2,2))</f>
        <v/>
      </c>
      <c r="K499" s="12">
        <f>IF(OR($S499="",$J499="",$T499="",$T499&lt;0,$T499&gt;228,$Y499=""),"—",ROUND(IF(ABS($AB499)&lt;=3,$AB499,IF($AB499&gt;3,3+($J499-$AD499)/($AD499-$AC499),-3+($J499-$AF499)/($AE499-$AF499))),2))</f>
        <v/>
      </c>
      <c r="L499">
        <f>IF(OR($K499="",$K499="—"),"",IF($T499&lt;=60,IF($K499&lt;-3,"Magreza acentuada",IF($K499&lt;-2,"Magreza",IF($K499&lt;=1,"Eutrofia",IF($K499&lt;=2,"Risco de sobrepeso",IF($K499&lt;=3,"Sobrepeso","Obesidade"))))),IF($K499&lt;-3,"Magreza acentuada",IF($K499&lt;-2,"Magreza",IF($K499&lt;=1,"Eutrofia",IF($K499&lt;=2,"Sobrepeso",IF($K499&lt;=3,"Obesidade","Obesidade grave")))))))</f>
        <v/>
      </c>
      <c r="M499" s="12">
        <f>IF(OR($S499="",$V499="",$T499="",$T499&lt;0,$T499&gt;228,$AG499=""),"—",ROUND(IF($AG499=0,LN($V499/$AH499)/$AI499,((($V499/$AH499)^$AG499)-1)/($AG499*$AI499)),2))</f>
        <v/>
      </c>
      <c r="N499">
        <f>IF(OR($M499="",$M499="—"),"",IF($M499&lt;-3,"Muito baixa",IF($M499&lt;-2,"Baixa","Adequada")))</f>
        <v/>
      </c>
      <c r="O499" s="12">
        <f>IF(OR($S499="",$F499="",$T499="",$T499&lt;0,$T499&gt;120,$AJ499=""),"—",ROUND(IF(ABS($AM499)&lt;=3,$AM499,IF($AM499&gt;3,3+($F499-$AO499)/($AO499-$AN499),-3+($F499-$AQ499)/($AP499-$AQ499))),2))</f>
        <v/>
      </c>
      <c r="P499">
        <f>IF(OR($O499="",$O499="—"),"",IF($O499&lt;-3,"Muito baixo",IF($O499&lt;-2,"Baixo",IF($O499&lt;=2,"Adequado","Elevado"))))</f>
        <v/>
      </c>
      <c r="Q499" s="12">
        <f>IF(OR($S499="",$F499="",$T499="",$T499&lt;0,$T499&gt;60,$AR499=""),"—",ROUND(IF(ABS($AU499)&lt;=3,$AU499,IF($AU499&gt;3,3+($F499-$AW499)/($AW499-$AV499),-3+($F499-$AY499)/($AX499-$AY499))),2))</f>
        <v/>
      </c>
      <c r="R499">
        <f>IF(OR($Q499="",$Q499="—"),"",IF($Q499&lt;-3,"Magreza acentuada",IF($Q499&lt;-2,"Magreza",IF($Q499&lt;=1,"Eutrofia",IF($Q499&lt;=2,"Risco de sobrepeso",IF($Q499&lt;=3,"Sobrepeso","Obesidade"))))))</f>
        <v/>
      </c>
      <c r="S499">
        <f>IF($C499="","",IF(UPPER(LEFT($C499,1))="M",1,IF(UPPER(LEFT($C499,1))="F",2,"")))</f>
        <v/>
      </c>
      <c r="T499">
        <f>IF(OR($D499="",$E499=""),"",DATEDIF($D499,$E499,"m"))</f>
        <v/>
      </c>
      <c r="U499">
        <f>IF(OR($D499="",$E499=""),"",$E499-$D499)</f>
        <v/>
      </c>
      <c r="V499">
        <f>IF(OR($G499="",$T499=""),"",IF($T499&lt;24,IF(LEFT(LOWER($H499),4)="em p",$G499+0.7,$G499),IF(LEFT(LOWER($H499),4)="deit",$G499-0.7,$G499)))</f>
        <v/>
      </c>
      <c r="W499">
        <f>IF(OR($S499="",$T499=""),"",$S499*1000000+IF($T499&lt;=60,$U499,$T499))</f>
        <v/>
      </c>
      <c r="X499">
        <f>IF(OR($S499="",$V499="",$T499&gt;60,$T499=""),"",$S499*1000000+ROUND($V499*10,0))</f>
        <v/>
      </c>
      <c r="Y499">
        <f>IF($W499="","",IFERROR(INDEX(IF($T499&lt;=60,imc05_l,imc519_l),MATCH($W499,IF($T499&lt;=60,imc05_k,imc519_k),1)),""))</f>
        <v/>
      </c>
      <c r="Z499">
        <f>IF($W499="","",IFERROR(INDEX(IF($T499&lt;=60,imc05_m,imc519_m),MATCH($W499,IF($T499&lt;=60,imc05_k,imc519_k),1)),""))</f>
        <v/>
      </c>
      <c r="AA499">
        <f>IF($W499="","",IFERROR(INDEX(IF($T499&lt;=60,imc05_s,imc519_s),MATCH($W499,IF($T499&lt;=60,imc05_k,imc519_k),1)),""))</f>
        <v/>
      </c>
      <c r="AB499">
        <f>IF($Y499="","",IF($Y499=0,LN($J499/$Z499)/$AA499,((($J499/$Z499)^$Y499)-1)/($Y499*$AA499)))</f>
        <v/>
      </c>
      <c r="AC499">
        <f>IF($Y499="","",IF($Y499=0,$Z499*EXP($AA499*2),$Z499*(1+$Y499*$AA499*2)^(1/$Y499)))</f>
        <v/>
      </c>
      <c r="AD499">
        <f>IF($Y499="","",IF($Y499=0,$Z499*EXP($AA499*3),$Z499*(1+$Y499*$AA499*3)^(1/$Y499)))</f>
        <v/>
      </c>
      <c r="AE499">
        <f>IF($Y499="","",IF($Y499=0,$Z499*EXP($AA499*-2),$Z499*(1+$Y499*$AA499*-2)^(1/$Y499)))</f>
        <v/>
      </c>
      <c r="AF499">
        <f>IF($Y499="","",IF($Y499=0,$Z499*EXP($AA499*-3),$Z499*(1+$Y499*$AA499*-3)^(1/$Y499)))</f>
        <v/>
      </c>
      <c r="AG499">
        <f>IF($W499="","",IFERROR(INDEX(IF($T499&lt;=60,est05_l,est519_l),MATCH($W499,IF($T499&lt;=60,est05_k,est519_k),1)),""))</f>
        <v/>
      </c>
      <c r="AH499">
        <f>IF($W499="","",IFERROR(INDEX(IF($T499&lt;=60,est05_m,est519_m),MATCH($W499,IF($T499&lt;=60,est05_k,est519_k),1)),""))</f>
        <v/>
      </c>
      <c r="AI499">
        <f>IF($W499="","",IFERROR(INDEX(IF($T499&lt;=60,est05_s,est519_s),MATCH($W499,IF($T499&lt;=60,est05_k,est519_k),1)),""))</f>
        <v/>
      </c>
      <c r="AJ499">
        <f>IF($W499="","",IFERROR(INDEX(IF($T499&lt;=60,peso05_l,peso510_l),MATCH($W499,IF($T499&lt;=60,peso05_k,peso510_k),1)),""))</f>
        <v/>
      </c>
      <c r="AK499">
        <f>IF($W499="","",IFERROR(INDEX(IF($T499&lt;=60,peso05_m,peso510_m),MATCH($W499,IF($T499&lt;=60,peso05_k,peso510_k),1)),""))</f>
        <v/>
      </c>
      <c r="AL499">
        <f>IF($W499="","",IFERROR(INDEX(IF($T499&lt;=60,peso05_s,peso510_s),MATCH($W499,IF($T499&lt;=60,peso05_k,peso510_k),1)),""))</f>
        <v/>
      </c>
      <c r="AM499">
        <f>IF($AJ499="","",IF($AJ499=0,LN($F499/$AK499)/$AL499,((($F499/$AK499)^$AJ499)-1)/($AJ499*$AL499)))</f>
        <v/>
      </c>
      <c r="AN499">
        <f>IF($AJ499="","",IF($AJ499=0,$AK499*EXP($AL499*2),$AK499*(1+$AJ499*$AL499*2)^(1/$AJ499)))</f>
        <v/>
      </c>
      <c r="AO499">
        <f>IF($AJ499="","",IF($AJ499=0,$AK499*EXP($AL499*3),$AK499*(1+$AJ499*$AL499*3)^(1/$AJ499)))</f>
        <v/>
      </c>
      <c r="AP499">
        <f>IF($AJ499="","",IF($AJ499=0,$AK499*EXP($AL499*-2),$AK499*(1+$AJ499*$AL499*-2)^(1/$AJ499)))</f>
        <v/>
      </c>
      <c r="AQ499">
        <f>IF($AJ499="","",IF($AJ499=0,$AK499*EXP($AL499*-3),$AK499*(1+$AJ499*$AL499*-3)^(1/$AJ499)))</f>
        <v/>
      </c>
      <c r="AR499">
        <f>IF(OR($X499="",$T499&gt;60),"",IFERROR(INDEX(IF($T499&lt;24,pcomp_l,palt_l),MATCH($X499,IF($T499&lt;24,pcomp_k,palt_k),1)),""))</f>
        <v/>
      </c>
      <c r="AS499">
        <f>IF(OR($X499="",$T499&gt;60),"",IFERROR(INDEX(IF($T499&lt;24,pcomp_m,palt_m),MATCH($X499,IF($T499&lt;24,pcomp_k,palt_k),1)),""))</f>
        <v/>
      </c>
      <c r="AT499">
        <f>IF(OR($X499="",$T499&gt;60),"",IFERROR(INDEX(IF($T499&lt;24,pcomp_s,palt_s),MATCH($X499,IF($T499&lt;24,pcomp_k,palt_k),1)),""))</f>
        <v/>
      </c>
      <c r="AU499">
        <f>IF($AR499="","",IF($AR499=0,LN($F499/$AS499)/$AT499,((($F499/$AS499)^$AR499)-1)/($AR499*$AT499)))</f>
        <v/>
      </c>
      <c r="AV499">
        <f>IF($AR499="","",IF($AR499=0,$AS499*EXP($AT499*2),$AS499*(1+$AR499*$AT499*2)^(1/$AR499)))</f>
        <v/>
      </c>
      <c r="AW499">
        <f>IF($AR499="","",IF($AR499=0,$AS499*EXP($AT499*3),$AS499*(1+$AR499*$AT499*3)^(1/$AR499)))</f>
        <v/>
      </c>
      <c r="AX499">
        <f>IF($AR499="","",IF($AR499=0,$AS499*EXP($AT499*-2),$AS499*(1+$AR499*$AT499*-2)^(1/$AR499)))</f>
        <v/>
      </c>
      <c r="AY499">
        <f>IF($AR499="","",IF($AR499=0,$AS499*EXP($AT499*-3),$AS499*(1+$AR499*$AT499*-3)^(1/$AR499)))</f>
        <v/>
      </c>
      <c r="AZ499">
        <f>IF(OR($A499="",$A499&lt;&gt;Ficha!$C$4),"",COUNTIF($A$2:$A499,Ficha!$C$4))</f>
        <v/>
      </c>
    </row>
    <row r="500">
      <c r="A500" s="8">
        <f>IF(INDEX(Banco!$A:$A,ROW())="","",INDEX(Banco!$A:$A,ROW()))</f>
        <v/>
      </c>
      <c r="B500" s="8">
        <f>IF(INDEX(Banco!$B:$B,ROW())="","",INDEX(Banco!$B:$B,ROW()))</f>
        <v/>
      </c>
      <c r="C500" s="8">
        <f>IF(INDEX(Banco!$C:$C,ROW())="","",INDEX(Banco!$C:$C,ROW()))</f>
        <v/>
      </c>
      <c r="D500" s="9">
        <f>IF(INDEX(Banco!$D:$D,ROW())="","",INDEX(Banco!$D:$D,ROW()))</f>
        <v/>
      </c>
      <c r="E500" s="9">
        <f>IF(INDEX(Banco!$E:$E,ROW())="","",INDEX(Banco!$E:$E,ROW()))</f>
        <v/>
      </c>
      <c r="F500" s="10">
        <f>IF(INDEX(Banco!$F:$F,ROW())="","",INDEX(Banco!$F:$F,ROW()))</f>
        <v/>
      </c>
      <c r="G500" s="10">
        <f>IF(INDEX(Banco!$G:$G,ROW())="","",INDEX(Banco!$G:$G,ROW()))</f>
        <v/>
      </c>
      <c r="H500" s="8">
        <f>IF(INDEX(Banco!$H:$H,ROW())="","",INDEX(Banco!$H:$H,ROW()))</f>
        <v/>
      </c>
      <c r="I500">
        <f>IF($T500="","",INT($T500/12)&amp;"a "&amp;MOD($T500,12)&amp;"m")</f>
        <v/>
      </c>
      <c r="J500" s="11">
        <f>IF(OR($F500="",$G500=""),"",ROUND($F500/($G500/100)^2,2))</f>
        <v/>
      </c>
      <c r="K500" s="12">
        <f>IF(OR($S500="",$J500="",$T500="",$T500&lt;0,$T500&gt;228,$Y500=""),"—",ROUND(IF(ABS($AB500)&lt;=3,$AB500,IF($AB500&gt;3,3+($J500-$AD500)/($AD500-$AC500),-3+($J500-$AF500)/($AE500-$AF500))),2))</f>
        <v/>
      </c>
      <c r="L500">
        <f>IF(OR($K500="",$K500="—"),"",IF($T500&lt;=60,IF($K500&lt;-3,"Magreza acentuada",IF($K500&lt;-2,"Magreza",IF($K500&lt;=1,"Eutrofia",IF($K500&lt;=2,"Risco de sobrepeso",IF($K500&lt;=3,"Sobrepeso","Obesidade"))))),IF($K500&lt;-3,"Magreza acentuada",IF($K500&lt;-2,"Magreza",IF($K500&lt;=1,"Eutrofia",IF($K500&lt;=2,"Sobrepeso",IF($K500&lt;=3,"Obesidade","Obesidade grave")))))))</f>
        <v/>
      </c>
      <c r="M500" s="12">
        <f>IF(OR($S500="",$V500="",$T500="",$T500&lt;0,$T500&gt;228,$AG500=""),"—",ROUND(IF($AG500=0,LN($V500/$AH500)/$AI500,((($V500/$AH500)^$AG500)-1)/($AG500*$AI500)),2))</f>
        <v/>
      </c>
      <c r="N500">
        <f>IF(OR($M500="",$M500="—"),"",IF($M500&lt;-3,"Muito baixa",IF($M500&lt;-2,"Baixa","Adequada")))</f>
        <v/>
      </c>
      <c r="O500" s="12">
        <f>IF(OR($S500="",$F500="",$T500="",$T500&lt;0,$T500&gt;120,$AJ500=""),"—",ROUND(IF(ABS($AM500)&lt;=3,$AM500,IF($AM500&gt;3,3+($F500-$AO500)/($AO500-$AN500),-3+($F500-$AQ500)/($AP500-$AQ500))),2))</f>
        <v/>
      </c>
      <c r="P500">
        <f>IF(OR($O500="",$O500="—"),"",IF($O500&lt;-3,"Muito baixo",IF($O500&lt;-2,"Baixo",IF($O500&lt;=2,"Adequado","Elevado"))))</f>
        <v/>
      </c>
      <c r="Q500" s="12">
        <f>IF(OR($S500="",$F500="",$T500="",$T500&lt;0,$T500&gt;60,$AR500=""),"—",ROUND(IF(ABS($AU500)&lt;=3,$AU500,IF($AU500&gt;3,3+($F500-$AW500)/($AW500-$AV500),-3+($F500-$AY500)/($AX500-$AY500))),2))</f>
        <v/>
      </c>
      <c r="R500">
        <f>IF(OR($Q500="",$Q500="—"),"",IF($Q500&lt;-3,"Magreza acentuada",IF($Q500&lt;-2,"Magreza",IF($Q500&lt;=1,"Eutrofia",IF($Q500&lt;=2,"Risco de sobrepeso",IF($Q500&lt;=3,"Sobrepeso","Obesidade"))))))</f>
        <v/>
      </c>
      <c r="S500">
        <f>IF($C500="","",IF(UPPER(LEFT($C500,1))="M",1,IF(UPPER(LEFT($C500,1))="F",2,"")))</f>
        <v/>
      </c>
      <c r="T500">
        <f>IF(OR($D500="",$E500=""),"",DATEDIF($D500,$E500,"m"))</f>
        <v/>
      </c>
      <c r="U500">
        <f>IF(OR($D500="",$E500=""),"",$E500-$D500)</f>
        <v/>
      </c>
      <c r="V500">
        <f>IF(OR($G500="",$T500=""),"",IF($T500&lt;24,IF(LEFT(LOWER($H500),4)="em p",$G500+0.7,$G500),IF(LEFT(LOWER($H500),4)="deit",$G500-0.7,$G500)))</f>
        <v/>
      </c>
      <c r="W500">
        <f>IF(OR($S500="",$T500=""),"",$S500*1000000+IF($T500&lt;=60,$U500,$T500))</f>
        <v/>
      </c>
      <c r="X500">
        <f>IF(OR($S500="",$V500="",$T500&gt;60,$T500=""),"",$S500*1000000+ROUND($V500*10,0))</f>
        <v/>
      </c>
      <c r="Y500">
        <f>IF($W500="","",IFERROR(INDEX(IF($T500&lt;=60,imc05_l,imc519_l),MATCH($W500,IF($T500&lt;=60,imc05_k,imc519_k),1)),""))</f>
        <v/>
      </c>
      <c r="Z500">
        <f>IF($W500="","",IFERROR(INDEX(IF($T500&lt;=60,imc05_m,imc519_m),MATCH($W500,IF($T500&lt;=60,imc05_k,imc519_k),1)),""))</f>
        <v/>
      </c>
      <c r="AA500">
        <f>IF($W500="","",IFERROR(INDEX(IF($T500&lt;=60,imc05_s,imc519_s),MATCH($W500,IF($T500&lt;=60,imc05_k,imc519_k),1)),""))</f>
        <v/>
      </c>
      <c r="AB500">
        <f>IF($Y500="","",IF($Y500=0,LN($J500/$Z500)/$AA500,((($J500/$Z500)^$Y500)-1)/($Y500*$AA500)))</f>
        <v/>
      </c>
      <c r="AC500">
        <f>IF($Y500="","",IF($Y500=0,$Z500*EXP($AA500*2),$Z500*(1+$Y500*$AA500*2)^(1/$Y500)))</f>
        <v/>
      </c>
      <c r="AD500">
        <f>IF($Y500="","",IF($Y500=0,$Z500*EXP($AA500*3),$Z500*(1+$Y500*$AA500*3)^(1/$Y500)))</f>
        <v/>
      </c>
      <c r="AE500">
        <f>IF($Y500="","",IF($Y500=0,$Z500*EXP($AA500*-2),$Z500*(1+$Y500*$AA500*-2)^(1/$Y500)))</f>
        <v/>
      </c>
      <c r="AF500">
        <f>IF($Y500="","",IF($Y500=0,$Z500*EXP($AA500*-3),$Z500*(1+$Y500*$AA500*-3)^(1/$Y500)))</f>
        <v/>
      </c>
      <c r="AG500">
        <f>IF($W500="","",IFERROR(INDEX(IF($T500&lt;=60,est05_l,est519_l),MATCH($W500,IF($T500&lt;=60,est05_k,est519_k),1)),""))</f>
        <v/>
      </c>
      <c r="AH500">
        <f>IF($W500="","",IFERROR(INDEX(IF($T500&lt;=60,est05_m,est519_m),MATCH($W500,IF($T500&lt;=60,est05_k,est519_k),1)),""))</f>
        <v/>
      </c>
      <c r="AI500">
        <f>IF($W500="","",IFERROR(INDEX(IF($T500&lt;=60,est05_s,est519_s),MATCH($W500,IF($T500&lt;=60,est05_k,est519_k),1)),""))</f>
        <v/>
      </c>
      <c r="AJ500">
        <f>IF($W500="","",IFERROR(INDEX(IF($T500&lt;=60,peso05_l,peso510_l),MATCH($W500,IF($T500&lt;=60,peso05_k,peso510_k),1)),""))</f>
        <v/>
      </c>
      <c r="AK500">
        <f>IF($W500="","",IFERROR(INDEX(IF($T500&lt;=60,peso05_m,peso510_m),MATCH($W500,IF($T500&lt;=60,peso05_k,peso510_k),1)),""))</f>
        <v/>
      </c>
      <c r="AL500">
        <f>IF($W500="","",IFERROR(INDEX(IF($T500&lt;=60,peso05_s,peso510_s),MATCH($W500,IF($T500&lt;=60,peso05_k,peso510_k),1)),""))</f>
        <v/>
      </c>
      <c r="AM500">
        <f>IF($AJ500="","",IF($AJ500=0,LN($F500/$AK500)/$AL500,((($F500/$AK500)^$AJ500)-1)/($AJ500*$AL500)))</f>
        <v/>
      </c>
      <c r="AN500">
        <f>IF($AJ500="","",IF($AJ500=0,$AK500*EXP($AL500*2),$AK500*(1+$AJ500*$AL500*2)^(1/$AJ500)))</f>
        <v/>
      </c>
      <c r="AO500">
        <f>IF($AJ500="","",IF($AJ500=0,$AK500*EXP($AL500*3),$AK500*(1+$AJ500*$AL500*3)^(1/$AJ500)))</f>
        <v/>
      </c>
      <c r="AP500">
        <f>IF($AJ500="","",IF($AJ500=0,$AK500*EXP($AL500*-2),$AK500*(1+$AJ500*$AL500*-2)^(1/$AJ500)))</f>
        <v/>
      </c>
      <c r="AQ500">
        <f>IF($AJ500="","",IF($AJ500=0,$AK500*EXP($AL500*-3),$AK500*(1+$AJ500*$AL500*-3)^(1/$AJ500)))</f>
        <v/>
      </c>
      <c r="AR500">
        <f>IF(OR($X500="",$T500&gt;60),"",IFERROR(INDEX(IF($T500&lt;24,pcomp_l,palt_l),MATCH($X500,IF($T500&lt;24,pcomp_k,palt_k),1)),""))</f>
        <v/>
      </c>
      <c r="AS500">
        <f>IF(OR($X500="",$T500&gt;60),"",IFERROR(INDEX(IF($T500&lt;24,pcomp_m,palt_m),MATCH($X500,IF($T500&lt;24,pcomp_k,palt_k),1)),""))</f>
        <v/>
      </c>
      <c r="AT500">
        <f>IF(OR($X500="",$T500&gt;60),"",IFERROR(INDEX(IF($T500&lt;24,pcomp_s,palt_s),MATCH($X500,IF($T500&lt;24,pcomp_k,palt_k),1)),""))</f>
        <v/>
      </c>
      <c r="AU500">
        <f>IF($AR500="","",IF($AR500=0,LN($F500/$AS500)/$AT500,((($F500/$AS500)^$AR500)-1)/($AR500*$AT500)))</f>
        <v/>
      </c>
      <c r="AV500">
        <f>IF($AR500="","",IF($AR500=0,$AS500*EXP($AT500*2),$AS500*(1+$AR500*$AT500*2)^(1/$AR500)))</f>
        <v/>
      </c>
      <c r="AW500">
        <f>IF($AR500="","",IF($AR500=0,$AS500*EXP($AT500*3),$AS500*(1+$AR500*$AT500*3)^(1/$AR500)))</f>
        <v/>
      </c>
      <c r="AX500">
        <f>IF($AR500="","",IF($AR500=0,$AS500*EXP($AT500*-2),$AS500*(1+$AR500*$AT500*-2)^(1/$AR500)))</f>
        <v/>
      </c>
      <c r="AY500">
        <f>IF($AR500="","",IF($AR500=0,$AS500*EXP($AT500*-3),$AS500*(1+$AR500*$AT500*-3)^(1/$AR500)))</f>
        <v/>
      </c>
      <c r="AZ500">
        <f>IF(OR($A500="",$A500&lt;&gt;Ficha!$C$4),"",COUNTIF($A$2:$A500,Ficha!$C$4))</f>
        <v/>
      </c>
    </row>
    <row r="501">
      <c r="A501" s="8">
        <f>IF(INDEX(Banco!$A:$A,ROW())="","",INDEX(Banco!$A:$A,ROW()))</f>
        <v/>
      </c>
      <c r="B501" s="8">
        <f>IF(INDEX(Banco!$B:$B,ROW())="","",INDEX(Banco!$B:$B,ROW()))</f>
        <v/>
      </c>
      <c r="C501" s="8">
        <f>IF(INDEX(Banco!$C:$C,ROW())="","",INDEX(Banco!$C:$C,ROW()))</f>
        <v/>
      </c>
      <c r="D501" s="9">
        <f>IF(INDEX(Banco!$D:$D,ROW())="","",INDEX(Banco!$D:$D,ROW()))</f>
        <v/>
      </c>
      <c r="E501" s="9">
        <f>IF(INDEX(Banco!$E:$E,ROW())="","",INDEX(Banco!$E:$E,ROW()))</f>
        <v/>
      </c>
      <c r="F501" s="10">
        <f>IF(INDEX(Banco!$F:$F,ROW())="","",INDEX(Banco!$F:$F,ROW()))</f>
        <v/>
      </c>
      <c r="G501" s="10">
        <f>IF(INDEX(Banco!$G:$G,ROW())="","",INDEX(Banco!$G:$G,ROW()))</f>
        <v/>
      </c>
      <c r="H501" s="8">
        <f>IF(INDEX(Banco!$H:$H,ROW())="","",INDEX(Banco!$H:$H,ROW()))</f>
        <v/>
      </c>
      <c r="I501">
        <f>IF($T501="","",INT($T501/12)&amp;"a "&amp;MOD($T501,12)&amp;"m")</f>
        <v/>
      </c>
      <c r="J501" s="11">
        <f>IF(OR($F501="",$G501=""),"",ROUND($F501/($G501/100)^2,2))</f>
        <v/>
      </c>
      <c r="K501" s="12">
        <f>IF(OR($S501="",$J501="",$T501="",$T501&lt;0,$T501&gt;228,$Y501=""),"—",ROUND(IF(ABS($AB501)&lt;=3,$AB501,IF($AB501&gt;3,3+($J501-$AD501)/($AD501-$AC501),-3+($J501-$AF501)/($AE501-$AF501))),2))</f>
        <v/>
      </c>
      <c r="L501">
        <f>IF(OR($K501="",$K501="—"),"",IF($T501&lt;=60,IF($K501&lt;-3,"Magreza acentuada",IF($K501&lt;-2,"Magreza",IF($K501&lt;=1,"Eutrofia",IF($K501&lt;=2,"Risco de sobrepeso",IF($K501&lt;=3,"Sobrepeso","Obesidade"))))),IF($K501&lt;-3,"Magreza acentuada",IF($K501&lt;-2,"Magreza",IF($K501&lt;=1,"Eutrofia",IF($K501&lt;=2,"Sobrepeso",IF($K501&lt;=3,"Obesidade","Obesidade grave")))))))</f>
        <v/>
      </c>
      <c r="M501" s="12">
        <f>IF(OR($S501="",$V501="",$T501="",$T501&lt;0,$T501&gt;228,$AG501=""),"—",ROUND(IF($AG501=0,LN($V501/$AH501)/$AI501,((($V501/$AH501)^$AG501)-1)/($AG501*$AI501)),2))</f>
        <v/>
      </c>
      <c r="N501">
        <f>IF(OR($M501="",$M501="—"),"",IF($M501&lt;-3,"Muito baixa",IF($M501&lt;-2,"Baixa","Adequada")))</f>
        <v/>
      </c>
      <c r="O501" s="12">
        <f>IF(OR($S501="",$F501="",$T501="",$T501&lt;0,$T501&gt;120,$AJ501=""),"—",ROUND(IF(ABS($AM501)&lt;=3,$AM501,IF($AM501&gt;3,3+($F501-$AO501)/($AO501-$AN501),-3+($F501-$AQ501)/($AP501-$AQ501))),2))</f>
        <v/>
      </c>
      <c r="P501">
        <f>IF(OR($O501="",$O501="—"),"",IF($O501&lt;-3,"Muito baixo",IF($O501&lt;-2,"Baixo",IF($O501&lt;=2,"Adequado","Elevado"))))</f>
        <v/>
      </c>
      <c r="Q501" s="12">
        <f>IF(OR($S501="",$F501="",$T501="",$T501&lt;0,$T501&gt;60,$AR501=""),"—",ROUND(IF(ABS($AU501)&lt;=3,$AU501,IF($AU501&gt;3,3+($F501-$AW501)/($AW501-$AV501),-3+($F501-$AY501)/($AX501-$AY501))),2))</f>
        <v/>
      </c>
      <c r="R501">
        <f>IF(OR($Q501="",$Q501="—"),"",IF($Q501&lt;-3,"Magreza acentuada",IF($Q501&lt;-2,"Magreza",IF($Q501&lt;=1,"Eutrofia",IF($Q501&lt;=2,"Risco de sobrepeso",IF($Q501&lt;=3,"Sobrepeso","Obesidade"))))))</f>
        <v/>
      </c>
      <c r="S501">
        <f>IF($C501="","",IF(UPPER(LEFT($C501,1))="M",1,IF(UPPER(LEFT($C501,1))="F",2,"")))</f>
        <v/>
      </c>
      <c r="T501">
        <f>IF(OR($D501="",$E501=""),"",DATEDIF($D501,$E501,"m"))</f>
        <v/>
      </c>
      <c r="U501">
        <f>IF(OR($D501="",$E501=""),"",$E501-$D501)</f>
        <v/>
      </c>
      <c r="V501">
        <f>IF(OR($G501="",$T501=""),"",IF($T501&lt;24,IF(LEFT(LOWER($H501),4)="em p",$G501+0.7,$G501),IF(LEFT(LOWER($H501),4)="deit",$G501-0.7,$G501)))</f>
        <v/>
      </c>
      <c r="W501">
        <f>IF(OR($S501="",$T501=""),"",$S501*1000000+IF($T501&lt;=60,$U501,$T501))</f>
        <v/>
      </c>
      <c r="X501">
        <f>IF(OR($S501="",$V501="",$T501&gt;60,$T501=""),"",$S501*1000000+ROUND($V501*10,0))</f>
        <v/>
      </c>
      <c r="Y501">
        <f>IF($W501="","",IFERROR(INDEX(IF($T501&lt;=60,imc05_l,imc519_l),MATCH($W501,IF($T501&lt;=60,imc05_k,imc519_k),1)),""))</f>
        <v/>
      </c>
      <c r="Z501">
        <f>IF($W501="","",IFERROR(INDEX(IF($T501&lt;=60,imc05_m,imc519_m),MATCH($W501,IF($T501&lt;=60,imc05_k,imc519_k),1)),""))</f>
        <v/>
      </c>
      <c r="AA501">
        <f>IF($W501="","",IFERROR(INDEX(IF($T501&lt;=60,imc05_s,imc519_s),MATCH($W501,IF($T501&lt;=60,imc05_k,imc519_k),1)),""))</f>
        <v/>
      </c>
      <c r="AB501">
        <f>IF($Y501="","",IF($Y501=0,LN($J501/$Z501)/$AA501,((($J501/$Z501)^$Y501)-1)/($Y501*$AA501)))</f>
        <v/>
      </c>
      <c r="AC501">
        <f>IF($Y501="","",IF($Y501=0,$Z501*EXP($AA501*2),$Z501*(1+$Y501*$AA501*2)^(1/$Y501)))</f>
        <v/>
      </c>
      <c r="AD501">
        <f>IF($Y501="","",IF($Y501=0,$Z501*EXP($AA501*3),$Z501*(1+$Y501*$AA501*3)^(1/$Y501)))</f>
        <v/>
      </c>
      <c r="AE501">
        <f>IF($Y501="","",IF($Y501=0,$Z501*EXP($AA501*-2),$Z501*(1+$Y501*$AA501*-2)^(1/$Y501)))</f>
        <v/>
      </c>
      <c r="AF501">
        <f>IF($Y501="","",IF($Y501=0,$Z501*EXP($AA501*-3),$Z501*(1+$Y501*$AA501*-3)^(1/$Y501)))</f>
        <v/>
      </c>
      <c r="AG501">
        <f>IF($W501="","",IFERROR(INDEX(IF($T501&lt;=60,est05_l,est519_l),MATCH($W501,IF($T501&lt;=60,est05_k,est519_k),1)),""))</f>
        <v/>
      </c>
      <c r="AH501">
        <f>IF($W501="","",IFERROR(INDEX(IF($T501&lt;=60,est05_m,est519_m),MATCH($W501,IF($T501&lt;=60,est05_k,est519_k),1)),""))</f>
        <v/>
      </c>
      <c r="AI501">
        <f>IF($W501="","",IFERROR(INDEX(IF($T501&lt;=60,est05_s,est519_s),MATCH($W501,IF($T501&lt;=60,est05_k,est519_k),1)),""))</f>
        <v/>
      </c>
      <c r="AJ501">
        <f>IF($W501="","",IFERROR(INDEX(IF($T501&lt;=60,peso05_l,peso510_l),MATCH($W501,IF($T501&lt;=60,peso05_k,peso510_k),1)),""))</f>
        <v/>
      </c>
      <c r="AK501">
        <f>IF($W501="","",IFERROR(INDEX(IF($T501&lt;=60,peso05_m,peso510_m),MATCH($W501,IF($T501&lt;=60,peso05_k,peso510_k),1)),""))</f>
        <v/>
      </c>
      <c r="AL501">
        <f>IF($W501="","",IFERROR(INDEX(IF($T501&lt;=60,peso05_s,peso510_s),MATCH($W501,IF($T501&lt;=60,peso05_k,peso510_k),1)),""))</f>
        <v/>
      </c>
      <c r="AM501">
        <f>IF($AJ501="","",IF($AJ501=0,LN($F501/$AK501)/$AL501,((($F501/$AK501)^$AJ501)-1)/($AJ501*$AL501)))</f>
        <v/>
      </c>
      <c r="AN501">
        <f>IF($AJ501="","",IF($AJ501=0,$AK501*EXP($AL501*2),$AK501*(1+$AJ501*$AL501*2)^(1/$AJ501)))</f>
        <v/>
      </c>
      <c r="AO501">
        <f>IF($AJ501="","",IF($AJ501=0,$AK501*EXP($AL501*3),$AK501*(1+$AJ501*$AL501*3)^(1/$AJ501)))</f>
        <v/>
      </c>
      <c r="AP501">
        <f>IF($AJ501="","",IF($AJ501=0,$AK501*EXP($AL501*-2),$AK501*(1+$AJ501*$AL501*-2)^(1/$AJ501)))</f>
        <v/>
      </c>
      <c r="AQ501">
        <f>IF($AJ501="","",IF($AJ501=0,$AK501*EXP($AL501*-3),$AK501*(1+$AJ501*$AL501*-3)^(1/$AJ501)))</f>
        <v/>
      </c>
      <c r="AR501">
        <f>IF(OR($X501="",$T501&gt;60),"",IFERROR(INDEX(IF($T501&lt;24,pcomp_l,palt_l),MATCH($X501,IF($T501&lt;24,pcomp_k,palt_k),1)),""))</f>
        <v/>
      </c>
      <c r="AS501">
        <f>IF(OR($X501="",$T501&gt;60),"",IFERROR(INDEX(IF($T501&lt;24,pcomp_m,palt_m),MATCH($X501,IF($T501&lt;24,pcomp_k,palt_k),1)),""))</f>
        <v/>
      </c>
      <c r="AT501">
        <f>IF(OR($X501="",$T501&gt;60),"",IFERROR(INDEX(IF($T501&lt;24,pcomp_s,palt_s),MATCH($X501,IF($T501&lt;24,pcomp_k,palt_k),1)),""))</f>
        <v/>
      </c>
      <c r="AU501">
        <f>IF($AR501="","",IF($AR501=0,LN($F501/$AS501)/$AT501,((($F501/$AS501)^$AR501)-1)/($AR501*$AT501)))</f>
        <v/>
      </c>
      <c r="AV501">
        <f>IF($AR501="","",IF($AR501=0,$AS501*EXP($AT501*2),$AS501*(1+$AR501*$AT501*2)^(1/$AR501)))</f>
        <v/>
      </c>
      <c r="AW501">
        <f>IF($AR501="","",IF($AR501=0,$AS501*EXP($AT501*3),$AS501*(1+$AR501*$AT501*3)^(1/$AR501)))</f>
        <v/>
      </c>
      <c r="AX501">
        <f>IF($AR501="","",IF($AR501=0,$AS501*EXP($AT501*-2),$AS501*(1+$AR501*$AT501*-2)^(1/$AR501)))</f>
        <v/>
      </c>
      <c r="AY501">
        <f>IF($AR501="","",IF($AR501=0,$AS501*EXP($AT501*-3),$AS501*(1+$AR501*$AT501*-3)^(1/$AR501)))</f>
        <v/>
      </c>
      <c r="AZ501">
        <f>IF(OR($A501="",$A501&lt;&gt;Ficha!$C$4),"",COUNTIF($A$2:$A501,Ficha!$C$4))</f>
        <v/>
      </c>
    </row>
    <row r="502">
      <c r="A502" s="8">
        <f>IF(INDEX(Banco!$A:$A,ROW())="","",INDEX(Banco!$A:$A,ROW()))</f>
        <v/>
      </c>
      <c r="B502" s="8">
        <f>IF(INDEX(Banco!$B:$B,ROW())="","",INDEX(Banco!$B:$B,ROW()))</f>
        <v/>
      </c>
      <c r="C502" s="8">
        <f>IF(INDEX(Banco!$C:$C,ROW())="","",INDEX(Banco!$C:$C,ROW()))</f>
        <v/>
      </c>
      <c r="D502" s="9">
        <f>IF(INDEX(Banco!$D:$D,ROW())="","",INDEX(Banco!$D:$D,ROW()))</f>
        <v/>
      </c>
      <c r="E502" s="9">
        <f>IF(INDEX(Banco!$E:$E,ROW())="","",INDEX(Banco!$E:$E,ROW()))</f>
        <v/>
      </c>
      <c r="F502" s="10">
        <f>IF(INDEX(Banco!$F:$F,ROW())="","",INDEX(Banco!$F:$F,ROW()))</f>
        <v/>
      </c>
      <c r="G502" s="10">
        <f>IF(INDEX(Banco!$G:$G,ROW())="","",INDEX(Banco!$G:$G,ROW()))</f>
        <v/>
      </c>
      <c r="H502" s="8">
        <f>IF(INDEX(Banco!$H:$H,ROW())="","",INDEX(Banco!$H:$H,ROW()))</f>
        <v/>
      </c>
      <c r="I502">
        <f>IF($T502="","",INT($T502/12)&amp;"a "&amp;MOD($T502,12)&amp;"m")</f>
        <v/>
      </c>
      <c r="J502" s="11">
        <f>IF(OR($F502="",$G502=""),"",ROUND($F502/($G502/100)^2,2))</f>
        <v/>
      </c>
      <c r="K502" s="12">
        <f>IF(OR($S502="",$J502="",$T502="",$T502&lt;0,$T502&gt;228,$Y502=""),"—",ROUND(IF(ABS($AB502)&lt;=3,$AB502,IF($AB502&gt;3,3+($J502-$AD502)/($AD502-$AC502),-3+($J502-$AF502)/($AE502-$AF502))),2))</f>
        <v/>
      </c>
      <c r="L502">
        <f>IF(OR($K502="",$K502="—"),"",IF($T502&lt;=60,IF($K502&lt;-3,"Magreza acentuada",IF($K502&lt;-2,"Magreza",IF($K502&lt;=1,"Eutrofia",IF($K502&lt;=2,"Risco de sobrepeso",IF($K502&lt;=3,"Sobrepeso","Obesidade"))))),IF($K502&lt;-3,"Magreza acentuada",IF($K502&lt;-2,"Magreza",IF($K502&lt;=1,"Eutrofia",IF($K502&lt;=2,"Sobrepeso",IF($K502&lt;=3,"Obesidade","Obesidade grave")))))))</f>
        <v/>
      </c>
      <c r="M502" s="12">
        <f>IF(OR($S502="",$V502="",$T502="",$T502&lt;0,$T502&gt;228,$AG502=""),"—",ROUND(IF($AG502=0,LN($V502/$AH502)/$AI502,((($V502/$AH502)^$AG502)-1)/($AG502*$AI502)),2))</f>
        <v/>
      </c>
      <c r="N502">
        <f>IF(OR($M502="",$M502="—"),"",IF($M502&lt;-3,"Muito baixa",IF($M502&lt;-2,"Baixa","Adequada")))</f>
        <v/>
      </c>
      <c r="O502" s="12">
        <f>IF(OR($S502="",$F502="",$T502="",$T502&lt;0,$T502&gt;120,$AJ502=""),"—",ROUND(IF(ABS($AM502)&lt;=3,$AM502,IF($AM502&gt;3,3+($F502-$AO502)/($AO502-$AN502),-3+($F502-$AQ502)/($AP502-$AQ502))),2))</f>
        <v/>
      </c>
      <c r="P502">
        <f>IF(OR($O502="",$O502="—"),"",IF($O502&lt;-3,"Muito baixo",IF($O502&lt;-2,"Baixo",IF($O502&lt;=2,"Adequado","Elevado"))))</f>
        <v/>
      </c>
      <c r="Q502" s="12">
        <f>IF(OR($S502="",$F502="",$T502="",$T502&lt;0,$T502&gt;60,$AR502=""),"—",ROUND(IF(ABS($AU502)&lt;=3,$AU502,IF($AU502&gt;3,3+($F502-$AW502)/($AW502-$AV502),-3+($F502-$AY502)/($AX502-$AY502))),2))</f>
        <v/>
      </c>
      <c r="R502">
        <f>IF(OR($Q502="",$Q502="—"),"",IF($Q502&lt;-3,"Magreza acentuada",IF($Q502&lt;-2,"Magreza",IF($Q502&lt;=1,"Eutrofia",IF($Q502&lt;=2,"Risco de sobrepeso",IF($Q502&lt;=3,"Sobrepeso","Obesidade"))))))</f>
        <v/>
      </c>
      <c r="S502">
        <f>IF($C502="","",IF(UPPER(LEFT($C502,1))="M",1,IF(UPPER(LEFT($C502,1))="F",2,"")))</f>
        <v/>
      </c>
      <c r="T502">
        <f>IF(OR($D502="",$E502=""),"",DATEDIF($D502,$E502,"m"))</f>
        <v/>
      </c>
      <c r="U502">
        <f>IF(OR($D502="",$E502=""),"",$E502-$D502)</f>
        <v/>
      </c>
      <c r="V502">
        <f>IF(OR($G502="",$T502=""),"",IF($T502&lt;24,IF(LEFT(LOWER($H502),4)="em p",$G502+0.7,$G502),IF(LEFT(LOWER($H502),4)="deit",$G502-0.7,$G502)))</f>
        <v/>
      </c>
      <c r="W502">
        <f>IF(OR($S502="",$T502=""),"",$S502*1000000+IF($T502&lt;=60,$U502,$T502))</f>
        <v/>
      </c>
      <c r="X502">
        <f>IF(OR($S502="",$V502="",$T502&gt;60,$T502=""),"",$S502*1000000+ROUND($V502*10,0))</f>
        <v/>
      </c>
      <c r="Y502">
        <f>IF($W502="","",IFERROR(INDEX(IF($T502&lt;=60,imc05_l,imc519_l),MATCH($W502,IF($T502&lt;=60,imc05_k,imc519_k),1)),""))</f>
        <v/>
      </c>
      <c r="Z502">
        <f>IF($W502="","",IFERROR(INDEX(IF($T502&lt;=60,imc05_m,imc519_m),MATCH($W502,IF($T502&lt;=60,imc05_k,imc519_k),1)),""))</f>
        <v/>
      </c>
      <c r="AA502">
        <f>IF($W502="","",IFERROR(INDEX(IF($T502&lt;=60,imc05_s,imc519_s),MATCH($W502,IF($T502&lt;=60,imc05_k,imc519_k),1)),""))</f>
        <v/>
      </c>
      <c r="AB502">
        <f>IF($Y502="","",IF($Y502=0,LN($J502/$Z502)/$AA502,((($J502/$Z502)^$Y502)-1)/($Y502*$AA502)))</f>
        <v/>
      </c>
      <c r="AC502">
        <f>IF($Y502="","",IF($Y502=0,$Z502*EXP($AA502*2),$Z502*(1+$Y502*$AA502*2)^(1/$Y502)))</f>
        <v/>
      </c>
      <c r="AD502">
        <f>IF($Y502="","",IF($Y502=0,$Z502*EXP($AA502*3),$Z502*(1+$Y502*$AA502*3)^(1/$Y502)))</f>
        <v/>
      </c>
      <c r="AE502">
        <f>IF($Y502="","",IF($Y502=0,$Z502*EXP($AA502*-2),$Z502*(1+$Y502*$AA502*-2)^(1/$Y502)))</f>
        <v/>
      </c>
      <c r="AF502">
        <f>IF($Y502="","",IF($Y502=0,$Z502*EXP($AA502*-3),$Z502*(1+$Y502*$AA502*-3)^(1/$Y502)))</f>
        <v/>
      </c>
      <c r="AG502">
        <f>IF($W502="","",IFERROR(INDEX(IF($T502&lt;=60,est05_l,est519_l),MATCH($W502,IF($T502&lt;=60,est05_k,est519_k),1)),""))</f>
        <v/>
      </c>
      <c r="AH502">
        <f>IF($W502="","",IFERROR(INDEX(IF($T502&lt;=60,est05_m,est519_m),MATCH($W502,IF($T502&lt;=60,est05_k,est519_k),1)),""))</f>
        <v/>
      </c>
      <c r="AI502">
        <f>IF($W502="","",IFERROR(INDEX(IF($T502&lt;=60,est05_s,est519_s),MATCH($W502,IF($T502&lt;=60,est05_k,est519_k),1)),""))</f>
        <v/>
      </c>
      <c r="AJ502">
        <f>IF($W502="","",IFERROR(INDEX(IF($T502&lt;=60,peso05_l,peso510_l),MATCH($W502,IF($T502&lt;=60,peso05_k,peso510_k),1)),""))</f>
        <v/>
      </c>
      <c r="AK502">
        <f>IF($W502="","",IFERROR(INDEX(IF($T502&lt;=60,peso05_m,peso510_m),MATCH($W502,IF($T502&lt;=60,peso05_k,peso510_k),1)),""))</f>
        <v/>
      </c>
      <c r="AL502">
        <f>IF($W502="","",IFERROR(INDEX(IF($T502&lt;=60,peso05_s,peso510_s),MATCH($W502,IF($T502&lt;=60,peso05_k,peso510_k),1)),""))</f>
        <v/>
      </c>
      <c r="AM502">
        <f>IF($AJ502="","",IF($AJ502=0,LN($F502/$AK502)/$AL502,((($F502/$AK502)^$AJ502)-1)/($AJ502*$AL502)))</f>
        <v/>
      </c>
      <c r="AN502">
        <f>IF($AJ502="","",IF($AJ502=0,$AK502*EXP($AL502*2),$AK502*(1+$AJ502*$AL502*2)^(1/$AJ502)))</f>
        <v/>
      </c>
      <c r="AO502">
        <f>IF($AJ502="","",IF($AJ502=0,$AK502*EXP($AL502*3),$AK502*(1+$AJ502*$AL502*3)^(1/$AJ502)))</f>
        <v/>
      </c>
      <c r="AP502">
        <f>IF($AJ502="","",IF($AJ502=0,$AK502*EXP($AL502*-2),$AK502*(1+$AJ502*$AL502*-2)^(1/$AJ502)))</f>
        <v/>
      </c>
      <c r="AQ502">
        <f>IF($AJ502="","",IF($AJ502=0,$AK502*EXP($AL502*-3),$AK502*(1+$AJ502*$AL502*-3)^(1/$AJ502)))</f>
        <v/>
      </c>
      <c r="AR502">
        <f>IF(OR($X502="",$T502&gt;60),"",IFERROR(INDEX(IF($T502&lt;24,pcomp_l,palt_l),MATCH($X502,IF($T502&lt;24,pcomp_k,palt_k),1)),""))</f>
        <v/>
      </c>
      <c r="AS502">
        <f>IF(OR($X502="",$T502&gt;60),"",IFERROR(INDEX(IF($T502&lt;24,pcomp_m,palt_m),MATCH($X502,IF($T502&lt;24,pcomp_k,palt_k),1)),""))</f>
        <v/>
      </c>
      <c r="AT502">
        <f>IF(OR($X502="",$T502&gt;60),"",IFERROR(INDEX(IF($T502&lt;24,pcomp_s,palt_s),MATCH($X502,IF($T502&lt;24,pcomp_k,palt_k),1)),""))</f>
        <v/>
      </c>
      <c r="AU502">
        <f>IF($AR502="","",IF($AR502=0,LN($F502/$AS502)/$AT502,((($F502/$AS502)^$AR502)-1)/($AR502*$AT502)))</f>
        <v/>
      </c>
      <c r="AV502">
        <f>IF($AR502="","",IF($AR502=0,$AS502*EXP($AT502*2),$AS502*(1+$AR502*$AT502*2)^(1/$AR502)))</f>
        <v/>
      </c>
      <c r="AW502">
        <f>IF($AR502="","",IF($AR502=0,$AS502*EXP($AT502*3),$AS502*(1+$AR502*$AT502*3)^(1/$AR502)))</f>
        <v/>
      </c>
      <c r="AX502">
        <f>IF($AR502="","",IF($AR502=0,$AS502*EXP($AT502*-2),$AS502*(1+$AR502*$AT502*-2)^(1/$AR502)))</f>
        <v/>
      </c>
      <c r="AY502">
        <f>IF($AR502="","",IF($AR502=0,$AS502*EXP($AT502*-3),$AS502*(1+$AR502*$AT502*-3)^(1/$AR502)))</f>
        <v/>
      </c>
      <c r="AZ502">
        <f>IF(OR($A502="",$A502&lt;&gt;Ficha!$C$4),"",COUNTIF($A$2:$A502,Ficha!$C$4))</f>
        <v/>
      </c>
    </row>
    <row r="503">
      <c r="A503" s="8">
        <f>IF(INDEX(Banco!$A:$A,ROW())="","",INDEX(Banco!$A:$A,ROW()))</f>
        <v/>
      </c>
      <c r="B503" s="8">
        <f>IF(INDEX(Banco!$B:$B,ROW())="","",INDEX(Banco!$B:$B,ROW()))</f>
        <v/>
      </c>
      <c r="C503" s="8">
        <f>IF(INDEX(Banco!$C:$C,ROW())="","",INDEX(Banco!$C:$C,ROW()))</f>
        <v/>
      </c>
      <c r="D503" s="9">
        <f>IF(INDEX(Banco!$D:$D,ROW())="","",INDEX(Banco!$D:$D,ROW()))</f>
        <v/>
      </c>
      <c r="E503" s="9">
        <f>IF(INDEX(Banco!$E:$E,ROW())="","",INDEX(Banco!$E:$E,ROW()))</f>
        <v/>
      </c>
      <c r="F503" s="10">
        <f>IF(INDEX(Banco!$F:$F,ROW())="","",INDEX(Banco!$F:$F,ROW()))</f>
        <v/>
      </c>
      <c r="G503" s="10">
        <f>IF(INDEX(Banco!$G:$G,ROW())="","",INDEX(Banco!$G:$G,ROW()))</f>
        <v/>
      </c>
      <c r="H503" s="8">
        <f>IF(INDEX(Banco!$H:$H,ROW())="","",INDEX(Banco!$H:$H,ROW()))</f>
        <v/>
      </c>
      <c r="I503">
        <f>IF($T503="","",INT($T503/12)&amp;"a "&amp;MOD($T503,12)&amp;"m")</f>
        <v/>
      </c>
      <c r="J503" s="11">
        <f>IF(OR($F503="",$G503=""),"",ROUND($F503/($G503/100)^2,2))</f>
        <v/>
      </c>
      <c r="K503" s="12">
        <f>IF(OR($S503="",$J503="",$T503="",$T503&lt;0,$T503&gt;228,$Y503=""),"—",ROUND(IF(ABS($AB503)&lt;=3,$AB503,IF($AB503&gt;3,3+($J503-$AD503)/($AD503-$AC503),-3+($J503-$AF503)/($AE503-$AF503))),2))</f>
        <v/>
      </c>
      <c r="L503">
        <f>IF(OR($K503="",$K503="—"),"",IF($T503&lt;=60,IF($K503&lt;-3,"Magreza acentuada",IF($K503&lt;-2,"Magreza",IF($K503&lt;=1,"Eutrofia",IF($K503&lt;=2,"Risco de sobrepeso",IF($K503&lt;=3,"Sobrepeso","Obesidade"))))),IF($K503&lt;-3,"Magreza acentuada",IF($K503&lt;-2,"Magreza",IF($K503&lt;=1,"Eutrofia",IF($K503&lt;=2,"Sobrepeso",IF($K503&lt;=3,"Obesidade","Obesidade grave")))))))</f>
        <v/>
      </c>
      <c r="M503" s="12">
        <f>IF(OR($S503="",$V503="",$T503="",$T503&lt;0,$T503&gt;228,$AG503=""),"—",ROUND(IF($AG503=0,LN($V503/$AH503)/$AI503,((($V503/$AH503)^$AG503)-1)/($AG503*$AI503)),2))</f>
        <v/>
      </c>
      <c r="N503">
        <f>IF(OR($M503="",$M503="—"),"",IF($M503&lt;-3,"Muito baixa",IF($M503&lt;-2,"Baixa","Adequada")))</f>
        <v/>
      </c>
      <c r="O503" s="12">
        <f>IF(OR($S503="",$F503="",$T503="",$T503&lt;0,$T503&gt;120,$AJ503=""),"—",ROUND(IF(ABS($AM503)&lt;=3,$AM503,IF($AM503&gt;3,3+($F503-$AO503)/($AO503-$AN503),-3+($F503-$AQ503)/($AP503-$AQ503))),2))</f>
        <v/>
      </c>
      <c r="P503">
        <f>IF(OR($O503="",$O503="—"),"",IF($O503&lt;-3,"Muito baixo",IF($O503&lt;-2,"Baixo",IF($O503&lt;=2,"Adequado","Elevado"))))</f>
        <v/>
      </c>
      <c r="Q503" s="12">
        <f>IF(OR($S503="",$F503="",$T503="",$T503&lt;0,$T503&gt;60,$AR503=""),"—",ROUND(IF(ABS($AU503)&lt;=3,$AU503,IF($AU503&gt;3,3+($F503-$AW503)/($AW503-$AV503),-3+($F503-$AY503)/($AX503-$AY503))),2))</f>
        <v/>
      </c>
      <c r="R503">
        <f>IF(OR($Q503="",$Q503="—"),"",IF($Q503&lt;-3,"Magreza acentuada",IF($Q503&lt;-2,"Magreza",IF($Q503&lt;=1,"Eutrofia",IF($Q503&lt;=2,"Risco de sobrepeso",IF($Q503&lt;=3,"Sobrepeso","Obesidade"))))))</f>
        <v/>
      </c>
      <c r="S503">
        <f>IF($C503="","",IF(UPPER(LEFT($C503,1))="M",1,IF(UPPER(LEFT($C503,1))="F",2,"")))</f>
        <v/>
      </c>
      <c r="T503">
        <f>IF(OR($D503="",$E503=""),"",DATEDIF($D503,$E503,"m"))</f>
        <v/>
      </c>
      <c r="U503">
        <f>IF(OR($D503="",$E503=""),"",$E503-$D503)</f>
        <v/>
      </c>
      <c r="V503">
        <f>IF(OR($G503="",$T503=""),"",IF($T503&lt;24,IF(LEFT(LOWER($H503),4)="em p",$G503+0.7,$G503),IF(LEFT(LOWER($H503),4)="deit",$G503-0.7,$G503)))</f>
        <v/>
      </c>
      <c r="W503">
        <f>IF(OR($S503="",$T503=""),"",$S503*1000000+IF($T503&lt;=60,$U503,$T503))</f>
        <v/>
      </c>
      <c r="X503">
        <f>IF(OR($S503="",$V503="",$T503&gt;60,$T503=""),"",$S503*1000000+ROUND($V503*10,0))</f>
        <v/>
      </c>
      <c r="Y503">
        <f>IF($W503="","",IFERROR(INDEX(IF($T503&lt;=60,imc05_l,imc519_l),MATCH($W503,IF($T503&lt;=60,imc05_k,imc519_k),1)),""))</f>
        <v/>
      </c>
      <c r="Z503">
        <f>IF($W503="","",IFERROR(INDEX(IF($T503&lt;=60,imc05_m,imc519_m),MATCH($W503,IF($T503&lt;=60,imc05_k,imc519_k),1)),""))</f>
        <v/>
      </c>
      <c r="AA503">
        <f>IF($W503="","",IFERROR(INDEX(IF($T503&lt;=60,imc05_s,imc519_s),MATCH($W503,IF($T503&lt;=60,imc05_k,imc519_k),1)),""))</f>
        <v/>
      </c>
      <c r="AB503">
        <f>IF($Y503="","",IF($Y503=0,LN($J503/$Z503)/$AA503,((($J503/$Z503)^$Y503)-1)/($Y503*$AA503)))</f>
        <v/>
      </c>
      <c r="AC503">
        <f>IF($Y503="","",IF($Y503=0,$Z503*EXP($AA503*2),$Z503*(1+$Y503*$AA503*2)^(1/$Y503)))</f>
        <v/>
      </c>
      <c r="AD503">
        <f>IF($Y503="","",IF($Y503=0,$Z503*EXP($AA503*3),$Z503*(1+$Y503*$AA503*3)^(1/$Y503)))</f>
        <v/>
      </c>
      <c r="AE503">
        <f>IF($Y503="","",IF($Y503=0,$Z503*EXP($AA503*-2),$Z503*(1+$Y503*$AA503*-2)^(1/$Y503)))</f>
        <v/>
      </c>
      <c r="AF503">
        <f>IF($Y503="","",IF($Y503=0,$Z503*EXP($AA503*-3),$Z503*(1+$Y503*$AA503*-3)^(1/$Y503)))</f>
        <v/>
      </c>
      <c r="AG503">
        <f>IF($W503="","",IFERROR(INDEX(IF($T503&lt;=60,est05_l,est519_l),MATCH($W503,IF($T503&lt;=60,est05_k,est519_k),1)),""))</f>
        <v/>
      </c>
      <c r="AH503">
        <f>IF($W503="","",IFERROR(INDEX(IF($T503&lt;=60,est05_m,est519_m),MATCH($W503,IF($T503&lt;=60,est05_k,est519_k),1)),""))</f>
        <v/>
      </c>
      <c r="AI503">
        <f>IF($W503="","",IFERROR(INDEX(IF($T503&lt;=60,est05_s,est519_s),MATCH($W503,IF($T503&lt;=60,est05_k,est519_k),1)),""))</f>
        <v/>
      </c>
      <c r="AJ503">
        <f>IF($W503="","",IFERROR(INDEX(IF($T503&lt;=60,peso05_l,peso510_l),MATCH($W503,IF($T503&lt;=60,peso05_k,peso510_k),1)),""))</f>
        <v/>
      </c>
      <c r="AK503">
        <f>IF($W503="","",IFERROR(INDEX(IF($T503&lt;=60,peso05_m,peso510_m),MATCH($W503,IF($T503&lt;=60,peso05_k,peso510_k),1)),""))</f>
        <v/>
      </c>
      <c r="AL503">
        <f>IF($W503="","",IFERROR(INDEX(IF($T503&lt;=60,peso05_s,peso510_s),MATCH($W503,IF($T503&lt;=60,peso05_k,peso510_k),1)),""))</f>
        <v/>
      </c>
      <c r="AM503">
        <f>IF($AJ503="","",IF($AJ503=0,LN($F503/$AK503)/$AL503,((($F503/$AK503)^$AJ503)-1)/($AJ503*$AL503)))</f>
        <v/>
      </c>
      <c r="AN503">
        <f>IF($AJ503="","",IF($AJ503=0,$AK503*EXP($AL503*2),$AK503*(1+$AJ503*$AL503*2)^(1/$AJ503)))</f>
        <v/>
      </c>
      <c r="AO503">
        <f>IF($AJ503="","",IF($AJ503=0,$AK503*EXP($AL503*3),$AK503*(1+$AJ503*$AL503*3)^(1/$AJ503)))</f>
        <v/>
      </c>
      <c r="AP503">
        <f>IF($AJ503="","",IF($AJ503=0,$AK503*EXP($AL503*-2),$AK503*(1+$AJ503*$AL503*-2)^(1/$AJ503)))</f>
        <v/>
      </c>
      <c r="AQ503">
        <f>IF($AJ503="","",IF($AJ503=0,$AK503*EXP($AL503*-3),$AK503*(1+$AJ503*$AL503*-3)^(1/$AJ503)))</f>
        <v/>
      </c>
      <c r="AR503">
        <f>IF(OR($X503="",$T503&gt;60),"",IFERROR(INDEX(IF($T503&lt;24,pcomp_l,palt_l),MATCH($X503,IF($T503&lt;24,pcomp_k,palt_k),1)),""))</f>
        <v/>
      </c>
      <c r="AS503">
        <f>IF(OR($X503="",$T503&gt;60),"",IFERROR(INDEX(IF($T503&lt;24,pcomp_m,palt_m),MATCH($X503,IF($T503&lt;24,pcomp_k,palt_k),1)),""))</f>
        <v/>
      </c>
      <c r="AT503">
        <f>IF(OR($X503="",$T503&gt;60),"",IFERROR(INDEX(IF($T503&lt;24,pcomp_s,palt_s),MATCH($X503,IF($T503&lt;24,pcomp_k,palt_k),1)),""))</f>
        <v/>
      </c>
      <c r="AU503">
        <f>IF($AR503="","",IF($AR503=0,LN($F503/$AS503)/$AT503,((($F503/$AS503)^$AR503)-1)/($AR503*$AT503)))</f>
        <v/>
      </c>
      <c r="AV503">
        <f>IF($AR503="","",IF($AR503=0,$AS503*EXP($AT503*2),$AS503*(1+$AR503*$AT503*2)^(1/$AR503)))</f>
        <v/>
      </c>
      <c r="AW503">
        <f>IF($AR503="","",IF($AR503=0,$AS503*EXP($AT503*3),$AS503*(1+$AR503*$AT503*3)^(1/$AR503)))</f>
        <v/>
      </c>
      <c r="AX503">
        <f>IF($AR503="","",IF($AR503=0,$AS503*EXP($AT503*-2),$AS503*(1+$AR503*$AT503*-2)^(1/$AR503)))</f>
        <v/>
      </c>
      <c r="AY503">
        <f>IF($AR503="","",IF($AR503=0,$AS503*EXP($AT503*-3),$AS503*(1+$AR503*$AT503*-3)^(1/$AR503)))</f>
        <v/>
      </c>
      <c r="AZ503">
        <f>IF(OR($A503="",$A503&lt;&gt;Ficha!$C$4),"",COUNTIF($A$2:$A503,Ficha!$C$4))</f>
        <v/>
      </c>
    </row>
    <row r="504">
      <c r="A504" s="8">
        <f>IF(INDEX(Banco!$A:$A,ROW())="","",INDEX(Banco!$A:$A,ROW()))</f>
        <v/>
      </c>
      <c r="B504" s="8">
        <f>IF(INDEX(Banco!$B:$B,ROW())="","",INDEX(Banco!$B:$B,ROW()))</f>
        <v/>
      </c>
      <c r="C504" s="8">
        <f>IF(INDEX(Banco!$C:$C,ROW())="","",INDEX(Banco!$C:$C,ROW()))</f>
        <v/>
      </c>
      <c r="D504" s="9">
        <f>IF(INDEX(Banco!$D:$D,ROW())="","",INDEX(Banco!$D:$D,ROW()))</f>
        <v/>
      </c>
      <c r="E504" s="9">
        <f>IF(INDEX(Banco!$E:$E,ROW())="","",INDEX(Banco!$E:$E,ROW()))</f>
        <v/>
      </c>
      <c r="F504" s="10">
        <f>IF(INDEX(Banco!$F:$F,ROW())="","",INDEX(Banco!$F:$F,ROW()))</f>
        <v/>
      </c>
      <c r="G504" s="10">
        <f>IF(INDEX(Banco!$G:$G,ROW())="","",INDEX(Banco!$G:$G,ROW()))</f>
        <v/>
      </c>
      <c r="H504" s="8">
        <f>IF(INDEX(Banco!$H:$H,ROW())="","",INDEX(Banco!$H:$H,ROW()))</f>
        <v/>
      </c>
      <c r="I504">
        <f>IF($T504="","",INT($T504/12)&amp;"a "&amp;MOD($T504,12)&amp;"m")</f>
        <v/>
      </c>
      <c r="J504" s="11">
        <f>IF(OR($F504="",$G504=""),"",ROUND($F504/($G504/100)^2,2))</f>
        <v/>
      </c>
      <c r="K504" s="12">
        <f>IF(OR($S504="",$J504="",$T504="",$T504&lt;0,$T504&gt;228,$Y504=""),"—",ROUND(IF(ABS($AB504)&lt;=3,$AB504,IF($AB504&gt;3,3+($J504-$AD504)/($AD504-$AC504),-3+($J504-$AF504)/($AE504-$AF504))),2))</f>
        <v/>
      </c>
      <c r="L504">
        <f>IF(OR($K504="",$K504="—"),"",IF($T504&lt;=60,IF($K504&lt;-3,"Magreza acentuada",IF($K504&lt;-2,"Magreza",IF($K504&lt;=1,"Eutrofia",IF($K504&lt;=2,"Risco de sobrepeso",IF($K504&lt;=3,"Sobrepeso","Obesidade"))))),IF($K504&lt;-3,"Magreza acentuada",IF($K504&lt;-2,"Magreza",IF($K504&lt;=1,"Eutrofia",IF($K504&lt;=2,"Sobrepeso",IF($K504&lt;=3,"Obesidade","Obesidade grave")))))))</f>
        <v/>
      </c>
      <c r="M504" s="12">
        <f>IF(OR($S504="",$V504="",$T504="",$T504&lt;0,$T504&gt;228,$AG504=""),"—",ROUND(IF($AG504=0,LN($V504/$AH504)/$AI504,((($V504/$AH504)^$AG504)-1)/($AG504*$AI504)),2))</f>
        <v/>
      </c>
      <c r="N504">
        <f>IF(OR($M504="",$M504="—"),"",IF($M504&lt;-3,"Muito baixa",IF($M504&lt;-2,"Baixa","Adequada")))</f>
        <v/>
      </c>
      <c r="O504" s="12">
        <f>IF(OR($S504="",$F504="",$T504="",$T504&lt;0,$T504&gt;120,$AJ504=""),"—",ROUND(IF(ABS($AM504)&lt;=3,$AM504,IF($AM504&gt;3,3+($F504-$AO504)/($AO504-$AN504),-3+($F504-$AQ504)/($AP504-$AQ504))),2))</f>
        <v/>
      </c>
      <c r="P504">
        <f>IF(OR($O504="",$O504="—"),"",IF($O504&lt;-3,"Muito baixo",IF($O504&lt;-2,"Baixo",IF($O504&lt;=2,"Adequado","Elevado"))))</f>
        <v/>
      </c>
      <c r="Q504" s="12">
        <f>IF(OR($S504="",$F504="",$T504="",$T504&lt;0,$T504&gt;60,$AR504=""),"—",ROUND(IF(ABS($AU504)&lt;=3,$AU504,IF($AU504&gt;3,3+($F504-$AW504)/($AW504-$AV504),-3+($F504-$AY504)/($AX504-$AY504))),2))</f>
        <v/>
      </c>
      <c r="R504">
        <f>IF(OR($Q504="",$Q504="—"),"",IF($Q504&lt;-3,"Magreza acentuada",IF($Q504&lt;-2,"Magreza",IF($Q504&lt;=1,"Eutrofia",IF($Q504&lt;=2,"Risco de sobrepeso",IF($Q504&lt;=3,"Sobrepeso","Obesidade"))))))</f>
        <v/>
      </c>
      <c r="S504">
        <f>IF($C504="","",IF(UPPER(LEFT($C504,1))="M",1,IF(UPPER(LEFT($C504,1))="F",2,"")))</f>
        <v/>
      </c>
      <c r="T504">
        <f>IF(OR($D504="",$E504=""),"",DATEDIF($D504,$E504,"m"))</f>
        <v/>
      </c>
      <c r="U504">
        <f>IF(OR($D504="",$E504=""),"",$E504-$D504)</f>
        <v/>
      </c>
      <c r="V504">
        <f>IF(OR($G504="",$T504=""),"",IF($T504&lt;24,IF(LEFT(LOWER($H504),4)="em p",$G504+0.7,$G504),IF(LEFT(LOWER($H504),4)="deit",$G504-0.7,$G504)))</f>
        <v/>
      </c>
      <c r="W504">
        <f>IF(OR($S504="",$T504=""),"",$S504*1000000+IF($T504&lt;=60,$U504,$T504))</f>
        <v/>
      </c>
      <c r="X504">
        <f>IF(OR($S504="",$V504="",$T504&gt;60,$T504=""),"",$S504*1000000+ROUND($V504*10,0))</f>
        <v/>
      </c>
      <c r="Y504">
        <f>IF($W504="","",IFERROR(INDEX(IF($T504&lt;=60,imc05_l,imc519_l),MATCH($W504,IF($T504&lt;=60,imc05_k,imc519_k),1)),""))</f>
        <v/>
      </c>
      <c r="Z504">
        <f>IF($W504="","",IFERROR(INDEX(IF($T504&lt;=60,imc05_m,imc519_m),MATCH($W504,IF($T504&lt;=60,imc05_k,imc519_k),1)),""))</f>
        <v/>
      </c>
      <c r="AA504">
        <f>IF($W504="","",IFERROR(INDEX(IF($T504&lt;=60,imc05_s,imc519_s),MATCH($W504,IF($T504&lt;=60,imc05_k,imc519_k),1)),""))</f>
        <v/>
      </c>
      <c r="AB504">
        <f>IF($Y504="","",IF($Y504=0,LN($J504/$Z504)/$AA504,((($J504/$Z504)^$Y504)-1)/($Y504*$AA504)))</f>
        <v/>
      </c>
      <c r="AC504">
        <f>IF($Y504="","",IF($Y504=0,$Z504*EXP($AA504*2),$Z504*(1+$Y504*$AA504*2)^(1/$Y504)))</f>
        <v/>
      </c>
      <c r="AD504">
        <f>IF($Y504="","",IF($Y504=0,$Z504*EXP($AA504*3),$Z504*(1+$Y504*$AA504*3)^(1/$Y504)))</f>
        <v/>
      </c>
      <c r="AE504">
        <f>IF($Y504="","",IF($Y504=0,$Z504*EXP($AA504*-2),$Z504*(1+$Y504*$AA504*-2)^(1/$Y504)))</f>
        <v/>
      </c>
      <c r="AF504">
        <f>IF($Y504="","",IF($Y504=0,$Z504*EXP($AA504*-3),$Z504*(1+$Y504*$AA504*-3)^(1/$Y504)))</f>
        <v/>
      </c>
      <c r="AG504">
        <f>IF($W504="","",IFERROR(INDEX(IF($T504&lt;=60,est05_l,est519_l),MATCH($W504,IF($T504&lt;=60,est05_k,est519_k),1)),""))</f>
        <v/>
      </c>
      <c r="AH504">
        <f>IF($W504="","",IFERROR(INDEX(IF($T504&lt;=60,est05_m,est519_m),MATCH($W504,IF($T504&lt;=60,est05_k,est519_k),1)),""))</f>
        <v/>
      </c>
      <c r="AI504">
        <f>IF($W504="","",IFERROR(INDEX(IF($T504&lt;=60,est05_s,est519_s),MATCH($W504,IF($T504&lt;=60,est05_k,est519_k),1)),""))</f>
        <v/>
      </c>
      <c r="AJ504">
        <f>IF($W504="","",IFERROR(INDEX(IF($T504&lt;=60,peso05_l,peso510_l),MATCH($W504,IF($T504&lt;=60,peso05_k,peso510_k),1)),""))</f>
        <v/>
      </c>
      <c r="AK504">
        <f>IF($W504="","",IFERROR(INDEX(IF($T504&lt;=60,peso05_m,peso510_m),MATCH($W504,IF($T504&lt;=60,peso05_k,peso510_k),1)),""))</f>
        <v/>
      </c>
      <c r="AL504">
        <f>IF($W504="","",IFERROR(INDEX(IF($T504&lt;=60,peso05_s,peso510_s),MATCH($W504,IF($T504&lt;=60,peso05_k,peso510_k),1)),""))</f>
        <v/>
      </c>
      <c r="AM504">
        <f>IF($AJ504="","",IF($AJ504=0,LN($F504/$AK504)/$AL504,((($F504/$AK504)^$AJ504)-1)/($AJ504*$AL504)))</f>
        <v/>
      </c>
      <c r="AN504">
        <f>IF($AJ504="","",IF($AJ504=0,$AK504*EXP($AL504*2),$AK504*(1+$AJ504*$AL504*2)^(1/$AJ504)))</f>
        <v/>
      </c>
      <c r="AO504">
        <f>IF($AJ504="","",IF($AJ504=0,$AK504*EXP($AL504*3),$AK504*(1+$AJ504*$AL504*3)^(1/$AJ504)))</f>
        <v/>
      </c>
      <c r="AP504">
        <f>IF($AJ504="","",IF($AJ504=0,$AK504*EXP($AL504*-2),$AK504*(1+$AJ504*$AL504*-2)^(1/$AJ504)))</f>
        <v/>
      </c>
      <c r="AQ504">
        <f>IF($AJ504="","",IF($AJ504=0,$AK504*EXP($AL504*-3),$AK504*(1+$AJ504*$AL504*-3)^(1/$AJ504)))</f>
        <v/>
      </c>
      <c r="AR504">
        <f>IF(OR($X504="",$T504&gt;60),"",IFERROR(INDEX(IF($T504&lt;24,pcomp_l,palt_l),MATCH($X504,IF($T504&lt;24,pcomp_k,palt_k),1)),""))</f>
        <v/>
      </c>
      <c r="AS504">
        <f>IF(OR($X504="",$T504&gt;60),"",IFERROR(INDEX(IF($T504&lt;24,pcomp_m,palt_m),MATCH($X504,IF($T504&lt;24,pcomp_k,palt_k),1)),""))</f>
        <v/>
      </c>
      <c r="AT504">
        <f>IF(OR($X504="",$T504&gt;60),"",IFERROR(INDEX(IF($T504&lt;24,pcomp_s,palt_s),MATCH($X504,IF($T504&lt;24,pcomp_k,palt_k),1)),""))</f>
        <v/>
      </c>
      <c r="AU504">
        <f>IF($AR504="","",IF($AR504=0,LN($F504/$AS504)/$AT504,((($F504/$AS504)^$AR504)-1)/($AR504*$AT504)))</f>
        <v/>
      </c>
      <c r="AV504">
        <f>IF($AR504="","",IF($AR504=0,$AS504*EXP($AT504*2),$AS504*(1+$AR504*$AT504*2)^(1/$AR504)))</f>
        <v/>
      </c>
      <c r="AW504">
        <f>IF($AR504="","",IF($AR504=0,$AS504*EXP($AT504*3),$AS504*(1+$AR504*$AT504*3)^(1/$AR504)))</f>
        <v/>
      </c>
      <c r="AX504">
        <f>IF($AR504="","",IF($AR504=0,$AS504*EXP($AT504*-2),$AS504*(1+$AR504*$AT504*-2)^(1/$AR504)))</f>
        <v/>
      </c>
      <c r="AY504">
        <f>IF($AR504="","",IF($AR504=0,$AS504*EXP($AT504*-3),$AS504*(1+$AR504*$AT504*-3)^(1/$AR504)))</f>
        <v/>
      </c>
      <c r="AZ504">
        <f>IF(OR($A504="",$A504&lt;&gt;Ficha!$C$4),"",COUNTIF($A$2:$A504,Ficha!$C$4))</f>
        <v/>
      </c>
    </row>
    <row r="505">
      <c r="A505" s="8">
        <f>IF(INDEX(Banco!$A:$A,ROW())="","",INDEX(Banco!$A:$A,ROW()))</f>
        <v/>
      </c>
      <c r="B505" s="8">
        <f>IF(INDEX(Banco!$B:$B,ROW())="","",INDEX(Banco!$B:$B,ROW()))</f>
        <v/>
      </c>
      <c r="C505" s="8">
        <f>IF(INDEX(Banco!$C:$C,ROW())="","",INDEX(Banco!$C:$C,ROW()))</f>
        <v/>
      </c>
      <c r="D505" s="9">
        <f>IF(INDEX(Banco!$D:$D,ROW())="","",INDEX(Banco!$D:$D,ROW()))</f>
        <v/>
      </c>
      <c r="E505" s="9">
        <f>IF(INDEX(Banco!$E:$E,ROW())="","",INDEX(Banco!$E:$E,ROW()))</f>
        <v/>
      </c>
      <c r="F505" s="10">
        <f>IF(INDEX(Banco!$F:$F,ROW())="","",INDEX(Banco!$F:$F,ROW()))</f>
        <v/>
      </c>
      <c r="G505" s="10">
        <f>IF(INDEX(Banco!$G:$G,ROW())="","",INDEX(Banco!$G:$G,ROW()))</f>
        <v/>
      </c>
      <c r="H505" s="8">
        <f>IF(INDEX(Banco!$H:$H,ROW())="","",INDEX(Banco!$H:$H,ROW()))</f>
        <v/>
      </c>
      <c r="I505">
        <f>IF($T505="","",INT($T505/12)&amp;"a "&amp;MOD($T505,12)&amp;"m")</f>
        <v/>
      </c>
      <c r="J505" s="11">
        <f>IF(OR($F505="",$G505=""),"",ROUND($F505/($G505/100)^2,2))</f>
        <v/>
      </c>
      <c r="K505" s="12">
        <f>IF(OR($S505="",$J505="",$T505="",$T505&lt;0,$T505&gt;228,$Y505=""),"—",ROUND(IF(ABS($AB505)&lt;=3,$AB505,IF($AB505&gt;3,3+($J505-$AD505)/($AD505-$AC505),-3+($J505-$AF505)/($AE505-$AF505))),2))</f>
        <v/>
      </c>
      <c r="L505">
        <f>IF(OR($K505="",$K505="—"),"",IF($T505&lt;=60,IF($K505&lt;-3,"Magreza acentuada",IF($K505&lt;-2,"Magreza",IF($K505&lt;=1,"Eutrofia",IF($K505&lt;=2,"Risco de sobrepeso",IF($K505&lt;=3,"Sobrepeso","Obesidade"))))),IF($K505&lt;-3,"Magreza acentuada",IF($K505&lt;-2,"Magreza",IF($K505&lt;=1,"Eutrofia",IF($K505&lt;=2,"Sobrepeso",IF($K505&lt;=3,"Obesidade","Obesidade grave")))))))</f>
        <v/>
      </c>
      <c r="M505" s="12">
        <f>IF(OR($S505="",$V505="",$T505="",$T505&lt;0,$T505&gt;228,$AG505=""),"—",ROUND(IF($AG505=0,LN($V505/$AH505)/$AI505,((($V505/$AH505)^$AG505)-1)/($AG505*$AI505)),2))</f>
        <v/>
      </c>
      <c r="N505">
        <f>IF(OR($M505="",$M505="—"),"",IF($M505&lt;-3,"Muito baixa",IF($M505&lt;-2,"Baixa","Adequada")))</f>
        <v/>
      </c>
      <c r="O505" s="12">
        <f>IF(OR($S505="",$F505="",$T505="",$T505&lt;0,$T505&gt;120,$AJ505=""),"—",ROUND(IF(ABS($AM505)&lt;=3,$AM505,IF($AM505&gt;3,3+($F505-$AO505)/($AO505-$AN505),-3+($F505-$AQ505)/($AP505-$AQ505))),2))</f>
        <v/>
      </c>
      <c r="P505">
        <f>IF(OR($O505="",$O505="—"),"",IF($O505&lt;-3,"Muito baixo",IF($O505&lt;-2,"Baixo",IF($O505&lt;=2,"Adequado","Elevado"))))</f>
        <v/>
      </c>
      <c r="Q505" s="12">
        <f>IF(OR($S505="",$F505="",$T505="",$T505&lt;0,$T505&gt;60,$AR505=""),"—",ROUND(IF(ABS($AU505)&lt;=3,$AU505,IF($AU505&gt;3,3+($F505-$AW505)/($AW505-$AV505),-3+($F505-$AY505)/($AX505-$AY505))),2))</f>
        <v/>
      </c>
      <c r="R505">
        <f>IF(OR($Q505="",$Q505="—"),"",IF($Q505&lt;-3,"Magreza acentuada",IF($Q505&lt;-2,"Magreza",IF($Q505&lt;=1,"Eutrofia",IF($Q505&lt;=2,"Risco de sobrepeso",IF($Q505&lt;=3,"Sobrepeso","Obesidade"))))))</f>
        <v/>
      </c>
      <c r="S505">
        <f>IF($C505="","",IF(UPPER(LEFT($C505,1))="M",1,IF(UPPER(LEFT($C505,1))="F",2,"")))</f>
        <v/>
      </c>
      <c r="T505">
        <f>IF(OR($D505="",$E505=""),"",DATEDIF($D505,$E505,"m"))</f>
        <v/>
      </c>
      <c r="U505">
        <f>IF(OR($D505="",$E505=""),"",$E505-$D505)</f>
        <v/>
      </c>
      <c r="V505">
        <f>IF(OR($G505="",$T505=""),"",IF($T505&lt;24,IF(LEFT(LOWER($H505),4)="em p",$G505+0.7,$G505),IF(LEFT(LOWER($H505),4)="deit",$G505-0.7,$G505)))</f>
        <v/>
      </c>
      <c r="W505">
        <f>IF(OR($S505="",$T505=""),"",$S505*1000000+IF($T505&lt;=60,$U505,$T505))</f>
        <v/>
      </c>
      <c r="X505">
        <f>IF(OR($S505="",$V505="",$T505&gt;60,$T505=""),"",$S505*1000000+ROUND($V505*10,0))</f>
        <v/>
      </c>
      <c r="Y505">
        <f>IF($W505="","",IFERROR(INDEX(IF($T505&lt;=60,imc05_l,imc519_l),MATCH($W505,IF($T505&lt;=60,imc05_k,imc519_k),1)),""))</f>
        <v/>
      </c>
      <c r="Z505">
        <f>IF($W505="","",IFERROR(INDEX(IF($T505&lt;=60,imc05_m,imc519_m),MATCH($W505,IF($T505&lt;=60,imc05_k,imc519_k),1)),""))</f>
        <v/>
      </c>
      <c r="AA505">
        <f>IF($W505="","",IFERROR(INDEX(IF($T505&lt;=60,imc05_s,imc519_s),MATCH($W505,IF($T505&lt;=60,imc05_k,imc519_k),1)),""))</f>
        <v/>
      </c>
      <c r="AB505">
        <f>IF($Y505="","",IF($Y505=0,LN($J505/$Z505)/$AA505,((($J505/$Z505)^$Y505)-1)/($Y505*$AA505)))</f>
        <v/>
      </c>
      <c r="AC505">
        <f>IF($Y505="","",IF($Y505=0,$Z505*EXP($AA505*2),$Z505*(1+$Y505*$AA505*2)^(1/$Y505)))</f>
        <v/>
      </c>
      <c r="AD505">
        <f>IF($Y505="","",IF($Y505=0,$Z505*EXP($AA505*3),$Z505*(1+$Y505*$AA505*3)^(1/$Y505)))</f>
        <v/>
      </c>
      <c r="AE505">
        <f>IF($Y505="","",IF($Y505=0,$Z505*EXP($AA505*-2),$Z505*(1+$Y505*$AA505*-2)^(1/$Y505)))</f>
        <v/>
      </c>
      <c r="AF505">
        <f>IF($Y505="","",IF($Y505=0,$Z505*EXP($AA505*-3),$Z505*(1+$Y505*$AA505*-3)^(1/$Y505)))</f>
        <v/>
      </c>
      <c r="AG505">
        <f>IF($W505="","",IFERROR(INDEX(IF($T505&lt;=60,est05_l,est519_l),MATCH($W505,IF($T505&lt;=60,est05_k,est519_k),1)),""))</f>
        <v/>
      </c>
      <c r="AH505">
        <f>IF($W505="","",IFERROR(INDEX(IF($T505&lt;=60,est05_m,est519_m),MATCH($W505,IF($T505&lt;=60,est05_k,est519_k),1)),""))</f>
        <v/>
      </c>
      <c r="AI505">
        <f>IF($W505="","",IFERROR(INDEX(IF($T505&lt;=60,est05_s,est519_s),MATCH($W505,IF($T505&lt;=60,est05_k,est519_k),1)),""))</f>
        <v/>
      </c>
      <c r="AJ505">
        <f>IF($W505="","",IFERROR(INDEX(IF($T505&lt;=60,peso05_l,peso510_l),MATCH($W505,IF($T505&lt;=60,peso05_k,peso510_k),1)),""))</f>
        <v/>
      </c>
      <c r="AK505">
        <f>IF($W505="","",IFERROR(INDEX(IF($T505&lt;=60,peso05_m,peso510_m),MATCH($W505,IF($T505&lt;=60,peso05_k,peso510_k),1)),""))</f>
        <v/>
      </c>
      <c r="AL505">
        <f>IF($W505="","",IFERROR(INDEX(IF($T505&lt;=60,peso05_s,peso510_s),MATCH($W505,IF($T505&lt;=60,peso05_k,peso510_k),1)),""))</f>
        <v/>
      </c>
      <c r="AM505">
        <f>IF($AJ505="","",IF($AJ505=0,LN($F505/$AK505)/$AL505,((($F505/$AK505)^$AJ505)-1)/($AJ505*$AL505)))</f>
        <v/>
      </c>
      <c r="AN505">
        <f>IF($AJ505="","",IF($AJ505=0,$AK505*EXP($AL505*2),$AK505*(1+$AJ505*$AL505*2)^(1/$AJ505)))</f>
        <v/>
      </c>
      <c r="AO505">
        <f>IF($AJ505="","",IF($AJ505=0,$AK505*EXP($AL505*3),$AK505*(1+$AJ505*$AL505*3)^(1/$AJ505)))</f>
        <v/>
      </c>
      <c r="AP505">
        <f>IF($AJ505="","",IF($AJ505=0,$AK505*EXP($AL505*-2),$AK505*(1+$AJ505*$AL505*-2)^(1/$AJ505)))</f>
        <v/>
      </c>
      <c r="AQ505">
        <f>IF($AJ505="","",IF($AJ505=0,$AK505*EXP($AL505*-3),$AK505*(1+$AJ505*$AL505*-3)^(1/$AJ505)))</f>
        <v/>
      </c>
      <c r="AR505">
        <f>IF(OR($X505="",$T505&gt;60),"",IFERROR(INDEX(IF($T505&lt;24,pcomp_l,palt_l),MATCH($X505,IF($T505&lt;24,pcomp_k,palt_k),1)),""))</f>
        <v/>
      </c>
      <c r="AS505">
        <f>IF(OR($X505="",$T505&gt;60),"",IFERROR(INDEX(IF($T505&lt;24,pcomp_m,palt_m),MATCH($X505,IF($T505&lt;24,pcomp_k,palt_k),1)),""))</f>
        <v/>
      </c>
      <c r="AT505">
        <f>IF(OR($X505="",$T505&gt;60),"",IFERROR(INDEX(IF($T505&lt;24,pcomp_s,palt_s),MATCH($X505,IF($T505&lt;24,pcomp_k,palt_k),1)),""))</f>
        <v/>
      </c>
      <c r="AU505">
        <f>IF($AR505="","",IF($AR505=0,LN($F505/$AS505)/$AT505,((($F505/$AS505)^$AR505)-1)/($AR505*$AT505)))</f>
        <v/>
      </c>
      <c r="AV505">
        <f>IF($AR505="","",IF($AR505=0,$AS505*EXP($AT505*2),$AS505*(1+$AR505*$AT505*2)^(1/$AR505)))</f>
        <v/>
      </c>
      <c r="AW505">
        <f>IF($AR505="","",IF($AR505=0,$AS505*EXP($AT505*3),$AS505*(1+$AR505*$AT505*3)^(1/$AR505)))</f>
        <v/>
      </c>
      <c r="AX505">
        <f>IF($AR505="","",IF($AR505=0,$AS505*EXP($AT505*-2),$AS505*(1+$AR505*$AT505*-2)^(1/$AR505)))</f>
        <v/>
      </c>
      <c r="AY505">
        <f>IF($AR505="","",IF($AR505=0,$AS505*EXP($AT505*-3),$AS505*(1+$AR505*$AT505*-3)^(1/$AR505)))</f>
        <v/>
      </c>
      <c r="AZ505">
        <f>IF(OR($A505="",$A505&lt;&gt;Ficha!$C$4),"",COUNTIF($A$2:$A505,Ficha!$C$4))</f>
        <v/>
      </c>
    </row>
    <row r="506">
      <c r="A506" s="8">
        <f>IF(INDEX(Banco!$A:$A,ROW())="","",INDEX(Banco!$A:$A,ROW()))</f>
        <v/>
      </c>
      <c r="B506" s="8">
        <f>IF(INDEX(Banco!$B:$B,ROW())="","",INDEX(Banco!$B:$B,ROW()))</f>
        <v/>
      </c>
      <c r="C506" s="8">
        <f>IF(INDEX(Banco!$C:$C,ROW())="","",INDEX(Banco!$C:$C,ROW()))</f>
        <v/>
      </c>
      <c r="D506" s="9">
        <f>IF(INDEX(Banco!$D:$D,ROW())="","",INDEX(Banco!$D:$D,ROW()))</f>
        <v/>
      </c>
      <c r="E506" s="9">
        <f>IF(INDEX(Banco!$E:$E,ROW())="","",INDEX(Banco!$E:$E,ROW()))</f>
        <v/>
      </c>
      <c r="F506" s="10">
        <f>IF(INDEX(Banco!$F:$F,ROW())="","",INDEX(Banco!$F:$F,ROW()))</f>
        <v/>
      </c>
      <c r="G506" s="10">
        <f>IF(INDEX(Banco!$G:$G,ROW())="","",INDEX(Banco!$G:$G,ROW()))</f>
        <v/>
      </c>
      <c r="H506" s="8">
        <f>IF(INDEX(Banco!$H:$H,ROW())="","",INDEX(Banco!$H:$H,ROW()))</f>
        <v/>
      </c>
      <c r="I506">
        <f>IF($T506="","",INT($T506/12)&amp;"a "&amp;MOD($T506,12)&amp;"m")</f>
        <v/>
      </c>
      <c r="J506" s="11">
        <f>IF(OR($F506="",$G506=""),"",ROUND($F506/($G506/100)^2,2))</f>
        <v/>
      </c>
      <c r="K506" s="12">
        <f>IF(OR($S506="",$J506="",$T506="",$T506&lt;0,$T506&gt;228,$Y506=""),"—",ROUND(IF(ABS($AB506)&lt;=3,$AB506,IF($AB506&gt;3,3+($J506-$AD506)/($AD506-$AC506),-3+($J506-$AF506)/($AE506-$AF506))),2))</f>
        <v/>
      </c>
      <c r="L506">
        <f>IF(OR($K506="",$K506="—"),"",IF($T506&lt;=60,IF($K506&lt;-3,"Magreza acentuada",IF($K506&lt;-2,"Magreza",IF($K506&lt;=1,"Eutrofia",IF($K506&lt;=2,"Risco de sobrepeso",IF($K506&lt;=3,"Sobrepeso","Obesidade"))))),IF($K506&lt;-3,"Magreza acentuada",IF($K506&lt;-2,"Magreza",IF($K506&lt;=1,"Eutrofia",IF($K506&lt;=2,"Sobrepeso",IF($K506&lt;=3,"Obesidade","Obesidade grave")))))))</f>
        <v/>
      </c>
      <c r="M506" s="12">
        <f>IF(OR($S506="",$V506="",$T506="",$T506&lt;0,$T506&gt;228,$AG506=""),"—",ROUND(IF($AG506=0,LN($V506/$AH506)/$AI506,((($V506/$AH506)^$AG506)-1)/($AG506*$AI506)),2))</f>
        <v/>
      </c>
      <c r="N506">
        <f>IF(OR($M506="",$M506="—"),"",IF($M506&lt;-3,"Muito baixa",IF($M506&lt;-2,"Baixa","Adequada")))</f>
        <v/>
      </c>
      <c r="O506" s="12">
        <f>IF(OR($S506="",$F506="",$T506="",$T506&lt;0,$T506&gt;120,$AJ506=""),"—",ROUND(IF(ABS($AM506)&lt;=3,$AM506,IF($AM506&gt;3,3+($F506-$AO506)/($AO506-$AN506),-3+($F506-$AQ506)/($AP506-$AQ506))),2))</f>
        <v/>
      </c>
      <c r="P506">
        <f>IF(OR($O506="",$O506="—"),"",IF($O506&lt;-3,"Muito baixo",IF($O506&lt;-2,"Baixo",IF($O506&lt;=2,"Adequado","Elevado"))))</f>
        <v/>
      </c>
      <c r="Q506" s="12">
        <f>IF(OR($S506="",$F506="",$T506="",$T506&lt;0,$T506&gt;60,$AR506=""),"—",ROUND(IF(ABS($AU506)&lt;=3,$AU506,IF($AU506&gt;3,3+($F506-$AW506)/($AW506-$AV506),-3+($F506-$AY506)/($AX506-$AY506))),2))</f>
        <v/>
      </c>
      <c r="R506">
        <f>IF(OR($Q506="",$Q506="—"),"",IF($Q506&lt;-3,"Magreza acentuada",IF($Q506&lt;-2,"Magreza",IF($Q506&lt;=1,"Eutrofia",IF($Q506&lt;=2,"Risco de sobrepeso",IF($Q506&lt;=3,"Sobrepeso","Obesidade"))))))</f>
        <v/>
      </c>
      <c r="S506">
        <f>IF($C506="","",IF(UPPER(LEFT($C506,1))="M",1,IF(UPPER(LEFT($C506,1))="F",2,"")))</f>
        <v/>
      </c>
      <c r="T506">
        <f>IF(OR($D506="",$E506=""),"",DATEDIF($D506,$E506,"m"))</f>
        <v/>
      </c>
      <c r="U506">
        <f>IF(OR($D506="",$E506=""),"",$E506-$D506)</f>
        <v/>
      </c>
      <c r="V506">
        <f>IF(OR($G506="",$T506=""),"",IF($T506&lt;24,IF(LEFT(LOWER($H506),4)="em p",$G506+0.7,$G506),IF(LEFT(LOWER($H506),4)="deit",$G506-0.7,$G506)))</f>
        <v/>
      </c>
      <c r="W506">
        <f>IF(OR($S506="",$T506=""),"",$S506*1000000+IF($T506&lt;=60,$U506,$T506))</f>
        <v/>
      </c>
      <c r="X506">
        <f>IF(OR($S506="",$V506="",$T506&gt;60,$T506=""),"",$S506*1000000+ROUND($V506*10,0))</f>
        <v/>
      </c>
      <c r="Y506">
        <f>IF($W506="","",IFERROR(INDEX(IF($T506&lt;=60,imc05_l,imc519_l),MATCH($W506,IF($T506&lt;=60,imc05_k,imc519_k),1)),""))</f>
        <v/>
      </c>
      <c r="Z506">
        <f>IF($W506="","",IFERROR(INDEX(IF($T506&lt;=60,imc05_m,imc519_m),MATCH($W506,IF($T506&lt;=60,imc05_k,imc519_k),1)),""))</f>
        <v/>
      </c>
      <c r="AA506">
        <f>IF($W506="","",IFERROR(INDEX(IF($T506&lt;=60,imc05_s,imc519_s),MATCH($W506,IF($T506&lt;=60,imc05_k,imc519_k),1)),""))</f>
        <v/>
      </c>
      <c r="AB506">
        <f>IF($Y506="","",IF($Y506=0,LN($J506/$Z506)/$AA506,((($J506/$Z506)^$Y506)-1)/($Y506*$AA506)))</f>
        <v/>
      </c>
      <c r="AC506">
        <f>IF($Y506="","",IF($Y506=0,$Z506*EXP($AA506*2),$Z506*(1+$Y506*$AA506*2)^(1/$Y506)))</f>
        <v/>
      </c>
      <c r="AD506">
        <f>IF($Y506="","",IF($Y506=0,$Z506*EXP($AA506*3),$Z506*(1+$Y506*$AA506*3)^(1/$Y506)))</f>
        <v/>
      </c>
      <c r="AE506">
        <f>IF($Y506="","",IF($Y506=0,$Z506*EXP($AA506*-2),$Z506*(1+$Y506*$AA506*-2)^(1/$Y506)))</f>
        <v/>
      </c>
      <c r="AF506">
        <f>IF($Y506="","",IF($Y506=0,$Z506*EXP($AA506*-3),$Z506*(1+$Y506*$AA506*-3)^(1/$Y506)))</f>
        <v/>
      </c>
      <c r="AG506">
        <f>IF($W506="","",IFERROR(INDEX(IF($T506&lt;=60,est05_l,est519_l),MATCH($W506,IF($T506&lt;=60,est05_k,est519_k),1)),""))</f>
        <v/>
      </c>
      <c r="AH506">
        <f>IF($W506="","",IFERROR(INDEX(IF($T506&lt;=60,est05_m,est519_m),MATCH($W506,IF($T506&lt;=60,est05_k,est519_k),1)),""))</f>
        <v/>
      </c>
      <c r="AI506">
        <f>IF($W506="","",IFERROR(INDEX(IF($T506&lt;=60,est05_s,est519_s),MATCH($W506,IF($T506&lt;=60,est05_k,est519_k),1)),""))</f>
        <v/>
      </c>
      <c r="AJ506">
        <f>IF($W506="","",IFERROR(INDEX(IF($T506&lt;=60,peso05_l,peso510_l),MATCH($W506,IF($T506&lt;=60,peso05_k,peso510_k),1)),""))</f>
        <v/>
      </c>
      <c r="AK506">
        <f>IF($W506="","",IFERROR(INDEX(IF($T506&lt;=60,peso05_m,peso510_m),MATCH($W506,IF($T506&lt;=60,peso05_k,peso510_k),1)),""))</f>
        <v/>
      </c>
      <c r="AL506">
        <f>IF($W506="","",IFERROR(INDEX(IF($T506&lt;=60,peso05_s,peso510_s),MATCH($W506,IF($T506&lt;=60,peso05_k,peso510_k),1)),""))</f>
        <v/>
      </c>
      <c r="AM506">
        <f>IF($AJ506="","",IF($AJ506=0,LN($F506/$AK506)/$AL506,((($F506/$AK506)^$AJ506)-1)/($AJ506*$AL506)))</f>
        <v/>
      </c>
      <c r="AN506">
        <f>IF($AJ506="","",IF($AJ506=0,$AK506*EXP($AL506*2),$AK506*(1+$AJ506*$AL506*2)^(1/$AJ506)))</f>
        <v/>
      </c>
      <c r="AO506">
        <f>IF($AJ506="","",IF($AJ506=0,$AK506*EXP($AL506*3),$AK506*(1+$AJ506*$AL506*3)^(1/$AJ506)))</f>
        <v/>
      </c>
      <c r="AP506">
        <f>IF($AJ506="","",IF($AJ506=0,$AK506*EXP($AL506*-2),$AK506*(1+$AJ506*$AL506*-2)^(1/$AJ506)))</f>
        <v/>
      </c>
      <c r="AQ506">
        <f>IF($AJ506="","",IF($AJ506=0,$AK506*EXP($AL506*-3),$AK506*(1+$AJ506*$AL506*-3)^(1/$AJ506)))</f>
        <v/>
      </c>
      <c r="AR506">
        <f>IF(OR($X506="",$T506&gt;60),"",IFERROR(INDEX(IF($T506&lt;24,pcomp_l,palt_l),MATCH($X506,IF($T506&lt;24,pcomp_k,palt_k),1)),""))</f>
        <v/>
      </c>
      <c r="AS506">
        <f>IF(OR($X506="",$T506&gt;60),"",IFERROR(INDEX(IF($T506&lt;24,pcomp_m,palt_m),MATCH($X506,IF($T506&lt;24,pcomp_k,palt_k),1)),""))</f>
        <v/>
      </c>
      <c r="AT506">
        <f>IF(OR($X506="",$T506&gt;60),"",IFERROR(INDEX(IF($T506&lt;24,pcomp_s,palt_s),MATCH($X506,IF($T506&lt;24,pcomp_k,palt_k),1)),""))</f>
        <v/>
      </c>
      <c r="AU506">
        <f>IF($AR506="","",IF($AR506=0,LN($F506/$AS506)/$AT506,((($F506/$AS506)^$AR506)-1)/($AR506*$AT506)))</f>
        <v/>
      </c>
      <c r="AV506">
        <f>IF($AR506="","",IF($AR506=0,$AS506*EXP($AT506*2),$AS506*(1+$AR506*$AT506*2)^(1/$AR506)))</f>
        <v/>
      </c>
      <c r="AW506">
        <f>IF($AR506="","",IF($AR506=0,$AS506*EXP($AT506*3),$AS506*(1+$AR506*$AT506*3)^(1/$AR506)))</f>
        <v/>
      </c>
      <c r="AX506">
        <f>IF($AR506="","",IF($AR506=0,$AS506*EXP($AT506*-2),$AS506*(1+$AR506*$AT506*-2)^(1/$AR506)))</f>
        <v/>
      </c>
      <c r="AY506">
        <f>IF($AR506="","",IF($AR506=0,$AS506*EXP($AT506*-3),$AS506*(1+$AR506*$AT506*-3)^(1/$AR506)))</f>
        <v/>
      </c>
      <c r="AZ506">
        <f>IF(OR($A506="",$A506&lt;&gt;Ficha!$C$4),"",COUNTIF($A$2:$A506,Ficha!$C$4))</f>
        <v/>
      </c>
    </row>
    <row r="507">
      <c r="A507" s="8">
        <f>IF(INDEX(Banco!$A:$A,ROW())="","",INDEX(Banco!$A:$A,ROW()))</f>
        <v/>
      </c>
      <c r="B507" s="8">
        <f>IF(INDEX(Banco!$B:$B,ROW())="","",INDEX(Banco!$B:$B,ROW()))</f>
        <v/>
      </c>
      <c r="C507" s="8">
        <f>IF(INDEX(Banco!$C:$C,ROW())="","",INDEX(Banco!$C:$C,ROW()))</f>
        <v/>
      </c>
      <c r="D507" s="9">
        <f>IF(INDEX(Banco!$D:$D,ROW())="","",INDEX(Banco!$D:$D,ROW()))</f>
        <v/>
      </c>
      <c r="E507" s="9">
        <f>IF(INDEX(Banco!$E:$E,ROW())="","",INDEX(Banco!$E:$E,ROW()))</f>
        <v/>
      </c>
      <c r="F507" s="10">
        <f>IF(INDEX(Banco!$F:$F,ROW())="","",INDEX(Banco!$F:$F,ROW()))</f>
        <v/>
      </c>
      <c r="G507" s="10">
        <f>IF(INDEX(Banco!$G:$G,ROW())="","",INDEX(Banco!$G:$G,ROW()))</f>
        <v/>
      </c>
      <c r="H507" s="8">
        <f>IF(INDEX(Banco!$H:$H,ROW())="","",INDEX(Banco!$H:$H,ROW()))</f>
        <v/>
      </c>
      <c r="I507">
        <f>IF($T507="","",INT($T507/12)&amp;"a "&amp;MOD($T507,12)&amp;"m")</f>
        <v/>
      </c>
      <c r="J507" s="11">
        <f>IF(OR($F507="",$G507=""),"",ROUND($F507/($G507/100)^2,2))</f>
        <v/>
      </c>
      <c r="K507" s="12">
        <f>IF(OR($S507="",$J507="",$T507="",$T507&lt;0,$T507&gt;228,$Y507=""),"—",ROUND(IF(ABS($AB507)&lt;=3,$AB507,IF($AB507&gt;3,3+($J507-$AD507)/($AD507-$AC507),-3+($J507-$AF507)/($AE507-$AF507))),2))</f>
        <v/>
      </c>
      <c r="L507">
        <f>IF(OR($K507="",$K507="—"),"",IF($T507&lt;=60,IF($K507&lt;-3,"Magreza acentuada",IF($K507&lt;-2,"Magreza",IF($K507&lt;=1,"Eutrofia",IF($K507&lt;=2,"Risco de sobrepeso",IF($K507&lt;=3,"Sobrepeso","Obesidade"))))),IF($K507&lt;-3,"Magreza acentuada",IF($K507&lt;-2,"Magreza",IF($K507&lt;=1,"Eutrofia",IF($K507&lt;=2,"Sobrepeso",IF($K507&lt;=3,"Obesidade","Obesidade grave")))))))</f>
        <v/>
      </c>
      <c r="M507" s="12">
        <f>IF(OR($S507="",$V507="",$T507="",$T507&lt;0,$T507&gt;228,$AG507=""),"—",ROUND(IF($AG507=0,LN($V507/$AH507)/$AI507,((($V507/$AH507)^$AG507)-1)/($AG507*$AI507)),2))</f>
        <v/>
      </c>
      <c r="N507">
        <f>IF(OR($M507="",$M507="—"),"",IF($M507&lt;-3,"Muito baixa",IF($M507&lt;-2,"Baixa","Adequada")))</f>
        <v/>
      </c>
      <c r="O507" s="12">
        <f>IF(OR($S507="",$F507="",$T507="",$T507&lt;0,$T507&gt;120,$AJ507=""),"—",ROUND(IF(ABS($AM507)&lt;=3,$AM507,IF($AM507&gt;3,3+($F507-$AO507)/($AO507-$AN507),-3+($F507-$AQ507)/($AP507-$AQ507))),2))</f>
        <v/>
      </c>
      <c r="P507">
        <f>IF(OR($O507="",$O507="—"),"",IF($O507&lt;-3,"Muito baixo",IF($O507&lt;-2,"Baixo",IF($O507&lt;=2,"Adequado","Elevado"))))</f>
        <v/>
      </c>
      <c r="Q507" s="12">
        <f>IF(OR($S507="",$F507="",$T507="",$T507&lt;0,$T507&gt;60,$AR507=""),"—",ROUND(IF(ABS($AU507)&lt;=3,$AU507,IF($AU507&gt;3,3+($F507-$AW507)/($AW507-$AV507),-3+($F507-$AY507)/($AX507-$AY507))),2))</f>
        <v/>
      </c>
      <c r="R507">
        <f>IF(OR($Q507="",$Q507="—"),"",IF($Q507&lt;-3,"Magreza acentuada",IF($Q507&lt;-2,"Magreza",IF($Q507&lt;=1,"Eutrofia",IF($Q507&lt;=2,"Risco de sobrepeso",IF($Q507&lt;=3,"Sobrepeso","Obesidade"))))))</f>
        <v/>
      </c>
      <c r="S507">
        <f>IF($C507="","",IF(UPPER(LEFT($C507,1))="M",1,IF(UPPER(LEFT($C507,1))="F",2,"")))</f>
        <v/>
      </c>
      <c r="T507">
        <f>IF(OR($D507="",$E507=""),"",DATEDIF($D507,$E507,"m"))</f>
        <v/>
      </c>
      <c r="U507">
        <f>IF(OR($D507="",$E507=""),"",$E507-$D507)</f>
        <v/>
      </c>
      <c r="V507">
        <f>IF(OR($G507="",$T507=""),"",IF($T507&lt;24,IF(LEFT(LOWER($H507),4)="em p",$G507+0.7,$G507),IF(LEFT(LOWER($H507),4)="deit",$G507-0.7,$G507)))</f>
        <v/>
      </c>
      <c r="W507">
        <f>IF(OR($S507="",$T507=""),"",$S507*1000000+IF($T507&lt;=60,$U507,$T507))</f>
        <v/>
      </c>
      <c r="X507">
        <f>IF(OR($S507="",$V507="",$T507&gt;60,$T507=""),"",$S507*1000000+ROUND($V507*10,0))</f>
        <v/>
      </c>
      <c r="Y507">
        <f>IF($W507="","",IFERROR(INDEX(IF($T507&lt;=60,imc05_l,imc519_l),MATCH($W507,IF($T507&lt;=60,imc05_k,imc519_k),1)),""))</f>
        <v/>
      </c>
      <c r="Z507">
        <f>IF($W507="","",IFERROR(INDEX(IF($T507&lt;=60,imc05_m,imc519_m),MATCH($W507,IF($T507&lt;=60,imc05_k,imc519_k),1)),""))</f>
        <v/>
      </c>
      <c r="AA507">
        <f>IF($W507="","",IFERROR(INDEX(IF($T507&lt;=60,imc05_s,imc519_s),MATCH($W507,IF($T507&lt;=60,imc05_k,imc519_k),1)),""))</f>
        <v/>
      </c>
      <c r="AB507">
        <f>IF($Y507="","",IF($Y507=0,LN($J507/$Z507)/$AA507,((($J507/$Z507)^$Y507)-1)/($Y507*$AA507)))</f>
        <v/>
      </c>
      <c r="AC507">
        <f>IF($Y507="","",IF($Y507=0,$Z507*EXP($AA507*2),$Z507*(1+$Y507*$AA507*2)^(1/$Y507)))</f>
        <v/>
      </c>
      <c r="AD507">
        <f>IF($Y507="","",IF($Y507=0,$Z507*EXP($AA507*3),$Z507*(1+$Y507*$AA507*3)^(1/$Y507)))</f>
        <v/>
      </c>
      <c r="AE507">
        <f>IF($Y507="","",IF($Y507=0,$Z507*EXP($AA507*-2),$Z507*(1+$Y507*$AA507*-2)^(1/$Y507)))</f>
        <v/>
      </c>
      <c r="AF507">
        <f>IF($Y507="","",IF($Y507=0,$Z507*EXP($AA507*-3),$Z507*(1+$Y507*$AA507*-3)^(1/$Y507)))</f>
        <v/>
      </c>
      <c r="AG507">
        <f>IF($W507="","",IFERROR(INDEX(IF($T507&lt;=60,est05_l,est519_l),MATCH($W507,IF($T507&lt;=60,est05_k,est519_k),1)),""))</f>
        <v/>
      </c>
      <c r="AH507">
        <f>IF($W507="","",IFERROR(INDEX(IF($T507&lt;=60,est05_m,est519_m),MATCH($W507,IF($T507&lt;=60,est05_k,est519_k),1)),""))</f>
        <v/>
      </c>
      <c r="AI507">
        <f>IF($W507="","",IFERROR(INDEX(IF($T507&lt;=60,est05_s,est519_s),MATCH($W507,IF($T507&lt;=60,est05_k,est519_k),1)),""))</f>
        <v/>
      </c>
      <c r="AJ507">
        <f>IF($W507="","",IFERROR(INDEX(IF($T507&lt;=60,peso05_l,peso510_l),MATCH($W507,IF($T507&lt;=60,peso05_k,peso510_k),1)),""))</f>
        <v/>
      </c>
      <c r="AK507">
        <f>IF($W507="","",IFERROR(INDEX(IF($T507&lt;=60,peso05_m,peso510_m),MATCH($W507,IF($T507&lt;=60,peso05_k,peso510_k),1)),""))</f>
        <v/>
      </c>
      <c r="AL507">
        <f>IF($W507="","",IFERROR(INDEX(IF($T507&lt;=60,peso05_s,peso510_s),MATCH($W507,IF($T507&lt;=60,peso05_k,peso510_k),1)),""))</f>
        <v/>
      </c>
      <c r="AM507">
        <f>IF($AJ507="","",IF($AJ507=0,LN($F507/$AK507)/$AL507,((($F507/$AK507)^$AJ507)-1)/($AJ507*$AL507)))</f>
        <v/>
      </c>
      <c r="AN507">
        <f>IF($AJ507="","",IF($AJ507=0,$AK507*EXP($AL507*2),$AK507*(1+$AJ507*$AL507*2)^(1/$AJ507)))</f>
        <v/>
      </c>
      <c r="AO507">
        <f>IF($AJ507="","",IF($AJ507=0,$AK507*EXP($AL507*3),$AK507*(1+$AJ507*$AL507*3)^(1/$AJ507)))</f>
        <v/>
      </c>
      <c r="AP507">
        <f>IF($AJ507="","",IF($AJ507=0,$AK507*EXP($AL507*-2),$AK507*(1+$AJ507*$AL507*-2)^(1/$AJ507)))</f>
        <v/>
      </c>
      <c r="AQ507">
        <f>IF($AJ507="","",IF($AJ507=0,$AK507*EXP($AL507*-3),$AK507*(1+$AJ507*$AL507*-3)^(1/$AJ507)))</f>
        <v/>
      </c>
      <c r="AR507">
        <f>IF(OR($X507="",$T507&gt;60),"",IFERROR(INDEX(IF($T507&lt;24,pcomp_l,palt_l),MATCH($X507,IF($T507&lt;24,pcomp_k,palt_k),1)),""))</f>
        <v/>
      </c>
      <c r="AS507">
        <f>IF(OR($X507="",$T507&gt;60),"",IFERROR(INDEX(IF($T507&lt;24,pcomp_m,palt_m),MATCH($X507,IF($T507&lt;24,pcomp_k,palt_k),1)),""))</f>
        <v/>
      </c>
      <c r="AT507">
        <f>IF(OR($X507="",$T507&gt;60),"",IFERROR(INDEX(IF($T507&lt;24,pcomp_s,palt_s),MATCH($X507,IF($T507&lt;24,pcomp_k,palt_k),1)),""))</f>
        <v/>
      </c>
      <c r="AU507">
        <f>IF($AR507="","",IF($AR507=0,LN($F507/$AS507)/$AT507,((($F507/$AS507)^$AR507)-1)/($AR507*$AT507)))</f>
        <v/>
      </c>
      <c r="AV507">
        <f>IF($AR507="","",IF($AR507=0,$AS507*EXP($AT507*2),$AS507*(1+$AR507*$AT507*2)^(1/$AR507)))</f>
        <v/>
      </c>
      <c r="AW507">
        <f>IF($AR507="","",IF($AR507=0,$AS507*EXP($AT507*3),$AS507*(1+$AR507*$AT507*3)^(1/$AR507)))</f>
        <v/>
      </c>
      <c r="AX507">
        <f>IF($AR507="","",IF($AR507=0,$AS507*EXP($AT507*-2),$AS507*(1+$AR507*$AT507*-2)^(1/$AR507)))</f>
        <v/>
      </c>
      <c r="AY507">
        <f>IF($AR507="","",IF($AR507=0,$AS507*EXP($AT507*-3),$AS507*(1+$AR507*$AT507*-3)^(1/$AR507)))</f>
        <v/>
      </c>
      <c r="AZ507">
        <f>IF(OR($A507="",$A507&lt;&gt;Ficha!$C$4),"",COUNTIF($A$2:$A507,Ficha!$C$4))</f>
        <v/>
      </c>
    </row>
    <row r="508">
      <c r="A508" s="8">
        <f>IF(INDEX(Banco!$A:$A,ROW())="","",INDEX(Banco!$A:$A,ROW()))</f>
        <v/>
      </c>
      <c r="B508" s="8">
        <f>IF(INDEX(Banco!$B:$B,ROW())="","",INDEX(Banco!$B:$B,ROW()))</f>
        <v/>
      </c>
      <c r="C508" s="8">
        <f>IF(INDEX(Banco!$C:$C,ROW())="","",INDEX(Banco!$C:$C,ROW()))</f>
        <v/>
      </c>
      <c r="D508" s="9">
        <f>IF(INDEX(Banco!$D:$D,ROW())="","",INDEX(Banco!$D:$D,ROW()))</f>
        <v/>
      </c>
      <c r="E508" s="9">
        <f>IF(INDEX(Banco!$E:$E,ROW())="","",INDEX(Banco!$E:$E,ROW()))</f>
        <v/>
      </c>
      <c r="F508" s="10">
        <f>IF(INDEX(Banco!$F:$F,ROW())="","",INDEX(Banco!$F:$F,ROW()))</f>
        <v/>
      </c>
      <c r="G508" s="10">
        <f>IF(INDEX(Banco!$G:$G,ROW())="","",INDEX(Banco!$G:$G,ROW()))</f>
        <v/>
      </c>
      <c r="H508" s="8">
        <f>IF(INDEX(Banco!$H:$H,ROW())="","",INDEX(Banco!$H:$H,ROW()))</f>
        <v/>
      </c>
      <c r="I508">
        <f>IF($T508="","",INT($T508/12)&amp;"a "&amp;MOD($T508,12)&amp;"m")</f>
        <v/>
      </c>
      <c r="J508" s="11">
        <f>IF(OR($F508="",$G508=""),"",ROUND($F508/($G508/100)^2,2))</f>
        <v/>
      </c>
      <c r="K508" s="12">
        <f>IF(OR($S508="",$J508="",$T508="",$T508&lt;0,$T508&gt;228,$Y508=""),"—",ROUND(IF(ABS($AB508)&lt;=3,$AB508,IF($AB508&gt;3,3+($J508-$AD508)/($AD508-$AC508),-3+($J508-$AF508)/($AE508-$AF508))),2))</f>
        <v/>
      </c>
      <c r="L508">
        <f>IF(OR($K508="",$K508="—"),"",IF($T508&lt;=60,IF($K508&lt;-3,"Magreza acentuada",IF($K508&lt;-2,"Magreza",IF($K508&lt;=1,"Eutrofia",IF($K508&lt;=2,"Risco de sobrepeso",IF($K508&lt;=3,"Sobrepeso","Obesidade"))))),IF($K508&lt;-3,"Magreza acentuada",IF($K508&lt;-2,"Magreza",IF($K508&lt;=1,"Eutrofia",IF($K508&lt;=2,"Sobrepeso",IF($K508&lt;=3,"Obesidade","Obesidade grave")))))))</f>
        <v/>
      </c>
      <c r="M508" s="12">
        <f>IF(OR($S508="",$V508="",$T508="",$T508&lt;0,$T508&gt;228,$AG508=""),"—",ROUND(IF($AG508=0,LN($V508/$AH508)/$AI508,((($V508/$AH508)^$AG508)-1)/($AG508*$AI508)),2))</f>
        <v/>
      </c>
      <c r="N508">
        <f>IF(OR($M508="",$M508="—"),"",IF($M508&lt;-3,"Muito baixa",IF($M508&lt;-2,"Baixa","Adequada")))</f>
        <v/>
      </c>
      <c r="O508" s="12">
        <f>IF(OR($S508="",$F508="",$T508="",$T508&lt;0,$T508&gt;120,$AJ508=""),"—",ROUND(IF(ABS($AM508)&lt;=3,$AM508,IF($AM508&gt;3,3+($F508-$AO508)/($AO508-$AN508),-3+($F508-$AQ508)/($AP508-$AQ508))),2))</f>
        <v/>
      </c>
      <c r="P508">
        <f>IF(OR($O508="",$O508="—"),"",IF($O508&lt;-3,"Muito baixo",IF($O508&lt;-2,"Baixo",IF($O508&lt;=2,"Adequado","Elevado"))))</f>
        <v/>
      </c>
      <c r="Q508" s="12">
        <f>IF(OR($S508="",$F508="",$T508="",$T508&lt;0,$T508&gt;60,$AR508=""),"—",ROUND(IF(ABS($AU508)&lt;=3,$AU508,IF($AU508&gt;3,3+($F508-$AW508)/($AW508-$AV508),-3+($F508-$AY508)/($AX508-$AY508))),2))</f>
        <v/>
      </c>
      <c r="R508">
        <f>IF(OR($Q508="",$Q508="—"),"",IF($Q508&lt;-3,"Magreza acentuada",IF($Q508&lt;-2,"Magreza",IF($Q508&lt;=1,"Eutrofia",IF($Q508&lt;=2,"Risco de sobrepeso",IF($Q508&lt;=3,"Sobrepeso","Obesidade"))))))</f>
        <v/>
      </c>
      <c r="S508">
        <f>IF($C508="","",IF(UPPER(LEFT($C508,1))="M",1,IF(UPPER(LEFT($C508,1))="F",2,"")))</f>
        <v/>
      </c>
      <c r="T508">
        <f>IF(OR($D508="",$E508=""),"",DATEDIF($D508,$E508,"m"))</f>
        <v/>
      </c>
      <c r="U508">
        <f>IF(OR($D508="",$E508=""),"",$E508-$D508)</f>
        <v/>
      </c>
      <c r="V508">
        <f>IF(OR($G508="",$T508=""),"",IF($T508&lt;24,IF(LEFT(LOWER($H508),4)="em p",$G508+0.7,$G508),IF(LEFT(LOWER($H508),4)="deit",$G508-0.7,$G508)))</f>
        <v/>
      </c>
      <c r="W508">
        <f>IF(OR($S508="",$T508=""),"",$S508*1000000+IF($T508&lt;=60,$U508,$T508))</f>
        <v/>
      </c>
      <c r="X508">
        <f>IF(OR($S508="",$V508="",$T508&gt;60,$T508=""),"",$S508*1000000+ROUND($V508*10,0))</f>
        <v/>
      </c>
      <c r="Y508">
        <f>IF($W508="","",IFERROR(INDEX(IF($T508&lt;=60,imc05_l,imc519_l),MATCH($W508,IF($T508&lt;=60,imc05_k,imc519_k),1)),""))</f>
        <v/>
      </c>
      <c r="Z508">
        <f>IF($W508="","",IFERROR(INDEX(IF($T508&lt;=60,imc05_m,imc519_m),MATCH($W508,IF($T508&lt;=60,imc05_k,imc519_k),1)),""))</f>
        <v/>
      </c>
      <c r="AA508">
        <f>IF($W508="","",IFERROR(INDEX(IF($T508&lt;=60,imc05_s,imc519_s),MATCH($W508,IF($T508&lt;=60,imc05_k,imc519_k),1)),""))</f>
        <v/>
      </c>
      <c r="AB508">
        <f>IF($Y508="","",IF($Y508=0,LN($J508/$Z508)/$AA508,((($J508/$Z508)^$Y508)-1)/($Y508*$AA508)))</f>
        <v/>
      </c>
      <c r="AC508">
        <f>IF($Y508="","",IF($Y508=0,$Z508*EXP($AA508*2),$Z508*(1+$Y508*$AA508*2)^(1/$Y508)))</f>
        <v/>
      </c>
      <c r="AD508">
        <f>IF($Y508="","",IF($Y508=0,$Z508*EXP($AA508*3),$Z508*(1+$Y508*$AA508*3)^(1/$Y508)))</f>
        <v/>
      </c>
      <c r="AE508">
        <f>IF($Y508="","",IF($Y508=0,$Z508*EXP($AA508*-2),$Z508*(1+$Y508*$AA508*-2)^(1/$Y508)))</f>
        <v/>
      </c>
      <c r="AF508">
        <f>IF($Y508="","",IF($Y508=0,$Z508*EXP($AA508*-3),$Z508*(1+$Y508*$AA508*-3)^(1/$Y508)))</f>
        <v/>
      </c>
      <c r="AG508">
        <f>IF($W508="","",IFERROR(INDEX(IF($T508&lt;=60,est05_l,est519_l),MATCH($W508,IF($T508&lt;=60,est05_k,est519_k),1)),""))</f>
        <v/>
      </c>
      <c r="AH508">
        <f>IF($W508="","",IFERROR(INDEX(IF($T508&lt;=60,est05_m,est519_m),MATCH($W508,IF($T508&lt;=60,est05_k,est519_k),1)),""))</f>
        <v/>
      </c>
      <c r="AI508">
        <f>IF($W508="","",IFERROR(INDEX(IF($T508&lt;=60,est05_s,est519_s),MATCH($W508,IF($T508&lt;=60,est05_k,est519_k),1)),""))</f>
        <v/>
      </c>
      <c r="AJ508">
        <f>IF($W508="","",IFERROR(INDEX(IF($T508&lt;=60,peso05_l,peso510_l),MATCH($W508,IF($T508&lt;=60,peso05_k,peso510_k),1)),""))</f>
        <v/>
      </c>
      <c r="AK508">
        <f>IF($W508="","",IFERROR(INDEX(IF($T508&lt;=60,peso05_m,peso510_m),MATCH($W508,IF($T508&lt;=60,peso05_k,peso510_k),1)),""))</f>
        <v/>
      </c>
      <c r="AL508">
        <f>IF($W508="","",IFERROR(INDEX(IF($T508&lt;=60,peso05_s,peso510_s),MATCH($W508,IF($T508&lt;=60,peso05_k,peso510_k),1)),""))</f>
        <v/>
      </c>
      <c r="AM508">
        <f>IF($AJ508="","",IF($AJ508=0,LN($F508/$AK508)/$AL508,((($F508/$AK508)^$AJ508)-1)/($AJ508*$AL508)))</f>
        <v/>
      </c>
      <c r="AN508">
        <f>IF($AJ508="","",IF($AJ508=0,$AK508*EXP($AL508*2),$AK508*(1+$AJ508*$AL508*2)^(1/$AJ508)))</f>
        <v/>
      </c>
      <c r="AO508">
        <f>IF($AJ508="","",IF($AJ508=0,$AK508*EXP($AL508*3),$AK508*(1+$AJ508*$AL508*3)^(1/$AJ508)))</f>
        <v/>
      </c>
      <c r="AP508">
        <f>IF($AJ508="","",IF($AJ508=0,$AK508*EXP($AL508*-2),$AK508*(1+$AJ508*$AL508*-2)^(1/$AJ508)))</f>
        <v/>
      </c>
      <c r="AQ508">
        <f>IF($AJ508="","",IF($AJ508=0,$AK508*EXP($AL508*-3),$AK508*(1+$AJ508*$AL508*-3)^(1/$AJ508)))</f>
        <v/>
      </c>
      <c r="AR508">
        <f>IF(OR($X508="",$T508&gt;60),"",IFERROR(INDEX(IF($T508&lt;24,pcomp_l,palt_l),MATCH($X508,IF($T508&lt;24,pcomp_k,palt_k),1)),""))</f>
        <v/>
      </c>
      <c r="AS508">
        <f>IF(OR($X508="",$T508&gt;60),"",IFERROR(INDEX(IF($T508&lt;24,pcomp_m,palt_m),MATCH($X508,IF($T508&lt;24,pcomp_k,palt_k),1)),""))</f>
        <v/>
      </c>
      <c r="AT508">
        <f>IF(OR($X508="",$T508&gt;60),"",IFERROR(INDEX(IF($T508&lt;24,pcomp_s,palt_s),MATCH($X508,IF($T508&lt;24,pcomp_k,palt_k),1)),""))</f>
        <v/>
      </c>
      <c r="AU508">
        <f>IF($AR508="","",IF($AR508=0,LN($F508/$AS508)/$AT508,((($F508/$AS508)^$AR508)-1)/($AR508*$AT508)))</f>
        <v/>
      </c>
      <c r="AV508">
        <f>IF($AR508="","",IF($AR508=0,$AS508*EXP($AT508*2),$AS508*(1+$AR508*$AT508*2)^(1/$AR508)))</f>
        <v/>
      </c>
      <c r="AW508">
        <f>IF($AR508="","",IF($AR508=0,$AS508*EXP($AT508*3),$AS508*(1+$AR508*$AT508*3)^(1/$AR508)))</f>
        <v/>
      </c>
      <c r="AX508">
        <f>IF($AR508="","",IF($AR508=0,$AS508*EXP($AT508*-2),$AS508*(1+$AR508*$AT508*-2)^(1/$AR508)))</f>
        <v/>
      </c>
      <c r="AY508">
        <f>IF($AR508="","",IF($AR508=0,$AS508*EXP($AT508*-3),$AS508*(1+$AR508*$AT508*-3)^(1/$AR508)))</f>
        <v/>
      </c>
      <c r="AZ508">
        <f>IF(OR($A508="",$A508&lt;&gt;Ficha!$C$4),"",COUNTIF($A$2:$A508,Ficha!$C$4))</f>
        <v/>
      </c>
    </row>
    <row r="509">
      <c r="A509" s="8">
        <f>IF(INDEX(Banco!$A:$A,ROW())="","",INDEX(Banco!$A:$A,ROW()))</f>
        <v/>
      </c>
      <c r="B509" s="8">
        <f>IF(INDEX(Banco!$B:$B,ROW())="","",INDEX(Banco!$B:$B,ROW()))</f>
        <v/>
      </c>
      <c r="C509" s="8">
        <f>IF(INDEX(Banco!$C:$C,ROW())="","",INDEX(Banco!$C:$C,ROW()))</f>
        <v/>
      </c>
      <c r="D509" s="9">
        <f>IF(INDEX(Banco!$D:$D,ROW())="","",INDEX(Banco!$D:$D,ROW()))</f>
        <v/>
      </c>
      <c r="E509" s="9">
        <f>IF(INDEX(Banco!$E:$E,ROW())="","",INDEX(Banco!$E:$E,ROW()))</f>
        <v/>
      </c>
      <c r="F509" s="10">
        <f>IF(INDEX(Banco!$F:$F,ROW())="","",INDEX(Banco!$F:$F,ROW()))</f>
        <v/>
      </c>
      <c r="G509" s="10">
        <f>IF(INDEX(Banco!$G:$G,ROW())="","",INDEX(Banco!$G:$G,ROW()))</f>
        <v/>
      </c>
      <c r="H509" s="8">
        <f>IF(INDEX(Banco!$H:$H,ROW())="","",INDEX(Banco!$H:$H,ROW()))</f>
        <v/>
      </c>
      <c r="I509">
        <f>IF($T509="","",INT($T509/12)&amp;"a "&amp;MOD($T509,12)&amp;"m")</f>
        <v/>
      </c>
      <c r="J509" s="11">
        <f>IF(OR($F509="",$G509=""),"",ROUND($F509/($G509/100)^2,2))</f>
        <v/>
      </c>
      <c r="K509" s="12">
        <f>IF(OR($S509="",$J509="",$T509="",$T509&lt;0,$T509&gt;228,$Y509=""),"—",ROUND(IF(ABS($AB509)&lt;=3,$AB509,IF($AB509&gt;3,3+($J509-$AD509)/($AD509-$AC509),-3+($J509-$AF509)/($AE509-$AF509))),2))</f>
        <v/>
      </c>
      <c r="L509">
        <f>IF(OR($K509="",$K509="—"),"",IF($T509&lt;=60,IF($K509&lt;-3,"Magreza acentuada",IF($K509&lt;-2,"Magreza",IF($K509&lt;=1,"Eutrofia",IF($K509&lt;=2,"Risco de sobrepeso",IF($K509&lt;=3,"Sobrepeso","Obesidade"))))),IF($K509&lt;-3,"Magreza acentuada",IF($K509&lt;-2,"Magreza",IF($K509&lt;=1,"Eutrofia",IF($K509&lt;=2,"Sobrepeso",IF($K509&lt;=3,"Obesidade","Obesidade grave")))))))</f>
        <v/>
      </c>
      <c r="M509" s="12">
        <f>IF(OR($S509="",$V509="",$T509="",$T509&lt;0,$T509&gt;228,$AG509=""),"—",ROUND(IF($AG509=0,LN($V509/$AH509)/$AI509,((($V509/$AH509)^$AG509)-1)/($AG509*$AI509)),2))</f>
        <v/>
      </c>
      <c r="N509">
        <f>IF(OR($M509="",$M509="—"),"",IF($M509&lt;-3,"Muito baixa",IF($M509&lt;-2,"Baixa","Adequada")))</f>
        <v/>
      </c>
      <c r="O509" s="12">
        <f>IF(OR($S509="",$F509="",$T509="",$T509&lt;0,$T509&gt;120,$AJ509=""),"—",ROUND(IF(ABS($AM509)&lt;=3,$AM509,IF($AM509&gt;3,3+($F509-$AO509)/($AO509-$AN509),-3+($F509-$AQ509)/($AP509-$AQ509))),2))</f>
        <v/>
      </c>
      <c r="P509">
        <f>IF(OR($O509="",$O509="—"),"",IF($O509&lt;-3,"Muito baixo",IF($O509&lt;-2,"Baixo",IF($O509&lt;=2,"Adequado","Elevado"))))</f>
        <v/>
      </c>
      <c r="Q509" s="12">
        <f>IF(OR($S509="",$F509="",$T509="",$T509&lt;0,$T509&gt;60,$AR509=""),"—",ROUND(IF(ABS($AU509)&lt;=3,$AU509,IF($AU509&gt;3,3+($F509-$AW509)/($AW509-$AV509),-3+($F509-$AY509)/($AX509-$AY509))),2))</f>
        <v/>
      </c>
      <c r="R509">
        <f>IF(OR($Q509="",$Q509="—"),"",IF($Q509&lt;-3,"Magreza acentuada",IF($Q509&lt;-2,"Magreza",IF($Q509&lt;=1,"Eutrofia",IF($Q509&lt;=2,"Risco de sobrepeso",IF($Q509&lt;=3,"Sobrepeso","Obesidade"))))))</f>
        <v/>
      </c>
      <c r="S509">
        <f>IF($C509="","",IF(UPPER(LEFT($C509,1))="M",1,IF(UPPER(LEFT($C509,1))="F",2,"")))</f>
        <v/>
      </c>
      <c r="T509">
        <f>IF(OR($D509="",$E509=""),"",DATEDIF($D509,$E509,"m"))</f>
        <v/>
      </c>
      <c r="U509">
        <f>IF(OR($D509="",$E509=""),"",$E509-$D509)</f>
        <v/>
      </c>
      <c r="V509">
        <f>IF(OR($G509="",$T509=""),"",IF($T509&lt;24,IF(LEFT(LOWER($H509),4)="em p",$G509+0.7,$G509),IF(LEFT(LOWER($H509),4)="deit",$G509-0.7,$G509)))</f>
        <v/>
      </c>
      <c r="W509">
        <f>IF(OR($S509="",$T509=""),"",$S509*1000000+IF($T509&lt;=60,$U509,$T509))</f>
        <v/>
      </c>
      <c r="X509">
        <f>IF(OR($S509="",$V509="",$T509&gt;60,$T509=""),"",$S509*1000000+ROUND($V509*10,0))</f>
        <v/>
      </c>
      <c r="Y509">
        <f>IF($W509="","",IFERROR(INDEX(IF($T509&lt;=60,imc05_l,imc519_l),MATCH($W509,IF($T509&lt;=60,imc05_k,imc519_k),1)),""))</f>
        <v/>
      </c>
      <c r="Z509">
        <f>IF($W509="","",IFERROR(INDEX(IF($T509&lt;=60,imc05_m,imc519_m),MATCH($W509,IF($T509&lt;=60,imc05_k,imc519_k),1)),""))</f>
        <v/>
      </c>
      <c r="AA509">
        <f>IF($W509="","",IFERROR(INDEX(IF($T509&lt;=60,imc05_s,imc519_s),MATCH($W509,IF($T509&lt;=60,imc05_k,imc519_k),1)),""))</f>
        <v/>
      </c>
      <c r="AB509">
        <f>IF($Y509="","",IF($Y509=0,LN($J509/$Z509)/$AA509,((($J509/$Z509)^$Y509)-1)/($Y509*$AA509)))</f>
        <v/>
      </c>
      <c r="AC509">
        <f>IF($Y509="","",IF($Y509=0,$Z509*EXP($AA509*2),$Z509*(1+$Y509*$AA509*2)^(1/$Y509)))</f>
        <v/>
      </c>
      <c r="AD509">
        <f>IF($Y509="","",IF($Y509=0,$Z509*EXP($AA509*3),$Z509*(1+$Y509*$AA509*3)^(1/$Y509)))</f>
        <v/>
      </c>
      <c r="AE509">
        <f>IF($Y509="","",IF($Y509=0,$Z509*EXP($AA509*-2),$Z509*(1+$Y509*$AA509*-2)^(1/$Y509)))</f>
        <v/>
      </c>
      <c r="AF509">
        <f>IF($Y509="","",IF($Y509=0,$Z509*EXP($AA509*-3),$Z509*(1+$Y509*$AA509*-3)^(1/$Y509)))</f>
        <v/>
      </c>
      <c r="AG509">
        <f>IF($W509="","",IFERROR(INDEX(IF($T509&lt;=60,est05_l,est519_l),MATCH($W509,IF($T509&lt;=60,est05_k,est519_k),1)),""))</f>
        <v/>
      </c>
      <c r="AH509">
        <f>IF($W509="","",IFERROR(INDEX(IF($T509&lt;=60,est05_m,est519_m),MATCH($W509,IF($T509&lt;=60,est05_k,est519_k),1)),""))</f>
        <v/>
      </c>
      <c r="AI509">
        <f>IF($W509="","",IFERROR(INDEX(IF($T509&lt;=60,est05_s,est519_s),MATCH($W509,IF($T509&lt;=60,est05_k,est519_k),1)),""))</f>
        <v/>
      </c>
      <c r="AJ509">
        <f>IF($W509="","",IFERROR(INDEX(IF($T509&lt;=60,peso05_l,peso510_l),MATCH($W509,IF($T509&lt;=60,peso05_k,peso510_k),1)),""))</f>
        <v/>
      </c>
      <c r="AK509">
        <f>IF($W509="","",IFERROR(INDEX(IF($T509&lt;=60,peso05_m,peso510_m),MATCH($W509,IF($T509&lt;=60,peso05_k,peso510_k),1)),""))</f>
        <v/>
      </c>
      <c r="AL509">
        <f>IF($W509="","",IFERROR(INDEX(IF($T509&lt;=60,peso05_s,peso510_s),MATCH($W509,IF($T509&lt;=60,peso05_k,peso510_k),1)),""))</f>
        <v/>
      </c>
      <c r="AM509">
        <f>IF($AJ509="","",IF($AJ509=0,LN($F509/$AK509)/$AL509,((($F509/$AK509)^$AJ509)-1)/($AJ509*$AL509)))</f>
        <v/>
      </c>
      <c r="AN509">
        <f>IF($AJ509="","",IF($AJ509=0,$AK509*EXP($AL509*2),$AK509*(1+$AJ509*$AL509*2)^(1/$AJ509)))</f>
        <v/>
      </c>
      <c r="AO509">
        <f>IF($AJ509="","",IF($AJ509=0,$AK509*EXP($AL509*3),$AK509*(1+$AJ509*$AL509*3)^(1/$AJ509)))</f>
        <v/>
      </c>
      <c r="AP509">
        <f>IF($AJ509="","",IF($AJ509=0,$AK509*EXP($AL509*-2),$AK509*(1+$AJ509*$AL509*-2)^(1/$AJ509)))</f>
        <v/>
      </c>
      <c r="AQ509">
        <f>IF($AJ509="","",IF($AJ509=0,$AK509*EXP($AL509*-3),$AK509*(1+$AJ509*$AL509*-3)^(1/$AJ509)))</f>
        <v/>
      </c>
      <c r="AR509">
        <f>IF(OR($X509="",$T509&gt;60),"",IFERROR(INDEX(IF($T509&lt;24,pcomp_l,palt_l),MATCH($X509,IF($T509&lt;24,pcomp_k,palt_k),1)),""))</f>
        <v/>
      </c>
      <c r="AS509">
        <f>IF(OR($X509="",$T509&gt;60),"",IFERROR(INDEX(IF($T509&lt;24,pcomp_m,palt_m),MATCH($X509,IF($T509&lt;24,pcomp_k,palt_k),1)),""))</f>
        <v/>
      </c>
      <c r="AT509">
        <f>IF(OR($X509="",$T509&gt;60),"",IFERROR(INDEX(IF($T509&lt;24,pcomp_s,palt_s),MATCH($X509,IF($T509&lt;24,pcomp_k,palt_k),1)),""))</f>
        <v/>
      </c>
      <c r="AU509">
        <f>IF($AR509="","",IF($AR509=0,LN($F509/$AS509)/$AT509,((($F509/$AS509)^$AR509)-1)/($AR509*$AT509)))</f>
        <v/>
      </c>
      <c r="AV509">
        <f>IF($AR509="","",IF($AR509=0,$AS509*EXP($AT509*2),$AS509*(1+$AR509*$AT509*2)^(1/$AR509)))</f>
        <v/>
      </c>
      <c r="AW509">
        <f>IF($AR509="","",IF($AR509=0,$AS509*EXP($AT509*3),$AS509*(1+$AR509*$AT509*3)^(1/$AR509)))</f>
        <v/>
      </c>
      <c r="AX509">
        <f>IF($AR509="","",IF($AR509=0,$AS509*EXP($AT509*-2),$AS509*(1+$AR509*$AT509*-2)^(1/$AR509)))</f>
        <v/>
      </c>
      <c r="AY509">
        <f>IF($AR509="","",IF($AR509=0,$AS509*EXP($AT509*-3),$AS509*(1+$AR509*$AT509*-3)^(1/$AR509)))</f>
        <v/>
      </c>
      <c r="AZ509">
        <f>IF(OR($A509="",$A509&lt;&gt;Ficha!$C$4),"",COUNTIF($A$2:$A509,Ficha!$C$4))</f>
        <v/>
      </c>
    </row>
    <row r="510">
      <c r="A510" s="8">
        <f>IF(INDEX(Banco!$A:$A,ROW())="","",INDEX(Banco!$A:$A,ROW()))</f>
        <v/>
      </c>
      <c r="B510" s="8">
        <f>IF(INDEX(Banco!$B:$B,ROW())="","",INDEX(Banco!$B:$B,ROW()))</f>
        <v/>
      </c>
      <c r="C510" s="8">
        <f>IF(INDEX(Banco!$C:$C,ROW())="","",INDEX(Banco!$C:$C,ROW()))</f>
        <v/>
      </c>
      <c r="D510" s="9">
        <f>IF(INDEX(Banco!$D:$D,ROW())="","",INDEX(Banco!$D:$D,ROW()))</f>
        <v/>
      </c>
      <c r="E510" s="9">
        <f>IF(INDEX(Banco!$E:$E,ROW())="","",INDEX(Banco!$E:$E,ROW()))</f>
        <v/>
      </c>
      <c r="F510" s="10">
        <f>IF(INDEX(Banco!$F:$F,ROW())="","",INDEX(Banco!$F:$F,ROW()))</f>
        <v/>
      </c>
      <c r="G510" s="10">
        <f>IF(INDEX(Banco!$G:$G,ROW())="","",INDEX(Banco!$G:$G,ROW()))</f>
        <v/>
      </c>
      <c r="H510" s="8">
        <f>IF(INDEX(Banco!$H:$H,ROW())="","",INDEX(Banco!$H:$H,ROW()))</f>
        <v/>
      </c>
      <c r="I510">
        <f>IF($T510="","",INT($T510/12)&amp;"a "&amp;MOD($T510,12)&amp;"m")</f>
        <v/>
      </c>
      <c r="J510" s="11">
        <f>IF(OR($F510="",$G510=""),"",ROUND($F510/($G510/100)^2,2))</f>
        <v/>
      </c>
      <c r="K510" s="12">
        <f>IF(OR($S510="",$J510="",$T510="",$T510&lt;0,$T510&gt;228,$Y510=""),"—",ROUND(IF(ABS($AB510)&lt;=3,$AB510,IF($AB510&gt;3,3+($J510-$AD510)/($AD510-$AC510),-3+($J510-$AF510)/($AE510-$AF510))),2))</f>
        <v/>
      </c>
      <c r="L510">
        <f>IF(OR($K510="",$K510="—"),"",IF($T510&lt;=60,IF($K510&lt;-3,"Magreza acentuada",IF($K510&lt;-2,"Magreza",IF($K510&lt;=1,"Eutrofia",IF($K510&lt;=2,"Risco de sobrepeso",IF($K510&lt;=3,"Sobrepeso","Obesidade"))))),IF($K510&lt;-3,"Magreza acentuada",IF($K510&lt;-2,"Magreza",IF($K510&lt;=1,"Eutrofia",IF($K510&lt;=2,"Sobrepeso",IF($K510&lt;=3,"Obesidade","Obesidade grave")))))))</f>
        <v/>
      </c>
      <c r="M510" s="12">
        <f>IF(OR($S510="",$V510="",$T510="",$T510&lt;0,$T510&gt;228,$AG510=""),"—",ROUND(IF($AG510=0,LN($V510/$AH510)/$AI510,((($V510/$AH510)^$AG510)-1)/($AG510*$AI510)),2))</f>
        <v/>
      </c>
      <c r="N510">
        <f>IF(OR($M510="",$M510="—"),"",IF($M510&lt;-3,"Muito baixa",IF($M510&lt;-2,"Baixa","Adequada")))</f>
        <v/>
      </c>
      <c r="O510" s="12">
        <f>IF(OR($S510="",$F510="",$T510="",$T510&lt;0,$T510&gt;120,$AJ510=""),"—",ROUND(IF(ABS($AM510)&lt;=3,$AM510,IF($AM510&gt;3,3+($F510-$AO510)/($AO510-$AN510),-3+($F510-$AQ510)/($AP510-$AQ510))),2))</f>
        <v/>
      </c>
      <c r="P510">
        <f>IF(OR($O510="",$O510="—"),"",IF($O510&lt;-3,"Muito baixo",IF($O510&lt;-2,"Baixo",IF($O510&lt;=2,"Adequado","Elevado"))))</f>
        <v/>
      </c>
      <c r="Q510" s="12">
        <f>IF(OR($S510="",$F510="",$T510="",$T510&lt;0,$T510&gt;60,$AR510=""),"—",ROUND(IF(ABS($AU510)&lt;=3,$AU510,IF($AU510&gt;3,3+($F510-$AW510)/($AW510-$AV510),-3+($F510-$AY510)/($AX510-$AY510))),2))</f>
        <v/>
      </c>
      <c r="R510">
        <f>IF(OR($Q510="",$Q510="—"),"",IF($Q510&lt;-3,"Magreza acentuada",IF($Q510&lt;-2,"Magreza",IF($Q510&lt;=1,"Eutrofia",IF($Q510&lt;=2,"Risco de sobrepeso",IF($Q510&lt;=3,"Sobrepeso","Obesidade"))))))</f>
        <v/>
      </c>
      <c r="S510">
        <f>IF($C510="","",IF(UPPER(LEFT($C510,1))="M",1,IF(UPPER(LEFT($C510,1))="F",2,"")))</f>
        <v/>
      </c>
      <c r="T510">
        <f>IF(OR($D510="",$E510=""),"",DATEDIF($D510,$E510,"m"))</f>
        <v/>
      </c>
      <c r="U510">
        <f>IF(OR($D510="",$E510=""),"",$E510-$D510)</f>
        <v/>
      </c>
      <c r="V510">
        <f>IF(OR($G510="",$T510=""),"",IF($T510&lt;24,IF(LEFT(LOWER($H510),4)="em p",$G510+0.7,$G510),IF(LEFT(LOWER($H510),4)="deit",$G510-0.7,$G510)))</f>
        <v/>
      </c>
      <c r="W510">
        <f>IF(OR($S510="",$T510=""),"",$S510*1000000+IF($T510&lt;=60,$U510,$T510))</f>
        <v/>
      </c>
      <c r="X510">
        <f>IF(OR($S510="",$V510="",$T510&gt;60,$T510=""),"",$S510*1000000+ROUND($V510*10,0))</f>
        <v/>
      </c>
      <c r="Y510">
        <f>IF($W510="","",IFERROR(INDEX(IF($T510&lt;=60,imc05_l,imc519_l),MATCH($W510,IF($T510&lt;=60,imc05_k,imc519_k),1)),""))</f>
        <v/>
      </c>
      <c r="Z510">
        <f>IF($W510="","",IFERROR(INDEX(IF($T510&lt;=60,imc05_m,imc519_m),MATCH($W510,IF($T510&lt;=60,imc05_k,imc519_k),1)),""))</f>
        <v/>
      </c>
      <c r="AA510">
        <f>IF($W510="","",IFERROR(INDEX(IF($T510&lt;=60,imc05_s,imc519_s),MATCH($W510,IF($T510&lt;=60,imc05_k,imc519_k),1)),""))</f>
        <v/>
      </c>
      <c r="AB510">
        <f>IF($Y510="","",IF($Y510=0,LN($J510/$Z510)/$AA510,((($J510/$Z510)^$Y510)-1)/($Y510*$AA510)))</f>
        <v/>
      </c>
      <c r="AC510">
        <f>IF($Y510="","",IF($Y510=0,$Z510*EXP($AA510*2),$Z510*(1+$Y510*$AA510*2)^(1/$Y510)))</f>
        <v/>
      </c>
      <c r="AD510">
        <f>IF($Y510="","",IF($Y510=0,$Z510*EXP($AA510*3),$Z510*(1+$Y510*$AA510*3)^(1/$Y510)))</f>
        <v/>
      </c>
      <c r="AE510">
        <f>IF($Y510="","",IF($Y510=0,$Z510*EXP($AA510*-2),$Z510*(1+$Y510*$AA510*-2)^(1/$Y510)))</f>
        <v/>
      </c>
      <c r="AF510">
        <f>IF($Y510="","",IF($Y510=0,$Z510*EXP($AA510*-3),$Z510*(1+$Y510*$AA510*-3)^(1/$Y510)))</f>
        <v/>
      </c>
      <c r="AG510">
        <f>IF($W510="","",IFERROR(INDEX(IF($T510&lt;=60,est05_l,est519_l),MATCH($W510,IF($T510&lt;=60,est05_k,est519_k),1)),""))</f>
        <v/>
      </c>
      <c r="AH510">
        <f>IF($W510="","",IFERROR(INDEX(IF($T510&lt;=60,est05_m,est519_m),MATCH($W510,IF($T510&lt;=60,est05_k,est519_k),1)),""))</f>
        <v/>
      </c>
      <c r="AI510">
        <f>IF($W510="","",IFERROR(INDEX(IF($T510&lt;=60,est05_s,est519_s),MATCH($W510,IF($T510&lt;=60,est05_k,est519_k),1)),""))</f>
        <v/>
      </c>
      <c r="AJ510">
        <f>IF($W510="","",IFERROR(INDEX(IF($T510&lt;=60,peso05_l,peso510_l),MATCH($W510,IF($T510&lt;=60,peso05_k,peso510_k),1)),""))</f>
        <v/>
      </c>
      <c r="AK510">
        <f>IF($W510="","",IFERROR(INDEX(IF($T510&lt;=60,peso05_m,peso510_m),MATCH($W510,IF($T510&lt;=60,peso05_k,peso510_k),1)),""))</f>
        <v/>
      </c>
      <c r="AL510">
        <f>IF($W510="","",IFERROR(INDEX(IF($T510&lt;=60,peso05_s,peso510_s),MATCH($W510,IF($T510&lt;=60,peso05_k,peso510_k),1)),""))</f>
        <v/>
      </c>
      <c r="AM510">
        <f>IF($AJ510="","",IF($AJ510=0,LN($F510/$AK510)/$AL510,((($F510/$AK510)^$AJ510)-1)/($AJ510*$AL510)))</f>
        <v/>
      </c>
      <c r="AN510">
        <f>IF($AJ510="","",IF($AJ510=0,$AK510*EXP($AL510*2),$AK510*(1+$AJ510*$AL510*2)^(1/$AJ510)))</f>
        <v/>
      </c>
      <c r="AO510">
        <f>IF($AJ510="","",IF($AJ510=0,$AK510*EXP($AL510*3),$AK510*(1+$AJ510*$AL510*3)^(1/$AJ510)))</f>
        <v/>
      </c>
      <c r="AP510">
        <f>IF($AJ510="","",IF($AJ510=0,$AK510*EXP($AL510*-2),$AK510*(1+$AJ510*$AL510*-2)^(1/$AJ510)))</f>
        <v/>
      </c>
      <c r="AQ510">
        <f>IF($AJ510="","",IF($AJ510=0,$AK510*EXP($AL510*-3),$AK510*(1+$AJ510*$AL510*-3)^(1/$AJ510)))</f>
        <v/>
      </c>
      <c r="AR510">
        <f>IF(OR($X510="",$T510&gt;60),"",IFERROR(INDEX(IF($T510&lt;24,pcomp_l,palt_l),MATCH($X510,IF($T510&lt;24,pcomp_k,palt_k),1)),""))</f>
        <v/>
      </c>
      <c r="AS510">
        <f>IF(OR($X510="",$T510&gt;60),"",IFERROR(INDEX(IF($T510&lt;24,pcomp_m,palt_m),MATCH($X510,IF($T510&lt;24,pcomp_k,palt_k),1)),""))</f>
        <v/>
      </c>
      <c r="AT510">
        <f>IF(OR($X510="",$T510&gt;60),"",IFERROR(INDEX(IF($T510&lt;24,pcomp_s,palt_s),MATCH($X510,IF($T510&lt;24,pcomp_k,palt_k),1)),""))</f>
        <v/>
      </c>
      <c r="AU510">
        <f>IF($AR510="","",IF($AR510=0,LN($F510/$AS510)/$AT510,((($F510/$AS510)^$AR510)-1)/($AR510*$AT510)))</f>
        <v/>
      </c>
      <c r="AV510">
        <f>IF($AR510="","",IF($AR510=0,$AS510*EXP($AT510*2),$AS510*(1+$AR510*$AT510*2)^(1/$AR510)))</f>
        <v/>
      </c>
      <c r="AW510">
        <f>IF($AR510="","",IF($AR510=0,$AS510*EXP($AT510*3),$AS510*(1+$AR510*$AT510*3)^(1/$AR510)))</f>
        <v/>
      </c>
      <c r="AX510">
        <f>IF($AR510="","",IF($AR510=0,$AS510*EXP($AT510*-2),$AS510*(1+$AR510*$AT510*-2)^(1/$AR510)))</f>
        <v/>
      </c>
      <c r="AY510">
        <f>IF($AR510="","",IF($AR510=0,$AS510*EXP($AT510*-3),$AS510*(1+$AR510*$AT510*-3)^(1/$AR510)))</f>
        <v/>
      </c>
      <c r="AZ510">
        <f>IF(OR($A510="",$A510&lt;&gt;Ficha!$C$4),"",COUNTIF($A$2:$A510,Ficha!$C$4))</f>
        <v/>
      </c>
    </row>
    <row r="511">
      <c r="A511" s="8">
        <f>IF(INDEX(Banco!$A:$A,ROW())="","",INDEX(Banco!$A:$A,ROW()))</f>
        <v/>
      </c>
      <c r="B511" s="8">
        <f>IF(INDEX(Banco!$B:$B,ROW())="","",INDEX(Banco!$B:$B,ROW()))</f>
        <v/>
      </c>
      <c r="C511" s="8">
        <f>IF(INDEX(Banco!$C:$C,ROW())="","",INDEX(Banco!$C:$C,ROW()))</f>
        <v/>
      </c>
      <c r="D511" s="9">
        <f>IF(INDEX(Banco!$D:$D,ROW())="","",INDEX(Banco!$D:$D,ROW()))</f>
        <v/>
      </c>
      <c r="E511" s="9">
        <f>IF(INDEX(Banco!$E:$E,ROW())="","",INDEX(Banco!$E:$E,ROW()))</f>
        <v/>
      </c>
      <c r="F511" s="10">
        <f>IF(INDEX(Banco!$F:$F,ROW())="","",INDEX(Banco!$F:$F,ROW()))</f>
        <v/>
      </c>
      <c r="G511" s="10">
        <f>IF(INDEX(Banco!$G:$G,ROW())="","",INDEX(Banco!$G:$G,ROW()))</f>
        <v/>
      </c>
      <c r="H511" s="8">
        <f>IF(INDEX(Banco!$H:$H,ROW())="","",INDEX(Banco!$H:$H,ROW()))</f>
        <v/>
      </c>
      <c r="I511">
        <f>IF($T511="","",INT($T511/12)&amp;"a "&amp;MOD($T511,12)&amp;"m")</f>
        <v/>
      </c>
      <c r="J511" s="11">
        <f>IF(OR($F511="",$G511=""),"",ROUND($F511/($G511/100)^2,2))</f>
        <v/>
      </c>
      <c r="K511" s="12">
        <f>IF(OR($S511="",$J511="",$T511="",$T511&lt;0,$T511&gt;228,$Y511=""),"—",ROUND(IF(ABS($AB511)&lt;=3,$AB511,IF($AB511&gt;3,3+($J511-$AD511)/($AD511-$AC511),-3+($J511-$AF511)/($AE511-$AF511))),2))</f>
        <v/>
      </c>
      <c r="L511">
        <f>IF(OR($K511="",$K511="—"),"",IF($T511&lt;=60,IF($K511&lt;-3,"Magreza acentuada",IF($K511&lt;-2,"Magreza",IF($K511&lt;=1,"Eutrofia",IF($K511&lt;=2,"Risco de sobrepeso",IF($K511&lt;=3,"Sobrepeso","Obesidade"))))),IF($K511&lt;-3,"Magreza acentuada",IF($K511&lt;-2,"Magreza",IF($K511&lt;=1,"Eutrofia",IF($K511&lt;=2,"Sobrepeso",IF($K511&lt;=3,"Obesidade","Obesidade grave")))))))</f>
        <v/>
      </c>
      <c r="M511" s="12">
        <f>IF(OR($S511="",$V511="",$T511="",$T511&lt;0,$T511&gt;228,$AG511=""),"—",ROUND(IF($AG511=0,LN($V511/$AH511)/$AI511,((($V511/$AH511)^$AG511)-1)/($AG511*$AI511)),2))</f>
        <v/>
      </c>
      <c r="N511">
        <f>IF(OR($M511="",$M511="—"),"",IF($M511&lt;-3,"Muito baixa",IF($M511&lt;-2,"Baixa","Adequada")))</f>
        <v/>
      </c>
      <c r="O511" s="12">
        <f>IF(OR($S511="",$F511="",$T511="",$T511&lt;0,$T511&gt;120,$AJ511=""),"—",ROUND(IF(ABS($AM511)&lt;=3,$AM511,IF($AM511&gt;3,3+($F511-$AO511)/($AO511-$AN511),-3+($F511-$AQ511)/($AP511-$AQ511))),2))</f>
        <v/>
      </c>
      <c r="P511">
        <f>IF(OR($O511="",$O511="—"),"",IF($O511&lt;-3,"Muito baixo",IF($O511&lt;-2,"Baixo",IF($O511&lt;=2,"Adequado","Elevado"))))</f>
        <v/>
      </c>
      <c r="Q511" s="12">
        <f>IF(OR($S511="",$F511="",$T511="",$T511&lt;0,$T511&gt;60,$AR511=""),"—",ROUND(IF(ABS($AU511)&lt;=3,$AU511,IF($AU511&gt;3,3+($F511-$AW511)/($AW511-$AV511),-3+($F511-$AY511)/($AX511-$AY511))),2))</f>
        <v/>
      </c>
      <c r="R511">
        <f>IF(OR($Q511="",$Q511="—"),"",IF($Q511&lt;-3,"Magreza acentuada",IF($Q511&lt;-2,"Magreza",IF($Q511&lt;=1,"Eutrofia",IF($Q511&lt;=2,"Risco de sobrepeso",IF($Q511&lt;=3,"Sobrepeso","Obesidade"))))))</f>
        <v/>
      </c>
      <c r="S511">
        <f>IF($C511="","",IF(UPPER(LEFT($C511,1))="M",1,IF(UPPER(LEFT($C511,1))="F",2,"")))</f>
        <v/>
      </c>
      <c r="T511">
        <f>IF(OR($D511="",$E511=""),"",DATEDIF($D511,$E511,"m"))</f>
        <v/>
      </c>
      <c r="U511">
        <f>IF(OR($D511="",$E511=""),"",$E511-$D511)</f>
        <v/>
      </c>
      <c r="V511">
        <f>IF(OR($G511="",$T511=""),"",IF($T511&lt;24,IF(LEFT(LOWER($H511),4)="em p",$G511+0.7,$G511),IF(LEFT(LOWER($H511),4)="deit",$G511-0.7,$G511)))</f>
        <v/>
      </c>
      <c r="W511">
        <f>IF(OR($S511="",$T511=""),"",$S511*1000000+IF($T511&lt;=60,$U511,$T511))</f>
        <v/>
      </c>
      <c r="X511">
        <f>IF(OR($S511="",$V511="",$T511&gt;60,$T511=""),"",$S511*1000000+ROUND($V511*10,0))</f>
        <v/>
      </c>
      <c r="Y511">
        <f>IF($W511="","",IFERROR(INDEX(IF($T511&lt;=60,imc05_l,imc519_l),MATCH($W511,IF($T511&lt;=60,imc05_k,imc519_k),1)),""))</f>
        <v/>
      </c>
      <c r="Z511">
        <f>IF($W511="","",IFERROR(INDEX(IF($T511&lt;=60,imc05_m,imc519_m),MATCH($W511,IF($T511&lt;=60,imc05_k,imc519_k),1)),""))</f>
        <v/>
      </c>
      <c r="AA511">
        <f>IF($W511="","",IFERROR(INDEX(IF($T511&lt;=60,imc05_s,imc519_s),MATCH($W511,IF($T511&lt;=60,imc05_k,imc519_k),1)),""))</f>
        <v/>
      </c>
      <c r="AB511">
        <f>IF($Y511="","",IF($Y511=0,LN($J511/$Z511)/$AA511,((($J511/$Z511)^$Y511)-1)/($Y511*$AA511)))</f>
        <v/>
      </c>
      <c r="AC511">
        <f>IF($Y511="","",IF($Y511=0,$Z511*EXP($AA511*2),$Z511*(1+$Y511*$AA511*2)^(1/$Y511)))</f>
        <v/>
      </c>
      <c r="AD511">
        <f>IF($Y511="","",IF($Y511=0,$Z511*EXP($AA511*3),$Z511*(1+$Y511*$AA511*3)^(1/$Y511)))</f>
        <v/>
      </c>
      <c r="AE511">
        <f>IF($Y511="","",IF($Y511=0,$Z511*EXP($AA511*-2),$Z511*(1+$Y511*$AA511*-2)^(1/$Y511)))</f>
        <v/>
      </c>
      <c r="AF511">
        <f>IF($Y511="","",IF($Y511=0,$Z511*EXP($AA511*-3),$Z511*(1+$Y511*$AA511*-3)^(1/$Y511)))</f>
        <v/>
      </c>
      <c r="AG511">
        <f>IF($W511="","",IFERROR(INDEX(IF($T511&lt;=60,est05_l,est519_l),MATCH($W511,IF($T511&lt;=60,est05_k,est519_k),1)),""))</f>
        <v/>
      </c>
      <c r="AH511">
        <f>IF($W511="","",IFERROR(INDEX(IF($T511&lt;=60,est05_m,est519_m),MATCH($W511,IF($T511&lt;=60,est05_k,est519_k),1)),""))</f>
        <v/>
      </c>
      <c r="AI511">
        <f>IF($W511="","",IFERROR(INDEX(IF($T511&lt;=60,est05_s,est519_s),MATCH($W511,IF($T511&lt;=60,est05_k,est519_k),1)),""))</f>
        <v/>
      </c>
      <c r="AJ511">
        <f>IF($W511="","",IFERROR(INDEX(IF($T511&lt;=60,peso05_l,peso510_l),MATCH($W511,IF($T511&lt;=60,peso05_k,peso510_k),1)),""))</f>
        <v/>
      </c>
      <c r="AK511">
        <f>IF($W511="","",IFERROR(INDEX(IF($T511&lt;=60,peso05_m,peso510_m),MATCH($W511,IF($T511&lt;=60,peso05_k,peso510_k),1)),""))</f>
        <v/>
      </c>
      <c r="AL511">
        <f>IF($W511="","",IFERROR(INDEX(IF($T511&lt;=60,peso05_s,peso510_s),MATCH($W511,IF($T511&lt;=60,peso05_k,peso510_k),1)),""))</f>
        <v/>
      </c>
      <c r="AM511">
        <f>IF($AJ511="","",IF($AJ511=0,LN($F511/$AK511)/$AL511,((($F511/$AK511)^$AJ511)-1)/($AJ511*$AL511)))</f>
        <v/>
      </c>
      <c r="AN511">
        <f>IF($AJ511="","",IF($AJ511=0,$AK511*EXP($AL511*2),$AK511*(1+$AJ511*$AL511*2)^(1/$AJ511)))</f>
        <v/>
      </c>
      <c r="AO511">
        <f>IF($AJ511="","",IF($AJ511=0,$AK511*EXP($AL511*3),$AK511*(1+$AJ511*$AL511*3)^(1/$AJ511)))</f>
        <v/>
      </c>
      <c r="AP511">
        <f>IF($AJ511="","",IF($AJ511=0,$AK511*EXP($AL511*-2),$AK511*(1+$AJ511*$AL511*-2)^(1/$AJ511)))</f>
        <v/>
      </c>
      <c r="AQ511">
        <f>IF($AJ511="","",IF($AJ511=0,$AK511*EXP($AL511*-3),$AK511*(1+$AJ511*$AL511*-3)^(1/$AJ511)))</f>
        <v/>
      </c>
      <c r="AR511">
        <f>IF(OR($X511="",$T511&gt;60),"",IFERROR(INDEX(IF($T511&lt;24,pcomp_l,palt_l),MATCH($X511,IF($T511&lt;24,pcomp_k,palt_k),1)),""))</f>
        <v/>
      </c>
      <c r="AS511">
        <f>IF(OR($X511="",$T511&gt;60),"",IFERROR(INDEX(IF($T511&lt;24,pcomp_m,palt_m),MATCH($X511,IF($T511&lt;24,pcomp_k,palt_k),1)),""))</f>
        <v/>
      </c>
      <c r="AT511">
        <f>IF(OR($X511="",$T511&gt;60),"",IFERROR(INDEX(IF($T511&lt;24,pcomp_s,palt_s),MATCH($X511,IF($T511&lt;24,pcomp_k,palt_k),1)),""))</f>
        <v/>
      </c>
      <c r="AU511">
        <f>IF($AR511="","",IF($AR511=0,LN($F511/$AS511)/$AT511,((($F511/$AS511)^$AR511)-1)/($AR511*$AT511)))</f>
        <v/>
      </c>
      <c r="AV511">
        <f>IF($AR511="","",IF($AR511=0,$AS511*EXP($AT511*2),$AS511*(1+$AR511*$AT511*2)^(1/$AR511)))</f>
        <v/>
      </c>
      <c r="AW511">
        <f>IF($AR511="","",IF($AR511=0,$AS511*EXP($AT511*3),$AS511*(1+$AR511*$AT511*3)^(1/$AR511)))</f>
        <v/>
      </c>
      <c r="AX511">
        <f>IF($AR511="","",IF($AR511=0,$AS511*EXP($AT511*-2),$AS511*(1+$AR511*$AT511*-2)^(1/$AR511)))</f>
        <v/>
      </c>
      <c r="AY511">
        <f>IF($AR511="","",IF($AR511=0,$AS511*EXP($AT511*-3),$AS511*(1+$AR511*$AT511*-3)^(1/$AR511)))</f>
        <v/>
      </c>
      <c r="AZ511">
        <f>IF(OR($A511="",$A511&lt;&gt;Ficha!$C$4),"",COUNTIF($A$2:$A511,Ficha!$C$4))</f>
        <v/>
      </c>
    </row>
    <row r="512">
      <c r="A512" s="8">
        <f>IF(INDEX(Banco!$A:$A,ROW())="","",INDEX(Banco!$A:$A,ROW()))</f>
        <v/>
      </c>
      <c r="B512" s="8">
        <f>IF(INDEX(Banco!$B:$B,ROW())="","",INDEX(Banco!$B:$B,ROW()))</f>
        <v/>
      </c>
      <c r="C512" s="8">
        <f>IF(INDEX(Banco!$C:$C,ROW())="","",INDEX(Banco!$C:$C,ROW()))</f>
        <v/>
      </c>
      <c r="D512" s="9">
        <f>IF(INDEX(Banco!$D:$D,ROW())="","",INDEX(Banco!$D:$D,ROW()))</f>
        <v/>
      </c>
      <c r="E512" s="9">
        <f>IF(INDEX(Banco!$E:$E,ROW())="","",INDEX(Banco!$E:$E,ROW()))</f>
        <v/>
      </c>
      <c r="F512" s="10">
        <f>IF(INDEX(Banco!$F:$F,ROW())="","",INDEX(Banco!$F:$F,ROW()))</f>
        <v/>
      </c>
      <c r="G512" s="10">
        <f>IF(INDEX(Banco!$G:$G,ROW())="","",INDEX(Banco!$G:$G,ROW()))</f>
        <v/>
      </c>
      <c r="H512" s="8">
        <f>IF(INDEX(Banco!$H:$H,ROW())="","",INDEX(Banco!$H:$H,ROW()))</f>
        <v/>
      </c>
      <c r="I512">
        <f>IF($T512="","",INT($T512/12)&amp;"a "&amp;MOD($T512,12)&amp;"m")</f>
        <v/>
      </c>
      <c r="J512" s="11">
        <f>IF(OR($F512="",$G512=""),"",ROUND($F512/($G512/100)^2,2))</f>
        <v/>
      </c>
      <c r="K512" s="12">
        <f>IF(OR($S512="",$J512="",$T512="",$T512&lt;0,$T512&gt;228,$Y512=""),"—",ROUND(IF(ABS($AB512)&lt;=3,$AB512,IF($AB512&gt;3,3+($J512-$AD512)/($AD512-$AC512),-3+($J512-$AF512)/($AE512-$AF512))),2))</f>
        <v/>
      </c>
      <c r="L512">
        <f>IF(OR($K512="",$K512="—"),"",IF($T512&lt;=60,IF($K512&lt;-3,"Magreza acentuada",IF($K512&lt;-2,"Magreza",IF($K512&lt;=1,"Eutrofia",IF($K512&lt;=2,"Risco de sobrepeso",IF($K512&lt;=3,"Sobrepeso","Obesidade"))))),IF($K512&lt;-3,"Magreza acentuada",IF($K512&lt;-2,"Magreza",IF($K512&lt;=1,"Eutrofia",IF($K512&lt;=2,"Sobrepeso",IF($K512&lt;=3,"Obesidade","Obesidade grave")))))))</f>
        <v/>
      </c>
      <c r="M512" s="12">
        <f>IF(OR($S512="",$V512="",$T512="",$T512&lt;0,$T512&gt;228,$AG512=""),"—",ROUND(IF($AG512=0,LN($V512/$AH512)/$AI512,((($V512/$AH512)^$AG512)-1)/($AG512*$AI512)),2))</f>
        <v/>
      </c>
      <c r="N512">
        <f>IF(OR($M512="",$M512="—"),"",IF($M512&lt;-3,"Muito baixa",IF($M512&lt;-2,"Baixa","Adequada")))</f>
        <v/>
      </c>
      <c r="O512" s="12">
        <f>IF(OR($S512="",$F512="",$T512="",$T512&lt;0,$T512&gt;120,$AJ512=""),"—",ROUND(IF(ABS($AM512)&lt;=3,$AM512,IF($AM512&gt;3,3+($F512-$AO512)/($AO512-$AN512),-3+($F512-$AQ512)/($AP512-$AQ512))),2))</f>
        <v/>
      </c>
      <c r="P512">
        <f>IF(OR($O512="",$O512="—"),"",IF($O512&lt;-3,"Muito baixo",IF($O512&lt;-2,"Baixo",IF($O512&lt;=2,"Adequado","Elevado"))))</f>
        <v/>
      </c>
      <c r="Q512" s="12">
        <f>IF(OR($S512="",$F512="",$T512="",$T512&lt;0,$T512&gt;60,$AR512=""),"—",ROUND(IF(ABS($AU512)&lt;=3,$AU512,IF($AU512&gt;3,3+($F512-$AW512)/($AW512-$AV512),-3+($F512-$AY512)/($AX512-$AY512))),2))</f>
        <v/>
      </c>
      <c r="R512">
        <f>IF(OR($Q512="",$Q512="—"),"",IF($Q512&lt;-3,"Magreza acentuada",IF($Q512&lt;-2,"Magreza",IF($Q512&lt;=1,"Eutrofia",IF($Q512&lt;=2,"Risco de sobrepeso",IF($Q512&lt;=3,"Sobrepeso","Obesidade"))))))</f>
        <v/>
      </c>
      <c r="S512">
        <f>IF($C512="","",IF(UPPER(LEFT($C512,1))="M",1,IF(UPPER(LEFT($C512,1))="F",2,"")))</f>
        <v/>
      </c>
      <c r="T512">
        <f>IF(OR($D512="",$E512=""),"",DATEDIF($D512,$E512,"m"))</f>
        <v/>
      </c>
      <c r="U512">
        <f>IF(OR($D512="",$E512=""),"",$E512-$D512)</f>
        <v/>
      </c>
      <c r="V512">
        <f>IF(OR($G512="",$T512=""),"",IF($T512&lt;24,IF(LEFT(LOWER($H512),4)="em p",$G512+0.7,$G512),IF(LEFT(LOWER($H512),4)="deit",$G512-0.7,$G512)))</f>
        <v/>
      </c>
      <c r="W512">
        <f>IF(OR($S512="",$T512=""),"",$S512*1000000+IF($T512&lt;=60,$U512,$T512))</f>
        <v/>
      </c>
      <c r="X512">
        <f>IF(OR($S512="",$V512="",$T512&gt;60,$T512=""),"",$S512*1000000+ROUND($V512*10,0))</f>
        <v/>
      </c>
      <c r="Y512">
        <f>IF($W512="","",IFERROR(INDEX(IF($T512&lt;=60,imc05_l,imc519_l),MATCH($W512,IF($T512&lt;=60,imc05_k,imc519_k),1)),""))</f>
        <v/>
      </c>
      <c r="Z512">
        <f>IF($W512="","",IFERROR(INDEX(IF($T512&lt;=60,imc05_m,imc519_m),MATCH($W512,IF($T512&lt;=60,imc05_k,imc519_k),1)),""))</f>
        <v/>
      </c>
      <c r="AA512">
        <f>IF($W512="","",IFERROR(INDEX(IF($T512&lt;=60,imc05_s,imc519_s),MATCH($W512,IF($T512&lt;=60,imc05_k,imc519_k),1)),""))</f>
        <v/>
      </c>
      <c r="AB512">
        <f>IF($Y512="","",IF($Y512=0,LN($J512/$Z512)/$AA512,((($J512/$Z512)^$Y512)-1)/($Y512*$AA512)))</f>
        <v/>
      </c>
      <c r="AC512">
        <f>IF($Y512="","",IF($Y512=0,$Z512*EXP($AA512*2),$Z512*(1+$Y512*$AA512*2)^(1/$Y512)))</f>
        <v/>
      </c>
      <c r="AD512">
        <f>IF($Y512="","",IF($Y512=0,$Z512*EXP($AA512*3),$Z512*(1+$Y512*$AA512*3)^(1/$Y512)))</f>
        <v/>
      </c>
      <c r="AE512">
        <f>IF($Y512="","",IF($Y512=0,$Z512*EXP($AA512*-2),$Z512*(1+$Y512*$AA512*-2)^(1/$Y512)))</f>
        <v/>
      </c>
      <c r="AF512">
        <f>IF($Y512="","",IF($Y512=0,$Z512*EXP($AA512*-3),$Z512*(1+$Y512*$AA512*-3)^(1/$Y512)))</f>
        <v/>
      </c>
      <c r="AG512">
        <f>IF($W512="","",IFERROR(INDEX(IF($T512&lt;=60,est05_l,est519_l),MATCH($W512,IF($T512&lt;=60,est05_k,est519_k),1)),""))</f>
        <v/>
      </c>
      <c r="AH512">
        <f>IF($W512="","",IFERROR(INDEX(IF($T512&lt;=60,est05_m,est519_m),MATCH($W512,IF($T512&lt;=60,est05_k,est519_k),1)),""))</f>
        <v/>
      </c>
      <c r="AI512">
        <f>IF($W512="","",IFERROR(INDEX(IF($T512&lt;=60,est05_s,est519_s),MATCH($W512,IF($T512&lt;=60,est05_k,est519_k),1)),""))</f>
        <v/>
      </c>
      <c r="AJ512">
        <f>IF($W512="","",IFERROR(INDEX(IF($T512&lt;=60,peso05_l,peso510_l),MATCH($W512,IF($T512&lt;=60,peso05_k,peso510_k),1)),""))</f>
        <v/>
      </c>
      <c r="AK512">
        <f>IF($W512="","",IFERROR(INDEX(IF($T512&lt;=60,peso05_m,peso510_m),MATCH($W512,IF($T512&lt;=60,peso05_k,peso510_k),1)),""))</f>
        <v/>
      </c>
      <c r="AL512">
        <f>IF($W512="","",IFERROR(INDEX(IF($T512&lt;=60,peso05_s,peso510_s),MATCH($W512,IF($T512&lt;=60,peso05_k,peso510_k),1)),""))</f>
        <v/>
      </c>
      <c r="AM512">
        <f>IF($AJ512="","",IF($AJ512=0,LN($F512/$AK512)/$AL512,((($F512/$AK512)^$AJ512)-1)/($AJ512*$AL512)))</f>
        <v/>
      </c>
      <c r="AN512">
        <f>IF($AJ512="","",IF($AJ512=0,$AK512*EXP($AL512*2),$AK512*(1+$AJ512*$AL512*2)^(1/$AJ512)))</f>
        <v/>
      </c>
      <c r="AO512">
        <f>IF($AJ512="","",IF($AJ512=0,$AK512*EXP($AL512*3),$AK512*(1+$AJ512*$AL512*3)^(1/$AJ512)))</f>
        <v/>
      </c>
      <c r="AP512">
        <f>IF($AJ512="","",IF($AJ512=0,$AK512*EXP($AL512*-2),$AK512*(1+$AJ512*$AL512*-2)^(1/$AJ512)))</f>
        <v/>
      </c>
      <c r="AQ512">
        <f>IF($AJ512="","",IF($AJ512=0,$AK512*EXP($AL512*-3),$AK512*(1+$AJ512*$AL512*-3)^(1/$AJ512)))</f>
        <v/>
      </c>
      <c r="AR512">
        <f>IF(OR($X512="",$T512&gt;60),"",IFERROR(INDEX(IF($T512&lt;24,pcomp_l,palt_l),MATCH($X512,IF($T512&lt;24,pcomp_k,palt_k),1)),""))</f>
        <v/>
      </c>
      <c r="AS512">
        <f>IF(OR($X512="",$T512&gt;60),"",IFERROR(INDEX(IF($T512&lt;24,pcomp_m,palt_m),MATCH($X512,IF($T512&lt;24,pcomp_k,palt_k),1)),""))</f>
        <v/>
      </c>
      <c r="AT512">
        <f>IF(OR($X512="",$T512&gt;60),"",IFERROR(INDEX(IF($T512&lt;24,pcomp_s,palt_s),MATCH($X512,IF($T512&lt;24,pcomp_k,palt_k),1)),""))</f>
        <v/>
      </c>
      <c r="AU512">
        <f>IF($AR512="","",IF($AR512=0,LN($F512/$AS512)/$AT512,((($F512/$AS512)^$AR512)-1)/($AR512*$AT512)))</f>
        <v/>
      </c>
      <c r="AV512">
        <f>IF($AR512="","",IF($AR512=0,$AS512*EXP($AT512*2),$AS512*(1+$AR512*$AT512*2)^(1/$AR512)))</f>
        <v/>
      </c>
      <c r="AW512">
        <f>IF($AR512="","",IF($AR512=0,$AS512*EXP($AT512*3),$AS512*(1+$AR512*$AT512*3)^(1/$AR512)))</f>
        <v/>
      </c>
      <c r="AX512">
        <f>IF($AR512="","",IF($AR512=0,$AS512*EXP($AT512*-2),$AS512*(1+$AR512*$AT512*-2)^(1/$AR512)))</f>
        <v/>
      </c>
      <c r="AY512">
        <f>IF($AR512="","",IF($AR512=0,$AS512*EXP($AT512*-3),$AS512*(1+$AR512*$AT512*-3)^(1/$AR512)))</f>
        <v/>
      </c>
      <c r="AZ512">
        <f>IF(OR($A512="",$A512&lt;&gt;Ficha!$C$4),"",COUNTIF($A$2:$A512,Ficha!$C$4))</f>
        <v/>
      </c>
    </row>
    <row r="513">
      <c r="A513" s="8">
        <f>IF(INDEX(Banco!$A:$A,ROW())="","",INDEX(Banco!$A:$A,ROW()))</f>
        <v/>
      </c>
      <c r="B513" s="8">
        <f>IF(INDEX(Banco!$B:$B,ROW())="","",INDEX(Banco!$B:$B,ROW()))</f>
        <v/>
      </c>
      <c r="C513" s="8">
        <f>IF(INDEX(Banco!$C:$C,ROW())="","",INDEX(Banco!$C:$C,ROW()))</f>
        <v/>
      </c>
      <c r="D513" s="9">
        <f>IF(INDEX(Banco!$D:$D,ROW())="","",INDEX(Banco!$D:$D,ROW()))</f>
        <v/>
      </c>
      <c r="E513" s="9">
        <f>IF(INDEX(Banco!$E:$E,ROW())="","",INDEX(Banco!$E:$E,ROW()))</f>
        <v/>
      </c>
      <c r="F513" s="10">
        <f>IF(INDEX(Banco!$F:$F,ROW())="","",INDEX(Banco!$F:$F,ROW()))</f>
        <v/>
      </c>
      <c r="G513" s="10">
        <f>IF(INDEX(Banco!$G:$G,ROW())="","",INDEX(Banco!$G:$G,ROW()))</f>
        <v/>
      </c>
      <c r="H513" s="8">
        <f>IF(INDEX(Banco!$H:$H,ROW())="","",INDEX(Banco!$H:$H,ROW()))</f>
        <v/>
      </c>
      <c r="I513">
        <f>IF($T513="","",INT($T513/12)&amp;"a "&amp;MOD($T513,12)&amp;"m")</f>
        <v/>
      </c>
      <c r="J513" s="11">
        <f>IF(OR($F513="",$G513=""),"",ROUND($F513/($G513/100)^2,2))</f>
        <v/>
      </c>
      <c r="K513" s="12">
        <f>IF(OR($S513="",$J513="",$T513="",$T513&lt;0,$T513&gt;228,$Y513=""),"—",ROUND(IF(ABS($AB513)&lt;=3,$AB513,IF($AB513&gt;3,3+($J513-$AD513)/($AD513-$AC513),-3+($J513-$AF513)/($AE513-$AF513))),2))</f>
        <v/>
      </c>
      <c r="L513">
        <f>IF(OR($K513="",$K513="—"),"",IF($T513&lt;=60,IF($K513&lt;-3,"Magreza acentuada",IF($K513&lt;-2,"Magreza",IF($K513&lt;=1,"Eutrofia",IF($K513&lt;=2,"Risco de sobrepeso",IF($K513&lt;=3,"Sobrepeso","Obesidade"))))),IF($K513&lt;-3,"Magreza acentuada",IF($K513&lt;-2,"Magreza",IF($K513&lt;=1,"Eutrofia",IF($K513&lt;=2,"Sobrepeso",IF($K513&lt;=3,"Obesidade","Obesidade grave")))))))</f>
        <v/>
      </c>
      <c r="M513" s="12">
        <f>IF(OR($S513="",$V513="",$T513="",$T513&lt;0,$T513&gt;228,$AG513=""),"—",ROUND(IF($AG513=0,LN($V513/$AH513)/$AI513,((($V513/$AH513)^$AG513)-1)/($AG513*$AI513)),2))</f>
        <v/>
      </c>
      <c r="N513">
        <f>IF(OR($M513="",$M513="—"),"",IF($M513&lt;-3,"Muito baixa",IF($M513&lt;-2,"Baixa","Adequada")))</f>
        <v/>
      </c>
      <c r="O513" s="12">
        <f>IF(OR($S513="",$F513="",$T513="",$T513&lt;0,$T513&gt;120,$AJ513=""),"—",ROUND(IF(ABS($AM513)&lt;=3,$AM513,IF($AM513&gt;3,3+($F513-$AO513)/($AO513-$AN513),-3+($F513-$AQ513)/($AP513-$AQ513))),2))</f>
        <v/>
      </c>
      <c r="P513">
        <f>IF(OR($O513="",$O513="—"),"",IF($O513&lt;-3,"Muito baixo",IF($O513&lt;-2,"Baixo",IF($O513&lt;=2,"Adequado","Elevado"))))</f>
        <v/>
      </c>
      <c r="Q513" s="12">
        <f>IF(OR($S513="",$F513="",$T513="",$T513&lt;0,$T513&gt;60,$AR513=""),"—",ROUND(IF(ABS($AU513)&lt;=3,$AU513,IF($AU513&gt;3,3+($F513-$AW513)/($AW513-$AV513),-3+($F513-$AY513)/($AX513-$AY513))),2))</f>
        <v/>
      </c>
      <c r="R513">
        <f>IF(OR($Q513="",$Q513="—"),"",IF($Q513&lt;-3,"Magreza acentuada",IF($Q513&lt;-2,"Magreza",IF($Q513&lt;=1,"Eutrofia",IF($Q513&lt;=2,"Risco de sobrepeso",IF($Q513&lt;=3,"Sobrepeso","Obesidade"))))))</f>
        <v/>
      </c>
      <c r="S513">
        <f>IF($C513="","",IF(UPPER(LEFT($C513,1))="M",1,IF(UPPER(LEFT($C513,1))="F",2,"")))</f>
        <v/>
      </c>
      <c r="T513">
        <f>IF(OR($D513="",$E513=""),"",DATEDIF($D513,$E513,"m"))</f>
        <v/>
      </c>
      <c r="U513">
        <f>IF(OR($D513="",$E513=""),"",$E513-$D513)</f>
        <v/>
      </c>
      <c r="V513">
        <f>IF(OR($G513="",$T513=""),"",IF($T513&lt;24,IF(LEFT(LOWER($H513),4)="em p",$G513+0.7,$G513),IF(LEFT(LOWER($H513),4)="deit",$G513-0.7,$G513)))</f>
        <v/>
      </c>
      <c r="W513">
        <f>IF(OR($S513="",$T513=""),"",$S513*1000000+IF($T513&lt;=60,$U513,$T513))</f>
        <v/>
      </c>
      <c r="X513">
        <f>IF(OR($S513="",$V513="",$T513&gt;60,$T513=""),"",$S513*1000000+ROUND($V513*10,0))</f>
        <v/>
      </c>
      <c r="Y513">
        <f>IF($W513="","",IFERROR(INDEX(IF($T513&lt;=60,imc05_l,imc519_l),MATCH($W513,IF($T513&lt;=60,imc05_k,imc519_k),1)),""))</f>
        <v/>
      </c>
      <c r="Z513">
        <f>IF($W513="","",IFERROR(INDEX(IF($T513&lt;=60,imc05_m,imc519_m),MATCH($W513,IF($T513&lt;=60,imc05_k,imc519_k),1)),""))</f>
        <v/>
      </c>
      <c r="AA513">
        <f>IF($W513="","",IFERROR(INDEX(IF($T513&lt;=60,imc05_s,imc519_s),MATCH($W513,IF($T513&lt;=60,imc05_k,imc519_k),1)),""))</f>
        <v/>
      </c>
      <c r="AB513">
        <f>IF($Y513="","",IF($Y513=0,LN($J513/$Z513)/$AA513,((($J513/$Z513)^$Y513)-1)/($Y513*$AA513)))</f>
        <v/>
      </c>
      <c r="AC513">
        <f>IF($Y513="","",IF($Y513=0,$Z513*EXP($AA513*2),$Z513*(1+$Y513*$AA513*2)^(1/$Y513)))</f>
        <v/>
      </c>
      <c r="AD513">
        <f>IF($Y513="","",IF($Y513=0,$Z513*EXP($AA513*3),$Z513*(1+$Y513*$AA513*3)^(1/$Y513)))</f>
        <v/>
      </c>
      <c r="AE513">
        <f>IF($Y513="","",IF($Y513=0,$Z513*EXP($AA513*-2),$Z513*(1+$Y513*$AA513*-2)^(1/$Y513)))</f>
        <v/>
      </c>
      <c r="AF513">
        <f>IF($Y513="","",IF($Y513=0,$Z513*EXP($AA513*-3),$Z513*(1+$Y513*$AA513*-3)^(1/$Y513)))</f>
        <v/>
      </c>
      <c r="AG513">
        <f>IF($W513="","",IFERROR(INDEX(IF($T513&lt;=60,est05_l,est519_l),MATCH($W513,IF($T513&lt;=60,est05_k,est519_k),1)),""))</f>
        <v/>
      </c>
      <c r="AH513">
        <f>IF($W513="","",IFERROR(INDEX(IF($T513&lt;=60,est05_m,est519_m),MATCH($W513,IF($T513&lt;=60,est05_k,est519_k),1)),""))</f>
        <v/>
      </c>
      <c r="AI513">
        <f>IF($W513="","",IFERROR(INDEX(IF($T513&lt;=60,est05_s,est519_s),MATCH($W513,IF($T513&lt;=60,est05_k,est519_k),1)),""))</f>
        <v/>
      </c>
      <c r="AJ513">
        <f>IF($W513="","",IFERROR(INDEX(IF($T513&lt;=60,peso05_l,peso510_l),MATCH($W513,IF($T513&lt;=60,peso05_k,peso510_k),1)),""))</f>
        <v/>
      </c>
      <c r="AK513">
        <f>IF($W513="","",IFERROR(INDEX(IF($T513&lt;=60,peso05_m,peso510_m),MATCH($W513,IF($T513&lt;=60,peso05_k,peso510_k),1)),""))</f>
        <v/>
      </c>
      <c r="AL513">
        <f>IF($W513="","",IFERROR(INDEX(IF($T513&lt;=60,peso05_s,peso510_s),MATCH($W513,IF($T513&lt;=60,peso05_k,peso510_k),1)),""))</f>
        <v/>
      </c>
      <c r="AM513">
        <f>IF($AJ513="","",IF($AJ513=0,LN($F513/$AK513)/$AL513,((($F513/$AK513)^$AJ513)-1)/($AJ513*$AL513)))</f>
        <v/>
      </c>
      <c r="AN513">
        <f>IF($AJ513="","",IF($AJ513=0,$AK513*EXP($AL513*2),$AK513*(1+$AJ513*$AL513*2)^(1/$AJ513)))</f>
        <v/>
      </c>
      <c r="AO513">
        <f>IF($AJ513="","",IF($AJ513=0,$AK513*EXP($AL513*3),$AK513*(1+$AJ513*$AL513*3)^(1/$AJ513)))</f>
        <v/>
      </c>
      <c r="AP513">
        <f>IF($AJ513="","",IF($AJ513=0,$AK513*EXP($AL513*-2),$AK513*(1+$AJ513*$AL513*-2)^(1/$AJ513)))</f>
        <v/>
      </c>
      <c r="AQ513">
        <f>IF($AJ513="","",IF($AJ513=0,$AK513*EXP($AL513*-3),$AK513*(1+$AJ513*$AL513*-3)^(1/$AJ513)))</f>
        <v/>
      </c>
      <c r="AR513">
        <f>IF(OR($X513="",$T513&gt;60),"",IFERROR(INDEX(IF($T513&lt;24,pcomp_l,palt_l),MATCH($X513,IF($T513&lt;24,pcomp_k,palt_k),1)),""))</f>
        <v/>
      </c>
      <c r="AS513">
        <f>IF(OR($X513="",$T513&gt;60),"",IFERROR(INDEX(IF($T513&lt;24,pcomp_m,palt_m),MATCH($X513,IF($T513&lt;24,pcomp_k,palt_k),1)),""))</f>
        <v/>
      </c>
      <c r="AT513">
        <f>IF(OR($X513="",$T513&gt;60),"",IFERROR(INDEX(IF($T513&lt;24,pcomp_s,palt_s),MATCH($X513,IF($T513&lt;24,pcomp_k,palt_k),1)),""))</f>
        <v/>
      </c>
      <c r="AU513">
        <f>IF($AR513="","",IF($AR513=0,LN($F513/$AS513)/$AT513,((($F513/$AS513)^$AR513)-1)/($AR513*$AT513)))</f>
        <v/>
      </c>
      <c r="AV513">
        <f>IF($AR513="","",IF($AR513=0,$AS513*EXP($AT513*2),$AS513*(1+$AR513*$AT513*2)^(1/$AR513)))</f>
        <v/>
      </c>
      <c r="AW513">
        <f>IF($AR513="","",IF($AR513=0,$AS513*EXP($AT513*3),$AS513*(1+$AR513*$AT513*3)^(1/$AR513)))</f>
        <v/>
      </c>
      <c r="AX513">
        <f>IF($AR513="","",IF($AR513=0,$AS513*EXP($AT513*-2),$AS513*(1+$AR513*$AT513*-2)^(1/$AR513)))</f>
        <v/>
      </c>
      <c r="AY513">
        <f>IF($AR513="","",IF($AR513=0,$AS513*EXP($AT513*-3),$AS513*(1+$AR513*$AT513*-3)^(1/$AR513)))</f>
        <v/>
      </c>
      <c r="AZ513">
        <f>IF(OR($A513="",$A513&lt;&gt;Ficha!$C$4),"",COUNTIF($A$2:$A513,Ficha!$C$4))</f>
        <v/>
      </c>
    </row>
    <row r="514">
      <c r="A514" s="8">
        <f>IF(INDEX(Banco!$A:$A,ROW())="","",INDEX(Banco!$A:$A,ROW()))</f>
        <v/>
      </c>
      <c r="B514" s="8">
        <f>IF(INDEX(Banco!$B:$B,ROW())="","",INDEX(Banco!$B:$B,ROW()))</f>
        <v/>
      </c>
      <c r="C514" s="8">
        <f>IF(INDEX(Banco!$C:$C,ROW())="","",INDEX(Banco!$C:$C,ROW()))</f>
        <v/>
      </c>
      <c r="D514" s="9">
        <f>IF(INDEX(Banco!$D:$D,ROW())="","",INDEX(Banco!$D:$D,ROW()))</f>
        <v/>
      </c>
      <c r="E514" s="9">
        <f>IF(INDEX(Banco!$E:$E,ROW())="","",INDEX(Banco!$E:$E,ROW()))</f>
        <v/>
      </c>
      <c r="F514" s="10">
        <f>IF(INDEX(Banco!$F:$F,ROW())="","",INDEX(Banco!$F:$F,ROW()))</f>
        <v/>
      </c>
      <c r="G514" s="10">
        <f>IF(INDEX(Banco!$G:$G,ROW())="","",INDEX(Banco!$G:$G,ROW()))</f>
        <v/>
      </c>
      <c r="H514" s="8">
        <f>IF(INDEX(Banco!$H:$H,ROW())="","",INDEX(Banco!$H:$H,ROW()))</f>
        <v/>
      </c>
      <c r="I514">
        <f>IF($T514="","",INT($T514/12)&amp;"a "&amp;MOD($T514,12)&amp;"m")</f>
        <v/>
      </c>
      <c r="J514" s="11">
        <f>IF(OR($F514="",$G514=""),"",ROUND($F514/($G514/100)^2,2))</f>
        <v/>
      </c>
      <c r="K514" s="12">
        <f>IF(OR($S514="",$J514="",$T514="",$T514&lt;0,$T514&gt;228,$Y514=""),"—",ROUND(IF(ABS($AB514)&lt;=3,$AB514,IF($AB514&gt;3,3+($J514-$AD514)/($AD514-$AC514),-3+($J514-$AF514)/($AE514-$AF514))),2))</f>
        <v/>
      </c>
      <c r="L514">
        <f>IF(OR($K514="",$K514="—"),"",IF($T514&lt;=60,IF($K514&lt;-3,"Magreza acentuada",IF($K514&lt;-2,"Magreza",IF($K514&lt;=1,"Eutrofia",IF($K514&lt;=2,"Risco de sobrepeso",IF($K514&lt;=3,"Sobrepeso","Obesidade"))))),IF($K514&lt;-3,"Magreza acentuada",IF($K514&lt;-2,"Magreza",IF($K514&lt;=1,"Eutrofia",IF($K514&lt;=2,"Sobrepeso",IF($K514&lt;=3,"Obesidade","Obesidade grave")))))))</f>
        <v/>
      </c>
      <c r="M514" s="12">
        <f>IF(OR($S514="",$V514="",$T514="",$T514&lt;0,$T514&gt;228,$AG514=""),"—",ROUND(IF($AG514=0,LN($V514/$AH514)/$AI514,((($V514/$AH514)^$AG514)-1)/($AG514*$AI514)),2))</f>
        <v/>
      </c>
      <c r="N514">
        <f>IF(OR($M514="",$M514="—"),"",IF($M514&lt;-3,"Muito baixa",IF($M514&lt;-2,"Baixa","Adequada")))</f>
        <v/>
      </c>
      <c r="O514" s="12">
        <f>IF(OR($S514="",$F514="",$T514="",$T514&lt;0,$T514&gt;120,$AJ514=""),"—",ROUND(IF(ABS($AM514)&lt;=3,$AM514,IF($AM514&gt;3,3+($F514-$AO514)/($AO514-$AN514),-3+($F514-$AQ514)/($AP514-$AQ514))),2))</f>
        <v/>
      </c>
      <c r="P514">
        <f>IF(OR($O514="",$O514="—"),"",IF($O514&lt;-3,"Muito baixo",IF($O514&lt;-2,"Baixo",IF($O514&lt;=2,"Adequado","Elevado"))))</f>
        <v/>
      </c>
      <c r="Q514" s="12">
        <f>IF(OR($S514="",$F514="",$T514="",$T514&lt;0,$T514&gt;60,$AR514=""),"—",ROUND(IF(ABS($AU514)&lt;=3,$AU514,IF($AU514&gt;3,3+($F514-$AW514)/($AW514-$AV514),-3+($F514-$AY514)/($AX514-$AY514))),2))</f>
        <v/>
      </c>
      <c r="R514">
        <f>IF(OR($Q514="",$Q514="—"),"",IF($Q514&lt;-3,"Magreza acentuada",IF($Q514&lt;-2,"Magreza",IF($Q514&lt;=1,"Eutrofia",IF($Q514&lt;=2,"Risco de sobrepeso",IF($Q514&lt;=3,"Sobrepeso","Obesidade"))))))</f>
        <v/>
      </c>
      <c r="S514">
        <f>IF($C514="","",IF(UPPER(LEFT($C514,1))="M",1,IF(UPPER(LEFT($C514,1))="F",2,"")))</f>
        <v/>
      </c>
      <c r="T514">
        <f>IF(OR($D514="",$E514=""),"",DATEDIF($D514,$E514,"m"))</f>
        <v/>
      </c>
      <c r="U514">
        <f>IF(OR($D514="",$E514=""),"",$E514-$D514)</f>
        <v/>
      </c>
      <c r="V514">
        <f>IF(OR($G514="",$T514=""),"",IF($T514&lt;24,IF(LEFT(LOWER($H514),4)="em p",$G514+0.7,$G514),IF(LEFT(LOWER($H514),4)="deit",$G514-0.7,$G514)))</f>
        <v/>
      </c>
      <c r="W514">
        <f>IF(OR($S514="",$T514=""),"",$S514*1000000+IF($T514&lt;=60,$U514,$T514))</f>
        <v/>
      </c>
      <c r="X514">
        <f>IF(OR($S514="",$V514="",$T514&gt;60,$T514=""),"",$S514*1000000+ROUND($V514*10,0))</f>
        <v/>
      </c>
      <c r="Y514">
        <f>IF($W514="","",IFERROR(INDEX(IF($T514&lt;=60,imc05_l,imc519_l),MATCH($W514,IF($T514&lt;=60,imc05_k,imc519_k),1)),""))</f>
        <v/>
      </c>
      <c r="Z514">
        <f>IF($W514="","",IFERROR(INDEX(IF($T514&lt;=60,imc05_m,imc519_m),MATCH($W514,IF($T514&lt;=60,imc05_k,imc519_k),1)),""))</f>
        <v/>
      </c>
      <c r="AA514">
        <f>IF($W514="","",IFERROR(INDEX(IF($T514&lt;=60,imc05_s,imc519_s),MATCH($W514,IF($T514&lt;=60,imc05_k,imc519_k),1)),""))</f>
        <v/>
      </c>
      <c r="AB514">
        <f>IF($Y514="","",IF($Y514=0,LN($J514/$Z514)/$AA514,((($J514/$Z514)^$Y514)-1)/($Y514*$AA514)))</f>
        <v/>
      </c>
      <c r="AC514">
        <f>IF($Y514="","",IF($Y514=0,$Z514*EXP($AA514*2),$Z514*(1+$Y514*$AA514*2)^(1/$Y514)))</f>
        <v/>
      </c>
      <c r="AD514">
        <f>IF($Y514="","",IF($Y514=0,$Z514*EXP($AA514*3),$Z514*(1+$Y514*$AA514*3)^(1/$Y514)))</f>
        <v/>
      </c>
      <c r="AE514">
        <f>IF($Y514="","",IF($Y514=0,$Z514*EXP($AA514*-2),$Z514*(1+$Y514*$AA514*-2)^(1/$Y514)))</f>
        <v/>
      </c>
      <c r="AF514">
        <f>IF($Y514="","",IF($Y514=0,$Z514*EXP($AA514*-3),$Z514*(1+$Y514*$AA514*-3)^(1/$Y514)))</f>
        <v/>
      </c>
      <c r="AG514">
        <f>IF($W514="","",IFERROR(INDEX(IF($T514&lt;=60,est05_l,est519_l),MATCH($W514,IF($T514&lt;=60,est05_k,est519_k),1)),""))</f>
        <v/>
      </c>
      <c r="AH514">
        <f>IF($W514="","",IFERROR(INDEX(IF($T514&lt;=60,est05_m,est519_m),MATCH($W514,IF($T514&lt;=60,est05_k,est519_k),1)),""))</f>
        <v/>
      </c>
      <c r="AI514">
        <f>IF($W514="","",IFERROR(INDEX(IF($T514&lt;=60,est05_s,est519_s),MATCH($W514,IF($T514&lt;=60,est05_k,est519_k),1)),""))</f>
        <v/>
      </c>
      <c r="AJ514">
        <f>IF($W514="","",IFERROR(INDEX(IF($T514&lt;=60,peso05_l,peso510_l),MATCH($W514,IF($T514&lt;=60,peso05_k,peso510_k),1)),""))</f>
        <v/>
      </c>
      <c r="AK514">
        <f>IF($W514="","",IFERROR(INDEX(IF($T514&lt;=60,peso05_m,peso510_m),MATCH($W514,IF($T514&lt;=60,peso05_k,peso510_k),1)),""))</f>
        <v/>
      </c>
      <c r="AL514">
        <f>IF($W514="","",IFERROR(INDEX(IF($T514&lt;=60,peso05_s,peso510_s),MATCH($W514,IF($T514&lt;=60,peso05_k,peso510_k),1)),""))</f>
        <v/>
      </c>
      <c r="AM514">
        <f>IF($AJ514="","",IF($AJ514=0,LN($F514/$AK514)/$AL514,((($F514/$AK514)^$AJ514)-1)/($AJ514*$AL514)))</f>
        <v/>
      </c>
      <c r="AN514">
        <f>IF($AJ514="","",IF($AJ514=0,$AK514*EXP($AL514*2),$AK514*(1+$AJ514*$AL514*2)^(1/$AJ514)))</f>
        <v/>
      </c>
      <c r="AO514">
        <f>IF($AJ514="","",IF($AJ514=0,$AK514*EXP($AL514*3),$AK514*(1+$AJ514*$AL514*3)^(1/$AJ514)))</f>
        <v/>
      </c>
      <c r="AP514">
        <f>IF($AJ514="","",IF($AJ514=0,$AK514*EXP($AL514*-2),$AK514*(1+$AJ514*$AL514*-2)^(1/$AJ514)))</f>
        <v/>
      </c>
      <c r="AQ514">
        <f>IF($AJ514="","",IF($AJ514=0,$AK514*EXP($AL514*-3),$AK514*(1+$AJ514*$AL514*-3)^(1/$AJ514)))</f>
        <v/>
      </c>
      <c r="AR514">
        <f>IF(OR($X514="",$T514&gt;60),"",IFERROR(INDEX(IF($T514&lt;24,pcomp_l,palt_l),MATCH($X514,IF($T514&lt;24,pcomp_k,palt_k),1)),""))</f>
        <v/>
      </c>
      <c r="AS514">
        <f>IF(OR($X514="",$T514&gt;60),"",IFERROR(INDEX(IF($T514&lt;24,pcomp_m,palt_m),MATCH($X514,IF($T514&lt;24,pcomp_k,palt_k),1)),""))</f>
        <v/>
      </c>
      <c r="AT514">
        <f>IF(OR($X514="",$T514&gt;60),"",IFERROR(INDEX(IF($T514&lt;24,pcomp_s,palt_s),MATCH($X514,IF($T514&lt;24,pcomp_k,palt_k),1)),""))</f>
        <v/>
      </c>
      <c r="AU514">
        <f>IF($AR514="","",IF($AR514=0,LN($F514/$AS514)/$AT514,((($F514/$AS514)^$AR514)-1)/($AR514*$AT514)))</f>
        <v/>
      </c>
      <c r="AV514">
        <f>IF($AR514="","",IF($AR514=0,$AS514*EXP($AT514*2),$AS514*(1+$AR514*$AT514*2)^(1/$AR514)))</f>
        <v/>
      </c>
      <c r="AW514">
        <f>IF($AR514="","",IF($AR514=0,$AS514*EXP($AT514*3),$AS514*(1+$AR514*$AT514*3)^(1/$AR514)))</f>
        <v/>
      </c>
      <c r="AX514">
        <f>IF($AR514="","",IF($AR514=0,$AS514*EXP($AT514*-2),$AS514*(1+$AR514*$AT514*-2)^(1/$AR514)))</f>
        <v/>
      </c>
      <c r="AY514">
        <f>IF($AR514="","",IF($AR514=0,$AS514*EXP($AT514*-3),$AS514*(1+$AR514*$AT514*-3)^(1/$AR514)))</f>
        <v/>
      </c>
      <c r="AZ514">
        <f>IF(OR($A514="",$A514&lt;&gt;Ficha!$C$4),"",COUNTIF($A$2:$A514,Ficha!$C$4))</f>
        <v/>
      </c>
    </row>
    <row r="515">
      <c r="A515" s="8">
        <f>IF(INDEX(Banco!$A:$A,ROW())="","",INDEX(Banco!$A:$A,ROW()))</f>
        <v/>
      </c>
      <c r="B515" s="8">
        <f>IF(INDEX(Banco!$B:$B,ROW())="","",INDEX(Banco!$B:$B,ROW()))</f>
        <v/>
      </c>
      <c r="C515" s="8">
        <f>IF(INDEX(Banco!$C:$C,ROW())="","",INDEX(Banco!$C:$C,ROW()))</f>
        <v/>
      </c>
      <c r="D515" s="9">
        <f>IF(INDEX(Banco!$D:$D,ROW())="","",INDEX(Banco!$D:$D,ROW()))</f>
        <v/>
      </c>
      <c r="E515" s="9">
        <f>IF(INDEX(Banco!$E:$E,ROW())="","",INDEX(Banco!$E:$E,ROW()))</f>
        <v/>
      </c>
      <c r="F515" s="10">
        <f>IF(INDEX(Banco!$F:$F,ROW())="","",INDEX(Banco!$F:$F,ROW()))</f>
        <v/>
      </c>
      <c r="G515" s="10">
        <f>IF(INDEX(Banco!$G:$G,ROW())="","",INDEX(Banco!$G:$G,ROW()))</f>
        <v/>
      </c>
      <c r="H515" s="8">
        <f>IF(INDEX(Banco!$H:$H,ROW())="","",INDEX(Banco!$H:$H,ROW()))</f>
        <v/>
      </c>
      <c r="I515">
        <f>IF($T515="","",INT($T515/12)&amp;"a "&amp;MOD($T515,12)&amp;"m")</f>
        <v/>
      </c>
      <c r="J515" s="11">
        <f>IF(OR($F515="",$G515=""),"",ROUND($F515/($G515/100)^2,2))</f>
        <v/>
      </c>
      <c r="K515" s="12">
        <f>IF(OR($S515="",$J515="",$T515="",$T515&lt;0,$T515&gt;228,$Y515=""),"—",ROUND(IF(ABS($AB515)&lt;=3,$AB515,IF($AB515&gt;3,3+($J515-$AD515)/($AD515-$AC515),-3+($J515-$AF515)/($AE515-$AF515))),2))</f>
        <v/>
      </c>
      <c r="L515">
        <f>IF(OR($K515="",$K515="—"),"",IF($T515&lt;=60,IF($K515&lt;-3,"Magreza acentuada",IF($K515&lt;-2,"Magreza",IF($K515&lt;=1,"Eutrofia",IF($K515&lt;=2,"Risco de sobrepeso",IF($K515&lt;=3,"Sobrepeso","Obesidade"))))),IF($K515&lt;-3,"Magreza acentuada",IF($K515&lt;-2,"Magreza",IF($K515&lt;=1,"Eutrofia",IF($K515&lt;=2,"Sobrepeso",IF($K515&lt;=3,"Obesidade","Obesidade grave")))))))</f>
        <v/>
      </c>
      <c r="M515" s="12">
        <f>IF(OR($S515="",$V515="",$T515="",$T515&lt;0,$T515&gt;228,$AG515=""),"—",ROUND(IF($AG515=0,LN($V515/$AH515)/$AI515,((($V515/$AH515)^$AG515)-1)/($AG515*$AI515)),2))</f>
        <v/>
      </c>
      <c r="N515">
        <f>IF(OR($M515="",$M515="—"),"",IF($M515&lt;-3,"Muito baixa",IF($M515&lt;-2,"Baixa","Adequada")))</f>
        <v/>
      </c>
      <c r="O515" s="12">
        <f>IF(OR($S515="",$F515="",$T515="",$T515&lt;0,$T515&gt;120,$AJ515=""),"—",ROUND(IF(ABS($AM515)&lt;=3,$AM515,IF($AM515&gt;3,3+($F515-$AO515)/($AO515-$AN515),-3+($F515-$AQ515)/($AP515-$AQ515))),2))</f>
        <v/>
      </c>
      <c r="P515">
        <f>IF(OR($O515="",$O515="—"),"",IF($O515&lt;-3,"Muito baixo",IF($O515&lt;-2,"Baixo",IF($O515&lt;=2,"Adequado","Elevado"))))</f>
        <v/>
      </c>
      <c r="Q515" s="12">
        <f>IF(OR($S515="",$F515="",$T515="",$T515&lt;0,$T515&gt;60,$AR515=""),"—",ROUND(IF(ABS($AU515)&lt;=3,$AU515,IF($AU515&gt;3,3+($F515-$AW515)/($AW515-$AV515),-3+($F515-$AY515)/($AX515-$AY515))),2))</f>
        <v/>
      </c>
      <c r="R515">
        <f>IF(OR($Q515="",$Q515="—"),"",IF($Q515&lt;-3,"Magreza acentuada",IF($Q515&lt;-2,"Magreza",IF($Q515&lt;=1,"Eutrofia",IF($Q515&lt;=2,"Risco de sobrepeso",IF($Q515&lt;=3,"Sobrepeso","Obesidade"))))))</f>
        <v/>
      </c>
      <c r="S515">
        <f>IF($C515="","",IF(UPPER(LEFT($C515,1))="M",1,IF(UPPER(LEFT($C515,1))="F",2,"")))</f>
        <v/>
      </c>
      <c r="T515">
        <f>IF(OR($D515="",$E515=""),"",DATEDIF($D515,$E515,"m"))</f>
        <v/>
      </c>
      <c r="U515">
        <f>IF(OR($D515="",$E515=""),"",$E515-$D515)</f>
        <v/>
      </c>
      <c r="V515">
        <f>IF(OR($G515="",$T515=""),"",IF($T515&lt;24,IF(LEFT(LOWER($H515),4)="em p",$G515+0.7,$G515),IF(LEFT(LOWER($H515),4)="deit",$G515-0.7,$G515)))</f>
        <v/>
      </c>
      <c r="W515">
        <f>IF(OR($S515="",$T515=""),"",$S515*1000000+IF($T515&lt;=60,$U515,$T515))</f>
        <v/>
      </c>
      <c r="X515">
        <f>IF(OR($S515="",$V515="",$T515&gt;60,$T515=""),"",$S515*1000000+ROUND($V515*10,0))</f>
        <v/>
      </c>
      <c r="Y515">
        <f>IF($W515="","",IFERROR(INDEX(IF($T515&lt;=60,imc05_l,imc519_l),MATCH($W515,IF($T515&lt;=60,imc05_k,imc519_k),1)),""))</f>
        <v/>
      </c>
      <c r="Z515">
        <f>IF($W515="","",IFERROR(INDEX(IF($T515&lt;=60,imc05_m,imc519_m),MATCH($W515,IF($T515&lt;=60,imc05_k,imc519_k),1)),""))</f>
        <v/>
      </c>
      <c r="AA515">
        <f>IF($W515="","",IFERROR(INDEX(IF($T515&lt;=60,imc05_s,imc519_s),MATCH($W515,IF($T515&lt;=60,imc05_k,imc519_k),1)),""))</f>
        <v/>
      </c>
      <c r="AB515">
        <f>IF($Y515="","",IF($Y515=0,LN($J515/$Z515)/$AA515,((($J515/$Z515)^$Y515)-1)/($Y515*$AA515)))</f>
        <v/>
      </c>
      <c r="AC515">
        <f>IF($Y515="","",IF($Y515=0,$Z515*EXP($AA515*2),$Z515*(1+$Y515*$AA515*2)^(1/$Y515)))</f>
        <v/>
      </c>
      <c r="AD515">
        <f>IF($Y515="","",IF($Y515=0,$Z515*EXP($AA515*3),$Z515*(1+$Y515*$AA515*3)^(1/$Y515)))</f>
        <v/>
      </c>
      <c r="AE515">
        <f>IF($Y515="","",IF($Y515=0,$Z515*EXP($AA515*-2),$Z515*(1+$Y515*$AA515*-2)^(1/$Y515)))</f>
        <v/>
      </c>
      <c r="AF515">
        <f>IF($Y515="","",IF($Y515=0,$Z515*EXP($AA515*-3),$Z515*(1+$Y515*$AA515*-3)^(1/$Y515)))</f>
        <v/>
      </c>
      <c r="AG515">
        <f>IF($W515="","",IFERROR(INDEX(IF($T515&lt;=60,est05_l,est519_l),MATCH($W515,IF($T515&lt;=60,est05_k,est519_k),1)),""))</f>
        <v/>
      </c>
      <c r="AH515">
        <f>IF($W515="","",IFERROR(INDEX(IF($T515&lt;=60,est05_m,est519_m),MATCH($W515,IF($T515&lt;=60,est05_k,est519_k),1)),""))</f>
        <v/>
      </c>
      <c r="AI515">
        <f>IF($W515="","",IFERROR(INDEX(IF($T515&lt;=60,est05_s,est519_s),MATCH($W515,IF($T515&lt;=60,est05_k,est519_k),1)),""))</f>
        <v/>
      </c>
      <c r="AJ515">
        <f>IF($W515="","",IFERROR(INDEX(IF($T515&lt;=60,peso05_l,peso510_l),MATCH($W515,IF($T515&lt;=60,peso05_k,peso510_k),1)),""))</f>
        <v/>
      </c>
      <c r="AK515">
        <f>IF($W515="","",IFERROR(INDEX(IF($T515&lt;=60,peso05_m,peso510_m),MATCH($W515,IF($T515&lt;=60,peso05_k,peso510_k),1)),""))</f>
        <v/>
      </c>
      <c r="AL515">
        <f>IF($W515="","",IFERROR(INDEX(IF($T515&lt;=60,peso05_s,peso510_s),MATCH($W515,IF($T515&lt;=60,peso05_k,peso510_k),1)),""))</f>
        <v/>
      </c>
      <c r="AM515">
        <f>IF($AJ515="","",IF($AJ515=0,LN($F515/$AK515)/$AL515,((($F515/$AK515)^$AJ515)-1)/($AJ515*$AL515)))</f>
        <v/>
      </c>
      <c r="AN515">
        <f>IF($AJ515="","",IF($AJ515=0,$AK515*EXP($AL515*2),$AK515*(1+$AJ515*$AL515*2)^(1/$AJ515)))</f>
        <v/>
      </c>
      <c r="AO515">
        <f>IF($AJ515="","",IF($AJ515=0,$AK515*EXP($AL515*3),$AK515*(1+$AJ515*$AL515*3)^(1/$AJ515)))</f>
        <v/>
      </c>
      <c r="AP515">
        <f>IF($AJ515="","",IF($AJ515=0,$AK515*EXP($AL515*-2),$AK515*(1+$AJ515*$AL515*-2)^(1/$AJ515)))</f>
        <v/>
      </c>
      <c r="AQ515">
        <f>IF($AJ515="","",IF($AJ515=0,$AK515*EXP($AL515*-3),$AK515*(1+$AJ515*$AL515*-3)^(1/$AJ515)))</f>
        <v/>
      </c>
      <c r="AR515">
        <f>IF(OR($X515="",$T515&gt;60),"",IFERROR(INDEX(IF($T515&lt;24,pcomp_l,palt_l),MATCH($X515,IF($T515&lt;24,pcomp_k,palt_k),1)),""))</f>
        <v/>
      </c>
      <c r="AS515">
        <f>IF(OR($X515="",$T515&gt;60),"",IFERROR(INDEX(IF($T515&lt;24,pcomp_m,palt_m),MATCH($X515,IF($T515&lt;24,pcomp_k,palt_k),1)),""))</f>
        <v/>
      </c>
      <c r="AT515">
        <f>IF(OR($X515="",$T515&gt;60),"",IFERROR(INDEX(IF($T515&lt;24,pcomp_s,palt_s),MATCH($X515,IF($T515&lt;24,pcomp_k,palt_k),1)),""))</f>
        <v/>
      </c>
      <c r="AU515">
        <f>IF($AR515="","",IF($AR515=0,LN($F515/$AS515)/$AT515,((($F515/$AS515)^$AR515)-1)/($AR515*$AT515)))</f>
        <v/>
      </c>
      <c r="AV515">
        <f>IF($AR515="","",IF($AR515=0,$AS515*EXP($AT515*2),$AS515*(1+$AR515*$AT515*2)^(1/$AR515)))</f>
        <v/>
      </c>
      <c r="AW515">
        <f>IF($AR515="","",IF($AR515=0,$AS515*EXP($AT515*3),$AS515*(1+$AR515*$AT515*3)^(1/$AR515)))</f>
        <v/>
      </c>
      <c r="AX515">
        <f>IF($AR515="","",IF($AR515=0,$AS515*EXP($AT515*-2),$AS515*(1+$AR515*$AT515*-2)^(1/$AR515)))</f>
        <v/>
      </c>
      <c r="AY515">
        <f>IF($AR515="","",IF($AR515=0,$AS515*EXP($AT515*-3),$AS515*(1+$AR515*$AT515*-3)^(1/$AR515)))</f>
        <v/>
      </c>
      <c r="AZ515">
        <f>IF(OR($A515="",$A515&lt;&gt;Ficha!$C$4),"",COUNTIF($A$2:$A515,Ficha!$C$4))</f>
        <v/>
      </c>
    </row>
    <row r="516">
      <c r="A516" s="8">
        <f>IF(INDEX(Banco!$A:$A,ROW())="","",INDEX(Banco!$A:$A,ROW()))</f>
        <v/>
      </c>
      <c r="B516" s="8">
        <f>IF(INDEX(Banco!$B:$B,ROW())="","",INDEX(Banco!$B:$B,ROW()))</f>
        <v/>
      </c>
      <c r="C516" s="8">
        <f>IF(INDEX(Banco!$C:$C,ROW())="","",INDEX(Banco!$C:$C,ROW()))</f>
        <v/>
      </c>
      <c r="D516" s="9">
        <f>IF(INDEX(Banco!$D:$D,ROW())="","",INDEX(Banco!$D:$D,ROW()))</f>
        <v/>
      </c>
      <c r="E516" s="9">
        <f>IF(INDEX(Banco!$E:$E,ROW())="","",INDEX(Banco!$E:$E,ROW()))</f>
        <v/>
      </c>
      <c r="F516" s="10">
        <f>IF(INDEX(Banco!$F:$F,ROW())="","",INDEX(Banco!$F:$F,ROW()))</f>
        <v/>
      </c>
      <c r="G516" s="10">
        <f>IF(INDEX(Banco!$G:$G,ROW())="","",INDEX(Banco!$G:$G,ROW()))</f>
        <v/>
      </c>
      <c r="H516" s="8">
        <f>IF(INDEX(Banco!$H:$H,ROW())="","",INDEX(Banco!$H:$H,ROW()))</f>
        <v/>
      </c>
      <c r="I516">
        <f>IF($T516="","",INT($T516/12)&amp;"a "&amp;MOD($T516,12)&amp;"m")</f>
        <v/>
      </c>
      <c r="J516" s="11">
        <f>IF(OR($F516="",$G516=""),"",ROUND($F516/($G516/100)^2,2))</f>
        <v/>
      </c>
      <c r="K516" s="12">
        <f>IF(OR($S516="",$J516="",$T516="",$T516&lt;0,$T516&gt;228,$Y516=""),"—",ROUND(IF(ABS($AB516)&lt;=3,$AB516,IF($AB516&gt;3,3+($J516-$AD516)/($AD516-$AC516),-3+($J516-$AF516)/($AE516-$AF516))),2))</f>
        <v/>
      </c>
      <c r="L516">
        <f>IF(OR($K516="",$K516="—"),"",IF($T516&lt;=60,IF($K516&lt;-3,"Magreza acentuada",IF($K516&lt;-2,"Magreza",IF($K516&lt;=1,"Eutrofia",IF($K516&lt;=2,"Risco de sobrepeso",IF($K516&lt;=3,"Sobrepeso","Obesidade"))))),IF($K516&lt;-3,"Magreza acentuada",IF($K516&lt;-2,"Magreza",IF($K516&lt;=1,"Eutrofia",IF($K516&lt;=2,"Sobrepeso",IF($K516&lt;=3,"Obesidade","Obesidade grave")))))))</f>
        <v/>
      </c>
      <c r="M516" s="12">
        <f>IF(OR($S516="",$V516="",$T516="",$T516&lt;0,$T516&gt;228,$AG516=""),"—",ROUND(IF($AG516=0,LN($V516/$AH516)/$AI516,((($V516/$AH516)^$AG516)-1)/($AG516*$AI516)),2))</f>
        <v/>
      </c>
      <c r="N516">
        <f>IF(OR($M516="",$M516="—"),"",IF($M516&lt;-3,"Muito baixa",IF($M516&lt;-2,"Baixa","Adequada")))</f>
        <v/>
      </c>
      <c r="O516" s="12">
        <f>IF(OR($S516="",$F516="",$T516="",$T516&lt;0,$T516&gt;120,$AJ516=""),"—",ROUND(IF(ABS($AM516)&lt;=3,$AM516,IF($AM516&gt;3,3+($F516-$AO516)/($AO516-$AN516),-3+($F516-$AQ516)/($AP516-$AQ516))),2))</f>
        <v/>
      </c>
      <c r="P516">
        <f>IF(OR($O516="",$O516="—"),"",IF($O516&lt;-3,"Muito baixo",IF($O516&lt;-2,"Baixo",IF($O516&lt;=2,"Adequado","Elevado"))))</f>
        <v/>
      </c>
      <c r="Q516" s="12">
        <f>IF(OR($S516="",$F516="",$T516="",$T516&lt;0,$T516&gt;60,$AR516=""),"—",ROUND(IF(ABS($AU516)&lt;=3,$AU516,IF($AU516&gt;3,3+($F516-$AW516)/($AW516-$AV516),-3+($F516-$AY516)/($AX516-$AY516))),2))</f>
        <v/>
      </c>
      <c r="R516">
        <f>IF(OR($Q516="",$Q516="—"),"",IF($Q516&lt;-3,"Magreza acentuada",IF($Q516&lt;-2,"Magreza",IF($Q516&lt;=1,"Eutrofia",IF($Q516&lt;=2,"Risco de sobrepeso",IF($Q516&lt;=3,"Sobrepeso","Obesidade"))))))</f>
        <v/>
      </c>
      <c r="S516">
        <f>IF($C516="","",IF(UPPER(LEFT($C516,1))="M",1,IF(UPPER(LEFT($C516,1))="F",2,"")))</f>
        <v/>
      </c>
      <c r="T516">
        <f>IF(OR($D516="",$E516=""),"",DATEDIF($D516,$E516,"m"))</f>
        <v/>
      </c>
      <c r="U516">
        <f>IF(OR($D516="",$E516=""),"",$E516-$D516)</f>
        <v/>
      </c>
      <c r="V516">
        <f>IF(OR($G516="",$T516=""),"",IF($T516&lt;24,IF(LEFT(LOWER($H516),4)="em p",$G516+0.7,$G516),IF(LEFT(LOWER($H516),4)="deit",$G516-0.7,$G516)))</f>
        <v/>
      </c>
      <c r="W516">
        <f>IF(OR($S516="",$T516=""),"",$S516*1000000+IF($T516&lt;=60,$U516,$T516))</f>
        <v/>
      </c>
      <c r="X516">
        <f>IF(OR($S516="",$V516="",$T516&gt;60,$T516=""),"",$S516*1000000+ROUND($V516*10,0))</f>
        <v/>
      </c>
      <c r="Y516">
        <f>IF($W516="","",IFERROR(INDEX(IF($T516&lt;=60,imc05_l,imc519_l),MATCH($W516,IF($T516&lt;=60,imc05_k,imc519_k),1)),""))</f>
        <v/>
      </c>
      <c r="Z516">
        <f>IF($W516="","",IFERROR(INDEX(IF($T516&lt;=60,imc05_m,imc519_m),MATCH($W516,IF($T516&lt;=60,imc05_k,imc519_k),1)),""))</f>
        <v/>
      </c>
      <c r="AA516">
        <f>IF($W516="","",IFERROR(INDEX(IF($T516&lt;=60,imc05_s,imc519_s),MATCH($W516,IF($T516&lt;=60,imc05_k,imc519_k),1)),""))</f>
        <v/>
      </c>
      <c r="AB516">
        <f>IF($Y516="","",IF($Y516=0,LN($J516/$Z516)/$AA516,((($J516/$Z516)^$Y516)-1)/($Y516*$AA516)))</f>
        <v/>
      </c>
      <c r="AC516">
        <f>IF($Y516="","",IF($Y516=0,$Z516*EXP($AA516*2),$Z516*(1+$Y516*$AA516*2)^(1/$Y516)))</f>
        <v/>
      </c>
      <c r="AD516">
        <f>IF($Y516="","",IF($Y516=0,$Z516*EXP($AA516*3),$Z516*(1+$Y516*$AA516*3)^(1/$Y516)))</f>
        <v/>
      </c>
      <c r="AE516">
        <f>IF($Y516="","",IF($Y516=0,$Z516*EXP($AA516*-2),$Z516*(1+$Y516*$AA516*-2)^(1/$Y516)))</f>
        <v/>
      </c>
      <c r="AF516">
        <f>IF($Y516="","",IF($Y516=0,$Z516*EXP($AA516*-3),$Z516*(1+$Y516*$AA516*-3)^(1/$Y516)))</f>
        <v/>
      </c>
      <c r="AG516">
        <f>IF($W516="","",IFERROR(INDEX(IF($T516&lt;=60,est05_l,est519_l),MATCH($W516,IF($T516&lt;=60,est05_k,est519_k),1)),""))</f>
        <v/>
      </c>
      <c r="AH516">
        <f>IF($W516="","",IFERROR(INDEX(IF($T516&lt;=60,est05_m,est519_m),MATCH($W516,IF($T516&lt;=60,est05_k,est519_k),1)),""))</f>
        <v/>
      </c>
      <c r="AI516">
        <f>IF($W516="","",IFERROR(INDEX(IF($T516&lt;=60,est05_s,est519_s),MATCH($W516,IF($T516&lt;=60,est05_k,est519_k),1)),""))</f>
        <v/>
      </c>
      <c r="AJ516">
        <f>IF($W516="","",IFERROR(INDEX(IF($T516&lt;=60,peso05_l,peso510_l),MATCH($W516,IF($T516&lt;=60,peso05_k,peso510_k),1)),""))</f>
        <v/>
      </c>
      <c r="AK516">
        <f>IF($W516="","",IFERROR(INDEX(IF($T516&lt;=60,peso05_m,peso510_m),MATCH($W516,IF($T516&lt;=60,peso05_k,peso510_k),1)),""))</f>
        <v/>
      </c>
      <c r="AL516">
        <f>IF($W516="","",IFERROR(INDEX(IF($T516&lt;=60,peso05_s,peso510_s),MATCH($W516,IF($T516&lt;=60,peso05_k,peso510_k),1)),""))</f>
        <v/>
      </c>
      <c r="AM516">
        <f>IF($AJ516="","",IF($AJ516=0,LN($F516/$AK516)/$AL516,((($F516/$AK516)^$AJ516)-1)/($AJ516*$AL516)))</f>
        <v/>
      </c>
      <c r="AN516">
        <f>IF($AJ516="","",IF($AJ516=0,$AK516*EXP($AL516*2),$AK516*(1+$AJ516*$AL516*2)^(1/$AJ516)))</f>
        <v/>
      </c>
      <c r="AO516">
        <f>IF($AJ516="","",IF($AJ516=0,$AK516*EXP($AL516*3),$AK516*(1+$AJ516*$AL516*3)^(1/$AJ516)))</f>
        <v/>
      </c>
      <c r="AP516">
        <f>IF($AJ516="","",IF($AJ516=0,$AK516*EXP($AL516*-2),$AK516*(1+$AJ516*$AL516*-2)^(1/$AJ516)))</f>
        <v/>
      </c>
      <c r="AQ516">
        <f>IF($AJ516="","",IF($AJ516=0,$AK516*EXP($AL516*-3),$AK516*(1+$AJ516*$AL516*-3)^(1/$AJ516)))</f>
        <v/>
      </c>
      <c r="AR516">
        <f>IF(OR($X516="",$T516&gt;60),"",IFERROR(INDEX(IF($T516&lt;24,pcomp_l,palt_l),MATCH($X516,IF($T516&lt;24,pcomp_k,palt_k),1)),""))</f>
        <v/>
      </c>
      <c r="AS516">
        <f>IF(OR($X516="",$T516&gt;60),"",IFERROR(INDEX(IF($T516&lt;24,pcomp_m,palt_m),MATCH($X516,IF($T516&lt;24,pcomp_k,palt_k),1)),""))</f>
        <v/>
      </c>
      <c r="AT516">
        <f>IF(OR($X516="",$T516&gt;60),"",IFERROR(INDEX(IF($T516&lt;24,pcomp_s,palt_s),MATCH($X516,IF($T516&lt;24,pcomp_k,palt_k),1)),""))</f>
        <v/>
      </c>
      <c r="AU516">
        <f>IF($AR516="","",IF($AR516=0,LN($F516/$AS516)/$AT516,((($F516/$AS516)^$AR516)-1)/($AR516*$AT516)))</f>
        <v/>
      </c>
      <c r="AV516">
        <f>IF($AR516="","",IF($AR516=0,$AS516*EXP($AT516*2),$AS516*(1+$AR516*$AT516*2)^(1/$AR516)))</f>
        <v/>
      </c>
      <c r="AW516">
        <f>IF($AR516="","",IF($AR516=0,$AS516*EXP($AT516*3),$AS516*(1+$AR516*$AT516*3)^(1/$AR516)))</f>
        <v/>
      </c>
      <c r="AX516">
        <f>IF($AR516="","",IF($AR516=0,$AS516*EXP($AT516*-2),$AS516*(1+$AR516*$AT516*-2)^(1/$AR516)))</f>
        <v/>
      </c>
      <c r="AY516">
        <f>IF($AR516="","",IF($AR516=0,$AS516*EXP($AT516*-3),$AS516*(1+$AR516*$AT516*-3)^(1/$AR516)))</f>
        <v/>
      </c>
      <c r="AZ516">
        <f>IF(OR($A516="",$A516&lt;&gt;Ficha!$C$4),"",COUNTIF($A$2:$A516,Ficha!$C$4))</f>
        <v/>
      </c>
    </row>
    <row r="517">
      <c r="A517" s="8">
        <f>IF(INDEX(Banco!$A:$A,ROW())="","",INDEX(Banco!$A:$A,ROW()))</f>
        <v/>
      </c>
      <c r="B517" s="8">
        <f>IF(INDEX(Banco!$B:$B,ROW())="","",INDEX(Banco!$B:$B,ROW()))</f>
        <v/>
      </c>
      <c r="C517" s="8">
        <f>IF(INDEX(Banco!$C:$C,ROW())="","",INDEX(Banco!$C:$C,ROW()))</f>
        <v/>
      </c>
      <c r="D517" s="9">
        <f>IF(INDEX(Banco!$D:$D,ROW())="","",INDEX(Banco!$D:$D,ROW()))</f>
        <v/>
      </c>
      <c r="E517" s="9">
        <f>IF(INDEX(Banco!$E:$E,ROW())="","",INDEX(Banco!$E:$E,ROW()))</f>
        <v/>
      </c>
      <c r="F517" s="10">
        <f>IF(INDEX(Banco!$F:$F,ROW())="","",INDEX(Banco!$F:$F,ROW()))</f>
        <v/>
      </c>
      <c r="G517" s="10">
        <f>IF(INDEX(Banco!$G:$G,ROW())="","",INDEX(Banco!$G:$G,ROW()))</f>
        <v/>
      </c>
      <c r="H517" s="8">
        <f>IF(INDEX(Banco!$H:$H,ROW())="","",INDEX(Banco!$H:$H,ROW()))</f>
        <v/>
      </c>
      <c r="I517">
        <f>IF($T517="","",INT($T517/12)&amp;"a "&amp;MOD($T517,12)&amp;"m")</f>
        <v/>
      </c>
      <c r="J517" s="11">
        <f>IF(OR($F517="",$G517=""),"",ROUND($F517/($G517/100)^2,2))</f>
        <v/>
      </c>
      <c r="K517" s="12">
        <f>IF(OR($S517="",$J517="",$T517="",$T517&lt;0,$T517&gt;228,$Y517=""),"—",ROUND(IF(ABS($AB517)&lt;=3,$AB517,IF($AB517&gt;3,3+($J517-$AD517)/($AD517-$AC517),-3+($J517-$AF517)/($AE517-$AF517))),2))</f>
        <v/>
      </c>
      <c r="L517">
        <f>IF(OR($K517="",$K517="—"),"",IF($T517&lt;=60,IF($K517&lt;-3,"Magreza acentuada",IF($K517&lt;-2,"Magreza",IF($K517&lt;=1,"Eutrofia",IF($K517&lt;=2,"Risco de sobrepeso",IF($K517&lt;=3,"Sobrepeso","Obesidade"))))),IF($K517&lt;-3,"Magreza acentuada",IF($K517&lt;-2,"Magreza",IF($K517&lt;=1,"Eutrofia",IF($K517&lt;=2,"Sobrepeso",IF($K517&lt;=3,"Obesidade","Obesidade grave")))))))</f>
        <v/>
      </c>
      <c r="M517" s="12">
        <f>IF(OR($S517="",$V517="",$T517="",$T517&lt;0,$T517&gt;228,$AG517=""),"—",ROUND(IF($AG517=0,LN($V517/$AH517)/$AI517,((($V517/$AH517)^$AG517)-1)/($AG517*$AI517)),2))</f>
        <v/>
      </c>
      <c r="N517">
        <f>IF(OR($M517="",$M517="—"),"",IF($M517&lt;-3,"Muito baixa",IF($M517&lt;-2,"Baixa","Adequada")))</f>
        <v/>
      </c>
      <c r="O517" s="12">
        <f>IF(OR($S517="",$F517="",$T517="",$T517&lt;0,$T517&gt;120,$AJ517=""),"—",ROUND(IF(ABS($AM517)&lt;=3,$AM517,IF($AM517&gt;3,3+($F517-$AO517)/($AO517-$AN517),-3+($F517-$AQ517)/($AP517-$AQ517))),2))</f>
        <v/>
      </c>
      <c r="P517">
        <f>IF(OR($O517="",$O517="—"),"",IF($O517&lt;-3,"Muito baixo",IF($O517&lt;-2,"Baixo",IF($O517&lt;=2,"Adequado","Elevado"))))</f>
        <v/>
      </c>
      <c r="Q517" s="12">
        <f>IF(OR($S517="",$F517="",$T517="",$T517&lt;0,$T517&gt;60,$AR517=""),"—",ROUND(IF(ABS($AU517)&lt;=3,$AU517,IF($AU517&gt;3,3+($F517-$AW517)/($AW517-$AV517),-3+($F517-$AY517)/($AX517-$AY517))),2))</f>
        <v/>
      </c>
      <c r="R517">
        <f>IF(OR($Q517="",$Q517="—"),"",IF($Q517&lt;-3,"Magreza acentuada",IF($Q517&lt;-2,"Magreza",IF($Q517&lt;=1,"Eutrofia",IF($Q517&lt;=2,"Risco de sobrepeso",IF($Q517&lt;=3,"Sobrepeso","Obesidade"))))))</f>
        <v/>
      </c>
      <c r="S517">
        <f>IF($C517="","",IF(UPPER(LEFT($C517,1))="M",1,IF(UPPER(LEFT($C517,1))="F",2,"")))</f>
        <v/>
      </c>
      <c r="T517">
        <f>IF(OR($D517="",$E517=""),"",DATEDIF($D517,$E517,"m"))</f>
        <v/>
      </c>
      <c r="U517">
        <f>IF(OR($D517="",$E517=""),"",$E517-$D517)</f>
        <v/>
      </c>
      <c r="V517">
        <f>IF(OR($G517="",$T517=""),"",IF($T517&lt;24,IF(LEFT(LOWER($H517),4)="em p",$G517+0.7,$G517),IF(LEFT(LOWER($H517),4)="deit",$G517-0.7,$G517)))</f>
        <v/>
      </c>
      <c r="W517">
        <f>IF(OR($S517="",$T517=""),"",$S517*1000000+IF($T517&lt;=60,$U517,$T517))</f>
        <v/>
      </c>
      <c r="X517">
        <f>IF(OR($S517="",$V517="",$T517&gt;60,$T517=""),"",$S517*1000000+ROUND($V517*10,0))</f>
        <v/>
      </c>
      <c r="Y517">
        <f>IF($W517="","",IFERROR(INDEX(IF($T517&lt;=60,imc05_l,imc519_l),MATCH($W517,IF($T517&lt;=60,imc05_k,imc519_k),1)),""))</f>
        <v/>
      </c>
      <c r="Z517">
        <f>IF($W517="","",IFERROR(INDEX(IF($T517&lt;=60,imc05_m,imc519_m),MATCH($W517,IF($T517&lt;=60,imc05_k,imc519_k),1)),""))</f>
        <v/>
      </c>
      <c r="AA517">
        <f>IF($W517="","",IFERROR(INDEX(IF($T517&lt;=60,imc05_s,imc519_s),MATCH($W517,IF($T517&lt;=60,imc05_k,imc519_k),1)),""))</f>
        <v/>
      </c>
      <c r="AB517">
        <f>IF($Y517="","",IF($Y517=0,LN($J517/$Z517)/$AA517,((($J517/$Z517)^$Y517)-1)/($Y517*$AA517)))</f>
        <v/>
      </c>
      <c r="AC517">
        <f>IF($Y517="","",IF($Y517=0,$Z517*EXP($AA517*2),$Z517*(1+$Y517*$AA517*2)^(1/$Y517)))</f>
        <v/>
      </c>
      <c r="AD517">
        <f>IF($Y517="","",IF($Y517=0,$Z517*EXP($AA517*3),$Z517*(1+$Y517*$AA517*3)^(1/$Y517)))</f>
        <v/>
      </c>
      <c r="AE517">
        <f>IF($Y517="","",IF($Y517=0,$Z517*EXP($AA517*-2),$Z517*(1+$Y517*$AA517*-2)^(1/$Y517)))</f>
        <v/>
      </c>
      <c r="AF517">
        <f>IF($Y517="","",IF($Y517=0,$Z517*EXP($AA517*-3),$Z517*(1+$Y517*$AA517*-3)^(1/$Y517)))</f>
        <v/>
      </c>
      <c r="AG517">
        <f>IF($W517="","",IFERROR(INDEX(IF($T517&lt;=60,est05_l,est519_l),MATCH($W517,IF($T517&lt;=60,est05_k,est519_k),1)),""))</f>
        <v/>
      </c>
      <c r="AH517">
        <f>IF($W517="","",IFERROR(INDEX(IF($T517&lt;=60,est05_m,est519_m),MATCH($W517,IF($T517&lt;=60,est05_k,est519_k),1)),""))</f>
        <v/>
      </c>
      <c r="AI517">
        <f>IF($W517="","",IFERROR(INDEX(IF($T517&lt;=60,est05_s,est519_s),MATCH($W517,IF($T517&lt;=60,est05_k,est519_k),1)),""))</f>
        <v/>
      </c>
      <c r="AJ517">
        <f>IF($W517="","",IFERROR(INDEX(IF($T517&lt;=60,peso05_l,peso510_l),MATCH($W517,IF($T517&lt;=60,peso05_k,peso510_k),1)),""))</f>
        <v/>
      </c>
      <c r="AK517">
        <f>IF($W517="","",IFERROR(INDEX(IF($T517&lt;=60,peso05_m,peso510_m),MATCH($W517,IF($T517&lt;=60,peso05_k,peso510_k),1)),""))</f>
        <v/>
      </c>
      <c r="AL517">
        <f>IF($W517="","",IFERROR(INDEX(IF($T517&lt;=60,peso05_s,peso510_s),MATCH($W517,IF($T517&lt;=60,peso05_k,peso510_k),1)),""))</f>
        <v/>
      </c>
      <c r="AM517">
        <f>IF($AJ517="","",IF($AJ517=0,LN($F517/$AK517)/$AL517,((($F517/$AK517)^$AJ517)-1)/($AJ517*$AL517)))</f>
        <v/>
      </c>
      <c r="AN517">
        <f>IF($AJ517="","",IF($AJ517=0,$AK517*EXP($AL517*2),$AK517*(1+$AJ517*$AL517*2)^(1/$AJ517)))</f>
        <v/>
      </c>
      <c r="AO517">
        <f>IF($AJ517="","",IF($AJ517=0,$AK517*EXP($AL517*3),$AK517*(1+$AJ517*$AL517*3)^(1/$AJ517)))</f>
        <v/>
      </c>
      <c r="AP517">
        <f>IF($AJ517="","",IF($AJ517=0,$AK517*EXP($AL517*-2),$AK517*(1+$AJ517*$AL517*-2)^(1/$AJ517)))</f>
        <v/>
      </c>
      <c r="AQ517">
        <f>IF($AJ517="","",IF($AJ517=0,$AK517*EXP($AL517*-3),$AK517*(1+$AJ517*$AL517*-3)^(1/$AJ517)))</f>
        <v/>
      </c>
      <c r="AR517">
        <f>IF(OR($X517="",$T517&gt;60),"",IFERROR(INDEX(IF($T517&lt;24,pcomp_l,palt_l),MATCH($X517,IF($T517&lt;24,pcomp_k,palt_k),1)),""))</f>
        <v/>
      </c>
      <c r="AS517">
        <f>IF(OR($X517="",$T517&gt;60),"",IFERROR(INDEX(IF($T517&lt;24,pcomp_m,palt_m),MATCH($X517,IF($T517&lt;24,pcomp_k,palt_k),1)),""))</f>
        <v/>
      </c>
      <c r="AT517">
        <f>IF(OR($X517="",$T517&gt;60),"",IFERROR(INDEX(IF($T517&lt;24,pcomp_s,palt_s),MATCH($X517,IF($T517&lt;24,pcomp_k,palt_k),1)),""))</f>
        <v/>
      </c>
      <c r="AU517">
        <f>IF($AR517="","",IF($AR517=0,LN($F517/$AS517)/$AT517,((($F517/$AS517)^$AR517)-1)/($AR517*$AT517)))</f>
        <v/>
      </c>
      <c r="AV517">
        <f>IF($AR517="","",IF($AR517=0,$AS517*EXP($AT517*2),$AS517*(1+$AR517*$AT517*2)^(1/$AR517)))</f>
        <v/>
      </c>
      <c r="AW517">
        <f>IF($AR517="","",IF($AR517=0,$AS517*EXP($AT517*3),$AS517*(1+$AR517*$AT517*3)^(1/$AR517)))</f>
        <v/>
      </c>
      <c r="AX517">
        <f>IF($AR517="","",IF($AR517=0,$AS517*EXP($AT517*-2),$AS517*(1+$AR517*$AT517*-2)^(1/$AR517)))</f>
        <v/>
      </c>
      <c r="AY517">
        <f>IF($AR517="","",IF($AR517=0,$AS517*EXP($AT517*-3),$AS517*(1+$AR517*$AT517*-3)^(1/$AR517)))</f>
        <v/>
      </c>
      <c r="AZ517">
        <f>IF(OR($A517="",$A517&lt;&gt;Ficha!$C$4),"",COUNTIF($A$2:$A517,Ficha!$C$4))</f>
        <v/>
      </c>
    </row>
    <row r="518">
      <c r="A518" s="8">
        <f>IF(INDEX(Banco!$A:$A,ROW())="","",INDEX(Banco!$A:$A,ROW()))</f>
        <v/>
      </c>
      <c r="B518" s="8">
        <f>IF(INDEX(Banco!$B:$B,ROW())="","",INDEX(Banco!$B:$B,ROW()))</f>
        <v/>
      </c>
      <c r="C518" s="8">
        <f>IF(INDEX(Banco!$C:$C,ROW())="","",INDEX(Banco!$C:$C,ROW()))</f>
        <v/>
      </c>
      <c r="D518" s="9">
        <f>IF(INDEX(Banco!$D:$D,ROW())="","",INDEX(Banco!$D:$D,ROW()))</f>
        <v/>
      </c>
      <c r="E518" s="9">
        <f>IF(INDEX(Banco!$E:$E,ROW())="","",INDEX(Banco!$E:$E,ROW()))</f>
        <v/>
      </c>
      <c r="F518" s="10">
        <f>IF(INDEX(Banco!$F:$F,ROW())="","",INDEX(Banco!$F:$F,ROW()))</f>
        <v/>
      </c>
      <c r="G518" s="10">
        <f>IF(INDEX(Banco!$G:$G,ROW())="","",INDEX(Banco!$G:$G,ROW()))</f>
        <v/>
      </c>
      <c r="H518" s="8">
        <f>IF(INDEX(Banco!$H:$H,ROW())="","",INDEX(Banco!$H:$H,ROW()))</f>
        <v/>
      </c>
      <c r="I518">
        <f>IF($T518="","",INT($T518/12)&amp;"a "&amp;MOD($T518,12)&amp;"m")</f>
        <v/>
      </c>
      <c r="J518" s="11">
        <f>IF(OR($F518="",$G518=""),"",ROUND($F518/($G518/100)^2,2))</f>
        <v/>
      </c>
      <c r="K518" s="12">
        <f>IF(OR($S518="",$J518="",$T518="",$T518&lt;0,$T518&gt;228,$Y518=""),"—",ROUND(IF(ABS($AB518)&lt;=3,$AB518,IF($AB518&gt;3,3+($J518-$AD518)/($AD518-$AC518),-3+($J518-$AF518)/($AE518-$AF518))),2))</f>
        <v/>
      </c>
      <c r="L518">
        <f>IF(OR($K518="",$K518="—"),"",IF($T518&lt;=60,IF($K518&lt;-3,"Magreza acentuada",IF($K518&lt;-2,"Magreza",IF($K518&lt;=1,"Eutrofia",IF($K518&lt;=2,"Risco de sobrepeso",IF($K518&lt;=3,"Sobrepeso","Obesidade"))))),IF($K518&lt;-3,"Magreza acentuada",IF($K518&lt;-2,"Magreza",IF($K518&lt;=1,"Eutrofia",IF($K518&lt;=2,"Sobrepeso",IF($K518&lt;=3,"Obesidade","Obesidade grave")))))))</f>
        <v/>
      </c>
      <c r="M518" s="12">
        <f>IF(OR($S518="",$V518="",$T518="",$T518&lt;0,$T518&gt;228,$AG518=""),"—",ROUND(IF($AG518=0,LN($V518/$AH518)/$AI518,((($V518/$AH518)^$AG518)-1)/($AG518*$AI518)),2))</f>
        <v/>
      </c>
      <c r="N518">
        <f>IF(OR($M518="",$M518="—"),"",IF($M518&lt;-3,"Muito baixa",IF($M518&lt;-2,"Baixa","Adequada")))</f>
        <v/>
      </c>
      <c r="O518" s="12">
        <f>IF(OR($S518="",$F518="",$T518="",$T518&lt;0,$T518&gt;120,$AJ518=""),"—",ROUND(IF(ABS($AM518)&lt;=3,$AM518,IF($AM518&gt;3,3+($F518-$AO518)/($AO518-$AN518),-3+($F518-$AQ518)/($AP518-$AQ518))),2))</f>
        <v/>
      </c>
      <c r="P518">
        <f>IF(OR($O518="",$O518="—"),"",IF($O518&lt;-3,"Muito baixo",IF($O518&lt;-2,"Baixo",IF($O518&lt;=2,"Adequado","Elevado"))))</f>
        <v/>
      </c>
      <c r="Q518" s="12">
        <f>IF(OR($S518="",$F518="",$T518="",$T518&lt;0,$T518&gt;60,$AR518=""),"—",ROUND(IF(ABS($AU518)&lt;=3,$AU518,IF($AU518&gt;3,3+($F518-$AW518)/($AW518-$AV518),-3+($F518-$AY518)/($AX518-$AY518))),2))</f>
        <v/>
      </c>
      <c r="R518">
        <f>IF(OR($Q518="",$Q518="—"),"",IF($Q518&lt;-3,"Magreza acentuada",IF($Q518&lt;-2,"Magreza",IF($Q518&lt;=1,"Eutrofia",IF($Q518&lt;=2,"Risco de sobrepeso",IF($Q518&lt;=3,"Sobrepeso","Obesidade"))))))</f>
        <v/>
      </c>
      <c r="S518">
        <f>IF($C518="","",IF(UPPER(LEFT($C518,1))="M",1,IF(UPPER(LEFT($C518,1))="F",2,"")))</f>
        <v/>
      </c>
      <c r="T518">
        <f>IF(OR($D518="",$E518=""),"",DATEDIF($D518,$E518,"m"))</f>
        <v/>
      </c>
      <c r="U518">
        <f>IF(OR($D518="",$E518=""),"",$E518-$D518)</f>
        <v/>
      </c>
      <c r="V518">
        <f>IF(OR($G518="",$T518=""),"",IF($T518&lt;24,IF(LEFT(LOWER($H518),4)="em p",$G518+0.7,$G518),IF(LEFT(LOWER($H518),4)="deit",$G518-0.7,$G518)))</f>
        <v/>
      </c>
      <c r="W518">
        <f>IF(OR($S518="",$T518=""),"",$S518*1000000+IF($T518&lt;=60,$U518,$T518))</f>
        <v/>
      </c>
      <c r="X518">
        <f>IF(OR($S518="",$V518="",$T518&gt;60,$T518=""),"",$S518*1000000+ROUND($V518*10,0))</f>
        <v/>
      </c>
      <c r="Y518">
        <f>IF($W518="","",IFERROR(INDEX(IF($T518&lt;=60,imc05_l,imc519_l),MATCH($W518,IF($T518&lt;=60,imc05_k,imc519_k),1)),""))</f>
        <v/>
      </c>
      <c r="Z518">
        <f>IF($W518="","",IFERROR(INDEX(IF($T518&lt;=60,imc05_m,imc519_m),MATCH($W518,IF($T518&lt;=60,imc05_k,imc519_k),1)),""))</f>
        <v/>
      </c>
      <c r="AA518">
        <f>IF($W518="","",IFERROR(INDEX(IF($T518&lt;=60,imc05_s,imc519_s),MATCH($W518,IF($T518&lt;=60,imc05_k,imc519_k),1)),""))</f>
        <v/>
      </c>
      <c r="AB518">
        <f>IF($Y518="","",IF($Y518=0,LN($J518/$Z518)/$AA518,((($J518/$Z518)^$Y518)-1)/($Y518*$AA518)))</f>
        <v/>
      </c>
      <c r="AC518">
        <f>IF($Y518="","",IF($Y518=0,$Z518*EXP($AA518*2),$Z518*(1+$Y518*$AA518*2)^(1/$Y518)))</f>
        <v/>
      </c>
      <c r="AD518">
        <f>IF($Y518="","",IF($Y518=0,$Z518*EXP($AA518*3),$Z518*(1+$Y518*$AA518*3)^(1/$Y518)))</f>
        <v/>
      </c>
      <c r="AE518">
        <f>IF($Y518="","",IF($Y518=0,$Z518*EXP($AA518*-2),$Z518*(1+$Y518*$AA518*-2)^(1/$Y518)))</f>
        <v/>
      </c>
      <c r="AF518">
        <f>IF($Y518="","",IF($Y518=0,$Z518*EXP($AA518*-3),$Z518*(1+$Y518*$AA518*-3)^(1/$Y518)))</f>
        <v/>
      </c>
      <c r="AG518">
        <f>IF($W518="","",IFERROR(INDEX(IF($T518&lt;=60,est05_l,est519_l),MATCH($W518,IF($T518&lt;=60,est05_k,est519_k),1)),""))</f>
        <v/>
      </c>
      <c r="AH518">
        <f>IF($W518="","",IFERROR(INDEX(IF($T518&lt;=60,est05_m,est519_m),MATCH($W518,IF($T518&lt;=60,est05_k,est519_k),1)),""))</f>
        <v/>
      </c>
      <c r="AI518">
        <f>IF($W518="","",IFERROR(INDEX(IF($T518&lt;=60,est05_s,est519_s),MATCH($W518,IF($T518&lt;=60,est05_k,est519_k),1)),""))</f>
        <v/>
      </c>
      <c r="AJ518">
        <f>IF($W518="","",IFERROR(INDEX(IF($T518&lt;=60,peso05_l,peso510_l),MATCH($W518,IF($T518&lt;=60,peso05_k,peso510_k),1)),""))</f>
        <v/>
      </c>
      <c r="AK518">
        <f>IF($W518="","",IFERROR(INDEX(IF($T518&lt;=60,peso05_m,peso510_m),MATCH($W518,IF($T518&lt;=60,peso05_k,peso510_k),1)),""))</f>
        <v/>
      </c>
      <c r="AL518">
        <f>IF($W518="","",IFERROR(INDEX(IF($T518&lt;=60,peso05_s,peso510_s),MATCH($W518,IF($T518&lt;=60,peso05_k,peso510_k),1)),""))</f>
        <v/>
      </c>
      <c r="AM518">
        <f>IF($AJ518="","",IF($AJ518=0,LN($F518/$AK518)/$AL518,((($F518/$AK518)^$AJ518)-1)/($AJ518*$AL518)))</f>
        <v/>
      </c>
      <c r="AN518">
        <f>IF($AJ518="","",IF($AJ518=0,$AK518*EXP($AL518*2),$AK518*(1+$AJ518*$AL518*2)^(1/$AJ518)))</f>
        <v/>
      </c>
      <c r="AO518">
        <f>IF($AJ518="","",IF($AJ518=0,$AK518*EXP($AL518*3),$AK518*(1+$AJ518*$AL518*3)^(1/$AJ518)))</f>
        <v/>
      </c>
      <c r="AP518">
        <f>IF($AJ518="","",IF($AJ518=0,$AK518*EXP($AL518*-2),$AK518*(1+$AJ518*$AL518*-2)^(1/$AJ518)))</f>
        <v/>
      </c>
      <c r="AQ518">
        <f>IF($AJ518="","",IF($AJ518=0,$AK518*EXP($AL518*-3),$AK518*(1+$AJ518*$AL518*-3)^(1/$AJ518)))</f>
        <v/>
      </c>
      <c r="AR518">
        <f>IF(OR($X518="",$T518&gt;60),"",IFERROR(INDEX(IF($T518&lt;24,pcomp_l,palt_l),MATCH($X518,IF($T518&lt;24,pcomp_k,palt_k),1)),""))</f>
        <v/>
      </c>
      <c r="AS518">
        <f>IF(OR($X518="",$T518&gt;60),"",IFERROR(INDEX(IF($T518&lt;24,pcomp_m,palt_m),MATCH($X518,IF($T518&lt;24,pcomp_k,palt_k),1)),""))</f>
        <v/>
      </c>
      <c r="AT518">
        <f>IF(OR($X518="",$T518&gt;60),"",IFERROR(INDEX(IF($T518&lt;24,pcomp_s,palt_s),MATCH($X518,IF($T518&lt;24,pcomp_k,palt_k),1)),""))</f>
        <v/>
      </c>
      <c r="AU518">
        <f>IF($AR518="","",IF($AR518=0,LN($F518/$AS518)/$AT518,((($F518/$AS518)^$AR518)-1)/($AR518*$AT518)))</f>
        <v/>
      </c>
      <c r="AV518">
        <f>IF($AR518="","",IF($AR518=0,$AS518*EXP($AT518*2),$AS518*(1+$AR518*$AT518*2)^(1/$AR518)))</f>
        <v/>
      </c>
      <c r="AW518">
        <f>IF($AR518="","",IF($AR518=0,$AS518*EXP($AT518*3),$AS518*(1+$AR518*$AT518*3)^(1/$AR518)))</f>
        <v/>
      </c>
      <c r="AX518">
        <f>IF($AR518="","",IF($AR518=0,$AS518*EXP($AT518*-2),$AS518*(1+$AR518*$AT518*-2)^(1/$AR518)))</f>
        <v/>
      </c>
      <c r="AY518">
        <f>IF($AR518="","",IF($AR518=0,$AS518*EXP($AT518*-3),$AS518*(1+$AR518*$AT518*-3)^(1/$AR518)))</f>
        <v/>
      </c>
      <c r="AZ518">
        <f>IF(OR($A518="",$A518&lt;&gt;Ficha!$C$4),"",COUNTIF($A$2:$A518,Ficha!$C$4))</f>
        <v/>
      </c>
    </row>
    <row r="519">
      <c r="A519" s="8">
        <f>IF(INDEX(Banco!$A:$A,ROW())="","",INDEX(Banco!$A:$A,ROW()))</f>
        <v/>
      </c>
      <c r="B519" s="8">
        <f>IF(INDEX(Banco!$B:$B,ROW())="","",INDEX(Banco!$B:$B,ROW()))</f>
        <v/>
      </c>
      <c r="C519" s="8">
        <f>IF(INDEX(Banco!$C:$C,ROW())="","",INDEX(Banco!$C:$C,ROW()))</f>
        <v/>
      </c>
      <c r="D519" s="9">
        <f>IF(INDEX(Banco!$D:$D,ROW())="","",INDEX(Banco!$D:$D,ROW()))</f>
        <v/>
      </c>
      <c r="E519" s="9">
        <f>IF(INDEX(Banco!$E:$E,ROW())="","",INDEX(Banco!$E:$E,ROW()))</f>
        <v/>
      </c>
      <c r="F519" s="10">
        <f>IF(INDEX(Banco!$F:$F,ROW())="","",INDEX(Banco!$F:$F,ROW()))</f>
        <v/>
      </c>
      <c r="G519" s="10">
        <f>IF(INDEX(Banco!$G:$G,ROW())="","",INDEX(Banco!$G:$G,ROW()))</f>
        <v/>
      </c>
      <c r="H519" s="8">
        <f>IF(INDEX(Banco!$H:$H,ROW())="","",INDEX(Banco!$H:$H,ROW()))</f>
        <v/>
      </c>
      <c r="I519">
        <f>IF($T519="","",INT($T519/12)&amp;"a "&amp;MOD($T519,12)&amp;"m")</f>
        <v/>
      </c>
      <c r="J519" s="11">
        <f>IF(OR($F519="",$G519=""),"",ROUND($F519/($G519/100)^2,2))</f>
        <v/>
      </c>
      <c r="K519" s="12">
        <f>IF(OR($S519="",$J519="",$T519="",$T519&lt;0,$T519&gt;228,$Y519=""),"—",ROUND(IF(ABS($AB519)&lt;=3,$AB519,IF($AB519&gt;3,3+($J519-$AD519)/($AD519-$AC519),-3+($J519-$AF519)/($AE519-$AF519))),2))</f>
        <v/>
      </c>
      <c r="L519">
        <f>IF(OR($K519="",$K519="—"),"",IF($T519&lt;=60,IF($K519&lt;-3,"Magreza acentuada",IF($K519&lt;-2,"Magreza",IF($K519&lt;=1,"Eutrofia",IF($K519&lt;=2,"Risco de sobrepeso",IF($K519&lt;=3,"Sobrepeso","Obesidade"))))),IF($K519&lt;-3,"Magreza acentuada",IF($K519&lt;-2,"Magreza",IF($K519&lt;=1,"Eutrofia",IF($K519&lt;=2,"Sobrepeso",IF($K519&lt;=3,"Obesidade","Obesidade grave")))))))</f>
        <v/>
      </c>
      <c r="M519" s="12">
        <f>IF(OR($S519="",$V519="",$T519="",$T519&lt;0,$T519&gt;228,$AG519=""),"—",ROUND(IF($AG519=0,LN($V519/$AH519)/$AI519,((($V519/$AH519)^$AG519)-1)/($AG519*$AI519)),2))</f>
        <v/>
      </c>
      <c r="N519">
        <f>IF(OR($M519="",$M519="—"),"",IF($M519&lt;-3,"Muito baixa",IF($M519&lt;-2,"Baixa","Adequada")))</f>
        <v/>
      </c>
      <c r="O519" s="12">
        <f>IF(OR($S519="",$F519="",$T519="",$T519&lt;0,$T519&gt;120,$AJ519=""),"—",ROUND(IF(ABS($AM519)&lt;=3,$AM519,IF($AM519&gt;3,3+($F519-$AO519)/($AO519-$AN519),-3+($F519-$AQ519)/($AP519-$AQ519))),2))</f>
        <v/>
      </c>
      <c r="P519">
        <f>IF(OR($O519="",$O519="—"),"",IF($O519&lt;-3,"Muito baixo",IF($O519&lt;-2,"Baixo",IF($O519&lt;=2,"Adequado","Elevado"))))</f>
        <v/>
      </c>
      <c r="Q519" s="12">
        <f>IF(OR($S519="",$F519="",$T519="",$T519&lt;0,$T519&gt;60,$AR519=""),"—",ROUND(IF(ABS($AU519)&lt;=3,$AU519,IF($AU519&gt;3,3+($F519-$AW519)/($AW519-$AV519),-3+($F519-$AY519)/($AX519-$AY519))),2))</f>
        <v/>
      </c>
      <c r="R519">
        <f>IF(OR($Q519="",$Q519="—"),"",IF($Q519&lt;-3,"Magreza acentuada",IF($Q519&lt;-2,"Magreza",IF($Q519&lt;=1,"Eutrofia",IF($Q519&lt;=2,"Risco de sobrepeso",IF($Q519&lt;=3,"Sobrepeso","Obesidade"))))))</f>
        <v/>
      </c>
      <c r="S519">
        <f>IF($C519="","",IF(UPPER(LEFT($C519,1))="M",1,IF(UPPER(LEFT($C519,1))="F",2,"")))</f>
        <v/>
      </c>
      <c r="T519">
        <f>IF(OR($D519="",$E519=""),"",DATEDIF($D519,$E519,"m"))</f>
        <v/>
      </c>
      <c r="U519">
        <f>IF(OR($D519="",$E519=""),"",$E519-$D519)</f>
        <v/>
      </c>
      <c r="V519">
        <f>IF(OR($G519="",$T519=""),"",IF($T519&lt;24,IF(LEFT(LOWER($H519),4)="em p",$G519+0.7,$G519),IF(LEFT(LOWER($H519),4)="deit",$G519-0.7,$G519)))</f>
        <v/>
      </c>
      <c r="W519">
        <f>IF(OR($S519="",$T519=""),"",$S519*1000000+IF($T519&lt;=60,$U519,$T519))</f>
        <v/>
      </c>
      <c r="X519">
        <f>IF(OR($S519="",$V519="",$T519&gt;60,$T519=""),"",$S519*1000000+ROUND($V519*10,0))</f>
        <v/>
      </c>
      <c r="Y519">
        <f>IF($W519="","",IFERROR(INDEX(IF($T519&lt;=60,imc05_l,imc519_l),MATCH($W519,IF($T519&lt;=60,imc05_k,imc519_k),1)),""))</f>
        <v/>
      </c>
      <c r="Z519">
        <f>IF($W519="","",IFERROR(INDEX(IF($T519&lt;=60,imc05_m,imc519_m),MATCH($W519,IF($T519&lt;=60,imc05_k,imc519_k),1)),""))</f>
        <v/>
      </c>
      <c r="AA519">
        <f>IF($W519="","",IFERROR(INDEX(IF($T519&lt;=60,imc05_s,imc519_s),MATCH($W519,IF($T519&lt;=60,imc05_k,imc519_k),1)),""))</f>
        <v/>
      </c>
      <c r="AB519">
        <f>IF($Y519="","",IF($Y519=0,LN($J519/$Z519)/$AA519,((($J519/$Z519)^$Y519)-1)/($Y519*$AA519)))</f>
        <v/>
      </c>
      <c r="AC519">
        <f>IF($Y519="","",IF($Y519=0,$Z519*EXP($AA519*2),$Z519*(1+$Y519*$AA519*2)^(1/$Y519)))</f>
        <v/>
      </c>
      <c r="AD519">
        <f>IF($Y519="","",IF($Y519=0,$Z519*EXP($AA519*3),$Z519*(1+$Y519*$AA519*3)^(1/$Y519)))</f>
        <v/>
      </c>
      <c r="AE519">
        <f>IF($Y519="","",IF($Y519=0,$Z519*EXP($AA519*-2),$Z519*(1+$Y519*$AA519*-2)^(1/$Y519)))</f>
        <v/>
      </c>
      <c r="AF519">
        <f>IF($Y519="","",IF($Y519=0,$Z519*EXP($AA519*-3),$Z519*(1+$Y519*$AA519*-3)^(1/$Y519)))</f>
        <v/>
      </c>
      <c r="AG519">
        <f>IF($W519="","",IFERROR(INDEX(IF($T519&lt;=60,est05_l,est519_l),MATCH($W519,IF($T519&lt;=60,est05_k,est519_k),1)),""))</f>
        <v/>
      </c>
      <c r="AH519">
        <f>IF($W519="","",IFERROR(INDEX(IF($T519&lt;=60,est05_m,est519_m),MATCH($W519,IF($T519&lt;=60,est05_k,est519_k),1)),""))</f>
        <v/>
      </c>
      <c r="AI519">
        <f>IF($W519="","",IFERROR(INDEX(IF($T519&lt;=60,est05_s,est519_s),MATCH($W519,IF($T519&lt;=60,est05_k,est519_k),1)),""))</f>
        <v/>
      </c>
      <c r="AJ519">
        <f>IF($W519="","",IFERROR(INDEX(IF($T519&lt;=60,peso05_l,peso510_l),MATCH($W519,IF($T519&lt;=60,peso05_k,peso510_k),1)),""))</f>
        <v/>
      </c>
      <c r="AK519">
        <f>IF($W519="","",IFERROR(INDEX(IF($T519&lt;=60,peso05_m,peso510_m),MATCH($W519,IF($T519&lt;=60,peso05_k,peso510_k),1)),""))</f>
        <v/>
      </c>
      <c r="AL519">
        <f>IF($W519="","",IFERROR(INDEX(IF($T519&lt;=60,peso05_s,peso510_s),MATCH($W519,IF($T519&lt;=60,peso05_k,peso510_k),1)),""))</f>
        <v/>
      </c>
      <c r="AM519">
        <f>IF($AJ519="","",IF($AJ519=0,LN($F519/$AK519)/$AL519,((($F519/$AK519)^$AJ519)-1)/($AJ519*$AL519)))</f>
        <v/>
      </c>
      <c r="AN519">
        <f>IF($AJ519="","",IF($AJ519=0,$AK519*EXP($AL519*2),$AK519*(1+$AJ519*$AL519*2)^(1/$AJ519)))</f>
        <v/>
      </c>
      <c r="AO519">
        <f>IF($AJ519="","",IF($AJ519=0,$AK519*EXP($AL519*3),$AK519*(1+$AJ519*$AL519*3)^(1/$AJ519)))</f>
        <v/>
      </c>
      <c r="AP519">
        <f>IF($AJ519="","",IF($AJ519=0,$AK519*EXP($AL519*-2),$AK519*(1+$AJ519*$AL519*-2)^(1/$AJ519)))</f>
        <v/>
      </c>
      <c r="AQ519">
        <f>IF($AJ519="","",IF($AJ519=0,$AK519*EXP($AL519*-3),$AK519*(1+$AJ519*$AL519*-3)^(1/$AJ519)))</f>
        <v/>
      </c>
      <c r="AR519">
        <f>IF(OR($X519="",$T519&gt;60),"",IFERROR(INDEX(IF($T519&lt;24,pcomp_l,palt_l),MATCH($X519,IF($T519&lt;24,pcomp_k,palt_k),1)),""))</f>
        <v/>
      </c>
      <c r="AS519">
        <f>IF(OR($X519="",$T519&gt;60),"",IFERROR(INDEX(IF($T519&lt;24,pcomp_m,palt_m),MATCH($X519,IF($T519&lt;24,pcomp_k,palt_k),1)),""))</f>
        <v/>
      </c>
      <c r="AT519">
        <f>IF(OR($X519="",$T519&gt;60),"",IFERROR(INDEX(IF($T519&lt;24,pcomp_s,palt_s),MATCH($X519,IF($T519&lt;24,pcomp_k,palt_k),1)),""))</f>
        <v/>
      </c>
      <c r="AU519">
        <f>IF($AR519="","",IF($AR519=0,LN($F519/$AS519)/$AT519,((($F519/$AS519)^$AR519)-1)/($AR519*$AT519)))</f>
        <v/>
      </c>
      <c r="AV519">
        <f>IF($AR519="","",IF($AR519=0,$AS519*EXP($AT519*2),$AS519*(1+$AR519*$AT519*2)^(1/$AR519)))</f>
        <v/>
      </c>
      <c r="AW519">
        <f>IF($AR519="","",IF($AR519=0,$AS519*EXP($AT519*3),$AS519*(1+$AR519*$AT519*3)^(1/$AR519)))</f>
        <v/>
      </c>
      <c r="AX519">
        <f>IF($AR519="","",IF($AR519=0,$AS519*EXP($AT519*-2),$AS519*(1+$AR519*$AT519*-2)^(1/$AR519)))</f>
        <v/>
      </c>
      <c r="AY519">
        <f>IF($AR519="","",IF($AR519=0,$AS519*EXP($AT519*-3),$AS519*(1+$AR519*$AT519*-3)^(1/$AR519)))</f>
        <v/>
      </c>
      <c r="AZ519">
        <f>IF(OR($A519="",$A519&lt;&gt;Ficha!$C$4),"",COUNTIF($A$2:$A519,Ficha!$C$4))</f>
        <v/>
      </c>
    </row>
    <row r="520">
      <c r="A520" s="8">
        <f>IF(INDEX(Banco!$A:$A,ROW())="","",INDEX(Banco!$A:$A,ROW()))</f>
        <v/>
      </c>
      <c r="B520" s="8">
        <f>IF(INDEX(Banco!$B:$B,ROW())="","",INDEX(Banco!$B:$B,ROW()))</f>
        <v/>
      </c>
      <c r="C520" s="8">
        <f>IF(INDEX(Banco!$C:$C,ROW())="","",INDEX(Banco!$C:$C,ROW()))</f>
        <v/>
      </c>
      <c r="D520" s="9">
        <f>IF(INDEX(Banco!$D:$D,ROW())="","",INDEX(Banco!$D:$D,ROW()))</f>
        <v/>
      </c>
      <c r="E520" s="9">
        <f>IF(INDEX(Banco!$E:$E,ROW())="","",INDEX(Banco!$E:$E,ROW()))</f>
        <v/>
      </c>
      <c r="F520" s="10">
        <f>IF(INDEX(Banco!$F:$F,ROW())="","",INDEX(Banco!$F:$F,ROW()))</f>
        <v/>
      </c>
      <c r="G520" s="10">
        <f>IF(INDEX(Banco!$G:$G,ROW())="","",INDEX(Banco!$G:$G,ROW()))</f>
        <v/>
      </c>
      <c r="H520" s="8">
        <f>IF(INDEX(Banco!$H:$H,ROW())="","",INDEX(Banco!$H:$H,ROW()))</f>
        <v/>
      </c>
      <c r="I520">
        <f>IF($T520="","",INT($T520/12)&amp;"a "&amp;MOD($T520,12)&amp;"m")</f>
        <v/>
      </c>
      <c r="J520" s="11">
        <f>IF(OR($F520="",$G520=""),"",ROUND($F520/($G520/100)^2,2))</f>
        <v/>
      </c>
      <c r="K520" s="12">
        <f>IF(OR($S520="",$J520="",$T520="",$T520&lt;0,$T520&gt;228,$Y520=""),"—",ROUND(IF(ABS($AB520)&lt;=3,$AB520,IF($AB520&gt;3,3+($J520-$AD520)/($AD520-$AC520),-3+($J520-$AF520)/($AE520-$AF520))),2))</f>
        <v/>
      </c>
      <c r="L520">
        <f>IF(OR($K520="",$K520="—"),"",IF($T520&lt;=60,IF($K520&lt;-3,"Magreza acentuada",IF($K520&lt;-2,"Magreza",IF($K520&lt;=1,"Eutrofia",IF($K520&lt;=2,"Risco de sobrepeso",IF($K520&lt;=3,"Sobrepeso","Obesidade"))))),IF($K520&lt;-3,"Magreza acentuada",IF($K520&lt;-2,"Magreza",IF($K520&lt;=1,"Eutrofia",IF($K520&lt;=2,"Sobrepeso",IF($K520&lt;=3,"Obesidade","Obesidade grave")))))))</f>
        <v/>
      </c>
      <c r="M520" s="12">
        <f>IF(OR($S520="",$V520="",$T520="",$T520&lt;0,$T520&gt;228,$AG520=""),"—",ROUND(IF($AG520=0,LN($V520/$AH520)/$AI520,((($V520/$AH520)^$AG520)-1)/($AG520*$AI520)),2))</f>
        <v/>
      </c>
      <c r="N520">
        <f>IF(OR($M520="",$M520="—"),"",IF($M520&lt;-3,"Muito baixa",IF($M520&lt;-2,"Baixa","Adequada")))</f>
        <v/>
      </c>
      <c r="O520" s="12">
        <f>IF(OR($S520="",$F520="",$T520="",$T520&lt;0,$T520&gt;120,$AJ520=""),"—",ROUND(IF(ABS($AM520)&lt;=3,$AM520,IF($AM520&gt;3,3+($F520-$AO520)/($AO520-$AN520),-3+($F520-$AQ520)/($AP520-$AQ520))),2))</f>
        <v/>
      </c>
      <c r="P520">
        <f>IF(OR($O520="",$O520="—"),"",IF($O520&lt;-3,"Muito baixo",IF($O520&lt;-2,"Baixo",IF($O520&lt;=2,"Adequado","Elevado"))))</f>
        <v/>
      </c>
      <c r="Q520" s="12">
        <f>IF(OR($S520="",$F520="",$T520="",$T520&lt;0,$T520&gt;60,$AR520=""),"—",ROUND(IF(ABS($AU520)&lt;=3,$AU520,IF($AU520&gt;3,3+($F520-$AW520)/($AW520-$AV520),-3+($F520-$AY520)/($AX520-$AY520))),2))</f>
        <v/>
      </c>
      <c r="R520">
        <f>IF(OR($Q520="",$Q520="—"),"",IF($Q520&lt;-3,"Magreza acentuada",IF($Q520&lt;-2,"Magreza",IF($Q520&lt;=1,"Eutrofia",IF($Q520&lt;=2,"Risco de sobrepeso",IF($Q520&lt;=3,"Sobrepeso","Obesidade"))))))</f>
        <v/>
      </c>
      <c r="S520">
        <f>IF($C520="","",IF(UPPER(LEFT($C520,1))="M",1,IF(UPPER(LEFT($C520,1))="F",2,"")))</f>
        <v/>
      </c>
      <c r="T520">
        <f>IF(OR($D520="",$E520=""),"",DATEDIF($D520,$E520,"m"))</f>
        <v/>
      </c>
      <c r="U520">
        <f>IF(OR($D520="",$E520=""),"",$E520-$D520)</f>
        <v/>
      </c>
      <c r="V520">
        <f>IF(OR($G520="",$T520=""),"",IF($T520&lt;24,IF(LEFT(LOWER($H520),4)="em p",$G520+0.7,$G520),IF(LEFT(LOWER($H520),4)="deit",$G520-0.7,$G520)))</f>
        <v/>
      </c>
      <c r="W520">
        <f>IF(OR($S520="",$T520=""),"",$S520*1000000+IF($T520&lt;=60,$U520,$T520))</f>
        <v/>
      </c>
      <c r="X520">
        <f>IF(OR($S520="",$V520="",$T520&gt;60,$T520=""),"",$S520*1000000+ROUND($V520*10,0))</f>
        <v/>
      </c>
      <c r="Y520">
        <f>IF($W520="","",IFERROR(INDEX(IF($T520&lt;=60,imc05_l,imc519_l),MATCH($W520,IF($T520&lt;=60,imc05_k,imc519_k),1)),""))</f>
        <v/>
      </c>
      <c r="Z520">
        <f>IF($W520="","",IFERROR(INDEX(IF($T520&lt;=60,imc05_m,imc519_m),MATCH($W520,IF($T520&lt;=60,imc05_k,imc519_k),1)),""))</f>
        <v/>
      </c>
      <c r="AA520">
        <f>IF($W520="","",IFERROR(INDEX(IF($T520&lt;=60,imc05_s,imc519_s),MATCH($W520,IF($T520&lt;=60,imc05_k,imc519_k),1)),""))</f>
        <v/>
      </c>
      <c r="AB520">
        <f>IF($Y520="","",IF($Y520=0,LN($J520/$Z520)/$AA520,((($J520/$Z520)^$Y520)-1)/($Y520*$AA520)))</f>
        <v/>
      </c>
      <c r="AC520">
        <f>IF($Y520="","",IF($Y520=0,$Z520*EXP($AA520*2),$Z520*(1+$Y520*$AA520*2)^(1/$Y520)))</f>
        <v/>
      </c>
      <c r="AD520">
        <f>IF($Y520="","",IF($Y520=0,$Z520*EXP($AA520*3),$Z520*(1+$Y520*$AA520*3)^(1/$Y520)))</f>
        <v/>
      </c>
      <c r="AE520">
        <f>IF($Y520="","",IF($Y520=0,$Z520*EXP($AA520*-2),$Z520*(1+$Y520*$AA520*-2)^(1/$Y520)))</f>
        <v/>
      </c>
      <c r="AF520">
        <f>IF($Y520="","",IF($Y520=0,$Z520*EXP($AA520*-3),$Z520*(1+$Y520*$AA520*-3)^(1/$Y520)))</f>
        <v/>
      </c>
      <c r="AG520">
        <f>IF($W520="","",IFERROR(INDEX(IF($T520&lt;=60,est05_l,est519_l),MATCH($W520,IF($T520&lt;=60,est05_k,est519_k),1)),""))</f>
        <v/>
      </c>
      <c r="AH520">
        <f>IF($W520="","",IFERROR(INDEX(IF($T520&lt;=60,est05_m,est519_m),MATCH($W520,IF($T520&lt;=60,est05_k,est519_k),1)),""))</f>
        <v/>
      </c>
      <c r="AI520">
        <f>IF($W520="","",IFERROR(INDEX(IF($T520&lt;=60,est05_s,est519_s),MATCH($W520,IF($T520&lt;=60,est05_k,est519_k),1)),""))</f>
        <v/>
      </c>
      <c r="AJ520">
        <f>IF($W520="","",IFERROR(INDEX(IF($T520&lt;=60,peso05_l,peso510_l),MATCH($W520,IF($T520&lt;=60,peso05_k,peso510_k),1)),""))</f>
        <v/>
      </c>
      <c r="AK520">
        <f>IF($W520="","",IFERROR(INDEX(IF($T520&lt;=60,peso05_m,peso510_m),MATCH($W520,IF($T520&lt;=60,peso05_k,peso510_k),1)),""))</f>
        <v/>
      </c>
      <c r="AL520">
        <f>IF($W520="","",IFERROR(INDEX(IF($T520&lt;=60,peso05_s,peso510_s),MATCH($W520,IF($T520&lt;=60,peso05_k,peso510_k),1)),""))</f>
        <v/>
      </c>
      <c r="AM520">
        <f>IF($AJ520="","",IF($AJ520=0,LN($F520/$AK520)/$AL520,((($F520/$AK520)^$AJ520)-1)/($AJ520*$AL520)))</f>
        <v/>
      </c>
      <c r="AN520">
        <f>IF($AJ520="","",IF($AJ520=0,$AK520*EXP($AL520*2),$AK520*(1+$AJ520*$AL520*2)^(1/$AJ520)))</f>
        <v/>
      </c>
      <c r="AO520">
        <f>IF($AJ520="","",IF($AJ520=0,$AK520*EXP($AL520*3),$AK520*(1+$AJ520*$AL520*3)^(1/$AJ520)))</f>
        <v/>
      </c>
      <c r="AP520">
        <f>IF($AJ520="","",IF($AJ520=0,$AK520*EXP($AL520*-2),$AK520*(1+$AJ520*$AL520*-2)^(1/$AJ520)))</f>
        <v/>
      </c>
      <c r="AQ520">
        <f>IF($AJ520="","",IF($AJ520=0,$AK520*EXP($AL520*-3),$AK520*(1+$AJ520*$AL520*-3)^(1/$AJ520)))</f>
        <v/>
      </c>
      <c r="AR520">
        <f>IF(OR($X520="",$T520&gt;60),"",IFERROR(INDEX(IF($T520&lt;24,pcomp_l,palt_l),MATCH($X520,IF($T520&lt;24,pcomp_k,palt_k),1)),""))</f>
        <v/>
      </c>
      <c r="AS520">
        <f>IF(OR($X520="",$T520&gt;60),"",IFERROR(INDEX(IF($T520&lt;24,pcomp_m,palt_m),MATCH($X520,IF($T520&lt;24,pcomp_k,palt_k),1)),""))</f>
        <v/>
      </c>
      <c r="AT520">
        <f>IF(OR($X520="",$T520&gt;60),"",IFERROR(INDEX(IF($T520&lt;24,pcomp_s,palt_s),MATCH($X520,IF($T520&lt;24,pcomp_k,palt_k),1)),""))</f>
        <v/>
      </c>
      <c r="AU520">
        <f>IF($AR520="","",IF($AR520=0,LN($F520/$AS520)/$AT520,((($F520/$AS520)^$AR520)-1)/($AR520*$AT520)))</f>
        <v/>
      </c>
      <c r="AV520">
        <f>IF($AR520="","",IF($AR520=0,$AS520*EXP($AT520*2),$AS520*(1+$AR520*$AT520*2)^(1/$AR520)))</f>
        <v/>
      </c>
      <c r="AW520">
        <f>IF($AR520="","",IF($AR520=0,$AS520*EXP($AT520*3),$AS520*(1+$AR520*$AT520*3)^(1/$AR520)))</f>
        <v/>
      </c>
      <c r="AX520">
        <f>IF($AR520="","",IF($AR520=0,$AS520*EXP($AT520*-2),$AS520*(1+$AR520*$AT520*-2)^(1/$AR520)))</f>
        <v/>
      </c>
      <c r="AY520">
        <f>IF($AR520="","",IF($AR520=0,$AS520*EXP($AT520*-3),$AS520*(1+$AR520*$AT520*-3)^(1/$AR520)))</f>
        <v/>
      </c>
      <c r="AZ520">
        <f>IF(OR($A520="",$A520&lt;&gt;Ficha!$C$4),"",COUNTIF($A$2:$A520,Ficha!$C$4))</f>
        <v/>
      </c>
    </row>
    <row r="521">
      <c r="A521" s="8">
        <f>IF(INDEX(Banco!$A:$A,ROW())="","",INDEX(Banco!$A:$A,ROW()))</f>
        <v/>
      </c>
      <c r="B521" s="8">
        <f>IF(INDEX(Banco!$B:$B,ROW())="","",INDEX(Banco!$B:$B,ROW()))</f>
        <v/>
      </c>
      <c r="C521" s="8">
        <f>IF(INDEX(Banco!$C:$C,ROW())="","",INDEX(Banco!$C:$C,ROW()))</f>
        <v/>
      </c>
      <c r="D521" s="9">
        <f>IF(INDEX(Banco!$D:$D,ROW())="","",INDEX(Banco!$D:$D,ROW()))</f>
        <v/>
      </c>
      <c r="E521" s="9">
        <f>IF(INDEX(Banco!$E:$E,ROW())="","",INDEX(Banco!$E:$E,ROW()))</f>
        <v/>
      </c>
      <c r="F521" s="10">
        <f>IF(INDEX(Banco!$F:$F,ROW())="","",INDEX(Banco!$F:$F,ROW()))</f>
        <v/>
      </c>
      <c r="G521" s="10">
        <f>IF(INDEX(Banco!$G:$G,ROW())="","",INDEX(Banco!$G:$G,ROW()))</f>
        <v/>
      </c>
      <c r="H521" s="8">
        <f>IF(INDEX(Banco!$H:$H,ROW())="","",INDEX(Banco!$H:$H,ROW()))</f>
        <v/>
      </c>
      <c r="I521">
        <f>IF($T521="","",INT($T521/12)&amp;"a "&amp;MOD($T521,12)&amp;"m")</f>
        <v/>
      </c>
      <c r="J521" s="11">
        <f>IF(OR($F521="",$G521=""),"",ROUND($F521/($G521/100)^2,2))</f>
        <v/>
      </c>
      <c r="K521" s="12">
        <f>IF(OR($S521="",$J521="",$T521="",$T521&lt;0,$T521&gt;228,$Y521=""),"—",ROUND(IF(ABS($AB521)&lt;=3,$AB521,IF($AB521&gt;3,3+($J521-$AD521)/($AD521-$AC521),-3+($J521-$AF521)/($AE521-$AF521))),2))</f>
        <v/>
      </c>
      <c r="L521">
        <f>IF(OR($K521="",$K521="—"),"",IF($T521&lt;=60,IF($K521&lt;-3,"Magreza acentuada",IF($K521&lt;-2,"Magreza",IF($K521&lt;=1,"Eutrofia",IF($K521&lt;=2,"Risco de sobrepeso",IF($K521&lt;=3,"Sobrepeso","Obesidade"))))),IF($K521&lt;-3,"Magreza acentuada",IF($K521&lt;-2,"Magreza",IF($K521&lt;=1,"Eutrofia",IF($K521&lt;=2,"Sobrepeso",IF($K521&lt;=3,"Obesidade","Obesidade grave")))))))</f>
        <v/>
      </c>
      <c r="M521" s="12">
        <f>IF(OR($S521="",$V521="",$T521="",$T521&lt;0,$T521&gt;228,$AG521=""),"—",ROUND(IF($AG521=0,LN($V521/$AH521)/$AI521,((($V521/$AH521)^$AG521)-1)/($AG521*$AI521)),2))</f>
        <v/>
      </c>
      <c r="N521">
        <f>IF(OR($M521="",$M521="—"),"",IF($M521&lt;-3,"Muito baixa",IF($M521&lt;-2,"Baixa","Adequada")))</f>
        <v/>
      </c>
      <c r="O521" s="12">
        <f>IF(OR($S521="",$F521="",$T521="",$T521&lt;0,$T521&gt;120,$AJ521=""),"—",ROUND(IF(ABS($AM521)&lt;=3,$AM521,IF($AM521&gt;3,3+($F521-$AO521)/($AO521-$AN521),-3+($F521-$AQ521)/($AP521-$AQ521))),2))</f>
        <v/>
      </c>
      <c r="P521">
        <f>IF(OR($O521="",$O521="—"),"",IF($O521&lt;-3,"Muito baixo",IF($O521&lt;-2,"Baixo",IF($O521&lt;=2,"Adequado","Elevado"))))</f>
        <v/>
      </c>
      <c r="Q521" s="12">
        <f>IF(OR($S521="",$F521="",$T521="",$T521&lt;0,$T521&gt;60,$AR521=""),"—",ROUND(IF(ABS($AU521)&lt;=3,$AU521,IF($AU521&gt;3,3+($F521-$AW521)/($AW521-$AV521),-3+($F521-$AY521)/($AX521-$AY521))),2))</f>
        <v/>
      </c>
      <c r="R521">
        <f>IF(OR($Q521="",$Q521="—"),"",IF($Q521&lt;-3,"Magreza acentuada",IF($Q521&lt;-2,"Magreza",IF($Q521&lt;=1,"Eutrofia",IF($Q521&lt;=2,"Risco de sobrepeso",IF($Q521&lt;=3,"Sobrepeso","Obesidade"))))))</f>
        <v/>
      </c>
      <c r="S521">
        <f>IF($C521="","",IF(UPPER(LEFT($C521,1))="M",1,IF(UPPER(LEFT($C521,1))="F",2,"")))</f>
        <v/>
      </c>
      <c r="T521">
        <f>IF(OR($D521="",$E521=""),"",DATEDIF($D521,$E521,"m"))</f>
        <v/>
      </c>
      <c r="U521">
        <f>IF(OR($D521="",$E521=""),"",$E521-$D521)</f>
        <v/>
      </c>
      <c r="V521">
        <f>IF(OR($G521="",$T521=""),"",IF($T521&lt;24,IF(LEFT(LOWER($H521),4)="em p",$G521+0.7,$G521),IF(LEFT(LOWER($H521),4)="deit",$G521-0.7,$G521)))</f>
        <v/>
      </c>
      <c r="W521">
        <f>IF(OR($S521="",$T521=""),"",$S521*1000000+IF($T521&lt;=60,$U521,$T521))</f>
        <v/>
      </c>
      <c r="X521">
        <f>IF(OR($S521="",$V521="",$T521&gt;60,$T521=""),"",$S521*1000000+ROUND($V521*10,0))</f>
        <v/>
      </c>
      <c r="Y521">
        <f>IF($W521="","",IFERROR(INDEX(IF($T521&lt;=60,imc05_l,imc519_l),MATCH($W521,IF($T521&lt;=60,imc05_k,imc519_k),1)),""))</f>
        <v/>
      </c>
      <c r="Z521">
        <f>IF($W521="","",IFERROR(INDEX(IF($T521&lt;=60,imc05_m,imc519_m),MATCH($W521,IF($T521&lt;=60,imc05_k,imc519_k),1)),""))</f>
        <v/>
      </c>
      <c r="AA521">
        <f>IF($W521="","",IFERROR(INDEX(IF($T521&lt;=60,imc05_s,imc519_s),MATCH($W521,IF($T521&lt;=60,imc05_k,imc519_k),1)),""))</f>
        <v/>
      </c>
      <c r="AB521">
        <f>IF($Y521="","",IF($Y521=0,LN($J521/$Z521)/$AA521,((($J521/$Z521)^$Y521)-1)/($Y521*$AA521)))</f>
        <v/>
      </c>
      <c r="AC521">
        <f>IF($Y521="","",IF($Y521=0,$Z521*EXP($AA521*2),$Z521*(1+$Y521*$AA521*2)^(1/$Y521)))</f>
        <v/>
      </c>
      <c r="AD521">
        <f>IF($Y521="","",IF($Y521=0,$Z521*EXP($AA521*3),$Z521*(1+$Y521*$AA521*3)^(1/$Y521)))</f>
        <v/>
      </c>
      <c r="AE521">
        <f>IF($Y521="","",IF($Y521=0,$Z521*EXP($AA521*-2),$Z521*(1+$Y521*$AA521*-2)^(1/$Y521)))</f>
        <v/>
      </c>
      <c r="AF521">
        <f>IF($Y521="","",IF($Y521=0,$Z521*EXP($AA521*-3),$Z521*(1+$Y521*$AA521*-3)^(1/$Y521)))</f>
        <v/>
      </c>
      <c r="AG521">
        <f>IF($W521="","",IFERROR(INDEX(IF($T521&lt;=60,est05_l,est519_l),MATCH($W521,IF($T521&lt;=60,est05_k,est519_k),1)),""))</f>
        <v/>
      </c>
      <c r="AH521">
        <f>IF($W521="","",IFERROR(INDEX(IF($T521&lt;=60,est05_m,est519_m),MATCH($W521,IF($T521&lt;=60,est05_k,est519_k),1)),""))</f>
        <v/>
      </c>
      <c r="AI521">
        <f>IF($W521="","",IFERROR(INDEX(IF($T521&lt;=60,est05_s,est519_s),MATCH($W521,IF($T521&lt;=60,est05_k,est519_k),1)),""))</f>
        <v/>
      </c>
      <c r="AJ521">
        <f>IF($W521="","",IFERROR(INDEX(IF($T521&lt;=60,peso05_l,peso510_l),MATCH($W521,IF($T521&lt;=60,peso05_k,peso510_k),1)),""))</f>
        <v/>
      </c>
      <c r="AK521">
        <f>IF($W521="","",IFERROR(INDEX(IF($T521&lt;=60,peso05_m,peso510_m),MATCH($W521,IF($T521&lt;=60,peso05_k,peso510_k),1)),""))</f>
        <v/>
      </c>
      <c r="AL521">
        <f>IF($W521="","",IFERROR(INDEX(IF($T521&lt;=60,peso05_s,peso510_s),MATCH($W521,IF($T521&lt;=60,peso05_k,peso510_k),1)),""))</f>
        <v/>
      </c>
      <c r="AM521">
        <f>IF($AJ521="","",IF($AJ521=0,LN($F521/$AK521)/$AL521,((($F521/$AK521)^$AJ521)-1)/($AJ521*$AL521)))</f>
        <v/>
      </c>
      <c r="AN521">
        <f>IF($AJ521="","",IF($AJ521=0,$AK521*EXP($AL521*2),$AK521*(1+$AJ521*$AL521*2)^(1/$AJ521)))</f>
        <v/>
      </c>
      <c r="AO521">
        <f>IF($AJ521="","",IF($AJ521=0,$AK521*EXP($AL521*3),$AK521*(1+$AJ521*$AL521*3)^(1/$AJ521)))</f>
        <v/>
      </c>
      <c r="AP521">
        <f>IF($AJ521="","",IF($AJ521=0,$AK521*EXP($AL521*-2),$AK521*(1+$AJ521*$AL521*-2)^(1/$AJ521)))</f>
        <v/>
      </c>
      <c r="AQ521">
        <f>IF($AJ521="","",IF($AJ521=0,$AK521*EXP($AL521*-3),$AK521*(1+$AJ521*$AL521*-3)^(1/$AJ521)))</f>
        <v/>
      </c>
      <c r="AR521">
        <f>IF(OR($X521="",$T521&gt;60),"",IFERROR(INDEX(IF($T521&lt;24,pcomp_l,palt_l),MATCH($X521,IF($T521&lt;24,pcomp_k,palt_k),1)),""))</f>
        <v/>
      </c>
      <c r="AS521">
        <f>IF(OR($X521="",$T521&gt;60),"",IFERROR(INDEX(IF($T521&lt;24,pcomp_m,palt_m),MATCH($X521,IF($T521&lt;24,pcomp_k,palt_k),1)),""))</f>
        <v/>
      </c>
      <c r="AT521">
        <f>IF(OR($X521="",$T521&gt;60),"",IFERROR(INDEX(IF($T521&lt;24,pcomp_s,palt_s),MATCH($X521,IF($T521&lt;24,pcomp_k,palt_k),1)),""))</f>
        <v/>
      </c>
      <c r="AU521">
        <f>IF($AR521="","",IF($AR521=0,LN($F521/$AS521)/$AT521,((($F521/$AS521)^$AR521)-1)/($AR521*$AT521)))</f>
        <v/>
      </c>
      <c r="AV521">
        <f>IF($AR521="","",IF($AR521=0,$AS521*EXP($AT521*2),$AS521*(1+$AR521*$AT521*2)^(1/$AR521)))</f>
        <v/>
      </c>
      <c r="AW521">
        <f>IF($AR521="","",IF($AR521=0,$AS521*EXP($AT521*3),$AS521*(1+$AR521*$AT521*3)^(1/$AR521)))</f>
        <v/>
      </c>
      <c r="AX521">
        <f>IF($AR521="","",IF($AR521=0,$AS521*EXP($AT521*-2),$AS521*(1+$AR521*$AT521*-2)^(1/$AR521)))</f>
        <v/>
      </c>
      <c r="AY521">
        <f>IF($AR521="","",IF($AR521=0,$AS521*EXP($AT521*-3),$AS521*(1+$AR521*$AT521*-3)^(1/$AR521)))</f>
        <v/>
      </c>
      <c r="AZ521">
        <f>IF(OR($A521="",$A521&lt;&gt;Ficha!$C$4),"",COUNTIF($A$2:$A521,Ficha!$C$4))</f>
        <v/>
      </c>
    </row>
    <row r="522">
      <c r="A522" s="8">
        <f>IF(INDEX(Banco!$A:$A,ROW())="","",INDEX(Banco!$A:$A,ROW()))</f>
        <v/>
      </c>
      <c r="B522" s="8">
        <f>IF(INDEX(Banco!$B:$B,ROW())="","",INDEX(Banco!$B:$B,ROW()))</f>
        <v/>
      </c>
      <c r="C522" s="8">
        <f>IF(INDEX(Banco!$C:$C,ROW())="","",INDEX(Banco!$C:$C,ROW()))</f>
        <v/>
      </c>
      <c r="D522" s="9">
        <f>IF(INDEX(Banco!$D:$D,ROW())="","",INDEX(Banco!$D:$D,ROW()))</f>
        <v/>
      </c>
      <c r="E522" s="9">
        <f>IF(INDEX(Banco!$E:$E,ROW())="","",INDEX(Banco!$E:$E,ROW()))</f>
        <v/>
      </c>
      <c r="F522" s="10">
        <f>IF(INDEX(Banco!$F:$F,ROW())="","",INDEX(Banco!$F:$F,ROW()))</f>
        <v/>
      </c>
      <c r="G522" s="10">
        <f>IF(INDEX(Banco!$G:$G,ROW())="","",INDEX(Banco!$G:$G,ROW()))</f>
        <v/>
      </c>
      <c r="H522" s="8">
        <f>IF(INDEX(Banco!$H:$H,ROW())="","",INDEX(Banco!$H:$H,ROW()))</f>
        <v/>
      </c>
      <c r="I522">
        <f>IF($T522="","",INT($T522/12)&amp;"a "&amp;MOD($T522,12)&amp;"m")</f>
        <v/>
      </c>
      <c r="J522" s="11">
        <f>IF(OR($F522="",$G522=""),"",ROUND($F522/($G522/100)^2,2))</f>
        <v/>
      </c>
      <c r="K522" s="12">
        <f>IF(OR($S522="",$J522="",$T522="",$T522&lt;0,$T522&gt;228,$Y522=""),"—",ROUND(IF(ABS($AB522)&lt;=3,$AB522,IF($AB522&gt;3,3+($J522-$AD522)/($AD522-$AC522),-3+($J522-$AF522)/($AE522-$AF522))),2))</f>
        <v/>
      </c>
      <c r="L522">
        <f>IF(OR($K522="",$K522="—"),"",IF($T522&lt;=60,IF($K522&lt;-3,"Magreza acentuada",IF($K522&lt;-2,"Magreza",IF($K522&lt;=1,"Eutrofia",IF($K522&lt;=2,"Risco de sobrepeso",IF($K522&lt;=3,"Sobrepeso","Obesidade"))))),IF($K522&lt;-3,"Magreza acentuada",IF($K522&lt;-2,"Magreza",IF($K522&lt;=1,"Eutrofia",IF($K522&lt;=2,"Sobrepeso",IF($K522&lt;=3,"Obesidade","Obesidade grave")))))))</f>
        <v/>
      </c>
      <c r="M522" s="12">
        <f>IF(OR($S522="",$V522="",$T522="",$T522&lt;0,$T522&gt;228,$AG522=""),"—",ROUND(IF($AG522=0,LN($V522/$AH522)/$AI522,((($V522/$AH522)^$AG522)-1)/($AG522*$AI522)),2))</f>
        <v/>
      </c>
      <c r="N522">
        <f>IF(OR($M522="",$M522="—"),"",IF($M522&lt;-3,"Muito baixa",IF($M522&lt;-2,"Baixa","Adequada")))</f>
        <v/>
      </c>
      <c r="O522" s="12">
        <f>IF(OR($S522="",$F522="",$T522="",$T522&lt;0,$T522&gt;120,$AJ522=""),"—",ROUND(IF(ABS($AM522)&lt;=3,$AM522,IF($AM522&gt;3,3+($F522-$AO522)/($AO522-$AN522),-3+($F522-$AQ522)/($AP522-$AQ522))),2))</f>
        <v/>
      </c>
      <c r="P522">
        <f>IF(OR($O522="",$O522="—"),"",IF($O522&lt;-3,"Muito baixo",IF($O522&lt;-2,"Baixo",IF($O522&lt;=2,"Adequado","Elevado"))))</f>
        <v/>
      </c>
      <c r="Q522" s="12">
        <f>IF(OR($S522="",$F522="",$T522="",$T522&lt;0,$T522&gt;60,$AR522=""),"—",ROUND(IF(ABS($AU522)&lt;=3,$AU522,IF($AU522&gt;3,3+($F522-$AW522)/($AW522-$AV522),-3+($F522-$AY522)/($AX522-$AY522))),2))</f>
        <v/>
      </c>
      <c r="R522">
        <f>IF(OR($Q522="",$Q522="—"),"",IF($Q522&lt;-3,"Magreza acentuada",IF($Q522&lt;-2,"Magreza",IF($Q522&lt;=1,"Eutrofia",IF($Q522&lt;=2,"Risco de sobrepeso",IF($Q522&lt;=3,"Sobrepeso","Obesidade"))))))</f>
        <v/>
      </c>
      <c r="S522">
        <f>IF($C522="","",IF(UPPER(LEFT($C522,1))="M",1,IF(UPPER(LEFT($C522,1))="F",2,"")))</f>
        <v/>
      </c>
      <c r="T522">
        <f>IF(OR($D522="",$E522=""),"",DATEDIF($D522,$E522,"m"))</f>
        <v/>
      </c>
      <c r="U522">
        <f>IF(OR($D522="",$E522=""),"",$E522-$D522)</f>
        <v/>
      </c>
      <c r="V522">
        <f>IF(OR($G522="",$T522=""),"",IF($T522&lt;24,IF(LEFT(LOWER($H522),4)="em p",$G522+0.7,$G522),IF(LEFT(LOWER($H522),4)="deit",$G522-0.7,$G522)))</f>
        <v/>
      </c>
      <c r="W522">
        <f>IF(OR($S522="",$T522=""),"",$S522*1000000+IF($T522&lt;=60,$U522,$T522))</f>
        <v/>
      </c>
      <c r="X522">
        <f>IF(OR($S522="",$V522="",$T522&gt;60,$T522=""),"",$S522*1000000+ROUND($V522*10,0))</f>
        <v/>
      </c>
      <c r="Y522">
        <f>IF($W522="","",IFERROR(INDEX(IF($T522&lt;=60,imc05_l,imc519_l),MATCH($W522,IF($T522&lt;=60,imc05_k,imc519_k),1)),""))</f>
        <v/>
      </c>
      <c r="Z522">
        <f>IF($W522="","",IFERROR(INDEX(IF($T522&lt;=60,imc05_m,imc519_m),MATCH($W522,IF($T522&lt;=60,imc05_k,imc519_k),1)),""))</f>
        <v/>
      </c>
      <c r="AA522">
        <f>IF($W522="","",IFERROR(INDEX(IF($T522&lt;=60,imc05_s,imc519_s),MATCH($W522,IF($T522&lt;=60,imc05_k,imc519_k),1)),""))</f>
        <v/>
      </c>
      <c r="AB522">
        <f>IF($Y522="","",IF($Y522=0,LN($J522/$Z522)/$AA522,((($J522/$Z522)^$Y522)-1)/($Y522*$AA522)))</f>
        <v/>
      </c>
      <c r="AC522">
        <f>IF($Y522="","",IF($Y522=0,$Z522*EXP($AA522*2),$Z522*(1+$Y522*$AA522*2)^(1/$Y522)))</f>
        <v/>
      </c>
      <c r="AD522">
        <f>IF($Y522="","",IF($Y522=0,$Z522*EXP($AA522*3),$Z522*(1+$Y522*$AA522*3)^(1/$Y522)))</f>
        <v/>
      </c>
      <c r="AE522">
        <f>IF($Y522="","",IF($Y522=0,$Z522*EXP($AA522*-2),$Z522*(1+$Y522*$AA522*-2)^(1/$Y522)))</f>
        <v/>
      </c>
      <c r="AF522">
        <f>IF($Y522="","",IF($Y522=0,$Z522*EXP($AA522*-3),$Z522*(1+$Y522*$AA522*-3)^(1/$Y522)))</f>
        <v/>
      </c>
      <c r="AG522">
        <f>IF($W522="","",IFERROR(INDEX(IF($T522&lt;=60,est05_l,est519_l),MATCH($W522,IF($T522&lt;=60,est05_k,est519_k),1)),""))</f>
        <v/>
      </c>
      <c r="AH522">
        <f>IF($W522="","",IFERROR(INDEX(IF($T522&lt;=60,est05_m,est519_m),MATCH($W522,IF($T522&lt;=60,est05_k,est519_k),1)),""))</f>
        <v/>
      </c>
      <c r="AI522">
        <f>IF($W522="","",IFERROR(INDEX(IF($T522&lt;=60,est05_s,est519_s),MATCH($W522,IF($T522&lt;=60,est05_k,est519_k),1)),""))</f>
        <v/>
      </c>
      <c r="AJ522">
        <f>IF($W522="","",IFERROR(INDEX(IF($T522&lt;=60,peso05_l,peso510_l),MATCH($W522,IF($T522&lt;=60,peso05_k,peso510_k),1)),""))</f>
        <v/>
      </c>
      <c r="AK522">
        <f>IF($W522="","",IFERROR(INDEX(IF($T522&lt;=60,peso05_m,peso510_m),MATCH($W522,IF($T522&lt;=60,peso05_k,peso510_k),1)),""))</f>
        <v/>
      </c>
      <c r="AL522">
        <f>IF($W522="","",IFERROR(INDEX(IF($T522&lt;=60,peso05_s,peso510_s),MATCH($W522,IF($T522&lt;=60,peso05_k,peso510_k),1)),""))</f>
        <v/>
      </c>
      <c r="AM522">
        <f>IF($AJ522="","",IF($AJ522=0,LN($F522/$AK522)/$AL522,((($F522/$AK522)^$AJ522)-1)/($AJ522*$AL522)))</f>
        <v/>
      </c>
      <c r="AN522">
        <f>IF($AJ522="","",IF($AJ522=0,$AK522*EXP($AL522*2),$AK522*(1+$AJ522*$AL522*2)^(1/$AJ522)))</f>
        <v/>
      </c>
      <c r="AO522">
        <f>IF($AJ522="","",IF($AJ522=0,$AK522*EXP($AL522*3),$AK522*(1+$AJ522*$AL522*3)^(1/$AJ522)))</f>
        <v/>
      </c>
      <c r="AP522">
        <f>IF($AJ522="","",IF($AJ522=0,$AK522*EXP($AL522*-2),$AK522*(1+$AJ522*$AL522*-2)^(1/$AJ522)))</f>
        <v/>
      </c>
      <c r="AQ522">
        <f>IF($AJ522="","",IF($AJ522=0,$AK522*EXP($AL522*-3),$AK522*(1+$AJ522*$AL522*-3)^(1/$AJ522)))</f>
        <v/>
      </c>
      <c r="AR522">
        <f>IF(OR($X522="",$T522&gt;60),"",IFERROR(INDEX(IF($T522&lt;24,pcomp_l,palt_l),MATCH($X522,IF($T522&lt;24,pcomp_k,palt_k),1)),""))</f>
        <v/>
      </c>
      <c r="AS522">
        <f>IF(OR($X522="",$T522&gt;60),"",IFERROR(INDEX(IF($T522&lt;24,pcomp_m,palt_m),MATCH($X522,IF($T522&lt;24,pcomp_k,palt_k),1)),""))</f>
        <v/>
      </c>
      <c r="AT522">
        <f>IF(OR($X522="",$T522&gt;60),"",IFERROR(INDEX(IF($T522&lt;24,pcomp_s,palt_s),MATCH($X522,IF($T522&lt;24,pcomp_k,palt_k),1)),""))</f>
        <v/>
      </c>
      <c r="AU522">
        <f>IF($AR522="","",IF($AR522=0,LN($F522/$AS522)/$AT522,((($F522/$AS522)^$AR522)-1)/($AR522*$AT522)))</f>
        <v/>
      </c>
      <c r="AV522">
        <f>IF($AR522="","",IF($AR522=0,$AS522*EXP($AT522*2),$AS522*(1+$AR522*$AT522*2)^(1/$AR522)))</f>
        <v/>
      </c>
      <c r="AW522">
        <f>IF($AR522="","",IF($AR522=0,$AS522*EXP($AT522*3),$AS522*(1+$AR522*$AT522*3)^(1/$AR522)))</f>
        <v/>
      </c>
      <c r="AX522">
        <f>IF($AR522="","",IF($AR522=0,$AS522*EXP($AT522*-2),$AS522*(1+$AR522*$AT522*-2)^(1/$AR522)))</f>
        <v/>
      </c>
      <c r="AY522">
        <f>IF($AR522="","",IF($AR522=0,$AS522*EXP($AT522*-3),$AS522*(1+$AR522*$AT522*-3)^(1/$AR522)))</f>
        <v/>
      </c>
      <c r="AZ522">
        <f>IF(OR($A522="",$A522&lt;&gt;Ficha!$C$4),"",COUNTIF($A$2:$A522,Ficha!$C$4))</f>
        <v/>
      </c>
    </row>
    <row r="523">
      <c r="A523" s="8">
        <f>IF(INDEX(Banco!$A:$A,ROW())="","",INDEX(Banco!$A:$A,ROW()))</f>
        <v/>
      </c>
      <c r="B523" s="8">
        <f>IF(INDEX(Banco!$B:$B,ROW())="","",INDEX(Banco!$B:$B,ROW()))</f>
        <v/>
      </c>
      <c r="C523" s="8">
        <f>IF(INDEX(Banco!$C:$C,ROW())="","",INDEX(Banco!$C:$C,ROW()))</f>
        <v/>
      </c>
      <c r="D523" s="9">
        <f>IF(INDEX(Banco!$D:$D,ROW())="","",INDEX(Banco!$D:$D,ROW()))</f>
        <v/>
      </c>
      <c r="E523" s="9">
        <f>IF(INDEX(Banco!$E:$E,ROW())="","",INDEX(Banco!$E:$E,ROW()))</f>
        <v/>
      </c>
      <c r="F523" s="10">
        <f>IF(INDEX(Banco!$F:$F,ROW())="","",INDEX(Banco!$F:$F,ROW()))</f>
        <v/>
      </c>
      <c r="G523" s="10">
        <f>IF(INDEX(Banco!$G:$G,ROW())="","",INDEX(Banco!$G:$G,ROW()))</f>
        <v/>
      </c>
      <c r="H523" s="8">
        <f>IF(INDEX(Banco!$H:$H,ROW())="","",INDEX(Banco!$H:$H,ROW()))</f>
        <v/>
      </c>
      <c r="I523">
        <f>IF($T523="","",INT($T523/12)&amp;"a "&amp;MOD($T523,12)&amp;"m")</f>
        <v/>
      </c>
      <c r="J523" s="11">
        <f>IF(OR($F523="",$G523=""),"",ROUND($F523/($G523/100)^2,2))</f>
        <v/>
      </c>
      <c r="K523" s="12">
        <f>IF(OR($S523="",$J523="",$T523="",$T523&lt;0,$T523&gt;228,$Y523=""),"—",ROUND(IF(ABS($AB523)&lt;=3,$AB523,IF($AB523&gt;3,3+($J523-$AD523)/($AD523-$AC523),-3+($J523-$AF523)/($AE523-$AF523))),2))</f>
        <v/>
      </c>
      <c r="L523">
        <f>IF(OR($K523="",$K523="—"),"",IF($T523&lt;=60,IF($K523&lt;-3,"Magreza acentuada",IF($K523&lt;-2,"Magreza",IF($K523&lt;=1,"Eutrofia",IF($K523&lt;=2,"Risco de sobrepeso",IF($K523&lt;=3,"Sobrepeso","Obesidade"))))),IF($K523&lt;-3,"Magreza acentuada",IF($K523&lt;-2,"Magreza",IF($K523&lt;=1,"Eutrofia",IF($K523&lt;=2,"Sobrepeso",IF($K523&lt;=3,"Obesidade","Obesidade grave")))))))</f>
        <v/>
      </c>
      <c r="M523" s="12">
        <f>IF(OR($S523="",$V523="",$T523="",$T523&lt;0,$T523&gt;228,$AG523=""),"—",ROUND(IF($AG523=0,LN($V523/$AH523)/$AI523,((($V523/$AH523)^$AG523)-1)/($AG523*$AI523)),2))</f>
        <v/>
      </c>
      <c r="N523">
        <f>IF(OR($M523="",$M523="—"),"",IF($M523&lt;-3,"Muito baixa",IF($M523&lt;-2,"Baixa","Adequada")))</f>
        <v/>
      </c>
      <c r="O523" s="12">
        <f>IF(OR($S523="",$F523="",$T523="",$T523&lt;0,$T523&gt;120,$AJ523=""),"—",ROUND(IF(ABS($AM523)&lt;=3,$AM523,IF($AM523&gt;3,3+($F523-$AO523)/($AO523-$AN523),-3+($F523-$AQ523)/($AP523-$AQ523))),2))</f>
        <v/>
      </c>
      <c r="P523">
        <f>IF(OR($O523="",$O523="—"),"",IF($O523&lt;-3,"Muito baixo",IF($O523&lt;-2,"Baixo",IF($O523&lt;=2,"Adequado","Elevado"))))</f>
        <v/>
      </c>
      <c r="Q523" s="12">
        <f>IF(OR($S523="",$F523="",$T523="",$T523&lt;0,$T523&gt;60,$AR523=""),"—",ROUND(IF(ABS($AU523)&lt;=3,$AU523,IF($AU523&gt;3,3+($F523-$AW523)/($AW523-$AV523),-3+($F523-$AY523)/($AX523-$AY523))),2))</f>
        <v/>
      </c>
      <c r="R523">
        <f>IF(OR($Q523="",$Q523="—"),"",IF($Q523&lt;-3,"Magreza acentuada",IF($Q523&lt;-2,"Magreza",IF($Q523&lt;=1,"Eutrofia",IF($Q523&lt;=2,"Risco de sobrepeso",IF($Q523&lt;=3,"Sobrepeso","Obesidade"))))))</f>
        <v/>
      </c>
      <c r="S523">
        <f>IF($C523="","",IF(UPPER(LEFT($C523,1))="M",1,IF(UPPER(LEFT($C523,1))="F",2,"")))</f>
        <v/>
      </c>
      <c r="T523">
        <f>IF(OR($D523="",$E523=""),"",DATEDIF($D523,$E523,"m"))</f>
        <v/>
      </c>
      <c r="U523">
        <f>IF(OR($D523="",$E523=""),"",$E523-$D523)</f>
        <v/>
      </c>
      <c r="V523">
        <f>IF(OR($G523="",$T523=""),"",IF($T523&lt;24,IF(LEFT(LOWER($H523),4)="em p",$G523+0.7,$G523),IF(LEFT(LOWER($H523),4)="deit",$G523-0.7,$G523)))</f>
        <v/>
      </c>
      <c r="W523">
        <f>IF(OR($S523="",$T523=""),"",$S523*1000000+IF($T523&lt;=60,$U523,$T523))</f>
        <v/>
      </c>
      <c r="X523">
        <f>IF(OR($S523="",$V523="",$T523&gt;60,$T523=""),"",$S523*1000000+ROUND($V523*10,0))</f>
        <v/>
      </c>
      <c r="Y523">
        <f>IF($W523="","",IFERROR(INDEX(IF($T523&lt;=60,imc05_l,imc519_l),MATCH($W523,IF($T523&lt;=60,imc05_k,imc519_k),1)),""))</f>
        <v/>
      </c>
      <c r="Z523">
        <f>IF($W523="","",IFERROR(INDEX(IF($T523&lt;=60,imc05_m,imc519_m),MATCH($W523,IF($T523&lt;=60,imc05_k,imc519_k),1)),""))</f>
        <v/>
      </c>
      <c r="AA523">
        <f>IF($W523="","",IFERROR(INDEX(IF($T523&lt;=60,imc05_s,imc519_s),MATCH($W523,IF($T523&lt;=60,imc05_k,imc519_k),1)),""))</f>
        <v/>
      </c>
      <c r="AB523">
        <f>IF($Y523="","",IF($Y523=0,LN($J523/$Z523)/$AA523,((($J523/$Z523)^$Y523)-1)/($Y523*$AA523)))</f>
        <v/>
      </c>
      <c r="AC523">
        <f>IF($Y523="","",IF($Y523=0,$Z523*EXP($AA523*2),$Z523*(1+$Y523*$AA523*2)^(1/$Y523)))</f>
        <v/>
      </c>
      <c r="AD523">
        <f>IF($Y523="","",IF($Y523=0,$Z523*EXP($AA523*3),$Z523*(1+$Y523*$AA523*3)^(1/$Y523)))</f>
        <v/>
      </c>
      <c r="AE523">
        <f>IF($Y523="","",IF($Y523=0,$Z523*EXP($AA523*-2),$Z523*(1+$Y523*$AA523*-2)^(1/$Y523)))</f>
        <v/>
      </c>
      <c r="AF523">
        <f>IF($Y523="","",IF($Y523=0,$Z523*EXP($AA523*-3),$Z523*(1+$Y523*$AA523*-3)^(1/$Y523)))</f>
        <v/>
      </c>
      <c r="AG523">
        <f>IF($W523="","",IFERROR(INDEX(IF($T523&lt;=60,est05_l,est519_l),MATCH($W523,IF($T523&lt;=60,est05_k,est519_k),1)),""))</f>
        <v/>
      </c>
      <c r="AH523">
        <f>IF($W523="","",IFERROR(INDEX(IF($T523&lt;=60,est05_m,est519_m),MATCH($W523,IF($T523&lt;=60,est05_k,est519_k),1)),""))</f>
        <v/>
      </c>
      <c r="AI523">
        <f>IF($W523="","",IFERROR(INDEX(IF($T523&lt;=60,est05_s,est519_s),MATCH($W523,IF($T523&lt;=60,est05_k,est519_k),1)),""))</f>
        <v/>
      </c>
      <c r="AJ523">
        <f>IF($W523="","",IFERROR(INDEX(IF($T523&lt;=60,peso05_l,peso510_l),MATCH($W523,IF($T523&lt;=60,peso05_k,peso510_k),1)),""))</f>
        <v/>
      </c>
      <c r="AK523">
        <f>IF($W523="","",IFERROR(INDEX(IF($T523&lt;=60,peso05_m,peso510_m),MATCH($W523,IF($T523&lt;=60,peso05_k,peso510_k),1)),""))</f>
        <v/>
      </c>
      <c r="AL523">
        <f>IF($W523="","",IFERROR(INDEX(IF($T523&lt;=60,peso05_s,peso510_s),MATCH($W523,IF($T523&lt;=60,peso05_k,peso510_k),1)),""))</f>
        <v/>
      </c>
      <c r="AM523">
        <f>IF($AJ523="","",IF($AJ523=0,LN($F523/$AK523)/$AL523,((($F523/$AK523)^$AJ523)-1)/($AJ523*$AL523)))</f>
        <v/>
      </c>
      <c r="AN523">
        <f>IF($AJ523="","",IF($AJ523=0,$AK523*EXP($AL523*2),$AK523*(1+$AJ523*$AL523*2)^(1/$AJ523)))</f>
        <v/>
      </c>
      <c r="AO523">
        <f>IF($AJ523="","",IF($AJ523=0,$AK523*EXP($AL523*3),$AK523*(1+$AJ523*$AL523*3)^(1/$AJ523)))</f>
        <v/>
      </c>
      <c r="AP523">
        <f>IF($AJ523="","",IF($AJ523=0,$AK523*EXP($AL523*-2),$AK523*(1+$AJ523*$AL523*-2)^(1/$AJ523)))</f>
        <v/>
      </c>
      <c r="AQ523">
        <f>IF($AJ523="","",IF($AJ523=0,$AK523*EXP($AL523*-3),$AK523*(1+$AJ523*$AL523*-3)^(1/$AJ523)))</f>
        <v/>
      </c>
      <c r="AR523">
        <f>IF(OR($X523="",$T523&gt;60),"",IFERROR(INDEX(IF($T523&lt;24,pcomp_l,palt_l),MATCH($X523,IF($T523&lt;24,pcomp_k,palt_k),1)),""))</f>
        <v/>
      </c>
      <c r="AS523">
        <f>IF(OR($X523="",$T523&gt;60),"",IFERROR(INDEX(IF($T523&lt;24,pcomp_m,palt_m),MATCH($X523,IF($T523&lt;24,pcomp_k,palt_k),1)),""))</f>
        <v/>
      </c>
      <c r="AT523">
        <f>IF(OR($X523="",$T523&gt;60),"",IFERROR(INDEX(IF($T523&lt;24,pcomp_s,palt_s),MATCH($X523,IF($T523&lt;24,pcomp_k,palt_k),1)),""))</f>
        <v/>
      </c>
      <c r="AU523">
        <f>IF($AR523="","",IF($AR523=0,LN($F523/$AS523)/$AT523,((($F523/$AS523)^$AR523)-1)/($AR523*$AT523)))</f>
        <v/>
      </c>
      <c r="AV523">
        <f>IF($AR523="","",IF($AR523=0,$AS523*EXP($AT523*2),$AS523*(1+$AR523*$AT523*2)^(1/$AR523)))</f>
        <v/>
      </c>
      <c r="AW523">
        <f>IF($AR523="","",IF($AR523=0,$AS523*EXP($AT523*3),$AS523*(1+$AR523*$AT523*3)^(1/$AR523)))</f>
        <v/>
      </c>
      <c r="AX523">
        <f>IF($AR523="","",IF($AR523=0,$AS523*EXP($AT523*-2),$AS523*(1+$AR523*$AT523*-2)^(1/$AR523)))</f>
        <v/>
      </c>
      <c r="AY523">
        <f>IF($AR523="","",IF($AR523=0,$AS523*EXP($AT523*-3),$AS523*(1+$AR523*$AT523*-3)^(1/$AR523)))</f>
        <v/>
      </c>
      <c r="AZ523">
        <f>IF(OR($A523="",$A523&lt;&gt;Ficha!$C$4),"",COUNTIF($A$2:$A523,Ficha!$C$4))</f>
        <v/>
      </c>
    </row>
    <row r="524">
      <c r="A524" s="8">
        <f>IF(INDEX(Banco!$A:$A,ROW())="","",INDEX(Banco!$A:$A,ROW()))</f>
        <v/>
      </c>
      <c r="B524" s="8">
        <f>IF(INDEX(Banco!$B:$B,ROW())="","",INDEX(Banco!$B:$B,ROW()))</f>
        <v/>
      </c>
      <c r="C524" s="8">
        <f>IF(INDEX(Banco!$C:$C,ROW())="","",INDEX(Banco!$C:$C,ROW()))</f>
        <v/>
      </c>
      <c r="D524" s="9">
        <f>IF(INDEX(Banco!$D:$D,ROW())="","",INDEX(Banco!$D:$D,ROW()))</f>
        <v/>
      </c>
      <c r="E524" s="9">
        <f>IF(INDEX(Banco!$E:$E,ROW())="","",INDEX(Banco!$E:$E,ROW()))</f>
        <v/>
      </c>
      <c r="F524" s="10">
        <f>IF(INDEX(Banco!$F:$F,ROW())="","",INDEX(Banco!$F:$F,ROW()))</f>
        <v/>
      </c>
      <c r="G524" s="10">
        <f>IF(INDEX(Banco!$G:$G,ROW())="","",INDEX(Banco!$G:$G,ROW()))</f>
        <v/>
      </c>
      <c r="H524" s="8">
        <f>IF(INDEX(Banco!$H:$H,ROW())="","",INDEX(Banco!$H:$H,ROW()))</f>
        <v/>
      </c>
      <c r="I524">
        <f>IF($T524="","",INT($T524/12)&amp;"a "&amp;MOD($T524,12)&amp;"m")</f>
        <v/>
      </c>
      <c r="J524" s="11">
        <f>IF(OR($F524="",$G524=""),"",ROUND($F524/($G524/100)^2,2))</f>
        <v/>
      </c>
      <c r="K524" s="12">
        <f>IF(OR($S524="",$J524="",$T524="",$T524&lt;0,$T524&gt;228,$Y524=""),"—",ROUND(IF(ABS($AB524)&lt;=3,$AB524,IF($AB524&gt;3,3+($J524-$AD524)/($AD524-$AC524),-3+($J524-$AF524)/($AE524-$AF524))),2))</f>
        <v/>
      </c>
      <c r="L524">
        <f>IF(OR($K524="",$K524="—"),"",IF($T524&lt;=60,IF($K524&lt;-3,"Magreza acentuada",IF($K524&lt;-2,"Magreza",IF($K524&lt;=1,"Eutrofia",IF($K524&lt;=2,"Risco de sobrepeso",IF($K524&lt;=3,"Sobrepeso","Obesidade"))))),IF($K524&lt;-3,"Magreza acentuada",IF($K524&lt;-2,"Magreza",IF($K524&lt;=1,"Eutrofia",IF($K524&lt;=2,"Sobrepeso",IF($K524&lt;=3,"Obesidade","Obesidade grave")))))))</f>
        <v/>
      </c>
      <c r="M524" s="12">
        <f>IF(OR($S524="",$V524="",$T524="",$T524&lt;0,$T524&gt;228,$AG524=""),"—",ROUND(IF($AG524=0,LN($V524/$AH524)/$AI524,((($V524/$AH524)^$AG524)-1)/($AG524*$AI524)),2))</f>
        <v/>
      </c>
      <c r="N524">
        <f>IF(OR($M524="",$M524="—"),"",IF($M524&lt;-3,"Muito baixa",IF($M524&lt;-2,"Baixa","Adequada")))</f>
        <v/>
      </c>
      <c r="O524" s="12">
        <f>IF(OR($S524="",$F524="",$T524="",$T524&lt;0,$T524&gt;120,$AJ524=""),"—",ROUND(IF(ABS($AM524)&lt;=3,$AM524,IF($AM524&gt;3,3+($F524-$AO524)/($AO524-$AN524),-3+($F524-$AQ524)/($AP524-$AQ524))),2))</f>
        <v/>
      </c>
      <c r="P524">
        <f>IF(OR($O524="",$O524="—"),"",IF($O524&lt;-3,"Muito baixo",IF($O524&lt;-2,"Baixo",IF($O524&lt;=2,"Adequado","Elevado"))))</f>
        <v/>
      </c>
      <c r="Q524" s="12">
        <f>IF(OR($S524="",$F524="",$T524="",$T524&lt;0,$T524&gt;60,$AR524=""),"—",ROUND(IF(ABS($AU524)&lt;=3,$AU524,IF($AU524&gt;3,3+($F524-$AW524)/($AW524-$AV524),-3+($F524-$AY524)/($AX524-$AY524))),2))</f>
        <v/>
      </c>
      <c r="R524">
        <f>IF(OR($Q524="",$Q524="—"),"",IF($Q524&lt;-3,"Magreza acentuada",IF($Q524&lt;-2,"Magreza",IF($Q524&lt;=1,"Eutrofia",IF($Q524&lt;=2,"Risco de sobrepeso",IF($Q524&lt;=3,"Sobrepeso","Obesidade"))))))</f>
        <v/>
      </c>
      <c r="S524">
        <f>IF($C524="","",IF(UPPER(LEFT($C524,1))="M",1,IF(UPPER(LEFT($C524,1))="F",2,"")))</f>
        <v/>
      </c>
      <c r="T524">
        <f>IF(OR($D524="",$E524=""),"",DATEDIF($D524,$E524,"m"))</f>
        <v/>
      </c>
      <c r="U524">
        <f>IF(OR($D524="",$E524=""),"",$E524-$D524)</f>
        <v/>
      </c>
      <c r="V524">
        <f>IF(OR($G524="",$T524=""),"",IF($T524&lt;24,IF(LEFT(LOWER($H524),4)="em p",$G524+0.7,$G524),IF(LEFT(LOWER($H524),4)="deit",$G524-0.7,$G524)))</f>
        <v/>
      </c>
      <c r="W524">
        <f>IF(OR($S524="",$T524=""),"",$S524*1000000+IF($T524&lt;=60,$U524,$T524))</f>
        <v/>
      </c>
      <c r="X524">
        <f>IF(OR($S524="",$V524="",$T524&gt;60,$T524=""),"",$S524*1000000+ROUND($V524*10,0))</f>
        <v/>
      </c>
      <c r="Y524">
        <f>IF($W524="","",IFERROR(INDEX(IF($T524&lt;=60,imc05_l,imc519_l),MATCH($W524,IF($T524&lt;=60,imc05_k,imc519_k),1)),""))</f>
        <v/>
      </c>
      <c r="Z524">
        <f>IF($W524="","",IFERROR(INDEX(IF($T524&lt;=60,imc05_m,imc519_m),MATCH($W524,IF($T524&lt;=60,imc05_k,imc519_k),1)),""))</f>
        <v/>
      </c>
      <c r="AA524">
        <f>IF($W524="","",IFERROR(INDEX(IF($T524&lt;=60,imc05_s,imc519_s),MATCH($W524,IF($T524&lt;=60,imc05_k,imc519_k),1)),""))</f>
        <v/>
      </c>
      <c r="AB524">
        <f>IF($Y524="","",IF($Y524=0,LN($J524/$Z524)/$AA524,((($J524/$Z524)^$Y524)-1)/($Y524*$AA524)))</f>
        <v/>
      </c>
      <c r="AC524">
        <f>IF($Y524="","",IF($Y524=0,$Z524*EXP($AA524*2),$Z524*(1+$Y524*$AA524*2)^(1/$Y524)))</f>
        <v/>
      </c>
      <c r="AD524">
        <f>IF($Y524="","",IF($Y524=0,$Z524*EXP($AA524*3),$Z524*(1+$Y524*$AA524*3)^(1/$Y524)))</f>
        <v/>
      </c>
      <c r="AE524">
        <f>IF($Y524="","",IF($Y524=0,$Z524*EXP($AA524*-2),$Z524*(1+$Y524*$AA524*-2)^(1/$Y524)))</f>
        <v/>
      </c>
      <c r="AF524">
        <f>IF($Y524="","",IF($Y524=0,$Z524*EXP($AA524*-3),$Z524*(1+$Y524*$AA524*-3)^(1/$Y524)))</f>
        <v/>
      </c>
      <c r="AG524">
        <f>IF($W524="","",IFERROR(INDEX(IF($T524&lt;=60,est05_l,est519_l),MATCH($W524,IF($T524&lt;=60,est05_k,est519_k),1)),""))</f>
        <v/>
      </c>
      <c r="AH524">
        <f>IF($W524="","",IFERROR(INDEX(IF($T524&lt;=60,est05_m,est519_m),MATCH($W524,IF($T524&lt;=60,est05_k,est519_k),1)),""))</f>
        <v/>
      </c>
      <c r="AI524">
        <f>IF($W524="","",IFERROR(INDEX(IF($T524&lt;=60,est05_s,est519_s),MATCH($W524,IF($T524&lt;=60,est05_k,est519_k),1)),""))</f>
        <v/>
      </c>
      <c r="AJ524">
        <f>IF($W524="","",IFERROR(INDEX(IF($T524&lt;=60,peso05_l,peso510_l),MATCH($W524,IF($T524&lt;=60,peso05_k,peso510_k),1)),""))</f>
        <v/>
      </c>
      <c r="AK524">
        <f>IF($W524="","",IFERROR(INDEX(IF($T524&lt;=60,peso05_m,peso510_m),MATCH($W524,IF($T524&lt;=60,peso05_k,peso510_k),1)),""))</f>
        <v/>
      </c>
      <c r="AL524">
        <f>IF($W524="","",IFERROR(INDEX(IF($T524&lt;=60,peso05_s,peso510_s),MATCH($W524,IF($T524&lt;=60,peso05_k,peso510_k),1)),""))</f>
        <v/>
      </c>
      <c r="AM524">
        <f>IF($AJ524="","",IF($AJ524=0,LN($F524/$AK524)/$AL524,((($F524/$AK524)^$AJ524)-1)/($AJ524*$AL524)))</f>
        <v/>
      </c>
      <c r="AN524">
        <f>IF($AJ524="","",IF($AJ524=0,$AK524*EXP($AL524*2),$AK524*(1+$AJ524*$AL524*2)^(1/$AJ524)))</f>
        <v/>
      </c>
      <c r="AO524">
        <f>IF($AJ524="","",IF($AJ524=0,$AK524*EXP($AL524*3),$AK524*(1+$AJ524*$AL524*3)^(1/$AJ524)))</f>
        <v/>
      </c>
      <c r="AP524">
        <f>IF($AJ524="","",IF($AJ524=0,$AK524*EXP($AL524*-2),$AK524*(1+$AJ524*$AL524*-2)^(1/$AJ524)))</f>
        <v/>
      </c>
      <c r="AQ524">
        <f>IF($AJ524="","",IF($AJ524=0,$AK524*EXP($AL524*-3),$AK524*(1+$AJ524*$AL524*-3)^(1/$AJ524)))</f>
        <v/>
      </c>
      <c r="AR524">
        <f>IF(OR($X524="",$T524&gt;60),"",IFERROR(INDEX(IF($T524&lt;24,pcomp_l,palt_l),MATCH($X524,IF($T524&lt;24,pcomp_k,palt_k),1)),""))</f>
        <v/>
      </c>
      <c r="AS524">
        <f>IF(OR($X524="",$T524&gt;60),"",IFERROR(INDEX(IF($T524&lt;24,pcomp_m,palt_m),MATCH($X524,IF($T524&lt;24,pcomp_k,palt_k),1)),""))</f>
        <v/>
      </c>
      <c r="AT524">
        <f>IF(OR($X524="",$T524&gt;60),"",IFERROR(INDEX(IF($T524&lt;24,pcomp_s,palt_s),MATCH($X524,IF($T524&lt;24,pcomp_k,palt_k),1)),""))</f>
        <v/>
      </c>
      <c r="AU524">
        <f>IF($AR524="","",IF($AR524=0,LN($F524/$AS524)/$AT524,((($F524/$AS524)^$AR524)-1)/($AR524*$AT524)))</f>
        <v/>
      </c>
      <c r="AV524">
        <f>IF($AR524="","",IF($AR524=0,$AS524*EXP($AT524*2),$AS524*(1+$AR524*$AT524*2)^(1/$AR524)))</f>
        <v/>
      </c>
      <c r="AW524">
        <f>IF($AR524="","",IF($AR524=0,$AS524*EXP($AT524*3),$AS524*(1+$AR524*$AT524*3)^(1/$AR524)))</f>
        <v/>
      </c>
      <c r="AX524">
        <f>IF($AR524="","",IF($AR524=0,$AS524*EXP($AT524*-2),$AS524*(1+$AR524*$AT524*-2)^(1/$AR524)))</f>
        <v/>
      </c>
      <c r="AY524">
        <f>IF($AR524="","",IF($AR524=0,$AS524*EXP($AT524*-3),$AS524*(1+$AR524*$AT524*-3)^(1/$AR524)))</f>
        <v/>
      </c>
      <c r="AZ524">
        <f>IF(OR($A524="",$A524&lt;&gt;Ficha!$C$4),"",COUNTIF($A$2:$A524,Ficha!$C$4))</f>
        <v/>
      </c>
    </row>
    <row r="525">
      <c r="A525" s="8">
        <f>IF(INDEX(Banco!$A:$A,ROW())="","",INDEX(Banco!$A:$A,ROW()))</f>
        <v/>
      </c>
      <c r="B525" s="8">
        <f>IF(INDEX(Banco!$B:$B,ROW())="","",INDEX(Banco!$B:$B,ROW()))</f>
        <v/>
      </c>
      <c r="C525" s="8">
        <f>IF(INDEX(Banco!$C:$C,ROW())="","",INDEX(Banco!$C:$C,ROW()))</f>
        <v/>
      </c>
      <c r="D525" s="9">
        <f>IF(INDEX(Banco!$D:$D,ROW())="","",INDEX(Banco!$D:$D,ROW()))</f>
        <v/>
      </c>
      <c r="E525" s="9">
        <f>IF(INDEX(Banco!$E:$E,ROW())="","",INDEX(Banco!$E:$E,ROW()))</f>
        <v/>
      </c>
      <c r="F525" s="10">
        <f>IF(INDEX(Banco!$F:$F,ROW())="","",INDEX(Banco!$F:$F,ROW()))</f>
        <v/>
      </c>
      <c r="G525" s="10">
        <f>IF(INDEX(Banco!$G:$G,ROW())="","",INDEX(Banco!$G:$G,ROW()))</f>
        <v/>
      </c>
      <c r="H525" s="8">
        <f>IF(INDEX(Banco!$H:$H,ROW())="","",INDEX(Banco!$H:$H,ROW()))</f>
        <v/>
      </c>
      <c r="I525">
        <f>IF($T525="","",INT($T525/12)&amp;"a "&amp;MOD($T525,12)&amp;"m")</f>
        <v/>
      </c>
      <c r="J525" s="11">
        <f>IF(OR($F525="",$G525=""),"",ROUND($F525/($G525/100)^2,2))</f>
        <v/>
      </c>
      <c r="K525" s="12">
        <f>IF(OR($S525="",$J525="",$T525="",$T525&lt;0,$T525&gt;228,$Y525=""),"—",ROUND(IF(ABS($AB525)&lt;=3,$AB525,IF($AB525&gt;3,3+($J525-$AD525)/($AD525-$AC525),-3+($J525-$AF525)/($AE525-$AF525))),2))</f>
        <v/>
      </c>
      <c r="L525">
        <f>IF(OR($K525="",$K525="—"),"",IF($T525&lt;=60,IF($K525&lt;-3,"Magreza acentuada",IF($K525&lt;-2,"Magreza",IF($K525&lt;=1,"Eutrofia",IF($K525&lt;=2,"Risco de sobrepeso",IF($K525&lt;=3,"Sobrepeso","Obesidade"))))),IF($K525&lt;-3,"Magreza acentuada",IF($K525&lt;-2,"Magreza",IF($K525&lt;=1,"Eutrofia",IF($K525&lt;=2,"Sobrepeso",IF($K525&lt;=3,"Obesidade","Obesidade grave")))))))</f>
        <v/>
      </c>
      <c r="M525" s="12">
        <f>IF(OR($S525="",$V525="",$T525="",$T525&lt;0,$T525&gt;228,$AG525=""),"—",ROUND(IF($AG525=0,LN($V525/$AH525)/$AI525,((($V525/$AH525)^$AG525)-1)/($AG525*$AI525)),2))</f>
        <v/>
      </c>
      <c r="N525">
        <f>IF(OR($M525="",$M525="—"),"",IF($M525&lt;-3,"Muito baixa",IF($M525&lt;-2,"Baixa","Adequada")))</f>
        <v/>
      </c>
      <c r="O525" s="12">
        <f>IF(OR($S525="",$F525="",$T525="",$T525&lt;0,$T525&gt;120,$AJ525=""),"—",ROUND(IF(ABS($AM525)&lt;=3,$AM525,IF($AM525&gt;3,3+($F525-$AO525)/($AO525-$AN525),-3+($F525-$AQ525)/($AP525-$AQ525))),2))</f>
        <v/>
      </c>
      <c r="P525">
        <f>IF(OR($O525="",$O525="—"),"",IF($O525&lt;-3,"Muito baixo",IF($O525&lt;-2,"Baixo",IF($O525&lt;=2,"Adequado","Elevado"))))</f>
        <v/>
      </c>
      <c r="Q525" s="12">
        <f>IF(OR($S525="",$F525="",$T525="",$T525&lt;0,$T525&gt;60,$AR525=""),"—",ROUND(IF(ABS($AU525)&lt;=3,$AU525,IF($AU525&gt;3,3+($F525-$AW525)/($AW525-$AV525),-3+($F525-$AY525)/($AX525-$AY525))),2))</f>
        <v/>
      </c>
      <c r="R525">
        <f>IF(OR($Q525="",$Q525="—"),"",IF($Q525&lt;-3,"Magreza acentuada",IF($Q525&lt;-2,"Magreza",IF($Q525&lt;=1,"Eutrofia",IF($Q525&lt;=2,"Risco de sobrepeso",IF($Q525&lt;=3,"Sobrepeso","Obesidade"))))))</f>
        <v/>
      </c>
      <c r="S525">
        <f>IF($C525="","",IF(UPPER(LEFT($C525,1))="M",1,IF(UPPER(LEFT($C525,1))="F",2,"")))</f>
        <v/>
      </c>
      <c r="T525">
        <f>IF(OR($D525="",$E525=""),"",DATEDIF($D525,$E525,"m"))</f>
        <v/>
      </c>
      <c r="U525">
        <f>IF(OR($D525="",$E525=""),"",$E525-$D525)</f>
        <v/>
      </c>
      <c r="V525">
        <f>IF(OR($G525="",$T525=""),"",IF($T525&lt;24,IF(LEFT(LOWER($H525),4)="em p",$G525+0.7,$G525),IF(LEFT(LOWER($H525),4)="deit",$G525-0.7,$G525)))</f>
        <v/>
      </c>
      <c r="W525">
        <f>IF(OR($S525="",$T525=""),"",$S525*1000000+IF($T525&lt;=60,$U525,$T525))</f>
        <v/>
      </c>
      <c r="X525">
        <f>IF(OR($S525="",$V525="",$T525&gt;60,$T525=""),"",$S525*1000000+ROUND($V525*10,0))</f>
        <v/>
      </c>
      <c r="Y525">
        <f>IF($W525="","",IFERROR(INDEX(IF($T525&lt;=60,imc05_l,imc519_l),MATCH($W525,IF($T525&lt;=60,imc05_k,imc519_k),1)),""))</f>
        <v/>
      </c>
      <c r="Z525">
        <f>IF($W525="","",IFERROR(INDEX(IF($T525&lt;=60,imc05_m,imc519_m),MATCH($W525,IF($T525&lt;=60,imc05_k,imc519_k),1)),""))</f>
        <v/>
      </c>
      <c r="AA525">
        <f>IF($W525="","",IFERROR(INDEX(IF($T525&lt;=60,imc05_s,imc519_s),MATCH($W525,IF($T525&lt;=60,imc05_k,imc519_k),1)),""))</f>
        <v/>
      </c>
      <c r="AB525">
        <f>IF($Y525="","",IF($Y525=0,LN($J525/$Z525)/$AA525,((($J525/$Z525)^$Y525)-1)/($Y525*$AA525)))</f>
        <v/>
      </c>
      <c r="AC525">
        <f>IF($Y525="","",IF($Y525=0,$Z525*EXP($AA525*2),$Z525*(1+$Y525*$AA525*2)^(1/$Y525)))</f>
        <v/>
      </c>
      <c r="AD525">
        <f>IF($Y525="","",IF($Y525=0,$Z525*EXP($AA525*3),$Z525*(1+$Y525*$AA525*3)^(1/$Y525)))</f>
        <v/>
      </c>
      <c r="AE525">
        <f>IF($Y525="","",IF($Y525=0,$Z525*EXP($AA525*-2),$Z525*(1+$Y525*$AA525*-2)^(1/$Y525)))</f>
        <v/>
      </c>
      <c r="AF525">
        <f>IF($Y525="","",IF($Y525=0,$Z525*EXP($AA525*-3),$Z525*(1+$Y525*$AA525*-3)^(1/$Y525)))</f>
        <v/>
      </c>
      <c r="AG525">
        <f>IF($W525="","",IFERROR(INDEX(IF($T525&lt;=60,est05_l,est519_l),MATCH($W525,IF($T525&lt;=60,est05_k,est519_k),1)),""))</f>
        <v/>
      </c>
      <c r="AH525">
        <f>IF($W525="","",IFERROR(INDEX(IF($T525&lt;=60,est05_m,est519_m),MATCH($W525,IF($T525&lt;=60,est05_k,est519_k),1)),""))</f>
        <v/>
      </c>
      <c r="AI525">
        <f>IF($W525="","",IFERROR(INDEX(IF($T525&lt;=60,est05_s,est519_s),MATCH($W525,IF($T525&lt;=60,est05_k,est519_k),1)),""))</f>
        <v/>
      </c>
      <c r="AJ525">
        <f>IF($W525="","",IFERROR(INDEX(IF($T525&lt;=60,peso05_l,peso510_l),MATCH($W525,IF($T525&lt;=60,peso05_k,peso510_k),1)),""))</f>
        <v/>
      </c>
      <c r="AK525">
        <f>IF($W525="","",IFERROR(INDEX(IF($T525&lt;=60,peso05_m,peso510_m),MATCH($W525,IF($T525&lt;=60,peso05_k,peso510_k),1)),""))</f>
        <v/>
      </c>
      <c r="AL525">
        <f>IF($W525="","",IFERROR(INDEX(IF($T525&lt;=60,peso05_s,peso510_s),MATCH($W525,IF($T525&lt;=60,peso05_k,peso510_k),1)),""))</f>
        <v/>
      </c>
      <c r="AM525">
        <f>IF($AJ525="","",IF($AJ525=0,LN($F525/$AK525)/$AL525,((($F525/$AK525)^$AJ525)-1)/($AJ525*$AL525)))</f>
        <v/>
      </c>
      <c r="AN525">
        <f>IF($AJ525="","",IF($AJ525=0,$AK525*EXP($AL525*2),$AK525*(1+$AJ525*$AL525*2)^(1/$AJ525)))</f>
        <v/>
      </c>
      <c r="AO525">
        <f>IF($AJ525="","",IF($AJ525=0,$AK525*EXP($AL525*3),$AK525*(1+$AJ525*$AL525*3)^(1/$AJ525)))</f>
        <v/>
      </c>
      <c r="AP525">
        <f>IF($AJ525="","",IF($AJ525=0,$AK525*EXP($AL525*-2),$AK525*(1+$AJ525*$AL525*-2)^(1/$AJ525)))</f>
        <v/>
      </c>
      <c r="AQ525">
        <f>IF($AJ525="","",IF($AJ525=0,$AK525*EXP($AL525*-3),$AK525*(1+$AJ525*$AL525*-3)^(1/$AJ525)))</f>
        <v/>
      </c>
      <c r="AR525">
        <f>IF(OR($X525="",$T525&gt;60),"",IFERROR(INDEX(IF($T525&lt;24,pcomp_l,palt_l),MATCH($X525,IF($T525&lt;24,pcomp_k,palt_k),1)),""))</f>
        <v/>
      </c>
      <c r="AS525">
        <f>IF(OR($X525="",$T525&gt;60),"",IFERROR(INDEX(IF($T525&lt;24,pcomp_m,palt_m),MATCH($X525,IF($T525&lt;24,pcomp_k,palt_k),1)),""))</f>
        <v/>
      </c>
      <c r="AT525">
        <f>IF(OR($X525="",$T525&gt;60),"",IFERROR(INDEX(IF($T525&lt;24,pcomp_s,palt_s),MATCH($X525,IF($T525&lt;24,pcomp_k,palt_k),1)),""))</f>
        <v/>
      </c>
      <c r="AU525">
        <f>IF($AR525="","",IF($AR525=0,LN($F525/$AS525)/$AT525,((($F525/$AS525)^$AR525)-1)/($AR525*$AT525)))</f>
        <v/>
      </c>
      <c r="AV525">
        <f>IF($AR525="","",IF($AR525=0,$AS525*EXP($AT525*2),$AS525*(1+$AR525*$AT525*2)^(1/$AR525)))</f>
        <v/>
      </c>
      <c r="AW525">
        <f>IF($AR525="","",IF($AR525=0,$AS525*EXP($AT525*3),$AS525*(1+$AR525*$AT525*3)^(1/$AR525)))</f>
        <v/>
      </c>
      <c r="AX525">
        <f>IF($AR525="","",IF($AR525=0,$AS525*EXP($AT525*-2),$AS525*(1+$AR525*$AT525*-2)^(1/$AR525)))</f>
        <v/>
      </c>
      <c r="AY525">
        <f>IF($AR525="","",IF($AR525=0,$AS525*EXP($AT525*-3),$AS525*(1+$AR525*$AT525*-3)^(1/$AR525)))</f>
        <v/>
      </c>
      <c r="AZ525">
        <f>IF(OR($A525="",$A525&lt;&gt;Ficha!$C$4),"",COUNTIF($A$2:$A525,Ficha!$C$4))</f>
        <v/>
      </c>
    </row>
    <row r="526">
      <c r="A526" s="8">
        <f>IF(INDEX(Banco!$A:$A,ROW())="","",INDEX(Banco!$A:$A,ROW()))</f>
        <v/>
      </c>
      <c r="B526" s="8">
        <f>IF(INDEX(Banco!$B:$B,ROW())="","",INDEX(Banco!$B:$B,ROW()))</f>
        <v/>
      </c>
      <c r="C526" s="8">
        <f>IF(INDEX(Banco!$C:$C,ROW())="","",INDEX(Banco!$C:$C,ROW()))</f>
        <v/>
      </c>
      <c r="D526" s="9">
        <f>IF(INDEX(Banco!$D:$D,ROW())="","",INDEX(Banco!$D:$D,ROW()))</f>
        <v/>
      </c>
      <c r="E526" s="9">
        <f>IF(INDEX(Banco!$E:$E,ROW())="","",INDEX(Banco!$E:$E,ROW()))</f>
        <v/>
      </c>
      <c r="F526" s="10">
        <f>IF(INDEX(Banco!$F:$F,ROW())="","",INDEX(Banco!$F:$F,ROW()))</f>
        <v/>
      </c>
      <c r="G526" s="10">
        <f>IF(INDEX(Banco!$G:$G,ROW())="","",INDEX(Banco!$G:$G,ROW()))</f>
        <v/>
      </c>
      <c r="H526" s="8">
        <f>IF(INDEX(Banco!$H:$H,ROW())="","",INDEX(Banco!$H:$H,ROW()))</f>
        <v/>
      </c>
      <c r="I526">
        <f>IF($T526="","",INT($T526/12)&amp;"a "&amp;MOD($T526,12)&amp;"m")</f>
        <v/>
      </c>
      <c r="J526" s="11">
        <f>IF(OR($F526="",$G526=""),"",ROUND($F526/($G526/100)^2,2))</f>
        <v/>
      </c>
      <c r="K526" s="12">
        <f>IF(OR($S526="",$J526="",$T526="",$T526&lt;0,$T526&gt;228,$Y526=""),"—",ROUND(IF(ABS($AB526)&lt;=3,$AB526,IF($AB526&gt;3,3+($J526-$AD526)/($AD526-$AC526),-3+($J526-$AF526)/($AE526-$AF526))),2))</f>
        <v/>
      </c>
      <c r="L526">
        <f>IF(OR($K526="",$K526="—"),"",IF($T526&lt;=60,IF($K526&lt;-3,"Magreza acentuada",IF($K526&lt;-2,"Magreza",IF($K526&lt;=1,"Eutrofia",IF($K526&lt;=2,"Risco de sobrepeso",IF($K526&lt;=3,"Sobrepeso","Obesidade"))))),IF($K526&lt;-3,"Magreza acentuada",IF($K526&lt;-2,"Magreza",IF($K526&lt;=1,"Eutrofia",IF($K526&lt;=2,"Sobrepeso",IF($K526&lt;=3,"Obesidade","Obesidade grave")))))))</f>
        <v/>
      </c>
      <c r="M526" s="12">
        <f>IF(OR($S526="",$V526="",$T526="",$T526&lt;0,$T526&gt;228,$AG526=""),"—",ROUND(IF($AG526=0,LN($V526/$AH526)/$AI526,((($V526/$AH526)^$AG526)-1)/($AG526*$AI526)),2))</f>
        <v/>
      </c>
      <c r="N526">
        <f>IF(OR($M526="",$M526="—"),"",IF($M526&lt;-3,"Muito baixa",IF($M526&lt;-2,"Baixa","Adequada")))</f>
        <v/>
      </c>
      <c r="O526" s="12">
        <f>IF(OR($S526="",$F526="",$T526="",$T526&lt;0,$T526&gt;120,$AJ526=""),"—",ROUND(IF(ABS($AM526)&lt;=3,$AM526,IF($AM526&gt;3,3+($F526-$AO526)/($AO526-$AN526),-3+($F526-$AQ526)/($AP526-$AQ526))),2))</f>
        <v/>
      </c>
      <c r="P526">
        <f>IF(OR($O526="",$O526="—"),"",IF($O526&lt;-3,"Muito baixo",IF($O526&lt;-2,"Baixo",IF($O526&lt;=2,"Adequado","Elevado"))))</f>
        <v/>
      </c>
      <c r="Q526" s="12">
        <f>IF(OR($S526="",$F526="",$T526="",$T526&lt;0,$T526&gt;60,$AR526=""),"—",ROUND(IF(ABS($AU526)&lt;=3,$AU526,IF($AU526&gt;3,3+($F526-$AW526)/($AW526-$AV526),-3+($F526-$AY526)/($AX526-$AY526))),2))</f>
        <v/>
      </c>
      <c r="R526">
        <f>IF(OR($Q526="",$Q526="—"),"",IF($Q526&lt;-3,"Magreza acentuada",IF($Q526&lt;-2,"Magreza",IF($Q526&lt;=1,"Eutrofia",IF($Q526&lt;=2,"Risco de sobrepeso",IF($Q526&lt;=3,"Sobrepeso","Obesidade"))))))</f>
        <v/>
      </c>
      <c r="S526">
        <f>IF($C526="","",IF(UPPER(LEFT($C526,1))="M",1,IF(UPPER(LEFT($C526,1))="F",2,"")))</f>
        <v/>
      </c>
      <c r="T526">
        <f>IF(OR($D526="",$E526=""),"",DATEDIF($D526,$E526,"m"))</f>
        <v/>
      </c>
      <c r="U526">
        <f>IF(OR($D526="",$E526=""),"",$E526-$D526)</f>
        <v/>
      </c>
      <c r="V526">
        <f>IF(OR($G526="",$T526=""),"",IF($T526&lt;24,IF(LEFT(LOWER($H526),4)="em p",$G526+0.7,$G526),IF(LEFT(LOWER($H526),4)="deit",$G526-0.7,$G526)))</f>
        <v/>
      </c>
      <c r="W526">
        <f>IF(OR($S526="",$T526=""),"",$S526*1000000+IF($T526&lt;=60,$U526,$T526))</f>
        <v/>
      </c>
      <c r="X526">
        <f>IF(OR($S526="",$V526="",$T526&gt;60,$T526=""),"",$S526*1000000+ROUND($V526*10,0))</f>
        <v/>
      </c>
      <c r="Y526">
        <f>IF($W526="","",IFERROR(INDEX(IF($T526&lt;=60,imc05_l,imc519_l),MATCH($W526,IF($T526&lt;=60,imc05_k,imc519_k),1)),""))</f>
        <v/>
      </c>
      <c r="Z526">
        <f>IF($W526="","",IFERROR(INDEX(IF($T526&lt;=60,imc05_m,imc519_m),MATCH($W526,IF($T526&lt;=60,imc05_k,imc519_k),1)),""))</f>
        <v/>
      </c>
      <c r="AA526">
        <f>IF($W526="","",IFERROR(INDEX(IF($T526&lt;=60,imc05_s,imc519_s),MATCH($W526,IF($T526&lt;=60,imc05_k,imc519_k),1)),""))</f>
        <v/>
      </c>
      <c r="AB526">
        <f>IF($Y526="","",IF($Y526=0,LN($J526/$Z526)/$AA526,((($J526/$Z526)^$Y526)-1)/($Y526*$AA526)))</f>
        <v/>
      </c>
      <c r="AC526">
        <f>IF($Y526="","",IF($Y526=0,$Z526*EXP($AA526*2),$Z526*(1+$Y526*$AA526*2)^(1/$Y526)))</f>
        <v/>
      </c>
      <c r="AD526">
        <f>IF($Y526="","",IF($Y526=0,$Z526*EXP($AA526*3),$Z526*(1+$Y526*$AA526*3)^(1/$Y526)))</f>
        <v/>
      </c>
      <c r="AE526">
        <f>IF($Y526="","",IF($Y526=0,$Z526*EXP($AA526*-2),$Z526*(1+$Y526*$AA526*-2)^(1/$Y526)))</f>
        <v/>
      </c>
      <c r="AF526">
        <f>IF($Y526="","",IF($Y526=0,$Z526*EXP($AA526*-3),$Z526*(1+$Y526*$AA526*-3)^(1/$Y526)))</f>
        <v/>
      </c>
      <c r="AG526">
        <f>IF($W526="","",IFERROR(INDEX(IF($T526&lt;=60,est05_l,est519_l),MATCH($W526,IF($T526&lt;=60,est05_k,est519_k),1)),""))</f>
        <v/>
      </c>
      <c r="AH526">
        <f>IF($W526="","",IFERROR(INDEX(IF($T526&lt;=60,est05_m,est519_m),MATCH($W526,IF($T526&lt;=60,est05_k,est519_k),1)),""))</f>
        <v/>
      </c>
      <c r="AI526">
        <f>IF($W526="","",IFERROR(INDEX(IF($T526&lt;=60,est05_s,est519_s),MATCH($W526,IF($T526&lt;=60,est05_k,est519_k),1)),""))</f>
        <v/>
      </c>
      <c r="AJ526">
        <f>IF($W526="","",IFERROR(INDEX(IF($T526&lt;=60,peso05_l,peso510_l),MATCH($W526,IF($T526&lt;=60,peso05_k,peso510_k),1)),""))</f>
        <v/>
      </c>
      <c r="AK526">
        <f>IF($W526="","",IFERROR(INDEX(IF($T526&lt;=60,peso05_m,peso510_m),MATCH($W526,IF($T526&lt;=60,peso05_k,peso510_k),1)),""))</f>
        <v/>
      </c>
      <c r="AL526">
        <f>IF($W526="","",IFERROR(INDEX(IF($T526&lt;=60,peso05_s,peso510_s),MATCH($W526,IF($T526&lt;=60,peso05_k,peso510_k),1)),""))</f>
        <v/>
      </c>
      <c r="AM526">
        <f>IF($AJ526="","",IF($AJ526=0,LN($F526/$AK526)/$AL526,((($F526/$AK526)^$AJ526)-1)/($AJ526*$AL526)))</f>
        <v/>
      </c>
      <c r="AN526">
        <f>IF($AJ526="","",IF($AJ526=0,$AK526*EXP($AL526*2),$AK526*(1+$AJ526*$AL526*2)^(1/$AJ526)))</f>
        <v/>
      </c>
      <c r="AO526">
        <f>IF($AJ526="","",IF($AJ526=0,$AK526*EXP($AL526*3),$AK526*(1+$AJ526*$AL526*3)^(1/$AJ526)))</f>
        <v/>
      </c>
      <c r="AP526">
        <f>IF($AJ526="","",IF($AJ526=0,$AK526*EXP($AL526*-2),$AK526*(1+$AJ526*$AL526*-2)^(1/$AJ526)))</f>
        <v/>
      </c>
      <c r="AQ526">
        <f>IF($AJ526="","",IF($AJ526=0,$AK526*EXP($AL526*-3),$AK526*(1+$AJ526*$AL526*-3)^(1/$AJ526)))</f>
        <v/>
      </c>
      <c r="AR526">
        <f>IF(OR($X526="",$T526&gt;60),"",IFERROR(INDEX(IF($T526&lt;24,pcomp_l,palt_l),MATCH($X526,IF($T526&lt;24,pcomp_k,palt_k),1)),""))</f>
        <v/>
      </c>
      <c r="AS526">
        <f>IF(OR($X526="",$T526&gt;60),"",IFERROR(INDEX(IF($T526&lt;24,pcomp_m,palt_m),MATCH($X526,IF($T526&lt;24,pcomp_k,palt_k),1)),""))</f>
        <v/>
      </c>
      <c r="AT526">
        <f>IF(OR($X526="",$T526&gt;60),"",IFERROR(INDEX(IF($T526&lt;24,pcomp_s,palt_s),MATCH($X526,IF($T526&lt;24,pcomp_k,palt_k),1)),""))</f>
        <v/>
      </c>
      <c r="AU526">
        <f>IF($AR526="","",IF($AR526=0,LN($F526/$AS526)/$AT526,((($F526/$AS526)^$AR526)-1)/($AR526*$AT526)))</f>
        <v/>
      </c>
      <c r="AV526">
        <f>IF($AR526="","",IF($AR526=0,$AS526*EXP($AT526*2),$AS526*(1+$AR526*$AT526*2)^(1/$AR526)))</f>
        <v/>
      </c>
      <c r="AW526">
        <f>IF($AR526="","",IF($AR526=0,$AS526*EXP($AT526*3),$AS526*(1+$AR526*$AT526*3)^(1/$AR526)))</f>
        <v/>
      </c>
      <c r="AX526">
        <f>IF($AR526="","",IF($AR526=0,$AS526*EXP($AT526*-2),$AS526*(1+$AR526*$AT526*-2)^(1/$AR526)))</f>
        <v/>
      </c>
      <c r="AY526">
        <f>IF($AR526="","",IF($AR526=0,$AS526*EXP($AT526*-3),$AS526*(1+$AR526*$AT526*-3)^(1/$AR526)))</f>
        <v/>
      </c>
      <c r="AZ526">
        <f>IF(OR($A526="",$A526&lt;&gt;Ficha!$C$4),"",COUNTIF($A$2:$A526,Ficha!$C$4))</f>
        <v/>
      </c>
    </row>
    <row r="527">
      <c r="A527" s="8">
        <f>IF(INDEX(Banco!$A:$A,ROW())="","",INDEX(Banco!$A:$A,ROW()))</f>
        <v/>
      </c>
      <c r="B527" s="8">
        <f>IF(INDEX(Banco!$B:$B,ROW())="","",INDEX(Banco!$B:$B,ROW()))</f>
        <v/>
      </c>
      <c r="C527" s="8">
        <f>IF(INDEX(Banco!$C:$C,ROW())="","",INDEX(Banco!$C:$C,ROW()))</f>
        <v/>
      </c>
      <c r="D527" s="9">
        <f>IF(INDEX(Banco!$D:$D,ROW())="","",INDEX(Banco!$D:$D,ROW()))</f>
        <v/>
      </c>
      <c r="E527" s="9">
        <f>IF(INDEX(Banco!$E:$E,ROW())="","",INDEX(Banco!$E:$E,ROW()))</f>
        <v/>
      </c>
      <c r="F527" s="10">
        <f>IF(INDEX(Banco!$F:$F,ROW())="","",INDEX(Banco!$F:$F,ROW()))</f>
        <v/>
      </c>
      <c r="G527" s="10">
        <f>IF(INDEX(Banco!$G:$G,ROW())="","",INDEX(Banco!$G:$G,ROW()))</f>
        <v/>
      </c>
      <c r="H527" s="8">
        <f>IF(INDEX(Banco!$H:$H,ROW())="","",INDEX(Banco!$H:$H,ROW()))</f>
        <v/>
      </c>
      <c r="I527">
        <f>IF($T527="","",INT($T527/12)&amp;"a "&amp;MOD($T527,12)&amp;"m")</f>
        <v/>
      </c>
      <c r="J527" s="11">
        <f>IF(OR($F527="",$G527=""),"",ROUND($F527/($G527/100)^2,2))</f>
        <v/>
      </c>
      <c r="K527" s="12">
        <f>IF(OR($S527="",$J527="",$T527="",$T527&lt;0,$T527&gt;228,$Y527=""),"—",ROUND(IF(ABS($AB527)&lt;=3,$AB527,IF($AB527&gt;3,3+($J527-$AD527)/($AD527-$AC527),-3+($J527-$AF527)/($AE527-$AF527))),2))</f>
        <v/>
      </c>
      <c r="L527">
        <f>IF(OR($K527="",$K527="—"),"",IF($T527&lt;=60,IF($K527&lt;-3,"Magreza acentuada",IF($K527&lt;-2,"Magreza",IF($K527&lt;=1,"Eutrofia",IF($K527&lt;=2,"Risco de sobrepeso",IF($K527&lt;=3,"Sobrepeso","Obesidade"))))),IF($K527&lt;-3,"Magreza acentuada",IF($K527&lt;-2,"Magreza",IF($K527&lt;=1,"Eutrofia",IF($K527&lt;=2,"Sobrepeso",IF($K527&lt;=3,"Obesidade","Obesidade grave")))))))</f>
        <v/>
      </c>
      <c r="M527" s="12">
        <f>IF(OR($S527="",$V527="",$T527="",$T527&lt;0,$T527&gt;228,$AG527=""),"—",ROUND(IF($AG527=0,LN($V527/$AH527)/$AI527,((($V527/$AH527)^$AG527)-1)/($AG527*$AI527)),2))</f>
        <v/>
      </c>
      <c r="N527">
        <f>IF(OR($M527="",$M527="—"),"",IF($M527&lt;-3,"Muito baixa",IF($M527&lt;-2,"Baixa","Adequada")))</f>
        <v/>
      </c>
      <c r="O527" s="12">
        <f>IF(OR($S527="",$F527="",$T527="",$T527&lt;0,$T527&gt;120,$AJ527=""),"—",ROUND(IF(ABS($AM527)&lt;=3,$AM527,IF($AM527&gt;3,3+($F527-$AO527)/($AO527-$AN527),-3+($F527-$AQ527)/($AP527-$AQ527))),2))</f>
        <v/>
      </c>
      <c r="P527">
        <f>IF(OR($O527="",$O527="—"),"",IF($O527&lt;-3,"Muito baixo",IF($O527&lt;-2,"Baixo",IF($O527&lt;=2,"Adequado","Elevado"))))</f>
        <v/>
      </c>
      <c r="Q527" s="12">
        <f>IF(OR($S527="",$F527="",$T527="",$T527&lt;0,$T527&gt;60,$AR527=""),"—",ROUND(IF(ABS($AU527)&lt;=3,$AU527,IF($AU527&gt;3,3+($F527-$AW527)/($AW527-$AV527),-3+($F527-$AY527)/($AX527-$AY527))),2))</f>
        <v/>
      </c>
      <c r="R527">
        <f>IF(OR($Q527="",$Q527="—"),"",IF($Q527&lt;-3,"Magreza acentuada",IF($Q527&lt;-2,"Magreza",IF($Q527&lt;=1,"Eutrofia",IF($Q527&lt;=2,"Risco de sobrepeso",IF($Q527&lt;=3,"Sobrepeso","Obesidade"))))))</f>
        <v/>
      </c>
      <c r="S527">
        <f>IF($C527="","",IF(UPPER(LEFT($C527,1))="M",1,IF(UPPER(LEFT($C527,1))="F",2,"")))</f>
        <v/>
      </c>
      <c r="T527">
        <f>IF(OR($D527="",$E527=""),"",DATEDIF($D527,$E527,"m"))</f>
        <v/>
      </c>
      <c r="U527">
        <f>IF(OR($D527="",$E527=""),"",$E527-$D527)</f>
        <v/>
      </c>
      <c r="V527">
        <f>IF(OR($G527="",$T527=""),"",IF($T527&lt;24,IF(LEFT(LOWER($H527),4)="em p",$G527+0.7,$G527),IF(LEFT(LOWER($H527),4)="deit",$G527-0.7,$G527)))</f>
        <v/>
      </c>
      <c r="W527">
        <f>IF(OR($S527="",$T527=""),"",$S527*1000000+IF($T527&lt;=60,$U527,$T527))</f>
        <v/>
      </c>
      <c r="X527">
        <f>IF(OR($S527="",$V527="",$T527&gt;60,$T527=""),"",$S527*1000000+ROUND($V527*10,0))</f>
        <v/>
      </c>
      <c r="Y527">
        <f>IF($W527="","",IFERROR(INDEX(IF($T527&lt;=60,imc05_l,imc519_l),MATCH($W527,IF($T527&lt;=60,imc05_k,imc519_k),1)),""))</f>
        <v/>
      </c>
      <c r="Z527">
        <f>IF($W527="","",IFERROR(INDEX(IF($T527&lt;=60,imc05_m,imc519_m),MATCH($W527,IF($T527&lt;=60,imc05_k,imc519_k),1)),""))</f>
        <v/>
      </c>
      <c r="AA527">
        <f>IF($W527="","",IFERROR(INDEX(IF($T527&lt;=60,imc05_s,imc519_s),MATCH($W527,IF($T527&lt;=60,imc05_k,imc519_k),1)),""))</f>
        <v/>
      </c>
      <c r="AB527">
        <f>IF($Y527="","",IF($Y527=0,LN($J527/$Z527)/$AA527,((($J527/$Z527)^$Y527)-1)/($Y527*$AA527)))</f>
        <v/>
      </c>
      <c r="AC527">
        <f>IF($Y527="","",IF($Y527=0,$Z527*EXP($AA527*2),$Z527*(1+$Y527*$AA527*2)^(1/$Y527)))</f>
        <v/>
      </c>
      <c r="AD527">
        <f>IF($Y527="","",IF($Y527=0,$Z527*EXP($AA527*3),$Z527*(1+$Y527*$AA527*3)^(1/$Y527)))</f>
        <v/>
      </c>
      <c r="AE527">
        <f>IF($Y527="","",IF($Y527=0,$Z527*EXP($AA527*-2),$Z527*(1+$Y527*$AA527*-2)^(1/$Y527)))</f>
        <v/>
      </c>
      <c r="AF527">
        <f>IF($Y527="","",IF($Y527=0,$Z527*EXP($AA527*-3),$Z527*(1+$Y527*$AA527*-3)^(1/$Y527)))</f>
        <v/>
      </c>
      <c r="AG527">
        <f>IF($W527="","",IFERROR(INDEX(IF($T527&lt;=60,est05_l,est519_l),MATCH($W527,IF($T527&lt;=60,est05_k,est519_k),1)),""))</f>
        <v/>
      </c>
      <c r="AH527">
        <f>IF($W527="","",IFERROR(INDEX(IF($T527&lt;=60,est05_m,est519_m),MATCH($W527,IF($T527&lt;=60,est05_k,est519_k),1)),""))</f>
        <v/>
      </c>
      <c r="AI527">
        <f>IF($W527="","",IFERROR(INDEX(IF($T527&lt;=60,est05_s,est519_s),MATCH($W527,IF($T527&lt;=60,est05_k,est519_k),1)),""))</f>
        <v/>
      </c>
      <c r="AJ527">
        <f>IF($W527="","",IFERROR(INDEX(IF($T527&lt;=60,peso05_l,peso510_l),MATCH($W527,IF($T527&lt;=60,peso05_k,peso510_k),1)),""))</f>
        <v/>
      </c>
      <c r="AK527">
        <f>IF($W527="","",IFERROR(INDEX(IF($T527&lt;=60,peso05_m,peso510_m),MATCH($W527,IF($T527&lt;=60,peso05_k,peso510_k),1)),""))</f>
        <v/>
      </c>
      <c r="AL527">
        <f>IF($W527="","",IFERROR(INDEX(IF($T527&lt;=60,peso05_s,peso510_s),MATCH($W527,IF($T527&lt;=60,peso05_k,peso510_k),1)),""))</f>
        <v/>
      </c>
      <c r="AM527">
        <f>IF($AJ527="","",IF($AJ527=0,LN($F527/$AK527)/$AL527,((($F527/$AK527)^$AJ527)-1)/($AJ527*$AL527)))</f>
        <v/>
      </c>
      <c r="AN527">
        <f>IF($AJ527="","",IF($AJ527=0,$AK527*EXP($AL527*2),$AK527*(1+$AJ527*$AL527*2)^(1/$AJ527)))</f>
        <v/>
      </c>
      <c r="AO527">
        <f>IF($AJ527="","",IF($AJ527=0,$AK527*EXP($AL527*3),$AK527*(1+$AJ527*$AL527*3)^(1/$AJ527)))</f>
        <v/>
      </c>
      <c r="AP527">
        <f>IF($AJ527="","",IF($AJ527=0,$AK527*EXP($AL527*-2),$AK527*(1+$AJ527*$AL527*-2)^(1/$AJ527)))</f>
        <v/>
      </c>
      <c r="AQ527">
        <f>IF($AJ527="","",IF($AJ527=0,$AK527*EXP($AL527*-3),$AK527*(1+$AJ527*$AL527*-3)^(1/$AJ527)))</f>
        <v/>
      </c>
      <c r="AR527">
        <f>IF(OR($X527="",$T527&gt;60),"",IFERROR(INDEX(IF($T527&lt;24,pcomp_l,palt_l),MATCH($X527,IF($T527&lt;24,pcomp_k,palt_k),1)),""))</f>
        <v/>
      </c>
      <c r="AS527">
        <f>IF(OR($X527="",$T527&gt;60),"",IFERROR(INDEX(IF($T527&lt;24,pcomp_m,palt_m),MATCH($X527,IF($T527&lt;24,pcomp_k,palt_k),1)),""))</f>
        <v/>
      </c>
      <c r="AT527">
        <f>IF(OR($X527="",$T527&gt;60),"",IFERROR(INDEX(IF($T527&lt;24,pcomp_s,palt_s),MATCH($X527,IF($T527&lt;24,pcomp_k,palt_k),1)),""))</f>
        <v/>
      </c>
      <c r="AU527">
        <f>IF($AR527="","",IF($AR527=0,LN($F527/$AS527)/$AT527,((($F527/$AS527)^$AR527)-1)/($AR527*$AT527)))</f>
        <v/>
      </c>
      <c r="AV527">
        <f>IF($AR527="","",IF($AR527=0,$AS527*EXP($AT527*2),$AS527*(1+$AR527*$AT527*2)^(1/$AR527)))</f>
        <v/>
      </c>
      <c r="AW527">
        <f>IF($AR527="","",IF($AR527=0,$AS527*EXP($AT527*3),$AS527*(1+$AR527*$AT527*3)^(1/$AR527)))</f>
        <v/>
      </c>
      <c r="AX527">
        <f>IF($AR527="","",IF($AR527=0,$AS527*EXP($AT527*-2),$AS527*(1+$AR527*$AT527*-2)^(1/$AR527)))</f>
        <v/>
      </c>
      <c r="AY527">
        <f>IF($AR527="","",IF($AR527=0,$AS527*EXP($AT527*-3),$AS527*(1+$AR527*$AT527*-3)^(1/$AR527)))</f>
        <v/>
      </c>
      <c r="AZ527">
        <f>IF(OR($A527="",$A527&lt;&gt;Ficha!$C$4),"",COUNTIF($A$2:$A527,Ficha!$C$4))</f>
        <v/>
      </c>
    </row>
    <row r="528">
      <c r="A528" s="8">
        <f>IF(INDEX(Banco!$A:$A,ROW())="","",INDEX(Banco!$A:$A,ROW()))</f>
        <v/>
      </c>
      <c r="B528" s="8">
        <f>IF(INDEX(Banco!$B:$B,ROW())="","",INDEX(Banco!$B:$B,ROW()))</f>
        <v/>
      </c>
      <c r="C528" s="8">
        <f>IF(INDEX(Banco!$C:$C,ROW())="","",INDEX(Banco!$C:$C,ROW()))</f>
        <v/>
      </c>
      <c r="D528" s="9">
        <f>IF(INDEX(Banco!$D:$D,ROW())="","",INDEX(Banco!$D:$D,ROW()))</f>
        <v/>
      </c>
      <c r="E528" s="9">
        <f>IF(INDEX(Banco!$E:$E,ROW())="","",INDEX(Banco!$E:$E,ROW()))</f>
        <v/>
      </c>
      <c r="F528" s="10">
        <f>IF(INDEX(Banco!$F:$F,ROW())="","",INDEX(Banco!$F:$F,ROW()))</f>
        <v/>
      </c>
      <c r="G528" s="10">
        <f>IF(INDEX(Banco!$G:$G,ROW())="","",INDEX(Banco!$G:$G,ROW()))</f>
        <v/>
      </c>
      <c r="H528" s="8">
        <f>IF(INDEX(Banco!$H:$H,ROW())="","",INDEX(Banco!$H:$H,ROW()))</f>
        <v/>
      </c>
      <c r="I528">
        <f>IF($T528="","",INT($T528/12)&amp;"a "&amp;MOD($T528,12)&amp;"m")</f>
        <v/>
      </c>
      <c r="J528" s="11">
        <f>IF(OR($F528="",$G528=""),"",ROUND($F528/($G528/100)^2,2))</f>
        <v/>
      </c>
      <c r="K528" s="12">
        <f>IF(OR($S528="",$J528="",$T528="",$T528&lt;0,$T528&gt;228,$Y528=""),"—",ROUND(IF(ABS($AB528)&lt;=3,$AB528,IF($AB528&gt;3,3+($J528-$AD528)/($AD528-$AC528),-3+($J528-$AF528)/($AE528-$AF528))),2))</f>
        <v/>
      </c>
      <c r="L528">
        <f>IF(OR($K528="",$K528="—"),"",IF($T528&lt;=60,IF($K528&lt;-3,"Magreza acentuada",IF($K528&lt;-2,"Magreza",IF($K528&lt;=1,"Eutrofia",IF($K528&lt;=2,"Risco de sobrepeso",IF($K528&lt;=3,"Sobrepeso","Obesidade"))))),IF($K528&lt;-3,"Magreza acentuada",IF($K528&lt;-2,"Magreza",IF($K528&lt;=1,"Eutrofia",IF($K528&lt;=2,"Sobrepeso",IF($K528&lt;=3,"Obesidade","Obesidade grave")))))))</f>
        <v/>
      </c>
      <c r="M528" s="12">
        <f>IF(OR($S528="",$V528="",$T528="",$T528&lt;0,$T528&gt;228,$AG528=""),"—",ROUND(IF($AG528=0,LN($V528/$AH528)/$AI528,((($V528/$AH528)^$AG528)-1)/($AG528*$AI528)),2))</f>
        <v/>
      </c>
      <c r="N528">
        <f>IF(OR($M528="",$M528="—"),"",IF($M528&lt;-3,"Muito baixa",IF($M528&lt;-2,"Baixa","Adequada")))</f>
        <v/>
      </c>
      <c r="O528" s="12">
        <f>IF(OR($S528="",$F528="",$T528="",$T528&lt;0,$T528&gt;120,$AJ528=""),"—",ROUND(IF(ABS($AM528)&lt;=3,$AM528,IF($AM528&gt;3,3+($F528-$AO528)/($AO528-$AN528),-3+($F528-$AQ528)/($AP528-$AQ528))),2))</f>
        <v/>
      </c>
      <c r="P528">
        <f>IF(OR($O528="",$O528="—"),"",IF($O528&lt;-3,"Muito baixo",IF($O528&lt;-2,"Baixo",IF($O528&lt;=2,"Adequado","Elevado"))))</f>
        <v/>
      </c>
      <c r="Q528" s="12">
        <f>IF(OR($S528="",$F528="",$T528="",$T528&lt;0,$T528&gt;60,$AR528=""),"—",ROUND(IF(ABS($AU528)&lt;=3,$AU528,IF($AU528&gt;3,3+($F528-$AW528)/($AW528-$AV528),-3+($F528-$AY528)/($AX528-$AY528))),2))</f>
        <v/>
      </c>
      <c r="R528">
        <f>IF(OR($Q528="",$Q528="—"),"",IF($Q528&lt;-3,"Magreza acentuada",IF($Q528&lt;-2,"Magreza",IF($Q528&lt;=1,"Eutrofia",IF($Q528&lt;=2,"Risco de sobrepeso",IF($Q528&lt;=3,"Sobrepeso","Obesidade"))))))</f>
        <v/>
      </c>
      <c r="S528">
        <f>IF($C528="","",IF(UPPER(LEFT($C528,1))="M",1,IF(UPPER(LEFT($C528,1))="F",2,"")))</f>
        <v/>
      </c>
      <c r="T528">
        <f>IF(OR($D528="",$E528=""),"",DATEDIF($D528,$E528,"m"))</f>
        <v/>
      </c>
      <c r="U528">
        <f>IF(OR($D528="",$E528=""),"",$E528-$D528)</f>
        <v/>
      </c>
      <c r="V528">
        <f>IF(OR($G528="",$T528=""),"",IF($T528&lt;24,IF(LEFT(LOWER($H528),4)="em p",$G528+0.7,$G528),IF(LEFT(LOWER($H528),4)="deit",$G528-0.7,$G528)))</f>
        <v/>
      </c>
      <c r="W528">
        <f>IF(OR($S528="",$T528=""),"",$S528*1000000+IF($T528&lt;=60,$U528,$T528))</f>
        <v/>
      </c>
      <c r="X528">
        <f>IF(OR($S528="",$V528="",$T528&gt;60,$T528=""),"",$S528*1000000+ROUND($V528*10,0))</f>
        <v/>
      </c>
      <c r="Y528">
        <f>IF($W528="","",IFERROR(INDEX(IF($T528&lt;=60,imc05_l,imc519_l),MATCH($W528,IF($T528&lt;=60,imc05_k,imc519_k),1)),""))</f>
        <v/>
      </c>
      <c r="Z528">
        <f>IF($W528="","",IFERROR(INDEX(IF($T528&lt;=60,imc05_m,imc519_m),MATCH($W528,IF($T528&lt;=60,imc05_k,imc519_k),1)),""))</f>
        <v/>
      </c>
      <c r="AA528">
        <f>IF($W528="","",IFERROR(INDEX(IF($T528&lt;=60,imc05_s,imc519_s),MATCH($W528,IF($T528&lt;=60,imc05_k,imc519_k),1)),""))</f>
        <v/>
      </c>
      <c r="AB528">
        <f>IF($Y528="","",IF($Y528=0,LN($J528/$Z528)/$AA528,((($J528/$Z528)^$Y528)-1)/($Y528*$AA528)))</f>
        <v/>
      </c>
      <c r="AC528">
        <f>IF($Y528="","",IF($Y528=0,$Z528*EXP($AA528*2),$Z528*(1+$Y528*$AA528*2)^(1/$Y528)))</f>
        <v/>
      </c>
      <c r="AD528">
        <f>IF($Y528="","",IF($Y528=0,$Z528*EXP($AA528*3),$Z528*(1+$Y528*$AA528*3)^(1/$Y528)))</f>
        <v/>
      </c>
      <c r="AE528">
        <f>IF($Y528="","",IF($Y528=0,$Z528*EXP($AA528*-2),$Z528*(1+$Y528*$AA528*-2)^(1/$Y528)))</f>
        <v/>
      </c>
      <c r="AF528">
        <f>IF($Y528="","",IF($Y528=0,$Z528*EXP($AA528*-3),$Z528*(1+$Y528*$AA528*-3)^(1/$Y528)))</f>
        <v/>
      </c>
      <c r="AG528">
        <f>IF($W528="","",IFERROR(INDEX(IF($T528&lt;=60,est05_l,est519_l),MATCH($W528,IF($T528&lt;=60,est05_k,est519_k),1)),""))</f>
        <v/>
      </c>
      <c r="AH528">
        <f>IF($W528="","",IFERROR(INDEX(IF($T528&lt;=60,est05_m,est519_m),MATCH($W528,IF($T528&lt;=60,est05_k,est519_k),1)),""))</f>
        <v/>
      </c>
      <c r="AI528">
        <f>IF($W528="","",IFERROR(INDEX(IF($T528&lt;=60,est05_s,est519_s),MATCH($W528,IF($T528&lt;=60,est05_k,est519_k),1)),""))</f>
        <v/>
      </c>
      <c r="AJ528">
        <f>IF($W528="","",IFERROR(INDEX(IF($T528&lt;=60,peso05_l,peso510_l),MATCH($W528,IF($T528&lt;=60,peso05_k,peso510_k),1)),""))</f>
        <v/>
      </c>
      <c r="AK528">
        <f>IF($W528="","",IFERROR(INDEX(IF($T528&lt;=60,peso05_m,peso510_m),MATCH($W528,IF($T528&lt;=60,peso05_k,peso510_k),1)),""))</f>
        <v/>
      </c>
      <c r="AL528">
        <f>IF($W528="","",IFERROR(INDEX(IF($T528&lt;=60,peso05_s,peso510_s),MATCH($W528,IF($T528&lt;=60,peso05_k,peso510_k),1)),""))</f>
        <v/>
      </c>
      <c r="AM528">
        <f>IF($AJ528="","",IF($AJ528=0,LN($F528/$AK528)/$AL528,((($F528/$AK528)^$AJ528)-1)/($AJ528*$AL528)))</f>
        <v/>
      </c>
      <c r="AN528">
        <f>IF($AJ528="","",IF($AJ528=0,$AK528*EXP($AL528*2),$AK528*(1+$AJ528*$AL528*2)^(1/$AJ528)))</f>
        <v/>
      </c>
      <c r="AO528">
        <f>IF($AJ528="","",IF($AJ528=0,$AK528*EXP($AL528*3),$AK528*(1+$AJ528*$AL528*3)^(1/$AJ528)))</f>
        <v/>
      </c>
      <c r="AP528">
        <f>IF($AJ528="","",IF($AJ528=0,$AK528*EXP($AL528*-2),$AK528*(1+$AJ528*$AL528*-2)^(1/$AJ528)))</f>
        <v/>
      </c>
      <c r="AQ528">
        <f>IF($AJ528="","",IF($AJ528=0,$AK528*EXP($AL528*-3),$AK528*(1+$AJ528*$AL528*-3)^(1/$AJ528)))</f>
        <v/>
      </c>
      <c r="AR528">
        <f>IF(OR($X528="",$T528&gt;60),"",IFERROR(INDEX(IF($T528&lt;24,pcomp_l,palt_l),MATCH($X528,IF($T528&lt;24,pcomp_k,palt_k),1)),""))</f>
        <v/>
      </c>
      <c r="AS528">
        <f>IF(OR($X528="",$T528&gt;60),"",IFERROR(INDEX(IF($T528&lt;24,pcomp_m,palt_m),MATCH($X528,IF($T528&lt;24,pcomp_k,palt_k),1)),""))</f>
        <v/>
      </c>
      <c r="AT528">
        <f>IF(OR($X528="",$T528&gt;60),"",IFERROR(INDEX(IF($T528&lt;24,pcomp_s,palt_s),MATCH($X528,IF($T528&lt;24,pcomp_k,palt_k),1)),""))</f>
        <v/>
      </c>
      <c r="AU528">
        <f>IF($AR528="","",IF($AR528=0,LN($F528/$AS528)/$AT528,((($F528/$AS528)^$AR528)-1)/($AR528*$AT528)))</f>
        <v/>
      </c>
      <c r="AV528">
        <f>IF($AR528="","",IF($AR528=0,$AS528*EXP($AT528*2),$AS528*(1+$AR528*$AT528*2)^(1/$AR528)))</f>
        <v/>
      </c>
      <c r="AW528">
        <f>IF($AR528="","",IF($AR528=0,$AS528*EXP($AT528*3),$AS528*(1+$AR528*$AT528*3)^(1/$AR528)))</f>
        <v/>
      </c>
      <c r="AX528">
        <f>IF($AR528="","",IF($AR528=0,$AS528*EXP($AT528*-2),$AS528*(1+$AR528*$AT528*-2)^(1/$AR528)))</f>
        <v/>
      </c>
      <c r="AY528">
        <f>IF($AR528="","",IF($AR528=0,$AS528*EXP($AT528*-3),$AS528*(1+$AR528*$AT528*-3)^(1/$AR528)))</f>
        <v/>
      </c>
      <c r="AZ528">
        <f>IF(OR($A528="",$A528&lt;&gt;Ficha!$C$4),"",COUNTIF($A$2:$A528,Ficha!$C$4))</f>
        <v/>
      </c>
    </row>
    <row r="529">
      <c r="A529" s="8">
        <f>IF(INDEX(Banco!$A:$A,ROW())="","",INDEX(Banco!$A:$A,ROW()))</f>
        <v/>
      </c>
      <c r="B529" s="8">
        <f>IF(INDEX(Banco!$B:$B,ROW())="","",INDEX(Banco!$B:$B,ROW()))</f>
        <v/>
      </c>
      <c r="C529" s="8">
        <f>IF(INDEX(Banco!$C:$C,ROW())="","",INDEX(Banco!$C:$C,ROW()))</f>
        <v/>
      </c>
      <c r="D529" s="9">
        <f>IF(INDEX(Banco!$D:$D,ROW())="","",INDEX(Banco!$D:$D,ROW()))</f>
        <v/>
      </c>
      <c r="E529" s="9">
        <f>IF(INDEX(Banco!$E:$E,ROW())="","",INDEX(Banco!$E:$E,ROW()))</f>
        <v/>
      </c>
      <c r="F529" s="10">
        <f>IF(INDEX(Banco!$F:$F,ROW())="","",INDEX(Banco!$F:$F,ROW()))</f>
        <v/>
      </c>
      <c r="G529" s="10">
        <f>IF(INDEX(Banco!$G:$G,ROW())="","",INDEX(Banco!$G:$G,ROW()))</f>
        <v/>
      </c>
      <c r="H529" s="8">
        <f>IF(INDEX(Banco!$H:$H,ROW())="","",INDEX(Banco!$H:$H,ROW()))</f>
        <v/>
      </c>
      <c r="I529">
        <f>IF($T529="","",INT($T529/12)&amp;"a "&amp;MOD($T529,12)&amp;"m")</f>
        <v/>
      </c>
      <c r="J529" s="11">
        <f>IF(OR($F529="",$G529=""),"",ROUND($F529/($G529/100)^2,2))</f>
        <v/>
      </c>
      <c r="K529" s="12">
        <f>IF(OR($S529="",$J529="",$T529="",$T529&lt;0,$T529&gt;228,$Y529=""),"—",ROUND(IF(ABS($AB529)&lt;=3,$AB529,IF($AB529&gt;3,3+($J529-$AD529)/($AD529-$AC529),-3+($J529-$AF529)/($AE529-$AF529))),2))</f>
        <v/>
      </c>
      <c r="L529">
        <f>IF(OR($K529="",$K529="—"),"",IF($T529&lt;=60,IF($K529&lt;-3,"Magreza acentuada",IF($K529&lt;-2,"Magreza",IF($K529&lt;=1,"Eutrofia",IF($K529&lt;=2,"Risco de sobrepeso",IF($K529&lt;=3,"Sobrepeso","Obesidade"))))),IF($K529&lt;-3,"Magreza acentuada",IF($K529&lt;-2,"Magreza",IF($K529&lt;=1,"Eutrofia",IF($K529&lt;=2,"Sobrepeso",IF($K529&lt;=3,"Obesidade","Obesidade grave")))))))</f>
        <v/>
      </c>
      <c r="M529" s="12">
        <f>IF(OR($S529="",$V529="",$T529="",$T529&lt;0,$T529&gt;228,$AG529=""),"—",ROUND(IF($AG529=0,LN($V529/$AH529)/$AI529,((($V529/$AH529)^$AG529)-1)/($AG529*$AI529)),2))</f>
        <v/>
      </c>
      <c r="N529">
        <f>IF(OR($M529="",$M529="—"),"",IF($M529&lt;-3,"Muito baixa",IF($M529&lt;-2,"Baixa","Adequada")))</f>
        <v/>
      </c>
      <c r="O529" s="12">
        <f>IF(OR($S529="",$F529="",$T529="",$T529&lt;0,$T529&gt;120,$AJ529=""),"—",ROUND(IF(ABS($AM529)&lt;=3,$AM529,IF($AM529&gt;3,3+($F529-$AO529)/($AO529-$AN529),-3+($F529-$AQ529)/($AP529-$AQ529))),2))</f>
        <v/>
      </c>
      <c r="P529">
        <f>IF(OR($O529="",$O529="—"),"",IF($O529&lt;-3,"Muito baixo",IF($O529&lt;-2,"Baixo",IF($O529&lt;=2,"Adequado","Elevado"))))</f>
        <v/>
      </c>
      <c r="Q529" s="12">
        <f>IF(OR($S529="",$F529="",$T529="",$T529&lt;0,$T529&gt;60,$AR529=""),"—",ROUND(IF(ABS($AU529)&lt;=3,$AU529,IF($AU529&gt;3,3+($F529-$AW529)/($AW529-$AV529),-3+($F529-$AY529)/($AX529-$AY529))),2))</f>
        <v/>
      </c>
      <c r="R529">
        <f>IF(OR($Q529="",$Q529="—"),"",IF($Q529&lt;-3,"Magreza acentuada",IF($Q529&lt;-2,"Magreza",IF($Q529&lt;=1,"Eutrofia",IF($Q529&lt;=2,"Risco de sobrepeso",IF($Q529&lt;=3,"Sobrepeso","Obesidade"))))))</f>
        <v/>
      </c>
      <c r="S529">
        <f>IF($C529="","",IF(UPPER(LEFT($C529,1))="M",1,IF(UPPER(LEFT($C529,1))="F",2,"")))</f>
        <v/>
      </c>
      <c r="T529">
        <f>IF(OR($D529="",$E529=""),"",DATEDIF($D529,$E529,"m"))</f>
        <v/>
      </c>
      <c r="U529">
        <f>IF(OR($D529="",$E529=""),"",$E529-$D529)</f>
        <v/>
      </c>
      <c r="V529">
        <f>IF(OR($G529="",$T529=""),"",IF($T529&lt;24,IF(LEFT(LOWER($H529),4)="em p",$G529+0.7,$G529),IF(LEFT(LOWER($H529),4)="deit",$G529-0.7,$G529)))</f>
        <v/>
      </c>
      <c r="W529">
        <f>IF(OR($S529="",$T529=""),"",$S529*1000000+IF($T529&lt;=60,$U529,$T529))</f>
        <v/>
      </c>
      <c r="X529">
        <f>IF(OR($S529="",$V529="",$T529&gt;60,$T529=""),"",$S529*1000000+ROUND($V529*10,0))</f>
        <v/>
      </c>
      <c r="Y529">
        <f>IF($W529="","",IFERROR(INDEX(IF($T529&lt;=60,imc05_l,imc519_l),MATCH($W529,IF($T529&lt;=60,imc05_k,imc519_k),1)),""))</f>
        <v/>
      </c>
      <c r="Z529">
        <f>IF($W529="","",IFERROR(INDEX(IF($T529&lt;=60,imc05_m,imc519_m),MATCH($W529,IF($T529&lt;=60,imc05_k,imc519_k),1)),""))</f>
        <v/>
      </c>
      <c r="AA529">
        <f>IF($W529="","",IFERROR(INDEX(IF($T529&lt;=60,imc05_s,imc519_s),MATCH($W529,IF($T529&lt;=60,imc05_k,imc519_k),1)),""))</f>
        <v/>
      </c>
      <c r="AB529">
        <f>IF($Y529="","",IF($Y529=0,LN($J529/$Z529)/$AA529,((($J529/$Z529)^$Y529)-1)/($Y529*$AA529)))</f>
        <v/>
      </c>
      <c r="AC529">
        <f>IF($Y529="","",IF($Y529=0,$Z529*EXP($AA529*2),$Z529*(1+$Y529*$AA529*2)^(1/$Y529)))</f>
        <v/>
      </c>
      <c r="AD529">
        <f>IF($Y529="","",IF($Y529=0,$Z529*EXP($AA529*3),$Z529*(1+$Y529*$AA529*3)^(1/$Y529)))</f>
        <v/>
      </c>
      <c r="AE529">
        <f>IF($Y529="","",IF($Y529=0,$Z529*EXP($AA529*-2),$Z529*(1+$Y529*$AA529*-2)^(1/$Y529)))</f>
        <v/>
      </c>
      <c r="AF529">
        <f>IF($Y529="","",IF($Y529=0,$Z529*EXP($AA529*-3),$Z529*(1+$Y529*$AA529*-3)^(1/$Y529)))</f>
        <v/>
      </c>
      <c r="AG529">
        <f>IF($W529="","",IFERROR(INDEX(IF($T529&lt;=60,est05_l,est519_l),MATCH($W529,IF($T529&lt;=60,est05_k,est519_k),1)),""))</f>
        <v/>
      </c>
      <c r="AH529">
        <f>IF($W529="","",IFERROR(INDEX(IF($T529&lt;=60,est05_m,est519_m),MATCH($W529,IF($T529&lt;=60,est05_k,est519_k),1)),""))</f>
        <v/>
      </c>
      <c r="AI529">
        <f>IF($W529="","",IFERROR(INDEX(IF($T529&lt;=60,est05_s,est519_s),MATCH($W529,IF($T529&lt;=60,est05_k,est519_k),1)),""))</f>
        <v/>
      </c>
      <c r="AJ529">
        <f>IF($W529="","",IFERROR(INDEX(IF($T529&lt;=60,peso05_l,peso510_l),MATCH($W529,IF($T529&lt;=60,peso05_k,peso510_k),1)),""))</f>
        <v/>
      </c>
      <c r="AK529">
        <f>IF($W529="","",IFERROR(INDEX(IF($T529&lt;=60,peso05_m,peso510_m),MATCH($W529,IF($T529&lt;=60,peso05_k,peso510_k),1)),""))</f>
        <v/>
      </c>
      <c r="AL529">
        <f>IF($W529="","",IFERROR(INDEX(IF($T529&lt;=60,peso05_s,peso510_s),MATCH($W529,IF($T529&lt;=60,peso05_k,peso510_k),1)),""))</f>
        <v/>
      </c>
      <c r="AM529">
        <f>IF($AJ529="","",IF($AJ529=0,LN($F529/$AK529)/$AL529,((($F529/$AK529)^$AJ529)-1)/($AJ529*$AL529)))</f>
        <v/>
      </c>
      <c r="AN529">
        <f>IF($AJ529="","",IF($AJ529=0,$AK529*EXP($AL529*2),$AK529*(1+$AJ529*$AL529*2)^(1/$AJ529)))</f>
        <v/>
      </c>
      <c r="AO529">
        <f>IF($AJ529="","",IF($AJ529=0,$AK529*EXP($AL529*3),$AK529*(1+$AJ529*$AL529*3)^(1/$AJ529)))</f>
        <v/>
      </c>
      <c r="AP529">
        <f>IF($AJ529="","",IF($AJ529=0,$AK529*EXP($AL529*-2),$AK529*(1+$AJ529*$AL529*-2)^(1/$AJ529)))</f>
        <v/>
      </c>
      <c r="AQ529">
        <f>IF($AJ529="","",IF($AJ529=0,$AK529*EXP($AL529*-3),$AK529*(1+$AJ529*$AL529*-3)^(1/$AJ529)))</f>
        <v/>
      </c>
      <c r="AR529">
        <f>IF(OR($X529="",$T529&gt;60),"",IFERROR(INDEX(IF($T529&lt;24,pcomp_l,palt_l),MATCH($X529,IF($T529&lt;24,pcomp_k,palt_k),1)),""))</f>
        <v/>
      </c>
      <c r="AS529">
        <f>IF(OR($X529="",$T529&gt;60),"",IFERROR(INDEX(IF($T529&lt;24,pcomp_m,palt_m),MATCH($X529,IF($T529&lt;24,pcomp_k,palt_k),1)),""))</f>
        <v/>
      </c>
      <c r="AT529">
        <f>IF(OR($X529="",$T529&gt;60),"",IFERROR(INDEX(IF($T529&lt;24,pcomp_s,palt_s),MATCH($X529,IF($T529&lt;24,pcomp_k,palt_k),1)),""))</f>
        <v/>
      </c>
      <c r="AU529">
        <f>IF($AR529="","",IF($AR529=0,LN($F529/$AS529)/$AT529,((($F529/$AS529)^$AR529)-1)/($AR529*$AT529)))</f>
        <v/>
      </c>
      <c r="AV529">
        <f>IF($AR529="","",IF($AR529=0,$AS529*EXP($AT529*2),$AS529*(1+$AR529*$AT529*2)^(1/$AR529)))</f>
        <v/>
      </c>
      <c r="AW529">
        <f>IF($AR529="","",IF($AR529=0,$AS529*EXP($AT529*3),$AS529*(1+$AR529*$AT529*3)^(1/$AR529)))</f>
        <v/>
      </c>
      <c r="AX529">
        <f>IF($AR529="","",IF($AR529=0,$AS529*EXP($AT529*-2),$AS529*(1+$AR529*$AT529*-2)^(1/$AR529)))</f>
        <v/>
      </c>
      <c r="AY529">
        <f>IF($AR529="","",IF($AR529=0,$AS529*EXP($AT529*-3),$AS529*(1+$AR529*$AT529*-3)^(1/$AR529)))</f>
        <v/>
      </c>
      <c r="AZ529">
        <f>IF(OR($A529="",$A529&lt;&gt;Ficha!$C$4),"",COUNTIF($A$2:$A529,Ficha!$C$4))</f>
        <v/>
      </c>
    </row>
    <row r="530">
      <c r="A530" s="8">
        <f>IF(INDEX(Banco!$A:$A,ROW())="","",INDEX(Banco!$A:$A,ROW()))</f>
        <v/>
      </c>
      <c r="B530" s="8">
        <f>IF(INDEX(Banco!$B:$B,ROW())="","",INDEX(Banco!$B:$B,ROW()))</f>
        <v/>
      </c>
      <c r="C530" s="8">
        <f>IF(INDEX(Banco!$C:$C,ROW())="","",INDEX(Banco!$C:$C,ROW()))</f>
        <v/>
      </c>
      <c r="D530" s="9">
        <f>IF(INDEX(Banco!$D:$D,ROW())="","",INDEX(Banco!$D:$D,ROW()))</f>
        <v/>
      </c>
      <c r="E530" s="9">
        <f>IF(INDEX(Banco!$E:$E,ROW())="","",INDEX(Banco!$E:$E,ROW()))</f>
        <v/>
      </c>
      <c r="F530" s="10">
        <f>IF(INDEX(Banco!$F:$F,ROW())="","",INDEX(Banco!$F:$F,ROW()))</f>
        <v/>
      </c>
      <c r="G530" s="10">
        <f>IF(INDEX(Banco!$G:$G,ROW())="","",INDEX(Banco!$G:$G,ROW()))</f>
        <v/>
      </c>
      <c r="H530" s="8">
        <f>IF(INDEX(Banco!$H:$H,ROW())="","",INDEX(Banco!$H:$H,ROW()))</f>
        <v/>
      </c>
      <c r="I530">
        <f>IF($T530="","",INT($T530/12)&amp;"a "&amp;MOD($T530,12)&amp;"m")</f>
        <v/>
      </c>
      <c r="J530" s="11">
        <f>IF(OR($F530="",$G530=""),"",ROUND($F530/($G530/100)^2,2))</f>
        <v/>
      </c>
      <c r="K530" s="12">
        <f>IF(OR($S530="",$J530="",$T530="",$T530&lt;0,$T530&gt;228,$Y530=""),"—",ROUND(IF(ABS($AB530)&lt;=3,$AB530,IF($AB530&gt;3,3+($J530-$AD530)/($AD530-$AC530),-3+($J530-$AF530)/($AE530-$AF530))),2))</f>
        <v/>
      </c>
      <c r="L530">
        <f>IF(OR($K530="",$K530="—"),"",IF($T530&lt;=60,IF($K530&lt;-3,"Magreza acentuada",IF($K530&lt;-2,"Magreza",IF($K530&lt;=1,"Eutrofia",IF($K530&lt;=2,"Risco de sobrepeso",IF($K530&lt;=3,"Sobrepeso","Obesidade"))))),IF($K530&lt;-3,"Magreza acentuada",IF($K530&lt;-2,"Magreza",IF($K530&lt;=1,"Eutrofia",IF($K530&lt;=2,"Sobrepeso",IF($K530&lt;=3,"Obesidade","Obesidade grave")))))))</f>
        <v/>
      </c>
      <c r="M530" s="12">
        <f>IF(OR($S530="",$V530="",$T530="",$T530&lt;0,$T530&gt;228,$AG530=""),"—",ROUND(IF($AG530=0,LN($V530/$AH530)/$AI530,((($V530/$AH530)^$AG530)-1)/($AG530*$AI530)),2))</f>
        <v/>
      </c>
      <c r="N530">
        <f>IF(OR($M530="",$M530="—"),"",IF($M530&lt;-3,"Muito baixa",IF($M530&lt;-2,"Baixa","Adequada")))</f>
        <v/>
      </c>
      <c r="O530" s="12">
        <f>IF(OR($S530="",$F530="",$T530="",$T530&lt;0,$T530&gt;120,$AJ530=""),"—",ROUND(IF(ABS($AM530)&lt;=3,$AM530,IF($AM530&gt;3,3+($F530-$AO530)/($AO530-$AN530),-3+($F530-$AQ530)/($AP530-$AQ530))),2))</f>
        <v/>
      </c>
      <c r="P530">
        <f>IF(OR($O530="",$O530="—"),"",IF($O530&lt;-3,"Muito baixo",IF($O530&lt;-2,"Baixo",IF($O530&lt;=2,"Adequado","Elevado"))))</f>
        <v/>
      </c>
      <c r="Q530" s="12">
        <f>IF(OR($S530="",$F530="",$T530="",$T530&lt;0,$T530&gt;60,$AR530=""),"—",ROUND(IF(ABS($AU530)&lt;=3,$AU530,IF($AU530&gt;3,3+($F530-$AW530)/($AW530-$AV530),-3+($F530-$AY530)/($AX530-$AY530))),2))</f>
        <v/>
      </c>
      <c r="R530">
        <f>IF(OR($Q530="",$Q530="—"),"",IF($Q530&lt;-3,"Magreza acentuada",IF($Q530&lt;-2,"Magreza",IF($Q530&lt;=1,"Eutrofia",IF($Q530&lt;=2,"Risco de sobrepeso",IF($Q530&lt;=3,"Sobrepeso","Obesidade"))))))</f>
        <v/>
      </c>
      <c r="S530">
        <f>IF($C530="","",IF(UPPER(LEFT($C530,1))="M",1,IF(UPPER(LEFT($C530,1))="F",2,"")))</f>
        <v/>
      </c>
      <c r="T530">
        <f>IF(OR($D530="",$E530=""),"",DATEDIF($D530,$E530,"m"))</f>
        <v/>
      </c>
      <c r="U530">
        <f>IF(OR($D530="",$E530=""),"",$E530-$D530)</f>
        <v/>
      </c>
      <c r="V530">
        <f>IF(OR($G530="",$T530=""),"",IF($T530&lt;24,IF(LEFT(LOWER($H530),4)="em p",$G530+0.7,$G530),IF(LEFT(LOWER($H530),4)="deit",$G530-0.7,$G530)))</f>
        <v/>
      </c>
      <c r="W530">
        <f>IF(OR($S530="",$T530=""),"",$S530*1000000+IF($T530&lt;=60,$U530,$T530))</f>
        <v/>
      </c>
      <c r="X530">
        <f>IF(OR($S530="",$V530="",$T530&gt;60,$T530=""),"",$S530*1000000+ROUND($V530*10,0))</f>
        <v/>
      </c>
      <c r="Y530">
        <f>IF($W530="","",IFERROR(INDEX(IF($T530&lt;=60,imc05_l,imc519_l),MATCH($W530,IF($T530&lt;=60,imc05_k,imc519_k),1)),""))</f>
        <v/>
      </c>
      <c r="Z530">
        <f>IF($W530="","",IFERROR(INDEX(IF($T530&lt;=60,imc05_m,imc519_m),MATCH($W530,IF($T530&lt;=60,imc05_k,imc519_k),1)),""))</f>
        <v/>
      </c>
      <c r="AA530">
        <f>IF($W530="","",IFERROR(INDEX(IF($T530&lt;=60,imc05_s,imc519_s),MATCH($W530,IF($T530&lt;=60,imc05_k,imc519_k),1)),""))</f>
        <v/>
      </c>
      <c r="AB530">
        <f>IF($Y530="","",IF($Y530=0,LN($J530/$Z530)/$AA530,((($J530/$Z530)^$Y530)-1)/($Y530*$AA530)))</f>
        <v/>
      </c>
      <c r="AC530">
        <f>IF($Y530="","",IF($Y530=0,$Z530*EXP($AA530*2),$Z530*(1+$Y530*$AA530*2)^(1/$Y530)))</f>
        <v/>
      </c>
      <c r="AD530">
        <f>IF($Y530="","",IF($Y530=0,$Z530*EXP($AA530*3),$Z530*(1+$Y530*$AA530*3)^(1/$Y530)))</f>
        <v/>
      </c>
      <c r="AE530">
        <f>IF($Y530="","",IF($Y530=0,$Z530*EXP($AA530*-2),$Z530*(1+$Y530*$AA530*-2)^(1/$Y530)))</f>
        <v/>
      </c>
      <c r="AF530">
        <f>IF($Y530="","",IF($Y530=0,$Z530*EXP($AA530*-3),$Z530*(1+$Y530*$AA530*-3)^(1/$Y530)))</f>
        <v/>
      </c>
      <c r="AG530">
        <f>IF($W530="","",IFERROR(INDEX(IF($T530&lt;=60,est05_l,est519_l),MATCH($W530,IF($T530&lt;=60,est05_k,est519_k),1)),""))</f>
        <v/>
      </c>
      <c r="AH530">
        <f>IF($W530="","",IFERROR(INDEX(IF($T530&lt;=60,est05_m,est519_m),MATCH($W530,IF($T530&lt;=60,est05_k,est519_k),1)),""))</f>
        <v/>
      </c>
      <c r="AI530">
        <f>IF($W530="","",IFERROR(INDEX(IF($T530&lt;=60,est05_s,est519_s),MATCH($W530,IF($T530&lt;=60,est05_k,est519_k),1)),""))</f>
        <v/>
      </c>
      <c r="AJ530">
        <f>IF($W530="","",IFERROR(INDEX(IF($T530&lt;=60,peso05_l,peso510_l),MATCH($W530,IF($T530&lt;=60,peso05_k,peso510_k),1)),""))</f>
        <v/>
      </c>
      <c r="AK530">
        <f>IF($W530="","",IFERROR(INDEX(IF($T530&lt;=60,peso05_m,peso510_m),MATCH($W530,IF($T530&lt;=60,peso05_k,peso510_k),1)),""))</f>
        <v/>
      </c>
      <c r="AL530">
        <f>IF($W530="","",IFERROR(INDEX(IF($T530&lt;=60,peso05_s,peso510_s),MATCH($W530,IF($T530&lt;=60,peso05_k,peso510_k),1)),""))</f>
        <v/>
      </c>
      <c r="AM530">
        <f>IF($AJ530="","",IF($AJ530=0,LN($F530/$AK530)/$AL530,((($F530/$AK530)^$AJ530)-1)/($AJ530*$AL530)))</f>
        <v/>
      </c>
      <c r="AN530">
        <f>IF($AJ530="","",IF($AJ530=0,$AK530*EXP($AL530*2),$AK530*(1+$AJ530*$AL530*2)^(1/$AJ530)))</f>
        <v/>
      </c>
      <c r="AO530">
        <f>IF($AJ530="","",IF($AJ530=0,$AK530*EXP($AL530*3),$AK530*(1+$AJ530*$AL530*3)^(1/$AJ530)))</f>
        <v/>
      </c>
      <c r="AP530">
        <f>IF($AJ530="","",IF($AJ530=0,$AK530*EXP($AL530*-2),$AK530*(1+$AJ530*$AL530*-2)^(1/$AJ530)))</f>
        <v/>
      </c>
      <c r="AQ530">
        <f>IF($AJ530="","",IF($AJ530=0,$AK530*EXP($AL530*-3),$AK530*(1+$AJ530*$AL530*-3)^(1/$AJ530)))</f>
        <v/>
      </c>
      <c r="AR530">
        <f>IF(OR($X530="",$T530&gt;60),"",IFERROR(INDEX(IF($T530&lt;24,pcomp_l,palt_l),MATCH($X530,IF($T530&lt;24,pcomp_k,palt_k),1)),""))</f>
        <v/>
      </c>
      <c r="AS530">
        <f>IF(OR($X530="",$T530&gt;60),"",IFERROR(INDEX(IF($T530&lt;24,pcomp_m,palt_m),MATCH($X530,IF($T530&lt;24,pcomp_k,palt_k),1)),""))</f>
        <v/>
      </c>
      <c r="AT530">
        <f>IF(OR($X530="",$T530&gt;60),"",IFERROR(INDEX(IF($T530&lt;24,pcomp_s,palt_s),MATCH($X530,IF($T530&lt;24,pcomp_k,palt_k),1)),""))</f>
        <v/>
      </c>
      <c r="AU530">
        <f>IF($AR530="","",IF($AR530=0,LN($F530/$AS530)/$AT530,((($F530/$AS530)^$AR530)-1)/($AR530*$AT530)))</f>
        <v/>
      </c>
      <c r="AV530">
        <f>IF($AR530="","",IF($AR530=0,$AS530*EXP($AT530*2),$AS530*(1+$AR530*$AT530*2)^(1/$AR530)))</f>
        <v/>
      </c>
      <c r="AW530">
        <f>IF($AR530="","",IF($AR530=0,$AS530*EXP($AT530*3),$AS530*(1+$AR530*$AT530*3)^(1/$AR530)))</f>
        <v/>
      </c>
      <c r="AX530">
        <f>IF($AR530="","",IF($AR530=0,$AS530*EXP($AT530*-2),$AS530*(1+$AR530*$AT530*-2)^(1/$AR530)))</f>
        <v/>
      </c>
      <c r="AY530">
        <f>IF($AR530="","",IF($AR530=0,$AS530*EXP($AT530*-3),$AS530*(1+$AR530*$AT530*-3)^(1/$AR530)))</f>
        <v/>
      </c>
      <c r="AZ530">
        <f>IF(OR($A530="",$A530&lt;&gt;Ficha!$C$4),"",COUNTIF($A$2:$A530,Ficha!$C$4))</f>
        <v/>
      </c>
    </row>
    <row r="531">
      <c r="A531" s="8">
        <f>IF(INDEX(Banco!$A:$A,ROW())="","",INDEX(Banco!$A:$A,ROW()))</f>
        <v/>
      </c>
      <c r="B531" s="8">
        <f>IF(INDEX(Banco!$B:$B,ROW())="","",INDEX(Banco!$B:$B,ROW()))</f>
        <v/>
      </c>
      <c r="C531" s="8">
        <f>IF(INDEX(Banco!$C:$C,ROW())="","",INDEX(Banco!$C:$C,ROW()))</f>
        <v/>
      </c>
      <c r="D531" s="9">
        <f>IF(INDEX(Banco!$D:$D,ROW())="","",INDEX(Banco!$D:$D,ROW()))</f>
        <v/>
      </c>
      <c r="E531" s="9">
        <f>IF(INDEX(Banco!$E:$E,ROW())="","",INDEX(Banco!$E:$E,ROW()))</f>
        <v/>
      </c>
      <c r="F531" s="10">
        <f>IF(INDEX(Banco!$F:$F,ROW())="","",INDEX(Banco!$F:$F,ROW()))</f>
        <v/>
      </c>
      <c r="G531" s="10">
        <f>IF(INDEX(Banco!$G:$G,ROW())="","",INDEX(Banco!$G:$G,ROW()))</f>
        <v/>
      </c>
      <c r="H531" s="8">
        <f>IF(INDEX(Banco!$H:$H,ROW())="","",INDEX(Banco!$H:$H,ROW()))</f>
        <v/>
      </c>
      <c r="I531">
        <f>IF($T531="","",INT($T531/12)&amp;"a "&amp;MOD($T531,12)&amp;"m")</f>
        <v/>
      </c>
      <c r="J531" s="11">
        <f>IF(OR($F531="",$G531=""),"",ROUND($F531/($G531/100)^2,2))</f>
        <v/>
      </c>
      <c r="K531" s="12">
        <f>IF(OR($S531="",$J531="",$T531="",$T531&lt;0,$T531&gt;228,$Y531=""),"—",ROUND(IF(ABS($AB531)&lt;=3,$AB531,IF($AB531&gt;3,3+($J531-$AD531)/($AD531-$AC531),-3+($J531-$AF531)/($AE531-$AF531))),2))</f>
        <v/>
      </c>
      <c r="L531">
        <f>IF(OR($K531="",$K531="—"),"",IF($T531&lt;=60,IF($K531&lt;-3,"Magreza acentuada",IF($K531&lt;-2,"Magreza",IF($K531&lt;=1,"Eutrofia",IF($K531&lt;=2,"Risco de sobrepeso",IF($K531&lt;=3,"Sobrepeso","Obesidade"))))),IF($K531&lt;-3,"Magreza acentuada",IF($K531&lt;-2,"Magreza",IF($K531&lt;=1,"Eutrofia",IF($K531&lt;=2,"Sobrepeso",IF($K531&lt;=3,"Obesidade","Obesidade grave")))))))</f>
        <v/>
      </c>
      <c r="M531" s="12">
        <f>IF(OR($S531="",$V531="",$T531="",$T531&lt;0,$T531&gt;228,$AG531=""),"—",ROUND(IF($AG531=0,LN($V531/$AH531)/$AI531,((($V531/$AH531)^$AG531)-1)/($AG531*$AI531)),2))</f>
        <v/>
      </c>
      <c r="N531">
        <f>IF(OR($M531="",$M531="—"),"",IF($M531&lt;-3,"Muito baixa",IF($M531&lt;-2,"Baixa","Adequada")))</f>
        <v/>
      </c>
      <c r="O531" s="12">
        <f>IF(OR($S531="",$F531="",$T531="",$T531&lt;0,$T531&gt;120,$AJ531=""),"—",ROUND(IF(ABS($AM531)&lt;=3,$AM531,IF($AM531&gt;3,3+($F531-$AO531)/($AO531-$AN531),-3+($F531-$AQ531)/($AP531-$AQ531))),2))</f>
        <v/>
      </c>
      <c r="P531">
        <f>IF(OR($O531="",$O531="—"),"",IF($O531&lt;-3,"Muito baixo",IF($O531&lt;-2,"Baixo",IF($O531&lt;=2,"Adequado","Elevado"))))</f>
        <v/>
      </c>
      <c r="Q531" s="12">
        <f>IF(OR($S531="",$F531="",$T531="",$T531&lt;0,$T531&gt;60,$AR531=""),"—",ROUND(IF(ABS($AU531)&lt;=3,$AU531,IF($AU531&gt;3,3+($F531-$AW531)/($AW531-$AV531),-3+($F531-$AY531)/($AX531-$AY531))),2))</f>
        <v/>
      </c>
      <c r="R531">
        <f>IF(OR($Q531="",$Q531="—"),"",IF($Q531&lt;-3,"Magreza acentuada",IF($Q531&lt;-2,"Magreza",IF($Q531&lt;=1,"Eutrofia",IF($Q531&lt;=2,"Risco de sobrepeso",IF($Q531&lt;=3,"Sobrepeso","Obesidade"))))))</f>
        <v/>
      </c>
      <c r="S531">
        <f>IF($C531="","",IF(UPPER(LEFT($C531,1))="M",1,IF(UPPER(LEFT($C531,1))="F",2,"")))</f>
        <v/>
      </c>
      <c r="T531">
        <f>IF(OR($D531="",$E531=""),"",DATEDIF($D531,$E531,"m"))</f>
        <v/>
      </c>
      <c r="U531">
        <f>IF(OR($D531="",$E531=""),"",$E531-$D531)</f>
        <v/>
      </c>
      <c r="V531">
        <f>IF(OR($G531="",$T531=""),"",IF($T531&lt;24,IF(LEFT(LOWER($H531),4)="em p",$G531+0.7,$G531),IF(LEFT(LOWER($H531),4)="deit",$G531-0.7,$G531)))</f>
        <v/>
      </c>
      <c r="W531">
        <f>IF(OR($S531="",$T531=""),"",$S531*1000000+IF($T531&lt;=60,$U531,$T531))</f>
        <v/>
      </c>
      <c r="X531">
        <f>IF(OR($S531="",$V531="",$T531&gt;60,$T531=""),"",$S531*1000000+ROUND($V531*10,0))</f>
        <v/>
      </c>
      <c r="Y531">
        <f>IF($W531="","",IFERROR(INDEX(IF($T531&lt;=60,imc05_l,imc519_l),MATCH($W531,IF($T531&lt;=60,imc05_k,imc519_k),1)),""))</f>
        <v/>
      </c>
      <c r="Z531">
        <f>IF($W531="","",IFERROR(INDEX(IF($T531&lt;=60,imc05_m,imc519_m),MATCH($W531,IF($T531&lt;=60,imc05_k,imc519_k),1)),""))</f>
        <v/>
      </c>
      <c r="AA531">
        <f>IF($W531="","",IFERROR(INDEX(IF($T531&lt;=60,imc05_s,imc519_s),MATCH($W531,IF($T531&lt;=60,imc05_k,imc519_k),1)),""))</f>
        <v/>
      </c>
      <c r="AB531">
        <f>IF($Y531="","",IF($Y531=0,LN($J531/$Z531)/$AA531,((($J531/$Z531)^$Y531)-1)/($Y531*$AA531)))</f>
        <v/>
      </c>
      <c r="AC531">
        <f>IF($Y531="","",IF($Y531=0,$Z531*EXP($AA531*2),$Z531*(1+$Y531*$AA531*2)^(1/$Y531)))</f>
        <v/>
      </c>
      <c r="AD531">
        <f>IF($Y531="","",IF($Y531=0,$Z531*EXP($AA531*3),$Z531*(1+$Y531*$AA531*3)^(1/$Y531)))</f>
        <v/>
      </c>
      <c r="AE531">
        <f>IF($Y531="","",IF($Y531=0,$Z531*EXP($AA531*-2),$Z531*(1+$Y531*$AA531*-2)^(1/$Y531)))</f>
        <v/>
      </c>
      <c r="AF531">
        <f>IF($Y531="","",IF($Y531=0,$Z531*EXP($AA531*-3),$Z531*(1+$Y531*$AA531*-3)^(1/$Y531)))</f>
        <v/>
      </c>
      <c r="AG531">
        <f>IF($W531="","",IFERROR(INDEX(IF($T531&lt;=60,est05_l,est519_l),MATCH($W531,IF($T531&lt;=60,est05_k,est519_k),1)),""))</f>
        <v/>
      </c>
      <c r="AH531">
        <f>IF($W531="","",IFERROR(INDEX(IF($T531&lt;=60,est05_m,est519_m),MATCH($W531,IF($T531&lt;=60,est05_k,est519_k),1)),""))</f>
        <v/>
      </c>
      <c r="AI531">
        <f>IF($W531="","",IFERROR(INDEX(IF($T531&lt;=60,est05_s,est519_s),MATCH($W531,IF($T531&lt;=60,est05_k,est519_k),1)),""))</f>
        <v/>
      </c>
      <c r="AJ531">
        <f>IF($W531="","",IFERROR(INDEX(IF($T531&lt;=60,peso05_l,peso510_l),MATCH($W531,IF($T531&lt;=60,peso05_k,peso510_k),1)),""))</f>
        <v/>
      </c>
      <c r="AK531">
        <f>IF($W531="","",IFERROR(INDEX(IF($T531&lt;=60,peso05_m,peso510_m),MATCH($W531,IF($T531&lt;=60,peso05_k,peso510_k),1)),""))</f>
        <v/>
      </c>
      <c r="AL531">
        <f>IF($W531="","",IFERROR(INDEX(IF($T531&lt;=60,peso05_s,peso510_s),MATCH($W531,IF($T531&lt;=60,peso05_k,peso510_k),1)),""))</f>
        <v/>
      </c>
      <c r="AM531">
        <f>IF($AJ531="","",IF($AJ531=0,LN($F531/$AK531)/$AL531,((($F531/$AK531)^$AJ531)-1)/($AJ531*$AL531)))</f>
        <v/>
      </c>
      <c r="AN531">
        <f>IF($AJ531="","",IF($AJ531=0,$AK531*EXP($AL531*2),$AK531*(1+$AJ531*$AL531*2)^(1/$AJ531)))</f>
        <v/>
      </c>
      <c r="AO531">
        <f>IF($AJ531="","",IF($AJ531=0,$AK531*EXP($AL531*3),$AK531*(1+$AJ531*$AL531*3)^(1/$AJ531)))</f>
        <v/>
      </c>
      <c r="AP531">
        <f>IF($AJ531="","",IF($AJ531=0,$AK531*EXP($AL531*-2),$AK531*(1+$AJ531*$AL531*-2)^(1/$AJ531)))</f>
        <v/>
      </c>
      <c r="AQ531">
        <f>IF($AJ531="","",IF($AJ531=0,$AK531*EXP($AL531*-3),$AK531*(1+$AJ531*$AL531*-3)^(1/$AJ531)))</f>
        <v/>
      </c>
      <c r="AR531">
        <f>IF(OR($X531="",$T531&gt;60),"",IFERROR(INDEX(IF($T531&lt;24,pcomp_l,palt_l),MATCH($X531,IF($T531&lt;24,pcomp_k,palt_k),1)),""))</f>
        <v/>
      </c>
      <c r="AS531">
        <f>IF(OR($X531="",$T531&gt;60),"",IFERROR(INDEX(IF($T531&lt;24,pcomp_m,palt_m),MATCH($X531,IF($T531&lt;24,pcomp_k,palt_k),1)),""))</f>
        <v/>
      </c>
      <c r="AT531">
        <f>IF(OR($X531="",$T531&gt;60),"",IFERROR(INDEX(IF($T531&lt;24,pcomp_s,palt_s),MATCH($X531,IF($T531&lt;24,pcomp_k,palt_k),1)),""))</f>
        <v/>
      </c>
      <c r="AU531">
        <f>IF($AR531="","",IF($AR531=0,LN($F531/$AS531)/$AT531,((($F531/$AS531)^$AR531)-1)/($AR531*$AT531)))</f>
        <v/>
      </c>
      <c r="AV531">
        <f>IF($AR531="","",IF($AR531=0,$AS531*EXP($AT531*2),$AS531*(1+$AR531*$AT531*2)^(1/$AR531)))</f>
        <v/>
      </c>
      <c r="AW531">
        <f>IF($AR531="","",IF($AR531=0,$AS531*EXP($AT531*3),$AS531*(1+$AR531*$AT531*3)^(1/$AR531)))</f>
        <v/>
      </c>
      <c r="AX531">
        <f>IF($AR531="","",IF($AR531=0,$AS531*EXP($AT531*-2),$AS531*(1+$AR531*$AT531*-2)^(1/$AR531)))</f>
        <v/>
      </c>
      <c r="AY531">
        <f>IF($AR531="","",IF($AR531=0,$AS531*EXP($AT531*-3),$AS531*(1+$AR531*$AT531*-3)^(1/$AR531)))</f>
        <v/>
      </c>
      <c r="AZ531">
        <f>IF(OR($A531="",$A531&lt;&gt;Ficha!$C$4),"",COUNTIF($A$2:$A531,Ficha!$C$4))</f>
        <v/>
      </c>
    </row>
    <row r="532">
      <c r="A532" s="8">
        <f>IF(INDEX(Banco!$A:$A,ROW())="","",INDEX(Banco!$A:$A,ROW()))</f>
        <v/>
      </c>
      <c r="B532" s="8">
        <f>IF(INDEX(Banco!$B:$B,ROW())="","",INDEX(Banco!$B:$B,ROW()))</f>
        <v/>
      </c>
      <c r="C532" s="8">
        <f>IF(INDEX(Banco!$C:$C,ROW())="","",INDEX(Banco!$C:$C,ROW()))</f>
        <v/>
      </c>
      <c r="D532" s="9">
        <f>IF(INDEX(Banco!$D:$D,ROW())="","",INDEX(Banco!$D:$D,ROW()))</f>
        <v/>
      </c>
      <c r="E532" s="9">
        <f>IF(INDEX(Banco!$E:$E,ROW())="","",INDEX(Banco!$E:$E,ROW()))</f>
        <v/>
      </c>
      <c r="F532" s="10">
        <f>IF(INDEX(Banco!$F:$F,ROW())="","",INDEX(Banco!$F:$F,ROW()))</f>
        <v/>
      </c>
      <c r="G532" s="10">
        <f>IF(INDEX(Banco!$G:$G,ROW())="","",INDEX(Banco!$G:$G,ROW()))</f>
        <v/>
      </c>
      <c r="H532" s="8">
        <f>IF(INDEX(Banco!$H:$H,ROW())="","",INDEX(Banco!$H:$H,ROW()))</f>
        <v/>
      </c>
      <c r="I532">
        <f>IF($T532="","",INT($T532/12)&amp;"a "&amp;MOD($T532,12)&amp;"m")</f>
        <v/>
      </c>
      <c r="J532" s="11">
        <f>IF(OR($F532="",$G532=""),"",ROUND($F532/($G532/100)^2,2))</f>
        <v/>
      </c>
      <c r="K532" s="12">
        <f>IF(OR($S532="",$J532="",$T532="",$T532&lt;0,$T532&gt;228,$Y532=""),"—",ROUND(IF(ABS($AB532)&lt;=3,$AB532,IF($AB532&gt;3,3+($J532-$AD532)/($AD532-$AC532),-3+($J532-$AF532)/($AE532-$AF532))),2))</f>
        <v/>
      </c>
      <c r="L532">
        <f>IF(OR($K532="",$K532="—"),"",IF($T532&lt;=60,IF($K532&lt;-3,"Magreza acentuada",IF($K532&lt;-2,"Magreza",IF($K532&lt;=1,"Eutrofia",IF($K532&lt;=2,"Risco de sobrepeso",IF($K532&lt;=3,"Sobrepeso","Obesidade"))))),IF($K532&lt;-3,"Magreza acentuada",IF($K532&lt;-2,"Magreza",IF($K532&lt;=1,"Eutrofia",IF($K532&lt;=2,"Sobrepeso",IF($K532&lt;=3,"Obesidade","Obesidade grave")))))))</f>
        <v/>
      </c>
      <c r="M532" s="12">
        <f>IF(OR($S532="",$V532="",$T532="",$T532&lt;0,$T532&gt;228,$AG532=""),"—",ROUND(IF($AG532=0,LN($V532/$AH532)/$AI532,((($V532/$AH532)^$AG532)-1)/($AG532*$AI532)),2))</f>
        <v/>
      </c>
      <c r="N532">
        <f>IF(OR($M532="",$M532="—"),"",IF($M532&lt;-3,"Muito baixa",IF($M532&lt;-2,"Baixa","Adequada")))</f>
        <v/>
      </c>
      <c r="O532" s="12">
        <f>IF(OR($S532="",$F532="",$T532="",$T532&lt;0,$T532&gt;120,$AJ532=""),"—",ROUND(IF(ABS($AM532)&lt;=3,$AM532,IF($AM532&gt;3,3+($F532-$AO532)/($AO532-$AN532),-3+($F532-$AQ532)/($AP532-$AQ532))),2))</f>
        <v/>
      </c>
      <c r="P532">
        <f>IF(OR($O532="",$O532="—"),"",IF($O532&lt;-3,"Muito baixo",IF($O532&lt;-2,"Baixo",IF($O532&lt;=2,"Adequado","Elevado"))))</f>
        <v/>
      </c>
      <c r="Q532" s="12">
        <f>IF(OR($S532="",$F532="",$T532="",$T532&lt;0,$T532&gt;60,$AR532=""),"—",ROUND(IF(ABS($AU532)&lt;=3,$AU532,IF($AU532&gt;3,3+($F532-$AW532)/($AW532-$AV532),-3+($F532-$AY532)/($AX532-$AY532))),2))</f>
        <v/>
      </c>
      <c r="R532">
        <f>IF(OR($Q532="",$Q532="—"),"",IF($Q532&lt;-3,"Magreza acentuada",IF($Q532&lt;-2,"Magreza",IF($Q532&lt;=1,"Eutrofia",IF($Q532&lt;=2,"Risco de sobrepeso",IF($Q532&lt;=3,"Sobrepeso","Obesidade"))))))</f>
        <v/>
      </c>
      <c r="S532">
        <f>IF($C532="","",IF(UPPER(LEFT($C532,1))="M",1,IF(UPPER(LEFT($C532,1))="F",2,"")))</f>
        <v/>
      </c>
      <c r="T532">
        <f>IF(OR($D532="",$E532=""),"",DATEDIF($D532,$E532,"m"))</f>
        <v/>
      </c>
      <c r="U532">
        <f>IF(OR($D532="",$E532=""),"",$E532-$D532)</f>
        <v/>
      </c>
      <c r="V532">
        <f>IF(OR($G532="",$T532=""),"",IF($T532&lt;24,IF(LEFT(LOWER($H532),4)="em p",$G532+0.7,$G532),IF(LEFT(LOWER($H532),4)="deit",$G532-0.7,$G532)))</f>
        <v/>
      </c>
      <c r="W532">
        <f>IF(OR($S532="",$T532=""),"",$S532*1000000+IF($T532&lt;=60,$U532,$T532))</f>
        <v/>
      </c>
      <c r="X532">
        <f>IF(OR($S532="",$V532="",$T532&gt;60,$T532=""),"",$S532*1000000+ROUND($V532*10,0))</f>
        <v/>
      </c>
      <c r="Y532">
        <f>IF($W532="","",IFERROR(INDEX(IF($T532&lt;=60,imc05_l,imc519_l),MATCH($W532,IF($T532&lt;=60,imc05_k,imc519_k),1)),""))</f>
        <v/>
      </c>
      <c r="Z532">
        <f>IF($W532="","",IFERROR(INDEX(IF($T532&lt;=60,imc05_m,imc519_m),MATCH($W532,IF($T532&lt;=60,imc05_k,imc519_k),1)),""))</f>
        <v/>
      </c>
      <c r="AA532">
        <f>IF($W532="","",IFERROR(INDEX(IF($T532&lt;=60,imc05_s,imc519_s),MATCH($W532,IF($T532&lt;=60,imc05_k,imc519_k),1)),""))</f>
        <v/>
      </c>
      <c r="AB532">
        <f>IF($Y532="","",IF($Y532=0,LN($J532/$Z532)/$AA532,((($J532/$Z532)^$Y532)-1)/($Y532*$AA532)))</f>
        <v/>
      </c>
      <c r="AC532">
        <f>IF($Y532="","",IF($Y532=0,$Z532*EXP($AA532*2),$Z532*(1+$Y532*$AA532*2)^(1/$Y532)))</f>
        <v/>
      </c>
      <c r="AD532">
        <f>IF($Y532="","",IF($Y532=0,$Z532*EXP($AA532*3),$Z532*(1+$Y532*$AA532*3)^(1/$Y532)))</f>
        <v/>
      </c>
      <c r="AE532">
        <f>IF($Y532="","",IF($Y532=0,$Z532*EXP($AA532*-2),$Z532*(1+$Y532*$AA532*-2)^(1/$Y532)))</f>
        <v/>
      </c>
      <c r="AF532">
        <f>IF($Y532="","",IF($Y532=0,$Z532*EXP($AA532*-3),$Z532*(1+$Y532*$AA532*-3)^(1/$Y532)))</f>
        <v/>
      </c>
      <c r="AG532">
        <f>IF($W532="","",IFERROR(INDEX(IF($T532&lt;=60,est05_l,est519_l),MATCH($W532,IF($T532&lt;=60,est05_k,est519_k),1)),""))</f>
        <v/>
      </c>
      <c r="AH532">
        <f>IF($W532="","",IFERROR(INDEX(IF($T532&lt;=60,est05_m,est519_m),MATCH($W532,IF($T532&lt;=60,est05_k,est519_k),1)),""))</f>
        <v/>
      </c>
      <c r="AI532">
        <f>IF($W532="","",IFERROR(INDEX(IF($T532&lt;=60,est05_s,est519_s),MATCH($W532,IF($T532&lt;=60,est05_k,est519_k),1)),""))</f>
        <v/>
      </c>
      <c r="AJ532">
        <f>IF($W532="","",IFERROR(INDEX(IF($T532&lt;=60,peso05_l,peso510_l),MATCH($W532,IF($T532&lt;=60,peso05_k,peso510_k),1)),""))</f>
        <v/>
      </c>
      <c r="AK532">
        <f>IF($W532="","",IFERROR(INDEX(IF($T532&lt;=60,peso05_m,peso510_m),MATCH($W532,IF($T532&lt;=60,peso05_k,peso510_k),1)),""))</f>
        <v/>
      </c>
      <c r="AL532">
        <f>IF($W532="","",IFERROR(INDEX(IF($T532&lt;=60,peso05_s,peso510_s),MATCH($W532,IF($T532&lt;=60,peso05_k,peso510_k),1)),""))</f>
        <v/>
      </c>
      <c r="AM532">
        <f>IF($AJ532="","",IF($AJ532=0,LN($F532/$AK532)/$AL532,((($F532/$AK532)^$AJ532)-1)/($AJ532*$AL532)))</f>
        <v/>
      </c>
      <c r="AN532">
        <f>IF($AJ532="","",IF($AJ532=0,$AK532*EXP($AL532*2),$AK532*(1+$AJ532*$AL532*2)^(1/$AJ532)))</f>
        <v/>
      </c>
      <c r="AO532">
        <f>IF($AJ532="","",IF($AJ532=0,$AK532*EXP($AL532*3),$AK532*(1+$AJ532*$AL532*3)^(1/$AJ532)))</f>
        <v/>
      </c>
      <c r="AP532">
        <f>IF($AJ532="","",IF($AJ532=0,$AK532*EXP($AL532*-2),$AK532*(1+$AJ532*$AL532*-2)^(1/$AJ532)))</f>
        <v/>
      </c>
      <c r="AQ532">
        <f>IF($AJ532="","",IF($AJ532=0,$AK532*EXP($AL532*-3),$AK532*(1+$AJ532*$AL532*-3)^(1/$AJ532)))</f>
        <v/>
      </c>
      <c r="AR532">
        <f>IF(OR($X532="",$T532&gt;60),"",IFERROR(INDEX(IF($T532&lt;24,pcomp_l,palt_l),MATCH($X532,IF($T532&lt;24,pcomp_k,palt_k),1)),""))</f>
        <v/>
      </c>
      <c r="AS532">
        <f>IF(OR($X532="",$T532&gt;60),"",IFERROR(INDEX(IF($T532&lt;24,pcomp_m,palt_m),MATCH($X532,IF($T532&lt;24,pcomp_k,palt_k),1)),""))</f>
        <v/>
      </c>
      <c r="AT532">
        <f>IF(OR($X532="",$T532&gt;60),"",IFERROR(INDEX(IF($T532&lt;24,pcomp_s,palt_s),MATCH($X532,IF($T532&lt;24,pcomp_k,palt_k),1)),""))</f>
        <v/>
      </c>
      <c r="AU532">
        <f>IF($AR532="","",IF($AR532=0,LN($F532/$AS532)/$AT532,((($F532/$AS532)^$AR532)-1)/($AR532*$AT532)))</f>
        <v/>
      </c>
      <c r="AV532">
        <f>IF($AR532="","",IF($AR532=0,$AS532*EXP($AT532*2),$AS532*(1+$AR532*$AT532*2)^(1/$AR532)))</f>
        <v/>
      </c>
      <c r="AW532">
        <f>IF($AR532="","",IF($AR532=0,$AS532*EXP($AT532*3),$AS532*(1+$AR532*$AT532*3)^(1/$AR532)))</f>
        <v/>
      </c>
      <c r="AX532">
        <f>IF($AR532="","",IF($AR532=0,$AS532*EXP($AT532*-2),$AS532*(1+$AR532*$AT532*-2)^(1/$AR532)))</f>
        <v/>
      </c>
      <c r="AY532">
        <f>IF($AR532="","",IF($AR532=0,$AS532*EXP($AT532*-3),$AS532*(1+$AR532*$AT532*-3)^(1/$AR532)))</f>
        <v/>
      </c>
      <c r="AZ532">
        <f>IF(OR($A532="",$A532&lt;&gt;Ficha!$C$4),"",COUNTIF($A$2:$A532,Ficha!$C$4))</f>
        <v/>
      </c>
    </row>
    <row r="533">
      <c r="A533" s="8">
        <f>IF(INDEX(Banco!$A:$A,ROW())="","",INDEX(Banco!$A:$A,ROW()))</f>
        <v/>
      </c>
      <c r="B533" s="8">
        <f>IF(INDEX(Banco!$B:$B,ROW())="","",INDEX(Banco!$B:$B,ROW()))</f>
        <v/>
      </c>
      <c r="C533" s="8">
        <f>IF(INDEX(Banco!$C:$C,ROW())="","",INDEX(Banco!$C:$C,ROW()))</f>
        <v/>
      </c>
      <c r="D533" s="9">
        <f>IF(INDEX(Banco!$D:$D,ROW())="","",INDEX(Banco!$D:$D,ROW()))</f>
        <v/>
      </c>
      <c r="E533" s="9">
        <f>IF(INDEX(Banco!$E:$E,ROW())="","",INDEX(Banco!$E:$E,ROW()))</f>
        <v/>
      </c>
      <c r="F533" s="10">
        <f>IF(INDEX(Banco!$F:$F,ROW())="","",INDEX(Banco!$F:$F,ROW()))</f>
        <v/>
      </c>
      <c r="G533" s="10">
        <f>IF(INDEX(Banco!$G:$G,ROW())="","",INDEX(Banco!$G:$G,ROW()))</f>
        <v/>
      </c>
      <c r="H533" s="8">
        <f>IF(INDEX(Banco!$H:$H,ROW())="","",INDEX(Banco!$H:$H,ROW()))</f>
        <v/>
      </c>
      <c r="I533">
        <f>IF($T533="","",INT($T533/12)&amp;"a "&amp;MOD($T533,12)&amp;"m")</f>
        <v/>
      </c>
      <c r="J533" s="11">
        <f>IF(OR($F533="",$G533=""),"",ROUND($F533/($G533/100)^2,2))</f>
        <v/>
      </c>
      <c r="K533" s="12">
        <f>IF(OR($S533="",$J533="",$T533="",$T533&lt;0,$T533&gt;228,$Y533=""),"—",ROUND(IF(ABS($AB533)&lt;=3,$AB533,IF($AB533&gt;3,3+($J533-$AD533)/($AD533-$AC533),-3+($J533-$AF533)/($AE533-$AF533))),2))</f>
        <v/>
      </c>
      <c r="L533">
        <f>IF(OR($K533="",$K533="—"),"",IF($T533&lt;=60,IF($K533&lt;-3,"Magreza acentuada",IF($K533&lt;-2,"Magreza",IF($K533&lt;=1,"Eutrofia",IF($K533&lt;=2,"Risco de sobrepeso",IF($K533&lt;=3,"Sobrepeso","Obesidade"))))),IF($K533&lt;-3,"Magreza acentuada",IF($K533&lt;-2,"Magreza",IF($K533&lt;=1,"Eutrofia",IF($K533&lt;=2,"Sobrepeso",IF($K533&lt;=3,"Obesidade","Obesidade grave")))))))</f>
        <v/>
      </c>
      <c r="M533" s="12">
        <f>IF(OR($S533="",$V533="",$T533="",$T533&lt;0,$T533&gt;228,$AG533=""),"—",ROUND(IF($AG533=0,LN($V533/$AH533)/$AI533,((($V533/$AH533)^$AG533)-1)/($AG533*$AI533)),2))</f>
        <v/>
      </c>
      <c r="N533">
        <f>IF(OR($M533="",$M533="—"),"",IF($M533&lt;-3,"Muito baixa",IF($M533&lt;-2,"Baixa","Adequada")))</f>
        <v/>
      </c>
      <c r="O533" s="12">
        <f>IF(OR($S533="",$F533="",$T533="",$T533&lt;0,$T533&gt;120,$AJ533=""),"—",ROUND(IF(ABS($AM533)&lt;=3,$AM533,IF($AM533&gt;3,3+($F533-$AO533)/($AO533-$AN533),-3+($F533-$AQ533)/($AP533-$AQ533))),2))</f>
        <v/>
      </c>
      <c r="P533">
        <f>IF(OR($O533="",$O533="—"),"",IF($O533&lt;-3,"Muito baixo",IF($O533&lt;-2,"Baixo",IF($O533&lt;=2,"Adequado","Elevado"))))</f>
        <v/>
      </c>
      <c r="Q533" s="12">
        <f>IF(OR($S533="",$F533="",$T533="",$T533&lt;0,$T533&gt;60,$AR533=""),"—",ROUND(IF(ABS($AU533)&lt;=3,$AU533,IF($AU533&gt;3,3+($F533-$AW533)/($AW533-$AV533),-3+($F533-$AY533)/($AX533-$AY533))),2))</f>
        <v/>
      </c>
      <c r="R533">
        <f>IF(OR($Q533="",$Q533="—"),"",IF($Q533&lt;-3,"Magreza acentuada",IF($Q533&lt;-2,"Magreza",IF($Q533&lt;=1,"Eutrofia",IF($Q533&lt;=2,"Risco de sobrepeso",IF($Q533&lt;=3,"Sobrepeso","Obesidade"))))))</f>
        <v/>
      </c>
      <c r="S533">
        <f>IF($C533="","",IF(UPPER(LEFT($C533,1))="M",1,IF(UPPER(LEFT($C533,1))="F",2,"")))</f>
        <v/>
      </c>
      <c r="T533">
        <f>IF(OR($D533="",$E533=""),"",DATEDIF($D533,$E533,"m"))</f>
        <v/>
      </c>
      <c r="U533">
        <f>IF(OR($D533="",$E533=""),"",$E533-$D533)</f>
        <v/>
      </c>
      <c r="V533">
        <f>IF(OR($G533="",$T533=""),"",IF($T533&lt;24,IF(LEFT(LOWER($H533),4)="em p",$G533+0.7,$G533),IF(LEFT(LOWER($H533),4)="deit",$G533-0.7,$G533)))</f>
        <v/>
      </c>
      <c r="W533">
        <f>IF(OR($S533="",$T533=""),"",$S533*1000000+IF($T533&lt;=60,$U533,$T533))</f>
        <v/>
      </c>
      <c r="X533">
        <f>IF(OR($S533="",$V533="",$T533&gt;60,$T533=""),"",$S533*1000000+ROUND($V533*10,0))</f>
        <v/>
      </c>
      <c r="Y533">
        <f>IF($W533="","",IFERROR(INDEX(IF($T533&lt;=60,imc05_l,imc519_l),MATCH($W533,IF($T533&lt;=60,imc05_k,imc519_k),1)),""))</f>
        <v/>
      </c>
      <c r="Z533">
        <f>IF($W533="","",IFERROR(INDEX(IF($T533&lt;=60,imc05_m,imc519_m),MATCH($W533,IF($T533&lt;=60,imc05_k,imc519_k),1)),""))</f>
        <v/>
      </c>
      <c r="AA533">
        <f>IF($W533="","",IFERROR(INDEX(IF($T533&lt;=60,imc05_s,imc519_s),MATCH($W533,IF($T533&lt;=60,imc05_k,imc519_k),1)),""))</f>
        <v/>
      </c>
      <c r="AB533">
        <f>IF($Y533="","",IF($Y533=0,LN($J533/$Z533)/$AA533,((($J533/$Z533)^$Y533)-1)/($Y533*$AA533)))</f>
        <v/>
      </c>
      <c r="AC533">
        <f>IF($Y533="","",IF($Y533=0,$Z533*EXP($AA533*2),$Z533*(1+$Y533*$AA533*2)^(1/$Y533)))</f>
        <v/>
      </c>
      <c r="AD533">
        <f>IF($Y533="","",IF($Y533=0,$Z533*EXP($AA533*3),$Z533*(1+$Y533*$AA533*3)^(1/$Y533)))</f>
        <v/>
      </c>
      <c r="AE533">
        <f>IF($Y533="","",IF($Y533=0,$Z533*EXP($AA533*-2),$Z533*(1+$Y533*$AA533*-2)^(1/$Y533)))</f>
        <v/>
      </c>
      <c r="AF533">
        <f>IF($Y533="","",IF($Y533=0,$Z533*EXP($AA533*-3),$Z533*(1+$Y533*$AA533*-3)^(1/$Y533)))</f>
        <v/>
      </c>
      <c r="AG533">
        <f>IF($W533="","",IFERROR(INDEX(IF($T533&lt;=60,est05_l,est519_l),MATCH($W533,IF($T533&lt;=60,est05_k,est519_k),1)),""))</f>
        <v/>
      </c>
      <c r="AH533">
        <f>IF($W533="","",IFERROR(INDEX(IF($T533&lt;=60,est05_m,est519_m),MATCH($W533,IF($T533&lt;=60,est05_k,est519_k),1)),""))</f>
        <v/>
      </c>
      <c r="AI533">
        <f>IF($W533="","",IFERROR(INDEX(IF($T533&lt;=60,est05_s,est519_s),MATCH($W533,IF($T533&lt;=60,est05_k,est519_k),1)),""))</f>
        <v/>
      </c>
      <c r="AJ533">
        <f>IF($W533="","",IFERROR(INDEX(IF($T533&lt;=60,peso05_l,peso510_l),MATCH($W533,IF($T533&lt;=60,peso05_k,peso510_k),1)),""))</f>
        <v/>
      </c>
      <c r="AK533">
        <f>IF($W533="","",IFERROR(INDEX(IF($T533&lt;=60,peso05_m,peso510_m),MATCH($W533,IF($T533&lt;=60,peso05_k,peso510_k),1)),""))</f>
        <v/>
      </c>
      <c r="AL533">
        <f>IF($W533="","",IFERROR(INDEX(IF($T533&lt;=60,peso05_s,peso510_s),MATCH($W533,IF($T533&lt;=60,peso05_k,peso510_k),1)),""))</f>
        <v/>
      </c>
      <c r="AM533">
        <f>IF($AJ533="","",IF($AJ533=0,LN($F533/$AK533)/$AL533,((($F533/$AK533)^$AJ533)-1)/($AJ533*$AL533)))</f>
        <v/>
      </c>
      <c r="AN533">
        <f>IF($AJ533="","",IF($AJ533=0,$AK533*EXP($AL533*2),$AK533*(1+$AJ533*$AL533*2)^(1/$AJ533)))</f>
        <v/>
      </c>
      <c r="AO533">
        <f>IF($AJ533="","",IF($AJ533=0,$AK533*EXP($AL533*3),$AK533*(1+$AJ533*$AL533*3)^(1/$AJ533)))</f>
        <v/>
      </c>
      <c r="AP533">
        <f>IF($AJ533="","",IF($AJ533=0,$AK533*EXP($AL533*-2),$AK533*(1+$AJ533*$AL533*-2)^(1/$AJ533)))</f>
        <v/>
      </c>
      <c r="AQ533">
        <f>IF($AJ533="","",IF($AJ533=0,$AK533*EXP($AL533*-3),$AK533*(1+$AJ533*$AL533*-3)^(1/$AJ533)))</f>
        <v/>
      </c>
      <c r="AR533">
        <f>IF(OR($X533="",$T533&gt;60),"",IFERROR(INDEX(IF($T533&lt;24,pcomp_l,palt_l),MATCH($X533,IF($T533&lt;24,pcomp_k,palt_k),1)),""))</f>
        <v/>
      </c>
      <c r="AS533">
        <f>IF(OR($X533="",$T533&gt;60),"",IFERROR(INDEX(IF($T533&lt;24,pcomp_m,palt_m),MATCH($X533,IF($T533&lt;24,pcomp_k,palt_k),1)),""))</f>
        <v/>
      </c>
      <c r="AT533">
        <f>IF(OR($X533="",$T533&gt;60),"",IFERROR(INDEX(IF($T533&lt;24,pcomp_s,palt_s),MATCH($X533,IF($T533&lt;24,pcomp_k,palt_k),1)),""))</f>
        <v/>
      </c>
      <c r="AU533">
        <f>IF($AR533="","",IF($AR533=0,LN($F533/$AS533)/$AT533,((($F533/$AS533)^$AR533)-1)/($AR533*$AT533)))</f>
        <v/>
      </c>
      <c r="AV533">
        <f>IF($AR533="","",IF($AR533=0,$AS533*EXP($AT533*2),$AS533*(1+$AR533*$AT533*2)^(1/$AR533)))</f>
        <v/>
      </c>
      <c r="AW533">
        <f>IF($AR533="","",IF($AR533=0,$AS533*EXP($AT533*3),$AS533*(1+$AR533*$AT533*3)^(1/$AR533)))</f>
        <v/>
      </c>
      <c r="AX533">
        <f>IF($AR533="","",IF($AR533=0,$AS533*EXP($AT533*-2),$AS533*(1+$AR533*$AT533*-2)^(1/$AR533)))</f>
        <v/>
      </c>
      <c r="AY533">
        <f>IF($AR533="","",IF($AR533=0,$AS533*EXP($AT533*-3),$AS533*(1+$AR533*$AT533*-3)^(1/$AR533)))</f>
        <v/>
      </c>
      <c r="AZ533">
        <f>IF(OR($A533="",$A533&lt;&gt;Ficha!$C$4),"",COUNTIF($A$2:$A533,Ficha!$C$4))</f>
        <v/>
      </c>
    </row>
    <row r="534">
      <c r="A534" s="8">
        <f>IF(INDEX(Banco!$A:$A,ROW())="","",INDEX(Banco!$A:$A,ROW()))</f>
        <v/>
      </c>
      <c r="B534" s="8">
        <f>IF(INDEX(Banco!$B:$B,ROW())="","",INDEX(Banco!$B:$B,ROW()))</f>
        <v/>
      </c>
      <c r="C534" s="8">
        <f>IF(INDEX(Banco!$C:$C,ROW())="","",INDEX(Banco!$C:$C,ROW()))</f>
        <v/>
      </c>
      <c r="D534" s="9">
        <f>IF(INDEX(Banco!$D:$D,ROW())="","",INDEX(Banco!$D:$D,ROW()))</f>
        <v/>
      </c>
      <c r="E534" s="9">
        <f>IF(INDEX(Banco!$E:$E,ROW())="","",INDEX(Banco!$E:$E,ROW()))</f>
        <v/>
      </c>
      <c r="F534" s="10">
        <f>IF(INDEX(Banco!$F:$F,ROW())="","",INDEX(Banco!$F:$F,ROW()))</f>
        <v/>
      </c>
      <c r="G534" s="10">
        <f>IF(INDEX(Banco!$G:$G,ROW())="","",INDEX(Banco!$G:$G,ROW()))</f>
        <v/>
      </c>
      <c r="H534" s="8">
        <f>IF(INDEX(Banco!$H:$H,ROW())="","",INDEX(Banco!$H:$H,ROW()))</f>
        <v/>
      </c>
      <c r="I534">
        <f>IF($T534="","",INT($T534/12)&amp;"a "&amp;MOD($T534,12)&amp;"m")</f>
        <v/>
      </c>
      <c r="J534" s="11">
        <f>IF(OR($F534="",$G534=""),"",ROUND($F534/($G534/100)^2,2))</f>
        <v/>
      </c>
      <c r="K534" s="12">
        <f>IF(OR($S534="",$J534="",$T534="",$T534&lt;0,$T534&gt;228,$Y534=""),"—",ROUND(IF(ABS($AB534)&lt;=3,$AB534,IF($AB534&gt;3,3+($J534-$AD534)/($AD534-$AC534),-3+($J534-$AF534)/($AE534-$AF534))),2))</f>
        <v/>
      </c>
      <c r="L534">
        <f>IF(OR($K534="",$K534="—"),"",IF($T534&lt;=60,IF($K534&lt;-3,"Magreza acentuada",IF($K534&lt;-2,"Magreza",IF($K534&lt;=1,"Eutrofia",IF($K534&lt;=2,"Risco de sobrepeso",IF($K534&lt;=3,"Sobrepeso","Obesidade"))))),IF($K534&lt;-3,"Magreza acentuada",IF($K534&lt;-2,"Magreza",IF($K534&lt;=1,"Eutrofia",IF($K534&lt;=2,"Sobrepeso",IF($K534&lt;=3,"Obesidade","Obesidade grave")))))))</f>
        <v/>
      </c>
      <c r="M534" s="12">
        <f>IF(OR($S534="",$V534="",$T534="",$T534&lt;0,$T534&gt;228,$AG534=""),"—",ROUND(IF($AG534=0,LN($V534/$AH534)/$AI534,((($V534/$AH534)^$AG534)-1)/($AG534*$AI534)),2))</f>
        <v/>
      </c>
      <c r="N534">
        <f>IF(OR($M534="",$M534="—"),"",IF($M534&lt;-3,"Muito baixa",IF($M534&lt;-2,"Baixa","Adequada")))</f>
        <v/>
      </c>
      <c r="O534" s="12">
        <f>IF(OR($S534="",$F534="",$T534="",$T534&lt;0,$T534&gt;120,$AJ534=""),"—",ROUND(IF(ABS($AM534)&lt;=3,$AM534,IF($AM534&gt;3,3+($F534-$AO534)/($AO534-$AN534),-3+($F534-$AQ534)/($AP534-$AQ534))),2))</f>
        <v/>
      </c>
      <c r="P534">
        <f>IF(OR($O534="",$O534="—"),"",IF($O534&lt;-3,"Muito baixo",IF($O534&lt;-2,"Baixo",IF($O534&lt;=2,"Adequado","Elevado"))))</f>
        <v/>
      </c>
      <c r="Q534" s="12">
        <f>IF(OR($S534="",$F534="",$T534="",$T534&lt;0,$T534&gt;60,$AR534=""),"—",ROUND(IF(ABS($AU534)&lt;=3,$AU534,IF($AU534&gt;3,3+($F534-$AW534)/($AW534-$AV534),-3+($F534-$AY534)/($AX534-$AY534))),2))</f>
        <v/>
      </c>
      <c r="R534">
        <f>IF(OR($Q534="",$Q534="—"),"",IF($Q534&lt;-3,"Magreza acentuada",IF($Q534&lt;-2,"Magreza",IF($Q534&lt;=1,"Eutrofia",IF($Q534&lt;=2,"Risco de sobrepeso",IF($Q534&lt;=3,"Sobrepeso","Obesidade"))))))</f>
        <v/>
      </c>
      <c r="S534">
        <f>IF($C534="","",IF(UPPER(LEFT($C534,1))="M",1,IF(UPPER(LEFT($C534,1))="F",2,"")))</f>
        <v/>
      </c>
      <c r="T534">
        <f>IF(OR($D534="",$E534=""),"",DATEDIF($D534,$E534,"m"))</f>
        <v/>
      </c>
      <c r="U534">
        <f>IF(OR($D534="",$E534=""),"",$E534-$D534)</f>
        <v/>
      </c>
      <c r="V534">
        <f>IF(OR($G534="",$T534=""),"",IF($T534&lt;24,IF(LEFT(LOWER($H534),4)="em p",$G534+0.7,$G534),IF(LEFT(LOWER($H534),4)="deit",$G534-0.7,$G534)))</f>
        <v/>
      </c>
      <c r="W534">
        <f>IF(OR($S534="",$T534=""),"",$S534*1000000+IF($T534&lt;=60,$U534,$T534))</f>
        <v/>
      </c>
      <c r="X534">
        <f>IF(OR($S534="",$V534="",$T534&gt;60,$T534=""),"",$S534*1000000+ROUND($V534*10,0))</f>
        <v/>
      </c>
      <c r="Y534">
        <f>IF($W534="","",IFERROR(INDEX(IF($T534&lt;=60,imc05_l,imc519_l),MATCH($W534,IF($T534&lt;=60,imc05_k,imc519_k),1)),""))</f>
        <v/>
      </c>
      <c r="Z534">
        <f>IF($W534="","",IFERROR(INDEX(IF($T534&lt;=60,imc05_m,imc519_m),MATCH($W534,IF($T534&lt;=60,imc05_k,imc519_k),1)),""))</f>
        <v/>
      </c>
      <c r="AA534">
        <f>IF($W534="","",IFERROR(INDEX(IF($T534&lt;=60,imc05_s,imc519_s),MATCH($W534,IF($T534&lt;=60,imc05_k,imc519_k),1)),""))</f>
        <v/>
      </c>
      <c r="AB534">
        <f>IF($Y534="","",IF($Y534=0,LN($J534/$Z534)/$AA534,((($J534/$Z534)^$Y534)-1)/($Y534*$AA534)))</f>
        <v/>
      </c>
      <c r="AC534">
        <f>IF($Y534="","",IF($Y534=0,$Z534*EXP($AA534*2),$Z534*(1+$Y534*$AA534*2)^(1/$Y534)))</f>
        <v/>
      </c>
      <c r="AD534">
        <f>IF($Y534="","",IF($Y534=0,$Z534*EXP($AA534*3),$Z534*(1+$Y534*$AA534*3)^(1/$Y534)))</f>
        <v/>
      </c>
      <c r="AE534">
        <f>IF($Y534="","",IF($Y534=0,$Z534*EXP($AA534*-2),$Z534*(1+$Y534*$AA534*-2)^(1/$Y534)))</f>
        <v/>
      </c>
      <c r="AF534">
        <f>IF($Y534="","",IF($Y534=0,$Z534*EXP($AA534*-3),$Z534*(1+$Y534*$AA534*-3)^(1/$Y534)))</f>
        <v/>
      </c>
      <c r="AG534">
        <f>IF($W534="","",IFERROR(INDEX(IF($T534&lt;=60,est05_l,est519_l),MATCH($W534,IF($T534&lt;=60,est05_k,est519_k),1)),""))</f>
        <v/>
      </c>
      <c r="AH534">
        <f>IF($W534="","",IFERROR(INDEX(IF($T534&lt;=60,est05_m,est519_m),MATCH($W534,IF($T534&lt;=60,est05_k,est519_k),1)),""))</f>
        <v/>
      </c>
      <c r="AI534">
        <f>IF($W534="","",IFERROR(INDEX(IF($T534&lt;=60,est05_s,est519_s),MATCH($W534,IF($T534&lt;=60,est05_k,est519_k),1)),""))</f>
        <v/>
      </c>
      <c r="AJ534">
        <f>IF($W534="","",IFERROR(INDEX(IF($T534&lt;=60,peso05_l,peso510_l),MATCH($W534,IF($T534&lt;=60,peso05_k,peso510_k),1)),""))</f>
        <v/>
      </c>
      <c r="AK534">
        <f>IF($W534="","",IFERROR(INDEX(IF($T534&lt;=60,peso05_m,peso510_m),MATCH($W534,IF($T534&lt;=60,peso05_k,peso510_k),1)),""))</f>
        <v/>
      </c>
      <c r="AL534">
        <f>IF($W534="","",IFERROR(INDEX(IF($T534&lt;=60,peso05_s,peso510_s),MATCH($W534,IF($T534&lt;=60,peso05_k,peso510_k),1)),""))</f>
        <v/>
      </c>
      <c r="AM534">
        <f>IF($AJ534="","",IF($AJ534=0,LN($F534/$AK534)/$AL534,((($F534/$AK534)^$AJ534)-1)/($AJ534*$AL534)))</f>
        <v/>
      </c>
      <c r="AN534">
        <f>IF($AJ534="","",IF($AJ534=0,$AK534*EXP($AL534*2),$AK534*(1+$AJ534*$AL534*2)^(1/$AJ534)))</f>
        <v/>
      </c>
      <c r="AO534">
        <f>IF($AJ534="","",IF($AJ534=0,$AK534*EXP($AL534*3),$AK534*(1+$AJ534*$AL534*3)^(1/$AJ534)))</f>
        <v/>
      </c>
      <c r="AP534">
        <f>IF($AJ534="","",IF($AJ534=0,$AK534*EXP($AL534*-2),$AK534*(1+$AJ534*$AL534*-2)^(1/$AJ534)))</f>
        <v/>
      </c>
      <c r="AQ534">
        <f>IF($AJ534="","",IF($AJ534=0,$AK534*EXP($AL534*-3),$AK534*(1+$AJ534*$AL534*-3)^(1/$AJ534)))</f>
        <v/>
      </c>
      <c r="AR534">
        <f>IF(OR($X534="",$T534&gt;60),"",IFERROR(INDEX(IF($T534&lt;24,pcomp_l,palt_l),MATCH($X534,IF($T534&lt;24,pcomp_k,palt_k),1)),""))</f>
        <v/>
      </c>
      <c r="AS534">
        <f>IF(OR($X534="",$T534&gt;60),"",IFERROR(INDEX(IF($T534&lt;24,pcomp_m,palt_m),MATCH($X534,IF($T534&lt;24,pcomp_k,palt_k),1)),""))</f>
        <v/>
      </c>
      <c r="AT534">
        <f>IF(OR($X534="",$T534&gt;60),"",IFERROR(INDEX(IF($T534&lt;24,pcomp_s,palt_s),MATCH($X534,IF($T534&lt;24,pcomp_k,palt_k),1)),""))</f>
        <v/>
      </c>
      <c r="AU534">
        <f>IF($AR534="","",IF($AR534=0,LN($F534/$AS534)/$AT534,((($F534/$AS534)^$AR534)-1)/($AR534*$AT534)))</f>
        <v/>
      </c>
      <c r="AV534">
        <f>IF($AR534="","",IF($AR534=0,$AS534*EXP($AT534*2),$AS534*(1+$AR534*$AT534*2)^(1/$AR534)))</f>
        <v/>
      </c>
      <c r="AW534">
        <f>IF($AR534="","",IF($AR534=0,$AS534*EXP($AT534*3),$AS534*(1+$AR534*$AT534*3)^(1/$AR534)))</f>
        <v/>
      </c>
      <c r="AX534">
        <f>IF($AR534="","",IF($AR534=0,$AS534*EXP($AT534*-2),$AS534*(1+$AR534*$AT534*-2)^(1/$AR534)))</f>
        <v/>
      </c>
      <c r="AY534">
        <f>IF($AR534="","",IF($AR534=0,$AS534*EXP($AT534*-3),$AS534*(1+$AR534*$AT534*-3)^(1/$AR534)))</f>
        <v/>
      </c>
      <c r="AZ534">
        <f>IF(OR($A534="",$A534&lt;&gt;Ficha!$C$4),"",COUNTIF($A$2:$A534,Ficha!$C$4))</f>
        <v/>
      </c>
    </row>
    <row r="535">
      <c r="A535" s="8">
        <f>IF(INDEX(Banco!$A:$A,ROW())="","",INDEX(Banco!$A:$A,ROW()))</f>
        <v/>
      </c>
      <c r="B535" s="8">
        <f>IF(INDEX(Banco!$B:$B,ROW())="","",INDEX(Banco!$B:$B,ROW()))</f>
        <v/>
      </c>
      <c r="C535" s="8">
        <f>IF(INDEX(Banco!$C:$C,ROW())="","",INDEX(Banco!$C:$C,ROW()))</f>
        <v/>
      </c>
      <c r="D535" s="9">
        <f>IF(INDEX(Banco!$D:$D,ROW())="","",INDEX(Banco!$D:$D,ROW()))</f>
        <v/>
      </c>
      <c r="E535" s="9">
        <f>IF(INDEX(Banco!$E:$E,ROW())="","",INDEX(Banco!$E:$E,ROW()))</f>
        <v/>
      </c>
      <c r="F535" s="10">
        <f>IF(INDEX(Banco!$F:$F,ROW())="","",INDEX(Banco!$F:$F,ROW()))</f>
        <v/>
      </c>
      <c r="G535" s="10">
        <f>IF(INDEX(Banco!$G:$G,ROW())="","",INDEX(Banco!$G:$G,ROW()))</f>
        <v/>
      </c>
      <c r="H535" s="8">
        <f>IF(INDEX(Banco!$H:$H,ROW())="","",INDEX(Banco!$H:$H,ROW()))</f>
        <v/>
      </c>
      <c r="I535">
        <f>IF($T535="","",INT($T535/12)&amp;"a "&amp;MOD($T535,12)&amp;"m")</f>
        <v/>
      </c>
      <c r="J535" s="11">
        <f>IF(OR($F535="",$G535=""),"",ROUND($F535/($G535/100)^2,2))</f>
        <v/>
      </c>
      <c r="K535" s="12">
        <f>IF(OR($S535="",$J535="",$T535="",$T535&lt;0,$T535&gt;228,$Y535=""),"—",ROUND(IF(ABS($AB535)&lt;=3,$AB535,IF($AB535&gt;3,3+($J535-$AD535)/($AD535-$AC535),-3+($J535-$AF535)/($AE535-$AF535))),2))</f>
        <v/>
      </c>
      <c r="L535">
        <f>IF(OR($K535="",$K535="—"),"",IF($T535&lt;=60,IF($K535&lt;-3,"Magreza acentuada",IF($K535&lt;-2,"Magreza",IF($K535&lt;=1,"Eutrofia",IF($K535&lt;=2,"Risco de sobrepeso",IF($K535&lt;=3,"Sobrepeso","Obesidade"))))),IF($K535&lt;-3,"Magreza acentuada",IF($K535&lt;-2,"Magreza",IF($K535&lt;=1,"Eutrofia",IF($K535&lt;=2,"Sobrepeso",IF($K535&lt;=3,"Obesidade","Obesidade grave")))))))</f>
        <v/>
      </c>
      <c r="M535" s="12">
        <f>IF(OR($S535="",$V535="",$T535="",$T535&lt;0,$T535&gt;228,$AG535=""),"—",ROUND(IF($AG535=0,LN($V535/$AH535)/$AI535,((($V535/$AH535)^$AG535)-1)/($AG535*$AI535)),2))</f>
        <v/>
      </c>
      <c r="N535">
        <f>IF(OR($M535="",$M535="—"),"",IF($M535&lt;-3,"Muito baixa",IF($M535&lt;-2,"Baixa","Adequada")))</f>
        <v/>
      </c>
      <c r="O535" s="12">
        <f>IF(OR($S535="",$F535="",$T535="",$T535&lt;0,$T535&gt;120,$AJ535=""),"—",ROUND(IF(ABS($AM535)&lt;=3,$AM535,IF($AM535&gt;3,3+($F535-$AO535)/($AO535-$AN535),-3+($F535-$AQ535)/($AP535-$AQ535))),2))</f>
        <v/>
      </c>
      <c r="P535">
        <f>IF(OR($O535="",$O535="—"),"",IF($O535&lt;-3,"Muito baixo",IF($O535&lt;-2,"Baixo",IF($O535&lt;=2,"Adequado","Elevado"))))</f>
        <v/>
      </c>
      <c r="Q535" s="12">
        <f>IF(OR($S535="",$F535="",$T535="",$T535&lt;0,$T535&gt;60,$AR535=""),"—",ROUND(IF(ABS($AU535)&lt;=3,$AU535,IF($AU535&gt;3,3+($F535-$AW535)/($AW535-$AV535),-3+($F535-$AY535)/($AX535-$AY535))),2))</f>
        <v/>
      </c>
      <c r="R535">
        <f>IF(OR($Q535="",$Q535="—"),"",IF($Q535&lt;-3,"Magreza acentuada",IF($Q535&lt;-2,"Magreza",IF($Q535&lt;=1,"Eutrofia",IF($Q535&lt;=2,"Risco de sobrepeso",IF($Q535&lt;=3,"Sobrepeso","Obesidade"))))))</f>
        <v/>
      </c>
      <c r="S535">
        <f>IF($C535="","",IF(UPPER(LEFT($C535,1))="M",1,IF(UPPER(LEFT($C535,1))="F",2,"")))</f>
        <v/>
      </c>
      <c r="T535">
        <f>IF(OR($D535="",$E535=""),"",DATEDIF($D535,$E535,"m"))</f>
        <v/>
      </c>
      <c r="U535">
        <f>IF(OR($D535="",$E535=""),"",$E535-$D535)</f>
        <v/>
      </c>
      <c r="V535">
        <f>IF(OR($G535="",$T535=""),"",IF($T535&lt;24,IF(LEFT(LOWER($H535),4)="em p",$G535+0.7,$G535),IF(LEFT(LOWER($H535),4)="deit",$G535-0.7,$G535)))</f>
        <v/>
      </c>
      <c r="W535">
        <f>IF(OR($S535="",$T535=""),"",$S535*1000000+IF($T535&lt;=60,$U535,$T535))</f>
        <v/>
      </c>
      <c r="X535">
        <f>IF(OR($S535="",$V535="",$T535&gt;60,$T535=""),"",$S535*1000000+ROUND($V535*10,0))</f>
        <v/>
      </c>
      <c r="Y535">
        <f>IF($W535="","",IFERROR(INDEX(IF($T535&lt;=60,imc05_l,imc519_l),MATCH($W535,IF($T535&lt;=60,imc05_k,imc519_k),1)),""))</f>
        <v/>
      </c>
      <c r="Z535">
        <f>IF($W535="","",IFERROR(INDEX(IF($T535&lt;=60,imc05_m,imc519_m),MATCH($W535,IF($T535&lt;=60,imc05_k,imc519_k),1)),""))</f>
        <v/>
      </c>
      <c r="AA535">
        <f>IF($W535="","",IFERROR(INDEX(IF($T535&lt;=60,imc05_s,imc519_s),MATCH($W535,IF($T535&lt;=60,imc05_k,imc519_k),1)),""))</f>
        <v/>
      </c>
      <c r="AB535">
        <f>IF($Y535="","",IF($Y535=0,LN($J535/$Z535)/$AA535,((($J535/$Z535)^$Y535)-1)/($Y535*$AA535)))</f>
        <v/>
      </c>
      <c r="AC535">
        <f>IF($Y535="","",IF($Y535=0,$Z535*EXP($AA535*2),$Z535*(1+$Y535*$AA535*2)^(1/$Y535)))</f>
        <v/>
      </c>
      <c r="AD535">
        <f>IF($Y535="","",IF($Y535=0,$Z535*EXP($AA535*3),$Z535*(1+$Y535*$AA535*3)^(1/$Y535)))</f>
        <v/>
      </c>
      <c r="AE535">
        <f>IF($Y535="","",IF($Y535=0,$Z535*EXP($AA535*-2),$Z535*(1+$Y535*$AA535*-2)^(1/$Y535)))</f>
        <v/>
      </c>
      <c r="AF535">
        <f>IF($Y535="","",IF($Y535=0,$Z535*EXP($AA535*-3),$Z535*(1+$Y535*$AA535*-3)^(1/$Y535)))</f>
        <v/>
      </c>
      <c r="AG535">
        <f>IF($W535="","",IFERROR(INDEX(IF($T535&lt;=60,est05_l,est519_l),MATCH($W535,IF($T535&lt;=60,est05_k,est519_k),1)),""))</f>
        <v/>
      </c>
      <c r="AH535">
        <f>IF($W535="","",IFERROR(INDEX(IF($T535&lt;=60,est05_m,est519_m),MATCH($W535,IF($T535&lt;=60,est05_k,est519_k),1)),""))</f>
        <v/>
      </c>
      <c r="AI535">
        <f>IF($W535="","",IFERROR(INDEX(IF($T535&lt;=60,est05_s,est519_s),MATCH($W535,IF($T535&lt;=60,est05_k,est519_k),1)),""))</f>
        <v/>
      </c>
      <c r="AJ535">
        <f>IF($W535="","",IFERROR(INDEX(IF($T535&lt;=60,peso05_l,peso510_l),MATCH($W535,IF($T535&lt;=60,peso05_k,peso510_k),1)),""))</f>
        <v/>
      </c>
      <c r="AK535">
        <f>IF($W535="","",IFERROR(INDEX(IF($T535&lt;=60,peso05_m,peso510_m),MATCH($W535,IF($T535&lt;=60,peso05_k,peso510_k),1)),""))</f>
        <v/>
      </c>
      <c r="AL535">
        <f>IF($W535="","",IFERROR(INDEX(IF($T535&lt;=60,peso05_s,peso510_s),MATCH($W535,IF($T535&lt;=60,peso05_k,peso510_k),1)),""))</f>
        <v/>
      </c>
      <c r="AM535">
        <f>IF($AJ535="","",IF($AJ535=0,LN($F535/$AK535)/$AL535,((($F535/$AK535)^$AJ535)-1)/($AJ535*$AL535)))</f>
        <v/>
      </c>
      <c r="AN535">
        <f>IF($AJ535="","",IF($AJ535=0,$AK535*EXP($AL535*2),$AK535*(1+$AJ535*$AL535*2)^(1/$AJ535)))</f>
        <v/>
      </c>
      <c r="AO535">
        <f>IF($AJ535="","",IF($AJ535=0,$AK535*EXP($AL535*3),$AK535*(1+$AJ535*$AL535*3)^(1/$AJ535)))</f>
        <v/>
      </c>
      <c r="AP535">
        <f>IF($AJ535="","",IF($AJ535=0,$AK535*EXP($AL535*-2),$AK535*(1+$AJ535*$AL535*-2)^(1/$AJ535)))</f>
        <v/>
      </c>
      <c r="AQ535">
        <f>IF($AJ535="","",IF($AJ535=0,$AK535*EXP($AL535*-3),$AK535*(1+$AJ535*$AL535*-3)^(1/$AJ535)))</f>
        <v/>
      </c>
      <c r="AR535">
        <f>IF(OR($X535="",$T535&gt;60),"",IFERROR(INDEX(IF($T535&lt;24,pcomp_l,palt_l),MATCH($X535,IF($T535&lt;24,pcomp_k,palt_k),1)),""))</f>
        <v/>
      </c>
      <c r="AS535">
        <f>IF(OR($X535="",$T535&gt;60),"",IFERROR(INDEX(IF($T535&lt;24,pcomp_m,palt_m),MATCH($X535,IF($T535&lt;24,pcomp_k,palt_k),1)),""))</f>
        <v/>
      </c>
      <c r="AT535">
        <f>IF(OR($X535="",$T535&gt;60),"",IFERROR(INDEX(IF($T535&lt;24,pcomp_s,palt_s),MATCH($X535,IF($T535&lt;24,pcomp_k,palt_k),1)),""))</f>
        <v/>
      </c>
      <c r="AU535">
        <f>IF($AR535="","",IF($AR535=0,LN($F535/$AS535)/$AT535,((($F535/$AS535)^$AR535)-1)/($AR535*$AT535)))</f>
        <v/>
      </c>
      <c r="AV535">
        <f>IF($AR535="","",IF($AR535=0,$AS535*EXP($AT535*2),$AS535*(1+$AR535*$AT535*2)^(1/$AR535)))</f>
        <v/>
      </c>
      <c r="AW535">
        <f>IF($AR535="","",IF($AR535=0,$AS535*EXP($AT535*3),$AS535*(1+$AR535*$AT535*3)^(1/$AR535)))</f>
        <v/>
      </c>
      <c r="AX535">
        <f>IF($AR535="","",IF($AR535=0,$AS535*EXP($AT535*-2),$AS535*(1+$AR535*$AT535*-2)^(1/$AR535)))</f>
        <v/>
      </c>
      <c r="AY535">
        <f>IF($AR535="","",IF($AR535=0,$AS535*EXP($AT535*-3),$AS535*(1+$AR535*$AT535*-3)^(1/$AR535)))</f>
        <v/>
      </c>
      <c r="AZ535">
        <f>IF(OR($A535="",$A535&lt;&gt;Ficha!$C$4),"",COUNTIF($A$2:$A535,Ficha!$C$4))</f>
        <v/>
      </c>
    </row>
    <row r="536">
      <c r="A536" s="8">
        <f>IF(INDEX(Banco!$A:$A,ROW())="","",INDEX(Banco!$A:$A,ROW()))</f>
        <v/>
      </c>
      <c r="B536" s="8">
        <f>IF(INDEX(Banco!$B:$B,ROW())="","",INDEX(Banco!$B:$B,ROW()))</f>
        <v/>
      </c>
      <c r="C536" s="8">
        <f>IF(INDEX(Banco!$C:$C,ROW())="","",INDEX(Banco!$C:$C,ROW()))</f>
        <v/>
      </c>
      <c r="D536" s="9">
        <f>IF(INDEX(Banco!$D:$D,ROW())="","",INDEX(Banco!$D:$D,ROW()))</f>
        <v/>
      </c>
      <c r="E536" s="9">
        <f>IF(INDEX(Banco!$E:$E,ROW())="","",INDEX(Banco!$E:$E,ROW()))</f>
        <v/>
      </c>
      <c r="F536" s="10">
        <f>IF(INDEX(Banco!$F:$F,ROW())="","",INDEX(Banco!$F:$F,ROW()))</f>
        <v/>
      </c>
      <c r="G536" s="10">
        <f>IF(INDEX(Banco!$G:$G,ROW())="","",INDEX(Banco!$G:$G,ROW()))</f>
        <v/>
      </c>
      <c r="H536" s="8">
        <f>IF(INDEX(Banco!$H:$H,ROW())="","",INDEX(Banco!$H:$H,ROW()))</f>
        <v/>
      </c>
      <c r="I536">
        <f>IF($T536="","",INT($T536/12)&amp;"a "&amp;MOD($T536,12)&amp;"m")</f>
        <v/>
      </c>
      <c r="J536" s="11">
        <f>IF(OR($F536="",$G536=""),"",ROUND($F536/($G536/100)^2,2))</f>
        <v/>
      </c>
      <c r="K536" s="12">
        <f>IF(OR($S536="",$J536="",$T536="",$T536&lt;0,$T536&gt;228,$Y536=""),"—",ROUND(IF(ABS($AB536)&lt;=3,$AB536,IF($AB536&gt;3,3+($J536-$AD536)/($AD536-$AC536),-3+($J536-$AF536)/($AE536-$AF536))),2))</f>
        <v/>
      </c>
      <c r="L536">
        <f>IF(OR($K536="",$K536="—"),"",IF($T536&lt;=60,IF($K536&lt;-3,"Magreza acentuada",IF($K536&lt;-2,"Magreza",IF($K536&lt;=1,"Eutrofia",IF($K536&lt;=2,"Risco de sobrepeso",IF($K536&lt;=3,"Sobrepeso","Obesidade"))))),IF($K536&lt;-3,"Magreza acentuada",IF($K536&lt;-2,"Magreza",IF($K536&lt;=1,"Eutrofia",IF($K536&lt;=2,"Sobrepeso",IF($K536&lt;=3,"Obesidade","Obesidade grave")))))))</f>
        <v/>
      </c>
      <c r="M536" s="12">
        <f>IF(OR($S536="",$V536="",$T536="",$T536&lt;0,$T536&gt;228,$AG536=""),"—",ROUND(IF($AG536=0,LN($V536/$AH536)/$AI536,((($V536/$AH536)^$AG536)-1)/($AG536*$AI536)),2))</f>
        <v/>
      </c>
      <c r="N536">
        <f>IF(OR($M536="",$M536="—"),"",IF($M536&lt;-3,"Muito baixa",IF($M536&lt;-2,"Baixa","Adequada")))</f>
        <v/>
      </c>
      <c r="O536" s="12">
        <f>IF(OR($S536="",$F536="",$T536="",$T536&lt;0,$T536&gt;120,$AJ536=""),"—",ROUND(IF(ABS($AM536)&lt;=3,$AM536,IF($AM536&gt;3,3+($F536-$AO536)/($AO536-$AN536),-3+($F536-$AQ536)/($AP536-$AQ536))),2))</f>
        <v/>
      </c>
      <c r="P536">
        <f>IF(OR($O536="",$O536="—"),"",IF($O536&lt;-3,"Muito baixo",IF($O536&lt;-2,"Baixo",IF($O536&lt;=2,"Adequado","Elevado"))))</f>
        <v/>
      </c>
      <c r="Q536" s="12">
        <f>IF(OR($S536="",$F536="",$T536="",$T536&lt;0,$T536&gt;60,$AR536=""),"—",ROUND(IF(ABS($AU536)&lt;=3,$AU536,IF($AU536&gt;3,3+($F536-$AW536)/($AW536-$AV536),-3+($F536-$AY536)/($AX536-$AY536))),2))</f>
        <v/>
      </c>
      <c r="R536">
        <f>IF(OR($Q536="",$Q536="—"),"",IF($Q536&lt;-3,"Magreza acentuada",IF($Q536&lt;-2,"Magreza",IF($Q536&lt;=1,"Eutrofia",IF($Q536&lt;=2,"Risco de sobrepeso",IF($Q536&lt;=3,"Sobrepeso","Obesidade"))))))</f>
        <v/>
      </c>
      <c r="S536">
        <f>IF($C536="","",IF(UPPER(LEFT($C536,1))="M",1,IF(UPPER(LEFT($C536,1))="F",2,"")))</f>
        <v/>
      </c>
      <c r="T536">
        <f>IF(OR($D536="",$E536=""),"",DATEDIF($D536,$E536,"m"))</f>
        <v/>
      </c>
      <c r="U536">
        <f>IF(OR($D536="",$E536=""),"",$E536-$D536)</f>
        <v/>
      </c>
      <c r="V536">
        <f>IF(OR($G536="",$T536=""),"",IF($T536&lt;24,IF(LEFT(LOWER($H536),4)="em p",$G536+0.7,$G536),IF(LEFT(LOWER($H536),4)="deit",$G536-0.7,$G536)))</f>
        <v/>
      </c>
      <c r="W536">
        <f>IF(OR($S536="",$T536=""),"",$S536*1000000+IF($T536&lt;=60,$U536,$T536))</f>
        <v/>
      </c>
      <c r="X536">
        <f>IF(OR($S536="",$V536="",$T536&gt;60,$T536=""),"",$S536*1000000+ROUND($V536*10,0))</f>
        <v/>
      </c>
      <c r="Y536">
        <f>IF($W536="","",IFERROR(INDEX(IF($T536&lt;=60,imc05_l,imc519_l),MATCH($W536,IF($T536&lt;=60,imc05_k,imc519_k),1)),""))</f>
        <v/>
      </c>
      <c r="Z536">
        <f>IF($W536="","",IFERROR(INDEX(IF($T536&lt;=60,imc05_m,imc519_m),MATCH($W536,IF($T536&lt;=60,imc05_k,imc519_k),1)),""))</f>
        <v/>
      </c>
      <c r="AA536">
        <f>IF($W536="","",IFERROR(INDEX(IF($T536&lt;=60,imc05_s,imc519_s),MATCH($W536,IF($T536&lt;=60,imc05_k,imc519_k),1)),""))</f>
        <v/>
      </c>
      <c r="AB536">
        <f>IF($Y536="","",IF($Y536=0,LN($J536/$Z536)/$AA536,((($J536/$Z536)^$Y536)-1)/($Y536*$AA536)))</f>
        <v/>
      </c>
      <c r="AC536">
        <f>IF($Y536="","",IF($Y536=0,$Z536*EXP($AA536*2),$Z536*(1+$Y536*$AA536*2)^(1/$Y536)))</f>
        <v/>
      </c>
      <c r="AD536">
        <f>IF($Y536="","",IF($Y536=0,$Z536*EXP($AA536*3),$Z536*(1+$Y536*$AA536*3)^(1/$Y536)))</f>
        <v/>
      </c>
      <c r="AE536">
        <f>IF($Y536="","",IF($Y536=0,$Z536*EXP($AA536*-2),$Z536*(1+$Y536*$AA536*-2)^(1/$Y536)))</f>
        <v/>
      </c>
      <c r="AF536">
        <f>IF($Y536="","",IF($Y536=0,$Z536*EXP($AA536*-3),$Z536*(1+$Y536*$AA536*-3)^(1/$Y536)))</f>
        <v/>
      </c>
      <c r="AG536">
        <f>IF($W536="","",IFERROR(INDEX(IF($T536&lt;=60,est05_l,est519_l),MATCH($W536,IF($T536&lt;=60,est05_k,est519_k),1)),""))</f>
        <v/>
      </c>
      <c r="AH536">
        <f>IF($W536="","",IFERROR(INDEX(IF($T536&lt;=60,est05_m,est519_m),MATCH($W536,IF($T536&lt;=60,est05_k,est519_k),1)),""))</f>
        <v/>
      </c>
      <c r="AI536">
        <f>IF($W536="","",IFERROR(INDEX(IF($T536&lt;=60,est05_s,est519_s),MATCH($W536,IF($T536&lt;=60,est05_k,est519_k),1)),""))</f>
        <v/>
      </c>
      <c r="AJ536">
        <f>IF($W536="","",IFERROR(INDEX(IF($T536&lt;=60,peso05_l,peso510_l),MATCH($W536,IF($T536&lt;=60,peso05_k,peso510_k),1)),""))</f>
        <v/>
      </c>
      <c r="AK536">
        <f>IF($W536="","",IFERROR(INDEX(IF($T536&lt;=60,peso05_m,peso510_m),MATCH($W536,IF($T536&lt;=60,peso05_k,peso510_k),1)),""))</f>
        <v/>
      </c>
      <c r="AL536">
        <f>IF($W536="","",IFERROR(INDEX(IF($T536&lt;=60,peso05_s,peso510_s),MATCH($W536,IF($T536&lt;=60,peso05_k,peso510_k),1)),""))</f>
        <v/>
      </c>
      <c r="AM536">
        <f>IF($AJ536="","",IF($AJ536=0,LN($F536/$AK536)/$AL536,((($F536/$AK536)^$AJ536)-1)/($AJ536*$AL536)))</f>
        <v/>
      </c>
      <c r="AN536">
        <f>IF($AJ536="","",IF($AJ536=0,$AK536*EXP($AL536*2),$AK536*(1+$AJ536*$AL536*2)^(1/$AJ536)))</f>
        <v/>
      </c>
      <c r="AO536">
        <f>IF($AJ536="","",IF($AJ536=0,$AK536*EXP($AL536*3),$AK536*(1+$AJ536*$AL536*3)^(1/$AJ536)))</f>
        <v/>
      </c>
      <c r="AP536">
        <f>IF($AJ536="","",IF($AJ536=0,$AK536*EXP($AL536*-2),$AK536*(1+$AJ536*$AL536*-2)^(1/$AJ536)))</f>
        <v/>
      </c>
      <c r="AQ536">
        <f>IF($AJ536="","",IF($AJ536=0,$AK536*EXP($AL536*-3),$AK536*(1+$AJ536*$AL536*-3)^(1/$AJ536)))</f>
        <v/>
      </c>
      <c r="AR536">
        <f>IF(OR($X536="",$T536&gt;60),"",IFERROR(INDEX(IF($T536&lt;24,pcomp_l,palt_l),MATCH($X536,IF($T536&lt;24,pcomp_k,palt_k),1)),""))</f>
        <v/>
      </c>
      <c r="AS536">
        <f>IF(OR($X536="",$T536&gt;60),"",IFERROR(INDEX(IF($T536&lt;24,pcomp_m,palt_m),MATCH($X536,IF($T536&lt;24,pcomp_k,palt_k),1)),""))</f>
        <v/>
      </c>
      <c r="AT536">
        <f>IF(OR($X536="",$T536&gt;60),"",IFERROR(INDEX(IF($T536&lt;24,pcomp_s,palt_s),MATCH($X536,IF($T536&lt;24,pcomp_k,palt_k),1)),""))</f>
        <v/>
      </c>
      <c r="AU536">
        <f>IF($AR536="","",IF($AR536=0,LN($F536/$AS536)/$AT536,((($F536/$AS536)^$AR536)-1)/($AR536*$AT536)))</f>
        <v/>
      </c>
      <c r="AV536">
        <f>IF($AR536="","",IF($AR536=0,$AS536*EXP($AT536*2),$AS536*(1+$AR536*$AT536*2)^(1/$AR536)))</f>
        <v/>
      </c>
      <c r="AW536">
        <f>IF($AR536="","",IF($AR536=0,$AS536*EXP($AT536*3),$AS536*(1+$AR536*$AT536*3)^(1/$AR536)))</f>
        <v/>
      </c>
      <c r="AX536">
        <f>IF($AR536="","",IF($AR536=0,$AS536*EXP($AT536*-2),$AS536*(1+$AR536*$AT536*-2)^(1/$AR536)))</f>
        <v/>
      </c>
      <c r="AY536">
        <f>IF($AR536="","",IF($AR536=0,$AS536*EXP($AT536*-3),$AS536*(1+$AR536*$AT536*-3)^(1/$AR536)))</f>
        <v/>
      </c>
      <c r="AZ536">
        <f>IF(OR($A536="",$A536&lt;&gt;Ficha!$C$4),"",COUNTIF($A$2:$A536,Ficha!$C$4))</f>
        <v/>
      </c>
    </row>
    <row r="537">
      <c r="A537" s="8">
        <f>IF(INDEX(Banco!$A:$A,ROW())="","",INDEX(Banco!$A:$A,ROW()))</f>
        <v/>
      </c>
      <c r="B537" s="8">
        <f>IF(INDEX(Banco!$B:$B,ROW())="","",INDEX(Banco!$B:$B,ROW()))</f>
        <v/>
      </c>
      <c r="C537" s="8">
        <f>IF(INDEX(Banco!$C:$C,ROW())="","",INDEX(Banco!$C:$C,ROW()))</f>
        <v/>
      </c>
      <c r="D537" s="9">
        <f>IF(INDEX(Banco!$D:$D,ROW())="","",INDEX(Banco!$D:$D,ROW()))</f>
        <v/>
      </c>
      <c r="E537" s="9">
        <f>IF(INDEX(Banco!$E:$E,ROW())="","",INDEX(Banco!$E:$E,ROW()))</f>
        <v/>
      </c>
      <c r="F537" s="10">
        <f>IF(INDEX(Banco!$F:$F,ROW())="","",INDEX(Banco!$F:$F,ROW()))</f>
        <v/>
      </c>
      <c r="G537" s="10">
        <f>IF(INDEX(Banco!$G:$G,ROW())="","",INDEX(Banco!$G:$G,ROW()))</f>
        <v/>
      </c>
      <c r="H537" s="8">
        <f>IF(INDEX(Banco!$H:$H,ROW())="","",INDEX(Banco!$H:$H,ROW()))</f>
        <v/>
      </c>
      <c r="I537">
        <f>IF($T537="","",INT($T537/12)&amp;"a "&amp;MOD($T537,12)&amp;"m")</f>
        <v/>
      </c>
      <c r="J537" s="11">
        <f>IF(OR($F537="",$G537=""),"",ROUND($F537/($G537/100)^2,2))</f>
        <v/>
      </c>
      <c r="K537" s="12">
        <f>IF(OR($S537="",$J537="",$T537="",$T537&lt;0,$T537&gt;228,$Y537=""),"—",ROUND(IF(ABS($AB537)&lt;=3,$AB537,IF($AB537&gt;3,3+($J537-$AD537)/($AD537-$AC537),-3+($J537-$AF537)/($AE537-$AF537))),2))</f>
        <v/>
      </c>
      <c r="L537">
        <f>IF(OR($K537="",$K537="—"),"",IF($T537&lt;=60,IF($K537&lt;-3,"Magreza acentuada",IF($K537&lt;-2,"Magreza",IF($K537&lt;=1,"Eutrofia",IF($K537&lt;=2,"Risco de sobrepeso",IF($K537&lt;=3,"Sobrepeso","Obesidade"))))),IF($K537&lt;-3,"Magreza acentuada",IF($K537&lt;-2,"Magreza",IF($K537&lt;=1,"Eutrofia",IF($K537&lt;=2,"Sobrepeso",IF($K537&lt;=3,"Obesidade","Obesidade grave")))))))</f>
        <v/>
      </c>
      <c r="M537" s="12">
        <f>IF(OR($S537="",$V537="",$T537="",$T537&lt;0,$T537&gt;228,$AG537=""),"—",ROUND(IF($AG537=0,LN($V537/$AH537)/$AI537,((($V537/$AH537)^$AG537)-1)/($AG537*$AI537)),2))</f>
        <v/>
      </c>
      <c r="N537">
        <f>IF(OR($M537="",$M537="—"),"",IF($M537&lt;-3,"Muito baixa",IF($M537&lt;-2,"Baixa","Adequada")))</f>
        <v/>
      </c>
      <c r="O537" s="12">
        <f>IF(OR($S537="",$F537="",$T537="",$T537&lt;0,$T537&gt;120,$AJ537=""),"—",ROUND(IF(ABS($AM537)&lt;=3,$AM537,IF($AM537&gt;3,3+($F537-$AO537)/($AO537-$AN537),-3+($F537-$AQ537)/($AP537-$AQ537))),2))</f>
        <v/>
      </c>
      <c r="P537">
        <f>IF(OR($O537="",$O537="—"),"",IF($O537&lt;-3,"Muito baixo",IF($O537&lt;-2,"Baixo",IF($O537&lt;=2,"Adequado","Elevado"))))</f>
        <v/>
      </c>
      <c r="Q537" s="12">
        <f>IF(OR($S537="",$F537="",$T537="",$T537&lt;0,$T537&gt;60,$AR537=""),"—",ROUND(IF(ABS($AU537)&lt;=3,$AU537,IF($AU537&gt;3,3+($F537-$AW537)/($AW537-$AV537),-3+($F537-$AY537)/($AX537-$AY537))),2))</f>
        <v/>
      </c>
      <c r="R537">
        <f>IF(OR($Q537="",$Q537="—"),"",IF($Q537&lt;-3,"Magreza acentuada",IF($Q537&lt;-2,"Magreza",IF($Q537&lt;=1,"Eutrofia",IF($Q537&lt;=2,"Risco de sobrepeso",IF($Q537&lt;=3,"Sobrepeso","Obesidade"))))))</f>
        <v/>
      </c>
      <c r="S537">
        <f>IF($C537="","",IF(UPPER(LEFT($C537,1))="M",1,IF(UPPER(LEFT($C537,1))="F",2,"")))</f>
        <v/>
      </c>
      <c r="T537">
        <f>IF(OR($D537="",$E537=""),"",DATEDIF($D537,$E537,"m"))</f>
        <v/>
      </c>
      <c r="U537">
        <f>IF(OR($D537="",$E537=""),"",$E537-$D537)</f>
        <v/>
      </c>
      <c r="V537">
        <f>IF(OR($G537="",$T537=""),"",IF($T537&lt;24,IF(LEFT(LOWER($H537),4)="em p",$G537+0.7,$G537),IF(LEFT(LOWER($H537),4)="deit",$G537-0.7,$G537)))</f>
        <v/>
      </c>
      <c r="W537">
        <f>IF(OR($S537="",$T537=""),"",$S537*1000000+IF($T537&lt;=60,$U537,$T537))</f>
        <v/>
      </c>
      <c r="X537">
        <f>IF(OR($S537="",$V537="",$T537&gt;60,$T537=""),"",$S537*1000000+ROUND($V537*10,0))</f>
        <v/>
      </c>
      <c r="Y537">
        <f>IF($W537="","",IFERROR(INDEX(IF($T537&lt;=60,imc05_l,imc519_l),MATCH($W537,IF($T537&lt;=60,imc05_k,imc519_k),1)),""))</f>
        <v/>
      </c>
      <c r="Z537">
        <f>IF($W537="","",IFERROR(INDEX(IF($T537&lt;=60,imc05_m,imc519_m),MATCH($W537,IF($T537&lt;=60,imc05_k,imc519_k),1)),""))</f>
        <v/>
      </c>
      <c r="AA537">
        <f>IF($W537="","",IFERROR(INDEX(IF($T537&lt;=60,imc05_s,imc519_s),MATCH($W537,IF($T537&lt;=60,imc05_k,imc519_k),1)),""))</f>
        <v/>
      </c>
      <c r="AB537">
        <f>IF($Y537="","",IF($Y537=0,LN($J537/$Z537)/$AA537,((($J537/$Z537)^$Y537)-1)/($Y537*$AA537)))</f>
        <v/>
      </c>
      <c r="AC537">
        <f>IF($Y537="","",IF($Y537=0,$Z537*EXP($AA537*2),$Z537*(1+$Y537*$AA537*2)^(1/$Y537)))</f>
        <v/>
      </c>
      <c r="AD537">
        <f>IF($Y537="","",IF($Y537=0,$Z537*EXP($AA537*3),$Z537*(1+$Y537*$AA537*3)^(1/$Y537)))</f>
        <v/>
      </c>
      <c r="AE537">
        <f>IF($Y537="","",IF($Y537=0,$Z537*EXP($AA537*-2),$Z537*(1+$Y537*$AA537*-2)^(1/$Y537)))</f>
        <v/>
      </c>
      <c r="AF537">
        <f>IF($Y537="","",IF($Y537=0,$Z537*EXP($AA537*-3),$Z537*(1+$Y537*$AA537*-3)^(1/$Y537)))</f>
        <v/>
      </c>
      <c r="AG537">
        <f>IF($W537="","",IFERROR(INDEX(IF($T537&lt;=60,est05_l,est519_l),MATCH($W537,IF($T537&lt;=60,est05_k,est519_k),1)),""))</f>
        <v/>
      </c>
      <c r="AH537">
        <f>IF($W537="","",IFERROR(INDEX(IF($T537&lt;=60,est05_m,est519_m),MATCH($W537,IF($T537&lt;=60,est05_k,est519_k),1)),""))</f>
        <v/>
      </c>
      <c r="AI537">
        <f>IF($W537="","",IFERROR(INDEX(IF($T537&lt;=60,est05_s,est519_s),MATCH($W537,IF($T537&lt;=60,est05_k,est519_k),1)),""))</f>
        <v/>
      </c>
      <c r="AJ537">
        <f>IF($W537="","",IFERROR(INDEX(IF($T537&lt;=60,peso05_l,peso510_l),MATCH($W537,IF($T537&lt;=60,peso05_k,peso510_k),1)),""))</f>
        <v/>
      </c>
      <c r="AK537">
        <f>IF($W537="","",IFERROR(INDEX(IF($T537&lt;=60,peso05_m,peso510_m),MATCH($W537,IF($T537&lt;=60,peso05_k,peso510_k),1)),""))</f>
        <v/>
      </c>
      <c r="AL537">
        <f>IF($W537="","",IFERROR(INDEX(IF($T537&lt;=60,peso05_s,peso510_s),MATCH($W537,IF($T537&lt;=60,peso05_k,peso510_k),1)),""))</f>
        <v/>
      </c>
      <c r="AM537">
        <f>IF($AJ537="","",IF($AJ537=0,LN($F537/$AK537)/$AL537,((($F537/$AK537)^$AJ537)-1)/($AJ537*$AL537)))</f>
        <v/>
      </c>
      <c r="AN537">
        <f>IF($AJ537="","",IF($AJ537=0,$AK537*EXP($AL537*2),$AK537*(1+$AJ537*$AL537*2)^(1/$AJ537)))</f>
        <v/>
      </c>
      <c r="AO537">
        <f>IF($AJ537="","",IF($AJ537=0,$AK537*EXP($AL537*3),$AK537*(1+$AJ537*$AL537*3)^(1/$AJ537)))</f>
        <v/>
      </c>
      <c r="AP537">
        <f>IF($AJ537="","",IF($AJ537=0,$AK537*EXP($AL537*-2),$AK537*(1+$AJ537*$AL537*-2)^(1/$AJ537)))</f>
        <v/>
      </c>
      <c r="AQ537">
        <f>IF($AJ537="","",IF($AJ537=0,$AK537*EXP($AL537*-3),$AK537*(1+$AJ537*$AL537*-3)^(1/$AJ537)))</f>
        <v/>
      </c>
      <c r="AR537">
        <f>IF(OR($X537="",$T537&gt;60),"",IFERROR(INDEX(IF($T537&lt;24,pcomp_l,palt_l),MATCH($X537,IF($T537&lt;24,pcomp_k,palt_k),1)),""))</f>
        <v/>
      </c>
      <c r="AS537">
        <f>IF(OR($X537="",$T537&gt;60),"",IFERROR(INDEX(IF($T537&lt;24,pcomp_m,palt_m),MATCH($X537,IF($T537&lt;24,pcomp_k,palt_k),1)),""))</f>
        <v/>
      </c>
      <c r="AT537">
        <f>IF(OR($X537="",$T537&gt;60),"",IFERROR(INDEX(IF($T537&lt;24,pcomp_s,palt_s),MATCH($X537,IF($T537&lt;24,pcomp_k,palt_k),1)),""))</f>
        <v/>
      </c>
      <c r="AU537">
        <f>IF($AR537="","",IF($AR537=0,LN($F537/$AS537)/$AT537,((($F537/$AS537)^$AR537)-1)/($AR537*$AT537)))</f>
        <v/>
      </c>
      <c r="AV537">
        <f>IF($AR537="","",IF($AR537=0,$AS537*EXP($AT537*2),$AS537*(1+$AR537*$AT537*2)^(1/$AR537)))</f>
        <v/>
      </c>
      <c r="AW537">
        <f>IF($AR537="","",IF($AR537=0,$AS537*EXP($AT537*3),$AS537*(1+$AR537*$AT537*3)^(1/$AR537)))</f>
        <v/>
      </c>
      <c r="AX537">
        <f>IF($AR537="","",IF($AR537=0,$AS537*EXP($AT537*-2),$AS537*(1+$AR537*$AT537*-2)^(1/$AR537)))</f>
        <v/>
      </c>
      <c r="AY537">
        <f>IF($AR537="","",IF($AR537=0,$AS537*EXP($AT537*-3),$AS537*(1+$AR537*$AT537*-3)^(1/$AR537)))</f>
        <v/>
      </c>
      <c r="AZ537">
        <f>IF(OR($A537="",$A537&lt;&gt;Ficha!$C$4),"",COUNTIF($A$2:$A537,Ficha!$C$4))</f>
        <v/>
      </c>
    </row>
    <row r="538">
      <c r="A538" s="8">
        <f>IF(INDEX(Banco!$A:$A,ROW())="","",INDEX(Banco!$A:$A,ROW()))</f>
        <v/>
      </c>
      <c r="B538" s="8">
        <f>IF(INDEX(Banco!$B:$B,ROW())="","",INDEX(Banco!$B:$B,ROW()))</f>
        <v/>
      </c>
      <c r="C538" s="8">
        <f>IF(INDEX(Banco!$C:$C,ROW())="","",INDEX(Banco!$C:$C,ROW()))</f>
        <v/>
      </c>
      <c r="D538" s="9">
        <f>IF(INDEX(Banco!$D:$D,ROW())="","",INDEX(Banco!$D:$D,ROW()))</f>
        <v/>
      </c>
      <c r="E538" s="9">
        <f>IF(INDEX(Banco!$E:$E,ROW())="","",INDEX(Banco!$E:$E,ROW()))</f>
        <v/>
      </c>
      <c r="F538" s="10">
        <f>IF(INDEX(Banco!$F:$F,ROW())="","",INDEX(Banco!$F:$F,ROW()))</f>
        <v/>
      </c>
      <c r="G538" s="10">
        <f>IF(INDEX(Banco!$G:$G,ROW())="","",INDEX(Banco!$G:$G,ROW()))</f>
        <v/>
      </c>
      <c r="H538" s="8">
        <f>IF(INDEX(Banco!$H:$H,ROW())="","",INDEX(Banco!$H:$H,ROW()))</f>
        <v/>
      </c>
      <c r="I538">
        <f>IF($T538="","",INT($T538/12)&amp;"a "&amp;MOD($T538,12)&amp;"m")</f>
        <v/>
      </c>
      <c r="J538" s="11">
        <f>IF(OR($F538="",$G538=""),"",ROUND($F538/($G538/100)^2,2))</f>
        <v/>
      </c>
      <c r="K538" s="12">
        <f>IF(OR($S538="",$J538="",$T538="",$T538&lt;0,$T538&gt;228,$Y538=""),"—",ROUND(IF(ABS($AB538)&lt;=3,$AB538,IF($AB538&gt;3,3+($J538-$AD538)/($AD538-$AC538),-3+($J538-$AF538)/($AE538-$AF538))),2))</f>
        <v/>
      </c>
      <c r="L538">
        <f>IF(OR($K538="",$K538="—"),"",IF($T538&lt;=60,IF($K538&lt;-3,"Magreza acentuada",IF($K538&lt;-2,"Magreza",IF($K538&lt;=1,"Eutrofia",IF($K538&lt;=2,"Risco de sobrepeso",IF($K538&lt;=3,"Sobrepeso","Obesidade"))))),IF($K538&lt;-3,"Magreza acentuada",IF($K538&lt;-2,"Magreza",IF($K538&lt;=1,"Eutrofia",IF($K538&lt;=2,"Sobrepeso",IF($K538&lt;=3,"Obesidade","Obesidade grave")))))))</f>
        <v/>
      </c>
      <c r="M538" s="12">
        <f>IF(OR($S538="",$V538="",$T538="",$T538&lt;0,$T538&gt;228,$AG538=""),"—",ROUND(IF($AG538=0,LN($V538/$AH538)/$AI538,((($V538/$AH538)^$AG538)-1)/($AG538*$AI538)),2))</f>
        <v/>
      </c>
      <c r="N538">
        <f>IF(OR($M538="",$M538="—"),"",IF($M538&lt;-3,"Muito baixa",IF($M538&lt;-2,"Baixa","Adequada")))</f>
        <v/>
      </c>
      <c r="O538" s="12">
        <f>IF(OR($S538="",$F538="",$T538="",$T538&lt;0,$T538&gt;120,$AJ538=""),"—",ROUND(IF(ABS($AM538)&lt;=3,$AM538,IF($AM538&gt;3,3+($F538-$AO538)/($AO538-$AN538),-3+($F538-$AQ538)/($AP538-$AQ538))),2))</f>
        <v/>
      </c>
      <c r="P538">
        <f>IF(OR($O538="",$O538="—"),"",IF($O538&lt;-3,"Muito baixo",IF($O538&lt;-2,"Baixo",IF($O538&lt;=2,"Adequado","Elevado"))))</f>
        <v/>
      </c>
      <c r="Q538" s="12">
        <f>IF(OR($S538="",$F538="",$T538="",$T538&lt;0,$T538&gt;60,$AR538=""),"—",ROUND(IF(ABS($AU538)&lt;=3,$AU538,IF($AU538&gt;3,3+($F538-$AW538)/($AW538-$AV538),-3+($F538-$AY538)/($AX538-$AY538))),2))</f>
        <v/>
      </c>
      <c r="R538">
        <f>IF(OR($Q538="",$Q538="—"),"",IF($Q538&lt;-3,"Magreza acentuada",IF($Q538&lt;-2,"Magreza",IF($Q538&lt;=1,"Eutrofia",IF($Q538&lt;=2,"Risco de sobrepeso",IF($Q538&lt;=3,"Sobrepeso","Obesidade"))))))</f>
        <v/>
      </c>
      <c r="S538">
        <f>IF($C538="","",IF(UPPER(LEFT($C538,1))="M",1,IF(UPPER(LEFT($C538,1))="F",2,"")))</f>
        <v/>
      </c>
      <c r="T538">
        <f>IF(OR($D538="",$E538=""),"",DATEDIF($D538,$E538,"m"))</f>
        <v/>
      </c>
      <c r="U538">
        <f>IF(OR($D538="",$E538=""),"",$E538-$D538)</f>
        <v/>
      </c>
      <c r="V538">
        <f>IF(OR($G538="",$T538=""),"",IF($T538&lt;24,IF(LEFT(LOWER($H538),4)="em p",$G538+0.7,$G538),IF(LEFT(LOWER($H538),4)="deit",$G538-0.7,$G538)))</f>
        <v/>
      </c>
      <c r="W538">
        <f>IF(OR($S538="",$T538=""),"",$S538*1000000+IF($T538&lt;=60,$U538,$T538))</f>
        <v/>
      </c>
      <c r="X538">
        <f>IF(OR($S538="",$V538="",$T538&gt;60,$T538=""),"",$S538*1000000+ROUND($V538*10,0))</f>
        <v/>
      </c>
      <c r="Y538">
        <f>IF($W538="","",IFERROR(INDEX(IF($T538&lt;=60,imc05_l,imc519_l),MATCH($W538,IF($T538&lt;=60,imc05_k,imc519_k),1)),""))</f>
        <v/>
      </c>
      <c r="Z538">
        <f>IF($W538="","",IFERROR(INDEX(IF($T538&lt;=60,imc05_m,imc519_m),MATCH($W538,IF($T538&lt;=60,imc05_k,imc519_k),1)),""))</f>
        <v/>
      </c>
      <c r="AA538">
        <f>IF($W538="","",IFERROR(INDEX(IF($T538&lt;=60,imc05_s,imc519_s),MATCH($W538,IF($T538&lt;=60,imc05_k,imc519_k),1)),""))</f>
        <v/>
      </c>
      <c r="AB538">
        <f>IF($Y538="","",IF($Y538=0,LN($J538/$Z538)/$AA538,((($J538/$Z538)^$Y538)-1)/($Y538*$AA538)))</f>
        <v/>
      </c>
      <c r="AC538">
        <f>IF($Y538="","",IF($Y538=0,$Z538*EXP($AA538*2),$Z538*(1+$Y538*$AA538*2)^(1/$Y538)))</f>
        <v/>
      </c>
      <c r="AD538">
        <f>IF($Y538="","",IF($Y538=0,$Z538*EXP($AA538*3),$Z538*(1+$Y538*$AA538*3)^(1/$Y538)))</f>
        <v/>
      </c>
      <c r="AE538">
        <f>IF($Y538="","",IF($Y538=0,$Z538*EXP($AA538*-2),$Z538*(1+$Y538*$AA538*-2)^(1/$Y538)))</f>
        <v/>
      </c>
      <c r="AF538">
        <f>IF($Y538="","",IF($Y538=0,$Z538*EXP($AA538*-3),$Z538*(1+$Y538*$AA538*-3)^(1/$Y538)))</f>
        <v/>
      </c>
      <c r="AG538">
        <f>IF($W538="","",IFERROR(INDEX(IF($T538&lt;=60,est05_l,est519_l),MATCH($W538,IF($T538&lt;=60,est05_k,est519_k),1)),""))</f>
        <v/>
      </c>
      <c r="AH538">
        <f>IF($W538="","",IFERROR(INDEX(IF($T538&lt;=60,est05_m,est519_m),MATCH($W538,IF($T538&lt;=60,est05_k,est519_k),1)),""))</f>
        <v/>
      </c>
      <c r="AI538">
        <f>IF($W538="","",IFERROR(INDEX(IF($T538&lt;=60,est05_s,est519_s),MATCH($W538,IF($T538&lt;=60,est05_k,est519_k),1)),""))</f>
        <v/>
      </c>
      <c r="AJ538">
        <f>IF($W538="","",IFERROR(INDEX(IF($T538&lt;=60,peso05_l,peso510_l),MATCH($W538,IF($T538&lt;=60,peso05_k,peso510_k),1)),""))</f>
        <v/>
      </c>
      <c r="AK538">
        <f>IF($W538="","",IFERROR(INDEX(IF($T538&lt;=60,peso05_m,peso510_m),MATCH($W538,IF($T538&lt;=60,peso05_k,peso510_k),1)),""))</f>
        <v/>
      </c>
      <c r="AL538">
        <f>IF($W538="","",IFERROR(INDEX(IF($T538&lt;=60,peso05_s,peso510_s),MATCH($W538,IF($T538&lt;=60,peso05_k,peso510_k),1)),""))</f>
        <v/>
      </c>
      <c r="AM538">
        <f>IF($AJ538="","",IF($AJ538=0,LN($F538/$AK538)/$AL538,((($F538/$AK538)^$AJ538)-1)/($AJ538*$AL538)))</f>
        <v/>
      </c>
      <c r="AN538">
        <f>IF($AJ538="","",IF($AJ538=0,$AK538*EXP($AL538*2),$AK538*(1+$AJ538*$AL538*2)^(1/$AJ538)))</f>
        <v/>
      </c>
      <c r="AO538">
        <f>IF($AJ538="","",IF($AJ538=0,$AK538*EXP($AL538*3),$AK538*(1+$AJ538*$AL538*3)^(1/$AJ538)))</f>
        <v/>
      </c>
      <c r="AP538">
        <f>IF($AJ538="","",IF($AJ538=0,$AK538*EXP($AL538*-2),$AK538*(1+$AJ538*$AL538*-2)^(1/$AJ538)))</f>
        <v/>
      </c>
      <c r="AQ538">
        <f>IF($AJ538="","",IF($AJ538=0,$AK538*EXP($AL538*-3),$AK538*(1+$AJ538*$AL538*-3)^(1/$AJ538)))</f>
        <v/>
      </c>
      <c r="AR538">
        <f>IF(OR($X538="",$T538&gt;60),"",IFERROR(INDEX(IF($T538&lt;24,pcomp_l,palt_l),MATCH($X538,IF($T538&lt;24,pcomp_k,palt_k),1)),""))</f>
        <v/>
      </c>
      <c r="AS538">
        <f>IF(OR($X538="",$T538&gt;60),"",IFERROR(INDEX(IF($T538&lt;24,pcomp_m,palt_m),MATCH($X538,IF($T538&lt;24,pcomp_k,palt_k),1)),""))</f>
        <v/>
      </c>
      <c r="AT538">
        <f>IF(OR($X538="",$T538&gt;60),"",IFERROR(INDEX(IF($T538&lt;24,pcomp_s,palt_s),MATCH($X538,IF($T538&lt;24,pcomp_k,palt_k),1)),""))</f>
        <v/>
      </c>
      <c r="AU538">
        <f>IF($AR538="","",IF($AR538=0,LN($F538/$AS538)/$AT538,((($F538/$AS538)^$AR538)-1)/($AR538*$AT538)))</f>
        <v/>
      </c>
      <c r="AV538">
        <f>IF($AR538="","",IF($AR538=0,$AS538*EXP($AT538*2),$AS538*(1+$AR538*$AT538*2)^(1/$AR538)))</f>
        <v/>
      </c>
      <c r="AW538">
        <f>IF($AR538="","",IF($AR538=0,$AS538*EXP($AT538*3),$AS538*(1+$AR538*$AT538*3)^(1/$AR538)))</f>
        <v/>
      </c>
      <c r="AX538">
        <f>IF($AR538="","",IF($AR538=0,$AS538*EXP($AT538*-2),$AS538*(1+$AR538*$AT538*-2)^(1/$AR538)))</f>
        <v/>
      </c>
      <c r="AY538">
        <f>IF($AR538="","",IF($AR538=0,$AS538*EXP($AT538*-3),$AS538*(1+$AR538*$AT538*-3)^(1/$AR538)))</f>
        <v/>
      </c>
      <c r="AZ538">
        <f>IF(OR($A538="",$A538&lt;&gt;Ficha!$C$4),"",COUNTIF($A$2:$A538,Ficha!$C$4))</f>
        <v/>
      </c>
    </row>
    <row r="539">
      <c r="A539" s="8">
        <f>IF(INDEX(Banco!$A:$A,ROW())="","",INDEX(Banco!$A:$A,ROW()))</f>
        <v/>
      </c>
      <c r="B539" s="8">
        <f>IF(INDEX(Banco!$B:$B,ROW())="","",INDEX(Banco!$B:$B,ROW()))</f>
        <v/>
      </c>
      <c r="C539" s="8">
        <f>IF(INDEX(Banco!$C:$C,ROW())="","",INDEX(Banco!$C:$C,ROW()))</f>
        <v/>
      </c>
      <c r="D539" s="9">
        <f>IF(INDEX(Banco!$D:$D,ROW())="","",INDEX(Banco!$D:$D,ROW()))</f>
        <v/>
      </c>
      <c r="E539" s="9">
        <f>IF(INDEX(Banco!$E:$E,ROW())="","",INDEX(Banco!$E:$E,ROW()))</f>
        <v/>
      </c>
      <c r="F539" s="10">
        <f>IF(INDEX(Banco!$F:$F,ROW())="","",INDEX(Banco!$F:$F,ROW()))</f>
        <v/>
      </c>
      <c r="G539" s="10">
        <f>IF(INDEX(Banco!$G:$G,ROW())="","",INDEX(Banco!$G:$G,ROW()))</f>
        <v/>
      </c>
      <c r="H539" s="8">
        <f>IF(INDEX(Banco!$H:$H,ROW())="","",INDEX(Banco!$H:$H,ROW()))</f>
        <v/>
      </c>
      <c r="I539">
        <f>IF($T539="","",INT($T539/12)&amp;"a "&amp;MOD($T539,12)&amp;"m")</f>
        <v/>
      </c>
      <c r="J539" s="11">
        <f>IF(OR($F539="",$G539=""),"",ROUND($F539/($G539/100)^2,2))</f>
        <v/>
      </c>
      <c r="K539" s="12">
        <f>IF(OR($S539="",$J539="",$T539="",$T539&lt;0,$T539&gt;228,$Y539=""),"—",ROUND(IF(ABS($AB539)&lt;=3,$AB539,IF($AB539&gt;3,3+($J539-$AD539)/($AD539-$AC539),-3+($J539-$AF539)/($AE539-$AF539))),2))</f>
        <v/>
      </c>
      <c r="L539">
        <f>IF(OR($K539="",$K539="—"),"",IF($T539&lt;=60,IF($K539&lt;-3,"Magreza acentuada",IF($K539&lt;-2,"Magreza",IF($K539&lt;=1,"Eutrofia",IF($K539&lt;=2,"Risco de sobrepeso",IF($K539&lt;=3,"Sobrepeso","Obesidade"))))),IF($K539&lt;-3,"Magreza acentuada",IF($K539&lt;-2,"Magreza",IF($K539&lt;=1,"Eutrofia",IF($K539&lt;=2,"Sobrepeso",IF($K539&lt;=3,"Obesidade","Obesidade grave")))))))</f>
        <v/>
      </c>
      <c r="M539" s="12">
        <f>IF(OR($S539="",$V539="",$T539="",$T539&lt;0,$T539&gt;228,$AG539=""),"—",ROUND(IF($AG539=0,LN($V539/$AH539)/$AI539,((($V539/$AH539)^$AG539)-1)/($AG539*$AI539)),2))</f>
        <v/>
      </c>
      <c r="N539">
        <f>IF(OR($M539="",$M539="—"),"",IF($M539&lt;-3,"Muito baixa",IF($M539&lt;-2,"Baixa","Adequada")))</f>
        <v/>
      </c>
      <c r="O539" s="12">
        <f>IF(OR($S539="",$F539="",$T539="",$T539&lt;0,$T539&gt;120,$AJ539=""),"—",ROUND(IF(ABS($AM539)&lt;=3,$AM539,IF($AM539&gt;3,3+($F539-$AO539)/($AO539-$AN539),-3+($F539-$AQ539)/($AP539-$AQ539))),2))</f>
        <v/>
      </c>
      <c r="P539">
        <f>IF(OR($O539="",$O539="—"),"",IF($O539&lt;-3,"Muito baixo",IF($O539&lt;-2,"Baixo",IF($O539&lt;=2,"Adequado","Elevado"))))</f>
        <v/>
      </c>
      <c r="Q539" s="12">
        <f>IF(OR($S539="",$F539="",$T539="",$T539&lt;0,$T539&gt;60,$AR539=""),"—",ROUND(IF(ABS($AU539)&lt;=3,$AU539,IF($AU539&gt;3,3+($F539-$AW539)/($AW539-$AV539),-3+($F539-$AY539)/($AX539-$AY539))),2))</f>
        <v/>
      </c>
      <c r="R539">
        <f>IF(OR($Q539="",$Q539="—"),"",IF($Q539&lt;-3,"Magreza acentuada",IF($Q539&lt;-2,"Magreza",IF($Q539&lt;=1,"Eutrofia",IF($Q539&lt;=2,"Risco de sobrepeso",IF($Q539&lt;=3,"Sobrepeso","Obesidade"))))))</f>
        <v/>
      </c>
      <c r="S539">
        <f>IF($C539="","",IF(UPPER(LEFT($C539,1))="M",1,IF(UPPER(LEFT($C539,1))="F",2,"")))</f>
        <v/>
      </c>
      <c r="T539">
        <f>IF(OR($D539="",$E539=""),"",DATEDIF($D539,$E539,"m"))</f>
        <v/>
      </c>
      <c r="U539">
        <f>IF(OR($D539="",$E539=""),"",$E539-$D539)</f>
        <v/>
      </c>
      <c r="V539">
        <f>IF(OR($G539="",$T539=""),"",IF($T539&lt;24,IF(LEFT(LOWER($H539),4)="em p",$G539+0.7,$G539),IF(LEFT(LOWER($H539),4)="deit",$G539-0.7,$G539)))</f>
        <v/>
      </c>
      <c r="W539">
        <f>IF(OR($S539="",$T539=""),"",$S539*1000000+IF($T539&lt;=60,$U539,$T539))</f>
        <v/>
      </c>
      <c r="X539">
        <f>IF(OR($S539="",$V539="",$T539&gt;60,$T539=""),"",$S539*1000000+ROUND($V539*10,0))</f>
        <v/>
      </c>
      <c r="Y539">
        <f>IF($W539="","",IFERROR(INDEX(IF($T539&lt;=60,imc05_l,imc519_l),MATCH($W539,IF($T539&lt;=60,imc05_k,imc519_k),1)),""))</f>
        <v/>
      </c>
      <c r="Z539">
        <f>IF($W539="","",IFERROR(INDEX(IF($T539&lt;=60,imc05_m,imc519_m),MATCH($W539,IF($T539&lt;=60,imc05_k,imc519_k),1)),""))</f>
        <v/>
      </c>
      <c r="AA539">
        <f>IF($W539="","",IFERROR(INDEX(IF($T539&lt;=60,imc05_s,imc519_s),MATCH($W539,IF($T539&lt;=60,imc05_k,imc519_k),1)),""))</f>
        <v/>
      </c>
      <c r="AB539">
        <f>IF($Y539="","",IF($Y539=0,LN($J539/$Z539)/$AA539,((($J539/$Z539)^$Y539)-1)/($Y539*$AA539)))</f>
        <v/>
      </c>
      <c r="AC539">
        <f>IF($Y539="","",IF($Y539=0,$Z539*EXP($AA539*2),$Z539*(1+$Y539*$AA539*2)^(1/$Y539)))</f>
        <v/>
      </c>
      <c r="AD539">
        <f>IF($Y539="","",IF($Y539=0,$Z539*EXP($AA539*3),$Z539*(1+$Y539*$AA539*3)^(1/$Y539)))</f>
        <v/>
      </c>
      <c r="AE539">
        <f>IF($Y539="","",IF($Y539=0,$Z539*EXP($AA539*-2),$Z539*(1+$Y539*$AA539*-2)^(1/$Y539)))</f>
        <v/>
      </c>
      <c r="AF539">
        <f>IF($Y539="","",IF($Y539=0,$Z539*EXP($AA539*-3),$Z539*(1+$Y539*$AA539*-3)^(1/$Y539)))</f>
        <v/>
      </c>
      <c r="AG539">
        <f>IF($W539="","",IFERROR(INDEX(IF($T539&lt;=60,est05_l,est519_l),MATCH($W539,IF($T539&lt;=60,est05_k,est519_k),1)),""))</f>
        <v/>
      </c>
      <c r="AH539">
        <f>IF($W539="","",IFERROR(INDEX(IF($T539&lt;=60,est05_m,est519_m),MATCH($W539,IF($T539&lt;=60,est05_k,est519_k),1)),""))</f>
        <v/>
      </c>
      <c r="AI539">
        <f>IF($W539="","",IFERROR(INDEX(IF($T539&lt;=60,est05_s,est519_s),MATCH($W539,IF($T539&lt;=60,est05_k,est519_k),1)),""))</f>
        <v/>
      </c>
      <c r="AJ539">
        <f>IF($W539="","",IFERROR(INDEX(IF($T539&lt;=60,peso05_l,peso510_l),MATCH($W539,IF($T539&lt;=60,peso05_k,peso510_k),1)),""))</f>
        <v/>
      </c>
      <c r="AK539">
        <f>IF($W539="","",IFERROR(INDEX(IF($T539&lt;=60,peso05_m,peso510_m),MATCH($W539,IF($T539&lt;=60,peso05_k,peso510_k),1)),""))</f>
        <v/>
      </c>
      <c r="AL539">
        <f>IF($W539="","",IFERROR(INDEX(IF($T539&lt;=60,peso05_s,peso510_s),MATCH($W539,IF($T539&lt;=60,peso05_k,peso510_k),1)),""))</f>
        <v/>
      </c>
      <c r="AM539">
        <f>IF($AJ539="","",IF($AJ539=0,LN($F539/$AK539)/$AL539,((($F539/$AK539)^$AJ539)-1)/($AJ539*$AL539)))</f>
        <v/>
      </c>
      <c r="AN539">
        <f>IF($AJ539="","",IF($AJ539=0,$AK539*EXP($AL539*2),$AK539*(1+$AJ539*$AL539*2)^(1/$AJ539)))</f>
        <v/>
      </c>
      <c r="AO539">
        <f>IF($AJ539="","",IF($AJ539=0,$AK539*EXP($AL539*3),$AK539*(1+$AJ539*$AL539*3)^(1/$AJ539)))</f>
        <v/>
      </c>
      <c r="AP539">
        <f>IF($AJ539="","",IF($AJ539=0,$AK539*EXP($AL539*-2),$AK539*(1+$AJ539*$AL539*-2)^(1/$AJ539)))</f>
        <v/>
      </c>
      <c r="AQ539">
        <f>IF($AJ539="","",IF($AJ539=0,$AK539*EXP($AL539*-3),$AK539*(1+$AJ539*$AL539*-3)^(1/$AJ539)))</f>
        <v/>
      </c>
      <c r="AR539">
        <f>IF(OR($X539="",$T539&gt;60),"",IFERROR(INDEX(IF($T539&lt;24,pcomp_l,palt_l),MATCH($X539,IF($T539&lt;24,pcomp_k,palt_k),1)),""))</f>
        <v/>
      </c>
      <c r="AS539">
        <f>IF(OR($X539="",$T539&gt;60),"",IFERROR(INDEX(IF($T539&lt;24,pcomp_m,palt_m),MATCH($X539,IF($T539&lt;24,pcomp_k,palt_k),1)),""))</f>
        <v/>
      </c>
      <c r="AT539">
        <f>IF(OR($X539="",$T539&gt;60),"",IFERROR(INDEX(IF($T539&lt;24,pcomp_s,palt_s),MATCH($X539,IF($T539&lt;24,pcomp_k,palt_k),1)),""))</f>
        <v/>
      </c>
      <c r="AU539">
        <f>IF($AR539="","",IF($AR539=0,LN($F539/$AS539)/$AT539,((($F539/$AS539)^$AR539)-1)/($AR539*$AT539)))</f>
        <v/>
      </c>
      <c r="AV539">
        <f>IF($AR539="","",IF($AR539=0,$AS539*EXP($AT539*2),$AS539*(1+$AR539*$AT539*2)^(1/$AR539)))</f>
        <v/>
      </c>
      <c r="AW539">
        <f>IF($AR539="","",IF($AR539=0,$AS539*EXP($AT539*3),$AS539*(1+$AR539*$AT539*3)^(1/$AR539)))</f>
        <v/>
      </c>
      <c r="AX539">
        <f>IF($AR539="","",IF($AR539=0,$AS539*EXP($AT539*-2),$AS539*(1+$AR539*$AT539*-2)^(1/$AR539)))</f>
        <v/>
      </c>
      <c r="AY539">
        <f>IF($AR539="","",IF($AR539=0,$AS539*EXP($AT539*-3),$AS539*(1+$AR539*$AT539*-3)^(1/$AR539)))</f>
        <v/>
      </c>
      <c r="AZ539">
        <f>IF(OR($A539="",$A539&lt;&gt;Ficha!$C$4),"",COUNTIF($A$2:$A539,Ficha!$C$4))</f>
        <v/>
      </c>
    </row>
    <row r="540">
      <c r="A540" s="8">
        <f>IF(INDEX(Banco!$A:$A,ROW())="","",INDEX(Banco!$A:$A,ROW()))</f>
        <v/>
      </c>
      <c r="B540" s="8">
        <f>IF(INDEX(Banco!$B:$B,ROW())="","",INDEX(Banco!$B:$B,ROW()))</f>
        <v/>
      </c>
      <c r="C540" s="8">
        <f>IF(INDEX(Banco!$C:$C,ROW())="","",INDEX(Banco!$C:$C,ROW()))</f>
        <v/>
      </c>
      <c r="D540" s="9">
        <f>IF(INDEX(Banco!$D:$D,ROW())="","",INDEX(Banco!$D:$D,ROW()))</f>
        <v/>
      </c>
      <c r="E540" s="9">
        <f>IF(INDEX(Banco!$E:$E,ROW())="","",INDEX(Banco!$E:$E,ROW()))</f>
        <v/>
      </c>
      <c r="F540" s="10">
        <f>IF(INDEX(Banco!$F:$F,ROW())="","",INDEX(Banco!$F:$F,ROW()))</f>
        <v/>
      </c>
      <c r="G540" s="10">
        <f>IF(INDEX(Banco!$G:$G,ROW())="","",INDEX(Banco!$G:$G,ROW()))</f>
        <v/>
      </c>
      <c r="H540" s="8">
        <f>IF(INDEX(Banco!$H:$H,ROW())="","",INDEX(Banco!$H:$H,ROW()))</f>
        <v/>
      </c>
      <c r="I540">
        <f>IF($T540="","",INT($T540/12)&amp;"a "&amp;MOD($T540,12)&amp;"m")</f>
        <v/>
      </c>
      <c r="J540" s="11">
        <f>IF(OR($F540="",$G540=""),"",ROUND($F540/($G540/100)^2,2))</f>
        <v/>
      </c>
      <c r="K540" s="12">
        <f>IF(OR($S540="",$J540="",$T540="",$T540&lt;0,$T540&gt;228,$Y540=""),"—",ROUND(IF(ABS($AB540)&lt;=3,$AB540,IF($AB540&gt;3,3+($J540-$AD540)/($AD540-$AC540),-3+($J540-$AF540)/($AE540-$AF540))),2))</f>
        <v/>
      </c>
      <c r="L540">
        <f>IF(OR($K540="",$K540="—"),"",IF($T540&lt;=60,IF($K540&lt;-3,"Magreza acentuada",IF($K540&lt;-2,"Magreza",IF($K540&lt;=1,"Eutrofia",IF($K540&lt;=2,"Risco de sobrepeso",IF($K540&lt;=3,"Sobrepeso","Obesidade"))))),IF($K540&lt;-3,"Magreza acentuada",IF($K540&lt;-2,"Magreza",IF($K540&lt;=1,"Eutrofia",IF($K540&lt;=2,"Sobrepeso",IF($K540&lt;=3,"Obesidade","Obesidade grave")))))))</f>
        <v/>
      </c>
      <c r="M540" s="12">
        <f>IF(OR($S540="",$V540="",$T540="",$T540&lt;0,$T540&gt;228,$AG540=""),"—",ROUND(IF($AG540=0,LN($V540/$AH540)/$AI540,((($V540/$AH540)^$AG540)-1)/($AG540*$AI540)),2))</f>
        <v/>
      </c>
      <c r="N540">
        <f>IF(OR($M540="",$M540="—"),"",IF($M540&lt;-3,"Muito baixa",IF($M540&lt;-2,"Baixa","Adequada")))</f>
        <v/>
      </c>
      <c r="O540" s="12">
        <f>IF(OR($S540="",$F540="",$T540="",$T540&lt;0,$T540&gt;120,$AJ540=""),"—",ROUND(IF(ABS($AM540)&lt;=3,$AM540,IF($AM540&gt;3,3+($F540-$AO540)/($AO540-$AN540),-3+($F540-$AQ540)/($AP540-$AQ540))),2))</f>
        <v/>
      </c>
      <c r="P540">
        <f>IF(OR($O540="",$O540="—"),"",IF($O540&lt;-3,"Muito baixo",IF($O540&lt;-2,"Baixo",IF($O540&lt;=2,"Adequado","Elevado"))))</f>
        <v/>
      </c>
      <c r="Q540" s="12">
        <f>IF(OR($S540="",$F540="",$T540="",$T540&lt;0,$T540&gt;60,$AR540=""),"—",ROUND(IF(ABS($AU540)&lt;=3,$AU540,IF($AU540&gt;3,3+($F540-$AW540)/($AW540-$AV540),-3+($F540-$AY540)/($AX540-$AY540))),2))</f>
        <v/>
      </c>
      <c r="R540">
        <f>IF(OR($Q540="",$Q540="—"),"",IF($Q540&lt;-3,"Magreza acentuada",IF($Q540&lt;-2,"Magreza",IF($Q540&lt;=1,"Eutrofia",IF($Q540&lt;=2,"Risco de sobrepeso",IF($Q540&lt;=3,"Sobrepeso","Obesidade"))))))</f>
        <v/>
      </c>
      <c r="S540">
        <f>IF($C540="","",IF(UPPER(LEFT($C540,1))="M",1,IF(UPPER(LEFT($C540,1))="F",2,"")))</f>
        <v/>
      </c>
      <c r="T540">
        <f>IF(OR($D540="",$E540=""),"",DATEDIF($D540,$E540,"m"))</f>
        <v/>
      </c>
      <c r="U540">
        <f>IF(OR($D540="",$E540=""),"",$E540-$D540)</f>
        <v/>
      </c>
      <c r="V540">
        <f>IF(OR($G540="",$T540=""),"",IF($T540&lt;24,IF(LEFT(LOWER($H540),4)="em p",$G540+0.7,$G540),IF(LEFT(LOWER($H540),4)="deit",$G540-0.7,$G540)))</f>
        <v/>
      </c>
      <c r="W540">
        <f>IF(OR($S540="",$T540=""),"",$S540*1000000+IF($T540&lt;=60,$U540,$T540))</f>
        <v/>
      </c>
      <c r="X540">
        <f>IF(OR($S540="",$V540="",$T540&gt;60,$T540=""),"",$S540*1000000+ROUND($V540*10,0))</f>
        <v/>
      </c>
      <c r="Y540">
        <f>IF($W540="","",IFERROR(INDEX(IF($T540&lt;=60,imc05_l,imc519_l),MATCH($W540,IF($T540&lt;=60,imc05_k,imc519_k),1)),""))</f>
        <v/>
      </c>
      <c r="Z540">
        <f>IF($W540="","",IFERROR(INDEX(IF($T540&lt;=60,imc05_m,imc519_m),MATCH($W540,IF($T540&lt;=60,imc05_k,imc519_k),1)),""))</f>
        <v/>
      </c>
      <c r="AA540">
        <f>IF($W540="","",IFERROR(INDEX(IF($T540&lt;=60,imc05_s,imc519_s),MATCH($W540,IF($T540&lt;=60,imc05_k,imc519_k),1)),""))</f>
        <v/>
      </c>
      <c r="AB540">
        <f>IF($Y540="","",IF($Y540=0,LN($J540/$Z540)/$AA540,((($J540/$Z540)^$Y540)-1)/($Y540*$AA540)))</f>
        <v/>
      </c>
      <c r="AC540">
        <f>IF($Y540="","",IF($Y540=0,$Z540*EXP($AA540*2),$Z540*(1+$Y540*$AA540*2)^(1/$Y540)))</f>
        <v/>
      </c>
      <c r="AD540">
        <f>IF($Y540="","",IF($Y540=0,$Z540*EXP($AA540*3),$Z540*(1+$Y540*$AA540*3)^(1/$Y540)))</f>
        <v/>
      </c>
      <c r="AE540">
        <f>IF($Y540="","",IF($Y540=0,$Z540*EXP($AA540*-2),$Z540*(1+$Y540*$AA540*-2)^(1/$Y540)))</f>
        <v/>
      </c>
      <c r="AF540">
        <f>IF($Y540="","",IF($Y540=0,$Z540*EXP($AA540*-3),$Z540*(1+$Y540*$AA540*-3)^(1/$Y540)))</f>
        <v/>
      </c>
      <c r="AG540">
        <f>IF($W540="","",IFERROR(INDEX(IF($T540&lt;=60,est05_l,est519_l),MATCH($W540,IF($T540&lt;=60,est05_k,est519_k),1)),""))</f>
        <v/>
      </c>
      <c r="AH540">
        <f>IF($W540="","",IFERROR(INDEX(IF($T540&lt;=60,est05_m,est519_m),MATCH($W540,IF($T540&lt;=60,est05_k,est519_k),1)),""))</f>
        <v/>
      </c>
      <c r="AI540">
        <f>IF($W540="","",IFERROR(INDEX(IF($T540&lt;=60,est05_s,est519_s),MATCH($W540,IF($T540&lt;=60,est05_k,est519_k),1)),""))</f>
        <v/>
      </c>
      <c r="AJ540">
        <f>IF($W540="","",IFERROR(INDEX(IF($T540&lt;=60,peso05_l,peso510_l),MATCH($W540,IF($T540&lt;=60,peso05_k,peso510_k),1)),""))</f>
        <v/>
      </c>
      <c r="AK540">
        <f>IF($W540="","",IFERROR(INDEX(IF($T540&lt;=60,peso05_m,peso510_m),MATCH($W540,IF($T540&lt;=60,peso05_k,peso510_k),1)),""))</f>
        <v/>
      </c>
      <c r="AL540">
        <f>IF($W540="","",IFERROR(INDEX(IF($T540&lt;=60,peso05_s,peso510_s),MATCH($W540,IF($T540&lt;=60,peso05_k,peso510_k),1)),""))</f>
        <v/>
      </c>
      <c r="AM540">
        <f>IF($AJ540="","",IF($AJ540=0,LN($F540/$AK540)/$AL540,((($F540/$AK540)^$AJ540)-1)/($AJ540*$AL540)))</f>
        <v/>
      </c>
      <c r="AN540">
        <f>IF($AJ540="","",IF($AJ540=0,$AK540*EXP($AL540*2),$AK540*(1+$AJ540*$AL540*2)^(1/$AJ540)))</f>
        <v/>
      </c>
      <c r="AO540">
        <f>IF($AJ540="","",IF($AJ540=0,$AK540*EXP($AL540*3),$AK540*(1+$AJ540*$AL540*3)^(1/$AJ540)))</f>
        <v/>
      </c>
      <c r="AP540">
        <f>IF($AJ540="","",IF($AJ540=0,$AK540*EXP($AL540*-2),$AK540*(1+$AJ540*$AL540*-2)^(1/$AJ540)))</f>
        <v/>
      </c>
      <c r="AQ540">
        <f>IF($AJ540="","",IF($AJ540=0,$AK540*EXP($AL540*-3),$AK540*(1+$AJ540*$AL540*-3)^(1/$AJ540)))</f>
        <v/>
      </c>
      <c r="AR540">
        <f>IF(OR($X540="",$T540&gt;60),"",IFERROR(INDEX(IF($T540&lt;24,pcomp_l,palt_l),MATCH($X540,IF($T540&lt;24,pcomp_k,palt_k),1)),""))</f>
        <v/>
      </c>
      <c r="AS540">
        <f>IF(OR($X540="",$T540&gt;60),"",IFERROR(INDEX(IF($T540&lt;24,pcomp_m,palt_m),MATCH($X540,IF($T540&lt;24,pcomp_k,palt_k),1)),""))</f>
        <v/>
      </c>
      <c r="AT540">
        <f>IF(OR($X540="",$T540&gt;60),"",IFERROR(INDEX(IF($T540&lt;24,pcomp_s,palt_s),MATCH($X540,IF($T540&lt;24,pcomp_k,palt_k),1)),""))</f>
        <v/>
      </c>
      <c r="AU540">
        <f>IF($AR540="","",IF($AR540=0,LN($F540/$AS540)/$AT540,((($F540/$AS540)^$AR540)-1)/($AR540*$AT540)))</f>
        <v/>
      </c>
      <c r="AV540">
        <f>IF($AR540="","",IF($AR540=0,$AS540*EXP($AT540*2),$AS540*(1+$AR540*$AT540*2)^(1/$AR540)))</f>
        <v/>
      </c>
      <c r="AW540">
        <f>IF($AR540="","",IF($AR540=0,$AS540*EXP($AT540*3),$AS540*(1+$AR540*$AT540*3)^(1/$AR540)))</f>
        <v/>
      </c>
      <c r="AX540">
        <f>IF($AR540="","",IF($AR540=0,$AS540*EXP($AT540*-2),$AS540*(1+$AR540*$AT540*-2)^(1/$AR540)))</f>
        <v/>
      </c>
      <c r="AY540">
        <f>IF($AR540="","",IF($AR540=0,$AS540*EXP($AT540*-3),$AS540*(1+$AR540*$AT540*-3)^(1/$AR540)))</f>
        <v/>
      </c>
      <c r="AZ540">
        <f>IF(OR($A540="",$A540&lt;&gt;Ficha!$C$4),"",COUNTIF($A$2:$A540,Ficha!$C$4))</f>
        <v/>
      </c>
    </row>
    <row r="541">
      <c r="A541" s="8">
        <f>IF(INDEX(Banco!$A:$A,ROW())="","",INDEX(Banco!$A:$A,ROW()))</f>
        <v/>
      </c>
      <c r="B541" s="8">
        <f>IF(INDEX(Banco!$B:$B,ROW())="","",INDEX(Banco!$B:$B,ROW()))</f>
        <v/>
      </c>
      <c r="C541" s="8">
        <f>IF(INDEX(Banco!$C:$C,ROW())="","",INDEX(Banco!$C:$C,ROW()))</f>
        <v/>
      </c>
      <c r="D541" s="9">
        <f>IF(INDEX(Banco!$D:$D,ROW())="","",INDEX(Banco!$D:$D,ROW()))</f>
        <v/>
      </c>
      <c r="E541" s="9">
        <f>IF(INDEX(Banco!$E:$E,ROW())="","",INDEX(Banco!$E:$E,ROW()))</f>
        <v/>
      </c>
      <c r="F541" s="10">
        <f>IF(INDEX(Banco!$F:$F,ROW())="","",INDEX(Banco!$F:$F,ROW()))</f>
        <v/>
      </c>
      <c r="G541" s="10">
        <f>IF(INDEX(Banco!$G:$G,ROW())="","",INDEX(Banco!$G:$G,ROW()))</f>
        <v/>
      </c>
      <c r="H541" s="8">
        <f>IF(INDEX(Banco!$H:$H,ROW())="","",INDEX(Banco!$H:$H,ROW()))</f>
        <v/>
      </c>
      <c r="I541">
        <f>IF($T541="","",INT($T541/12)&amp;"a "&amp;MOD($T541,12)&amp;"m")</f>
        <v/>
      </c>
      <c r="J541" s="11">
        <f>IF(OR($F541="",$G541=""),"",ROUND($F541/($G541/100)^2,2))</f>
        <v/>
      </c>
      <c r="K541" s="12">
        <f>IF(OR($S541="",$J541="",$T541="",$T541&lt;0,$T541&gt;228,$Y541=""),"—",ROUND(IF(ABS($AB541)&lt;=3,$AB541,IF($AB541&gt;3,3+($J541-$AD541)/($AD541-$AC541),-3+($J541-$AF541)/($AE541-$AF541))),2))</f>
        <v/>
      </c>
      <c r="L541">
        <f>IF(OR($K541="",$K541="—"),"",IF($T541&lt;=60,IF($K541&lt;-3,"Magreza acentuada",IF($K541&lt;-2,"Magreza",IF($K541&lt;=1,"Eutrofia",IF($K541&lt;=2,"Risco de sobrepeso",IF($K541&lt;=3,"Sobrepeso","Obesidade"))))),IF($K541&lt;-3,"Magreza acentuada",IF($K541&lt;-2,"Magreza",IF($K541&lt;=1,"Eutrofia",IF($K541&lt;=2,"Sobrepeso",IF($K541&lt;=3,"Obesidade","Obesidade grave")))))))</f>
        <v/>
      </c>
      <c r="M541" s="12">
        <f>IF(OR($S541="",$V541="",$T541="",$T541&lt;0,$T541&gt;228,$AG541=""),"—",ROUND(IF($AG541=0,LN($V541/$AH541)/$AI541,((($V541/$AH541)^$AG541)-1)/($AG541*$AI541)),2))</f>
        <v/>
      </c>
      <c r="N541">
        <f>IF(OR($M541="",$M541="—"),"",IF($M541&lt;-3,"Muito baixa",IF($M541&lt;-2,"Baixa","Adequada")))</f>
        <v/>
      </c>
      <c r="O541" s="12">
        <f>IF(OR($S541="",$F541="",$T541="",$T541&lt;0,$T541&gt;120,$AJ541=""),"—",ROUND(IF(ABS($AM541)&lt;=3,$AM541,IF($AM541&gt;3,3+($F541-$AO541)/($AO541-$AN541),-3+($F541-$AQ541)/($AP541-$AQ541))),2))</f>
        <v/>
      </c>
      <c r="P541">
        <f>IF(OR($O541="",$O541="—"),"",IF($O541&lt;-3,"Muito baixo",IF($O541&lt;-2,"Baixo",IF($O541&lt;=2,"Adequado","Elevado"))))</f>
        <v/>
      </c>
      <c r="Q541" s="12">
        <f>IF(OR($S541="",$F541="",$T541="",$T541&lt;0,$T541&gt;60,$AR541=""),"—",ROUND(IF(ABS($AU541)&lt;=3,$AU541,IF($AU541&gt;3,3+($F541-$AW541)/($AW541-$AV541),-3+($F541-$AY541)/($AX541-$AY541))),2))</f>
        <v/>
      </c>
      <c r="R541">
        <f>IF(OR($Q541="",$Q541="—"),"",IF($Q541&lt;-3,"Magreza acentuada",IF($Q541&lt;-2,"Magreza",IF($Q541&lt;=1,"Eutrofia",IF($Q541&lt;=2,"Risco de sobrepeso",IF($Q541&lt;=3,"Sobrepeso","Obesidade"))))))</f>
        <v/>
      </c>
      <c r="S541">
        <f>IF($C541="","",IF(UPPER(LEFT($C541,1))="M",1,IF(UPPER(LEFT($C541,1))="F",2,"")))</f>
        <v/>
      </c>
      <c r="T541">
        <f>IF(OR($D541="",$E541=""),"",DATEDIF($D541,$E541,"m"))</f>
        <v/>
      </c>
      <c r="U541">
        <f>IF(OR($D541="",$E541=""),"",$E541-$D541)</f>
        <v/>
      </c>
      <c r="V541">
        <f>IF(OR($G541="",$T541=""),"",IF($T541&lt;24,IF(LEFT(LOWER($H541),4)="em p",$G541+0.7,$G541),IF(LEFT(LOWER($H541),4)="deit",$G541-0.7,$G541)))</f>
        <v/>
      </c>
      <c r="W541">
        <f>IF(OR($S541="",$T541=""),"",$S541*1000000+IF($T541&lt;=60,$U541,$T541))</f>
        <v/>
      </c>
      <c r="X541">
        <f>IF(OR($S541="",$V541="",$T541&gt;60,$T541=""),"",$S541*1000000+ROUND($V541*10,0))</f>
        <v/>
      </c>
      <c r="Y541">
        <f>IF($W541="","",IFERROR(INDEX(IF($T541&lt;=60,imc05_l,imc519_l),MATCH($W541,IF($T541&lt;=60,imc05_k,imc519_k),1)),""))</f>
        <v/>
      </c>
      <c r="Z541">
        <f>IF($W541="","",IFERROR(INDEX(IF($T541&lt;=60,imc05_m,imc519_m),MATCH($W541,IF($T541&lt;=60,imc05_k,imc519_k),1)),""))</f>
        <v/>
      </c>
      <c r="AA541">
        <f>IF($W541="","",IFERROR(INDEX(IF($T541&lt;=60,imc05_s,imc519_s),MATCH($W541,IF($T541&lt;=60,imc05_k,imc519_k),1)),""))</f>
        <v/>
      </c>
      <c r="AB541">
        <f>IF($Y541="","",IF($Y541=0,LN($J541/$Z541)/$AA541,((($J541/$Z541)^$Y541)-1)/($Y541*$AA541)))</f>
        <v/>
      </c>
      <c r="AC541">
        <f>IF($Y541="","",IF($Y541=0,$Z541*EXP($AA541*2),$Z541*(1+$Y541*$AA541*2)^(1/$Y541)))</f>
        <v/>
      </c>
      <c r="AD541">
        <f>IF($Y541="","",IF($Y541=0,$Z541*EXP($AA541*3),$Z541*(1+$Y541*$AA541*3)^(1/$Y541)))</f>
        <v/>
      </c>
      <c r="AE541">
        <f>IF($Y541="","",IF($Y541=0,$Z541*EXP($AA541*-2),$Z541*(1+$Y541*$AA541*-2)^(1/$Y541)))</f>
        <v/>
      </c>
      <c r="AF541">
        <f>IF($Y541="","",IF($Y541=0,$Z541*EXP($AA541*-3),$Z541*(1+$Y541*$AA541*-3)^(1/$Y541)))</f>
        <v/>
      </c>
      <c r="AG541">
        <f>IF($W541="","",IFERROR(INDEX(IF($T541&lt;=60,est05_l,est519_l),MATCH($W541,IF($T541&lt;=60,est05_k,est519_k),1)),""))</f>
        <v/>
      </c>
      <c r="AH541">
        <f>IF($W541="","",IFERROR(INDEX(IF($T541&lt;=60,est05_m,est519_m),MATCH($W541,IF($T541&lt;=60,est05_k,est519_k),1)),""))</f>
        <v/>
      </c>
      <c r="AI541">
        <f>IF($W541="","",IFERROR(INDEX(IF($T541&lt;=60,est05_s,est519_s),MATCH($W541,IF($T541&lt;=60,est05_k,est519_k),1)),""))</f>
        <v/>
      </c>
      <c r="AJ541">
        <f>IF($W541="","",IFERROR(INDEX(IF($T541&lt;=60,peso05_l,peso510_l),MATCH($W541,IF($T541&lt;=60,peso05_k,peso510_k),1)),""))</f>
        <v/>
      </c>
      <c r="AK541">
        <f>IF($W541="","",IFERROR(INDEX(IF($T541&lt;=60,peso05_m,peso510_m),MATCH($W541,IF($T541&lt;=60,peso05_k,peso510_k),1)),""))</f>
        <v/>
      </c>
      <c r="AL541">
        <f>IF($W541="","",IFERROR(INDEX(IF($T541&lt;=60,peso05_s,peso510_s),MATCH($W541,IF($T541&lt;=60,peso05_k,peso510_k),1)),""))</f>
        <v/>
      </c>
      <c r="AM541">
        <f>IF($AJ541="","",IF($AJ541=0,LN($F541/$AK541)/$AL541,((($F541/$AK541)^$AJ541)-1)/($AJ541*$AL541)))</f>
        <v/>
      </c>
      <c r="AN541">
        <f>IF($AJ541="","",IF($AJ541=0,$AK541*EXP($AL541*2),$AK541*(1+$AJ541*$AL541*2)^(1/$AJ541)))</f>
        <v/>
      </c>
      <c r="AO541">
        <f>IF($AJ541="","",IF($AJ541=0,$AK541*EXP($AL541*3),$AK541*(1+$AJ541*$AL541*3)^(1/$AJ541)))</f>
        <v/>
      </c>
      <c r="AP541">
        <f>IF($AJ541="","",IF($AJ541=0,$AK541*EXP($AL541*-2),$AK541*(1+$AJ541*$AL541*-2)^(1/$AJ541)))</f>
        <v/>
      </c>
      <c r="AQ541">
        <f>IF($AJ541="","",IF($AJ541=0,$AK541*EXP($AL541*-3),$AK541*(1+$AJ541*$AL541*-3)^(1/$AJ541)))</f>
        <v/>
      </c>
      <c r="AR541">
        <f>IF(OR($X541="",$T541&gt;60),"",IFERROR(INDEX(IF($T541&lt;24,pcomp_l,palt_l),MATCH($X541,IF($T541&lt;24,pcomp_k,palt_k),1)),""))</f>
        <v/>
      </c>
      <c r="AS541">
        <f>IF(OR($X541="",$T541&gt;60),"",IFERROR(INDEX(IF($T541&lt;24,pcomp_m,palt_m),MATCH($X541,IF($T541&lt;24,pcomp_k,palt_k),1)),""))</f>
        <v/>
      </c>
      <c r="AT541">
        <f>IF(OR($X541="",$T541&gt;60),"",IFERROR(INDEX(IF($T541&lt;24,pcomp_s,palt_s),MATCH($X541,IF($T541&lt;24,pcomp_k,palt_k),1)),""))</f>
        <v/>
      </c>
      <c r="AU541">
        <f>IF($AR541="","",IF($AR541=0,LN($F541/$AS541)/$AT541,((($F541/$AS541)^$AR541)-1)/($AR541*$AT541)))</f>
        <v/>
      </c>
      <c r="AV541">
        <f>IF($AR541="","",IF($AR541=0,$AS541*EXP($AT541*2),$AS541*(1+$AR541*$AT541*2)^(1/$AR541)))</f>
        <v/>
      </c>
      <c r="AW541">
        <f>IF($AR541="","",IF($AR541=0,$AS541*EXP($AT541*3),$AS541*(1+$AR541*$AT541*3)^(1/$AR541)))</f>
        <v/>
      </c>
      <c r="AX541">
        <f>IF($AR541="","",IF($AR541=0,$AS541*EXP($AT541*-2),$AS541*(1+$AR541*$AT541*-2)^(1/$AR541)))</f>
        <v/>
      </c>
      <c r="AY541">
        <f>IF($AR541="","",IF($AR541=0,$AS541*EXP($AT541*-3),$AS541*(1+$AR541*$AT541*-3)^(1/$AR541)))</f>
        <v/>
      </c>
      <c r="AZ541">
        <f>IF(OR($A541="",$A541&lt;&gt;Ficha!$C$4),"",COUNTIF($A$2:$A541,Ficha!$C$4))</f>
        <v/>
      </c>
    </row>
    <row r="542">
      <c r="A542" s="8">
        <f>IF(INDEX(Banco!$A:$A,ROW())="","",INDEX(Banco!$A:$A,ROW()))</f>
        <v/>
      </c>
      <c r="B542" s="8">
        <f>IF(INDEX(Banco!$B:$B,ROW())="","",INDEX(Banco!$B:$B,ROW()))</f>
        <v/>
      </c>
      <c r="C542" s="8">
        <f>IF(INDEX(Banco!$C:$C,ROW())="","",INDEX(Banco!$C:$C,ROW()))</f>
        <v/>
      </c>
      <c r="D542" s="9">
        <f>IF(INDEX(Banco!$D:$D,ROW())="","",INDEX(Banco!$D:$D,ROW()))</f>
        <v/>
      </c>
      <c r="E542" s="9">
        <f>IF(INDEX(Banco!$E:$E,ROW())="","",INDEX(Banco!$E:$E,ROW()))</f>
        <v/>
      </c>
      <c r="F542" s="10">
        <f>IF(INDEX(Banco!$F:$F,ROW())="","",INDEX(Banco!$F:$F,ROW()))</f>
        <v/>
      </c>
      <c r="G542" s="10">
        <f>IF(INDEX(Banco!$G:$G,ROW())="","",INDEX(Banco!$G:$G,ROW()))</f>
        <v/>
      </c>
      <c r="H542" s="8">
        <f>IF(INDEX(Banco!$H:$H,ROW())="","",INDEX(Banco!$H:$H,ROW()))</f>
        <v/>
      </c>
      <c r="I542">
        <f>IF($T542="","",INT($T542/12)&amp;"a "&amp;MOD($T542,12)&amp;"m")</f>
        <v/>
      </c>
      <c r="J542" s="11">
        <f>IF(OR($F542="",$G542=""),"",ROUND($F542/($G542/100)^2,2))</f>
        <v/>
      </c>
      <c r="K542" s="12">
        <f>IF(OR($S542="",$J542="",$T542="",$T542&lt;0,$T542&gt;228,$Y542=""),"—",ROUND(IF(ABS($AB542)&lt;=3,$AB542,IF($AB542&gt;3,3+($J542-$AD542)/($AD542-$AC542),-3+($J542-$AF542)/($AE542-$AF542))),2))</f>
        <v/>
      </c>
      <c r="L542">
        <f>IF(OR($K542="",$K542="—"),"",IF($T542&lt;=60,IF($K542&lt;-3,"Magreza acentuada",IF($K542&lt;-2,"Magreza",IF($K542&lt;=1,"Eutrofia",IF($K542&lt;=2,"Risco de sobrepeso",IF($K542&lt;=3,"Sobrepeso","Obesidade"))))),IF($K542&lt;-3,"Magreza acentuada",IF($K542&lt;-2,"Magreza",IF($K542&lt;=1,"Eutrofia",IF($K542&lt;=2,"Sobrepeso",IF($K542&lt;=3,"Obesidade","Obesidade grave")))))))</f>
        <v/>
      </c>
      <c r="M542" s="12">
        <f>IF(OR($S542="",$V542="",$T542="",$T542&lt;0,$T542&gt;228,$AG542=""),"—",ROUND(IF($AG542=0,LN($V542/$AH542)/$AI542,((($V542/$AH542)^$AG542)-1)/($AG542*$AI542)),2))</f>
        <v/>
      </c>
      <c r="N542">
        <f>IF(OR($M542="",$M542="—"),"",IF($M542&lt;-3,"Muito baixa",IF($M542&lt;-2,"Baixa","Adequada")))</f>
        <v/>
      </c>
      <c r="O542" s="12">
        <f>IF(OR($S542="",$F542="",$T542="",$T542&lt;0,$T542&gt;120,$AJ542=""),"—",ROUND(IF(ABS($AM542)&lt;=3,$AM542,IF($AM542&gt;3,3+($F542-$AO542)/($AO542-$AN542),-3+($F542-$AQ542)/($AP542-$AQ542))),2))</f>
        <v/>
      </c>
      <c r="P542">
        <f>IF(OR($O542="",$O542="—"),"",IF($O542&lt;-3,"Muito baixo",IF($O542&lt;-2,"Baixo",IF($O542&lt;=2,"Adequado","Elevado"))))</f>
        <v/>
      </c>
      <c r="Q542" s="12">
        <f>IF(OR($S542="",$F542="",$T542="",$T542&lt;0,$T542&gt;60,$AR542=""),"—",ROUND(IF(ABS($AU542)&lt;=3,$AU542,IF($AU542&gt;3,3+($F542-$AW542)/($AW542-$AV542),-3+($F542-$AY542)/($AX542-$AY542))),2))</f>
        <v/>
      </c>
      <c r="R542">
        <f>IF(OR($Q542="",$Q542="—"),"",IF($Q542&lt;-3,"Magreza acentuada",IF($Q542&lt;-2,"Magreza",IF($Q542&lt;=1,"Eutrofia",IF($Q542&lt;=2,"Risco de sobrepeso",IF($Q542&lt;=3,"Sobrepeso","Obesidade"))))))</f>
        <v/>
      </c>
      <c r="S542">
        <f>IF($C542="","",IF(UPPER(LEFT($C542,1))="M",1,IF(UPPER(LEFT($C542,1))="F",2,"")))</f>
        <v/>
      </c>
      <c r="T542">
        <f>IF(OR($D542="",$E542=""),"",DATEDIF($D542,$E542,"m"))</f>
        <v/>
      </c>
      <c r="U542">
        <f>IF(OR($D542="",$E542=""),"",$E542-$D542)</f>
        <v/>
      </c>
      <c r="V542">
        <f>IF(OR($G542="",$T542=""),"",IF($T542&lt;24,IF(LEFT(LOWER($H542),4)="em p",$G542+0.7,$G542),IF(LEFT(LOWER($H542),4)="deit",$G542-0.7,$G542)))</f>
        <v/>
      </c>
      <c r="W542">
        <f>IF(OR($S542="",$T542=""),"",$S542*1000000+IF($T542&lt;=60,$U542,$T542))</f>
        <v/>
      </c>
      <c r="X542">
        <f>IF(OR($S542="",$V542="",$T542&gt;60,$T542=""),"",$S542*1000000+ROUND($V542*10,0))</f>
        <v/>
      </c>
      <c r="Y542">
        <f>IF($W542="","",IFERROR(INDEX(IF($T542&lt;=60,imc05_l,imc519_l),MATCH($W542,IF($T542&lt;=60,imc05_k,imc519_k),1)),""))</f>
        <v/>
      </c>
      <c r="Z542">
        <f>IF($W542="","",IFERROR(INDEX(IF($T542&lt;=60,imc05_m,imc519_m),MATCH($W542,IF($T542&lt;=60,imc05_k,imc519_k),1)),""))</f>
        <v/>
      </c>
      <c r="AA542">
        <f>IF($W542="","",IFERROR(INDEX(IF($T542&lt;=60,imc05_s,imc519_s),MATCH($W542,IF($T542&lt;=60,imc05_k,imc519_k),1)),""))</f>
        <v/>
      </c>
      <c r="AB542">
        <f>IF($Y542="","",IF($Y542=0,LN($J542/$Z542)/$AA542,((($J542/$Z542)^$Y542)-1)/($Y542*$AA542)))</f>
        <v/>
      </c>
      <c r="AC542">
        <f>IF($Y542="","",IF($Y542=0,$Z542*EXP($AA542*2),$Z542*(1+$Y542*$AA542*2)^(1/$Y542)))</f>
        <v/>
      </c>
      <c r="AD542">
        <f>IF($Y542="","",IF($Y542=0,$Z542*EXP($AA542*3),$Z542*(1+$Y542*$AA542*3)^(1/$Y542)))</f>
        <v/>
      </c>
      <c r="AE542">
        <f>IF($Y542="","",IF($Y542=0,$Z542*EXP($AA542*-2),$Z542*(1+$Y542*$AA542*-2)^(1/$Y542)))</f>
        <v/>
      </c>
      <c r="AF542">
        <f>IF($Y542="","",IF($Y542=0,$Z542*EXP($AA542*-3),$Z542*(1+$Y542*$AA542*-3)^(1/$Y542)))</f>
        <v/>
      </c>
      <c r="AG542">
        <f>IF($W542="","",IFERROR(INDEX(IF($T542&lt;=60,est05_l,est519_l),MATCH($W542,IF($T542&lt;=60,est05_k,est519_k),1)),""))</f>
        <v/>
      </c>
      <c r="AH542">
        <f>IF($W542="","",IFERROR(INDEX(IF($T542&lt;=60,est05_m,est519_m),MATCH($W542,IF($T542&lt;=60,est05_k,est519_k),1)),""))</f>
        <v/>
      </c>
      <c r="AI542">
        <f>IF($W542="","",IFERROR(INDEX(IF($T542&lt;=60,est05_s,est519_s),MATCH($W542,IF($T542&lt;=60,est05_k,est519_k),1)),""))</f>
        <v/>
      </c>
      <c r="AJ542">
        <f>IF($W542="","",IFERROR(INDEX(IF($T542&lt;=60,peso05_l,peso510_l),MATCH($W542,IF($T542&lt;=60,peso05_k,peso510_k),1)),""))</f>
        <v/>
      </c>
      <c r="AK542">
        <f>IF($W542="","",IFERROR(INDEX(IF($T542&lt;=60,peso05_m,peso510_m),MATCH($W542,IF($T542&lt;=60,peso05_k,peso510_k),1)),""))</f>
        <v/>
      </c>
      <c r="AL542">
        <f>IF($W542="","",IFERROR(INDEX(IF($T542&lt;=60,peso05_s,peso510_s),MATCH($W542,IF($T542&lt;=60,peso05_k,peso510_k),1)),""))</f>
        <v/>
      </c>
      <c r="AM542">
        <f>IF($AJ542="","",IF($AJ542=0,LN($F542/$AK542)/$AL542,((($F542/$AK542)^$AJ542)-1)/($AJ542*$AL542)))</f>
        <v/>
      </c>
      <c r="AN542">
        <f>IF($AJ542="","",IF($AJ542=0,$AK542*EXP($AL542*2),$AK542*(1+$AJ542*$AL542*2)^(1/$AJ542)))</f>
        <v/>
      </c>
      <c r="AO542">
        <f>IF($AJ542="","",IF($AJ542=0,$AK542*EXP($AL542*3),$AK542*(1+$AJ542*$AL542*3)^(1/$AJ542)))</f>
        <v/>
      </c>
      <c r="AP542">
        <f>IF($AJ542="","",IF($AJ542=0,$AK542*EXP($AL542*-2),$AK542*(1+$AJ542*$AL542*-2)^(1/$AJ542)))</f>
        <v/>
      </c>
      <c r="AQ542">
        <f>IF($AJ542="","",IF($AJ542=0,$AK542*EXP($AL542*-3),$AK542*(1+$AJ542*$AL542*-3)^(1/$AJ542)))</f>
        <v/>
      </c>
      <c r="AR542">
        <f>IF(OR($X542="",$T542&gt;60),"",IFERROR(INDEX(IF($T542&lt;24,pcomp_l,palt_l),MATCH($X542,IF($T542&lt;24,pcomp_k,palt_k),1)),""))</f>
        <v/>
      </c>
      <c r="AS542">
        <f>IF(OR($X542="",$T542&gt;60),"",IFERROR(INDEX(IF($T542&lt;24,pcomp_m,palt_m),MATCH($X542,IF($T542&lt;24,pcomp_k,palt_k),1)),""))</f>
        <v/>
      </c>
      <c r="AT542">
        <f>IF(OR($X542="",$T542&gt;60),"",IFERROR(INDEX(IF($T542&lt;24,pcomp_s,palt_s),MATCH($X542,IF($T542&lt;24,pcomp_k,palt_k),1)),""))</f>
        <v/>
      </c>
      <c r="AU542">
        <f>IF($AR542="","",IF($AR542=0,LN($F542/$AS542)/$AT542,((($F542/$AS542)^$AR542)-1)/($AR542*$AT542)))</f>
        <v/>
      </c>
      <c r="AV542">
        <f>IF($AR542="","",IF($AR542=0,$AS542*EXP($AT542*2),$AS542*(1+$AR542*$AT542*2)^(1/$AR542)))</f>
        <v/>
      </c>
      <c r="AW542">
        <f>IF($AR542="","",IF($AR542=0,$AS542*EXP($AT542*3),$AS542*(1+$AR542*$AT542*3)^(1/$AR542)))</f>
        <v/>
      </c>
      <c r="AX542">
        <f>IF($AR542="","",IF($AR542=0,$AS542*EXP($AT542*-2),$AS542*(1+$AR542*$AT542*-2)^(1/$AR542)))</f>
        <v/>
      </c>
      <c r="AY542">
        <f>IF($AR542="","",IF($AR542=0,$AS542*EXP($AT542*-3),$AS542*(1+$AR542*$AT542*-3)^(1/$AR542)))</f>
        <v/>
      </c>
      <c r="AZ542">
        <f>IF(OR($A542="",$A542&lt;&gt;Ficha!$C$4),"",COUNTIF($A$2:$A542,Ficha!$C$4))</f>
        <v/>
      </c>
    </row>
    <row r="543">
      <c r="A543" s="8">
        <f>IF(INDEX(Banco!$A:$A,ROW())="","",INDEX(Banco!$A:$A,ROW()))</f>
        <v/>
      </c>
      <c r="B543" s="8">
        <f>IF(INDEX(Banco!$B:$B,ROW())="","",INDEX(Banco!$B:$B,ROW()))</f>
        <v/>
      </c>
      <c r="C543" s="8">
        <f>IF(INDEX(Banco!$C:$C,ROW())="","",INDEX(Banco!$C:$C,ROW()))</f>
        <v/>
      </c>
      <c r="D543" s="9">
        <f>IF(INDEX(Banco!$D:$D,ROW())="","",INDEX(Banco!$D:$D,ROW()))</f>
        <v/>
      </c>
      <c r="E543" s="9">
        <f>IF(INDEX(Banco!$E:$E,ROW())="","",INDEX(Banco!$E:$E,ROW()))</f>
        <v/>
      </c>
      <c r="F543" s="10">
        <f>IF(INDEX(Banco!$F:$F,ROW())="","",INDEX(Banco!$F:$F,ROW()))</f>
        <v/>
      </c>
      <c r="G543" s="10">
        <f>IF(INDEX(Banco!$G:$G,ROW())="","",INDEX(Banco!$G:$G,ROW()))</f>
        <v/>
      </c>
      <c r="H543" s="8">
        <f>IF(INDEX(Banco!$H:$H,ROW())="","",INDEX(Banco!$H:$H,ROW()))</f>
        <v/>
      </c>
      <c r="I543">
        <f>IF($T543="","",INT($T543/12)&amp;"a "&amp;MOD($T543,12)&amp;"m")</f>
        <v/>
      </c>
      <c r="J543" s="11">
        <f>IF(OR($F543="",$G543=""),"",ROUND($F543/($G543/100)^2,2))</f>
        <v/>
      </c>
      <c r="K543" s="12">
        <f>IF(OR($S543="",$J543="",$T543="",$T543&lt;0,$T543&gt;228,$Y543=""),"—",ROUND(IF(ABS($AB543)&lt;=3,$AB543,IF($AB543&gt;3,3+($J543-$AD543)/($AD543-$AC543),-3+($J543-$AF543)/($AE543-$AF543))),2))</f>
        <v/>
      </c>
      <c r="L543">
        <f>IF(OR($K543="",$K543="—"),"",IF($T543&lt;=60,IF($K543&lt;-3,"Magreza acentuada",IF($K543&lt;-2,"Magreza",IF($K543&lt;=1,"Eutrofia",IF($K543&lt;=2,"Risco de sobrepeso",IF($K543&lt;=3,"Sobrepeso","Obesidade"))))),IF($K543&lt;-3,"Magreza acentuada",IF($K543&lt;-2,"Magreza",IF($K543&lt;=1,"Eutrofia",IF($K543&lt;=2,"Sobrepeso",IF($K543&lt;=3,"Obesidade","Obesidade grave")))))))</f>
        <v/>
      </c>
      <c r="M543" s="12">
        <f>IF(OR($S543="",$V543="",$T543="",$T543&lt;0,$T543&gt;228,$AG543=""),"—",ROUND(IF($AG543=0,LN($V543/$AH543)/$AI543,((($V543/$AH543)^$AG543)-1)/($AG543*$AI543)),2))</f>
        <v/>
      </c>
      <c r="N543">
        <f>IF(OR($M543="",$M543="—"),"",IF($M543&lt;-3,"Muito baixa",IF($M543&lt;-2,"Baixa","Adequada")))</f>
        <v/>
      </c>
      <c r="O543" s="12">
        <f>IF(OR($S543="",$F543="",$T543="",$T543&lt;0,$T543&gt;120,$AJ543=""),"—",ROUND(IF(ABS($AM543)&lt;=3,$AM543,IF($AM543&gt;3,3+($F543-$AO543)/($AO543-$AN543),-3+($F543-$AQ543)/($AP543-$AQ543))),2))</f>
        <v/>
      </c>
      <c r="P543">
        <f>IF(OR($O543="",$O543="—"),"",IF($O543&lt;-3,"Muito baixo",IF($O543&lt;-2,"Baixo",IF($O543&lt;=2,"Adequado","Elevado"))))</f>
        <v/>
      </c>
      <c r="Q543" s="12">
        <f>IF(OR($S543="",$F543="",$T543="",$T543&lt;0,$T543&gt;60,$AR543=""),"—",ROUND(IF(ABS($AU543)&lt;=3,$AU543,IF($AU543&gt;3,3+($F543-$AW543)/($AW543-$AV543),-3+($F543-$AY543)/($AX543-$AY543))),2))</f>
        <v/>
      </c>
      <c r="R543">
        <f>IF(OR($Q543="",$Q543="—"),"",IF($Q543&lt;-3,"Magreza acentuada",IF($Q543&lt;-2,"Magreza",IF($Q543&lt;=1,"Eutrofia",IF($Q543&lt;=2,"Risco de sobrepeso",IF($Q543&lt;=3,"Sobrepeso","Obesidade"))))))</f>
        <v/>
      </c>
      <c r="S543">
        <f>IF($C543="","",IF(UPPER(LEFT($C543,1))="M",1,IF(UPPER(LEFT($C543,1))="F",2,"")))</f>
        <v/>
      </c>
      <c r="T543">
        <f>IF(OR($D543="",$E543=""),"",DATEDIF($D543,$E543,"m"))</f>
        <v/>
      </c>
      <c r="U543">
        <f>IF(OR($D543="",$E543=""),"",$E543-$D543)</f>
        <v/>
      </c>
      <c r="V543">
        <f>IF(OR($G543="",$T543=""),"",IF($T543&lt;24,IF(LEFT(LOWER($H543),4)="em p",$G543+0.7,$G543),IF(LEFT(LOWER($H543),4)="deit",$G543-0.7,$G543)))</f>
        <v/>
      </c>
      <c r="W543">
        <f>IF(OR($S543="",$T543=""),"",$S543*1000000+IF($T543&lt;=60,$U543,$T543))</f>
        <v/>
      </c>
      <c r="X543">
        <f>IF(OR($S543="",$V543="",$T543&gt;60,$T543=""),"",$S543*1000000+ROUND($V543*10,0))</f>
        <v/>
      </c>
      <c r="Y543">
        <f>IF($W543="","",IFERROR(INDEX(IF($T543&lt;=60,imc05_l,imc519_l),MATCH($W543,IF($T543&lt;=60,imc05_k,imc519_k),1)),""))</f>
        <v/>
      </c>
      <c r="Z543">
        <f>IF($W543="","",IFERROR(INDEX(IF($T543&lt;=60,imc05_m,imc519_m),MATCH($W543,IF($T543&lt;=60,imc05_k,imc519_k),1)),""))</f>
        <v/>
      </c>
      <c r="AA543">
        <f>IF($W543="","",IFERROR(INDEX(IF($T543&lt;=60,imc05_s,imc519_s),MATCH($W543,IF($T543&lt;=60,imc05_k,imc519_k),1)),""))</f>
        <v/>
      </c>
      <c r="AB543">
        <f>IF($Y543="","",IF($Y543=0,LN($J543/$Z543)/$AA543,((($J543/$Z543)^$Y543)-1)/($Y543*$AA543)))</f>
        <v/>
      </c>
      <c r="AC543">
        <f>IF($Y543="","",IF($Y543=0,$Z543*EXP($AA543*2),$Z543*(1+$Y543*$AA543*2)^(1/$Y543)))</f>
        <v/>
      </c>
      <c r="AD543">
        <f>IF($Y543="","",IF($Y543=0,$Z543*EXP($AA543*3),$Z543*(1+$Y543*$AA543*3)^(1/$Y543)))</f>
        <v/>
      </c>
      <c r="AE543">
        <f>IF($Y543="","",IF($Y543=0,$Z543*EXP($AA543*-2),$Z543*(1+$Y543*$AA543*-2)^(1/$Y543)))</f>
        <v/>
      </c>
      <c r="AF543">
        <f>IF($Y543="","",IF($Y543=0,$Z543*EXP($AA543*-3),$Z543*(1+$Y543*$AA543*-3)^(1/$Y543)))</f>
        <v/>
      </c>
      <c r="AG543">
        <f>IF($W543="","",IFERROR(INDEX(IF($T543&lt;=60,est05_l,est519_l),MATCH($W543,IF($T543&lt;=60,est05_k,est519_k),1)),""))</f>
        <v/>
      </c>
      <c r="AH543">
        <f>IF($W543="","",IFERROR(INDEX(IF($T543&lt;=60,est05_m,est519_m),MATCH($W543,IF($T543&lt;=60,est05_k,est519_k),1)),""))</f>
        <v/>
      </c>
      <c r="AI543">
        <f>IF($W543="","",IFERROR(INDEX(IF($T543&lt;=60,est05_s,est519_s),MATCH($W543,IF($T543&lt;=60,est05_k,est519_k),1)),""))</f>
        <v/>
      </c>
      <c r="AJ543">
        <f>IF($W543="","",IFERROR(INDEX(IF($T543&lt;=60,peso05_l,peso510_l),MATCH($W543,IF($T543&lt;=60,peso05_k,peso510_k),1)),""))</f>
        <v/>
      </c>
      <c r="AK543">
        <f>IF($W543="","",IFERROR(INDEX(IF($T543&lt;=60,peso05_m,peso510_m),MATCH($W543,IF($T543&lt;=60,peso05_k,peso510_k),1)),""))</f>
        <v/>
      </c>
      <c r="AL543">
        <f>IF($W543="","",IFERROR(INDEX(IF($T543&lt;=60,peso05_s,peso510_s),MATCH($W543,IF($T543&lt;=60,peso05_k,peso510_k),1)),""))</f>
        <v/>
      </c>
      <c r="AM543">
        <f>IF($AJ543="","",IF($AJ543=0,LN($F543/$AK543)/$AL543,((($F543/$AK543)^$AJ543)-1)/($AJ543*$AL543)))</f>
        <v/>
      </c>
      <c r="AN543">
        <f>IF($AJ543="","",IF($AJ543=0,$AK543*EXP($AL543*2),$AK543*(1+$AJ543*$AL543*2)^(1/$AJ543)))</f>
        <v/>
      </c>
      <c r="AO543">
        <f>IF($AJ543="","",IF($AJ543=0,$AK543*EXP($AL543*3),$AK543*(1+$AJ543*$AL543*3)^(1/$AJ543)))</f>
        <v/>
      </c>
      <c r="AP543">
        <f>IF($AJ543="","",IF($AJ543=0,$AK543*EXP($AL543*-2),$AK543*(1+$AJ543*$AL543*-2)^(1/$AJ543)))</f>
        <v/>
      </c>
      <c r="AQ543">
        <f>IF($AJ543="","",IF($AJ543=0,$AK543*EXP($AL543*-3),$AK543*(1+$AJ543*$AL543*-3)^(1/$AJ543)))</f>
        <v/>
      </c>
      <c r="AR543">
        <f>IF(OR($X543="",$T543&gt;60),"",IFERROR(INDEX(IF($T543&lt;24,pcomp_l,palt_l),MATCH($X543,IF($T543&lt;24,pcomp_k,palt_k),1)),""))</f>
        <v/>
      </c>
      <c r="AS543">
        <f>IF(OR($X543="",$T543&gt;60),"",IFERROR(INDEX(IF($T543&lt;24,pcomp_m,palt_m),MATCH($X543,IF($T543&lt;24,pcomp_k,palt_k),1)),""))</f>
        <v/>
      </c>
      <c r="AT543">
        <f>IF(OR($X543="",$T543&gt;60),"",IFERROR(INDEX(IF($T543&lt;24,pcomp_s,palt_s),MATCH($X543,IF($T543&lt;24,pcomp_k,palt_k),1)),""))</f>
        <v/>
      </c>
      <c r="AU543">
        <f>IF($AR543="","",IF($AR543=0,LN($F543/$AS543)/$AT543,((($F543/$AS543)^$AR543)-1)/($AR543*$AT543)))</f>
        <v/>
      </c>
      <c r="AV543">
        <f>IF($AR543="","",IF($AR543=0,$AS543*EXP($AT543*2),$AS543*(1+$AR543*$AT543*2)^(1/$AR543)))</f>
        <v/>
      </c>
      <c r="AW543">
        <f>IF($AR543="","",IF($AR543=0,$AS543*EXP($AT543*3),$AS543*(1+$AR543*$AT543*3)^(1/$AR543)))</f>
        <v/>
      </c>
      <c r="AX543">
        <f>IF($AR543="","",IF($AR543=0,$AS543*EXP($AT543*-2),$AS543*(1+$AR543*$AT543*-2)^(1/$AR543)))</f>
        <v/>
      </c>
      <c r="AY543">
        <f>IF($AR543="","",IF($AR543=0,$AS543*EXP($AT543*-3),$AS543*(1+$AR543*$AT543*-3)^(1/$AR543)))</f>
        <v/>
      </c>
      <c r="AZ543">
        <f>IF(OR($A543="",$A543&lt;&gt;Ficha!$C$4),"",COUNTIF($A$2:$A543,Ficha!$C$4))</f>
        <v/>
      </c>
    </row>
    <row r="544">
      <c r="A544" s="8">
        <f>IF(INDEX(Banco!$A:$A,ROW())="","",INDEX(Banco!$A:$A,ROW()))</f>
        <v/>
      </c>
      <c r="B544" s="8">
        <f>IF(INDEX(Banco!$B:$B,ROW())="","",INDEX(Banco!$B:$B,ROW()))</f>
        <v/>
      </c>
      <c r="C544" s="8">
        <f>IF(INDEX(Banco!$C:$C,ROW())="","",INDEX(Banco!$C:$C,ROW()))</f>
        <v/>
      </c>
      <c r="D544" s="9">
        <f>IF(INDEX(Banco!$D:$D,ROW())="","",INDEX(Banco!$D:$D,ROW()))</f>
        <v/>
      </c>
      <c r="E544" s="9">
        <f>IF(INDEX(Banco!$E:$E,ROW())="","",INDEX(Banco!$E:$E,ROW()))</f>
        <v/>
      </c>
      <c r="F544" s="10">
        <f>IF(INDEX(Banco!$F:$F,ROW())="","",INDEX(Banco!$F:$F,ROW()))</f>
        <v/>
      </c>
      <c r="G544" s="10">
        <f>IF(INDEX(Banco!$G:$G,ROW())="","",INDEX(Banco!$G:$G,ROW()))</f>
        <v/>
      </c>
      <c r="H544" s="8">
        <f>IF(INDEX(Banco!$H:$H,ROW())="","",INDEX(Banco!$H:$H,ROW()))</f>
        <v/>
      </c>
      <c r="I544">
        <f>IF($T544="","",INT($T544/12)&amp;"a "&amp;MOD($T544,12)&amp;"m")</f>
        <v/>
      </c>
      <c r="J544" s="11">
        <f>IF(OR($F544="",$G544=""),"",ROUND($F544/($G544/100)^2,2))</f>
        <v/>
      </c>
      <c r="K544" s="12">
        <f>IF(OR($S544="",$J544="",$T544="",$T544&lt;0,$T544&gt;228,$Y544=""),"—",ROUND(IF(ABS($AB544)&lt;=3,$AB544,IF($AB544&gt;3,3+($J544-$AD544)/($AD544-$AC544),-3+($J544-$AF544)/($AE544-$AF544))),2))</f>
        <v/>
      </c>
      <c r="L544">
        <f>IF(OR($K544="",$K544="—"),"",IF($T544&lt;=60,IF($K544&lt;-3,"Magreza acentuada",IF($K544&lt;-2,"Magreza",IF($K544&lt;=1,"Eutrofia",IF($K544&lt;=2,"Risco de sobrepeso",IF($K544&lt;=3,"Sobrepeso","Obesidade"))))),IF($K544&lt;-3,"Magreza acentuada",IF($K544&lt;-2,"Magreza",IF($K544&lt;=1,"Eutrofia",IF($K544&lt;=2,"Sobrepeso",IF($K544&lt;=3,"Obesidade","Obesidade grave")))))))</f>
        <v/>
      </c>
      <c r="M544" s="12">
        <f>IF(OR($S544="",$V544="",$T544="",$T544&lt;0,$T544&gt;228,$AG544=""),"—",ROUND(IF($AG544=0,LN($V544/$AH544)/$AI544,((($V544/$AH544)^$AG544)-1)/($AG544*$AI544)),2))</f>
        <v/>
      </c>
      <c r="N544">
        <f>IF(OR($M544="",$M544="—"),"",IF($M544&lt;-3,"Muito baixa",IF($M544&lt;-2,"Baixa","Adequada")))</f>
        <v/>
      </c>
      <c r="O544" s="12">
        <f>IF(OR($S544="",$F544="",$T544="",$T544&lt;0,$T544&gt;120,$AJ544=""),"—",ROUND(IF(ABS($AM544)&lt;=3,$AM544,IF($AM544&gt;3,3+($F544-$AO544)/($AO544-$AN544),-3+($F544-$AQ544)/($AP544-$AQ544))),2))</f>
        <v/>
      </c>
      <c r="P544">
        <f>IF(OR($O544="",$O544="—"),"",IF($O544&lt;-3,"Muito baixo",IF($O544&lt;-2,"Baixo",IF($O544&lt;=2,"Adequado","Elevado"))))</f>
        <v/>
      </c>
      <c r="Q544" s="12">
        <f>IF(OR($S544="",$F544="",$T544="",$T544&lt;0,$T544&gt;60,$AR544=""),"—",ROUND(IF(ABS($AU544)&lt;=3,$AU544,IF($AU544&gt;3,3+($F544-$AW544)/($AW544-$AV544),-3+($F544-$AY544)/($AX544-$AY544))),2))</f>
        <v/>
      </c>
      <c r="R544">
        <f>IF(OR($Q544="",$Q544="—"),"",IF($Q544&lt;-3,"Magreza acentuada",IF($Q544&lt;-2,"Magreza",IF($Q544&lt;=1,"Eutrofia",IF($Q544&lt;=2,"Risco de sobrepeso",IF($Q544&lt;=3,"Sobrepeso","Obesidade"))))))</f>
        <v/>
      </c>
      <c r="S544">
        <f>IF($C544="","",IF(UPPER(LEFT($C544,1))="M",1,IF(UPPER(LEFT($C544,1))="F",2,"")))</f>
        <v/>
      </c>
      <c r="T544">
        <f>IF(OR($D544="",$E544=""),"",DATEDIF($D544,$E544,"m"))</f>
        <v/>
      </c>
      <c r="U544">
        <f>IF(OR($D544="",$E544=""),"",$E544-$D544)</f>
        <v/>
      </c>
      <c r="V544">
        <f>IF(OR($G544="",$T544=""),"",IF($T544&lt;24,IF(LEFT(LOWER($H544),4)="em p",$G544+0.7,$G544),IF(LEFT(LOWER($H544),4)="deit",$G544-0.7,$G544)))</f>
        <v/>
      </c>
      <c r="W544">
        <f>IF(OR($S544="",$T544=""),"",$S544*1000000+IF($T544&lt;=60,$U544,$T544))</f>
        <v/>
      </c>
      <c r="X544">
        <f>IF(OR($S544="",$V544="",$T544&gt;60,$T544=""),"",$S544*1000000+ROUND($V544*10,0))</f>
        <v/>
      </c>
      <c r="Y544">
        <f>IF($W544="","",IFERROR(INDEX(IF($T544&lt;=60,imc05_l,imc519_l),MATCH($W544,IF($T544&lt;=60,imc05_k,imc519_k),1)),""))</f>
        <v/>
      </c>
      <c r="Z544">
        <f>IF($W544="","",IFERROR(INDEX(IF($T544&lt;=60,imc05_m,imc519_m),MATCH($W544,IF($T544&lt;=60,imc05_k,imc519_k),1)),""))</f>
        <v/>
      </c>
      <c r="AA544">
        <f>IF($W544="","",IFERROR(INDEX(IF($T544&lt;=60,imc05_s,imc519_s),MATCH($W544,IF($T544&lt;=60,imc05_k,imc519_k),1)),""))</f>
        <v/>
      </c>
      <c r="AB544">
        <f>IF($Y544="","",IF($Y544=0,LN($J544/$Z544)/$AA544,((($J544/$Z544)^$Y544)-1)/($Y544*$AA544)))</f>
        <v/>
      </c>
      <c r="AC544">
        <f>IF($Y544="","",IF($Y544=0,$Z544*EXP($AA544*2),$Z544*(1+$Y544*$AA544*2)^(1/$Y544)))</f>
        <v/>
      </c>
      <c r="AD544">
        <f>IF($Y544="","",IF($Y544=0,$Z544*EXP($AA544*3),$Z544*(1+$Y544*$AA544*3)^(1/$Y544)))</f>
        <v/>
      </c>
      <c r="AE544">
        <f>IF($Y544="","",IF($Y544=0,$Z544*EXP($AA544*-2),$Z544*(1+$Y544*$AA544*-2)^(1/$Y544)))</f>
        <v/>
      </c>
      <c r="AF544">
        <f>IF($Y544="","",IF($Y544=0,$Z544*EXP($AA544*-3),$Z544*(1+$Y544*$AA544*-3)^(1/$Y544)))</f>
        <v/>
      </c>
      <c r="AG544">
        <f>IF($W544="","",IFERROR(INDEX(IF($T544&lt;=60,est05_l,est519_l),MATCH($W544,IF($T544&lt;=60,est05_k,est519_k),1)),""))</f>
        <v/>
      </c>
      <c r="AH544">
        <f>IF($W544="","",IFERROR(INDEX(IF($T544&lt;=60,est05_m,est519_m),MATCH($W544,IF($T544&lt;=60,est05_k,est519_k),1)),""))</f>
        <v/>
      </c>
      <c r="AI544">
        <f>IF($W544="","",IFERROR(INDEX(IF($T544&lt;=60,est05_s,est519_s),MATCH($W544,IF($T544&lt;=60,est05_k,est519_k),1)),""))</f>
        <v/>
      </c>
      <c r="AJ544">
        <f>IF($W544="","",IFERROR(INDEX(IF($T544&lt;=60,peso05_l,peso510_l),MATCH($W544,IF($T544&lt;=60,peso05_k,peso510_k),1)),""))</f>
        <v/>
      </c>
      <c r="AK544">
        <f>IF($W544="","",IFERROR(INDEX(IF($T544&lt;=60,peso05_m,peso510_m),MATCH($W544,IF($T544&lt;=60,peso05_k,peso510_k),1)),""))</f>
        <v/>
      </c>
      <c r="AL544">
        <f>IF($W544="","",IFERROR(INDEX(IF($T544&lt;=60,peso05_s,peso510_s),MATCH($W544,IF($T544&lt;=60,peso05_k,peso510_k),1)),""))</f>
        <v/>
      </c>
      <c r="AM544">
        <f>IF($AJ544="","",IF($AJ544=0,LN($F544/$AK544)/$AL544,((($F544/$AK544)^$AJ544)-1)/($AJ544*$AL544)))</f>
        <v/>
      </c>
      <c r="AN544">
        <f>IF($AJ544="","",IF($AJ544=0,$AK544*EXP($AL544*2),$AK544*(1+$AJ544*$AL544*2)^(1/$AJ544)))</f>
        <v/>
      </c>
      <c r="AO544">
        <f>IF($AJ544="","",IF($AJ544=0,$AK544*EXP($AL544*3),$AK544*(1+$AJ544*$AL544*3)^(1/$AJ544)))</f>
        <v/>
      </c>
      <c r="AP544">
        <f>IF($AJ544="","",IF($AJ544=0,$AK544*EXP($AL544*-2),$AK544*(1+$AJ544*$AL544*-2)^(1/$AJ544)))</f>
        <v/>
      </c>
      <c r="AQ544">
        <f>IF($AJ544="","",IF($AJ544=0,$AK544*EXP($AL544*-3),$AK544*(1+$AJ544*$AL544*-3)^(1/$AJ544)))</f>
        <v/>
      </c>
      <c r="AR544">
        <f>IF(OR($X544="",$T544&gt;60),"",IFERROR(INDEX(IF($T544&lt;24,pcomp_l,palt_l),MATCH($X544,IF($T544&lt;24,pcomp_k,palt_k),1)),""))</f>
        <v/>
      </c>
      <c r="AS544">
        <f>IF(OR($X544="",$T544&gt;60),"",IFERROR(INDEX(IF($T544&lt;24,pcomp_m,palt_m),MATCH($X544,IF($T544&lt;24,pcomp_k,palt_k),1)),""))</f>
        <v/>
      </c>
      <c r="AT544">
        <f>IF(OR($X544="",$T544&gt;60),"",IFERROR(INDEX(IF($T544&lt;24,pcomp_s,palt_s),MATCH($X544,IF($T544&lt;24,pcomp_k,palt_k),1)),""))</f>
        <v/>
      </c>
      <c r="AU544">
        <f>IF($AR544="","",IF($AR544=0,LN($F544/$AS544)/$AT544,((($F544/$AS544)^$AR544)-1)/($AR544*$AT544)))</f>
        <v/>
      </c>
      <c r="AV544">
        <f>IF($AR544="","",IF($AR544=0,$AS544*EXP($AT544*2),$AS544*(1+$AR544*$AT544*2)^(1/$AR544)))</f>
        <v/>
      </c>
      <c r="AW544">
        <f>IF($AR544="","",IF($AR544=0,$AS544*EXP($AT544*3),$AS544*(1+$AR544*$AT544*3)^(1/$AR544)))</f>
        <v/>
      </c>
      <c r="AX544">
        <f>IF($AR544="","",IF($AR544=0,$AS544*EXP($AT544*-2),$AS544*(1+$AR544*$AT544*-2)^(1/$AR544)))</f>
        <v/>
      </c>
      <c r="AY544">
        <f>IF($AR544="","",IF($AR544=0,$AS544*EXP($AT544*-3),$AS544*(1+$AR544*$AT544*-3)^(1/$AR544)))</f>
        <v/>
      </c>
      <c r="AZ544">
        <f>IF(OR($A544="",$A544&lt;&gt;Ficha!$C$4),"",COUNTIF($A$2:$A544,Ficha!$C$4))</f>
        <v/>
      </c>
    </row>
    <row r="545">
      <c r="A545" s="8">
        <f>IF(INDEX(Banco!$A:$A,ROW())="","",INDEX(Banco!$A:$A,ROW()))</f>
        <v/>
      </c>
      <c r="B545" s="8">
        <f>IF(INDEX(Banco!$B:$B,ROW())="","",INDEX(Banco!$B:$B,ROW()))</f>
        <v/>
      </c>
      <c r="C545" s="8">
        <f>IF(INDEX(Banco!$C:$C,ROW())="","",INDEX(Banco!$C:$C,ROW()))</f>
        <v/>
      </c>
      <c r="D545" s="9">
        <f>IF(INDEX(Banco!$D:$D,ROW())="","",INDEX(Banco!$D:$D,ROW()))</f>
        <v/>
      </c>
      <c r="E545" s="9">
        <f>IF(INDEX(Banco!$E:$E,ROW())="","",INDEX(Banco!$E:$E,ROW()))</f>
        <v/>
      </c>
      <c r="F545" s="10">
        <f>IF(INDEX(Banco!$F:$F,ROW())="","",INDEX(Banco!$F:$F,ROW()))</f>
        <v/>
      </c>
      <c r="G545" s="10">
        <f>IF(INDEX(Banco!$G:$G,ROW())="","",INDEX(Banco!$G:$G,ROW()))</f>
        <v/>
      </c>
      <c r="H545" s="8">
        <f>IF(INDEX(Banco!$H:$H,ROW())="","",INDEX(Banco!$H:$H,ROW()))</f>
        <v/>
      </c>
      <c r="I545">
        <f>IF($T545="","",INT($T545/12)&amp;"a "&amp;MOD($T545,12)&amp;"m")</f>
        <v/>
      </c>
      <c r="J545" s="11">
        <f>IF(OR($F545="",$G545=""),"",ROUND($F545/($G545/100)^2,2))</f>
        <v/>
      </c>
      <c r="K545" s="12">
        <f>IF(OR($S545="",$J545="",$T545="",$T545&lt;0,$T545&gt;228,$Y545=""),"—",ROUND(IF(ABS($AB545)&lt;=3,$AB545,IF($AB545&gt;3,3+($J545-$AD545)/($AD545-$AC545),-3+($J545-$AF545)/($AE545-$AF545))),2))</f>
        <v/>
      </c>
      <c r="L545">
        <f>IF(OR($K545="",$K545="—"),"",IF($T545&lt;=60,IF($K545&lt;-3,"Magreza acentuada",IF($K545&lt;-2,"Magreza",IF($K545&lt;=1,"Eutrofia",IF($K545&lt;=2,"Risco de sobrepeso",IF($K545&lt;=3,"Sobrepeso","Obesidade"))))),IF($K545&lt;-3,"Magreza acentuada",IF($K545&lt;-2,"Magreza",IF($K545&lt;=1,"Eutrofia",IF($K545&lt;=2,"Sobrepeso",IF($K545&lt;=3,"Obesidade","Obesidade grave")))))))</f>
        <v/>
      </c>
      <c r="M545" s="12">
        <f>IF(OR($S545="",$V545="",$T545="",$T545&lt;0,$T545&gt;228,$AG545=""),"—",ROUND(IF($AG545=0,LN($V545/$AH545)/$AI545,((($V545/$AH545)^$AG545)-1)/($AG545*$AI545)),2))</f>
        <v/>
      </c>
      <c r="N545">
        <f>IF(OR($M545="",$M545="—"),"",IF($M545&lt;-3,"Muito baixa",IF($M545&lt;-2,"Baixa","Adequada")))</f>
        <v/>
      </c>
      <c r="O545" s="12">
        <f>IF(OR($S545="",$F545="",$T545="",$T545&lt;0,$T545&gt;120,$AJ545=""),"—",ROUND(IF(ABS($AM545)&lt;=3,$AM545,IF($AM545&gt;3,3+($F545-$AO545)/($AO545-$AN545),-3+($F545-$AQ545)/($AP545-$AQ545))),2))</f>
        <v/>
      </c>
      <c r="P545">
        <f>IF(OR($O545="",$O545="—"),"",IF($O545&lt;-3,"Muito baixo",IF($O545&lt;-2,"Baixo",IF($O545&lt;=2,"Adequado","Elevado"))))</f>
        <v/>
      </c>
      <c r="Q545" s="12">
        <f>IF(OR($S545="",$F545="",$T545="",$T545&lt;0,$T545&gt;60,$AR545=""),"—",ROUND(IF(ABS($AU545)&lt;=3,$AU545,IF($AU545&gt;3,3+($F545-$AW545)/($AW545-$AV545),-3+($F545-$AY545)/($AX545-$AY545))),2))</f>
        <v/>
      </c>
      <c r="R545">
        <f>IF(OR($Q545="",$Q545="—"),"",IF($Q545&lt;-3,"Magreza acentuada",IF($Q545&lt;-2,"Magreza",IF($Q545&lt;=1,"Eutrofia",IF($Q545&lt;=2,"Risco de sobrepeso",IF($Q545&lt;=3,"Sobrepeso","Obesidade"))))))</f>
        <v/>
      </c>
      <c r="S545">
        <f>IF($C545="","",IF(UPPER(LEFT($C545,1))="M",1,IF(UPPER(LEFT($C545,1))="F",2,"")))</f>
        <v/>
      </c>
      <c r="T545">
        <f>IF(OR($D545="",$E545=""),"",DATEDIF($D545,$E545,"m"))</f>
        <v/>
      </c>
      <c r="U545">
        <f>IF(OR($D545="",$E545=""),"",$E545-$D545)</f>
        <v/>
      </c>
      <c r="V545">
        <f>IF(OR($G545="",$T545=""),"",IF($T545&lt;24,IF(LEFT(LOWER($H545),4)="em p",$G545+0.7,$G545),IF(LEFT(LOWER($H545),4)="deit",$G545-0.7,$G545)))</f>
        <v/>
      </c>
      <c r="W545">
        <f>IF(OR($S545="",$T545=""),"",$S545*1000000+IF($T545&lt;=60,$U545,$T545))</f>
        <v/>
      </c>
      <c r="X545">
        <f>IF(OR($S545="",$V545="",$T545&gt;60,$T545=""),"",$S545*1000000+ROUND($V545*10,0))</f>
        <v/>
      </c>
      <c r="Y545">
        <f>IF($W545="","",IFERROR(INDEX(IF($T545&lt;=60,imc05_l,imc519_l),MATCH($W545,IF($T545&lt;=60,imc05_k,imc519_k),1)),""))</f>
        <v/>
      </c>
      <c r="Z545">
        <f>IF($W545="","",IFERROR(INDEX(IF($T545&lt;=60,imc05_m,imc519_m),MATCH($W545,IF($T545&lt;=60,imc05_k,imc519_k),1)),""))</f>
        <v/>
      </c>
      <c r="AA545">
        <f>IF($W545="","",IFERROR(INDEX(IF($T545&lt;=60,imc05_s,imc519_s),MATCH($W545,IF($T545&lt;=60,imc05_k,imc519_k),1)),""))</f>
        <v/>
      </c>
      <c r="AB545">
        <f>IF($Y545="","",IF($Y545=0,LN($J545/$Z545)/$AA545,((($J545/$Z545)^$Y545)-1)/($Y545*$AA545)))</f>
        <v/>
      </c>
      <c r="AC545">
        <f>IF($Y545="","",IF($Y545=0,$Z545*EXP($AA545*2),$Z545*(1+$Y545*$AA545*2)^(1/$Y545)))</f>
        <v/>
      </c>
      <c r="AD545">
        <f>IF($Y545="","",IF($Y545=0,$Z545*EXP($AA545*3),$Z545*(1+$Y545*$AA545*3)^(1/$Y545)))</f>
        <v/>
      </c>
      <c r="AE545">
        <f>IF($Y545="","",IF($Y545=0,$Z545*EXP($AA545*-2),$Z545*(1+$Y545*$AA545*-2)^(1/$Y545)))</f>
        <v/>
      </c>
      <c r="AF545">
        <f>IF($Y545="","",IF($Y545=0,$Z545*EXP($AA545*-3),$Z545*(1+$Y545*$AA545*-3)^(1/$Y545)))</f>
        <v/>
      </c>
      <c r="AG545">
        <f>IF($W545="","",IFERROR(INDEX(IF($T545&lt;=60,est05_l,est519_l),MATCH($W545,IF($T545&lt;=60,est05_k,est519_k),1)),""))</f>
        <v/>
      </c>
      <c r="AH545">
        <f>IF($W545="","",IFERROR(INDEX(IF($T545&lt;=60,est05_m,est519_m),MATCH($W545,IF($T545&lt;=60,est05_k,est519_k),1)),""))</f>
        <v/>
      </c>
      <c r="AI545">
        <f>IF($W545="","",IFERROR(INDEX(IF($T545&lt;=60,est05_s,est519_s),MATCH($W545,IF($T545&lt;=60,est05_k,est519_k),1)),""))</f>
        <v/>
      </c>
      <c r="AJ545">
        <f>IF($W545="","",IFERROR(INDEX(IF($T545&lt;=60,peso05_l,peso510_l),MATCH($W545,IF($T545&lt;=60,peso05_k,peso510_k),1)),""))</f>
        <v/>
      </c>
      <c r="AK545">
        <f>IF($W545="","",IFERROR(INDEX(IF($T545&lt;=60,peso05_m,peso510_m),MATCH($W545,IF($T545&lt;=60,peso05_k,peso510_k),1)),""))</f>
        <v/>
      </c>
      <c r="AL545">
        <f>IF($W545="","",IFERROR(INDEX(IF($T545&lt;=60,peso05_s,peso510_s),MATCH($W545,IF($T545&lt;=60,peso05_k,peso510_k),1)),""))</f>
        <v/>
      </c>
      <c r="AM545">
        <f>IF($AJ545="","",IF($AJ545=0,LN($F545/$AK545)/$AL545,((($F545/$AK545)^$AJ545)-1)/($AJ545*$AL545)))</f>
        <v/>
      </c>
      <c r="AN545">
        <f>IF($AJ545="","",IF($AJ545=0,$AK545*EXP($AL545*2),$AK545*(1+$AJ545*$AL545*2)^(1/$AJ545)))</f>
        <v/>
      </c>
      <c r="AO545">
        <f>IF($AJ545="","",IF($AJ545=0,$AK545*EXP($AL545*3),$AK545*(1+$AJ545*$AL545*3)^(1/$AJ545)))</f>
        <v/>
      </c>
      <c r="AP545">
        <f>IF($AJ545="","",IF($AJ545=0,$AK545*EXP($AL545*-2),$AK545*(1+$AJ545*$AL545*-2)^(1/$AJ545)))</f>
        <v/>
      </c>
      <c r="AQ545">
        <f>IF($AJ545="","",IF($AJ545=0,$AK545*EXP($AL545*-3),$AK545*(1+$AJ545*$AL545*-3)^(1/$AJ545)))</f>
        <v/>
      </c>
      <c r="AR545">
        <f>IF(OR($X545="",$T545&gt;60),"",IFERROR(INDEX(IF($T545&lt;24,pcomp_l,palt_l),MATCH($X545,IF($T545&lt;24,pcomp_k,palt_k),1)),""))</f>
        <v/>
      </c>
      <c r="AS545">
        <f>IF(OR($X545="",$T545&gt;60),"",IFERROR(INDEX(IF($T545&lt;24,pcomp_m,palt_m),MATCH($X545,IF($T545&lt;24,pcomp_k,palt_k),1)),""))</f>
        <v/>
      </c>
      <c r="AT545">
        <f>IF(OR($X545="",$T545&gt;60),"",IFERROR(INDEX(IF($T545&lt;24,pcomp_s,palt_s),MATCH($X545,IF($T545&lt;24,pcomp_k,palt_k),1)),""))</f>
        <v/>
      </c>
      <c r="AU545">
        <f>IF($AR545="","",IF($AR545=0,LN($F545/$AS545)/$AT545,((($F545/$AS545)^$AR545)-1)/($AR545*$AT545)))</f>
        <v/>
      </c>
      <c r="AV545">
        <f>IF($AR545="","",IF($AR545=0,$AS545*EXP($AT545*2),$AS545*(1+$AR545*$AT545*2)^(1/$AR545)))</f>
        <v/>
      </c>
      <c r="AW545">
        <f>IF($AR545="","",IF($AR545=0,$AS545*EXP($AT545*3),$AS545*(1+$AR545*$AT545*3)^(1/$AR545)))</f>
        <v/>
      </c>
      <c r="AX545">
        <f>IF($AR545="","",IF($AR545=0,$AS545*EXP($AT545*-2),$AS545*(1+$AR545*$AT545*-2)^(1/$AR545)))</f>
        <v/>
      </c>
      <c r="AY545">
        <f>IF($AR545="","",IF($AR545=0,$AS545*EXP($AT545*-3),$AS545*(1+$AR545*$AT545*-3)^(1/$AR545)))</f>
        <v/>
      </c>
      <c r="AZ545">
        <f>IF(OR($A545="",$A545&lt;&gt;Ficha!$C$4),"",COUNTIF($A$2:$A545,Ficha!$C$4))</f>
        <v/>
      </c>
    </row>
    <row r="546">
      <c r="A546" s="8">
        <f>IF(INDEX(Banco!$A:$A,ROW())="","",INDEX(Banco!$A:$A,ROW()))</f>
        <v/>
      </c>
      <c r="B546" s="8">
        <f>IF(INDEX(Banco!$B:$B,ROW())="","",INDEX(Banco!$B:$B,ROW()))</f>
        <v/>
      </c>
      <c r="C546" s="8">
        <f>IF(INDEX(Banco!$C:$C,ROW())="","",INDEX(Banco!$C:$C,ROW()))</f>
        <v/>
      </c>
      <c r="D546" s="9">
        <f>IF(INDEX(Banco!$D:$D,ROW())="","",INDEX(Banco!$D:$D,ROW()))</f>
        <v/>
      </c>
      <c r="E546" s="9">
        <f>IF(INDEX(Banco!$E:$E,ROW())="","",INDEX(Banco!$E:$E,ROW()))</f>
        <v/>
      </c>
      <c r="F546" s="10">
        <f>IF(INDEX(Banco!$F:$F,ROW())="","",INDEX(Banco!$F:$F,ROW()))</f>
        <v/>
      </c>
      <c r="G546" s="10">
        <f>IF(INDEX(Banco!$G:$G,ROW())="","",INDEX(Banco!$G:$G,ROW()))</f>
        <v/>
      </c>
      <c r="H546" s="8">
        <f>IF(INDEX(Banco!$H:$H,ROW())="","",INDEX(Banco!$H:$H,ROW()))</f>
        <v/>
      </c>
      <c r="I546">
        <f>IF($T546="","",INT($T546/12)&amp;"a "&amp;MOD($T546,12)&amp;"m")</f>
        <v/>
      </c>
      <c r="J546" s="11">
        <f>IF(OR($F546="",$G546=""),"",ROUND($F546/($G546/100)^2,2))</f>
        <v/>
      </c>
      <c r="K546" s="12">
        <f>IF(OR($S546="",$J546="",$T546="",$T546&lt;0,$T546&gt;228,$Y546=""),"—",ROUND(IF(ABS($AB546)&lt;=3,$AB546,IF($AB546&gt;3,3+($J546-$AD546)/($AD546-$AC546),-3+($J546-$AF546)/($AE546-$AF546))),2))</f>
        <v/>
      </c>
      <c r="L546">
        <f>IF(OR($K546="",$K546="—"),"",IF($T546&lt;=60,IF($K546&lt;-3,"Magreza acentuada",IF($K546&lt;-2,"Magreza",IF($K546&lt;=1,"Eutrofia",IF($K546&lt;=2,"Risco de sobrepeso",IF($K546&lt;=3,"Sobrepeso","Obesidade"))))),IF($K546&lt;-3,"Magreza acentuada",IF($K546&lt;-2,"Magreza",IF($K546&lt;=1,"Eutrofia",IF($K546&lt;=2,"Sobrepeso",IF($K546&lt;=3,"Obesidade","Obesidade grave")))))))</f>
        <v/>
      </c>
      <c r="M546" s="12">
        <f>IF(OR($S546="",$V546="",$T546="",$T546&lt;0,$T546&gt;228,$AG546=""),"—",ROUND(IF($AG546=0,LN($V546/$AH546)/$AI546,((($V546/$AH546)^$AG546)-1)/($AG546*$AI546)),2))</f>
        <v/>
      </c>
      <c r="N546">
        <f>IF(OR($M546="",$M546="—"),"",IF($M546&lt;-3,"Muito baixa",IF($M546&lt;-2,"Baixa","Adequada")))</f>
        <v/>
      </c>
      <c r="O546" s="12">
        <f>IF(OR($S546="",$F546="",$T546="",$T546&lt;0,$T546&gt;120,$AJ546=""),"—",ROUND(IF(ABS($AM546)&lt;=3,$AM546,IF($AM546&gt;3,3+($F546-$AO546)/($AO546-$AN546),-3+($F546-$AQ546)/($AP546-$AQ546))),2))</f>
        <v/>
      </c>
      <c r="P546">
        <f>IF(OR($O546="",$O546="—"),"",IF($O546&lt;-3,"Muito baixo",IF($O546&lt;-2,"Baixo",IF($O546&lt;=2,"Adequado","Elevado"))))</f>
        <v/>
      </c>
      <c r="Q546" s="12">
        <f>IF(OR($S546="",$F546="",$T546="",$T546&lt;0,$T546&gt;60,$AR546=""),"—",ROUND(IF(ABS($AU546)&lt;=3,$AU546,IF($AU546&gt;3,3+($F546-$AW546)/($AW546-$AV546),-3+($F546-$AY546)/($AX546-$AY546))),2))</f>
        <v/>
      </c>
      <c r="R546">
        <f>IF(OR($Q546="",$Q546="—"),"",IF($Q546&lt;-3,"Magreza acentuada",IF($Q546&lt;-2,"Magreza",IF($Q546&lt;=1,"Eutrofia",IF($Q546&lt;=2,"Risco de sobrepeso",IF($Q546&lt;=3,"Sobrepeso","Obesidade"))))))</f>
        <v/>
      </c>
      <c r="S546">
        <f>IF($C546="","",IF(UPPER(LEFT($C546,1))="M",1,IF(UPPER(LEFT($C546,1))="F",2,"")))</f>
        <v/>
      </c>
      <c r="T546">
        <f>IF(OR($D546="",$E546=""),"",DATEDIF($D546,$E546,"m"))</f>
        <v/>
      </c>
      <c r="U546">
        <f>IF(OR($D546="",$E546=""),"",$E546-$D546)</f>
        <v/>
      </c>
      <c r="V546">
        <f>IF(OR($G546="",$T546=""),"",IF($T546&lt;24,IF(LEFT(LOWER($H546),4)="em p",$G546+0.7,$G546),IF(LEFT(LOWER($H546),4)="deit",$G546-0.7,$G546)))</f>
        <v/>
      </c>
      <c r="W546">
        <f>IF(OR($S546="",$T546=""),"",$S546*1000000+IF($T546&lt;=60,$U546,$T546))</f>
        <v/>
      </c>
      <c r="X546">
        <f>IF(OR($S546="",$V546="",$T546&gt;60,$T546=""),"",$S546*1000000+ROUND($V546*10,0))</f>
        <v/>
      </c>
      <c r="Y546">
        <f>IF($W546="","",IFERROR(INDEX(IF($T546&lt;=60,imc05_l,imc519_l),MATCH($W546,IF($T546&lt;=60,imc05_k,imc519_k),1)),""))</f>
        <v/>
      </c>
      <c r="Z546">
        <f>IF($W546="","",IFERROR(INDEX(IF($T546&lt;=60,imc05_m,imc519_m),MATCH($W546,IF($T546&lt;=60,imc05_k,imc519_k),1)),""))</f>
        <v/>
      </c>
      <c r="AA546">
        <f>IF($W546="","",IFERROR(INDEX(IF($T546&lt;=60,imc05_s,imc519_s),MATCH($W546,IF($T546&lt;=60,imc05_k,imc519_k),1)),""))</f>
        <v/>
      </c>
      <c r="AB546">
        <f>IF($Y546="","",IF($Y546=0,LN($J546/$Z546)/$AA546,((($J546/$Z546)^$Y546)-1)/($Y546*$AA546)))</f>
        <v/>
      </c>
      <c r="AC546">
        <f>IF($Y546="","",IF($Y546=0,$Z546*EXP($AA546*2),$Z546*(1+$Y546*$AA546*2)^(1/$Y546)))</f>
        <v/>
      </c>
      <c r="AD546">
        <f>IF($Y546="","",IF($Y546=0,$Z546*EXP($AA546*3),$Z546*(1+$Y546*$AA546*3)^(1/$Y546)))</f>
        <v/>
      </c>
      <c r="AE546">
        <f>IF($Y546="","",IF($Y546=0,$Z546*EXP($AA546*-2),$Z546*(1+$Y546*$AA546*-2)^(1/$Y546)))</f>
        <v/>
      </c>
      <c r="AF546">
        <f>IF($Y546="","",IF($Y546=0,$Z546*EXP($AA546*-3),$Z546*(1+$Y546*$AA546*-3)^(1/$Y546)))</f>
        <v/>
      </c>
      <c r="AG546">
        <f>IF($W546="","",IFERROR(INDEX(IF($T546&lt;=60,est05_l,est519_l),MATCH($W546,IF($T546&lt;=60,est05_k,est519_k),1)),""))</f>
        <v/>
      </c>
      <c r="AH546">
        <f>IF($W546="","",IFERROR(INDEX(IF($T546&lt;=60,est05_m,est519_m),MATCH($W546,IF($T546&lt;=60,est05_k,est519_k),1)),""))</f>
        <v/>
      </c>
      <c r="AI546">
        <f>IF($W546="","",IFERROR(INDEX(IF($T546&lt;=60,est05_s,est519_s),MATCH($W546,IF($T546&lt;=60,est05_k,est519_k),1)),""))</f>
        <v/>
      </c>
      <c r="AJ546">
        <f>IF($W546="","",IFERROR(INDEX(IF($T546&lt;=60,peso05_l,peso510_l),MATCH($W546,IF($T546&lt;=60,peso05_k,peso510_k),1)),""))</f>
        <v/>
      </c>
      <c r="AK546">
        <f>IF($W546="","",IFERROR(INDEX(IF($T546&lt;=60,peso05_m,peso510_m),MATCH($W546,IF($T546&lt;=60,peso05_k,peso510_k),1)),""))</f>
        <v/>
      </c>
      <c r="AL546">
        <f>IF($W546="","",IFERROR(INDEX(IF($T546&lt;=60,peso05_s,peso510_s),MATCH($W546,IF($T546&lt;=60,peso05_k,peso510_k),1)),""))</f>
        <v/>
      </c>
      <c r="AM546">
        <f>IF($AJ546="","",IF($AJ546=0,LN($F546/$AK546)/$AL546,((($F546/$AK546)^$AJ546)-1)/($AJ546*$AL546)))</f>
        <v/>
      </c>
      <c r="AN546">
        <f>IF($AJ546="","",IF($AJ546=0,$AK546*EXP($AL546*2),$AK546*(1+$AJ546*$AL546*2)^(1/$AJ546)))</f>
        <v/>
      </c>
      <c r="AO546">
        <f>IF($AJ546="","",IF($AJ546=0,$AK546*EXP($AL546*3),$AK546*(1+$AJ546*$AL546*3)^(1/$AJ546)))</f>
        <v/>
      </c>
      <c r="AP546">
        <f>IF($AJ546="","",IF($AJ546=0,$AK546*EXP($AL546*-2),$AK546*(1+$AJ546*$AL546*-2)^(1/$AJ546)))</f>
        <v/>
      </c>
      <c r="AQ546">
        <f>IF($AJ546="","",IF($AJ546=0,$AK546*EXP($AL546*-3),$AK546*(1+$AJ546*$AL546*-3)^(1/$AJ546)))</f>
        <v/>
      </c>
      <c r="AR546">
        <f>IF(OR($X546="",$T546&gt;60),"",IFERROR(INDEX(IF($T546&lt;24,pcomp_l,palt_l),MATCH($X546,IF($T546&lt;24,pcomp_k,palt_k),1)),""))</f>
        <v/>
      </c>
      <c r="AS546">
        <f>IF(OR($X546="",$T546&gt;60),"",IFERROR(INDEX(IF($T546&lt;24,pcomp_m,palt_m),MATCH($X546,IF($T546&lt;24,pcomp_k,palt_k),1)),""))</f>
        <v/>
      </c>
      <c r="AT546">
        <f>IF(OR($X546="",$T546&gt;60),"",IFERROR(INDEX(IF($T546&lt;24,pcomp_s,palt_s),MATCH($X546,IF($T546&lt;24,pcomp_k,palt_k),1)),""))</f>
        <v/>
      </c>
      <c r="AU546">
        <f>IF($AR546="","",IF($AR546=0,LN($F546/$AS546)/$AT546,((($F546/$AS546)^$AR546)-1)/($AR546*$AT546)))</f>
        <v/>
      </c>
      <c r="AV546">
        <f>IF($AR546="","",IF($AR546=0,$AS546*EXP($AT546*2),$AS546*(1+$AR546*$AT546*2)^(1/$AR546)))</f>
        <v/>
      </c>
      <c r="AW546">
        <f>IF($AR546="","",IF($AR546=0,$AS546*EXP($AT546*3),$AS546*(1+$AR546*$AT546*3)^(1/$AR546)))</f>
        <v/>
      </c>
      <c r="AX546">
        <f>IF($AR546="","",IF($AR546=0,$AS546*EXP($AT546*-2),$AS546*(1+$AR546*$AT546*-2)^(1/$AR546)))</f>
        <v/>
      </c>
      <c r="AY546">
        <f>IF($AR546="","",IF($AR546=0,$AS546*EXP($AT546*-3),$AS546*(1+$AR546*$AT546*-3)^(1/$AR546)))</f>
        <v/>
      </c>
      <c r="AZ546">
        <f>IF(OR($A546="",$A546&lt;&gt;Ficha!$C$4),"",COUNTIF($A$2:$A546,Ficha!$C$4))</f>
        <v/>
      </c>
    </row>
    <row r="547">
      <c r="A547" s="8">
        <f>IF(INDEX(Banco!$A:$A,ROW())="","",INDEX(Banco!$A:$A,ROW()))</f>
        <v/>
      </c>
      <c r="B547" s="8">
        <f>IF(INDEX(Banco!$B:$B,ROW())="","",INDEX(Banco!$B:$B,ROW()))</f>
        <v/>
      </c>
      <c r="C547" s="8">
        <f>IF(INDEX(Banco!$C:$C,ROW())="","",INDEX(Banco!$C:$C,ROW()))</f>
        <v/>
      </c>
      <c r="D547" s="9">
        <f>IF(INDEX(Banco!$D:$D,ROW())="","",INDEX(Banco!$D:$D,ROW()))</f>
        <v/>
      </c>
      <c r="E547" s="9">
        <f>IF(INDEX(Banco!$E:$E,ROW())="","",INDEX(Banco!$E:$E,ROW()))</f>
        <v/>
      </c>
      <c r="F547" s="10">
        <f>IF(INDEX(Banco!$F:$F,ROW())="","",INDEX(Banco!$F:$F,ROW()))</f>
        <v/>
      </c>
      <c r="G547" s="10">
        <f>IF(INDEX(Banco!$G:$G,ROW())="","",INDEX(Banco!$G:$G,ROW()))</f>
        <v/>
      </c>
      <c r="H547" s="8">
        <f>IF(INDEX(Banco!$H:$H,ROW())="","",INDEX(Banco!$H:$H,ROW()))</f>
        <v/>
      </c>
      <c r="I547">
        <f>IF($T547="","",INT($T547/12)&amp;"a "&amp;MOD($T547,12)&amp;"m")</f>
        <v/>
      </c>
      <c r="J547" s="11">
        <f>IF(OR($F547="",$G547=""),"",ROUND($F547/($G547/100)^2,2))</f>
        <v/>
      </c>
      <c r="K547" s="12">
        <f>IF(OR($S547="",$J547="",$T547="",$T547&lt;0,$T547&gt;228,$Y547=""),"—",ROUND(IF(ABS($AB547)&lt;=3,$AB547,IF($AB547&gt;3,3+($J547-$AD547)/($AD547-$AC547),-3+($J547-$AF547)/($AE547-$AF547))),2))</f>
        <v/>
      </c>
      <c r="L547">
        <f>IF(OR($K547="",$K547="—"),"",IF($T547&lt;=60,IF($K547&lt;-3,"Magreza acentuada",IF($K547&lt;-2,"Magreza",IF($K547&lt;=1,"Eutrofia",IF($K547&lt;=2,"Risco de sobrepeso",IF($K547&lt;=3,"Sobrepeso","Obesidade"))))),IF($K547&lt;-3,"Magreza acentuada",IF($K547&lt;-2,"Magreza",IF($K547&lt;=1,"Eutrofia",IF($K547&lt;=2,"Sobrepeso",IF($K547&lt;=3,"Obesidade","Obesidade grave")))))))</f>
        <v/>
      </c>
      <c r="M547" s="12">
        <f>IF(OR($S547="",$V547="",$T547="",$T547&lt;0,$T547&gt;228,$AG547=""),"—",ROUND(IF($AG547=0,LN($V547/$AH547)/$AI547,((($V547/$AH547)^$AG547)-1)/($AG547*$AI547)),2))</f>
        <v/>
      </c>
      <c r="N547">
        <f>IF(OR($M547="",$M547="—"),"",IF($M547&lt;-3,"Muito baixa",IF($M547&lt;-2,"Baixa","Adequada")))</f>
        <v/>
      </c>
      <c r="O547" s="12">
        <f>IF(OR($S547="",$F547="",$T547="",$T547&lt;0,$T547&gt;120,$AJ547=""),"—",ROUND(IF(ABS($AM547)&lt;=3,$AM547,IF($AM547&gt;3,3+($F547-$AO547)/($AO547-$AN547),-3+($F547-$AQ547)/($AP547-$AQ547))),2))</f>
        <v/>
      </c>
      <c r="P547">
        <f>IF(OR($O547="",$O547="—"),"",IF($O547&lt;-3,"Muito baixo",IF($O547&lt;-2,"Baixo",IF($O547&lt;=2,"Adequado","Elevado"))))</f>
        <v/>
      </c>
      <c r="Q547" s="12">
        <f>IF(OR($S547="",$F547="",$T547="",$T547&lt;0,$T547&gt;60,$AR547=""),"—",ROUND(IF(ABS($AU547)&lt;=3,$AU547,IF($AU547&gt;3,3+($F547-$AW547)/($AW547-$AV547),-3+($F547-$AY547)/($AX547-$AY547))),2))</f>
        <v/>
      </c>
      <c r="R547">
        <f>IF(OR($Q547="",$Q547="—"),"",IF($Q547&lt;-3,"Magreza acentuada",IF($Q547&lt;-2,"Magreza",IF($Q547&lt;=1,"Eutrofia",IF($Q547&lt;=2,"Risco de sobrepeso",IF($Q547&lt;=3,"Sobrepeso","Obesidade"))))))</f>
        <v/>
      </c>
      <c r="S547">
        <f>IF($C547="","",IF(UPPER(LEFT($C547,1))="M",1,IF(UPPER(LEFT($C547,1))="F",2,"")))</f>
        <v/>
      </c>
      <c r="T547">
        <f>IF(OR($D547="",$E547=""),"",DATEDIF($D547,$E547,"m"))</f>
        <v/>
      </c>
      <c r="U547">
        <f>IF(OR($D547="",$E547=""),"",$E547-$D547)</f>
        <v/>
      </c>
      <c r="V547">
        <f>IF(OR($G547="",$T547=""),"",IF($T547&lt;24,IF(LEFT(LOWER($H547),4)="em p",$G547+0.7,$G547),IF(LEFT(LOWER($H547),4)="deit",$G547-0.7,$G547)))</f>
        <v/>
      </c>
      <c r="W547">
        <f>IF(OR($S547="",$T547=""),"",$S547*1000000+IF($T547&lt;=60,$U547,$T547))</f>
        <v/>
      </c>
      <c r="X547">
        <f>IF(OR($S547="",$V547="",$T547&gt;60,$T547=""),"",$S547*1000000+ROUND($V547*10,0))</f>
        <v/>
      </c>
      <c r="Y547">
        <f>IF($W547="","",IFERROR(INDEX(IF($T547&lt;=60,imc05_l,imc519_l),MATCH($W547,IF($T547&lt;=60,imc05_k,imc519_k),1)),""))</f>
        <v/>
      </c>
      <c r="Z547">
        <f>IF($W547="","",IFERROR(INDEX(IF($T547&lt;=60,imc05_m,imc519_m),MATCH($W547,IF($T547&lt;=60,imc05_k,imc519_k),1)),""))</f>
        <v/>
      </c>
      <c r="AA547">
        <f>IF($W547="","",IFERROR(INDEX(IF($T547&lt;=60,imc05_s,imc519_s),MATCH($W547,IF($T547&lt;=60,imc05_k,imc519_k),1)),""))</f>
        <v/>
      </c>
      <c r="AB547">
        <f>IF($Y547="","",IF($Y547=0,LN($J547/$Z547)/$AA547,((($J547/$Z547)^$Y547)-1)/($Y547*$AA547)))</f>
        <v/>
      </c>
      <c r="AC547">
        <f>IF($Y547="","",IF($Y547=0,$Z547*EXP($AA547*2),$Z547*(1+$Y547*$AA547*2)^(1/$Y547)))</f>
        <v/>
      </c>
      <c r="AD547">
        <f>IF($Y547="","",IF($Y547=0,$Z547*EXP($AA547*3),$Z547*(1+$Y547*$AA547*3)^(1/$Y547)))</f>
        <v/>
      </c>
      <c r="AE547">
        <f>IF($Y547="","",IF($Y547=0,$Z547*EXP($AA547*-2),$Z547*(1+$Y547*$AA547*-2)^(1/$Y547)))</f>
        <v/>
      </c>
      <c r="AF547">
        <f>IF($Y547="","",IF($Y547=0,$Z547*EXP($AA547*-3),$Z547*(1+$Y547*$AA547*-3)^(1/$Y547)))</f>
        <v/>
      </c>
      <c r="AG547">
        <f>IF($W547="","",IFERROR(INDEX(IF($T547&lt;=60,est05_l,est519_l),MATCH($W547,IF($T547&lt;=60,est05_k,est519_k),1)),""))</f>
        <v/>
      </c>
      <c r="AH547">
        <f>IF($W547="","",IFERROR(INDEX(IF($T547&lt;=60,est05_m,est519_m),MATCH($W547,IF($T547&lt;=60,est05_k,est519_k),1)),""))</f>
        <v/>
      </c>
      <c r="AI547">
        <f>IF($W547="","",IFERROR(INDEX(IF($T547&lt;=60,est05_s,est519_s),MATCH($W547,IF($T547&lt;=60,est05_k,est519_k),1)),""))</f>
        <v/>
      </c>
      <c r="AJ547">
        <f>IF($W547="","",IFERROR(INDEX(IF($T547&lt;=60,peso05_l,peso510_l),MATCH($W547,IF($T547&lt;=60,peso05_k,peso510_k),1)),""))</f>
        <v/>
      </c>
      <c r="AK547">
        <f>IF($W547="","",IFERROR(INDEX(IF($T547&lt;=60,peso05_m,peso510_m),MATCH($W547,IF($T547&lt;=60,peso05_k,peso510_k),1)),""))</f>
        <v/>
      </c>
      <c r="AL547">
        <f>IF($W547="","",IFERROR(INDEX(IF($T547&lt;=60,peso05_s,peso510_s),MATCH($W547,IF($T547&lt;=60,peso05_k,peso510_k),1)),""))</f>
        <v/>
      </c>
      <c r="AM547">
        <f>IF($AJ547="","",IF($AJ547=0,LN($F547/$AK547)/$AL547,((($F547/$AK547)^$AJ547)-1)/($AJ547*$AL547)))</f>
        <v/>
      </c>
      <c r="AN547">
        <f>IF($AJ547="","",IF($AJ547=0,$AK547*EXP($AL547*2),$AK547*(1+$AJ547*$AL547*2)^(1/$AJ547)))</f>
        <v/>
      </c>
      <c r="AO547">
        <f>IF($AJ547="","",IF($AJ547=0,$AK547*EXP($AL547*3),$AK547*(1+$AJ547*$AL547*3)^(1/$AJ547)))</f>
        <v/>
      </c>
      <c r="AP547">
        <f>IF($AJ547="","",IF($AJ547=0,$AK547*EXP($AL547*-2),$AK547*(1+$AJ547*$AL547*-2)^(1/$AJ547)))</f>
        <v/>
      </c>
      <c r="AQ547">
        <f>IF($AJ547="","",IF($AJ547=0,$AK547*EXP($AL547*-3),$AK547*(1+$AJ547*$AL547*-3)^(1/$AJ547)))</f>
        <v/>
      </c>
      <c r="AR547">
        <f>IF(OR($X547="",$T547&gt;60),"",IFERROR(INDEX(IF($T547&lt;24,pcomp_l,palt_l),MATCH($X547,IF($T547&lt;24,pcomp_k,palt_k),1)),""))</f>
        <v/>
      </c>
      <c r="AS547">
        <f>IF(OR($X547="",$T547&gt;60),"",IFERROR(INDEX(IF($T547&lt;24,pcomp_m,palt_m),MATCH($X547,IF($T547&lt;24,pcomp_k,palt_k),1)),""))</f>
        <v/>
      </c>
      <c r="AT547">
        <f>IF(OR($X547="",$T547&gt;60),"",IFERROR(INDEX(IF($T547&lt;24,pcomp_s,palt_s),MATCH($X547,IF($T547&lt;24,pcomp_k,palt_k),1)),""))</f>
        <v/>
      </c>
      <c r="AU547">
        <f>IF($AR547="","",IF($AR547=0,LN($F547/$AS547)/$AT547,((($F547/$AS547)^$AR547)-1)/($AR547*$AT547)))</f>
        <v/>
      </c>
      <c r="AV547">
        <f>IF($AR547="","",IF($AR547=0,$AS547*EXP($AT547*2),$AS547*(1+$AR547*$AT547*2)^(1/$AR547)))</f>
        <v/>
      </c>
      <c r="AW547">
        <f>IF($AR547="","",IF($AR547=0,$AS547*EXP($AT547*3),$AS547*(1+$AR547*$AT547*3)^(1/$AR547)))</f>
        <v/>
      </c>
      <c r="AX547">
        <f>IF($AR547="","",IF($AR547=0,$AS547*EXP($AT547*-2),$AS547*(1+$AR547*$AT547*-2)^(1/$AR547)))</f>
        <v/>
      </c>
      <c r="AY547">
        <f>IF($AR547="","",IF($AR547=0,$AS547*EXP($AT547*-3),$AS547*(1+$AR547*$AT547*-3)^(1/$AR547)))</f>
        <v/>
      </c>
      <c r="AZ547">
        <f>IF(OR($A547="",$A547&lt;&gt;Ficha!$C$4),"",COUNTIF($A$2:$A547,Ficha!$C$4))</f>
        <v/>
      </c>
    </row>
    <row r="548">
      <c r="A548" s="8">
        <f>IF(INDEX(Banco!$A:$A,ROW())="","",INDEX(Banco!$A:$A,ROW()))</f>
        <v/>
      </c>
      <c r="B548" s="8">
        <f>IF(INDEX(Banco!$B:$B,ROW())="","",INDEX(Banco!$B:$B,ROW()))</f>
        <v/>
      </c>
      <c r="C548" s="8">
        <f>IF(INDEX(Banco!$C:$C,ROW())="","",INDEX(Banco!$C:$C,ROW()))</f>
        <v/>
      </c>
      <c r="D548" s="9">
        <f>IF(INDEX(Banco!$D:$D,ROW())="","",INDEX(Banco!$D:$D,ROW()))</f>
        <v/>
      </c>
      <c r="E548" s="9">
        <f>IF(INDEX(Banco!$E:$E,ROW())="","",INDEX(Banco!$E:$E,ROW()))</f>
        <v/>
      </c>
      <c r="F548" s="10">
        <f>IF(INDEX(Banco!$F:$F,ROW())="","",INDEX(Banco!$F:$F,ROW()))</f>
        <v/>
      </c>
      <c r="G548" s="10">
        <f>IF(INDEX(Banco!$G:$G,ROW())="","",INDEX(Banco!$G:$G,ROW()))</f>
        <v/>
      </c>
      <c r="H548" s="8">
        <f>IF(INDEX(Banco!$H:$H,ROW())="","",INDEX(Banco!$H:$H,ROW()))</f>
        <v/>
      </c>
      <c r="I548">
        <f>IF($T548="","",INT($T548/12)&amp;"a "&amp;MOD($T548,12)&amp;"m")</f>
        <v/>
      </c>
      <c r="J548" s="11">
        <f>IF(OR($F548="",$G548=""),"",ROUND($F548/($G548/100)^2,2))</f>
        <v/>
      </c>
      <c r="K548" s="12">
        <f>IF(OR($S548="",$J548="",$T548="",$T548&lt;0,$T548&gt;228,$Y548=""),"—",ROUND(IF(ABS($AB548)&lt;=3,$AB548,IF($AB548&gt;3,3+($J548-$AD548)/($AD548-$AC548),-3+($J548-$AF548)/($AE548-$AF548))),2))</f>
        <v/>
      </c>
      <c r="L548">
        <f>IF(OR($K548="",$K548="—"),"",IF($T548&lt;=60,IF($K548&lt;-3,"Magreza acentuada",IF($K548&lt;-2,"Magreza",IF($K548&lt;=1,"Eutrofia",IF($K548&lt;=2,"Risco de sobrepeso",IF($K548&lt;=3,"Sobrepeso","Obesidade"))))),IF($K548&lt;-3,"Magreza acentuada",IF($K548&lt;-2,"Magreza",IF($K548&lt;=1,"Eutrofia",IF($K548&lt;=2,"Sobrepeso",IF($K548&lt;=3,"Obesidade","Obesidade grave")))))))</f>
        <v/>
      </c>
      <c r="M548" s="12">
        <f>IF(OR($S548="",$V548="",$T548="",$T548&lt;0,$T548&gt;228,$AG548=""),"—",ROUND(IF($AG548=0,LN($V548/$AH548)/$AI548,((($V548/$AH548)^$AG548)-1)/($AG548*$AI548)),2))</f>
        <v/>
      </c>
      <c r="N548">
        <f>IF(OR($M548="",$M548="—"),"",IF($M548&lt;-3,"Muito baixa",IF($M548&lt;-2,"Baixa","Adequada")))</f>
        <v/>
      </c>
      <c r="O548" s="12">
        <f>IF(OR($S548="",$F548="",$T548="",$T548&lt;0,$T548&gt;120,$AJ548=""),"—",ROUND(IF(ABS($AM548)&lt;=3,$AM548,IF($AM548&gt;3,3+($F548-$AO548)/($AO548-$AN548),-3+($F548-$AQ548)/($AP548-$AQ548))),2))</f>
        <v/>
      </c>
      <c r="P548">
        <f>IF(OR($O548="",$O548="—"),"",IF($O548&lt;-3,"Muito baixo",IF($O548&lt;-2,"Baixo",IF($O548&lt;=2,"Adequado","Elevado"))))</f>
        <v/>
      </c>
      <c r="Q548" s="12">
        <f>IF(OR($S548="",$F548="",$T548="",$T548&lt;0,$T548&gt;60,$AR548=""),"—",ROUND(IF(ABS($AU548)&lt;=3,$AU548,IF($AU548&gt;3,3+($F548-$AW548)/($AW548-$AV548),-3+($F548-$AY548)/($AX548-$AY548))),2))</f>
        <v/>
      </c>
      <c r="R548">
        <f>IF(OR($Q548="",$Q548="—"),"",IF($Q548&lt;-3,"Magreza acentuada",IF($Q548&lt;-2,"Magreza",IF($Q548&lt;=1,"Eutrofia",IF($Q548&lt;=2,"Risco de sobrepeso",IF($Q548&lt;=3,"Sobrepeso","Obesidade"))))))</f>
        <v/>
      </c>
      <c r="S548">
        <f>IF($C548="","",IF(UPPER(LEFT($C548,1))="M",1,IF(UPPER(LEFT($C548,1))="F",2,"")))</f>
        <v/>
      </c>
      <c r="T548">
        <f>IF(OR($D548="",$E548=""),"",DATEDIF($D548,$E548,"m"))</f>
        <v/>
      </c>
      <c r="U548">
        <f>IF(OR($D548="",$E548=""),"",$E548-$D548)</f>
        <v/>
      </c>
      <c r="V548">
        <f>IF(OR($G548="",$T548=""),"",IF($T548&lt;24,IF(LEFT(LOWER($H548),4)="em p",$G548+0.7,$G548),IF(LEFT(LOWER($H548),4)="deit",$G548-0.7,$G548)))</f>
        <v/>
      </c>
      <c r="W548">
        <f>IF(OR($S548="",$T548=""),"",$S548*1000000+IF($T548&lt;=60,$U548,$T548))</f>
        <v/>
      </c>
      <c r="X548">
        <f>IF(OR($S548="",$V548="",$T548&gt;60,$T548=""),"",$S548*1000000+ROUND($V548*10,0))</f>
        <v/>
      </c>
      <c r="Y548">
        <f>IF($W548="","",IFERROR(INDEX(IF($T548&lt;=60,imc05_l,imc519_l),MATCH($W548,IF($T548&lt;=60,imc05_k,imc519_k),1)),""))</f>
        <v/>
      </c>
      <c r="Z548">
        <f>IF($W548="","",IFERROR(INDEX(IF($T548&lt;=60,imc05_m,imc519_m),MATCH($W548,IF($T548&lt;=60,imc05_k,imc519_k),1)),""))</f>
        <v/>
      </c>
      <c r="AA548">
        <f>IF($W548="","",IFERROR(INDEX(IF($T548&lt;=60,imc05_s,imc519_s),MATCH($W548,IF($T548&lt;=60,imc05_k,imc519_k),1)),""))</f>
        <v/>
      </c>
      <c r="AB548">
        <f>IF($Y548="","",IF($Y548=0,LN($J548/$Z548)/$AA548,((($J548/$Z548)^$Y548)-1)/($Y548*$AA548)))</f>
        <v/>
      </c>
      <c r="AC548">
        <f>IF($Y548="","",IF($Y548=0,$Z548*EXP($AA548*2),$Z548*(1+$Y548*$AA548*2)^(1/$Y548)))</f>
        <v/>
      </c>
      <c r="AD548">
        <f>IF($Y548="","",IF($Y548=0,$Z548*EXP($AA548*3),$Z548*(1+$Y548*$AA548*3)^(1/$Y548)))</f>
        <v/>
      </c>
      <c r="AE548">
        <f>IF($Y548="","",IF($Y548=0,$Z548*EXP($AA548*-2),$Z548*(1+$Y548*$AA548*-2)^(1/$Y548)))</f>
        <v/>
      </c>
      <c r="AF548">
        <f>IF($Y548="","",IF($Y548=0,$Z548*EXP($AA548*-3),$Z548*(1+$Y548*$AA548*-3)^(1/$Y548)))</f>
        <v/>
      </c>
      <c r="AG548">
        <f>IF($W548="","",IFERROR(INDEX(IF($T548&lt;=60,est05_l,est519_l),MATCH($W548,IF($T548&lt;=60,est05_k,est519_k),1)),""))</f>
        <v/>
      </c>
      <c r="AH548">
        <f>IF($W548="","",IFERROR(INDEX(IF($T548&lt;=60,est05_m,est519_m),MATCH($W548,IF($T548&lt;=60,est05_k,est519_k),1)),""))</f>
        <v/>
      </c>
      <c r="AI548">
        <f>IF($W548="","",IFERROR(INDEX(IF($T548&lt;=60,est05_s,est519_s),MATCH($W548,IF($T548&lt;=60,est05_k,est519_k),1)),""))</f>
        <v/>
      </c>
      <c r="AJ548">
        <f>IF($W548="","",IFERROR(INDEX(IF($T548&lt;=60,peso05_l,peso510_l),MATCH($W548,IF($T548&lt;=60,peso05_k,peso510_k),1)),""))</f>
        <v/>
      </c>
      <c r="AK548">
        <f>IF($W548="","",IFERROR(INDEX(IF($T548&lt;=60,peso05_m,peso510_m),MATCH($W548,IF($T548&lt;=60,peso05_k,peso510_k),1)),""))</f>
        <v/>
      </c>
      <c r="AL548">
        <f>IF($W548="","",IFERROR(INDEX(IF($T548&lt;=60,peso05_s,peso510_s),MATCH($W548,IF($T548&lt;=60,peso05_k,peso510_k),1)),""))</f>
        <v/>
      </c>
      <c r="AM548">
        <f>IF($AJ548="","",IF($AJ548=0,LN($F548/$AK548)/$AL548,((($F548/$AK548)^$AJ548)-1)/($AJ548*$AL548)))</f>
        <v/>
      </c>
      <c r="AN548">
        <f>IF($AJ548="","",IF($AJ548=0,$AK548*EXP($AL548*2),$AK548*(1+$AJ548*$AL548*2)^(1/$AJ548)))</f>
        <v/>
      </c>
      <c r="AO548">
        <f>IF($AJ548="","",IF($AJ548=0,$AK548*EXP($AL548*3),$AK548*(1+$AJ548*$AL548*3)^(1/$AJ548)))</f>
        <v/>
      </c>
      <c r="AP548">
        <f>IF($AJ548="","",IF($AJ548=0,$AK548*EXP($AL548*-2),$AK548*(1+$AJ548*$AL548*-2)^(1/$AJ548)))</f>
        <v/>
      </c>
      <c r="AQ548">
        <f>IF($AJ548="","",IF($AJ548=0,$AK548*EXP($AL548*-3),$AK548*(1+$AJ548*$AL548*-3)^(1/$AJ548)))</f>
        <v/>
      </c>
      <c r="AR548">
        <f>IF(OR($X548="",$T548&gt;60),"",IFERROR(INDEX(IF($T548&lt;24,pcomp_l,palt_l),MATCH($X548,IF($T548&lt;24,pcomp_k,palt_k),1)),""))</f>
        <v/>
      </c>
      <c r="AS548">
        <f>IF(OR($X548="",$T548&gt;60),"",IFERROR(INDEX(IF($T548&lt;24,pcomp_m,palt_m),MATCH($X548,IF($T548&lt;24,pcomp_k,palt_k),1)),""))</f>
        <v/>
      </c>
      <c r="AT548">
        <f>IF(OR($X548="",$T548&gt;60),"",IFERROR(INDEX(IF($T548&lt;24,pcomp_s,palt_s),MATCH($X548,IF($T548&lt;24,pcomp_k,palt_k),1)),""))</f>
        <v/>
      </c>
      <c r="AU548">
        <f>IF($AR548="","",IF($AR548=0,LN($F548/$AS548)/$AT548,((($F548/$AS548)^$AR548)-1)/($AR548*$AT548)))</f>
        <v/>
      </c>
      <c r="AV548">
        <f>IF($AR548="","",IF($AR548=0,$AS548*EXP($AT548*2),$AS548*(1+$AR548*$AT548*2)^(1/$AR548)))</f>
        <v/>
      </c>
      <c r="AW548">
        <f>IF($AR548="","",IF($AR548=0,$AS548*EXP($AT548*3),$AS548*(1+$AR548*$AT548*3)^(1/$AR548)))</f>
        <v/>
      </c>
      <c r="AX548">
        <f>IF($AR548="","",IF($AR548=0,$AS548*EXP($AT548*-2),$AS548*(1+$AR548*$AT548*-2)^(1/$AR548)))</f>
        <v/>
      </c>
      <c r="AY548">
        <f>IF($AR548="","",IF($AR548=0,$AS548*EXP($AT548*-3),$AS548*(1+$AR548*$AT548*-3)^(1/$AR548)))</f>
        <v/>
      </c>
      <c r="AZ548">
        <f>IF(OR($A548="",$A548&lt;&gt;Ficha!$C$4),"",COUNTIF($A$2:$A548,Ficha!$C$4))</f>
        <v/>
      </c>
    </row>
    <row r="549">
      <c r="A549" s="8">
        <f>IF(INDEX(Banco!$A:$A,ROW())="","",INDEX(Banco!$A:$A,ROW()))</f>
        <v/>
      </c>
      <c r="B549" s="8">
        <f>IF(INDEX(Banco!$B:$B,ROW())="","",INDEX(Banco!$B:$B,ROW()))</f>
        <v/>
      </c>
      <c r="C549" s="8">
        <f>IF(INDEX(Banco!$C:$C,ROW())="","",INDEX(Banco!$C:$C,ROW()))</f>
        <v/>
      </c>
      <c r="D549" s="9">
        <f>IF(INDEX(Banco!$D:$D,ROW())="","",INDEX(Banco!$D:$D,ROW()))</f>
        <v/>
      </c>
      <c r="E549" s="9">
        <f>IF(INDEX(Banco!$E:$E,ROW())="","",INDEX(Banco!$E:$E,ROW()))</f>
        <v/>
      </c>
      <c r="F549" s="10">
        <f>IF(INDEX(Banco!$F:$F,ROW())="","",INDEX(Banco!$F:$F,ROW()))</f>
        <v/>
      </c>
      <c r="G549" s="10">
        <f>IF(INDEX(Banco!$G:$G,ROW())="","",INDEX(Banco!$G:$G,ROW()))</f>
        <v/>
      </c>
      <c r="H549" s="8">
        <f>IF(INDEX(Banco!$H:$H,ROW())="","",INDEX(Banco!$H:$H,ROW()))</f>
        <v/>
      </c>
      <c r="I549">
        <f>IF($T549="","",INT($T549/12)&amp;"a "&amp;MOD($T549,12)&amp;"m")</f>
        <v/>
      </c>
      <c r="J549" s="11">
        <f>IF(OR($F549="",$G549=""),"",ROUND($F549/($G549/100)^2,2))</f>
        <v/>
      </c>
      <c r="K549" s="12">
        <f>IF(OR($S549="",$J549="",$T549="",$T549&lt;0,$T549&gt;228,$Y549=""),"—",ROUND(IF(ABS($AB549)&lt;=3,$AB549,IF($AB549&gt;3,3+($J549-$AD549)/($AD549-$AC549),-3+($J549-$AF549)/($AE549-$AF549))),2))</f>
        <v/>
      </c>
      <c r="L549">
        <f>IF(OR($K549="",$K549="—"),"",IF($T549&lt;=60,IF($K549&lt;-3,"Magreza acentuada",IF($K549&lt;-2,"Magreza",IF($K549&lt;=1,"Eutrofia",IF($K549&lt;=2,"Risco de sobrepeso",IF($K549&lt;=3,"Sobrepeso","Obesidade"))))),IF($K549&lt;-3,"Magreza acentuada",IF($K549&lt;-2,"Magreza",IF($K549&lt;=1,"Eutrofia",IF($K549&lt;=2,"Sobrepeso",IF($K549&lt;=3,"Obesidade","Obesidade grave")))))))</f>
        <v/>
      </c>
      <c r="M549" s="12">
        <f>IF(OR($S549="",$V549="",$T549="",$T549&lt;0,$T549&gt;228,$AG549=""),"—",ROUND(IF($AG549=0,LN($V549/$AH549)/$AI549,((($V549/$AH549)^$AG549)-1)/($AG549*$AI549)),2))</f>
        <v/>
      </c>
      <c r="N549">
        <f>IF(OR($M549="",$M549="—"),"",IF($M549&lt;-3,"Muito baixa",IF($M549&lt;-2,"Baixa","Adequada")))</f>
        <v/>
      </c>
      <c r="O549" s="12">
        <f>IF(OR($S549="",$F549="",$T549="",$T549&lt;0,$T549&gt;120,$AJ549=""),"—",ROUND(IF(ABS($AM549)&lt;=3,$AM549,IF($AM549&gt;3,3+($F549-$AO549)/($AO549-$AN549),-3+($F549-$AQ549)/($AP549-$AQ549))),2))</f>
        <v/>
      </c>
      <c r="P549">
        <f>IF(OR($O549="",$O549="—"),"",IF($O549&lt;-3,"Muito baixo",IF($O549&lt;-2,"Baixo",IF($O549&lt;=2,"Adequado","Elevado"))))</f>
        <v/>
      </c>
      <c r="Q549" s="12">
        <f>IF(OR($S549="",$F549="",$T549="",$T549&lt;0,$T549&gt;60,$AR549=""),"—",ROUND(IF(ABS($AU549)&lt;=3,$AU549,IF($AU549&gt;3,3+($F549-$AW549)/($AW549-$AV549),-3+($F549-$AY549)/($AX549-$AY549))),2))</f>
        <v/>
      </c>
      <c r="R549">
        <f>IF(OR($Q549="",$Q549="—"),"",IF($Q549&lt;-3,"Magreza acentuada",IF($Q549&lt;-2,"Magreza",IF($Q549&lt;=1,"Eutrofia",IF($Q549&lt;=2,"Risco de sobrepeso",IF($Q549&lt;=3,"Sobrepeso","Obesidade"))))))</f>
        <v/>
      </c>
      <c r="S549">
        <f>IF($C549="","",IF(UPPER(LEFT($C549,1))="M",1,IF(UPPER(LEFT($C549,1))="F",2,"")))</f>
        <v/>
      </c>
      <c r="T549">
        <f>IF(OR($D549="",$E549=""),"",DATEDIF($D549,$E549,"m"))</f>
        <v/>
      </c>
      <c r="U549">
        <f>IF(OR($D549="",$E549=""),"",$E549-$D549)</f>
        <v/>
      </c>
      <c r="V549">
        <f>IF(OR($G549="",$T549=""),"",IF($T549&lt;24,IF(LEFT(LOWER($H549),4)="em p",$G549+0.7,$G549),IF(LEFT(LOWER($H549),4)="deit",$G549-0.7,$G549)))</f>
        <v/>
      </c>
      <c r="W549">
        <f>IF(OR($S549="",$T549=""),"",$S549*1000000+IF($T549&lt;=60,$U549,$T549))</f>
        <v/>
      </c>
      <c r="X549">
        <f>IF(OR($S549="",$V549="",$T549&gt;60,$T549=""),"",$S549*1000000+ROUND($V549*10,0))</f>
        <v/>
      </c>
      <c r="Y549">
        <f>IF($W549="","",IFERROR(INDEX(IF($T549&lt;=60,imc05_l,imc519_l),MATCH($W549,IF($T549&lt;=60,imc05_k,imc519_k),1)),""))</f>
        <v/>
      </c>
      <c r="Z549">
        <f>IF($W549="","",IFERROR(INDEX(IF($T549&lt;=60,imc05_m,imc519_m),MATCH($W549,IF($T549&lt;=60,imc05_k,imc519_k),1)),""))</f>
        <v/>
      </c>
      <c r="AA549">
        <f>IF($W549="","",IFERROR(INDEX(IF($T549&lt;=60,imc05_s,imc519_s),MATCH($W549,IF($T549&lt;=60,imc05_k,imc519_k),1)),""))</f>
        <v/>
      </c>
      <c r="AB549">
        <f>IF($Y549="","",IF($Y549=0,LN($J549/$Z549)/$AA549,((($J549/$Z549)^$Y549)-1)/($Y549*$AA549)))</f>
        <v/>
      </c>
      <c r="AC549">
        <f>IF($Y549="","",IF($Y549=0,$Z549*EXP($AA549*2),$Z549*(1+$Y549*$AA549*2)^(1/$Y549)))</f>
        <v/>
      </c>
      <c r="AD549">
        <f>IF($Y549="","",IF($Y549=0,$Z549*EXP($AA549*3),$Z549*(1+$Y549*$AA549*3)^(1/$Y549)))</f>
        <v/>
      </c>
      <c r="AE549">
        <f>IF($Y549="","",IF($Y549=0,$Z549*EXP($AA549*-2),$Z549*(1+$Y549*$AA549*-2)^(1/$Y549)))</f>
        <v/>
      </c>
      <c r="AF549">
        <f>IF($Y549="","",IF($Y549=0,$Z549*EXP($AA549*-3),$Z549*(1+$Y549*$AA549*-3)^(1/$Y549)))</f>
        <v/>
      </c>
      <c r="AG549">
        <f>IF($W549="","",IFERROR(INDEX(IF($T549&lt;=60,est05_l,est519_l),MATCH($W549,IF($T549&lt;=60,est05_k,est519_k),1)),""))</f>
        <v/>
      </c>
      <c r="AH549">
        <f>IF($W549="","",IFERROR(INDEX(IF($T549&lt;=60,est05_m,est519_m),MATCH($W549,IF($T549&lt;=60,est05_k,est519_k),1)),""))</f>
        <v/>
      </c>
      <c r="AI549">
        <f>IF($W549="","",IFERROR(INDEX(IF($T549&lt;=60,est05_s,est519_s),MATCH($W549,IF($T549&lt;=60,est05_k,est519_k),1)),""))</f>
        <v/>
      </c>
      <c r="AJ549">
        <f>IF($W549="","",IFERROR(INDEX(IF($T549&lt;=60,peso05_l,peso510_l),MATCH($W549,IF($T549&lt;=60,peso05_k,peso510_k),1)),""))</f>
        <v/>
      </c>
      <c r="AK549">
        <f>IF($W549="","",IFERROR(INDEX(IF($T549&lt;=60,peso05_m,peso510_m),MATCH($W549,IF($T549&lt;=60,peso05_k,peso510_k),1)),""))</f>
        <v/>
      </c>
      <c r="AL549">
        <f>IF($W549="","",IFERROR(INDEX(IF($T549&lt;=60,peso05_s,peso510_s),MATCH($W549,IF($T549&lt;=60,peso05_k,peso510_k),1)),""))</f>
        <v/>
      </c>
      <c r="AM549">
        <f>IF($AJ549="","",IF($AJ549=0,LN($F549/$AK549)/$AL549,((($F549/$AK549)^$AJ549)-1)/($AJ549*$AL549)))</f>
        <v/>
      </c>
      <c r="AN549">
        <f>IF($AJ549="","",IF($AJ549=0,$AK549*EXP($AL549*2),$AK549*(1+$AJ549*$AL549*2)^(1/$AJ549)))</f>
        <v/>
      </c>
      <c r="AO549">
        <f>IF($AJ549="","",IF($AJ549=0,$AK549*EXP($AL549*3),$AK549*(1+$AJ549*$AL549*3)^(1/$AJ549)))</f>
        <v/>
      </c>
      <c r="AP549">
        <f>IF($AJ549="","",IF($AJ549=0,$AK549*EXP($AL549*-2),$AK549*(1+$AJ549*$AL549*-2)^(1/$AJ549)))</f>
        <v/>
      </c>
      <c r="AQ549">
        <f>IF($AJ549="","",IF($AJ549=0,$AK549*EXP($AL549*-3),$AK549*(1+$AJ549*$AL549*-3)^(1/$AJ549)))</f>
        <v/>
      </c>
      <c r="AR549">
        <f>IF(OR($X549="",$T549&gt;60),"",IFERROR(INDEX(IF($T549&lt;24,pcomp_l,palt_l),MATCH($X549,IF($T549&lt;24,pcomp_k,palt_k),1)),""))</f>
        <v/>
      </c>
      <c r="AS549">
        <f>IF(OR($X549="",$T549&gt;60),"",IFERROR(INDEX(IF($T549&lt;24,pcomp_m,palt_m),MATCH($X549,IF($T549&lt;24,pcomp_k,palt_k),1)),""))</f>
        <v/>
      </c>
      <c r="AT549">
        <f>IF(OR($X549="",$T549&gt;60),"",IFERROR(INDEX(IF($T549&lt;24,pcomp_s,palt_s),MATCH($X549,IF($T549&lt;24,pcomp_k,palt_k),1)),""))</f>
        <v/>
      </c>
      <c r="AU549">
        <f>IF($AR549="","",IF($AR549=0,LN($F549/$AS549)/$AT549,((($F549/$AS549)^$AR549)-1)/($AR549*$AT549)))</f>
        <v/>
      </c>
      <c r="AV549">
        <f>IF($AR549="","",IF($AR549=0,$AS549*EXP($AT549*2),$AS549*(1+$AR549*$AT549*2)^(1/$AR549)))</f>
        <v/>
      </c>
      <c r="AW549">
        <f>IF($AR549="","",IF($AR549=0,$AS549*EXP($AT549*3),$AS549*(1+$AR549*$AT549*3)^(1/$AR549)))</f>
        <v/>
      </c>
      <c r="AX549">
        <f>IF($AR549="","",IF($AR549=0,$AS549*EXP($AT549*-2),$AS549*(1+$AR549*$AT549*-2)^(1/$AR549)))</f>
        <v/>
      </c>
      <c r="AY549">
        <f>IF($AR549="","",IF($AR549=0,$AS549*EXP($AT549*-3),$AS549*(1+$AR549*$AT549*-3)^(1/$AR549)))</f>
        <v/>
      </c>
      <c r="AZ549">
        <f>IF(OR($A549="",$A549&lt;&gt;Ficha!$C$4),"",COUNTIF($A$2:$A549,Ficha!$C$4))</f>
        <v/>
      </c>
    </row>
    <row r="550">
      <c r="A550" s="8">
        <f>IF(INDEX(Banco!$A:$A,ROW())="","",INDEX(Banco!$A:$A,ROW()))</f>
        <v/>
      </c>
      <c r="B550" s="8">
        <f>IF(INDEX(Banco!$B:$B,ROW())="","",INDEX(Banco!$B:$B,ROW()))</f>
        <v/>
      </c>
      <c r="C550" s="8">
        <f>IF(INDEX(Banco!$C:$C,ROW())="","",INDEX(Banco!$C:$C,ROW()))</f>
        <v/>
      </c>
      <c r="D550" s="9">
        <f>IF(INDEX(Banco!$D:$D,ROW())="","",INDEX(Banco!$D:$D,ROW()))</f>
        <v/>
      </c>
      <c r="E550" s="9">
        <f>IF(INDEX(Banco!$E:$E,ROW())="","",INDEX(Banco!$E:$E,ROW()))</f>
        <v/>
      </c>
      <c r="F550" s="10">
        <f>IF(INDEX(Banco!$F:$F,ROW())="","",INDEX(Banco!$F:$F,ROW()))</f>
        <v/>
      </c>
      <c r="G550" s="10">
        <f>IF(INDEX(Banco!$G:$G,ROW())="","",INDEX(Banco!$G:$G,ROW()))</f>
        <v/>
      </c>
      <c r="H550" s="8">
        <f>IF(INDEX(Banco!$H:$H,ROW())="","",INDEX(Banco!$H:$H,ROW()))</f>
        <v/>
      </c>
      <c r="I550">
        <f>IF($T550="","",INT($T550/12)&amp;"a "&amp;MOD($T550,12)&amp;"m")</f>
        <v/>
      </c>
      <c r="J550" s="11">
        <f>IF(OR($F550="",$G550=""),"",ROUND($F550/($G550/100)^2,2))</f>
        <v/>
      </c>
      <c r="K550" s="12">
        <f>IF(OR($S550="",$J550="",$T550="",$T550&lt;0,$T550&gt;228,$Y550=""),"—",ROUND(IF(ABS($AB550)&lt;=3,$AB550,IF($AB550&gt;3,3+($J550-$AD550)/($AD550-$AC550),-3+($J550-$AF550)/($AE550-$AF550))),2))</f>
        <v/>
      </c>
      <c r="L550">
        <f>IF(OR($K550="",$K550="—"),"",IF($T550&lt;=60,IF($K550&lt;-3,"Magreza acentuada",IF($K550&lt;-2,"Magreza",IF($K550&lt;=1,"Eutrofia",IF($K550&lt;=2,"Risco de sobrepeso",IF($K550&lt;=3,"Sobrepeso","Obesidade"))))),IF($K550&lt;-3,"Magreza acentuada",IF($K550&lt;-2,"Magreza",IF($K550&lt;=1,"Eutrofia",IF($K550&lt;=2,"Sobrepeso",IF($K550&lt;=3,"Obesidade","Obesidade grave")))))))</f>
        <v/>
      </c>
      <c r="M550" s="12">
        <f>IF(OR($S550="",$V550="",$T550="",$T550&lt;0,$T550&gt;228,$AG550=""),"—",ROUND(IF($AG550=0,LN($V550/$AH550)/$AI550,((($V550/$AH550)^$AG550)-1)/($AG550*$AI550)),2))</f>
        <v/>
      </c>
      <c r="N550">
        <f>IF(OR($M550="",$M550="—"),"",IF($M550&lt;-3,"Muito baixa",IF($M550&lt;-2,"Baixa","Adequada")))</f>
        <v/>
      </c>
      <c r="O550" s="12">
        <f>IF(OR($S550="",$F550="",$T550="",$T550&lt;0,$T550&gt;120,$AJ550=""),"—",ROUND(IF(ABS($AM550)&lt;=3,$AM550,IF($AM550&gt;3,3+($F550-$AO550)/($AO550-$AN550),-3+($F550-$AQ550)/($AP550-$AQ550))),2))</f>
        <v/>
      </c>
      <c r="P550">
        <f>IF(OR($O550="",$O550="—"),"",IF($O550&lt;-3,"Muito baixo",IF($O550&lt;-2,"Baixo",IF($O550&lt;=2,"Adequado","Elevado"))))</f>
        <v/>
      </c>
      <c r="Q550" s="12">
        <f>IF(OR($S550="",$F550="",$T550="",$T550&lt;0,$T550&gt;60,$AR550=""),"—",ROUND(IF(ABS($AU550)&lt;=3,$AU550,IF($AU550&gt;3,3+($F550-$AW550)/($AW550-$AV550),-3+($F550-$AY550)/($AX550-$AY550))),2))</f>
        <v/>
      </c>
      <c r="R550">
        <f>IF(OR($Q550="",$Q550="—"),"",IF($Q550&lt;-3,"Magreza acentuada",IF($Q550&lt;-2,"Magreza",IF($Q550&lt;=1,"Eutrofia",IF($Q550&lt;=2,"Risco de sobrepeso",IF($Q550&lt;=3,"Sobrepeso","Obesidade"))))))</f>
        <v/>
      </c>
      <c r="S550">
        <f>IF($C550="","",IF(UPPER(LEFT($C550,1))="M",1,IF(UPPER(LEFT($C550,1))="F",2,"")))</f>
        <v/>
      </c>
      <c r="T550">
        <f>IF(OR($D550="",$E550=""),"",DATEDIF($D550,$E550,"m"))</f>
        <v/>
      </c>
      <c r="U550">
        <f>IF(OR($D550="",$E550=""),"",$E550-$D550)</f>
        <v/>
      </c>
      <c r="V550">
        <f>IF(OR($G550="",$T550=""),"",IF($T550&lt;24,IF(LEFT(LOWER($H550),4)="em p",$G550+0.7,$G550),IF(LEFT(LOWER($H550),4)="deit",$G550-0.7,$G550)))</f>
        <v/>
      </c>
      <c r="W550">
        <f>IF(OR($S550="",$T550=""),"",$S550*1000000+IF($T550&lt;=60,$U550,$T550))</f>
        <v/>
      </c>
      <c r="X550">
        <f>IF(OR($S550="",$V550="",$T550&gt;60,$T550=""),"",$S550*1000000+ROUND($V550*10,0))</f>
        <v/>
      </c>
      <c r="Y550">
        <f>IF($W550="","",IFERROR(INDEX(IF($T550&lt;=60,imc05_l,imc519_l),MATCH($W550,IF($T550&lt;=60,imc05_k,imc519_k),1)),""))</f>
        <v/>
      </c>
      <c r="Z550">
        <f>IF($W550="","",IFERROR(INDEX(IF($T550&lt;=60,imc05_m,imc519_m),MATCH($W550,IF($T550&lt;=60,imc05_k,imc519_k),1)),""))</f>
        <v/>
      </c>
      <c r="AA550">
        <f>IF($W550="","",IFERROR(INDEX(IF($T550&lt;=60,imc05_s,imc519_s),MATCH($W550,IF($T550&lt;=60,imc05_k,imc519_k),1)),""))</f>
        <v/>
      </c>
      <c r="AB550">
        <f>IF($Y550="","",IF($Y550=0,LN($J550/$Z550)/$AA550,((($J550/$Z550)^$Y550)-1)/($Y550*$AA550)))</f>
        <v/>
      </c>
      <c r="AC550">
        <f>IF($Y550="","",IF($Y550=0,$Z550*EXP($AA550*2),$Z550*(1+$Y550*$AA550*2)^(1/$Y550)))</f>
        <v/>
      </c>
      <c r="AD550">
        <f>IF($Y550="","",IF($Y550=0,$Z550*EXP($AA550*3),$Z550*(1+$Y550*$AA550*3)^(1/$Y550)))</f>
        <v/>
      </c>
      <c r="AE550">
        <f>IF($Y550="","",IF($Y550=0,$Z550*EXP($AA550*-2),$Z550*(1+$Y550*$AA550*-2)^(1/$Y550)))</f>
        <v/>
      </c>
      <c r="AF550">
        <f>IF($Y550="","",IF($Y550=0,$Z550*EXP($AA550*-3),$Z550*(1+$Y550*$AA550*-3)^(1/$Y550)))</f>
        <v/>
      </c>
      <c r="AG550">
        <f>IF($W550="","",IFERROR(INDEX(IF($T550&lt;=60,est05_l,est519_l),MATCH($W550,IF($T550&lt;=60,est05_k,est519_k),1)),""))</f>
        <v/>
      </c>
      <c r="AH550">
        <f>IF($W550="","",IFERROR(INDEX(IF($T550&lt;=60,est05_m,est519_m),MATCH($W550,IF($T550&lt;=60,est05_k,est519_k),1)),""))</f>
        <v/>
      </c>
      <c r="AI550">
        <f>IF($W550="","",IFERROR(INDEX(IF($T550&lt;=60,est05_s,est519_s),MATCH($W550,IF($T550&lt;=60,est05_k,est519_k),1)),""))</f>
        <v/>
      </c>
      <c r="AJ550">
        <f>IF($W550="","",IFERROR(INDEX(IF($T550&lt;=60,peso05_l,peso510_l),MATCH($W550,IF($T550&lt;=60,peso05_k,peso510_k),1)),""))</f>
        <v/>
      </c>
      <c r="AK550">
        <f>IF($W550="","",IFERROR(INDEX(IF($T550&lt;=60,peso05_m,peso510_m),MATCH($W550,IF($T550&lt;=60,peso05_k,peso510_k),1)),""))</f>
        <v/>
      </c>
      <c r="AL550">
        <f>IF($W550="","",IFERROR(INDEX(IF($T550&lt;=60,peso05_s,peso510_s),MATCH($W550,IF($T550&lt;=60,peso05_k,peso510_k),1)),""))</f>
        <v/>
      </c>
      <c r="AM550">
        <f>IF($AJ550="","",IF($AJ550=0,LN($F550/$AK550)/$AL550,((($F550/$AK550)^$AJ550)-1)/($AJ550*$AL550)))</f>
        <v/>
      </c>
      <c r="AN550">
        <f>IF($AJ550="","",IF($AJ550=0,$AK550*EXP($AL550*2),$AK550*(1+$AJ550*$AL550*2)^(1/$AJ550)))</f>
        <v/>
      </c>
      <c r="AO550">
        <f>IF($AJ550="","",IF($AJ550=0,$AK550*EXP($AL550*3),$AK550*(1+$AJ550*$AL550*3)^(1/$AJ550)))</f>
        <v/>
      </c>
      <c r="AP550">
        <f>IF($AJ550="","",IF($AJ550=0,$AK550*EXP($AL550*-2),$AK550*(1+$AJ550*$AL550*-2)^(1/$AJ550)))</f>
        <v/>
      </c>
      <c r="AQ550">
        <f>IF($AJ550="","",IF($AJ550=0,$AK550*EXP($AL550*-3),$AK550*(1+$AJ550*$AL550*-3)^(1/$AJ550)))</f>
        <v/>
      </c>
      <c r="AR550">
        <f>IF(OR($X550="",$T550&gt;60),"",IFERROR(INDEX(IF($T550&lt;24,pcomp_l,palt_l),MATCH($X550,IF($T550&lt;24,pcomp_k,palt_k),1)),""))</f>
        <v/>
      </c>
      <c r="AS550">
        <f>IF(OR($X550="",$T550&gt;60),"",IFERROR(INDEX(IF($T550&lt;24,pcomp_m,palt_m),MATCH($X550,IF($T550&lt;24,pcomp_k,palt_k),1)),""))</f>
        <v/>
      </c>
      <c r="AT550">
        <f>IF(OR($X550="",$T550&gt;60),"",IFERROR(INDEX(IF($T550&lt;24,pcomp_s,palt_s),MATCH($X550,IF($T550&lt;24,pcomp_k,palt_k),1)),""))</f>
        <v/>
      </c>
      <c r="AU550">
        <f>IF($AR550="","",IF($AR550=0,LN($F550/$AS550)/$AT550,((($F550/$AS550)^$AR550)-1)/($AR550*$AT550)))</f>
        <v/>
      </c>
      <c r="AV550">
        <f>IF($AR550="","",IF($AR550=0,$AS550*EXP($AT550*2),$AS550*(1+$AR550*$AT550*2)^(1/$AR550)))</f>
        <v/>
      </c>
      <c r="AW550">
        <f>IF($AR550="","",IF($AR550=0,$AS550*EXP($AT550*3),$AS550*(1+$AR550*$AT550*3)^(1/$AR550)))</f>
        <v/>
      </c>
      <c r="AX550">
        <f>IF($AR550="","",IF($AR550=0,$AS550*EXP($AT550*-2),$AS550*(1+$AR550*$AT550*-2)^(1/$AR550)))</f>
        <v/>
      </c>
      <c r="AY550">
        <f>IF($AR550="","",IF($AR550=0,$AS550*EXP($AT550*-3),$AS550*(1+$AR550*$AT550*-3)^(1/$AR550)))</f>
        <v/>
      </c>
      <c r="AZ550">
        <f>IF(OR($A550="",$A550&lt;&gt;Ficha!$C$4),"",COUNTIF($A$2:$A550,Ficha!$C$4))</f>
        <v/>
      </c>
    </row>
    <row r="551">
      <c r="A551" s="8">
        <f>IF(INDEX(Banco!$A:$A,ROW())="","",INDEX(Banco!$A:$A,ROW()))</f>
        <v/>
      </c>
      <c r="B551" s="8">
        <f>IF(INDEX(Banco!$B:$B,ROW())="","",INDEX(Banco!$B:$B,ROW()))</f>
        <v/>
      </c>
      <c r="C551" s="8">
        <f>IF(INDEX(Banco!$C:$C,ROW())="","",INDEX(Banco!$C:$C,ROW()))</f>
        <v/>
      </c>
      <c r="D551" s="9">
        <f>IF(INDEX(Banco!$D:$D,ROW())="","",INDEX(Banco!$D:$D,ROW()))</f>
        <v/>
      </c>
      <c r="E551" s="9">
        <f>IF(INDEX(Banco!$E:$E,ROW())="","",INDEX(Banco!$E:$E,ROW()))</f>
        <v/>
      </c>
      <c r="F551" s="10">
        <f>IF(INDEX(Banco!$F:$F,ROW())="","",INDEX(Banco!$F:$F,ROW()))</f>
        <v/>
      </c>
      <c r="G551" s="10">
        <f>IF(INDEX(Banco!$G:$G,ROW())="","",INDEX(Banco!$G:$G,ROW()))</f>
        <v/>
      </c>
      <c r="H551" s="8">
        <f>IF(INDEX(Banco!$H:$H,ROW())="","",INDEX(Banco!$H:$H,ROW()))</f>
        <v/>
      </c>
      <c r="I551">
        <f>IF($T551="","",INT($T551/12)&amp;"a "&amp;MOD($T551,12)&amp;"m")</f>
        <v/>
      </c>
      <c r="J551" s="11">
        <f>IF(OR($F551="",$G551=""),"",ROUND($F551/($G551/100)^2,2))</f>
        <v/>
      </c>
      <c r="K551" s="12">
        <f>IF(OR($S551="",$J551="",$T551="",$T551&lt;0,$T551&gt;228,$Y551=""),"—",ROUND(IF(ABS($AB551)&lt;=3,$AB551,IF($AB551&gt;3,3+($J551-$AD551)/($AD551-$AC551),-3+($J551-$AF551)/($AE551-$AF551))),2))</f>
        <v/>
      </c>
      <c r="L551">
        <f>IF(OR($K551="",$K551="—"),"",IF($T551&lt;=60,IF($K551&lt;-3,"Magreza acentuada",IF($K551&lt;-2,"Magreza",IF($K551&lt;=1,"Eutrofia",IF($K551&lt;=2,"Risco de sobrepeso",IF($K551&lt;=3,"Sobrepeso","Obesidade"))))),IF($K551&lt;-3,"Magreza acentuada",IF($K551&lt;-2,"Magreza",IF($K551&lt;=1,"Eutrofia",IF($K551&lt;=2,"Sobrepeso",IF($K551&lt;=3,"Obesidade","Obesidade grave")))))))</f>
        <v/>
      </c>
      <c r="M551" s="12">
        <f>IF(OR($S551="",$V551="",$T551="",$T551&lt;0,$T551&gt;228,$AG551=""),"—",ROUND(IF($AG551=0,LN($V551/$AH551)/$AI551,((($V551/$AH551)^$AG551)-1)/($AG551*$AI551)),2))</f>
        <v/>
      </c>
      <c r="N551">
        <f>IF(OR($M551="",$M551="—"),"",IF($M551&lt;-3,"Muito baixa",IF($M551&lt;-2,"Baixa","Adequada")))</f>
        <v/>
      </c>
      <c r="O551" s="12">
        <f>IF(OR($S551="",$F551="",$T551="",$T551&lt;0,$T551&gt;120,$AJ551=""),"—",ROUND(IF(ABS($AM551)&lt;=3,$AM551,IF($AM551&gt;3,3+($F551-$AO551)/($AO551-$AN551),-3+($F551-$AQ551)/($AP551-$AQ551))),2))</f>
        <v/>
      </c>
      <c r="P551">
        <f>IF(OR($O551="",$O551="—"),"",IF($O551&lt;-3,"Muito baixo",IF($O551&lt;-2,"Baixo",IF($O551&lt;=2,"Adequado","Elevado"))))</f>
        <v/>
      </c>
      <c r="Q551" s="12">
        <f>IF(OR($S551="",$F551="",$T551="",$T551&lt;0,$T551&gt;60,$AR551=""),"—",ROUND(IF(ABS($AU551)&lt;=3,$AU551,IF($AU551&gt;3,3+($F551-$AW551)/($AW551-$AV551),-3+($F551-$AY551)/($AX551-$AY551))),2))</f>
        <v/>
      </c>
      <c r="R551">
        <f>IF(OR($Q551="",$Q551="—"),"",IF($Q551&lt;-3,"Magreza acentuada",IF($Q551&lt;-2,"Magreza",IF($Q551&lt;=1,"Eutrofia",IF($Q551&lt;=2,"Risco de sobrepeso",IF($Q551&lt;=3,"Sobrepeso","Obesidade"))))))</f>
        <v/>
      </c>
      <c r="S551">
        <f>IF($C551="","",IF(UPPER(LEFT($C551,1))="M",1,IF(UPPER(LEFT($C551,1))="F",2,"")))</f>
        <v/>
      </c>
      <c r="T551">
        <f>IF(OR($D551="",$E551=""),"",DATEDIF($D551,$E551,"m"))</f>
        <v/>
      </c>
      <c r="U551">
        <f>IF(OR($D551="",$E551=""),"",$E551-$D551)</f>
        <v/>
      </c>
      <c r="V551">
        <f>IF(OR($G551="",$T551=""),"",IF($T551&lt;24,IF(LEFT(LOWER($H551),4)="em p",$G551+0.7,$G551),IF(LEFT(LOWER($H551),4)="deit",$G551-0.7,$G551)))</f>
        <v/>
      </c>
      <c r="W551">
        <f>IF(OR($S551="",$T551=""),"",$S551*1000000+IF($T551&lt;=60,$U551,$T551))</f>
        <v/>
      </c>
      <c r="X551">
        <f>IF(OR($S551="",$V551="",$T551&gt;60,$T551=""),"",$S551*1000000+ROUND($V551*10,0))</f>
        <v/>
      </c>
      <c r="Y551">
        <f>IF($W551="","",IFERROR(INDEX(IF($T551&lt;=60,imc05_l,imc519_l),MATCH($W551,IF($T551&lt;=60,imc05_k,imc519_k),1)),""))</f>
        <v/>
      </c>
      <c r="Z551">
        <f>IF($W551="","",IFERROR(INDEX(IF($T551&lt;=60,imc05_m,imc519_m),MATCH($W551,IF($T551&lt;=60,imc05_k,imc519_k),1)),""))</f>
        <v/>
      </c>
      <c r="AA551">
        <f>IF($W551="","",IFERROR(INDEX(IF($T551&lt;=60,imc05_s,imc519_s),MATCH($W551,IF($T551&lt;=60,imc05_k,imc519_k),1)),""))</f>
        <v/>
      </c>
      <c r="AB551">
        <f>IF($Y551="","",IF($Y551=0,LN($J551/$Z551)/$AA551,((($J551/$Z551)^$Y551)-1)/($Y551*$AA551)))</f>
        <v/>
      </c>
      <c r="AC551">
        <f>IF($Y551="","",IF($Y551=0,$Z551*EXP($AA551*2),$Z551*(1+$Y551*$AA551*2)^(1/$Y551)))</f>
        <v/>
      </c>
      <c r="AD551">
        <f>IF($Y551="","",IF($Y551=0,$Z551*EXP($AA551*3),$Z551*(1+$Y551*$AA551*3)^(1/$Y551)))</f>
        <v/>
      </c>
      <c r="AE551">
        <f>IF($Y551="","",IF($Y551=0,$Z551*EXP($AA551*-2),$Z551*(1+$Y551*$AA551*-2)^(1/$Y551)))</f>
        <v/>
      </c>
      <c r="AF551">
        <f>IF($Y551="","",IF($Y551=0,$Z551*EXP($AA551*-3),$Z551*(1+$Y551*$AA551*-3)^(1/$Y551)))</f>
        <v/>
      </c>
      <c r="AG551">
        <f>IF($W551="","",IFERROR(INDEX(IF($T551&lt;=60,est05_l,est519_l),MATCH($W551,IF($T551&lt;=60,est05_k,est519_k),1)),""))</f>
        <v/>
      </c>
      <c r="AH551">
        <f>IF($W551="","",IFERROR(INDEX(IF($T551&lt;=60,est05_m,est519_m),MATCH($W551,IF($T551&lt;=60,est05_k,est519_k),1)),""))</f>
        <v/>
      </c>
      <c r="AI551">
        <f>IF($W551="","",IFERROR(INDEX(IF($T551&lt;=60,est05_s,est519_s),MATCH($W551,IF($T551&lt;=60,est05_k,est519_k),1)),""))</f>
        <v/>
      </c>
      <c r="AJ551">
        <f>IF($W551="","",IFERROR(INDEX(IF($T551&lt;=60,peso05_l,peso510_l),MATCH($W551,IF($T551&lt;=60,peso05_k,peso510_k),1)),""))</f>
        <v/>
      </c>
      <c r="AK551">
        <f>IF($W551="","",IFERROR(INDEX(IF($T551&lt;=60,peso05_m,peso510_m),MATCH($W551,IF($T551&lt;=60,peso05_k,peso510_k),1)),""))</f>
        <v/>
      </c>
      <c r="AL551">
        <f>IF($W551="","",IFERROR(INDEX(IF($T551&lt;=60,peso05_s,peso510_s),MATCH($W551,IF($T551&lt;=60,peso05_k,peso510_k),1)),""))</f>
        <v/>
      </c>
      <c r="AM551">
        <f>IF($AJ551="","",IF($AJ551=0,LN($F551/$AK551)/$AL551,((($F551/$AK551)^$AJ551)-1)/($AJ551*$AL551)))</f>
        <v/>
      </c>
      <c r="AN551">
        <f>IF($AJ551="","",IF($AJ551=0,$AK551*EXP($AL551*2),$AK551*(1+$AJ551*$AL551*2)^(1/$AJ551)))</f>
        <v/>
      </c>
      <c r="AO551">
        <f>IF($AJ551="","",IF($AJ551=0,$AK551*EXP($AL551*3),$AK551*(1+$AJ551*$AL551*3)^(1/$AJ551)))</f>
        <v/>
      </c>
      <c r="AP551">
        <f>IF($AJ551="","",IF($AJ551=0,$AK551*EXP($AL551*-2),$AK551*(1+$AJ551*$AL551*-2)^(1/$AJ551)))</f>
        <v/>
      </c>
      <c r="AQ551">
        <f>IF($AJ551="","",IF($AJ551=0,$AK551*EXP($AL551*-3),$AK551*(1+$AJ551*$AL551*-3)^(1/$AJ551)))</f>
        <v/>
      </c>
      <c r="AR551">
        <f>IF(OR($X551="",$T551&gt;60),"",IFERROR(INDEX(IF($T551&lt;24,pcomp_l,palt_l),MATCH($X551,IF($T551&lt;24,pcomp_k,palt_k),1)),""))</f>
        <v/>
      </c>
      <c r="AS551">
        <f>IF(OR($X551="",$T551&gt;60),"",IFERROR(INDEX(IF($T551&lt;24,pcomp_m,palt_m),MATCH($X551,IF($T551&lt;24,pcomp_k,palt_k),1)),""))</f>
        <v/>
      </c>
      <c r="AT551">
        <f>IF(OR($X551="",$T551&gt;60),"",IFERROR(INDEX(IF($T551&lt;24,pcomp_s,palt_s),MATCH($X551,IF($T551&lt;24,pcomp_k,palt_k),1)),""))</f>
        <v/>
      </c>
      <c r="AU551">
        <f>IF($AR551="","",IF($AR551=0,LN($F551/$AS551)/$AT551,((($F551/$AS551)^$AR551)-1)/($AR551*$AT551)))</f>
        <v/>
      </c>
      <c r="AV551">
        <f>IF($AR551="","",IF($AR551=0,$AS551*EXP($AT551*2),$AS551*(1+$AR551*$AT551*2)^(1/$AR551)))</f>
        <v/>
      </c>
      <c r="AW551">
        <f>IF($AR551="","",IF($AR551=0,$AS551*EXP($AT551*3),$AS551*(1+$AR551*$AT551*3)^(1/$AR551)))</f>
        <v/>
      </c>
      <c r="AX551">
        <f>IF($AR551="","",IF($AR551=0,$AS551*EXP($AT551*-2),$AS551*(1+$AR551*$AT551*-2)^(1/$AR551)))</f>
        <v/>
      </c>
      <c r="AY551">
        <f>IF($AR551="","",IF($AR551=0,$AS551*EXP($AT551*-3),$AS551*(1+$AR551*$AT551*-3)^(1/$AR551)))</f>
        <v/>
      </c>
      <c r="AZ551">
        <f>IF(OR($A551="",$A551&lt;&gt;Ficha!$C$4),"",COUNTIF($A$2:$A551,Ficha!$C$4))</f>
        <v/>
      </c>
    </row>
    <row r="552">
      <c r="A552" s="8">
        <f>IF(INDEX(Banco!$A:$A,ROW())="","",INDEX(Banco!$A:$A,ROW()))</f>
        <v/>
      </c>
      <c r="B552" s="8">
        <f>IF(INDEX(Banco!$B:$B,ROW())="","",INDEX(Banco!$B:$B,ROW()))</f>
        <v/>
      </c>
      <c r="C552" s="8">
        <f>IF(INDEX(Banco!$C:$C,ROW())="","",INDEX(Banco!$C:$C,ROW()))</f>
        <v/>
      </c>
      <c r="D552" s="9">
        <f>IF(INDEX(Banco!$D:$D,ROW())="","",INDEX(Banco!$D:$D,ROW()))</f>
        <v/>
      </c>
      <c r="E552" s="9">
        <f>IF(INDEX(Banco!$E:$E,ROW())="","",INDEX(Banco!$E:$E,ROW()))</f>
        <v/>
      </c>
      <c r="F552" s="10">
        <f>IF(INDEX(Banco!$F:$F,ROW())="","",INDEX(Banco!$F:$F,ROW()))</f>
        <v/>
      </c>
      <c r="G552" s="10">
        <f>IF(INDEX(Banco!$G:$G,ROW())="","",INDEX(Banco!$G:$G,ROW()))</f>
        <v/>
      </c>
      <c r="H552" s="8">
        <f>IF(INDEX(Banco!$H:$H,ROW())="","",INDEX(Banco!$H:$H,ROW()))</f>
        <v/>
      </c>
      <c r="I552">
        <f>IF($T552="","",INT($T552/12)&amp;"a "&amp;MOD($T552,12)&amp;"m")</f>
        <v/>
      </c>
      <c r="J552" s="11">
        <f>IF(OR($F552="",$G552=""),"",ROUND($F552/($G552/100)^2,2))</f>
        <v/>
      </c>
      <c r="K552" s="12">
        <f>IF(OR($S552="",$J552="",$T552="",$T552&lt;0,$T552&gt;228,$Y552=""),"—",ROUND(IF(ABS($AB552)&lt;=3,$AB552,IF($AB552&gt;3,3+($J552-$AD552)/($AD552-$AC552),-3+($J552-$AF552)/($AE552-$AF552))),2))</f>
        <v/>
      </c>
      <c r="L552">
        <f>IF(OR($K552="",$K552="—"),"",IF($T552&lt;=60,IF($K552&lt;-3,"Magreza acentuada",IF($K552&lt;-2,"Magreza",IF($K552&lt;=1,"Eutrofia",IF($K552&lt;=2,"Risco de sobrepeso",IF($K552&lt;=3,"Sobrepeso","Obesidade"))))),IF($K552&lt;-3,"Magreza acentuada",IF($K552&lt;-2,"Magreza",IF($K552&lt;=1,"Eutrofia",IF($K552&lt;=2,"Sobrepeso",IF($K552&lt;=3,"Obesidade","Obesidade grave")))))))</f>
        <v/>
      </c>
      <c r="M552" s="12">
        <f>IF(OR($S552="",$V552="",$T552="",$T552&lt;0,$T552&gt;228,$AG552=""),"—",ROUND(IF($AG552=0,LN($V552/$AH552)/$AI552,((($V552/$AH552)^$AG552)-1)/($AG552*$AI552)),2))</f>
        <v/>
      </c>
      <c r="N552">
        <f>IF(OR($M552="",$M552="—"),"",IF($M552&lt;-3,"Muito baixa",IF($M552&lt;-2,"Baixa","Adequada")))</f>
        <v/>
      </c>
      <c r="O552" s="12">
        <f>IF(OR($S552="",$F552="",$T552="",$T552&lt;0,$T552&gt;120,$AJ552=""),"—",ROUND(IF(ABS($AM552)&lt;=3,$AM552,IF($AM552&gt;3,3+($F552-$AO552)/($AO552-$AN552),-3+($F552-$AQ552)/($AP552-$AQ552))),2))</f>
        <v/>
      </c>
      <c r="P552">
        <f>IF(OR($O552="",$O552="—"),"",IF($O552&lt;-3,"Muito baixo",IF($O552&lt;-2,"Baixo",IF($O552&lt;=2,"Adequado","Elevado"))))</f>
        <v/>
      </c>
      <c r="Q552" s="12">
        <f>IF(OR($S552="",$F552="",$T552="",$T552&lt;0,$T552&gt;60,$AR552=""),"—",ROUND(IF(ABS($AU552)&lt;=3,$AU552,IF($AU552&gt;3,3+($F552-$AW552)/($AW552-$AV552),-3+($F552-$AY552)/($AX552-$AY552))),2))</f>
        <v/>
      </c>
      <c r="R552">
        <f>IF(OR($Q552="",$Q552="—"),"",IF($Q552&lt;-3,"Magreza acentuada",IF($Q552&lt;-2,"Magreza",IF($Q552&lt;=1,"Eutrofia",IF($Q552&lt;=2,"Risco de sobrepeso",IF($Q552&lt;=3,"Sobrepeso","Obesidade"))))))</f>
        <v/>
      </c>
      <c r="S552">
        <f>IF($C552="","",IF(UPPER(LEFT($C552,1))="M",1,IF(UPPER(LEFT($C552,1))="F",2,"")))</f>
        <v/>
      </c>
      <c r="T552">
        <f>IF(OR($D552="",$E552=""),"",DATEDIF($D552,$E552,"m"))</f>
        <v/>
      </c>
      <c r="U552">
        <f>IF(OR($D552="",$E552=""),"",$E552-$D552)</f>
        <v/>
      </c>
      <c r="V552">
        <f>IF(OR($G552="",$T552=""),"",IF($T552&lt;24,IF(LEFT(LOWER($H552),4)="em p",$G552+0.7,$G552),IF(LEFT(LOWER($H552),4)="deit",$G552-0.7,$G552)))</f>
        <v/>
      </c>
      <c r="W552">
        <f>IF(OR($S552="",$T552=""),"",$S552*1000000+IF($T552&lt;=60,$U552,$T552))</f>
        <v/>
      </c>
      <c r="X552">
        <f>IF(OR($S552="",$V552="",$T552&gt;60,$T552=""),"",$S552*1000000+ROUND($V552*10,0))</f>
        <v/>
      </c>
      <c r="Y552">
        <f>IF($W552="","",IFERROR(INDEX(IF($T552&lt;=60,imc05_l,imc519_l),MATCH($W552,IF($T552&lt;=60,imc05_k,imc519_k),1)),""))</f>
        <v/>
      </c>
      <c r="Z552">
        <f>IF($W552="","",IFERROR(INDEX(IF($T552&lt;=60,imc05_m,imc519_m),MATCH($W552,IF($T552&lt;=60,imc05_k,imc519_k),1)),""))</f>
        <v/>
      </c>
      <c r="AA552">
        <f>IF($W552="","",IFERROR(INDEX(IF($T552&lt;=60,imc05_s,imc519_s),MATCH($W552,IF($T552&lt;=60,imc05_k,imc519_k),1)),""))</f>
        <v/>
      </c>
      <c r="AB552">
        <f>IF($Y552="","",IF($Y552=0,LN($J552/$Z552)/$AA552,((($J552/$Z552)^$Y552)-1)/($Y552*$AA552)))</f>
        <v/>
      </c>
      <c r="AC552">
        <f>IF($Y552="","",IF($Y552=0,$Z552*EXP($AA552*2),$Z552*(1+$Y552*$AA552*2)^(1/$Y552)))</f>
        <v/>
      </c>
      <c r="AD552">
        <f>IF($Y552="","",IF($Y552=0,$Z552*EXP($AA552*3),$Z552*(1+$Y552*$AA552*3)^(1/$Y552)))</f>
        <v/>
      </c>
      <c r="AE552">
        <f>IF($Y552="","",IF($Y552=0,$Z552*EXP($AA552*-2),$Z552*(1+$Y552*$AA552*-2)^(1/$Y552)))</f>
        <v/>
      </c>
      <c r="AF552">
        <f>IF($Y552="","",IF($Y552=0,$Z552*EXP($AA552*-3),$Z552*(1+$Y552*$AA552*-3)^(1/$Y552)))</f>
        <v/>
      </c>
      <c r="AG552">
        <f>IF($W552="","",IFERROR(INDEX(IF($T552&lt;=60,est05_l,est519_l),MATCH($W552,IF($T552&lt;=60,est05_k,est519_k),1)),""))</f>
        <v/>
      </c>
      <c r="AH552">
        <f>IF($W552="","",IFERROR(INDEX(IF($T552&lt;=60,est05_m,est519_m),MATCH($W552,IF($T552&lt;=60,est05_k,est519_k),1)),""))</f>
        <v/>
      </c>
      <c r="AI552">
        <f>IF($W552="","",IFERROR(INDEX(IF($T552&lt;=60,est05_s,est519_s),MATCH($W552,IF($T552&lt;=60,est05_k,est519_k),1)),""))</f>
        <v/>
      </c>
      <c r="AJ552">
        <f>IF($W552="","",IFERROR(INDEX(IF($T552&lt;=60,peso05_l,peso510_l),MATCH($W552,IF($T552&lt;=60,peso05_k,peso510_k),1)),""))</f>
        <v/>
      </c>
      <c r="AK552">
        <f>IF($W552="","",IFERROR(INDEX(IF($T552&lt;=60,peso05_m,peso510_m),MATCH($W552,IF($T552&lt;=60,peso05_k,peso510_k),1)),""))</f>
        <v/>
      </c>
      <c r="AL552">
        <f>IF($W552="","",IFERROR(INDEX(IF($T552&lt;=60,peso05_s,peso510_s),MATCH($W552,IF($T552&lt;=60,peso05_k,peso510_k),1)),""))</f>
        <v/>
      </c>
      <c r="AM552">
        <f>IF($AJ552="","",IF($AJ552=0,LN($F552/$AK552)/$AL552,((($F552/$AK552)^$AJ552)-1)/($AJ552*$AL552)))</f>
        <v/>
      </c>
      <c r="AN552">
        <f>IF($AJ552="","",IF($AJ552=0,$AK552*EXP($AL552*2),$AK552*(1+$AJ552*$AL552*2)^(1/$AJ552)))</f>
        <v/>
      </c>
      <c r="AO552">
        <f>IF($AJ552="","",IF($AJ552=0,$AK552*EXP($AL552*3),$AK552*(1+$AJ552*$AL552*3)^(1/$AJ552)))</f>
        <v/>
      </c>
      <c r="AP552">
        <f>IF($AJ552="","",IF($AJ552=0,$AK552*EXP($AL552*-2),$AK552*(1+$AJ552*$AL552*-2)^(1/$AJ552)))</f>
        <v/>
      </c>
      <c r="AQ552">
        <f>IF($AJ552="","",IF($AJ552=0,$AK552*EXP($AL552*-3),$AK552*(1+$AJ552*$AL552*-3)^(1/$AJ552)))</f>
        <v/>
      </c>
      <c r="AR552">
        <f>IF(OR($X552="",$T552&gt;60),"",IFERROR(INDEX(IF($T552&lt;24,pcomp_l,palt_l),MATCH($X552,IF($T552&lt;24,pcomp_k,palt_k),1)),""))</f>
        <v/>
      </c>
      <c r="AS552">
        <f>IF(OR($X552="",$T552&gt;60),"",IFERROR(INDEX(IF($T552&lt;24,pcomp_m,palt_m),MATCH($X552,IF($T552&lt;24,pcomp_k,palt_k),1)),""))</f>
        <v/>
      </c>
      <c r="AT552">
        <f>IF(OR($X552="",$T552&gt;60),"",IFERROR(INDEX(IF($T552&lt;24,pcomp_s,palt_s),MATCH($X552,IF($T552&lt;24,pcomp_k,palt_k),1)),""))</f>
        <v/>
      </c>
      <c r="AU552">
        <f>IF($AR552="","",IF($AR552=0,LN($F552/$AS552)/$AT552,((($F552/$AS552)^$AR552)-1)/($AR552*$AT552)))</f>
        <v/>
      </c>
      <c r="AV552">
        <f>IF($AR552="","",IF($AR552=0,$AS552*EXP($AT552*2),$AS552*(1+$AR552*$AT552*2)^(1/$AR552)))</f>
        <v/>
      </c>
      <c r="AW552">
        <f>IF($AR552="","",IF($AR552=0,$AS552*EXP($AT552*3),$AS552*(1+$AR552*$AT552*3)^(1/$AR552)))</f>
        <v/>
      </c>
      <c r="AX552">
        <f>IF($AR552="","",IF($AR552=0,$AS552*EXP($AT552*-2),$AS552*(1+$AR552*$AT552*-2)^(1/$AR552)))</f>
        <v/>
      </c>
      <c r="AY552">
        <f>IF($AR552="","",IF($AR552=0,$AS552*EXP($AT552*-3),$AS552*(1+$AR552*$AT552*-3)^(1/$AR552)))</f>
        <v/>
      </c>
      <c r="AZ552">
        <f>IF(OR($A552="",$A552&lt;&gt;Ficha!$C$4),"",COUNTIF($A$2:$A552,Ficha!$C$4))</f>
        <v/>
      </c>
    </row>
    <row r="553">
      <c r="A553" s="8">
        <f>IF(INDEX(Banco!$A:$A,ROW())="","",INDEX(Banco!$A:$A,ROW()))</f>
        <v/>
      </c>
      <c r="B553" s="8">
        <f>IF(INDEX(Banco!$B:$B,ROW())="","",INDEX(Banco!$B:$B,ROW()))</f>
        <v/>
      </c>
      <c r="C553" s="8">
        <f>IF(INDEX(Banco!$C:$C,ROW())="","",INDEX(Banco!$C:$C,ROW()))</f>
        <v/>
      </c>
      <c r="D553" s="9">
        <f>IF(INDEX(Banco!$D:$D,ROW())="","",INDEX(Banco!$D:$D,ROW()))</f>
        <v/>
      </c>
      <c r="E553" s="9">
        <f>IF(INDEX(Banco!$E:$E,ROW())="","",INDEX(Banco!$E:$E,ROW()))</f>
        <v/>
      </c>
      <c r="F553" s="10">
        <f>IF(INDEX(Banco!$F:$F,ROW())="","",INDEX(Banco!$F:$F,ROW()))</f>
        <v/>
      </c>
      <c r="G553" s="10">
        <f>IF(INDEX(Banco!$G:$G,ROW())="","",INDEX(Banco!$G:$G,ROW()))</f>
        <v/>
      </c>
      <c r="H553" s="8">
        <f>IF(INDEX(Banco!$H:$H,ROW())="","",INDEX(Banco!$H:$H,ROW()))</f>
        <v/>
      </c>
      <c r="I553">
        <f>IF($T553="","",INT($T553/12)&amp;"a "&amp;MOD($T553,12)&amp;"m")</f>
        <v/>
      </c>
      <c r="J553" s="11">
        <f>IF(OR($F553="",$G553=""),"",ROUND($F553/($G553/100)^2,2))</f>
        <v/>
      </c>
      <c r="K553" s="12">
        <f>IF(OR($S553="",$J553="",$T553="",$T553&lt;0,$T553&gt;228,$Y553=""),"—",ROUND(IF(ABS($AB553)&lt;=3,$AB553,IF($AB553&gt;3,3+($J553-$AD553)/($AD553-$AC553),-3+($J553-$AF553)/($AE553-$AF553))),2))</f>
        <v/>
      </c>
      <c r="L553">
        <f>IF(OR($K553="",$K553="—"),"",IF($T553&lt;=60,IF($K553&lt;-3,"Magreza acentuada",IF($K553&lt;-2,"Magreza",IF($K553&lt;=1,"Eutrofia",IF($K553&lt;=2,"Risco de sobrepeso",IF($K553&lt;=3,"Sobrepeso","Obesidade"))))),IF($K553&lt;-3,"Magreza acentuada",IF($K553&lt;-2,"Magreza",IF($K553&lt;=1,"Eutrofia",IF($K553&lt;=2,"Sobrepeso",IF($K553&lt;=3,"Obesidade","Obesidade grave")))))))</f>
        <v/>
      </c>
      <c r="M553" s="12">
        <f>IF(OR($S553="",$V553="",$T553="",$T553&lt;0,$T553&gt;228,$AG553=""),"—",ROUND(IF($AG553=0,LN($V553/$AH553)/$AI553,((($V553/$AH553)^$AG553)-1)/($AG553*$AI553)),2))</f>
        <v/>
      </c>
      <c r="N553">
        <f>IF(OR($M553="",$M553="—"),"",IF($M553&lt;-3,"Muito baixa",IF($M553&lt;-2,"Baixa","Adequada")))</f>
        <v/>
      </c>
      <c r="O553" s="12">
        <f>IF(OR($S553="",$F553="",$T553="",$T553&lt;0,$T553&gt;120,$AJ553=""),"—",ROUND(IF(ABS($AM553)&lt;=3,$AM553,IF($AM553&gt;3,3+($F553-$AO553)/($AO553-$AN553),-3+($F553-$AQ553)/($AP553-$AQ553))),2))</f>
        <v/>
      </c>
      <c r="P553">
        <f>IF(OR($O553="",$O553="—"),"",IF($O553&lt;-3,"Muito baixo",IF($O553&lt;-2,"Baixo",IF($O553&lt;=2,"Adequado","Elevado"))))</f>
        <v/>
      </c>
      <c r="Q553" s="12">
        <f>IF(OR($S553="",$F553="",$T553="",$T553&lt;0,$T553&gt;60,$AR553=""),"—",ROUND(IF(ABS($AU553)&lt;=3,$AU553,IF($AU553&gt;3,3+($F553-$AW553)/($AW553-$AV553),-3+($F553-$AY553)/($AX553-$AY553))),2))</f>
        <v/>
      </c>
      <c r="R553">
        <f>IF(OR($Q553="",$Q553="—"),"",IF($Q553&lt;-3,"Magreza acentuada",IF($Q553&lt;-2,"Magreza",IF($Q553&lt;=1,"Eutrofia",IF($Q553&lt;=2,"Risco de sobrepeso",IF($Q553&lt;=3,"Sobrepeso","Obesidade"))))))</f>
        <v/>
      </c>
      <c r="S553">
        <f>IF($C553="","",IF(UPPER(LEFT($C553,1))="M",1,IF(UPPER(LEFT($C553,1))="F",2,"")))</f>
        <v/>
      </c>
      <c r="T553">
        <f>IF(OR($D553="",$E553=""),"",DATEDIF($D553,$E553,"m"))</f>
        <v/>
      </c>
      <c r="U553">
        <f>IF(OR($D553="",$E553=""),"",$E553-$D553)</f>
        <v/>
      </c>
      <c r="V553">
        <f>IF(OR($G553="",$T553=""),"",IF($T553&lt;24,IF(LEFT(LOWER($H553),4)="em p",$G553+0.7,$G553),IF(LEFT(LOWER($H553),4)="deit",$G553-0.7,$G553)))</f>
        <v/>
      </c>
      <c r="W553">
        <f>IF(OR($S553="",$T553=""),"",$S553*1000000+IF($T553&lt;=60,$U553,$T553))</f>
        <v/>
      </c>
      <c r="X553">
        <f>IF(OR($S553="",$V553="",$T553&gt;60,$T553=""),"",$S553*1000000+ROUND($V553*10,0))</f>
        <v/>
      </c>
      <c r="Y553">
        <f>IF($W553="","",IFERROR(INDEX(IF($T553&lt;=60,imc05_l,imc519_l),MATCH($W553,IF($T553&lt;=60,imc05_k,imc519_k),1)),""))</f>
        <v/>
      </c>
      <c r="Z553">
        <f>IF($W553="","",IFERROR(INDEX(IF($T553&lt;=60,imc05_m,imc519_m),MATCH($W553,IF($T553&lt;=60,imc05_k,imc519_k),1)),""))</f>
        <v/>
      </c>
      <c r="AA553">
        <f>IF($W553="","",IFERROR(INDEX(IF($T553&lt;=60,imc05_s,imc519_s),MATCH($W553,IF($T553&lt;=60,imc05_k,imc519_k),1)),""))</f>
        <v/>
      </c>
      <c r="AB553">
        <f>IF($Y553="","",IF($Y553=0,LN($J553/$Z553)/$AA553,((($J553/$Z553)^$Y553)-1)/($Y553*$AA553)))</f>
        <v/>
      </c>
      <c r="AC553">
        <f>IF($Y553="","",IF($Y553=0,$Z553*EXP($AA553*2),$Z553*(1+$Y553*$AA553*2)^(1/$Y553)))</f>
        <v/>
      </c>
      <c r="AD553">
        <f>IF($Y553="","",IF($Y553=0,$Z553*EXP($AA553*3),$Z553*(1+$Y553*$AA553*3)^(1/$Y553)))</f>
        <v/>
      </c>
      <c r="AE553">
        <f>IF($Y553="","",IF($Y553=0,$Z553*EXP($AA553*-2),$Z553*(1+$Y553*$AA553*-2)^(1/$Y553)))</f>
        <v/>
      </c>
      <c r="AF553">
        <f>IF($Y553="","",IF($Y553=0,$Z553*EXP($AA553*-3),$Z553*(1+$Y553*$AA553*-3)^(1/$Y553)))</f>
        <v/>
      </c>
      <c r="AG553">
        <f>IF($W553="","",IFERROR(INDEX(IF($T553&lt;=60,est05_l,est519_l),MATCH($W553,IF($T553&lt;=60,est05_k,est519_k),1)),""))</f>
        <v/>
      </c>
      <c r="AH553">
        <f>IF($W553="","",IFERROR(INDEX(IF($T553&lt;=60,est05_m,est519_m),MATCH($W553,IF($T553&lt;=60,est05_k,est519_k),1)),""))</f>
        <v/>
      </c>
      <c r="AI553">
        <f>IF($W553="","",IFERROR(INDEX(IF($T553&lt;=60,est05_s,est519_s),MATCH($W553,IF($T553&lt;=60,est05_k,est519_k),1)),""))</f>
        <v/>
      </c>
      <c r="AJ553">
        <f>IF($W553="","",IFERROR(INDEX(IF($T553&lt;=60,peso05_l,peso510_l),MATCH($W553,IF($T553&lt;=60,peso05_k,peso510_k),1)),""))</f>
        <v/>
      </c>
      <c r="AK553">
        <f>IF($W553="","",IFERROR(INDEX(IF($T553&lt;=60,peso05_m,peso510_m),MATCH($W553,IF($T553&lt;=60,peso05_k,peso510_k),1)),""))</f>
        <v/>
      </c>
      <c r="AL553">
        <f>IF($W553="","",IFERROR(INDEX(IF($T553&lt;=60,peso05_s,peso510_s),MATCH($W553,IF($T553&lt;=60,peso05_k,peso510_k),1)),""))</f>
        <v/>
      </c>
      <c r="AM553">
        <f>IF($AJ553="","",IF($AJ553=0,LN($F553/$AK553)/$AL553,((($F553/$AK553)^$AJ553)-1)/($AJ553*$AL553)))</f>
        <v/>
      </c>
      <c r="AN553">
        <f>IF($AJ553="","",IF($AJ553=0,$AK553*EXP($AL553*2),$AK553*(1+$AJ553*$AL553*2)^(1/$AJ553)))</f>
        <v/>
      </c>
      <c r="AO553">
        <f>IF($AJ553="","",IF($AJ553=0,$AK553*EXP($AL553*3),$AK553*(1+$AJ553*$AL553*3)^(1/$AJ553)))</f>
        <v/>
      </c>
      <c r="AP553">
        <f>IF($AJ553="","",IF($AJ553=0,$AK553*EXP($AL553*-2),$AK553*(1+$AJ553*$AL553*-2)^(1/$AJ553)))</f>
        <v/>
      </c>
      <c r="AQ553">
        <f>IF($AJ553="","",IF($AJ553=0,$AK553*EXP($AL553*-3),$AK553*(1+$AJ553*$AL553*-3)^(1/$AJ553)))</f>
        <v/>
      </c>
      <c r="AR553">
        <f>IF(OR($X553="",$T553&gt;60),"",IFERROR(INDEX(IF($T553&lt;24,pcomp_l,palt_l),MATCH($X553,IF($T553&lt;24,pcomp_k,palt_k),1)),""))</f>
        <v/>
      </c>
      <c r="AS553">
        <f>IF(OR($X553="",$T553&gt;60),"",IFERROR(INDEX(IF($T553&lt;24,pcomp_m,palt_m),MATCH($X553,IF($T553&lt;24,pcomp_k,palt_k),1)),""))</f>
        <v/>
      </c>
      <c r="AT553">
        <f>IF(OR($X553="",$T553&gt;60),"",IFERROR(INDEX(IF($T553&lt;24,pcomp_s,palt_s),MATCH($X553,IF($T553&lt;24,pcomp_k,palt_k),1)),""))</f>
        <v/>
      </c>
      <c r="AU553">
        <f>IF($AR553="","",IF($AR553=0,LN($F553/$AS553)/$AT553,((($F553/$AS553)^$AR553)-1)/($AR553*$AT553)))</f>
        <v/>
      </c>
      <c r="AV553">
        <f>IF($AR553="","",IF($AR553=0,$AS553*EXP($AT553*2),$AS553*(1+$AR553*$AT553*2)^(1/$AR553)))</f>
        <v/>
      </c>
      <c r="AW553">
        <f>IF($AR553="","",IF($AR553=0,$AS553*EXP($AT553*3),$AS553*(1+$AR553*$AT553*3)^(1/$AR553)))</f>
        <v/>
      </c>
      <c r="AX553">
        <f>IF($AR553="","",IF($AR553=0,$AS553*EXP($AT553*-2),$AS553*(1+$AR553*$AT553*-2)^(1/$AR553)))</f>
        <v/>
      </c>
      <c r="AY553">
        <f>IF($AR553="","",IF($AR553=0,$AS553*EXP($AT553*-3),$AS553*(1+$AR553*$AT553*-3)^(1/$AR553)))</f>
        <v/>
      </c>
      <c r="AZ553">
        <f>IF(OR($A553="",$A553&lt;&gt;Ficha!$C$4),"",COUNTIF($A$2:$A553,Ficha!$C$4))</f>
        <v/>
      </c>
    </row>
    <row r="554">
      <c r="A554" s="8">
        <f>IF(INDEX(Banco!$A:$A,ROW())="","",INDEX(Banco!$A:$A,ROW()))</f>
        <v/>
      </c>
      <c r="B554" s="8">
        <f>IF(INDEX(Banco!$B:$B,ROW())="","",INDEX(Banco!$B:$B,ROW()))</f>
        <v/>
      </c>
      <c r="C554" s="8">
        <f>IF(INDEX(Banco!$C:$C,ROW())="","",INDEX(Banco!$C:$C,ROW()))</f>
        <v/>
      </c>
      <c r="D554" s="9">
        <f>IF(INDEX(Banco!$D:$D,ROW())="","",INDEX(Banco!$D:$D,ROW()))</f>
        <v/>
      </c>
      <c r="E554" s="9">
        <f>IF(INDEX(Banco!$E:$E,ROW())="","",INDEX(Banco!$E:$E,ROW()))</f>
        <v/>
      </c>
      <c r="F554" s="10">
        <f>IF(INDEX(Banco!$F:$F,ROW())="","",INDEX(Banco!$F:$F,ROW()))</f>
        <v/>
      </c>
      <c r="G554" s="10">
        <f>IF(INDEX(Banco!$G:$G,ROW())="","",INDEX(Banco!$G:$G,ROW()))</f>
        <v/>
      </c>
      <c r="H554" s="8">
        <f>IF(INDEX(Banco!$H:$H,ROW())="","",INDEX(Banco!$H:$H,ROW()))</f>
        <v/>
      </c>
      <c r="I554">
        <f>IF($T554="","",INT($T554/12)&amp;"a "&amp;MOD($T554,12)&amp;"m")</f>
        <v/>
      </c>
      <c r="J554" s="11">
        <f>IF(OR($F554="",$G554=""),"",ROUND($F554/($G554/100)^2,2))</f>
        <v/>
      </c>
      <c r="K554" s="12">
        <f>IF(OR($S554="",$J554="",$T554="",$T554&lt;0,$T554&gt;228,$Y554=""),"—",ROUND(IF(ABS($AB554)&lt;=3,$AB554,IF($AB554&gt;3,3+($J554-$AD554)/($AD554-$AC554),-3+($J554-$AF554)/($AE554-$AF554))),2))</f>
        <v/>
      </c>
      <c r="L554">
        <f>IF(OR($K554="",$K554="—"),"",IF($T554&lt;=60,IF($K554&lt;-3,"Magreza acentuada",IF($K554&lt;-2,"Magreza",IF($K554&lt;=1,"Eutrofia",IF($K554&lt;=2,"Risco de sobrepeso",IF($K554&lt;=3,"Sobrepeso","Obesidade"))))),IF($K554&lt;-3,"Magreza acentuada",IF($K554&lt;-2,"Magreza",IF($K554&lt;=1,"Eutrofia",IF($K554&lt;=2,"Sobrepeso",IF($K554&lt;=3,"Obesidade","Obesidade grave")))))))</f>
        <v/>
      </c>
      <c r="M554" s="12">
        <f>IF(OR($S554="",$V554="",$T554="",$T554&lt;0,$T554&gt;228,$AG554=""),"—",ROUND(IF($AG554=0,LN($V554/$AH554)/$AI554,((($V554/$AH554)^$AG554)-1)/($AG554*$AI554)),2))</f>
        <v/>
      </c>
      <c r="N554">
        <f>IF(OR($M554="",$M554="—"),"",IF($M554&lt;-3,"Muito baixa",IF($M554&lt;-2,"Baixa","Adequada")))</f>
        <v/>
      </c>
      <c r="O554" s="12">
        <f>IF(OR($S554="",$F554="",$T554="",$T554&lt;0,$T554&gt;120,$AJ554=""),"—",ROUND(IF(ABS($AM554)&lt;=3,$AM554,IF($AM554&gt;3,3+($F554-$AO554)/($AO554-$AN554),-3+($F554-$AQ554)/($AP554-$AQ554))),2))</f>
        <v/>
      </c>
      <c r="P554">
        <f>IF(OR($O554="",$O554="—"),"",IF($O554&lt;-3,"Muito baixo",IF($O554&lt;-2,"Baixo",IF($O554&lt;=2,"Adequado","Elevado"))))</f>
        <v/>
      </c>
      <c r="Q554" s="12">
        <f>IF(OR($S554="",$F554="",$T554="",$T554&lt;0,$T554&gt;60,$AR554=""),"—",ROUND(IF(ABS($AU554)&lt;=3,$AU554,IF($AU554&gt;3,3+($F554-$AW554)/($AW554-$AV554),-3+($F554-$AY554)/($AX554-$AY554))),2))</f>
        <v/>
      </c>
      <c r="R554">
        <f>IF(OR($Q554="",$Q554="—"),"",IF($Q554&lt;-3,"Magreza acentuada",IF($Q554&lt;-2,"Magreza",IF($Q554&lt;=1,"Eutrofia",IF($Q554&lt;=2,"Risco de sobrepeso",IF($Q554&lt;=3,"Sobrepeso","Obesidade"))))))</f>
        <v/>
      </c>
      <c r="S554">
        <f>IF($C554="","",IF(UPPER(LEFT($C554,1))="M",1,IF(UPPER(LEFT($C554,1))="F",2,"")))</f>
        <v/>
      </c>
      <c r="T554">
        <f>IF(OR($D554="",$E554=""),"",DATEDIF($D554,$E554,"m"))</f>
        <v/>
      </c>
      <c r="U554">
        <f>IF(OR($D554="",$E554=""),"",$E554-$D554)</f>
        <v/>
      </c>
      <c r="V554">
        <f>IF(OR($G554="",$T554=""),"",IF($T554&lt;24,IF(LEFT(LOWER($H554),4)="em p",$G554+0.7,$G554),IF(LEFT(LOWER($H554),4)="deit",$G554-0.7,$G554)))</f>
        <v/>
      </c>
      <c r="W554">
        <f>IF(OR($S554="",$T554=""),"",$S554*1000000+IF($T554&lt;=60,$U554,$T554))</f>
        <v/>
      </c>
      <c r="X554">
        <f>IF(OR($S554="",$V554="",$T554&gt;60,$T554=""),"",$S554*1000000+ROUND($V554*10,0))</f>
        <v/>
      </c>
      <c r="Y554">
        <f>IF($W554="","",IFERROR(INDEX(IF($T554&lt;=60,imc05_l,imc519_l),MATCH($W554,IF($T554&lt;=60,imc05_k,imc519_k),1)),""))</f>
        <v/>
      </c>
      <c r="Z554">
        <f>IF($W554="","",IFERROR(INDEX(IF($T554&lt;=60,imc05_m,imc519_m),MATCH($W554,IF($T554&lt;=60,imc05_k,imc519_k),1)),""))</f>
        <v/>
      </c>
      <c r="AA554">
        <f>IF($W554="","",IFERROR(INDEX(IF($T554&lt;=60,imc05_s,imc519_s),MATCH($W554,IF($T554&lt;=60,imc05_k,imc519_k),1)),""))</f>
        <v/>
      </c>
      <c r="AB554">
        <f>IF($Y554="","",IF($Y554=0,LN($J554/$Z554)/$AA554,((($J554/$Z554)^$Y554)-1)/($Y554*$AA554)))</f>
        <v/>
      </c>
      <c r="AC554">
        <f>IF($Y554="","",IF($Y554=0,$Z554*EXP($AA554*2),$Z554*(1+$Y554*$AA554*2)^(1/$Y554)))</f>
        <v/>
      </c>
      <c r="AD554">
        <f>IF($Y554="","",IF($Y554=0,$Z554*EXP($AA554*3),$Z554*(1+$Y554*$AA554*3)^(1/$Y554)))</f>
        <v/>
      </c>
      <c r="AE554">
        <f>IF($Y554="","",IF($Y554=0,$Z554*EXP($AA554*-2),$Z554*(1+$Y554*$AA554*-2)^(1/$Y554)))</f>
        <v/>
      </c>
      <c r="AF554">
        <f>IF($Y554="","",IF($Y554=0,$Z554*EXP($AA554*-3),$Z554*(1+$Y554*$AA554*-3)^(1/$Y554)))</f>
        <v/>
      </c>
      <c r="AG554">
        <f>IF($W554="","",IFERROR(INDEX(IF($T554&lt;=60,est05_l,est519_l),MATCH($W554,IF($T554&lt;=60,est05_k,est519_k),1)),""))</f>
        <v/>
      </c>
      <c r="AH554">
        <f>IF($W554="","",IFERROR(INDEX(IF($T554&lt;=60,est05_m,est519_m),MATCH($W554,IF($T554&lt;=60,est05_k,est519_k),1)),""))</f>
        <v/>
      </c>
      <c r="AI554">
        <f>IF($W554="","",IFERROR(INDEX(IF($T554&lt;=60,est05_s,est519_s),MATCH($W554,IF($T554&lt;=60,est05_k,est519_k),1)),""))</f>
        <v/>
      </c>
      <c r="AJ554">
        <f>IF($W554="","",IFERROR(INDEX(IF($T554&lt;=60,peso05_l,peso510_l),MATCH($W554,IF($T554&lt;=60,peso05_k,peso510_k),1)),""))</f>
        <v/>
      </c>
      <c r="AK554">
        <f>IF($W554="","",IFERROR(INDEX(IF($T554&lt;=60,peso05_m,peso510_m),MATCH($W554,IF($T554&lt;=60,peso05_k,peso510_k),1)),""))</f>
        <v/>
      </c>
      <c r="AL554">
        <f>IF($W554="","",IFERROR(INDEX(IF($T554&lt;=60,peso05_s,peso510_s),MATCH($W554,IF($T554&lt;=60,peso05_k,peso510_k),1)),""))</f>
        <v/>
      </c>
      <c r="AM554">
        <f>IF($AJ554="","",IF($AJ554=0,LN($F554/$AK554)/$AL554,((($F554/$AK554)^$AJ554)-1)/($AJ554*$AL554)))</f>
        <v/>
      </c>
      <c r="AN554">
        <f>IF($AJ554="","",IF($AJ554=0,$AK554*EXP($AL554*2),$AK554*(1+$AJ554*$AL554*2)^(1/$AJ554)))</f>
        <v/>
      </c>
      <c r="AO554">
        <f>IF($AJ554="","",IF($AJ554=0,$AK554*EXP($AL554*3),$AK554*(1+$AJ554*$AL554*3)^(1/$AJ554)))</f>
        <v/>
      </c>
      <c r="AP554">
        <f>IF($AJ554="","",IF($AJ554=0,$AK554*EXP($AL554*-2),$AK554*(1+$AJ554*$AL554*-2)^(1/$AJ554)))</f>
        <v/>
      </c>
      <c r="AQ554">
        <f>IF($AJ554="","",IF($AJ554=0,$AK554*EXP($AL554*-3),$AK554*(1+$AJ554*$AL554*-3)^(1/$AJ554)))</f>
        <v/>
      </c>
      <c r="AR554">
        <f>IF(OR($X554="",$T554&gt;60),"",IFERROR(INDEX(IF($T554&lt;24,pcomp_l,palt_l),MATCH($X554,IF($T554&lt;24,pcomp_k,palt_k),1)),""))</f>
        <v/>
      </c>
      <c r="AS554">
        <f>IF(OR($X554="",$T554&gt;60),"",IFERROR(INDEX(IF($T554&lt;24,pcomp_m,palt_m),MATCH($X554,IF($T554&lt;24,pcomp_k,palt_k),1)),""))</f>
        <v/>
      </c>
      <c r="AT554">
        <f>IF(OR($X554="",$T554&gt;60),"",IFERROR(INDEX(IF($T554&lt;24,pcomp_s,palt_s),MATCH($X554,IF($T554&lt;24,pcomp_k,palt_k),1)),""))</f>
        <v/>
      </c>
      <c r="AU554">
        <f>IF($AR554="","",IF($AR554=0,LN($F554/$AS554)/$AT554,((($F554/$AS554)^$AR554)-1)/($AR554*$AT554)))</f>
        <v/>
      </c>
      <c r="AV554">
        <f>IF($AR554="","",IF($AR554=0,$AS554*EXP($AT554*2),$AS554*(1+$AR554*$AT554*2)^(1/$AR554)))</f>
        <v/>
      </c>
      <c r="AW554">
        <f>IF($AR554="","",IF($AR554=0,$AS554*EXP($AT554*3),$AS554*(1+$AR554*$AT554*3)^(1/$AR554)))</f>
        <v/>
      </c>
      <c r="AX554">
        <f>IF($AR554="","",IF($AR554=0,$AS554*EXP($AT554*-2),$AS554*(1+$AR554*$AT554*-2)^(1/$AR554)))</f>
        <v/>
      </c>
      <c r="AY554">
        <f>IF($AR554="","",IF($AR554=0,$AS554*EXP($AT554*-3),$AS554*(1+$AR554*$AT554*-3)^(1/$AR554)))</f>
        <v/>
      </c>
      <c r="AZ554">
        <f>IF(OR($A554="",$A554&lt;&gt;Ficha!$C$4),"",COUNTIF($A$2:$A554,Ficha!$C$4))</f>
        <v/>
      </c>
    </row>
    <row r="555">
      <c r="A555" s="8">
        <f>IF(INDEX(Banco!$A:$A,ROW())="","",INDEX(Banco!$A:$A,ROW()))</f>
        <v/>
      </c>
      <c r="B555" s="8">
        <f>IF(INDEX(Banco!$B:$B,ROW())="","",INDEX(Banco!$B:$B,ROW()))</f>
        <v/>
      </c>
      <c r="C555" s="8">
        <f>IF(INDEX(Banco!$C:$C,ROW())="","",INDEX(Banco!$C:$C,ROW()))</f>
        <v/>
      </c>
      <c r="D555" s="9">
        <f>IF(INDEX(Banco!$D:$D,ROW())="","",INDEX(Banco!$D:$D,ROW()))</f>
        <v/>
      </c>
      <c r="E555" s="9">
        <f>IF(INDEX(Banco!$E:$E,ROW())="","",INDEX(Banco!$E:$E,ROW()))</f>
        <v/>
      </c>
      <c r="F555" s="10">
        <f>IF(INDEX(Banco!$F:$F,ROW())="","",INDEX(Banco!$F:$F,ROW()))</f>
        <v/>
      </c>
      <c r="G555" s="10">
        <f>IF(INDEX(Banco!$G:$G,ROW())="","",INDEX(Banco!$G:$G,ROW()))</f>
        <v/>
      </c>
      <c r="H555" s="8">
        <f>IF(INDEX(Banco!$H:$H,ROW())="","",INDEX(Banco!$H:$H,ROW()))</f>
        <v/>
      </c>
      <c r="I555">
        <f>IF($T555="","",INT($T555/12)&amp;"a "&amp;MOD($T555,12)&amp;"m")</f>
        <v/>
      </c>
      <c r="J555" s="11">
        <f>IF(OR($F555="",$G555=""),"",ROUND($F555/($G555/100)^2,2))</f>
        <v/>
      </c>
      <c r="K555" s="12">
        <f>IF(OR($S555="",$J555="",$T555="",$T555&lt;0,$T555&gt;228,$Y555=""),"—",ROUND(IF(ABS($AB555)&lt;=3,$AB555,IF($AB555&gt;3,3+($J555-$AD555)/($AD555-$AC555),-3+($J555-$AF555)/($AE555-$AF555))),2))</f>
        <v/>
      </c>
      <c r="L555">
        <f>IF(OR($K555="",$K555="—"),"",IF($T555&lt;=60,IF($K555&lt;-3,"Magreza acentuada",IF($K555&lt;-2,"Magreza",IF($K555&lt;=1,"Eutrofia",IF($K555&lt;=2,"Risco de sobrepeso",IF($K555&lt;=3,"Sobrepeso","Obesidade"))))),IF($K555&lt;-3,"Magreza acentuada",IF($K555&lt;-2,"Magreza",IF($K555&lt;=1,"Eutrofia",IF($K555&lt;=2,"Sobrepeso",IF($K555&lt;=3,"Obesidade","Obesidade grave")))))))</f>
        <v/>
      </c>
      <c r="M555" s="12">
        <f>IF(OR($S555="",$V555="",$T555="",$T555&lt;0,$T555&gt;228,$AG555=""),"—",ROUND(IF($AG555=0,LN($V555/$AH555)/$AI555,((($V555/$AH555)^$AG555)-1)/($AG555*$AI555)),2))</f>
        <v/>
      </c>
      <c r="N555">
        <f>IF(OR($M555="",$M555="—"),"",IF($M555&lt;-3,"Muito baixa",IF($M555&lt;-2,"Baixa","Adequada")))</f>
        <v/>
      </c>
      <c r="O555" s="12">
        <f>IF(OR($S555="",$F555="",$T555="",$T555&lt;0,$T555&gt;120,$AJ555=""),"—",ROUND(IF(ABS($AM555)&lt;=3,$AM555,IF($AM555&gt;3,3+($F555-$AO555)/($AO555-$AN555),-3+($F555-$AQ555)/($AP555-$AQ555))),2))</f>
        <v/>
      </c>
      <c r="P555">
        <f>IF(OR($O555="",$O555="—"),"",IF($O555&lt;-3,"Muito baixo",IF($O555&lt;-2,"Baixo",IF($O555&lt;=2,"Adequado","Elevado"))))</f>
        <v/>
      </c>
      <c r="Q555" s="12">
        <f>IF(OR($S555="",$F555="",$T555="",$T555&lt;0,$T555&gt;60,$AR555=""),"—",ROUND(IF(ABS($AU555)&lt;=3,$AU555,IF($AU555&gt;3,3+($F555-$AW555)/($AW555-$AV555),-3+($F555-$AY555)/($AX555-$AY555))),2))</f>
        <v/>
      </c>
      <c r="R555">
        <f>IF(OR($Q555="",$Q555="—"),"",IF($Q555&lt;-3,"Magreza acentuada",IF($Q555&lt;-2,"Magreza",IF($Q555&lt;=1,"Eutrofia",IF($Q555&lt;=2,"Risco de sobrepeso",IF($Q555&lt;=3,"Sobrepeso","Obesidade"))))))</f>
        <v/>
      </c>
      <c r="S555">
        <f>IF($C555="","",IF(UPPER(LEFT($C555,1))="M",1,IF(UPPER(LEFT($C555,1))="F",2,"")))</f>
        <v/>
      </c>
      <c r="T555">
        <f>IF(OR($D555="",$E555=""),"",DATEDIF($D555,$E555,"m"))</f>
        <v/>
      </c>
      <c r="U555">
        <f>IF(OR($D555="",$E555=""),"",$E555-$D555)</f>
        <v/>
      </c>
      <c r="V555">
        <f>IF(OR($G555="",$T555=""),"",IF($T555&lt;24,IF(LEFT(LOWER($H555),4)="em p",$G555+0.7,$G555),IF(LEFT(LOWER($H555),4)="deit",$G555-0.7,$G555)))</f>
        <v/>
      </c>
      <c r="W555">
        <f>IF(OR($S555="",$T555=""),"",$S555*1000000+IF($T555&lt;=60,$U555,$T555))</f>
        <v/>
      </c>
      <c r="X555">
        <f>IF(OR($S555="",$V555="",$T555&gt;60,$T555=""),"",$S555*1000000+ROUND($V555*10,0))</f>
        <v/>
      </c>
      <c r="Y555">
        <f>IF($W555="","",IFERROR(INDEX(IF($T555&lt;=60,imc05_l,imc519_l),MATCH($W555,IF($T555&lt;=60,imc05_k,imc519_k),1)),""))</f>
        <v/>
      </c>
      <c r="Z555">
        <f>IF($W555="","",IFERROR(INDEX(IF($T555&lt;=60,imc05_m,imc519_m),MATCH($W555,IF($T555&lt;=60,imc05_k,imc519_k),1)),""))</f>
        <v/>
      </c>
      <c r="AA555">
        <f>IF($W555="","",IFERROR(INDEX(IF($T555&lt;=60,imc05_s,imc519_s),MATCH($W555,IF($T555&lt;=60,imc05_k,imc519_k),1)),""))</f>
        <v/>
      </c>
      <c r="AB555">
        <f>IF($Y555="","",IF($Y555=0,LN($J555/$Z555)/$AA555,((($J555/$Z555)^$Y555)-1)/($Y555*$AA555)))</f>
        <v/>
      </c>
      <c r="AC555">
        <f>IF($Y555="","",IF($Y555=0,$Z555*EXP($AA555*2),$Z555*(1+$Y555*$AA555*2)^(1/$Y555)))</f>
        <v/>
      </c>
      <c r="AD555">
        <f>IF($Y555="","",IF($Y555=0,$Z555*EXP($AA555*3),$Z555*(1+$Y555*$AA555*3)^(1/$Y555)))</f>
        <v/>
      </c>
      <c r="AE555">
        <f>IF($Y555="","",IF($Y555=0,$Z555*EXP($AA555*-2),$Z555*(1+$Y555*$AA555*-2)^(1/$Y555)))</f>
        <v/>
      </c>
      <c r="AF555">
        <f>IF($Y555="","",IF($Y555=0,$Z555*EXP($AA555*-3),$Z555*(1+$Y555*$AA555*-3)^(1/$Y555)))</f>
        <v/>
      </c>
      <c r="AG555">
        <f>IF($W555="","",IFERROR(INDEX(IF($T555&lt;=60,est05_l,est519_l),MATCH($W555,IF($T555&lt;=60,est05_k,est519_k),1)),""))</f>
        <v/>
      </c>
      <c r="AH555">
        <f>IF($W555="","",IFERROR(INDEX(IF($T555&lt;=60,est05_m,est519_m),MATCH($W555,IF($T555&lt;=60,est05_k,est519_k),1)),""))</f>
        <v/>
      </c>
      <c r="AI555">
        <f>IF($W555="","",IFERROR(INDEX(IF($T555&lt;=60,est05_s,est519_s),MATCH($W555,IF($T555&lt;=60,est05_k,est519_k),1)),""))</f>
        <v/>
      </c>
      <c r="AJ555">
        <f>IF($W555="","",IFERROR(INDEX(IF($T555&lt;=60,peso05_l,peso510_l),MATCH($W555,IF($T555&lt;=60,peso05_k,peso510_k),1)),""))</f>
        <v/>
      </c>
      <c r="AK555">
        <f>IF($W555="","",IFERROR(INDEX(IF($T555&lt;=60,peso05_m,peso510_m),MATCH($W555,IF($T555&lt;=60,peso05_k,peso510_k),1)),""))</f>
        <v/>
      </c>
      <c r="AL555">
        <f>IF($W555="","",IFERROR(INDEX(IF($T555&lt;=60,peso05_s,peso510_s),MATCH($W555,IF($T555&lt;=60,peso05_k,peso510_k),1)),""))</f>
        <v/>
      </c>
      <c r="AM555">
        <f>IF($AJ555="","",IF($AJ555=0,LN($F555/$AK555)/$AL555,((($F555/$AK555)^$AJ555)-1)/($AJ555*$AL555)))</f>
        <v/>
      </c>
      <c r="AN555">
        <f>IF($AJ555="","",IF($AJ555=0,$AK555*EXP($AL555*2),$AK555*(1+$AJ555*$AL555*2)^(1/$AJ555)))</f>
        <v/>
      </c>
      <c r="AO555">
        <f>IF($AJ555="","",IF($AJ555=0,$AK555*EXP($AL555*3),$AK555*(1+$AJ555*$AL555*3)^(1/$AJ555)))</f>
        <v/>
      </c>
      <c r="AP555">
        <f>IF($AJ555="","",IF($AJ555=0,$AK555*EXP($AL555*-2),$AK555*(1+$AJ555*$AL555*-2)^(1/$AJ555)))</f>
        <v/>
      </c>
      <c r="AQ555">
        <f>IF($AJ555="","",IF($AJ555=0,$AK555*EXP($AL555*-3),$AK555*(1+$AJ555*$AL555*-3)^(1/$AJ555)))</f>
        <v/>
      </c>
      <c r="AR555">
        <f>IF(OR($X555="",$T555&gt;60),"",IFERROR(INDEX(IF($T555&lt;24,pcomp_l,palt_l),MATCH($X555,IF($T555&lt;24,pcomp_k,palt_k),1)),""))</f>
        <v/>
      </c>
      <c r="AS555">
        <f>IF(OR($X555="",$T555&gt;60),"",IFERROR(INDEX(IF($T555&lt;24,pcomp_m,palt_m),MATCH($X555,IF($T555&lt;24,pcomp_k,palt_k),1)),""))</f>
        <v/>
      </c>
      <c r="AT555">
        <f>IF(OR($X555="",$T555&gt;60),"",IFERROR(INDEX(IF($T555&lt;24,pcomp_s,palt_s),MATCH($X555,IF($T555&lt;24,pcomp_k,palt_k),1)),""))</f>
        <v/>
      </c>
      <c r="AU555">
        <f>IF($AR555="","",IF($AR555=0,LN($F555/$AS555)/$AT555,((($F555/$AS555)^$AR555)-1)/($AR555*$AT555)))</f>
        <v/>
      </c>
      <c r="AV555">
        <f>IF($AR555="","",IF($AR555=0,$AS555*EXP($AT555*2),$AS555*(1+$AR555*$AT555*2)^(1/$AR555)))</f>
        <v/>
      </c>
      <c r="AW555">
        <f>IF($AR555="","",IF($AR555=0,$AS555*EXP($AT555*3),$AS555*(1+$AR555*$AT555*3)^(1/$AR555)))</f>
        <v/>
      </c>
      <c r="AX555">
        <f>IF($AR555="","",IF($AR555=0,$AS555*EXP($AT555*-2),$AS555*(1+$AR555*$AT555*-2)^(1/$AR555)))</f>
        <v/>
      </c>
      <c r="AY555">
        <f>IF($AR555="","",IF($AR555=0,$AS555*EXP($AT555*-3),$AS555*(1+$AR555*$AT555*-3)^(1/$AR555)))</f>
        <v/>
      </c>
      <c r="AZ555">
        <f>IF(OR($A555="",$A555&lt;&gt;Ficha!$C$4),"",COUNTIF($A$2:$A555,Ficha!$C$4))</f>
        <v/>
      </c>
    </row>
    <row r="556">
      <c r="A556" s="8">
        <f>IF(INDEX(Banco!$A:$A,ROW())="","",INDEX(Banco!$A:$A,ROW()))</f>
        <v/>
      </c>
      <c r="B556" s="8">
        <f>IF(INDEX(Banco!$B:$B,ROW())="","",INDEX(Banco!$B:$B,ROW()))</f>
        <v/>
      </c>
      <c r="C556" s="8">
        <f>IF(INDEX(Banco!$C:$C,ROW())="","",INDEX(Banco!$C:$C,ROW()))</f>
        <v/>
      </c>
      <c r="D556" s="9">
        <f>IF(INDEX(Banco!$D:$D,ROW())="","",INDEX(Banco!$D:$D,ROW()))</f>
        <v/>
      </c>
      <c r="E556" s="9">
        <f>IF(INDEX(Banco!$E:$E,ROW())="","",INDEX(Banco!$E:$E,ROW()))</f>
        <v/>
      </c>
      <c r="F556" s="10">
        <f>IF(INDEX(Banco!$F:$F,ROW())="","",INDEX(Banco!$F:$F,ROW()))</f>
        <v/>
      </c>
      <c r="G556" s="10">
        <f>IF(INDEX(Banco!$G:$G,ROW())="","",INDEX(Banco!$G:$G,ROW()))</f>
        <v/>
      </c>
      <c r="H556" s="8">
        <f>IF(INDEX(Banco!$H:$H,ROW())="","",INDEX(Banco!$H:$H,ROW()))</f>
        <v/>
      </c>
      <c r="I556">
        <f>IF($T556="","",INT($T556/12)&amp;"a "&amp;MOD($T556,12)&amp;"m")</f>
        <v/>
      </c>
      <c r="J556" s="11">
        <f>IF(OR($F556="",$G556=""),"",ROUND($F556/($G556/100)^2,2))</f>
        <v/>
      </c>
      <c r="K556" s="12">
        <f>IF(OR($S556="",$J556="",$T556="",$T556&lt;0,$T556&gt;228,$Y556=""),"—",ROUND(IF(ABS($AB556)&lt;=3,$AB556,IF($AB556&gt;3,3+($J556-$AD556)/($AD556-$AC556),-3+($J556-$AF556)/($AE556-$AF556))),2))</f>
        <v/>
      </c>
      <c r="L556">
        <f>IF(OR($K556="",$K556="—"),"",IF($T556&lt;=60,IF($K556&lt;-3,"Magreza acentuada",IF($K556&lt;-2,"Magreza",IF($K556&lt;=1,"Eutrofia",IF($K556&lt;=2,"Risco de sobrepeso",IF($K556&lt;=3,"Sobrepeso","Obesidade"))))),IF($K556&lt;-3,"Magreza acentuada",IF($K556&lt;-2,"Magreza",IF($K556&lt;=1,"Eutrofia",IF($K556&lt;=2,"Sobrepeso",IF($K556&lt;=3,"Obesidade","Obesidade grave")))))))</f>
        <v/>
      </c>
      <c r="M556" s="12">
        <f>IF(OR($S556="",$V556="",$T556="",$T556&lt;0,$T556&gt;228,$AG556=""),"—",ROUND(IF($AG556=0,LN($V556/$AH556)/$AI556,((($V556/$AH556)^$AG556)-1)/($AG556*$AI556)),2))</f>
        <v/>
      </c>
      <c r="N556">
        <f>IF(OR($M556="",$M556="—"),"",IF($M556&lt;-3,"Muito baixa",IF($M556&lt;-2,"Baixa","Adequada")))</f>
        <v/>
      </c>
      <c r="O556" s="12">
        <f>IF(OR($S556="",$F556="",$T556="",$T556&lt;0,$T556&gt;120,$AJ556=""),"—",ROUND(IF(ABS($AM556)&lt;=3,$AM556,IF($AM556&gt;3,3+($F556-$AO556)/($AO556-$AN556),-3+($F556-$AQ556)/($AP556-$AQ556))),2))</f>
        <v/>
      </c>
      <c r="P556">
        <f>IF(OR($O556="",$O556="—"),"",IF($O556&lt;-3,"Muito baixo",IF($O556&lt;-2,"Baixo",IF($O556&lt;=2,"Adequado","Elevado"))))</f>
        <v/>
      </c>
      <c r="Q556" s="12">
        <f>IF(OR($S556="",$F556="",$T556="",$T556&lt;0,$T556&gt;60,$AR556=""),"—",ROUND(IF(ABS($AU556)&lt;=3,$AU556,IF($AU556&gt;3,3+($F556-$AW556)/($AW556-$AV556),-3+($F556-$AY556)/($AX556-$AY556))),2))</f>
        <v/>
      </c>
      <c r="R556">
        <f>IF(OR($Q556="",$Q556="—"),"",IF($Q556&lt;-3,"Magreza acentuada",IF($Q556&lt;-2,"Magreza",IF($Q556&lt;=1,"Eutrofia",IF($Q556&lt;=2,"Risco de sobrepeso",IF($Q556&lt;=3,"Sobrepeso","Obesidade"))))))</f>
        <v/>
      </c>
      <c r="S556">
        <f>IF($C556="","",IF(UPPER(LEFT($C556,1))="M",1,IF(UPPER(LEFT($C556,1))="F",2,"")))</f>
        <v/>
      </c>
      <c r="T556">
        <f>IF(OR($D556="",$E556=""),"",DATEDIF($D556,$E556,"m"))</f>
        <v/>
      </c>
      <c r="U556">
        <f>IF(OR($D556="",$E556=""),"",$E556-$D556)</f>
        <v/>
      </c>
      <c r="V556">
        <f>IF(OR($G556="",$T556=""),"",IF($T556&lt;24,IF(LEFT(LOWER($H556),4)="em p",$G556+0.7,$G556),IF(LEFT(LOWER($H556),4)="deit",$G556-0.7,$G556)))</f>
        <v/>
      </c>
      <c r="W556">
        <f>IF(OR($S556="",$T556=""),"",$S556*1000000+IF($T556&lt;=60,$U556,$T556))</f>
        <v/>
      </c>
      <c r="X556">
        <f>IF(OR($S556="",$V556="",$T556&gt;60,$T556=""),"",$S556*1000000+ROUND($V556*10,0))</f>
        <v/>
      </c>
      <c r="Y556">
        <f>IF($W556="","",IFERROR(INDEX(IF($T556&lt;=60,imc05_l,imc519_l),MATCH($W556,IF($T556&lt;=60,imc05_k,imc519_k),1)),""))</f>
        <v/>
      </c>
      <c r="Z556">
        <f>IF($W556="","",IFERROR(INDEX(IF($T556&lt;=60,imc05_m,imc519_m),MATCH($W556,IF($T556&lt;=60,imc05_k,imc519_k),1)),""))</f>
        <v/>
      </c>
      <c r="AA556">
        <f>IF($W556="","",IFERROR(INDEX(IF($T556&lt;=60,imc05_s,imc519_s),MATCH($W556,IF($T556&lt;=60,imc05_k,imc519_k),1)),""))</f>
        <v/>
      </c>
      <c r="AB556">
        <f>IF($Y556="","",IF($Y556=0,LN($J556/$Z556)/$AA556,((($J556/$Z556)^$Y556)-1)/($Y556*$AA556)))</f>
        <v/>
      </c>
      <c r="AC556">
        <f>IF($Y556="","",IF($Y556=0,$Z556*EXP($AA556*2),$Z556*(1+$Y556*$AA556*2)^(1/$Y556)))</f>
        <v/>
      </c>
      <c r="AD556">
        <f>IF($Y556="","",IF($Y556=0,$Z556*EXP($AA556*3),$Z556*(1+$Y556*$AA556*3)^(1/$Y556)))</f>
        <v/>
      </c>
      <c r="AE556">
        <f>IF($Y556="","",IF($Y556=0,$Z556*EXP($AA556*-2),$Z556*(1+$Y556*$AA556*-2)^(1/$Y556)))</f>
        <v/>
      </c>
      <c r="AF556">
        <f>IF($Y556="","",IF($Y556=0,$Z556*EXP($AA556*-3),$Z556*(1+$Y556*$AA556*-3)^(1/$Y556)))</f>
        <v/>
      </c>
      <c r="AG556">
        <f>IF($W556="","",IFERROR(INDEX(IF($T556&lt;=60,est05_l,est519_l),MATCH($W556,IF($T556&lt;=60,est05_k,est519_k),1)),""))</f>
        <v/>
      </c>
      <c r="AH556">
        <f>IF($W556="","",IFERROR(INDEX(IF($T556&lt;=60,est05_m,est519_m),MATCH($W556,IF($T556&lt;=60,est05_k,est519_k),1)),""))</f>
        <v/>
      </c>
      <c r="AI556">
        <f>IF($W556="","",IFERROR(INDEX(IF($T556&lt;=60,est05_s,est519_s),MATCH($W556,IF($T556&lt;=60,est05_k,est519_k),1)),""))</f>
        <v/>
      </c>
      <c r="AJ556">
        <f>IF($W556="","",IFERROR(INDEX(IF($T556&lt;=60,peso05_l,peso510_l),MATCH($W556,IF($T556&lt;=60,peso05_k,peso510_k),1)),""))</f>
        <v/>
      </c>
      <c r="AK556">
        <f>IF($W556="","",IFERROR(INDEX(IF($T556&lt;=60,peso05_m,peso510_m),MATCH($W556,IF($T556&lt;=60,peso05_k,peso510_k),1)),""))</f>
        <v/>
      </c>
      <c r="AL556">
        <f>IF($W556="","",IFERROR(INDEX(IF($T556&lt;=60,peso05_s,peso510_s),MATCH($W556,IF($T556&lt;=60,peso05_k,peso510_k),1)),""))</f>
        <v/>
      </c>
      <c r="AM556">
        <f>IF($AJ556="","",IF($AJ556=0,LN($F556/$AK556)/$AL556,((($F556/$AK556)^$AJ556)-1)/($AJ556*$AL556)))</f>
        <v/>
      </c>
      <c r="AN556">
        <f>IF($AJ556="","",IF($AJ556=0,$AK556*EXP($AL556*2),$AK556*(1+$AJ556*$AL556*2)^(1/$AJ556)))</f>
        <v/>
      </c>
      <c r="AO556">
        <f>IF($AJ556="","",IF($AJ556=0,$AK556*EXP($AL556*3),$AK556*(1+$AJ556*$AL556*3)^(1/$AJ556)))</f>
        <v/>
      </c>
      <c r="AP556">
        <f>IF($AJ556="","",IF($AJ556=0,$AK556*EXP($AL556*-2),$AK556*(1+$AJ556*$AL556*-2)^(1/$AJ556)))</f>
        <v/>
      </c>
      <c r="AQ556">
        <f>IF($AJ556="","",IF($AJ556=0,$AK556*EXP($AL556*-3),$AK556*(1+$AJ556*$AL556*-3)^(1/$AJ556)))</f>
        <v/>
      </c>
      <c r="AR556">
        <f>IF(OR($X556="",$T556&gt;60),"",IFERROR(INDEX(IF($T556&lt;24,pcomp_l,palt_l),MATCH($X556,IF($T556&lt;24,pcomp_k,palt_k),1)),""))</f>
        <v/>
      </c>
      <c r="AS556">
        <f>IF(OR($X556="",$T556&gt;60),"",IFERROR(INDEX(IF($T556&lt;24,pcomp_m,palt_m),MATCH($X556,IF($T556&lt;24,pcomp_k,palt_k),1)),""))</f>
        <v/>
      </c>
      <c r="AT556">
        <f>IF(OR($X556="",$T556&gt;60),"",IFERROR(INDEX(IF($T556&lt;24,pcomp_s,palt_s),MATCH($X556,IF($T556&lt;24,pcomp_k,palt_k),1)),""))</f>
        <v/>
      </c>
      <c r="AU556">
        <f>IF($AR556="","",IF($AR556=0,LN($F556/$AS556)/$AT556,((($F556/$AS556)^$AR556)-1)/($AR556*$AT556)))</f>
        <v/>
      </c>
      <c r="AV556">
        <f>IF($AR556="","",IF($AR556=0,$AS556*EXP($AT556*2),$AS556*(1+$AR556*$AT556*2)^(1/$AR556)))</f>
        <v/>
      </c>
      <c r="AW556">
        <f>IF($AR556="","",IF($AR556=0,$AS556*EXP($AT556*3),$AS556*(1+$AR556*$AT556*3)^(1/$AR556)))</f>
        <v/>
      </c>
      <c r="AX556">
        <f>IF($AR556="","",IF($AR556=0,$AS556*EXP($AT556*-2),$AS556*(1+$AR556*$AT556*-2)^(1/$AR556)))</f>
        <v/>
      </c>
      <c r="AY556">
        <f>IF($AR556="","",IF($AR556=0,$AS556*EXP($AT556*-3),$AS556*(1+$AR556*$AT556*-3)^(1/$AR556)))</f>
        <v/>
      </c>
      <c r="AZ556">
        <f>IF(OR($A556="",$A556&lt;&gt;Ficha!$C$4),"",COUNTIF($A$2:$A556,Ficha!$C$4))</f>
        <v/>
      </c>
    </row>
    <row r="557">
      <c r="A557" s="8">
        <f>IF(INDEX(Banco!$A:$A,ROW())="","",INDEX(Banco!$A:$A,ROW()))</f>
        <v/>
      </c>
      <c r="B557" s="8">
        <f>IF(INDEX(Banco!$B:$B,ROW())="","",INDEX(Banco!$B:$B,ROW()))</f>
        <v/>
      </c>
      <c r="C557" s="8">
        <f>IF(INDEX(Banco!$C:$C,ROW())="","",INDEX(Banco!$C:$C,ROW()))</f>
        <v/>
      </c>
      <c r="D557" s="9">
        <f>IF(INDEX(Banco!$D:$D,ROW())="","",INDEX(Banco!$D:$D,ROW()))</f>
        <v/>
      </c>
      <c r="E557" s="9">
        <f>IF(INDEX(Banco!$E:$E,ROW())="","",INDEX(Banco!$E:$E,ROW()))</f>
        <v/>
      </c>
      <c r="F557" s="10">
        <f>IF(INDEX(Banco!$F:$F,ROW())="","",INDEX(Banco!$F:$F,ROW()))</f>
        <v/>
      </c>
      <c r="G557" s="10">
        <f>IF(INDEX(Banco!$G:$G,ROW())="","",INDEX(Banco!$G:$G,ROW()))</f>
        <v/>
      </c>
      <c r="H557" s="8">
        <f>IF(INDEX(Banco!$H:$H,ROW())="","",INDEX(Banco!$H:$H,ROW()))</f>
        <v/>
      </c>
      <c r="I557">
        <f>IF($T557="","",INT($T557/12)&amp;"a "&amp;MOD($T557,12)&amp;"m")</f>
        <v/>
      </c>
      <c r="J557" s="11">
        <f>IF(OR($F557="",$G557=""),"",ROUND($F557/($G557/100)^2,2))</f>
        <v/>
      </c>
      <c r="K557" s="12">
        <f>IF(OR($S557="",$J557="",$T557="",$T557&lt;0,$T557&gt;228,$Y557=""),"—",ROUND(IF(ABS($AB557)&lt;=3,$AB557,IF($AB557&gt;3,3+($J557-$AD557)/($AD557-$AC557),-3+($J557-$AF557)/($AE557-$AF557))),2))</f>
        <v/>
      </c>
      <c r="L557">
        <f>IF(OR($K557="",$K557="—"),"",IF($T557&lt;=60,IF($K557&lt;-3,"Magreza acentuada",IF($K557&lt;-2,"Magreza",IF($K557&lt;=1,"Eutrofia",IF($K557&lt;=2,"Risco de sobrepeso",IF($K557&lt;=3,"Sobrepeso","Obesidade"))))),IF($K557&lt;-3,"Magreza acentuada",IF($K557&lt;-2,"Magreza",IF($K557&lt;=1,"Eutrofia",IF($K557&lt;=2,"Sobrepeso",IF($K557&lt;=3,"Obesidade","Obesidade grave")))))))</f>
        <v/>
      </c>
      <c r="M557" s="12">
        <f>IF(OR($S557="",$V557="",$T557="",$T557&lt;0,$T557&gt;228,$AG557=""),"—",ROUND(IF($AG557=0,LN($V557/$AH557)/$AI557,((($V557/$AH557)^$AG557)-1)/($AG557*$AI557)),2))</f>
        <v/>
      </c>
      <c r="N557">
        <f>IF(OR($M557="",$M557="—"),"",IF($M557&lt;-3,"Muito baixa",IF($M557&lt;-2,"Baixa","Adequada")))</f>
        <v/>
      </c>
      <c r="O557" s="12">
        <f>IF(OR($S557="",$F557="",$T557="",$T557&lt;0,$T557&gt;120,$AJ557=""),"—",ROUND(IF(ABS($AM557)&lt;=3,$AM557,IF($AM557&gt;3,3+($F557-$AO557)/($AO557-$AN557),-3+($F557-$AQ557)/($AP557-$AQ557))),2))</f>
        <v/>
      </c>
      <c r="P557">
        <f>IF(OR($O557="",$O557="—"),"",IF($O557&lt;-3,"Muito baixo",IF($O557&lt;-2,"Baixo",IF($O557&lt;=2,"Adequado","Elevado"))))</f>
        <v/>
      </c>
      <c r="Q557" s="12">
        <f>IF(OR($S557="",$F557="",$T557="",$T557&lt;0,$T557&gt;60,$AR557=""),"—",ROUND(IF(ABS($AU557)&lt;=3,$AU557,IF($AU557&gt;3,3+($F557-$AW557)/($AW557-$AV557),-3+($F557-$AY557)/($AX557-$AY557))),2))</f>
        <v/>
      </c>
      <c r="R557">
        <f>IF(OR($Q557="",$Q557="—"),"",IF($Q557&lt;-3,"Magreza acentuada",IF($Q557&lt;-2,"Magreza",IF($Q557&lt;=1,"Eutrofia",IF($Q557&lt;=2,"Risco de sobrepeso",IF($Q557&lt;=3,"Sobrepeso","Obesidade"))))))</f>
        <v/>
      </c>
      <c r="S557">
        <f>IF($C557="","",IF(UPPER(LEFT($C557,1))="M",1,IF(UPPER(LEFT($C557,1))="F",2,"")))</f>
        <v/>
      </c>
      <c r="T557">
        <f>IF(OR($D557="",$E557=""),"",DATEDIF($D557,$E557,"m"))</f>
        <v/>
      </c>
      <c r="U557">
        <f>IF(OR($D557="",$E557=""),"",$E557-$D557)</f>
        <v/>
      </c>
      <c r="V557">
        <f>IF(OR($G557="",$T557=""),"",IF($T557&lt;24,IF(LEFT(LOWER($H557),4)="em p",$G557+0.7,$G557),IF(LEFT(LOWER($H557),4)="deit",$G557-0.7,$G557)))</f>
        <v/>
      </c>
      <c r="W557">
        <f>IF(OR($S557="",$T557=""),"",$S557*1000000+IF($T557&lt;=60,$U557,$T557))</f>
        <v/>
      </c>
      <c r="X557">
        <f>IF(OR($S557="",$V557="",$T557&gt;60,$T557=""),"",$S557*1000000+ROUND($V557*10,0))</f>
        <v/>
      </c>
      <c r="Y557">
        <f>IF($W557="","",IFERROR(INDEX(IF($T557&lt;=60,imc05_l,imc519_l),MATCH($W557,IF($T557&lt;=60,imc05_k,imc519_k),1)),""))</f>
        <v/>
      </c>
      <c r="Z557">
        <f>IF($W557="","",IFERROR(INDEX(IF($T557&lt;=60,imc05_m,imc519_m),MATCH($W557,IF($T557&lt;=60,imc05_k,imc519_k),1)),""))</f>
        <v/>
      </c>
      <c r="AA557">
        <f>IF($W557="","",IFERROR(INDEX(IF($T557&lt;=60,imc05_s,imc519_s),MATCH($W557,IF($T557&lt;=60,imc05_k,imc519_k),1)),""))</f>
        <v/>
      </c>
      <c r="AB557">
        <f>IF($Y557="","",IF($Y557=0,LN($J557/$Z557)/$AA557,((($J557/$Z557)^$Y557)-1)/($Y557*$AA557)))</f>
        <v/>
      </c>
      <c r="AC557">
        <f>IF($Y557="","",IF($Y557=0,$Z557*EXP($AA557*2),$Z557*(1+$Y557*$AA557*2)^(1/$Y557)))</f>
        <v/>
      </c>
      <c r="AD557">
        <f>IF($Y557="","",IF($Y557=0,$Z557*EXP($AA557*3),$Z557*(1+$Y557*$AA557*3)^(1/$Y557)))</f>
        <v/>
      </c>
      <c r="AE557">
        <f>IF($Y557="","",IF($Y557=0,$Z557*EXP($AA557*-2),$Z557*(1+$Y557*$AA557*-2)^(1/$Y557)))</f>
        <v/>
      </c>
      <c r="AF557">
        <f>IF($Y557="","",IF($Y557=0,$Z557*EXP($AA557*-3),$Z557*(1+$Y557*$AA557*-3)^(1/$Y557)))</f>
        <v/>
      </c>
      <c r="AG557">
        <f>IF($W557="","",IFERROR(INDEX(IF($T557&lt;=60,est05_l,est519_l),MATCH($W557,IF($T557&lt;=60,est05_k,est519_k),1)),""))</f>
        <v/>
      </c>
      <c r="AH557">
        <f>IF($W557="","",IFERROR(INDEX(IF($T557&lt;=60,est05_m,est519_m),MATCH($W557,IF($T557&lt;=60,est05_k,est519_k),1)),""))</f>
        <v/>
      </c>
      <c r="AI557">
        <f>IF($W557="","",IFERROR(INDEX(IF($T557&lt;=60,est05_s,est519_s),MATCH($W557,IF($T557&lt;=60,est05_k,est519_k),1)),""))</f>
        <v/>
      </c>
      <c r="AJ557">
        <f>IF($W557="","",IFERROR(INDEX(IF($T557&lt;=60,peso05_l,peso510_l),MATCH($W557,IF($T557&lt;=60,peso05_k,peso510_k),1)),""))</f>
        <v/>
      </c>
      <c r="AK557">
        <f>IF($W557="","",IFERROR(INDEX(IF($T557&lt;=60,peso05_m,peso510_m),MATCH($W557,IF($T557&lt;=60,peso05_k,peso510_k),1)),""))</f>
        <v/>
      </c>
      <c r="AL557">
        <f>IF($W557="","",IFERROR(INDEX(IF($T557&lt;=60,peso05_s,peso510_s),MATCH($W557,IF($T557&lt;=60,peso05_k,peso510_k),1)),""))</f>
        <v/>
      </c>
      <c r="AM557">
        <f>IF($AJ557="","",IF($AJ557=0,LN($F557/$AK557)/$AL557,((($F557/$AK557)^$AJ557)-1)/($AJ557*$AL557)))</f>
        <v/>
      </c>
      <c r="AN557">
        <f>IF($AJ557="","",IF($AJ557=0,$AK557*EXP($AL557*2),$AK557*(1+$AJ557*$AL557*2)^(1/$AJ557)))</f>
        <v/>
      </c>
      <c r="AO557">
        <f>IF($AJ557="","",IF($AJ557=0,$AK557*EXP($AL557*3),$AK557*(1+$AJ557*$AL557*3)^(1/$AJ557)))</f>
        <v/>
      </c>
      <c r="AP557">
        <f>IF($AJ557="","",IF($AJ557=0,$AK557*EXP($AL557*-2),$AK557*(1+$AJ557*$AL557*-2)^(1/$AJ557)))</f>
        <v/>
      </c>
      <c r="AQ557">
        <f>IF($AJ557="","",IF($AJ557=0,$AK557*EXP($AL557*-3),$AK557*(1+$AJ557*$AL557*-3)^(1/$AJ557)))</f>
        <v/>
      </c>
      <c r="AR557">
        <f>IF(OR($X557="",$T557&gt;60),"",IFERROR(INDEX(IF($T557&lt;24,pcomp_l,palt_l),MATCH($X557,IF($T557&lt;24,pcomp_k,palt_k),1)),""))</f>
        <v/>
      </c>
      <c r="AS557">
        <f>IF(OR($X557="",$T557&gt;60),"",IFERROR(INDEX(IF($T557&lt;24,pcomp_m,palt_m),MATCH($X557,IF($T557&lt;24,pcomp_k,palt_k),1)),""))</f>
        <v/>
      </c>
      <c r="AT557">
        <f>IF(OR($X557="",$T557&gt;60),"",IFERROR(INDEX(IF($T557&lt;24,pcomp_s,palt_s),MATCH($X557,IF($T557&lt;24,pcomp_k,palt_k),1)),""))</f>
        <v/>
      </c>
      <c r="AU557">
        <f>IF($AR557="","",IF($AR557=0,LN($F557/$AS557)/$AT557,((($F557/$AS557)^$AR557)-1)/($AR557*$AT557)))</f>
        <v/>
      </c>
      <c r="AV557">
        <f>IF($AR557="","",IF($AR557=0,$AS557*EXP($AT557*2),$AS557*(1+$AR557*$AT557*2)^(1/$AR557)))</f>
        <v/>
      </c>
      <c r="AW557">
        <f>IF($AR557="","",IF($AR557=0,$AS557*EXP($AT557*3),$AS557*(1+$AR557*$AT557*3)^(1/$AR557)))</f>
        <v/>
      </c>
      <c r="AX557">
        <f>IF($AR557="","",IF($AR557=0,$AS557*EXP($AT557*-2),$AS557*(1+$AR557*$AT557*-2)^(1/$AR557)))</f>
        <v/>
      </c>
      <c r="AY557">
        <f>IF($AR557="","",IF($AR557=0,$AS557*EXP($AT557*-3),$AS557*(1+$AR557*$AT557*-3)^(1/$AR557)))</f>
        <v/>
      </c>
      <c r="AZ557">
        <f>IF(OR($A557="",$A557&lt;&gt;Ficha!$C$4),"",COUNTIF($A$2:$A557,Ficha!$C$4))</f>
        <v/>
      </c>
    </row>
    <row r="558">
      <c r="A558" s="8">
        <f>IF(INDEX(Banco!$A:$A,ROW())="","",INDEX(Banco!$A:$A,ROW()))</f>
        <v/>
      </c>
      <c r="B558" s="8">
        <f>IF(INDEX(Banco!$B:$B,ROW())="","",INDEX(Banco!$B:$B,ROW()))</f>
        <v/>
      </c>
      <c r="C558" s="8">
        <f>IF(INDEX(Banco!$C:$C,ROW())="","",INDEX(Banco!$C:$C,ROW()))</f>
        <v/>
      </c>
      <c r="D558" s="9">
        <f>IF(INDEX(Banco!$D:$D,ROW())="","",INDEX(Banco!$D:$D,ROW()))</f>
        <v/>
      </c>
      <c r="E558" s="9">
        <f>IF(INDEX(Banco!$E:$E,ROW())="","",INDEX(Banco!$E:$E,ROW()))</f>
        <v/>
      </c>
      <c r="F558" s="10">
        <f>IF(INDEX(Banco!$F:$F,ROW())="","",INDEX(Banco!$F:$F,ROW()))</f>
        <v/>
      </c>
      <c r="G558" s="10">
        <f>IF(INDEX(Banco!$G:$G,ROW())="","",INDEX(Banco!$G:$G,ROW()))</f>
        <v/>
      </c>
      <c r="H558" s="8">
        <f>IF(INDEX(Banco!$H:$H,ROW())="","",INDEX(Banco!$H:$H,ROW()))</f>
        <v/>
      </c>
      <c r="I558">
        <f>IF($T558="","",INT($T558/12)&amp;"a "&amp;MOD($T558,12)&amp;"m")</f>
        <v/>
      </c>
      <c r="J558" s="11">
        <f>IF(OR($F558="",$G558=""),"",ROUND($F558/($G558/100)^2,2))</f>
        <v/>
      </c>
      <c r="K558" s="12">
        <f>IF(OR($S558="",$J558="",$T558="",$T558&lt;0,$T558&gt;228,$Y558=""),"—",ROUND(IF(ABS($AB558)&lt;=3,$AB558,IF($AB558&gt;3,3+($J558-$AD558)/($AD558-$AC558),-3+($J558-$AF558)/($AE558-$AF558))),2))</f>
        <v/>
      </c>
      <c r="L558">
        <f>IF(OR($K558="",$K558="—"),"",IF($T558&lt;=60,IF($K558&lt;-3,"Magreza acentuada",IF($K558&lt;-2,"Magreza",IF($K558&lt;=1,"Eutrofia",IF($K558&lt;=2,"Risco de sobrepeso",IF($K558&lt;=3,"Sobrepeso","Obesidade"))))),IF($K558&lt;-3,"Magreza acentuada",IF($K558&lt;-2,"Magreza",IF($K558&lt;=1,"Eutrofia",IF($K558&lt;=2,"Sobrepeso",IF($K558&lt;=3,"Obesidade","Obesidade grave")))))))</f>
        <v/>
      </c>
      <c r="M558" s="12">
        <f>IF(OR($S558="",$V558="",$T558="",$T558&lt;0,$T558&gt;228,$AG558=""),"—",ROUND(IF($AG558=0,LN($V558/$AH558)/$AI558,((($V558/$AH558)^$AG558)-1)/($AG558*$AI558)),2))</f>
        <v/>
      </c>
      <c r="N558">
        <f>IF(OR($M558="",$M558="—"),"",IF($M558&lt;-3,"Muito baixa",IF($M558&lt;-2,"Baixa","Adequada")))</f>
        <v/>
      </c>
      <c r="O558" s="12">
        <f>IF(OR($S558="",$F558="",$T558="",$T558&lt;0,$T558&gt;120,$AJ558=""),"—",ROUND(IF(ABS($AM558)&lt;=3,$AM558,IF($AM558&gt;3,3+($F558-$AO558)/($AO558-$AN558),-3+($F558-$AQ558)/($AP558-$AQ558))),2))</f>
        <v/>
      </c>
      <c r="P558">
        <f>IF(OR($O558="",$O558="—"),"",IF($O558&lt;-3,"Muito baixo",IF($O558&lt;-2,"Baixo",IF($O558&lt;=2,"Adequado","Elevado"))))</f>
        <v/>
      </c>
      <c r="Q558" s="12">
        <f>IF(OR($S558="",$F558="",$T558="",$T558&lt;0,$T558&gt;60,$AR558=""),"—",ROUND(IF(ABS($AU558)&lt;=3,$AU558,IF($AU558&gt;3,3+($F558-$AW558)/($AW558-$AV558),-3+($F558-$AY558)/($AX558-$AY558))),2))</f>
        <v/>
      </c>
      <c r="R558">
        <f>IF(OR($Q558="",$Q558="—"),"",IF($Q558&lt;-3,"Magreza acentuada",IF($Q558&lt;-2,"Magreza",IF($Q558&lt;=1,"Eutrofia",IF($Q558&lt;=2,"Risco de sobrepeso",IF($Q558&lt;=3,"Sobrepeso","Obesidade"))))))</f>
        <v/>
      </c>
      <c r="S558">
        <f>IF($C558="","",IF(UPPER(LEFT($C558,1))="M",1,IF(UPPER(LEFT($C558,1))="F",2,"")))</f>
        <v/>
      </c>
      <c r="T558">
        <f>IF(OR($D558="",$E558=""),"",DATEDIF($D558,$E558,"m"))</f>
        <v/>
      </c>
      <c r="U558">
        <f>IF(OR($D558="",$E558=""),"",$E558-$D558)</f>
        <v/>
      </c>
      <c r="V558">
        <f>IF(OR($G558="",$T558=""),"",IF($T558&lt;24,IF(LEFT(LOWER($H558),4)="em p",$G558+0.7,$G558),IF(LEFT(LOWER($H558),4)="deit",$G558-0.7,$G558)))</f>
        <v/>
      </c>
      <c r="W558">
        <f>IF(OR($S558="",$T558=""),"",$S558*1000000+IF($T558&lt;=60,$U558,$T558))</f>
        <v/>
      </c>
      <c r="X558">
        <f>IF(OR($S558="",$V558="",$T558&gt;60,$T558=""),"",$S558*1000000+ROUND($V558*10,0))</f>
        <v/>
      </c>
      <c r="Y558">
        <f>IF($W558="","",IFERROR(INDEX(IF($T558&lt;=60,imc05_l,imc519_l),MATCH($W558,IF($T558&lt;=60,imc05_k,imc519_k),1)),""))</f>
        <v/>
      </c>
      <c r="Z558">
        <f>IF($W558="","",IFERROR(INDEX(IF($T558&lt;=60,imc05_m,imc519_m),MATCH($W558,IF($T558&lt;=60,imc05_k,imc519_k),1)),""))</f>
        <v/>
      </c>
      <c r="AA558">
        <f>IF($W558="","",IFERROR(INDEX(IF($T558&lt;=60,imc05_s,imc519_s),MATCH($W558,IF($T558&lt;=60,imc05_k,imc519_k),1)),""))</f>
        <v/>
      </c>
      <c r="AB558">
        <f>IF($Y558="","",IF($Y558=0,LN($J558/$Z558)/$AA558,((($J558/$Z558)^$Y558)-1)/($Y558*$AA558)))</f>
        <v/>
      </c>
      <c r="AC558">
        <f>IF($Y558="","",IF($Y558=0,$Z558*EXP($AA558*2),$Z558*(1+$Y558*$AA558*2)^(1/$Y558)))</f>
        <v/>
      </c>
      <c r="AD558">
        <f>IF($Y558="","",IF($Y558=0,$Z558*EXP($AA558*3),$Z558*(1+$Y558*$AA558*3)^(1/$Y558)))</f>
        <v/>
      </c>
      <c r="AE558">
        <f>IF($Y558="","",IF($Y558=0,$Z558*EXP($AA558*-2),$Z558*(1+$Y558*$AA558*-2)^(1/$Y558)))</f>
        <v/>
      </c>
      <c r="AF558">
        <f>IF($Y558="","",IF($Y558=0,$Z558*EXP($AA558*-3),$Z558*(1+$Y558*$AA558*-3)^(1/$Y558)))</f>
        <v/>
      </c>
      <c r="AG558">
        <f>IF($W558="","",IFERROR(INDEX(IF($T558&lt;=60,est05_l,est519_l),MATCH($W558,IF($T558&lt;=60,est05_k,est519_k),1)),""))</f>
        <v/>
      </c>
      <c r="AH558">
        <f>IF($W558="","",IFERROR(INDEX(IF($T558&lt;=60,est05_m,est519_m),MATCH($W558,IF($T558&lt;=60,est05_k,est519_k),1)),""))</f>
        <v/>
      </c>
      <c r="AI558">
        <f>IF($W558="","",IFERROR(INDEX(IF($T558&lt;=60,est05_s,est519_s),MATCH($W558,IF($T558&lt;=60,est05_k,est519_k),1)),""))</f>
        <v/>
      </c>
      <c r="AJ558">
        <f>IF($W558="","",IFERROR(INDEX(IF($T558&lt;=60,peso05_l,peso510_l),MATCH($W558,IF($T558&lt;=60,peso05_k,peso510_k),1)),""))</f>
        <v/>
      </c>
      <c r="AK558">
        <f>IF($W558="","",IFERROR(INDEX(IF($T558&lt;=60,peso05_m,peso510_m),MATCH($W558,IF($T558&lt;=60,peso05_k,peso510_k),1)),""))</f>
        <v/>
      </c>
      <c r="AL558">
        <f>IF($W558="","",IFERROR(INDEX(IF($T558&lt;=60,peso05_s,peso510_s),MATCH($W558,IF($T558&lt;=60,peso05_k,peso510_k),1)),""))</f>
        <v/>
      </c>
      <c r="AM558">
        <f>IF($AJ558="","",IF($AJ558=0,LN($F558/$AK558)/$AL558,((($F558/$AK558)^$AJ558)-1)/($AJ558*$AL558)))</f>
        <v/>
      </c>
      <c r="AN558">
        <f>IF($AJ558="","",IF($AJ558=0,$AK558*EXP($AL558*2),$AK558*(1+$AJ558*$AL558*2)^(1/$AJ558)))</f>
        <v/>
      </c>
      <c r="AO558">
        <f>IF($AJ558="","",IF($AJ558=0,$AK558*EXP($AL558*3),$AK558*(1+$AJ558*$AL558*3)^(1/$AJ558)))</f>
        <v/>
      </c>
      <c r="AP558">
        <f>IF($AJ558="","",IF($AJ558=0,$AK558*EXP($AL558*-2),$AK558*(1+$AJ558*$AL558*-2)^(1/$AJ558)))</f>
        <v/>
      </c>
      <c r="AQ558">
        <f>IF($AJ558="","",IF($AJ558=0,$AK558*EXP($AL558*-3),$AK558*(1+$AJ558*$AL558*-3)^(1/$AJ558)))</f>
        <v/>
      </c>
      <c r="AR558">
        <f>IF(OR($X558="",$T558&gt;60),"",IFERROR(INDEX(IF($T558&lt;24,pcomp_l,palt_l),MATCH($X558,IF($T558&lt;24,pcomp_k,palt_k),1)),""))</f>
        <v/>
      </c>
      <c r="AS558">
        <f>IF(OR($X558="",$T558&gt;60),"",IFERROR(INDEX(IF($T558&lt;24,pcomp_m,palt_m),MATCH($X558,IF($T558&lt;24,pcomp_k,palt_k),1)),""))</f>
        <v/>
      </c>
      <c r="AT558">
        <f>IF(OR($X558="",$T558&gt;60),"",IFERROR(INDEX(IF($T558&lt;24,pcomp_s,palt_s),MATCH($X558,IF($T558&lt;24,pcomp_k,palt_k),1)),""))</f>
        <v/>
      </c>
      <c r="AU558">
        <f>IF($AR558="","",IF($AR558=0,LN($F558/$AS558)/$AT558,((($F558/$AS558)^$AR558)-1)/($AR558*$AT558)))</f>
        <v/>
      </c>
      <c r="AV558">
        <f>IF($AR558="","",IF($AR558=0,$AS558*EXP($AT558*2),$AS558*(1+$AR558*$AT558*2)^(1/$AR558)))</f>
        <v/>
      </c>
      <c r="AW558">
        <f>IF($AR558="","",IF($AR558=0,$AS558*EXP($AT558*3),$AS558*(1+$AR558*$AT558*3)^(1/$AR558)))</f>
        <v/>
      </c>
      <c r="AX558">
        <f>IF($AR558="","",IF($AR558=0,$AS558*EXP($AT558*-2),$AS558*(1+$AR558*$AT558*-2)^(1/$AR558)))</f>
        <v/>
      </c>
      <c r="AY558">
        <f>IF($AR558="","",IF($AR558=0,$AS558*EXP($AT558*-3),$AS558*(1+$AR558*$AT558*-3)^(1/$AR558)))</f>
        <v/>
      </c>
      <c r="AZ558">
        <f>IF(OR($A558="",$A558&lt;&gt;Ficha!$C$4),"",COUNTIF($A$2:$A558,Ficha!$C$4))</f>
        <v/>
      </c>
    </row>
    <row r="559">
      <c r="A559" s="8">
        <f>IF(INDEX(Banco!$A:$A,ROW())="","",INDEX(Banco!$A:$A,ROW()))</f>
        <v/>
      </c>
      <c r="B559" s="8">
        <f>IF(INDEX(Banco!$B:$B,ROW())="","",INDEX(Banco!$B:$B,ROW()))</f>
        <v/>
      </c>
      <c r="C559" s="8">
        <f>IF(INDEX(Banco!$C:$C,ROW())="","",INDEX(Banco!$C:$C,ROW()))</f>
        <v/>
      </c>
      <c r="D559" s="9">
        <f>IF(INDEX(Banco!$D:$D,ROW())="","",INDEX(Banco!$D:$D,ROW()))</f>
        <v/>
      </c>
      <c r="E559" s="9">
        <f>IF(INDEX(Banco!$E:$E,ROW())="","",INDEX(Banco!$E:$E,ROW()))</f>
        <v/>
      </c>
      <c r="F559" s="10">
        <f>IF(INDEX(Banco!$F:$F,ROW())="","",INDEX(Banco!$F:$F,ROW()))</f>
        <v/>
      </c>
      <c r="G559" s="10">
        <f>IF(INDEX(Banco!$G:$G,ROW())="","",INDEX(Banco!$G:$G,ROW()))</f>
        <v/>
      </c>
      <c r="H559" s="8">
        <f>IF(INDEX(Banco!$H:$H,ROW())="","",INDEX(Banco!$H:$H,ROW()))</f>
        <v/>
      </c>
      <c r="I559">
        <f>IF($T559="","",INT($T559/12)&amp;"a "&amp;MOD($T559,12)&amp;"m")</f>
        <v/>
      </c>
      <c r="J559" s="11">
        <f>IF(OR($F559="",$G559=""),"",ROUND($F559/($G559/100)^2,2))</f>
        <v/>
      </c>
      <c r="K559" s="12">
        <f>IF(OR($S559="",$J559="",$T559="",$T559&lt;0,$T559&gt;228,$Y559=""),"—",ROUND(IF(ABS($AB559)&lt;=3,$AB559,IF($AB559&gt;3,3+($J559-$AD559)/($AD559-$AC559),-3+($J559-$AF559)/($AE559-$AF559))),2))</f>
        <v/>
      </c>
      <c r="L559">
        <f>IF(OR($K559="",$K559="—"),"",IF($T559&lt;=60,IF($K559&lt;-3,"Magreza acentuada",IF($K559&lt;-2,"Magreza",IF($K559&lt;=1,"Eutrofia",IF($K559&lt;=2,"Risco de sobrepeso",IF($K559&lt;=3,"Sobrepeso","Obesidade"))))),IF($K559&lt;-3,"Magreza acentuada",IF($K559&lt;-2,"Magreza",IF($K559&lt;=1,"Eutrofia",IF($K559&lt;=2,"Sobrepeso",IF($K559&lt;=3,"Obesidade","Obesidade grave")))))))</f>
        <v/>
      </c>
      <c r="M559" s="12">
        <f>IF(OR($S559="",$V559="",$T559="",$T559&lt;0,$T559&gt;228,$AG559=""),"—",ROUND(IF($AG559=0,LN($V559/$AH559)/$AI559,((($V559/$AH559)^$AG559)-1)/($AG559*$AI559)),2))</f>
        <v/>
      </c>
      <c r="N559">
        <f>IF(OR($M559="",$M559="—"),"",IF($M559&lt;-3,"Muito baixa",IF($M559&lt;-2,"Baixa","Adequada")))</f>
        <v/>
      </c>
      <c r="O559" s="12">
        <f>IF(OR($S559="",$F559="",$T559="",$T559&lt;0,$T559&gt;120,$AJ559=""),"—",ROUND(IF(ABS($AM559)&lt;=3,$AM559,IF($AM559&gt;3,3+($F559-$AO559)/($AO559-$AN559),-3+($F559-$AQ559)/($AP559-$AQ559))),2))</f>
        <v/>
      </c>
      <c r="P559">
        <f>IF(OR($O559="",$O559="—"),"",IF($O559&lt;-3,"Muito baixo",IF($O559&lt;-2,"Baixo",IF($O559&lt;=2,"Adequado","Elevado"))))</f>
        <v/>
      </c>
      <c r="Q559" s="12">
        <f>IF(OR($S559="",$F559="",$T559="",$T559&lt;0,$T559&gt;60,$AR559=""),"—",ROUND(IF(ABS($AU559)&lt;=3,$AU559,IF($AU559&gt;3,3+($F559-$AW559)/($AW559-$AV559),-3+($F559-$AY559)/($AX559-$AY559))),2))</f>
        <v/>
      </c>
      <c r="R559">
        <f>IF(OR($Q559="",$Q559="—"),"",IF($Q559&lt;-3,"Magreza acentuada",IF($Q559&lt;-2,"Magreza",IF($Q559&lt;=1,"Eutrofia",IF($Q559&lt;=2,"Risco de sobrepeso",IF($Q559&lt;=3,"Sobrepeso","Obesidade"))))))</f>
        <v/>
      </c>
      <c r="S559">
        <f>IF($C559="","",IF(UPPER(LEFT($C559,1))="M",1,IF(UPPER(LEFT($C559,1))="F",2,"")))</f>
        <v/>
      </c>
      <c r="T559">
        <f>IF(OR($D559="",$E559=""),"",DATEDIF($D559,$E559,"m"))</f>
        <v/>
      </c>
      <c r="U559">
        <f>IF(OR($D559="",$E559=""),"",$E559-$D559)</f>
        <v/>
      </c>
      <c r="V559">
        <f>IF(OR($G559="",$T559=""),"",IF($T559&lt;24,IF(LEFT(LOWER($H559),4)="em p",$G559+0.7,$G559),IF(LEFT(LOWER($H559),4)="deit",$G559-0.7,$G559)))</f>
        <v/>
      </c>
      <c r="W559">
        <f>IF(OR($S559="",$T559=""),"",$S559*1000000+IF($T559&lt;=60,$U559,$T559))</f>
        <v/>
      </c>
      <c r="X559">
        <f>IF(OR($S559="",$V559="",$T559&gt;60,$T559=""),"",$S559*1000000+ROUND($V559*10,0))</f>
        <v/>
      </c>
      <c r="Y559">
        <f>IF($W559="","",IFERROR(INDEX(IF($T559&lt;=60,imc05_l,imc519_l),MATCH($W559,IF($T559&lt;=60,imc05_k,imc519_k),1)),""))</f>
        <v/>
      </c>
      <c r="Z559">
        <f>IF($W559="","",IFERROR(INDEX(IF($T559&lt;=60,imc05_m,imc519_m),MATCH($W559,IF($T559&lt;=60,imc05_k,imc519_k),1)),""))</f>
        <v/>
      </c>
      <c r="AA559">
        <f>IF($W559="","",IFERROR(INDEX(IF($T559&lt;=60,imc05_s,imc519_s),MATCH($W559,IF($T559&lt;=60,imc05_k,imc519_k),1)),""))</f>
        <v/>
      </c>
      <c r="AB559">
        <f>IF($Y559="","",IF($Y559=0,LN($J559/$Z559)/$AA559,((($J559/$Z559)^$Y559)-1)/($Y559*$AA559)))</f>
        <v/>
      </c>
      <c r="AC559">
        <f>IF($Y559="","",IF($Y559=0,$Z559*EXP($AA559*2),$Z559*(1+$Y559*$AA559*2)^(1/$Y559)))</f>
        <v/>
      </c>
      <c r="AD559">
        <f>IF($Y559="","",IF($Y559=0,$Z559*EXP($AA559*3),$Z559*(1+$Y559*$AA559*3)^(1/$Y559)))</f>
        <v/>
      </c>
      <c r="AE559">
        <f>IF($Y559="","",IF($Y559=0,$Z559*EXP($AA559*-2),$Z559*(1+$Y559*$AA559*-2)^(1/$Y559)))</f>
        <v/>
      </c>
      <c r="AF559">
        <f>IF($Y559="","",IF($Y559=0,$Z559*EXP($AA559*-3),$Z559*(1+$Y559*$AA559*-3)^(1/$Y559)))</f>
        <v/>
      </c>
      <c r="AG559">
        <f>IF($W559="","",IFERROR(INDEX(IF($T559&lt;=60,est05_l,est519_l),MATCH($W559,IF($T559&lt;=60,est05_k,est519_k),1)),""))</f>
        <v/>
      </c>
      <c r="AH559">
        <f>IF($W559="","",IFERROR(INDEX(IF($T559&lt;=60,est05_m,est519_m),MATCH($W559,IF($T559&lt;=60,est05_k,est519_k),1)),""))</f>
        <v/>
      </c>
      <c r="AI559">
        <f>IF($W559="","",IFERROR(INDEX(IF($T559&lt;=60,est05_s,est519_s),MATCH($W559,IF($T559&lt;=60,est05_k,est519_k),1)),""))</f>
        <v/>
      </c>
      <c r="AJ559">
        <f>IF($W559="","",IFERROR(INDEX(IF($T559&lt;=60,peso05_l,peso510_l),MATCH($W559,IF($T559&lt;=60,peso05_k,peso510_k),1)),""))</f>
        <v/>
      </c>
      <c r="AK559">
        <f>IF($W559="","",IFERROR(INDEX(IF($T559&lt;=60,peso05_m,peso510_m),MATCH($W559,IF($T559&lt;=60,peso05_k,peso510_k),1)),""))</f>
        <v/>
      </c>
      <c r="AL559">
        <f>IF($W559="","",IFERROR(INDEX(IF($T559&lt;=60,peso05_s,peso510_s),MATCH($W559,IF($T559&lt;=60,peso05_k,peso510_k),1)),""))</f>
        <v/>
      </c>
      <c r="AM559">
        <f>IF($AJ559="","",IF($AJ559=0,LN($F559/$AK559)/$AL559,((($F559/$AK559)^$AJ559)-1)/($AJ559*$AL559)))</f>
        <v/>
      </c>
      <c r="AN559">
        <f>IF($AJ559="","",IF($AJ559=0,$AK559*EXP($AL559*2),$AK559*(1+$AJ559*$AL559*2)^(1/$AJ559)))</f>
        <v/>
      </c>
      <c r="AO559">
        <f>IF($AJ559="","",IF($AJ559=0,$AK559*EXP($AL559*3),$AK559*(1+$AJ559*$AL559*3)^(1/$AJ559)))</f>
        <v/>
      </c>
      <c r="AP559">
        <f>IF($AJ559="","",IF($AJ559=0,$AK559*EXP($AL559*-2),$AK559*(1+$AJ559*$AL559*-2)^(1/$AJ559)))</f>
        <v/>
      </c>
      <c r="AQ559">
        <f>IF($AJ559="","",IF($AJ559=0,$AK559*EXP($AL559*-3),$AK559*(1+$AJ559*$AL559*-3)^(1/$AJ559)))</f>
        <v/>
      </c>
      <c r="AR559">
        <f>IF(OR($X559="",$T559&gt;60),"",IFERROR(INDEX(IF($T559&lt;24,pcomp_l,palt_l),MATCH($X559,IF($T559&lt;24,pcomp_k,palt_k),1)),""))</f>
        <v/>
      </c>
      <c r="AS559">
        <f>IF(OR($X559="",$T559&gt;60),"",IFERROR(INDEX(IF($T559&lt;24,pcomp_m,palt_m),MATCH($X559,IF($T559&lt;24,pcomp_k,palt_k),1)),""))</f>
        <v/>
      </c>
      <c r="AT559">
        <f>IF(OR($X559="",$T559&gt;60),"",IFERROR(INDEX(IF($T559&lt;24,pcomp_s,palt_s),MATCH($X559,IF($T559&lt;24,pcomp_k,palt_k),1)),""))</f>
        <v/>
      </c>
      <c r="AU559">
        <f>IF($AR559="","",IF($AR559=0,LN($F559/$AS559)/$AT559,((($F559/$AS559)^$AR559)-1)/($AR559*$AT559)))</f>
        <v/>
      </c>
      <c r="AV559">
        <f>IF($AR559="","",IF($AR559=0,$AS559*EXP($AT559*2),$AS559*(1+$AR559*$AT559*2)^(1/$AR559)))</f>
        <v/>
      </c>
      <c r="AW559">
        <f>IF($AR559="","",IF($AR559=0,$AS559*EXP($AT559*3),$AS559*(1+$AR559*$AT559*3)^(1/$AR559)))</f>
        <v/>
      </c>
      <c r="AX559">
        <f>IF($AR559="","",IF($AR559=0,$AS559*EXP($AT559*-2),$AS559*(1+$AR559*$AT559*-2)^(1/$AR559)))</f>
        <v/>
      </c>
      <c r="AY559">
        <f>IF($AR559="","",IF($AR559=0,$AS559*EXP($AT559*-3),$AS559*(1+$AR559*$AT559*-3)^(1/$AR559)))</f>
        <v/>
      </c>
      <c r="AZ559">
        <f>IF(OR($A559="",$A559&lt;&gt;Ficha!$C$4),"",COUNTIF($A$2:$A559,Ficha!$C$4))</f>
        <v/>
      </c>
    </row>
    <row r="560">
      <c r="A560" s="8">
        <f>IF(INDEX(Banco!$A:$A,ROW())="","",INDEX(Banco!$A:$A,ROW()))</f>
        <v/>
      </c>
      <c r="B560" s="8">
        <f>IF(INDEX(Banco!$B:$B,ROW())="","",INDEX(Banco!$B:$B,ROW()))</f>
        <v/>
      </c>
      <c r="C560" s="8">
        <f>IF(INDEX(Banco!$C:$C,ROW())="","",INDEX(Banco!$C:$C,ROW()))</f>
        <v/>
      </c>
      <c r="D560" s="9">
        <f>IF(INDEX(Banco!$D:$D,ROW())="","",INDEX(Banco!$D:$D,ROW()))</f>
        <v/>
      </c>
      <c r="E560" s="9">
        <f>IF(INDEX(Banco!$E:$E,ROW())="","",INDEX(Banco!$E:$E,ROW()))</f>
        <v/>
      </c>
      <c r="F560" s="10">
        <f>IF(INDEX(Banco!$F:$F,ROW())="","",INDEX(Banco!$F:$F,ROW()))</f>
        <v/>
      </c>
      <c r="G560" s="10">
        <f>IF(INDEX(Banco!$G:$G,ROW())="","",INDEX(Banco!$G:$G,ROW()))</f>
        <v/>
      </c>
      <c r="H560" s="8">
        <f>IF(INDEX(Banco!$H:$H,ROW())="","",INDEX(Banco!$H:$H,ROW()))</f>
        <v/>
      </c>
      <c r="I560">
        <f>IF($T560="","",INT($T560/12)&amp;"a "&amp;MOD($T560,12)&amp;"m")</f>
        <v/>
      </c>
      <c r="J560" s="11">
        <f>IF(OR($F560="",$G560=""),"",ROUND($F560/($G560/100)^2,2))</f>
        <v/>
      </c>
      <c r="K560" s="12">
        <f>IF(OR($S560="",$J560="",$T560="",$T560&lt;0,$T560&gt;228,$Y560=""),"—",ROUND(IF(ABS($AB560)&lt;=3,$AB560,IF($AB560&gt;3,3+($J560-$AD560)/($AD560-$AC560),-3+($J560-$AF560)/($AE560-$AF560))),2))</f>
        <v/>
      </c>
      <c r="L560">
        <f>IF(OR($K560="",$K560="—"),"",IF($T560&lt;=60,IF($K560&lt;-3,"Magreza acentuada",IF($K560&lt;-2,"Magreza",IF($K560&lt;=1,"Eutrofia",IF($K560&lt;=2,"Risco de sobrepeso",IF($K560&lt;=3,"Sobrepeso","Obesidade"))))),IF($K560&lt;-3,"Magreza acentuada",IF($K560&lt;-2,"Magreza",IF($K560&lt;=1,"Eutrofia",IF($K560&lt;=2,"Sobrepeso",IF($K560&lt;=3,"Obesidade","Obesidade grave")))))))</f>
        <v/>
      </c>
      <c r="M560" s="12">
        <f>IF(OR($S560="",$V560="",$T560="",$T560&lt;0,$T560&gt;228,$AG560=""),"—",ROUND(IF($AG560=0,LN($V560/$AH560)/$AI560,((($V560/$AH560)^$AG560)-1)/($AG560*$AI560)),2))</f>
        <v/>
      </c>
      <c r="N560">
        <f>IF(OR($M560="",$M560="—"),"",IF($M560&lt;-3,"Muito baixa",IF($M560&lt;-2,"Baixa","Adequada")))</f>
        <v/>
      </c>
      <c r="O560" s="12">
        <f>IF(OR($S560="",$F560="",$T560="",$T560&lt;0,$T560&gt;120,$AJ560=""),"—",ROUND(IF(ABS($AM560)&lt;=3,$AM560,IF($AM560&gt;3,3+($F560-$AO560)/($AO560-$AN560),-3+($F560-$AQ560)/($AP560-$AQ560))),2))</f>
        <v/>
      </c>
      <c r="P560">
        <f>IF(OR($O560="",$O560="—"),"",IF($O560&lt;-3,"Muito baixo",IF($O560&lt;-2,"Baixo",IF($O560&lt;=2,"Adequado","Elevado"))))</f>
        <v/>
      </c>
      <c r="Q560" s="12">
        <f>IF(OR($S560="",$F560="",$T560="",$T560&lt;0,$T560&gt;60,$AR560=""),"—",ROUND(IF(ABS($AU560)&lt;=3,$AU560,IF($AU560&gt;3,3+($F560-$AW560)/($AW560-$AV560),-3+($F560-$AY560)/($AX560-$AY560))),2))</f>
        <v/>
      </c>
      <c r="R560">
        <f>IF(OR($Q560="",$Q560="—"),"",IF($Q560&lt;-3,"Magreza acentuada",IF($Q560&lt;-2,"Magreza",IF($Q560&lt;=1,"Eutrofia",IF($Q560&lt;=2,"Risco de sobrepeso",IF($Q560&lt;=3,"Sobrepeso","Obesidade"))))))</f>
        <v/>
      </c>
      <c r="S560">
        <f>IF($C560="","",IF(UPPER(LEFT($C560,1))="M",1,IF(UPPER(LEFT($C560,1))="F",2,"")))</f>
        <v/>
      </c>
      <c r="T560">
        <f>IF(OR($D560="",$E560=""),"",DATEDIF($D560,$E560,"m"))</f>
        <v/>
      </c>
      <c r="U560">
        <f>IF(OR($D560="",$E560=""),"",$E560-$D560)</f>
        <v/>
      </c>
      <c r="V560">
        <f>IF(OR($G560="",$T560=""),"",IF($T560&lt;24,IF(LEFT(LOWER($H560),4)="em p",$G560+0.7,$G560),IF(LEFT(LOWER($H560),4)="deit",$G560-0.7,$G560)))</f>
        <v/>
      </c>
      <c r="W560">
        <f>IF(OR($S560="",$T560=""),"",$S560*1000000+IF($T560&lt;=60,$U560,$T560))</f>
        <v/>
      </c>
      <c r="X560">
        <f>IF(OR($S560="",$V560="",$T560&gt;60,$T560=""),"",$S560*1000000+ROUND($V560*10,0))</f>
        <v/>
      </c>
      <c r="Y560">
        <f>IF($W560="","",IFERROR(INDEX(IF($T560&lt;=60,imc05_l,imc519_l),MATCH($W560,IF($T560&lt;=60,imc05_k,imc519_k),1)),""))</f>
        <v/>
      </c>
      <c r="Z560">
        <f>IF($W560="","",IFERROR(INDEX(IF($T560&lt;=60,imc05_m,imc519_m),MATCH($W560,IF($T560&lt;=60,imc05_k,imc519_k),1)),""))</f>
        <v/>
      </c>
      <c r="AA560">
        <f>IF($W560="","",IFERROR(INDEX(IF($T560&lt;=60,imc05_s,imc519_s),MATCH($W560,IF($T560&lt;=60,imc05_k,imc519_k),1)),""))</f>
        <v/>
      </c>
      <c r="AB560">
        <f>IF($Y560="","",IF($Y560=0,LN($J560/$Z560)/$AA560,((($J560/$Z560)^$Y560)-1)/($Y560*$AA560)))</f>
        <v/>
      </c>
      <c r="AC560">
        <f>IF($Y560="","",IF($Y560=0,$Z560*EXP($AA560*2),$Z560*(1+$Y560*$AA560*2)^(1/$Y560)))</f>
        <v/>
      </c>
      <c r="AD560">
        <f>IF($Y560="","",IF($Y560=0,$Z560*EXP($AA560*3),$Z560*(1+$Y560*$AA560*3)^(1/$Y560)))</f>
        <v/>
      </c>
      <c r="AE560">
        <f>IF($Y560="","",IF($Y560=0,$Z560*EXP($AA560*-2),$Z560*(1+$Y560*$AA560*-2)^(1/$Y560)))</f>
        <v/>
      </c>
      <c r="AF560">
        <f>IF($Y560="","",IF($Y560=0,$Z560*EXP($AA560*-3),$Z560*(1+$Y560*$AA560*-3)^(1/$Y560)))</f>
        <v/>
      </c>
      <c r="AG560">
        <f>IF($W560="","",IFERROR(INDEX(IF($T560&lt;=60,est05_l,est519_l),MATCH($W560,IF($T560&lt;=60,est05_k,est519_k),1)),""))</f>
        <v/>
      </c>
      <c r="AH560">
        <f>IF($W560="","",IFERROR(INDEX(IF($T560&lt;=60,est05_m,est519_m),MATCH($W560,IF($T560&lt;=60,est05_k,est519_k),1)),""))</f>
        <v/>
      </c>
      <c r="AI560">
        <f>IF($W560="","",IFERROR(INDEX(IF($T560&lt;=60,est05_s,est519_s),MATCH($W560,IF($T560&lt;=60,est05_k,est519_k),1)),""))</f>
        <v/>
      </c>
      <c r="AJ560">
        <f>IF($W560="","",IFERROR(INDEX(IF($T560&lt;=60,peso05_l,peso510_l),MATCH($W560,IF($T560&lt;=60,peso05_k,peso510_k),1)),""))</f>
        <v/>
      </c>
      <c r="AK560">
        <f>IF($W560="","",IFERROR(INDEX(IF($T560&lt;=60,peso05_m,peso510_m),MATCH($W560,IF($T560&lt;=60,peso05_k,peso510_k),1)),""))</f>
        <v/>
      </c>
      <c r="AL560">
        <f>IF($W560="","",IFERROR(INDEX(IF($T560&lt;=60,peso05_s,peso510_s),MATCH($W560,IF($T560&lt;=60,peso05_k,peso510_k),1)),""))</f>
        <v/>
      </c>
      <c r="AM560">
        <f>IF($AJ560="","",IF($AJ560=0,LN($F560/$AK560)/$AL560,((($F560/$AK560)^$AJ560)-1)/($AJ560*$AL560)))</f>
        <v/>
      </c>
      <c r="AN560">
        <f>IF($AJ560="","",IF($AJ560=0,$AK560*EXP($AL560*2),$AK560*(1+$AJ560*$AL560*2)^(1/$AJ560)))</f>
        <v/>
      </c>
      <c r="AO560">
        <f>IF($AJ560="","",IF($AJ560=0,$AK560*EXP($AL560*3),$AK560*(1+$AJ560*$AL560*3)^(1/$AJ560)))</f>
        <v/>
      </c>
      <c r="AP560">
        <f>IF($AJ560="","",IF($AJ560=0,$AK560*EXP($AL560*-2),$AK560*(1+$AJ560*$AL560*-2)^(1/$AJ560)))</f>
        <v/>
      </c>
      <c r="AQ560">
        <f>IF($AJ560="","",IF($AJ560=0,$AK560*EXP($AL560*-3),$AK560*(1+$AJ560*$AL560*-3)^(1/$AJ560)))</f>
        <v/>
      </c>
      <c r="AR560">
        <f>IF(OR($X560="",$T560&gt;60),"",IFERROR(INDEX(IF($T560&lt;24,pcomp_l,palt_l),MATCH($X560,IF($T560&lt;24,pcomp_k,palt_k),1)),""))</f>
        <v/>
      </c>
      <c r="AS560">
        <f>IF(OR($X560="",$T560&gt;60),"",IFERROR(INDEX(IF($T560&lt;24,pcomp_m,palt_m),MATCH($X560,IF($T560&lt;24,pcomp_k,palt_k),1)),""))</f>
        <v/>
      </c>
      <c r="AT560">
        <f>IF(OR($X560="",$T560&gt;60),"",IFERROR(INDEX(IF($T560&lt;24,pcomp_s,palt_s),MATCH($X560,IF($T560&lt;24,pcomp_k,palt_k),1)),""))</f>
        <v/>
      </c>
      <c r="AU560">
        <f>IF($AR560="","",IF($AR560=0,LN($F560/$AS560)/$AT560,((($F560/$AS560)^$AR560)-1)/($AR560*$AT560)))</f>
        <v/>
      </c>
      <c r="AV560">
        <f>IF($AR560="","",IF($AR560=0,$AS560*EXP($AT560*2),$AS560*(1+$AR560*$AT560*2)^(1/$AR560)))</f>
        <v/>
      </c>
      <c r="AW560">
        <f>IF($AR560="","",IF($AR560=0,$AS560*EXP($AT560*3),$AS560*(1+$AR560*$AT560*3)^(1/$AR560)))</f>
        <v/>
      </c>
      <c r="AX560">
        <f>IF($AR560="","",IF($AR560=0,$AS560*EXP($AT560*-2),$AS560*(1+$AR560*$AT560*-2)^(1/$AR560)))</f>
        <v/>
      </c>
      <c r="AY560">
        <f>IF($AR560="","",IF($AR560=0,$AS560*EXP($AT560*-3),$AS560*(1+$AR560*$AT560*-3)^(1/$AR560)))</f>
        <v/>
      </c>
      <c r="AZ560">
        <f>IF(OR($A560="",$A560&lt;&gt;Ficha!$C$4),"",COUNTIF($A$2:$A560,Ficha!$C$4))</f>
        <v/>
      </c>
    </row>
    <row r="561">
      <c r="A561" s="8">
        <f>IF(INDEX(Banco!$A:$A,ROW())="","",INDEX(Banco!$A:$A,ROW()))</f>
        <v/>
      </c>
      <c r="B561" s="8">
        <f>IF(INDEX(Banco!$B:$B,ROW())="","",INDEX(Banco!$B:$B,ROW()))</f>
        <v/>
      </c>
      <c r="C561" s="8">
        <f>IF(INDEX(Banco!$C:$C,ROW())="","",INDEX(Banco!$C:$C,ROW()))</f>
        <v/>
      </c>
      <c r="D561" s="9">
        <f>IF(INDEX(Banco!$D:$D,ROW())="","",INDEX(Banco!$D:$D,ROW()))</f>
        <v/>
      </c>
      <c r="E561" s="9">
        <f>IF(INDEX(Banco!$E:$E,ROW())="","",INDEX(Banco!$E:$E,ROW()))</f>
        <v/>
      </c>
      <c r="F561" s="10">
        <f>IF(INDEX(Banco!$F:$F,ROW())="","",INDEX(Banco!$F:$F,ROW()))</f>
        <v/>
      </c>
      <c r="G561" s="10">
        <f>IF(INDEX(Banco!$G:$G,ROW())="","",INDEX(Banco!$G:$G,ROW()))</f>
        <v/>
      </c>
      <c r="H561" s="8">
        <f>IF(INDEX(Banco!$H:$H,ROW())="","",INDEX(Banco!$H:$H,ROW()))</f>
        <v/>
      </c>
      <c r="I561">
        <f>IF($T561="","",INT($T561/12)&amp;"a "&amp;MOD($T561,12)&amp;"m")</f>
        <v/>
      </c>
      <c r="J561" s="11">
        <f>IF(OR($F561="",$G561=""),"",ROUND($F561/($G561/100)^2,2))</f>
        <v/>
      </c>
      <c r="K561" s="12">
        <f>IF(OR($S561="",$J561="",$T561="",$T561&lt;0,$T561&gt;228,$Y561=""),"—",ROUND(IF(ABS($AB561)&lt;=3,$AB561,IF($AB561&gt;3,3+($J561-$AD561)/($AD561-$AC561),-3+($J561-$AF561)/($AE561-$AF561))),2))</f>
        <v/>
      </c>
      <c r="L561">
        <f>IF(OR($K561="",$K561="—"),"",IF($T561&lt;=60,IF($K561&lt;-3,"Magreza acentuada",IF($K561&lt;-2,"Magreza",IF($K561&lt;=1,"Eutrofia",IF($K561&lt;=2,"Risco de sobrepeso",IF($K561&lt;=3,"Sobrepeso","Obesidade"))))),IF($K561&lt;-3,"Magreza acentuada",IF($K561&lt;-2,"Magreza",IF($K561&lt;=1,"Eutrofia",IF($K561&lt;=2,"Sobrepeso",IF($K561&lt;=3,"Obesidade","Obesidade grave")))))))</f>
        <v/>
      </c>
      <c r="M561" s="12">
        <f>IF(OR($S561="",$V561="",$T561="",$T561&lt;0,$T561&gt;228,$AG561=""),"—",ROUND(IF($AG561=0,LN($V561/$AH561)/$AI561,((($V561/$AH561)^$AG561)-1)/($AG561*$AI561)),2))</f>
        <v/>
      </c>
      <c r="N561">
        <f>IF(OR($M561="",$M561="—"),"",IF($M561&lt;-3,"Muito baixa",IF($M561&lt;-2,"Baixa","Adequada")))</f>
        <v/>
      </c>
      <c r="O561" s="12">
        <f>IF(OR($S561="",$F561="",$T561="",$T561&lt;0,$T561&gt;120,$AJ561=""),"—",ROUND(IF(ABS($AM561)&lt;=3,$AM561,IF($AM561&gt;3,3+($F561-$AO561)/($AO561-$AN561),-3+($F561-$AQ561)/($AP561-$AQ561))),2))</f>
        <v/>
      </c>
      <c r="P561">
        <f>IF(OR($O561="",$O561="—"),"",IF($O561&lt;-3,"Muito baixo",IF($O561&lt;-2,"Baixo",IF($O561&lt;=2,"Adequado","Elevado"))))</f>
        <v/>
      </c>
      <c r="Q561" s="12">
        <f>IF(OR($S561="",$F561="",$T561="",$T561&lt;0,$T561&gt;60,$AR561=""),"—",ROUND(IF(ABS($AU561)&lt;=3,$AU561,IF($AU561&gt;3,3+($F561-$AW561)/($AW561-$AV561),-3+($F561-$AY561)/($AX561-$AY561))),2))</f>
        <v/>
      </c>
      <c r="R561">
        <f>IF(OR($Q561="",$Q561="—"),"",IF($Q561&lt;-3,"Magreza acentuada",IF($Q561&lt;-2,"Magreza",IF($Q561&lt;=1,"Eutrofia",IF($Q561&lt;=2,"Risco de sobrepeso",IF($Q561&lt;=3,"Sobrepeso","Obesidade"))))))</f>
        <v/>
      </c>
      <c r="S561">
        <f>IF($C561="","",IF(UPPER(LEFT($C561,1))="M",1,IF(UPPER(LEFT($C561,1))="F",2,"")))</f>
        <v/>
      </c>
      <c r="T561">
        <f>IF(OR($D561="",$E561=""),"",DATEDIF($D561,$E561,"m"))</f>
        <v/>
      </c>
      <c r="U561">
        <f>IF(OR($D561="",$E561=""),"",$E561-$D561)</f>
        <v/>
      </c>
      <c r="V561">
        <f>IF(OR($G561="",$T561=""),"",IF($T561&lt;24,IF(LEFT(LOWER($H561),4)="em p",$G561+0.7,$G561),IF(LEFT(LOWER($H561),4)="deit",$G561-0.7,$G561)))</f>
        <v/>
      </c>
      <c r="W561">
        <f>IF(OR($S561="",$T561=""),"",$S561*1000000+IF($T561&lt;=60,$U561,$T561))</f>
        <v/>
      </c>
      <c r="X561">
        <f>IF(OR($S561="",$V561="",$T561&gt;60,$T561=""),"",$S561*1000000+ROUND($V561*10,0))</f>
        <v/>
      </c>
      <c r="Y561">
        <f>IF($W561="","",IFERROR(INDEX(IF($T561&lt;=60,imc05_l,imc519_l),MATCH($W561,IF($T561&lt;=60,imc05_k,imc519_k),1)),""))</f>
        <v/>
      </c>
      <c r="Z561">
        <f>IF($W561="","",IFERROR(INDEX(IF($T561&lt;=60,imc05_m,imc519_m),MATCH($W561,IF($T561&lt;=60,imc05_k,imc519_k),1)),""))</f>
        <v/>
      </c>
      <c r="AA561">
        <f>IF($W561="","",IFERROR(INDEX(IF($T561&lt;=60,imc05_s,imc519_s),MATCH($W561,IF($T561&lt;=60,imc05_k,imc519_k),1)),""))</f>
        <v/>
      </c>
      <c r="AB561">
        <f>IF($Y561="","",IF($Y561=0,LN($J561/$Z561)/$AA561,((($J561/$Z561)^$Y561)-1)/($Y561*$AA561)))</f>
        <v/>
      </c>
      <c r="AC561">
        <f>IF($Y561="","",IF($Y561=0,$Z561*EXP($AA561*2),$Z561*(1+$Y561*$AA561*2)^(1/$Y561)))</f>
        <v/>
      </c>
      <c r="AD561">
        <f>IF($Y561="","",IF($Y561=0,$Z561*EXP($AA561*3),$Z561*(1+$Y561*$AA561*3)^(1/$Y561)))</f>
        <v/>
      </c>
      <c r="AE561">
        <f>IF($Y561="","",IF($Y561=0,$Z561*EXP($AA561*-2),$Z561*(1+$Y561*$AA561*-2)^(1/$Y561)))</f>
        <v/>
      </c>
      <c r="AF561">
        <f>IF($Y561="","",IF($Y561=0,$Z561*EXP($AA561*-3),$Z561*(1+$Y561*$AA561*-3)^(1/$Y561)))</f>
        <v/>
      </c>
      <c r="AG561">
        <f>IF($W561="","",IFERROR(INDEX(IF($T561&lt;=60,est05_l,est519_l),MATCH($W561,IF($T561&lt;=60,est05_k,est519_k),1)),""))</f>
        <v/>
      </c>
      <c r="AH561">
        <f>IF($W561="","",IFERROR(INDEX(IF($T561&lt;=60,est05_m,est519_m),MATCH($W561,IF($T561&lt;=60,est05_k,est519_k),1)),""))</f>
        <v/>
      </c>
      <c r="AI561">
        <f>IF($W561="","",IFERROR(INDEX(IF($T561&lt;=60,est05_s,est519_s),MATCH($W561,IF($T561&lt;=60,est05_k,est519_k),1)),""))</f>
        <v/>
      </c>
      <c r="AJ561">
        <f>IF($W561="","",IFERROR(INDEX(IF($T561&lt;=60,peso05_l,peso510_l),MATCH($W561,IF($T561&lt;=60,peso05_k,peso510_k),1)),""))</f>
        <v/>
      </c>
      <c r="AK561">
        <f>IF($W561="","",IFERROR(INDEX(IF($T561&lt;=60,peso05_m,peso510_m),MATCH($W561,IF($T561&lt;=60,peso05_k,peso510_k),1)),""))</f>
        <v/>
      </c>
      <c r="AL561">
        <f>IF($W561="","",IFERROR(INDEX(IF($T561&lt;=60,peso05_s,peso510_s),MATCH($W561,IF($T561&lt;=60,peso05_k,peso510_k),1)),""))</f>
        <v/>
      </c>
      <c r="AM561">
        <f>IF($AJ561="","",IF($AJ561=0,LN($F561/$AK561)/$AL561,((($F561/$AK561)^$AJ561)-1)/($AJ561*$AL561)))</f>
        <v/>
      </c>
      <c r="AN561">
        <f>IF($AJ561="","",IF($AJ561=0,$AK561*EXP($AL561*2),$AK561*(1+$AJ561*$AL561*2)^(1/$AJ561)))</f>
        <v/>
      </c>
      <c r="AO561">
        <f>IF($AJ561="","",IF($AJ561=0,$AK561*EXP($AL561*3),$AK561*(1+$AJ561*$AL561*3)^(1/$AJ561)))</f>
        <v/>
      </c>
      <c r="AP561">
        <f>IF($AJ561="","",IF($AJ561=0,$AK561*EXP($AL561*-2),$AK561*(1+$AJ561*$AL561*-2)^(1/$AJ561)))</f>
        <v/>
      </c>
      <c r="AQ561">
        <f>IF($AJ561="","",IF($AJ561=0,$AK561*EXP($AL561*-3),$AK561*(1+$AJ561*$AL561*-3)^(1/$AJ561)))</f>
        <v/>
      </c>
      <c r="AR561">
        <f>IF(OR($X561="",$T561&gt;60),"",IFERROR(INDEX(IF($T561&lt;24,pcomp_l,palt_l),MATCH($X561,IF($T561&lt;24,pcomp_k,palt_k),1)),""))</f>
        <v/>
      </c>
      <c r="AS561">
        <f>IF(OR($X561="",$T561&gt;60),"",IFERROR(INDEX(IF($T561&lt;24,pcomp_m,palt_m),MATCH($X561,IF($T561&lt;24,pcomp_k,palt_k),1)),""))</f>
        <v/>
      </c>
      <c r="AT561">
        <f>IF(OR($X561="",$T561&gt;60),"",IFERROR(INDEX(IF($T561&lt;24,pcomp_s,palt_s),MATCH($X561,IF($T561&lt;24,pcomp_k,palt_k),1)),""))</f>
        <v/>
      </c>
      <c r="AU561">
        <f>IF($AR561="","",IF($AR561=0,LN($F561/$AS561)/$AT561,((($F561/$AS561)^$AR561)-1)/($AR561*$AT561)))</f>
        <v/>
      </c>
      <c r="AV561">
        <f>IF($AR561="","",IF($AR561=0,$AS561*EXP($AT561*2),$AS561*(1+$AR561*$AT561*2)^(1/$AR561)))</f>
        <v/>
      </c>
      <c r="AW561">
        <f>IF($AR561="","",IF($AR561=0,$AS561*EXP($AT561*3),$AS561*(1+$AR561*$AT561*3)^(1/$AR561)))</f>
        <v/>
      </c>
      <c r="AX561">
        <f>IF($AR561="","",IF($AR561=0,$AS561*EXP($AT561*-2),$AS561*(1+$AR561*$AT561*-2)^(1/$AR561)))</f>
        <v/>
      </c>
      <c r="AY561">
        <f>IF($AR561="","",IF($AR561=0,$AS561*EXP($AT561*-3),$AS561*(1+$AR561*$AT561*-3)^(1/$AR561)))</f>
        <v/>
      </c>
      <c r="AZ561">
        <f>IF(OR($A561="",$A561&lt;&gt;Ficha!$C$4),"",COUNTIF($A$2:$A561,Ficha!$C$4))</f>
        <v/>
      </c>
    </row>
    <row r="562">
      <c r="A562" s="8">
        <f>IF(INDEX(Banco!$A:$A,ROW())="","",INDEX(Banco!$A:$A,ROW()))</f>
        <v/>
      </c>
      <c r="B562" s="8">
        <f>IF(INDEX(Banco!$B:$B,ROW())="","",INDEX(Banco!$B:$B,ROW()))</f>
        <v/>
      </c>
      <c r="C562" s="8">
        <f>IF(INDEX(Banco!$C:$C,ROW())="","",INDEX(Banco!$C:$C,ROW()))</f>
        <v/>
      </c>
      <c r="D562" s="9">
        <f>IF(INDEX(Banco!$D:$D,ROW())="","",INDEX(Banco!$D:$D,ROW()))</f>
        <v/>
      </c>
      <c r="E562" s="9">
        <f>IF(INDEX(Banco!$E:$E,ROW())="","",INDEX(Banco!$E:$E,ROW()))</f>
        <v/>
      </c>
      <c r="F562" s="10">
        <f>IF(INDEX(Banco!$F:$F,ROW())="","",INDEX(Banco!$F:$F,ROW()))</f>
        <v/>
      </c>
      <c r="G562" s="10">
        <f>IF(INDEX(Banco!$G:$G,ROW())="","",INDEX(Banco!$G:$G,ROW()))</f>
        <v/>
      </c>
      <c r="H562" s="8">
        <f>IF(INDEX(Banco!$H:$H,ROW())="","",INDEX(Banco!$H:$H,ROW()))</f>
        <v/>
      </c>
      <c r="I562">
        <f>IF($T562="","",INT($T562/12)&amp;"a "&amp;MOD($T562,12)&amp;"m")</f>
        <v/>
      </c>
      <c r="J562" s="11">
        <f>IF(OR($F562="",$G562=""),"",ROUND($F562/($G562/100)^2,2))</f>
        <v/>
      </c>
      <c r="K562" s="12">
        <f>IF(OR($S562="",$J562="",$T562="",$T562&lt;0,$T562&gt;228,$Y562=""),"—",ROUND(IF(ABS($AB562)&lt;=3,$AB562,IF($AB562&gt;3,3+($J562-$AD562)/($AD562-$AC562),-3+($J562-$AF562)/($AE562-$AF562))),2))</f>
        <v/>
      </c>
      <c r="L562">
        <f>IF(OR($K562="",$K562="—"),"",IF($T562&lt;=60,IF($K562&lt;-3,"Magreza acentuada",IF($K562&lt;-2,"Magreza",IF($K562&lt;=1,"Eutrofia",IF($K562&lt;=2,"Risco de sobrepeso",IF($K562&lt;=3,"Sobrepeso","Obesidade"))))),IF($K562&lt;-3,"Magreza acentuada",IF($K562&lt;-2,"Magreza",IF($K562&lt;=1,"Eutrofia",IF($K562&lt;=2,"Sobrepeso",IF($K562&lt;=3,"Obesidade","Obesidade grave")))))))</f>
        <v/>
      </c>
      <c r="M562" s="12">
        <f>IF(OR($S562="",$V562="",$T562="",$T562&lt;0,$T562&gt;228,$AG562=""),"—",ROUND(IF($AG562=0,LN($V562/$AH562)/$AI562,((($V562/$AH562)^$AG562)-1)/($AG562*$AI562)),2))</f>
        <v/>
      </c>
      <c r="N562">
        <f>IF(OR($M562="",$M562="—"),"",IF($M562&lt;-3,"Muito baixa",IF($M562&lt;-2,"Baixa","Adequada")))</f>
        <v/>
      </c>
      <c r="O562" s="12">
        <f>IF(OR($S562="",$F562="",$T562="",$T562&lt;0,$T562&gt;120,$AJ562=""),"—",ROUND(IF(ABS($AM562)&lt;=3,$AM562,IF($AM562&gt;3,3+($F562-$AO562)/($AO562-$AN562),-3+($F562-$AQ562)/($AP562-$AQ562))),2))</f>
        <v/>
      </c>
      <c r="P562">
        <f>IF(OR($O562="",$O562="—"),"",IF($O562&lt;-3,"Muito baixo",IF($O562&lt;-2,"Baixo",IF($O562&lt;=2,"Adequado","Elevado"))))</f>
        <v/>
      </c>
      <c r="Q562" s="12">
        <f>IF(OR($S562="",$F562="",$T562="",$T562&lt;0,$T562&gt;60,$AR562=""),"—",ROUND(IF(ABS($AU562)&lt;=3,$AU562,IF($AU562&gt;3,3+($F562-$AW562)/($AW562-$AV562),-3+($F562-$AY562)/($AX562-$AY562))),2))</f>
        <v/>
      </c>
      <c r="R562">
        <f>IF(OR($Q562="",$Q562="—"),"",IF($Q562&lt;-3,"Magreza acentuada",IF($Q562&lt;-2,"Magreza",IF($Q562&lt;=1,"Eutrofia",IF($Q562&lt;=2,"Risco de sobrepeso",IF($Q562&lt;=3,"Sobrepeso","Obesidade"))))))</f>
        <v/>
      </c>
      <c r="S562">
        <f>IF($C562="","",IF(UPPER(LEFT($C562,1))="M",1,IF(UPPER(LEFT($C562,1))="F",2,"")))</f>
        <v/>
      </c>
      <c r="T562">
        <f>IF(OR($D562="",$E562=""),"",DATEDIF($D562,$E562,"m"))</f>
        <v/>
      </c>
      <c r="U562">
        <f>IF(OR($D562="",$E562=""),"",$E562-$D562)</f>
        <v/>
      </c>
      <c r="V562">
        <f>IF(OR($G562="",$T562=""),"",IF($T562&lt;24,IF(LEFT(LOWER($H562),4)="em p",$G562+0.7,$G562),IF(LEFT(LOWER($H562),4)="deit",$G562-0.7,$G562)))</f>
        <v/>
      </c>
      <c r="W562">
        <f>IF(OR($S562="",$T562=""),"",$S562*1000000+IF($T562&lt;=60,$U562,$T562))</f>
        <v/>
      </c>
      <c r="X562">
        <f>IF(OR($S562="",$V562="",$T562&gt;60,$T562=""),"",$S562*1000000+ROUND($V562*10,0))</f>
        <v/>
      </c>
      <c r="Y562">
        <f>IF($W562="","",IFERROR(INDEX(IF($T562&lt;=60,imc05_l,imc519_l),MATCH($W562,IF($T562&lt;=60,imc05_k,imc519_k),1)),""))</f>
        <v/>
      </c>
      <c r="Z562">
        <f>IF($W562="","",IFERROR(INDEX(IF($T562&lt;=60,imc05_m,imc519_m),MATCH($W562,IF($T562&lt;=60,imc05_k,imc519_k),1)),""))</f>
        <v/>
      </c>
      <c r="AA562">
        <f>IF($W562="","",IFERROR(INDEX(IF($T562&lt;=60,imc05_s,imc519_s),MATCH($W562,IF($T562&lt;=60,imc05_k,imc519_k),1)),""))</f>
        <v/>
      </c>
      <c r="AB562">
        <f>IF($Y562="","",IF($Y562=0,LN($J562/$Z562)/$AA562,((($J562/$Z562)^$Y562)-1)/($Y562*$AA562)))</f>
        <v/>
      </c>
      <c r="AC562">
        <f>IF($Y562="","",IF($Y562=0,$Z562*EXP($AA562*2),$Z562*(1+$Y562*$AA562*2)^(1/$Y562)))</f>
        <v/>
      </c>
      <c r="AD562">
        <f>IF($Y562="","",IF($Y562=0,$Z562*EXP($AA562*3),$Z562*(1+$Y562*$AA562*3)^(1/$Y562)))</f>
        <v/>
      </c>
      <c r="AE562">
        <f>IF($Y562="","",IF($Y562=0,$Z562*EXP($AA562*-2),$Z562*(1+$Y562*$AA562*-2)^(1/$Y562)))</f>
        <v/>
      </c>
      <c r="AF562">
        <f>IF($Y562="","",IF($Y562=0,$Z562*EXP($AA562*-3),$Z562*(1+$Y562*$AA562*-3)^(1/$Y562)))</f>
        <v/>
      </c>
      <c r="AG562">
        <f>IF($W562="","",IFERROR(INDEX(IF($T562&lt;=60,est05_l,est519_l),MATCH($W562,IF($T562&lt;=60,est05_k,est519_k),1)),""))</f>
        <v/>
      </c>
      <c r="AH562">
        <f>IF($W562="","",IFERROR(INDEX(IF($T562&lt;=60,est05_m,est519_m),MATCH($W562,IF($T562&lt;=60,est05_k,est519_k),1)),""))</f>
        <v/>
      </c>
      <c r="AI562">
        <f>IF($W562="","",IFERROR(INDEX(IF($T562&lt;=60,est05_s,est519_s),MATCH($W562,IF($T562&lt;=60,est05_k,est519_k),1)),""))</f>
        <v/>
      </c>
      <c r="AJ562">
        <f>IF($W562="","",IFERROR(INDEX(IF($T562&lt;=60,peso05_l,peso510_l),MATCH($W562,IF($T562&lt;=60,peso05_k,peso510_k),1)),""))</f>
        <v/>
      </c>
      <c r="AK562">
        <f>IF($W562="","",IFERROR(INDEX(IF($T562&lt;=60,peso05_m,peso510_m),MATCH($W562,IF($T562&lt;=60,peso05_k,peso510_k),1)),""))</f>
        <v/>
      </c>
      <c r="AL562">
        <f>IF($W562="","",IFERROR(INDEX(IF($T562&lt;=60,peso05_s,peso510_s),MATCH($W562,IF($T562&lt;=60,peso05_k,peso510_k),1)),""))</f>
        <v/>
      </c>
      <c r="AM562">
        <f>IF($AJ562="","",IF($AJ562=0,LN($F562/$AK562)/$AL562,((($F562/$AK562)^$AJ562)-1)/($AJ562*$AL562)))</f>
        <v/>
      </c>
      <c r="AN562">
        <f>IF($AJ562="","",IF($AJ562=0,$AK562*EXP($AL562*2),$AK562*(1+$AJ562*$AL562*2)^(1/$AJ562)))</f>
        <v/>
      </c>
      <c r="AO562">
        <f>IF($AJ562="","",IF($AJ562=0,$AK562*EXP($AL562*3),$AK562*(1+$AJ562*$AL562*3)^(1/$AJ562)))</f>
        <v/>
      </c>
      <c r="AP562">
        <f>IF($AJ562="","",IF($AJ562=0,$AK562*EXP($AL562*-2),$AK562*(1+$AJ562*$AL562*-2)^(1/$AJ562)))</f>
        <v/>
      </c>
      <c r="AQ562">
        <f>IF($AJ562="","",IF($AJ562=0,$AK562*EXP($AL562*-3),$AK562*(1+$AJ562*$AL562*-3)^(1/$AJ562)))</f>
        <v/>
      </c>
      <c r="AR562">
        <f>IF(OR($X562="",$T562&gt;60),"",IFERROR(INDEX(IF($T562&lt;24,pcomp_l,palt_l),MATCH($X562,IF($T562&lt;24,pcomp_k,palt_k),1)),""))</f>
        <v/>
      </c>
      <c r="AS562">
        <f>IF(OR($X562="",$T562&gt;60),"",IFERROR(INDEX(IF($T562&lt;24,pcomp_m,palt_m),MATCH($X562,IF($T562&lt;24,pcomp_k,palt_k),1)),""))</f>
        <v/>
      </c>
      <c r="AT562">
        <f>IF(OR($X562="",$T562&gt;60),"",IFERROR(INDEX(IF($T562&lt;24,pcomp_s,palt_s),MATCH($X562,IF($T562&lt;24,pcomp_k,palt_k),1)),""))</f>
        <v/>
      </c>
      <c r="AU562">
        <f>IF($AR562="","",IF($AR562=0,LN($F562/$AS562)/$AT562,((($F562/$AS562)^$AR562)-1)/($AR562*$AT562)))</f>
        <v/>
      </c>
      <c r="AV562">
        <f>IF($AR562="","",IF($AR562=0,$AS562*EXP($AT562*2),$AS562*(1+$AR562*$AT562*2)^(1/$AR562)))</f>
        <v/>
      </c>
      <c r="AW562">
        <f>IF($AR562="","",IF($AR562=0,$AS562*EXP($AT562*3),$AS562*(1+$AR562*$AT562*3)^(1/$AR562)))</f>
        <v/>
      </c>
      <c r="AX562">
        <f>IF($AR562="","",IF($AR562=0,$AS562*EXP($AT562*-2),$AS562*(1+$AR562*$AT562*-2)^(1/$AR562)))</f>
        <v/>
      </c>
      <c r="AY562">
        <f>IF($AR562="","",IF($AR562=0,$AS562*EXP($AT562*-3),$AS562*(1+$AR562*$AT562*-3)^(1/$AR562)))</f>
        <v/>
      </c>
      <c r="AZ562">
        <f>IF(OR($A562="",$A562&lt;&gt;Ficha!$C$4),"",COUNTIF($A$2:$A562,Ficha!$C$4))</f>
        <v/>
      </c>
    </row>
    <row r="563">
      <c r="A563" s="8">
        <f>IF(INDEX(Banco!$A:$A,ROW())="","",INDEX(Banco!$A:$A,ROW()))</f>
        <v/>
      </c>
      <c r="B563" s="8">
        <f>IF(INDEX(Banco!$B:$B,ROW())="","",INDEX(Banco!$B:$B,ROW()))</f>
        <v/>
      </c>
      <c r="C563" s="8">
        <f>IF(INDEX(Banco!$C:$C,ROW())="","",INDEX(Banco!$C:$C,ROW()))</f>
        <v/>
      </c>
      <c r="D563" s="9">
        <f>IF(INDEX(Banco!$D:$D,ROW())="","",INDEX(Banco!$D:$D,ROW()))</f>
        <v/>
      </c>
      <c r="E563" s="9">
        <f>IF(INDEX(Banco!$E:$E,ROW())="","",INDEX(Banco!$E:$E,ROW()))</f>
        <v/>
      </c>
      <c r="F563" s="10">
        <f>IF(INDEX(Banco!$F:$F,ROW())="","",INDEX(Banco!$F:$F,ROW()))</f>
        <v/>
      </c>
      <c r="G563" s="10">
        <f>IF(INDEX(Banco!$G:$G,ROW())="","",INDEX(Banco!$G:$G,ROW()))</f>
        <v/>
      </c>
      <c r="H563" s="8">
        <f>IF(INDEX(Banco!$H:$H,ROW())="","",INDEX(Banco!$H:$H,ROW()))</f>
        <v/>
      </c>
      <c r="I563">
        <f>IF($T563="","",INT($T563/12)&amp;"a "&amp;MOD($T563,12)&amp;"m")</f>
        <v/>
      </c>
      <c r="J563" s="11">
        <f>IF(OR($F563="",$G563=""),"",ROUND($F563/($G563/100)^2,2))</f>
        <v/>
      </c>
      <c r="K563" s="12">
        <f>IF(OR($S563="",$J563="",$T563="",$T563&lt;0,$T563&gt;228,$Y563=""),"—",ROUND(IF(ABS($AB563)&lt;=3,$AB563,IF($AB563&gt;3,3+($J563-$AD563)/($AD563-$AC563),-3+($J563-$AF563)/($AE563-$AF563))),2))</f>
        <v/>
      </c>
      <c r="L563">
        <f>IF(OR($K563="",$K563="—"),"",IF($T563&lt;=60,IF($K563&lt;-3,"Magreza acentuada",IF($K563&lt;-2,"Magreza",IF($K563&lt;=1,"Eutrofia",IF($K563&lt;=2,"Risco de sobrepeso",IF($K563&lt;=3,"Sobrepeso","Obesidade"))))),IF($K563&lt;-3,"Magreza acentuada",IF($K563&lt;-2,"Magreza",IF($K563&lt;=1,"Eutrofia",IF($K563&lt;=2,"Sobrepeso",IF($K563&lt;=3,"Obesidade","Obesidade grave")))))))</f>
        <v/>
      </c>
      <c r="M563" s="12">
        <f>IF(OR($S563="",$V563="",$T563="",$T563&lt;0,$T563&gt;228,$AG563=""),"—",ROUND(IF($AG563=0,LN($V563/$AH563)/$AI563,((($V563/$AH563)^$AG563)-1)/($AG563*$AI563)),2))</f>
        <v/>
      </c>
      <c r="N563">
        <f>IF(OR($M563="",$M563="—"),"",IF($M563&lt;-3,"Muito baixa",IF($M563&lt;-2,"Baixa","Adequada")))</f>
        <v/>
      </c>
      <c r="O563" s="12">
        <f>IF(OR($S563="",$F563="",$T563="",$T563&lt;0,$T563&gt;120,$AJ563=""),"—",ROUND(IF(ABS($AM563)&lt;=3,$AM563,IF($AM563&gt;3,3+($F563-$AO563)/($AO563-$AN563),-3+($F563-$AQ563)/($AP563-$AQ563))),2))</f>
        <v/>
      </c>
      <c r="P563">
        <f>IF(OR($O563="",$O563="—"),"",IF($O563&lt;-3,"Muito baixo",IF($O563&lt;-2,"Baixo",IF($O563&lt;=2,"Adequado","Elevado"))))</f>
        <v/>
      </c>
      <c r="Q563" s="12">
        <f>IF(OR($S563="",$F563="",$T563="",$T563&lt;0,$T563&gt;60,$AR563=""),"—",ROUND(IF(ABS($AU563)&lt;=3,$AU563,IF($AU563&gt;3,3+($F563-$AW563)/($AW563-$AV563),-3+($F563-$AY563)/($AX563-$AY563))),2))</f>
        <v/>
      </c>
      <c r="R563">
        <f>IF(OR($Q563="",$Q563="—"),"",IF($Q563&lt;-3,"Magreza acentuada",IF($Q563&lt;-2,"Magreza",IF($Q563&lt;=1,"Eutrofia",IF($Q563&lt;=2,"Risco de sobrepeso",IF($Q563&lt;=3,"Sobrepeso","Obesidade"))))))</f>
        <v/>
      </c>
      <c r="S563">
        <f>IF($C563="","",IF(UPPER(LEFT($C563,1))="M",1,IF(UPPER(LEFT($C563,1))="F",2,"")))</f>
        <v/>
      </c>
      <c r="T563">
        <f>IF(OR($D563="",$E563=""),"",DATEDIF($D563,$E563,"m"))</f>
        <v/>
      </c>
      <c r="U563">
        <f>IF(OR($D563="",$E563=""),"",$E563-$D563)</f>
        <v/>
      </c>
      <c r="V563">
        <f>IF(OR($G563="",$T563=""),"",IF($T563&lt;24,IF(LEFT(LOWER($H563),4)="em p",$G563+0.7,$G563),IF(LEFT(LOWER($H563),4)="deit",$G563-0.7,$G563)))</f>
        <v/>
      </c>
      <c r="W563">
        <f>IF(OR($S563="",$T563=""),"",$S563*1000000+IF($T563&lt;=60,$U563,$T563))</f>
        <v/>
      </c>
      <c r="X563">
        <f>IF(OR($S563="",$V563="",$T563&gt;60,$T563=""),"",$S563*1000000+ROUND($V563*10,0))</f>
        <v/>
      </c>
      <c r="Y563">
        <f>IF($W563="","",IFERROR(INDEX(IF($T563&lt;=60,imc05_l,imc519_l),MATCH($W563,IF($T563&lt;=60,imc05_k,imc519_k),1)),""))</f>
        <v/>
      </c>
      <c r="Z563">
        <f>IF($W563="","",IFERROR(INDEX(IF($T563&lt;=60,imc05_m,imc519_m),MATCH($W563,IF($T563&lt;=60,imc05_k,imc519_k),1)),""))</f>
        <v/>
      </c>
      <c r="AA563">
        <f>IF($W563="","",IFERROR(INDEX(IF($T563&lt;=60,imc05_s,imc519_s),MATCH($W563,IF($T563&lt;=60,imc05_k,imc519_k),1)),""))</f>
        <v/>
      </c>
      <c r="AB563">
        <f>IF($Y563="","",IF($Y563=0,LN($J563/$Z563)/$AA563,((($J563/$Z563)^$Y563)-1)/($Y563*$AA563)))</f>
        <v/>
      </c>
      <c r="AC563">
        <f>IF($Y563="","",IF($Y563=0,$Z563*EXP($AA563*2),$Z563*(1+$Y563*$AA563*2)^(1/$Y563)))</f>
        <v/>
      </c>
      <c r="AD563">
        <f>IF($Y563="","",IF($Y563=0,$Z563*EXP($AA563*3),$Z563*(1+$Y563*$AA563*3)^(1/$Y563)))</f>
        <v/>
      </c>
      <c r="AE563">
        <f>IF($Y563="","",IF($Y563=0,$Z563*EXP($AA563*-2),$Z563*(1+$Y563*$AA563*-2)^(1/$Y563)))</f>
        <v/>
      </c>
      <c r="AF563">
        <f>IF($Y563="","",IF($Y563=0,$Z563*EXP($AA563*-3),$Z563*(1+$Y563*$AA563*-3)^(1/$Y563)))</f>
        <v/>
      </c>
      <c r="AG563">
        <f>IF($W563="","",IFERROR(INDEX(IF($T563&lt;=60,est05_l,est519_l),MATCH($W563,IF($T563&lt;=60,est05_k,est519_k),1)),""))</f>
        <v/>
      </c>
      <c r="AH563">
        <f>IF($W563="","",IFERROR(INDEX(IF($T563&lt;=60,est05_m,est519_m),MATCH($W563,IF($T563&lt;=60,est05_k,est519_k),1)),""))</f>
        <v/>
      </c>
      <c r="AI563">
        <f>IF($W563="","",IFERROR(INDEX(IF($T563&lt;=60,est05_s,est519_s),MATCH($W563,IF($T563&lt;=60,est05_k,est519_k),1)),""))</f>
        <v/>
      </c>
      <c r="AJ563">
        <f>IF($W563="","",IFERROR(INDEX(IF($T563&lt;=60,peso05_l,peso510_l),MATCH($W563,IF($T563&lt;=60,peso05_k,peso510_k),1)),""))</f>
        <v/>
      </c>
      <c r="AK563">
        <f>IF($W563="","",IFERROR(INDEX(IF($T563&lt;=60,peso05_m,peso510_m),MATCH($W563,IF($T563&lt;=60,peso05_k,peso510_k),1)),""))</f>
        <v/>
      </c>
      <c r="AL563">
        <f>IF($W563="","",IFERROR(INDEX(IF($T563&lt;=60,peso05_s,peso510_s),MATCH($W563,IF($T563&lt;=60,peso05_k,peso510_k),1)),""))</f>
        <v/>
      </c>
      <c r="AM563">
        <f>IF($AJ563="","",IF($AJ563=0,LN($F563/$AK563)/$AL563,((($F563/$AK563)^$AJ563)-1)/($AJ563*$AL563)))</f>
        <v/>
      </c>
      <c r="AN563">
        <f>IF($AJ563="","",IF($AJ563=0,$AK563*EXP($AL563*2),$AK563*(1+$AJ563*$AL563*2)^(1/$AJ563)))</f>
        <v/>
      </c>
      <c r="AO563">
        <f>IF($AJ563="","",IF($AJ563=0,$AK563*EXP($AL563*3),$AK563*(1+$AJ563*$AL563*3)^(1/$AJ563)))</f>
        <v/>
      </c>
      <c r="AP563">
        <f>IF($AJ563="","",IF($AJ563=0,$AK563*EXP($AL563*-2),$AK563*(1+$AJ563*$AL563*-2)^(1/$AJ563)))</f>
        <v/>
      </c>
      <c r="AQ563">
        <f>IF($AJ563="","",IF($AJ563=0,$AK563*EXP($AL563*-3),$AK563*(1+$AJ563*$AL563*-3)^(1/$AJ563)))</f>
        <v/>
      </c>
      <c r="AR563">
        <f>IF(OR($X563="",$T563&gt;60),"",IFERROR(INDEX(IF($T563&lt;24,pcomp_l,palt_l),MATCH($X563,IF($T563&lt;24,pcomp_k,palt_k),1)),""))</f>
        <v/>
      </c>
      <c r="AS563">
        <f>IF(OR($X563="",$T563&gt;60),"",IFERROR(INDEX(IF($T563&lt;24,pcomp_m,palt_m),MATCH($X563,IF($T563&lt;24,pcomp_k,palt_k),1)),""))</f>
        <v/>
      </c>
      <c r="AT563">
        <f>IF(OR($X563="",$T563&gt;60),"",IFERROR(INDEX(IF($T563&lt;24,pcomp_s,palt_s),MATCH($X563,IF($T563&lt;24,pcomp_k,palt_k),1)),""))</f>
        <v/>
      </c>
      <c r="AU563">
        <f>IF($AR563="","",IF($AR563=0,LN($F563/$AS563)/$AT563,((($F563/$AS563)^$AR563)-1)/($AR563*$AT563)))</f>
        <v/>
      </c>
      <c r="AV563">
        <f>IF($AR563="","",IF($AR563=0,$AS563*EXP($AT563*2),$AS563*(1+$AR563*$AT563*2)^(1/$AR563)))</f>
        <v/>
      </c>
      <c r="AW563">
        <f>IF($AR563="","",IF($AR563=0,$AS563*EXP($AT563*3),$AS563*(1+$AR563*$AT563*3)^(1/$AR563)))</f>
        <v/>
      </c>
      <c r="AX563">
        <f>IF($AR563="","",IF($AR563=0,$AS563*EXP($AT563*-2),$AS563*(1+$AR563*$AT563*-2)^(1/$AR563)))</f>
        <v/>
      </c>
      <c r="AY563">
        <f>IF($AR563="","",IF($AR563=0,$AS563*EXP($AT563*-3),$AS563*(1+$AR563*$AT563*-3)^(1/$AR563)))</f>
        <v/>
      </c>
      <c r="AZ563">
        <f>IF(OR($A563="",$A563&lt;&gt;Ficha!$C$4),"",COUNTIF($A$2:$A563,Ficha!$C$4))</f>
        <v/>
      </c>
    </row>
    <row r="564">
      <c r="A564" s="8">
        <f>IF(INDEX(Banco!$A:$A,ROW())="","",INDEX(Banco!$A:$A,ROW()))</f>
        <v/>
      </c>
      <c r="B564" s="8">
        <f>IF(INDEX(Banco!$B:$B,ROW())="","",INDEX(Banco!$B:$B,ROW()))</f>
        <v/>
      </c>
      <c r="C564" s="8">
        <f>IF(INDEX(Banco!$C:$C,ROW())="","",INDEX(Banco!$C:$C,ROW()))</f>
        <v/>
      </c>
      <c r="D564" s="9">
        <f>IF(INDEX(Banco!$D:$D,ROW())="","",INDEX(Banco!$D:$D,ROW()))</f>
        <v/>
      </c>
      <c r="E564" s="9">
        <f>IF(INDEX(Banco!$E:$E,ROW())="","",INDEX(Banco!$E:$E,ROW()))</f>
        <v/>
      </c>
      <c r="F564" s="10">
        <f>IF(INDEX(Banco!$F:$F,ROW())="","",INDEX(Banco!$F:$F,ROW()))</f>
        <v/>
      </c>
      <c r="G564" s="10">
        <f>IF(INDEX(Banco!$G:$G,ROW())="","",INDEX(Banco!$G:$G,ROW()))</f>
        <v/>
      </c>
      <c r="H564" s="8">
        <f>IF(INDEX(Banco!$H:$H,ROW())="","",INDEX(Banco!$H:$H,ROW()))</f>
        <v/>
      </c>
      <c r="I564">
        <f>IF($T564="","",INT($T564/12)&amp;"a "&amp;MOD($T564,12)&amp;"m")</f>
        <v/>
      </c>
      <c r="J564" s="11">
        <f>IF(OR($F564="",$G564=""),"",ROUND($F564/($G564/100)^2,2))</f>
        <v/>
      </c>
      <c r="K564" s="12">
        <f>IF(OR($S564="",$J564="",$T564="",$T564&lt;0,$T564&gt;228,$Y564=""),"—",ROUND(IF(ABS($AB564)&lt;=3,$AB564,IF($AB564&gt;3,3+($J564-$AD564)/($AD564-$AC564),-3+($J564-$AF564)/($AE564-$AF564))),2))</f>
        <v/>
      </c>
      <c r="L564">
        <f>IF(OR($K564="",$K564="—"),"",IF($T564&lt;=60,IF($K564&lt;-3,"Magreza acentuada",IF($K564&lt;-2,"Magreza",IF($K564&lt;=1,"Eutrofia",IF($K564&lt;=2,"Risco de sobrepeso",IF($K564&lt;=3,"Sobrepeso","Obesidade"))))),IF($K564&lt;-3,"Magreza acentuada",IF($K564&lt;-2,"Magreza",IF($K564&lt;=1,"Eutrofia",IF($K564&lt;=2,"Sobrepeso",IF($K564&lt;=3,"Obesidade","Obesidade grave")))))))</f>
        <v/>
      </c>
      <c r="M564" s="12">
        <f>IF(OR($S564="",$V564="",$T564="",$T564&lt;0,$T564&gt;228,$AG564=""),"—",ROUND(IF($AG564=0,LN($V564/$AH564)/$AI564,((($V564/$AH564)^$AG564)-1)/($AG564*$AI564)),2))</f>
        <v/>
      </c>
      <c r="N564">
        <f>IF(OR($M564="",$M564="—"),"",IF($M564&lt;-3,"Muito baixa",IF($M564&lt;-2,"Baixa","Adequada")))</f>
        <v/>
      </c>
      <c r="O564" s="12">
        <f>IF(OR($S564="",$F564="",$T564="",$T564&lt;0,$T564&gt;120,$AJ564=""),"—",ROUND(IF(ABS($AM564)&lt;=3,$AM564,IF($AM564&gt;3,3+($F564-$AO564)/($AO564-$AN564),-3+($F564-$AQ564)/($AP564-$AQ564))),2))</f>
        <v/>
      </c>
      <c r="P564">
        <f>IF(OR($O564="",$O564="—"),"",IF($O564&lt;-3,"Muito baixo",IF($O564&lt;-2,"Baixo",IF($O564&lt;=2,"Adequado","Elevado"))))</f>
        <v/>
      </c>
      <c r="Q564" s="12">
        <f>IF(OR($S564="",$F564="",$T564="",$T564&lt;0,$T564&gt;60,$AR564=""),"—",ROUND(IF(ABS($AU564)&lt;=3,$AU564,IF($AU564&gt;3,3+($F564-$AW564)/($AW564-$AV564),-3+($F564-$AY564)/($AX564-$AY564))),2))</f>
        <v/>
      </c>
      <c r="R564">
        <f>IF(OR($Q564="",$Q564="—"),"",IF($Q564&lt;-3,"Magreza acentuada",IF($Q564&lt;-2,"Magreza",IF($Q564&lt;=1,"Eutrofia",IF($Q564&lt;=2,"Risco de sobrepeso",IF($Q564&lt;=3,"Sobrepeso","Obesidade"))))))</f>
        <v/>
      </c>
      <c r="S564">
        <f>IF($C564="","",IF(UPPER(LEFT($C564,1))="M",1,IF(UPPER(LEFT($C564,1))="F",2,"")))</f>
        <v/>
      </c>
      <c r="T564">
        <f>IF(OR($D564="",$E564=""),"",DATEDIF($D564,$E564,"m"))</f>
        <v/>
      </c>
      <c r="U564">
        <f>IF(OR($D564="",$E564=""),"",$E564-$D564)</f>
        <v/>
      </c>
      <c r="V564">
        <f>IF(OR($G564="",$T564=""),"",IF($T564&lt;24,IF(LEFT(LOWER($H564),4)="em p",$G564+0.7,$G564),IF(LEFT(LOWER($H564),4)="deit",$G564-0.7,$G564)))</f>
        <v/>
      </c>
      <c r="W564">
        <f>IF(OR($S564="",$T564=""),"",$S564*1000000+IF($T564&lt;=60,$U564,$T564))</f>
        <v/>
      </c>
      <c r="X564">
        <f>IF(OR($S564="",$V564="",$T564&gt;60,$T564=""),"",$S564*1000000+ROUND($V564*10,0))</f>
        <v/>
      </c>
      <c r="Y564">
        <f>IF($W564="","",IFERROR(INDEX(IF($T564&lt;=60,imc05_l,imc519_l),MATCH($W564,IF($T564&lt;=60,imc05_k,imc519_k),1)),""))</f>
        <v/>
      </c>
      <c r="Z564">
        <f>IF($W564="","",IFERROR(INDEX(IF($T564&lt;=60,imc05_m,imc519_m),MATCH($W564,IF($T564&lt;=60,imc05_k,imc519_k),1)),""))</f>
        <v/>
      </c>
      <c r="AA564">
        <f>IF($W564="","",IFERROR(INDEX(IF($T564&lt;=60,imc05_s,imc519_s),MATCH($W564,IF($T564&lt;=60,imc05_k,imc519_k),1)),""))</f>
        <v/>
      </c>
      <c r="AB564">
        <f>IF($Y564="","",IF($Y564=0,LN($J564/$Z564)/$AA564,((($J564/$Z564)^$Y564)-1)/($Y564*$AA564)))</f>
        <v/>
      </c>
      <c r="AC564">
        <f>IF($Y564="","",IF($Y564=0,$Z564*EXP($AA564*2),$Z564*(1+$Y564*$AA564*2)^(1/$Y564)))</f>
        <v/>
      </c>
      <c r="AD564">
        <f>IF($Y564="","",IF($Y564=0,$Z564*EXP($AA564*3),$Z564*(1+$Y564*$AA564*3)^(1/$Y564)))</f>
        <v/>
      </c>
      <c r="AE564">
        <f>IF($Y564="","",IF($Y564=0,$Z564*EXP($AA564*-2),$Z564*(1+$Y564*$AA564*-2)^(1/$Y564)))</f>
        <v/>
      </c>
      <c r="AF564">
        <f>IF($Y564="","",IF($Y564=0,$Z564*EXP($AA564*-3),$Z564*(1+$Y564*$AA564*-3)^(1/$Y564)))</f>
        <v/>
      </c>
      <c r="AG564">
        <f>IF($W564="","",IFERROR(INDEX(IF($T564&lt;=60,est05_l,est519_l),MATCH($W564,IF($T564&lt;=60,est05_k,est519_k),1)),""))</f>
        <v/>
      </c>
      <c r="AH564">
        <f>IF($W564="","",IFERROR(INDEX(IF($T564&lt;=60,est05_m,est519_m),MATCH($W564,IF($T564&lt;=60,est05_k,est519_k),1)),""))</f>
        <v/>
      </c>
      <c r="AI564">
        <f>IF($W564="","",IFERROR(INDEX(IF($T564&lt;=60,est05_s,est519_s),MATCH($W564,IF($T564&lt;=60,est05_k,est519_k),1)),""))</f>
        <v/>
      </c>
      <c r="AJ564">
        <f>IF($W564="","",IFERROR(INDEX(IF($T564&lt;=60,peso05_l,peso510_l),MATCH($W564,IF($T564&lt;=60,peso05_k,peso510_k),1)),""))</f>
        <v/>
      </c>
      <c r="AK564">
        <f>IF($W564="","",IFERROR(INDEX(IF($T564&lt;=60,peso05_m,peso510_m),MATCH($W564,IF($T564&lt;=60,peso05_k,peso510_k),1)),""))</f>
        <v/>
      </c>
      <c r="AL564">
        <f>IF($W564="","",IFERROR(INDEX(IF($T564&lt;=60,peso05_s,peso510_s),MATCH($W564,IF($T564&lt;=60,peso05_k,peso510_k),1)),""))</f>
        <v/>
      </c>
      <c r="AM564">
        <f>IF($AJ564="","",IF($AJ564=0,LN($F564/$AK564)/$AL564,((($F564/$AK564)^$AJ564)-1)/($AJ564*$AL564)))</f>
        <v/>
      </c>
      <c r="AN564">
        <f>IF($AJ564="","",IF($AJ564=0,$AK564*EXP($AL564*2),$AK564*(1+$AJ564*$AL564*2)^(1/$AJ564)))</f>
        <v/>
      </c>
      <c r="AO564">
        <f>IF($AJ564="","",IF($AJ564=0,$AK564*EXP($AL564*3),$AK564*(1+$AJ564*$AL564*3)^(1/$AJ564)))</f>
        <v/>
      </c>
      <c r="AP564">
        <f>IF($AJ564="","",IF($AJ564=0,$AK564*EXP($AL564*-2),$AK564*(1+$AJ564*$AL564*-2)^(1/$AJ564)))</f>
        <v/>
      </c>
      <c r="AQ564">
        <f>IF($AJ564="","",IF($AJ564=0,$AK564*EXP($AL564*-3),$AK564*(1+$AJ564*$AL564*-3)^(1/$AJ564)))</f>
        <v/>
      </c>
      <c r="AR564">
        <f>IF(OR($X564="",$T564&gt;60),"",IFERROR(INDEX(IF($T564&lt;24,pcomp_l,palt_l),MATCH($X564,IF($T564&lt;24,pcomp_k,palt_k),1)),""))</f>
        <v/>
      </c>
      <c r="AS564">
        <f>IF(OR($X564="",$T564&gt;60),"",IFERROR(INDEX(IF($T564&lt;24,pcomp_m,palt_m),MATCH($X564,IF($T564&lt;24,pcomp_k,palt_k),1)),""))</f>
        <v/>
      </c>
      <c r="AT564">
        <f>IF(OR($X564="",$T564&gt;60),"",IFERROR(INDEX(IF($T564&lt;24,pcomp_s,palt_s),MATCH($X564,IF($T564&lt;24,pcomp_k,palt_k),1)),""))</f>
        <v/>
      </c>
      <c r="AU564">
        <f>IF($AR564="","",IF($AR564=0,LN($F564/$AS564)/$AT564,((($F564/$AS564)^$AR564)-1)/($AR564*$AT564)))</f>
        <v/>
      </c>
      <c r="AV564">
        <f>IF($AR564="","",IF($AR564=0,$AS564*EXP($AT564*2),$AS564*(1+$AR564*$AT564*2)^(1/$AR564)))</f>
        <v/>
      </c>
      <c r="AW564">
        <f>IF($AR564="","",IF($AR564=0,$AS564*EXP($AT564*3),$AS564*(1+$AR564*$AT564*3)^(1/$AR564)))</f>
        <v/>
      </c>
      <c r="AX564">
        <f>IF($AR564="","",IF($AR564=0,$AS564*EXP($AT564*-2),$AS564*(1+$AR564*$AT564*-2)^(1/$AR564)))</f>
        <v/>
      </c>
      <c r="AY564">
        <f>IF($AR564="","",IF($AR564=0,$AS564*EXP($AT564*-3),$AS564*(1+$AR564*$AT564*-3)^(1/$AR564)))</f>
        <v/>
      </c>
      <c r="AZ564">
        <f>IF(OR($A564="",$A564&lt;&gt;Ficha!$C$4),"",COUNTIF($A$2:$A564,Ficha!$C$4))</f>
        <v/>
      </c>
    </row>
    <row r="565">
      <c r="A565" s="8">
        <f>IF(INDEX(Banco!$A:$A,ROW())="","",INDEX(Banco!$A:$A,ROW()))</f>
        <v/>
      </c>
      <c r="B565" s="8">
        <f>IF(INDEX(Banco!$B:$B,ROW())="","",INDEX(Banco!$B:$B,ROW()))</f>
        <v/>
      </c>
      <c r="C565" s="8">
        <f>IF(INDEX(Banco!$C:$C,ROW())="","",INDEX(Banco!$C:$C,ROW()))</f>
        <v/>
      </c>
      <c r="D565" s="9">
        <f>IF(INDEX(Banco!$D:$D,ROW())="","",INDEX(Banco!$D:$D,ROW()))</f>
        <v/>
      </c>
      <c r="E565" s="9">
        <f>IF(INDEX(Banco!$E:$E,ROW())="","",INDEX(Banco!$E:$E,ROW()))</f>
        <v/>
      </c>
      <c r="F565" s="10">
        <f>IF(INDEX(Banco!$F:$F,ROW())="","",INDEX(Banco!$F:$F,ROW()))</f>
        <v/>
      </c>
      <c r="G565" s="10">
        <f>IF(INDEX(Banco!$G:$G,ROW())="","",INDEX(Banco!$G:$G,ROW()))</f>
        <v/>
      </c>
      <c r="H565" s="8">
        <f>IF(INDEX(Banco!$H:$H,ROW())="","",INDEX(Banco!$H:$H,ROW()))</f>
        <v/>
      </c>
      <c r="I565">
        <f>IF($T565="","",INT($T565/12)&amp;"a "&amp;MOD($T565,12)&amp;"m")</f>
        <v/>
      </c>
      <c r="J565" s="11">
        <f>IF(OR($F565="",$G565=""),"",ROUND($F565/($G565/100)^2,2))</f>
        <v/>
      </c>
      <c r="K565" s="12">
        <f>IF(OR($S565="",$J565="",$T565="",$T565&lt;0,$T565&gt;228,$Y565=""),"—",ROUND(IF(ABS($AB565)&lt;=3,$AB565,IF($AB565&gt;3,3+($J565-$AD565)/($AD565-$AC565),-3+($J565-$AF565)/($AE565-$AF565))),2))</f>
        <v/>
      </c>
      <c r="L565">
        <f>IF(OR($K565="",$K565="—"),"",IF($T565&lt;=60,IF($K565&lt;-3,"Magreza acentuada",IF($K565&lt;-2,"Magreza",IF($K565&lt;=1,"Eutrofia",IF($K565&lt;=2,"Risco de sobrepeso",IF($K565&lt;=3,"Sobrepeso","Obesidade"))))),IF($K565&lt;-3,"Magreza acentuada",IF($K565&lt;-2,"Magreza",IF($K565&lt;=1,"Eutrofia",IF($K565&lt;=2,"Sobrepeso",IF($K565&lt;=3,"Obesidade","Obesidade grave")))))))</f>
        <v/>
      </c>
      <c r="M565" s="12">
        <f>IF(OR($S565="",$V565="",$T565="",$T565&lt;0,$T565&gt;228,$AG565=""),"—",ROUND(IF($AG565=0,LN($V565/$AH565)/$AI565,((($V565/$AH565)^$AG565)-1)/($AG565*$AI565)),2))</f>
        <v/>
      </c>
      <c r="N565">
        <f>IF(OR($M565="",$M565="—"),"",IF($M565&lt;-3,"Muito baixa",IF($M565&lt;-2,"Baixa","Adequada")))</f>
        <v/>
      </c>
      <c r="O565" s="12">
        <f>IF(OR($S565="",$F565="",$T565="",$T565&lt;0,$T565&gt;120,$AJ565=""),"—",ROUND(IF(ABS($AM565)&lt;=3,$AM565,IF($AM565&gt;3,3+($F565-$AO565)/($AO565-$AN565),-3+($F565-$AQ565)/($AP565-$AQ565))),2))</f>
        <v/>
      </c>
      <c r="P565">
        <f>IF(OR($O565="",$O565="—"),"",IF($O565&lt;-3,"Muito baixo",IF($O565&lt;-2,"Baixo",IF($O565&lt;=2,"Adequado","Elevado"))))</f>
        <v/>
      </c>
      <c r="Q565" s="12">
        <f>IF(OR($S565="",$F565="",$T565="",$T565&lt;0,$T565&gt;60,$AR565=""),"—",ROUND(IF(ABS($AU565)&lt;=3,$AU565,IF($AU565&gt;3,3+($F565-$AW565)/($AW565-$AV565),-3+($F565-$AY565)/($AX565-$AY565))),2))</f>
        <v/>
      </c>
      <c r="R565">
        <f>IF(OR($Q565="",$Q565="—"),"",IF($Q565&lt;-3,"Magreza acentuada",IF($Q565&lt;-2,"Magreza",IF($Q565&lt;=1,"Eutrofia",IF($Q565&lt;=2,"Risco de sobrepeso",IF($Q565&lt;=3,"Sobrepeso","Obesidade"))))))</f>
        <v/>
      </c>
      <c r="S565">
        <f>IF($C565="","",IF(UPPER(LEFT($C565,1))="M",1,IF(UPPER(LEFT($C565,1))="F",2,"")))</f>
        <v/>
      </c>
      <c r="T565">
        <f>IF(OR($D565="",$E565=""),"",DATEDIF($D565,$E565,"m"))</f>
        <v/>
      </c>
      <c r="U565">
        <f>IF(OR($D565="",$E565=""),"",$E565-$D565)</f>
        <v/>
      </c>
      <c r="V565">
        <f>IF(OR($G565="",$T565=""),"",IF($T565&lt;24,IF(LEFT(LOWER($H565),4)="em p",$G565+0.7,$G565),IF(LEFT(LOWER($H565),4)="deit",$G565-0.7,$G565)))</f>
        <v/>
      </c>
      <c r="W565">
        <f>IF(OR($S565="",$T565=""),"",$S565*1000000+IF($T565&lt;=60,$U565,$T565))</f>
        <v/>
      </c>
      <c r="X565">
        <f>IF(OR($S565="",$V565="",$T565&gt;60,$T565=""),"",$S565*1000000+ROUND($V565*10,0))</f>
        <v/>
      </c>
      <c r="Y565">
        <f>IF($W565="","",IFERROR(INDEX(IF($T565&lt;=60,imc05_l,imc519_l),MATCH($W565,IF($T565&lt;=60,imc05_k,imc519_k),1)),""))</f>
        <v/>
      </c>
      <c r="Z565">
        <f>IF($W565="","",IFERROR(INDEX(IF($T565&lt;=60,imc05_m,imc519_m),MATCH($W565,IF($T565&lt;=60,imc05_k,imc519_k),1)),""))</f>
        <v/>
      </c>
      <c r="AA565">
        <f>IF($W565="","",IFERROR(INDEX(IF($T565&lt;=60,imc05_s,imc519_s),MATCH($W565,IF($T565&lt;=60,imc05_k,imc519_k),1)),""))</f>
        <v/>
      </c>
      <c r="AB565">
        <f>IF($Y565="","",IF($Y565=0,LN($J565/$Z565)/$AA565,((($J565/$Z565)^$Y565)-1)/($Y565*$AA565)))</f>
        <v/>
      </c>
      <c r="AC565">
        <f>IF($Y565="","",IF($Y565=0,$Z565*EXP($AA565*2),$Z565*(1+$Y565*$AA565*2)^(1/$Y565)))</f>
        <v/>
      </c>
      <c r="AD565">
        <f>IF($Y565="","",IF($Y565=0,$Z565*EXP($AA565*3),$Z565*(1+$Y565*$AA565*3)^(1/$Y565)))</f>
        <v/>
      </c>
      <c r="AE565">
        <f>IF($Y565="","",IF($Y565=0,$Z565*EXP($AA565*-2),$Z565*(1+$Y565*$AA565*-2)^(1/$Y565)))</f>
        <v/>
      </c>
      <c r="AF565">
        <f>IF($Y565="","",IF($Y565=0,$Z565*EXP($AA565*-3),$Z565*(1+$Y565*$AA565*-3)^(1/$Y565)))</f>
        <v/>
      </c>
      <c r="AG565">
        <f>IF($W565="","",IFERROR(INDEX(IF($T565&lt;=60,est05_l,est519_l),MATCH($W565,IF($T565&lt;=60,est05_k,est519_k),1)),""))</f>
        <v/>
      </c>
      <c r="AH565">
        <f>IF($W565="","",IFERROR(INDEX(IF($T565&lt;=60,est05_m,est519_m),MATCH($W565,IF($T565&lt;=60,est05_k,est519_k),1)),""))</f>
        <v/>
      </c>
      <c r="AI565">
        <f>IF($W565="","",IFERROR(INDEX(IF($T565&lt;=60,est05_s,est519_s),MATCH($W565,IF($T565&lt;=60,est05_k,est519_k),1)),""))</f>
        <v/>
      </c>
      <c r="AJ565">
        <f>IF($W565="","",IFERROR(INDEX(IF($T565&lt;=60,peso05_l,peso510_l),MATCH($W565,IF($T565&lt;=60,peso05_k,peso510_k),1)),""))</f>
        <v/>
      </c>
      <c r="AK565">
        <f>IF($W565="","",IFERROR(INDEX(IF($T565&lt;=60,peso05_m,peso510_m),MATCH($W565,IF($T565&lt;=60,peso05_k,peso510_k),1)),""))</f>
        <v/>
      </c>
      <c r="AL565">
        <f>IF($W565="","",IFERROR(INDEX(IF($T565&lt;=60,peso05_s,peso510_s),MATCH($W565,IF($T565&lt;=60,peso05_k,peso510_k),1)),""))</f>
        <v/>
      </c>
      <c r="AM565">
        <f>IF($AJ565="","",IF($AJ565=0,LN($F565/$AK565)/$AL565,((($F565/$AK565)^$AJ565)-1)/($AJ565*$AL565)))</f>
        <v/>
      </c>
      <c r="AN565">
        <f>IF($AJ565="","",IF($AJ565=0,$AK565*EXP($AL565*2),$AK565*(1+$AJ565*$AL565*2)^(1/$AJ565)))</f>
        <v/>
      </c>
      <c r="AO565">
        <f>IF($AJ565="","",IF($AJ565=0,$AK565*EXP($AL565*3),$AK565*(1+$AJ565*$AL565*3)^(1/$AJ565)))</f>
        <v/>
      </c>
      <c r="AP565">
        <f>IF($AJ565="","",IF($AJ565=0,$AK565*EXP($AL565*-2),$AK565*(1+$AJ565*$AL565*-2)^(1/$AJ565)))</f>
        <v/>
      </c>
      <c r="AQ565">
        <f>IF($AJ565="","",IF($AJ565=0,$AK565*EXP($AL565*-3),$AK565*(1+$AJ565*$AL565*-3)^(1/$AJ565)))</f>
        <v/>
      </c>
      <c r="AR565">
        <f>IF(OR($X565="",$T565&gt;60),"",IFERROR(INDEX(IF($T565&lt;24,pcomp_l,palt_l),MATCH($X565,IF($T565&lt;24,pcomp_k,palt_k),1)),""))</f>
        <v/>
      </c>
      <c r="AS565">
        <f>IF(OR($X565="",$T565&gt;60),"",IFERROR(INDEX(IF($T565&lt;24,pcomp_m,palt_m),MATCH($X565,IF($T565&lt;24,pcomp_k,palt_k),1)),""))</f>
        <v/>
      </c>
      <c r="AT565">
        <f>IF(OR($X565="",$T565&gt;60),"",IFERROR(INDEX(IF($T565&lt;24,pcomp_s,palt_s),MATCH($X565,IF($T565&lt;24,pcomp_k,palt_k),1)),""))</f>
        <v/>
      </c>
      <c r="AU565">
        <f>IF($AR565="","",IF($AR565=0,LN($F565/$AS565)/$AT565,((($F565/$AS565)^$AR565)-1)/($AR565*$AT565)))</f>
        <v/>
      </c>
      <c r="AV565">
        <f>IF($AR565="","",IF($AR565=0,$AS565*EXP($AT565*2),$AS565*(1+$AR565*$AT565*2)^(1/$AR565)))</f>
        <v/>
      </c>
      <c r="AW565">
        <f>IF($AR565="","",IF($AR565=0,$AS565*EXP($AT565*3),$AS565*(1+$AR565*$AT565*3)^(1/$AR565)))</f>
        <v/>
      </c>
      <c r="AX565">
        <f>IF($AR565="","",IF($AR565=0,$AS565*EXP($AT565*-2),$AS565*(1+$AR565*$AT565*-2)^(1/$AR565)))</f>
        <v/>
      </c>
      <c r="AY565">
        <f>IF($AR565="","",IF($AR565=0,$AS565*EXP($AT565*-3),$AS565*(1+$AR565*$AT565*-3)^(1/$AR565)))</f>
        <v/>
      </c>
      <c r="AZ565">
        <f>IF(OR($A565="",$A565&lt;&gt;Ficha!$C$4),"",COUNTIF($A$2:$A565,Ficha!$C$4))</f>
        <v/>
      </c>
    </row>
    <row r="566">
      <c r="A566" s="8">
        <f>IF(INDEX(Banco!$A:$A,ROW())="","",INDEX(Banco!$A:$A,ROW()))</f>
        <v/>
      </c>
      <c r="B566" s="8">
        <f>IF(INDEX(Banco!$B:$B,ROW())="","",INDEX(Banco!$B:$B,ROW()))</f>
        <v/>
      </c>
      <c r="C566" s="8">
        <f>IF(INDEX(Banco!$C:$C,ROW())="","",INDEX(Banco!$C:$C,ROW()))</f>
        <v/>
      </c>
      <c r="D566" s="9">
        <f>IF(INDEX(Banco!$D:$D,ROW())="","",INDEX(Banco!$D:$D,ROW()))</f>
        <v/>
      </c>
      <c r="E566" s="9">
        <f>IF(INDEX(Banco!$E:$E,ROW())="","",INDEX(Banco!$E:$E,ROW()))</f>
        <v/>
      </c>
      <c r="F566" s="10">
        <f>IF(INDEX(Banco!$F:$F,ROW())="","",INDEX(Banco!$F:$F,ROW()))</f>
        <v/>
      </c>
      <c r="G566" s="10">
        <f>IF(INDEX(Banco!$G:$G,ROW())="","",INDEX(Banco!$G:$G,ROW()))</f>
        <v/>
      </c>
      <c r="H566" s="8">
        <f>IF(INDEX(Banco!$H:$H,ROW())="","",INDEX(Banco!$H:$H,ROW()))</f>
        <v/>
      </c>
      <c r="I566">
        <f>IF($T566="","",INT($T566/12)&amp;"a "&amp;MOD($T566,12)&amp;"m")</f>
        <v/>
      </c>
      <c r="J566" s="11">
        <f>IF(OR($F566="",$G566=""),"",ROUND($F566/($G566/100)^2,2))</f>
        <v/>
      </c>
      <c r="K566" s="12">
        <f>IF(OR($S566="",$J566="",$T566="",$T566&lt;0,$T566&gt;228,$Y566=""),"—",ROUND(IF(ABS($AB566)&lt;=3,$AB566,IF($AB566&gt;3,3+($J566-$AD566)/($AD566-$AC566),-3+($J566-$AF566)/($AE566-$AF566))),2))</f>
        <v/>
      </c>
      <c r="L566">
        <f>IF(OR($K566="",$K566="—"),"",IF($T566&lt;=60,IF($K566&lt;-3,"Magreza acentuada",IF($K566&lt;-2,"Magreza",IF($K566&lt;=1,"Eutrofia",IF($K566&lt;=2,"Risco de sobrepeso",IF($K566&lt;=3,"Sobrepeso","Obesidade"))))),IF($K566&lt;-3,"Magreza acentuada",IF($K566&lt;-2,"Magreza",IF($K566&lt;=1,"Eutrofia",IF($K566&lt;=2,"Sobrepeso",IF($K566&lt;=3,"Obesidade","Obesidade grave")))))))</f>
        <v/>
      </c>
      <c r="M566" s="12">
        <f>IF(OR($S566="",$V566="",$T566="",$T566&lt;0,$T566&gt;228,$AG566=""),"—",ROUND(IF($AG566=0,LN($V566/$AH566)/$AI566,((($V566/$AH566)^$AG566)-1)/($AG566*$AI566)),2))</f>
        <v/>
      </c>
      <c r="N566">
        <f>IF(OR($M566="",$M566="—"),"",IF($M566&lt;-3,"Muito baixa",IF($M566&lt;-2,"Baixa","Adequada")))</f>
        <v/>
      </c>
      <c r="O566" s="12">
        <f>IF(OR($S566="",$F566="",$T566="",$T566&lt;0,$T566&gt;120,$AJ566=""),"—",ROUND(IF(ABS($AM566)&lt;=3,$AM566,IF($AM566&gt;3,3+($F566-$AO566)/($AO566-$AN566),-3+($F566-$AQ566)/($AP566-$AQ566))),2))</f>
        <v/>
      </c>
      <c r="P566">
        <f>IF(OR($O566="",$O566="—"),"",IF($O566&lt;-3,"Muito baixo",IF($O566&lt;-2,"Baixo",IF($O566&lt;=2,"Adequado","Elevado"))))</f>
        <v/>
      </c>
      <c r="Q566" s="12">
        <f>IF(OR($S566="",$F566="",$T566="",$T566&lt;0,$T566&gt;60,$AR566=""),"—",ROUND(IF(ABS($AU566)&lt;=3,$AU566,IF($AU566&gt;3,3+($F566-$AW566)/($AW566-$AV566),-3+($F566-$AY566)/($AX566-$AY566))),2))</f>
        <v/>
      </c>
      <c r="R566">
        <f>IF(OR($Q566="",$Q566="—"),"",IF($Q566&lt;-3,"Magreza acentuada",IF($Q566&lt;-2,"Magreza",IF($Q566&lt;=1,"Eutrofia",IF($Q566&lt;=2,"Risco de sobrepeso",IF($Q566&lt;=3,"Sobrepeso","Obesidade"))))))</f>
        <v/>
      </c>
      <c r="S566">
        <f>IF($C566="","",IF(UPPER(LEFT($C566,1))="M",1,IF(UPPER(LEFT($C566,1))="F",2,"")))</f>
        <v/>
      </c>
      <c r="T566">
        <f>IF(OR($D566="",$E566=""),"",DATEDIF($D566,$E566,"m"))</f>
        <v/>
      </c>
      <c r="U566">
        <f>IF(OR($D566="",$E566=""),"",$E566-$D566)</f>
        <v/>
      </c>
      <c r="V566">
        <f>IF(OR($G566="",$T566=""),"",IF($T566&lt;24,IF(LEFT(LOWER($H566),4)="em p",$G566+0.7,$G566),IF(LEFT(LOWER($H566),4)="deit",$G566-0.7,$G566)))</f>
        <v/>
      </c>
      <c r="W566">
        <f>IF(OR($S566="",$T566=""),"",$S566*1000000+IF($T566&lt;=60,$U566,$T566))</f>
        <v/>
      </c>
      <c r="X566">
        <f>IF(OR($S566="",$V566="",$T566&gt;60,$T566=""),"",$S566*1000000+ROUND($V566*10,0))</f>
        <v/>
      </c>
      <c r="Y566">
        <f>IF($W566="","",IFERROR(INDEX(IF($T566&lt;=60,imc05_l,imc519_l),MATCH($W566,IF($T566&lt;=60,imc05_k,imc519_k),1)),""))</f>
        <v/>
      </c>
      <c r="Z566">
        <f>IF($W566="","",IFERROR(INDEX(IF($T566&lt;=60,imc05_m,imc519_m),MATCH($W566,IF($T566&lt;=60,imc05_k,imc519_k),1)),""))</f>
        <v/>
      </c>
      <c r="AA566">
        <f>IF($W566="","",IFERROR(INDEX(IF($T566&lt;=60,imc05_s,imc519_s),MATCH($W566,IF($T566&lt;=60,imc05_k,imc519_k),1)),""))</f>
        <v/>
      </c>
      <c r="AB566">
        <f>IF($Y566="","",IF($Y566=0,LN($J566/$Z566)/$AA566,((($J566/$Z566)^$Y566)-1)/($Y566*$AA566)))</f>
        <v/>
      </c>
      <c r="AC566">
        <f>IF($Y566="","",IF($Y566=0,$Z566*EXP($AA566*2),$Z566*(1+$Y566*$AA566*2)^(1/$Y566)))</f>
        <v/>
      </c>
      <c r="AD566">
        <f>IF($Y566="","",IF($Y566=0,$Z566*EXP($AA566*3),$Z566*(1+$Y566*$AA566*3)^(1/$Y566)))</f>
        <v/>
      </c>
      <c r="AE566">
        <f>IF($Y566="","",IF($Y566=0,$Z566*EXP($AA566*-2),$Z566*(1+$Y566*$AA566*-2)^(1/$Y566)))</f>
        <v/>
      </c>
      <c r="AF566">
        <f>IF($Y566="","",IF($Y566=0,$Z566*EXP($AA566*-3),$Z566*(1+$Y566*$AA566*-3)^(1/$Y566)))</f>
        <v/>
      </c>
      <c r="AG566">
        <f>IF($W566="","",IFERROR(INDEX(IF($T566&lt;=60,est05_l,est519_l),MATCH($W566,IF($T566&lt;=60,est05_k,est519_k),1)),""))</f>
        <v/>
      </c>
      <c r="AH566">
        <f>IF($W566="","",IFERROR(INDEX(IF($T566&lt;=60,est05_m,est519_m),MATCH($W566,IF($T566&lt;=60,est05_k,est519_k),1)),""))</f>
        <v/>
      </c>
      <c r="AI566">
        <f>IF($W566="","",IFERROR(INDEX(IF($T566&lt;=60,est05_s,est519_s),MATCH($W566,IF($T566&lt;=60,est05_k,est519_k),1)),""))</f>
        <v/>
      </c>
      <c r="AJ566">
        <f>IF($W566="","",IFERROR(INDEX(IF($T566&lt;=60,peso05_l,peso510_l),MATCH($W566,IF($T566&lt;=60,peso05_k,peso510_k),1)),""))</f>
        <v/>
      </c>
      <c r="AK566">
        <f>IF($W566="","",IFERROR(INDEX(IF($T566&lt;=60,peso05_m,peso510_m),MATCH($W566,IF($T566&lt;=60,peso05_k,peso510_k),1)),""))</f>
        <v/>
      </c>
      <c r="AL566">
        <f>IF($W566="","",IFERROR(INDEX(IF($T566&lt;=60,peso05_s,peso510_s),MATCH($W566,IF($T566&lt;=60,peso05_k,peso510_k),1)),""))</f>
        <v/>
      </c>
      <c r="AM566">
        <f>IF($AJ566="","",IF($AJ566=0,LN($F566/$AK566)/$AL566,((($F566/$AK566)^$AJ566)-1)/($AJ566*$AL566)))</f>
        <v/>
      </c>
      <c r="AN566">
        <f>IF($AJ566="","",IF($AJ566=0,$AK566*EXP($AL566*2),$AK566*(1+$AJ566*$AL566*2)^(1/$AJ566)))</f>
        <v/>
      </c>
      <c r="AO566">
        <f>IF($AJ566="","",IF($AJ566=0,$AK566*EXP($AL566*3),$AK566*(1+$AJ566*$AL566*3)^(1/$AJ566)))</f>
        <v/>
      </c>
      <c r="AP566">
        <f>IF($AJ566="","",IF($AJ566=0,$AK566*EXP($AL566*-2),$AK566*(1+$AJ566*$AL566*-2)^(1/$AJ566)))</f>
        <v/>
      </c>
      <c r="AQ566">
        <f>IF($AJ566="","",IF($AJ566=0,$AK566*EXP($AL566*-3),$AK566*(1+$AJ566*$AL566*-3)^(1/$AJ566)))</f>
        <v/>
      </c>
      <c r="AR566">
        <f>IF(OR($X566="",$T566&gt;60),"",IFERROR(INDEX(IF($T566&lt;24,pcomp_l,palt_l),MATCH($X566,IF($T566&lt;24,pcomp_k,palt_k),1)),""))</f>
        <v/>
      </c>
      <c r="AS566">
        <f>IF(OR($X566="",$T566&gt;60),"",IFERROR(INDEX(IF($T566&lt;24,pcomp_m,palt_m),MATCH($X566,IF($T566&lt;24,pcomp_k,palt_k),1)),""))</f>
        <v/>
      </c>
      <c r="AT566">
        <f>IF(OR($X566="",$T566&gt;60),"",IFERROR(INDEX(IF($T566&lt;24,pcomp_s,palt_s),MATCH($X566,IF($T566&lt;24,pcomp_k,palt_k),1)),""))</f>
        <v/>
      </c>
      <c r="AU566">
        <f>IF($AR566="","",IF($AR566=0,LN($F566/$AS566)/$AT566,((($F566/$AS566)^$AR566)-1)/($AR566*$AT566)))</f>
        <v/>
      </c>
      <c r="AV566">
        <f>IF($AR566="","",IF($AR566=0,$AS566*EXP($AT566*2),$AS566*(1+$AR566*$AT566*2)^(1/$AR566)))</f>
        <v/>
      </c>
      <c r="AW566">
        <f>IF($AR566="","",IF($AR566=0,$AS566*EXP($AT566*3),$AS566*(1+$AR566*$AT566*3)^(1/$AR566)))</f>
        <v/>
      </c>
      <c r="AX566">
        <f>IF($AR566="","",IF($AR566=0,$AS566*EXP($AT566*-2),$AS566*(1+$AR566*$AT566*-2)^(1/$AR566)))</f>
        <v/>
      </c>
      <c r="AY566">
        <f>IF($AR566="","",IF($AR566=0,$AS566*EXP($AT566*-3),$AS566*(1+$AR566*$AT566*-3)^(1/$AR566)))</f>
        <v/>
      </c>
      <c r="AZ566">
        <f>IF(OR($A566="",$A566&lt;&gt;Ficha!$C$4),"",COUNTIF($A$2:$A566,Ficha!$C$4))</f>
        <v/>
      </c>
    </row>
    <row r="567">
      <c r="A567" s="8">
        <f>IF(INDEX(Banco!$A:$A,ROW())="","",INDEX(Banco!$A:$A,ROW()))</f>
        <v/>
      </c>
      <c r="B567" s="8">
        <f>IF(INDEX(Banco!$B:$B,ROW())="","",INDEX(Banco!$B:$B,ROW()))</f>
        <v/>
      </c>
      <c r="C567" s="8">
        <f>IF(INDEX(Banco!$C:$C,ROW())="","",INDEX(Banco!$C:$C,ROW()))</f>
        <v/>
      </c>
      <c r="D567" s="9">
        <f>IF(INDEX(Banco!$D:$D,ROW())="","",INDEX(Banco!$D:$D,ROW()))</f>
        <v/>
      </c>
      <c r="E567" s="9">
        <f>IF(INDEX(Banco!$E:$E,ROW())="","",INDEX(Banco!$E:$E,ROW()))</f>
        <v/>
      </c>
      <c r="F567" s="10">
        <f>IF(INDEX(Banco!$F:$F,ROW())="","",INDEX(Banco!$F:$F,ROW()))</f>
        <v/>
      </c>
      <c r="G567" s="10">
        <f>IF(INDEX(Banco!$G:$G,ROW())="","",INDEX(Banco!$G:$G,ROW()))</f>
        <v/>
      </c>
      <c r="H567" s="8">
        <f>IF(INDEX(Banco!$H:$H,ROW())="","",INDEX(Banco!$H:$H,ROW()))</f>
        <v/>
      </c>
      <c r="I567">
        <f>IF($T567="","",INT($T567/12)&amp;"a "&amp;MOD($T567,12)&amp;"m")</f>
        <v/>
      </c>
      <c r="J567" s="11">
        <f>IF(OR($F567="",$G567=""),"",ROUND($F567/($G567/100)^2,2))</f>
        <v/>
      </c>
      <c r="K567" s="12">
        <f>IF(OR($S567="",$J567="",$T567="",$T567&lt;0,$T567&gt;228,$Y567=""),"—",ROUND(IF(ABS($AB567)&lt;=3,$AB567,IF($AB567&gt;3,3+($J567-$AD567)/($AD567-$AC567),-3+($J567-$AF567)/($AE567-$AF567))),2))</f>
        <v/>
      </c>
      <c r="L567">
        <f>IF(OR($K567="",$K567="—"),"",IF($T567&lt;=60,IF($K567&lt;-3,"Magreza acentuada",IF($K567&lt;-2,"Magreza",IF($K567&lt;=1,"Eutrofia",IF($K567&lt;=2,"Risco de sobrepeso",IF($K567&lt;=3,"Sobrepeso","Obesidade"))))),IF($K567&lt;-3,"Magreza acentuada",IF($K567&lt;-2,"Magreza",IF($K567&lt;=1,"Eutrofia",IF($K567&lt;=2,"Sobrepeso",IF($K567&lt;=3,"Obesidade","Obesidade grave")))))))</f>
        <v/>
      </c>
      <c r="M567" s="12">
        <f>IF(OR($S567="",$V567="",$T567="",$T567&lt;0,$T567&gt;228,$AG567=""),"—",ROUND(IF($AG567=0,LN($V567/$AH567)/$AI567,((($V567/$AH567)^$AG567)-1)/($AG567*$AI567)),2))</f>
        <v/>
      </c>
      <c r="N567">
        <f>IF(OR($M567="",$M567="—"),"",IF($M567&lt;-3,"Muito baixa",IF($M567&lt;-2,"Baixa","Adequada")))</f>
        <v/>
      </c>
      <c r="O567" s="12">
        <f>IF(OR($S567="",$F567="",$T567="",$T567&lt;0,$T567&gt;120,$AJ567=""),"—",ROUND(IF(ABS($AM567)&lt;=3,$AM567,IF($AM567&gt;3,3+($F567-$AO567)/($AO567-$AN567),-3+($F567-$AQ567)/($AP567-$AQ567))),2))</f>
        <v/>
      </c>
      <c r="P567">
        <f>IF(OR($O567="",$O567="—"),"",IF($O567&lt;-3,"Muito baixo",IF($O567&lt;-2,"Baixo",IF($O567&lt;=2,"Adequado","Elevado"))))</f>
        <v/>
      </c>
      <c r="Q567" s="12">
        <f>IF(OR($S567="",$F567="",$T567="",$T567&lt;0,$T567&gt;60,$AR567=""),"—",ROUND(IF(ABS($AU567)&lt;=3,$AU567,IF($AU567&gt;3,3+($F567-$AW567)/($AW567-$AV567),-3+($F567-$AY567)/($AX567-$AY567))),2))</f>
        <v/>
      </c>
      <c r="R567">
        <f>IF(OR($Q567="",$Q567="—"),"",IF($Q567&lt;-3,"Magreza acentuada",IF($Q567&lt;-2,"Magreza",IF($Q567&lt;=1,"Eutrofia",IF($Q567&lt;=2,"Risco de sobrepeso",IF($Q567&lt;=3,"Sobrepeso","Obesidade"))))))</f>
        <v/>
      </c>
      <c r="S567">
        <f>IF($C567="","",IF(UPPER(LEFT($C567,1))="M",1,IF(UPPER(LEFT($C567,1))="F",2,"")))</f>
        <v/>
      </c>
      <c r="T567">
        <f>IF(OR($D567="",$E567=""),"",DATEDIF($D567,$E567,"m"))</f>
        <v/>
      </c>
      <c r="U567">
        <f>IF(OR($D567="",$E567=""),"",$E567-$D567)</f>
        <v/>
      </c>
      <c r="V567">
        <f>IF(OR($G567="",$T567=""),"",IF($T567&lt;24,IF(LEFT(LOWER($H567),4)="em p",$G567+0.7,$G567),IF(LEFT(LOWER($H567),4)="deit",$G567-0.7,$G567)))</f>
        <v/>
      </c>
      <c r="W567">
        <f>IF(OR($S567="",$T567=""),"",$S567*1000000+IF($T567&lt;=60,$U567,$T567))</f>
        <v/>
      </c>
      <c r="X567">
        <f>IF(OR($S567="",$V567="",$T567&gt;60,$T567=""),"",$S567*1000000+ROUND($V567*10,0))</f>
        <v/>
      </c>
      <c r="Y567">
        <f>IF($W567="","",IFERROR(INDEX(IF($T567&lt;=60,imc05_l,imc519_l),MATCH($W567,IF($T567&lt;=60,imc05_k,imc519_k),1)),""))</f>
        <v/>
      </c>
      <c r="Z567">
        <f>IF($W567="","",IFERROR(INDEX(IF($T567&lt;=60,imc05_m,imc519_m),MATCH($W567,IF($T567&lt;=60,imc05_k,imc519_k),1)),""))</f>
        <v/>
      </c>
      <c r="AA567">
        <f>IF($W567="","",IFERROR(INDEX(IF($T567&lt;=60,imc05_s,imc519_s),MATCH($W567,IF($T567&lt;=60,imc05_k,imc519_k),1)),""))</f>
        <v/>
      </c>
      <c r="AB567">
        <f>IF($Y567="","",IF($Y567=0,LN($J567/$Z567)/$AA567,((($J567/$Z567)^$Y567)-1)/($Y567*$AA567)))</f>
        <v/>
      </c>
      <c r="AC567">
        <f>IF($Y567="","",IF($Y567=0,$Z567*EXP($AA567*2),$Z567*(1+$Y567*$AA567*2)^(1/$Y567)))</f>
        <v/>
      </c>
      <c r="AD567">
        <f>IF($Y567="","",IF($Y567=0,$Z567*EXP($AA567*3),$Z567*(1+$Y567*$AA567*3)^(1/$Y567)))</f>
        <v/>
      </c>
      <c r="AE567">
        <f>IF($Y567="","",IF($Y567=0,$Z567*EXP($AA567*-2),$Z567*(1+$Y567*$AA567*-2)^(1/$Y567)))</f>
        <v/>
      </c>
      <c r="AF567">
        <f>IF($Y567="","",IF($Y567=0,$Z567*EXP($AA567*-3),$Z567*(1+$Y567*$AA567*-3)^(1/$Y567)))</f>
        <v/>
      </c>
      <c r="AG567">
        <f>IF($W567="","",IFERROR(INDEX(IF($T567&lt;=60,est05_l,est519_l),MATCH($W567,IF($T567&lt;=60,est05_k,est519_k),1)),""))</f>
        <v/>
      </c>
      <c r="AH567">
        <f>IF($W567="","",IFERROR(INDEX(IF($T567&lt;=60,est05_m,est519_m),MATCH($W567,IF($T567&lt;=60,est05_k,est519_k),1)),""))</f>
        <v/>
      </c>
      <c r="AI567">
        <f>IF($W567="","",IFERROR(INDEX(IF($T567&lt;=60,est05_s,est519_s),MATCH($W567,IF($T567&lt;=60,est05_k,est519_k),1)),""))</f>
        <v/>
      </c>
      <c r="AJ567">
        <f>IF($W567="","",IFERROR(INDEX(IF($T567&lt;=60,peso05_l,peso510_l),MATCH($W567,IF($T567&lt;=60,peso05_k,peso510_k),1)),""))</f>
        <v/>
      </c>
      <c r="AK567">
        <f>IF($W567="","",IFERROR(INDEX(IF($T567&lt;=60,peso05_m,peso510_m),MATCH($W567,IF($T567&lt;=60,peso05_k,peso510_k),1)),""))</f>
        <v/>
      </c>
      <c r="AL567">
        <f>IF($W567="","",IFERROR(INDEX(IF($T567&lt;=60,peso05_s,peso510_s),MATCH($W567,IF($T567&lt;=60,peso05_k,peso510_k),1)),""))</f>
        <v/>
      </c>
      <c r="AM567">
        <f>IF($AJ567="","",IF($AJ567=0,LN($F567/$AK567)/$AL567,((($F567/$AK567)^$AJ567)-1)/($AJ567*$AL567)))</f>
        <v/>
      </c>
      <c r="AN567">
        <f>IF($AJ567="","",IF($AJ567=0,$AK567*EXP($AL567*2),$AK567*(1+$AJ567*$AL567*2)^(1/$AJ567)))</f>
        <v/>
      </c>
      <c r="AO567">
        <f>IF($AJ567="","",IF($AJ567=0,$AK567*EXP($AL567*3),$AK567*(1+$AJ567*$AL567*3)^(1/$AJ567)))</f>
        <v/>
      </c>
      <c r="AP567">
        <f>IF($AJ567="","",IF($AJ567=0,$AK567*EXP($AL567*-2),$AK567*(1+$AJ567*$AL567*-2)^(1/$AJ567)))</f>
        <v/>
      </c>
      <c r="AQ567">
        <f>IF($AJ567="","",IF($AJ567=0,$AK567*EXP($AL567*-3),$AK567*(1+$AJ567*$AL567*-3)^(1/$AJ567)))</f>
        <v/>
      </c>
      <c r="AR567">
        <f>IF(OR($X567="",$T567&gt;60),"",IFERROR(INDEX(IF($T567&lt;24,pcomp_l,palt_l),MATCH($X567,IF($T567&lt;24,pcomp_k,palt_k),1)),""))</f>
        <v/>
      </c>
      <c r="AS567">
        <f>IF(OR($X567="",$T567&gt;60),"",IFERROR(INDEX(IF($T567&lt;24,pcomp_m,palt_m),MATCH($X567,IF($T567&lt;24,pcomp_k,palt_k),1)),""))</f>
        <v/>
      </c>
      <c r="AT567">
        <f>IF(OR($X567="",$T567&gt;60),"",IFERROR(INDEX(IF($T567&lt;24,pcomp_s,palt_s),MATCH($X567,IF($T567&lt;24,pcomp_k,palt_k),1)),""))</f>
        <v/>
      </c>
      <c r="AU567">
        <f>IF($AR567="","",IF($AR567=0,LN($F567/$AS567)/$AT567,((($F567/$AS567)^$AR567)-1)/($AR567*$AT567)))</f>
        <v/>
      </c>
      <c r="AV567">
        <f>IF($AR567="","",IF($AR567=0,$AS567*EXP($AT567*2),$AS567*(1+$AR567*$AT567*2)^(1/$AR567)))</f>
        <v/>
      </c>
      <c r="AW567">
        <f>IF($AR567="","",IF($AR567=0,$AS567*EXP($AT567*3),$AS567*(1+$AR567*$AT567*3)^(1/$AR567)))</f>
        <v/>
      </c>
      <c r="AX567">
        <f>IF($AR567="","",IF($AR567=0,$AS567*EXP($AT567*-2),$AS567*(1+$AR567*$AT567*-2)^(1/$AR567)))</f>
        <v/>
      </c>
      <c r="AY567">
        <f>IF($AR567="","",IF($AR567=0,$AS567*EXP($AT567*-3),$AS567*(1+$AR567*$AT567*-3)^(1/$AR567)))</f>
        <v/>
      </c>
      <c r="AZ567">
        <f>IF(OR($A567="",$A567&lt;&gt;Ficha!$C$4),"",COUNTIF($A$2:$A567,Ficha!$C$4))</f>
        <v/>
      </c>
    </row>
    <row r="568">
      <c r="A568" s="8">
        <f>IF(INDEX(Banco!$A:$A,ROW())="","",INDEX(Banco!$A:$A,ROW()))</f>
        <v/>
      </c>
      <c r="B568" s="8">
        <f>IF(INDEX(Banco!$B:$B,ROW())="","",INDEX(Banco!$B:$B,ROW()))</f>
        <v/>
      </c>
      <c r="C568" s="8">
        <f>IF(INDEX(Banco!$C:$C,ROW())="","",INDEX(Banco!$C:$C,ROW()))</f>
        <v/>
      </c>
      <c r="D568" s="9">
        <f>IF(INDEX(Banco!$D:$D,ROW())="","",INDEX(Banco!$D:$D,ROW()))</f>
        <v/>
      </c>
      <c r="E568" s="9">
        <f>IF(INDEX(Banco!$E:$E,ROW())="","",INDEX(Banco!$E:$E,ROW()))</f>
        <v/>
      </c>
      <c r="F568" s="10">
        <f>IF(INDEX(Banco!$F:$F,ROW())="","",INDEX(Banco!$F:$F,ROW()))</f>
        <v/>
      </c>
      <c r="G568" s="10">
        <f>IF(INDEX(Banco!$G:$G,ROW())="","",INDEX(Banco!$G:$G,ROW()))</f>
        <v/>
      </c>
      <c r="H568" s="8">
        <f>IF(INDEX(Banco!$H:$H,ROW())="","",INDEX(Banco!$H:$H,ROW()))</f>
        <v/>
      </c>
      <c r="I568">
        <f>IF($T568="","",INT($T568/12)&amp;"a "&amp;MOD($T568,12)&amp;"m")</f>
        <v/>
      </c>
      <c r="J568" s="11">
        <f>IF(OR($F568="",$G568=""),"",ROUND($F568/($G568/100)^2,2))</f>
        <v/>
      </c>
      <c r="K568" s="12">
        <f>IF(OR($S568="",$J568="",$T568="",$T568&lt;0,$T568&gt;228,$Y568=""),"—",ROUND(IF(ABS($AB568)&lt;=3,$AB568,IF($AB568&gt;3,3+($J568-$AD568)/($AD568-$AC568),-3+($J568-$AF568)/($AE568-$AF568))),2))</f>
        <v/>
      </c>
      <c r="L568">
        <f>IF(OR($K568="",$K568="—"),"",IF($T568&lt;=60,IF($K568&lt;-3,"Magreza acentuada",IF($K568&lt;-2,"Magreza",IF($K568&lt;=1,"Eutrofia",IF($K568&lt;=2,"Risco de sobrepeso",IF($K568&lt;=3,"Sobrepeso","Obesidade"))))),IF($K568&lt;-3,"Magreza acentuada",IF($K568&lt;-2,"Magreza",IF($K568&lt;=1,"Eutrofia",IF($K568&lt;=2,"Sobrepeso",IF($K568&lt;=3,"Obesidade","Obesidade grave")))))))</f>
        <v/>
      </c>
      <c r="M568" s="12">
        <f>IF(OR($S568="",$V568="",$T568="",$T568&lt;0,$T568&gt;228,$AG568=""),"—",ROUND(IF($AG568=0,LN($V568/$AH568)/$AI568,((($V568/$AH568)^$AG568)-1)/($AG568*$AI568)),2))</f>
        <v/>
      </c>
      <c r="N568">
        <f>IF(OR($M568="",$M568="—"),"",IF($M568&lt;-3,"Muito baixa",IF($M568&lt;-2,"Baixa","Adequada")))</f>
        <v/>
      </c>
      <c r="O568" s="12">
        <f>IF(OR($S568="",$F568="",$T568="",$T568&lt;0,$T568&gt;120,$AJ568=""),"—",ROUND(IF(ABS($AM568)&lt;=3,$AM568,IF($AM568&gt;3,3+($F568-$AO568)/($AO568-$AN568),-3+($F568-$AQ568)/($AP568-$AQ568))),2))</f>
        <v/>
      </c>
      <c r="P568">
        <f>IF(OR($O568="",$O568="—"),"",IF($O568&lt;-3,"Muito baixo",IF($O568&lt;-2,"Baixo",IF($O568&lt;=2,"Adequado","Elevado"))))</f>
        <v/>
      </c>
      <c r="Q568" s="12">
        <f>IF(OR($S568="",$F568="",$T568="",$T568&lt;0,$T568&gt;60,$AR568=""),"—",ROUND(IF(ABS($AU568)&lt;=3,$AU568,IF($AU568&gt;3,3+($F568-$AW568)/($AW568-$AV568),-3+($F568-$AY568)/($AX568-$AY568))),2))</f>
        <v/>
      </c>
      <c r="R568">
        <f>IF(OR($Q568="",$Q568="—"),"",IF($Q568&lt;-3,"Magreza acentuada",IF($Q568&lt;-2,"Magreza",IF($Q568&lt;=1,"Eutrofia",IF($Q568&lt;=2,"Risco de sobrepeso",IF($Q568&lt;=3,"Sobrepeso","Obesidade"))))))</f>
        <v/>
      </c>
      <c r="S568">
        <f>IF($C568="","",IF(UPPER(LEFT($C568,1))="M",1,IF(UPPER(LEFT($C568,1))="F",2,"")))</f>
        <v/>
      </c>
      <c r="T568">
        <f>IF(OR($D568="",$E568=""),"",DATEDIF($D568,$E568,"m"))</f>
        <v/>
      </c>
      <c r="U568">
        <f>IF(OR($D568="",$E568=""),"",$E568-$D568)</f>
        <v/>
      </c>
      <c r="V568">
        <f>IF(OR($G568="",$T568=""),"",IF($T568&lt;24,IF(LEFT(LOWER($H568),4)="em p",$G568+0.7,$G568),IF(LEFT(LOWER($H568),4)="deit",$G568-0.7,$G568)))</f>
        <v/>
      </c>
      <c r="W568">
        <f>IF(OR($S568="",$T568=""),"",$S568*1000000+IF($T568&lt;=60,$U568,$T568))</f>
        <v/>
      </c>
      <c r="X568">
        <f>IF(OR($S568="",$V568="",$T568&gt;60,$T568=""),"",$S568*1000000+ROUND($V568*10,0))</f>
        <v/>
      </c>
      <c r="Y568">
        <f>IF($W568="","",IFERROR(INDEX(IF($T568&lt;=60,imc05_l,imc519_l),MATCH($W568,IF($T568&lt;=60,imc05_k,imc519_k),1)),""))</f>
        <v/>
      </c>
      <c r="Z568">
        <f>IF($W568="","",IFERROR(INDEX(IF($T568&lt;=60,imc05_m,imc519_m),MATCH($W568,IF($T568&lt;=60,imc05_k,imc519_k),1)),""))</f>
        <v/>
      </c>
      <c r="AA568">
        <f>IF($W568="","",IFERROR(INDEX(IF($T568&lt;=60,imc05_s,imc519_s),MATCH($W568,IF($T568&lt;=60,imc05_k,imc519_k),1)),""))</f>
        <v/>
      </c>
      <c r="AB568">
        <f>IF($Y568="","",IF($Y568=0,LN($J568/$Z568)/$AA568,((($J568/$Z568)^$Y568)-1)/($Y568*$AA568)))</f>
        <v/>
      </c>
      <c r="AC568">
        <f>IF($Y568="","",IF($Y568=0,$Z568*EXP($AA568*2),$Z568*(1+$Y568*$AA568*2)^(1/$Y568)))</f>
        <v/>
      </c>
      <c r="AD568">
        <f>IF($Y568="","",IF($Y568=0,$Z568*EXP($AA568*3),$Z568*(1+$Y568*$AA568*3)^(1/$Y568)))</f>
        <v/>
      </c>
      <c r="AE568">
        <f>IF($Y568="","",IF($Y568=0,$Z568*EXP($AA568*-2),$Z568*(1+$Y568*$AA568*-2)^(1/$Y568)))</f>
        <v/>
      </c>
      <c r="AF568">
        <f>IF($Y568="","",IF($Y568=0,$Z568*EXP($AA568*-3),$Z568*(1+$Y568*$AA568*-3)^(1/$Y568)))</f>
        <v/>
      </c>
      <c r="AG568">
        <f>IF($W568="","",IFERROR(INDEX(IF($T568&lt;=60,est05_l,est519_l),MATCH($W568,IF($T568&lt;=60,est05_k,est519_k),1)),""))</f>
        <v/>
      </c>
      <c r="AH568">
        <f>IF($W568="","",IFERROR(INDEX(IF($T568&lt;=60,est05_m,est519_m),MATCH($W568,IF($T568&lt;=60,est05_k,est519_k),1)),""))</f>
        <v/>
      </c>
      <c r="AI568">
        <f>IF($W568="","",IFERROR(INDEX(IF($T568&lt;=60,est05_s,est519_s),MATCH($W568,IF($T568&lt;=60,est05_k,est519_k),1)),""))</f>
        <v/>
      </c>
      <c r="AJ568">
        <f>IF($W568="","",IFERROR(INDEX(IF($T568&lt;=60,peso05_l,peso510_l),MATCH($W568,IF($T568&lt;=60,peso05_k,peso510_k),1)),""))</f>
        <v/>
      </c>
      <c r="AK568">
        <f>IF($W568="","",IFERROR(INDEX(IF($T568&lt;=60,peso05_m,peso510_m),MATCH($W568,IF($T568&lt;=60,peso05_k,peso510_k),1)),""))</f>
        <v/>
      </c>
      <c r="AL568">
        <f>IF($W568="","",IFERROR(INDEX(IF($T568&lt;=60,peso05_s,peso510_s),MATCH($W568,IF($T568&lt;=60,peso05_k,peso510_k),1)),""))</f>
        <v/>
      </c>
      <c r="AM568">
        <f>IF($AJ568="","",IF($AJ568=0,LN($F568/$AK568)/$AL568,((($F568/$AK568)^$AJ568)-1)/($AJ568*$AL568)))</f>
        <v/>
      </c>
      <c r="AN568">
        <f>IF($AJ568="","",IF($AJ568=0,$AK568*EXP($AL568*2),$AK568*(1+$AJ568*$AL568*2)^(1/$AJ568)))</f>
        <v/>
      </c>
      <c r="AO568">
        <f>IF($AJ568="","",IF($AJ568=0,$AK568*EXP($AL568*3),$AK568*(1+$AJ568*$AL568*3)^(1/$AJ568)))</f>
        <v/>
      </c>
      <c r="AP568">
        <f>IF($AJ568="","",IF($AJ568=0,$AK568*EXP($AL568*-2),$AK568*(1+$AJ568*$AL568*-2)^(1/$AJ568)))</f>
        <v/>
      </c>
      <c r="AQ568">
        <f>IF($AJ568="","",IF($AJ568=0,$AK568*EXP($AL568*-3),$AK568*(1+$AJ568*$AL568*-3)^(1/$AJ568)))</f>
        <v/>
      </c>
      <c r="AR568">
        <f>IF(OR($X568="",$T568&gt;60),"",IFERROR(INDEX(IF($T568&lt;24,pcomp_l,palt_l),MATCH($X568,IF($T568&lt;24,pcomp_k,palt_k),1)),""))</f>
        <v/>
      </c>
      <c r="AS568">
        <f>IF(OR($X568="",$T568&gt;60),"",IFERROR(INDEX(IF($T568&lt;24,pcomp_m,palt_m),MATCH($X568,IF($T568&lt;24,pcomp_k,palt_k),1)),""))</f>
        <v/>
      </c>
      <c r="AT568">
        <f>IF(OR($X568="",$T568&gt;60),"",IFERROR(INDEX(IF($T568&lt;24,pcomp_s,palt_s),MATCH($X568,IF($T568&lt;24,pcomp_k,palt_k),1)),""))</f>
        <v/>
      </c>
      <c r="AU568">
        <f>IF($AR568="","",IF($AR568=0,LN($F568/$AS568)/$AT568,((($F568/$AS568)^$AR568)-1)/($AR568*$AT568)))</f>
        <v/>
      </c>
      <c r="AV568">
        <f>IF($AR568="","",IF($AR568=0,$AS568*EXP($AT568*2),$AS568*(1+$AR568*$AT568*2)^(1/$AR568)))</f>
        <v/>
      </c>
      <c r="AW568">
        <f>IF($AR568="","",IF($AR568=0,$AS568*EXP($AT568*3),$AS568*(1+$AR568*$AT568*3)^(1/$AR568)))</f>
        <v/>
      </c>
      <c r="AX568">
        <f>IF($AR568="","",IF($AR568=0,$AS568*EXP($AT568*-2),$AS568*(1+$AR568*$AT568*-2)^(1/$AR568)))</f>
        <v/>
      </c>
      <c r="AY568">
        <f>IF($AR568="","",IF($AR568=0,$AS568*EXP($AT568*-3),$AS568*(1+$AR568*$AT568*-3)^(1/$AR568)))</f>
        <v/>
      </c>
      <c r="AZ568">
        <f>IF(OR($A568="",$A568&lt;&gt;Ficha!$C$4),"",COUNTIF($A$2:$A568,Ficha!$C$4))</f>
        <v/>
      </c>
    </row>
    <row r="569">
      <c r="A569" s="8">
        <f>IF(INDEX(Banco!$A:$A,ROW())="","",INDEX(Banco!$A:$A,ROW()))</f>
        <v/>
      </c>
      <c r="B569" s="8">
        <f>IF(INDEX(Banco!$B:$B,ROW())="","",INDEX(Banco!$B:$B,ROW()))</f>
        <v/>
      </c>
      <c r="C569" s="8">
        <f>IF(INDEX(Banco!$C:$C,ROW())="","",INDEX(Banco!$C:$C,ROW()))</f>
        <v/>
      </c>
      <c r="D569" s="9">
        <f>IF(INDEX(Banco!$D:$D,ROW())="","",INDEX(Banco!$D:$D,ROW()))</f>
        <v/>
      </c>
      <c r="E569" s="9">
        <f>IF(INDEX(Banco!$E:$E,ROW())="","",INDEX(Banco!$E:$E,ROW()))</f>
        <v/>
      </c>
      <c r="F569" s="10">
        <f>IF(INDEX(Banco!$F:$F,ROW())="","",INDEX(Banco!$F:$F,ROW()))</f>
        <v/>
      </c>
      <c r="G569" s="10">
        <f>IF(INDEX(Banco!$G:$G,ROW())="","",INDEX(Banco!$G:$G,ROW()))</f>
        <v/>
      </c>
      <c r="H569" s="8">
        <f>IF(INDEX(Banco!$H:$H,ROW())="","",INDEX(Banco!$H:$H,ROW()))</f>
        <v/>
      </c>
      <c r="I569">
        <f>IF($T569="","",INT($T569/12)&amp;"a "&amp;MOD($T569,12)&amp;"m")</f>
        <v/>
      </c>
      <c r="J569" s="11">
        <f>IF(OR($F569="",$G569=""),"",ROUND($F569/($G569/100)^2,2))</f>
        <v/>
      </c>
      <c r="K569" s="12">
        <f>IF(OR($S569="",$J569="",$T569="",$T569&lt;0,$T569&gt;228,$Y569=""),"—",ROUND(IF(ABS($AB569)&lt;=3,$AB569,IF($AB569&gt;3,3+($J569-$AD569)/($AD569-$AC569),-3+($J569-$AF569)/($AE569-$AF569))),2))</f>
        <v/>
      </c>
      <c r="L569">
        <f>IF(OR($K569="",$K569="—"),"",IF($T569&lt;=60,IF($K569&lt;-3,"Magreza acentuada",IF($K569&lt;-2,"Magreza",IF($K569&lt;=1,"Eutrofia",IF($K569&lt;=2,"Risco de sobrepeso",IF($K569&lt;=3,"Sobrepeso","Obesidade"))))),IF($K569&lt;-3,"Magreza acentuada",IF($K569&lt;-2,"Magreza",IF($K569&lt;=1,"Eutrofia",IF($K569&lt;=2,"Sobrepeso",IF($K569&lt;=3,"Obesidade","Obesidade grave")))))))</f>
        <v/>
      </c>
      <c r="M569" s="12">
        <f>IF(OR($S569="",$V569="",$T569="",$T569&lt;0,$T569&gt;228,$AG569=""),"—",ROUND(IF($AG569=0,LN($V569/$AH569)/$AI569,((($V569/$AH569)^$AG569)-1)/($AG569*$AI569)),2))</f>
        <v/>
      </c>
      <c r="N569">
        <f>IF(OR($M569="",$M569="—"),"",IF($M569&lt;-3,"Muito baixa",IF($M569&lt;-2,"Baixa","Adequada")))</f>
        <v/>
      </c>
      <c r="O569" s="12">
        <f>IF(OR($S569="",$F569="",$T569="",$T569&lt;0,$T569&gt;120,$AJ569=""),"—",ROUND(IF(ABS($AM569)&lt;=3,$AM569,IF($AM569&gt;3,3+($F569-$AO569)/($AO569-$AN569),-3+($F569-$AQ569)/($AP569-$AQ569))),2))</f>
        <v/>
      </c>
      <c r="P569">
        <f>IF(OR($O569="",$O569="—"),"",IF($O569&lt;-3,"Muito baixo",IF($O569&lt;-2,"Baixo",IF($O569&lt;=2,"Adequado","Elevado"))))</f>
        <v/>
      </c>
      <c r="Q569" s="12">
        <f>IF(OR($S569="",$F569="",$T569="",$T569&lt;0,$T569&gt;60,$AR569=""),"—",ROUND(IF(ABS($AU569)&lt;=3,$AU569,IF($AU569&gt;3,3+($F569-$AW569)/($AW569-$AV569),-3+($F569-$AY569)/($AX569-$AY569))),2))</f>
        <v/>
      </c>
      <c r="R569">
        <f>IF(OR($Q569="",$Q569="—"),"",IF($Q569&lt;-3,"Magreza acentuada",IF($Q569&lt;-2,"Magreza",IF($Q569&lt;=1,"Eutrofia",IF($Q569&lt;=2,"Risco de sobrepeso",IF($Q569&lt;=3,"Sobrepeso","Obesidade"))))))</f>
        <v/>
      </c>
      <c r="S569">
        <f>IF($C569="","",IF(UPPER(LEFT($C569,1))="M",1,IF(UPPER(LEFT($C569,1))="F",2,"")))</f>
        <v/>
      </c>
      <c r="T569">
        <f>IF(OR($D569="",$E569=""),"",DATEDIF($D569,$E569,"m"))</f>
        <v/>
      </c>
      <c r="U569">
        <f>IF(OR($D569="",$E569=""),"",$E569-$D569)</f>
        <v/>
      </c>
      <c r="V569">
        <f>IF(OR($G569="",$T569=""),"",IF($T569&lt;24,IF(LEFT(LOWER($H569),4)="em p",$G569+0.7,$G569),IF(LEFT(LOWER($H569),4)="deit",$G569-0.7,$G569)))</f>
        <v/>
      </c>
      <c r="W569">
        <f>IF(OR($S569="",$T569=""),"",$S569*1000000+IF($T569&lt;=60,$U569,$T569))</f>
        <v/>
      </c>
      <c r="X569">
        <f>IF(OR($S569="",$V569="",$T569&gt;60,$T569=""),"",$S569*1000000+ROUND($V569*10,0))</f>
        <v/>
      </c>
      <c r="Y569">
        <f>IF($W569="","",IFERROR(INDEX(IF($T569&lt;=60,imc05_l,imc519_l),MATCH($W569,IF($T569&lt;=60,imc05_k,imc519_k),1)),""))</f>
        <v/>
      </c>
      <c r="Z569">
        <f>IF($W569="","",IFERROR(INDEX(IF($T569&lt;=60,imc05_m,imc519_m),MATCH($W569,IF($T569&lt;=60,imc05_k,imc519_k),1)),""))</f>
        <v/>
      </c>
      <c r="AA569">
        <f>IF($W569="","",IFERROR(INDEX(IF($T569&lt;=60,imc05_s,imc519_s),MATCH($W569,IF($T569&lt;=60,imc05_k,imc519_k),1)),""))</f>
        <v/>
      </c>
      <c r="AB569">
        <f>IF($Y569="","",IF($Y569=0,LN($J569/$Z569)/$AA569,((($J569/$Z569)^$Y569)-1)/($Y569*$AA569)))</f>
        <v/>
      </c>
      <c r="AC569">
        <f>IF($Y569="","",IF($Y569=0,$Z569*EXP($AA569*2),$Z569*(1+$Y569*$AA569*2)^(1/$Y569)))</f>
        <v/>
      </c>
      <c r="AD569">
        <f>IF($Y569="","",IF($Y569=0,$Z569*EXP($AA569*3),$Z569*(1+$Y569*$AA569*3)^(1/$Y569)))</f>
        <v/>
      </c>
      <c r="AE569">
        <f>IF($Y569="","",IF($Y569=0,$Z569*EXP($AA569*-2),$Z569*(1+$Y569*$AA569*-2)^(1/$Y569)))</f>
        <v/>
      </c>
      <c r="AF569">
        <f>IF($Y569="","",IF($Y569=0,$Z569*EXP($AA569*-3),$Z569*(1+$Y569*$AA569*-3)^(1/$Y569)))</f>
        <v/>
      </c>
      <c r="AG569">
        <f>IF($W569="","",IFERROR(INDEX(IF($T569&lt;=60,est05_l,est519_l),MATCH($W569,IF($T569&lt;=60,est05_k,est519_k),1)),""))</f>
        <v/>
      </c>
      <c r="AH569">
        <f>IF($W569="","",IFERROR(INDEX(IF($T569&lt;=60,est05_m,est519_m),MATCH($W569,IF($T569&lt;=60,est05_k,est519_k),1)),""))</f>
        <v/>
      </c>
      <c r="AI569">
        <f>IF($W569="","",IFERROR(INDEX(IF($T569&lt;=60,est05_s,est519_s),MATCH($W569,IF($T569&lt;=60,est05_k,est519_k),1)),""))</f>
        <v/>
      </c>
      <c r="AJ569">
        <f>IF($W569="","",IFERROR(INDEX(IF($T569&lt;=60,peso05_l,peso510_l),MATCH($W569,IF($T569&lt;=60,peso05_k,peso510_k),1)),""))</f>
        <v/>
      </c>
      <c r="AK569">
        <f>IF($W569="","",IFERROR(INDEX(IF($T569&lt;=60,peso05_m,peso510_m),MATCH($W569,IF($T569&lt;=60,peso05_k,peso510_k),1)),""))</f>
        <v/>
      </c>
      <c r="AL569">
        <f>IF($W569="","",IFERROR(INDEX(IF($T569&lt;=60,peso05_s,peso510_s),MATCH($W569,IF($T569&lt;=60,peso05_k,peso510_k),1)),""))</f>
        <v/>
      </c>
      <c r="AM569">
        <f>IF($AJ569="","",IF($AJ569=0,LN($F569/$AK569)/$AL569,((($F569/$AK569)^$AJ569)-1)/($AJ569*$AL569)))</f>
        <v/>
      </c>
      <c r="AN569">
        <f>IF($AJ569="","",IF($AJ569=0,$AK569*EXP($AL569*2),$AK569*(1+$AJ569*$AL569*2)^(1/$AJ569)))</f>
        <v/>
      </c>
      <c r="AO569">
        <f>IF($AJ569="","",IF($AJ569=0,$AK569*EXP($AL569*3),$AK569*(1+$AJ569*$AL569*3)^(1/$AJ569)))</f>
        <v/>
      </c>
      <c r="AP569">
        <f>IF($AJ569="","",IF($AJ569=0,$AK569*EXP($AL569*-2),$AK569*(1+$AJ569*$AL569*-2)^(1/$AJ569)))</f>
        <v/>
      </c>
      <c r="AQ569">
        <f>IF($AJ569="","",IF($AJ569=0,$AK569*EXP($AL569*-3),$AK569*(1+$AJ569*$AL569*-3)^(1/$AJ569)))</f>
        <v/>
      </c>
      <c r="AR569">
        <f>IF(OR($X569="",$T569&gt;60),"",IFERROR(INDEX(IF($T569&lt;24,pcomp_l,palt_l),MATCH($X569,IF($T569&lt;24,pcomp_k,palt_k),1)),""))</f>
        <v/>
      </c>
      <c r="AS569">
        <f>IF(OR($X569="",$T569&gt;60),"",IFERROR(INDEX(IF($T569&lt;24,pcomp_m,palt_m),MATCH($X569,IF($T569&lt;24,pcomp_k,palt_k),1)),""))</f>
        <v/>
      </c>
      <c r="AT569">
        <f>IF(OR($X569="",$T569&gt;60),"",IFERROR(INDEX(IF($T569&lt;24,pcomp_s,palt_s),MATCH($X569,IF($T569&lt;24,pcomp_k,palt_k),1)),""))</f>
        <v/>
      </c>
      <c r="AU569">
        <f>IF($AR569="","",IF($AR569=0,LN($F569/$AS569)/$AT569,((($F569/$AS569)^$AR569)-1)/($AR569*$AT569)))</f>
        <v/>
      </c>
      <c r="AV569">
        <f>IF($AR569="","",IF($AR569=0,$AS569*EXP($AT569*2),$AS569*(1+$AR569*$AT569*2)^(1/$AR569)))</f>
        <v/>
      </c>
      <c r="AW569">
        <f>IF($AR569="","",IF($AR569=0,$AS569*EXP($AT569*3),$AS569*(1+$AR569*$AT569*3)^(1/$AR569)))</f>
        <v/>
      </c>
      <c r="AX569">
        <f>IF($AR569="","",IF($AR569=0,$AS569*EXP($AT569*-2),$AS569*(1+$AR569*$AT569*-2)^(1/$AR569)))</f>
        <v/>
      </c>
      <c r="AY569">
        <f>IF($AR569="","",IF($AR569=0,$AS569*EXP($AT569*-3),$AS569*(1+$AR569*$AT569*-3)^(1/$AR569)))</f>
        <v/>
      </c>
      <c r="AZ569">
        <f>IF(OR($A569="",$A569&lt;&gt;Ficha!$C$4),"",COUNTIF($A$2:$A569,Ficha!$C$4))</f>
        <v/>
      </c>
    </row>
    <row r="570">
      <c r="A570" s="8">
        <f>IF(INDEX(Banco!$A:$A,ROW())="","",INDEX(Banco!$A:$A,ROW()))</f>
        <v/>
      </c>
      <c r="B570" s="8">
        <f>IF(INDEX(Banco!$B:$B,ROW())="","",INDEX(Banco!$B:$B,ROW()))</f>
        <v/>
      </c>
      <c r="C570" s="8">
        <f>IF(INDEX(Banco!$C:$C,ROW())="","",INDEX(Banco!$C:$C,ROW()))</f>
        <v/>
      </c>
      <c r="D570" s="9">
        <f>IF(INDEX(Banco!$D:$D,ROW())="","",INDEX(Banco!$D:$D,ROW()))</f>
        <v/>
      </c>
      <c r="E570" s="9">
        <f>IF(INDEX(Banco!$E:$E,ROW())="","",INDEX(Banco!$E:$E,ROW()))</f>
        <v/>
      </c>
      <c r="F570" s="10">
        <f>IF(INDEX(Banco!$F:$F,ROW())="","",INDEX(Banco!$F:$F,ROW()))</f>
        <v/>
      </c>
      <c r="G570" s="10">
        <f>IF(INDEX(Banco!$G:$G,ROW())="","",INDEX(Banco!$G:$G,ROW()))</f>
        <v/>
      </c>
      <c r="H570" s="8">
        <f>IF(INDEX(Banco!$H:$H,ROW())="","",INDEX(Banco!$H:$H,ROW()))</f>
        <v/>
      </c>
      <c r="I570">
        <f>IF($T570="","",INT($T570/12)&amp;"a "&amp;MOD($T570,12)&amp;"m")</f>
        <v/>
      </c>
      <c r="J570" s="11">
        <f>IF(OR($F570="",$G570=""),"",ROUND($F570/($G570/100)^2,2))</f>
        <v/>
      </c>
      <c r="K570" s="12">
        <f>IF(OR($S570="",$J570="",$T570="",$T570&lt;0,$T570&gt;228,$Y570=""),"—",ROUND(IF(ABS($AB570)&lt;=3,$AB570,IF($AB570&gt;3,3+($J570-$AD570)/($AD570-$AC570),-3+($J570-$AF570)/($AE570-$AF570))),2))</f>
        <v/>
      </c>
      <c r="L570">
        <f>IF(OR($K570="",$K570="—"),"",IF($T570&lt;=60,IF($K570&lt;-3,"Magreza acentuada",IF($K570&lt;-2,"Magreza",IF($K570&lt;=1,"Eutrofia",IF($K570&lt;=2,"Risco de sobrepeso",IF($K570&lt;=3,"Sobrepeso","Obesidade"))))),IF($K570&lt;-3,"Magreza acentuada",IF($K570&lt;-2,"Magreza",IF($K570&lt;=1,"Eutrofia",IF($K570&lt;=2,"Sobrepeso",IF($K570&lt;=3,"Obesidade","Obesidade grave")))))))</f>
        <v/>
      </c>
      <c r="M570" s="12">
        <f>IF(OR($S570="",$V570="",$T570="",$T570&lt;0,$T570&gt;228,$AG570=""),"—",ROUND(IF($AG570=0,LN($V570/$AH570)/$AI570,((($V570/$AH570)^$AG570)-1)/($AG570*$AI570)),2))</f>
        <v/>
      </c>
      <c r="N570">
        <f>IF(OR($M570="",$M570="—"),"",IF($M570&lt;-3,"Muito baixa",IF($M570&lt;-2,"Baixa","Adequada")))</f>
        <v/>
      </c>
      <c r="O570" s="12">
        <f>IF(OR($S570="",$F570="",$T570="",$T570&lt;0,$T570&gt;120,$AJ570=""),"—",ROUND(IF(ABS($AM570)&lt;=3,$AM570,IF($AM570&gt;3,3+($F570-$AO570)/($AO570-$AN570),-3+($F570-$AQ570)/($AP570-$AQ570))),2))</f>
        <v/>
      </c>
      <c r="P570">
        <f>IF(OR($O570="",$O570="—"),"",IF($O570&lt;-3,"Muito baixo",IF($O570&lt;-2,"Baixo",IF($O570&lt;=2,"Adequado","Elevado"))))</f>
        <v/>
      </c>
      <c r="Q570" s="12">
        <f>IF(OR($S570="",$F570="",$T570="",$T570&lt;0,$T570&gt;60,$AR570=""),"—",ROUND(IF(ABS($AU570)&lt;=3,$AU570,IF($AU570&gt;3,3+($F570-$AW570)/($AW570-$AV570),-3+($F570-$AY570)/($AX570-$AY570))),2))</f>
        <v/>
      </c>
      <c r="R570">
        <f>IF(OR($Q570="",$Q570="—"),"",IF($Q570&lt;-3,"Magreza acentuada",IF($Q570&lt;-2,"Magreza",IF($Q570&lt;=1,"Eutrofia",IF($Q570&lt;=2,"Risco de sobrepeso",IF($Q570&lt;=3,"Sobrepeso","Obesidade"))))))</f>
        <v/>
      </c>
      <c r="S570">
        <f>IF($C570="","",IF(UPPER(LEFT($C570,1))="M",1,IF(UPPER(LEFT($C570,1))="F",2,"")))</f>
        <v/>
      </c>
      <c r="T570">
        <f>IF(OR($D570="",$E570=""),"",DATEDIF($D570,$E570,"m"))</f>
        <v/>
      </c>
      <c r="U570">
        <f>IF(OR($D570="",$E570=""),"",$E570-$D570)</f>
        <v/>
      </c>
      <c r="V570">
        <f>IF(OR($G570="",$T570=""),"",IF($T570&lt;24,IF(LEFT(LOWER($H570),4)="em p",$G570+0.7,$G570),IF(LEFT(LOWER($H570),4)="deit",$G570-0.7,$G570)))</f>
        <v/>
      </c>
      <c r="W570">
        <f>IF(OR($S570="",$T570=""),"",$S570*1000000+IF($T570&lt;=60,$U570,$T570))</f>
        <v/>
      </c>
      <c r="X570">
        <f>IF(OR($S570="",$V570="",$T570&gt;60,$T570=""),"",$S570*1000000+ROUND($V570*10,0))</f>
        <v/>
      </c>
      <c r="Y570">
        <f>IF($W570="","",IFERROR(INDEX(IF($T570&lt;=60,imc05_l,imc519_l),MATCH($W570,IF($T570&lt;=60,imc05_k,imc519_k),1)),""))</f>
        <v/>
      </c>
      <c r="Z570">
        <f>IF($W570="","",IFERROR(INDEX(IF($T570&lt;=60,imc05_m,imc519_m),MATCH($W570,IF($T570&lt;=60,imc05_k,imc519_k),1)),""))</f>
        <v/>
      </c>
      <c r="AA570">
        <f>IF($W570="","",IFERROR(INDEX(IF($T570&lt;=60,imc05_s,imc519_s),MATCH($W570,IF($T570&lt;=60,imc05_k,imc519_k),1)),""))</f>
        <v/>
      </c>
      <c r="AB570">
        <f>IF($Y570="","",IF($Y570=0,LN($J570/$Z570)/$AA570,((($J570/$Z570)^$Y570)-1)/($Y570*$AA570)))</f>
        <v/>
      </c>
      <c r="AC570">
        <f>IF($Y570="","",IF($Y570=0,$Z570*EXP($AA570*2),$Z570*(1+$Y570*$AA570*2)^(1/$Y570)))</f>
        <v/>
      </c>
      <c r="AD570">
        <f>IF($Y570="","",IF($Y570=0,$Z570*EXP($AA570*3),$Z570*(1+$Y570*$AA570*3)^(1/$Y570)))</f>
        <v/>
      </c>
      <c r="AE570">
        <f>IF($Y570="","",IF($Y570=0,$Z570*EXP($AA570*-2),$Z570*(1+$Y570*$AA570*-2)^(1/$Y570)))</f>
        <v/>
      </c>
      <c r="AF570">
        <f>IF($Y570="","",IF($Y570=0,$Z570*EXP($AA570*-3),$Z570*(1+$Y570*$AA570*-3)^(1/$Y570)))</f>
        <v/>
      </c>
      <c r="AG570">
        <f>IF($W570="","",IFERROR(INDEX(IF($T570&lt;=60,est05_l,est519_l),MATCH($W570,IF($T570&lt;=60,est05_k,est519_k),1)),""))</f>
        <v/>
      </c>
      <c r="AH570">
        <f>IF($W570="","",IFERROR(INDEX(IF($T570&lt;=60,est05_m,est519_m),MATCH($W570,IF($T570&lt;=60,est05_k,est519_k),1)),""))</f>
        <v/>
      </c>
      <c r="AI570">
        <f>IF($W570="","",IFERROR(INDEX(IF($T570&lt;=60,est05_s,est519_s),MATCH($W570,IF($T570&lt;=60,est05_k,est519_k),1)),""))</f>
        <v/>
      </c>
      <c r="AJ570">
        <f>IF($W570="","",IFERROR(INDEX(IF($T570&lt;=60,peso05_l,peso510_l),MATCH($W570,IF($T570&lt;=60,peso05_k,peso510_k),1)),""))</f>
        <v/>
      </c>
      <c r="AK570">
        <f>IF($W570="","",IFERROR(INDEX(IF($T570&lt;=60,peso05_m,peso510_m),MATCH($W570,IF($T570&lt;=60,peso05_k,peso510_k),1)),""))</f>
        <v/>
      </c>
      <c r="AL570">
        <f>IF($W570="","",IFERROR(INDEX(IF($T570&lt;=60,peso05_s,peso510_s),MATCH($W570,IF($T570&lt;=60,peso05_k,peso510_k),1)),""))</f>
        <v/>
      </c>
      <c r="AM570">
        <f>IF($AJ570="","",IF($AJ570=0,LN($F570/$AK570)/$AL570,((($F570/$AK570)^$AJ570)-1)/($AJ570*$AL570)))</f>
        <v/>
      </c>
      <c r="AN570">
        <f>IF($AJ570="","",IF($AJ570=0,$AK570*EXP($AL570*2),$AK570*(1+$AJ570*$AL570*2)^(1/$AJ570)))</f>
        <v/>
      </c>
      <c r="AO570">
        <f>IF($AJ570="","",IF($AJ570=0,$AK570*EXP($AL570*3),$AK570*(1+$AJ570*$AL570*3)^(1/$AJ570)))</f>
        <v/>
      </c>
      <c r="AP570">
        <f>IF($AJ570="","",IF($AJ570=0,$AK570*EXP($AL570*-2),$AK570*(1+$AJ570*$AL570*-2)^(1/$AJ570)))</f>
        <v/>
      </c>
      <c r="AQ570">
        <f>IF($AJ570="","",IF($AJ570=0,$AK570*EXP($AL570*-3),$AK570*(1+$AJ570*$AL570*-3)^(1/$AJ570)))</f>
        <v/>
      </c>
      <c r="AR570">
        <f>IF(OR($X570="",$T570&gt;60),"",IFERROR(INDEX(IF($T570&lt;24,pcomp_l,palt_l),MATCH($X570,IF($T570&lt;24,pcomp_k,palt_k),1)),""))</f>
        <v/>
      </c>
      <c r="AS570">
        <f>IF(OR($X570="",$T570&gt;60),"",IFERROR(INDEX(IF($T570&lt;24,pcomp_m,palt_m),MATCH($X570,IF($T570&lt;24,pcomp_k,palt_k),1)),""))</f>
        <v/>
      </c>
      <c r="AT570">
        <f>IF(OR($X570="",$T570&gt;60),"",IFERROR(INDEX(IF($T570&lt;24,pcomp_s,palt_s),MATCH($X570,IF($T570&lt;24,pcomp_k,palt_k),1)),""))</f>
        <v/>
      </c>
      <c r="AU570">
        <f>IF($AR570="","",IF($AR570=0,LN($F570/$AS570)/$AT570,((($F570/$AS570)^$AR570)-1)/($AR570*$AT570)))</f>
        <v/>
      </c>
      <c r="AV570">
        <f>IF($AR570="","",IF($AR570=0,$AS570*EXP($AT570*2),$AS570*(1+$AR570*$AT570*2)^(1/$AR570)))</f>
        <v/>
      </c>
      <c r="AW570">
        <f>IF($AR570="","",IF($AR570=0,$AS570*EXP($AT570*3),$AS570*(1+$AR570*$AT570*3)^(1/$AR570)))</f>
        <v/>
      </c>
      <c r="AX570">
        <f>IF($AR570="","",IF($AR570=0,$AS570*EXP($AT570*-2),$AS570*(1+$AR570*$AT570*-2)^(1/$AR570)))</f>
        <v/>
      </c>
      <c r="AY570">
        <f>IF($AR570="","",IF($AR570=0,$AS570*EXP($AT570*-3),$AS570*(1+$AR570*$AT570*-3)^(1/$AR570)))</f>
        <v/>
      </c>
      <c r="AZ570">
        <f>IF(OR($A570="",$A570&lt;&gt;Ficha!$C$4),"",COUNTIF($A$2:$A570,Ficha!$C$4))</f>
        <v/>
      </c>
    </row>
    <row r="571">
      <c r="A571" s="8">
        <f>IF(INDEX(Banco!$A:$A,ROW())="","",INDEX(Banco!$A:$A,ROW()))</f>
        <v/>
      </c>
      <c r="B571" s="8">
        <f>IF(INDEX(Banco!$B:$B,ROW())="","",INDEX(Banco!$B:$B,ROW()))</f>
        <v/>
      </c>
      <c r="C571" s="8">
        <f>IF(INDEX(Banco!$C:$C,ROW())="","",INDEX(Banco!$C:$C,ROW()))</f>
        <v/>
      </c>
      <c r="D571" s="9">
        <f>IF(INDEX(Banco!$D:$D,ROW())="","",INDEX(Banco!$D:$D,ROW()))</f>
        <v/>
      </c>
      <c r="E571" s="9">
        <f>IF(INDEX(Banco!$E:$E,ROW())="","",INDEX(Banco!$E:$E,ROW()))</f>
        <v/>
      </c>
      <c r="F571" s="10">
        <f>IF(INDEX(Banco!$F:$F,ROW())="","",INDEX(Banco!$F:$F,ROW()))</f>
        <v/>
      </c>
      <c r="G571" s="10">
        <f>IF(INDEX(Banco!$G:$G,ROW())="","",INDEX(Banco!$G:$G,ROW()))</f>
        <v/>
      </c>
      <c r="H571" s="8">
        <f>IF(INDEX(Banco!$H:$H,ROW())="","",INDEX(Banco!$H:$H,ROW()))</f>
        <v/>
      </c>
      <c r="I571">
        <f>IF($T571="","",INT($T571/12)&amp;"a "&amp;MOD($T571,12)&amp;"m")</f>
        <v/>
      </c>
      <c r="J571" s="11">
        <f>IF(OR($F571="",$G571=""),"",ROUND($F571/($G571/100)^2,2))</f>
        <v/>
      </c>
      <c r="K571" s="12">
        <f>IF(OR($S571="",$J571="",$T571="",$T571&lt;0,$T571&gt;228,$Y571=""),"—",ROUND(IF(ABS($AB571)&lt;=3,$AB571,IF($AB571&gt;3,3+($J571-$AD571)/($AD571-$AC571),-3+($J571-$AF571)/($AE571-$AF571))),2))</f>
        <v/>
      </c>
      <c r="L571">
        <f>IF(OR($K571="",$K571="—"),"",IF($T571&lt;=60,IF($K571&lt;-3,"Magreza acentuada",IF($K571&lt;-2,"Magreza",IF($K571&lt;=1,"Eutrofia",IF($K571&lt;=2,"Risco de sobrepeso",IF($K571&lt;=3,"Sobrepeso","Obesidade"))))),IF($K571&lt;-3,"Magreza acentuada",IF($K571&lt;-2,"Magreza",IF($K571&lt;=1,"Eutrofia",IF($K571&lt;=2,"Sobrepeso",IF($K571&lt;=3,"Obesidade","Obesidade grave")))))))</f>
        <v/>
      </c>
      <c r="M571" s="12">
        <f>IF(OR($S571="",$V571="",$T571="",$T571&lt;0,$T571&gt;228,$AG571=""),"—",ROUND(IF($AG571=0,LN($V571/$AH571)/$AI571,((($V571/$AH571)^$AG571)-1)/($AG571*$AI571)),2))</f>
        <v/>
      </c>
      <c r="N571">
        <f>IF(OR($M571="",$M571="—"),"",IF($M571&lt;-3,"Muito baixa",IF($M571&lt;-2,"Baixa","Adequada")))</f>
        <v/>
      </c>
      <c r="O571" s="12">
        <f>IF(OR($S571="",$F571="",$T571="",$T571&lt;0,$T571&gt;120,$AJ571=""),"—",ROUND(IF(ABS($AM571)&lt;=3,$AM571,IF($AM571&gt;3,3+($F571-$AO571)/($AO571-$AN571),-3+($F571-$AQ571)/($AP571-$AQ571))),2))</f>
        <v/>
      </c>
      <c r="P571">
        <f>IF(OR($O571="",$O571="—"),"",IF($O571&lt;-3,"Muito baixo",IF($O571&lt;-2,"Baixo",IF($O571&lt;=2,"Adequado","Elevado"))))</f>
        <v/>
      </c>
      <c r="Q571" s="12">
        <f>IF(OR($S571="",$F571="",$T571="",$T571&lt;0,$T571&gt;60,$AR571=""),"—",ROUND(IF(ABS($AU571)&lt;=3,$AU571,IF($AU571&gt;3,3+($F571-$AW571)/($AW571-$AV571),-3+($F571-$AY571)/($AX571-$AY571))),2))</f>
        <v/>
      </c>
      <c r="R571">
        <f>IF(OR($Q571="",$Q571="—"),"",IF($Q571&lt;-3,"Magreza acentuada",IF($Q571&lt;-2,"Magreza",IF($Q571&lt;=1,"Eutrofia",IF($Q571&lt;=2,"Risco de sobrepeso",IF($Q571&lt;=3,"Sobrepeso","Obesidade"))))))</f>
        <v/>
      </c>
      <c r="S571">
        <f>IF($C571="","",IF(UPPER(LEFT($C571,1))="M",1,IF(UPPER(LEFT($C571,1))="F",2,"")))</f>
        <v/>
      </c>
      <c r="T571">
        <f>IF(OR($D571="",$E571=""),"",DATEDIF($D571,$E571,"m"))</f>
        <v/>
      </c>
      <c r="U571">
        <f>IF(OR($D571="",$E571=""),"",$E571-$D571)</f>
        <v/>
      </c>
      <c r="V571">
        <f>IF(OR($G571="",$T571=""),"",IF($T571&lt;24,IF(LEFT(LOWER($H571),4)="em p",$G571+0.7,$G571),IF(LEFT(LOWER($H571),4)="deit",$G571-0.7,$G571)))</f>
        <v/>
      </c>
      <c r="W571">
        <f>IF(OR($S571="",$T571=""),"",$S571*1000000+IF($T571&lt;=60,$U571,$T571))</f>
        <v/>
      </c>
      <c r="X571">
        <f>IF(OR($S571="",$V571="",$T571&gt;60,$T571=""),"",$S571*1000000+ROUND($V571*10,0))</f>
        <v/>
      </c>
      <c r="Y571">
        <f>IF($W571="","",IFERROR(INDEX(IF($T571&lt;=60,imc05_l,imc519_l),MATCH($W571,IF($T571&lt;=60,imc05_k,imc519_k),1)),""))</f>
        <v/>
      </c>
      <c r="Z571">
        <f>IF($W571="","",IFERROR(INDEX(IF($T571&lt;=60,imc05_m,imc519_m),MATCH($W571,IF($T571&lt;=60,imc05_k,imc519_k),1)),""))</f>
        <v/>
      </c>
      <c r="AA571">
        <f>IF($W571="","",IFERROR(INDEX(IF($T571&lt;=60,imc05_s,imc519_s),MATCH($W571,IF($T571&lt;=60,imc05_k,imc519_k),1)),""))</f>
        <v/>
      </c>
      <c r="AB571">
        <f>IF($Y571="","",IF($Y571=0,LN($J571/$Z571)/$AA571,((($J571/$Z571)^$Y571)-1)/($Y571*$AA571)))</f>
        <v/>
      </c>
      <c r="AC571">
        <f>IF($Y571="","",IF($Y571=0,$Z571*EXP($AA571*2),$Z571*(1+$Y571*$AA571*2)^(1/$Y571)))</f>
        <v/>
      </c>
      <c r="AD571">
        <f>IF($Y571="","",IF($Y571=0,$Z571*EXP($AA571*3),$Z571*(1+$Y571*$AA571*3)^(1/$Y571)))</f>
        <v/>
      </c>
      <c r="AE571">
        <f>IF($Y571="","",IF($Y571=0,$Z571*EXP($AA571*-2),$Z571*(1+$Y571*$AA571*-2)^(1/$Y571)))</f>
        <v/>
      </c>
      <c r="AF571">
        <f>IF($Y571="","",IF($Y571=0,$Z571*EXP($AA571*-3),$Z571*(1+$Y571*$AA571*-3)^(1/$Y571)))</f>
        <v/>
      </c>
      <c r="AG571">
        <f>IF($W571="","",IFERROR(INDEX(IF($T571&lt;=60,est05_l,est519_l),MATCH($W571,IF($T571&lt;=60,est05_k,est519_k),1)),""))</f>
        <v/>
      </c>
      <c r="AH571">
        <f>IF($W571="","",IFERROR(INDEX(IF($T571&lt;=60,est05_m,est519_m),MATCH($W571,IF($T571&lt;=60,est05_k,est519_k),1)),""))</f>
        <v/>
      </c>
      <c r="AI571">
        <f>IF($W571="","",IFERROR(INDEX(IF($T571&lt;=60,est05_s,est519_s),MATCH($W571,IF($T571&lt;=60,est05_k,est519_k),1)),""))</f>
        <v/>
      </c>
      <c r="AJ571">
        <f>IF($W571="","",IFERROR(INDEX(IF($T571&lt;=60,peso05_l,peso510_l),MATCH($W571,IF($T571&lt;=60,peso05_k,peso510_k),1)),""))</f>
        <v/>
      </c>
      <c r="AK571">
        <f>IF($W571="","",IFERROR(INDEX(IF($T571&lt;=60,peso05_m,peso510_m),MATCH($W571,IF($T571&lt;=60,peso05_k,peso510_k),1)),""))</f>
        <v/>
      </c>
      <c r="AL571">
        <f>IF($W571="","",IFERROR(INDEX(IF($T571&lt;=60,peso05_s,peso510_s),MATCH($W571,IF($T571&lt;=60,peso05_k,peso510_k),1)),""))</f>
        <v/>
      </c>
      <c r="AM571">
        <f>IF($AJ571="","",IF($AJ571=0,LN($F571/$AK571)/$AL571,((($F571/$AK571)^$AJ571)-1)/($AJ571*$AL571)))</f>
        <v/>
      </c>
      <c r="AN571">
        <f>IF($AJ571="","",IF($AJ571=0,$AK571*EXP($AL571*2),$AK571*(1+$AJ571*$AL571*2)^(1/$AJ571)))</f>
        <v/>
      </c>
      <c r="AO571">
        <f>IF($AJ571="","",IF($AJ571=0,$AK571*EXP($AL571*3),$AK571*(1+$AJ571*$AL571*3)^(1/$AJ571)))</f>
        <v/>
      </c>
      <c r="AP571">
        <f>IF($AJ571="","",IF($AJ571=0,$AK571*EXP($AL571*-2),$AK571*(1+$AJ571*$AL571*-2)^(1/$AJ571)))</f>
        <v/>
      </c>
      <c r="AQ571">
        <f>IF($AJ571="","",IF($AJ571=0,$AK571*EXP($AL571*-3),$AK571*(1+$AJ571*$AL571*-3)^(1/$AJ571)))</f>
        <v/>
      </c>
      <c r="AR571">
        <f>IF(OR($X571="",$T571&gt;60),"",IFERROR(INDEX(IF($T571&lt;24,pcomp_l,palt_l),MATCH($X571,IF($T571&lt;24,pcomp_k,palt_k),1)),""))</f>
        <v/>
      </c>
      <c r="AS571">
        <f>IF(OR($X571="",$T571&gt;60),"",IFERROR(INDEX(IF($T571&lt;24,pcomp_m,palt_m),MATCH($X571,IF($T571&lt;24,pcomp_k,palt_k),1)),""))</f>
        <v/>
      </c>
      <c r="AT571">
        <f>IF(OR($X571="",$T571&gt;60),"",IFERROR(INDEX(IF($T571&lt;24,pcomp_s,palt_s),MATCH($X571,IF($T571&lt;24,pcomp_k,palt_k),1)),""))</f>
        <v/>
      </c>
      <c r="AU571">
        <f>IF($AR571="","",IF($AR571=0,LN($F571/$AS571)/$AT571,((($F571/$AS571)^$AR571)-1)/($AR571*$AT571)))</f>
        <v/>
      </c>
      <c r="AV571">
        <f>IF($AR571="","",IF($AR571=0,$AS571*EXP($AT571*2),$AS571*(1+$AR571*$AT571*2)^(1/$AR571)))</f>
        <v/>
      </c>
      <c r="AW571">
        <f>IF($AR571="","",IF($AR571=0,$AS571*EXP($AT571*3),$AS571*(1+$AR571*$AT571*3)^(1/$AR571)))</f>
        <v/>
      </c>
      <c r="AX571">
        <f>IF($AR571="","",IF($AR571=0,$AS571*EXP($AT571*-2),$AS571*(1+$AR571*$AT571*-2)^(1/$AR571)))</f>
        <v/>
      </c>
      <c r="AY571">
        <f>IF($AR571="","",IF($AR571=0,$AS571*EXP($AT571*-3),$AS571*(1+$AR571*$AT571*-3)^(1/$AR571)))</f>
        <v/>
      </c>
      <c r="AZ571">
        <f>IF(OR($A571="",$A571&lt;&gt;Ficha!$C$4),"",COUNTIF($A$2:$A571,Ficha!$C$4))</f>
        <v/>
      </c>
    </row>
    <row r="572">
      <c r="A572" s="8">
        <f>IF(INDEX(Banco!$A:$A,ROW())="","",INDEX(Banco!$A:$A,ROW()))</f>
        <v/>
      </c>
      <c r="B572" s="8">
        <f>IF(INDEX(Banco!$B:$B,ROW())="","",INDEX(Banco!$B:$B,ROW()))</f>
        <v/>
      </c>
      <c r="C572" s="8">
        <f>IF(INDEX(Banco!$C:$C,ROW())="","",INDEX(Banco!$C:$C,ROW()))</f>
        <v/>
      </c>
      <c r="D572" s="9">
        <f>IF(INDEX(Banco!$D:$D,ROW())="","",INDEX(Banco!$D:$D,ROW()))</f>
        <v/>
      </c>
      <c r="E572" s="9">
        <f>IF(INDEX(Banco!$E:$E,ROW())="","",INDEX(Banco!$E:$E,ROW()))</f>
        <v/>
      </c>
      <c r="F572" s="10">
        <f>IF(INDEX(Banco!$F:$F,ROW())="","",INDEX(Banco!$F:$F,ROW()))</f>
        <v/>
      </c>
      <c r="G572" s="10">
        <f>IF(INDEX(Banco!$G:$G,ROW())="","",INDEX(Banco!$G:$G,ROW()))</f>
        <v/>
      </c>
      <c r="H572" s="8">
        <f>IF(INDEX(Banco!$H:$H,ROW())="","",INDEX(Banco!$H:$H,ROW()))</f>
        <v/>
      </c>
      <c r="I572">
        <f>IF($T572="","",INT($T572/12)&amp;"a "&amp;MOD($T572,12)&amp;"m")</f>
        <v/>
      </c>
      <c r="J572" s="11">
        <f>IF(OR($F572="",$G572=""),"",ROUND($F572/($G572/100)^2,2))</f>
        <v/>
      </c>
      <c r="K572" s="12">
        <f>IF(OR($S572="",$J572="",$T572="",$T572&lt;0,$T572&gt;228,$Y572=""),"—",ROUND(IF(ABS($AB572)&lt;=3,$AB572,IF($AB572&gt;3,3+($J572-$AD572)/($AD572-$AC572),-3+($J572-$AF572)/($AE572-$AF572))),2))</f>
        <v/>
      </c>
      <c r="L572">
        <f>IF(OR($K572="",$K572="—"),"",IF($T572&lt;=60,IF($K572&lt;-3,"Magreza acentuada",IF($K572&lt;-2,"Magreza",IF($K572&lt;=1,"Eutrofia",IF($K572&lt;=2,"Risco de sobrepeso",IF($K572&lt;=3,"Sobrepeso","Obesidade"))))),IF($K572&lt;-3,"Magreza acentuada",IF($K572&lt;-2,"Magreza",IF($K572&lt;=1,"Eutrofia",IF($K572&lt;=2,"Sobrepeso",IF($K572&lt;=3,"Obesidade","Obesidade grave")))))))</f>
        <v/>
      </c>
      <c r="M572" s="12">
        <f>IF(OR($S572="",$V572="",$T572="",$T572&lt;0,$T572&gt;228,$AG572=""),"—",ROUND(IF($AG572=0,LN($V572/$AH572)/$AI572,((($V572/$AH572)^$AG572)-1)/($AG572*$AI572)),2))</f>
        <v/>
      </c>
      <c r="N572">
        <f>IF(OR($M572="",$M572="—"),"",IF($M572&lt;-3,"Muito baixa",IF($M572&lt;-2,"Baixa","Adequada")))</f>
        <v/>
      </c>
      <c r="O572" s="12">
        <f>IF(OR($S572="",$F572="",$T572="",$T572&lt;0,$T572&gt;120,$AJ572=""),"—",ROUND(IF(ABS($AM572)&lt;=3,$AM572,IF($AM572&gt;3,3+($F572-$AO572)/($AO572-$AN572),-3+($F572-$AQ572)/($AP572-$AQ572))),2))</f>
        <v/>
      </c>
      <c r="P572">
        <f>IF(OR($O572="",$O572="—"),"",IF($O572&lt;-3,"Muito baixo",IF($O572&lt;-2,"Baixo",IF($O572&lt;=2,"Adequado","Elevado"))))</f>
        <v/>
      </c>
      <c r="Q572" s="12">
        <f>IF(OR($S572="",$F572="",$T572="",$T572&lt;0,$T572&gt;60,$AR572=""),"—",ROUND(IF(ABS($AU572)&lt;=3,$AU572,IF($AU572&gt;3,3+($F572-$AW572)/($AW572-$AV572),-3+($F572-$AY572)/($AX572-$AY572))),2))</f>
        <v/>
      </c>
      <c r="R572">
        <f>IF(OR($Q572="",$Q572="—"),"",IF($Q572&lt;-3,"Magreza acentuada",IF($Q572&lt;-2,"Magreza",IF($Q572&lt;=1,"Eutrofia",IF($Q572&lt;=2,"Risco de sobrepeso",IF($Q572&lt;=3,"Sobrepeso","Obesidade"))))))</f>
        <v/>
      </c>
      <c r="S572">
        <f>IF($C572="","",IF(UPPER(LEFT($C572,1))="M",1,IF(UPPER(LEFT($C572,1))="F",2,"")))</f>
        <v/>
      </c>
      <c r="T572">
        <f>IF(OR($D572="",$E572=""),"",DATEDIF($D572,$E572,"m"))</f>
        <v/>
      </c>
      <c r="U572">
        <f>IF(OR($D572="",$E572=""),"",$E572-$D572)</f>
        <v/>
      </c>
      <c r="V572">
        <f>IF(OR($G572="",$T572=""),"",IF($T572&lt;24,IF(LEFT(LOWER($H572),4)="em p",$G572+0.7,$G572),IF(LEFT(LOWER($H572),4)="deit",$G572-0.7,$G572)))</f>
        <v/>
      </c>
      <c r="W572">
        <f>IF(OR($S572="",$T572=""),"",$S572*1000000+IF($T572&lt;=60,$U572,$T572))</f>
        <v/>
      </c>
      <c r="X572">
        <f>IF(OR($S572="",$V572="",$T572&gt;60,$T572=""),"",$S572*1000000+ROUND($V572*10,0))</f>
        <v/>
      </c>
      <c r="Y572">
        <f>IF($W572="","",IFERROR(INDEX(IF($T572&lt;=60,imc05_l,imc519_l),MATCH($W572,IF($T572&lt;=60,imc05_k,imc519_k),1)),""))</f>
        <v/>
      </c>
      <c r="Z572">
        <f>IF($W572="","",IFERROR(INDEX(IF($T572&lt;=60,imc05_m,imc519_m),MATCH($W572,IF($T572&lt;=60,imc05_k,imc519_k),1)),""))</f>
        <v/>
      </c>
      <c r="AA572">
        <f>IF($W572="","",IFERROR(INDEX(IF($T572&lt;=60,imc05_s,imc519_s),MATCH($W572,IF($T572&lt;=60,imc05_k,imc519_k),1)),""))</f>
        <v/>
      </c>
      <c r="AB572">
        <f>IF($Y572="","",IF($Y572=0,LN($J572/$Z572)/$AA572,((($J572/$Z572)^$Y572)-1)/($Y572*$AA572)))</f>
        <v/>
      </c>
      <c r="AC572">
        <f>IF($Y572="","",IF($Y572=0,$Z572*EXP($AA572*2),$Z572*(1+$Y572*$AA572*2)^(1/$Y572)))</f>
        <v/>
      </c>
      <c r="AD572">
        <f>IF($Y572="","",IF($Y572=0,$Z572*EXP($AA572*3),$Z572*(1+$Y572*$AA572*3)^(1/$Y572)))</f>
        <v/>
      </c>
      <c r="AE572">
        <f>IF($Y572="","",IF($Y572=0,$Z572*EXP($AA572*-2),$Z572*(1+$Y572*$AA572*-2)^(1/$Y572)))</f>
        <v/>
      </c>
      <c r="AF572">
        <f>IF($Y572="","",IF($Y572=0,$Z572*EXP($AA572*-3),$Z572*(1+$Y572*$AA572*-3)^(1/$Y572)))</f>
        <v/>
      </c>
      <c r="AG572">
        <f>IF($W572="","",IFERROR(INDEX(IF($T572&lt;=60,est05_l,est519_l),MATCH($W572,IF($T572&lt;=60,est05_k,est519_k),1)),""))</f>
        <v/>
      </c>
      <c r="AH572">
        <f>IF($W572="","",IFERROR(INDEX(IF($T572&lt;=60,est05_m,est519_m),MATCH($W572,IF($T572&lt;=60,est05_k,est519_k),1)),""))</f>
        <v/>
      </c>
      <c r="AI572">
        <f>IF($W572="","",IFERROR(INDEX(IF($T572&lt;=60,est05_s,est519_s),MATCH($W572,IF($T572&lt;=60,est05_k,est519_k),1)),""))</f>
        <v/>
      </c>
      <c r="AJ572">
        <f>IF($W572="","",IFERROR(INDEX(IF($T572&lt;=60,peso05_l,peso510_l),MATCH($W572,IF($T572&lt;=60,peso05_k,peso510_k),1)),""))</f>
        <v/>
      </c>
      <c r="AK572">
        <f>IF($W572="","",IFERROR(INDEX(IF($T572&lt;=60,peso05_m,peso510_m),MATCH($W572,IF($T572&lt;=60,peso05_k,peso510_k),1)),""))</f>
        <v/>
      </c>
      <c r="AL572">
        <f>IF($W572="","",IFERROR(INDEX(IF($T572&lt;=60,peso05_s,peso510_s),MATCH($W572,IF($T572&lt;=60,peso05_k,peso510_k),1)),""))</f>
        <v/>
      </c>
      <c r="AM572">
        <f>IF($AJ572="","",IF($AJ572=0,LN($F572/$AK572)/$AL572,((($F572/$AK572)^$AJ572)-1)/($AJ572*$AL572)))</f>
        <v/>
      </c>
      <c r="AN572">
        <f>IF($AJ572="","",IF($AJ572=0,$AK572*EXP($AL572*2),$AK572*(1+$AJ572*$AL572*2)^(1/$AJ572)))</f>
        <v/>
      </c>
      <c r="AO572">
        <f>IF($AJ572="","",IF($AJ572=0,$AK572*EXP($AL572*3),$AK572*(1+$AJ572*$AL572*3)^(1/$AJ572)))</f>
        <v/>
      </c>
      <c r="AP572">
        <f>IF($AJ572="","",IF($AJ572=0,$AK572*EXP($AL572*-2),$AK572*(1+$AJ572*$AL572*-2)^(1/$AJ572)))</f>
        <v/>
      </c>
      <c r="AQ572">
        <f>IF($AJ572="","",IF($AJ572=0,$AK572*EXP($AL572*-3),$AK572*(1+$AJ572*$AL572*-3)^(1/$AJ572)))</f>
        <v/>
      </c>
      <c r="AR572">
        <f>IF(OR($X572="",$T572&gt;60),"",IFERROR(INDEX(IF($T572&lt;24,pcomp_l,palt_l),MATCH($X572,IF($T572&lt;24,pcomp_k,palt_k),1)),""))</f>
        <v/>
      </c>
      <c r="AS572">
        <f>IF(OR($X572="",$T572&gt;60),"",IFERROR(INDEX(IF($T572&lt;24,pcomp_m,palt_m),MATCH($X572,IF($T572&lt;24,pcomp_k,palt_k),1)),""))</f>
        <v/>
      </c>
      <c r="AT572">
        <f>IF(OR($X572="",$T572&gt;60),"",IFERROR(INDEX(IF($T572&lt;24,pcomp_s,palt_s),MATCH($X572,IF($T572&lt;24,pcomp_k,palt_k),1)),""))</f>
        <v/>
      </c>
      <c r="AU572">
        <f>IF($AR572="","",IF($AR572=0,LN($F572/$AS572)/$AT572,((($F572/$AS572)^$AR572)-1)/($AR572*$AT572)))</f>
        <v/>
      </c>
      <c r="AV572">
        <f>IF($AR572="","",IF($AR572=0,$AS572*EXP($AT572*2),$AS572*(1+$AR572*$AT572*2)^(1/$AR572)))</f>
        <v/>
      </c>
      <c r="AW572">
        <f>IF($AR572="","",IF($AR572=0,$AS572*EXP($AT572*3),$AS572*(1+$AR572*$AT572*3)^(1/$AR572)))</f>
        <v/>
      </c>
      <c r="AX572">
        <f>IF($AR572="","",IF($AR572=0,$AS572*EXP($AT572*-2),$AS572*(1+$AR572*$AT572*-2)^(1/$AR572)))</f>
        <v/>
      </c>
      <c r="AY572">
        <f>IF($AR572="","",IF($AR572=0,$AS572*EXP($AT572*-3),$AS572*(1+$AR572*$AT572*-3)^(1/$AR572)))</f>
        <v/>
      </c>
      <c r="AZ572">
        <f>IF(OR($A572="",$A572&lt;&gt;Ficha!$C$4),"",COUNTIF($A$2:$A572,Ficha!$C$4))</f>
        <v/>
      </c>
    </row>
    <row r="573">
      <c r="A573" s="8">
        <f>IF(INDEX(Banco!$A:$A,ROW())="","",INDEX(Banco!$A:$A,ROW()))</f>
        <v/>
      </c>
      <c r="B573" s="8">
        <f>IF(INDEX(Banco!$B:$B,ROW())="","",INDEX(Banco!$B:$B,ROW()))</f>
        <v/>
      </c>
      <c r="C573" s="8">
        <f>IF(INDEX(Banco!$C:$C,ROW())="","",INDEX(Banco!$C:$C,ROW()))</f>
        <v/>
      </c>
      <c r="D573" s="9">
        <f>IF(INDEX(Banco!$D:$D,ROW())="","",INDEX(Banco!$D:$D,ROW()))</f>
        <v/>
      </c>
      <c r="E573" s="9">
        <f>IF(INDEX(Banco!$E:$E,ROW())="","",INDEX(Banco!$E:$E,ROW()))</f>
        <v/>
      </c>
      <c r="F573" s="10">
        <f>IF(INDEX(Banco!$F:$F,ROW())="","",INDEX(Banco!$F:$F,ROW()))</f>
        <v/>
      </c>
      <c r="G573" s="10">
        <f>IF(INDEX(Banco!$G:$G,ROW())="","",INDEX(Banco!$G:$G,ROW()))</f>
        <v/>
      </c>
      <c r="H573" s="8">
        <f>IF(INDEX(Banco!$H:$H,ROW())="","",INDEX(Banco!$H:$H,ROW()))</f>
        <v/>
      </c>
      <c r="I573">
        <f>IF($T573="","",INT($T573/12)&amp;"a "&amp;MOD($T573,12)&amp;"m")</f>
        <v/>
      </c>
      <c r="J573" s="11">
        <f>IF(OR($F573="",$G573=""),"",ROUND($F573/($G573/100)^2,2))</f>
        <v/>
      </c>
      <c r="K573" s="12">
        <f>IF(OR($S573="",$J573="",$T573="",$T573&lt;0,$T573&gt;228,$Y573=""),"—",ROUND(IF(ABS($AB573)&lt;=3,$AB573,IF($AB573&gt;3,3+($J573-$AD573)/($AD573-$AC573),-3+($J573-$AF573)/($AE573-$AF573))),2))</f>
        <v/>
      </c>
      <c r="L573">
        <f>IF(OR($K573="",$K573="—"),"",IF($T573&lt;=60,IF($K573&lt;-3,"Magreza acentuada",IF($K573&lt;-2,"Magreza",IF($K573&lt;=1,"Eutrofia",IF($K573&lt;=2,"Risco de sobrepeso",IF($K573&lt;=3,"Sobrepeso","Obesidade"))))),IF($K573&lt;-3,"Magreza acentuada",IF($K573&lt;-2,"Magreza",IF($K573&lt;=1,"Eutrofia",IF($K573&lt;=2,"Sobrepeso",IF($K573&lt;=3,"Obesidade","Obesidade grave")))))))</f>
        <v/>
      </c>
      <c r="M573" s="12">
        <f>IF(OR($S573="",$V573="",$T573="",$T573&lt;0,$T573&gt;228,$AG573=""),"—",ROUND(IF($AG573=0,LN($V573/$AH573)/$AI573,((($V573/$AH573)^$AG573)-1)/($AG573*$AI573)),2))</f>
        <v/>
      </c>
      <c r="N573">
        <f>IF(OR($M573="",$M573="—"),"",IF($M573&lt;-3,"Muito baixa",IF($M573&lt;-2,"Baixa","Adequada")))</f>
        <v/>
      </c>
      <c r="O573" s="12">
        <f>IF(OR($S573="",$F573="",$T573="",$T573&lt;0,$T573&gt;120,$AJ573=""),"—",ROUND(IF(ABS($AM573)&lt;=3,$AM573,IF($AM573&gt;3,3+($F573-$AO573)/($AO573-$AN573),-3+($F573-$AQ573)/($AP573-$AQ573))),2))</f>
        <v/>
      </c>
      <c r="P573">
        <f>IF(OR($O573="",$O573="—"),"",IF($O573&lt;-3,"Muito baixo",IF($O573&lt;-2,"Baixo",IF($O573&lt;=2,"Adequado","Elevado"))))</f>
        <v/>
      </c>
      <c r="Q573" s="12">
        <f>IF(OR($S573="",$F573="",$T573="",$T573&lt;0,$T573&gt;60,$AR573=""),"—",ROUND(IF(ABS($AU573)&lt;=3,$AU573,IF($AU573&gt;3,3+($F573-$AW573)/($AW573-$AV573),-3+($F573-$AY573)/($AX573-$AY573))),2))</f>
        <v/>
      </c>
      <c r="R573">
        <f>IF(OR($Q573="",$Q573="—"),"",IF($Q573&lt;-3,"Magreza acentuada",IF($Q573&lt;-2,"Magreza",IF($Q573&lt;=1,"Eutrofia",IF($Q573&lt;=2,"Risco de sobrepeso",IF($Q573&lt;=3,"Sobrepeso","Obesidade"))))))</f>
        <v/>
      </c>
      <c r="S573">
        <f>IF($C573="","",IF(UPPER(LEFT($C573,1))="M",1,IF(UPPER(LEFT($C573,1))="F",2,"")))</f>
        <v/>
      </c>
      <c r="T573">
        <f>IF(OR($D573="",$E573=""),"",DATEDIF($D573,$E573,"m"))</f>
        <v/>
      </c>
      <c r="U573">
        <f>IF(OR($D573="",$E573=""),"",$E573-$D573)</f>
        <v/>
      </c>
      <c r="V573">
        <f>IF(OR($G573="",$T573=""),"",IF($T573&lt;24,IF(LEFT(LOWER($H573),4)="em p",$G573+0.7,$G573),IF(LEFT(LOWER($H573),4)="deit",$G573-0.7,$G573)))</f>
        <v/>
      </c>
      <c r="W573">
        <f>IF(OR($S573="",$T573=""),"",$S573*1000000+IF($T573&lt;=60,$U573,$T573))</f>
        <v/>
      </c>
      <c r="X573">
        <f>IF(OR($S573="",$V573="",$T573&gt;60,$T573=""),"",$S573*1000000+ROUND($V573*10,0))</f>
        <v/>
      </c>
      <c r="Y573">
        <f>IF($W573="","",IFERROR(INDEX(IF($T573&lt;=60,imc05_l,imc519_l),MATCH($W573,IF($T573&lt;=60,imc05_k,imc519_k),1)),""))</f>
        <v/>
      </c>
      <c r="Z573">
        <f>IF($W573="","",IFERROR(INDEX(IF($T573&lt;=60,imc05_m,imc519_m),MATCH($W573,IF($T573&lt;=60,imc05_k,imc519_k),1)),""))</f>
        <v/>
      </c>
      <c r="AA573">
        <f>IF($W573="","",IFERROR(INDEX(IF($T573&lt;=60,imc05_s,imc519_s),MATCH($W573,IF($T573&lt;=60,imc05_k,imc519_k),1)),""))</f>
        <v/>
      </c>
      <c r="AB573">
        <f>IF($Y573="","",IF($Y573=0,LN($J573/$Z573)/$AA573,((($J573/$Z573)^$Y573)-1)/($Y573*$AA573)))</f>
        <v/>
      </c>
      <c r="AC573">
        <f>IF($Y573="","",IF($Y573=0,$Z573*EXP($AA573*2),$Z573*(1+$Y573*$AA573*2)^(1/$Y573)))</f>
        <v/>
      </c>
      <c r="AD573">
        <f>IF($Y573="","",IF($Y573=0,$Z573*EXP($AA573*3),$Z573*(1+$Y573*$AA573*3)^(1/$Y573)))</f>
        <v/>
      </c>
      <c r="AE573">
        <f>IF($Y573="","",IF($Y573=0,$Z573*EXP($AA573*-2),$Z573*(1+$Y573*$AA573*-2)^(1/$Y573)))</f>
        <v/>
      </c>
      <c r="AF573">
        <f>IF($Y573="","",IF($Y573=0,$Z573*EXP($AA573*-3),$Z573*(1+$Y573*$AA573*-3)^(1/$Y573)))</f>
        <v/>
      </c>
      <c r="AG573">
        <f>IF($W573="","",IFERROR(INDEX(IF($T573&lt;=60,est05_l,est519_l),MATCH($W573,IF($T573&lt;=60,est05_k,est519_k),1)),""))</f>
        <v/>
      </c>
      <c r="AH573">
        <f>IF($W573="","",IFERROR(INDEX(IF($T573&lt;=60,est05_m,est519_m),MATCH($W573,IF($T573&lt;=60,est05_k,est519_k),1)),""))</f>
        <v/>
      </c>
      <c r="AI573">
        <f>IF($W573="","",IFERROR(INDEX(IF($T573&lt;=60,est05_s,est519_s),MATCH($W573,IF($T573&lt;=60,est05_k,est519_k),1)),""))</f>
        <v/>
      </c>
      <c r="AJ573">
        <f>IF($W573="","",IFERROR(INDEX(IF($T573&lt;=60,peso05_l,peso510_l),MATCH($W573,IF($T573&lt;=60,peso05_k,peso510_k),1)),""))</f>
        <v/>
      </c>
      <c r="AK573">
        <f>IF($W573="","",IFERROR(INDEX(IF($T573&lt;=60,peso05_m,peso510_m),MATCH($W573,IF($T573&lt;=60,peso05_k,peso510_k),1)),""))</f>
        <v/>
      </c>
      <c r="AL573">
        <f>IF($W573="","",IFERROR(INDEX(IF($T573&lt;=60,peso05_s,peso510_s),MATCH($W573,IF($T573&lt;=60,peso05_k,peso510_k),1)),""))</f>
        <v/>
      </c>
      <c r="AM573">
        <f>IF($AJ573="","",IF($AJ573=0,LN($F573/$AK573)/$AL573,((($F573/$AK573)^$AJ573)-1)/($AJ573*$AL573)))</f>
        <v/>
      </c>
      <c r="AN573">
        <f>IF($AJ573="","",IF($AJ573=0,$AK573*EXP($AL573*2),$AK573*(1+$AJ573*$AL573*2)^(1/$AJ573)))</f>
        <v/>
      </c>
      <c r="AO573">
        <f>IF($AJ573="","",IF($AJ573=0,$AK573*EXP($AL573*3),$AK573*(1+$AJ573*$AL573*3)^(1/$AJ573)))</f>
        <v/>
      </c>
      <c r="AP573">
        <f>IF($AJ573="","",IF($AJ573=0,$AK573*EXP($AL573*-2),$AK573*(1+$AJ573*$AL573*-2)^(1/$AJ573)))</f>
        <v/>
      </c>
      <c r="AQ573">
        <f>IF($AJ573="","",IF($AJ573=0,$AK573*EXP($AL573*-3),$AK573*(1+$AJ573*$AL573*-3)^(1/$AJ573)))</f>
        <v/>
      </c>
      <c r="AR573">
        <f>IF(OR($X573="",$T573&gt;60),"",IFERROR(INDEX(IF($T573&lt;24,pcomp_l,palt_l),MATCH($X573,IF($T573&lt;24,pcomp_k,palt_k),1)),""))</f>
        <v/>
      </c>
      <c r="AS573">
        <f>IF(OR($X573="",$T573&gt;60),"",IFERROR(INDEX(IF($T573&lt;24,pcomp_m,palt_m),MATCH($X573,IF($T573&lt;24,pcomp_k,palt_k),1)),""))</f>
        <v/>
      </c>
      <c r="AT573">
        <f>IF(OR($X573="",$T573&gt;60),"",IFERROR(INDEX(IF($T573&lt;24,pcomp_s,palt_s),MATCH($X573,IF($T573&lt;24,pcomp_k,palt_k),1)),""))</f>
        <v/>
      </c>
      <c r="AU573">
        <f>IF($AR573="","",IF($AR573=0,LN($F573/$AS573)/$AT573,((($F573/$AS573)^$AR573)-1)/($AR573*$AT573)))</f>
        <v/>
      </c>
      <c r="AV573">
        <f>IF($AR573="","",IF($AR573=0,$AS573*EXP($AT573*2),$AS573*(1+$AR573*$AT573*2)^(1/$AR573)))</f>
        <v/>
      </c>
      <c r="AW573">
        <f>IF($AR573="","",IF($AR573=0,$AS573*EXP($AT573*3),$AS573*(1+$AR573*$AT573*3)^(1/$AR573)))</f>
        <v/>
      </c>
      <c r="AX573">
        <f>IF($AR573="","",IF($AR573=0,$AS573*EXP($AT573*-2),$AS573*(1+$AR573*$AT573*-2)^(1/$AR573)))</f>
        <v/>
      </c>
      <c r="AY573">
        <f>IF($AR573="","",IF($AR573=0,$AS573*EXP($AT573*-3),$AS573*(1+$AR573*$AT573*-3)^(1/$AR573)))</f>
        <v/>
      </c>
      <c r="AZ573">
        <f>IF(OR($A573="",$A573&lt;&gt;Ficha!$C$4),"",COUNTIF($A$2:$A573,Ficha!$C$4))</f>
        <v/>
      </c>
    </row>
    <row r="574">
      <c r="A574" s="8">
        <f>IF(INDEX(Banco!$A:$A,ROW())="","",INDEX(Banco!$A:$A,ROW()))</f>
        <v/>
      </c>
      <c r="B574" s="8">
        <f>IF(INDEX(Banco!$B:$B,ROW())="","",INDEX(Banco!$B:$B,ROW()))</f>
        <v/>
      </c>
      <c r="C574" s="8">
        <f>IF(INDEX(Banco!$C:$C,ROW())="","",INDEX(Banco!$C:$C,ROW()))</f>
        <v/>
      </c>
      <c r="D574" s="9">
        <f>IF(INDEX(Banco!$D:$D,ROW())="","",INDEX(Banco!$D:$D,ROW()))</f>
        <v/>
      </c>
      <c r="E574" s="9">
        <f>IF(INDEX(Banco!$E:$E,ROW())="","",INDEX(Banco!$E:$E,ROW()))</f>
        <v/>
      </c>
      <c r="F574" s="10">
        <f>IF(INDEX(Banco!$F:$F,ROW())="","",INDEX(Banco!$F:$F,ROW()))</f>
        <v/>
      </c>
      <c r="G574" s="10">
        <f>IF(INDEX(Banco!$G:$G,ROW())="","",INDEX(Banco!$G:$G,ROW()))</f>
        <v/>
      </c>
      <c r="H574" s="8">
        <f>IF(INDEX(Banco!$H:$H,ROW())="","",INDEX(Banco!$H:$H,ROW()))</f>
        <v/>
      </c>
      <c r="I574">
        <f>IF($T574="","",INT($T574/12)&amp;"a "&amp;MOD($T574,12)&amp;"m")</f>
        <v/>
      </c>
      <c r="J574" s="11">
        <f>IF(OR($F574="",$G574=""),"",ROUND($F574/($G574/100)^2,2))</f>
        <v/>
      </c>
      <c r="K574" s="12">
        <f>IF(OR($S574="",$J574="",$T574="",$T574&lt;0,$T574&gt;228,$Y574=""),"—",ROUND(IF(ABS($AB574)&lt;=3,$AB574,IF($AB574&gt;3,3+($J574-$AD574)/($AD574-$AC574),-3+($J574-$AF574)/($AE574-$AF574))),2))</f>
        <v/>
      </c>
      <c r="L574">
        <f>IF(OR($K574="",$K574="—"),"",IF($T574&lt;=60,IF($K574&lt;-3,"Magreza acentuada",IF($K574&lt;-2,"Magreza",IF($K574&lt;=1,"Eutrofia",IF($K574&lt;=2,"Risco de sobrepeso",IF($K574&lt;=3,"Sobrepeso","Obesidade"))))),IF($K574&lt;-3,"Magreza acentuada",IF($K574&lt;-2,"Magreza",IF($K574&lt;=1,"Eutrofia",IF($K574&lt;=2,"Sobrepeso",IF($K574&lt;=3,"Obesidade","Obesidade grave")))))))</f>
        <v/>
      </c>
      <c r="M574" s="12">
        <f>IF(OR($S574="",$V574="",$T574="",$T574&lt;0,$T574&gt;228,$AG574=""),"—",ROUND(IF($AG574=0,LN($V574/$AH574)/$AI574,((($V574/$AH574)^$AG574)-1)/($AG574*$AI574)),2))</f>
        <v/>
      </c>
      <c r="N574">
        <f>IF(OR($M574="",$M574="—"),"",IF($M574&lt;-3,"Muito baixa",IF($M574&lt;-2,"Baixa","Adequada")))</f>
        <v/>
      </c>
      <c r="O574" s="12">
        <f>IF(OR($S574="",$F574="",$T574="",$T574&lt;0,$T574&gt;120,$AJ574=""),"—",ROUND(IF(ABS($AM574)&lt;=3,$AM574,IF($AM574&gt;3,3+($F574-$AO574)/($AO574-$AN574),-3+($F574-$AQ574)/($AP574-$AQ574))),2))</f>
        <v/>
      </c>
      <c r="P574">
        <f>IF(OR($O574="",$O574="—"),"",IF($O574&lt;-3,"Muito baixo",IF($O574&lt;-2,"Baixo",IF($O574&lt;=2,"Adequado","Elevado"))))</f>
        <v/>
      </c>
      <c r="Q574" s="12">
        <f>IF(OR($S574="",$F574="",$T574="",$T574&lt;0,$T574&gt;60,$AR574=""),"—",ROUND(IF(ABS($AU574)&lt;=3,$AU574,IF($AU574&gt;3,3+($F574-$AW574)/($AW574-$AV574),-3+($F574-$AY574)/($AX574-$AY574))),2))</f>
        <v/>
      </c>
      <c r="R574">
        <f>IF(OR($Q574="",$Q574="—"),"",IF($Q574&lt;-3,"Magreza acentuada",IF($Q574&lt;-2,"Magreza",IF($Q574&lt;=1,"Eutrofia",IF($Q574&lt;=2,"Risco de sobrepeso",IF($Q574&lt;=3,"Sobrepeso","Obesidade"))))))</f>
        <v/>
      </c>
      <c r="S574">
        <f>IF($C574="","",IF(UPPER(LEFT($C574,1))="M",1,IF(UPPER(LEFT($C574,1))="F",2,"")))</f>
        <v/>
      </c>
      <c r="T574">
        <f>IF(OR($D574="",$E574=""),"",DATEDIF($D574,$E574,"m"))</f>
        <v/>
      </c>
      <c r="U574">
        <f>IF(OR($D574="",$E574=""),"",$E574-$D574)</f>
        <v/>
      </c>
      <c r="V574">
        <f>IF(OR($G574="",$T574=""),"",IF($T574&lt;24,IF(LEFT(LOWER($H574),4)="em p",$G574+0.7,$G574),IF(LEFT(LOWER($H574),4)="deit",$G574-0.7,$G574)))</f>
        <v/>
      </c>
      <c r="W574">
        <f>IF(OR($S574="",$T574=""),"",$S574*1000000+IF($T574&lt;=60,$U574,$T574))</f>
        <v/>
      </c>
      <c r="X574">
        <f>IF(OR($S574="",$V574="",$T574&gt;60,$T574=""),"",$S574*1000000+ROUND($V574*10,0))</f>
        <v/>
      </c>
      <c r="Y574">
        <f>IF($W574="","",IFERROR(INDEX(IF($T574&lt;=60,imc05_l,imc519_l),MATCH($W574,IF($T574&lt;=60,imc05_k,imc519_k),1)),""))</f>
        <v/>
      </c>
      <c r="Z574">
        <f>IF($W574="","",IFERROR(INDEX(IF($T574&lt;=60,imc05_m,imc519_m),MATCH($W574,IF($T574&lt;=60,imc05_k,imc519_k),1)),""))</f>
        <v/>
      </c>
      <c r="AA574">
        <f>IF($W574="","",IFERROR(INDEX(IF($T574&lt;=60,imc05_s,imc519_s),MATCH($W574,IF($T574&lt;=60,imc05_k,imc519_k),1)),""))</f>
        <v/>
      </c>
      <c r="AB574">
        <f>IF($Y574="","",IF($Y574=0,LN($J574/$Z574)/$AA574,((($J574/$Z574)^$Y574)-1)/($Y574*$AA574)))</f>
        <v/>
      </c>
      <c r="AC574">
        <f>IF($Y574="","",IF($Y574=0,$Z574*EXP($AA574*2),$Z574*(1+$Y574*$AA574*2)^(1/$Y574)))</f>
        <v/>
      </c>
      <c r="AD574">
        <f>IF($Y574="","",IF($Y574=0,$Z574*EXP($AA574*3),$Z574*(1+$Y574*$AA574*3)^(1/$Y574)))</f>
        <v/>
      </c>
      <c r="AE574">
        <f>IF($Y574="","",IF($Y574=0,$Z574*EXP($AA574*-2),$Z574*(1+$Y574*$AA574*-2)^(1/$Y574)))</f>
        <v/>
      </c>
      <c r="AF574">
        <f>IF($Y574="","",IF($Y574=0,$Z574*EXP($AA574*-3),$Z574*(1+$Y574*$AA574*-3)^(1/$Y574)))</f>
        <v/>
      </c>
      <c r="AG574">
        <f>IF($W574="","",IFERROR(INDEX(IF($T574&lt;=60,est05_l,est519_l),MATCH($W574,IF($T574&lt;=60,est05_k,est519_k),1)),""))</f>
        <v/>
      </c>
      <c r="AH574">
        <f>IF($W574="","",IFERROR(INDEX(IF($T574&lt;=60,est05_m,est519_m),MATCH($W574,IF($T574&lt;=60,est05_k,est519_k),1)),""))</f>
        <v/>
      </c>
      <c r="AI574">
        <f>IF($W574="","",IFERROR(INDEX(IF($T574&lt;=60,est05_s,est519_s),MATCH($W574,IF($T574&lt;=60,est05_k,est519_k),1)),""))</f>
        <v/>
      </c>
      <c r="AJ574">
        <f>IF($W574="","",IFERROR(INDEX(IF($T574&lt;=60,peso05_l,peso510_l),MATCH($W574,IF($T574&lt;=60,peso05_k,peso510_k),1)),""))</f>
        <v/>
      </c>
      <c r="AK574">
        <f>IF($W574="","",IFERROR(INDEX(IF($T574&lt;=60,peso05_m,peso510_m),MATCH($W574,IF($T574&lt;=60,peso05_k,peso510_k),1)),""))</f>
        <v/>
      </c>
      <c r="AL574">
        <f>IF($W574="","",IFERROR(INDEX(IF($T574&lt;=60,peso05_s,peso510_s),MATCH($W574,IF($T574&lt;=60,peso05_k,peso510_k),1)),""))</f>
        <v/>
      </c>
      <c r="AM574">
        <f>IF($AJ574="","",IF($AJ574=0,LN($F574/$AK574)/$AL574,((($F574/$AK574)^$AJ574)-1)/($AJ574*$AL574)))</f>
        <v/>
      </c>
      <c r="AN574">
        <f>IF($AJ574="","",IF($AJ574=0,$AK574*EXP($AL574*2),$AK574*(1+$AJ574*$AL574*2)^(1/$AJ574)))</f>
        <v/>
      </c>
      <c r="AO574">
        <f>IF($AJ574="","",IF($AJ574=0,$AK574*EXP($AL574*3),$AK574*(1+$AJ574*$AL574*3)^(1/$AJ574)))</f>
        <v/>
      </c>
      <c r="AP574">
        <f>IF($AJ574="","",IF($AJ574=0,$AK574*EXP($AL574*-2),$AK574*(1+$AJ574*$AL574*-2)^(1/$AJ574)))</f>
        <v/>
      </c>
      <c r="AQ574">
        <f>IF($AJ574="","",IF($AJ574=0,$AK574*EXP($AL574*-3),$AK574*(1+$AJ574*$AL574*-3)^(1/$AJ574)))</f>
        <v/>
      </c>
      <c r="AR574">
        <f>IF(OR($X574="",$T574&gt;60),"",IFERROR(INDEX(IF($T574&lt;24,pcomp_l,palt_l),MATCH($X574,IF($T574&lt;24,pcomp_k,palt_k),1)),""))</f>
        <v/>
      </c>
      <c r="AS574">
        <f>IF(OR($X574="",$T574&gt;60),"",IFERROR(INDEX(IF($T574&lt;24,pcomp_m,palt_m),MATCH($X574,IF($T574&lt;24,pcomp_k,palt_k),1)),""))</f>
        <v/>
      </c>
      <c r="AT574">
        <f>IF(OR($X574="",$T574&gt;60),"",IFERROR(INDEX(IF($T574&lt;24,pcomp_s,palt_s),MATCH($X574,IF($T574&lt;24,pcomp_k,palt_k),1)),""))</f>
        <v/>
      </c>
      <c r="AU574">
        <f>IF($AR574="","",IF($AR574=0,LN($F574/$AS574)/$AT574,((($F574/$AS574)^$AR574)-1)/($AR574*$AT574)))</f>
        <v/>
      </c>
      <c r="AV574">
        <f>IF($AR574="","",IF($AR574=0,$AS574*EXP($AT574*2),$AS574*(1+$AR574*$AT574*2)^(1/$AR574)))</f>
        <v/>
      </c>
      <c r="AW574">
        <f>IF($AR574="","",IF($AR574=0,$AS574*EXP($AT574*3),$AS574*(1+$AR574*$AT574*3)^(1/$AR574)))</f>
        <v/>
      </c>
      <c r="AX574">
        <f>IF($AR574="","",IF($AR574=0,$AS574*EXP($AT574*-2),$AS574*(1+$AR574*$AT574*-2)^(1/$AR574)))</f>
        <v/>
      </c>
      <c r="AY574">
        <f>IF($AR574="","",IF($AR574=0,$AS574*EXP($AT574*-3),$AS574*(1+$AR574*$AT574*-3)^(1/$AR574)))</f>
        <v/>
      </c>
      <c r="AZ574">
        <f>IF(OR($A574="",$A574&lt;&gt;Ficha!$C$4),"",COUNTIF($A$2:$A574,Ficha!$C$4))</f>
        <v/>
      </c>
    </row>
    <row r="575">
      <c r="A575" s="8">
        <f>IF(INDEX(Banco!$A:$A,ROW())="","",INDEX(Banco!$A:$A,ROW()))</f>
        <v/>
      </c>
      <c r="B575" s="8">
        <f>IF(INDEX(Banco!$B:$B,ROW())="","",INDEX(Banco!$B:$B,ROW()))</f>
        <v/>
      </c>
      <c r="C575" s="8">
        <f>IF(INDEX(Banco!$C:$C,ROW())="","",INDEX(Banco!$C:$C,ROW()))</f>
        <v/>
      </c>
      <c r="D575" s="9">
        <f>IF(INDEX(Banco!$D:$D,ROW())="","",INDEX(Banco!$D:$D,ROW()))</f>
        <v/>
      </c>
      <c r="E575" s="9">
        <f>IF(INDEX(Banco!$E:$E,ROW())="","",INDEX(Banco!$E:$E,ROW()))</f>
        <v/>
      </c>
      <c r="F575" s="10">
        <f>IF(INDEX(Banco!$F:$F,ROW())="","",INDEX(Banco!$F:$F,ROW()))</f>
        <v/>
      </c>
      <c r="G575" s="10">
        <f>IF(INDEX(Banco!$G:$G,ROW())="","",INDEX(Banco!$G:$G,ROW()))</f>
        <v/>
      </c>
      <c r="H575" s="8">
        <f>IF(INDEX(Banco!$H:$H,ROW())="","",INDEX(Banco!$H:$H,ROW()))</f>
        <v/>
      </c>
      <c r="I575">
        <f>IF($T575="","",INT($T575/12)&amp;"a "&amp;MOD($T575,12)&amp;"m")</f>
        <v/>
      </c>
      <c r="J575" s="11">
        <f>IF(OR($F575="",$G575=""),"",ROUND($F575/($G575/100)^2,2))</f>
        <v/>
      </c>
      <c r="K575" s="12">
        <f>IF(OR($S575="",$J575="",$T575="",$T575&lt;0,$T575&gt;228,$Y575=""),"—",ROUND(IF(ABS($AB575)&lt;=3,$AB575,IF($AB575&gt;3,3+($J575-$AD575)/($AD575-$AC575),-3+($J575-$AF575)/($AE575-$AF575))),2))</f>
        <v/>
      </c>
      <c r="L575">
        <f>IF(OR($K575="",$K575="—"),"",IF($T575&lt;=60,IF($K575&lt;-3,"Magreza acentuada",IF($K575&lt;-2,"Magreza",IF($K575&lt;=1,"Eutrofia",IF($K575&lt;=2,"Risco de sobrepeso",IF($K575&lt;=3,"Sobrepeso","Obesidade"))))),IF($K575&lt;-3,"Magreza acentuada",IF($K575&lt;-2,"Magreza",IF($K575&lt;=1,"Eutrofia",IF($K575&lt;=2,"Sobrepeso",IF($K575&lt;=3,"Obesidade","Obesidade grave")))))))</f>
        <v/>
      </c>
      <c r="M575" s="12">
        <f>IF(OR($S575="",$V575="",$T575="",$T575&lt;0,$T575&gt;228,$AG575=""),"—",ROUND(IF($AG575=0,LN($V575/$AH575)/$AI575,((($V575/$AH575)^$AG575)-1)/($AG575*$AI575)),2))</f>
        <v/>
      </c>
      <c r="N575">
        <f>IF(OR($M575="",$M575="—"),"",IF($M575&lt;-3,"Muito baixa",IF($M575&lt;-2,"Baixa","Adequada")))</f>
        <v/>
      </c>
      <c r="O575" s="12">
        <f>IF(OR($S575="",$F575="",$T575="",$T575&lt;0,$T575&gt;120,$AJ575=""),"—",ROUND(IF(ABS($AM575)&lt;=3,$AM575,IF($AM575&gt;3,3+($F575-$AO575)/($AO575-$AN575),-3+($F575-$AQ575)/($AP575-$AQ575))),2))</f>
        <v/>
      </c>
      <c r="P575">
        <f>IF(OR($O575="",$O575="—"),"",IF($O575&lt;-3,"Muito baixo",IF($O575&lt;-2,"Baixo",IF($O575&lt;=2,"Adequado","Elevado"))))</f>
        <v/>
      </c>
      <c r="Q575" s="12">
        <f>IF(OR($S575="",$F575="",$T575="",$T575&lt;0,$T575&gt;60,$AR575=""),"—",ROUND(IF(ABS($AU575)&lt;=3,$AU575,IF($AU575&gt;3,3+($F575-$AW575)/($AW575-$AV575),-3+($F575-$AY575)/($AX575-$AY575))),2))</f>
        <v/>
      </c>
      <c r="R575">
        <f>IF(OR($Q575="",$Q575="—"),"",IF($Q575&lt;-3,"Magreza acentuada",IF($Q575&lt;-2,"Magreza",IF($Q575&lt;=1,"Eutrofia",IF($Q575&lt;=2,"Risco de sobrepeso",IF($Q575&lt;=3,"Sobrepeso","Obesidade"))))))</f>
        <v/>
      </c>
      <c r="S575">
        <f>IF($C575="","",IF(UPPER(LEFT($C575,1))="M",1,IF(UPPER(LEFT($C575,1))="F",2,"")))</f>
        <v/>
      </c>
      <c r="T575">
        <f>IF(OR($D575="",$E575=""),"",DATEDIF($D575,$E575,"m"))</f>
        <v/>
      </c>
      <c r="U575">
        <f>IF(OR($D575="",$E575=""),"",$E575-$D575)</f>
        <v/>
      </c>
      <c r="V575">
        <f>IF(OR($G575="",$T575=""),"",IF($T575&lt;24,IF(LEFT(LOWER($H575),4)="em p",$G575+0.7,$G575),IF(LEFT(LOWER($H575),4)="deit",$G575-0.7,$G575)))</f>
        <v/>
      </c>
      <c r="W575">
        <f>IF(OR($S575="",$T575=""),"",$S575*1000000+IF($T575&lt;=60,$U575,$T575))</f>
        <v/>
      </c>
      <c r="X575">
        <f>IF(OR($S575="",$V575="",$T575&gt;60,$T575=""),"",$S575*1000000+ROUND($V575*10,0))</f>
        <v/>
      </c>
      <c r="Y575">
        <f>IF($W575="","",IFERROR(INDEX(IF($T575&lt;=60,imc05_l,imc519_l),MATCH($W575,IF($T575&lt;=60,imc05_k,imc519_k),1)),""))</f>
        <v/>
      </c>
      <c r="Z575">
        <f>IF($W575="","",IFERROR(INDEX(IF($T575&lt;=60,imc05_m,imc519_m),MATCH($W575,IF($T575&lt;=60,imc05_k,imc519_k),1)),""))</f>
        <v/>
      </c>
      <c r="AA575">
        <f>IF($W575="","",IFERROR(INDEX(IF($T575&lt;=60,imc05_s,imc519_s),MATCH($W575,IF($T575&lt;=60,imc05_k,imc519_k),1)),""))</f>
        <v/>
      </c>
      <c r="AB575">
        <f>IF($Y575="","",IF($Y575=0,LN($J575/$Z575)/$AA575,((($J575/$Z575)^$Y575)-1)/($Y575*$AA575)))</f>
        <v/>
      </c>
      <c r="AC575">
        <f>IF($Y575="","",IF($Y575=0,$Z575*EXP($AA575*2),$Z575*(1+$Y575*$AA575*2)^(1/$Y575)))</f>
        <v/>
      </c>
      <c r="AD575">
        <f>IF($Y575="","",IF($Y575=0,$Z575*EXP($AA575*3),$Z575*(1+$Y575*$AA575*3)^(1/$Y575)))</f>
        <v/>
      </c>
      <c r="AE575">
        <f>IF($Y575="","",IF($Y575=0,$Z575*EXP($AA575*-2),$Z575*(1+$Y575*$AA575*-2)^(1/$Y575)))</f>
        <v/>
      </c>
      <c r="AF575">
        <f>IF($Y575="","",IF($Y575=0,$Z575*EXP($AA575*-3),$Z575*(1+$Y575*$AA575*-3)^(1/$Y575)))</f>
        <v/>
      </c>
      <c r="AG575">
        <f>IF($W575="","",IFERROR(INDEX(IF($T575&lt;=60,est05_l,est519_l),MATCH($W575,IF($T575&lt;=60,est05_k,est519_k),1)),""))</f>
        <v/>
      </c>
      <c r="AH575">
        <f>IF($W575="","",IFERROR(INDEX(IF($T575&lt;=60,est05_m,est519_m),MATCH($W575,IF($T575&lt;=60,est05_k,est519_k),1)),""))</f>
        <v/>
      </c>
      <c r="AI575">
        <f>IF($W575="","",IFERROR(INDEX(IF($T575&lt;=60,est05_s,est519_s),MATCH($W575,IF($T575&lt;=60,est05_k,est519_k),1)),""))</f>
        <v/>
      </c>
      <c r="AJ575">
        <f>IF($W575="","",IFERROR(INDEX(IF($T575&lt;=60,peso05_l,peso510_l),MATCH($W575,IF($T575&lt;=60,peso05_k,peso510_k),1)),""))</f>
        <v/>
      </c>
      <c r="AK575">
        <f>IF($W575="","",IFERROR(INDEX(IF($T575&lt;=60,peso05_m,peso510_m),MATCH($W575,IF($T575&lt;=60,peso05_k,peso510_k),1)),""))</f>
        <v/>
      </c>
      <c r="AL575">
        <f>IF($W575="","",IFERROR(INDEX(IF($T575&lt;=60,peso05_s,peso510_s),MATCH($W575,IF($T575&lt;=60,peso05_k,peso510_k),1)),""))</f>
        <v/>
      </c>
      <c r="AM575">
        <f>IF($AJ575="","",IF($AJ575=0,LN($F575/$AK575)/$AL575,((($F575/$AK575)^$AJ575)-1)/($AJ575*$AL575)))</f>
        <v/>
      </c>
      <c r="AN575">
        <f>IF($AJ575="","",IF($AJ575=0,$AK575*EXP($AL575*2),$AK575*(1+$AJ575*$AL575*2)^(1/$AJ575)))</f>
        <v/>
      </c>
      <c r="AO575">
        <f>IF($AJ575="","",IF($AJ575=0,$AK575*EXP($AL575*3),$AK575*(1+$AJ575*$AL575*3)^(1/$AJ575)))</f>
        <v/>
      </c>
      <c r="AP575">
        <f>IF($AJ575="","",IF($AJ575=0,$AK575*EXP($AL575*-2),$AK575*(1+$AJ575*$AL575*-2)^(1/$AJ575)))</f>
        <v/>
      </c>
      <c r="AQ575">
        <f>IF($AJ575="","",IF($AJ575=0,$AK575*EXP($AL575*-3),$AK575*(1+$AJ575*$AL575*-3)^(1/$AJ575)))</f>
        <v/>
      </c>
      <c r="AR575">
        <f>IF(OR($X575="",$T575&gt;60),"",IFERROR(INDEX(IF($T575&lt;24,pcomp_l,palt_l),MATCH($X575,IF($T575&lt;24,pcomp_k,palt_k),1)),""))</f>
        <v/>
      </c>
      <c r="AS575">
        <f>IF(OR($X575="",$T575&gt;60),"",IFERROR(INDEX(IF($T575&lt;24,pcomp_m,palt_m),MATCH($X575,IF($T575&lt;24,pcomp_k,palt_k),1)),""))</f>
        <v/>
      </c>
      <c r="AT575">
        <f>IF(OR($X575="",$T575&gt;60),"",IFERROR(INDEX(IF($T575&lt;24,pcomp_s,palt_s),MATCH($X575,IF($T575&lt;24,pcomp_k,palt_k),1)),""))</f>
        <v/>
      </c>
      <c r="AU575">
        <f>IF($AR575="","",IF($AR575=0,LN($F575/$AS575)/$AT575,((($F575/$AS575)^$AR575)-1)/($AR575*$AT575)))</f>
        <v/>
      </c>
      <c r="AV575">
        <f>IF($AR575="","",IF($AR575=0,$AS575*EXP($AT575*2),$AS575*(1+$AR575*$AT575*2)^(1/$AR575)))</f>
        <v/>
      </c>
      <c r="AW575">
        <f>IF($AR575="","",IF($AR575=0,$AS575*EXP($AT575*3),$AS575*(1+$AR575*$AT575*3)^(1/$AR575)))</f>
        <v/>
      </c>
      <c r="AX575">
        <f>IF($AR575="","",IF($AR575=0,$AS575*EXP($AT575*-2),$AS575*(1+$AR575*$AT575*-2)^(1/$AR575)))</f>
        <v/>
      </c>
      <c r="AY575">
        <f>IF($AR575="","",IF($AR575=0,$AS575*EXP($AT575*-3),$AS575*(1+$AR575*$AT575*-3)^(1/$AR575)))</f>
        <v/>
      </c>
      <c r="AZ575">
        <f>IF(OR($A575="",$A575&lt;&gt;Ficha!$C$4),"",COUNTIF($A$2:$A575,Ficha!$C$4))</f>
        <v/>
      </c>
    </row>
    <row r="576">
      <c r="A576" s="8">
        <f>IF(INDEX(Banco!$A:$A,ROW())="","",INDEX(Banco!$A:$A,ROW()))</f>
        <v/>
      </c>
      <c r="B576" s="8">
        <f>IF(INDEX(Banco!$B:$B,ROW())="","",INDEX(Banco!$B:$B,ROW()))</f>
        <v/>
      </c>
      <c r="C576" s="8">
        <f>IF(INDEX(Banco!$C:$C,ROW())="","",INDEX(Banco!$C:$C,ROW()))</f>
        <v/>
      </c>
      <c r="D576" s="9">
        <f>IF(INDEX(Banco!$D:$D,ROW())="","",INDEX(Banco!$D:$D,ROW()))</f>
        <v/>
      </c>
      <c r="E576" s="9">
        <f>IF(INDEX(Banco!$E:$E,ROW())="","",INDEX(Banco!$E:$E,ROW()))</f>
        <v/>
      </c>
      <c r="F576" s="10">
        <f>IF(INDEX(Banco!$F:$F,ROW())="","",INDEX(Banco!$F:$F,ROW()))</f>
        <v/>
      </c>
      <c r="G576" s="10">
        <f>IF(INDEX(Banco!$G:$G,ROW())="","",INDEX(Banco!$G:$G,ROW()))</f>
        <v/>
      </c>
      <c r="H576" s="8">
        <f>IF(INDEX(Banco!$H:$H,ROW())="","",INDEX(Banco!$H:$H,ROW()))</f>
        <v/>
      </c>
      <c r="I576">
        <f>IF($T576="","",INT($T576/12)&amp;"a "&amp;MOD($T576,12)&amp;"m")</f>
        <v/>
      </c>
      <c r="J576" s="11">
        <f>IF(OR($F576="",$G576=""),"",ROUND($F576/($G576/100)^2,2))</f>
        <v/>
      </c>
      <c r="K576" s="12">
        <f>IF(OR($S576="",$J576="",$T576="",$T576&lt;0,$T576&gt;228,$Y576=""),"—",ROUND(IF(ABS($AB576)&lt;=3,$AB576,IF($AB576&gt;3,3+($J576-$AD576)/($AD576-$AC576),-3+($J576-$AF576)/($AE576-$AF576))),2))</f>
        <v/>
      </c>
      <c r="L576">
        <f>IF(OR($K576="",$K576="—"),"",IF($T576&lt;=60,IF($K576&lt;-3,"Magreza acentuada",IF($K576&lt;-2,"Magreza",IF($K576&lt;=1,"Eutrofia",IF($K576&lt;=2,"Risco de sobrepeso",IF($K576&lt;=3,"Sobrepeso","Obesidade"))))),IF($K576&lt;-3,"Magreza acentuada",IF($K576&lt;-2,"Magreza",IF($K576&lt;=1,"Eutrofia",IF($K576&lt;=2,"Sobrepeso",IF($K576&lt;=3,"Obesidade","Obesidade grave")))))))</f>
        <v/>
      </c>
      <c r="M576" s="12">
        <f>IF(OR($S576="",$V576="",$T576="",$T576&lt;0,$T576&gt;228,$AG576=""),"—",ROUND(IF($AG576=0,LN($V576/$AH576)/$AI576,((($V576/$AH576)^$AG576)-1)/($AG576*$AI576)),2))</f>
        <v/>
      </c>
      <c r="N576">
        <f>IF(OR($M576="",$M576="—"),"",IF($M576&lt;-3,"Muito baixa",IF($M576&lt;-2,"Baixa","Adequada")))</f>
        <v/>
      </c>
      <c r="O576" s="12">
        <f>IF(OR($S576="",$F576="",$T576="",$T576&lt;0,$T576&gt;120,$AJ576=""),"—",ROUND(IF(ABS($AM576)&lt;=3,$AM576,IF($AM576&gt;3,3+($F576-$AO576)/($AO576-$AN576),-3+($F576-$AQ576)/($AP576-$AQ576))),2))</f>
        <v/>
      </c>
      <c r="P576">
        <f>IF(OR($O576="",$O576="—"),"",IF($O576&lt;-3,"Muito baixo",IF($O576&lt;-2,"Baixo",IF($O576&lt;=2,"Adequado","Elevado"))))</f>
        <v/>
      </c>
      <c r="Q576" s="12">
        <f>IF(OR($S576="",$F576="",$T576="",$T576&lt;0,$T576&gt;60,$AR576=""),"—",ROUND(IF(ABS($AU576)&lt;=3,$AU576,IF($AU576&gt;3,3+($F576-$AW576)/($AW576-$AV576),-3+($F576-$AY576)/($AX576-$AY576))),2))</f>
        <v/>
      </c>
      <c r="R576">
        <f>IF(OR($Q576="",$Q576="—"),"",IF($Q576&lt;-3,"Magreza acentuada",IF($Q576&lt;-2,"Magreza",IF($Q576&lt;=1,"Eutrofia",IF($Q576&lt;=2,"Risco de sobrepeso",IF($Q576&lt;=3,"Sobrepeso","Obesidade"))))))</f>
        <v/>
      </c>
      <c r="S576">
        <f>IF($C576="","",IF(UPPER(LEFT($C576,1))="M",1,IF(UPPER(LEFT($C576,1))="F",2,"")))</f>
        <v/>
      </c>
      <c r="T576">
        <f>IF(OR($D576="",$E576=""),"",DATEDIF($D576,$E576,"m"))</f>
        <v/>
      </c>
      <c r="U576">
        <f>IF(OR($D576="",$E576=""),"",$E576-$D576)</f>
        <v/>
      </c>
      <c r="V576">
        <f>IF(OR($G576="",$T576=""),"",IF($T576&lt;24,IF(LEFT(LOWER($H576),4)="em p",$G576+0.7,$G576),IF(LEFT(LOWER($H576),4)="deit",$G576-0.7,$G576)))</f>
        <v/>
      </c>
      <c r="W576">
        <f>IF(OR($S576="",$T576=""),"",$S576*1000000+IF($T576&lt;=60,$U576,$T576))</f>
        <v/>
      </c>
      <c r="X576">
        <f>IF(OR($S576="",$V576="",$T576&gt;60,$T576=""),"",$S576*1000000+ROUND($V576*10,0))</f>
        <v/>
      </c>
      <c r="Y576">
        <f>IF($W576="","",IFERROR(INDEX(IF($T576&lt;=60,imc05_l,imc519_l),MATCH($W576,IF($T576&lt;=60,imc05_k,imc519_k),1)),""))</f>
        <v/>
      </c>
      <c r="Z576">
        <f>IF($W576="","",IFERROR(INDEX(IF($T576&lt;=60,imc05_m,imc519_m),MATCH($W576,IF($T576&lt;=60,imc05_k,imc519_k),1)),""))</f>
        <v/>
      </c>
      <c r="AA576">
        <f>IF($W576="","",IFERROR(INDEX(IF($T576&lt;=60,imc05_s,imc519_s),MATCH($W576,IF($T576&lt;=60,imc05_k,imc519_k),1)),""))</f>
        <v/>
      </c>
      <c r="AB576">
        <f>IF($Y576="","",IF($Y576=0,LN($J576/$Z576)/$AA576,((($J576/$Z576)^$Y576)-1)/($Y576*$AA576)))</f>
        <v/>
      </c>
      <c r="AC576">
        <f>IF($Y576="","",IF($Y576=0,$Z576*EXP($AA576*2),$Z576*(1+$Y576*$AA576*2)^(1/$Y576)))</f>
        <v/>
      </c>
      <c r="AD576">
        <f>IF($Y576="","",IF($Y576=0,$Z576*EXP($AA576*3),$Z576*(1+$Y576*$AA576*3)^(1/$Y576)))</f>
        <v/>
      </c>
      <c r="AE576">
        <f>IF($Y576="","",IF($Y576=0,$Z576*EXP($AA576*-2),$Z576*(1+$Y576*$AA576*-2)^(1/$Y576)))</f>
        <v/>
      </c>
      <c r="AF576">
        <f>IF($Y576="","",IF($Y576=0,$Z576*EXP($AA576*-3),$Z576*(1+$Y576*$AA576*-3)^(1/$Y576)))</f>
        <v/>
      </c>
      <c r="AG576">
        <f>IF($W576="","",IFERROR(INDEX(IF($T576&lt;=60,est05_l,est519_l),MATCH($W576,IF($T576&lt;=60,est05_k,est519_k),1)),""))</f>
        <v/>
      </c>
      <c r="AH576">
        <f>IF($W576="","",IFERROR(INDEX(IF($T576&lt;=60,est05_m,est519_m),MATCH($W576,IF($T576&lt;=60,est05_k,est519_k),1)),""))</f>
        <v/>
      </c>
      <c r="AI576">
        <f>IF($W576="","",IFERROR(INDEX(IF($T576&lt;=60,est05_s,est519_s),MATCH($W576,IF($T576&lt;=60,est05_k,est519_k),1)),""))</f>
        <v/>
      </c>
      <c r="AJ576">
        <f>IF($W576="","",IFERROR(INDEX(IF($T576&lt;=60,peso05_l,peso510_l),MATCH($W576,IF($T576&lt;=60,peso05_k,peso510_k),1)),""))</f>
        <v/>
      </c>
      <c r="AK576">
        <f>IF($W576="","",IFERROR(INDEX(IF($T576&lt;=60,peso05_m,peso510_m),MATCH($W576,IF($T576&lt;=60,peso05_k,peso510_k),1)),""))</f>
        <v/>
      </c>
      <c r="AL576">
        <f>IF($W576="","",IFERROR(INDEX(IF($T576&lt;=60,peso05_s,peso510_s),MATCH($W576,IF($T576&lt;=60,peso05_k,peso510_k),1)),""))</f>
        <v/>
      </c>
      <c r="AM576">
        <f>IF($AJ576="","",IF($AJ576=0,LN($F576/$AK576)/$AL576,((($F576/$AK576)^$AJ576)-1)/($AJ576*$AL576)))</f>
        <v/>
      </c>
      <c r="AN576">
        <f>IF($AJ576="","",IF($AJ576=0,$AK576*EXP($AL576*2),$AK576*(1+$AJ576*$AL576*2)^(1/$AJ576)))</f>
        <v/>
      </c>
      <c r="AO576">
        <f>IF($AJ576="","",IF($AJ576=0,$AK576*EXP($AL576*3),$AK576*(1+$AJ576*$AL576*3)^(1/$AJ576)))</f>
        <v/>
      </c>
      <c r="AP576">
        <f>IF($AJ576="","",IF($AJ576=0,$AK576*EXP($AL576*-2),$AK576*(1+$AJ576*$AL576*-2)^(1/$AJ576)))</f>
        <v/>
      </c>
      <c r="AQ576">
        <f>IF($AJ576="","",IF($AJ576=0,$AK576*EXP($AL576*-3),$AK576*(1+$AJ576*$AL576*-3)^(1/$AJ576)))</f>
        <v/>
      </c>
      <c r="AR576">
        <f>IF(OR($X576="",$T576&gt;60),"",IFERROR(INDEX(IF($T576&lt;24,pcomp_l,palt_l),MATCH($X576,IF($T576&lt;24,pcomp_k,palt_k),1)),""))</f>
        <v/>
      </c>
      <c r="AS576">
        <f>IF(OR($X576="",$T576&gt;60),"",IFERROR(INDEX(IF($T576&lt;24,pcomp_m,palt_m),MATCH($X576,IF($T576&lt;24,pcomp_k,palt_k),1)),""))</f>
        <v/>
      </c>
      <c r="AT576">
        <f>IF(OR($X576="",$T576&gt;60),"",IFERROR(INDEX(IF($T576&lt;24,pcomp_s,palt_s),MATCH($X576,IF($T576&lt;24,pcomp_k,palt_k),1)),""))</f>
        <v/>
      </c>
      <c r="AU576">
        <f>IF($AR576="","",IF($AR576=0,LN($F576/$AS576)/$AT576,((($F576/$AS576)^$AR576)-1)/($AR576*$AT576)))</f>
        <v/>
      </c>
      <c r="AV576">
        <f>IF($AR576="","",IF($AR576=0,$AS576*EXP($AT576*2),$AS576*(1+$AR576*$AT576*2)^(1/$AR576)))</f>
        <v/>
      </c>
      <c r="AW576">
        <f>IF($AR576="","",IF($AR576=0,$AS576*EXP($AT576*3),$AS576*(1+$AR576*$AT576*3)^(1/$AR576)))</f>
        <v/>
      </c>
      <c r="AX576">
        <f>IF($AR576="","",IF($AR576=0,$AS576*EXP($AT576*-2),$AS576*(1+$AR576*$AT576*-2)^(1/$AR576)))</f>
        <v/>
      </c>
      <c r="AY576">
        <f>IF($AR576="","",IF($AR576=0,$AS576*EXP($AT576*-3),$AS576*(1+$AR576*$AT576*-3)^(1/$AR576)))</f>
        <v/>
      </c>
      <c r="AZ576">
        <f>IF(OR($A576="",$A576&lt;&gt;Ficha!$C$4),"",COUNTIF($A$2:$A576,Ficha!$C$4))</f>
        <v/>
      </c>
    </row>
    <row r="577">
      <c r="A577" s="8">
        <f>IF(INDEX(Banco!$A:$A,ROW())="","",INDEX(Banco!$A:$A,ROW()))</f>
        <v/>
      </c>
      <c r="B577" s="8">
        <f>IF(INDEX(Banco!$B:$B,ROW())="","",INDEX(Banco!$B:$B,ROW()))</f>
        <v/>
      </c>
      <c r="C577" s="8">
        <f>IF(INDEX(Banco!$C:$C,ROW())="","",INDEX(Banco!$C:$C,ROW()))</f>
        <v/>
      </c>
      <c r="D577" s="9">
        <f>IF(INDEX(Banco!$D:$D,ROW())="","",INDEX(Banco!$D:$D,ROW()))</f>
        <v/>
      </c>
      <c r="E577" s="9">
        <f>IF(INDEX(Banco!$E:$E,ROW())="","",INDEX(Banco!$E:$E,ROW()))</f>
        <v/>
      </c>
      <c r="F577" s="10">
        <f>IF(INDEX(Banco!$F:$F,ROW())="","",INDEX(Banco!$F:$F,ROW()))</f>
        <v/>
      </c>
      <c r="G577" s="10">
        <f>IF(INDEX(Banco!$G:$G,ROW())="","",INDEX(Banco!$G:$G,ROW()))</f>
        <v/>
      </c>
      <c r="H577" s="8">
        <f>IF(INDEX(Banco!$H:$H,ROW())="","",INDEX(Banco!$H:$H,ROW()))</f>
        <v/>
      </c>
      <c r="I577">
        <f>IF($T577="","",INT($T577/12)&amp;"a "&amp;MOD($T577,12)&amp;"m")</f>
        <v/>
      </c>
      <c r="J577" s="11">
        <f>IF(OR($F577="",$G577=""),"",ROUND($F577/($G577/100)^2,2))</f>
        <v/>
      </c>
      <c r="K577" s="12">
        <f>IF(OR($S577="",$J577="",$T577="",$T577&lt;0,$T577&gt;228,$Y577=""),"—",ROUND(IF(ABS($AB577)&lt;=3,$AB577,IF($AB577&gt;3,3+($J577-$AD577)/($AD577-$AC577),-3+($J577-$AF577)/($AE577-$AF577))),2))</f>
        <v/>
      </c>
      <c r="L577">
        <f>IF(OR($K577="",$K577="—"),"",IF($T577&lt;=60,IF($K577&lt;-3,"Magreza acentuada",IF($K577&lt;-2,"Magreza",IF($K577&lt;=1,"Eutrofia",IF($K577&lt;=2,"Risco de sobrepeso",IF($K577&lt;=3,"Sobrepeso","Obesidade"))))),IF($K577&lt;-3,"Magreza acentuada",IF($K577&lt;-2,"Magreza",IF($K577&lt;=1,"Eutrofia",IF($K577&lt;=2,"Sobrepeso",IF($K577&lt;=3,"Obesidade","Obesidade grave")))))))</f>
        <v/>
      </c>
      <c r="M577" s="12">
        <f>IF(OR($S577="",$V577="",$T577="",$T577&lt;0,$T577&gt;228,$AG577=""),"—",ROUND(IF($AG577=0,LN($V577/$AH577)/$AI577,((($V577/$AH577)^$AG577)-1)/($AG577*$AI577)),2))</f>
        <v/>
      </c>
      <c r="N577">
        <f>IF(OR($M577="",$M577="—"),"",IF($M577&lt;-3,"Muito baixa",IF($M577&lt;-2,"Baixa","Adequada")))</f>
        <v/>
      </c>
      <c r="O577" s="12">
        <f>IF(OR($S577="",$F577="",$T577="",$T577&lt;0,$T577&gt;120,$AJ577=""),"—",ROUND(IF(ABS($AM577)&lt;=3,$AM577,IF($AM577&gt;3,3+($F577-$AO577)/($AO577-$AN577),-3+($F577-$AQ577)/($AP577-$AQ577))),2))</f>
        <v/>
      </c>
      <c r="P577">
        <f>IF(OR($O577="",$O577="—"),"",IF($O577&lt;-3,"Muito baixo",IF($O577&lt;-2,"Baixo",IF($O577&lt;=2,"Adequado","Elevado"))))</f>
        <v/>
      </c>
      <c r="Q577" s="12">
        <f>IF(OR($S577="",$F577="",$T577="",$T577&lt;0,$T577&gt;60,$AR577=""),"—",ROUND(IF(ABS($AU577)&lt;=3,$AU577,IF($AU577&gt;3,3+($F577-$AW577)/($AW577-$AV577),-3+($F577-$AY577)/($AX577-$AY577))),2))</f>
        <v/>
      </c>
      <c r="R577">
        <f>IF(OR($Q577="",$Q577="—"),"",IF($Q577&lt;-3,"Magreza acentuada",IF($Q577&lt;-2,"Magreza",IF($Q577&lt;=1,"Eutrofia",IF($Q577&lt;=2,"Risco de sobrepeso",IF($Q577&lt;=3,"Sobrepeso","Obesidade"))))))</f>
        <v/>
      </c>
      <c r="S577">
        <f>IF($C577="","",IF(UPPER(LEFT($C577,1))="M",1,IF(UPPER(LEFT($C577,1))="F",2,"")))</f>
        <v/>
      </c>
      <c r="T577">
        <f>IF(OR($D577="",$E577=""),"",DATEDIF($D577,$E577,"m"))</f>
        <v/>
      </c>
      <c r="U577">
        <f>IF(OR($D577="",$E577=""),"",$E577-$D577)</f>
        <v/>
      </c>
      <c r="V577">
        <f>IF(OR($G577="",$T577=""),"",IF($T577&lt;24,IF(LEFT(LOWER($H577),4)="em p",$G577+0.7,$G577),IF(LEFT(LOWER($H577),4)="deit",$G577-0.7,$G577)))</f>
        <v/>
      </c>
      <c r="W577">
        <f>IF(OR($S577="",$T577=""),"",$S577*1000000+IF($T577&lt;=60,$U577,$T577))</f>
        <v/>
      </c>
      <c r="X577">
        <f>IF(OR($S577="",$V577="",$T577&gt;60,$T577=""),"",$S577*1000000+ROUND($V577*10,0))</f>
        <v/>
      </c>
      <c r="Y577">
        <f>IF($W577="","",IFERROR(INDEX(IF($T577&lt;=60,imc05_l,imc519_l),MATCH($W577,IF($T577&lt;=60,imc05_k,imc519_k),1)),""))</f>
        <v/>
      </c>
      <c r="Z577">
        <f>IF($W577="","",IFERROR(INDEX(IF($T577&lt;=60,imc05_m,imc519_m),MATCH($W577,IF($T577&lt;=60,imc05_k,imc519_k),1)),""))</f>
        <v/>
      </c>
      <c r="AA577">
        <f>IF($W577="","",IFERROR(INDEX(IF($T577&lt;=60,imc05_s,imc519_s),MATCH($W577,IF($T577&lt;=60,imc05_k,imc519_k),1)),""))</f>
        <v/>
      </c>
      <c r="AB577">
        <f>IF($Y577="","",IF($Y577=0,LN($J577/$Z577)/$AA577,((($J577/$Z577)^$Y577)-1)/($Y577*$AA577)))</f>
        <v/>
      </c>
      <c r="AC577">
        <f>IF($Y577="","",IF($Y577=0,$Z577*EXP($AA577*2),$Z577*(1+$Y577*$AA577*2)^(1/$Y577)))</f>
        <v/>
      </c>
      <c r="AD577">
        <f>IF($Y577="","",IF($Y577=0,$Z577*EXP($AA577*3),$Z577*(1+$Y577*$AA577*3)^(1/$Y577)))</f>
        <v/>
      </c>
      <c r="AE577">
        <f>IF($Y577="","",IF($Y577=0,$Z577*EXP($AA577*-2),$Z577*(1+$Y577*$AA577*-2)^(1/$Y577)))</f>
        <v/>
      </c>
      <c r="AF577">
        <f>IF($Y577="","",IF($Y577=0,$Z577*EXP($AA577*-3),$Z577*(1+$Y577*$AA577*-3)^(1/$Y577)))</f>
        <v/>
      </c>
      <c r="AG577">
        <f>IF($W577="","",IFERROR(INDEX(IF($T577&lt;=60,est05_l,est519_l),MATCH($W577,IF($T577&lt;=60,est05_k,est519_k),1)),""))</f>
        <v/>
      </c>
      <c r="AH577">
        <f>IF($W577="","",IFERROR(INDEX(IF($T577&lt;=60,est05_m,est519_m),MATCH($W577,IF($T577&lt;=60,est05_k,est519_k),1)),""))</f>
        <v/>
      </c>
      <c r="AI577">
        <f>IF($W577="","",IFERROR(INDEX(IF($T577&lt;=60,est05_s,est519_s),MATCH($W577,IF($T577&lt;=60,est05_k,est519_k),1)),""))</f>
        <v/>
      </c>
      <c r="AJ577">
        <f>IF($W577="","",IFERROR(INDEX(IF($T577&lt;=60,peso05_l,peso510_l),MATCH($W577,IF($T577&lt;=60,peso05_k,peso510_k),1)),""))</f>
        <v/>
      </c>
      <c r="AK577">
        <f>IF($W577="","",IFERROR(INDEX(IF($T577&lt;=60,peso05_m,peso510_m),MATCH($W577,IF($T577&lt;=60,peso05_k,peso510_k),1)),""))</f>
        <v/>
      </c>
      <c r="AL577">
        <f>IF($W577="","",IFERROR(INDEX(IF($T577&lt;=60,peso05_s,peso510_s),MATCH($W577,IF($T577&lt;=60,peso05_k,peso510_k),1)),""))</f>
        <v/>
      </c>
      <c r="AM577">
        <f>IF($AJ577="","",IF($AJ577=0,LN($F577/$AK577)/$AL577,((($F577/$AK577)^$AJ577)-1)/($AJ577*$AL577)))</f>
        <v/>
      </c>
      <c r="AN577">
        <f>IF($AJ577="","",IF($AJ577=0,$AK577*EXP($AL577*2),$AK577*(1+$AJ577*$AL577*2)^(1/$AJ577)))</f>
        <v/>
      </c>
      <c r="AO577">
        <f>IF($AJ577="","",IF($AJ577=0,$AK577*EXP($AL577*3),$AK577*(1+$AJ577*$AL577*3)^(1/$AJ577)))</f>
        <v/>
      </c>
      <c r="AP577">
        <f>IF($AJ577="","",IF($AJ577=0,$AK577*EXP($AL577*-2),$AK577*(1+$AJ577*$AL577*-2)^(1/$AJ577)))</f>
        <v/>
      </c>
      <c r="AQ577">
        <f>IF($AJ577="","",IF($AJ577=0,$AK577*EXP($AL577*-3),$AK577*(1+$AJ577*$AL577*-3)^(1/$AJ577)))</f>
        <v/>
      </c>
      <c r="AR577">
        <f>IF(OR($X577="",$T577&gt;60),"",IFERROR(INDEX(IF($T577&lt;24,pcomp_l,palt_l),MATCH($X577,IF($T577&lt;24,pcomp_k,palt_k),1)),""))</f>
        <v/>
      </c>
      <c r="AS577">
        <f>IF(OR($X577="",$T577&gt;60),"",IFERROR(INDEX(IF($T577&lt;24,pcomp_m,palt_m),MATCH($X577,IF($T577&lt;24,pcomp_k,palt_k),1)),""))</f>
        <v/>
      </c>
      <c r="AT577">
        <f>IF(OR($X577="",$T577&gt;60),"",IFERROR(INDEX(IF($T577&lt;24,pcomp_s,palt_s),MATCH($X577,IF($T577&lt;24,pcomp_k,palt_k),1)),""))</f>
        <v/>
      </c>
      <c r="AU577">
        <f>IF($AR577="","",IF($AR577=0,LN($F577/$AS577)/$AT577,((($F577/$AS577)^$AR577)-1)/($AR577*$AT577)))</f>
        <v/>
      </c>
      <c r="AV577">
        <f>IF($AR577="","",IF($AR577=0,$AS577*EXP($AT577*2),$AS577*(1+$AR577*$AT577*2)^(1/$AR577)))</f>
        <v/>
      </c>
      <c r="AW577">
        <f>IF($AR577="","",IF($AR577=0,$AS577*EXP($AT577*3),$AS577*(1+$AR577*$AT577*3)^(1/$AR577)))</f>
        <v/>
      </c>
      <c r="AX577">
        <f>IF($AR577="","",IF($AR577=0,$AS577*EXP($AT577*-2),$AS577*(1+$AR577*$AT577*-2)^(1/$AR577)))</f>
        <v/>
      </c>
      <c r="AY577">
        <f>IF($AR577="","",IF($AR577=0,$AS577*EXP($AT577*-3),$AS577*(1+$AR577*$AT577*-3)^(1/$AR577)))</f>
        <v/>
      </c>
      <c r="AZ577">
        <f>IF(OR($A577="",$A577&lt;&gt;Ficha!$C$4),"",COUNTIF($A$2:$A577,Ficha!$C$4))</f>
        <v/>
      </c>
    </row>
    <row r="578">
      <c r="A578" s="8">
        <f>IF(INDEX(Banco!$A:$A,ROW())="","",INDEX(Banco!$A:$A,ROW()))</f>
        <v/>
      </c>
      <c r="B578" s="8">
        <f>IF(INDEX(Banco!$B:$B,ROW())="","",INDEX(Banco!$B:$B,ROW()))</f>
        <v/>
      </c>
      <c r="C578" s="8">
        <f>IF(INDEX(Banco!$C:$C,ROW())="","",INDEX(Banco!$C:$C,ROW()))</f>
        <v/>
      </c>
      <c r="D578" s="9">
        <f>IF(INDEX(Banco!$D:$D,ROW())="","",INDEX(Banco!$D:$D,ROW()))</f>
        <v/>
      </c>
      <c r="E578" s="9">
        <f>IF(INDEX(Banco!$E:$E,ROW())="","",INDEX(Banco!$E:$E,ROW()))</f>
        <v/>
      </c>
      <c r="F578" s="10">
        <f>IF(INDEX(Banco!$F:$F,ROW())="","",INDEX(Banco!$F:$F,ROW()))</f>
        <v/>
      </c>
      <c r="G578" s="10">
        <f>IF(INDEX(Banco!$G:$G,ROW())="","",INDEX(Banco!$G:$G,ROW()))</f>
        <v/>
      </c>
      <c r="H578" s="8">
        <f>IF(INDEX(Banco!$H:$H,ROW())="","",INDEX(Banco!$H:$H,ROW()))</f>
        <v/>
      </c>
      <c r="I578">
        <f>IF($T578="","",INT($T578/12)&amp;"a "&amp;MOD($T578,12)&amp;"m")</f>
        <v/>
      </c>
      <c r="J578" s="11">
        <f>IF(OR($F578="",$G578=""),"",ROUND($F578/($G578/100)^2,2))</f>
        <v/>
      </c>
      <c r="K578" s="12">
        <f>IF(OR($S578="",$J578="",$T578="",$T578&lt;0,$T578&gt;228,$Y578=""),"—",ROUND(IF(ABS($AB578)&lt;=3,$AB578,IF($AB578&gt;3,3+($J578-$AD578)/($AD578-$AC578),-3+($J578-$AF578)/($AE578-$AF578))),2))</f>
        <v/>
      </c>
      <c r="L578">
        <f>IF(OR($K578="",$K578="—"),"",IF($T578&lt;=60,IF($K578&lt;-3,"Magreza acentuada",IF($K578&lt;-2,"Magreza",IF($K578&lt;=1,"Eutrofia",IF($K578&lt;=2,"Risco de sobrepeso",IF($K578&lt;=3,"Sobrepeso","Obesidade"))))),IF($K578&lt;-3,"Magreza acentuada",IF($K578&lt;-2,"Magreza",IF($K578&lt;=1,"Eutrofia",IF($K578&lt;=2,"Sobrepeso",IF($K578&lt;=3,"Obesidade","Obesidade grave")))))))</f>
        <v/>
      </c>
      <c r="M578" s="12">
        <f>IF(OR($S578="",$V578="",$T578="",$T578&lt;0,$T578&gt;228,$AG578=""),"—",ROUND(IF($AG578=0,LN($V578/$AH578)/$AI578,((($V578/$AH578)^$AG578)-1)/($AG578*$AI578)),2))</f>
        <v/>
      </c>
      <c r="N578">
        <f>IF(OR($M578="",$M578="—"),"",IF($M578&lt;-3,"Muito baixa",IF($M578&lt;-2,"Baixa","Adequada")))</f>
        <v/>
      </c>
      <c r="O578" s="12">
        <f>IF(OR($S578="",$F578="",$T578="",$T578&lt;0,$T578&gt;120,$AJ578=""),"—",ROUND(IF(ABS($AM578)&lt;=3,$AM578,IF($AM578&gt;3,3+($F578-$AO578)/($AO578-$AN578),-3+($F578-$AQ578)/($AP578-$AQ578))),2))</f>
        <v/>
      </c>
      <c r="P578">
        <f>IF(OR($O578="",$O578="—"),"",IF($O578&lt;-3,"Muito baixo",IF($O578&lt;-2,"Baixo",IF($O578&lt;=2,"Adequado","Elevado"))))</f>
        <v/>
      </c>
      <c r="Q578" s="12">
        <f>IF(OR($S578="",$F578="",$T578="",$T578&lt;0,$T578&gt;60,$AR578=""),"—",ROUND(IF(ABS($AU578)&lt;=3,$AU578,IF($AU578&gt;3,3+($F578-$AW578)/($AW578-$AV578),-3+($F578-$AY578)/($AX578-$AY578))),2))</f>
        <v/>
      </c>
      <c r="R578">
        <f>IF(OR($Q578="",$Q578="—"),"",IF($Q578&lt;-3,"Magreza acentuada",IF($Q578&lt;-2,"Magreza",IF($Q578&lt;=1,"Eutrofia",IF($Q578&lt;=2,"Risco de sobrepeso",IF($Q578&lt;=3,"Sobrepeso","Obesidade"))))))</f>
        <v/>
      </c>
      <c r="S578">
        <f>IF($C578="","",IF(UPPER(LEFT($C578,1))="M",1,IF(UPPER(LEFT($C578,1))="F",2,"")))</f>
        <v/>
      </c>
      <c r="T578">
        <f>IF(OR($D578="",$E578=""),"",DATEDIF($D578,$E578,"m"))</f>
        <v/>
      </c>
      <c r="U578">
        <f>IF(OR($D578="",$E578=""),"",$E578-$D578)</f>
        <v/>
      </c>
      <c r="V578">
        <f>IF(OR($G578="",$T578=""),"",IF($T578&lt;24,IF(LEFT(LOWER($H578),4)="em p",$G578+0.7,$G578),IF(LEFT(LOWER($H578),4)="deit",$G578-0.7,$G578)))</f>
        <v/>
      </c>
      <c r="W578">
        <f>IF(OR($S578="",$T578=""),"",$S578*1000000+IF($T578&lt;=60,$U578,$T578))</f>
        <v/>
      </c>
      <c r="X578">
        <f>IF(OR($S578="",$V578="",$T578&gt;60,$T578=""),"",$S578*1000000+ROUND($V578*10,0))</f>
        <v/>
      </c>
      <c r="Y578">
        <f>IF($W578="","",IFERROR(INDEX(IF($T578&lt;=60,imc05_l,imc519_l),MATCH($W578,IF($T578&lt;=60,imc05_k,imc519_k),1)),""))</f>
        <v/>
      </c>
      <c r="Z578">
        <f>IF($W578="","",IFERROR(INDEX(IF($T578&lt;=60,imc05_m,imc519_m),MATCH($W578,IF($T578&lt;=60,imc05_k,imc519_k),1)),""))</f>
        <v/>
      </c>
      <c r="AA578">
        <f>IF($W578="","",IFERROR(INDEX(IF($T578&lt;=60,imc05_s,imc519_s),MATCH($W578,IF($T578&lt;=60,imc05_k,imc519_k),1)),""))</f>
        <v/>
      </c>
      <c r="AB578">
        <f>IF($Y578="","",IF($Y578=0,LN($J578/$Z578)/$AA578,((($J578/$Z578)^$Y578)-1)/($Y578*$AA578)))</f>
        <v/>
      </c>
      <c r="AC578">
        <f>IF($Y578="","",IF($Y578=0,$Z578*EXP($AA578*2),$Z578*(1+$Y578*$AA578*2)^(1/$Y578)))</f>
        <v/>
      </c>
      <c r="AD578">
        <f>IF($Y578="","",IF($Y578=0,$Z578*EXP($AA578*3),$Z578*(1+$Y578*$AA578*3)^(1/$Y578)))</f>
        <v/>
      </c>
      <c r="AE578">
        <f>IF($Y578="","",IF($Y578=0,$Z578*EXP($AA578*-2),$Z578*(1+$Y578*$AA578*-2)^(1/$Y578)))</f>
        <v/>
      </c>
      <c r="AF578">
        <f>IF($Y578="","",IF($Y578=0,$Z578*EXP($AA578*-3),$Z578*(1+$Y578*$AA578*-3)^(1/$Y578)))</f>
        <v/>
      </c>
      <c r="AG578">
        <f>IF($W578="","",IFERROR(INDEX(IF($T578&lt;=60,est05_l,est519_l),MATCH($W578,IF($T578&lt;=60,est05_k,est519_k),1)),""))</f>
        <v/>
      </c>
      <c r="AH578">
        <f>IF($W578="","",IFERROR(INDEX(IF($T578&lt;=60,est05_m,est519_m),MATCH($W578,IF($T578&lt;=60,est05_k,est519_k),1)),""))</f>
        <v/>
      </c>
      <c r="AI578">
        <f>IF($W578="","",IFERROR(INDEX(IF($T578&lt;=60,est05_s,est519_s),MATCH($W578,IF($T578&lt;=60,est05_k,est519_k),1)),""))</f>
        <v/>
      </c>
      <c r="AJ578">
        <f>IF($W578="","",IFERROR(INDEX(IF($T578&lt;=60,peso05_l,peso510_l),MATCH($W578,IF($T578&lt;=60,peso05_k,peso510_k),1)),""))</f>
        <v/>
      </c>
      <c r="AK578">
        <f>IF($W578="","",IFERROR(INDEX(IF($T578&lt;=60,peso05_m,peso510_m),MATCH($W578,IF($T578&lt;=60,peso05_k,peso510_k),1)),""))</f>
        <v/>
      </c>
      <c r="AL578">
        <f>IF($W578="","",IFERROR(INDEX(IF($T578&lt;=60,peso05_s,peso510_s),MATCH($W578,IF($T578&lt;=60,peso05_k,peso510_k),1)),""))</f>
        <v/>
      </c>
      <c r="AM578">
        <f>IF($AJ578="","",IF($AJ578=0,LN($F578/$AK578)/$AL578,((($F578/$AK578)^$AJ578)-1)/($AJ578*$AL578)))</f>
        <v/>
      </c>
      <c r="AN578">
        <f>IF($AJ578="","",IF($AJ578=0,$AK578*EXP($AL578*2),$AK578*(1+$AJ578*$AL578*2)^(1/$AJ578)))</f>
        <v/>
      </c>
      <c r="AO578">
        <f>IF($AJ578="","",IF($AJ578=0,$AK578*EXP($AL578*3),$AK578*(1+$AJ578*$AL578*3)^(1/$AJ578)))</f>
        <v/>
      </c>
      <c r="AP578">
        <f>IF($AJ578="","",IF($AJ578=0,$AK578*EXP($AL578*-2),$AK578*(1+$AJ578*$AL578*-2)^(1/$AJ578)))</f>
        <v/>
      </c>
      <c r="AQ578">
        <f>IF($AJ578="","",IF($AJ578=0,$AK578*EXP($AL578*-3),$AK578*(1+$AJ578*$AL578*-3)^(1/$AJ578)))</f>
        <v/>
      </c>
      <c r="AR578">
        <f>IF(OR($X578="",$T578&gt;60),"",IFERROR(INDEX(IF($T578&lt;24,pcomp_l,palt_l),MATCH($X578,IF($T578&lt;24,pcomp_k,palt_k),1)),""))</f>
        <v/>
      </c>
      <c r="AS578">
        <f>IF(OR($X578="",$T578&gt;60),"",IFERROR(INDEX(IF($T578&lt;24,pcomp_m,palt_m),MATCH($X578,IF($T578&lt;24,pcomp_k,palt_k),1)),""))</f>
        <v/>
      </c>
      <c r="AT578">
        <f>IF(OR($X578="",$T578&gt;60),"",IFERROR(INDEX(IF($T578&lt;24,pcomp_s,palt_s),MATCH($X578,IF($T578&lt;24,pcomp_k,palt_k),1)),""))</f>
        <v/>
      </c>
      <c r="AU578">
        <f>IF($AR578="","",IF($AR578=0,LN($F578/$AS578)/$AT578,((($F578/$AS578)^$AR578)-1)/($AR578*$AT578)))</f>
        <v/>
      </c>
      <c r="AV578">
        <f>IF($AR578="","",IF($AR578=0,$AS578*EXP($AT578*2),$AS578*(1+$AR578*$AT578*2)^(1/$AR578)))</f>
        <v/>
      </c>
      <c r="AW578">
        <f>IF($AR578="","",IF($AR578=0,$AS578*EXP($AT578*3),$AS578*(1+$AR578*$AT578*3)^(1/$AR578)))</f>
        <v/>
      </c>
      <c r="AX578">
        <f>IF($AR578="","",IF($AR578=0,$AS578*EXP($AT578*-2),$AS578*(1+$AR578*$AT578*-2)^(1/$AR578)))</f>
        <v/>
      </c>
      <c r="AY578">
        <f>IF($AR578="","",IF($AR578=0,$AS578*EXP($AT578*-3),$AS578*(1+$AR578*$AT578*-3)^(1/$AR578)))</f>
        <v/>
      </c>
      <c r="AZ578">
        <f>IF(OR($A578="",$A578&lt;&gt;Ficha!$C$4),"",COUNTIF($A$2:$A578,Ficha!$C$4))</f>
        <v/>
      </c>
    </row>
    <row r="579">
      <c r="A579" s="8">
        <f>IF(INDEX(Banco!$A:$A,ROW())="","",INDEX(Banco!$A:$A,ROW()))</f>
        <v/>
      </c>
      <c r="B579" s="8">
        <f>IF(INDEX(Banco!$B:$B,ROW())="","",INDEX(Banco!$B:$B,ROW()))</f>
        <v/>
      </c>
      <c r="C579" s="8">
        <f>IF(INDEX(Banco!$C:$C,ROW())="","",INDEX(Banco!$C:$C,ROW()))</f>
        <v/>
      </c>
      <c r="D579" s="9">
        <f>IF(INDEX(Banco!$D:$D,ROW())="","",INDEX(Banco!$D:$D,ROW()))</f>
        <v/>
      </c>
      <c r="E579" s="9">
        <f>IF(INDEX(Banco!$E:$E,ROW())="","",INDEX(Banco!$E:$E,ROW()))</f>
        <v/>
      </c>
      <c r="F579" s="10">
        <f>IF(INDEX(Banco!$F:$F,ROW())="","",INDEX(Banco!$F:$F,ROW()))</f>
        <v/>
      </c>
      <c r="G579" s="10">
        <f>IF(INDEX(Banco!$G:$G,ROW())="","",INDEX(Banco!$G:$G,ROW()))</f>
        <v/>
      </c>
      <c r="H579" s="8">
        <f>IF(INDEX(Banco!$H:$H,ROW())="","",INDEX(Banco!$H:$H,ROW()))</f>
        <v/>
      </c>
      <c r="I579">
        <f>IF($T579="","",INT($T579/12)&amp;"a "&amp;MOD($T579,12)&amp;"m")</f>
        <v/>
      </c>
      <c r="J579" s="11">
        <f>IF(OR($F579="",$G579=""),"",ROUND($F579/($G579/100)^2,2))</f>
        <v/>
      </c>
      <c r="K579" s="12">
        <f>IF(OR($S579="",$J579="",$T579="",$T579&lt;0,$T579&gt;228,$Y579=""),"—",ROUND(IF(ABS($AB579)&lt;=3,$AB579,IF($AB579&gt;3,3+($J579-$AD579)/($AD579-$AC579),-3+($J579-$AF579)/($AE579-$AF579))),2))</f>
        <v/>
      </c>
      <c r="L579">
        <f>IF(OR($K579="",$K579="—"),"",IF($T579&lt;=60,IF($K579&lt;-3,"Magreza acentuada",IF($K579&lt;-2,"Magreza",IF($K579&lt;=1,"Eutrofia",IF($K579&lt;=2,"Risco de sobrepeso",IF($K579&lt;=3,"Sobrepeso","Obesidade"))))),IF($K579&lt;-3,"Magreza acentuada",IF($K579&lt;-2,"Magreza",IF($K579&lt;=1,"Eutrofia",IF($K579&lt;=2,"Sobrepeso",IF($K579&lt;=3,"Obesidade","Obesidade grave")))))))</f>
        <v/>
      </c>
      <c r="M579" s="12">
        <f>IF(OR($S579="",$V579="",$T579="",$T579&lt;0,$T579&gt;228,$AG579=""),"—",ROUND(IF($AG579=0,LN($V579/$AH579)/$AI579,((($V579/$AH579)^$AG579)-1)/($AG579*$AI579)),2))</f>
        <v/>
      </c>
      <c r="N579">
        <f>IF(OR($M579="",$M579="—"),"",IF($M579&lt;-3,"Muito baixa",IF($M579&lt;-2,"Baixa","Adequada")))</f>
        <v/>
      </c>
      <c r="O579" s="12">
        <f>IF(OR($S579="",$F579="",$T579="",$T579&lt;0,$T579&gt;120,$AJ579=""),"—",ROUND(IF(ABS($AM579)&lt;=3,$AM579,IF($AM579&gt;3,3+($F579-$AO579)/($AO579-$AN579),-3+($F579-$AQ579)/($AP579-$AQ579))),2))</f>
        <v/>
      </c>
      <c r="P579">
        <f>IF(OR($O579="",$O579="—"),"",IF($O579&lt;-3,"Muito baixo",IF($O579&lt;-2,"Baixo",IF($O579&lt;=2,"Adequado","Elevado"))))</f>
        <v/>
      </c>
      <c r="Q579" s="12">
        <f>IF(OR($S579="",$F579="",$T579="",$T579&lt;0,$T579&gt;60,$AR579=""),"—",ROUND(IF(ABS($AU579)&lt;=3,$AU579,IF($AU579&gt;3,3+($F579-$AW579)/($AW579-$AV579),-3+($F579-$AY579)/($AX579-$AY579))),2))</f>
        <v/>
      </c>
      <c r="R579">
        <f>IF(OR($Q579="",$Q579="—"),"",IF($Q579&lt;-3,"Magreza acentuada",IF($Q579&lt;-2,"Magreza",IF($Q579&lt;=1,"Eutrofia",IF($Q579&lt;=2,"Risco de sobrepeso",IF($Q579&lt;=3,"Sobrepeso","Obesidade"))))))</f>
        <v/>
      </c>
      <c r="S579">
        <f>IF($C579="","",IF(UPPER(LEFT($C579,1))="M",1,IF(UPPER(LEFT($C579,1))="F",2,"")))</f>
        <v/>
      </c>
      <c r="T579">
        <f>IF(OR($D579="",$E579=""),"",DATEDIF($D579,$E579,"m"))</f>
        <v/>
      </c>
      <c r="U579">
        <f>IF(OR($D579="",$E579=""),"",$E579-$D579)</f>
        <v/>
      </c>
      <c r="V579">
        <f>IF(OR($G579="",$T579=""),"",IF($T579&lt;24,IF(LEFT(LOWER($H579),4)="em p",$G579+0.7,$G579),IF(LEFT(LOWER($H579),4)="deit",$G579-0.7,$G579)))</f>
        <v/>
      </c>
      <c r="W579">
        <f>IF(OR($S579="",$T579=""),"",$S579*1000000+IF($T579&lt;=60,$U579,$T579))</f>
        <v/>
      </c>
      <c r="X579">
        <f>IF(OR($S579="",$V579="",$T579&gt;60,$T579=""),"",$S579*1000000+ROUND($V579*10,0))</f>
        <v/>
      </c>
      <c r="Y579">
        <f>IF($W579="","",IFERROR(INDEX(IF($T579&lt;=60,imc05_l,imc519_l),MATCH($W579,IF($T579&lt;=60,imc05_k,imc519_k),1)),""))</f>
        <v/>
      </c>
      <c r="Z579">
        <f>IF($W579="","",IFERROR(INDEX(IF($T579&lt;=60,imc05_m,imc519_m),MATCH($W579,IF($T579&lt;=60,imc05_k,imc519_k),1)),""))</f>
        <v/>
      </c>
      <c r="AA579">
        <f>IF($W579="","",IFERROR(INDEX(IF($T579&lt;=60,imc05_s,imc519_s),MATCH($W579,IF($T579&lt;=60,imc05_k,imc519_k),1)),""))</f>
        <v/>
      </c>
      <c r="AB579">
        <f>IF($Y579="","",IF($Y579=0,LN($J579/$Z579)/$AA579,((($J579/$Z579)^$Y579)-1)/($Y579*$AA579)))</f>
        <v/>
      </c>
      <c r="AC579">
        <f>IF($Y579="","",IF($Y579=0,$Z579*EXP($AA579*2),$Z579*(1+$Y579*$AA579*2)^(1/$Y579)))</f>
        <v/>
      </c>
      <c r="AD579">
        <f>IF($Y579="","",IF($Y579=0,$Z579*EXP($AA579*3),$Z579*(1+$Y579*$AA579*3)^(1/$Y579)))</f>
        <v/>
      </c>
      <c r="AE579">
        <f>IF($Y579="","",IF($Y579=0,$Z579*EXP($AA579*-2),$Z579*(1+$Y579*$AA579*-2)^(1/$Y579)))</f>
        <v/>
      </c>
      <c r="AF579">
        <f>IF($Y579="","",IF($Y579=0,$Z579*EXP($AA579*-3),$Z579*(1+$Y579*$AA579*-3)^(1/$Y579)))</f>
        <v/>
      </c>
      <c r="AG579">
        <f>IF($W579="","",IFERROR(INDEX(IF($T579&lt;=60,est05_l,est519_l),MATCH($W579,IF($T579&lt;=60,est05_k,est519_k),1)),""))</f>
        <v/>
      </c>
      <c r="AH579">
        <f>IF($W579="","",IFERROR(INDEX(IF($T579&lt;=60,est05_m,est519_m),MATCH($W579,IF($T579&lt;=60,est05_k,est519_k),1)),""))</f>
        <v/>
      </c>
      <c r="AI579">
        <f>IF($W579="","",IFERROR(INDEX(IF($T579&lt;=60,est05_s,est519_s),MATCH($W579,IF($T579&lt;=60,est05_k,est519_k),1)),""))</f>
        <v/>
      </c>
      <c r="AJ579">
        <f>IF($W579="","",IFERROR(INDEX(IF($T579&lt;=60,peso05_l,peso510_l),MATCH($W579,IF($T579&lt;=60,peso05_k,peso510_k),1)),""))</f>
        <v/>
      </c>
      <c r="AK579">
        <f>IF($W579="","",IFERROR(INDEX(IF($T579&lt;=60,peso05_m,peso510_m),MATCH($W579,IF($T579&lt;=60,peso05_k,peso510_k),1)),""))</f>
        <v/>
      </c>
      <c r="AL579">
        <f>IF($W579="","",IFERROR(INDEX(IF($T579&lt;=60,peso05_s,peso510_s),MATCH($W579,IF($T579&lt;=60,peso05_k,peso510_k),1)),""))</f>
        <v/>
      </c>
      <c r="AM579">
        <f>IF($AJ579="","",IF($AJ579=0,LN($F579/$AK579)/$AL579,((($F579/$AK579)^$AJ579)-1)/($AJ579*$AL579)))</f>
        <v/>
      </c>
      <c r="AN579">
        <f>IF($AJ579="","",IF($AJ579=0,$AK579*EXP($AL579*2),$AK579*(1+$AJ579*$AL579*2)^(1/$AJ579)))</f>
        <v/>
      </c>
      <c r="AO579">
        <f>IF($AJ579="","",IF($AJ579=0,$AK579*EXP($AL579*3),$AK579*(1+$AJ579*$AL579*3)^(1/$AJ579)))</f>
        <v/>
      </c>
      <c r="AP579">
        <f>IF($AJ579="","",IF($AJ579=0,$AK579*EXP($AL579*-2),$AK579*(1+$AJ579*$AL579*-2)^(1/$AJ579)))</f>
        <v/>
      </c>
      <c r="AQ579">
        <f>IF($AJ579="","",IF($AJ579=0,$AK579*EXP($AL579*-3),$AK579*(1+$AJ579*$AL579*-3)^(1/$AJ579)))</f>
        <v/>
      </c>
      <c r="AR579">
        <f>IF(OR($X579="",$T579&gt;60),"",IFERROR(INDEX(IF($T579&lt;24,pcomp_l,palt_l),MATCH($X579,IF($T579&lt;24,pcomp_k,palt_k),1)),""))</f>
        <v/>
      </c>
      <c r="AS579">
        <f>IF(OR($X579="",$T579&gt;60),"",IFERROR(INDEX(IF($T579&lt;24,pcomp_m,palt_m),MATCH($X579,IF($T579&lt;24,pcomp_k,palt_k),1)),""))</f>
        <v/>
      </c>
      <c r="AT579">
        <f>IF(OR($X579="",$T579&gt;60),"",IFERROR(INDEX(IF($T579&lt;24,pcomp_s,palt_s),MATCH($X579,IF($T579&lt;24,pcomp_k,palt_k),1)),""))</f>
        <v/>
      </c>
      <c r="AU579">
        <f>IF($AR579="","",IF($AR579=0,LN($F579/$AS579)/$AT579,((($F579/$AS579)^$AR579)-1)/($AR579*$AT579)))</f>
        <v/>
      </c>
      <c r="AV579">
        <f>IF($AR579="","",IF($AR579=0,$AS579*EXP($AT579*2),$AS579*(1+$AR579*$AT579*2)^(1/$AR579)))</f>
        <v/>
      </c>
      <c r="AW579">
        <f>IF($AR579="","",IF($AR579=0,$AS579*EXP($AT579*3),$AS579*(1+$AR579*$AT579*3)^(1/$AR579)))</f>
        <v/>
      </c>
      <c r="AX579">
        <f>IF($AR579="","",IF($AR579=0,$AS579*EXP($AT579*-2),$AS579*(1+$AR579*$AT579*-2)^(1/$AR579)))</f>
        <v/>
      </c>
      <c r="AY579">
        <f>IF($AR579="","",IF($AR579=0,$AS579*EXP($AT579*-3),$AS579*(1+$AR579*$AT579*-3)^(1/$AR579)))</f>
        <v/>
      </c>
      <c r="AZ579">
        <f>IF(OR($A579="",$A579&lt;&gt;Ficha!$C$4),"",COUNTIF($A$2:$A579,Ficha!$C$4))</f>
        <v/>
      </c>
    </row>
    <row r="580">
      <c r="A580" s="8">
        <f>IF(INDEX(Banco!$A:$A,ROW())="","",INDEX(Banco!$A:$A,ROW()))</f>
        <v/>
      </c>
      <c r="B580" s="8">
        <f>IF(INDEX(Banco!$B:$B,ROW())="","",INDEX(Banco!$B:$B,ROW()))</f>
        <v/>
      </c>
      <c r="C580" s="8">
        <f>IF(INDEX(Banco!$C:$C,ROW())="","",INDEX(Banco!$C:$C,ROW()))</f>
        <v/>
      </c>
      <c r="D580" s="9">
        <f>IF(INDEX(Banco!$D:$D,ROW())="","",INDEX(Banco!$D:$D,ROW()))</f>
        <v/>
      </c>
      <c r="E580" s="9">
        <f>IF(INDEX(Banco!$E:$E,ROW())="","",INDEX(Banco!$E:$E,ROW()))</f>
        <v/>
      </c>
      <c r="F580" s="10">
        <f>IF(INDEX(Banco!$F:$F,ROW())="","",INDEX(Banco!$F:$F,ROW()))</f>
        <v/>
      </c>
      <c r="G580" s="10">
        <f>IF(INDEX(Banco!$G:$G,ROW())="","",INDEX(Banco!$G:$G,ROW()))</f>
        <v/>
      </c>
      <c r="H580" s="8">
        <f>IF(INDEX(Banco!$H:$H,ROW())="","",INDEX(Banco!$H:$H,ROW()))</f>
        <v/>
      </c>
      <c r="I580">
        <f>IF($T580="","",INT($T580/12)&amp;"a "&amp;MOD($T580,12)&amp;"m")</f>
        <v/>
      </c>
      <c r="J580" s="11">
        <f>IF(OR($F580="",$G580=""),"",ROUND($F580/($G580/100)^2,2))</f>
        <v/>
      </c>
      <c r="K580" s="12">
        <f>IF(OR($S580="",$J580="",$T580="",$T580&lt;0,$T580&gt;228,$Y580=""),"—",ROUND(IF(ABS($AB580)&lt;=3,$AB580,IF($AB580&gt;3,3+($J580-$AD580)/($AD580-$AC580),-3+($J580-$AF580)/($AE580-$AF580))),2))</f>
        <v/>
      </c>
      <c r="L580">
        <f>IF(OR($K580="",$K580="—"),"",IF($T580&lt;=60,IF($K580&lt;-3,"Magreza acentuada",IF($K580&lt;-2,"Magreza",IF($K580&lt;=1,"Eutrofia",IF($K580&lt;=2,"Risco de sobrepeso",IF($K580&lt;=3,"Sobrepeso","Obesidade"))))),IF($K580&lt;-3,"Magreza acentuada",IF($K580&lt;-2,"Magreza",IF($K580&lt;=1,"Eutrofia",IF($K580&lt;=2,"Sobrepeso",IF($K580&lt;=3,"Obesidade","Obesidade grave")))))))</f>
        <v/>
      </c>
      <c r="M580" s="12">
        <f>IF(OR($S580="",$V580="",$T580="",$T580&lt;0,$T580&gt;228,$AG580=""),"—",ROUND(IF($AG580=0,LN($V580/$AH580)/$AI580,((($V580/$AH580)^$AG580)-1)/($AG580*$AI580)),2))</f>
        <v/>
      </c>
      <c r="N580">
        <f>IF(OR($M580="",$M580="—"),"",IF($M580&lt;-3,"Muito baixa",IF($M580&lt;-2,"Baixa","Adequada")))</f>
        <v/>
      </c>
      <c r="O580" s="12">
        <f>IF(OR($S580="",$F580="",$T580="",$T580&lt;0,$T580&gt;120,$AJ580=""),"—",ROUND(IF(ABS($AM580)&lt;=3,$AM580,IF($AM580&gt;3,3+($F580-$AO580)/($AO580-$AN580),-3+($F580-$AQ580)/($AP580-$AQ580))),2))</f>
        <v/>
      </c>
      <c r="P580">
        <f>IF(OR($O580="",$O580="—"),"",IF($O580&lt;-3,"Muito baixo",IF($O580&lt;-2,"Baixo",IF($O580&lt;=2,"Adequado","Elevado"))))</f>
        <v/>
      </c>
      <c r="Q580" s="12">
        <f>IF(OR($S580="",$F580="",$T580="",$T580&lt;0,$T580&gt;60,$AR580=""),"—",ROUND(IF(ABS($AU580)&lt;=3,$AU580,IF($AU580&gt;3,3+($F580-$AW580)/($AW580-$AV580),-3+($F580-$AY580)/($AX580-$AY580))),2))</f>
        <v/>
      </c>
      <c r="R580">
        <f>IF(OR($Q580="",$Q580="—"),"",IF($Q580&lt;-3,"Magreza acentuada",IF($Q580&lt;-2,"Magreza",IF($Q580&lt;=1,"Eutrofia",IF($Q580&lt;=2,"Risco de sobrepeso",IF($Q580&lt;=3,"Sobrepeso","Obesidade"))))))</f>
        <v/>
      </c>
      <c r="S580">
        <f>IF($C580="","",IF(UPPER(LEFT($C580,1))="M",1,IF(UPPER(LEFT($C580,1))="F",2,"")))</f>
        <v/>
      </c>
      <c r="T580">
        <f>IF(OR($D580="",$E580=""),"",DATEDIF($D580,$E580,"m"))</f>
        <v/>
      </c>
      <c r="U580">
        <f>IF(OR($D580="",$E580=""),"",$E580-$D580)</f>
        <v/>
      </c>
      <c r="V580">
        <f>IF(OR($G580="",$T580=""),"",IF($T580&lt;24,IF(LEFT(LOWER($H580),4)="em p",$G580+0.7,$G580),IF(LEFT(LOWER($H580),4)="deit",$G580-0.7,$G580)))</f>
        <v/>
      </c>
      <c r="W580">
        <f>IF(OR($S580="",$T580=""),"",$S580*1000000+IF($T580&lt;=60,$U580,$T580))</f>
        <v/>
      </c>
      <c r="X580">
        <f>IF(OR($S580="",$V580="",$T580&gt;60,$T580=""),"",$S580*1000000+ROUND($V580*10,0))</f>
        <v/>
      </c>
      <c r="Y580">
        <f>IF($W580="","",IFERROR(INDEX(IF($T580&lt;=60,imc05_l,imc519_l),MATCH($W580,IF($T580&lt;=60,imc05_k,imc519_k),1)),""))</f>
        <v/>
      </c>
      <c r="Z580">
        <f>IF($W580="","",IFERROR(INDEX(IF($T580&lt;=60,imc05_m,imc519_m),MATCH($W580,IF($T580&lt;=60,imc05_k,imc519_k),1)),""))</f>
        <v/>
      </c>
      <c r="AA580">
        <f>IF($W580="","",IFERROR(INDEX(IF($T580&lt;=60,imc05_s,imc519_s),MATCH($W580,IF($T580&lt;=60,imc05_k,imc519_k),1)),""))</f>
        <v/>
      </c>
      <c r="AB580">
        <f>IF($Y580="","",IF($Y580=0,LN($J580/$Z580)/$AA580,((($J580/$Z580)^$Y580)-1)/($Y580*$AA580)))</f>
        <v/>
      </c>
      <c r="AC580">
        <f>IF($Y580="","",IF($Y580=0,$Z580*EXP($AA580*2),$Z580*(1+$Y580*$AA580*2)^(1/$Y580)))</f>
        <v/>
      </c>
      <c r="AD580">
        <f>IF($Y580="","",IF($Y580=0,$Z580*EXP($AA580*3),$Z580*(1+$Y580*$AA580*3)^(1/$Y580)))</f>
        <v/>
      </c>
      <c r="AE580">
        <f>IF($Y580="","",IF($Y580=0,$Z580*EXP($AA580*-2),$Z580*(1+$Y580*$AA580*-2)^(1/$Y580)))</f>
        <v/>
      </c>
      <c r="AF580">
        <f>IF($Y580="","",IF($Y580=0,$Z580*EXP($AA580*-3),$Z580*(1+$Y580*$AA580*-3)^(1/$Y580)))</f>
        <v/>
      </c>
      <c r="AG580">
        <f>IF($W580="","",IFERROR(INDEX(IF($T580&lt;=60,est05_l,est519_l),MATCH($W580,IF($T580&lt;=60,est05_k,est519_k),1)),""))</f>
        <v/>
      </c>
      <c r="AH580">
        <f>IF($W580="","",IFERROR(INDEX(IF($T580&lt;=60,est05_m,est519_m),MATCH($W580,IF($T580&lt;=60,est05_k,est519_k),1)),""))</f>
        <v/>
      </c>
      <c r="AI580">
        <f>IF($W580="","",IFERROR(INDEX(IF($T580&lt;=60,est05_s,est519_s),MATCH($W580,IF($T580&lt;=60,est05_k,est519_k),1)),""))</f>
        <v/>
      </c>
      <c r="AJ580">
        <f>IF($W580="","",IFERROR(INDEX(IF($T580&lt;=60,peso05_l,peso510_l),MATCH($W580,IF($T580&lt;=60,peso05_k,peso510_k),1)),""))</f>
        <v/>
      </c>
      <c r="AK580">
        <f>IF($W580="","",IFERROR(INDEX(IF($T580&lt;=60,peso05_m,peso510_m),MATCH($W580,IF($T580&lt;=60,peso05_k,peso510_k),1)),""))</f>
        <v/>
      </c>
      <c r="AL580">
        <f>IF($W580="","",IFERROR(INDEX(IF($T580&lt;=60,peso05_s,peso510_s),MATCH($W580,IF($T580&lt;=60,peso05_k,peso510_k),1)),""))</f>
        <v/>
      </c>
      <c r="AM580">
        <f>IF($AJ580="","",IF($AJ580=0,LN($F580/$AK580)/$AL580,((($F580/$AK580)^$AJ580)-1)/($AJ580*$AL580)))</f>
        <v/>
      </c>
      <c r="AN580">
        <f>IF($AJ580="","",IF($AJ580=0,$AK580*EXP($AL580*2),$AK580*(1+$AJ580*$AL580*2)^(1/$AJ580)))</f>
        <v/>
      </c>
      <c r="AO580">
        <f>IF($AJ580="","",IF($AJ580=0,$AK580*EXP($AL580*3),$AK580*(1+$AJ580*$AL580*3)^(1/$AJ580)))</f>
        <v/>
      </c>
      <c r="AP580">
        <f>IF($AJ580="","",IF($AJ580=0,$AK580*EXP($AL580*-2),$AK580*(1+$AJ580*$AL580*-2)^(1/$AJ580)))</f>
        <v/>
      </c>
      <c r="AQ580">
        <f>IF($AJ580="","",IF($AJ580=0,$AK580*EXP($AL580*-3),$AK580*(1+$AJ580*$AL580*-3)^(1/$AJ580)))</f>
        <v/>
      </c>
      <c r="AR580">
        <f>IF(OR($X580="",$T580&gt;60),"",IFERROR(INDEX(IF($T580&lt;24,pcomp_l,palt_l),MATCH($X580,IF($T580&lt;24,pcomp_k,palt_k),1)),""))</f>
        <v/>
      </c>
      <c r="AS580">
        <f>IF(OR($X580="",$T580&gt;60),"",IFERROR(INDEX(IF($T580&lt;24,pcomp_m,palt_m),MATCH($X580,IF($T580&lt;24,pcomp_k,palt_k),1)),""))</f>
        <v/>
      </c>
      <c r="AT580">
        <f>IF(OR($X580="",$T580&gt;60),"",IFERROR(INDEX(IF($T580&lt;24,pcomp_s,palt_s),MATCH($X580,IF($T580&lt;24,pcomp_k,palt_k),1)),""))</f>
        <v/>
      </c>
      <c r="AU580">
        <f>IF($AR580="","",IF($AR580=0,LN($F580/$AS580)/$AT580,((($F580/$AS580)^$AR580)-1)/($AR580*$AT580)))</f>
        <v/>
      </c>
      <c r="AV580">
        <f>IF($AR580="","",IF($AR580=0,$AS580*EXP($AT580*2),$AS580*(1+$AR580*$AT580*2)^(1/$AR580)))</f>
        <v/>
      </c>
      <c r="AW580">
        <f>IF($AR580="","",IF($AR580=0,$AS580*EXP($AT580*3),$AS580*(1+$AR580*$AT580*3)^(1/$AR580)))</f>
        <v/>
      </c>
      <c r="AX580">
        <f>IF($AR580="","",IF($AR580=0,$AS580*EXP($AT580*-2),$AS580*(1+$AR580*$AT580*-2)^(1/$AR580)))</f>
        <v/>
      </c>
      <c r="AY580">
        <f>IF($AR580="","",IF($AR580=0,$AS580*EXP($AT580*-3),$AS580*(1+$AR580*$AT580*-3)^(1/$AR580)))</f>
        <v/>
      </c>
      <c r="AZ580">
        <f>IF(OR($A580="",$A580&lt;&gt;Ficha!$C$4),"",COUNTIF($A$2:$A580,Ficha!$C$4))</f>
        <v/>
      </c>
    </row>
    <row r="581">
      <c r="A581" s="8">
        <f>IF(INDEX(Banco!$A:$A,ROW())="","",INDEX(Banco!$A:$A,ROW()))</f>
        <v/>
      </c>
      <c r="B581" s="8">
        <f>IF(INDEX(Banco!$B:$B,ROW())="","",INDEX(Banco!$B:$B,ROW()))</f>
        <v/>
      </c>
      <c r="C581" s="8">
        <f>IF(INDEX(Banco!$C:$C,ROW())="","",INDEX(Banco!$C:$C,ROW()))</f>
        <v/>
      </c>
      <c r="D581" s="9">
        <f>IF(INDEX(Banco!$D:$D,ROW())="","",INDEX(Banco!$D:$D,ROW()))</f>
        <v/>
      </c>
      <c r="E581" s="9">
        <f>IF(INDEX(Banco!$E:$E,ROW())="","",INDEX(Banco!$E:$E,ROW()))</f>
        <v/>
      </c>
      <c r="F581" s="10">
        <f>IF(INDEX(Banco!$F:$F,ROW())="","",INDEX(Banco!$F:$F,ROW()))</f>
        <v/>
      </c>
      <c r="G581" s="10">
        <f>IF(INDEX(Banco!$G:$G,ROW())="","",INDEX(Banco!$G:$G,ROW()))</f>
        <v/>
      </c>
      <c r="H581" s="8">
        <f>IF(INDEX(Banco!$H:$H,ROW())="","",INDEX(Banco!$H:$H,ROW()))</f>
        <v/>
      </c>
      <c r="I581">
        <f>IF($T581="","",INT($T581/12)&amp;"a "&amp;MOD($T581,12)&amp;"m")</f>
        <v/>
      </c>
      <c r="J581" s="11">
        <f>IF(OR($F581="",$G581=""),"",ROUND($F581/($G581/100)^2,2))</f>
        <v/>
      </c>
      <c r="K581" s="12">
        <f>IF(OR($S581="",$J581="",$T581="",$T581&lt;0,$T581&gt;228,$Y581=""),"—",ROUND(IF(ABS($AB581)&lt;=3,$AB581,IF($AB581&gt;3,3+($J581-$AD581)/($AD581-$AC581),-3+($J581-$AF581)/($AE581-$AF581))),2))</f>
        <v/>
      </c>
      <c r="L581">
        <f>IF(OR($K581="",$K581="—"),"",IF($T581&lt;=60,IF($K581&lt;-3,"Magreza acentuada",IF($K581&lt;-2,"Magreza",IF($K581&lt;=1,"Eutrofia",IF($K581&lt;=2,"Risco de sobrepeso",IF($K581&lt;=3,"Sobrepeso","Obesidade"))))),IF($K581&lt;-3,"Magreza acentuada",IF($K581&lt;-2,"Magreza",IF($K581&lt;=1,"Eutrofia",IF($K581&lt;=2,"Sobrepeso",IF($K581&lt;=3,"Obesidade","Obesidade grave")))))))</f>
        <v/>
      </c>
      <c r="M581" s="12">
        <f>IF(OR($S581="",$V581="",$T581="",$T581&lt;0,$T581&gt;228,$AG581=""),"—",ROUND(IF($AG581=0,LN($V581/$AH581)/$AI581,((($V581/$AH581)^$AG581)-1)/($AG581*$AI581)),2))</f>
        <v/>
      </c>
      <c r="N581">
        <f>IF(OR($M581="",$M581="—"),"",IF($M581&lt;-3,"Muito baixa",IF($M581&lt;-2,"Baixa","Adequada")))</f>
        <v/>
      </c>
      <c r="O581" s="12">
        <f>IF(OR($S581="",$F581="",$T581="",$T581&lt;0,$T581&gt;120,$AJ581=""),"—",ROUND(IF(ABS($AM581)&lt;=3,$AM581,IF($AM581&gt;3,3+($F581-$AO581)/($AO581-$AN581),-3+($F581-$AQ581)/($AP581-$AQ581))),2))</f>
        <v/>
      </c>
      <c r="P581">
        <f>IF(OR($O581="",$O581="—"),"",IF($O581&lt;-3,"Muito baixo",IF($O581&lt;-2,"Baixo",IF($O581&lt;=2,"Adequado","Elevado"))))</f>
        <v/>
      </c>
      <c r="Q581" s="12">
        <f>IF(OR($S581="",$F581="",$T581="",$T581&lt;0,$T581&gt;60,$AR581=""),"—",ROUND(IF(ABS($AU581)&lt;=3,$AU581,IF($AU581&gt;3,3+($F581-$AW581)/($AW581-$AV581),-3+($F581-$AY581)/($AX581-$AY581))),2))</f>
        <v/>
      </c>
      <c r="R581">
        <f>IF(OR($Q581="",$Q581="—"),"",IF($Q581&lt;-3,"Magreza acentuada",IF($Q581&lt;-2,"Magreza",IF($Q581&lt;=1,"Eutrofia",IF($Q581&lt;=2,"Risco de sobrepeso",IF($Q581&lt;=3,"Sobrepeso","Obesidade"))))))</f>
        <v/>
      </c>
      <c r="S581">
        <f>IF($C581="","",IF(UPPER(LEFT($C581,1))="M",1,IF(UPPER(LEFT($C581,1))="F",2,"")))</f>
        <v/>
      </c>
      <c r="T581">
        <f>IF(OR($D581="",$E581=""),"",DATEDIF($D581,$E581,"m"))</f>
        <v/>
      </c>
      <c r="U581">
        <f>IF(OR($D581="",$E581=""),"",$E581-$D581)</f>
        <v/>
      </c>
      <c r="V581">
        <f>IF(OR($G581="",$T581=""),"",IF($T581&lt;24,IF(LEFT(LOWER($H581),4)="em p",$G581+0.7,$G581),IF(LEFT(LOWER($H581),4)="deit",$G581-0.7,$G581)))</f>
        <v/>
      </c>
      <c r="W581">
        <f>IF(OR($S581="",$T581=""),"",$S581*1000000+IF($T581&lt;=60,$U581,$T581))</f>
        <v/>
      </c>
      <c r="X581">
        <f>IF(OR($S581="",$V581="",$T581&gt;60,$T581=""),"",$S581*1000000+ROUND($V581*10,0))</f>
        <v/>
      </c>
      <c r="Y581">
        <f>IF($W581="","",IFERROR(INDEX(IF($T581&lt;=60,imc05_l,imc519_l),MATCH($W581,IF($T581&lt;=60,imc05_k,imc519_k),1)),""))</f>
        <v/>
      </c>
      <c r="Z581">
        <f>IF($W581="","",IFERROR(INDEX(IF($T581&lt;=60,imc05_m,imc519_m),MATCH($W581,IF($T581&lt;=60,imc05_k,imc519_k),1)),""))</f>
        <v/>
      </c>
      <c r="AA581">
        <f>IF($W581="","",IFERROR(INDEX(IF($T581&lt;=60,imc05_s,imc519_s),MATCH($W581,IF($T581&lt;=60,imc05_k,imc519_k),1)),""))</f>
        <v/>
      </c>
      <c r="AB581">
        <f>IF($Y581="","",IF($Y581=0,LN($J581/$Z581)/$AA581,((($J581/$Z581)^$Y581)-1)/($Y581*$AA581)))</f>
        <v/>
      </c>
      <c r="AC581">
        <f>IF($Y581="","",IF($Y581=0,$Z581*EXP($AA581*2),$Z581*(1+$Y581*$AA581*2)^(1/$Y581)))</f>
        <v/>
      </c>
      <c r="AD581">
        <f>IF($Y581="","",IF($Y581=0,$Z581*EXP($AA581*3),$Z581*(1+$Y581*$AA581*3)^(1/$Y581)))</f>
        <v/>
      </c>
      <c r="AE581">
        <f>IF($Y581="","",IF($Y581=0,$Z581*EXP($AA581*-2),$Z581*(1+$Y581*$AA581*-2)^(1/$Y581)))</f>
        <v/>
      </c>
      <c r="AF581">
        <f>IF($Y581="","",IF($Y581=0,$Z581*EXP($AA581*-3),$Z581*(1+$Y581*$AA581*-3)^(1/$Y581)))</f>
        <v/>
      </c>
      <c r="AG581">
        <f>IF($W581="","",IFERROR(INDEX(IF($T581&lt;=60,est05_l,est519_l),MATCH($W581,IF($T581&lt;=60,est05_k,est519_k),1)),""))</f>
        <v/>
      </c>
      <c r="AH581">
        <f>IF($W581="","",IFERROR(INDEX(IF($T581&lt;=60,est05_m,est519_m),MATCH($W581,IF($T581&lt;=60,est05_k,est519_k),1)),""))</f>
        <v/>
      </c>
      <c r="AI581">
        <f>IF($W581="","",IFERROR(INDEX(IF($T581&lt;=60,est05_s,est519_s),MATCH($W581,IF($T581&lt;=60,est05_k,est519_k),1)),""))</f>
        <v/>
      </c>
      <c r="AJ581">
        <f>IF($W581="","",IFERROR(INDEX(IF($T581&lt;=60,peso05_l,peso510_l),MATCH($W581,IF($T581&lt;=60,peso05_k,peso510_k),1)),""))</f>
        <v/>
      </c>
      <c r="AK581">
        <f>IF($W581="","",IFERROR(INDEX(IF($T581&lt;=60,peso05_m,peso510_m),MATCH($W581,IF($T581&lt;=60,peso05_k,peso510_k),1)),""))</f>
        <v/>
      </c>
      <c r="AL581">
        <f>IF($W581="","",IFERROR(INDEX(IF($T581&lt;=60,peso05_s,peso510_s),MATCH($W581,IF($T581&lt;=60,peso05_k,peso510_k),1)),""))</f>
        <v/>
      </c>
      <c r="AM581">
        <f>IF($AJ581="","",IF($AJ581=0,LN($F581/$AK581)/$AL581,((($F581/$AK581)^$AJ581)-1)/($AJ581*$AL581)))</f>
        <v/>
      </c>
      <c r="AN581">
        <f>IF($AJ581="","",IF($AJ581=0,$AK581*EXP($AL581*2),$AK581*(1+$AJ581*$AL581*2)^(1/$AJ581)))</f>
        <v/>
      </c>
      <c r="AO581">
        <f>IF($AJ581="","",IF($AJ581=0,$AK581*EXP($AL581*3),$AK581*(1+$AJ581*$AL581*3)^(1/$AJ581)))</f>
        <v/>
      </c>
      <c r="AP581">
        <f>IF($AJ581="","",IF($AJ581=0,$AK581*EXP($AL581*-2),$AK581*(1+$AJ581*$AL581*-2)^(1/$AJ581)))</f>
        <v/>
      </c>
      <c r="AQ581">
        <f>IF($AJ581="","",IF($AJ581=0,$AK581*EXP($AL581*-3),$AK581*(1+$AJ581*$AL581*-3)^(1/$AJ581)))</f>
        <v/>
      </c>
      <c r="AR581">
        <f>IF(OR($X581="",$T581&gt;60),"",IFERROR(INDEX(IF($T581&lt;24,pcomp_l,palt_l),MATCH($X581,IF($T581&lt;24,pcomp_k,palt_k),1)),""))</f>
        <v/>
      </c>
      <c r="AS581">
        <f>IF(OR($X581="",$T581&gt;60),"",IFERROR(INDEX(IF($T581&lt;24,pcomp_m,palt_m),MATCH($X581,IF($T581&lt;24,pcomp_k,palt_k),1)),""))</f>
        <v/>
      </c>
      <c r="AT581">
        <f>IF(OR($X581="",$T581&gt;60),"",IFERROR(INDEX(IF($T581&lt;24,pcomp_s,palt_s),MATCH($X581,IF($T581&lt;24,pcomp_k,palt_k),1)),""))</f>
        <v/>
      </c>
      <c r="AU581">
        <f>IF($AR581="","",IF($AR581=0,LN($F581/$AS581)/$AT581,((($F581/$AS581)^$AR581)-1)/($AR581*$AT581)))</f>
        <v/>
      </c>
      <c r="AV581">
        <f>IF($AR581="","",IF($AR581=0,$AS581*EXP($AT581*2),$AS581*(1+$AR581*$AT581*2)^(1/$AR581)))</f>
        <v/>
      </c>
      <c r="AW581">
        <f>IF($AR581="","",IF($AR581=0,$AS581*EXP($AT581*3),$AS581*(1+$AR581*$AT581*3)^(1/$AR581)))</f>
        <v/>
      </c>
      <c r="AX581">
        <f>IF($AR581="","",IF($AR581=0,$AS581*EXP($AT581*-2),$AS581*(1+$AR581*$AT581*-2)^(1/$AR581)))</f>
        <v/>
      </c>
      <c r="AY581">
        <f>IF($AR581="","",IF($AR581=0,$AS581*EXP($AT581*-3),$AS581*(1+$AR581*$AT581*-3)^(1/$AR581)))</f>
        <v/>
      </c>
      <c r="AZ581">
        <f>IF(OR($A581="",$A581&lt;&gt;Ficha!$C$4),"",COUNTIF($A$2:$A581,Ficha!$C$4))</f>
        <v/>
      </c>
    </row>
    <row r="582">
      <c r="A582" s="8">
        <f>IF(INDEX(Banco!$A:$A,ROW())="","",INDEX(Banco!$A:$A,ROW()))</f>
        <v/>
      </c>
      <c r="B582" s="8">
        <f>IF(INDEX(Banco!$B:$B,ROW())="","",INDEX(Banco!$B:$B,ROW()))</f>
        <v/>
      </c>
      <c r="C582" s="8">
        <f>IF(INDEX(Banco!$C:$C,ROW())="","",INDEX(Banco!$C:$C,ROW()))</f>
        <v/>
      </c>
      <c r="D582" s="9">
        <f>IF(INDEX(Banco!$D:$D,ROW())="","",INDEX(Banco!$D:$D,ROW()))</f>
        <v/>
      </c>
      <c r="E582" s="9">
        <f>IF(INDEX(Banco!$E:$E,ROW())="","",INDEX(Banco!$E:$E,ROW()))</f>
        <v/>
      </c>
      <c r="F582" s="10">
        <f>IF(INDEX(Banco!$F:$F,ROW())="","",INDEX(Banco!$F:$F,ROW()))</f>
        <v/>
      </c>
      <c r="G582" s="10">
        <f>IF(INDEX(Banco!$G:$G,ROW())="","",INDEX(Banco!$G:$G,ROW()))</f>
        <v/>
      </c>
      <c r="H582" s="8">
        <f>IF(INDEX(Banco!$H:$H,ROW())="","",INDEX(Banco!$H:$H,ROW()))</f>
        <v/>
      </c>
      <c r="I582">
        <f>IF($T582="","",INT($T582/12)&amp;"a "&amp;MOD($T582,12)&amp;"m")</f>
        <v/>
      </c>
      <c r="J582" s="11">
        <f>IF(OR($F582="",$G582=""),"",ROUND($F582/($G582/100)^2,2))</f>
        <v/>
      </c>
      <c r="K582" s="12">
        <f>IF(OR($S582="",$J582="",$T582="",$T582&lt;0,$T582&gt;228,$Y582=""),"—",ROUND(IF(ABS($AB582)&lt;=3,$AB582,IF($AB582&gt;3,3+($J582-$AD582)/($AD582-$AC582),-3+($J582-$AF582)/($AE582-$AF582))),2))</f>
        <v/>
      </c>
      <c r="L582">
        <f>IF(OR($K582="",$K582="—"),"",IF($T582&lt;=60,IF($K582&lt;-3,"Magreza acentuada",IF($K582&lt;-2,"Magreza",IF($K582&lt;=1,"Eutrofia",IF($K582&lt;=2,"Risco de sobrepeso",IF($K582&lt;=3,"Sobrepeso","Obesidade"))))),IF($K582&lt;-3,"Magreza acentuada",IF($K582&lt;-2,"Magreza",IF($K582&lt;=1,"Eutrofia",IF($K582&lt;=2,"Sobrepeso",IF($K582&lt;=3,"Obesidade","Obesidade grave")))))))</f>
        <v/>
      </c>
      <c r="M582" s="12">
        <f>IF(OR($S582="",$V582="",$T582="",$T582&lt;0,$T582&gt;228,$AG582=""),"—",ROUND(IF($AG582=0,LN($V582/$AH582)/$AI582,((($V582/$AH582)^$AG582)-1)/($AG582*$AI582)),2))</f>
        <v/>
      </c>
      <c r="N582">
        <f>IF(OR($M582="",$M582="—"),"",IF($M582&lt;-3,"Muito baixa",IF($M582&lt;-2,"Baixa","Adequada")))</f>
        <v/>
      </c>
      <c r="O582" s="12">
        <f>IF(OR($S582="",$F582="",$T582="",$T582&lt;0,$T582&gt;120,$AJ582=""),"—",ROUND(IF(ABS($AM582)&lt;=3,$AM582,IF($AM582&gt;3,3+($F582-$AO582)/($AO582-$AN582),-3+($F582-$AQ582)/($AP582-$AQ582))),2))</f>
        <v/>
      </c>
      <c r="P582">
        <f>IF(OR($O582="",$O582="—"),"",IF($O582&lt;-3,"Muito baixo",IF($O582&lt;-2,"Baixo",IF($O582&lt;=2,"Adequado","Elevado"))))</f>
        <v/>
      </c>
      <c r="Q582" s="12">
        <f>IF(OR($S582="",$F582="",$T582="",$T582&lt;0,$T582&gt;60,$AR582=""),"—",ROUND(IF(ABS($AU582)&lt;=3,$AU582,IF($AU582&gt;3,3+($F582-$AW582)/($AW582-$AV582),-3+($F582-$AY582)/($AX582-$AY582))),2))</f>
        <v/>
      </c>
      <c r="R582">
        <f>IF(OR($Q582="",$Q582="—"),"",IF($Q582&lt;-3,"Magreza acentuada",IF($Q582&lt;-2,"Magreza",IF($Q582&lt;=1,"Eutrofia",IF($Q582&lt;=2,"Risco de sobrepeso",IF($Q582&lt;=3,"Sobrepeso","Obesidade"))))))</f>
        <v/>
      </c>
      <c r="S582">
        <f>IF($C582="","",IF(UPPER(LEFT($C582,1))="M",1,IF(UPPER(LEFT($C582,1))="F",2,"")))</f>
        <v/>
      </c>
      <c r="T582">
        <f>IF(OR($D582="",$E582=""),"",DATEDIF($D582,$E582,"m"))</f>
        <v/>
      </c>
      <c r="U582">
        <f>IF(OR($D582="",$E582=""),"",$E582-$D582)</f>
        <v/>
      </c>
      <c r="V582">
        <f>IF(OR($G582="",$T582=""),"",IF($T582&lt;24,IF(LEFT(LOWER($H582),4)="em p",$G582+0.7,$G582),IF(LEFT(LOWER($H582),4)="deit",$G582-0.7,$G582)))</f>
        <v/>
      </c>
      <c r="W582">
        <f>IF(OR($S582="",$T582=""),"",$S582*1000000+IF($T582&lt;=60,$U582,$T582))</f>
        <v/>
      </c>
      <c r="X582">
        <f>IF(OR($S582="",$V582="",$T582&gt;60,$T582=""),"",$S582*1000000+ROUND($V582*10,0))</f>
        <v/>
      </c>
      <c r="Y582">
        <f>IF($W582="","",IFERROR(INDEX(IF($T582&lt;=60,imc05_l,imc519_l),MATCH($W582,IF($T582&lt;=60,imc05_k,imc519_k),1)),""))</f>
        <v/>
      </c>
      <c r="Z582">
        <f>IF($W582="","",IFERROR(INDEX(IF($T582&lt;=60,imc05_m,imc519_m),MATCH($W582,IF($T582&lt;=60,imc05_k,imc519_k),1)),""))</f>
        <v/>
      </c>
      <c r="AA582">
        <f>IF($W582="","",IFERROR(INDEX(IF($T582&lt;=60,imc05_s,imc519_s),MATCH($W582,IF($T582&lt;=60,imc05_k,imc519_k),1)),""))</f>
        <v/>
      </c>
      <c r="AB582">
        <f>IF($Y582="","",IF($Y582=0,LN($J582/$Z582)/$AA582,((($J582/$Z582)^$Y582)-1)/($Y582*$AA582)))</f>
        <v/>
      </c>
      <c r="AC582">
        <f>IF($Y582="","",IF($Y582=0,$Z582*EXP($AA582*2),$Z582*(1+$Y582*$AA582*2)^(1/$Y582)))</f>
        <v/>
      </c>
      <c r="AD582">
        <f>IF($Y582="","",IF($Y582=0,$Z582*EXP($AA582*3),$Z582*(1+$Y582*$AA582*3)^(1/$Y582)))</f>
        <v/>
      </c>
      <c r="AE582">
        <f>IF($Y582="","",IF($Y582=0,$Z582*EXP($AA582*-2),$Z582*(1+$Y582*$AA582*-2)^(1/$Y582)))</f>
        <v/>
      </c>
      <c r="AF582">
        <f>IF($Y582="","",IF($Y582=0,$Z582*EXP($AA582*-3),$Z582*(1+$Y582*$AA582*-3)^(1/$Y582)))</f>
        <v/>
      </c>
      <c r="AG582">
        <f>IF($W582="","",IFERROR(INDEX(IF($T582&lt;=60,est05_l,est519_l),MATCH($W582,IF($T582&lt;=60,est05_k,est519_k),1)),""))</f>
        <v/>
      </c>
      <c r="AH582">
        <f>IF($W582="","",IFERROR(INDEX(IF($T582&lt;=60,est05_m,est519_m),MATCH($W582,IF($T582&lt;=60,est05_k,est519_k),1)),""))</f>
        <v/>
      </c>
      <c r="AI582">
        <f>IF($W582="","",IFERROR(INDEX(IF($T582&lt;=60,est05_s,est519_s),MATCH($W582,IF($T582&lt;=60,est05_k,est519_k),1)),""))</f>
        <v/>
      </c>
      <c r="AJ582">
        <f>IF($W582="","",IFERROR(INDEX(IF($T582&lt;=60,peso05_l,peso510_l),MATCH($W582,IF($T582&lt;=60,peso05_k,peso510_k),1)),""))</f>
        <v/>
      </c>
      <c r="AK582">
        <f>IF($W582="","",IFERROR(INDEX(IF($T582&lt;=60,peso05_m,peso510_m),MATCH($W582,IF($T582&lt;=60,peso05_k,peso510_k),1)),""))</f>
        <v/>
      </c>
      <c r="AL582">
        <f>IF($W582="","",IFERROR(INDEX(IF($T582&lt;=60,peso05_s,peso510_s),MATCH($W582,IF($T582&lt;=60,peso05_k,peso510_k),1)),""))</f>
        <v/>
      </c>
      <c r="AM582">
        <f>IF($AJ582="","",IF($AJ582=0,LN($F582/$AK582)/$AL582,((($F582/$AK582)^$AJ582)-1)/($AJ582*$AL582)))</f>
        <v/>
      </c>
      <c r="AN582">
        <f>IF($AJ582="","",IF($AJ582=0,$AK582*EXP($AL582*2),$AK582*(1+$AJ582*$AL582*2)^(1/$AJ582)))</f>
        <v/>
      </c>
      <c r="AO582">
        <f>IF($AJ582="","",IF($AJ582=0,$AK582*EXP($AL582*3),$AK582*(1+$AJ582*$AL582*3)^(1/$AJ582)))</f>
        <v/>
      </c>
      <c r="AP582">
        <f>IF($AJ582="","",IF($AJ582=0,$AK582*EXP($AL582*-2),$AK582*(1+$AJ582*$AL582*-2)^(1/$AJ582)))</f>
        <v/>
      </c>
      <c r="AQ582">
        <f>IF($AJ582="","",IF($AJ582=0,$AK582*EXP($AL582*-3),$AK582*(1+$AJ582*$AL582*-3)^(1/$AJ582)))</f>
        <v/>
      </c>
      <c r="AR582">
        <f>IF(OR($X582="",$T582&gt;60),"",IFERROR(INDEX(IF($T582&lt;24,pcomp_l,palt_l),MATCH($X582,IF($T582&lt;24,pcomp_k,palt_k),1)),""))</f>
        <v/>
      </c>
      <c r="AS582">
        <f>IF(OR($X582="",$T582&gt;60),"",IFERROR(INDEX(IF($T582&lt;24,pcomp_m,palt_m),MATCH($X582,IF($T582&lt;24,pcomp_k,palt_k),1)),""))</f>
        <v/>
      </c>
      <c r="AT582">
        <f>IF(OR($X582="",$T582&gt;60),"",IFERROR(INDEX(IF($T582&lt;24,pcomp_s,palt_s),MATCH($X582,IF($T582&lt;24,pcomp_k,palt_k),1)),""))</f>
        <v/>
      </c>
      <c r="AU582">
        <f>IF($AR582="","",IF($AR582=0,LN($F582/$AS582)/$AT582,((($F582/$AS582)^$AR582)-1)/($AR582*$AT582)))</f>
        <v/>
      </c>
      <c r="AV582">
        <f>IF($AR582="","",IF($AR582=0,$AS582*EXP($AT582*2),$AS582*(1+$AR582*$AT582*2)^(1/$AR582)))</f>
        <v/>
      </c>
      <c r="AW582">
        <f>IF($AR582="","",IF($AR582=0,$AS582*EXP($AT582*3),$AS582*(1+$AR582*$AT582*3)^(1/$AR582)))</f>
        <v/>
      </c>
      <c r="AX582">
        <f>IF($AR582="","",IF($AR582=0,$AS582*EXP($AT582*-2),$AS582*(1+$AR582*$AT582*-2)^(1/$AR582)))</f>
        <v/>
      </c>
      <c r="AY582">
        <f>IF($AR582="","",IF($AR582=0,$AS582*EXP($AT582*-3),$AS582*(1+$AR582*$AT582*-3)^(1/$AR582)))</f>
        <v/>
      </c>
      <c r="AZ582">
        <f>IF(OR($A582="",$A582&lt;&gt;Ficha!$C$4),"",COUNTIF($A$2:$A582,Ficha!$C$4))</f>
        <v/>
      </c>
    </row>
    <row r="583">
      <c r="A583" s="8">
        <f>IF(INDEX(Banco!$A:$A,ROW())="","",INDEX(Banco!$A:$A,ROW()))</f>
        <v/>
      </c>
      <c r="B583" s="8">
        <f>IF(INDEX(Banco!$B:$B,ROW())="","",INDEX(Banco!$B:$B,ROW()))</f>
        <v/>
      </c>
      <c r="C583" s="8">
        <f>IF(INDEX(Banco!$C:$C,ROW())="","",INDEX(Banco!$C:$C,ROW()))</f>
        <v/>
      </c>
      <c r="D583" s="9">
        <f>IF(INDEX(Banco!$D:$D,ROW())="","",INDEX(Banco!$D:$D,ROW()))</f>
        <v/>
      </c>
      <c r="E583" s="9">
        <f>IF(INDEX(Banco!$E:$E,ROW())="","",INDEX(Banco!$E:$E,ROW()))</f>
        <v/>
      </c>
      <c r="F583" s="10">
        <f>IF(INDEX(Banco!$F:$F,ROW())="","",INDEX(Banco!$F:$F,ROW()))</f>
        <v/>
      </c>
      <c r="G583" s="10">
        <f>IF(INDEX(Banco!$G:$G,ROW())="","",INDEX(Banco!$G:$G,ROW()))</f>
        <v/>
      </c>
      <c r="H583" s="8">
        <f>IF(INDEX(Banco!$H:$H,ROW())="","",INDEX(Banco!$H:$H,ROW()))</f>
        <v/>
      </c>
      <c r="I583">
        <f>IF($T583="","",INT($T583/12)&amp;"a "&amp;MOD($T583,12)&amp;"m")</f>
        <v/>
      </c>
      <c r="J583" s="11">
        <f>IF(OR($F583="",$G583=""),"",ROUND($F583/($G583/100)^2,2))</f>
        <v/>
      </c>
      <c r="K583" s="12">
        <f>IF(OR($S583="",$J583="",$T583="",$T583&lt;0,$T583&gt;228,$Y583=""),"—",ROUND(IF(ABS($AB583)&lt;=3,$AB583,IF($AB583&gt;3,3+($J583-$AD583)/($AD583-$AC583),-3+($J583-$AF583)/($AE583-$AF583))),2))</f>
        <v/>
      </c>
      <c r="L583">
        <f>IF(OR($K583="",$K583="—"),"",IF($T583&lt;=60,IF($K583&lt;-3,"Magreza acentuada",IF($K583&lt;-2,"Magreza",IF($K583&lt;=1,"Eutrofia",IF($K583&lt;=2,"Risco de sobrepeso",IF($K583&lt;=3,"Sobrepeso","Obesidade"))))),IF($K583&lt;-3,"Magreza acentuada",IF($K583&lt;-2,"Magreza",IF($K583&lt;=1,"Eutrofia",IF($K583&lt;=2,"Sobrepeso",IF($K583&lt;=3,"Obesidade","Obesidade grave")))))))</f>
        <v/>
      </c>
      <c r="M583" s="12">
        <f>IF(OR($S583="",$V583="",$T583="",$T583&lt;0,$T583&gt;228,$AG583=""),"—",ROUND(IF($AG583=0,LN($V583/$AH583)/$AI583,((($V583/$AH583)^$AG583)-1)/($AG583*$AI583)),2))</f>
        <v/>
      </c>
      <c r="N583">
        <f>IF(OR($M583="",$M583="—"),"",IF($M583&lt;-3,"Muito baixa",IF($M583&lt;-2,"Baixa","Adequada")))</f>
        <v/>
      </c>
      <c r="O583" s="12">
        <f>IF(OR($S583="",$F583="",$T583="",$T583&lt;0,$T583&gt;120,$AJ583=""),"—",ROUND(IF(ABS($AM583)&lt;=3,$AM583,IF($AM583&gt;3,3+($F583-$AO583)/($AO583-$AN583),-3+($F583-$AQ583)/($AP583-$AQ583))),2))</f>
        <v/>
      </c>
      <c r="P583">
        <f>IF(OR($O583="",$O583="—"),"",IF($O583&lt;-3,"Muito baixo",IF($O583&lt;-2,"Baixo",IF($O583&lt;=2,"Adequado","Elevado"))))</f>
        <v/>
      </c>
      <c r="Q583" s="12">
        <f>IF(OR($S583="",$F583="",$T583="",$T583&lt;0,$T583&gt;60,$AR583=""),"—",ROUND(IF(ABS($AU583)&lt;=3,$AU583,IF($AU583&gt;3,3+($F583-$AW583)/($AW583-$AV583),-3+($F583-$AY583)/($AX583-$AY583))),2))</f>
        <v/>
      </c>
      <c r="R583">
        <f>IF(OR($Q583="",$Q583="—"),"",IF($Q583&lt;-3,"Magreza acentuada",IF($Q583&lt;-2,"Magreza",IF($Q583&lt;=1,"Eutrofia",IF($Q583&lt;=2,"Risco de sobrepeso",IF($Q583&lt;=3,"Sobrepeso","Obesidade"))))))</f>
        <v/>
      </c>
      <c r="S583">
        <f>IF($C583="","",IF(UPPER(LEFT($C583,1))="M",1,IF(UPPER(LEFT($C583,1))="F",2,"")))</f>
        <v/>
      </c>
      <c r="T583">
        <f>IF(OR($D583="",$E583=""),"",DATEDIF($D583,$E583,"m"))</f>
        <v/>
      </c>
      <c r="U583">
        <f>IF(OR($D583="",$E583=""),"",$E583-$D583)</f>
        <v/>
      </c>
      <c r="V583">
        <f>IF(OR($G583="",$T583=""),"",IF($T583&lt;24,IF(LEFT(LOWER($H583),4)="em p",$G583+0.7,$G583),IF(LEFT(LOWER($H583),4)="deit",$G583-0.7,$G583)))</f>
        <v/>
      </c>
      <c r="W583">
        <f>IF(OR($S583="",$T583=""),"",$S583*1000000+IF($T583&lt;=60,$U583,$T583))</f>
        <v/>
      </c>
      <c r="X583">
        <f>IF(OR($S583="",$V583="",$T583&gt;60,$T583=""),"",$S583*1000000+ROUND($V583*10,0))</f>
        <v/>
      </c>
      <c r="Y583">
        <f>IF($W583="","",IFERROR(INDEX(IF($T583&lt;=60,imc05_l,imc519_l),MATCH($W583,IF($T583&lt;=60,imc05_k,imc519_k),1)),""))</f>
        <v/>
      </c>
      <c r="Z583">
        <f>IF($W583="","",IFERROR(INDEX(IF($T583&lt;=60,imc05_m,imc519_m),MATCH($W583,IF($T583&lt;=60,imc05_k,imc519_k),1)),""))</f>
        <v/>
      </c>
      <c r="AA583">
        <f>IF($W583="","",IFERROR(INDEX(IF($T583&lt;=60,imc05_s,imc519_s),MATCH($W583,IF($T583&lt;=60,imc05_k,imc519_k),1)),""))</f>
        <v/>
      </c>
      <c r="AB583">
        <f>IF($Y583="","",IF($Y583=0,LN($J583/$Z583)/$AA583,((($J583/$Z583)^$Y583)-1)/($Y583*$AA583)))</f>
        <v/>
      </c>
      <c r="AC583">
        <f>IF($Y583="","",IF($Y583=0,$Z583*EXP($AA583*2),$Z583*(1+$Y583*$AA583*2)^(1/$Y583)))</f>
        <v/>
      </c>
      <c r="AD583">
        <f>IF($Y583="","",IF($Y583=0,$Z583*EXP($AA583*3),$Z583*(1+$Y583*$AA583*3)^(1/$Y583)))</f>
        <v/>
      </c>
      <c r="AE583">
        <f>IF($Y583="","",IF($Y583=0,$Z583*EXP($AA583*-2),$Z583*(1+$Y583*$AA583*-2)^(1/$Y583)))</f>
        <v/>
      </c>
      <c r="AF583">
        <f>IF($Y583="","",IF($Y583=0,$Z583*EXP($AA583*-3),$Z583*(1+$Y583*$AA583*-3)^(1/$Y583)))</f>
        <v/>
      </c>
      <c r="AG583">
        <f>IF($W583="","",IFERROR(INDEX(IF($T583&lt;=60,est05_l,est519_l),MATCH($W583,IF($T583&lt;=60,est05_k,est519_k),1)),""))</f>
        <v/>
      </c>
      <c r="AH583">
        <f>IF($W583="","",IFERROR(INDEX(IF($T583&lt;=60,est05_m,est519_m),MATCH($W583,IF($T583&lt;=60,est05_k,est519_k),1)),""))</f>
        <v/>
      </c>
      <c r="AI583">
        <f>IF($W583="","",IFERROR(INDEX(IF($T583&lt;=60,est05_s,est519_s),MATCH($W583,IF($T583&lt;=60,est05_k,est519_k),1)),""))</f>
        <v/>
      </c>
      <c r="AJ583">
        <f>IF($W583="","",IFERROR(INDEX(IF($T583&lt;=60,peso05_l,peso510_l),MATCH($W583,IF($T583&lt;=60,peso05_k,peso510_k),1)),""))</f>
        <v/>
      </c>
      <c r="AK583">
        <f>IF($W583="","",IFERROR(INDEX(IF($T583&lt;=60,peso05_m,peso510_m),MATCH($W583,IF($T583&lt;=60,peso05_k,peso510_k),1)),""))</f>
        <v/>
      </c>
      <c r="AL583">
        <f>IF($W583="","",IFERROR(INDEX(IF($T583&lt;=60,peso05_s,peso510_s),MATCH($W583,IF($T583&lt;=60,peso05_k,peso510_k),1)),""))</f>
        <v/>
      </c>
      <c r="AM583">
        <f>IF($AJ583="","",IF($AJ583=0,LN($F583/$AK583)/$AL583,((($F583/$AK583)^$AJ583)-1)/($AJ583*$AL583)))</f>
        <v/>
      </c>
      <c r="AN583">
        <f>IF($AJ583="","",IF($AJ583=0,$AK583*EXP($AL583*2),$AK583*(1+$AJ583*$AL583*2)^(1/$AJ583)))</f>
        <v/>
      </c>
      <c r="AO583">
        <f>IF($AJ583="","",IF($AJ583=0,$AK583*EXP($AL583*3),$AK583*(1+$AJ583*$AL583*3)^(1/$AJ583)))</f>
        <v/>
      </c>
      <c r="AP583">
        <f>IF($AJ583="","",IF($AJ583=0,$AK583*EXP($AL583*-2),$AK583*(1+$AJ583*$AL583*-2)^(1/$AJ583)))</f>
        <v/>
      </c>
      <c r="AQ583">
        <f>IF($AJ583="","",IF($AJ583=0,$AK583*EXP($AL583*-3),$AK583*(1+$AJ583*$AL583*-3)^(1/$AJ583)))</f>
        <v/>
      </c>
      <c r="AR583">
        <f>IF(OR($X583="",$T583&gt;60),"",IFERROR(INDEX(IF($T583&lt;24,pcomp_l,palt_l),MATCH($X583,IF($T583&lt;24,pcomp_k,palt_k),1)),""))</f>
        <v/>
      </c>
      <c r="AS583">
        <f>IF(OR($X583="",$T583&gt;60),"",IFERROR(INDEX(IF($T583&lt;24,pcomp_m,palt_m),MATCH($X583,IF($T583&lt;24,pcomp_k,palt_k),1)),""))</f>
        <v/>
      </c>
      <c r="AT583">
        <f>IF(OR($X583="",$T583&gt;60),"",IFERROR(INDEX(IF($T583&lt;24,pcomp_s,palt_s),MATCH($X583,IF($T583&lt;24,pcomp_k,palt_k),1)),""))</f>
        <v/>
      </c>
      <c r="AU583">
        <f>IF($AR583="","",IF($AR583=0,LN($F583/$AS583)/$AT583,((($F583/$AS583)^$AR583)-1)/($AR583*$AT583)))</f>
        <v/>
      </c>
      <c r="AV583">
        <f>IF($AR583="","",IF($AR583=0,$AS583*EXP($AT583*2),$AS583*(1+$AR583*$AT583*2)^(1/$AR583)))</f>
        <v/>
      </c>
      <c r="AW583">
        <f>IF($AR583="","",IF($AR583=0,$AS583*EXP($AT583*3),$AS583*(1+$AR583*$AT583*3)^(1/$AR583)))</f>
        <v/>
      </c>
      <c r="AX583">
        <f>IF($AR583="","",IF($AR583=0,$AS583*EXP($AT583*-2),$AS583*(1+$AR583*$AT583*-2)^(1/$AR583)))</f>
        <v/>
      </c>
      <c r="AY583">
        <f>IF($AR583="","",IF($AR583=0,$AS583*EXP($AT583*-3),$AS583*(1+$AR583*$AT583*-3)^(1/$AR583)))</f>
        <v/>
      </c>
      <c r="AZ583">
        <f>IF(OR($A583="",$A583&lt;&gt;Ficha!$C$4),"",COUNTIF($A$2:$A583,Ficha!$C$4))</f>
        <v/>
      </c>
    </row>
    <row r="584">
      <c r="A584" s="8">
        <f>IF(INDEX(Banco!$A:$A,ROW())="","",INDEX(Banco!$A:$A,ROW()))</f>
        <v/>
      </c>
      <c r="B584" s="8">
        <f>IF(INDEX(Banco!$B:$B,ROW())="","",INDEX(Banco!$B:$B,ROW()))</f>
        <v/>
      </c>
      <c r="C584" s="8">
        <f>IF(INDEX(Banco!$C:$C,ROW())="","",INDEX(Banco!$C:$C,ROW()))</f>
        <v/>
      </c>
      <c r="D584" s="9">
        <f>IF(INDEX(Banco!$D:$D,ROW())="","",INDEX(Banco!$D:$D,ROW()))</f>
        <v/>
      </c>
      <c r="E584" s="9">
        <f>IF(INDEX(Banco!$E:$E,ROW())="","",INDEX(Banco!$E:$E,ROW()))</f>
        <v/>
      </c>
      <c r="F584" s="10">
        <f>IF(INDEX(Banco!$F:$F,ROW())="","",INDEX(Banco!$F:$F,ROW()))</f>
        <v/>
      </c>
      <c r="G584" s="10">
        <f>IF(INDEX(Banco!$G:$G,ROW())="","",INDEX(Banco!$G:$G,ROW()))</f>
        <v/>
      </c>
      <c r="H584" s="8">
        <f>IF(INDEX(Banco!$H:$H,ROW())="","",INDEX(Banco!$H:$H,ROW()))</f>
        <v/>
      </c>
      <c r="I584">
        <f>IF($T584="","",INT($T584/12)&amp;"a "&amp;MOD($T584,12)&amp;"m")</f>
        <v/>
      </c>
      <c r="J584" s="11">
        <f>IF(OR($F584="",$G584=""),"",ROUND($F584/($G584/100)^2,2))</f>
        <v/>
      </c>
      <c r="K584" s="12">
        <f>IF(OR($S584="",$J584="",$T584="",$T584&lt;0,$T584&gt;228,$Y584=""),"—",ROUND(IF(ABS($AB584)&lt;=3,$AB584,IF($AB584&gt;3,3+($J584-$AD584)/($AD584-$AC584),-3+($J584-$AF584)/($AE584-$AF584))),2))</f>
        <v/>
      </c>
      <c r="L584">
        <f>IF(OR($K584="",$K584="—"),"",IF($T584&lt;=60,IF($K584&lt;-3,"Magreza acentuada",IF($K584&lt;-2,"Magreza",IF($K584&lt;=1,"Eutrofia",IF($K584&lt;=2,"Risco de sobrepeso",IF($K584&lt;=3,"Sobrepeso","Obesidade"))))),IF($K584&lt;-3,"Magreza acentuada",IF($K584&lt;-2,"Magreza",IF($K584&lt;=1,"Eutrofia",IF($K584&lt;=2,"Sobrepeso",IF($K584&lt;=3,"Obesidade","Obesidade grave")))))))</f>
        <v/>
      </c>
      <c r="M584" s="12">
        <f>IF(OR($S584="",$V584="",$T584="",$T584&lt;0,$T584&gt;228,$AG584=""),"—",ROUND(IF($AG584=0,LN($V584/$AH584)/$AI584,((($V584/$AH584)^$AG584)-1)/($AG584*$AI584)),2))</f>
        <v/>
      </c>
      <c r="N584">
        <f>IF(OR($M584="",$M584="—"),"",IF($M584&lt;-3,"Muito baixa",IF($M584&lt;-2,"Baixa","Adequada")))</f>
        <v/>
      </c>
      <c r="O584" s="12">
        <f>IF(OR($S584="",$F584="",$T584="",$T584&lt;0,$T584&gt;120,$AJ584=""),"—",ROUND(IF(ABS($AM584)&lt;=3,$AM584,IF($AM584&gt;3,3+($F584-$AO584)/($AO584-$AN584),-3+($F584-$AQ584)/($AP584-$AQ584))),2))</f>
        <v/>
      </c>
      <c r="P584">
        <f>IF(OR($O584="",$O584="—"),"",IF($O584&lt;-3,"Muito baixo",IF($O584&lt;-2,"Baixo",IF($O584&lt;=2,"Adequado","Elevado"))))</f>
        <v/>
      </c>
      <c r="Q584" s="12">
        <f>IF(OR($S584="",$F584="",$T584="",$T584&lt;0,$T584&gt;60,$AR584=""),"—",ROUND(IF(ABS($AU584)&lt;=3,$AU584,IF($AU584&gt;3,3+($F584-$AW584)/($AW584-$AV584),-3+($F584-$AY584)/($AX584-$AY584))),2))</f>
        <v/>
      </c>
      <c r="R584">
        <f>IF(OR($Q584="",$Q584="—"),"",IF($Q584&lt;-3,"Magreza acentuada",IF($Q584&lt;-2,"Magreza",IF($Q584&lt;=1,"Eutrofia",IF($Q584&lt;=2,"Risco de sobrepeso",IF($Q584&lt;=3,"Sobrepeso","Obesidade"))))))</f>
        <v/>
      </c>
      <c r="S584">
        <f>IF($C584="","",IF(UPPER(LEFT($C584,1))="M",1,IF(UPPER(LEFT($C584,1))="F",2,"")))</f>
        <v/>
      </c>
      <c r="T584">
        <f>IF(OR($D584="",$E584=""),"",DATEDIF($D584,$E584,"m"))</f>
        <v/>
      </c>
      <c r="U584">
        <f>IF(OR($D584="",$E584=""),"",$E584-$D584)</f>
        <v/>
      </c>
      <c r="V584">
        <f>IF(OR($G584="",$T584=""),"",IF($T584&lt;24,IF(LEFT(LOWER($H584),4)="em p",$G584+0.7,$G584),IF(LEFT(LOWER($H584),4)="deit",$G584-0.7,$G584)))</f>
        <v/>
      </c>
      <c r="W584">
        <f>IF(OR($S584="",$T584=""),"",$S584*1000000+IF($T584&lt;=60,$U584,$T584))</f>
        <v/>
      </c>
      <c r="X584">
        <f>IF(OR($S584="",$V584="",$T584&gt;60,$T584=""),"",$S584*1000000+ROUND($V584*10,0))</f>
        <v/>
      </c>
      <c r="Y584">
        <f>IF($W584="","",IFERROR(INDEX(IF($T584&lt;=60,imc05_l,imc519_l),MATCH($W584,IF($T584&lt;=60,imc05_k,imc519_k),1)),""))</f>
        <v/>
      </c>
      <c r="Z584">
        <f>IF($W584="","",IFERROR(INDEX(IF($T584&lt;=60,imc05_m,imc519_m),MATCH($W584,IF($T584&lt;=60,imc05_k,imc519_k),1)),""))</f>
        <v/>
      </c>
      <c r="AA584">
        <f>IF($W584="","",IFERROR(INDEX(IF($T584&lt;=60,imc05_s,imc519_s),MATCH($W584,IF($T584&lt;=60,imc05_k,imc519_k),1)),""))</f>
        <v/>
      </c>
      <c r="AB584">
        <f>IF($Y584="","",IF($Y584=0,LN($J584/$Z584)/$AA584,((($J584/$Z584)^$Y584)-1)/($Y584*$AA584)))</f>
        <v/>
      </c>
      <c r="AC584">
        <f>IF($Y584="","",IF($Y584=0,$Z584*EXP($AA584*2),$Z584*(1+$Y584*$AA584*2)^(1/$Y584)))</f>
        <v/>
      </c>
      <c r="AD584">
        <f>IF($Y584="","",IF($Y584=0,$Z584*EXP($AA584*3),$Z584*(1+$Y584*$AA584*3)^(1/$Y584)))</f>
        <v/>
      </c>
      <c r="AE584">
        <f>IF($Y584="","",IF($Y584=0,$Z584*EXP($AA584*-2),$Z584*(1+$Y584*$AA584*-2)^(1/$Y584)))</f>
        <v/>
      </c>
      <c r="AF584">
        <f>IF($Y584="","",IF($Y584=0,$Z584*EXP($AA584*-3),$Z584*(1+$Y584*$AA584*-3)^(1/$Y584)))</f>
        <v/>
      </c>
      <c r="AG584">
        <f>IF($W584="","",IFERROR(INDEX(IF($T584&lt;=60,est05_l,est519_l),MATCH($W584,IF($T584&lt;=60,est05_k,est519_k),1)),""))</f>
        <v/>
      </c>
      <c r="AH584">
        <f>IF($W584="","",IFERROR(INDEX(IF($T584&lt;=60,est05_m,est519_m),MATCH($W584,IF($T584&lt;=60,est05_k,est519_k),1)),""))</f>
        <v/>
      </c>
      <c r="AI584">
        <f>IF($W584="","",IFERROR(INDEX(IF($T584&lt;=60,est05_s,est519_s),MATCH($W584,IF($T584&lt;=60,est05_k,est519_k),1)),""))</f>
        <v/>
      </c>
      <c r="AJ584">
        <f>IF($W584="","",IFERROR(INDEX(IF($T584&lt;=60,peso05_l,peso510_l),MATCH($W584,IF($T584&lt;=60,peso05_k,peso510_k),1)),""))</f>
        <v/>
      </c>
      <c r="AK584">
        <f>IF($W584="","",IFERROR(INDEX(IF($T584&lt;=60,peso05_m,peso510_m),MATCH($W584,IF($T584&lt;=60,peso05_k,peso510_k),1)),""))</f>
        <v/>
      </c>
      <c r="AL584">
        <f>IF($W584="","",IFERROR(INDEX(IF($T584&lt;=60,peso05_s,peso510_s),MATCH($W584,IF($T584&lt;=60,peso05_k,peso510_k),1)),""))</f>
        <v/>
      </c>
      <c r="AM584">
        <f>IF($AJ584="","",IF($AJ584=0,LN($F584/$AK584)/$AL584,((($F584/$AK584)^$AJ584)-1)/($AJ584*$AL584)))</f>
        <v/>
      </c>
      <c r="AN584">
        <f>IF($AJ584="","",IF($AJ584=0,$AK584*EXP($AL584*2),$AK584*(1+$AJ584*$AL584*2)^(1/$AJ584)))</f>
        <v/>
      </c>
      <c r="AO584">
        <f>IF($AJ584="","",IF($AJ584=0,$AK584*EXP($AL584*3),$AK584*(1+$AJ584*$AL584*3)^(1/$AJ584)))</f>
        <v/>
      </c>
      <c r="AP584">
        <f>IF($AJ584="","",IF($AJ584=0,$AK584*EXP($AL584*-2),$AK584*(1+$AJ584*$AL584*-2)^(1/$AJ584)))</f>
        <v/>
      </c>
      <c r="AQ584">
        <f>IF($AJ584="","",IF($AJ584=0,$AK584*EXP($AL584*-3),$AK584*(1+$AJ584*$AL584*-3)^(1/$AJ584)))</f>
        <v/>
      </c>
      <c r="AR584">
        <f>IF(OR($X584="",$T584&gt;60),"",IFERROR(INDEX(IF($T584&lt;24,pcomp_l,palt_l),MATCH($X584,IF($T584&lt;24,pcomp_k,palt_k),1)),""))</f>
        <v/>
      </c>
      <c r="AS584">
        <f>IF(OR($X584="",$T584&gt;60),"",IFERROR(INDEX(IF($T584&lt;24,pcomp_m,palt_m),MATCH($X584,IF($T584&lt;24,pcomp_k,palt_k),1)),""))</f>
        <v/>
      </c>
      <c r="AT584">
        <f>IF(OR($X584="",$T584&gt;60),"",IFERROR(INDEX(IF($T584&lt;24,pcomp_s,palt_s),MATCH($X584,IF($T584&lt;24,pcomp_k,palt_k),1)),""))</f>
        <v/>
      </c>
      <c r="AU584">
        <f>IF($AR584="","",IF($AR584=0,LN($F584/$AS584)/$AT584,((($F584/$AS584)^$AR584)-1)/($AR584*$AT584)))</f>
        <v/>
      </c>
      <c r="AV584">
        <f>IF($AR584="","",IF($AR584=0,$AS584*EXP($AT584*2),$AS584*(1+$AR584*$AT584*2)^(1/$AR584)))</f>
        <v/>
      </c>
      <c r="AW584">
        <f>IF($AR584="","",IF($AR584=0,$AS584*EXP($AT584*3),$AS584*(1+$AR584*$AT584*3)^(1/$AR584)))</f>
        <v/>
      </c>
      <c r="AX584">
        <f>IF($AR584="","",IF($AR584=0,$AS584*EXP($AT584*-2),$AS584*(1+$AR584*$AT584*-2)^(1/$AR584)))</f>
        <v/>
      </c>
      <c r="AY584">
        <f>IF($AR584="","",IF($AR584=0,$AS584*EXP($AT584*-3),$AS584*(1+$AR584*$AT584*-3)^(1/$AR584)))</f>
        <v/>
      </c>
      <c r="AZ584">
        <f>IF(OR($A584="",$A584&lt;&gt;Ficha!$C$4),"",COUNTIF($A$2:$A584,Ficha!$C$4))</f>
        <v/>
      </c>
    </row>
    <row r="585">
      <c r="A585" s="8">
        <f>IF(INDEX(Banco!$A:$A,ROW())="","",INDEX(Banco!$A:$A,ROW()))</f>
        <v/>
      </c>
      <c r="B585" s="8">
        <f>IF(INDEX(Banco!$B:$B,ROW())="","",INDEX(Banco!$B:$B,ROW()))</f>
        <v/>
      </c>
      <c r="C585" s="8">
        <f>IF(INDEX(Banco!$C:$C,ROW())="","",INDEX(Banco!$C:$C,ROW()))</f>
        <v/>
      </c>
      <c r="D585" s="9">
        <f>IF(INDEX(Banco!$D:$D,ROW())="","",INDEX(Banco!$D:$D,ROW()))</f>
        <v/>
      </c>
      <c r="E585" s="9">
        <f>IF(INDEX(Banco!$E:$E,ROW())="","",INDEX(Banco!$E:$E,ROW()))</f>
        <v/>
      </c>
      <c r="F585" s="10">
        <f>IF(INDEX(Banco!$F:$F,ROW())="","",INDEX(Banco!$F:$F,ROW()))</f>
        <v/>
      </c>
      <c r="G585" s="10">
        <f>IF(INDEX(Banco!$G:$G,ROW())="","",INDEX(Banco!$G:$G,ROW()))</f>
        <v/>
      </c>
      <c r="H585" s="8">
        <f>IF(INDEX(Banco!$H:$H,ROW())="","",INDEX(Banco!$H:$H,ROW()))</f>
        <v/>
      </c>
      <c r="I585">
        <f>IF($T585="","",INT($T585/12)&amp;"a "&amp;MOD($T585,12)&amp;"m")</f>
        <v/>
      </c>
      <c r="J585" s="11">
        <f>IF(OR($F585="",$G585=""),"",ROUND($F585/($G585/100)^2,2))</f>
        <v/>
      </c>
      <c r="K585" s="12">
        <f>IF(OR($S585="",$J585="",$T585="",$T585&lt;0,$T585&gt;228,$Y585=""),"—",ROUND(IF(ABS($AB585)&lt;=3,$AB585,IF($AB585&gt;3,3+($J585-$AD585)/($AD585-$AC585),-3+($J585-$AF585)/($AE585-$AF585))),2))</f>
        <v/>
      </c>
      <c r="L585">
        <f>IF(OR($K585="",$K585="—"),"",IF($T585&lt;=60,IF($K585&lt;-3,"Magreza acentuada",IF($K585&lt;-2,"Magreza",IF($K585&lt;=1,"Eutrofia",IF($K585&lt;=2,"Risco de sobrepeso",IF($K585&lt;=3,"Sobrepeso","Obesidade"))))),IF($K585&lt;-3,"Magreza acentuada",IF($K585&lt;-2,"Magreza",IF($K585&lt;=1,"Eutrofia",IF($K585&lt;=2,"Sobrepeso",IF($K585&lt;=3,"Obesidade","Obesidade grave")))))))</f>
        <v/>
      </c>
      <c r="M585" s="12">
        <f>IF(OR($S585="",$V585="",$T585="",$T585&lt;0,$T585&gt;228,$AG585=""),"—",ROUND(IF($AG585=0,LN($V585/$AH585)/$AI585,((($V585/$AH585)^$AG585)-1)/($AG585*$AI585)),2))</f>
        <v/>
      </c>
      <c r="N585">
        <f>IF(OR($M585="",$M585="—"),"",IF($M585&lt;-3,"Muito baixa",IF($M585&lt;-2,"Baixa","Adequada")))</f>
        <v/>
      </c>
      <c r="O585" s="12">
        <f>IF(OR($S585="",$F585="",$T585="",$T585&lt;0,$T585&gt;120,$AJ585=""),"—",ROUND(IF(ABS($AM585)&lt;=3,$AM585,IF($AM585&gt;3,3+($F585-$AO585)/($AO585-$AN585),-3+($F585-$AQ585)/($AP585-$AQ585))),2))</f>
        <v/>
      </c>
      <c r="P585">
        <f>IF(OR($O585="",$O585="—"),"",IF($O585&lt;-3,"Muito baixo",IF($O585&lt;-2,"Baixo",IF($O585&lt;=2,"Adequado","Elevado"))))</f>
        <v/>
      </c>
      <c r="Q585" s="12">
        <f>IF(OR($S585="",$F585="",$T585="",$T585&lt;0,$T585&gt;60,$AR585=""),"—",ROUND(IF(ABS($AU585)&lt;=3,$AU585,IF($AU585&gt;3,3+($F585-$AW585)/($AW585-$AV585),-3+($F585-$AY585)/($AX585-$AY585))),2))</f>
        <v/>
      </c>
      <c r="R585">
        <f>IF(OR($Q585="",$Q585="—"),"",IF($Q585&lt;-3,"Magreza acentuada",IF($Q585&lt;-2,"Magreza",IF($Q585&lt;=1,"Eutrofia",IF($Q585&lt;=2,"Risco de sobrepeso",IF($Q585&lt;=3,"Sobrepeso","Obesidade"))))))</f>
        <v/>
      </c>
      <c r="S585">
        <f>IF($C585="","",IF(UPPER(LEFT($C585,1))="M",1,IF(UPPER(LEFT($C585,1))="F",2,"")))</f>
        <v/>
      </c>
      <c r="T585">
        <f>IF(OR($D585="",$E585=""),"",DATEDIF($D585,$E585,"m"))</f>
        <v/>
      </c>
      <c r="U585">
        <f>IF(OR($D585="",$E585=""),"",$E585-$D585)</f>
        <v/>
      </c>
      <c r="V585">
        <f>IF(OR($G585="",$T585=""),"",IF($T585&lt;24,IF(LEFT(LOWER($H585),4)="em p",$G585+0.7,$G585),IF(LEFT(LOWER($H585),4)="deit",$G585-0.7,$G585)))</f>
        <v/>
      </c>
      <c r="W585">
        <f>IF(OR($S585="",$T585=""),"",$S585*1000000+IF($T585&lt;=60,$U585,$T585))</f>
        <v/>
      </c>
      <c r="X585">
        <f>IF(OR($S585="",$V585="",$T585&gt;60,$T585=""),"",$S585*1000000+ROUND($V585*10,0))</f>
        <v/>
      </c>
      <c r="Y585">
        <f>IF($W585="","",IFERROR(INDEX(IF($T585&lt;=60,imc05_l,imc519_l),MATCH($W585,IF($T585&lt;=60,imc05_k,imc519_k),1)),""))</f>
        <v/>
      </c>
      <c r="Z585">
        <f>IF($W585="","",IFERROR(INDEX(IF($T585&lt;=60,imc05_m,imc519_m),MATCH($W585,IF($T585&lt;=60,imc05_k,imc519_k),1)),""))</f>
        <v/>
      </c>
      <c r="AA585">
        <f>IF($W585="","",IFERROR(INDEX(IF($T585&lt;=60,imc05_s,imc519_s),MATCH($W585,IF($T585&lt;=60,imc05_k,imc519_k),1)),""))</f>
        <v/>
      </c>
      <c r="AB585">
        <f>IF($Y585="","",IF($Y585=0,LN($J585/$Z585)/$AA585,((($J585/$Z585)^$Y585)-1)/($Y585*$AA585)))</f>
        <v/>
      </c>
      <c r="AC585">
        <f>IF($Y585="","",IF($Y585=0,$Z585*EXP($AA585*2),$Z585*(1+$Y585*$AA585*2)^(1/$Y585)))</f>
        <v/>
      </c>
      <c r="AD585">
        <f>IF($Y585="","",IF($Y585=0,$Z585*EXP($AA585*3),$Z585*(1+$Y585*$AA585*3)^(1/$Y585)))</f>
        <v/>
      </c>
      <c r="AE585">
        <f>IF($Y585="","",IF($Y585=0,$Z585*EXP($AA585*-2),$Z585*(1+$Y585*$AA585*-2)^(1/$Y585)))</f>
        <v/>
      </c>
      <c r="AF585">
        <f>IF($Y585="","",IF($Y585=0,$Z585*EXP($AA585*-3),$Z585*(1+$Y585*$AA585*-3)^(1/$Y585)))</f>
        <v/>
      </c>
      <c r="AG585">
        <f>IF($W585="","",IFERROR(INDEX(IF($T585&lt;=60,est05_l,est519_l),MATCH($W585,IF($T585&lt;=60,est05_k,est519_k),1)),""))</f>
        <v/>
      </c>
      <c r="AH585">
        <f>IF($W585="","",IFERROR(INDEX(IF($T585&lt;=60,est05_m,est519_m),MATCH($W585,IF($T585&lt;=60,est05_k,est519_k),1)),""))</f>
        <v/>
      </c>
      <c r="AI585">
        <f>IF($W585="","",IFERROR(INDEX(IF($T585&lt;=60,est05_s,est519_s),MATCH($W585,IF($T585&lt;=60,est05_k,est519_k),1)),""))</f>
        <v/>
      </c>
      <c r="AJ585">
        <f>IF($W585="","",IFERROR(INDEX(IF($T585&lt;=60,peso05_l,peso510_l),MATCH($W585,IF($T585&lt;=60,peso05_k,peso510_k),1)),""))</f>
        <v/>
      </c>
      <c r="AK585">
        <f>IF($W585="","",IFERROR(INDEX(IF($T585&lt;=60,peso05_m,peso510_m),MATCH($W585,IF($T585&lt;=60,peso05_k,peso510_k),1)),""))</f>
        <v/>
      </c>
      <c r="AL585">
        <f>IF($W585="","",IFERROR(INDEX(IF($T585&lt;=60,peso05_s,peso510_s),MATCH($W585,IF($T585&lt;=60,peso05_k,peso510_k),1)),""))</f>
        <v/>
      </c>
      <c r="AM585">
        <f>IF($AJ585="","",IF($AJ585=0,LN($F585/$AK585)/$AL585,((($F585/$AK585)^$AJ585)-1)/($AJ585*$AL585)))</f>
        <v/>
      </c>
      <c r="AN585">
        <f>IF($AJ585="","",IF($AJ585=0,$AK585*EXP($AL585*2),$AK585*(1+$AJ585*$AL585*2)^(1/$AJ585)))</f>
        <v/>
      </c>
      <c r="AO585">
        <f>IF($AJ585="","",IF($AJ585=0,$AK585*EXP($AL585*3),$AK585*(1+$AJ585*$AL585*3)^(1/$AJ585)))</f>
        <v/>
      </c>
      <c r="AP585">
        <f>IF($AJ585="","",IF($AJ585=0,$AK585*EXP($AL585*-2),$AK585*(1+$AJ585*$AL585*-2)^(1/$AJ585)))</f>
        <v/>
      </c>
      <c r="AQ585">
        <f>IF($AJ585="","",IF($AJ585=0,$AK585*EXP($AL585*-3),$AK585*(1+$AJ585*$AL585*-3)^(1/$AJ585)))</f>
        <v/>
      </c>
      <c r="AR585">
        <f>IF(OR($X585="",$T585&gt;60),"",IFERROR(INDEX(IF($T585&lt;24,pcomp_l,palt_l),MATCH($X585,IF($T585&lt;24,pcomp_k,palt_k),1)),""))</f>
        <v/>
      </c>
      <c r="AS585">
        <f>IF(OR($X585="",$T585&gt;60),"",IFERROR(INDEX(IF($T585&lt;24,pcomp_m,palt_m),MATCH($X585,IF($T585&lt;24,pcomp_k,palt_k),1)),""))</f>
        <v/>
      </c>
      <c r="AT585">
        <f>IF(OR($X585="",$T585&gt;60),"",IFERROR(INDEX(IF($T585&lt;24,pcomp_s,palt_s),MATCH($X585,IF($T585&lt;24,pcomp_k,palt_k),1)),""))</f>
        <v/>
      </c>
      <c r="AU585">
        <f>IF($AR585="","",IF($AR585=0,LN($F585/$AS585)/$AT585,((($F585/$AS585)^$AR585)-1)/($AR585*$AT585)))</f>
        <v/>
      </c>
      <c r="AV585">
        <f>IF($AR585="","",IF($AR585=0,$AS585*EXP($AT585*2),$AS585*(1+$AR585*$AT585*2)^(1/$AR585)))</f>
        <v/>
      </c>
      <c r="AW585">
        <f>IF($AR585="","",IF($AR585=0,$AS585*EXP($AT585*3),$AS585*(1+$AR585*$AT585*3)^(1/$AR585)))</f>
        <v/>
      </c>
      <c r="AX585">
        <f>IF($AR585="","",IF($AR585=0,$AS585*EXP($AT585*-2),$AS585*(1+$AR585*$AT585*-2)^(1/$AR585)))</f>
        <v/>
      </c>
      <c r="AY585">
        <f>IF($AR585="","",IF($AR585=0,$AS585*EXP($AT585*-3),$AS585*(1+$AR585*$AT585*-3)^(1/$AR585)))</f>
        <v/>
      </c>
      <c r="AZ585">
        <f>IF(OR($A585="",$A585&lt;&gt;Ficha!$C$4),"",COUNTIF($A$2:$A585,Ficha!$C$4))</f>
        <v/>
      </c>
    </row>
    <row r="586">
      <c r="A586" s="8">
        <f>IF(INDEX(Banco!$A:$A,ROW())="","",INDEX(Banco!$A:$A,ROW()))</f>
        <v/>
      </c>
      <c r="B586" s="8">
        <f>IF(INDEX(Banco!$B:$B,ROW())="","",INDEX(Banco!$B:$B,ROW()))</f>
        <v/>
      </c>
      <c r="C586" s="8">
        <f>IF(INDEX(Banco!$C:$C,ROW())="","",INDEX(Banco!$C:$C,ROW()))</f>
        <v/>
      </c>
      <c r="D586" s="9">
        <f>IF(INDEX(Banco!$D:$D,ROW())="","",INDEX(Banco!$D:$D,ROW()))</f>
        <v/>
      </c>
      <c r="E586" s="9">
        <f>IF(INDEX(Banco!$E:$E,ROW())="","",INDEX(Banco!$E:$E,ROW()))</f>
        <v/>
      </c>
      <c r="F586" s="10">
        <f>IF(INDEX(Banco!$F:$F,ROW())="","",INDEX(Banco!$F:$F,ROW()))</f>
        <v/>
      </c>
      <c r="G586" s="10">
        <f>IF(INDEX(Banco!$G:$G,ROW())="","",INDEX(Banco!$G:$G,ROW()))</f>
        <v/>
      </c>
      <c r="H586" s="8">
        <f>IF(INDEX(Banco!$H:$H,ROW())="","",INDEX(Banco!$H:$H,ROW()))</f>
        <v/>
      </c>
      <c r="I586">
        <f>IF($T586="","",INT($T586/12)&amp;"a "&amp;MOD($T586,12)&amp;"m")</f>
        <v/>
      </c>
      <c r="J586" s="11">
        <f>IF(OR($F586="",$G586=""),"",ROUND($F586/($G586/100)^2,2))</f>
        <v/>
      </c>
      <c r="K586" s="12">
        <f>IF(OR($S586="",$J586="",$T586="",$T586&lt;0,$T586&gt;228,$Y586=""),"—",ROUND(IF(ABS($AB586)&lt;=3,$AB586,IF($AB586&gt;3,3+($J586-$AD586)/($AD586-$AC586),-3+($J586-$AF586)/($AE586-$AF586))),2))</f>
        <v/>
      </c>
      <c r="L586">
        <f>IF(OR($K586="",$K586="—"),"",IF($T586&lt;=60,IF($K586&lt;-3,"Magreza acentuada",IF($K586&lt;-2,"Magreza",IF($K586&lt;=1,"Eutrofia",IF($K586&lt;=2,"Risco de sobrepeso",IF($K586&lt;=3,"Sobrepeso","Obesidade"))))),IF($K586&lt;-3,"Magreza acentuada",IF($K586&lt;-2,"Magreza",IF($K586&lt;=1,"Eutrofia",IF($K586&lt;=2,"Sobrepeso",IF($K586&lt;=3,"Obesidade","Obesidade grave")))))))</f>
        <v/>
      </c>
      <c r="M586" s="12">
        <f>IF(OR($S586="",$V586="",$T586="",$T586&lt;0,$T586&gt;228,$AG586=""),"—",ROUND(IF($AG586=0,LN($V586/$AH586)/$AI586,((($V586/$AH586)^$AG586)-1)/($AG586*$AI586)),2))</f>
        <v/>
      </c>
      <c r="N586">
        <f>IF(OR($M586="",$M586="—"),"",IF($M586&lt;-3,"Muito baixa",IF($M586&lt;-2,"Baixa","Adequada")))</f>
        <v/>
      </c>
      <c r="O586" s="12">
        <f>IF(OR($S586="",$F586="",$T586="",$T586&lt;0,$T586&gt;120,$AJ586=""),"—",ROUND(IF(ABS($AM586)&lt;=3,$AM586,IF($AM586&gt;3,3+($F586-$AO586)/($AO586-$AN586),-3+($F586-$AQ586)/($AP586-$AQ586))),2))</f>
        <v/>
      </c>
      <c r="P586">
        <f>IF(OR($O586="",$O586="—"),"",IF($O586&lt;-3,"Muito baixo",IF($O586&lt;-2,"Baixo",IF($O586&lt;=2,"Adequado","Elevado"))))</f>
        <v/>
      </c>
      <c r="Q586" s="12">
        <f>IF(OR($S586="",$F586="",$T586="",$T586&lt;0,$T586&gt;60,$AR586=""),"—",ROUND(IF(ABS($AU586)&lt;=3,$AU586,IF($AU586&gt;3,3+($F586-$AW586)/($AW586-$AV586),-3+($F586-$AY586)/($AX586-$AY586))),2))</f>
        <v/>
      </c>
      <c r="R586">
        <f>IF(OR($Q586="",$Q586="—"),"",IF($Q586&lt;-3,"Magreza acentuada",IF($Q586&lt;-2,"Magreza",IF($Q586&lt;=1,"Eutrofia",IF($Q586&lt;=2,"Risco de sobrepeso",IF($Q586&lt;=3,"Sobrepeso","Obesidade"))))))</f>
        <v/>
      </c>
      <c r="S586">
        <f>IF($C586="","",IF(UPPER(LEFT($C586,1))="M",1,IF(UPPER(LEFT($C586,1))="F",2,"")))</f>
        <v/>
      </c>
      <c r="T586">
        <f>IF(OR($D586="",$E586=""),"",DATEDIF($D586,$E586,"m"))</f>
        <v/>
      </c>
      <c r="U586">
        <f>IF(OR($D586="",$E586=""),"",$E586-$D586)</f>
        <v/>
      </c>
      <c r="V586">
        <f>IF(OR($G586="",$T586=""),"",IF($T586&lt;24,IF(LEFT(LOWER($H586),4)="em p",$G586+0.7,$G586),IF(LEFT(LOWER($H586),4)="deit",$G586-0.7,$G586)))</f>
        <v/>
      </c>
      <c r="W586">
        <f>IF(OR($S586="",$T586=""),"",$S586*1000000+IF($T586&lt;=60,$U586,$T586))</f>
        <v/>
      </c>
      <c r="X586">
        <f>IF(OR($S586="",$V586="",$T586&gt;60,$T586=""),"",$S586*1000000+ROUND($V586*10,0))</f>
        <v/>
      </c>
      <c r="Y586">
        <f>IF($W586="","",IFERROR(INDEX(IF($T586&lt;=60,imc05_l,imc519_l),MATCH($W586,IF($T586&lt;=60,imc05_k,imc519_k),1)),""))</f>
        <v/>
      </c>
      <c r="Z586">
        <f>IF($W586="","",IFERROR(INDEX(IF($T586&lt;=60,imc05_m,imc519_m),MATCH($W586,IF($T586&lt;=60,imc05_k,imc519_k),1)),""))</f>
        <v/>
      </c>
      <c r="AA586">
        <f>IF($W586="","",IFERROR(INDEX(IF($T586&lt;=60,imc05_s,imc519_s),MATCH($W586,IF($T586&lt;=60,imc05_k,imc519_k),1)),""))</f>
        <v/>
      </c>
      <c r="AB586">
        <f>IF($Y586="","",IF($Y586=0,LN($J586/$Z586)/$AA586,((($J586/$Z586)^$Y586)-1)/($Y586*$AA586)))</f>
        <v/>
      </c>
      <c r="AC586">
        <f>IF($Y586="","",IF($Y586=0,$Z586*EXP($AA586*2),$Z586*(1+$Y586*$AA586*2)^(1/$Y586)))</f>
        <v/>
      </c>
      <c r="AD586">
        <f>IF($Y586="","",IF($Y586=0,$Z586*EXP($AA586*3),$Z586*(1+$Y586*$AA586*3)^(1/$Y586)))</f>
        <v/>
      </c>
      <c r="AE586">
        <f>IF($Y586="","",IF($Y586=0,$Z586*EXP($AA586*-2),$Z586*(1+$Y586*$AA586*-2)^(1/$Y586)))</f>
        <v/>
      </c>
      <c r="AF586">
        <f>IF($Y586="","",IF($Y586=0,$Z586*EXP($AA586*-3),$Z586*(1+$Y586*$AA586*-3)^(1/$Y586)))</f>
        <v/>
      </c>
      <c r="AG586">
        <f>IF($W586="","",IFERROR(INDEX(IF($T586&lt;=60,est05_l,est519_l),MATCH($W586,IF($T586&lt;=60,est05_k,est519_k),1)),""))</f>
        <v/>
      </c>
      <c r="AH586">
        <f>IF($W586="","",IFERROR(INDEX(IF($T586&lt;=60,est05_m,est519_m),MATCH($W586,IF($T586&lt;=60,est05_k,est519_k),1)),""))</f>
        <v/>
      </c>
      <c r="AI586">
        <f>IF($W586="","",IFERROR(INDEX(IF($T586&lt;=60,est05_s,est519_s),MATCH($W586,IF($T586&lt;=60,est05_k,est519_k),1)),""))</f>
        <v/>
      </c>
      <c r="AJ586">
        <f>IF($W586="","",IFERROR(INDEX(IF($T586&lt;=60,peso05_l,peso510_l),MATCH($W586,IF($T586&lt;=60,peso05_k,peso510_k),1)),""))</f>
        <v/>
      </c>
      <c r="AK586">
        <f>IF($W586="","",IFERROR(INDEX(IF($T586&lt;=60,peso05_m,peso510_m),MATCH($W586,IF($T586&lt;=60,peso05_k,peso510_k),1)),""))</f>
        <v/>
      </c>
      <c r="AL586">
        <f>IF($W586="","",IFERROR(INDEX(IF($T586&lt;=60,peso05_s,peso510_s),MATCH($W586,IF($T586&lt;=60,peso05_k,peso510_k),1)),""))</f>
        <v/>
      </c>
      <c r="AM586">
        <f>IF($AJ586="","",IF($AJ586=0,LN($F586/$AK586)/$AL586,((($F586/$AK586)^$AJ586)-1)/($AJ586*$AL586)))</f>
        <v/>
      </c>
      <c r="AN586">
        <f>IF($AJ586="","",IF($AJ586=0,$AK586*EXP($AL586*2),$AK586*(1+$AJ586*$AL586*2)^(1/$AJ586)))</f>
        <v/>
      </c>
      <c r="AO586">
        <f>IF($AJ586="","",IF($AJ586=0,$AK586*EXP($AL586*3),$AK586*(1+$AJ586*$AL586*3)^(1/$AJ586)))</f>
        <v/>
      </c>
      <c r="AP586">
        <f>IF($AJ586="","",IF($AJ586=0,$AK586*EXP($AL586*-2),$AK586*(1+$AJ586*$AL586*-2)^(1/$AJ586)))</f>
        <v/>
      </c>
      <c r="AQ586">
        <f>IF($AJ586="","",IF($AJ586=0,$AK586*EXP($AL586*-3),$AK586*(1+$AJ586*$AL586*-3)^(1/$AJ586)))</f>
        <v/>
      </c>
      <c r="AR586">
        <f>IF(OR($X586="",$T586&gt;60),"",IFERROR(INDEX(IF($T586&lt;24,pcomp_l,palt_l),MATCH($X586,IF($T586&lt;24,pcomp_k,palt_k),1)),""))</f>
        <v/>
      </c>
      <c r="AS586">
        <f>IF(OR($X586="",$T586&gt;60),"",IFERROR(INDEX(IF($T586&lt;24,pcomp_m,palt_m),MATCH($X586,IF($T586&lt;24,pcomp_k,palt_k),1)),""))</f>
        <v/>
      </c>
      <c r="AT586">
        <f>IF(OR($X586="",$T586&gt;60),"",IFERROR(INDEX(IF($T586&lt;24,pcomp_s,palt_s),MATCH($X586,IF($T586&lt;24,pcomp_k,palt_k),1)),""))</f>
        <v/>
      </c>
      <c r="AU586">
        <f>IF($AR586="","",IF($AR586=0,LN($F586/$AS586)/$AT586,((($F586/$AS586)^$AR586)-1)/($AR586*$AT586)))</f>
        <v/>
      </c>
      <c r="AV586">
        <f>IF($AR586="","",IF($AR586=0,$AS586*EXP($AT586*2),$AS586*(1+$AR586*$AT586*2)^(1/$AR586)))</f>
        <v/>
      </c>
      <c r="AW586">
        <f>IF($AR586="","",IF($AR586=0,$AS586*EXP($AT586*3),$AS586*(1+$AR586*$AT586*3)^(1/$AR586)))</f>
        <v/>
      </c>
      <c r="AX586">
        <f>IF($AR586="","",IF($AR586=0,$AS586*EXP($AT586*-2),$AS586*(1+$AR586*$AT586*-2)^(1/$AR586)))</f>
        <v/>
      </c>
      <c r="AY586">
        <f>IF($AR586="","",IF($AR586=0,$AS586*EXP($AT586*-3),$AS586*(1+$AR586*$AT586*-3)^(1/$AR586)))</f>
        <v/>
      </c>
      <c r="AZ586">
        <f>IF(OR($A586="",$A586&lt;&gt;Ficha!$C$4),"",COUNTIF($A$2:$A586,Ficha!$C$4))</f>
        <v/>
      </c>
    </row>
    <row r="587">
      <c r="A587" s="8">
        <f>IF(INDEX(Banco!$A:$A,ROW())="","",INDEX(Banco!$A:$A,ROW()))</f>
        <v/>
      </c>
      <c r="B587" s="8">
        <f>IF(INDEX(Banco!$B:$B,ROW())="","",INDEX(Banco!$B:$B,ROW()))</f>
        <v/>
      </c>
      <c r="C587" s="8">
        <f>IF(INDEX(Banco!$C:$C,ROW())="","",INDEX(Banco!$C:$C,ROW()))</f>
        <v/>
      </c>
      <c r="D587" s="9">
        <f>IF(INDEX(Banco!$D:$D,ROW())="","",INDEX(Banco!$D:$D,ROW()))</f>
        <v/>
      </c>
      <c r="E587" s="9">
        <f>IF(INDEX(Banco!$E:$E,ROW())="","",INDEX(Banco!$E:$E,ROW()))</f>
        <v/>
      </c>
      <c r="F587" s="10">
        <f>IF(INDEX(Banco!$F:$F,ROW())="","",INDEX(Banco!$F:$F,ROW()))</f>
        <v/>
      </c>
      <c r="G587" s="10">
        <f>IF(INDEX(Banco!$G:$G,ROW())="","",INDEX(Banco!$G:$G,ROW()))</f>
        <v/>
      </c>
      <c r="H587" s="8">
        <f>IF(INDEX(Banco!$H:$H,ROW())="","",INDEX(Banco!$H:$H,ROW()))</f>
        <v/>
      </c>
      <c r="I587">
        <f>IF($T587="","",INT($T587/12)&amp;"a "&amp;MOD($T587,12)&amp;"m")</f>
        <v/>
      </c>
      <c r="J587" s="11">
        <f>IF(OR($F587="",$G587=""),"",ROUND($F587/($G587/100)^2,2))</f>
        <v/>
      </c>
      <c r="K587" s="12">
        <f>IF(OR($S587="",$J587="",$T587="",$T587&lt;0,$T587&gt;228,$Y587=""),"—",ROUND(IF(ABS($AB587)&lt;=3,$AB587,IF($AB587&gt;3,3+($J587-$AD587)/($AD587-$AC587),-3+($J587-$AF587)/($AE587-$AF587))),2))</f>
        <v/>
      </c>
      <c r="L587">
        <f>IF(OR($K587="",$K587="—"),"",IF($T587&lt;=60,IF($K587&lt;-3,"Magreza acentuada",IF($K587&lt;-2,"Magreza",IF($K587&lt;=1,"Eutrofia",IF($K587&lt;=2,"Risco de sobrepeso",IF($K587&lt;=3,"Sobrepeso","Obesidade"))))),IF($K587&lt;-3,"Magreza acentuada",IF($K587&lt;-2,"Magreza",IF($K587&lt;=1,"Eutrofia",IF($K587&lt;=2,"Sobrepeso",IF($K587&lt;=3,"Obesidade","Obesidade grave")))))))</f>
        <v/>
      </c>
      <c r="M587" s="12">
        <f>IF(OR($S587="",$V587="",$T587="",$T587&lt;0,$T587&gt;228,$AG587=""),"—",ROUND(IF($AG587=0,LN($V587/$AH587)/$AI587,((($V587/$AH587)^$AG587)-1)/($AG587*$AI587)),2))</f>
        <v/>
      </c>
      <c r="N587">
        <f>IF(OR($M587="",$M587="—"),"",IF($M587&lt;-3,"Muito baixa",IF($M587&lt;-2,"Baixa","Adequada")))</f>
        <v/>
      </c>
      <c r="O587" s="12">
        <f>IF(OR($S587="",$F587="",$T587="",$T587&lt;0,$T587&gt;120,$AJ587=""),"—",ROUND(IF(ABS($AM587)&lt;=3,$AM587,IF($AM587&gt;3,3+($F587-$AO587)/($AO587-$AN587),-3+($F587-$AQ587)/($AP587-$AQ587))),2))</f>
        <v/>
      </c>
      <c r="P587">
        <f>IF(OR($O587="",$O587="—"),"",IF($O587&lt;-3,"Muito baixo",IF($O587&lt;-2,"Baixo",IF($O587&lt;=2,"Adequado","Elevado"))))</f>
        <v/>
      </c>
      <c r="Q587" s="12">
        <f>IF(OR($S587="",$F587="",$T587="",$T587&lt;0,$T587&gt;60,$AR587=""),"—",ROUND(IF(ABS($AU587)&lt;=3,$AU587,IF($AU587&gt;3,3+($F587-$AW587)/($AW587-$AV587),-3+($F587-$AY587)/($AX587-$AY587))),2))</f>
        <v/>
      </c>
      <c r="R587">
        <f>IF(OR($Q587="",$Q587="—"),"",IF($Q587&lt;-3,"Magreza acentuada",IF($Q587&lt;-2,"Magreza",IF($Q587&lt;=1,"Eutrofia",IF($Q587&lt;=2,"Risco de sobrepeso",IF($Q587&lt;=3,"Sobrepeso","Obesidade"))))))</f>
        <v/>
      </c>
      <c r="S587">
        <f>IF($C587="","",IF(UPPER(LEFT($C587,1))="M",1,IF(UPPER(LEFT($C587,1))="F",2,"")))</f>
        <v/>
      </c>
      <c r="T587">
        <f>IF(OR($D587="",$E587=""),"",DATEDIF($D587,$E587,"m"))</f>
        <v/>
      </c>
      <c r="U587">
        <f>IF(OR($D587="",$E587=""),"",$E587-$D587)</f>
        <v/>
      </c>
      <c r="V587">
        <f>IF(OR($G587="",$T587=""),"",IF($T587&lt;24,IF(LEFT(LOWER($H587),4)="em p",$G587+0.7,$G587),IF(LEFT(LOWER($H587),4)="deit",$G587-0.7,$G587)))</f>
        <v/>
      </c>
      <c r="W587">
        <f>IF(OR($S587="",$T587=""),"",$S587*1000000+IF($T587&lt;=60,$U587,$T587))</f>
        <v/>
      </c>
      <c r="X587">
        <f>IF(OR($S587="",$V587="",$T587&gt;60,$T587=""),"",$S587*1000000+ROUND($V587*10,0))</f>
        <v/>
      </c>
      <c r="Y587">
        <f>IF($W587="","",IFERROR(INDEX(IF($T587&lt;=60,imc05_l,imc519_l),MATCH($W587,IF($T587&lt;=60,imc05_k,imc519_k),1)),""))</f>
        <v/>
      </c>
      <c r="Z587">
        <f>IF($W587="","",IFERROR(INDEX(IF($T587&lt;=60,imc05_m,imc519_m),MATCH($W587,IF($T587&lt;=60,imc05_k,imc519_k),1)),""))</f>
        <v/>
      </c>
      <c r="AA587">
        <f>IF($W587="","",IFERROR(INDEX(IF($T587&lt;=60,imc05_s,imc519_s),MATCH($W587,IF($T587&lt;=60,imc05_k,imc519_k),1)),""))</f>
        <v/>
      </c>
      <c r="AB587">
        <f>IF($Y587="","",IF($Y587=0,LN($J587/$Z587)/$AA587,((($J587/$Z587)^$Y587)-1)/($Y587*$AA587)))</f>
        <v/>
      </c>
      <c r="AC587">
        <f>IF($Y587="","",IF($Y587=0,$Z587*EXP($AA587*2),$Z587*(1+$Y587*$AA587*2)^(1/$Y587)))</f>
        <v/>
      </c>
      <c r="AD587">
        <f>IF($Y587="","",IF($Y587=0,$Z587*EXP($AA587*3),$Z587*(1+$Y587*$AA587*3)^(1/$Y587)))</f>
        <v/>
      </c>
      <c r="AE587">
        <f>IF($Y587="","",IF($Y587=0,$Z587*EXP($AA587*-2),$Z587*(1+$Y587*$AA587*-2)^(1/$Y587)))</f>
        <v/>
      </c>
      <c r="AF587">
        <f>IF($Y587="","",IF($Y587=0,$Z587*EXP($AA587*-3),$Z587*(1+$Y587*$AA587*-3)^(1/$Y587)))</f>
        <v/>
      </c>
      <c r="AG587">
        <f>IF($W587="","",IFERROR(INDEX(IF($T587&lt;=60,est05_l,est519_l),MATCH($W587,IF($T587&lt;=60,est05_k,est519_k),1)),""))</f>
        <v/>
      </c>
      <c r="AH587">
        <f>IF($W587="","",IFERROR(INDEX(IF($T587&lt;=60,est05_m,est519_m),MATCH($W587,IF($T587&lt;=60,est05_k,est519_k),1)),""))</f>
        <v/>
      </c>
      <c r="AI587">
        <f>IF($W587="","",IFERROR(INDEX(IF($T587&lt;=60,est05_s,est519_s),MATCH($W587,IF($T587&lt;=60,est05_k,est519_k),1)),""))</f>
        <v/>
      </c>
      <c r="AJ587">
        <f>IF($W587="","",IFERROR(INDEX(IF($T587&lt;=60,peso05_l,peso510_l),MATCH($W587,IF($T587&lt;=60,peso05_k,peso510_k),1)),""))</f>
        <v/>
      </c>
      <c r="AK587">
        <f>IF($W587="","",IFERROR(INDEX(IF($T587&lt;=60,peso05_m,peso510_m),MATCH($W587,IF($T587&lt;=60,peso05_k,peso510_k),1)),""))</f>
        <v/>
      </c>
      <c r="AL587">
        <f>IF($W587="","",IFERROR(INDEX(IF($T587&lt;=60,peso05_s,peso510_s),MATCH($W587,IF($T587&lt;=60,peso05_k,peso510_k),1)),""))</f>
        <v/>
      </c>
      <c r="AM587">
        <f>IF($AJ587="","",IF($AJ587=0,LN($F587/$AK587)/$AL587,((($F587/$AK587)^$AJ587)-1)/($AJ587*$AL587)))</f>
        <v/>
      </c>
      <c r="AN587">
        <f>IF($AJ587="","",IF($AJ587=0,$AK587*EXP($AL587*2),$AK587*(1+$AJ587*$AL587*2)^(1/$AJ587)))</f>
        <v/>
      </c>
      <c r="AO587">
        <f>IF($AJ587="","",IF($AJ587=0,$AK587*EXP($AL587*3),$AK587*(1+$AJ587*$AL587*3)^(1/$AJ587)))</f>
        <v/>
      </c>
      <c r="AP587">
        <f>IF($AJ587="","",IF($AJ587=0,$AK587*EXP($AL587*-2),$AK587*(1+$AJ587*$AL587*-2)^(1/$AJ587)))</f>
        <v/>
      </c>
      <c r="AQ587">
        <f>IF($AJ587="","",IF($AJ587=0,$AK587*EXP($AL587*-3),$AK587*(1+$AJ587*$AL587*-3)^(1/$AJ587)))</f>
        <v/>
      </c>
      <c r="AR587">
        <f>IF(OR($X587="",$T587&gt;60),"",IFERROR(INDEX(IF($T587&lt;24,pcomp_l,palt_l),MATCH($X587,IF($T587&lt;24,pcomp_k,palt_k),1)),""))</f>
        <v/>
      </c>
      <c r="AS587">
        <f>IF(OR($X587="",$T587&gt;60),"",IFERROR(INDEX(IF($T587&lt;24,pcomp_m,palt_m),MATCH($X587,IF($T587&lt;24,pcomp_k,palt_k),1)),""))</f>
        <v/>
      </c>
      <c r="AT587">
        <f>IF(OR($X587="",$T587&gt;60),"",IFERROR(INDEX(IF($T587&lt;24,pcomp_s,palt_s),MATCH($X587,IF($T587&lt;24,pcomp_k,palt_k),1)),""))</f>
        <v/>
      </c>
      <c r="AU587">
        <f>IF($AR587="","",IF($AR587=0,LN($F587/$AS587)/$AT587,((($F587/$AS587)^$AR587)-1)/($AR587*$AT587)))</f>
        <v/>
      </c>
      <c r="AV587">
        <f>IF($AR587="","",IF($AR587=0,$AS587*EXP($AT587*2),$AS587*(1+$AR587*$AT587*2)^(1/$AR587)))</f>
        <v/>
      </c>
      <c r="AW587">
        <f>IF($AR587="","",IF($AR587=0,$AS587*EXP($AT587*3),$AS587*(1+$AR587*$AT587*3)^(1/$AR587)))</f>
        <v/>
      </c>
      <c r="AX587">
        <f>IF($AR587="","",IF($AR587=0,$AS587*EXP($AT587*-2),$AS587*(1+$AR587*$AT587*-2)^(1/$AR587)))</f>
        <v/>
      </c>
      <c r="AY587">
        <f>IF($AR587="","",IF($AR587=0,$AS587*EXP($AT587*-3),$AS587*(1+$AR587*$AT587*-3)^(1/$AR587)))</f>
        <v/>
      </c>
      <c r="AZ587">
        <f>IF(OR($A587="",$A587&lt;&gt;Ficha!$C$4),"",COUNTIF($A$2:$A587,Ficha!$C$4))</f>
        <v/>
      </c>
    </row>
    <row r="588">
      <c r="A588" s="8">
        <f>IF(INDEX(Banco!$A:$A,ROW())="","",INDEX(Banco!$A:$A,ROW()))</f>
        <v/>
      </c>
      <c r="B588" s="8">
        <f>IF(INDEX(Banco!$B:$B,ROW())="","",INDEX(Banco!$B:$B,ROW()))</f>
        <v/>
      </c>
      <c r="C588" s="8">
        <f>IF(INDEX(Banco!$C:$C,ROW())="","",INDEX(Banco!$C:$C,ROW()))</f>
        <v/>
      </c>
      <c r="D588" s="9">
        <f>IF(INDEX(Banco!$D:$D,ROW())="","",INDEX(Banco!$D:$D,ROW()))</f>
        <v/>
      </c>
      <c r="E588" s="9">
        <f>IF(INDEX(Banco!$E:$E,ROW())="","",INDEX(Banco!$E:$E,ROW()))</f>
        <v/>
      </c>
      <c r="F588" s="10">
        <f>IF(INDEX(Banco!$F:$F,ROW())="","",INDEX(Banco!$F:$F,ROW()))</f>
        <v/>
      </c>
      <c r="G588" s="10">
        <f>IF(INDEX(Banco!$G:$G,ROW())="","",INDEX(Banco!$G:$G,ROW()))</f>
        <v/>
      </c>
      <c r="H588" s="8">
        <f>IF(INDEX(Banco!$H:$H,ROW())="","",INDEX(Banco!$H:$H,ROW()))</f>
        <v/>
      </c>
      <c r="I588">
        <f>IF($T588="","",INT($T588/12)&amp;"a "&amp;MOD($T588,12)&amp;"m")</f>
        <v/>
      </c>
      <c r="J588" s="11">
        <f>IF(OR($F588="",$G588=""),"",ROUND($F588/($G588/100)^2,2))</f>
        <v/>
      </c>
      <c r="K588" s="12">
        <f>IF(OR($S588="",$J588="",$T588="",$T588&lt;0,$T588&gt;228,$Y588=""),"—",ROUND(IF(ABS($AB588)&lt;=3,$AB588,IF($AB588&gt;3,3+($J588-$AD588)/($AD588-$AC588),-3+($J588-$AF588)/($AE588-$AF588))),2))</f>
        <v/>
      </c>
      <c r="L588">
        <f>IF(OR($K588="",$K588="—"),"",IF($T588&lt;=60,IF($K588&lt;-3,"Magreza acentuada",IF($K588&lt;-2,"Magreza",IF($K588&lt;=1,"Eutrofia",IF($K588&lt;=2,"Risco de sobrepeso",IF($K588&lt;=3,"Sobrepeso","Obesidade"))))),IF($K588&lt;-3,"Magreza acentuada",IF($K588&lt;-2,"Magreza",IF($K588&lt;=1,"Eutrofia",IF($K588&lt;=2,"Sobrepeso",IF($K588&lt;=3,"Obesidade","Obesidade grave")))))))</f>
        <v/>
      </c>
      <c r="M588" s="12">
        <f>IF(OR($S588="",$V588="",$T588="",$T588&lt;0,$T588&gt;228,$AG588=""),"—",ROUND(IF($AG588=0,LN($V588/$AH588)/$AI588,((($V588/$AH588)^$AG588)-1)/($AG588*$AI588)),2))</f>
        <v/>
      </c>
      <c r="N588">
        <f>IF(OR($M588="",$M588="—"),"",IF($M588&lt;-3,"Muito baixa",IF($M588&lt;-2,"Baixa","Adequada")))</f>
        <v/>
      </c>
      <c r="O588" s="12">
        <f>IF(OR($S588="",$F588="",$T588="",$T588&lt;0,$T588&gt;120,$AJ588=""),"—",ROUND(IF(ABS($AM588)&lt;=3,$AM588,IF($AM588&gt;3,3+($F588-$AO588)/($AO588-$AN588),-3+($F588-$AQ588)/($AP588-$AQ588))),2))</f>
        <v/>
      </c>
      <c r="P588">
        <f>IF(OR($O588="",$O588="—"),"",IF($O588&lt;-3,"Muito baixo",IF($O588&lt;-2,"Baixo",IF($O588&lt;=2,"Adequado","Elevado"))))</f>
        <v/>
      </c>
      <c r="Q588" s="12">
        <f>IF(OR($S588="",$F588="",$T588="",$T588&lt;0,$T588&gt;60,$AR588=""),"—",ROUND(IF(ABS($AU588)&lt;=3,$AU588,IF($AU588&gt;3,3+($F588-$AW588)/($AW588-$AV588),-3+($F588-$AY588)/($AX588-$AY588))),2))</f>
        <v/>
      </c>
      <c r="R588">
        <f>IF(OR($Q588="",$Q588="—"),"",IF($Q588&lt;-3,"Magreza acentuada",IF($Q588&lt;-2,"Magreza",IF($Q588&lt;=1,"Eutrofia",IF($Q588&lt;=2,"Risco de sobrepeso",IF($Q588&lt;=3,"Sobrepeso","Obesidade"))))))</f>
        <v/>
      </c>
      <c r="S588">
        <f>IF($C588="","",IF(UPPER(LEFT($C588,1))="M",1,IF(UPPER(LEFT($C588,1))="F",2,"")))</f>
        <v/>
      </c>
      <c r="T588">
        <f>IF(OR($D588="",$E588=""),"",DATEDIF($D588,$E588,"m"))</f>
        <v/>
      </c>
      <c r="U588">
        <f>IF(OR($D588="",$E588=""),"",$E588-$D588)</f>
        <v/>
      </c>
      <c r="V588">
        <f>IF(OR($G588="",$T588=""),"",IF($T588&lt;24,IF(LEFT(LOWER($H588),4)="em p",$G588+0.7,$G588),IF(LEFT(LOWER($H588),4)="deit",$G588-0.7,$G588)))</f>
        <v/>
      </c>
      <c r="W588">
        <f>IF(OR($S588="",$T588=""),"",$S588*1000000+IF($T588&lt;=60,$U588,$T588))</f>
        <v/>
      </c>
      <c r="X588">
        <f>IF(OR($S588="",$V588="",$T588&gt;60,$T588=""),"",$S588*1000000+ROUND($V588*10,0))</f>
        <v/>
      </c>
      <c r="Y588">
        <f>IF($W588="","",IFERROR(INDEX(IF($T588&lt;=60,imc05_l,imc519_l),MATCH($W588,IF($T588&lt;=60,imc05_k,imc519_k),1)),""))</f>
        <v/>
      </c>
      <c r="Z588">
        <f>IF($W588="","",IFERROR(INDEX(IF($T588&lt;=60,imc05_m,imc519_m),MATCH($W588,IF($T588&lt;=60,imc05_k,imc519_k),1)),""))</f>
        <v/>
      </c>
      <c r="AA588">
        <f>IF($W588="","",IFERROR(INDEX(IF($T588&lt;=60,imc05_s,imc519_s),MATCH($W588,IF($T588&lt;=60,imc05_k,imc519_k),1)),""))</f>
        <v/>
      </c>
      <c r="AB588">
        <f>IF($Y588="","",IF($Y588=0,LN($J588/$Z588)/$AA588,((($J588/$Z588)^$Y588)-1)/($Y588*$AA588)))</f>
        <v/>
      </c>
      <c r="AC588">
        <f>IF($Y588="","",IF($Y588=0,$Z588*EXP($AA588*2),$Z588*(1+$Y588*$AA588*2)^(1/$Y588)))</f>
        <v/>
      </c>
      <c r="AD588">
        <f>IF($Y588="","",IF($Y588=0,$Z588*EXP($AA588*3),$Z588*(1+$Y588*$AA588*3)^(1/$Y588)))</f>
        <v/>
      </c>
      <c r="AE588">
        <f>IF($Y588="","",IF($Y588=0,$Z588*EXP($AA588*-2),$Z588*(1+$Y588*$AA588*-2)^(1/$Y588)))</f>
        <v/>
      </c>
      <c r="AF588">
        <f>IF($Y588="","",IF($Y588=0,$Z588*EXP($AA588*-3),$Z588*(1+$Y588*$AA588*-3)^(1/$Y588)))</f>
        <v/>
      </c>
      <c r="AG588">
        <f>IF($W588="","",IFERROR(INDEX(IF($T588&lt;=60,est05_l,est519_l),MATCH($W588,IF($T588&lt;=60,est05_k,est519_k),1)),""))</f>
        <v/>
      </c>
      <c r="AH588">
        <f>IF($W588="","",IFERROR(INDEX(IF($T588&lt;=60,est05_m,est519_m),MATCH($W588,IF($T588&lt;=60,est05_k,est519_k),1)),""))</f>
        <v/>
      </c>
      <c r="AI588">
        <f>IF($W588="","",IFERROR(INDEX(IF($T588&lt;=60,est05_s,est519_s),MATCH($W588,IF($T588&lt;=60,est05_k,est519_k),1)),""))</f>
        <v/>
      </c>
      <c r="AJ588">
        <f>IF($W588="","",IFERROR(INDEX(IF($T588&lt;=60,peso05_l,peso510_l),MATCH($W588,IF($T588&lt;=60,peso05_k,peso510_k),1)),""))</f>
        <v/>
      </c>
      <c r="AK588">
        <f>IF($W588="","",IFERROR(INDEX(IF($T588&lt;=60,peso05_m,peso510_m),MATCH($W588,IF($T588&lt;=60,peso05_k,peso510_k),1)),""))</f>
        <v/>
      </c>
      <c r="AL588">
        <f>IF($W588="","",IFERROR(INDEX(IF($T588&lt;=60,peso05_s,peso510_s),MATCH($W588,IF($T588&lt;=60,peso05_k,peso510_k),1)),""))</f>
        <v/>
      </c>
      <c r="AM588">
        <f>IF($AJ588="","",IF($AJ588=0,LN($F588/$AK588)/$AL588,((($F588/$AK588)^$AJ588)-1)/($AJ588*$AL588)))</f>
        <v/>
      </c>
      <c r="AN588">
        <f>IF($AJ588="","",IF($AJ588=0,$AK588*EXP($AL588*2),$AK588*(1+$AJ588*$AL588*2)^(1/$AJ588)))</f>
        <v/>
      </c>
      <c r="AO588">
        <f>IF($AJ588="","",IF($AJ588=0,$AK588*EXP($AL588*3),$AK588*(1+$AJ588*$AL588*3)^(1/$AJ588)))</f>
        <v/>
      </c>
      <c r="AP588">
        <f>IF($AJ588="","",IF($AJ588=0,$AK588*EXP($AL588*-2),$AK588*(1+$AJ588*$AL588*-2)^(1/$AJ588)))</f>
        <v/>
      </c>
      <c r="AQ588">
        <f>IF($AJ588="","",IF($AJ588=0,$AK588*EXP($AL588*-3),$AK588*(1+$AJ588*$AL588*-3)^(1/$AJ588)))</f>
        <v/>
      </c>
      <c r="AR588">
        <f>IF(OR($X588="",$T588&gt;60),"",IFERROR(INDEX(IF($T588&lt;24,pcomp_l,palt_l),MATCH($X588,IF($T588&lt;24,pcomp_k,palt_k),1)),""))</f>
        <v/>
      </c>
      <c r="AS588">
        <f>IF(OR($X588="",$T588&gt;60),"",IFERROR(INDEX(IF($T588&lt;24,pcomp_m,palt_m),MATCH($X588,IF($T588&lt;24,pcomp_k,palt_k),1)),""))</f>
        <v/>
      </c>
      <c r="AT588">
        <f>IF(OR($X588="",$T588&gt;60),"",IFERROR(INDEX(IF($T588&lt;24,pcomp_s,palt_s),MATCH($X588,IF($T588&lt;24,pcomp_k,palt_k),1)),""))</f>
        <v/>
      </c>
      <c r="AU588">
        <f>IF($AR588="","",IF($AR588=0,LN($F588/$AS588)/$AT588,((($F588/$AS588)^$AR588)-1)/($AR588*$AT588)))</f>
        <v/>
      </c>
      <c r="AV588">
        <f>IF($AR588="","",IF($AR588=0,$AS588*EXP($AT588*2),$AS588*(1+$AR588*$AT588*2)^(1/$AR588)))</f>
        <v/>
      </c>
      <c r="AW588">
        <f>IF($AR588="","",IF($AR588=0,$AS588*EXP($AT588*3),$AS588*(1+$AR588*$AT588*3)^(1/$AR588)))</f>
        <v/>
      </c>
      <c r="AX588">
        <f>IF($AR588="","",IF($AR588=0,$AS588*EXP($AT588*-2),$AS588*(1+$AR588*$AT588*-2)^(1/$AR588)))</f>
        <v/>
      </c>
      <c r="AY588">
        <f>IF($AR588="","",IF($AR588=0,$AS588*EXP($AT588*-3),$AS588*(1+$AR588*$AT588*-3)^(1/$AR588)))</f>
        <v/>
      </c>
      <c r="AZ588">
        <f>IF(OR($A588="",$A588&lt;&gt;Ficha!$C$4),"",COUNTIF($A$2:$A588,Ficha!$C$4))</f>
        <v/>
      </c>
    </row>
    <row r="589">
      <c r="A589" s="8">
        <f>IF(INDEX(Banco!$A:$A,ROW())="","",INDEX(Banco!$A:$A,ROW()))</f>
        <v/>
      </c>
      <c r="B589" s="8">
        <f>IF(INDEX(Banco!$B:$B,ROW())="","",INDEX(Banco!$B:$B,ROW()))</f>
        <v/>
      </c>
      <c r="C589" s="8">
        <f>IF(INDEX(Banco!$C:$C,ROW())="","",INDEX(Banco!$C:$C,ROW()))</f>
        <v/>
      </c>
      <c r="D589" s="9">
        <f>IF(INDEX(Banco!$D:$D,ROW())="","",INDEX(Banco!$D:$D,ROW()))</f>
        <v/>
      </c>
      <c r="E589" s="9">
        <f>IF(INDEX(Banco!$E:$E,ROW())="","",INDEX(Banco!$E:$E,ROW()))</f>
        <v/>
      </c>
      <c r="F589" s="10">
        <f>IF(INDEX(Banco!$F:$F,ROW())="","",INDEX(Banco!$F:$F,ROW()))</f>
        <v/>
      </c>
      <c r="G589" s="10">
        <f>IF(INDEX(Banco!$G:$G,ROW())="","",INDEX(Banco!$G:$G,ROW()))</f>
        <v/>
      </c>
      <c r="H589" s="8">
        <f>IF(INDEX(Banco!$H:$H,ROW())="","",INDEX(Banco!$H:$H,ROW()))</f>
        <v/>
      </c>
      <c r="I589">
        <f>IF($T589="","",INT($T589/12)&amp;"a "&amp;MOD($T589,12)&amp;"m")</f>
        <v/>
      </c>
      <c r="J589" s="11">
        <f>IF(OR($F589="",$G589=""),"",ROUND($F589/($G589/100)^2,2))</f>
        <v/>
      </c>
      <c r="K589" s="12">
        <f>IF(OR($S589="",$J589="",$T589="",$T589&lt;0,$T589&gt;228,$Y589=""),"—",ROUND(IF(ABS($AB589)&lt;=3,$AB589,IF($AB589&gt;3,3+($J589-$AD589)/($AD589-$AC589),-3+($J589-$AF589)/($AE589-$AF589))),2))</f>
        <v/>
      </c>
      <c r="L589">
        <f>IF(OR($K589="",$K589="—"),"",IF($T589&lt;=60,IF($K589&lt;-3,"Magreza acentuada",IF($K589&lt;-2,"Magreza",IF($K589&lt;=1,"Eutrofia",IF($K589&lt;=2,"Risco de sobrepeso",IF($K589&lt;=3,"Sobrepeso","Obesidade"))))),IF($K589&lt;-3,"Magreza acentuada",IF($K589&lt;-2,"Magreza",IF($K589&lt;=1,"Eutrofia",IF($K589&lt;=2,"Sobrepeso",IF($K589&lt;=3,"Obesidade","Obesidade grave")))))))</f>
        <v/>
      </c>
      <c r="M589" s="12">
        <f>IF(OR($S589="",$V589="",$T589="",$T589&lt;0,$T589&gt;228,$AG589=""),"—",ROUND(IF($AG589=0,LN($V589/$AH589)/$AI589,((($V589/$AH589)^$AG589)-1)/($AG589*$AI589)),2))</f>
        <v/>
      </c>
      <c r="N589">
        <f>IF(OR($M589="",$M589="—"),"",IF($M589&lt;-3,"Muito baixa",IF($M589&lt;-2,"Baixa","Adequada")))</f>
        <v/>
      </c>
      <c r="O589" s="12">
        <f>IF(OR($S589="",$F589="",$T589="",$T589&lt;0,$T589&gt;120,$AJ589=""),"—",ROUND(IF(ABS($AM589)&lt;=3,$AM589,IF($AM589&gt;3,3+($F589-$AO589)/($AO589-$AN589),-3+($F589-$AQ589)/($AP589-$AQ589))),2))</f>
        <v/>
      </c>
      <c r="P589">
        <f>IF(OR($O589="",$O589="—"),"",IF($O589&lt;-3,"Muito baixo",IF($O589&lt;-2,"Baixo",IF($O589&lt;=2,"Adequado","Elevado"))))</f>
        <v/>
      </c>
      <c r="Q589" s="12">
        <f>IF(OR($S589="",$F589="",$T589="",$T589&lt;0,$T589&gt;60,$AR589=""),"—",ROUND(IF(ABS($AU589)&lt;=3,$AU589,IF($AU589&gt;3,3+($F589-$AW589)/($AW589-$AV589),-3+($F589-$AY589)/($AX589-$AY589))),2))</f>
        <v/>
      </c>
      <c r="R589">
        <f>IF(OR($Q589="",$Q589="—"),"",IF($Q589&lt;-3,"Magreza acentuada",IF($Q589&lt;-2,"Magreza",IF($Q589&lt;=1,"Eutrofia",IF($Q589&lt;=2,"Risco de sobrepeso",IF($Q589&lt;=3,"Sobrepeso","Obesidade"))))))</f>
        <v/>
      </c>
      <c r="S589">
        <f>IF($C589="","",IF(UPPER(LEFT($C589,1))="M",1,IF(UPPER(LEFT($C589,1))="F",2,"")))</f>
        <v/>
      </c>
      <c r="T589">
        <f>IF(OR($D589="",$E589=""),"",DATEDIF($D589,$E589,"m"))</f>
        <v/>
      </c>
      <c r="U589">
        <f>IF(OR($D589="",$E589=""),"",$E589-$D589)</f>
        <v/>
      </c>
      <c r="V589">
        <f>IF(OR($G589="",$T589=""),"",IF($T589&lt;24,IF(LEFT(LOWER($H589),4)="em p",$G589+0.7,$G589),IF(LEFT(LOWER($H589),4)="deit",$G589-0.7,$G589)))</f>
        <v/>
      </c>
      <c r="W589">
        <f>IF(OR($S589="",$T589=""),"",$S589*1000000+IF($T589&lt;=60,$U589,$T589))</f>
        <v/>
      </c>
      <c r="X589">
        <f>IF(OR($S589="",$V589="",$T589&gt;60,$T589=""),"",$S589*1000000+ROUND($V589*10,0))</f>
        <v/>
      </c>
      <c r="Y589">
        <f>IF($W589="","",IFERROR(INDEX(IF($T589&lt;=60,imc05_l,imc519_l),MATCH($W589,IF($T589&lt;=60,imc05_k,imc519_k),1)),""))</f>
        <v/>
      </c>
      <c r="Z589">
        <f>IF($W589="","",IFERROR(INDEX(IF($T589&lt;=60,imc05_m,imc519_m),MATCH($W589,IF($T589&lt;=60,imc05_k,imc519_k),1)),""))</f>
        <v/>
      </c>
      <c r="AA589">
        <f>IF($W589="","",IFERROR(INDEX(IF($T589&lt;=60,imc05_s,imc519_s),MATCH($W589,IF($T589&lt;=60,imc05_k,imc519_k),1)),""))</f>
        <v/>
      </c>
      <c r="AB589">
        <f>IF($Y589="","",IF($Y589=0,LN($J589/$Z589)/$AA589,((($J589/$Z589)^$Y589)-1)/($Y589*$AA589)))</f>
        <v/>
      </c>
      <c r="AC589">
        <f>IF($Y589="","",IF($Y589=0,$Z589*EXP($AA589*2),$Z589*(1+$Y589*$AA589*2)^(1/$Y589)))</f>
        <v/>
      </c>
      <c r="AD589">
        <f>IF($Y589="","",IF($Y589=0,$Z589*EXP($AA589*3),$Z589*(1+$Y589*$AA589*3)^(1/$Y589)))</f>
        <v/>
      </c>
      <c r="AE589">
        <f>IF($Y589="","",IF($Y589=0,$Z589*EXP($AA589*-2),$Z589*(1+$Y589*$AA589*-2)^(1/$Y589)))</f>
        <v/>
      </c>
      <c r="AF589">
        <f>IF($Y589="","",IF($Y589=0,$Z589*EXP($AA589*-3),$Z589*(1+$Y589*$AA589*-3)^(1/$Y589)))</f>
        <v/>
      </c>
      <c r="AG589">
        <f>IF($W589="","",IFERROR(INDEX(IF($T589&lt;=60,est05_l,est519_l),MATCH($W589,IF($T589&lt;=60,est05_k,est519_k),1)),""))</f>
        <v/>
      </c>
      <c r="AH589">
        <f>IF($W589="","",IFERROR(INDEX(IF($T589&lt;=60,est05_m,est519_m),MATCH($W589,IF($T589&lt;=60,est05_k,est519_k),1)),""))</f>
        <v/>
      </c>
      <c r="AI589">
        <f>IF($W589="","",IFERROR(INDEX(IF($T589&lt;=60,est05_s,est519_s),MATCH($W589,IF($T589&lt;=60,est05_k,est519_k),1)),""))</f>
        <v/>
      </c>
      <c r="AJ589">
        <f>IF($W589="","",IFERROR(INDEX(IF($T589&lt;=60,peso05_l,peso510_l),MATCH($W589,IF($T589&lt;=60,peso05_k,peso510_k),1)),""))</f>
        <v/>
      </c>
      <c r="AK589">
        <f>IF($W589="","",IFERROR(INDEX(IF($T589&lt;=60,peso05_m,peso510_m),MATCH($W589,IF($T589&lt;=60,peso05_k,peso510_k),1)),""))</f>
        <v/>
      </c>
      <c r="AL589">
        <f>IF($W589="","",IFERROR(INDEX(IF($T589&lt;=60,peso05_s,peso510_s),MATCH($W589,IF($T589&lt;=60,peso05_k,peso510_k),1)),""))</f>
        <v/>
      </c>
      <c r="AM589">
        <f>IF($AJ589="","",IF($AJ589=0,LN($F589/$AK589)/$AL589,((($F589/$AK589)^$AJ589)-1)/($AJ589*$AL589)))</f>
        <v/>
      </c>
      <c r="AN589">
        <f>IF($AJ589="","",IF($AJ589=0,$AK589*EXP($AL589*2),$AK589*(1+$AJ589*$AL589*2)^(1/$AJ589)))</f>
        <v/>
      </c>
      <c r="AO589">
        <f>IF($AJ589="","",IF($AJ589=0,$AK589*EXP($AL589*3),$AK589*(1+$AJ589*$AL589*3)^(1/$AJ589)))</f>
        <v/>
      </c>
      <c r="AP589">
        <f>IF($AJ589="","",IF($AJ589=0,$AK589*EXP($AL589*-2),$AK589*(1+$AJ589*$AL589*-2)^(1/$AJ589)))</f>
        <v/>
      </c>
      <c r="AQ589">
        <f>IF($AJ589="","",IF($AJ589=0,$AK589*EXP($AL589*-3),$AK589*(1+$AJ589*$AL589*-3)^(1/$AJ589)))</f>
        <v/>
      </c>
      <c r="AR589">
        <f>IF(OR($X589="",$T589&gt;60),"",IFERROR(INDEX(IF($T589&lt;24,pcomp_l,palt_l),MATCH($X589,IF($T589&lt;24,pcomp_k,palt_k),1)),""))</f>
        <v/>
      </c>
      <c r="AS589">
        <f>IF(OR($X589="",$T589&gt;60),"",IFERROR(INDEX(IF($T589&lt;24,pcomp_m,palt_m),MATCH($X589,IF($T589&lt;24,pcomp_k,palt_k),1)),""))</f>
        <v/>
      </c>
      <c r="AT589">
        <f>IF(OR($X589="",$T589&gt;60),"",IFERROR(INDEX(IF($T589&lt;24,pcomp_s,palt_s),MATCH($X589,IF($T589&lt;24,pcomp_k,palt_k),1)),""))</f>
        <v/>
      </c>
      <c r="AU589">
        <f>IF($AR589="","",IF($AR589=0,LN($F589/$AS589)/$AT589,((($F589/$AS589)^$AR589)-1)/($AR589*$AT589)))</f>
        <v/>
      </c>
      <c r="AV589">
        <f>IF($AR589="","",IF($AR589=0,$AS589*EXP($AT589*2),$AS589*(1+$AR589*$AT589*2)^(1/$AR589)))</f>
        <v/>
      </c>
      <c r="AW589">
        <f>IF($AR589="","",IF($AR589=0,$AS589*EXP($AT589*3),$AS589*(1+$AR589*$AT589*3)^(1/$AR589)))</f>
        <v/>
      </c>
      <c r="AX589">
        <f>IF($AR589="","",IF($AR589=0,$AS589*EXP($AT589*-2),$AS589*(1+$AR589*$AT589*-2)^(1/$AR589)))</f>
        <v/>
      </c>
      <c r="AY589">
        <f>IF($AR589="","",IF($AR589=0,$AS589*EXP($AT589*-3),$AS589*(1+$AR589*$AT589*-3)^(1/$AR589)))</f>
        <v/>
      </c>
      <c r="AZ589">
        <f>IF(OR($A589="",$A589&lt;&gt;Ficha!$C$4),"",COUNTIF($A$2:$A589,Ficha!$C$4))</f>
        <v/>
      </c>
    </row>
    <row r="590">
      <c r="A590" s="8">
        <f>IF(INDEX(Banco!$A:$A,ROW())="","",INDEX(Banco!$A:$A,ROW()))</f>
        <v/>
      </c>
      <c r="B590" s="8">
        <f>IF(INDEX(Banco!$B:$B,ROW())="","",INDEX(Banco!$B:$B,ROW()))</f>
        <v/>
      </c>
      <c r="C590" s="8">
        <f>IF(INDEX(Banco!$C:$C,ROW())="","",INDEX(Banco!$C:$C,ROW()))</f>
        <v/>
      </c>
      <c r="D590" s="9">
        <f>IF(INDEX(Banco!$D:$D,ROW())="","",INDEX(Banco!$D:$D,ROW()))</f>
        <v/>
      </c>
      <c r="E590" s="9">
        <f>IF(INDEX(Banco!$E:$E,ROW())="","",INDEX(Banco!$E:$E,ROW()))</f>
        <v/>
      </c>
      <c r="F590" s="10">
        <f>IF(INDEX(Banco!$F:$F,ROW())="","",INDEX(Banco!$F:$F,ROW()))</f>
        <v/>
      </c>
      <c r="G590" s="10">
        <f>IF(INDEX(Banco!$G:$G,ROW())="","",INDEX(Banco!$G:$G,ROW()))</f>
        <v/>
      </c>
      <c r="H590" s="8">
        <f>IF(INDEX(Banco!$H:$H,ROW())="","",INDEX(Banco!$H:$H,ROW()))</f>
        <v/>
      </c>
      <c r="I590">
        <f>IF($T590="","",INT($T590/12)&amp;"a "&amp;MOD($T590,12)&amp;"m")</f>
        <v/>
      </c>
      <c r="J590" s="11">
        <f>IF(OR($F590="",$G590=""),"",ROUND($F590/($G590/100)^2,2))</f>
        <v/>
      </c>
      <c r="K590" s="12">
        <f>IF(OR($S590="",$J590="",$T590="",$T590&lt;0,$T590&gt;228,$Y590=""),"—",ROUND(IF(ABS($AB590)&lt;=3,$AB590,IF($AB590&gt;3,3+($J590-$AD590)/($AD590-$AC590),-3+($J590-$AF590)/($AE590-$AF590))),2))</f>
        <v/>
      </c>
      <c r="L590">
        <f>IF(OR($K590="",$K590="—"),"",IF($T590&lt;=60,IF($K590&lt;-3,"Magreza acentuada",IF($K590&lt;-2,"Magreza",IF($K590&lt;=1,"Eutrofia",IF($K590&lt;=2,"Risco de sobrepeso",IF($K590&lt;=3,"Sobrepeso","Obesidade"))))),IF($K590&lt;-3,"Magreza acentuada",IF($K590&lt;-2,"Magreza",IF($K590&lt;=1,"Eutrofia",IF($K590&lt;=2,"Sobrepeso",IF($K590&lt;=3,"Obesidade","Obesidade grave")))))))</f>
        <v/>
      </c>
      <c r="M590" s="12">
        <f>IF(OR($S590="",$V590="",$T590="",$T590&lt;0,$T590&gt;228,$AG590=""),"—",ROUND(IF($AG590=0,LN($V590/$AH590)/$AI590,((($V590/$AH590)^$AG590)-1)/($AG590*$AI590)),2))</f>
        <v/>
      </c>
      <c r="N590">
        <f>IF(OR($M590="",$M590="—"),"",IF($M590&lt;-3,"Muito baixa",IF($M590&lt;-2,"Baixa","Adequada")))</f>
        <v/>
      </c>
      <c r="O590" s="12">
        <f>IF(OR($S590="",$F590="",$T590="",$T590&lt;0,$T590&gt;120,$AJ590=""),"—",ROUND(IF(ABS($AM590)&lt;=3,$AM590,IF($AM590&gt;3,3+($F590-$AO590)/($AO590-$AN590),-3+($F590-$AQ590)/($AP590-$AQ590))),2))</f>
        <v/>
      </c>
      <c r="P590">
        <f>IF(OR($O590="",$O590="—"),"",IF($O590&lt;-3,"Muito baixo",IF($O590&lt;-2,"Baixo",IF($O590&lt;=2,"Adequado","Elevado"))))</f>
        <v/>
      </c>
      <c r="Q590" s="12">
        <f>IF(OR($S590="",$F590="",$T590="",$T590&lt;0,$T590&gt;60,$AR590=""),"—",ROUND(IF(ABS($AU590)&lt;=3,$AU590,IF($AU590&gt;3,3+($F590-$AW590)/($AW590-$AV590),-3+($F590-$AY590)/($AX590-$AY590))),2))</f>
        <v/>
      </c>
      <c r="R590">
        <f>IF(OR($Q590="",$Q590="—"),"",IF($Q590&lt;-3,"Magreza acentuada",IF($Q590&lt;-2,"Magreza",IF($Q590&lt;=1,"Eutrofia",IF($Q590&lt;=2,"Risco de sobrepeso",IF($Q590&lt;=3,"Sobrepeso","Obesidade"))))))</f>
        <v/>
      </c>
      <c r="S590">
        <f>IF($C590="","",IF(UPPER(LEFT($C590,1))="M",1,IF(UPPER(LEFT($C590,1))="F",2,"")))</f>
        <v/>
      </c>
      <c r="T590">
        <f>IF(OR($D590="",$E590=""),"",DATEDIF($D590,$E590,"m"))</f>
        <v/>
      </c>
      <c r="U590">
        <f>IF(OR($D590="",$E590=""),"",$E590-$D590)</f>
        <v/>
      </c>
      <c r="V590">
        <f>IF(OR($G590="",$T590=""),"",IF($T590&lt;24,IF(LEFT(LOWER($H590),4)="em p",$G590+0.7,$G590),IF(LEFT(LOWER($H590),4)="deit",$G590-0.7,$G590)))</f>
        <v/>
      </c>
      <c r="W590">
        <f>IF(OR($S590="",$T590=""),"",$S590*1000000+IF($T590&lt;=60,$U590,$T590))</f>
        <v/>
      </c>
      <c r="X590">
        <f>IF(OR($S590="",$V590="",$T590&gt;60,$T590=""),"",$S590*1000000+ROUND($V590*10,0))</f>
        <v/>
      </c>
      <c r="Y590">
        <f>IF($W590="","",IFERROR(INDEX(IF($T590&lt;=60,imc05_l,imc519_l),MATCH($W590,IF($T590&lt;=60,imc05_k,imc519_k),1)),""))</f>
        <v/>
      </c>
      <c r="Z590">
        <f>IF($W590="","",IFERROR(INDEX(IF($T590&lt;=60,imc05_m,imc519_m),MATCH($W590,IF($T590&lt;=60,imc05_k,imc519_k),1)),""))</f>
        <v/>
      </c>
      <c r="AA590">
        <f>IF($W590="","",IFERROR(INDEX(IF($T590&lt;=60,imc05_s,imc519_s),MATCH($W590,IF($T590&lt;=60,imc05_k,imc519_k),1)),""))</f>
        <v/>
      </c>
      <c r="AB590">
        <f>IF($Y590="","",IF($Y590=0,LN($J590/$Z590)/$AA590,((($J590/$Z590)^$Y590)-1)/($Y590*$AA590)))</f>
        <v/>
      </c>
      <c r="AC590">
        <f>IF($Y590="","",IF($Y590=0,$Z590*EXP($AA590*2),$Z590*(1+$Y590*$AA590*2)^(1/$Y590)))</f>
        <v/>
      </c>
      <c r="AD590">
        <f>IF($Y590="","",IF($Y590=0,$Z590*EXP($AA590*3),$Z590*(1+$Y590*$AA590*3)^(1/$Y590)))</f>
        <v/>
      </c>
      <c r="AE590">
        <f>IF($Y590="","",IF($Y590=0,$Z590*EXP($AA590*-2),$Z590*(1+$Y590*$AA590*-2)^(1/$Y590)))</f>
        <v/>
      </c>
      <c r="AF590">
        <f>IF($Y590="","",IF($Y590=0,$Z590*EXP($AA590*-3),$Z590*(1+$Y590*$AA590*-3)^(1/$Y590)))</f>
        <v/>
      </c>
      <c r="AG590">
        <f>IF($W590="","",IFERROR(INDEX(IF($T590&lt;=60,est05_l,est519_l),MATCH($W590,IF($T590&lt;=60,est05_k,est519_k),1)),""))</f>
        <v/>
      </c>
      <c r="AH590">
        <f>IF($W590="","",IFERROR(INDEX(IF($T590&lt;=60,est05_m,est519_m),MATCH($W590,IF($T590&lt;=60,est05_k,est519_k),1)),""))</f>
        <v/>
      </c>
      <c r="AI590">
        <f>IF($W590="","",IFERROR(INDEX(IF($T590&lt;=60,est05_s,est519_s),MATCH($W590,IF($T590&lt;=60,est05_k,est519_k),1)),""))</f>
        <v/>
      </c>
      <c r="AJ590">
        <f>IF($W590="","",IFERROR(INDEX(IF($T590&lt;=60,peso05_l,peso510_l),MATCH($W590,IF($T590&lt;=60,peso05_k,peso510_k),1)),""))</f>
        <v/>
      </c>
      <c r="AK590">
        <f>IF($W590="","",IFERROR(INDEX(IF($T590&lt;=60,peso05_m,peso510_m),MATCH($W590,IF($T590&lt;=60,peso05_k,peso510_k),1)),""))</f>
        <v/>
      </c>
      <c r="AL590">
        <f>IF($W590="","",IFERROR(INDEX(IF($T590&lt;=60,peso05_s,peso510_s),MATCH($W590,IF($T590&lt;=60,peso05_k,peso510_k),1)),""))</f>
        <v/>
      </c>
      <c r="AM590">
        <f>IF($AJ590="","",IF($AJ590=0,LN($F590/$AK590)/$AL590,((($F590/$AK590)^$AJ590)-1)/($AJ590*$AL590)))</f>
        <v/>
      </c>
      <c r="AN590">
        <f>IF($AJ590="","",IF($AJ590=0,$AK590*EXP($AL590*2),$AK590*(1+$AJ590*$AL590*2)^(1/$AJ590)))</f>
        <v/>
      </c>
      <c r="AO590">
        <f>IF($AJ590="","",IF($AJ590=0,$AK590*EXP($AL590*3),$AK590*(1+$AJ590*$AL590*3)^(1/$AJ590)))</f>
        <v/>
      </c>
      <c r="AP590">
        <f>IF($AJ590="","",IF($AJ590=0,$AK590*EXP($AL590*-2),$AK590*(1+$AJ590*$AL590*-2)^(1/$AJ590)))</f>
        <v/>
      </c>
      <c r="AQ590">
        <f>IF($AJ590="","",IF($AJ590=0,$AK590*EXP($AL590*-3),$AK590*(1+$AJ590*$AL590*-3)^(1/$AJ590)))</f>
        <v/>
      </c>
      <c r="AR590">
        <f>IF(OR($X590="",$T590&gt;60),"",IFERROR(INDEX(IF($T590&lt;24,pcomp_l,palt_l),MATCH($X590,IF($T590&lt;24,pcomp_k,palt_k),1)),""))</f>
        <v/>
      </c>
      <c r="AS590">
        <f>IF(OR($X590="",$T590&gt;60),"",IFERROR(INDEX(IF($T590&lt;24,pcomp_m,palt_m),MATCH($X590,IF($T590&lt;24,pcomp_k,palt_k),1)),""))</f>
        <v/>
      </c>
      <c r="AT590">
        <f>IF(OR($X590="",$T590&gt;60),"",IFERROR(INDEX(IF($T590&lt;24,pcomp_s,palt_s),MATCH($X590,IF($T590&lt;24,pcomp_k,palt_k),1)),""))</f>
        <v/>
      </c>
      <c r="AU590">
        <f>IF($AR590="","",IF($AR590=0,LN($F590/$AS590)/$AT590,((($F590/$AS590)^$AR590)-1)/($AR590*$AT590)))</f>
        <v/>
      </c>
      <c r="AV590">
        <f>IF($AR590="","",IF($AR590=0,$AS590*EXP($AT590*2),$AS590*(1+$AR590*$AT590*2)^(1/$AR590)))</f>
        <v/>
      </c>
      <c r="AW590">
        <f>IF($AR590="","",IF($AR590=0,$AS590*EXP($AT590*3),$AS590*(1+$AR590*$AT590*3)^(1/$AR590)))</f>
        <v/>
      </c>
      <c r="AX590">
        <f>IF($AR590="","",IF($AR590=0,$AS590*EXP($AT590*-2),$AS590*(1+$AR590*$AT590*-2)^(1/$AR590)))</f>
        <v/>
      </c>
      <c r="AY590">
        <f>IF($AR590="","",IF($AR590=0,$AS590*EXP($AT590*-3),$AS590*(1+$AR590*$AT590*-3)^(1/$AR590)))</f>
        <v/>
      </c>
      <c r="AZ590">
        <f>IF(OR($A590="",$A590&lt;&gt;Ficha!$C$4),"",COUNTIF($A$2:$A590,Ficha!$C$4))</f>
        <v/>
      </c>
    </row>
    <row r="591">
      <c r="A591" s="8">
        <f>IF(INDEX(Banco!$A:$A,ROW())="","",INDEX(Banco!$A:$A,ROW()))</f>
        <v/>
      </c>
      <c r="B591" s="8">
        <f>IF(INDEX(Banco!$B:$B,ROW())="","",INDEX(Banco!$B:$B,ROW()))</f>
        <v/>
      </c>
      <c r="C591" s="8">
        <f>IF(INDEX(Banco!$C:$C,ROW())="","",INDEX(Banco!$C:$C,ROW()))</f>
        <v/>
      </c>
      <c r="D591" s="9">
        <f>IF(INDEX(Banco!$D:$D,ROW())="","",INDEX(Banco!$D:$D,ROW()))</f>
        <v/>
      </c>
      <c r="E591" s="9">
        <f>IF(INDEX(Banco!$E:$E,ROW())="","",INDEX(Banco!$E:$E,ROW()))</f>
        <v/>
      </c>
      <c r="F591" s="10">
        <f>IF(INDEX(Banco!$F:$F,ROW())="","",INDEX(Banco!$F:$F,ROW()))</f>
        <v/>
      </c>
      <c r="G591" s="10">
        <f>IF(INDEX(Banco!$G:$G,ROW())="","",INDEX(Banco!$G:$G,ROW()))</f>
        <v/>
      </c>
      <c r="H591" s="8">
        <f>IF(INDEX(Banco!$H:$H,ROW())="","",INDEX(Banco!$H:$H,ROW()))</f>
        <v/>
      </c>
      <c r="I591">
        <f>IF($T591="","",INT($T591/12)&amp;"a "&amp;MOD($T591,12)&amp;"m")</f>
        <v/>
      </c>
      <c r="J591" s="11">
        <f>IF(OR($F591="",$G591=""),"",ROUND($F591/($G591/100)^2,2))</f>
        <v/>
      </c>
      <c r="K591" s="12">
        <f>IF(OR($S591="",$J591="",$T591="",$T591&lt;0,$T591&gt;228,$Y591=""),"—",ROUND(IF(ABS($AB591)&lt;=3,$AB591,IF($AB591&gt;3,3+($J591-$AD591)/($AD591-$AC591),-3+($J591-$AF591)/($AE591-$AF591))),2))</f>
        <v/>
      </c>
      <c r="L591">
        <f>IF(OR($K591="",$K591="—"),"",IF($T591&lt;=60,IF($K591&lt;-3,"Magreza acentuada",IF($K591&lt;-2,"Magreza",IF($K591&lt;=1,"Eutrofia",IF($K591&lt;=2,"Risco de sobrepeso",IF($K591&lt;=3,"Sobrepeso","Obesidade"))))),IF($K591&lt;-3,"Magreza acentuada",IF($K591&lt;-2,"Magreza",IF($K591&lt;=1,"Eutrofia",IF($K591&lt;=2,"Sobrepeso",IF($K591&lt;=3,"Obesidade","Obesidade grave")))))))</f>
        <v/>
      </c>
      <c r="M591" s="12">
        <f>IF(OR($S591="",$V591="",$T591="",$T591&lt;0,$T591&gt;228,$AG591=""),"—",ROUND(IF($AG591=0,LN($V591/$AH591)/$AI591,((($V591/$AH591)^$AG591)-1)/($AG591*$AI591)),2))</f>
        <v/>
      </c>
      <c r="N591">
        <f>IF(OR($M591="",$M591="—"),"",IF($M591&lt;-3,"Muito baixa",IF($M591&lt;-2,"Baixa","Adequada")))</f>
        <v/>
      </c>
      <c r="O591" s="12">
        <f>IF(OR($S591="",$F591="",$T591="",$T591&lt;0,$T591&gt;120,$AJ591=""),"—",ROUND(IF(ABS($AM591)&lt;=3,$AM591,IF($AM591&gt;3,3+($F591-$AO591)/($AO591-$AN591),-3+($F591-$AQ591)/($AP591-$AQ591))),2))</f>
        <v/>
      </c>
      <c r="P591">
        <f>IF(OR($O591="",$O591="—"),"",IF($O591&lt;-3,"Muito baixo",IF($O591&lt;-2,"Baixo",IF($O591&lt;=2,"Adequado","Elevado"))))</f>
        <v/>
      </c>
      <c r="Q591" s="12">
        <f>IF(OR($S591="",$F591="",$T591="",$T591&lt;0,$T591&gt;60,$AR591=""),"—",ROUND(IF(ABS($AU591)&lt;=3,$AU591,IF($AU591&gt;3,3+($F591-$AW591)/($AW591-$AV591),-3+($F591-$AY591)/($AX591-$AY591))),2))</f>
        <v/>
      </c>
      <c r="R591">
        <f>IF(OR($Q591="",$Q591="—"),"",IF($Q591&lt;-3,"Magreza acentuada",IF($Q591&lt;-2,"Magreza",IF($Q591&lt;=1,"Eutrofia",IF($Q591&lt;=2,"Risco de sobrepeso",IF($Q591&lt;=3,"Sobrepeso","Obesidade"))))))</f>
        <v/>
      </c>
      <c r="S591">
        <f>IF($C591="","",IF(UPPER(LEFT($C591,1))="M",1,IF(UPPER(LEFT($C591,1))="F",2,"")))</f>
        <v/>
      </c>
      <c r="T591">
        <f>IF(OR($D591="",$E591=""),"",DATEDIF($D591,$E591,"m"))</f>
        <v/>
      </c>
      <c r="U591">
        <f>IF(OR($D591="",$E591=""),"",$E591-$D591)</f>
        <v/>
      </c>
      <c r="V591">
        <f>IF(OR($G591="",$T591=""),"",IF($T591&lt;24,IF(LEFT(LOWER($H591),4)="em p",$G591+0.7,$G591),IF(LEFT(LOWER($H591),4)="deit",$G591-0.7,$G591)))</f>
        <v/>
      </c>
      <c r="W591">
        <f>IF(OR($S591="",$T591=""),"",$S591*1000000+IF($T591&lt;=60,$U591,$T591))</f>
        <v/>
      </c>
      <c r="X591">
        <f>IF(OR($S591="",$V591="",$T591&gt;60,$T591=""),"",$S591*1000000+ROUND($V591*10,0))</f>
        <v/>
      </c>
      <c r="Y591">
        <f>IF($W591="","",IFERROR(INDEX(IF($T591&lt;=60,imc05_l,imc519_l),MATCH($W591,IF($T591&lt;=60,imc05_k,imc519_k),1)),""))</f>
        <v/>
      </c>
      <c r="Z591">
        <f>IF($W591="","",IFERROR(INDEX(IF($T591&lt;=60,imc05_m,imc519_m),MATCH($W591,IF($T591&lt;=60,imc05_k,imc519_k),1)),""))</f>
        <v/>
      </c>
      <c r="AA591">
        <f>IF($W591="","",IFERROR(INDEX(IF($T591&lt;=60,imc05_s,imc519_s),MATCH($W591,IF($T591&lt;=60,imc05_k,imc519_k),1)),""))</f>
        <v/>
      </c>
      <c r="AB591">
        <f>IF($Y591="","",IF($Y591=0,LN($J591/$Z591)/$AA591,((($J591/$Z591)^$Y591)-1)/($Y591*$AA591)))</f>
        <v/>
      </c>
      <c r="AC591">
        <f>IF($Y591="","",IF($Y591=0,$Z591*EXP($AA591*2),$Z591*(1+$Y591*$AA591*2)^(1/$Y591)))</f>
        <v/>
      </c>
      <c r="AD591">
        <f>IF($Y591="","",IF($Y591=0,$Z591*EXP($AA591*3),$Z591*(1+$Y591*$AA591*3)^(1/$Y591)))</f>
        <v/>
      </c>
      <c r="AE591">
        <f>IF($Y591="","",IF($Y591=0,$Z591*EXP($AA591*-2),$Z591*(1+$Y591*$AA591*-2)^(1/$Y591)))</f>
        <v/>
      </c>
      <c r="AF591">
        <f>IF($Y591="","",IF($Y591=0,$Z591*EXP($AA591*-3),$Z591*(1+$Y591*$AA591*-3)^(1/$Y591)))</f>
        <v/>
      </c>
      <c r="AG591">
        <f>IF($W591="","",IFERROR(INDEX(IF($T591&lt;=60,est05_l,est519_l),MATCH($W591,IF($T591&lt;=60,est05_k,est519_k),1)),""))</f>
        <v/>
      </c>
      <c r="AH591">
        <f>IF($W591="","",IFERROR(INDEX(IF($T591&lt;=60,est05_m,est519_m),MATCH($W591,IF($T591&lt;=60,est05_k,est519_k),1)),""))</f>
        <v/>
      </c>
      <c r="AI591">
        <f>IF($W591="","",IFERROR(INDEX(IF($T591&lt;=60,est05_s,est519_s),MATCH($W591,IF($T591&lt;=60,est05_k,est519_k),1)),""))</f>
        <v/>
      </c>
      <c r="AJ591">
        <f>IF($W591="","",IFERROR(INDEX(IF($T591&lt;=60,peso05_l,peso510_l),MATCH($W591,IF($T591&lt;=60,peso05_k,peso510_k),1)),""))</f>
        <v/>
      </c>
      <c r="AK591">
        <f>IF($W591="","",IFERROR(INDEX(IF($T591&lt;=60,peso05_m,peso510_m),MATCH($W591,IF($T591&lt;=60,peso05_k,peso510_k),1)),""))</f>
        <v/>
      </c>
      <c r="AL591">
        <f>IF($W591="","",IFERROR(INDEX(IF($T591&lt;=60,peso05_s,peso510_s),MATCH($W591,IF($T591&lt;=60,peso05_k,peso510_k),1)),""))</f>
        <v/>
      </c>
      <c r="AM591">
        <f>IF($AJ591="","",IF($AJ591=0,LN($F591/$AK591)/$AL591,((($F591/$AK591)^$AJ591)-1)/($AJ591*$AL591)))</f>
        <v/>
      </c>
      <c r="AN591">
        <f>IF($AJ591="","",IF($AJ591=0,$AK591*EXP($AL591*2),$AK591*(1+$AJ591*$AL591*2)^(1/$AJ591)))</f>
        <v/>
      </c>
      <c r="AO591">
        <f>IF($AJ591="","",IF($AJ591=0,$AK591*EXP($AL591*3),$AK591*(1+$AJ591*$AL591*3)^(1/$AJ591)))</f>
        <v/>
      </c>
      <c r="AP591">
        <f>IF($AJ591="","",IF($AJ591=0,$AK591*EXP($AL591*-2),$AK591*(1+$AJ591*$AL591*-2)^(1/$AJ591)))</f>
        <v/>
      </c>
      <c r="AQ591">
        <f>IF($AJ591="","",IF($AJ591=0,$AK591*EXP($AL591*-3),$AK591*(1+$AJ591*$AL591*-3)^(1/$AJ591)))</f>
        <v/>
      </c>
      <c r="AR591">
        <f>IF(OR($X591="",$T591&gt;60),"",IFERROR(INDEX(IF($T591&lt;24,pcomp_l,palt_l),MATCH($X591,IF($T591&lt;24,pcomp_k,palt_k),1)),""))</f>
        <v/>
      </c>
      <c r="AS591">
        <f>IF(OR($X591="",$T591&gt;60),"",IFERROR(INDEX(IF($T591&lt;24,pcomp_m,palt_m),MATCH($X591,IF($T591&lt;24,pcomp_k,palt_k),1)),""))</f>
        <v/>
      </c>
      <c r="AT591">
        <f>IF(OR($X591="",$T591&gt;60),"",IFERROR(INDEX(IF($T591&lt;24,pcomp_s,palt_s),MATCH($X591,IF($T591&lt;24,pcomp_k,palt_k),1)),""))</f>
        <v/>
      </c>
      <c r="AU591">
        <f>IF($AR591="","",IF($AR591=0,LN($F591/$AS591)/$AT591,((($F591/$AS591)^$AR591)-1)/($AR591*$AT591)))</f>
        <v/>
      </c>
      <c r="AV591">
        <f>IF($AR591="","",IF($AR591=0,$AS591*EXP($AT591*2),$AS591*(1+$AR591*$AT591*2)^(1/$AR591)))</f>
        <v/>
      </c>
      <c r="AW591">
        <f>IF($AR591="","",IF($AR591=0,$AS591*EXP($AT591*3),$AS591*(1+$AR591*$AT591*3)^(1/$AR591)))</f>
        <v/>
      </c>
      <c r="AX591">
        <f>IF($AR591="","",IF($AR591=0,$AS591*EXP($AT591*-2),$AS591*(1+$AR591*$AT591*-2)^(1/$AR591)))</f>
        <v/>
      </c>
      <c r="AY591">
        <f>IF($AR591="","",IF($AR591=0,$AS591*EXP($AT591*-3),$AS591*(1+$AR591*$AT591*-3)^(1/$AR591)))</f>
        <v/>
      </c>
      <c r="AZ591">
        <f>IF(OR($A591="",$A591&lt;&gt;Ficha!$C$4),"",COUNTIF($A$2:$A591,Ficha!$C$4))</f>
        <v/>
      </c>
    </row>
    <row r="592">
      <c r="A592" s="8">
        <f>IF(INDEX(Banco!$A:$A,ROW())="","",INDEX(Banco!$A:$A,ROW()))</f>
        <v/>
      </c>
      <c r="B592" s="8">
        <f>IF(INDEX(Banco!$B:$B,ROW())="","",INDEX(Banco!$B:$B,ROW()))</f>
        <v/>
      </c>
      <c r="C592" s="8">
        <f>IF(INDEX(Banco!$C:$C,ROW())="","",INDEX(Banco!$C:$C,ROW()))</f>
        <v/>
      </c>
      <c r="D592" s="9">
        <f>IF(INDEX(Banco!$D:$D,ROW())="","",INDEX(Banco!$D:$D,ROW()))</f>
        <v/>
      </c>
      <c r="E592" s="9">
        <f>IF(INDEX(Banco!$E:$E,ROW())="","",INDEX(Banco!$E:$E,ROW()))</f>
        <v/>
      </c>
      <c r="F592" s="10">
        <f>IF(INDEX(Banco!$F:$F,ROW())="","",INDEX(Banco!$F:$F,ROW()))</f>
        <v/>
      </c>
      <c r="G592" s="10">
        <f>IF(INDEX(Banco!$G:$G,ROW())="","",INDEX(Banco!$G:$G,ROW()))</f>
        <v/>
      </c>
      <c r="H592" s="8">
        <f>IF(INDEX(Banco!$H:$H,ROW())="","",INDEX(Banco!$H:$H,ROW()))</f>
        <v/>
      </c>
      <c r="I592">
        <f>IF($T592="","",INT($T592/12)&amp;"a "&amp;MOD($T592,12)&amp;"m")</f>
        <v/>
      </c>
      <c r="J592" s="11">
        <f>IF(OR($F592="",$G592=""),"",ROUND($F592/($G592/100)^2,2))</f>
        <v/>
      </c>
      <c r="K592" s="12">
        <f>IF(OR($S592="",$J592="",$T592="",$T592&lt;0,$T592&gt;228,$Y592=""),"—",ROUND(IF(ABS($AB592)&lt;=3,$AB592,IF($AB592&gt;3,3+($J592-$AD592)/($AD592-$AC592),-3+($J592-$AF592)/($AE592-$AF592))),2))</f>
        <v/>
      </c>
      <c r="L592">
        <f>IF(OR($K592="",$K592="—"),"",IF($T592&lt;=60,IF($K592&lt;-3,"Magreza acentuada",IF($K592&lt;-2,"Magreza",IF($K592&lt;=1,"Eutrofia",IF($K592&lt;=2,"Risco de sobrepeso",IF($K592&lt;=3,"Sobrepeso","Obesidade"))))),IF($K592&lt;-3,"Magreza acentuada",IF($K592&lt;-2,"Magreza",IF($K592&lt;=1,"Eutrofia",IF($K592&lt;=2,"Sobrepeso",IF($K592&lt;=3,"Obesidade","Obesidade grave")))))))</f>
        <v/>
      </c>
      <c r="M592" s="12">
        <f>IF(OR($S592="",$V592="",$T592="",$T592&lt;0,$T592&gt;228,$AG592=""),"—",ROUND(IF($AG592=0,LN($V592/$AH592)/$AI592,((($V592/$AH592)^$AG592)-1)/($AG592*$AI592)),2))</f>
        <v/>
      </c>
      <c r="N592">
        <f>IF(OR($M592="",$M592="—"),"",IF($M592&lt;-3,"Muito baixa",IF($M592&lt;-2,"Baixa","Adequada")))</f>
        <v/>
      </c>
      <c r="O592" s="12">
        <f>IF(OR($S592="",$F592="",$T592="",$T592&lt;0,$T592&gt;120,$AJ592=""),"—",ROUND(IF(ABS($AM592)&lt;=3,$AM592,IF($AM592&gt;3,3+($F592-$AO592)/($AO592-$AN592),-3+($F592-$AQ592)/($AP592-$AQ592))),2))</f>
        <v/>
      </c>
      <c r="P592">
        <f>IF(OR($O592="",$O592="—"),"",IF($O592&lt;-3,"Muito baixo",IF($O592&lt;-2,"Baixo",IF($O592&lt;=2,"Adequado","Elevado"))))</f>
        <v/>
      </c>
      <c r="Q592" s="12">
        <f>IF(OR($S592="",$F592="",$T592="",$T592&lt;0,$T592&gt;60,$AR592=""),"—",ROUND(IF(ABS($AU592)&lt;=3,$AU592,IF($AU592&gt;3,3+($F592-$AW592)/($AW592-$AV592),-3+($F592-$AY592)/($AX592-$AY592))),2))</f>
        <v/>
      </c>
      <c r="R592">
        <f>IF(OR($Q592="",$Q592="—"),"",IF($Q592&lt;-3,"Magreza acentuada",IF($Q592&lt;-2,"Magreza",IF($Q592&lt;=1,"Eutrofia",IF($Q592&lt;=2,"Risco de sobrepeso",IF($Q592&lt;=3,"Sobrepeso","Obesidade"))))))</f>
        <v/>
      </c>
      <c r="S592">
        <f>IF($C592="","",IF(UPPER(LEFT($C592,1))="M",1,IF(UPPER(LEFT($C592,1))="F",2,"")))</f>
        <v/>
      </c>
      <c r="T592">
        <f>IF(OR($D592="",$E592=""),"",DATEDIF($D592,$E592,"m"))</f>
        <v/>
      </c>
      <c r="U592">
        <f>IF(OR($D592="",$E592=""),"",$E592-$D592)</f>
        <v/>
      </c>
      <c r="V592">
        <f>IF(OR($G592="",$T592=""),"",IF($T592&lt;24,IF(LEFT(LOWER($H592),4)="em p",$G592+0.7,$G592),IF(LEFT(LOWER($H592),4)="deit",$G592-0.7,$G592)))</f>
        <v/>
      </c>
      <c r="W592">
        <f>IF(OR($S592="",$T592=""),"",$S592*1000000+IF($T592&lt;=60,$U592,$T592))</f>
        <v/>
      </c>
      <c r="X592">
        <f>IF(OR($S592="",$V592="",$T592&gt;60,$T592=""),"",$S592*1000000+ROUND($V592*10,0))</f>
        <v/>
      </c>
      <c r="Y592">
        <f>IF($W592="","",IFERROR(INDEX(IF($T592&lt;=60,imc05_l,imc519_l),MATCH($W592,IF($T592&lt;=60,imc05_k,imc519_k),1)),""))</f>
        <v/>
      </c>
      <c r="Z592">
        <f>IF($W592="","",IFERROR(INDEX(IF($T592&lt;=60,imc05_m,imc519_m),MATCH($W592,IF($T592&lt;=60,imc05_k,imc519_k),1)),""))</f>
        <v/>
      </c>
      <c r="AA592">
        <f>IF($W592="","",IFERROR(INDEX(IF($T592&lt;=60,imc05_s,imc519_s),MATCH($W592,IF($T592&lt;=60,imc05_k,imc519_k),1)),""))</f>
        <v/>
      </c>
      <c r="AB592">
        <f>IF($Y592="","",IF($Y592=0,LN($J592/$Z592)/$AA592,((($J592/$Z592)^$Y592)-1)/($Y592*$AA592)))</f>
        <v/>
      </c>
      <c r="AC592">
        <f>IF($Y592="","",IF($Y592=0,$Z592*EXP($AA592*2),$Z592*(1+$Y592*$AA592*2)^(1/$Y592)))</f>
        <v/>
      </c>
      <c r="AD592">
        <f>IF($Y592="","",IF($Y592=0,$Z592*EXP($AA592*3),$Z592*(1+$Y592*$AA592*3)^(1/$Y592)))</f>
        <v/>
      </c>
      <c r="AE592">
        <f>IF($Y592="","",IF($Y592=0,$Z592*EXP($AA592*-2),$Z592*(1+$Y592*$AA592*-2)^(1/$Y592)))</f>
        <v/>
      </c>
      <c r="AF592">
        <f>IF($Y592="","",IF($Y592=0,$Z592*EXP($AA592*-3),$Z592*(1+$Y592*$AA592*-3)^(1/$Y592)))</f>
        <v/>
      </c>
      <c r="AG592">
        <f>IF($W592="","",IFERROR(INDEX(IF($T592&lt;=60,est05_l,est519_l),MATCH($W592,IF($T592&lt;=60,est05_k,est519_k),1)),""))</f>
        <v/>
      </c>
      <c r="AH592">
        <f>IF($W592="","",IFERROR(INDEX(IF($T592&lt;=60,est05_m,est519_m),MATCH($W592,IF($T592&lt;=60,est05_k,est519_k),1)),""))</f>
        <v/>
      </c>
      <c r="AI592">
        <f>IF($W592="","",IFERROR(INDEX(IF($T592&lt;=60,est05_s,est519_s),MATCH($W592,IF($T592&lt;=60,est05_k,est519_k),1)),""))</f>
        <v/>
      </c>
      <c r="AJ592">
        <f>IF($W592="","",IFERROR(INDEX(IF($T592&lt;=60,peso05_l,peso510_l),MATCH($W592,IF($T592&lt;=60,peso05_k,peso510_k),1)),""))</f>
        <v/>
      </c>
      <c r="AK592">
        <f>IF($W592="","",IFERROR(INDEX(IF($T592&lt;=60,peso05_m,peso510_m),MATCH($W592,IF($T592&lt;=60,peso05_k,peso510_k),1)),""))</f>
        <v/>
      </c>
      <c r="AL592">
        <f>IF($W592="","",IFERROR(INDEX(IF($T592&lt;=60,peso05_s,peso510_s),MATCH($W592,IF($T592&lt;=60,peso05_k,peso510_k),1)),""))</f>
        <v/>
      </c>
      <c r="AM592">
        <f>IF($AJ592="","",IF($AJ592=0,LN($F592/$AK592)/$AL592,((($F592/$AK592)^$AJ592)-1)/($AJ592*$AL592)))</f>
        <v/>
      </c>
      <c r="AN592">
        <f>IF($AJ592="","",IF($AJ592=0,$AK592*EXP($AL592*2),$AK592*(1+$AJ592*$AL592*2)^(1/$AJ592)))</f>
        <v/>
      </c>
      <c r="AO592">
        <f>IF($AJ592="","",IF($AJ592=0,$AK592*EXP($AL592*3),$AK592*(1+$AJ592*$AL592*3)^(1/$AJ592)))</f>
        <v/>
      </c>
      <c r="AP592">
        <f>IF($AJ592="","",IF($AJ592=0,$AK592*EXP($AL592*-2),$AK592*(1+$AJ592*$AL592*-2)^(1/$AJ592)))</f>
        <v/>
      </c>
      <c r="AQ592">
        <f>IF($AJ592="","",IF($AJ592=0,$AK592*EXP($AL592*-3),$AK592*(1+$AJ592*$AL592*-3)^(1/$AJ592)))</f>
        <v/>
      </c>
      <c r="AR592">
        <f>IF(OR($X592="",$T592&gt;60),"",IFERROR(INDEX(IF($T592&lt;24,pcomp_l,palt_l),MATCH($X592,IF($T592&lt;24,pcomp_k,palt_k),1)),""))</f>
        <v/>
      </c>
      <c r="AS592">
        <f>IF(OR($X592="",$T592&gt;60),"",IFERROR(INDEX(IF($T592&lt;24,pcomp_m,palt_m),MATCH($X592,IF($T592&lt;24,pcomp_k,palt_k),1)),""))</f>
        <v/>
      </c>
      <c r="AT592">
        <f>IF(OR($X592="",$T592&gt;60),"",IFERROR(INDEX(IF($T592&lt;24,pcomp_s,palt_s),MATCH($X592,IF($T592&lt;24,pcomp_k,palt_k),1)),""))</f>
        <v/>
      </c>
      <c r="AU592">
        <f>IF($AR592="","",IF($AR592=0,LN($F592/$AS592)/$AT592,((($F592/$AS592)^$AR592)-1)/($AR592*$AT592)))</f>
        <v/>
      </c>
      <c r="AV592">
        <f>IF($AR592="","",IF($AR592=0,$AS592*EXP($AT592*2),$AS592*(1+$AR592*$AT592*2)^(1/$AR592)))</f>
        <v/>
      </c>
      <c r="AW592">
        <f>IF($AR592="","",IF($AR592=0,$AS592*EXP($AT592*3),$AS592*(1+$AR592*$AT592*3)^(1/$AR592)))</f>
        <v/>
      </c>
      <c r="AX592">
        <f>IF($AR592="","",IF($AR592=0,$AS592*EXP($AT592*-2),$AS592*(1+$AR592*$AT592*-2)^(1/$AR592)))</f>
        <v/>
      </c>
      <c r="AY592">
        <f>IF($AR592="","",IF($AR592=0,$AS592*EXP($AT592*-3),$AS592*(1+$AR592*$AT592*-3)^(1/$AR592)))</f>
        <v/>
      </c>
      <c r="AZ592">
        <f>IF(OR($A592="",$A592&lt;&gt;Ficha!$C$4),"",COUNTIF($A$2:$A592,Ficha!$C$4))</f>
        <v/>
      </c>
    </row>
    <row r="593">
      <c r="A593" s="8">
        <f>IF(INDEX(Banco!$A:$A,ROW())="","",INDEX(Banco!$A:$A,ROW()))</f>
        <v/>
      </c>
      <c r="B593" s="8">
        <f>IF(INDEX(Banco!$B:$B,ROW())="","",INDEX(Banco!$B:$B,ROW()))</f>
        <v/>
      </c>
      <c r="C593" s="8">
        <f>IF(INDEX(Banco!$C:$C,ROW())="","",INDEX(Banco!$C:$C,ROW()))</f>
        <v/>
      </c>
      <c r="D593" s="9">
        <f>IF(INDEX(Banco!$D:$D,ROW())="","",INDEX(Banco!$D:$D,ROW()))</f>
        <v/>
      </c>
      <c r="E593" s="9">
        <f>IF(INDEX(Banco!$E:$E,ROW())="","",INDEX(Banco!$E:$E,ROW()))</f>
        <v/>
      </c>
      <c r="F593" s="10">
        <f>IF(INDEX(Banco!$F:$F,ROW())="","",INDEX(Banco!$F:$F,ROW()))</f>
        <v/>
      </c>
      <c r="G593" s="10">
        <f>IF(INDEX(Banco!$G:$G,ROW())="","",INDEX(Banco!$G:$G,ROW()))</f>
        <v/>
      </c>
      <c r="H593" s="8">
        <f>IF(INDEX(Banco!$H:$H,ROW())="","",INDEX(Banco!$H:$H,ROW()))</f>
        <v/>
      </c>
      <c r="I593">
        <f>IF($T593="","",INT($T593/12)&amp;"a "&amp;MOD($T593,12)&amp;"m")</f>
        <v/>
      </c>
      <c r="J593" s="11">
        <f>IF(OR($F593="",$G593=""),"",ROUND($F593/($G593/100)^2,2))</f>
        <v/>
      </c>
      <c r="K593" s="12">
        <f>IF(OR($S593="",$J593="",$T593="",$T593&lt;0,$T593&gt;228,$Y593=""),"—",ROUND(IF(ABS($AB593)&lt;=3,$AB593,IF($AB593&gt;3,3+($J593-$AD593)/($AD593-$AC593),-3+($J593-$AF593)/($AE593-$AF593))),2))</f>
        <v/>
      </c>
      <c r="L593">
        <f>IF(OR($K593="",$K593="—"),"",IF($T593&lt;=60,IF($K593&lt;-3,"Magreza acentuada",IF($K593&lt;-2,"Magreza",IF($K593&lt;=1,"Eutrofia",IF($K593&lt;=2,"Risco de sobrepeso",IF($K593&lt;=3,"Sobrepeso","Obesidade"))))),IF($K593&lt;-3,"Magreza acentuada",IF($K593&lt;-2,"Magreza",IF($K593&lt;=1,"Eutrofia",IF($K593&lt;=2,"Sobrepeso",IF($K593&lt;=3,"Obesidade","Obesidade grave")))))))</f>
        <v/>
      </c>
      <c r="M593" s="12">
        <f>IF(OR($S593="",$V593="",$T593="",$T593&lt;0,$T593&gt;228,$AG593=""),"—",ROUND(IF($AG593=0,LN($V593/$AH593)/$AI593,((($V593/$AH593)^$AG593)-1)/($AG593*$AI593)),2))</f>
        <v/>
      </c>
      <c r="N593">
        <f>IF(OR($M593="",$M593="—"),"",IF($M593&lt;-3,"Muito baixa",IF($M593&lt;-2,"Baixa","Adequada")))</f>
        <v/>
      </c>
      <c r="O593" s="12">
        <f>IF(OR($S593="",$F593="",$T593="",$T593&lt;0,$T593&gt;120,$AJ593=""),"—",ROUND(IF(ABS($AM593)&lt;=3,$AM593,IF($AM593&gt;3,3+($F593-$AO593)/($AO593-$AN593),-3+($F593-$AQ593)/($AP593-$AQ593))),2))</f>
        <v/>
      </c>
      <c r="P593">
        <f>IF(OR($O593="",$O593="—"),"",IF($O593&lt;-3,"Muito baixo",IF($O593&lt;-2,"Baixo",IF($O593&lt;=2,"Adequado","Elevado"))))</f>
        <v/>
      </c>
      <c r="Q593" s="12">
        <f>IF(OR($S593="",$F593="",$T593="",$T593&lt;0,$T593&gt;60,$AR593=""),"—",ROUND(IF(ABS($AU593)&lt;=3,$AU593,IF($AU593&gt;3,3+($F593-$AW593)/($AW593-$AV593),-3+($F593-$AY593)/($AX593-$AY593))),2))</f>
        <v/>
      </c>
      <c r="R593">
        <f>IF(OR($Q593="",$Q593="—"),"",IF($Q593&lt;-3,"Magreza acentuada",IF($Q593&lt;-2,"Magreza",IF($Q593&lt;=1,"Eutrofia",IF($Q593&lt;=2,"Risco de sobrepeso",IF($Q593&lt;=3,"Sobrepeso","Obesidade"))))))</f>
        <v/>
      </c>
      <c r="S593">
        <f>IF($C593="","",IF(UPPER(LEFT($C593,1))="M",1,IF(UPPER(LEFT($C593,1))="F",2,"")))</f>
        <v/>
      </c>
      <c r="T593">
        <f>IF(OR($D593="",$E593=""),"",DATEDIF($D593,$E593,"m"))</f>
        <v/>
      </c>
      <c r="U593">
        <f>IF(OR($D593="",$E593=""),"",$E593-$D593)</f>
        <v/>
      </c>
      <c r="V593">
        <f>IF(OR($G593="",$T593=""),"",IF($T593&lt;24,IF(LEFT(LOWER($H593),4)="em p",$G593+0.7,$G593),IF(LEFT(LOWER($H593),4)="deit",$G593-0.7,$G593)))</f>
        <v/>
      </c>
      <c r="W593">
        <f>IF(OR($S593="",$T593=""),"",$S593*1000000+IF($T593&lt;=60,$U593,$T593))</f>
        <v/>
      </c>
      <c r="X593">
        <f>IF(OR($S593="",$V593="",$T593&gt;60,$T593=""),"",$S593*1000000+ROUND($V593*10,0))</f>
        <v/>
      </c>
      <c r="Y593">
        <f>IF($W593="","",IFERROR(INDEX(IF($T593&lt;=60,imc05_l,imc519_l),MATCH($W593,IF($T593&lt;=60,imc05_k,imc519_k),1)),""))</f>
        <v/>
      </c>
      <c r="Z593">
        <f>IF($W593="","",IFERROR(INDEX(IF($T593&lt;=60,imc05_m,imc519_m),MATCH($W593,IF($T593&lt;=60,imc05_k,imc519_k),1)),""))</f>
        <v/>
      </c>
      <c r="AA593">
        <f>IF($W593="","",IFERROR(INDEX(IF($T593&lt;=60,imc05_s,imc519_s),MATCH($W593,IF($T593&lt;=60,imc05_k,imc519_k),1)),""))</f>
        <v/>
      </c>
      <c r="AB593">
        <f>IF($Y593="","",IF($Y593=0,LN($J593/$Z593)/$AA593,((($J593/$Z593)^$Y593)-1)/($Y593*$AA593)))</f>
        <v/>
      </c>
      <c r="AC593">
        <f>IF($Y593="","",IF($Y593=0,$Z593*EXP($AA593*2),$Z593*(1+$Y593*$AA593*2)^(1/$Y593)))</f>
        <v/>
      </c>
      <c r="AD593">
        <f>IF($Y593="","",IF($Y593=0,$Z593*EXP($AA593*3),$Z593*(1+$Y593*$AA593*3)^(1/$Y593)))</f>
        <v/>
      </c>
      <c r="AE593">
        <f>IF($Y593="","",IF($Y593=0,$Z593*EXP($AA593*-2),$Z593*(1+$Y593*$AA593*-2)^(1/$Y593)))</f>
        <v/>
      </c>
      <c r="AF593">
        <f>IF($Y593="","",IF($Y593=0,$Z593*EXP($AA593*-3),$Z593*(1+$Y593*$AA593*-3)^(1/$Y593)))</f>
        <v/>
      </c>
      <c r="AG593">
        <f>IF($W593="","",IFERROR(INDEX(IF($T593&lt;=60,est05_l,est519_l),MATCH($W593,IF($T593&lt;=60,est05_k,est519_k),1)),""))</f>
        <v/>
      </c>
      <c r="AH593">
        <f>IF($W593="","",IFERROR(INDEX(IF($T593&lt;=60,est05_m,est519_m),MATCH($W593,IF($T593&lt;=60,est05_k,est519_k),1)),""))</f>
        <v/>
      </c>
      <c r="AI593">
        <f>IF($W593="","",IFERROR(INDEX(IF($T593&lt;=60,est05_s,est519_s),MATCH($W593,IF($T593&lt;=60,est05_k,est519_k),1)),""))</f>
        <v/>
      </c>
      <c r="AJ593">
        <f>IF($W593="","",IFERROR(INDEX(IF($T593&lt;=60,peso05_l,peso510_l),MATCH($W593,IF($T593&lt;=60,peso05_k,peso510_k),1)),""))</f>
        <v/>
      </c>
      <c r="AK593">
        <f>IF($W593="","",IFERROR(INDEX(IF($T593&lt;=60,peso05_m,peso510_m),MATCH($W593,IF($T593&lt;=60,peso05_k,peso510_k),1)),""))</f>
        <v/>
      </c>
      <c r="AL593">
        <f>IF($W593="","",IFERROR(INDEX(IF($T593&lt;=60,peso05_s,peso510_s),MATCH($W593,IF($T593&lt;=60,peso05_k,peso510_k),1)),""))</f>
        <v/>
      </c>
      <c r="AM593">
        <f>IF($AJ593="","",IF($AJ593=0,LN($F593/$AK593)/$AL593,((($F593/$AK593)^$AJ593)-1)/($AJ593*$AL593)))</f>
        <v/>
      </c>
      <c r="AN593">
        <f>IF($AJ593="","",IF($AJ593=0,$AK593*EXP($AL593*2),$AK593*(1+$AJ593*$AL593*2)^(1/$AJ593)))</f>
        <v/>
      </c>
      <c r="AO593">
        <f>IF($AJ593="","",IF($AJ593=0,$AK593*EXP($AL593*3),$AK593*(1+$AJ593*$AL593*3)^(1/$AJ593)))</f>
        <v/>
      </c>
      <c r="AP593">
        <f>IF($AJ593="","",IF($AJ593=0,$AK593*EXP($AL593*-2),$AK593*(1+$AJ593*$AL593*-2)^(1/$AJ593)))</f>
        <v/>
      </c>
      <c r="AQ593">
        <f>IF($AJ593="","",IF($AJ593=0,$AK593*EXP($AL593*-3),$AK593*(1+$AJ593*$AL593*-3)^(1/$AJ593)))</f>
        <v/>
      </c>
      <c r="AR593">
        <f>IF(OR($X593="",$T593&gt;60),"",IFERROR(INDEX(IF($T593&lt;24,pcomp_l,palt_l),MATCH($X593,IF($T593&lt;24,pcomp_k,palt_k),1)),""))</f>
        <v/>
      </c>
      <c r="AS593">
        <f>IF(OR($X593="",$T593&gt;60),"",IFERROR(INDEX(IF($T593&lt;24,pcomp_m,palt_m),MATCH($X593,IF($T593&lt;24,pcomp_k,palt_k),1)),""))</f>
        <v/>
      </c>
      <c r="AT593">
        <f>IF(OR($X593="",$T593&gt;60),"",IFERROR(INDEX(IF($T593&lt;24,pcomp_s,palt_s),MATCH($X593,IF($T593&lt;24,pcomp_k,palt_k),1)),""))</f>
        <v/>
      </c>
      <c r="AU593">
        <f>IF($AR593="","",IF($AR593=0,LN($F593/$AS593)/$AT593,((($F593/$AS593)^$AR593)-1)/($AR593*$AT593)))</f>
        <v/>
      </c>
      <c r="AV593">
        <f>IF($AR593="","",IF($AR593=0,$AS593*EXP($AT593*2),$AS593*(1+$AR593*$AT593*2)^(1/$AR593)))</f>
        <v/>
      </c>
      <c r="AW593">
        <f>IF($AR593="","",IF($AR593=0,$AS593*EXP($AT593*3),$AS593*(1+$AR593*$AT593*3)^(1/$AR593)))</f>
        <v/>
      </c>
      <c r="AX593">
        <f>IF($AR593="","",IF($AR593=0,$AS593*EXP($AT593*-2),$AS593*(1+$AR593*$AT593*-2)^(1/$AR593)))</f>
        <v/>
      </c>
      <c r="AY593">
        <f>IF($AR593="","",IF($AR593=0,$AS593*EXP($AT593*-3),$AS593*(1+$AR593*$AT593*-3)^(1/$AR593)))</f>
        <v/>
      </c>
      <c r="AZ593">
        <f>IF(OR($A593="",$A593&lt;&gt;Ficha!$C$4),"",COUNTIF($A$2:$A593,Ficha!$C$4))</f>
        <v/>
      </c>
    </row>
    <row r="594">
      <c r="A594" s="8">
        <f>IF(INDEX(Banco!$A:$A,ROW())="","",INDEX(Banco!$A:$A,ROW()))</f>
        <v/>
      </c>
      <c r="B594" s="8">
        <f>IF(INDEX(Banco!$B:$B,ROW())="","",INDEX(Banco!$B:$B,ROW()))</f>
        <v/>
      </c>
      <c r="C594" s="8">
        <f>IF(INDEX(Banco!$C:$C,ROW())="","",INDEX(Banco!$C:$C,ROW()))</f>
        <v/>
      </c>
      <c r="D594" s="9">
        <f>IF(INDEX(Banco!$D:$D,ROW())="","",INDEX(Banco!$D:$D,ROW()))</f>
        <v/>
      </c>
      <c r="E594" s="9">
        <f>IF(INDEX(Banco!$E:$E,ROW())="","",INDEX(Banco!$E:$E,ROW()))</f>
        <v/>
      </c>
      <c r="F594" s="10">
        <f>IF(INDEX(Banco!$F:$F,ROW())="","",INDEX(Banco!$F:$F,ROW()))</f>
        <v/>
      </c>
      <c r="G594" s="10">
        <f>IF(INDEX(Banco!$G:$G,ROW())="","",INDEX(Banco!$G:$G,ROW()))</f>
        <v/>
      </c>
      <c r="H594" s="8">
        <f>IF(INDEX(Banco!$H:$H,ROW())="","",INDEX(Banco!$H:$H,ROW()))</f>
        <v/>
      </c>
      <c r="I594">
        <f>IF($T594="","",INT($T594/12)&amp;"a "&amp;MOD($T594,12)&amp;"m")</f>
        <v/>
      </c>
      <c r="J594" s="11">
        <f>IF(OR($F594="",$G594=""),"",ROUND($F594/($G594/100)^2,2))</f>
        <v/>
      </c>
      <c r="K594" s="12">
        <f>IF(OR($S594="",$J594="",$T594="",$T594&lt;0,$T594&gt;228,$Y594=""),"—",ROUND(IF(ABS($AB594)&lt;=3,$AB594,IF($AB594&gt;3,3+($J594-$AD594)/($AD594-$AC594),-3+($J594-$AF594)/($AE594-$AF594))),2))</f>
        <v/>
      </c>
      <c r="L594">
        <f>IF(OR($K594="",$K594="—"),"",IF($T594&lt;=60,IF($K594&lt;-3,"Magreza acentuada",IF($K594&lt;-2,"Magreza",IF($K594&lt;=1,"Eutrofia",IF($K594&lt;=2,"Risco de sobrepeso",IF($K594&lt;=3,"Sobrepeso","Obesidade"))))),IF($K594&lt;-3,"Magreza acentuada",IF($K594&lt;-2,"Magreza",IF($K594&lt;=1,"Eutrofia",IF($K594&lt;=2,"Sobrepeso",IF($K594&lt;=3,"Obesidade","Obesidade grave")))))))</f>
        <v/>
      </c>
      <c r="M594" s="12">
        <f>IF(OR($S594="",$V594="",$T594="",$T594&lt;0,$T594&gt;228,$AG594=""),"—",ROUND(IF($AG594=0,LN($V594/$AH594)/$AI594,((($V594/$AH594)^$AG594)-1)/($AG594*$AI594)),2))</f>
        <v/>
      </c>
      <c r="N594">
        <f>IF(OR($M594="",$M594="—"),"",IF($M594&lt;-3,"Muito baixa",IF($M594&lt;-2,"Baixa","Adequada")))</f>
        <v/>
      </c>
      <c r="O594" s="12">
        <f>IF(OR($S594="",$F594="",$T594="",$T594&lt;0,$T594&gt;120,$AJ594=""),"—",ROUND(IF(ABS($AM594)&lt;=3,$AM594,IF($AM594&gt;3,3+($F594-$AO594)/($AO594-$AN594),-3+($F594-$AQ594)/($AP594-$AQ594))),2))</f>
        <v/>
      </c>
      <c r="P594">
        <f>IF(OR($O594="",$O594="—"),"",IF($O594&lt;-3,"Muito baixo",IF($O594&lt;-2,"Baixo",IF($O594&lt;=2,"Adequado","Elevado"))))</f>
        <v/>
      </c>
      <c r="Q594" s="12">
        <f>IF(OR($S594="",$F594="",$T594="",$T594&lt;0,$T594&gt;60,$AR594=""),"—",ROUND(IF(ABS($AU594)&lt;=3,$AU594,IF($AU594&gt;3,3+($F594-$AW594)/($AW594-$AV594),-3+($F594-$AY594)/($AX594-$AY594))),2))</f>
        <v/>
      </c>
      <c r="R594">
        <f>IF(OR($Q594="",$Q594="—"),"",IF($Q594&lt;-3,"Magreza acentuada",IF($Q594&lt;-2,"Magreza",IF($Q594&lt;=1,"Eutrofia",IF($Q594&lt;=2,"Risco de sobrepeso",IF($Q594&lt;=3,"Sobrepeso","Obesidade"))))))</f>
        <v/>
      </c>
      <c r="S594">
        <f>IF($C594="","",IF(UPPER(LEFT($C594,1))="M",1,IF(UPPER(LEFT($C594,1))="F",2,"")))</f>
        <v/>
      </c>
      <c r="T594">
        <f>IF(OR($D594="",$E594=""),"",DATEDIF($D594,$E594,"m"))</f>
        <v/>
      </c>
      <c r="U594">
        <f>IF(OR($D594="",$E594=""),"",$E594-$D594)</f>
        <v/>
      </c>
      <c r="V594">
        <f>IF(OR($G594="",$T594=""),"",IF($T594&lt;24,IF(LEFT(LOWER($H594),4)="em p",$G594+0.7,$G594),IF(LEFT(LOWER($H594),4)="deit",$G594-0.7,$G594)))</f>
        <v/>
      </c>
      <c r="W594">
        <f>IF(OR($S594="",$T594=""),"",$S594*1000000+IF($T594&lt;=60,$U594,$T594))</f>
        <v/>
      </c>
      <c r="X594">
        <f>IF(OR($S594="",$V594="",$T594&gt;60,$T594=""),"",$S594*1000000+ROUND($V594*10,0))</f>
        <v/>
      </c>
      <c r="Y594">
        <f>IF($W594="","",IFERROR(INDEX(IF($T594&lt;=60,imc05_l,imc519_l),MATCH($W594,IF($T594&lt;=60,imc05_k,imc519_k),1)),""))</f>
        <v/>
      </c>
      <c r="Z594">
        <f>IF($W594="","",IFERROR(INDEX(IF($T594&lt;=60,imc05_m,imc519_m),MATCH($W594,IF($T594&lt;=60,imc05_k,imc519_k),1)),""))</f>
        <v/>
      </c>
      <c r="AA594">
        <f>IF($W594="","",IFERROR(INDEX(IF($T594&lt;=60,imc05_s,imc519_s),MATCH($W594,IF($T594&lt;=60,imc05_k,imc519_k),1)),""))</f>
        <v/>
      </c>
      <c r="AB594">
        <f>IF($Y594="","",IF($Y594=0,LN($J594/$Z594)/$AA594,((($J594/$Z594)^$Y594)-1)/($Y594*$AA594)))</f>
        <v/>
      </c>
      <c r="AC594">
        <f>IF($Y594="","",IF($Y594=0,$Z594*EXP($AA594*2),$Z594*(1+$Y594*$AA594*2)^(1/$Y594)))</f>
        <v/>
      </c>
      <c r="AD594">
        <f>IF($Y594="","",IF($Y594=0,$Z594*EXP($AA594*3),$Z594*(1+$Y594*$AA594*3)^(1/$Y594)))</f>
        <v/>
      </c>
      <c r="AE594">
        <f>IF($Y594="","",IF($Y594=0,$Z594*EXP($AA594*-2),$Z594*(1+$Y594*$AA594*-2)^(1/$Y594)))</f>
        <v/>
      </c>
      <c r="AF594">
        <f>IF($Y594="","",IF($Y594=0,$Z594*EXP($AA594*-3),$Z594*(1+$Y594*$AA594*-3)^(1/$Y594)))</f>
        <v/>
      </c>
      <c r="AG594">
        <f>IF($W594="","",IFERROR(INDEX(IF($T594&lt;=60,est05_l,est519_l),MATCH($W594,IF($T594&lt;=60,est05_k,est519_k),1)),""))</f>
        <v/>
      </c>
      <c r="AH594">
        <f>IF($W594="","",IFERROR(INDEX(IF($T594&lt;=60,est05_m,est519_m),MATCH($W594,IF($T594&lt;=60,est05_k,est519_k),1)),""))</f>
        <v/>
      </c>
      <c r="AI594">
        <f>IF($W594="","",IFERROR(INDEX(IF($T594&lt;=60,est05_s,est519_s),MATCH($W594,IF($T594&lt;=60,est05_k,est519_k),1)),""))</f>
        <v/>
      </c>
      <c r="AJ594">
        <f>IF($W594="","",IFERROR(INDEX(IF($T594&lt;=60,peso05_l,peso510_l),MATCH($W594,IF($T594&lt;=60,peso05_k,peso510_k),1)),""))</f>
        <v/>
      </c>
      <c r="AK594">
        <f>IF($W594="","",IFERROR(INDEX(IF($T594&lt;=60,peso05_m,peso510_m),MATCH($W594,IF($T594&lt;=60,peso05_k,peso510_k),1)),""))</f>
        <v/>
      </c>
      <c r="AL594">
        <f>IF($W594="","",IFERROR(INDEX(IF($T594&lt;=60,peso05_s,peso510_s),MATCH($W594,IF($T594&lt;=60,peso05_k,peso510_k),1)),""))</f>
        <v/>
      </c>
      <c r="AM594">
        <f>IF($AJ594="","",IF($AJ594=0,LN($F594/$AK594)/$AL594,((($F594/$AK594)^$AJ594)-1)/($AJ594*$AL594)))</f>
        <v/>
      </c>
      <c r="AN594">
        <f>IF($AJ594="","",IF($AJ594=0,$AK594*EXP($AL594*2),$AK594*(1+$AJ594*$AL594*2)^(1/$AJ594)))</f>
        <v/>
      </c>
      <c r="AO594">
        <f>IF($AJ594="","",IF($AJ594=0,$AK594*EXP($AL594*3),$AK594*(1+$AJ594*$AL594*3)^(1/$AJ594)))</f>
        <v/>
      </c>
      <c r="AP594">
        <f>IF($AJ594="","",IF($AJ594=0,$AK594*EXP($AL594*-2),$AK594*(1+$AJ594*$AL594*-2)^(1/$AJ594)))</f>
        <v/>
      </c>
      <c r="AQ594">
        <f>IF($AJ594="","",IF($AJ594=0,$AK594*EXP($AL594*-3),$AK594*(1+$AJ594*$AL594*-3)^(1/$AJ594)))</f>
        <v/>
      </c>
      <c r="AR594">
        <f>IF(OR($X594="",$T594&gt;60),"",IFERROR(INDEX(IF($T594&lt;24,pcomp_l,palt_l),MATCH($X594,IF($T594&lt;24,pcomp_k,palt_k),1)),""))</f>
        <v/>
      </c>
      <c r="AS594">
        <f>IF(OR($X594="",$T594&gt;60),"",IFERROR(INDEX(IF($T594&lt;24,pcomp_m,palt_m),MATCH($X594,IF($T594&lt;24,pcomp_k,palt_k),1)),""))</f>
        <v/>
      </c>
      <c r="AT594">
        <f>IF(OR($X594="",$T594&gt;60),"",IFERROR(INDEX(IF($T594&lt;24,pcomp_s,palt_s),MATCH($X594,IF($T594&lt;24,pcomp_k,palt_k),1)),""))</f>
        <v/>
      </c>
      <c r="AU594">
        <f>IF($AR594="","",IF($AR594=0,LN($F594/$AS594)/$AT594,((($F594/$AS594)^$AR594)-1)/($AR594*$AT594)))</f>
        <v/>
      </c>
      <c r="AV594">
        <f>IF($AR594="","",IF($AR594=0,$AS594*EXP($AT594*2),$AS594*(1+$AR594*$AT594*2)^(1/$AR594)))</f>
        <v/>
      </c>
      <c r="AW594">
        <f>IF($AR594="","",IF($AR594=0,$AS594*EXP($AT594*3),$AS594*(1+$AR594*$AT594*3)^(1/$AR594)))</f>
        <v/>
      </c>
      <c r="AX594">
        <f>IF($AR594="","",IF($AR594=0,$AS594*EXP($AT594*-2),$AS594*(1+$AR594*$AT594*-2)^(1/$AR594)))</f>
        <v/>
      </c>
      <c r="AY594">
        <f>IF($AR594="","",IF($AR594=0,$AS594*EXP($AT594*-3),$AS594*(1+$AR594*$AT594*-3)^(1/$AR594)))</f>
        <v/>
      </c>
      <c r="AZ594">
        <f>IF(OR($A594="",$A594&lt;&gt;Ficha!$C$4),"",COUNTIF($A$2:$A594,Ficha!$C$4))</f>
        <v/>
      </c>
    </row>
    <row r="595">
      <c r="A595" s="8">
        <f>IF(INDEX(Banco!$A:$A,ROW())="","",INDEX(Banco!$A:$A,ROW()))</f>
        <v/>
      </c>
      <c r="B595" s="8">
        <f>IF(INDEX(Banco!$B:$B,ROW())="","",INDEX(Banco!$B:$B,ROW()))</f>
        <v/>
      </c>
      <c r="C595" s="8">
        <f>IF(INDEX(Banco!$C:$C,ROW())="","",INDEX(Banco!$C:$C,ROW()))</f>
        <v/>
      </c>
      <c r="D595" s="9">
        <f>IF(INDEX(Banco!$D:$D,ROW())="","",INDEX(Banco!$D:$D,ROW()))</f>
        <v/>
      </c>
      <c r="E595" s="9">
        <f>IF(INDEX(Banco!$E:$E,ROW())="","",INDEX(Banco!$E:$E,ROW()))</f>
        <v/>
      </c>
      <c r="F595" s="10">
        <f>IF(INDEX(Banco!$F:$F,ROW())="","",INDEX(Banco!$F:$F,ROW()))</f>
        <v/>
      </c>
      <c r="G595" s="10">
        <f>IF(INDEX(Banco!$G:$G,ROW())="","",INDEX(Banco!$G:$G,ROW()))</f>
        <v/>
      </c>
      <c r="H595" s="8">
        <f>IF(INDEX(Banco!$H:$H,ROW())="","",INDEX(Banco!$H:$H,ROW()))</f>
        <v/>
      </c>
      <c r="I595">
        <f>IF($T595="","",INT($T595/12)&amp;"a "&amp;MOD($T595,12)&amp;"m")</f>
        <v/>
      </c>
      <c r="J595" s="11">
        <f>IF(OR($F595="",$G595=""),"",ROUND($F595/($G595/100)^2,2))</f>
        <v/>
      </c>
      <c r="K595" s="12">
        <f>IF(OR($S595="",$J595="",$T595="",$T595&lt;0,$T595&gt;228,$Y595=""),"—",ROUND(IF(ABS($AB595)&lt;=3,$AB595,IF($AB595&gt;3,3+($J595-$AD595)/($AD595-$AC595),-3+($J595-$AF595)/($AE595-$AF595))),2))</f>
        <v/>
      </c>
      <c r="L595">
        <f>IF(OR($K595="",$K595="—"),"",IF($T595&lt;=60,IF($K595&lt;-3,"Magreza acentuada",IF($K595&lt;-2,"Magreza",IF($K595&lt;=1,"Eutrofia",IF($K595&lt;=2,"Risco de sobrepeso",IF($K595&lt;=3,"Sobrepeso","Obesidade"))))),IF($K595&lt;-3,"Magreza acentuada",IF($K595&lt;-2,"Magreza",IF($K595&lt;=1,"Eutrofia",IF($K595&lt;=2,"Sobrepeso",IF($K595&lt;=3,"Obesidade","Obesidade grave")))))))</f>
        <v/>
      </c>
      <c r="M595" s="12">
        <f>IF(OR($S595="",$V595="",$T595="",$T595&lt;0,$T595&gt;228,$AG595=""),"—",ROUND(IF($AG595=0,LN($V595/$AH595)/$AI595,((($V595/$AH595)^$AG595)-1)/($AG595*$AI595)),2))</f>
        <v/>
      </c>
      <c r="N595">
        <f>IF(OR($M595="",$M595="—"),"",IF($M595&lt;-3,"Muito baixa",IF($M595&lt;-2,"Baixa","Adequada")))</f>
        <v/>
      </c>
      <c r="O595" s="12">
        <f>IF(OR($S595="",$F595="",$T595="",$T595&lt;0,$T595&gt;120,$AJ595=""),"—",ROUND(IF(ABS($AM595)&lt;=3,$AM595,IF($AM595&gt;3,3+($F595-$AO595)/($AO595-$AN595),-3+($F595-$AQ595)/($AP595-$AQ595))),2))</f>
        <v/>
      </c>
      <c r="P595">
        <f>IF(OR($O595="",$O595="—"),"",IF($O595&lt;-3,"Muito baixo",IF($O595&lt;-2,"Baixo",IF($O595&lt;=2,"Adequado","Elevado"))))</f>
        <v/>
      </c>
      <c r="Q595" s="12">
        <f>IF(OR($S595="",$F595="",$T595="",$T595&lt;0,$T595&gt;60,$AR595=""),"—",ROUND(IF(ABS($AU595)&lt;=3,$AU595,IF($AU595&gt;3,3+($F595-$AW595)/($AW595-$AV595),-3+($F595-$AY595)/($AX595-$AY595))),2))</f>
        <v/>
      </c>
      <c r="R595">
        <f>IF(OR($Q595="",$Q595="—"),"",IF($Q595&lt;-3,"Magreza acentuada",IF($Q595&lt;-2,"Magreza",IF($Q595&lt;=1,"Eutrofia",IF($Q595&lt;=2,"Risco de sobrepeso",IF($Q595&lt;=3,"Sobrepeso","Obesidade"))))))</f>
        <v/>
      </c>
      <c r="S595">
        <f>IF($C595="","",IF(UPPER(LEFT($C595,1))="M",1,IF(UPPER(LEFT($C595,1))="F",2,"")))</f>
        <v/>
      </c>
      <c r="T595">
        <f>IF(OR($D595="",$E595=""),"",DATEDIF($D595,$E595,"m"))</f>
        <v/>
      </c>
      <c r="U595">
        <f>IF(OR($D595="",$E595=""),"",$E595-$D595)</f>
        <v/>
      </c>
      <c r="V595">
        <f>IF(OR($G595="",$T595=""),"",IF($T595&lt;24,IF(LEFT(LOWER($H595),4)="em p",$G595+0.7,$G595),IF(LEFT(LOWER($H595),4)="deit",$G595-0.7,$G595)))</f>
        <v/>
      </c>
      <c r="W595">
        <f>IF(OR($S595="",$T595=""),"",$S595*1000000+IF($T595&lt;=60,$U595,$T595))</f>
        <v/>
      </c>
      <c r="X595">
        <f>IF(OR($S595="",$V595="",$T595&gt;60,$T595=""),"",$S595*1000000+ROUND($V595*10,0))</f>
        <v/>
      </c>
      <c r="Y595">
        <f>IF($W595="","",IFERROR(INDEX(IF($T595&lt;=60,imc05_l,imc519_l),MATCH($W595,IF($T595&lt;=60,imc05_k,imc519_k),1)),""))</f>
        <v/>
      </c>
      <c r="Z595">
        <f>IF($W595="","",IFERROR(INDEX(IF($T595&lt;=60,imc05_m,imc519_m),MATCH($W595,IF($T595&lt;=60,imc05_k,imc519_k),1)),""))</f>
        <v/>
      </c>
      <c r="AA595">
        <f>IF($W595="","",IFERROR(INDEX(IF($T595&lt;=60,imc05_s,imc519_s),MATCH($W595,IF($T595&lt;=60,imc05_k,imc519_k),1)),""))</f>
        <v/>
      </c>
      <c r="AB595">
        <f>IF($Y595="","",IF($Y595=0,LN($J595/$Z595)/$AA595,((($J595/$Z595)^$Y595)-1)/($Y595*$AA595)))</f>
        <v/>
      </c>
      <c r="AC595">
        <f>IF($Y595="","",IF($Y595=0,$Z595*EXP($AA595*2),$Z595*(1+$Y595*$AA595*2)^(1/$Y595)))</f>
        <v/>
      </c>
      <c r="AD595">
        <f>IF($Y595="","",IF($Y595=0,$Z595*EXP($AA595*3),$Z595*(1+$Y595*$AA595*3)^(1/$Y595)))</f>
        <v/>
      </c>
      <c r="AE595">
        <f>IF($Y595="","",IF($Y595=0,$Z595*EXP($AA595*-2),$Z595*(1+$Y595*$AA595*-2)^(1/$Y595)))</f>
        <v/>
      </c>
      <c r="AF595">
        <f>IF($Y595="","",IF($Y595=0,$Z595*EXP($AA595*-3),$Z595*(1+$Y595*$AA595*-3)^(1/$Y595)))</f>
        <v/>
      </c>
      <c r="AG595">
        <f>IF($W595="","",IFERROR(INDEX(IF($T595&lt;=60,est05_l,est519_l),MATCH($W595,IF($T595&lt;=60,est05_k,est519_k),1)),""))</f>
        <v/>
      </c>
      <c r="AH595">
        <f>IF($W595="","",IFERROR(INDEX(IF($T595&lt;=60,est05_m,est519_m),MATCH($W595,IF($T595&lt;=60,est05_k,est519_k),1)),""))</f>
        <v/>
      </c>
      <c r="AI595">
        <f>IF($W595="","",IFERROR(INDEX(IF($T595&lt;=60,est05_s,est519_s),MATCH($W595,IF($T595&lt;=60,est05_k,est519_k),1)),""))</f>
        <v/>
      </c>
      <c r="AJ595">
        <f>IF($W595="","",IFERROR(INDEX(IF($T595&lt;=60,peso05_l,peso510_l),MATCH($W595,IF($T595&lt;=60,peso05_k,peso510_k),1)),""))</f>
        <v/>
      </c>
      <c r="AK595">
        <f>IF($W595="","",IFERROR(INDEX(IF($T595&lt;=60,peso05_m,peso510_m),MATCH($W595,IF($T595&lt;=60,peso05_k,peso510_k),1)),""))</f>
        <v/>
      </c>
      <c r="AL595">
        <f>IF($W595="","",IFERROR(INDEX(IF($T595&lt;=60,peso05_s,peso510_s),MATCH($W595,IF($T595&lt;=60,peso05_k,peso510_k),1)),""))</f>
        <v/>
      </c>
      <c r="AM595">
        <f>IF($AJ595="","",IF($AJ595=0,LN($F595/$AK595)/$AL595,((($F595/$AK595)^$AJ595)-1)/($AJ595*$AL595)))</f>
        <v/>
      </c>
      <c r="AN595">
        <f>IF($AJ595="","",IF($AJ595=0,$AK595*EXP($AL595*2),$AK595*(1+$AJ595*$AL595*2)^(1/$AJ595)))</f>
        <v/>
      </c>
      <c r="AO595">
        <f>IF($AJ595="","",IF($AJ595=0,$AK595*EXP($AL595*3),$AK595*(1+$AJ595*$AL595*3)^(1/$AJ595)))</f>
        <v/>
      </c>
      <c r="AP595">
        <f>IF($AJ595="","",IF($AJ595=0,$AK595*EXP($AL595*-2),$AK595*(1+$AJ595*$AL595*-2)^(1/$AJ595)))</f>
        <v/>
      </c>
      <c r="AQ595">
        <f>IF($AJ595="","",IF($AJ595=0,$AK595*EXP($AL595*-3),$AK595*(1+$AJ595*$AL595*-3)^(1/$AJ595)))</f>
        <v/>
      </c>
      <c r="AR595">
        <f>IF(OR($X595="",$T595&gt;60),"",IFERROR(INDEX(IF($T595&lt;24,pcomp_l,palt_l),MATCH($X595,IF($T595&lt;24,pcomp_k,palt_k),1)),""))</f>
        <v/>
      </c>
      <c r="AS595">
        <f>IF(OR($X595="",$T595&gt;60),"",IFERROR(INDEX(IF($T595&lt;24,pcomp_m,palt_m),MATCH($X595,IF($T595&lt;24,pcomp_k,palt_k),1)),""))</f>
        <v/>
      </c>
      <c r="AT595">
        <f>IF(OR($X595="",$T595&gt;60),"",IFERROR(INDEX(IF($T595&lt;24,pcomp_s,palt_s),MATCH($X595,IF($T595&lt;24,pcomp_k,palt_k),1)),""))</f>
        <v/>
      </c>
      <c r="AU595">
        <f>IF($AR595="","",IF($AR595=0,LN($F595/$AS595)/$AT595,((($F595/$AS595)^$AR595)-1)/($AR595*$AT595)))</f>
        <v/>
      </c>
      <c r="AV595">
        <f>IF($AR595="","",IF($AR595=0,$AS595*EXP($AT595*2),$AS595*(1+$AR595*$AT595*2)^(1/$AR595)))</f>
        <v/>
      </c>
      <c r="AW595">
        <f>IF($AR595="","",IF($AR595=0,$AS595*EXP($AT595*3),$AS595*(1+$AR595*$AT595*3)^(1/$AR595)))</f>
        <v/>
      </c>
      <c r="AX595">
        <f>IF($AR595="","",IF($AR595=0,$AS595*EXP($AT595*-2),$AS595*(1+$AR595*$AT595*-2)^(1/$AR595)))</f>
        <v/>
      </c>
      <c r="AY595">
        <f>IF($AR595="","",IF($AR595=0,$AS595*EXP($AT595*-3),$AS595*(1+$AR595*$AT595*-3)^(1/$AR595)))</f>
        <v/>
      </c>
      <c r="AZ595">
        <f>IF(OR($A595="",$A595&lt;&gt;Ficha!$C$4),"",COUNTIF($A$2:$A595,Ficha!$C$4))</f>
        <v/>
      </c>
    </row>
    <row r="596">
      <c r="A596" s="8">
        <f>IF(INDEX(Banco!$A:$A,ROW())="","",INDEX(Banco!$A:$A,ROW()))</f>
        <v/>
      </c>
      <c r="B596" s="8">
        <f>IF(INDEX(Banco!$B:$B,ROW())="","",INDEX(Banco!$B:$B,ROW()))</f>
        <v/>
      </c>
      <c r="C596" s="8">
        <f>IF(INDEX(Banco!$C:$C,ROW())="","",INDEX(Banco!$C:$C,ROW()))</f>
        <v/>
      </c>
      <c r="D596" s="9">
        <f>IF(INDEX(Banco!$D:$D,ROW())="","",INDEX(Banco!$D:$D,ROW()))</f>
        <v/>
      </c>
      <c r="E596" s="9">
        <f>IF(INDEX(Banco!$E:$E,ROW())="","",INDEX(Banco!$E:$E,ROW()))</f>
        <v/>
      </c>
      <c r="F596" s="10">
        <f>IF(INDEX(Banco!$F:$F,ROW())="","",INDEX(Banco!$F:$F,ROW()))</f>
        <v/>
      </c>
      <c r="G596" s="10">
        <f>IF(INDEX(Banco!$G:$G,ROW())="","",INDEX(Banco!$G:$G,ROW()))</f>
        <v/>
      </c>
      <c r="H596" s="8">
        <f>IF(INDEX(Banco!$H:$H,ROW())="","",INDEX(Banco!$H:$H,ROW()))</f>
        <v/>
      </c>
      <c r="I596">
        <f>IF($T596="","",INT($T596/12)&amp;"a "&amp;MOD($T596,12)&amp;"m")</f>
        <v/>
      </c>
      <c r="J596" s="11">
        <f>IF(OR($F596="",$G596=""),"",ROUND($F596/($G596/100)^2,2))</f>
        <v/>
      </c>
      <c r="K596" s="12">
        <f>IF(OR($S596="",$J596="",$T596="",$T596&lt;0,$T596&gt;228,$Y596=""),"—",ROUND(IF(ABS($AB596)&lt;=3,$AB596,IF($AB596&gt;3,3+($J596-$AD596)/($AD596-$AC596),-3+($J596-$AF596)/($AE596-$AF596))),2))</f>
        <v/>
      </c>
      <c r="L596">
        <f>IF(OR($K596="",$K596="—"),"",IF($T596&lt;=60,IF($K596&lt;-3,"Magreza acentuada",IF($K596&lt;-2,"Magreza",IF($K596&lt;=1,"Eutrofia",IF($K596&lt;=2,"Risco de sobrepeso",IF($K596&lt;=3,"Sobrepeso","Obesidade"))))),IF($K596&lt;-3,"Magreza acentuada",IF($K596&lt;-2,"Magreza",IF($K596&lt;=1,"Eutrofia",IF($K596&lt;=2,"Sobrepeso",IF($K596&lt;=3,"Obesidade","Obesidade grave")))))))</f>
        <v/>
      </c>
      <c r="M596" s="12">
        <f>IF(OR($S596="",$V596="",$T596="",$T596&lt;0,$T596&gt;228,$AG596=""),"—",ROUND(IF($AG596=0,LN($V596/$AH596)/$AI596,((($V596/$AH596)^$AG596)-1)/($AG596*$AI596)),2))</f>
        <v/>
      </c>
      <c r="N596">
        <f>IF(OR($M596="",$M596="—"),"",IF($M596&lt;-3,"Muito baixa",IF($M596&lt;-2,"Baixa","Adequada")))</f>
        <v/>
      </c>
      <c r="O596" s="12">
        <f>IF(OR($S596="",$F596="",$T596="",$T596&lt;0,$T596&gt;120,$AJ596=""),"—",ROUND(IF(ABS($AM596)&lt;=3,$AM596,IF($AM596&gt;3,3+($F596-$AO596)/($AO596-$AN596),-3+($F596-$AQ596)/($AP596-$AQ596))),2))</f>
        <v/>
      </c>
      <c r="P596">
        <f>IF(OR($O596="",$O596="—"),"",IF($O596&lt;-3,"Muito baixo",IF($O596&lt;-2,"Baixo",IF($O596&lt;=2,"Adequado","Elevado"))))</f>
        <v/>
      </c>
      <c r="Q596" s="12">
        <f>IF(OR($S596="",$F596="",$T596="",$T596&lt;0,$T596&gt;60,$AR596=""),"—",ROUND(IF(ABS($AU596)&lt;=3,$AU596,IF($AU596&gt;3,3+($F596-$AW596)/($AW596-$AV596),-3+($F596-$AY596)/($AX596-$AY596))),2))</f>
        <v/>
      </c>
      <c r="R596">
        <f>IF(OR($Q596="",$Q596="—"),"",IF($Q596&lt;-3,"Magreza acentuada",IF($Q596&lt;-2,"Magreza",IF($Q596&lt;=1,"Eutrofia",IF($Q596&lt;=2,"Risco de sobrepeso",IF($Q596&lt;=3,"Sobrepeso","Obesidade"))))))</f>
        <v/>
      </c>
      <c r="S596">
        <f>IF($C596="","",IF(UPPER(LEFT($C596,1))="M",1,IF(UPPER(LEFT($C596,1))="F",2,"")))</f>
        <v/>
      </c>
      <c r="T596">
        <f>IF(OR($D596="",$E596=""),"",DATEDIF($D596,$E596,"m"))</f>
        <v/>
      </c>
      <c r="U596">
        <f>IF(OR($D596="",$E596=""),"",$E596-$D596)</f>
        <v/>
      </c>
      <c r="V596">
        <f>IF(OR($G596="",$T596=""),"",IF($T596&lt;24,IF(LEFT(LOWER($H596),4)="em p",$G596+0.7,$G596),IF(LEFT(LOWER($H596),4)="deit",$G596-0.7,$G596)))</f>
        <v/>
      </c>
      <c r="W596">
        <f>IF(OR($S596="",$T596=""),"",$S596*1000000+IF($T596&lt;=60,$U596,$T596))</f>
        <v/>
      </c>
      <c r="X596">
        <f>IF(OR($S596="",$V596="",$T596&gt;60,$T596=""),"",$S596*1000000+ROUND($V596*10,0))</f>
        <v/>
      </c>
      <c r="Y596">
        <f>IF($W596="","",IFERROR(INDEX(IF($T596&lt;=60,imc05_l,imc519_l),MATCH($W596,IF($T596&lt;=60,imc05_k,imc519_k),1)),""))</f>
        <v/>
      </c>
      <c r="Z596">
        <f>IF($W596="","",IFERROR(INDEX(IF($T596&lt;=60,imc05_m,imc519_m),MATCH($W596,IF($T596&lt;=60,imc05_k,imc519_k),1)),""))</f>
        <v/>
      </c>
      <c r="AA596">
        <f>IF($W596="","",IFERROR(INDEX(IF($T596&lt;=60,imc05_s,imc519_s),MATCH($W596,IF($T596&lt;=60,imc05_k,imc519_k),1)),""))</f>
        <v/>
      </c>
      <c r="AB596">
        <f>IF($Y596="","",IF($Y596=0,LN($J596/$Z596)/$AA596,((($J596/$Z596)^$Y596)-1)/($Y596*$AA596)))</f>
        <v/>
      </c>
      <c r="AC596">
        <f>IF($Y596="","",IF($Y596=0,$Z596*EXP($AA596*2),$Z596*(1+$Y596*$AA596*2)^(1/$Y596)))</f>
        <v/>
      </c>
      <c r="AD596">
        <f>IF($Y596="","",IF($Y596=0,$Z596*EXP($AA596*3),$Z596*(1+$Y596*$AA596*3)^(1/$Y596)))</f>
        <v/>
      </c>
      <c r="AE596">
        <f>IF($Y596="","",IF($Y596=0,$Z596*EXP($AA596*-2),$Z596*(1+$Y596*$AA596*-2)^(1/$Y596)))</f>
        <v/>
      </c>
      <c r="AF596">
        <f>IF($Y596="","",IF($Y596=0,$Z596*EXP($AA596*-3),$Z596*(1+$Y596*$AA596*-3)^(1/$Y596)))</f>
        <v/>
      </c>
      <c r="AG596">
        <f>IF($W596="","",IFERROR(INDEX(IF($T596&lt;=60,est05_l,est519_l),MATCH($W596,IF($T596&lt;=60,est05_k,est519_k),1)),""))</f>
        <v/>
      </c>
      <c r="AH596">
        <f>IF($W596="","",IFERROR(INDEX(IF($T596&lt;=60,est05_m,est519_m),MATCH($W596,IF($T596&lt;=60,est05_k,est519_k),1)),""))</f>
        <v/>
      </c>
      <c r="AI596">
        <f>IF($W596="","",IFERROR(INDEX(IF($T596&lt;=60,est05_s,est519_s),MATCH($W596,IF($T596&lt;=60,est05_k,est519_k),1)),""))</f>
        <v/>
      </c>
      <c r="AJ596">
        <f>IF($W596="","",IFERROR(INDEX(IF($T596&lt;=60,peso05_l,peso510_l),MATCH($W596,IF($T596&lt;=60,peso05_k,peso510_k),1)),""))</f>
        <v/>
      </c>
      <c r="AK596">
        <f>IF($W596="","",IFERROR(INDEX(IF($T596&lt;=60,peso05_m,peso510_m),MATCH($W596,IF($T596&lt;=60,peso05_k,peso510_k),1)),""))</f>
        <v/>
      </c>
      <c r="AL596">
        <f>IF($W596="","",IFERROR(INDEX(IF($T596&lt;=60,peso05_s,peso510_s),MATCH($W596,IF($T596&lt;=60,peso05_k,peso510_k),1)),""))</f>
        <v/>
      </c>
      <c r="AM596">
        <f>IF($AJ596="","",IF($AJ596=0,LN($F596/$AK596)/$AL596,((($F596/$AK596)^$AJ596)-1)/($AJ596*$AL596)))</f>
        <v/>
      </c>
      <c r="AN596">
        <f>IF($AJ596="","",IF($AJ596=0,$AK596*EXP($AL596*2),$AK596*(1+$AJ596*$AL596*2)^(1/$AJ596)))</f>
        <v/>
      </c>
      <c r="AO596">
        <f>IF($AJ596="","",IF($AJ596=0,$AK596*EXP($AL596*3),$AK596*(1+$AJ596*$AL596*3)^(1/$AJ596)))</f>
        <v/>
      </c>
      <c r="AP596">
        <f>IF($AJ596="","",IF($AJ596=0,$AK596*EXP($AL596*-2),$AK596*(1+$AJ596*$AL596*-2)^(1/$AJ596)))</f>
        <v/>
      </c>
      <c r="AQ596">
        <f>IF($AJ596="","",IF($AJ596=0,$AK596*EXP($AL596*-3),$AK596*(1+$AJ596*$AL596*-3)^(1/$AJ596)))</f>
        <v/>
      </c>
      <c r="AR596">
        <f>IF(OR($X596="",$T596&gt;60),"",IFERROR(INDEX(IF($T596&lt;24,pcomp_l,palt_l),MATCH($X596,IF($T596&lt;24,pcomp_k,palt_k),1)),""))</f>
        <v/>
      </c>
      <c r="AS596">
        <f>IF(OR($X596="",$T596&gt;60),"",IFERROR(INDEX(IF($T596&lt;24,pcomp_m,palt_m),MATCH($X596,IF($T596&lt;24,pcomp_k,palt_k),1)),""))</f>
        <v/>
      </c>
      <c r="AT596">
        <f>IF(OR($X596="",$T596&gt;60),"",IFERROR(INDEX(IF($T596&lt;24,pcomp_s,palt_s),MATCH($X596,IF($T596&lt;24,pcomp_k,palt_k),1)),""))</f>
        <v/>
      </c>
      <c r="AU596">
        <f>IF($AR596="","",IF($AR596=0,LN($F596/$AS596)/$AT596,((($F596/$AS596)^$AR596)-1)/($AR596*$AT596)))</f>
        <v/>
      </c>
      <c r="AV596">
        <f>IF($AR596="","",IF($AR596=0,$AS596*EXP($AT596*2),$AS596*(1+$AR596*$AT596*2)^(1/$AR596)))</f>
        <v/>
      </c>
      <c r="AW596">
        <f>IF($AR596="","",IF($AR596=0,$AS596*EXP($AT596*3),$AS596*(1+$AR596*$AT596*3)^(1/$AR596)))</f>
        <v/>
      </c>
      <c r="AX596">
        <f>IF($AR596="","",IF($AR596=0,$AS596*EXP($AT596*-2),$AS596*(1+$AR596*$AT596*-2)^(1/$AR596)))</f>
        <v/>
      </c>
      <c r="AY596">
        <f>IF($AR596="","",IF($AR596=0,$AS596*EXP($AT596*-3),$AS596*(1+$AR596*$AT596*-3)^(1/$AR596)))</f>
        <v/>
      </c>
      <c r="AZ596">
        <f>IF(OR($A596="",$A596&lt;&gt;Ficha!$C$4),"",COUNTIF($A$2:$A596,Ficha!$C$4))</f>
        <v/>
      </c>
    </row>
    <row r="597">
      <c r="A597" s="8">
        <f>IF(INDEX(Banco!$A:$A,ROW())="","",INDEX(Banco!$A:$A,ROW()))</f>
        <v/>
      </c>
      <c r="B597" s="8">
        <f>IF(INDEX(Banco!$B:$B,ROW())="","",INDEX(Banco!$B:$B,ROW()))</f>
        <v/>
      </c>
      <c r="C597" s="8">
        <f>IF(INDEX(Banco!$C:$C,ROW())="","",INDEX(Banco!$C:$C,ROW()))</f>
        <v/>
      </c>
      <c r="D597" s="9">
        <f>IF(INDEX(Banco!$D:$D,ROW())="","",INDEX(Banco!$D:$D,ROW()))</f>
        <v/>
      </c>
      <c r="E597" s="9">
        <f>IF(INDEX(Banco!$E:$E,ROW())="","",INDEX(Banco!$E:$E,ROW()))</f>
        <v/>
      </c>
      <c r="F597" s="10">
        <f>IF(INDEX(Banco!$F:$F,ROW())="","",INDEX(Banco!$F:$F,ROW()))</f>
        <v/>
      </c>
      <c r="G597" s="10">
        <f>IF(INDEX(Banco!$G:$G,ROW())="","",INDEX(Banco!$G:$G,ROW()))</f>
        <v/>
      </c>
      <c r="H597" s="8">
        <f>IF(INDEX(Banco!$H:$H,ROW())="","",INDEX(Banco!$H:$H,ROW()))</f>
        <v/>
      </c>
      <c r="I597">
        <f>IF($T597="","",INT($T597/12)&amp;"a "&amp;MOD($T597,12)&amp;"m")</f>
        <v/>
      </c>
      <c r="J597" s="11">
        <f>IF(OR($F597="",$G597=""),"",ROUND($F597/($G597/100)^2,2))</f>
        <v/>
      </c>
      <c r="K597" s="12">
        <f>IF(OR($S597="",$J597="",$T597="",$T597&lt;0,$T597&gt;228,$Y597=""),"—",ROUND(IF(ABS($AB597)&lt;=3,$AB597,IF($AB597&gt;3,3+($J597-$AD597)/($AD597-$AC597),-3+($J597-$AF597)/($AE597-$AF597))),2))</f>
        <v/>
      </c>
      <c r="L597">
        <f>IF(OR($K597="",$K597="—"),"",IF($T597&lt;=60,IF($K597&lt;-3,"Magreza acentuada",IF($K597&lt;-2,"Magreza",IF($K597&lt;=1,"Eutrofia",IF($K597&lt;=2,"Risco de sobrepeso",IF($K597&lt;=3,"Sobrepeso","Obesidade"))))),IF($K597&lt;-3,"Magreza acentuada",IF($K597&lt;-2,"Magreza",IF($K597&lt;=1,"Eutrofia",IF($K597&lt;=2,"Sobrepeso",IF($K597&lt;=3,"Obesidade","Obesidade grave")))))))</f>
        <v/>
      </c>
      <c r="M597" s="12">
        <f>IF(OR($S597="",$V597="",$T597="",$T597&lt;0,$T597&gt;228,$AG597=""),"—",ROUND(IF($AG597=0,LN($V597/$AH597)/$AI597,((($V597/$AH597)^$AG597)-1)/($AG597*$AI597)),2))</f>
        <v/>
      </c>
      <c r="N597">
        <f>IF(OR($M597="",$M597="—"),"",IF($M597&lt;-3,"Muito baixa",IF($M597&lt;-2,"Baixa","Adequada")))</f>
        <v/>
      </c>
      <c r="O597" s="12">
        <f>IF(OR($S597="",$F597="",$T597="",$T597&lt;0,$T597&gt;120,$AJ597=""),"—",ROUND(IF(ABS($AM597)&lt;=3,$AM597,IF($AM597&gt;3,3+($F597-$AO597)/($AO597-$AN597),-3+($F597-$AQ597)/($AP597-$AQ597))),2))</f>
        <v/>
      </c>
      <c r="P597">
        <f>IF(OR($O597="",$O597="—"),"",IF($O597&lt;-3,"Muito baixo",IF($O597&lt;-2,"Baixo",IF($O597&lt;=2,"Adequado","Elevado"))))</f>
        <v/>
      </c>
      <c r="Q597" s="12">
        <f>IF(OR($S597="",$F597="",$T597="",$T597&lt;0,$T597&gt;60,$AR597=""),"—",ROUND(IF(ABS($AU597)&lt;=3,$AU597,IF($AU597&gt;3,3+($F597-$AW597)/($AW597-$AV597),-3+($F597-$AY597)/($AX597-$AY597))),2))</f>
        <v/>
      </c>
      <c r="R597">
        <f>IF(OR($Q597="",$Q597="—"),"",IF($Q597&lt;-3,"Magreza acentuada",IF($Q597&lt;-2,"Magreza",IF($Q597&lt;=1,"Eutrofia",IF($Q597&lt;=2,"Risco de sobrepeso",IF($Q597&lt;=3,"Sobrepeso","Obesidade"))))))</f>
        <v/>
      </c>
      <c r="S597">
        <f>IF($C597="","",IF(UPPER(LEFT($C597,1))="M",1,IF(UPPER(LEFT($C597,1))="F",2,"")))</f>
        <v/>
      </c>
      <c r="T597">
        <f>IF(OR($D597="",$E597=""),"",DATEDIF($D597,$E597,"m"))</f>
        <v/>
      </c>
      <c r="U597">
        <f>IF(OR($D597="",$E597=""),"",$E597-$D597)</f>
        <v/>
      </c>
      <c r="V597">
        <f>IF(OR($G597="",$T597=""),"",IF($T597&lt;24,IF(LEFT(LOWER($H597),4)="em p",$G597+0.7,$G597),IF(LEFT(LOWER($H597),4)="deit",$G597-0.7,$G597)))</f>
        <v/>
      </c>
      <c r="W597">
        <f>IF(OR($S597="",$T597=""),"",$S597*1000000+IF($T597&lt;=60,$U597,$T597))</f>
        <v/>
      </c>
      <c r="X597">
        <f>IF(OR($S597="",$V597="",$T597&gt;60,$T597=""),"",$S597*1000000+ROUND($V597*10,0))</f>
        <v/>
      </c>
      <c r="Y597">
        <f>IF($W597="","",IFERROR(INDEX(IF($T597&lt;=60,imc05_l,imc519_l),MATCH($W597,IF($T597&lt;=60,imc05_k,imc519_k),1)),""))</f>
        <v/>
      </c>
      <c r="Z597">
        <f>IF($W597="","",IFERROR(INDEX(IF($T597&lt;=60,imc05_m,imc519_m),MATCH($W597,IF($T597&lt;=60,imc05_k,imc519_k),1)),""))</f>
        <v/>
      </c>
      <c r="AA597">
        <f>IF($W597="","",IFERROR(INDEX(IF($T597&lt;=60,imc05_s,imc519_s),MATCH($W597,IF($T597&lt;=60,imc05_k,imc519_k),1)),""))</f>
        <v/>
      </c>
      <c r="AB597">
        <f>IF($Y597="","",IF($Y597=0,LN($J597/$Z597)/$AA597,((($J597/$Z597)^$Y597)-1)/($Y597*$AA597)))</f>
        <v/>
      </c>
      <c r="AC597">
        <f>IF($Y597="","",IF($Y597=0,$Z597*EXP($AA597*2),$Z597*(1+$Y597*$AA597*2)^(1/$Y597)))</f>
        <v/>
      </c>
      <c r="AD597">
        <f>IF($Y597="","",IF($Y597=0,$Z597*EXP($AA597*3),$Z597*(1+$Y597*$AA597*3)^(1/$Y597)))</f>
        <v/>
      </c>
      <c r="AE597">
        <f>IF($Y597="","",IF($Y597=0,$Z597*EXP($AA597*-2),$Z597*(1+$Y597*$AA597*-2)^(1/$Y597)))</f>
        <v/>
      </c>
      <c r="AF597">
        <f>IF($Y597="","",IF($Y597=0,$Z597*EXP($AA597*-3),$Z597*(1+$Y597*$AA597*-3)^(1/$Y597)))</f>
        <v/>
      </c>
      <c r="AG597">
        <f>IF($W597="","",IFERROR(INDEX(IF($T597&lt;=60,est05_l,est519_l),MATCH($W597,IF($T597&lt;=60,est05_k,est519_k),1)),""))</f>
        <v/>
      </c>
      <c r="AH597">
        <f>IF($W597="","",IFERROR(INDEX(IF($T597&lt;=60,est05_m,est519_m),MATCH($W597,IF($T597&lt;=60,est05_k,est519_k),1)),""))</f>
        <v/>
      </c>
      <c r="AI597">
        <f>IF($W597="","",IFERROR(INDEX(IF($T597&lt;=60,est05_s,est519_s),MATCH($W597,IF($T597&lt;=60,est05_k,est519_k),1)),""))</f>
        <v/>
      </c>
      <c r="AJ597">
        <f>IF($W597="","",IFERROR(INDEX(IF($T597&lt;=60,peso05_l,peso510_l),MATCH($W597,IF($T597&lt;=60,peso05_k,peso510_k),1)),""))</f>
        <v/>
      </c>
      <c r="AK597">
        <f>IF($W597="","",IFERROR(INDEX(IF($T597&lt;=60,peso05_m,peso510_m),MATCH($W597,IF($T597&lt;=60,peso05_k,peso510_k),1)),""))</f>
        <v/>
      </c>
      <c r="AL597">
        <f>IF($W597="","",IFERROR(INDEX(IF($T597&lt;=60,peso05_s,peso510_s),MATCH($W597,IF($T597&lt;=60,peso05_k,peso510_k),1)),""))</f>
        <v/>
      </c>
      <c r="AM597">
        <f>IF($AJ597="","",IF($AJ597=0,LN($F597/$AK597)/$AL597,((($F597/$AK597)^$AJ597)-1)/($AJ597*$AL597)))</f>
        <v/>
      </c>
      <c r="AN597">
        <f>IF($AJ597="","",IF($AJ597=0,$AK597*EXP($AL597*2),$AK597*(1+$AJ597*$AL597*2)^(1/$AJ597)))</f>
        <v/>
      </c>
      <c r="AO597">
        <f>IF($AJ597="","",IF($AJ597=0,$AK597*EXP($AL597*3),$AK597*(1+$AJ597*$AL597*3)^(1/$AJ597)))</f>
        <v/>
      </c>
      <c r="AP597">
        <f>IF($AJ597="","",IF($AJ597=0,$AK597*EXP($AL597*-2),$AK597*(1+$AJ597*$AL597*-2)^(1/$AJ597)))</f>
        <v/>
      </c>
      <c r="AQ597">
        <f>IF($AJ597="","",IF($AJ597=0,$AK597*EXP($AL597*-3),$AK597*(1+$AJ597*$AL597*-3)^(1/$AJ597)))</f>
        <v/>
      </c>
      <c r="AR597">
        <f>IF(OR($X597="",$T597&gt;60),"",IFERROR(INDEX(IF($T597&lt;24,pcomp_l,palt_l),MATCH($X597,IF($T597&lt;24,pcomp_k,palt_k),1)),""))</f>
        <v/>
      </c>
      <c r="AS597">
        <f>IF(OR($X597="",$T597&gt;60),"",IFERROR(INDEX(IF($T597&lt;24,pcomp_m,palt_m),MATCH($X597,IF($T597&lt;24,pcomp_k,palt_k),1)),""))</f>
        <v/>
      </c>
      <c r="AT597">
        <f>IF(OR($X597="",$T597&gt;60),"",IFERROR(INDEX(IF($T597&lt;24,pcomp_s,palt_s),MATCH($X597,IF($T597&lt;24,pcomp_k,palt_k),1)),""))</f>
        <v/>
      </c>
      <c r="AU597">
        <f>IF($AR597="","",IF($AR597=0,LN($F597/$AS597)/$AT597,((($F597/$AS597)^$AR597)-1)/($AR597*$AT597)))</f>
        <v/>
      </c>
      <c r="AV597">
        <f>IF($AR597="","",IF($AR597=0,$AS597*EXP($AT597*2),$AS597*(1+$AR597*$AT597*2)^(1/$AR597)))</f>
        <v/>
      </c>
      <c r="AW597">
        <f>IF($AR597="","",IF($AR597=0,$AS597*EXP($AT597*3),$AS597*(1+$AR597*$AT597*3)^(1/$AR597)))</f>
        <v/>
      </c>
      <c r="AX597">
        <f>IF($AR597="","",IF($AR597=0,$AS597*EXP($AT597*-2),$AS597*(1+$AR597*$AT597*-2)^(1/$AR597)))</f>
        <v/>
      </c>
      <c r="AY597">
        <f>IF($AR597="","",IF($AR597=0,$AS597*EXP($AT597*-3),$AS597*(1+$AR597*$AT597*-3)^(1/$AR597)))</f>
        <v/>
      </c>
      <c r="AZ597">
        <f>IF(OR($A597="",$A597&lt;&gt;Ficha!$C$4),"",COUNTIF($A$2:$A597,Ficha!$C$4))</f>
        <v/>
      </c>
    </row>
    <row r="598">
      <c r="A598" s="8">
        <f>IF(INDEX(Banco!$A:$A,ROW())="","",INDEX(Banco!$A:$A,ROW()))</f>
        <v/>
      </c>
      <c r="B598" s="8">
        <f>IF(INDEX(Banco!$B:$B,ROW())="","",INDEX(Banco!$B:$B,ROW()))</f>
        <v/>
      </c>
      <c r="C598" s="8">
        <f>IF(INDEX(Banco!$C:$C,ROW())="","",INDEX(Banco!$C:$C,ROW()))</f>
        <v/>
      </c>
      <c r="D598" s="9">
        <f>IF(INDEX(Banco!$D:$D,ROW())="","",INDEX(Banco!$D:$D,ROW()))</f>
        <v/>
      </c>
      <c r="E598" s="9">
        <f>IF(INDEX(Banco!$E:$E,ROW())="","",INDEX(Banco!$E:$E,ROW()))</f>
        <v/>
      </c>
      <c r="F598" s="10">
        <f>IF(INDEX(Banco!$F:$F,ROW())="","",INDEX(Banco!$F:$F,ROW()))</f>
        <v/>
      </c>
      <c r="G598" s="10">
        <f>IF(INDEX(Banco!$G:$G,ROW())="","",INDEX(Banco!$G:$G,ROW()))</f>
        <v/>
      </c>
      <c r="H598" s="8">
        <f>IF(INDEX(Banco!$H:$H,ROW())="","",INDEX(Banco!$H:$H,ROW()))</f>
        <v/>
      </c>
      <c r="I598">
        <f>IF($T598="","",INT($T598/12)&amp;"a "&amp;MOD($T598,12)&amp;"m")</f>
        <v/>
      </c>
      <c r="J598" s="11">
        <f>IF(OR($F598="",$G598=""),"",ROUND($F598/($G598/100)^2,2))</f>
        <v/>
      </c>
      <c r="K598" s="12">
        <f>IF(OR($S598="",$J598="",$T598="",$T598&lt;0,$T598&gt;228,$Y598=""),"—",ROUND(IF(ABS($AB598)&lt;=3,$AB598,IF($AB598&gt;3,3+($J598-$AD598)/($AD598-$AC598),-3+($J598-$AF598)/($AE598-$AF598))),2))</f>
        <v/>
      </c>
      <c r="L598">
        <f>IF(OR($K598="",$K598="—"),"",IF($T598&lt;=60,IF($K598&lt;-3,"Magreza acentuada",IF($K598&lt;-2,"Magreza",IF($K598&lt;=1,"Eutrofia",IF($K598&lt;=2,"Risco de sobrepeso",IF($K598&lt;=3,"Sobrepeso","Obesidade"))))),IF($K598&lt;-3,"Magreza acentuada",IF($K598&lt;-2,"Magreza",IF($K598&lt;=1,"Eutrofia",IF($K598&lt;=2,"Sobrepeso",IF($K598&lt;=3,"Obesidade","Obesidade grave")))))))</f>
        <v/>
      </c>
      <c r="M598" s="12">
        <f>IF(OR($S598="",$V598="",$T598="",$T598&lt;0,$T598&gt;228,$AG598=""),"—",ROUND(IF($AG598=0,LN($V598/$AH598)/$AI598,((($V598/$AH598)^$AG598)-1)/($AG598*$AI598)),2))</f>
        <v/>
      </c>
      <c r="N598">
        <f>IF(OR($M598="",$M598="—"),"",IF($M598&lt;-3,"Muito baixa",IF($M598&lt;-2,"Baixa","Adequada")))</f>
        <v/>
      </c>
      <c r="O598" s="12">
        <f>IF(OR($S598="",$F598="",$T598="",$T598&lt;0,$T598&gt;120,$AJ598=""),"—",ROUND(IF(ABS($AM598)&lt;=3,$AM598,IF($AM598&gt;3,3+($F598-$AO598)/($AO598-$AN598),-3+($F598-$AQ598)/($AP598-$AQ598))),2))</f>
        <v/>
      </c>
      <c r="P598">
        <f>IF(OR($O598="",$O598="—"),"",IF($O598&lt;-3,"Muito baixo",IF($O598&lt;-2,"Baixo",IF($O598&lt;=2,"Adequado","Elevado"))))</f>
        <v/>
      </c>
      <c r="Q598" s="12">
        <f>IF(OR($S598="",$F598="",$T598="",$T598&lt;0,$T598&gt;60,$AR598=""),"—",ROUND(IF(ABS($AU598)&lt;=3,$AU598,IF($AU598&gt;3,3+($F598-$AW598)/($AW598-$AV598),-3+($F598-$AY598)/($AX598-$AY598))),2))</f>
        <v/>
      </c>
      <c r="R598">
        <f>IF(OR($Q598="",$Q598="—"),"",IF($Q598&lt;-3,"Magreza acentuada",IF($Q598&lt;-2,"Magreza",IF($Q598&lt;=1,"Eutrofia",IF($Q598&lt;=2,"Risco de sobrepeso",IF($Q598&lt;=3,"Sobrepeso","Obesidade"))))))</f>
        <v/>
      </c>
      <c r="S598">
        <f>IF($C598="","",IF(UPPER(LEFT($C598,1))="M",1,IF(UPPER(LEFT($C598,1))="F",2,"")))</f>
        <v/>
      </c>
      <c r="T598">
        <f>IF(OR($D598="",$E598=""),"",DATEDIF($D598,$E598,"m"))</f>
        <v/>
      </c>
      <c r="U598">
        <f>IF(OR($D598="",$E598=""),"",$E598-$D598)</f>
        <v/>
      </c>
      <c r="V598">
        <f>IF(OR($G598="",$T598=""),"",IF($T598&lt;24,IF(LEFT(LOWER($H598),4)="em p",$G598+0.7,$G598),IF(LEFT(LOWER($H598),4)="deit",$G598-0.7,$G598)))</f>
        <v/>
      </c>
      <c r="W598">
        <f>IF(OR($S598="",$T598=""),"",$S598*1000000+IF($T598&lt;=60,$U598,$T598))</f>
        <v/>
      </c>
      <c r="X598">
        <f>IF(OR($S598="",$V598="",$T598&gt;60,$T598=""),"",$S598*1000000+ROUND($V598*10,0))</f>
        <v/>
      </c>
      <c r="Y598">
        <f>IF($W598="","",IFERROR(INDEX(IF($T598&lt;=60,imc05_l,imc519_l),MATCH($W598,IF($T598&lt;=60,imc05_k,imc519_k),1)),""))</f>
        <v/>
      </c>
      <c r="Z598">
        <f>IF($W598="","",IFERROR(INDEX(IF($T598&lt;=60,imc05_m,imc519_m),MATCH($W598,IF($T598&lt;=60,imc05_k,imc519_k),1)),""))</f>
        <v/>
      </c>
      <c r="AA598">
        <f>IF($W598="","",IFERROR(INDEX(IF($T598&lt;=60,imc05_s,imc519_s),MATCH($W598,IF($T598&lt;=60,imc05_k,imc519_k),1)),""))</f>
        <v/>
      </c>
      <c r="AB598">
        <f>IF($Y598="","",IF($Y598=0,LN($J598/$Z598)/$AA598,((($J598/$Z598)^$Y598)-1)/($Y598*$AA598)))</f>
        <v/>
      </c>
      <c r="AC598">
        <f>IF($Y598="","",IF($Y598=0,$Z598*EXP($AA598*2),$Z598*(1+$Y598*$AA598*2)^(1/$Y598)))</f>
        <v/>
      </c>
      <c r="AD598">
        <f>IF($Y598="","",IF($Y598=0,$Z598*EXP($AA598*3),$Z598*(1+$Y598*$AA598*3)^(1/$Y598)))</f>
        <v/>
      </c>
      <c r="AE598">
        <f>IF($Y598="","",IF($Y598=0,$Z598*EXP($AA598*-2),$Z598*(1+$Y598*$AA598*-2)^(1/$Y598)))</f>
        <v/>
      </c>
      <c r="AF598">
        <f>IF($Y598="","",IF($Y598=0,$Z598*EXP($AA598*-3),$Z598*(1+$Y598*$AA598*-3)^(1/$Y598)))</f>
        <v/>
      </c>
      <c r="AG598">
        <f>IF($W598="","",IFERROR(INDEX(IF($T598&lt;=60,est05_l,est519_l),MATCH($W598,IF($T598&lt;=60,est05_k,est519_k),1)),""))</f>
        <v/>
      </c>
      <c r="AH598">
        <f>IF($W598="","",IFERROR(INDEX(IF($T598&lt;=60,est05_m,est519_m),MATCH($W598,IF($T598&lt;=60,est05_k,est519_k),1)),""))</f>
        <v/>
      </c>
      <c r="AI598">
        <f>IF($W598="","",IFERROR(INDEX(IF($T598&lt;=60,est05_s,est519_s),MATCH($W598,IF($T598&lt;=60,est05_k,est519_k),1)),""))</f>
        <v/>
      </c>
      <c r="AJ598">
        <f>IF($W598="","",IFERROR(INDEX(IF($T598&lt;=60,peso05_l,peso510_l),MATCH($W598,IF($T598&lt;=60,peso05_k,peso510_k),1)),""))</f>
        <v/>
      </c>
      <c r="AK598">
        <f>IF($W598="","",IFERROR(INDEX(IF($T598&lt;=60,peso05_m,peso510_m),MATCH($W598,IF($T598&lt;=60,peso05_k,peso510_k),1)),""))</f>
        <v/>
      </c>
      <c r="AL598">
        <f>IF($W598="","",IFERROR(INDEX(IF($T598&lt;=60,peso05_s,peso510_s),MATCH($W598,IF($T598&lt;=60,peso05_k,peso510_k),1)),""))</f>
        <v/>
      </c>
      <c r="AM598">
        <f>IF($AJ598="","",IF($AJ598=0,LN($F598/$AK598)/$AL598,((($F598/$AK598)^$AJ598)-1)/($AJ598*$AL598)))</f>
        <v/>
      </c>
      <c r="AN598">
        <f>IF($AJ598="","",IF($AJ598=0,$AK598*EXP($AL598*2),$AK598*(1+$AJ598*$AL598*2)^(1/$AJ598)))</f>
        <v/>
      </c>
      <c r="AO598">
        <f>IF($AJ598="","",IF($AJ598=0,$AK598*EXP($AL598*3),$AK598*(1+$AJ598*$AL598*3)^(1/$AJ598)))</f>
        <v/>
      </c>
      <c r="AP598">
        <f>IF($AJ598="","",IF($AJ598=0,$AK598*EXP($AL598*-2),$AK598*(1+$AJ598*$AL598*-2)^(1/$AJ598)))</f>
        <v/>
      </c>
      <c r="AQ598">
        <f>IF($AJ598="","",IF($AJ598=0,$AK598*EXP($AL598*-3),$AK598*(1+$AJ598*$AL598*-3)^(1/$AJ598)))</f>
        <v/>
      </c>
      <c r="AR598">
        <f>IF(OR($X598="",$T598&gt;60),"",IFERROR(INDEX(IF($T598&lt;24,pcomp_l,palt_l),MATCH($X598,IF($T598&lt;24,pcomp_k,palt_k),1)),""))</f>
        <v/>
      </c>
      <c r="AS598">
        <f>IF(OR($X598="",$T598&gt;60),"",IFERROR(INDEX(IF($T598&lt;24,pcomp_m,palt_m),MATCH($X598,IF($T598&lt;24,pcomp_k,palt_k),1)),""))</f>
        <v/>
      </c>
      <c r="AT598">
        <f>IF(OR($X598="",$T598&gt;60),"",IFERROR(INDEX(IF($T598&lt;24,pcomp_s,palt_s),MATCH($X598,IF($T598&lt;24,pcomp_k,palt_k),1)),""))</f>
        <v/>
      </c>
      <c r="AU598">
        <f>IF($AR598="","",IF($AR598=0,LN($F598/$AS598)/$AT598,((($F598/$AS598)^$AR598)-1)/($AR598*$AT598)))</f>
        <v/>
      </c>
      <c r="AV598">
        <f>IF($AR598="","",IF($AR598=0,$AS598*EXP($AT598*2),$AS598*(1+$AR598*$AT598*2)^(1/$AR598)))</f>
        <v/>
      </c>
      <c r="AW598">
        <f>IF($AR598="","",IF($AR598=0,$AS598*EXP($AT598*3),$AS598*(1+$AR598*$AT598*3)^(1/$AR598)))</f>
        <v/>
      </c>
      <c r="AX598">
        <f>IF($AR598="","",IF($AR598=0,$AS598*EXP($AT598*-2),$AS598*(1+$AR598*$AT598*-2)^(1/$AR598)))</f>
        <v/>
      </c>
      <c r="AY598">
        <f>IF($AR598="","",IF($AR598=0,$AS598*EXP($AT598*-3),$AS598*(1+$AR598*$AT598*-3)^(1/$AR598)))</f>
        <v/>
      </c>
      <c r="AZ598">
        <f>IF(OR($A598="",$A598&lt;&gt;Ficha!$C$4),"",COUNTIF($A$2:$A598,Ficha!$C$4))</f>
        <v/>
      </c>
    </row>
    <row r="599">
      <c r="A599" s="8">
        <f>IF(INDEX(Banco!$A:$A,ROW())="","",INDEX(Banco!$A:$A,ROW()))</f>
        <v/>
      </c>
      <c r="B599" s="8">
        <f>IF(INDEX(Banco!$B:$B,ROW())="","",INDEX(Banco!$B:$B,ROW()))</f>
        <v/>
      </c>
      <c r="C599" s="8">
        <f>IF(INDEX(Banco!$C:$C,ROW())="","",INDEX(Banco!$C:$C,ROW()))</f>
        <v/>
      </c>
      <c r="D599" s="9">
        <f>IF(INDEX(Banco!$D:$D,ROW())="","",INDEX(Banco!$D:$D,ROW()))</f>
        <v/>
      </c>
      <c r="E599" s="9">
        <f>IF(INDEX(Banco!$E:$E,ROW())="","",INDEX(Banco!$E:$E,ROW()))</f>
        <v/>
      </c>
      <c r="F599" s="10">
        <f>IF(INDEX(Banco!$F:$F,ROW())="","",INDEX(Banco!$F:$F,ROW()))</f>
        <v/>
      </c>
      <c r="G599" s="10">
        <f>IF(INDEX(Banco!$G:$G,ROW())="","",INDEX(Banco!$G:$G,ROW()))</f>
        <v/>
      </c>
      <c r="H599" s="8">
        <f>IF(INDEX(Banco!$H:$H,ROW())="","",INDEX(Banco!$H:$H,ROW()))</f>
        <v/>
      </c>
      <c r="I599">
        <f>IF($T599="","",INT($T599/12)&amp;"a "&amp;MOD($T599,12)&amp;"m")</f>
        <v/>
      </c>
      <c r="J599" s="11">
        <f>IF(OR($F599="",$G599=""),"",ROUND($F599/($G599/100)^2,2))</f>
        <v/>
      </c>
      <c r="K599" s="12">
        <f>IF(OR($S599="",$J599="",$T599="",$T599&lt;0,$T599&gt;228,$Y599=""),"—",ROUND(IF(ABS($AB599)&lt;=3,$AB599,IF($AB599&gt;3,3+($J599-$AD599)/($AD599-$AC599),-3+($J599-$AF599)/($AE599-$AF599))),2))</f>
        <v/>
      </c>
      <c r="L599">
        <f>IF(OR($K599="",$K599="—"),"",IF($T599&lt;=60,IF($K599&lt;-3,"Magreza acentuada",IF($K599&lt;-2,"Magreza",IF($K599&lt;=1,"Eutrofia",IF($K599&lt;=2,"Risco de sobrepeso",IF($K599&lt;=3,"Sobrepeso","Obesidade"))))),IF($K599&lt;-3,"Magreza acentuada",IF($K599&lt;-2,"Magreza",IF($K599&lt;=1,"Eutrofia",IF($K599&lt;=2,"Sobrepeso",IF($K599&lt;=3,"Obesidade","Obesidade grave")))))))</f>
        <v/>
      </c>
      <c r="M599" s="12">
        <f>IF(OR($S599="",$V599="",$T599="",$T599&lt;0,$T599&gt;228,$AG599=""),"—",ROUND(IF($AG599=0,LN($V599/$AH599)/$AI599,((($V599/$AH599)^$AG599)-1)/($AG599*$AI599)),2))</f>
        <v/>
      </c>
      <c r="N599">
        <f>IF(OR($M599="",$M599="—"),"",IF($M599&lt;-3,"Muito baixa",IF($M599&lt;-2,"Baixa","Adequada")))</f>
        <v/>
      </c>
      <c r="O599" s="12">
        <f>IF(OR($S599="",$F599="",$T599="",$T599&lt;0,$T599&gt;120,$AJ599=""),"—",ROUND(IF(ABS($AM599)&lt;=3,$AM599,IF($AM599&gt;3,3+($F599-$AO599)/($AO599-$AN599),-3+($F599-$AQ599)/($AP599-$AQ599))),2))</f>
        <v/>
      </c>
      <c r="P599">
        <f>IF(OR($O599="",$O599="—"),"",IF($O599&lt;-3,"Muito baixo",IF($O599&lt;-2,"Baixo",IF($O599&lt;=2,"Adequado","Elevado"))))</f>
        <v/>
      </c>
      <c r="Q599" s="12">
        <f>IF(OR($S599="",$F599="",$T599="",$T599&lt;0,$T599&gt;60,$AR599=""),"—",ROUND(IF(ABS($AU599)&lt;=3,$AU599,IF($AU599&gt;3,3+($F599-$AW599)/($AW599-$AV599),-3+($F599-$AY599)/($AX599-$AY599))),2))</f>
        <v/>
      </c>
      <c r="R599">
        <f>IF(OR($Q599="",$Q599="—"),"",IF($Q599&lt;-3,"Magreza acentuada",IF($Q599&lt;-2,"Magreza",IF($Q599&lt;=1,"Eutrofia",IF($Q599&lt;=2,"Risco de sobrepeso",IF($Q599&lt;=3,"Sobrepeso","Obesidade"))))))</f>
        <v/>
      </c>
      <c r="S599">
        <f>IF($C599="","",IF(UPPER(LEFT($C599,1))="M",1,IF(UPPER(LEFT($C599,1))="F",2,"")))</f>
        <v/>
      </c>
      <c r="T599">
        <f>IF(OR($D599="",$E599=""),"",DATEDIF($D599,$E599,"m"))</f>
        <v/>
      </c>
      <c r="U599">
        <f>IF(OR($D599="",$E599=""),"",$E599-$D599)</f>
        <v/>
      </c>
      <c r="V599">
        <f>IF(OR($G599="",$T599=""),"",IF($T599&lt;24,IF(LEFT(LOWER($H599),4)="em p",$G599+0.7,$G599),IF(LEFT(LOWER($H599),4)="deit",$G599-0.7,$G599)))</f>
        <v/>
      </c>
      <c r="W599">
        <f>IF(OR($S599="",$T599=""),"",$S599*1000000+IF($T599&lt;=60,$U599,$T599))</f>
        <v/>
      </c>
      <c r="X599">
        <f>IF(OR($S599="",$V599="",$T599&gt;60,$T599=""),"",$S599*1000000+ROUND($V599*10,0))</f>
        <v/>
      </c>
      <c r="Y599">
        <f>IF($W599="","",IFERROR(INDEX(IF($T599&lt;=60,imc05_l,imc519_l),MATCH($W599,IF($T599&lt;=60,imc05_k,imc519_k),1)),""))</f>
        <v/>
      </c>
      <c r="Z599">
        <f>IF($W599="","",IFERROR(INDEX(IF($T599&lt;=60,imc05_m,imc519_m),MATCH($W599,IF($T599&lt;=60,imc05_k,imc519_k),1)),""))</f>
        <v/>
      </c>
      <c r="AA599">
        <f>IF($W599="","",IFERROR(INDEX(IF($T599&lt;=60,imc05_s,imc519_s),MATCH($W599,IF($T599&lt;=60,imc05_k,imc519_k),1)),""))</f>
        <v/>
      </c>
      <c r="AB599">
        <f>IF($Y599="","",IF($Y599=0,LN($J599/$Z599)/$AA599,((($J599/$Z599)^$Y599)-1)/($Y599*$AA599)))</f>
        <v/>
      </c>
      <c r="AC599">
        <f>IF($Y599="","",IF($Y599=0,$Z599*EXP($AA599*2),$Z599*(1+$Y599*$AA599*2)^(1/$Y599)))</f>
        <v/>
      </c>
      <c r="AD599">
        <f>IF($Y599="","",IF($Y599=0,$Z599*EXP($AA599*3),$Z599*(1+$Y599*$AA599*3)^(1/$Y599)))</f>
        <v/>
      </c>
      <c r="AE599">
        <f>IF($Y599="","",IF($Y599=0,$Z599*EXP($AA599*-2),$Z599*(1+$Y599*$AA599*-2)^(1/$Y599)))</f>
        <v/>
      </c>
      <c r="AF599">
        <f>IF($Y599="","",IF($Y599=0,$Z599*EXP($AA599*-3),$Z599*(1+$Y599*$AA599*-3)^(1/$Y599)))</f>
        <v/>
      </c>
      <c r="AG599">
        <f>IF($W599="","",IFERROR(INDEX(IF($T599&lt;=60,est05_l,est519_l),MATCH($W599,IF($T599&lt;=60,est05_k,est519_k),1)),""))</f>
        <v/>
      </c>
      <c r="AH599">
        <f>IF($W599="","",IFERROR(INDEX(IF($T599&lt;=60,est05_m,est519_m),MATCH($W599,IF($T599&lt;=60,est05_k,est519_k),1)),""))</f>
        <v/>
      </c>
      <c r="AI599">
        <f>IF($W599="","",IFERROR(INDEX(IF($T599&lt;=60,est05_s,est519_s),MATCH($W599,IF($T599&lt;=60,est05_k,est519_k),1)),""))</f>
        <v/>
      </c>
      <c r="AJ599">
        <f>IF($W599="","",IFERROR(INDEX(IF($T599&lt;=60,peso05_l,peso510_l),MATCH($W599,IF($T599&lt;=60,peso05_k,peso510_k),1)),""))</f>
        <v/>
      </c>
      <c r="AK599">
        <f>IF($W599="","",IFERROR(INDEX(IF($T599&lt;=60,peso05_m,peso510_m),MATCH($W599,IF($T599&lt;=60,peso05_k,peso510_k),1)),""))</f>
        <v/>
      </c>
      <c r="AL599">
        <f>IF($W599="","",IFERROR(INDEX(IF($T599&lt;=60,peso05_s,peso510_s),MATCH($W599,IF($T599&lt;=60,peso05_k,peso510_k),1)),""))</f>
        <v/>
      </c>
      <c r="AM599">
        <f>IF($AJ599="","",IF($AJ599=0,LN($F599/$AK599)/$AL599,((($F599/$AK599)^$AJ599)-1)/($AJ599*$AL599)))</f>
        <v/>
      </c>
      <c r="AN599">
        <f>IF($AJ599="","",IF($AJ599=0,$AK599*EXP($AL599*2),$AK599*(1+$AJ599*$AL599*2)^(1/$AJ599)))</f>
        <v/>
      </c>
      <c r="AO599">
        <f>IF($AJ599="","",IF($AJ599=0,$AK599*EXP($AL599*3),$AK599*(1+$AJ599*$AL599*3)^(1/$AJ599)))</f>
        <v/>
      </c>
      <c r="AP599">
        <f>IF($AJ599="","",IF($AJ599=0,$AK599*EXP($AL599*-2),$AK599*(1+$AJ599*$AL599*-2)^(1/$AJ599)))</f>
        <v/>
      </c>
      <c r="AQ599">
        <f>IF($AJ599="","",IF($AJ599=0,$AK599*EXP($AL599*-3),$AK599*(1+$AJ599*$AL599*-3)^(1/$AJ599)))</f>
        <v/>
      </c>
      <c r="AR599">
        <f>IF(OR($X599="",$T599&gt;60),"",IFERROR(INDEX(IF($T599&lt;24,pcomp_l,palt_l),MATCH($X599,IF($T599&lt;24,pcomp_k,palt_k),1)),""))</f>
        <v/>
      </c>
      <c r="AS599">
        <f>IF(OR($X599="",$T599&gt;60),"",IFERROR(INDEX(IF($T599&lt;24,pcomp_m,palt_m),MATCH($X599,IF($T599&lt;24,pcomp_k,palt_k),1)),""))</f>
        <v/>
      </c>
      <c r="AT599">
        <f>IF(OR($X599="",$T599&gt;60),"",IFERROR(INDEX(IF($T599&lt;24,pcomp_s,palt_s),MATCH($X599,IF($T599&lt;24,pcomp_k,palt_k),1)),""))</f>
        <v/>
      </c>
      <c r="AU599">
        <f>IF($AR599="","",IF($AR599=0,LN($F599/$AS599)/$AT599,((($F599/$AS599)^$AR599)-1)/($AR599*$AT599)))</f>
        <v/>
      </c>
      <c r="AV599">
        <f>IF($AR599="","",IF($AR599=0,$AS599*EXP($AT599*2),$AS599*(1+$AR599*$AT599*2)^(1/$AR599)))</f>
        <v/>
      </c>
      <c r="AW599">
        <f>IF($AR599="","",IF($AR599=0,$AS599*EXP($AT599*3),$AS599*(1+$AR599*$AT599*3)^(1/$AR599)))</f>
        <v/>
      </c>
      <c r="AX599">
        <f>IF($AR599="","",IF($AR599=0,$AS599*EXP($AT599*-2),$AS599*(1+$AR599*$AT599*-2)^(1/$AR599)))</f>
        <v/>
      </c>
      <c r="AY599">
        <f>IF($AR599="","",IF($AR599=0,$AS599*EXP($AT599*-3),$AS599*(1+$AR599*$AT599*-3)^(1/$AR599)))</f>
        <v/>
      </c>
      <c r="AZ599">
        <f>IF(OR($A599="",$A599&lt;&gt;Ficha!$C$4),"",COUNTIF($A$2:$A599,Ficha!$C$4))</f>
        <v/>
      </c>
    </row>
    <row r="600">
      <c r="A600" s="8">
        <f>IF(INDEX(Banco!$A:$A,ROW())="","",INDEX(Banco!$A:$A,ROW()))</f>
        <v/>
      </c>
      <c r="B600" s="8">
        <f>IF(INDEX(Banco!$B:$B,ROW())="","",INDEX(Banco!$B:$B,ROW()))</f>
        <v/>
      </c>
      <c r="C600" s="8">
        <f>IF(INDEX(Banco!$C:$C,ROW())="","",INDEX(Banco!$C:$C,ROW()))</f>
        <v/>
      </c>
      <c r="D600" s="9">
        <f>IF(INDEX(Banco!$D:$D,ROW())="","",INDEX(Banco!$D:$D,ROW()))</f>
        <v/>
      </c>
      <c r="E600" s="9">
        <f>IF(INDEX(Banco!$E:$E,ROW())="","",INDEX(Banco!$E:$E,ROW()))</f>
        <v/>
      </c>
      <c r="F600" s="10">
        <f>IF(INDEX(Banco!$F:$F,ROW())="","",INDEX(Banco!$F:$F,ROW()))</f>
        <v/>
      </c>
      <c r="G600" s="10">
        <f>IF(INDEX(Banco!$G:$G,ROW())="","",INDEX(Banco!$G:$G,ROW()))</f>
        <v/>
      </c>
      <c r="H600" s="8">
        <f>IF(INDEX(Banco!$H:$H,ROW())="","",INDEX(Banco!$H:$H,ROW()))</f>
        <v/>
      </c>
      <c r="I600">
        <f>IF($T600="","",INT($T600/12)&amp;"a "&amp;MOD($T600,12)&amp;"m")</f>
        <v/>
      </c>
      <c r="J600" s="11">
        <f>IF(OR($F600="",$G600=""),"",ROUND($F600/($G600/100)^2,2))</f>
        <v/>
      </c>
      <c r="K600" s="12">
        <f>IF(OR($S600="",$J600="",$T600="",$T600&lt;0,$T600&gt;228,$Y600=""),"—",ROUND(IF(ABS($AB600)&lt;=3,$AB600,IF($AB600&gt;3,3+($J600-$AD600)/($AD600-$AC600),-3+($J600-$AF600)/($AE600-$AF600))),2))</f>
        <v/>
      </c>
      <c r="L600">
        <f>IF(OR($K600="",$K600="—"),"",IF($T600&lt;=60,IF($K600&lt;-3,"Magreza acentuada",IF($K600&lt;-2,"Magreza",IF($K600&lt;=1,"Eutrofia",IF($K600&lt;=2,"Risco de sobrepeso",IF($K600&lt;=3,"Sobrepeso","Obesidade"))))),IF($K600&lt;-3,"Magreza acentuada",IF($K600&lt;-2,"Magreza",IF($K600&lt;=1,"Eutrofia",IF($K600&lt;=2,"Sobrepeso",IF($K600&lt;=3,"Obesidade","Obesidade grave")))))))</f>
        <v/>
      </c>
      <c r="M600" s="12">
        <f>IF(OR($S600="",$V600="",$T600="",$T600&lt;0,$T600&gt;228,$AG600=""),"—",ROUND(IF($AG600=0,LN($V600/$AH600)/$AI600,((($V600/$AH600)^$AG600)-1)/($AG600*$AI600)),2))</f>
        <v/>
      </c>
      <c r="N600">
        <f>IF(OR($M600="",$M600="—"),"",IF($M600&lt;-3,"Muito baixa",IF($M600&lt;-2,"Baixa","Adequada")))</f>
        <v/>
      </c>
      <c r="O600" s="12">
        <f>IF(OR($S600="",$F600="",$T600="",$T600&lt;0,$T600&gt;120,$AJ600=""),"—",ROUND(IF(ABS($AM600)&lt;=3,$AM600,IF($AM600&gt;3,3+($F600-$AO600)/($AO600-$AN600),-3+($F600-$AQ600)/($AP600-$AQ600))),2))</f>
        <v/>
      </c>
      <c r="P600">
        <f>IF(OR($O600="",$O600="—"),"",IF($O600&lt;-3,"Muito baixo",IF($O600&lt;-2,"Baixo",IF($O600&lt;=2,"Adequado","Elevado"))))</f>
        <v/>
      </c>
      <c r="Q600" s="12">
        <f>IF(OR($S600="",$F600="",$T600="",$T600&lt;0,$T600&gt;60,$AR600=""),"—",ROUND(IF(ABS($AU600)&lt;=3,$AU600,IF($AU600&gt;3,3+($F600-$AW600)/($AW600-$AV600),-3+($F600-$AY600)/($AX600-$AY600))),2))</f>
        <v/>
      </c>
      <c r="R600">
        <f>IF(OR($Q600="",$Q600="—"),"",IF($Q600&lt;-3,"Magreza acentuada",IF($Q600&lt;-2,"Magreza",IF($Q600&lt;=1,"Eutrofia",IF($Q600&lt;=2,"Risco de sobrepeso",IF($Q600&lt;=3,"Sobrepeso","Obesidade"))))))</f>
        <v/>
      </c>
      <c r="S600">
        <f>IF($C600="","",IF(UPPER(LEFT($C600,1))="M",1,IF(UPPER(LEFT($C600,1))="F",2,"")))</f>
        <v/>
      </c>
      <c r="T600">
        <f>IF(OR($D600="",$E600=""),"",DATEDIF($D600,$E600,"m"))</f>
        <v/>
      </c>
      <c r="U600">
        <f>IF(OR($D600="",$E600=""),"",$E600-$D600)</f>
        <v/>
      </c>
      <c r="V600">
        <f>IF(OR($G600="",$T600=""),"",IF($T600&lt;24,IF(LEFT(LOWER($H600),4)="em p",$G600+0.7,$G600),IF(LEFT(LOWER($H600),4)="deit",$G600-0.7,$G600)))</f>
        <v/>
      </c>
      <c r="W600">
        <f>IF(OR($S600="",$T600=""),"",$S600*1000000+IF($T600&lt;=60,$U600,$T600))</f>
        <v/>
      </c>
      <c r="X600">
        <f>IF(OR($S600="",$V600="",$T600&gt;60,$T600=""),"",$S600*1000000+ROUND($V600*10,0))</f>
        <v/>
      </c>
      <c r="Y600">
        <f>IF($W600="","",IFERROR(INDEX(IF($T600&lt;=60,imc05_l,imc519_l),MATCH($W600,IF($T600&lt;=60,imc05_k,imc519_k),1)),""))</f>
        <v/>
      </c>
      <c r="Z600">
        <f>IF($W600="","",IFERROR(INDEX(IF($T600&lt;=60,imc05_m,imc519_m),MATCH($W600,IF($T600&lt;=60,imc05_k,imc519_k),1)),""))</f>
        <v/>
      </c>
      <c r="AA600">
        <f>IF($W600="","",IFERROR(INDEX(IF($T600&lt;=60,imc05_s,imc519_s),MATCH($W600,IF($T600&lt;=60,imc05_k,imc519_k),1)),""))</f>
        <v/>
      </c>
      <c r="AB600">
        <f>IF($Y600="","",IF($Y600=0,LN($J600/$Z600)/$AA600,((($J600/$Z600)^$Y600)-1)/($Y600*$AA600)))</f>
        <v/>
      </c>
      <c r="AC600">
        <f>IF($Y600="","",IF($Y600=0,$Z600*EXP($AA600*2),$Z600*(1+$Y600*$AA600*2)^(1/$Y600)))</f>
        <v/>
      </c>
      <c r="AD600">
        <f>IF($Y600="","",IF($Y600=0,$Z600*EXP($AA600*3),$Z600*(1+$Y600*$AA600*3)^(1/$Y600)))</f>
        <v/>
      </c>
      <c r="AE600">
        <f>IF($Y600="","",IF($Y600=0,$Z600*EXP($AA600*-2),$Z600*(1+$Y600*$AA600*-2)^(1/$Y600)))</f>
        <v/>
      </c>
      <c r="AF600">
        <f>IF($Y600="","",IF($Y600=0,$Z600*EXP($AA600*-3),$Z600*(1+$Y600*$AA600*-3)^(1/$Y600)))</f>
        <v/>
      </c>
      <c r="AG600">
        <f>IF($W600="","",IFERROR(INDEX(IF($T600&lt;=60,est05_l,est519_l),MATCH($W600,IF($T600&lt;=60,est05_k,est519_k),1)),""))</f>
        <v/>
      </c>
      <c r="AH600">
        <f>IF($W600="","",IFERROR(INDEX(IF($T600&lt;=60,est05_m,est519_m),MATCH($W600,IF($T600&lt;=60,est05_k,est519_k),1)),""))</f>
        <v/>
      </c>
      <c r="AI600">
        <f>IF($W600="","",IFERROR(INDEX(IF($T600&lt;=60,est05_s,est519_s),MATCH($W600,IF($T600&lt;=60,est05_k,est519_k),1)),""))</f>
        <v/>
      </c>
      <c r="AJ600">
        <f>IF($W600="","",IFERROR(INDEX(IF($T600&lt;=60,peso05_l,peso510_l),MATCH($W600,IF($T600&lt;=60,peso05_k,peso510_k),1)),""))</f>
        <v/>
      </c>
      <c r="AK600">
        <f>IF($W600="","",IFERROR(INDEX(IF($T600&lt;=60,peso05_m,peso510_m),MATCH($W600,IF($T600&lt;=60,peso05_k,peso510_k),1)),""))</f>
        <v/>
      </c>
      <c r="AL600">
        <f>IF($W600="","",IFERROR(INDEX(IF($T600&lt;=60,peso05_s,peso510_s),MATCH($W600,IF($T600&lt;=60,peso05_k,peso510_k),1)),""))</f>
        <v/>
      </c>
      <c r="AM600">
        <f>IF($AJ600="","",IF($AJ600=0,LN($F600/$AK600)/$AL600,((($F600/$AK600)^$AJ600)-1)/($AJ600*$AL600)))</f>
        <v/>
      </c>
      <c r="AN600">
        <f>IF($AJ600="","",IF($AJ600=0,$AK600*EXP($AL600*2),$AK600*(1+$AJ600*$AL600*2)^(1/$AJ600)))</f>
        <v/>
      </c>
      <c r="AO600">
        <f>IF($AJ600="","",IF($AJ600=0,$AK600*EXP($AL600*3),$AK600*(1+$AJ600*$AL600*3)^(1/$AJ600)))</f>
        <v/>
      </c>
      <c r="AP600">
        <f>IF($AJ600="","",IF($AJ600=0,$AK600*EXP($AL600*-2),$AK600*(1+$AJ600*$AL600*-2)^(1/$AJ600)))</f>
        <v/>
      </c>
      <c r="AQ600">
        <f>IF($AJ600="","",IF($AJ600=0,$AK600*EXP($AL600*-3),$AK600*(1+$AJ600*$AL600*-3)^(1/$AJ600)))</f>
        <v/>
      </c>
      <c r="AR600">
        <f>IF(OR($X600="",$T600&gt;60),"",IFERROR(INDEX(IF($T600&lt;24,pcomp_l,palt_l),MATCH($X600,IF($T600&lt;24,pcomp_k,palt_k),1)),""))</f>
        <v/>
      </c>
      <c r="AS600">
        <f>IF(OR($X600="",$T600&gt;60),"",IFERROR(INDEX(IF($T600&lt;24,pcomp_m,palt_m),MATCH($X600,IF($T600&lt;24,pcomp_k,palt_k),1)),""))</f>
        <v/>
      </c>
      <c r="AT600">
        <f>IF(OR($X600="",$T600&gt;60),"",IFERROR(INDEX(IF($T600&lt;24,pcomp_s,palt_s),MATCH($X600,IF($T600&lt;24,pcomp_k,palt_k),1)),""))</f>
        <v/>
      </c>
      <c r="AU600">
        <f>IF($AR600="","",IF($AR600=0,LN($F600/$AS600)/$AT600,((($F600/$AS600)^$AR600)-1)/($AR600*$AT600)))</f>
        <v/>
      </c>
      <c r="AV600">
        <f>IF($AR600="","",IF($AR600=0,$AS600*EXP($AT600*2),$AS600*(1+$AR600*$AT600*2)^(1/$AR600)))</f>
        <v/>
      </c>
      <c r="AW600">
        <f>IF($AR600="","",IF($AR600=0,$AS600*EXP($AT600*3),$AS600*(1+$AR600*$AT600*3)^(1/$AR600)))</f>
        <v/>
      </c>
      <c r="AX600">
        <f>IF($AR600="","",IF($AR600=0,$AS600*EXP($AT600*-2),$AS600*(1+$AR600*$AT600*-2)^(1/$AR600)))</f>
        <v/>
      </c>
      <c r="AY600">
        <f>IF($AR600="","",IF($AR600=0,$AS600*EXP($AT600*-3),$AS600*(1+$AR600*$AT600*-3)^(1/$AR600)))</f>
        <v/>
      </c>
      <c r="AZ600">
        <f>IF(OR($A600="",$A600&lt;&gt;Ficha!$C$4),"",COUNTIF($A$2:$A600,Ficha!$C$4))</f>
        <v/>
      </c>
    </row>
    <row r="601">
      <c r="A601" s="8">
        <f>IF(INDEX(Banco!$A:$A,ROW())="","",INDEX(Banco!$A:$A,ROW()))</f>
        <v/>
      </c>
      <c r="B601" s="8">
        <f>IF(INDEX(Banco!$B:$B,ROW())="","",INDEX(Banco!$B:$B,ROW()))</f>
        <v/>
      </c>
      <c r="C601" s="8">
        <f>IF(INDEX(Banco!$C:$C,ROW())="","",INDEX(Banco!$C:$C,ROW()))</f>
        <v/>
      </c>
      <c r="D601" s="9">
        <f>IF(INDEX(Banco!$D:$D,ROW())="","",INDEX(Banco!$D:$D,ROW()))</f>
        <v/>
      </c>
      <c r="E601" s="9">
        <f>IF(INDEX(Banco!$E:$E,ROW())="","",INDEX(Banco!$E:$E,ROW()))</f>
        <v/>
      </c>
      <c r="F601" s="10">
        <f>IF(INDEX(Banco!$F:$F,ROW())="","",INDEX(Banco!$F:$F,ROW()))</f>
        <v/>
      </c>
      <c r="G601" s="10">
        <f>IF(INDEX(Banco!$G:$G,ROW())="","",INDEX(Banco!$G:$G,ROW()))</f>
        <v/>
      </c>
      <c r="H601" s="8">
        <f>IF(INDEX(Banco!$H:$H,ROW())="","",INDEX(Banco!$H:$H,ROW()))</f>
        <v/>
      </c>
      <c r="I601">
        <f>IF($T601="","",INT($T601/12)&amp;"a "&amp;MOD($T601,12)&amp;"m")</f>
        <v/>
      </c>
      <c r="J601" s="11">
        <f>IF(OR($F601="",$G601=""),"",ROUND($F601/($G601/100)^2,2))</f>
        <v/>
      </c>
      <c r="K601" s="12">
        <f>IF(OR($S601="",$J601="",$T601="",$T601&lt;0,$T601&gt;228,$Y601=""),"—",ROUND(IF(ABS($AB601)&lt;=3,$AB601,IF($AB601&gt;3,3+($J601-$AD601)/($AD601-$AC601),-3+($J601-$AF601)/($AE601-$AF601))),2))</f>
        <v/>
      </c>
      <c r="L601">
        <f>IF(OR($K601="",$K601="—"),"",IF($T601&lt;=60,IF($K601&lt;-3,"Magreza acentuada",IF($K601&lt;-2,"Magreza",IF($K601&lt;=1,"Eutrofia",IF($K601&lt;=2,"Risco de sobrepeso",IF($K601&lt;=3,"Sobrepeso","Obesidade"))))),IF($K601&lt;-3,"Magreza acentuada",IF($K601&lt;-2,"Magreza",IF($K601&lt;=1,"Eutrofia",IF($K601&lt;=2,"Sobrepeso",IF($K601&lt;=3,"Obesidade","Obesidade grave")))))))</f>
        <v/>
      </c>
      <c r="M601" s="12">
        <f>IF(OR($S601="",$V601="",$T601="",$T601&lt;0,$T601&gt;228,$AG601=""),"—",ROUND(IF($AG601=0,LN($V601/$AH601)/$AI601,((($V601/$AH601)^$AG601)-1)/($AG601*$AI601)),2))</f>
        <v/>
      </c>
      <c r="N601">
        <f>IF(OR($M601="",$M601="—"),"",IF($M601&lt;-3,"Muito baixa",IF($M601&lt;-2,"Baixa","Adequada")))</f>
        <v/>
      </c>
      <c r="O601" s="12">
        <f>IF(OR($S601="",$F601="",$T601="",$T601&lt;0,$T601&gt;120,$AJ601=""),"—",ROUND(IF(ABS($AM601)&lt;=3,$AM601,IF($AM601&gt;3,3+($F601-$AO601)/($AO601-$AN601),-3+($F601-$AQ601)/($AP601-$AQ601))),2))</f>
        <v/>
      </c>
      <c r="P601">
        <f>IF(OR($O601="",$O601="—"),"",IF($O601&lt;-3,"Muito baixo",IF($O601&lt;-2,"Baixo",IF($O601&lt;=2,"Adequado","Elevado"))))</f>
        <v/>
      </c>
      <c r="Q601" s="12">
        <f>IF(OR($S601="",$F601="",$T601="",$T601&lt;0,$T601&gt;60,$AR601=""),"—",ROUND(IF(ABS($AU601)&lt;=3,$AU601,IF($AU601&gt;3,3+($F601-$AW601)/($AW601-$AV601),-3+($F601-$AY601)/($AX601-$AY601))),2))</f>
        <v/>
      </c>
      <c r="R601">
        <f>IF(OR($Q601="",$Q601="—"),"",IF($Q601&lt;-3,"Magreza acentuada",IF($Q601&lt;-2,"Magreza",IF($Q601&lt;=1,"Eutrofia",IF($Q601&lt;=2,"Risco de sobrepeso",IF($Q601&lt;=3,"Sobrepeso","Obesidade"))))))</f>
        <v/>
      </c>
      <c r="S601">
        <f>IF($C601="","",IF(UPPER(LEFT($C601,1))="M",1,IF(UPPER(LEFT($C601,1))="F",2,"")))</f>
        <v/>
      </c>
      <c r="T601">
        <f>IF(OR($D601="",$E601=""),"",DATEDIF($D601,$E601,"m"))</f>
        <v/>
      </c>
      <c r="U601">
        <f>IF(OR($D601="",$E601=""),"",$E601-$D601)</f>
        <v/>
      </c>
      <c r="V601">
        <f>IF(OR($G601="",$T601=""),"",IF($T601&lt;24,IF(LEFT(LOWER($H601),4)="em p",$G601+0.7,$G601),IF(LEFT(LOWER($H601),4)="deit",$G601-0.7,$G601)))</f>
        <v/>
      </c>
      <c r="W601">
        <f>IF(OR($S601="",$T601=""),"",$S601*1000000+IF($T601&lt;=60,$U601,$T601))</f>
        <v/>
      </c>
      <c r="X601">
        <f>IF(OR($S601="",$V601="",$T601&gt;60,$T601=""),"",$S601*1000000+ROUND($V601*10,0))</f>
        <v/>
      </c>
      <c r="Y601">
        <f>IF($W601="","",IFERROR(INDEX(IF($T601&lt;=60,imc05_l,imc519_l),MATCH($W601,IF($T601&lt;=60,imc05_k,imc519_k),1)),""))</f>
        <v/>
      </c>
      <c r="Z601">
        <f>IF($W601="","",IFERROR(INDEX(IF($T601&lt;=60,imc05_m,imc519_m),MATCH($W601,IF($T601&lt;=60,imc05_k,imc519_k),1)),""))</f>
        <v/>
      </c>
      <c r="AA601">
        <f>IF($W601="","",IFERROR(INDEX(IF($T601&lt;=60,imc05_s,imc519_s),MATCH($W601,IF($T601&lt;=60,imc05_k,imc519_k),1)),""))</f>
        <v/>
      </c>
      <c r="AB601">
        <f>IF($Y601="","",IF($Y601=0,LN($J601/$Z601)/$AA601,((($J601/$Z601)^$Y601)-1)/($Y601*$AA601)))</f>
        <v/>
      </c>
      <c r="AC601">
        <f>IF($Y601="","",IF($Y601=0,$Z601*EXP($AA601*2),$Z601*(1+$Y601*$AA601*2)^(1/$Y601)))</f>
        <v/>
      </c>
      <c r="AD601">
        <f>IF($Y601="","",IF($Y601=0,$Z601*EXP($AA601*3),$Z601*(1+$Y601*$AA601*3)^(1/$Y601)))</f>
        <v/>
      </c>
      <c r="AE601">
        <f>IF($Y601="","",IF($Y601=0,$Z601*EXP($AA601*-2),$Z601*(1+$Y601*$AA601*-2)^(1/$Y601)))</f>
        <v/>
      </c>
      <c r="AF601">
        <f>IF($Y601="","",IF($Y601=0,$Z601*EXP($AA601*-3),$Z601*(1+$Y601*$AA601*-3)^(1/$Y601)))</f>
        <v/>
      </c>
      <c r="AG601">
        <f>IF($W601="","",IFERROR(INDEX(IF($T601&lt;=60,est05_l,est519_l),MATCH($W601,IF($T601&lt;=60,est05_k,est519_k),1)),""))</f>
        <v/>
      </c>
      <c r="AH601">
        <f>IF($W601="","",IFERROR(INDEX(IF($T601&lt;=60,est05_m,est519_m),MATCH($W601,IF($T601&lt;=60,est05_k,est519_k),1)),""))</f>
        <v/>
      </c>
      <c r="AI601">
        <f>IF($W601="","",IFERROR(INDEX(IF($T601&lt;=60,est05_s,est519_s),MATCH($W601,IF($T601&lt;=60,est05_k,est519_k),1)),""))</f>
        <v/>
      </c>
      <c r="AJ601">
        <f>IF($W601="","",IFERROR(INDEX(IF($T601&lt;=60,peso05_l,peso510_l),MATCH($W601,IF($T601&lt;=60,peso05_k,peso510_k),1)),""))</f>
        <v/>
      </c>
      <c r="AK601">
        <f>IF($W601="","",IFERROR(INDEX(IF($T601&lt;=60,peso05_m,peso510_m),MATCH($W601,IF($T601&lt;=60,peso05_k,peso510_k),1)),""))</f>
        <v/>
      </c>
      <c r="AL601">
        <f>IF($W601="","",IFERROR(INDEX(IF($T601&lt;=60,peso05_s,peso510_s),MATCH($W601,IF($T601&lt;=60,peso05_k,peso510_k),1)),""))</f>
        <v/>
      </c>
      <c r="AM601">
        <f>IF($AJ601="","",IF($AJ601=0,LN($F601/$AK601)/$AL601,((($F601/$AK601)^$AJ601)-1)/($AJ601*$AL601)))</f>
        <v/>
      </c>
      <c r="AN601">
        <f>IF($AJ601="","",IF($AJ601=0,$AK601*EXP($AL601*2),$AK601*(1+$AJ601*$AL601*2)^(1/$AJ601)))</f>
        <v/>
      </c>
      <c r="AO601">
        <f>IF($AJ601="","",IF($AJ601=0,$AK601*EXP($AL601*3),$AK601*(1+$AJ601*$AL601*3)^(1/$AJ601)))</f>
        <v/>
      </c>
      <c r="AP601">
        <f>IF($AJ601="","",IF($AJ601=0,$AK601*EXP($AL601*-2),$AK601*(1+$AJ601*$AL601*-2)^(1/$AJ601)))</f>
        <v/>
      </c>
      <c r="AQ601">
        <f>IF($AJ601="","",IF($AJ601=0,$AK601*EXP($AL601*-3),$AK601*(1+$AJ601*$AL601*-3)^(1/$AJ601)))</f>
        <v/>
      </c>
      <c r="AR601">
        <f>IF(OR($X601="",$T601&gt;60),"",IFERROR(INDEX(IF($T601&lt;24,pcomp_l,palt_l),MATCH($X601,IF($T601&lt;24,pcomp_k,palt_k),1)),""))</f>
        <v/>
      </c>
      <c r="AS601">
        <f>IF(OR($X601="",$T601&gt;60),"",IFERROR(INDEX(IF($T601&lt;24,pcomp_m,palt_m),MATCH($X601,IF($T601&lt;24,pcomp_k,palt_k),1)),""))</f>
        <v/>
      </c>
      <c r="AT601">
        <f>IF(OR($X601="",$T601&gt;60),"",IFERROR(INDEX(IF($T601&lt;24,pcomp_s,palt_s),MATCH($X601,IF($T601&lt;24,pcomp_k,palt_k),1)),""))</f>
        <v/>
      </c>
      <c r="AU601">
        <f>IF($AR601="","",IF($AR601=0,LN($F601/$AS601)/$AT601,((($F601/$AS601)^$AR601)-1)/($AR601*$AT601)))</f>
        <v/>
      </c>
      <c r="AV601">
        <f>IF($AR601="","",IF($AR601=0,$AS601*EXP($AT601*2),$AS601*(1+$AR601*$AT601*2)^(1/$AR601)))</f>
        <v/>
      </c>
      <c r="AW601">
        <f>IF($AR601="","",IF($AR601=0,$AS601*EXP($AT601*3),$AS601*(1+$AR601*$AT601*3)^(1/$AR601)))</f>
        <v/>
      </c>
      <c r="AX601">
        <f>IF($AR601="","",IF($AR601=0,$AS601*EXP($AT601*-2),$AS601*(1+$AR601*$AT601*-2)^(1/$AR601)))</f>
        <v/>
      </c>
      <c r="AY601">
        <f>IF($AR601="","",IF($AR601=0,$AS601*EXP($AT601*-3),$AS601*(1+$AR601*$AT601*-3)^(1/$AR601)))</f>
        <v/>
      </c>
      <c r="AZ601">
        <f>IF(OR($A601="",$A601&lt;&gt;Ficha!$C$4),"",COUNTIF($A$2:$A601,Ficha!$C$4))</f>
        <v/>
      </c>
    </row>
    <row r="602">
      <c r="A602" s="8">
        <f>IF(INDEX(Banco!$A:$A,ROW())="","",INDEX(Banco!$A:$A,ROW()))</f>
        <v/>
      </c>
      <c r="B602" s="8">
        <f>IF(INDEX(Banco!$B:$B,ROW())="","",INDEX(Banco!$B:$B,ROW()))</f>
        <v/>
      </c>
      <c r="C602" s="8">
        <f>IF(INDEX(Banco!$C:$C,ROW())="","",INDEX(Banco!$C:$C,ROW()))</f>
        <v/>
      </c>
      <c r="D602" s="9">
        <f>IF(INDEX(Banco!$D:$D,ROW())="","",INDEX(Banco!$D:$D,ROW()))</f>
        <v/>
      </c>
      <c r="E602" s="9">
        <f>IF(INDEX(Banco!$E:$E,ROW())="","",INDEX(Banco!$E:$E,ROW()))</f>
        <v/>
      </c>
      <c r="F602" s="10">
        <f>IF(INDEX(Banco!$F:$F,ROW())="","",INDEX(Banco!$F:$F,ROW()))</f>
        <v/>
      </c>
      <c r="G602" s="10">
        <f>IF(INDEX(Banco!$G:$G,ROW())="","",INDEX(Banco!$G:$G,ROW()))</f>
        <v/>
      </c>
      <c r="H602" s="8">
        <f>IF(INDEX(Banco!$H:$H,ROW())="","",INDEX(Banco!$H:$H,ROW()))</f>
        <v/>
      </c>
      <c r="I602">
        <f>IF($T602="","",INT($T602/12)&amp;"a "&amp;MOD($T602,12)&amp;"m")</f>
        <v/>
      </c>
      <c r="J602" s="11">
        <f>IF(OR($F602="",$G602=""),"",ROUND($F602/($G602/100)^2,2))</f>
        <v/>
      </c>
      <c r="K602" s="12">
        <f>IF(OR($S602="",$J602="",$T602="",$T602&lt;0,$T602&gt;228,$Y602=""),"—",ROUND(IF(ABS($AB602)&lt;=3,$AB602,IF($AB602&gt;3,3+($J602-$AD602)/($AD602-$AC602),-3+($J602-$AF602)/($AE602-$AF602))),2))</f>
        <v/>
      </c>
      <c r="L602">
        <f>IF(OR($K602="",$K602="—"),"",IF($T602&lt;=60,IF($K602&lt;-3,"Magreza acentuada",IF($K602&lt;-2,"Magreza",IF($K602&lt;=1,"Eutrofia",IF($K602&lt;=2,"Risco de sobrepeso",IF($K602&lt;=3,"Sobrepeso","Obesidade"))))),IF($K602&lt;-3,"Magreza acentuada",IF($K602&lt;-2,"Magreza",IF($K602&lt;=1,"Eutrofia",IF($K602&lt;=2,"Sobrepeso",IF($K602&lt;=3,"Obesidade","Obesidade grave")))))))</f>
        <v/>
      </c>
      <c r="M602" s="12">
        <f>IF(OR($S602="",$V602="",$T602="",$T602&lt;0,$T602&gt;228,$AG602=""),"—",ROUND(IF($AG602=0,LN($V602/$AH602)/$AI602,((($V602/$AH602)^$AG602)-1)/($AG602*$AI602)),2))</f>
        <v/>
      </c>
      <c r="N602">
        <f>IF(OR($M602="",$M602="—"),"",IF($M602&lt;-3,"Muito baixa",IF($M602&lt;-2,"Baixa","Adequada")))</f>
        <v/>
      </c>
      <c r="O602" s="12">
        <f>IF(OR($S602="",$F602="",$T602="",$T602&lt;0,$T602&gt;120,$AJ602=""),"—",ROUND(IF(ABS($AM602)&lt;=3,$AM602,IF($AM602&gt;3,3+($F602-$AO602)/($AO602-$AN602),-3+($F602-$AQ602)/($AP602-$AQ602))),2))</f>
        <v/>
      </c>
      <c r="P602">
        <f>IF(OR($O602="",$O602="—"),"",IF($O602&lt;-3,"Muito baixo",IF($O602&lt;-2,"Baixo",IF($O602&lt;=2,"Adequado","Elevado"))))</f>
        <v/>
      </c>
      <c r="Q602" s="12">
        <f>IF(OR($S602="",$F602="",$T602="",$T602&lt;0,$T602&gt;60,$AR602=""),"—",ROUND(IF(ABS($AU602)&lt;=3,$AU602,IF($AU602&gt;3,3+($F602-$AW602)/($AW602-$AV602),-3+($F602-$AY602)/($AX602-$AY602))),2))</f>
        <v/>
      </c>
      <c r="R602">
        <f>IF(OR($Q602="",$Q602="—"),"",IF($Q602&lt;-3,"Magreza acentuada",IF($Q602&lt;-2,"Magreza",IF($Q602&lt;=1,"Eutrofia",IF($Q602&lt;=2,"Risco de sobrepeso",IF($Q602&lt;=3,"Sobrepeso","Obesidade"))))))</f>
        <v/>
      </c>
      <c r="S602">
        <f>IF($C602="","",IF(UPPER(LEFT($C602,1))="M",1,IF(UPPER(LEFT($C602,1))="F",2,"")))</f>
        <v/>
      </c>
      <c r="T602">
        <f>IF(OR($D602="",$E602=""),"",DATEDIF($D602,$E602,"m"))</f>
        <v/>
      </c>
      <c r="U602">
        <f>IF(OR($D602="",$E602=""),"",$E602-$D602)</f>
        <v/>
      </c>
      <c r="V602">
        <f>IF(OR($G602="",$T602=""),"",IF($T602&lt;24,IF(LEFT(LOWER($H602),4)="em p",$G602+0.7,$G602),IF(LEFT(LOWER($H602),4)="deit",$G602-0.7,$G602)))</f>
        <v/>
      </c>
      <c r="W602">
        <f>IF(OR($S602="",$T602=""),"",$S602*1000000+IF($T602&lt;=60,$U602,$T602))</f>
        <v/>
      </c>
      <c r="X602">
        <f>IF(OR($S602="",$V602="",$T602&gt;60,$T602=""),"",$S602*1000000+ROUND($V602*10,0))</f>
        <v/>
      </c>
      <c r="Y602">
        <f>IF($W602="","",IFERROR(INDEX(IF($T602&lt;=60,imc05_l,imc519_l),MATCH($W602,IF($T602&lt;=60,imc05_k,imc519_k),1)),""))</f>
        <v/>
      </c>
      <c r="Z602">
        <f>IF($W602="","",IFERROR(INDEX(IF($T602&lt;=60,imc05_m,imc519_m),MATCH($W602,IF($T602&lt;=60,imc05_k,imc519_k),1)),""))</f>
        <v/>
      </c>
      <c r="AA602">
        <f>IF($W602="","",IFERROR(INDEX(IF($T602&lt;=60,imc05_s,imc519_s),MATCH($W602,IF($T602&lt;=60,imc05_k,imc519_k),1)),""))</f>
        <v/>
      </c>
      <c r="AB602">
        <f>IF($Y602="","",IF($Y602=0,LN($J602/$Z602)/$AA602,((($J602/$Z602)^$Y602)-1)/($Y602*$AA602)))</f>
        <v/>
      </c>
      <c r="AC602">
        <f>IF($Y602="","",IF($Y602=0,$Z602*EXP($AA602*2),$Z602*(1+$Y602*$AA602*2)^(1/$Y602)))</f>
        <v/>
      </c>
      <c r="AD602">
        <f>IF($Y602="","",IF($Y602=0,$Z602*EXP($AA602*3),$Z602*(1+$Y602*$AA602*3)^(1/$Y602)))</f>
        <v/>
      </c>
      <c r="AE602">
        <f>IF($Y602="","",IF($Y602=0,$Z602*EXP($AA602*-2),$Z602*(1+$Y602*$AA602*-2)^(1/$Y602)))</f>
        <v/>
      </c>
      <c r="AF602">
        <f>IF($Y602="","",IF($Y602=0,$Z602*EXP($AA602*-3),$Z602*(1+$Y602*$AA602*-3)^(1/$Y602)))</f>
        <v/>
      </c>
      <c r="AG602">
        <f>IF($W602="","",IFERROR(INDEX(IF($T602&lt;=60,est05_l,est519_l),MATCH($W602,IF($T602&lt;=60,est05_k,est519_k),1)),""))</f>
        <v/>
      </c>
      <c r="AH602">
        <f>IF($W602="","",IFERROR(INDEX(IF($T602&lt;=60,est05_m,est519_m),MATCH($W602,IF($T602&lt;=60,est05_k,est519_k),1)),""))</f>
        <v/>
      </c>
      <c r="AI602">
        <f>IF($W602="","",IFERROR(INDEX(IF($T602&lt;=60,est05_s,est519_s),MATCH($W602,IF($T602&lt;=60,est05_k,est519_k),1)),""))</f>
        <v/>
      </c>
      <c r="AJ602">
        <f>IF($W602="","",IFERROR(INDEX(IF($T602&lt;=60,peso05_l,peso510_l),MATCH($W602,IF($T602&lt;=60,peso05_k,peso510_k),1)),""))</f>
        <v/>
      </c>
      <c r="AK602">
        <f>IF($W602="","",IFERROR(INDEX(IF($T602&lt;=60,peso05_m,peso510_m),MATCH($W602,IF($T602&lt;=60,peso05_k,peso510_k),1)),""))</f>
        <v/>
      </c>
      <c r="AL602">
        <f>IF($W602="","",IFERROR(INDEX(IF($T602&lt;=60,peso05_s,peso510_s),MATCH($W602,IF($T602&lt;=60,peso05_k,peso510_k),1)),""))</f>
        <v/>
      </c>
      <c r="AM602">
        <f>IF($AJ602="","",IF($AJ602=0,LN($F602/$AK602)/$AL602,((($F602/$AK602)^$AJ602)-1)/($AJ602*$AL602)))</f>
        <v/>
      </c>
      <c r="AN602">
        <f>IF($AJ602="","",IF($AJ602=0,$AK602*EXP($AL602*2),$AK602*(1+$AJ602*$AL602*2)^(1/$AJ602)))</f>
        <v/>
      </c>
      <c r="AO602">
        <f>IF($AJ602="","",IF($AJ602=0,$AK602*EXP($AL602*3),$AK602*(1+$AJ602*$AL602*3)^(1/$AJ602)))</f>
        <v/>
      </c>
      <c r="AP602">
        <f>IF($AJ602="","",IF($AJ602=0,$AK602*EXP($AL602*-2),$AK602*(1+$AJ602*$AL602*-2)^(1/$AJ602)))</f>
        <v/>
      </c>
      <c r="AQ602">
        <f>IF($AJ602="","",IF($AJ602=0,$AK602*EXP($AL602*-3),$AK602*(1+$AJ602*$AL602*-3)^(1/$AJ602)))</f>
        <v/>
      </c>
      <c r="AR602">
        <f>IF(OR($X602="",$T602&gt;60),"",IFERROR(INDEX(IF($T602&lt;24,pcomp_l,palt_l),MATCH($X602,IF($T602&lt;24,pcomp_k,palt_k),1)),""))</f>
        <v/>
      </c>
      <c r="AS602">
        <f>IF(OR($X602="",$T602&gt;60),"",IFERROR(INDEX(IF($T602&lt;24,pcomp_m,palt_m),MATCH($X602,IF($T602&lt;24,pcomp_k,palt_k),1)),""))</f>
        <v/>
      </c>
      <c r="AT602">
        <f>IF(OR($X602="",$T602&gt;60),"",IFERROR(INDEX(IF($T602&lt;24,pcomp_s,palt_s),MATCH($X602,IF($T602&lt;24,pcomp_k,palt_k),1)),""))</f>
        <v/>
      </c>
      <c r="AU602">
        <f>IF($AR602="","",IF($AR602=0,LN($F602/$AS602)/$AT602,((($F602/$AS602)^$AR602)-1)/($AR602*$AT602)))</f>
        <v/>
      </c>
      <c r="AV602">
        <f>IF($AR602="","",IF($AR602=0,$AS602*EXP($AT602*2),$AS602*(1+$AR602*$AT602*2)^(1/$AR602)))</f>
        <v/>
      </c>
      <c r="AW602">
        <f>IF($AR602="","",IF($AR602=0,$AS602*EXP($AT602*3),$AS602*(1+$AR602*$AT602*3)^(1/$AR602)))</f>
        <v/>
      </c>
      <c r="AX602">
        <f>IF($AR602="","",IF($AR602=0,$AS602*EXP($AT602*-2),$AS602*(1+$AR602*$AT602*-2)^(1/$AR602)))</f>
        <v/>
      </c>
      <c r="AY602">
        <f>IF($AR602="","",IF($AR602=0,$AS602*EXP($AT602*-3),$AS602*(1+$AR602*$AT602*-3)^(1/$AR602)))</f>
        <v/>
      </c>
      <c r="AZ602">
        <f>IF(OR($A602="",$A602&lt;&gt;Ficha!$C$4),"",COUNTIF($A$2:$A602,Ficha!$C$4))</f>
        <v/>
      </c>
    </row>
    <row r="603">
      <c r="A603" s="8">
        <f>IF(INDEX(Banco!$A:$A,ROW())="","",INDEX(Banco!$A:$A,ROW()))</f>
        <v/>
      </c>
      <c r="B603" s="8">
        <f>IF(INDEX(Banco!$B:$B,ROW())="","",INDEX(Banco!$B:$B,ROW()))</f>
        <v/>
      </c>
      <c r="C603" s="8">
        <f>IF(INDEX(Banco!$C:$C,ROW())="","",INDEX(Banco!$C:$C,ROW()))</f>
        <v/>
      </c>
      <c r="D603" s="9">
        <f>IF(INDEX(Banco!$D:$D,ROW())="","",INDEX(Banco!$D:$D,ROW()))</f>
        <v/>
      </c>
      <c r="E603" s="9">
        <f>IF(INDEX(Banco!$E:$E,ROW())="","",INDEX(Banco!$E:$E,ROW()))</f>
        <v/>
      </c>
      <c r="F603" s="10">
        <f>IF(INDEX(Banco!$F:$F,ROW())="","",INDEX(Banco!$F:$F,ROW()))</f>
        <v/>
      </c>
      <c r="G603" s="10">
        <f>IF(INDEX(Banco!$G:$G,ROW())="","",INDEX(Banco!$G:$G,ROW()))</f>
        <v/>
      </c>
      <c r="H603" s="8">
        <f>IF(INDEX(Banco!$H:$H,ROW())="","",INDEX(Banco!$H:$H,ROW()))</f>
        <v/>
      </c>
      <c r="I603">
        <f>IF($T603="","",INT($T603/12)&amp;"a "&amp;MOD($T603,12)&amp;"m")</f>
        <v/>
      </c>
      <c r="J603" s="11">
        <f>IF(OR($F603="",$G603=""),"",ROUND($F603/($G603/100)^2,2))</f>
        <v/>
      </c>
      <c r="K603" s="12">
        <f>IF(OR($S603="",$J603="",$T603="",$T603&lt;0,$T603&gt;228,$Y603=""),"—",ROUND(IF(ABS($AB603)&lt;=3,$AB603,IF($AB603&gt;3,3+($J603-$AD603)/($AD603-$AC603),-3+($J603-$AF603)/($AE603-$AF603))),2))</f>
        <v/>
      </c>
      <c r="L603">
        <f>IF(OR($K603="",$K603="—"),"",IF($T603&lt;=60,IF($K603&lt;-3,"Magreza acentuada",IF($K603&lt;-2,"Magreza",IF($K603&lt;=1,"Eutrofia",IF($K603&lt;=2,"Risco de sobrepeso",IF($K603&lt;=3,"Sobrepeso","Obesidade"))))),IF($K603&lt;-3,"Magreza acentuada",IF($K603&lt;-2,"Magreza",IF($K603&lt;=1,"Eutrofia",IF($K603&lt;=2,"Sobrepeso",IF($K603&lt;=3,"Obesidade","Obesidade grave")))))))</f>
        <v/>
      </c>
      <c r="M603" s="12">
        <f>IF(OR($S603="",$V603="",$T603="",$T603&lt;0,$T603&gt;228,$AG603=""),"—",ROUND(IF($AG603=0,LN($V603/$AH603)/$AI603,((($V603/$AH603)^$AG603)-1)/($AG603*$AI603)),2))</f>
        <v/>
      </c>
      <c r="N603">
        <f>IF(OR($M603="",$M603="—"),"",IF($M603&lt;-3,"Muito baixa",IF($M603&lt;-2,"Baixa","Adequada")))</f>
        <v/>
      </c>
      <c r="O603" s="12">
        <f>IF(OR($S603="",$F603="",$T603="",$T603&lt;0,$T603&gt;120,$AJ603=""),"—",ROUND(IF(ABS($AM603)&lt;=3,$AM603,IF($AM603&gt;3,3+($F603-$AO603)/($AO603-$AN603),-3+($F603-$AQ603)/($AP603-$AQ603))),2))</f>
        <v/>
      </c>
      <c r="P603">
        <f>IF(OR($O603="",$O603="—"),"",IF($O603&lt;-3,"Muito baixo",IF($O603&lt;-2,"Baixo",IF($O603&lt;=2,"Adequado","Elevado"))))</f>
        <v/>
      </c>
      <c r="Q603" s="12">
        <f>IF(OR($S603="",$F603="",$T603="",$T603&lt;0,$T603&gt;60,$AR603=""),"—",ROUND(IF(ABS($AU603)&lt;=3,$AU603,IF($AU603&gt;3,3+($F603-$AW603)/($AW603-$AV603),-3+($F603-$AY603)/($AX603-$AY603))),2))</f>
        <v/>
      </c>
      <c r="R603">
        <f>IF(OR($Q603="",$Q603="—"),"",IF($Q603&lt;-3,"Magreza acentuada",IF($Q603&lt;-2,"Magreza",IF($Q603&lt;=1,"Eutrofia",IF($Q603&lt;=2,"Risco de sobrepeso",IF($Q603&lt;=3,"Sobrepeso","Obesidade"))))))</f>
        <v/>
      </c>
      <c r="S603">
        <f>IF($C603="","",IF(UPPER(LEFT($C603,1))="M",1,IF(UPPER(LEFT($C603,1))="F",2,"")))</f>
        <v/>
      </c>
      <c r="T603">
        <f>IF(OR($D603="",$E603=""),"",DATEDIF($D603,$E603,"m"))</f>
        <v/>
      </c>
      <c r="U603">
        <f>IF(OR($D603="",$E603=""),"",$E603-$D603)</f>
        <v/>
      </c>
      <c r="V603">
        <f>IF(OR($G603="",$T603=""),"",IF($T603&lt;24,IF(LEFT(LOWER($H603),4)="em p",$G603+0.7,$G603),IF(LEFT(LOWER($H603),4)="deit",$G603-0.7,$G603)))</f>
        <v/>
      </c>
      <c r="W603">
        <f>IF(OR($S603="",$T603=""),"",$S603*1000000+IF($T603&lt;=60,$U603,$T603))</f>
        <v/>
      </c>
      <c r="X603">
        <f>IF(OR($S603="",$V603="",$T603&gt;60,$T603=""),"",$S603*1000000+ROUND($V603*10,0))</f>
        <v/>
      </c>
      <c r="Y603">
        <f>IF($W603="","",IFERROR(INDEX(IF($T603&lt;=60,imc05_l,imc519_l),MATCH($W603,IF($T603&lt;=60,imc05_k,imc519_k),1)),""))</f>
        <v/>
      </c>
      <c r="Z603">
        <f>IF($W603="","",IFERROR(INDEX(IF($T603&lt;=60,imc05_m,imc519_m),MATCH($W603,IF($T603&lt;=60,imc05_k,imc519_k),1)),""))</f>
        <v/>
      </c>
      <c r="AA603">
        <f>IF($W603="","",IFERROR(INDEX(IF($T603&lt;=60,imc05_s,imc519_s),MATCH($W603,IF($T603&lt;=60,imc05_k,imc519_k),1)),""))</f>
        <v/>
      </c>
      <c r="AB603">
        <f>IF($Y603="","",IF($Y603=0,LN($J603/$Z603)/$AA603,((($J603/$Z603)^$Y603)-1)/($Y603*$AA603)))</f>
        <v/>
      </c>
      <c r="AC603">
        <f>IF($Y603="","",IF($Y603=0,$Z603*EXP($AA603*2),$Z603*(1+$Y603*$AA603*2)^(1/$Y603)))</f>
        <v/>
      </c>
      <c r="AD603">
        <f>IF($Y603="","",IF($Y603=0,$Z603*EXP($AA603*3),$Z603*(1+$Y603*$AA603*3)^(1/$Y603)))</f>
        <v/>
      </c>
      <c r="AE603">
        <f>IF($Y603="","",IF($Y603=0,$Z603*EXP($AA603*-2),$Z603*(1+$Y603*$AA603*-2)^(1/$Y603)))</f>
        <v/>
      </c>
      <c r="AF603">
        <f>IF($Y603="","",IF($Y603=0,$Z603*EXP($AA603*-3),$Z603*(1+$Y603*$AA603*-3)^(1/$Y603)))</f>
        <v/>
      </c>
      <c r="AG603">
        <f>IF($W603="","",IFERROR(INDEX(IF($T603&lt;=60,est05_l,est519_l),MATCH($W603,IF($T603&lt;=60,est05_k,est519_k),1)),""))</f>
        <v/>
      </c>
      <c r="AH603">
        <f>IF($W603="","",IFERROR(INDEX(IF($T603&lt;=60,est05_m,est519_m),MATCH($W603,IF($T603&lt;=60,est05_k,est519_k),1)),""))</f>
        <v/>
      </c>
      <c r="AI603">
        <f>IF($W603="","",IFERROR(INDEX(IF($T603&lt;=60,est05_s,est519_s),MATCH($W603,IF($T603&lt;=60,est05_k,est519_k),1)),""))</f>
        <v/>
      </c>
      <c r="AJ603">
        <f>IF($W603="","",IFERROR(INDEX(IF($T603&lt;=60,peso05_l,peso510_l),MATCH($W603,IF($T603&lt;=60,peso05_k,peso510_k),1)),""))</f>
        <v/>
      </c>
      <c r="AK603">
        <f>IF($W603="","",IFERROR(INDEX(IF($T603&lt;=60,peso05_m,peso510_m),MATCH($W603,IF($T603&lt;=60,peso05_k,peso510_k),1)),""))</f>
        <v/>
      </c>
      <c r="AL603">
        <f>IF($W603="","",IFERROR(INDEX(IF($T603&lt;=60,peso05_s,peso510_s),MATCH($W603,IF($T603&lt;=60,peso05_k,peso510_k),1)),""))</f>
        <v/>
      </c>
      <c r="AM603">
        <f>IF($AJ603="","",IF($AJ603=0,LN($F603/$AK603)/$AL603,((($F603/$AK603)^$AJ603)-1)/($AJ603*$AL603)))</f>
        <v/>
      </c>
      <c r="AN603">
        <f>IF($AJ603="","",IF($AJ603=0,$AK603*EXP($AL603*2),$AK603*(1+$AJ603*$AL603*2)^(1/$AJ603)))</f>
        <v/>
      </c>
      <c r="AO603">
        <f>IF($AJ603="","",IF($AJ603=0,$AK603*EXP($AL603*3),$AK603*(1+$AJ603*$AL603*3)^(1/$AJ603)))</f>
        <v/>
      </c>
      <c r="AP603">
        <f>IF($AJ603="","",IF($AJ603=0,$AK603*EXP($AL603*-2),$AK603*(1+$AJ603*$AL603*-2)^(1/$AJ603)))</f>
        <v/>
      </c>
      <c r="AQ603">
        <f>IF($AJ603="","",IF($AJ603=0,$AK603*EXP($AL603*-3),$AK603*(1+$AJ603*$AL603*-3)^(1/$AJ603)))</f>
        <v/>
      </c>
      <c r="AR603">
        <f>IF(OR($X603="",$T603&gt;60),"",IFERROR(INDEX(IF($T603&lt;24,pcomp_l,palt_l),MATCH($X603,IF($T603&lt;24,pcomp_k,palt_k),1)),""))</f>
        <v/>
      </c>
      <c r="AS603">
        <f>IF(OR($X603="",$T603&gt;60),"",IFERROR(INDEX(IF($T603&lt;24,pcomp_m,palt_m),MATCH($X603,IF($T603&lt;24,pcomp_k,palt_k),1)),""))</f>
        <v/>
      </c>
      <c r="AT603">
        <f>IF(OR($X603="",$T603&gt;60),"",IFERROR(INDEX(IF($T603&lt;24,pcomp_s,palt_s),MATCH($X603,IF($T603&lt;24,pcomp_k,palt_k),1)),""))</f>
        <v/>
      </c>
      <c r="AU603">
        <f>IF($AR603="","",IF($AR603=0,LN($F603/$AS603)/$AT603,((($F603/$AS603)^$AR603)-1)/($AR603*$AT603)))</f>
        <v/>
      </c>
      <c r="AV603">
        <f>IF($AR603="","",IF($AR603=0,$AS603*EXP($AT603*2),$AS603*(1+$AR603*$AT603*2)^(1/$AR603)))</f>
        <v/>
      </c>
      <c r="AW603">
        <f>IF($AR603="","",IF($AR603=0,$AS603*EXP($AT603*3),$AS603*(1+$AR603*$AT603*3)^(1/$AR603)))</f>
        <v/>
      </c>
      <c r="AX603">
        <f>IF($AR603="","",IF($AR603=0,$AS603*EXP($AT603*-2),$AS603*(1+$AR603*$AT603*-2)^(1/$AR603)))</f>
        <v/>
      </c>
      <c r="AY603">
        <f>IF($AR603="","",IF($AR603=0,$AS603*EXP($AT603*-3),$AS603*(1+$AR603*$AT603*-3)^(1/$AR603)))</f>
        <v/>
      </c>
      <c r="AZ603">
        <f>IF(OR($A603="",$A603&lt;&gt;Ficha!$C$4),"",COUNTIF($A$2:$A603,Ficha!$C$4))</f>
        <v/>
      </c>
    </row>
    <row r="604">
      <c r="A604" s="8">
        <f>IF(INDEX(Banco!$A:$A,ROW())="","",INDEX(Banco!$A:$A,ROW()))</f>
        <v/>
      </c>
      <c r="B604" s="8">
        <f>IF(INDEX(Banco!$B:$B,ROW())="","",INDEX(Banco!$B:$B,ROW()))</f>
        <v/>
      </c>
      <c r="C604" s="8">
        <f>IF(INDEX(Banco!$C:$C,ROW())="","",INDEX(Banco!$C:$C,ROW()))</f>
        <v/>
      </c>
      <c r="D604" s="9">
        <f>IF(INDEX(Banco!$D:$D,ROW())="","",INDEX(Banco!$D:$D,ROW()))</f>
        <v/>
      </c>
      <c r="E604" s="9">
        <f>IF(INDEX(Banco!$E:$E,ROW())="","",INDEX(Banco!$E:$E,ROW()))</f>
        <v/>
      </c>
      <c r="F604" s="10">
        <f>IF(INDEX(Banco!$F:$F,ROW())="","",INDEX(Banco!$F:$F,ROW()))</f>
        <v/>
      </c>
      <c r="G604" s="10">
        <f>IF(INDEX(Banco!$G:$G,ROW())="","",INDEX(Banco!$G:$G,ROW()))</f>
        <v/>
      </c>
      <c r="H604" s="8">
        <f>IF(INDEX(Banco!$H:$H,ROW())="","",INDEX(Banco!$H:$H,ROW()))</f>
        <v/>
      </c>
      <c r="I604">
        <f>IF($T604="","",INT($T604/12)&amp;"a "&amp;MOD($T604,12)&amp;"m")</f>
        <v/>
      </c>
      <c r="J604" s="11">
        <f>IF(OR($F604="",$G604=""),"",ROUND($F604/($G604/100)^2,2))</f>
        <v/>
      </c>
      <c r="K604" s="12">
        <f>IF(OR($S604="",$J604="",$T604="",$T604&lt;0,$T604&gt;228,$Y604=""),"—",ROUND(IF(ABS($AB604)&lt;=3,$AB604,IF($AB604&gt;3,3+($J604-$AD604)/($AD604-$AC604),-3+($J604-$AF604)/($AE604-$AF604))),2))</f>
        <v/>
      </c>
      <c r="L604">
        <f>IF(OR($K604="",$K604="—"),"",IF($T604&lt;=60,IF($K604&lt;-3,"Magreza acentuada",IF($K604&lt;-2,"Magreza",IF($K604&lt;=1,"Eutrofia",IF($K604&lt;=2,"Risco de sobrepeso",IF($K604&lt;=3,"Sobrepeso","Obesidade"))))),IF($K604&lt;-3,"Magreza acentuada",IF($K604&lt;-2,"Magreza",IF($K604&lt;=1,"Eutrofia",IF($K604&lt;=2,"Sobrepeso",IF($K604&lt;=3,"Obesidade","Obesidade grave")))))))</f>
        <v/>
      </c>
      <c r="M604" s="12">
        <f>IF(OR($S604="",$V604="",$T604="",$T604&lt;0,$T604&gt;228,$AG604=""),"—",ROUND(IF($AG604=0,LN($V604/$AH604)/$AI604,((($V604/$AH604)^$AG604)-1)/($AG604*$AI604)),2))</f>
        <v/>
      </c>
      <c r="N604">
        <f>IF(OR($M604="",$M604="—"),"",IF($M604&lt;-3,"Muito baixa",IF($M604&lt;-2,"Baixa","Adequada")))</f>
        <v/>
      </c>
      <c r="O604" s="12">
        <f>IF(OR($S604="",$F604="",$T604="",$T604&lt;0,$T604&gt;120,$AJ604=""),"—",ROUND(IF(ABS($AM604)&lt;=3,$AM604,IF($AM604&gt;3,3+($F604-$AO604)/($AO604-$AN604),-3+($F604-$AQ604)/($AP604-$AQ604))),2))</f>
        <v/>
      </c>
      <c r="P604">
        <f>IF(OR($O604="",$O604="—"),"",IF($O604&lt;-3,"Muito baixo",IF($O604&lt;-2,"Baixo",IF($O604&lt;=2,"Adequado","Elevado"))))</f>
        <v/>
      </c>
      <c r="Q604" s="12">
        <f>IF(OR($S604="",$F604="",$T604="",$T604&lt;0,$T604&gt;60,$AR604=""),"—",ROUND(IF(ABS($AU604)&lt;=3,$AU604,IF($AU604&gt;3,3+($F604-$AW604)/($AW604-$AV604),-3+($F604-$AY604)/($AX604-$AY604))),2))</f>
        <v/>
      </c>
      <c r="R604">
        <f>IF(OR($Q604="",$Q604="—"),"",IF($Q604&lt;-3,"Magreza acentuada",IF($Q604&lt;-2,"Magreza",IF($Q604&lt;=1,"Eutrofia",IF($Q604&lt;=2,"Risco de sobrepeso",IF($Q604&lt;=3,"Sobrepeso","Obesidade"))))))</f>
        <v/>
      </c>
      <c r="S604">
        <f>IF($C604="","",IF(UPPER(LEFT($C604,1))="M",1,IF(UPPER(LEFT($C604,1))="F",2,"")))</f>
        <v/>
      </c>
      <c r="T604">
        <f>IF(OR($D604="",$E604=""),"",DATEDIF($D604,$E604,"m"))</f>
        <v/>
      </c>
      <c r="U604">
        <f>IF(OR($D604="",$E604=""),"",$E604-$D604)</f>
        <v/>
      </c>
      <c r="V604">
        <f>IF(OR($G604="",$T604=""),"",IF($T604&lt;24,IF(LEFT(LOWER($H604),4)="em p",$G604+0.7,$G604),IF(LEFT(LOWER($H604),4)="deit",$G604-0.7,$G604)))</f>
        <v/>
      </c>
      <c r="W604">
        <f>IF(OR($S604="",$T604=""),"",$S604*1000000+IF($T604&lt;=60,$U604,$T604))</f>
        <v/>
      </c>
      <c r="X604">
        <f>IF(OR($S604="",$V604="",$T604&gt;60,$T604=""),"",$S604*1000000+ROUND($V604*10,0))</f>
        <v/>
      </c>
      <c r="Y604">
        <f>IF($W604="","",IFERROR(INDEX(IF($T604&lt;=60,imc05_l,imc519_l),MATCH($W604,IF($T604&lt;=60,imc05_k,imc519_k),1)),""))</f>
        <v/>
      </c>
      <c r="Z604">
        <f>IF($W604="","",IFERROR(INDEX(IF($T604&lt;=60,imc05_m,imc519_m),MATCH($W604,IF($T604&lt;=60,imc05_k,imc519_k),1)),""))</f>
        <v/>
      </c>
      <c r="AA604">
        <f>IF($W604="","",IFERROR(INDEX(IF($T604&lt;=60,imc05_s,imc519_s),MATCH($W604,IF($T604&lt;=60,imc05_k,imc519_k),1)),""))</f>
        <v/>
      </c>
      <c r="AB604">
        <f>IF($Y604="","",IF($Y604=0,LN($J604/$Z604)/$AA604,((($J604/$Z604)^$Y604)-1)/($Y604*$AA604)))</f>
        <v/>
      </c>
      <c r="AC604">
        <f>IF($Y604="","",IF($Y604=0,$Z604*EXP($AA604*2),$Z604*(1+$Y604*$AA604*2)^(1/$Y604)))</f>
        <v/>
      </c>
      <c r="AD604">
        <f>IF($Y604="","",IF($Y604=0,$Z604*EXP($AA604*3),$Z604*(1+$Y604*$AA604*3)^(1/$Y604)))</f>
        <v/>
      </c>
      <c r="AE604">
        <f>IF($Y604="","",IF($Y604=0,$Z604*EXP($AA604*-2),$Z604*(1+$Y604*$AA604*-2)^(1/$Y604)))</f>
        <v/>
      </c>
      <c r="AF604">
        <f>IF($Y604="","",IF($Y604=0,$Z604*EXP($AA604*-3),$Z604*(1+$Y604*$AA604*-3)^(1/$Y604)))</f>
        <v/>
      </c>
      <c r="AG604">
        <f>IF($W604="","",IFERROR(INDEX(IF($T604&lt;=60,est05_l,est519_l),MATCH($W604,IF($T604&lt;=60,est05_k,est519_k),1)),""))</f>
        <v/>
      </c>
      <c r="AH604">
        <f>IF($W604="","",IFERROR(INDEX(IF($T604&lt;=60,est05_m,est519_m),MATCH($W604,IF($T604&lt;=60,est05_k,est519_k),1)),""))</f>
        <v/>
      </c>
      <c r="AI604">
        <f>IF($W604="","",IFERROR(INDEX(IF($T604&lt;=60,est05_s,est519_s),MATCH($W604,IF($T604&lt;=60,est05_k,est519_k),1)),""))</f>
        <v/>
      </c>
      <c r="AJ604">
        <f>IF($W604="","",IFERROR(INDEX(IF($T604&lt;=60,peso05_l,peso510_l),MATCH($W604,IF($T604&lt;=60,peso05_k,peso510_k),1)),""))</f>
        <v/>
      </c>
      <c r="AK604">
        <f>IF($W604="","",IFERROR(INDEX(IF($T604&lt;=60,peso05_m,peso510_m),MATCH($W604,IF($T604&lt;=60,peso05_k,peso510_k),1)),""))</f>
        <v/>
      </c>
      <c r="AL604">
        <f>IF($W604="","",IFERROR(INDEX(IF($T604&lt;=60,peso05_s,peso510_s),MATCH($W604,IF($T604&lt;=60,peso05_k,peso510_k),1)),""))</f>
        <v/>
      </c>
      <c r="AM604">
        <f>IF($AJ604="","",IF($AJ604=0,LN($F604/$AK604)/$AL604,((($F604/$AK604)^$AJ604)-1)/($AJ604*$AL604)))</f>
        <v/>
      </c>
      <c r="AN604">
        <f>IF($AJ604="","",IF($AJ604=0,$AK604*EXP($AL604*2),$AK604*(1+$AJ604*$AL604*2)^(1/$AJ604)))</f>
        <v/>
      </c>
      <c r="AO604">
        <f>IF($AJ604="","",IF($AJ604=0,$AK604*EXP($AL604*3),$AK604*(1+$AJ604*$AL604*3)^(1/$AJ604)))</f>
        <v/>
      </c>
      <c r="AP604">
        <f>IF($AJ604="","",IF($AJ604=0,$AK604*EXP($AL604*-2),$AK604*(1+$AJ604*$AL604*-2)^(1/$AJ604)))</f>
        <v/>
      </c>
      <c r="AQ604">
        <f>IF($AJ604="","",IF($AJ604=0,$AK604*EXP($AL604*-3),$AK604*(1+$AJ604*$AL604*-3)^(1/$AJ604)))</f>
        <v/>
      </c>
      <c r="AR604">
        <f>IF(OR($X604="",$T604&gt;60),"",IFERROR(INDEX(IF($T604&lt;24,pcomp_l,palt_l),MATCH($X604,IF($T604&lt;24,pcomp_k,palt_k),1)),""))</f>
        <v/>
      </c>
      <c r="AS604">
        <f>IF(OR($X604="",$T604&gt;60),"",IFERROR(INDEX(IF($T604&lt;24,pcomp_m,palt_m),MATCH($X604,IF($T604&lt;24,pcomp_k,palt_k),1)),""))</f>
        <v/>
      </c>
      <c r="AT604">
        <f>IF(OR($X604="",$T604&gt;60),"",IFERROR(INDEX(IF($T604&lt;24,pcomp_s,palt_s),MATCH($X604,IF($T604&lt;24,pcomp_k,palt_k),1)),""))</f>
        <v/>
      </c>
      <c r="AU604">
        <f>IF($AR604="","",IF($AR604=0,LN($F604/$AS604)/$AT604,((($F604/$AS604)^$AR604)-1)/($AR604*$AT604)))</f>
        <v/>
      </c>
      <c r="AV604">
        <f>IF($AR604="","",IF($AR604=0,$AS604*EXP($AT604*2),$AS604*(1+$AR604*$AT604*2)^(1/$AR604)))</f>
        <v/>
      </c>
      <c r="AW604">
        <f>IF($AR604="","",IF($AR604=0,$AS604*EXP($AT604*3),$AS604*(1+$AR604*$AT604*3)^(1/$AR604)))</f>
        <v/>
      </c>
      <c r="AX604">
        <f>IF($AR604="","",IF($AR604=0,$AS604*EXP($AT604*-2),$AS604*(1+$AR604*$AT604*-2)^(1/$AR604)))</f>
        <v/>
      </c>
      <c r="AY604">
        <f>IF($AR604="","",IF($AR604=0,$AS604*EXP($AT604*-3),$AS604*(1+$AR604*$AT604*-3)^(1/$AR604)))</f>
        <v/>
      </c>
      <c r="AZ604">
        <f>IF(OR($A604="",$A604&lt;&gt;Ficha!$C$4),"",COUNTIF($A$2:$A604,Ficha!$C$4))</f>
        <v/>
      </c>
    </row>
    <row r="605">
      <c r="A605" s="8">
        <f>IF(INDEX(Banco!$A:$A,ROW())="","",INDEX(Banco!$A:$A,ROW()))</f>
        <v/>
      </c>
      <c r="B605" s="8">
        <f>IF(INDEX(Banco!$B:$B,ROW())="","",INDEX(Banco!$B:$B,ROW()))</f>
        <v/>
      </c>
      <c r="C605" s="8">
        <f>IF(INDEX(Banco!$C:$C,ROW())="","",INDEX(Banco!$C:$C,ROW()))</f>
        <v/>
      </c>
      <c r="D605" s="9">
        <f>IF(INDEX(Banco!$D:$D,ROW())="","",INDEX(Banco!$D:$D,ROW()))</f>
        <v/>
      </c>
      <c r="E605" s="9">
        <f>IF(INDEX(Banco!$E:$E,ROW())="","",INDEX(Banco!$E:$E,ROW()))</f>
        <v/>
      </c>
      <c r="F605" s="10">
        <f>IF(INDEX(Banco!$F:$F,ROW())="","",INDEX(Banco!$F:$F,ROW()))</f>
        <v/>
      </c>
      <c r="G605" s="10">
        <f>IF(INDEX(Banco!$G:$G,ROW())="","",INDEX(Banco!$G:$G,ROW()))</f>
        <v/>
      </c>
      <c r="H605" s="8">
        <f>IF(INDEX(Banco!$H:$H,ROW())="","",INDEX(Banco!$H:$H,ROW()))</f>
        <v/>
      </c>
      <c r="I605">
        <f>IF($T605="","",INT($T605/12)&amp;"a "&amp;MOD($T605,12)&amp;"m")</f>
        <v/>
      </c>
      <c r="J605" s="11">
        <f>IF(OR($F605="",$G605=""),"",ROUND($F605/($G605/100)^2,2))</f>
        <v/>
      </c>
      <c r="K605" s="12">
        <f>IF(OR($S605="",$J605="",$T605="",$T605&lt;0,$T605&gt;228,$Y605=""),"—",ROUND(IF(ABS($AB605)&lt;=3,$AB605,IF($AB605&gt;3,3+($J605-$AD605)/($AD605-$AC605),-3+($J605-$AF605)/($AE605-$AF605))),2))</f>
        <v/>
      </c>
      <c r="L605">
        <f>IF(OR($K605="",$K605="—"),"",IF($T605&lt;=60,IF($K605&lt;-3,"Magreza acentuada",IF($K605&lt;-2,"Magreza",IF($K605&lt;=1,"Eutrofia",IF($K605&lt;=2,"Risco de sobrepeso",IF($K605&lt;=3,"Sobrepeso","Obesidade"))))),IF($K605&lt;-3,"Magreza acentuada",IF($K605&lt;-2,"Magreza",IF($K605&lt;=1,"Eutrofia",IF($K605&lt;=2,"Sobrepeso",IF($K605&lt;=3,"Obesidade","Obesidade grave")))))))</f>
        <v/>
      </c>
      <c r="M605" s="12">
        <f>IF(OR($S605="",$V605="",$T605="",$T605&lt;0,$T605&gt;228,$AG605=""),"—",ROUND(IF($AG605=0,LN($V605/$AH605)/$AI605,((($V605/$AH605)^$AG605)-1)/($AG605*$AI605)),2))</f>
        <v/>
      </c>
      <c r="N605">
        <f>IF(OR($M605="",$M605="—"),"",IF($M605&lt;-3,"Muito baixa",IF($M605&lt;-2,"Baixa","Adequada")))</f>
        <v/>
      </c>
      <c r="O605" s="12">
        <f>IF(OR($S605="",$F605="",$T605="",$T605&lt;0,$T605&gt;120,$AJ605=""),"—",ROUND(IF(ABS($AM605)&lt;=3,$AM605,IF($AM605&gt;3,3+($F605-$AO605)/($AO605-$AN605),-3+($F605-$AQ605)/($AP605-$AQ605))),2))</f>
        <v/>
      </c>
      <c r="P605">
        <f>IF(OR($O605="",$O605="—"),"",IF($O605&lt;-3,"Muito baixo",IF($O605&lt;-2,"Baixo",IF($O605&lt;=2,"Adequado","Elevado"))))</f>
        <v/>
      </c>
      <c r="Q605" s="12">
        <f>IF(OR($S605="",$F605="",$T605="",$T605&lt;0,$T605&gt;60,$AR605=""),"—",ROUND(IF(ABS($AU605)&lt;=3,$AU605,IF($AU605&gt;3,3+($F605-$AW605)/($AW605-$AV605),-3+($F605-$AY605)/($AX605-$AY605))),2))</f>
        <v/>
      </c>
      <c r="R605">
        <f>IF(OR($Q605="",$Q605="—"),"",IF($Q605&lt;-3,"Magreza acentuada",IF($Q605&lt;-2,"Magreza",IF($Q605&lt;=1,"Eutrofia",IF($Q605&lt;=2,"Risco de sobrepeso",IF($Q605&lt;=3,"Sobrepeso","Obesidade"))))))</f>
        <v/>
      </c>
      <c r="S605">
        <f>IF($C605="","",IF(UPPER(LEFT($C605,1))="M",1,IF(UPPER(LEFT($C605,1))="F",2,"")))</f>
        <v/>
      </c>
      <c r="T605">
        <f>IF(OR($D605="",$E605=""),"",DATEDIF($D605,$E605,"m"))</f>
        <v/>
      </c>
      <c r="U605">
        <f>IF(OR($D605="",$E605=""),"",$E605-$D605)</f>
        <v/>
      </c>
      <c r="V605">
        <f>IF(OR($G605="",$T605=""),"",IF($T605&lt;24,IF(LEFT(LOWER($H605),4)="em p",$G605+0.7,$G605),IF(LEFT(LOWER($H605),4)="deit",$G605-0.7,$G605)))</f>
        <v/>
      </c>
      <c r="W605">
        <f>IF(OR($S605="",$T605=""),"",$S605*1000000+IF($T605&lt;=60,$U605,$T605))</f>
        <v/>
      </c>
      <c r="X605">
        <f>IF(OR($S605="",$V605="",$T605&gt;60,$T605=""),"",$S605*1000000+ROUND($V605*10,0))</f>
        <v/>
      </c>
      <c r="Y605">
        <f>IF($W605="","",IFERROR(INDEX(IF($T605&lt;=60,imc05_l,imc519_l),MATCH($W605,IF($T605&lt;=60,imc05_k,imc519_k),1)),""))</f>
        <v/>
      </c>
      <c r="Z605">
        <f>IF($W605="","",IFERROR(INDEX(IF($T605&lt;=60,imc05_m,imc519_m),MATCH($W605,IF($T605&lt;=60,imc05_k,imc519_k),1)),""))</f>
        <v/>
      </c>
      <c r="AA605">
        <f>IF($W605="","",IFERROR(INDEX(IF($T605&lt;=60,imc05_s,imc519_s),MATCH($W605,IF($T605&lt;=60,imc05_k,imc519_k),1)),""))</f>
        <v/>
      </c>
      <c r="AB605">
        <f>IF($Y605="","",IF($Y605=0,LN($J605/$Z605)/$AA605,((($J605/$Z605)^$Y605)-1)/($Y605*$AA605)))</f>
        <v/>
      </c>
      <c r="AC605">
        <f>IF($Y605="","",IF($Y605=0,$Z605*EXP($AA605*2),$Z605*(1+$Y605*$AA605*2)^(1/$Y605)))</f>
        <v/>
      </c>
      <c r="AD605">
        <f>IF($Y605="","",IF($Y605=0,$Z605*EXP($AA605*3),$Z605*(1+$Y605*$AA605*3)^(1/$Y605)))</f>
        <v/>
      </c>
      <c r="AE605">
        <f>IF($Y605="","",IF($Y605=0,$Z605*EXP($AA605*-2),$Z605*(1+$Y605*$AA605*-2)^(1/$Y605)))</f>
        <v/>
      </c>
      <c r="AF605">
        <f>IF($Y605="","",IF($Y605=0,$Z605*EXP($AA605*-3),$Z605*(1+$Y605*$AA605*-3)^(1/$Y605)))</f>
        <v/>
      </c>
      <c r="AG605">
        <f>IF($W605="","",IFERROR(INDEX(IF($T605&lt;=60,est05_l,est519_l),MATCH($W605,IF($T605&lt;=60,est05_k,est519_k),1)),""))</f>
        <v/>
      </c>
      <c r="AH605">
        <f>IF($W605="","",IFERROR(INDEX(IF($T605&lt;=60,est05_m,est519_m),MATCH($W605,IF($T605&lt;=60,est05_k,est519_k),1)),""))</f>
        <v/>
      </c>
      <c r="AI605">
        <f>IF($W605="","",IFERROR(INDEX(IF($T605&lt;=60,est05_s,est519_s),MATCH($W605,IF($T605&lt;=60,est05_k,est519_k),1)),""))</f>
        <v/>
      </c>
      <c r="AJ605">
        <f>IF($W605="","",IFERROR(INDEX(IF($T605&lt;=60,peso05_l,peso510_l),MATCH($W605,IF($T605&lt;=60,peso05_k,peso510_k),1)),""))</f>
        <v/>
      </c>
      <c r="AK605">
        <f>IF($W605="","",IFERROR(INDEX(IF($T605&lt;=60,peso05_m,peso510_m),MATCH($W605,IF($T605&lt;=60,peso05_k,peso510_k),1)),""))</f>
        <v/>
      </c>
      <c r="AL605">
        <f>IF($W605="","",IFERROR(INDEX(IF($T605&lt;=60,peso05_s,peso510_s),MATCH($W605,IF($T605&lt;=60,peso05_k,peso510_k),1)),""))</f>
        <v/>
      </c>
      <c r="AM605">
        <f>IF($AJ605="","",IF($AJ605=0,LN($F605/$AK605)/$AL605,((($F605/$AK605)^$AJ605)-1)/($AJ605*$AL605)))</f>
        <v/>
      </c>
      <c r="AN605">
        <f>IF($AJ605="","",IF($AJ605=0,$AK605*EXP($AL605*2),$AK605*(1+$AJ605*$AL605*2)^(1/$AJ605)))</f>
        <v/>
      </c>
      <c r="AO605">
        <f>IF($AJ605="","",IF($AJ605=0,$AK605*EXP($AL605*3),$AK605*(1+$AJ605*$AL605*3)^(1/$AJ605)))</f>
        <v/>
      </c>
      <c r="AP605">
        <f>IF($AJ605="","",IF($AJ605=0,$AK605*EXP($AL605*-2),$AK605*(1+$AJ605*$AL605*-2)^(1/$AJ605)))</f>
        <v/>
      </c>
      <c r="AQ605">
        <f>IF($AJ605="","",IF($AJ605=0,$AK605*EXP($AL605*-3),$AK605*(1+$AJ605*$AL605*-3)^(1/$AJ605)))</f>
        <v/>
      </c>
      <c r="AR605">
        <f>IF(OR($X605="",$T605&gt;60),"",IFERROR(INDEX(IF($T605&lt;24,pcomp_l,palt_l),MATCH($X605,IF($T605&lt;24,pcomp_k,palt_k),1)),""))</f>
        <v/>
      </c>
      <c r="AS605">
        <f>IF(OR($X605="",$T605&gt;60),"",IFERROR(INDEX(IF($T605&lt;24,pcomp_m,palt_m),MATCH($X605,IF($T605&lt;24,pcomp_k,palt_k),1)),""))</f>
        <v/>
      </c>
      <c r="AT605">
        <f>IF(OR($X605="",$T605&gt;60),"",IFERROR(INDEX(IF($T605&lt;24,pcomp_s,palt_s),MATCH($X605,IF($T605&lt;24,pcomp_k,palt_k),1)),""))</f>
        <v/>
      </c>
      <c r="AU605">
        <f>IF($AR605="","",IF($AR605=0,LN($F605/$AS605)/$AT605,((($F605/$AS605)^$AR605)-1)/($AR605*$AT605)))</f>
        <v/>
      </c>
      <c r="AV605">
        <f>IF($AR605="","",IF($AR605=0,$AS605*EXP($AT605*2),$AS605*(1+$AR605*$AT605*2)^(1/$AR605)))</f>
        <v/>
      </c>
      <c r="AW605">
        <f>IF($AR605="","",IF($AR605=0,$AS605*EXP($AT605*3),$AS605*(1+$AR605*$AT605*3)^(1/$AR605)))</f>
        <v/>
      </c>
      <c r="AX605">
        <f>IF($AR605="","",IF($AR605=0,$AS605*EXP($AT605*-2),$AS605*(1+$AR605*$AT605*-2)^(1/$AR605)))</f>
        <v/>
      </c>
      <c r="AY605">
        <f>IF($AR605="","",IF($AR605=0,$AS605*EXP($AT605*-3),$AS605*(1+$AR605*$AT605*-3)^(1/$AR605)))</f>
        <v/>
      </c>
      <c r="AZ605">
        <f>IF(OR($A605="",$A605&lt;&gt;Ficha!$C$4),"",COUNTIF($A$2:$A605,Ficha!$C$4))</f>
        <v/>
      </c>
    </row>
    <row r="606">
      <c r="A606" s="8">
        <f>IF(INDEX(Banco!$A:$A,ROW())="","",INDEX(Banco!$A:$A,ROW()))</f>
        <v/>
      </c>
      <c r="B606" s="8">
        <f>IF(INDEX(Banco!$B:$B,ROW())="","",INDEX(Banco!$B:$B,ROW()))</f>
        <v/>
      </c>
      <c r="C606" s="8">
        <f>IF(INDEX(Banco!$C:$C,ROW())="","",INDEX(Banco!$C:$C,ROW()))</f>
        <v/>
      </c>
      <c r="D606" s="9">
        <f>IF(INDEX(Banco!$D:$D,ROW())="","",INDEX(Banco!$D:$D,ROW()))</f>
        <v/>
      </c>
      <c r="E606" s="9">
        <f>IF(INDEX(Banco!$E:$E,ROW())="","",INDEX(Banco!$E:$E,ROW()))</f>
        <v/>
      </c>
      <c r="F606" s="10">
        <f>IF(INDEX(Banco!$F:$F,ROW())="","",INDEX(Banco!$F:$F,ROW()))</f>
        <v/>
      </c>
      <c r="G606" s="10">
        <f>IF(INDEX(Banco!$G:$G,ROW())="","",INDEX(Banco!$G:$G,ROW()))</f>
        <v/>
      </c>
      <c r="H606" s="8">
        <f>IF(INDEX(Banco!$H:$H,ROW())="","",INDEX(Banco!$H:$H,ROW()))</f>
        <v/>
      </c>
      <c r="I606">
        <f>IF($T606="","",INT($T606/12)&amp;"a "&amp;MOD($T606,12)&amp;"m")</f>
        <v/>
      </c>
      <c r="J606" s="11">
        <f>IF(OR($F606="",$G606=""),"",ROUND($F606/($G606/100)^2,2))</f>
        <v/>
      </c>
      <c r="K606" s="12">
        <f>IF(OR($S606="",$J606="",$T606="",$T606&lt;0,$T606&gt;228,$Y606=""),"—",ROUND(IF(ABS($AB606)&lt;=3,$AB606,IF($AB606&gt;3,3+($J606-$AD606)/($AD606-$AC606),-3+($J606-$AF606)/($AE606-$AF606))),2))</f>
        <v/>
      </c>
      <c r="L606">
        <f>IF(OR($K606="",$K606="—"),"",IF($T606&lt;=60,IF($K606&lt;-3,"Magreza acentuada",IF($K606&lt;-2,"Magreza",IF($K606&lt;=1,"Eutrofia",IF($K606&lt;=2,"Risco de sobrepeso",IF($K606&lt;=3,"Sobrepeso","Obesidade"))))),IF($K606&lt;-3,"Magreza acentuada",IF($K606&lt;-2,"Magreza",IF($K606&lt;=1,"Eutrofia",IF($K606&lt;=2,"Sobrepeso",IF($K606&lt;=3,"Obesidade","Obesidade grave")))))))</f>
        <v/>
      </c>
      <c r="M606" s="12">
        <f>IF(OR($S606="",$V606="",$T606="",$T606&lt;0,$T606&gt;228,$AG606=""),"—",ROUND(IF($AG606=0,LN($V606/$AH606)/$AI606,((($V606/$AH606)^$AG606)-1)/($AG606*$AI606)),2))</f>
        <v/>
      </c>
      <c r="N606">
        <f>IF(OR($M606="",$M606="—"),"",IF($M606&lt;-3,"Muito baixa",IF($M606&lt;-2,"Baixa","Adequada")))</f>
        <v/>
      </c>
      <c r="O606" s="12">
        <f>IF(OR($S606="",$F606="",$T606="",$T606&lt;0,$T606&gt;120,$AJ606=""),"—",ROUND(IF(ABS($AM606)&lt;=3,$AM606,IF($AM606&gt;3,3+($F606-$AO606)/($AO606-$AN606),-3+($F606-$AQ606)/($AP606-$AQ606))),2))</f>
        <v/>
      </c>
      <c r="P606">
        <f>IF(OR($O606="",$O606="—"),"",IF($O606&lt;-3,"Muito baixo",IF($O606&lt;-2,"Baixo",IF($O606&lt;=2,"Adequado","Elevado"))))</f>
        <v/>
      </c>
      <c r="Q606" s="12">
        <f>IF(OR($S606="",$F606="",$T606="",$T606&lt;0,$T606&gt;60,$AR606=""),"—",ROUND(IF(ABS($AU606)&lt;=3,$AU606,IF($AU606&gt;3,3+($F606-$AW606)/($AW606-$AV606),-3+($F606-$AY606)/($AX606-$AY606))),2))</f>
        <v/>
      </c>
      <c r="R606">
        <f>IF(OR($Q606="",$Q606="—"),"",IF($Q606&lt;-3,"Magreza acentuada",IF($Q606&lt;-2,"Magreza",IF($Q606&lt;=1,"Eutrofia",IF($Q606&lt;=2,"Risco de sobrepeso",IF($Q606&lt;=3,"Sobrepeso","Obesidade"))))))</f>
        <v/>
      </c>
      <c r="S606">
        <f>IF($C606="","",IF(UPPER(LEFT($C606,1))="M",1,IF(UPPER(LEFT($C606,1))="F",2,"")))</f>
        <v/>
      </c>
      <c r="T606">
        <f>IF(OR($D606="",$E606=""),"",DATEDIF($D606,$E606,"m"))</f>
        <v/>
      </c>
      <c r="U606">
        <f>IF(OR($D606="",$E606=""),"",$E606-$D606)</f>
        <v/>
      </c>
      <c r="V606">
        <f>IF(OR($G606="",$T606=""),"",IF($T606&lt;24,IF(LEFT(LOWER($H606),4)="em p",$G606+0.7,$G606),IF(LEFT(LOWER($H606),4)="deit",$G606-0.7,$G606)))</f>
        <v/>
      </c>
      <c r="W606">
        <f>IF(OR($S606="",$T606=""),"",$S606*1000000+IF($T606&lt;=60,$U606,$T606))</f>
        <v/>
      </c>
      <c r="X606">
        <f>IF(OR($S606="",$V606="",$T606&gt;60,$T606=""),"",$S606*1000000+ROUND($V606*10,0))</f>
        <v/>
      </c>
      <c r="Y606">
        <f>IF($W606="","",IFERROR(INDEX(IF($T606&lt;=60,imc05_l,imc519_l),MATCH($W606,IF($T606&lt;=60,imc05_k,imc519_k),1)),""))</f>
        <v/>
      </c>
      <c r="Z606">
        <f>IF($W606="","",IFERROR(INDEX(IF($T606&lt;=60,imc05_m,imc519_m),MATCH($W606,IF($T606&lt;=60,imc05_k,imc519_k),1)),""))</f>
        <v/>
      </c>
      <c r="AA606">
        <f>IF($W606="","",IFERROR(INDEX(IF($T606&lt;=60,imc05_s,imc519_s),MATCH($W606,IF($T606&lt;=60,imc05_k,imc519_k),1)),""))</f>
        <v/>
      </c>
      <c r="AB606">
        <f>IF($Y606="","",IF($Y606=0,LN($J606/$Z606)/$AA606,((($J606/$Z606)^$Y606)-1)/($Y606*$AA606)))</f>
        <v/>
      </c>
      <c r="AC606">
        <f>IF($Y606="","",IF($Y606=0,$Z606*EXP($AA606*2),$Z606*(1+$Y606*$AA606*2)^(1/$Y606)))</f>
        <v/>
      </c>
      <c r="AD606">
        <f>IF($Y606="","",IF($Y606=0,$Z606*EXP($AA606*3),$Z606*(1+$Y606*$AA606*3)^(1/$Y606)))</f>
        <v/>
      </c>
      <c r="AE606">
        <f>IF($Y606="","",IF($Y606=0,$Z606*EXP($AA606*-2),$Z606*(1+$Y606*$AA606*-2)^(1/$Y606)))</f>
        <v/>
      </c>
      <c r="AF606">
        <f>IF($Y606="","",IF($Y606=0,$Z606*EXP($AA606*-3),$Z606*(1+$Y606*$AA606*-3)^(1/$Y606)))</f>
        <v/>
      </c>
      <c r="AG606">
        <f>IF($W606="","",IFERROR(INDEX(IF($T606&lt;=60,est05_l,est519_l),MATCH($W606,IF($T606&lt;=60,est05_k,est519_k),1)),""))</f>
        <v/>
      </c>
      <c r="AH606">
        <f>IF($W606="","",IFERROR(INDEX(IF($T606&lt;=60,est05_m,est519_m),MATCH($W606,IF($T606&lt;=60,est05_k,est519_k),1)),""))</f>
        <v/>
      </c>
      <c r="AI606">
        <f>IF($W606="","",IFERROR(INDEX(IF($T606&lt;=60,est05_s,est519_s),MATCH($W606,IF($T606&lt;=60,est05_k,est519_k),1)),""))</f>
        <v/>
      </c>
      <c r="AJ606">
        <f>IF($W606="","",IFERROR(INDEX(IF($T606&lt;=60,peso05_l,peso510_l),MATCH($W606,IF($T606&lt;=60,peso05_k,peso510_k),1)),""))</f>
        <v/>
      </c>
      <c r="AK606">
        <f>IF($W606="","",IFERROR(INDEX(IF($T606&lt;=60,peso05_m,peso510_m),MATCH($W606,IF($T606&lt;=60,peso05_k,peso510_k),1)),""))</f>
        <v/>
      </c>
      <c r="AL606">
        <f>IF($W606="","",IFERROR(INDEX(IF($T606&lt;=60,peso05_s,peso510_s),MATCH($W606,IF($T606&lt;=60,peso05_k,peso510_k),1)),""))</f>
        <v/>
      </c>
      <c r="AM606">
        <f>IF($AJ606="","",IF($AJ606=0,LN($F606/$AK606)/$AL606,((($F606/$AK606)^$AJ606)-1)/($AJ606*$AL606)))</f>
        <v/>
      </c>
      <c r="AN606">
        <f>IF($AJ606="","",IF($AJ606=0,$AK606*EXP($AL606*2),$AK606*(1+$AJ606*$AL606*2)^(1/$AJ606)))</f>
        <v/>
      </c>
      <c r="AO606">
        <f>IF($AJ606="","",IF($AJ606=0,$AK606*EXP($AL606*3),$AK606*(1+$AJ606*$AL606*3)^(1/$AJ606)))</f>
        <v/>
      </c>
      <c r="AP606">
        <f>IF($AJ606="","",IF($AJ606=0,$AK606*EXP($AL606*-2),$AK606*(1+$AJ606*$AL606*-2)^(1/$AJ606)))</f>
        <v/>
      </c>
      <c r="AQ606">
        <f>IF($AJ606="","",IF($AJ606=0,$AK606*EXP($AL606*-3),$AK606*(1+$AJ606*$AL606*-3)^(1/$AJ606)))</f>
        <v/>
      </c>
      <c r="AR606">
        <f>IF(OR($X606="",$T606&gt;60),"",IFERROR(INDEX(IF($T606&lt;24,pcomp_l,palt_l),MATCH($X606,IF($T606&lt;24,pcomp_k,palt_k),1)),""))</f>
        <v/>
      </c>
      <c r="AS606">
        <f>IF(OR($X606="",$T606&gt;60),"",IFERROR(INDEX(IF($T606&lt;24,pcomp_m,palt_m),MATCH($X606,IF($T606&lt;24,pcomp_k,palt_k),1)),""))</f>
        <v/>
      </c>
      <c r="AT606">
        <f>IF(OR($X606="",$T606&gt;60),"",IFERROR(INDEX(IF($T606&lt;24,pcomp_s,palt_s),MATCH($X606,IF($T606&lt;24,pcomp_k,palt_k),1)),""))</f>
        <v/>
      </c>
      <c r="AU606">
        <f>IF($AR606="","",IF($AR606=0,LN($F606/$AS606)/$AT606,((($F606/$AS606)^$AR606)-1)/($AR606*$AT606)))</f>
        <v/>
      </c>
      <c r="AV606">
        <f>IF($AR606="","",IF($AR606=0,$AS606*EXP($AT606*2),$AS606*(1+$AR606*$AT606*2)^(1/$AR606)))</f>
        <v/>
      </c>
      <c r="AW606">
        <f>IF($AR606="","",IF($AR606=0,$AS606*EXP($AT606*3),$AS606*(1+$AR606*$AT606*3)^(1/$AR606)))</f>
        <v/>
      </c>
      <c r="AX606">
        <f>IF($AR606="","",IF($AR606=0,$AS606*EXP($AT606*-2),$AS606*(1+$AR606*$AT606*-2)^(1/$AR606)))</f>
        <v/>
      </c>
      <c r="AY606">
        <f>IF($AR606="","",IF($AR606=0,$AS606*EXP($AT606*-3),$AS606*(1+$AR606*$AT606*-3)^(1/$AR606)))</f>
        <v/>
      </c>
      <c r="AZ606">
        <f>IF(OR($A606="",$A606&lt;&gt;Ficha!$C$4),"",COUNTIF($A$2:$A606,Ficha!$C$4))</f>
        <v/>
      </c>
    </row>
    <row r="607">
      <c r="A607" s="8">
        <f>IF(INDEX(Banco!$A:$A,ROW())="","",INDEX(Banco!$A:$A,ROW()))</f>
        <v/>
      </c>
      <c r="B607" s="8">
        <f>IF(INDEX(Banco!$B:$B,ROW())="","",INDEX(Banco!$B:$B,ROW()))</f>
        <v/>
      </c>
      <c r="C607" s="8">
        <f>IF(INDEX(Banco!$C:$C,ROW())="","",INDEX(Banco!$C:$C,ROW()))</f>
        <v/>
      </c>
      <c r="D607" s="9">
        <f>IF(INDEX(Banco!$D:$D,ROW())="","",INDEX(Banco!$D:$D,ROW()))</f>
        <v/>
      </c>
      <c r="E607" s="9">
        <f>IF(INDEX(Banco!$E:$E,ROW())="","",INDEX(Banco!$E:$E,ROW()))</f>
        <v/>
      </c>
      <c r="F607" s="10">
        <f>IF(INDEX(Banco!$F:$F,ROW())="","",INDEX(Banco!$F:$F,ROW()))</f>
        <v/>
      </c>
      <c r="G607" s="10">
        <f>IF(INDEX(Banco!$G:$G,ROW())="","",INDEX(Banco!$G:$G,ROW()))</f>
        <v/>
      </c>
      <c r="H607" s="8">
        <f>IF(INDEX(Banco!$H:$H,ROW())="","",INDEX(Banco!$H:$H,ROW()))</f>
        <v/>
      </c>
      <c r="I607">
        <f>IF($T607="","",INT($T607/12)&amp;"a "&amp;MOD($T607,12)&amp;"m")</f>
        <v/>
      </c>
      <c r="J607" s="11">
        <f>IF(OR($F607="",$G607=""),"",ROUND($F607/($G607/100)^2,2))</f>
        <v/>
      </c>
      <c r="K607" s="12">
        <f>IF(OR($S607="",$J607="",$T607="",$T607&lt;0,$T607&gt;228,$Y607=""),"—",ROUND(IF(ABS($AB607)&lt;=3,$AB607,IF($AB607&gt;3,3+($J607-$AD607)/($AD607-$AC607),-3+($J607-$AF607)/($AE607-$AF607))),2))</f>
        <v/>
      </c>
      <c r="L607">
        <f>IF(OR($K607="",$K607="—"),"",IF($T607&lt;=60,IF($K607&lt;-3,"Magreza acentuada",IF($K607&lt;-2,"Magreza",IF($K607&lt;=1,"Eutrofia",IF($K607&lt;=2,"Risco de sobrepeso",IF($K607&lt;=3,"Sobrepeso","Obesidade"))))),IF($K607&lt;-3,"Magreza acentuada",IF($K607&lt;-2,"Magreza",IF($K607&lt;=1,"Eutrofia",IF($K607&lt;=2,"Sobrepeso",IF($K607&lt;=3,"Obesidade","Obesidade grave")))))))</f>
        <v/>
      </c>
      <c r="M607" s="12">
        <f>IF(OR($S607="",$V607="",$T607="",$T607&lt;0,$T607&gt;228,$AG607=""),"—",ROUND(IF($AG607=0,LN($V607/$AH607)/$AI607,((($V607/$AH607)^$AG607)-1)/($AG607*$AI607)),2))</f>
        <v/>
      </c>
      <c r="N607">
        <f>IF(OR($M607="",$M607="—"),"",IF($M607&lt;-3,"Muito baixa",IF($M607&lt;-2,"Baixa","Adequada")))</f>
        <v/>
      </c>
      <c r="O607" s="12">
        <f>IF(OR($S607="",$F607="",$T607="",$T607&lt;0,$T607&gt;120,$AJ607=""),"—",ROUND(IF(ABS($AM607)&lt;=3,$AM607,IF($AM607&gt;3,3+($F607-$AO607)/($AO607-$AN607),-3+($F607-$AQ607)/($AP607-$AQ607))),2))</f>
        <v/>
      </c>
      <c r="P607">
        <f>IF(OR($O607="",$O607="—"),"",IF($O607&lt;-3,"Muito baixo",IF($O607&lt;-2,"Baixo",IF($O607&lt;=2,"Adequado","Elevado"))))</f>
        <v/>
      </c>
      <c r="Q607" s="12">
        <f>IF(OR($S607="",$F607="",$T607="",$T607&lt;0,$T607&gt;60,$AR607=""),"—",ROUND(IF(ABS($AU607)&lt;=3,$AU607,IF($AU607&gt;3,3+($F607-$AW607)/($AW607-$AV607),-3+($F607-$AY607)/($AX607-$AY607))),2))</f>
        <v/>
      </c>
      <c r="R607">
        <f>IF(OR($Q607="",$Q607="—"),"",IF($Q607&lt;-3,"Magreza acentuada",IF($Q607&lt;-2,"Magreza",IF($Q607&lt;=1,"Eutrofia",IF($Q607&lt;=2,"Risco de sobrepeso",IF($Q607&lt;=3,"Sobrepeso","Obesidade"))))))</f>
        <v/>
      </c>
      <c r="S607">
        <f>IF($C607="","",IF(UPPER(LEFT($C607,1))="M",1,IF(UPPER(LEFT($C607,1))="F",2,"")))</f>
        <v/>
      </c>
      <c r="T607">
        <f>IF(OR($D607="",$E607=""),"",DATEDIF($D607,$E607,"m"))</f>
        <v/>
      </c>
      <c r="U607">
        <f>IF(OR($D607="",$E607=""),"",$E607-$D607)</f>
        <v/>
      </c>
      <c r="V607">
        <f>IF(OR($G607="",$T607=""),"",IF($T607&lt;24,IF(LEFT(LOWER($H607),4)="em p",$G607+0.7,$G607),IF(LEFT(LOWER($H607),4)="deit",$G607-0.7,$G607)))</f>
        <v/>
      </c>
      <c r="W607">
        <f>IF(OR($S607="",$T607=""),"",$S607*1000000+IF($T607&lt;=60,$U607,$T607))</f>
        <v/>
      </c>
      <c r="X607">
        <f>IF(OR($S607="",$V607="",$T607&gt;60,$T607=""),"",$S607*1000000+ROUND($V607*10,0))</f>
        <v/>
      </c>
      <c r="Y607">
        <f>IF($W607="","",IFERROR(INDEX(IF($T607&lt;=60,imc05_l,imc519_l),MATCH($W607,IF($T607&lt;=60,imc05_k,imc519_k),1)),""))</f>
        <v/>
      </c>
      <c r="Z607">
        <f>IF($W607="","",IFERROR(INDEX(IF($T607&lt;=60,imc05_m,imc519_m),MATCH($W607,IF($T607&lt;=60,imc05_k,imc519_k),1)),""))</f>
        <v/>
      </c>
      <c r="AA607">
        <f>IF($W607="","",IFERROR(INDEX(IF($T607&lt;=60,imc05_s,imc519_s),MATCH($W607,IF($T607&lt;=60,imc05_k,imc519_k),1)),""))</f>
        <v/>
      </c>
      <c r="AB607">
        <f>IF($Y607="","",IF($Y607=0,LN($J607/$Z607)/$AA607,((($J607/$Z607)^$Y607)-1)/($Y607*$AA607)))</f>
        <v/>
      </c>
      <c r="AC607">
        <f>IF($Y607="","",IF($Y607=0,$Z607*EXP($AA607*2),$Z607*(1+$Y607*$AA607*2)^(1/$Y607)))</f>
        <v/>
      </c>
      <c r="AD607">
        <f>IF($Y607="","",IF($Y607=0,$Z607*EXP($AA607*3),$Z607*(1+$Y607*$AA607*3)^(1/$Y607)))</f>
        <v/>
      </c>
      <c r="AE607">
        <f>IF($Y607="","",IF($Y607=0,$Z607*EXP($AA607*-2),$Z607*(1+$Y607*$AA607*-2)^(1/$Y607)))</f>
        <v/>
      </c>
      <c r="AF607">
        <f>IF($Y607="","",IF($Y607=0,$Z607*EXP($AA607*-3),$Z607*(1+$Y607*$AA607*-3)^(1/$Y607)))</f>
        <v/>
      </c>
      <c r="AG607">
        <f>IF($W607="","",IFERROR(INDEX(IF($T607&lt;=60,est05_l,est519_l),MATCH($W607,IF($T607&lt;=60,est05_k,est519_k),1)),""))</f>
        <v/>
      </c>
      <c r="AH607">
        <f>IF($W607="","",IFERROR(INDEX(IF($T607&lt;=60,est05_m,est519_m),MATCH($W607,IF($T607&lt;=60,est05_k,est519_k),1)),""))</f>
        <v/>
      </c>
      <c r="AI607">
        <f>IF($W607="","",IFERROR(INDEX(IF($T607&lt;=60,est05_s,est519_s),MATCH($W607,IF($T607&lt;=60,est05_k,est519_k),1)),""))</f>
        <v/>
      </c>
      <c r="AJ607">
        <f>IF($W607="","",IFERROR(INDEX(IF($T607&lt;=60,peso05_l,peso510_l),MATCH($W607,IF($T607&lt;=60,peso05_k,peso510_k),1)),""))</f>
        <v/>
      </c>
      <c r="AK607">
        <f>IF($W607="","",IFERROR(INDEX(IF($T607&lt;=60,peso05_m,peso510_m),MATCH($W607,IF($T607&lt;=60,peso05_k,peso510_k),1)),""))</f>
        <v/>
      </c>
      <c r="AL607">
        <f>IF($W607="","",IFERROR(INDEX(IF($T607&lt;=60,peso05_s,peso510_s),MATCH($W607,IF($T607&lt;=60,peso05_k,peso510_k),1)),""))</f>
        <v/>
      </c>
      <c r="AM607">
        <f>IF($AJ607="","",IF($AJ607=0,LN($F607/$AK607)/$AL607,((($F607/$AK607)^$AJ607)-1)/($AJ607*$AL607)))</f>
        <v/>
      </c>
      <c r="AN607">
        <f>IF($AJ607="","",IF($AJ607=0,$AK607*EXP($AL607*2),$AK607*(1+$AJ607*$AL607*2)^(1/$AJ607)))</f>
        <v/>
      </c>
      <c r="AO607">
        <f>IF($AJ607="","",IF($AJ607=0,$AK607*EXP($AL607*3),$AK607*(1+$AJ607*$AL607*3)^(1/$AJ607)))</f>
        <v/>
      </c>
      <c r="AP607">
        <f>IF($AJ607="","",IF($AJ607=0,$AK607*EXP($AL607*-2),$AK607*(1+$AJ607*$AL607*-2)^(1/$AJ607)))</f>
        <v/>
      </c>
      <c r="AQ607">
        <f>IF($AJ607="","",IF($AJ607=0,$AK607*EXP($AL607*-3),$AK607*(1+$AJ607*$AL607*-3)^(1/$AJ607)))</f>
        <v/>
      </c>
      <c r="AR607">
        <f>IF(OR($X607="",$T607&gt;60),"",IFERROR(INDEX(IF($T607&lt;24,pcomp_l,palt_l),MATCH($X607,IF($T607&lt;24,pcomp_k,palt_k),1)),""))</f>
        <v/>
      </c>
      <c r="AS607">
        <f>IF(OR($X607="",$T607&gt;60),"",IFERROR(INDEX(IF($T607&lt;24,pcomp_m,palt_m),MATCH($X607,IF($T607&lt;24,pcomp_k,palt_k),1)),""))</f>
        <v/>
      </c>
      <c r="AT607">
        <f>IF(OR($X607="",$T607&gt;60),"",IFERROR(INDEX(IF($T607&lt;24,pcomp_s,palt_s),MATCH($X607,IF($T607&lt;24,pcomp_k,palt_k),1)),""))</f>
        <v/>
      </c>
      <c r="AU607">
        <f>IF($AR607="","",IF($AR607=0,LN($F607/$AS607)/$AT607,((($F607/$AS607)^$AR607)-1)/($AR607*$AT607)))</f>
        <v/>
      </c>
      <c r="AV607">
        <f>IF($AR607="","",IF($AR607=0,$AS607*EXP($AT607*2),$AS607*(1+$AR607*$AT607*2)^(1/$AR607)))</f>
        <v/>
      </c>
      <c r="AW607">
        <f>IF($AR607="","",IF($AR607=0,$AS607*EXP($AT607*3),$AS607*(1+$AR607*$AT607*3)^(1/$AR607)))</f>
        <v/>
      </c>
      <c r="AX607">
        <f>IF($AR607="","",IF($AR607=0,$AS607*EXP($AT607*-2),$AS607*(1+$AR607*$AT607*-2)^(1/$AR607)))</f>
        <v/>
      </c>
      <c r="AY607">
        <f>IF($AR607="","",IF($AR607=0,$AS607*EXP($AT607*-3),$AS607*(1+$AR607*$AT607*-3)^(1/$AR607)))</f>
        <v/>
      </c>
      <c r="AZ607">
        <f>IF(OR($A607="",$A607&lt;&gt;Ficha!$C$4),"",COUNTIF($A$2:$A607,Ficha!$C$4))</f>
        <v/>
      </c>
    </row>
    <row r="608">
      <c r="A608" s="8">
        <f>IF(INDEX(Banco!$A:$A,ROW())="","",INDEX(Banco!$A:$A,ROW()))</f>
        <v/>
      </c>
      <c r="B608" s="8">
        <f>IF(INDEX(Banco!$B:$B,ROW())="","",INDEX(Banco!$B:$B,ROW()))</f>
        <v/>
      </c>
      <c r="C608" s="8">
        <f>IF(INDEX(Banco!$C:$C,ROW())="","",INDEX(Banco!$C:$C,ROW()))</f>
        <v/>
      </c>
      <c r="D608" s="9">
        <f>IF(INDEX(Banco!$D:$D,ROW())="","",INDEX(Banco!$D:$D,ROW()))</f>
        <v/>
      </c>
      <c r="E608" s="9">
        <f>IF(INDEX(Banco!$E:$E,ROW())="","",INDEX(Banco!$E:$E,ROW()))</f>
        <v/>
      </c>
      <c r="F608" s="10">
        <f>IF(INDEX(Banco!$F:$F,ROW())="","",INDEX(Banco!$F:$F,ROW()))</f>
        <v/>
      </c>
      <c r="G608" s="10">
        <f>IF(INDEX(Banco!$G:$G,ROW())="","",INDEX(Banco!$G:$G,ROW()))</f>
        <v/>
      </c>
      <c r="H608" s="8">
        <f>IF(INDEX(Banco!$H:$H,ROW())="","",INDEX(Banco!$H:$H,ROW()))</f>
        <v/>
      </c>
      <c r="I608">
        <f>IF($T608="","",INT($T608/12)&amp;"a "&amp;MOD($T608,12)&amp;"m")</f>
        <v/>
      </c>
      <c r="J608" s="11">
        <f>IF(OR($F608="",$G608=""),"",ROUND($F608/($G608/100)^2,2))</f>
        <v/>
      </c>
      <c r="K608" s="12">
        <f>IF(OR($S608="",$J608="",$T608="",$T608&lt;0,$T608&gt;228,$Y608=""),"—",ROUND(IF(ABS($AB608)&lt;=3,$AB608,IF($AB608&gt;3,3+($J608-$AD608)/($AD608-$AC608),-3+($J608-$AF608)/($AE608-$AF608))),2))</f>
        <v/>
      </c>
      <c r="L608">
        <f>IF(OR($K608="",$K608="—"),"",IF($T608&lt;=60,IF($K608&lt;-3,"Magreza acentuada",IF($K608&lt;-2,"Magreza",IF($K608&lt;=1,"Eutrofia",IF($K608&lt;=2,"Risco de sobrepeso",IF($K608&lt;=3,"Sobrepeso","Obesidade"))))),IF($K608&lt;-3,"Magreza acentuada",IF($K608&lt;-2,"Magreza",IF($K608&lt;=1,"Eutrofia",IF($K608&lt;=2,"Sobrepeso",IF($K608&lt;=3,"Obesidade","Obesidade grave")))))))</f>
        <v/>
      </c>
      <c r="M608" s="12">
        <f>IF(OR($S608="",$V608="",$T608="",$T608&lt;0,$T608&gt;228,$AG608=""),"—",ROUND(IF($AG608=0,LN($V608/$AH608)/$AI608,((($V608/$AH608)^$AG608)-1)/($AG608*$AI608)),2))</f>
        <v/>
      </c>
      <c r="N608">
        <f>IF(OR($M608="",$M608="—"),"",IF($M608&lt;-3,"Muito baixa",IF($M608&lt;-2,"Baixa","Adequada")))</f>
        <v/>
      </c>
      <c r="O608" s="12">
        <f>IF(OR($S608="",$F608="",$T608="",$T608&lt;0,$T608&gt;120,$AJ608=""),"—",ROUND(IF(ABS($AM608)&lt;=3,$AM608,IF($AM608&gt;3,3+($F608-$AO608)/($AO608-$AN608),-3+($F608-$AQ608)/($AP608-$AQ608))),2))</f>
        <v/>
      </c>
      <c r="P608">
        <f>IF(OR($O608="",$O608="—"),"",IF($O608&lt;-3,"Muito baixo",IF($O608&lt;-2,"Baixo",IF($O608&lt;=2,"Adequado","Elevado"))))</f>
        <v/>
      </c>
      <c r="Q608" s="12">
        <f>IF(OR($S608="",$F608="",$T608="",$T608&lt;0,$T608&gt;60,$AR608=""),"—",ROUND(IF(ABS($AU608)&lt;=3,$AU608,IF($AU608&gt;3,3+($F608-$AW608)/($AW608-$AV608),-3+($F608-$AY608)/($AX608-$AY608))),2))</f>
        <v/>
      </c>
      <c r="R608">
        <f>IF(OR($Q608="",$Q608="—"),"",IF($Q608&lt;-3,"Magreza acentuada",IF($Q608&lt;-2,"Magreza",IF($Q608&lt;=1,"Eutrofia",IF($Q608&lt;=2,"Risco de sobrepeso",IF($Q608&lt;=3,"Sobrepeso","Obesidade"))))))</f>
        <v/>
      </c>
      <c r="S608">
        <f>IF($C608="","",IF(UPPER(LEFT($C608,1))="M",1,IF(UPPER(LEFT($C608,1))="F",2,"")))</f>
        <v/>
      </c>
      <c r="T608">
        <f>IF(OR($D608="",$E608=""),"",DATEDIF($D608,$E608,"m"))</f>
        <v/>
      </c>
      <c r="U608">
        <f>IF(OR($D608="",$E608=""),"",$E608-$D608)</f>
        <v/>
      </c>
      <c r="V608">
        <f>IF(OR($G608="",$T608=""),"",IF($T608&lt;24,IF(LEFT(LOWER($H608),4)="em p",$G608+0.7,$G608),IF(LEFT(LOWER($H608),4)="deit",$G608-0.7,$G608)))</f>
        <v/>
      </c>
      <c r="W608">
        <f>IF(OR($S608="",$T608=""),"",$S608*1000000+IF($T608&lt;=60,$U608,$T608))</f>
        <v/>
      </c>
      <c r="X608">
        <f>IF(OR($S608="",$V608="",$T608&gt;60,$T608=""),"",$S608*1000000+ROUND($V608*10,0))</f>
        <v/>
      </c>
      <c r="Y608">
        <f>IF($W608="","",IFERROR(INDEX(IF($T608&lt;=60,imc05_l,imc519_l),MATCH($W608,IF($T608&lt;=60,imc05_k,imc519_k),1)),""))</f>
        <v/>
      </c>
      <c r="Z608">
        <f>IF($W608="","",IFERROR(INDEX(IF($T608&lt;=60,imc05_m,imc519_m),MATCH($W608,IF($T608&lt;=60,imc05_k,imc519_k),1)),""))</f>
        <v/>
      </c>
      <c r="AA608">
        <f>IF($W608="","",IFERROR(INDEX(IF($T608&lt;=60,imc05_s,imc519_s),MATCH($W608,IF($T608&lt;=60,imc05_k,imc519_k),1)),""))</f>
        <v/>
      </c>
      <c r="AB608">
        <f>IF($Y608="","",IF($Y608=0,LN($J608/$Z608)/$AA608,((($J608/$Z608)^$Y608)-1)/($Y608*$AA608)))</f>
        <v/>
      </c>
      <c r="AC608">
        <f>IF($Y608="","",IF($Y608=0,$Z608*EXP($AA608*2),$Z608*(1+$Y608*$AA608*2)^(1/$Y608)))</f>
        <v/>
      </c>
      <c r="AD608">
        <f>IF($Y608="","",IF($Y608=0,$Z608*EXP($AA608*3),$Z608*(1+$Y608*$AA608*3)^(1/$Y608)))</f>
        <v/>
      </c>
      <c r="AE608">
        <f>IF($Y608="","",IF($Y608=0,$Z608*EXP($AA608*-2),$Z608*(1+$Y608*$AA608*-2)^(1/$Y608)))</f>
        <v/>
      </c>
      <c r="AF608">
        <f>IF($Y608="","",IF($Y608=0,$Z608*EXP($AA608*-3),$Z608*(1+$Y608*$AA608*-3)^(1/$Y608)))</f>
        <v/>
      </c>
      <c r="AG608">
        <f>IF($W608="","",IFERROR(INDEX(IF($T608&lt;=60,est05_l,est519_l),MATCH($W608,IF($T608&lt;=60,est05_k,est519_k),1)),""))</f>
        <v/>
      </c>
      <c r="AH608">
        <f>IF($W608="","",IFERROR(INDEX(IF($T608&lt;=60,est05_m,est519_m),MATCH($W608,IF($T608&lt;=60,est05_k,est519_k),1)),""))</f>
        <v/>
      </c>
      <c r="AI608">
        <f>IF($W608="","",IFERROR(INDEX(IF($T608&lt;=60,est05_s,est519_s),MATCH($W608,IF($T608&lt;=60,est05_k,est519_k),1)),""))</f>
        <v/>
      </c>
      <c r="AJ608">
        <f>IF($W608="","",IFERROR(INDEX(IF($T608&lt;=60,peso05_l,peso510_l),MATCH($W608,IF($T608&lt;=60,peso05_k,peso510_k),1)),""))</f>
        <v/>
      </c>
      <c r="AK608">
        <f>IF($W608="","",IFERROR(INDEX(IF($T608&lt;=60,peso05_m,peso510_m),MATCH($W608,IF($T608&lt;=60,peso05_k,peso510_k),1)),""))</f>
        <v/>
      </c>
      <c r="AL608">
        <f>IF($W608="","",IFERROR(INDEX(IF($T608&lt;=60,peso05_s,peso510_s),MATCH($W608,IF($T608&lt;=60,peso05_k,peso510_k),1)),""))</f>
        <v/>
      </c>
      <c r="AM608">
        <f>IF($AJ608="","",IF($AJ608=0,LN($F608/$AK608)/$AL608,((($F608/$AK608)^$AJ608)-1)/($AJ608*$AL608)))</f>
        <v/>
      </c>
      <c r="AN608">
        <f>IF($AJ608="","",IF($AJ608=0,$AK608*EXP($AL608*2),$AK608*(1+$AJ608*$AL608*2)^(1/$AJ608)))</f>
        <v/>
      </c>
      <c r="AO608">
        <f>IF($AJ608="","",IF($AJ608=0,$AK608*EXP($AL608*3),$AK608*(1+$AJ608*$AL608*3)^(1/$AJ608)))</f>
        <v/>
      </c>
      <c r="AP608">
        <f>IF($AJ608="","",IF($AJ608=0,$AK608*EXP($AL608*-2),$AK608*(1+$AJ608*$AL608*-2)^(1/$AJ608)))</f>
        <v/>
      </c>
      <c r="AQ608">
        <f>IF($AJ608="","",IF($AJ608=0,$AK608*EXP($AL608*-3),$AK608*(1+$AJ608*$AL608*-3)^(1/$AJ608)))</f>
        <v/>
      </c>
      <c r="AR608">
        <f>IF(OR($X608="",$T608&gt;60),"",IFERROR(INDEX(IF($T608&lt;24,pcomp_l,palt_l),MATCH($X608,IF($T608&lt;24,pcomp_k,palt_k),1)),""))</f>
        <v/>
      </c>
      <c r="AS608">
        <f>IF(OR($X608="",$T608&gt;60),"",IFERROR(INDEX(IF($T608&lt;24,pcomp_m,palt_m),MATCH($X608,IF($T608&lt;24,pcomp_k,palt_k),1)),""))</f>
        <v/>
      </c>
      <c r="AT608">
        <f>IF(OR($X608="",$T608&gt;60),"",IFERROR(INDEX(IF($T608&lt;24,pcomp_s,palt_s),MATCH($X608,IF($T608&lt;24,pcomp_k,palt_k),1)),""))</f>
        <v/>
      </c>
      <c r="AU608">
        <f>IF($AR608="","",IF($AR608=0,LN($F608/$AS608)/$AT608,((($F608/$AS608)^$AR608)-1)/($AR608*$AT608)))</f>
        <v/>
      </c>
      <c r="AV608">
        <f>IF($AR608="","",IF($AR608=0,$AS608*EXP($AT608*2),$AS608*(1+$AR608*$AT608*2)^(1/$AR608)))</f>
        <v/>
      </c>
      <c r="AW608">
        <f>IF($AR608="","",IF($AR608=0,$AS608*EXP($AT608*3),$AS608*(1+$AR608*$AT608*3)^(1/$AR608)))</f>
        <v/>
      </c>
      <c r="AX608">
        <f>IF($AR608="","",IF($AR608=0,$AS608*EXP($AT608*-2),$AS608*(1+$AR608*$AT608*-2)^(1/$AR608)))</f>
        <v/>
      </c>
      <c r="AY608">
        <f>IF($AR608="","",IF($AR608=0,$AS608*EXP($AT608*-3),$AS608*(1+$AR608*$AT608*-3)^(1/$AR608)))</f>
        <v/>
      </c>
      <c r="AZ608">
        <f>IF(OR($A608="",$A608&lt;&gt;Ficha!$C$4),"",COUNTIF($A$2:$A608,Ficha!$C$4))</f>
        <v/>
      </c>
    </row>
    <row r="609">
      <c r="A609" s="8">
        <f>IF(INDEX(Banco!$A:$A,ROW())="","",INDEX(Banco!$A:$A,ROW()))</f>
        <v/>
      </c>
      <c r="B609" s="8">
        <f>IF(INDEX(Banco!$B:$B,ROW())="","",INDEX(Banco!$B:$B,ROW()))</f>
        <v/>
      </c>
      <c r="C609" s="8">
        <f>IF(INDEX(Banco!$C:$C,ROW())="","",INDEX(Banco!$C:$C,ROW()))</f>
        <v/>
      </c>
      <c r="D609" s="9">
        <f>IF(INDEX(Banco!$D:$D,ROW())="","",INDEX(Banco!$D:$D,ROW()))</f>
        <v/>
      </c>
      <c r="E609" s="9">
        <f>IF(INDEX(Banco!$E:$E,ROW())="","",INDEX(Banco!$E:$E,ROW()))</f>
        <v/>
      </c>
      <c r="F609" s="10">
        <f>IF(INDEX(Banco!$F:$F,ROW())="","",INDEX(Banco!$F:$F,ROW()))</f>
        <v/>
      </c>
      <c r="G609" s="10">
        <f>IF(INDEX(Banco!$G:$G,ROW())="","",INDEX(Banco!$G:$G,ROW()))</f>
        <v/>
      </c>
      <c r="H609" s="8">
        <f>IF(INDEX(Banco!$H:$H,ROW())="","",INDEX(Banco!$H:$H,ROW()))</f>
        <v/>
      </c>
      <c r="I609">
        <f>IF($T609="","",INT($T609/12)&amp;"a "&amp;MOD($T609,12)&amp;"m")</f>
        <v/>
      </c>
      <c r="J609" s="11">
        <f>IF(OR($F609="",$G609=""),"",ROUND($F609/($G609/100)^2,2))</f>
        <v/>
      </c>
      <c r="K609" s="12">
        <f>IF(OR($S609="",$J609="",$T609="",$T609&lt;0,$T609&gt;228,$Y609=""),"—",ROUND(IF(ABS($AB609)&lt;=3,$AB609,IF($AB609&gt;3,3+($J609-$AD609)/($AD609-$AC609),-3+($J609-$AF609)/($AE609-$AF609))),2))</f>
        <v/>
      </c>
      <c r="L609">
        <f>IF(OR($K609="",$K609="—"),"",IF($T609&lt;=60,IF($K609&lt;-3,"Magreza acentuada",IF($K609&lt;-2,"Magreza",IF($K609&lt;=1,"Eutrofia",IF($K609&lt;=2,"Risco de sobrepeso",IF($K609&lt;=3,"Sobrepeso","Obesidade"))))),IF($K609&lt;-3,"Magreza acentuada",IF($K609&lt;-2,"Magreza",IF($K609&lt;=1,"Eutrofia",IF($K609&lt;=2,"Sobrepeso",IF($K609&lt;=3,"Obesidade","Obesidade grave")))))))</f>
        <v/>
      </c>
      <c r="M609" s="12">
        <f>IF(OR($S609="",$V609="",$T609="",$T609&lt;0,$T609&gt;228,$AG609=""),"—",ROUND(IF($AG609=0,LN($V609/$AH609)/$AI609,((($V609/$AH609)^$AG609)-1)/($AG609*$AI609)),2))</f>
        <v/>
      </c>
      <c r="N609">
        <f>IF(OR($M609="",$M609="—"),"",IF($M609&lt;-3,"Muito baixa",IF($M609&lt;-2,"Baixa","Adequada")))</f>
        <v/>
      </c>
      <c r="O609" s="12">
        <f>IF(OR($S609="",$F609="",$T609="",$T609&lt;0,$T609&gt;120,$AJ609=""),"—",ROUND(IF(ABS($AM609)&lt;=3,$AM609,IF($AM609&gt;3,3+($F609-$AO609)/($AO609-$AN609),-3+($F609-$AQ609)/($AP609-$AQ609))),2))</f>
        <v/>
      </c>
      <c r="P609">
        <f>IF(OR($O609="",$O609="—"),"",IF($O609&lt;-3,"Muito baixo",IF($O609&lt;-2,"Baixo",IF($O609&lt;=2,"Adequado","Elevado"))))</f>
        <v/>
      </c>
      <c r="Q609" s="12">
        <f>IF(OR($S609="",$F609="",$T609="",$T609&lt;0,$T609&gt;60,$AR609=""),"—",ROUND(IF(ABS($AU609)&lt;=3,$AU609,IF($AU609&gt;3,3+($F609-$AW609)/($AW609-$AV609),-3+($F609-$AY609)/($AX609-$AY609))),2))</f>
        <v/>
      </c>
      <c r="R609">
        <f>IF(OR($Q609="",$Q609="—"),"",IF($Q609&lt;-3,"Magreza acentuada",IF($Q609&lt;-2,"Magreza",IF($Q609&lt;=1,"Eutrofia",IF($Q609&lt;=2,"Risco de sobrepeso",IF($Q609&lt;=3,"Sobrepeso","Obesidade"))))))</f>
        <v/>
      </c>
      <c r="S609">
        <f>IF($C609="","",IF(UPPER(LEFT($C609,1))="M",1,IF(UPPER(LEFT($C609,1))="F",2,"")))</f>
        <v/>
      </c>
      <c r="T609">
        <f>IF(OR($D609="",$E609=""),"",DATEDIF($D609,$E609,"m"))</f>
        <v/>
      </c>
      <c r="U609">
        <f>IF(OR($D609="",$E609=""),"",$E609-$D609)</f>
        <v/>
      </c>
      <c r="V609">
        <f>IF(OR($G609="",$T609=""),"",IF($T609&lt;24,IF(LEFT(LOWER($H609),4)="em p",$G609+0.7,$G609),IF(LEFT(LOWER($H609),4)="deit",$G609-0.7,$G609)))</f>
        <v/>
      </c>
      <c r="W609">
        <f>IF(OR($S609="",$T609=""),"",$S609*1000000+IF($T609&lt;=60,$U609,$T609))</f>
        <v/>
      </c>
      <c r="X609">
        <f>IF(OR($S609="",$V609="",$T609&gt;60,$T609=""),"",$S609*1000000+ROUND($V609*10,0))</f>
        <v/>
      </c>
      <c r="Y609">
        <f>IF($W609="","",IFERROR(INDEX(IF($T609&lt;=60,imc05_l,imc519_l),MATCH($W609,IF($T609&lt;=60,imc05_k,imc519_k),1)),""))</f>
        <v/>
      </c>
      <c r="Z609">
        <f>IF($W609="","",IFERROR(INDEX(IF($T609&lt;=60,imc05_m,imc519_m),MATCH($W609,IF($T609&lt;=60,imc05_k,imc519_k),1)),""))</f>
        <v/>
      </c>
      <c r="AA609">
        <f>IF($W609="","",IFERROR(INDEX(IF($T609&lt;=60,imc05_s,imc519_s),MATCH($W609,IF($T609&lt;=60,imc05_k,imc519_k),1)),""))</f>
        <v/>
      </c>
      <c r="AB609">
        <f>IF($Y609="","",IF($Y609=0,LN($J609/$Z609)/$AA609,((($J609/$Z609)^$Y609)-1)/($Y609*$AA609)))</f>
        <v/>
      </c>
      <c r="AC609">
        <f>IF($Y609="","",IF($Y609=0,$Z609*EXP($AA609*2),$Z609*(1+$Y609*$AA609*2)^(1/$Y609)))</f>
        <v/>
      </c>
      <c r="AD609">
        <f>IF($Y609="","",IF($Y609=0,$Z609*EXP($AA609*3),$Z609*(1+$Y609*$AA609*3)^(1/$Y609)))</f>
        <v/>
      </c>
      <c r="AE609">
        <f>IF($Y609="","",IF($Y609=0,$Z609*EXP($AA609*-2),$Z609*(1+$Y609*$AA609*-2)^(1/$Y609)))</f>
        <v/>
      </c>
      <c r="AF609">
        <f>IF($Y609="","",IF($Y609=0,$Z609*EXP($AA609*-3),$Z609*(1+$Y609*$AA609*-3)^(1/$Y609)))</f>
        <v/>
      </c>
      <c r="AG609">
        <f>IF($W609="","",IFERROR(INDEX(IF($T609&lt;=60,est05_l,est519_l),MATCH($W609,IF($T609&lt;=60,est05_k,est519_k),1)),""))</f>
        <v/>
      </c>
      <c r="AH609">
        <f>IF($W609="","",IFERROR(INDEX(IF($T609&lt;=60,est05_m,est519_m),MATCH($W609,IF($T609&lt;=60,est05_k,est519_k),1)),""))</f>
        <v/>
      </c>
      <c r="AI609">
        <f>IF($W609="","",IFERROR(INDEX(IF($T609&lt;=60,est05_s,est519_s),MATCH($W609,IF($T609&lt;=60,est05_k,est519_k),1)),""))</f>
        <v/>
      </c>
      <c r="AJ609">
        <f>IF($W609="","",IFERROR(INDEX(IF($T609&lt;=60,peso05_l,peso510_l),MATCH($W609,IF($T609&lt;=60,peso05_k,peso510_k),1)),""))</f>
        <v/>
      </c>
      <c r="AK609">
        <f>IF($W609="","",IFERROR(INDEX(IF($T609&lt;=60,peso05_m,peso510_m),MATCH($W609,IF($T609&lt;=60,peso05_k,peso510_k),1)),""))</f>
        <v/>
      </c>
      <c r="AL609">
        <f>IF($W609="","",IFERROR(INDEX(IF($T609&lt;=60,peso05_s,peso510_s),MATCH($W609,IF($T609&lt;=60,peso05_k,peso510_k),1)),""))</f>
        <v/>
      </c>
      <c r="AM609">
        <f>IF($AJ609="","",IF($AJ609=0,LN($F609/$AK609)/$AL609,((($F609/$AK609)^$AJ609)-1)/($AJ609*$AL609)))</f>
        <v/>
      </c>
      <c r="AN609">
        <f>IF($AJ609="","",IF($AJ609=0,$AK609*EXP($AL609*2),$AK609*(1+$AJ609*$AL609*2)^(1/$AJ609)))</f>
        <v/>
      </c>
      <c r="AO609">
        <f>IF($AJ609="","",IF($AJ609=0,$AK609*EXP($AL609*3),$AK609*(1+$AJ609*$AL609*3)^(1/$AJ609)))</f>
        <v/>
      </c>
      <c r="AP609">
        <f>IF($AJ609="","",IF($AJ609=0,$AK609*EXP($AL609*-2),$AK609*(1+$AJ609*$AL609*-2)^(1/$AJ609)))</f>
        <v/>
      </c>
      <c r="AQ609">
        <f>IF($AJ609="","",IF($AJ609=0,$AK609*EXP($AL609*-3),$AK609*(1+$AJ609*$AL609*-3)^(1/$AJ609)))</f>
        <v/>
      </c>
      <c r="AR609">
        <f>IF(OR($X609="",$T609&gt;60),"",IFERROR(INDEX(IF($T609&lt;24,pcomp_l,palt_l),MATCH($X609,IF($T609&lt;24,pcomp_k,palt_k),1)),""))</f>
        <v/>
      </c>
      <c r="AS609">
        <f>IF(OR($X609="",$T609&gt;60),"",IFERROR(INDEX(IF($T609&lt;24,pcomp_m,palt_m),MATCH($X609,IF($T609&lt;24,pcomp_k,palt_k),1)),""))</f>
        <v/>
      </c>
      <c r="AT609">
        <f>IF(OR($X609="",$T609&gt;60),"",IFERROR(INDEX(IF($T609&lt;24,pcomp_s,palt_s),MATCH($X609,IF($T609&lt;24,pcomp_k,palt_k),1)),""))</f>
        <v/>
      </c>
      <c r="AU609">
        <f>IF($AR609="","",IF($AR609=0,LN($F609/$AS609)/$AT609,((($F609/$AS609)^$AR609)-1)/($AR609*$AT609)))</f>
        <v/>
      </c>
      <c r="AV609">
        <f>IF($AR609="","",IF($AR609=0,$AS609*EXP($AT609*2),$AS609*(1+$AR609*$AT609*2)^(1/$AR609)))</f>
        <v/>
      </c>
      <c r="AW609">
        <f>IF($AR609="","",IF($AR609=0,$AS609*EXP($AT609*3),$AS609*(1+$AR609*$AT609*3)^(1/$AR609)))</f>
        <v/>
      </c>
      <c r="AX609">
        <f>IF($AR609="","",IF($AR609=0,$AS609*EXP($AT609*-2),$AS609*(1+$AR609*$AT609*-2)^(1/$AR609)))</f>
        <v/>
      </c>
      <c r="AY609">
        <f>IF($AR609="","",IF($AR609=0,$AS609*EXP($AT609*-3),$AS609*(1+$AR609*$AT609*-3)^(1/$AR609)))</f>
        <v/>
      </c>
      <c r="AZ609">
        <f>IF(OR($A609="",$A609&lt;&gt;Ficha!$C$4),"",COUNTIF($A$2:$A609,Ficha!$C$4))</f>
        <v/>
      </c>
    </row>
    <row r="610">
      <c r="A610" s="8">
        <f>IF(INDEX(Banco!$A:$A,ROW())="","",INDEX(Banco!$A:$A,ROW()))</f>
        <v/>
      </c>
      <c r="B610" s="8">
        <f>IF(INDEX(Banco!$B:$B,ROW())="","",INDEX(Banco!$B:$B,ROW()))</f>
        <v/>
      </c>
      <c r="C610" s="8">
        <f>IF(INDEX(Banco!$C:$C,ROW())="","",INDEX(Banco!$C:$C,ROW()))</f>
        <v/>
      </c>
      <c r="D610" s="9">
        <f>IF(INDEX(Banco!$D:$D,ROW())="","",INDEX(Banco!$D:$D,ROW()))</f>
        <v/>
      </c>
      <c r="E610" s="9">
        <f>IF(INDEX(Banco!$E:$E,ROW())="","",INDEX(Banco!$E:$E,ROW()))</f>
        <v/>
      </c>
      <c r="F610" s="10">
        <f>IF(INDEX(Banco!$F:$F,ROW())="","",INDEX(Banco!$F:$F,ROW()))</f>
        <v/>
      </c>
      <c r="G610" s="10">
        <f>IF(INDEX(Banco!$G:$G,ROW())="","",INDEX(Banco!$G:$G,ROW()))</f>
        <v/>
      </c>
      <c r="H610" s="8">
        <f>IF(INDEX(Banco!$H:$H,ROW())="","",INDEX(Banco!$H:$H,ROW()))</f>
        <v/>
      </c>
      <c r="I610">
        <f>IF($T610="","",INT($T610/12)&amp;"a "&amp;MOD($T610,12)&amp;"m")</f>
        <v/>
      </c>
      <c r="J610" s="11">
        <f>IF(OR($F610="",$G610=""),"",ROUND($F610/($G610/100)^2,2))</f>
        <v/>
      </c>
      <c r="K610" s="12">
        <f>IF(OR($S610="",$J610="",$T610="",$T610&lt;0,$T610&gt;228,$Y610=""),"—",ROUND(IF(ABS($AB610)&lt;=3,$AB610,IF($AB610&gt;3,3+($J610-$AD610)/($AD610-$AC610),-3+($J610-$AF610)/($AE610-$AF610))),2))</f>
        <v/>
      </c>
      <c r="L610">
        <f>IF(OR($K610="",$K610="—"),"",IF($T610&lt;=60,IF($K610&lt;-3,"Magreza acentuada",IF($K610&lt;-2,"Magreza",IF($K610&lt;=1,"Eutrofia",IF($K610&lt;=2,"Risco de sobrepeso",IF($K610&lt;=3,"Sobrepeso","Obesidade"))))),IF($K610&lt;-3,"Magreza acentuada",IF($K610&lt;-2,"Magreza",IF($K610&lt;=1,"Eutrofia",IF($K610&lt;=2,"Sobrepeso",IF($K610&lt;=3,"Obesidade","Obesidade grave")))))))</f>
        <v/>
      </c>
      <c r="M610" s="12">
        <f>IF(OR($S610="",$V610="",$T610="",$T610&lt;0,$T610&gt;228,$AG610=""),"—",ROUND(IF($AG610=0,LN($V610/$AH610)/$AI610,((($V610/$AH610)^$AG610)-1)/($AG610*$AI610)),2))</f>
        <v/>
      </c>
      <c r="N610">
        <f>IF(OR($M610="",$M610="—"),"",IF($M610&lt;-3,"Muito baixa",IF($M610&lt;-2,"Baixa","Adequada")))</f>
        <v/>
      </c>
      <c r="O610" s="12">
        <f>IF(OR($S610="",$F610="",$T610="",$T610&lt;0,$T610&gt;120,$AJ610=""),"—",ROUND(IF(ABS($AM610)&lt;=3,$AM610,IF($AM610&gt;3,3+($F610-$AO610)/($AO610-$AN610),-3+($F610-$AQ610)/($AP610-$AQ610))),2))</f>
        <v/>
      </c>
      <c r="P610">
        <f>IF(OR($O610="",$O610="—"),"",IF($O610&lt;-3,"Muito baixo",IF($O610&lt;-2,"Baixo",IF($O610&lt;=2,"Adequado","Elevado"))))</f>
        <v/>
      </c>
      <c r="Q610" s="12">
        <f>IF(OR($S610="",$F610="",$T610="",$T610&lt;0,$T610&gt;60,$AR610=""),"—",ROUND(IF(ABS($AU610)&lt;=3,$AU610,IF($AU610&gt;3,3+($F610-$AW610)/($AW610-$AV610),-3+($F610-$AY610)/($AX610-$AY610))),2))</f>
        <v/>
      </c>
      <c r="R610">
        <f>IF(OR($Q610="",$Q610="—"),"",IF($Q610&lt;-3,"Magreza acentuada",IF($Q610&lt;-2,"Magreza",IF($Q610&lt;=1,"Eutrofia",IF($Q610&lt;=2,"Risco de sobrepeso",IF($Q610&lt;=3,"Sobrepeso","Obesidade"))))))</f>
        <v/>
      </c>
      <c r="S610">
        <f>IF($C610="","",IF(UPPER(LEFT($C610,1))="M",1,IF(UPPER(LEFT($C610,1))="F",2,"")))</f>
        <v/>
      </c>
      <c r="T610">
        <f>IF(OR($D610="",$E610=""),"",DATEDIF($D610,$E610,"m"))</f>
        <v/>
      </c>
      <c r="U610">
        <f>IF(OR($D610="",$E610=""),"",$E610-$D610)</f>
        <v/>
      </c>
      <c r="V610">
        <f>IF(OR($G610="",$T610=""),"",IF($T610&lt;24,IF(LEFT(LOWER($H610),4)="em p",$G610+0.7,$G610),IF(LEFT(LOWER($H610),4)="deit",$G610-0.7,$G610)))</f>
        <v/>
      </c>
      <c r="W610">
        <f>IF(OR($S610="",$T610=""),"",$S610*1000000+IF($T610&lt;=60,$U610,$T610))</f>
        <v/>
      </c>
      <c r="X610">
        <f>IF(OR($S610="",$V610="",$T610&gt;60,$T610=""),"",$S610*1000000+ROUND($V610*10,0))</f>
        <v/>
      </c>
      <c r="Y610">
        <f>IF($W610="","",IFERROR(INDEX(IF($T610&lt;=60,imc05_l,imc519_l),MATCH($W610,IF($T610&lt;=60,imc05_k,imc519_k),1)),""))</f>
        <v/>
      </c>
      <c r="Z610">
        <f>IF($W610="","",IFERROR(INDEX(IF($T610&lt;=60,imc05_m,imc519_m),MATCH($W610,IF($T610&lt;=60,imc05_k,imc519_k),1)),""))</f>
        <v/>
      </c>
      <c r="AA610">
        <f>IF($W610="","",IFERROR(INDEX(IF($T610&lt;=60,imc05_s,imc519_s),MATCH($W610,IF($T610&lt;=60,imc05_k,imc519_k),1)),""))</f>
        <v/>
      </c>
      <c r="AB610">
        <f>IF($Y610="","",IF($Y610=0,LN($J610/$Z610)/$AA610,((($J610/$Z610)^$Y610)-1)/($Y610*$AA610)))</f>
        <v/>
      </c>
      <c r="AC610">
        <f>IF($Y610="","",IF($Y610=0,$Z610*EXP($AA610*2),$Z610*(1+$Y610*$AA610*2)^(1/$Y610)))</f>
        <v/>
      </c>
      <c r="AD610">
        <f>IF($Y610="","",IF($Y610=0,$Z610*EXP($AA610*3),$Z610*(1+$Y610*$AA610*3)^(1/$Y610)))</f>
        <v/>
      </c>
      <c r="AE610">
        <f>IF($Y610="","",IF($Y610=0,$Z610*EXP($AA610*-2),$Z610*(1+$Y610*$AA610*-2)^(1/$Y610)))</f>
        <v/>
      </c>
      <c r="AF610">
        <f>IF($Y610="","",IF($Y610=0,$Z610*EXP($AA610*-3),$Z610*(1+$Y610*$AA610*-3)^(1/$Y610)))</f>
        <v/>
      </c>
      <c r="AG610">
        <f>IF($W610="","",IFERROR(INDEX(IF($T610&lt;=60,est05_l,est519_l),MATCH($W610,IF($T610&lt;=60,est05_k,est519_k),1)),""))</f>
        <v/>
      </c>
      <c r="AH610">
        <f>IF($W610="","",IFERROR(INDEX(IF($T610&lt;=60,est05_m,est519_m),MATCH($W610,IF($T610&lt;=60,est05_k,est519_k),1)),""))</f>
        <v/>
      </c>
      <c r="AI610">
        <f>IF($W610="","",IFERROR(INDEX(IF($T610&lt;=60,est05_s,est519_s),MATCH($W610,IF($T610&lt;=60,est05_k,est519_k),1)),""))</f>
        <v/>
      </c>
      <c r="AJ610">
        <f>IF($W610="","",IFERROR(INDEX(IF($T610&lt;=60,peso05_l,peso510_l),MATCH($W610,IF($T610&lt;=60,peso05_k,peso510_k),1)),""))</f>
        <v/>
      </c>
      <c r="AK610">
        <f>IF($W610="","",IFERROR(INDEX(IF($T610&lt;=60,peso05_m,peso510_m),MATCH($W610,IF($T610&lt;=60,peso05_k,peso510_k),1)),""))</f>
        <v/>
      </c>
      <c r="AL610">
        <f>IF($W610="","",IFERROR(INDEX(IF($T610&lt;=60,peso05_s,peso510_s),MATCH($W610,IF($T610&lt;=60,peso05_k,peso510_k),1)),""))</f>
        <v/>
      </c>
      <c r="AM610">
        <f>IF($AJ610="","",IF($AJ610=0,LN($F610/$AK610)/$AL610,((($F610/$AK610)^$AJ610)-1)/($AJ610*$AL610)))</f>
        <v/>
      </c>
      <c r="AN610">
        <f>IF($AJ610="","",IF($AJ610=0,$AK610*EXP($AL610*2),$AK610*(1+$AJ610*$AL610*2)^(1/$AJ610)))</f>
        <v/>
      </c>
      <c r="AO610">
        <f>IF($AJ610="","",IF($AJ610=0,$AK610*EXP($AL610*3),$AK610*(1+$AJ610*$AL610*3)^(1/$AJ610)))</f>
        <v/>
      </c>
      <c r="AP610">
        <f>IF($AJ610="","",IF($AJ610=0,$AK610*EXP($AL610*-2),$AK610*(1+$AJ610*$AL610*-2)^(1/$AJ610)))</f>
        <v/>
      </c>
      <c r="AQ610">
        <f>IF($AJ610="","",IF($AJ610=0,$AK610*EXP($AL610*-3),$AK610*(1+$AJ610*$AL610*-3)^(1/$AJ610)))</f>
        <v/>
      </c>
      <c r="AR610">
        <f>IF(OR($X610="",$T610&gt;60),"",IFERROR(INDEX(IF($T610&lt;24,pcomp_l,palt_l),MATCH($X610,IF($T610&lt;24,pcomp_k,palt_k),1)),""))</f>
        <v/>
      </c>
      <c r="AS610">
        <f>IF(OR($X610="",$T610&gt;60),"",IFERROR(INDEX(IF($T610&lt;24,pcomp_m,palt_m),MATCH($X610,IF($T610&lt;24,pcomp_k,palt_k),1)),""))</f>
        <v/>
      </c>
      <c r="AT610">
        <f>IF(OR($X610="",$T610&gt;60),"",IFERROR(INDEX(IF($T610&lt;24,pcomp_s,palt_s),MATCH($X610,IF($T610&lt;24,pcomp_k,palt_k),1)),""))</f>
        <v/>
      </c>
      <c r="AU610">
        <f>IF($AR610="","",IF($AR610=0,LN($F610/$AS610)/$AT610,((($F610/$AS610)^$AR610)-1)/($AR610*$AT610)))</f>
        <v/>
      </c>
      <c r="AV610">
        <f>IF($AR610="","",IF($AR610=0,$AS610*EXP($AT610*2),$AS610*(1+$AR610*$AT610*2)^(1/$AR610)))</f>
        <v/>
      </c>
      <c r="AW610">
        <f>IF($AR610="","",IF($AR610=0,$AS610*EXP($AT610*3),$AS610*(1+$AR610*$AT610*3)^(1/$AR610)))</f>
        <v/>
      </c>
      <c r="AX610">
        <f>IF($AR610="","",IF($AR610=0,$AS610*EXP($AT610*-2),$AS610*(1+$AR610*$AT610*-2)^(1/$AR610)))</f>
        <v/>
      </c>
      <c r="AY610">
        <f>IF($AR610="","",IF($AR610=0,$AS610*EXP($AT610*-3),$AS610*(1+$AR610*$AT610*-3)^(1/$AR610)))</f>
        <v/>
      </c>
      <c r="AZ610">
        <f>IF(OR($A610="",$A610&lt;&gt;Ficha!$C$4),"",COUNTIF($A$2:$A610,Ficha!$C$4))</f>
        <v/>
      </c>
    </row>
    <row r="611">
      <c r="A611" s="8">
        <f>IF(INDEX(Banco!$A:$A,ROW())="","",INDEX(Banco!$A:$A,ROW()))</f>
        <v/>
      </c>
      <c r="B611" s="8">
        <f>IF(INDEX(Banco!$B:$B,ROW())="","",INDEX(Banco!$B:$B,ROW()))</f>
        <v/>
      </c>
      <c r="C611" s="8">
        <f>IF(INDEX(Banco!$C:$C,ROW())="","",INDEX(Banco!$C:$C,ROW()))</f>
        <v/>
      </c>
      <c r="D611" s="9">
        <f>IF(INDEX(Banco!$D:$D,ROW())="","",INDEX(Banco!$D:$D,ROW()))</f>
        <v/>
      </c>
      <c r="E611" s="9">
        <f>IF(INDEX(Banco!$E:$E,ROW())="","",INDEX(Banco!$E:$E,ROW()))</f>
        <v/>
      </c>
      <c r="F611" s="10">
        <f>IF(INDEX(Banco!$F:$F,ROW())="","",INDEX(Banco!$F:$F,ROW()))</f>
        <v/>
      </c>
      <c r="G611" s="10">
        <f>IF(INDEX(Banco!$G:$G,ROW())="","",INDEX(Banco!$G:$G,ROW()))</f>
        <v/>
      </c>
      <c r="H611" s="8">
        <f>IF(INDEX(Banco!$H:$H,ROW())="","",INDEX(Banco!$H:$H,ROW()))</f>
        <v/>
      </c>
      <c r="I611">
        <f>IF($T611="","",INT($T611/12)&amp;"a "&amp;MOD($T611,12)&amp;"m")</f>
        <v/>
      </c>
      <c r="J611" s="11">
        <f>IF(OR($F611="",$G611=""),"",ROUND($F611/($G611/100)^2,2))</f>
        <v/>
      </c>
      <c r="K611" s="12">
        <f>IF(OR($S611="",$J611="",$T611="",$T611&lt;0,$T611&gt;228,$Y611=""),"—",ROUND(IF(ABS($AB611)&lt;=3,$AB611,IF($AB611&gt;3,3+($J611-$AD611)/($AD611-$AC611),-3+($J611-$AF611)/($AE611-$AF611))),2))</f>
        <v/>
      </c>
      <c r="L611">
        <f>IF(OR($K611="",$K611="—"),"",IF($T611&lt;=60,IF($K611&lt;-3,"Magreza acentuada",IF($K611&lt;-2,"Magreza",IF($K611&lt;=1,"Eutrofia",IF($K611&lt;=2,"Risco de sobrepeso",IF($K611&lt;=3,"Sobrepeso","Obesidade"))))),IF($K611&lt;-3,"Magreza acentuada",IF($K611&lt;-2,"Magreza",IF($K611&lt;=1,"Eutrofia",IF($K611&lt;=2,"Sobrepeso",IF($K611&lt;=3,"Obesidade","Obesidade grave")))))))</f>
        <v/>
      </c>
      <c r="M611" s="12">
        <f>IF(OR($S611="",$V611="",$T611="",$T611&lt;0,$T611&gt;228,$AG611=""),"—",ROUND(IF($AG611=0,LN($V611/$AH611)/$AI611,((($V611/$AH611)^$AG611)-1)/($AG611*$AI611)),2))</f>
        <v/>
      </c>
      <c r="N611">
        <f>IF(OR($M611="",$M611="—"),"",IF($M611&lt;-3,"Muito baixa",IF($M611&lt;-2,"Baixa","Adequada")))</f>
        <v/>
      </c>
      <c r="O611" s="12">
        <f>IF(OR($S611="",$F611="",$T611="",$T611&lt;0,$T611&gt;120,$AJ611=""),"—",ROUND(IF(ABS($AM611)&lt;=3,$AM611,IF($AM611&gt;3,3+($F611-$AO611)/($AO611-$AN611),-3+($F611-$AQ611)/($AP611-$AQ611))),2))</f>
        <v/>
      </c>
      <c r="P611">
        <f>IF(OR($O611="",$O611="—"),"",IF($O611&lt;-3,"Muito baixo",IF($O611&lt;-2,"Baixo",IF($O611&lt;=2,"Adequado","Elevado"))))</f>
        <v/>
      </c>
      <c r="Q611" s="12">
        <f>IF(OR($S611="",$F611="",$T611="",$T611&lt;0,$T611&gt;60,$AR611=""),"—",ROUND(IF(ABS($AU611)&lt;=3,$AU611,IF($AU611&gt;3,3+($F611-$AW611)/($AW611-$AV611),-3+($F611-$AY611)/($AX611-$AY611))),2))</f>
        <v/>
      </c>
      <c r="R611">
        <f>IF(OR($Q611="",$Q611="—"),"",IF($Q611&lt;-3,"Magreza acentuada",IF($Q611&lt;-2,"Magreza",IF($Q611&lt;=1,"Eutrofia",IF($Q611&lt;=2,"Risco de sobrepeso",IF($Q611&lt;=3,"Sobrepeso","Obesidade"))))))</f>
        <v/>
      </c>
      <c r="S611">
        <f>IF($C611="","",IF(UPPER(LEFT($C611,1))="M",1,IF(UPPER(LEFT($C611,1))="F",2,"")))</f>
        <v/>
      </c>
      <c r="T611">
        <f>IF(OR($D611="",$E611=""),"",DATEDIF($D611,$E611,"m"))</f>
        <v/>
      </c>
      <c r="U611">
        <f>IF(OR($D611="",$E611=""),"",$E611-$D611)</f>
        <v/>
      </c>
      <c r="V611">
        <f>IF(OR($G611="",$T611=""),"",IF($T611&lt;24,IF(LEFT(LOWER($H611),4)="em p",$G611+0.7,$G611),IF(LEFT(LOWER($H611),4)="deit",$G611-0.7,$G611)))</f>
        <v/>
      </c>
      <c r="W611">
        <f>IF(OR($S611="",$T611=""),"",$S611*1000000+IF($T611&lt;=60,$U611,$T611))</f>
        <v/>
      </c>
      <c r="X611">
        <f>IF(OR($S611="",$V611="",$T611&gt;60,$T611=""),"",$S611*1000000+ROUND($V611*10,0))</f>
        <v/>
      </c>
      <c r="Y611">
        <f>IF($W611="","",IFERROR(INDEX(IF($T611&lt;=60,imc05_l,imc519_l),MATCH($W611,IF($T611&lt;=60,imc05_k,imc519_k),1)),""))</f>
        <v/>
      </c>
      <c r="Z611">
        <f>IF($W611="","",IFERROR(INDEX(IF($T611&lt;=60,imc05_m,imc519_m),MATCH($W611,IF($T611&lt;=60,imc05_k,imc519_k),1)),""))</f>
        <v/>
      </c>
      <c r="AA611">
        <f>IF($W611="","",IFERROR(INDEX(IF($T611&lt;=60,imc05_s,imc519_s),MATCH($W611,IF($T611&lt;=60,imc05_k,imc519_k),1)),""))</f>
        <v/>
      </c>
      <c r="AB611">
        <f>IF($Y611="","",IF($Y611=0,LN($J611/$Z611)/$AA611,((($J611/$Z611)^$Y611)-1)/($Y611*$AA611)))</f>
        <v/>
      </c>
      <c r="AC611">
        <f>IF($Y611="","",IF($Y611=0,$Z611*EXP($AA611*2),$Z611*(1+$Y611*$AA611*2)^(1/$Y611)))</f>
        <v/>
      </c>
      <c r="AD611">
        <f>IF($Y611="","",IF($Y611=0,$Z611*EXP($AA611*3),$Z611*(1+$Y611*$AA611*3)^(1/$Y611)))</f>
        <v/>
      </c>
      <c r="AE611">
        <f>IF($Y611="","",IF($Y611=0,$Z611*EXP($AA611*-2),$Z611*(1+$Y611*$AA611*-2)^(1/$Y611)))</f>
        <v/>
      </c>
      <c r="AF611">
        <f>IF($Y611="","",IF($Y611=0,$Z611*EXP($AA611*-3),$Z611*(1+$Y611*$AA611*-3)^(1/$Y611)))</f>
        <v/>
      </c>
      <c r="AG611">
        <f>IF($W611="","",IFERROR(INDEX(IF($T611&lt;=60,est05_l,est519_l),MATCH($W611,IF($T611&lt;=60,est05_k,est519_k),1)),""))</f>
        <v/>
      </c>
      <c r="AH611">
        <f>IF($W611="","",IFERROR(INDEX(IF($T611&lt;=60,est05_m,est519_m),MATCH($W611,IF($T611&lt;=60,est05_k,est519_k),1)),""))</f>
        <v/>
      </c>
      <c r="AI611">
        <f>IF($W611="","",IFERROR(INDEX(IF($T611&lt;=60,est05_s,est519_s),MATCH($W611,IF($T611&lt;=60,est05_k,est519_k),1)),""))</f>
        <v/>
      </c>
      <c r="AJ611">
        <f>IF($W611="","",IFERROR(INDEX(IF($T611&lt;=60,peso05_l,peso510_l),MATCH($W611,IF($T611&lt;=60,peso05_k,peso510_k),1)),""))</f>
        <v/>
      </c>
      <c r="AK611">
        <f>IF($W611="","",IFERROR(INDEX(IF($T611&lt;=60,peso05_m,peso510_m),MATCH($W611,IF($T611&lt;=60,peso05_k,peso510_k),1)),""))</f>
        <v/>
      </c>
      <c r="AL611">
        <f>IF($W611="","",IFERROR(INDEX(IF($T611&lt;=60,peso05_s,peso510_s),MATCH($W611,IF($T611&lt;=60,peso05_k,peso510_k),1)),""))</f>
        <v/>
      </c>
      <c r="AM611">
        <f>IF($AJ611="","",IF($AJ611=0,LN($F611/$AK611)/$AL611,((($F611/$AK611)^$AJ611)-1)/($AJ611*$AL611)))</f>
        <v/>
      </c>
      <c r="AN611">
        <f>IF($AJ611="","",IF($AJ611=0,$AK611*EXP($AL611*2),$AK611*(1+$AJ611*$AL611*2)^(1/$AJ611)))</f>
        <v/>
      </c>
      <c r="AO611">
        <f>IF($AJ611="","",IF($AJ611=0,$AK611*EXP($AL611*3),$AK611*(1+$AJ611*$AL611*3)^(1/$AJ611)))</f>
        <v/>
      </c>
      <c r="AP611">
        <f>IF($AJ611="","",IF($AJ611=0,$AK611*EXP($AL611*-2),$AK611*(1+$AJ611*$AL611*-2)^(1/$AJ611)))</f>
        <v/>
      </c>
      <c r="AQ611">
        <f>IF($AJ611="","",IF($AJ611=0,$AK611*EXP($AL611*-3),$AK611*(1+$AJ611*$AL611*-3)^(1/$AJ611)))</f>
        <v/>
      </c>
      <c r="AR611">
        <f>IF(OR($X611="",$T611&gt;60),"",IFERROR(INDEX(IF($T611&lt;24,pcomp_l,palt_l),MATCH($X611,IF($T611&lt;24,pcomp_k,palt_k),1)),""))</f>
        <v/>
      </c>
      <c r="AS611">
        <f>IF(OR($X611="",$T611&gt;60),"",IFERROR(INDEX(IF($T611&lt;24,pcomp_m,palt_m),MATCH($X611,IF($T611&lt;24,pcomp_k,palt_k),1)),""))</f>
        <v/>
      </c>
      <c r="AT611">
        <f>IF(OR($X611="",$T611&gt;60),"",IFERROR(INDEX(IF($T611&lt;24,pcomp_s,palt_s),MATCH($X611,IF($T611&lt;24,pcomp_k,palt_k),1)),""))</f>
        <v/>
      </c>
      <c r="AU611">
        <f>IF($AR611="","",IF($AR611=0,LN($F611/$AS611)/$AT611,((($F611/$AS611)^$AR611)-1)/($AR611*$AT611)))</f>
        <v/>
      </c>
      <c r="AV611">
        <f>IF($AR611="","",IF($AR611=0,$AS611*EXP($AT611*2),$AS611*(1+$AR611*$AT611*2)^(1/$AR611)))</f>
        <v/>
      </c>
      <c r="AW611">
        <f>IF($AR611="","",IF($AR611=0,$AS611*EXP($AT611*3),$AS611*(1+$AR611*$AT611*3)^(1/$AR611)))</f>
        <v/>
      </c>
      <c r="AX611">
        <f>IF($AR611="","",IF($AR611=0,$AS611*EXP($AT611*-2),$AS611*(1+$AR611*$AT611*-2)^(1/$AR611)))</f>
        <v/>
      </c>
      <c r="AY611">
        <f>IF($AR611="","",IF($AR611=0,$AS611*EXP($AT611*-3),$AS611*(1+$AR611*$AT611*-3)^(1/$AR611)))</f>
        <v/>
      </c>
      <c r="AZ611">
        <f>IF(OR($A611="",$A611&lt;&gt;Ficha!$C$4),"",COUNTIF($A$2:$A611,Ficha!$C$4))</f>
        <v/>
      </c>
    </row>
    <row r="612">
      <c r="A612" s="8">
        <f>IF(INDEX(Banco!$A:$A,ROW())="","",INDEX(Banco!$A:$A,ROW()))</f>
        <v/>
      </c>
      <c r="B612" s="8">
        <f>IF(INDEX(Banco!$B:$B,ROW())="","",INDEX(Banco!$B:$B,ROW()))</f>
        <v/>
      </c>
      <c r="C612" s="8">
        <f>IF(INDEX(Banco!$C:$C,ROW())="","",INDEX(Banco!$C:$C,ROW()))</f>
        <v/>
      </c>
      <c r="D612" s="9">
        <f>IF(INDEX(Banco!$D:$D,ROW())="","",INDEX(Banco!$D:$D,ROW()))</f>
        <v/>
      </c>
      <c r="E612" s="9">
        <f>IF(INDEX(Banco!$E:$E,ROW())="","",INDEX(Banco!$E:$E,ROW()))</f>
        <v/>
      </c>
      <c r="F612" s="10">
        <f>IF(INDEX(Banco!$F:$F,ROW())="","",INDEX(Banco!$F:$F,ROW()))</f>
        <v/>
      </c>
      <c r="G612" s="10">
        <f>IF(INDEX(Banco!$G:$G,ROW())="","",INDEX(Banco!$G:$G,ROW()))</f>
        <v/>
      </c>
      <c r="H612" s="8">
        <f>IF(INDEX(Banco!$H:$H,ROW())="","",INDEX(Banco!$H:$H,ROW()))</f>
        <v/>
      </c>
      <c r="I612">
        <f>IF($T612="","",INT($T612/12)&amp;"a "&amp;MOD($T612,12)&amp;"m")</f>
        <v/>
      </c>
      <c r="J612" s="11">
        <f>IF(OR($F612="",$G612=""),"",ROUND($F612/($G612/100)^2,2))</f>
        <v/>
      </c>
      <c r="K612" s="12">
        <f>IF(OR($S612="",$J612="",$T612="",$T612&lt;0,$T612&gt;228,$Y612=""),"—",ROUND(IF(ABS($AB612)&lt;=3,$AB612,IF($AB612&gt;3,3+($J612-$AD612)/($AD612-$AC612),-3+($J612-$AF612)/($AE612-$AF612))),2))</f>
        <v/>
      </c>
      <c r="L612">
        <f>IF(OR($K612="",$K612="—"),"",IF($T612&lt;=60,IF($K612&lt;-3,"Magreza acentuada",IF($K612&lt;-2,"Magreza",IF($K612&lt;=1,"Eutrofia",IF($K612&lt;=2,"Risco de sobrepeso",IF($K612&lt;=3,"Sobrepeso","Obesidade"))))),IF($K612&lt;-3,"Magreza acentuada",IF($K612&lt;-2,"Magreza",IF($K612&lt;=1,"Eutrofia",IF($K612&lt;=2,"Sobrepeso",IF($K612&lt;=3,"Obesidade","Obesidade grave")))))))</f>
        <v/>
      </c>
      <c r="M612" s="12">
        <f>IF(OR($S612="",$V612="",$T612="",$T612&lt;0,$T612&gt;228,$AG612=""),"—",ROUND(IF($AG612=0,LN($V612/$AH612)/$AI612,((($V612/$AH612)^$AG612)-1)/($AG612*$AI612)),2))</f>
        <v/>
      </c>
      <c r="N612">
        <f>IF(OR($M612="",$M612="—"),"",IF($M612&lt;-3,"Muito baixa",IF($M612&lt;-2,"Baixa","Adequada")))</f>
        <v/>
      </c>
      <c r="O612" s="12">
        <f>IF(OR($S612="",$F612="",$T612="",$T612&lt;0,$T612&gt;120,$AJ612=""),"—",ROUND(IF(ABS($AM612)&lt;=3,$AM612,IF($AM612&gt;3,3+($F612-$AO612)/($AO612-$AN612),-3+($F612-$AQ612)/($AP612-$AQ612))),2))</f>
        <v/>
      </c>
      <c r="P612">
        <f>IF(OR($O612="",$O612="—"),"",IF($O612&lt;-3,"Muito baixo",IF($O612&lt;-2,"Baixo",IF($O612&lt;=2,"Adequado","Elevado"))))</f>
        <v/>
      </c>
      <c r="Q612" s="12">
        <f>IF(OR($S612="",$F612="",$T612="",$T612&lt;0,$T612&gt;60,$AR612=""),"—",ROUND(IF(ABS($AU612)&lt;=3,$AU612,IF($AU612&gt;3,3+($F612-$AW612)/($AW612-$AV612),-3+($F612-$AY612)/($AX612-$AY612))),2))</f>
        <v/>
      </c>
      <c r="R612">
        <f>IF(OR($Q612="",$Q612="—"),"",IF($Q612&lt;-3,"Magreza acentuada",IF($Q612&lt;-2,"Magreza",IF($Q612&lt;=1,"Eutrofia",IF($Q612&lt;=2,"Risco de sobrepeso",IF($Q612&lt;=3,"Sobrepeso","Obesidade"))))))</f>
        <v/>
      </c>
      <c r="S612">
        <f>IF($C612="","",IF(UPPER(LEFT($C612,1))="M",1,IF(UPPER(LEFT($C612,1))="F",2,"")))</f>
        <v/>
      </c>
      <c r="T612">
        <f>IF(OR($D612="",$E612=""),"",DATEDIF($D612,$E612,"m"))</f>
        <v/>
      </c>
      <c r="U612">
        <f>IF(OR($D612="",$E612=""),"",$E612-$D612)</f>
        <v/>
      </c>
      <c r="V612">
        <f>IF(OR($G612="",$T612=""),"",IF($T612&lt;24,IF(LEFT(LOWER($H612),4)="em p",$G612+0.7,$G612),IF(LEFT(LOWER($H612),4)="deit",$G612-0.7,$G612)))</f>
        <v/>
      </c>
      <c r="W612">
        <f>IF(OR($S612="",$T612=""),"",$S612*1000000+IF($T612&lt;=60,$U612,$T612))</f>
        <v/>
      </c>
      <c r="X612">
        <f>IF(OR($S612="",$V612="",$T612&gt;60,$T612=""),"",$S612*1000000+ROUND($V612*10,0))</f>
        <v/>
      </c>
      <c r="Y612">
        <f>IF($W612="","",IFERROR(INDEX(IF($T612&lt;=60,imc05_l,imc519_l),MATCH($W612,IF($T612&lt;=60,imc05_k,imc519_k),1)),""))</f>
        <v/>
      </c>
      <c r="Z612">
        <f>IF($W612="","",IFERROR(INDEX(IF($T612&lt;=60,imc05_m,imc519_m),MATCH($W612,IF($T612&lt;=60,imc05_k,imc519_k),1)),""))</f>
        <v/>
      </c>
      <c r="AA612">
        <f>IF($W612="","",IFERROR(INDEX(IF($T612&lt;=60,imc05_s,imc519_s),MATCH($W612,IF($T612&lt;=60,imc05_k,imc519_k),1)),""))</f>
        <v/>
      </c>
      <c r="AB612">
        <f>IF($Y612="","",IF($Y612=0,LN($J612/$Z612)/$AA612,((($J612/$Z612)^$Y612)-1)/($Y612*$AA612)))</f>
        <v/>
      </c>
      <c r="AC612">
        <f>IF($Y612="","",IF($Y612=0,$Z612*EXP($AA612*2),$Z612*(1+$Y612*$AA612*2)^(1/$Y612)))</f>
        <v/>
      </c>
      <c r="AD612">
        <f>IF($Y612="","",IF($Y612=0,$Z612*EXP($AA612*3),$Z612*(1+$Y612*$AA612*3)^(1/$Y612)))</f>
        <v/>
      </c>
      <c r="AE612">
        <f>IF($Y612="","",IF($Y612=0,$Z612*EXP($AA612*-2),$Z612*(1+$Y612*$AA612*-2)^(1/$Y612)))</f>
        <v/>
      </c>
      <c r="AF612">
        <f>IF($Y612="","",IF($Y612=0,$Z612*EXP($AA612*-3),$Z612*(1+$Y612*$AA612*-3)^(1/$Y612)))</f>
        <v/>
      </c>
      <c r="AG612">
        <f>IF($W612="","",IFERROR(INDEX(IF($T612&lt;=60,est05_l,est519_l),MATCH($W612,IF($T612&lt;=60,est05_k,est519_k),1)),""))</f>
        <v/>
      </c>
      <c r="AH612">
        <f>IF($W612="","",IFERROR(INDEX(IF($T612&lt;=60,est05_m,est519_m),MATCH($W612,IF($T612&lt;=60,est05_k,est519_k),1)),""))</f>
        <v/>
      </c>
      <c r="AI612">
        <f>IF($W612="","",IFERROR(INDEX(IF($T612&lt;=60,est05_s,est519_s),MATCH($W612,IF($T612&lt;=60,est05_k,est519_k),1)),""))</f>
        <v/>
      </c>
      <c r="AJ612">
        <f>IF($W612="","",IFERROR(INDEX(IF($T612&lt;=60,peso05_l,peso510_l),MATCH($W612,IF($T612&lt;=60,peso05_k,peso510_k),1)),""))</f>
        <v/>
      </c>
      <c r="AK612">
        <f>IF($W612="","",IFERROR(INDEX(IF($T612&lt;=60,peso05_m,peso510_m),MATCH($W612,IF($T612&lt;=60,peso05_k,peso510_k),1)),""))</f>
        <v/>
      </c>
      <c r="AL612">
        <f>IF($W612="","",IFERROR(INDEX(IF($T612&lt;=60,peso05_s,peso510_s),MATCH($W612,IF($T612&lt;=60,peso05_k,peso510_k),1)),""))</f>
        <v/>
      </c>
      <c r="AM612">
        <f>IF($AJ612="","",IF($AJ612=0,LN($F612/$AK612)/$AL612,((($F612/$AK612)^$AJ612)-1)/($AJ612*$AL612)))</f>
        <v/>
      </c>
      <c r="AN612">
        <f>IF($AJ612="","",IF($AJ612=0,$AK612*EXP($AL612*2),$AK612*(1+$AJ612*$AL612*2)^(1/$AJ612)))</f>
        <v/>
      </c>
      <c r="AO612">
        <f>IF($AJ612="","",IF($AJ612=0,$AK612*EXP($AL612*3),$AK612*(1+$AJ612*$AL612*3)^(1/$AJ612)))</f>
        <v/>
      </c>
      <c r="AP612">
        <f>IF($AJ612="","",IF($AJ612=0,$AK612*EXP($AL612*-2),$AK612*(1+$AJ612*$AL612*-2)^(1/$AJ612)))</f>
        <v/>
      </c>
      <c r="AQ612">
        <f>IF($AJ612="","",IF($AJ612=0,$AK612*EXP($AL612*-3),$AK612*(1+$AJ612*$AL612*-3)^(1/$AJ612)))</f>
        <v/>
      </c>
      <c r="AR612">
        <f>IF(OR($X612="",$T612&gt;60),"",IFERROR(INDEX(IF($T612&lt;24,pcomp_l,palt_l),MATCH($X612,IF($T612&lt;24,pcomp_k,palt_k),1)),""))</f>
        <v/>
      </c>
      <c r="AS612">
        <f>IF(OR($X612="",$T612&gt;60),"",IFERROR(INDEX(IF($T612&lt;24,pcomp_m,palt_m),MATCH($X612,IF($T612&lt;24,pcomp_k,palt_k),1)),""))</f>
        <v/>
      </c>
      <c r="AT612">
        <f>IF(OR($X612="",$T612&gt;60),"",IFERROR(INDEX(IF($T612&lt;24,pcomp_s,palt_s),MATCH($X612,IF($T612&lt;24,pcomp_k,palt_k),1)),""))</f>
        <v/>
      </c>
      <c r="AU612">
        <f>IF($AR612="","",IF($AR612=0,LN($F612/$AS612)/$AT612,((($F612/$AS612)^$AR612)-1)/($AR612*$AT612)))</f>
        <v/>
      </c>
      <c r="AV612">
        <f>IF($AR612="","",IF($AR612=0,$AS612*EXP($AT612*2),$AS612*(1+$AR612*$AT612*2)^(1/$AR612)))</f>
        <v/>
      </c>
      <c r="AW612">
        <f>IF($AR612="","",IF($AR612=0,$AS612*EXP($AT612*3),$AS612*(1+$AR612*$AT612*3)^(1/$AR612)))</f>
        <v/>
      </c>
      <c r="AX612">
        <f>IF($AR612="","",IF($AR612=0,$AS612*EXP($AT612*-2),$AS612*(1+$AR612*$AT612*-2)^(1/$AR612)))</f>
        <v/>
      </c>
      <c r="AY612">
        <f>IF($AR612="","",IF($AR612=0,$AS612*EXP($AT612*-3),$AS612*(1+$AR612*$AT612*-3)^(1/$AR612)))</f>
        <v/>
      </c>
      <c r="AZ612">
        <f>IF(OR($A612="",$A612&lt;&gt;Ficha!$C$4),"",COUNTIF($A$2:$A612,Ficha!$C$4))</f>
        <v/>
      </c>
    </row>
    <row r="613">
      <c r="A613" s="8">
        <f>IF(INDEX(Banco!$A:$A,ROW())="","",INDEX(Banco!$A:$A,ROW()))</f>
        <v/>
      </c>
      <c r="B613" s="8">
        <f>IF(INDEX(Banco!$B:$B,ROW())="","",INDEX(Banco!$B:$B,ROW()))</f>
        <v/>
      </c>
      <c r="C613" s="8">
        <f>IF(INDEX(Banco!$C:$C,ROW())="","",INDEX(Banco!$C:$C,ROW()))</f>
        <v/>
      </c>
      <c r="D613" s="9">
        <f>IF(INDEX(Banco!$D:$D,ROW())="","",INDEX(Banco!$D:$D,ROW()))</f>
        <v/>
      </c>
      <c r="E613" s="9">
        <f>IF(INDEX(Banco!$E:$E,ROW())="","",INDEX(Banco!$E:$E,ROW()))</f>
        <v/>
      </c>
      <c r="F613" s="10">
        <f>IF(INDEX(Banco!$F:$F,ROW())="","",INDEX(Banco!$F:$F,ROW()))</f>
        <v/>
      </c>
      <c r="G613" s="10">
        <f>IF(INDEX(Banco!$G:$G,ROW())="","",INDEX(Banco!$G:$G,ROW()))</f>
        <v/>
      </c>
      <c r="H613" s="8">
        <f>IF(INDEX(Banco!$H:$H,ROW())="","",INDEX(Banco!$H:$H,ROW()))</f>
        <v/>
      </c>
      <c r="I613">
        <f>IF($T613="","",INT($T613/12)&amp;"a "&amp;MOD($T613,12)&amp;"m")</f>
        <v/>
      </c>
      <c r="J613" s="11">
        <f>IF(OR($F613="",$G613=""),"",ROUND($F613/($G613/100)^2,2))</f>
        <v/>
      </c>
      <c r="K613" s="12">
        <f>IF(OR($S613="",$J613="",$T613="",$T613&lt;0,$T613&gt;228,$Y613=""),"—",ROUND(IF(ABS($AB613)&lt;=3,$AB613,IF($AB613&gt;3,3+($J613-$AD613)/($AD613-$AC613),-3+($J613-$AF613)/($AE613-$AF613))),2))</f>
        <v/>
      </c>
      <c r="L613">
        <f>IF(OR($K613="",$K613="—"),"",IF($T613&lt;=60,IF($K613&lt;-3,"Magreza acentuada",IF($K613&lt;-2,"Magreza",IF($K613&lt;=1,"Eutrofia",IF($K613&lt;=2,"Risco de sobrepeso",IF($K613&lt;=3,"Sobrepeso","Obesidade"))))),IF($K613&lt;-3,"Magreza acentuada",IF($K613&lt;-2,"Magreza",IF($K613&lt;=1,"Eutrofia",IF($K613&lt;=2,"Sobrepeso",IF($K613&lt;=3,"Obesidade","Obesidade grave")))))))</f>
        <v/>
      </c>
      <c r="M613" s="12">
        <f>IF(OR($S613="",$V613="",$T613="",$T613&lt;0,$T613&gt;228,$AG613=""),"—",ROUND(IF($AG613=0,LN($V613/$AH613)/$AI613,((($V613/$AH613)^$AG613)-1)/($AG613*$AI613)),2))</f>
        <v/>
      </c>
      <c r="N613">
        <f>IF(OR($M613="",$M613="—"),"",IF($M613&lt;-3,"Muito baixa",IF($M613&lt;-2,"Baixa","Adequada")))</f>
        <v/>
      </c>
      <c r="O613" s="12">
        <f>IF(OR($S613="",$F613="",$T613="",$T613&lt;0,$T613&gt;120,$AJ613=""),"—",ROUND(IF(ABS($AM613)&lt;=3,$AM613,IF($AM613&gt;3,3+($F613-$AO613)/($AO613-$AN613),-3+($F613-$AQ613)/($AP613-$AQ613))),2))</f>
        <v/>
      </c>
      <c r="P613">
        <f>IF(OR($O613="",$O613="—"),"",IF($O613&lt;-3,"Muito baixo",IF($O613&lt;-2,"Baixo",IF($O613&lt;=2,"Adequado","Elevado"))))</f>
        <v/>
      </c>
      <c r="Q613" s="12">
        <f>IF(OR($S613="",$F613="",$T613="",$T613&lt;0,$T613&gt;60,$AR613=""),"—",ROUND(IF(ABS($AU613)&lt;=3,$AU613,IF($AU613&gt;3,3+($F613-$AW613)/($AW613-$AV613),-3+($F613-$AY613)/($AX613-$AY613))),2))</f>
        <v/>
      </c>
      <c r="R613">
        <f>IF(OR($Q613="",$Q613="—"),"",IF($Q613&lt;-3,"Magreza acentuada",IF($Q613&lt;-2,"Magreza",IF($Q613&lt;=1,"Eutrofia",IF($Q613&lt;=2,"Risco de sobrepeso",IF($Q613&lt;=3,"Sobrepeso","Obesidade"))))))</f>
        <v/>
      </c>
      <c r="S613">
        <f>IF($C613="","",IF(UPPER(LEFT($C613,1))="M",1,IF(UPPER(LEFT($C613,1))="F",2,"")))</f>
        <v/>
      </c>
      <c r="T613">
        <f>IF(OR($D613="",$E613=""),"",DATEDIF($D613,$E613,"m"))</f>
        <v/>
      </c>
      <c r="U613">
        <f>IF(OR($D613="",$E613=""),"",$E613-$D613)</f>
        <v/>
      </c>
      <c r="V613">
        <f>IF(OR($G613="",$T613=""),"",IF($T613&lt;24,IF(LEFT(LOWER($H613),4)="em p",$G613+0.7,$G613),IF(LEFT(LOWER($H613),4)="deit",$G613-0.7,$G613)))</f>
        <v/>
      </c>
      <c r="W613">
        <f>IF(OR($S613="",$T613=""),"",$S613*1000000+IF($T613&lt;=60,$U613,$T613))</f>
        <v/>
      </c>
      <c r="X613">
        <f>IF(OR($S613="",$V613="",$T613&gt;60,$T613=""),"",$S613*1000000+ROUND($V613*10,0))</f>
        <v/>
      </c>
      <c r="Y613">
        <f>IF($W613="","",IFERROR(INDEX(IF($T613&lt;=60,imc05_l,imc519_l),MATCH($W613,IF($T613&lt;=60,imc05_k,imc519_k),1)),""))</f>
        <v/>
      </c>
      <c r="Z613">
        <f>IF($W613="","",IFERROR(INDEX(IF($T613&lt;=60,imc05_m,imc519_m),MATCH($W613,IF($T613&lt;=60,imc05_k,imc519_k),1)),""))</f>
        <v/>
      </c>
      <c r="AA613">
        <f>IF($W613="","",IFERROR(INDEX(IF($T613&lt;=60,imc05_s,imc519_s),MATCH($W613,IF($T613&lt;=60,imc05_k,imc519_k),1)),""))</f>
        <v/>
      </c>
      <c r="AB613">
        <f>IF($Y613="","",IF($Y613=0,LN($J613/$Z613)/$AA613,((($J613/$Z613)^$Y613)-1)/($Y613*$AA613)))</f>
        <v/>
      </c>
      <c r="AC613">
        <f>IF($Y613="","",IF($Y613=0,$Z613*EXP($AA613*2),$Z613*(1+$Y613*$AA613*2)^(1/$Y613)))</f>
        <v/>
      </c>
      <c r="AD613">
        <f>IF($Y613="","",IF($Y613=0,$Z613*EXP($AA613*3),$Z613*(1+$Y613*$AA613*3)^(1/$Y613)))</f>
        <v/>
      </c>
      <c r="AE613">
        <f>IF($Y613="","",IF($Y613=0,$Z613*EXP($AA613*-2),$Z613*(1+$Y613*$AA613*-2)^(1/$Y613)))</f>
        <v/>
      </c>
      <c r="AF613">
        <f>IF($Y613="","",IF($Y613=0,$Z613*EXP($AA613*-3),$Z613*(1+$Y613*$AA613*-3)^(1/$Y613)))</f>
        <v/>
      </c>
      <c r="AG613">
        <f>IF($W613="","",IFERROR(INDEX(IF($T613&lt;=60,est05_l,est519_l),MATCH($W613,IF($T613&lt;=60,est05_k,est519_k),1)),""))</f>
        <v/>
      </c>
      <c r="AH613">
        <f>IF($W613="","",IFERROR(INDEX(IF($T613&lt;=60,est05_m,est519_m),MATCH($W613,IF($T613&lt;=60,est05_k,est519_k),1)),""))</f>
        <v/>
      </c>
      <c r="AI613">
        <f>IF($W613="","",IFERROR(INDEX(IF($T613&lt;=60,est05_s,est519_s),MATCH($W613,IF($T613&lt;=60,est05_k,est519_k),1)),""))</f>
        <v/>
      </c>
      <c r="AJ613">
        <f>IF($W613="","",IFERROR(INDEX(IF($T613&lt;=60,peso05_l,peso510_l),MATCH($W613,IF($T613&lt;=60,peso05_k,peso510_k),1)),""))</f>
        <v/>
      </c>
      <c r="AK613">
        <f>IF($W613="","",IFERROR(INDEX(IF($T613&lt;=60,peso05_m,peso510_m),MATCH($W613,IF($T613&lt;=60,peso05_k,peso510_k),1)),""))</f>
        <v/>
      </c>
      <c r="AL613">
        <f>IF($W613="","",IFERROR(INDEX(IF($T613&lt;=60,peso05_s,peso510_s),MATCH($W613,IF($T613&lt;=60,peso05_k,peso510_k),1)),""))</f>
        <v/>
      </c>
      <c r="AM613">
        <f>IF($AJ613="","",IF($AJ613=0,LN($F613/$AK613)/$AL613,((($F613/$AK613)^$AJ613)-1)/($AJ613*$AL613)))</f>
        <v/>
      </c>
      <c r="AN613">
        <f>IF($AJ613="","",IF($AJ613=0,$AK613*EXP($AL613*2),$AK613*(1+$AJ613*$AL613*2)^(1/$AJ613)))</f>
        <v/>
      </c>
      <c r="AO613">
        <f>IF($AJ613="","",IF($AJ613=0,$AK613*EXP($AL613*3),$AK613*(1+$AJ613*$AL613*3)^(1/$AJ613)))</f>
        <v/>
      </c>
      <c r="AP613">
        <f>IF($AJ613="","",IF($AJ613=0,$AK613*EXP($AL613*-2),$AK613*(1+$AJ613*$AL613*-2)^(1/$AJ613)))</f>
        <v/>
      </c>
      <c r="AQ613">
        <f>IF($AJ613="","",IF($AJ613=0,$AK613*EXP($AL613*-3),$AK613*(1+$AJ613*$AL613*-3)^(1/$AJ613)))</f>
        <v/>
      </c>
      <c r="AR613">
        <f>IF(OR($X613="",$T613&gt;60),"",IFERROR(INDEX(IF($T613&lt;24,pcomp_l,palt_l),MATCH($X613,IF($T613&lt;24,pcomp_k,palt_k),1)),""))</f>
        <v/>
      </c>
      <c r="AS613">
        <f>IF(OR($X613="",$T613&gt;60),"",IFERROR(INDEX(IF($T613&lt;24,pcomp_m,palt_m),MATCH($X613,IF($T613&lt;24,pcomp_k,palt_k),1)),""))</f>
        <v/>
      </c>
      <c r="AT613">
        <f>IF(OR($X613="",$T613&gt;60),"",IFERROR(INDEX(IF($T613&lt;24,pcomp_s,palt_s),MATCH($X613,IF($T613&lt;24,pcomp_k,palt_k),1)),""))</f>
        <v/>
      </c>
      <c r="AU613">
        <f>IF($AR613="","",IF($AR613=0,LN($F613/$AS613)/$AT613,((($F613/$AS613)^$AR613)-1)/($AR613*$AT613)))</f>
        <v/>
      </c>
      <c r="AV613">
        <f>IF($AR613="","",IF($AR613=0,$AS613*EXP($AT613*2),$AS613*(1+$AR613*$AT613*2)^(1/$AR613)))</f>
        <v/>
      </c>
      <c r="AW613">
        <f>IF($AR613="","",IF($AR613=0,$AS613*EXP($AT613*3),$AS613*(1+$AR613*$AT613*3)^(1/$AR613)))</f>
        <v/>
      </c>
      <c r="AX613">
        <f>IF($AR613="","",IF($AR613=0,$AS613*EXP($AT613*-2),$AS613*(1+$AR613*$AT613*-2)^(1/$AR613)))</f>
        <v/>
      </c>
      <c r="AY613">
        <f>IF($AR613="","",IF($AR613=0,$AS613*EXP($AT613*-3),$AS613*(1+$AR613*$AT613*-3)^(1/$AR613)))</f>
        <v/>
      </c>
      <c r="AZ613">
        <f>IF(OR($A613="",$A613&lt;&gt;Ficha!$C$4),"",COUNTIF($A$2:$A613,Ficha!$C$4))</f>
        <v/>
      </c>
    </row>
    <row r="614">
      <c r="A614" s="8">
        <f>IF(INDEX(Banco!$A:$A,ROW())="","",INDEX(Banco!$A:$A,ROW()))</f>
        <v/>
      </c>
      <c r="B614" s="8">
        <f>IF(INDEX(Banco!$B:$B,ROW())="","",INDEX(Banco!$B:$B,ROW()))</f>
        <v/>
      </c>
      <c r="C614" s="8">
        <f>IF(INDEX(Banco!$C:$C,ROW())="","",INDEX(Banco!$C:$C,ROW()))</f>
        <v/>
      </c>
      <c r="D614" s="9">
        <f>IF(INDEX(Banco!$D:$D,ROW())="","",INDEX(Banco!$D:$D,ROW()))</f>
        <v/>
      </c>
      <c r="E614" s="9">
        <f>IF(INDEX(Banco!$E:$E,ROW())="","",INDEX(Banco!$E:$E,ROW()))</f>
        <v/>
      </c>
      <c r="F614" s="10">
        <f>IF(INDEX(Banco!$F:$F,ROW())="","",INDEX(Banco!$F:$F,ROW()))</f>
        <v/>
      </c>
      <c r="G614" s="10">
        <f>IF(INDEX(Banco!$G:$G,ROW())="","",INDEX(Banco!$G:$G,ROW()))</f>
        <v/>
      </c>
      <c r="H614" s="8">
        <f>IF(INDEX(Banco!$H:$H,ROW())="","",INDEX(Banco!$H:$H,ROW()))</f>
        <v/>
      </c>
      <c r="I614">
        <f>IF($T614="","",INT($T614/12)&amp;"a "&amp;MOD($T614,12)&amp;"m")</f>
        <v/>
      </c>
      <c r="J614" s="11">
        <f>IF(OR($F614="",$G614=""),"",ROUND($F614/($G614/100)^2,2))</f>
        <v/>
      </c>
      <c r="K614" s="12">
        <f>IF(OR($S614="",$J614="",$T614="",$T614&lt;0,$T614&gt;228,$Y614=""),"—",ROUND(IF(ABS($AB614)&lt;=3,$AB614,IF($AB614&gt;3,3+($J614-$AD614)/($AD614-$AC614),-3+($J614-$AF614)/($AE614-$AF614))),2))</f>
        <v/>
      </c>
      <c r="L614">
        <f>IF(OR($K614="",$K614="—"),"",IF($T614&lt;=60,IF($K614&lt;-3,"Magreza acentuada",IF($K614&lt;-2,"Magreza",IF($K614&lt;=1,"Eutrofia",IF($K614&lt;=2,"Risco de sobrepeso",IF($K614&lt;=3,"Sobrepeso","Obesidade"))))),IF($K614&lt;-3,"Magreza acentuada",IF($K614&lt;-2,"Magreza",IF($K614&lt;=1,"Eutrofia",IF($K614&lt;=2,"Sobrepeso",IF($K614&lt;=3,"Obesidade","Obesidade grave")))))))</f>
        <v/>
      </c>
      <c r="M614" s="12">
        <f>IF(OR($S614="",$V614="",$T614="",$T614&lt;0,$T614&gt;228,$AG614=""),"—",ROUND(IF($AG614=0,LN($V614/$AH614)/$AI614,((($V614/$AH614)^$AG614)-1)/($AG614*$AI614)),2))</f>
        <v/>
      </c>
      <c r="N614">
        <f>IF(OR($M614="",$M614="—"),"",IF($M614&lt;-3,"Muito baixa",IF($M614&lt;-2,"Baixa","Adequada")))</f>
        <v/>
      </c>
      <c r="O614" s="12">
        <f>IF(OR($S614="",$F614="",$T614="",$T614&lt;0,$T614&gt;120,$AJ614=""),"—",ROUND(IF(ABS($AM614)&lt;=3,$AM614,IF($AM614&gt;3,3+($F614-$AO614)/($AO614-$AN614),-3+($F614-$AQ614)/($AP614-$AQ614))),2))</f>
        <v/>
      </c>
      <c r="P614">
        <f>IF(OR($O614="",$O614="—"),"",IF($O614&lt;-3,"Muito baixo",IF($O614&lt;-2,"Baixo",IF($O614&lt;=2,"Adequado","Elevado"))))</f>
        <v/>
      </c>
      <c r="Q614" s="12">
        <f>IF(OR($S614="",$F614="",$T614="",$T614&lt;0,$T614&gt;60,$AR614=""),"—",ROUND(IF(ABS($AU614)&lt;=3,$AU614,IF($AU614&gt;3,3+($F614-$AW614)/($AW614-$AV614),-3+($F614-$AY614)/($AX614-$AY614))),2))</f>
        <v/>
      </c>
      <c r="R614">
        <f>IF(OR($Q614="",$Q614="—"),"",IF($Q614&lt;-3,"Magreza acentuada",IF($Q614&lt;-2,"Magreza",IF($Q614&lt;=1,"Eutrofia",IF($Q614&lt;=2,"Risco de sobrepeso",IF($Q614&lt;=3,"Sobrepeso","Obesidade"))))))</f>
        <v/>
      </c>
      <c r="S614">
        <f>IF($C614="","",IF(UPPER(LEFT($C614,1))="M",1,IF(UPPER(LEFT($C614,1))="F",2,"")))</f>
        <v/>
      </c>
      <c r="T614">
        <f>IF(OR($D614="",$E614=""),"",DATEDIF($D614,$E614,"m"))</f>
        <v/>
      </c>
      <c r="U614">
        <f>IF(OR($D614="",$E614=""),"",$E614-$D614)</f>
        <v/>
      </c>
      <c r="V614">
        <f>IF(OR($G614="",$T614=""),"",IF($T614&lt;24,IF(LEFT(LOWER($H614),4)="em p",$G614+0.7,$G614),IF(LEFT(LOWER($H614),4)="deit",$G614-0.7,$G614)))</f>
        <v/>
      </c>
      <c r="W614">
        <f>IF(OR($S614="",$T614=""),"",$S614*1000000+IF($T614&lt;=60,$U614,$T614))</f>
        <v/>
      </c>
      <c r="X614">
        <f>IF(OR($S614="",$V614="",$T614&gt;60,$T614=""),"",$S614*1000000+ROUND($V614*10,0))</f>
        <v/>
      </c>
      <c r="Y614">
        <f>IF($W614="","",IFERROR(INDEX(IF($T614&lt;=60,imc05_l,imc519_l),MATCH($W614,IF($T614&lt;=60,imc05_k,imc519_k),1)),""))</f>
        <v/>
      </c>
      <c r="Z614">
        <f>IF($W614="","",IFERROR(INDEX(IF($T614&lt;=60,imc05_m,imc519_m),MATCH($W614,IF($T614&lt;=60,imc05_k,imc519_k),1)),""))</f>
        <v/>
      </c>
      <c r="AA614">
        <f>IF($W614="","",IFERROR(INDEX(IF($T614&lt;=60,imc05_s,imc519_s),MATCH($W614,IF($T614&lt;=60,imc05_k,imc519_k),1)),""))</f>
        <v/>
      </c>
      <c r="AB614">
        <f>IF($Y614="","",IF($Y614=0,LN($J614/$Z614)/$AA614,((($J614/$Z614)^$Y614)-1)/($Y614*$AA614)))</f>
        <v/>
      </c>
      <c r="AC614">
        <f>IF($Y614="","",IF($Y614=0,$Z614*EXP($AA614*2),$Z614*(1+$Y614*$AA614*2)^(1/$Y614)))</f>
        <v/>
      </c>
      <c r="AD614">
        <f>IF($Y614="","",IF($Y614=0,$Z614*EXP($AA614*3),$Z614*(1+$Y614*$AA614*3)^(1/$Y614)))</f>
        <v/>
      </c>
      <c r="AE614">
        <f>IF($Y614="","",IF($Y614=0,$Z614*EXP($AA614*-2),$Z614*(1+$Y614*$AA614*-2)^(1/$Y614)))</f>
        <v/>
      </c>
      <c r="AF614">
        <f>IF($Y614="","",IF($Y614=0,$Z614*EXP($AA614*-3),$Z614*(1+$Y614*$AA614*-3)^(1/$Y614)))</f>
        <v/>
      </c>
      <c r="AG614">
        <f>IF($W614="","",IFERROR(INDEX(IF($T614&lt;=60,est05_l,est519_l),MATCH($W614,IF($T614&lt;=60,est05_k,est519_k),1)),""))</f>
        <v/>
      </c>
      <c r="AH614">
        <f>IF($W614="","",IFERROR(INDEX(IF($T614&lt;=60,est05_m,est519_m),MATCH($W614,IF($T614&lt;=60,est05_k,est519_k),1)),""))</f>
        <v/>
      </c>
      <c r="AI614">
        <f>IF($W614="","",IFERROR(INDEX(IF($T614&lt;=60,est05_s,est519_s),MATCH($W614,IF($T614&lt;=60,est05_k,est519_k),1)),""))</f>
        <v/>
      </c>
      <c r="AJ614">
        <f>IF($W614="","",IFERROR(INDEX(IF($T614&lt;=60,peso05_l,peso510_l),MATCH($W614,IF($T614&lt;=60,peso05_k,peso510_k),1)),""))</f>
        <v/>
      </c>
      <c r="AK614">
        <f>IF($W614="","",IFERROR(INDEX(IF($T614&lt;=60,peso05_m,peso510_m),MATCH($W614,IF($T614&lt;=60,peso05_k,peso510_k),1)),""))</f>
        <v/>
      </c>
      <c r="AL614">
        <f>IF($W614="","",IFERROR(INDEX(IF($T614&lt;=60,peso05_s,peso510_s),MATCH($W614,IF($T614&lt;=60,peso05_k,peso510_k),1)),""))</f>
        <v/>
      </c>
      <c r="AM614">
        <f>IF($AJ614="","",IF($AJ614=0,LN($F614/$AK614)/$AL614,((($F614/$AK614)^$AJ614)-1)/($AJ614*$AL614)))</f>
        <v/>
      </c>
      <c r="AN614">
        <f>IF($AJ614="","",IF($AJ614=0,$AK614*EXP($AL614*2),$AK614*(1+$AJ614*$AL614*2)^(1/$AJ614)))</f>
        <v/>
      </c>
      <c r="AO614">
        <f>IF($AJ614="","",IF($AJ614=0,$AK614*EXP($AL614*3),$AK614*(1+$AJ614*$AL614*3)^(1/$AJ614)))</f>
        <v/>
      </c>
      <c r="AP614">
        <f>IF($AJ614="","",IF($AJ614=0,$AK614*EXP($AL614*-2),$AK614*(1+$AJ614*$AL614*-2)^(1/$AJ614)))</f>
        <v/>
      </c>
      <c r="AQ614">
        <f>IF($AJ614="","",IF($AJ614=0,$AK614*EXP($AL614*-3),$AK614*(1+$AJ614*$AL614*-3)^(1/$AJ614)))</f>
        <v/>
      </c>
      <c r="AR614">
        <f>IF(OR($X614="",$T614&gt;60),"",IFERROR(INDEX(IF($T614&lt;24,pcomp_l,palt_l),MATCH($X614,IF($T614&lt;24,pcomp_k,palt_k),1)),""))</f>
        <v/>
      </c>
      <c r="AS614">
        <f>IF(OR($X614="",$T614&gt;60),"",IFERROR(INDEX(IF($T614&lt;24,pcomp_m,palt_m),MATCH($X614,IF($T614&lt;24,pcomp_k,palt_k),1)),""))</f>
        <v/>
      </c>
      <c r="AT614">
        <f>IF(OR($X614="",$T614&gt;60),"",IFERROR(INDEX(IF($T614&lt;24,pcomp_s,palt_s),MATCH($X614,IF($T614&lt;24,pcomp_k,palt_k),1)),""))</f>
        <v/>
      </c>
      <c r="AU614">
        <f>IF($AR614="","",IF($AR614=0,LN($F614/$AS614)/$AT614,((($F614/$AS614)^$AR614)-1)/($AR614*$AT614)))</f>
        <v/>
      </c>
      <c r="AV614">
        <f>IF($AR614="","",IF($AR614=0,$AS614*EXP($AT614*2),$AS614*(1+$AR614*$AT614*2)^(1/$AR614)))</f>
        <v/>
      </c>
      <c r="AW614">
        <f>IF($AR614="","",IF($AR614=0,$AS614*EXP($AT614*3),$AS614*(1+$AR614*$AT614*3)^(1/$AR614)))</f>
        <v/>
      </c>
      <c r="AX614">
        <f>IF($AR614="","",IF($AR614=0,$AS614*EXP($AT614*-2),$AS614*(1+$AR614*$AT614*-2)^(1/$AR614)))</f>
        <v/>
      </c>
      <c r="AY614">
        <f>IF($AR614="","",IF($AR614=0,$AS614*EXP($AT614*-3),$AS614*(1+$AR614*$AT614*-3)^(1/$AR614)))</f>
        <v/>
      </c>
      <c r="AZ614">
        <f>IF(OR($A614="",$A614&lt;&gt;Ficha!$C$4),"",COUNTIF($A$2:$A614,Ficha!$C$4))</f>
        <v/>
      </c>
    </row>
    <row r="615">
      <c r="A615" s="8">
        <f>IF(INDEX(Banco!$A:$A,ROW())="","",INDEX(Banco!$A:$A,ROW()))</f>
        <v/>
      </c>
      <c r="B615" s="8">
        <f>IF(INDEX(Banco!$B:$B,ROW())="","",INDEX(Banco!$B:$B,ROW()))</f>
        <v/>
      </c>
      <c r="C615" s="8">
        <f>IF(INDEX(Banco!$C:$C,ROW())="","",INDEX(Banco!$C:$C,ROW()))</f>
        <v/>
      </c>
      <c r="D615" s="9">
        <f>IF(INDEX(Banco!$D:$D,ROW())="","",INDEX(Banco!$D:$D,ROW()))</f>
        <v/>
      </c>
      <c r="E615" s="9">
        <f>IF(INDEX(Banco!$E:$E,ROW())="","",INDEX(Banco!$E:$E,ROW()))</f>
        <v/>
      </c>
      <c r="F615" s="10">
        <f>IF(INDEX(Banco!$F:$F,ROW())="","",INDEX(Banco!$F:$F,ROW()))</f>
        <v/>
      </c>
      <c r="G615" s="10">
        <f>IF(INDEX(Banco!$G:$G,ROW())="","",INDEX(Banco!$G:$G,ROW()))</f>
        <v/>
      </c>
      <c r="H615" s="8">
        <f>IF(INDEX(Banco!$H:$H,ROW())="","",INDEX(Banco!$H:$H,ROW()))</f>
        <v/>
      </c>
      <c r="I615">
        <f>IF($T615="","",INT($T615/12)&amp;"a "&amp;MOD($T615,12)&amp;"m")</f>
        <v/>
      </c>
      <c r="J615" s="11">
        <f>IF(OR($F615="",$G615=""),"",ROUND($F615/($G615/100)^2,2))</f>
        <v/>
      </c>
      <c r="K615" s="12">
        <f>IF(OR($S615="",$J615="",$T615="",$T615&lt;0,$T615&gt;228,$Y615=""),"—",ROUND(IF(ABS($AB615)&lt;=3,$AB615,IF($AB615&gt;3,3+($J615-$AD615)/($AD615-$AC615),-3+($J615-$AF615)/($AE615-$AF615))),2))</f>
        <v/>
      </c>
      <c r="L615">
        <f>IF(OR($K615="",$K615="—"),"",IF($T615&lt;=60,IF($K615&lt;-3,"Magreza acentuada",IF($K615&lt;-2,"Magreza",IF($K615&lt;=1,"Eutrofia",IF($K615&lt;=2,"Risco de sobrepeso",IF($K615&lt;=3,"Sobrepeso","Obesidade"))))),IF($K615&lt;-3,"Magreza acentuada",IF($K615&lt;-2,"Magreza",IF($K615&lt;=1,"Eutrofia",IF($K615&lt;=2,"Sobrepeso",IF($K615&lt;=3,"Obesidade","Obesidade grave")))))))</f>
        <v/>
      </c>
      <c r="M615" s="12">
        <f>IF(OR($S615="",$V615="",$T615="",$T615&lt;0,$T615&gt;228,$AG615=""),"—",ROUND(IF($AG615=0,LN($V615/$AH615)/$AI615,((($V615/$AH615)^$AG615)-1)/($AG615*$AI615)),2))</f>
        <v/>
      </c>
      <c r="N615">
        <f>IF(OR($M615="",$M615="—"),"",IF($M615&lt;-3,"Muito baixa",IF($M615&lt;-2,"Baixa","Adequada")))</f>
        <v/>
      </c>
      <c r="O615" s="12">
        <f>IF(OR($S615="",$F615="",$T615="",$T615&lt;0,$T615&gt;120,$AJ615=""),"—",ROUND(IF(ABS($AM615)&lt;=3,$AM615,IF($AM615&gt;3,3+($F615-$AO615)/($AO615-$AN615),-3+($F615-$AQ615)/($AP615-$AQ615))),2))</f>
        <v/>
      </c>
      <c r="P615">
        <f>IF(OR($O615="",$O615="—"),"",IF($O615&lt;-3,"Muito baixo",IF($O615&lt;-2,"Baixo",IF($O615&lt;=2,"Adequado","Elevado"))))</f>
        <v/>
      </c>
      <c r="Q615" s="12">
        <f>IF(OR($S615="",$F615="",$T615="",$T615&lt;0,$T615&gt;60,$AR615=""),"—",ROUND(IF(ABS($AU615)&lt;=3,$AU615,IF($AU615&gt;3,3+($F615-$AW615)/($AW615-$AV615),-3+($F615-$AY615)/($AX615-$AY615))),2))</f>
        <v/>
      </c>
      <c r="R615">
        <f>IF(OR($Q615="",$Q615="—"),"",IF($Q615&lt;-3,"Magreza acentuada",IF($Q615&lt;-2,"Magreza",IF($Q615&lt;=1,"Eutrofia",IF($Q615&lt;=2,"Risco de sobrepeso",IF($Q615&lt;=3,"Sobrepeso","Obesidade"))))))</f>
        <v/>
      </c>
      <c r="S615">
        <f>IF($C615="","",IF(UPPER(LEFT($C615,1))="M",1,IF(UPPER(LEFT($C615,1))="F",2,"")))</f>
        <v/>
      </c>
      <c r="T615">
        <f>IF(OR($D615="",$E615=""),"",DATEDIF($D615,$E615,"m"))</f>
        <v/>
      </c>
      <c r="U615">
        <f>IF(OR($D615="",$E615=""),"",$E615-$D615)</f>
        <v/>
      </c>
      <c r="V615">
        <f>IF(OR($G615="",$T615=""),"",IF($T615&lt;24,IF(LEFT(LOWER($H615),4)="em p",$G615+0.7,$G615),IF(LEFT(LOWER($H615),4)="deit",$G615-0.7,$G615)))</f>
        <v/>
      </c>
      <c r="W615">
        <f>IF(OR($S615="",$T615=""),"",$S615*1000000+IF($T615&lt;=60,$U615,$T615))</f>
        <v/>
      </c>
      <c r="X615">
        <f>IF(OR($S615="",$V615="",$T615&gt;60,$T615=""),"",$S615*1000000+ROUND($V615*10,0))</f>
        <v/>
      </c>
      <c r="Y615">
        <f>IF($W615="","",IFERROR(INDEX(IF($T615&lt;=60,imc05_l,imc519_l),MATCH($W615,IF($T615&lt;=60,imc05_k,imc519_k),1)),""))</f>
        <v/>
      </c>
      <c r="Z615">
        <f>IF($W615="","",IFERROR(INDEX(IF($T615&lt;=60,imc05_m,imc519_m),MATCH($W615,IF($T615&lt;=60,imc05_k,imc519_k),1)),""))</f>
        <v/>
      </c>
      <c r="AA615">
        <f>IF($W615="","",IFERROR(INDEX(IF($T615&lt;=60,imc05_s,imc519_s),MATCH($W615,IF($T615&lt;=60,imc05_k,imc519_k),1)),""))</f>
        <v/>
      </c>
      <c r="AB615">
        <f>IF($Y615="","",IF($Y615=0,LN($J615/$Z615)/$AA615,((($J615/$Z615)^$Y615)-1)/($Y615*$AA615)))</f>
        <v/>
      </c>
      <c r="AC615">
        <f>IF($Y615="","",IF($Y615=0,$Z615*EXP($AA615*2),$Z615*(1+$Y615*$AA615*2)^(1/$Y615)))</f>
        <v/>
      </c>
      <c r="AD615">
        <f>IF($Y615="","",IF($Y615=0,$Z615*EXP($AA615*3),$Z615*(1+$Y615*$AA615*3)^(1/$Y615)))</f>
        <v/>
      </c>
      <c r="AE615">
        <f>IF($Y615="","",IF($Y615=0,$Z615*EXP($AA615*-2),$Z615*(1+$Y615*$AA615*-2)^(1/$Y615)))</f>
        <v/>
      </c>
      <c r="AF615">
        <f>IF($Y615="","",IF($Y615=0,$Z615*EXP($AA615*-3),$Z615*(1+$Y615*$AA615*-3)^(1/$Y615)))</f>
        <v/>
      </c>
      <c r="AG615">
        <f>IF($W615="","",IFERROR(INDEX(IF($T615&lt;=60,est05_l,est519_l),MATCH($W615,IF($T615&lt;=60,est05_k,est519_k),1)),""))</f>
        <v/>
      </c>
      <c r="AH615">
        <f>IF($W615="","",IFERROR(INDEX(IF($T615&lt;=60,est05_m,est519_m),MATCH($W615,IF($T615&lt;=60,est05_k,est519_k),1)),""))</f>
        <v/>
      </c>
      <c r="AI615">
        <f>IF($W615="","",IFERROR(INDEX(IF($T615&lt;=60,est05_s,est519_s),MATCH($W615,IF($T615&lt;=60,est05_k,est519_k),1)),""))</f>
        <v/>
      </c>
      <c r="AJ615">
        <f>IF($W615="","",IFERROR(INDEX(IF($T615&lt;=60,peso05_l,peso510_l),MATCH($W615,IF($T615&lt;=60,peso05_k,peso510_k),1)),""))</f>
        <v/>
      </c>
      <c r="AK615">
        <f>IF($W615="","",IFERROR(INDEX(IF($T615&lt;=60,peso05_m,peso510_m),MATCH($W615,IF($T615&lt;=60,peso05_k,peso510_k),1)),""))</f>
        <v/>
      </c>
      <c r="AL615">
        <f>IF($W615="","",IFERROR(INDEX(IF($T615&lt;=60,peso05_s,peso510_s),MATCH($W615,IF($T615&lt;=60,peso05_k,peso510_k),1)),""))</f>
        <v/>
      </c>
      <c r="AM615">
        <f>IF($AJ615="","",IF($AJ615=0,LN($F615/$AK615)/$AL615,((($F615/$AK615)^$AJ615)-1)/($AJ615*$AL615)))</f>
        <v/>
      </c>
      <c r="AN615">
        <f>IF($AJ615="","",IF($AJ615=0,$AK615*EXP($AL615*2),$AK615*(1+$AJ615*$AL615*2)^(1/$AJ615)))</f>
        <v/>
      </c>
      <c r="AO615">
        <f>IF($AJ615="","",IF($AJ615=0,$AK615*EXP($AL615*3),$AK615*(1+$AJ615*$AL615*3)^(1/$AJ615)))</f>
        <v/>
      </c>
      <c r="AP615">
        <f>IF($AJ615="","",IF($AJ615=0,$AK615*EXP($AL615*-2),$AK615*(1+$AJ615*$AL615*-2)^(1/$AJ615)))</f>
        <v/>
      </c>
      <c r="AQ615">
        <f>IF($AJ615="","",IF($AJ615=0,$AK615*EXP($AL615*-3),$AK615*(1+$AJ615*$AL615*-3)^(1/$AJ615)))</f>
        <v/>
      </c>
      <c r="AR615">
        <f>IF(OR($X615="",$T615&gt;60),"",IFERROR(INDEX(IF($T615&lt;24,pcomp_l,palt_l),MATCH($X615,IF($T615&lt;24,pcomp_k,palt_k),1)),""))</f>
        <v/>
      </c>
      <c r="AS615">
        <f>IF(OR($X615="",$T615&gt;60),"",IFERROR(INDEX(IF($T615&lt;24,pcomp_m,palt_m),MATCH($X615,IF($T615&lt;24,pcomp_k,palt_k),1)),""))</f>
        <v/>
      </c>
      <c r="AT615">
        <f>IF(OR($X615="",$T615&gt;60),"",IFERROR(INDEX(IF($T615&lt;24,pcomp_s,palt_s),MATCH($X615,IF($T615&lt;24,pcomp_k,palt_k),1)),""))</f>
        <v/>
      </c>
      <c r="AU615">
        <f>IF($AR615="","",IF($AR615=0,LN($F615/$AS615)/$AT615,((($F615/$AS615)^$AR615)-1)/($AR615*$AT615)))</f>
        <v/>
      </c>
      <c r="AV615">
        <f>IF($AR615="","",IF($AR615=0,$AS615*EXP($AT615*2),$AS615*(1+$AR615*$AT615*2)^(1/$AR615)))</f>
        <v/>
      </c>
      <c r="AW615">
        <f>IF($AR615="","",IF($AR615=0,$AS615*EXP($AT615*3),$AS615*(1+$AR615*$AT615*3)^(1/$AR615)))</f>
        <v/>
      </c>
      <c r="AX615">
        <f>IF($AR615="","",IF($AR615=0,$AS615*EXP($AT615*-2),$AS615*(1+$AR615*$AT615*-2)^(1/$AR615)))</f>
        <v/>
      </c>
      <c r="AY615">
        <f>IF($AR615="","",IF($AR615=0,$AS615*EXP($AT615*-3),$AS615*(1+$AR615*$AT615*-3)^(1/$AR615)))</f>
        <v/>
      </c>
      <c r="AZ615">
        <f>IF(OR($A615="",$A615&lt;&gt;Ficha!$C$4),"",COUNTIF($A$2:$A615,Ficha!$C$4))</f>
        <v/>
      </c>
    </row>
    <row r="616">
      <c r="A616" s="8">
        <f>IF(INDEX(Banco!$A:$A,ROW())="","",INDEX(Banco!$A:$A,ROW()))</f>
        <v/>
      </c>
      <c r="B616" s="8">
        <f>IF(INDEX(Banco!$B:$B,ROW())="","",INDEX(Banco!$B:$B,ROW()))</f>
        <v/>
      </c>
      <c r="C616" s="8">
        <f>IF(INDEX(Banco!$C:$C,ROW())="","",INDEX(Banco!$C:$C,ROW()))</f>
        <v/>
      </c>
      <c r="D616" s="9">
        <f>IF(INDEX(Banco!$D:$D,ROW())="","",INDEX(Banco!$D:$D,ROW()))</f>
        <v/>
      </c>
      <c r="E616" s="9">
        <f>IF(INDEX(Banco!$E:$E,ROW())="","",INDEX(Banco!$E:$E,ROW()))</f>
        <v/>
      </c>
      <c r="F616" s="10">
        <f>IF(INDEX(Banco!$F:$F,ROW())="","",INDEX(Banco!$F:$F,ROW()))</f>
        <v/>
      </c>
      <c r="G616" s="10">
        <f>IF(INDEX(Banco!$G:$G,ROW())="","",INDEX(Banco!$G:$G,ROW()))</f>
        <v/>
      </c>
      <c r="H616" s="8">
        <f>IF(INDEX(Banco!$H:$H,ROW())="","",INDEX(Banco!$H:$H,ROW()))</f>
        <v/>
      </c>
      <c r="I616">
        <f>IF($T616="","",INT($T616/12)&amp;"a "&amp;MOD($T616,12)&amp;"m")</f>
        <v/>
      </c>
      <c r="J616" s="11">
        <f>IF(OR($F616="",$G616=""),"",ROUND($F616/($G616/100)^2,2))</f>
        <v/>
      </c>
      <c r="K616" s="12">
        <f>IF(OR($S616="",$J616="",$T616="",$T616&lt;0,$T616&gt;228,$Y616=""),"—",ROUND(IF(ABS($AB616)&lt;=3,$AB616,IF($AB616&gt;3,3+($J616-$AD616)/($AD616-$AC616),-3+($J616-$AF616)/($AE616-$AF616))),2))</f>
        <v/>
      </c>
      <c r="L616">
        <f>IF(OR($K616="",$K616="—"),"",IF($T616&lt;=60,IF($K616&lt;-3,"Magreza acentuada",IF($K616&lt;-2,"Magreza",IF($K616&lt;=1,"Eutrofia",IF($K616&lt;=2,"Risco de sobrepeso",IF($K616&lt;=3,"Sobrepeso","Obesidade"))))),IF($K616&lt;-3,"Magreza acentuada",IF($K616&lt;-2,"Magreza",IF($K616&lt;=1,"Eutrofia",IF($K616&lt;=2,"Sobrepeso",IF($K616&lt;=3,"Obesidade","Obesidade grave")))))))</f>
        <v/>
      </c>
      <c r="M616" s="12">
        <f>IF(OR($S616="",$V616="",$T616="",$T616&lt;0,$T616&gt;228,$AG616=""),"—",ROUND(IF($AG616=0,LN($V616/$AH616)/$AI616,((($V616/$AH616)^$AG616)-1)/($AG616*$AI616)),2))</f>
        <v/>
      </c>
      <c r="N616">
        <f>IF(OR($M616="",$M616="—"),"",IF($M616&lt;-3,"Muito baixa",IF($M616&lt;-2,"Baixa","Adequada")))</f>
        <v/>
      </c>
      <c r="O616" s="12">
        <f>IF(OR($S616="",$F616="",$T616="",$T616&lt;0,$T616&gt;120,$AJ616=""),"—",ROUND(IF(ABS($AM616)&lt;=3,$AM616,IF($AM616&gt;3,3+($F616-$AO616)/($AO616-$AN616),-3+($F616-$AQ616)/($AP616-$AQ616))),2))</f>
        <v/>
      </c>
      <c r="P616">
        <f>IF(OR($O616="",$O616="—"),"",IF($O616&lt;-3,"Muito baixo",IF($O616&lt;-2,"Baixo",IF($O616&lt;=2,"Adequado","Elevado"))))</f>
        <v/>
      </c>
      <c r="Q616" s="12">
        <f>IF(OR($S616="",$F616="",$T616="",$T616&lt;0,$T616&gt;60,$AR616=""),"—",ROUND(IF(ABS($AU616)&lt;=3,$AU616,IF($AU616&gt;3,3+($F616-$AW616)/($AW616-$AV616),-3+($F616-$AY616)/($AX616-$AY616))),2))</f>
        <v/>
      </c>
      <c r="R616">
        <f>IF(OR($Q616="",$Q616="—"),"",IF($Q616&lt;-3,"Magreza acentuada",IF($Q616&lt;-2,"Magreza",IF($Q616&lt;=1,"Eutrofia",IF($Q616&lt;=2,"Risco de sobrepeso",IF($Q616&lt;=3,"Sobrepeso","Obesidade"))))))</f>
        <v/>
      </c>
      <c r="S616">
        <f>IF($C616="","",IF(UPPER(LEFT($C616,1))="M",1,IF(UPPER(LEFT($C616,1))="F",2,"")))</f>
        <v/>
      </c>
      <c r="T616">
        <f>IF(OR($D616="",$E616=""),"",DATEDIF($D616,$E616,"m"))</f>
        <v/>
      </c>
      <c r="U616">
        <f>IF(OR($D616="",$E616=""),"",$E616-$D616)</f>
        <v/>
      </c>
      <c r="V616">
        <f>IF(OR($G616="",$T616=""),"",IF($T616&lt;24,IF(LEFT(LOWER($H616),4)="em p",$G616+0.7,$G616),IF(LEFT(LOWER($H616),4)="deit",$G616-0.7,$G616)))</f>
        <v/>
      </c>
      <c r="W616">
        <f>IF(OR($S616="",$T616=""),"",$S616*1000000+IF($T616&lt;=60,$U616,$T616))</f>
        <v/>
      </c>
      <c r="X616">
        <f>IF(OR($S616="",$V616="",$T616&gt;60,$T616=""),"",$S616*1000000+ROUND($V616*10,0))</f>
        <v/>
      </c>
      <c r="Y616">
        <f>IF($W616="","",IFERROR(INDEX(IF($T616&lt;=60,imc05_l,imc519_l),MATCH($W616,IF($T616&lt;=60,imc05_k,imc519_k),1)),""))</f>
        <v/>
      </c>
      <c r="Z616">
        <f>IF($W616="","",IFERROR(INDEX(IF($T616&lt;=60,imc05_m,imc519_m),MATCH($W616,IF($T616&lt;=60,imc05_k,imc519_k),1)),""))</f>
        <v/>
      </c>
      <c r="AA616">
        <f>IF($W616="","",IFERROR(INDEX(IF($T616&lt;=60,imc05_s,imc519_s),MATCH($W616,IF($T616&lt;=60,imc05_k,imc519_k),1)),""))</f>
        <v/>
      </c>
      <c r="AB616">
        <f>IF($Y616="","",IF($Y616=0,LN($J616/$Z616)/$AA616,((($J616/$Z616)^$Y616)-1)/($Y616*$AA616)))</f>
        <v/>
      </c>
      <c r="AC616">
        <f>IF($Y616="","",IF($Y616=0,$Z616*EXP($AA616*2),$Z616*(1+$Y616*$AA616*2)^(1/$Y616)))</f>
        <v/>
      </c>
      <c r="AD616">
        <f>IF($Y616="","",IF($Y616=0,$Z616*EXP($AA616*3),$Z616*(1+$Y616*$AA616*3)^(1/$Y616)))</f>
        <v/>
      </c>
      <c r="AE616">
        <f>IF($Y616="","",IF($Y616=0,$Z616*EXP($AA616*-2),$Z616*(1+$Y616*$AA616*-2)^(1/$Y616)))</f>
        <v/>
      </c>
      <c r="AF616">
        <f>IF($Y616="","",IF($Y616=0,$Z616*EXP($AA616*-3),$Z616*(1+$Y616*$AA616*-3)^(1/$Y616)))</f>
        <v/>
      </c>
      <c r="AG616">
        <f>IF($W616="","",IFERROR(INDEX(IF($T616&lt;=60,est05_l,est519_l),MATCH($W616,IF($T616&lt;=60,est05_k,est519_k),1)),""))</f>
        <v/>
      </c>
      <c r="AH616">
        <f>IF($W616="","",IFERROR(INDEX(IF($T616&lt;=60,est05_m,est519_m),MATCH($W616,IF($T616&lt;=60,est05_k,est519_k),1)),""))</f>
        <v/>
      </c>
      <c r="AI616">
        <f>IF($W616="","",IFERROR(INDEX(IF($T616&lt;=60,est05_s,est519_s),MATCH($W616,IF($T616&lt;=60,est05_k,est519_k),1)),""))</f>
        <v/>
      </c>
      <c r="AJ616">
        <f>IF($W616="","",IFERROR(INDEX(IF($T616&lt;=60,peso05_l,peso510_l),MATCH($W616,IF($T616&lt;=60,peso05_k,peso510_k),1)),""))</f>
        <v/>
      </c>
      <c r="AK616">
        <f>IF($W616="","",IFERROR(INDEX(IF($T616&lt;=60,peso05_m,peso510_m),MATCH($W616,IF($T616&lt;=60,peso05_k,peso510_k),1)),""))</f>
        <v/>
      </c>
      <c r="AL616">
        <f>IF($W616="","",IFERROR(INDEX(IF($T616&lt;=60,peso05_s,peso510_s),MATCH($W616,IF($T616&lt;=60,peso05_k,peso510_k),1)),""))</f>
        <v/>
      </c>
      <c r="AM616">
        <f>IF($AJ616="","",IF($AJ616=0,LN($F616/$AK616)/$AL616,((($F616/$AK616)^$AJ616)-1)/($AJ616*$AL616)))</f>
        <v/>
      </c>
      <c r="AN616">
        <f>IF($AJ616="","",IF($AJ616=0,$AK616*EXP($AL616*2),$AK616*(1+$AJ616*$AL616*2)^(1/$AJ616)))</f>
        <v/>
      </c>
      <c r="AO616">
        <f>IF($AJ616="","",IF($AJ616=0,$AK616*EXP($AL616*3),$AK616*(1+$AJ616*$AL616*3)^(1/$AJ616)))</f>
        <v/>
      </c>
      <c r="AP616">
        <f>IF($AJ616="","",IF($AJ616=0,$AK616*EXP($AL616*-2),$AK616*(1+$AJ616*$AL616*-2)^(1/$AJ616)))</f>
        <v/>
      </c>
      <c r="AQ616">
        <f>IF($AJ616="","",IF($AJ616=0,$AK616*EXP($AL616*-3),$AK616*(1+$AJ616*$AL616*-3)^(1/$AJ616)))</f>
        <v/>
      </c>
      <c r="AR616">
        <f>IF(OR($X616="",$T616&gt;60),"",IFERROR(INDEX(IF($T616&lt;24,pcomp_l,palt_l),MATCH($X616,IF($T616&lt;24,pcomp_k,palt_k),1)),""))</f>
        <v/>
      </c>
      <c r="AS616">
        <f>IF(OR($X616="",$T616&gt;60),"",IFERROR(INDEX(IF($T616&lt;24,pcomp_m,palt_m),MATCH($X616,IF($T616&lt;24,pcomp_k,palt_k),1)),""))</f>
        <v/>
      </c>
      <c r="AT616">
        <f>IF(OR($X616="",$T616&gt;60),"",IFERROR(INDEX(IF($T616&lt;24,pcomp_s,palt_s),MATCH($X616,IF($T616&lt;24,pcomp_k,palt_k),1)),""))</f>
        <v/>
      </c>
      <c r="AU616">
        <f>IF($AR616="","",IF($AR616=0,LN($F616/$AS616)/$AT616,((($F616/$AS616)^$AR616)-1)/($AR616*$AT616)))</f>
        <v/>
      </c>
      <c r="AV616">
        <f>IF($AR616="","",IF($AR616=0,$AS616*EXP($AT616*2),$AS616*(1+$AR616*$AT616*2)^(1/$AR616)))</f>
        <v/>
      </c>
      <c r="AW616">
        <f>IF($AR616="","",IF($AR616=0,$AS616*EXP($AT616*3),$AS616*(1+$AR616*$AT616*3)^(1/$AR616)))</f>
        <v/>
      </c>
      <c r="AX616">
        <f>IF($AR616="","",IF($AR616=0,$AS616*EXP($AT616*-2),$AS616*(1+$AR616*$AT616*-2)^(1/$AR616)))</f>
        <v/>
      </c>
      <c r="AY616">
        <f>IF($AR616="","",IF($AR616=0,$AS616*EXP($AT616*-3),$AS616*(1+$AR616*$AT616*-3)^(1/$AR616)))</f>
        <v/>
      </c>
      <c r="AZ616">
        <f>IF(OR($A616="",$A616&lt;&gt;Ficha!$C$4),"",COUNTIF($A$2:$A616,Ficha!$C$4))</f>
        <v/>
      </c>
    </row>
    <row r="617">
      <c r="A617" s="8">
        <f>IF(INDEX(Banco!$A:$A,ROW())="","",INDEX(Banco!$A:$A,ROW()))</f>
        <v/>
      </c>
      <c r="B617" s="8">
        <f>IF(INDEX(Banco!$B:$B,ROW())="","",INDEX(Banco!$B:$B,ROW()))</f>
        <v/>
      </c>
      <c r="C617" s="8">
        <f>IF(INDEX(Banco!$C:$C,ROW())="","",INDEX(Banco!$C:$C,ROW()))</f>
        <v/>
      </c>
      <c r="D617" s="9">
        <f>IF(INDEX(Banco!$D:$D,ROW())="","",INDEX(Banco!$D:$D,ROW()))</f>
        <v/>
      </c>
      <c r="E617" s="9">
        <f>IF(INDEX(Banco!$E:$E,ROW())="","",INDEX(Banco!$E:$E,ROW()))</f>
        <v/>
      </c>
      <c r="F617" s="10">
        <f>IF(INDEX(Banco!$F:$F,ROW())="","",INDEX(Banco!$F:$F,ROW()))</f>
        <v/>
      </c>
      <c r="G617" s="10">
        <f>IF(INDEX(Banco!$G:$G,ROW())="","",INDEX(Banco!$G:$G,ROW()))</f>
        <v/>
      </c>
      <c r="H617" s="8">
        <f>IF(INDEX(Banco!$H:$H,ROW())="","",INDEX(Banco!$H:$H,ROW()))</f>
        <v/>
      </c>
      <c r="I617">
        <f>IF($T617="","",INT($T617/12)&amp;"a "&amp;MOD($T617,12)&amp;"m")</f>
        <v/>
      </c>
      <c r="J617" s="11">
        <f>IF(OR($F617="",$G617=""),"",ROUND($F617/($G617/100)^2,2))</f>
        <v/>
      </c>
      <c r="K617" s="12">
        <f>IF(OR($S617="",$J617="",$T617="",$T617&lt;0,$T617&gt;228,$Y617=""),"—",ROUND(IF(ABS($AB617)&lt;=3,$AB617,IF($AB617&gt;3,3+($J617-$AD617)/($AD617-$AC617),-3+($J617-$AF617)/($AE617-$AF617))),2))</f>
        <v/>
      </c>
      <c r="L617">
        <f>IF(OR($K617="",$K617="—"),"",IF($T617&lt;=60,IF($K617&lt;-3,"Magreza acentuada",IF($K617&lt;-2,"Magreza",IF($K617&lt;=1,"Eutrofia",IF($K617&lt;=2,"Risco de sobrepeso",IF($K617&lt;=3,"Sobrepeso","Obesidade"))))),IF($K617&lt;-3,"Magreza acentuada",IF($K617&lt;-2,"Magreza",IF($K617&lt;=1,"Eutrofia",IF($K617&lt;=2,"Sobrepeso",IF($K617&lt;=3,"Obesidade","Obesidade grave")))))))</f>
        <v/>
      </c>
      <c r="M617" s="12">
        <f>IF(OR($S617="",$V617="",$T617="",$T617&lt;0,$T617&gt;228,$AG617=""),"—",ROUND(IF($AG617=0,LN($V617/$AH617)/$AI617,((($V617/$AH617)^$AG617)-1)/($AG617*$AI617)),2))</f>
        <v/>
      </c>
      <c r="N617">
        <f>IF(OR($M617="",$M617="—"),"",IF($M617&lt;-3,"Muito baixa",IF($M617&lt;-2,"Baixa","Adequada")))</f>
        <v/>
      </c>
      <c r="O617" s="12">
        <f>IF(OR($S617="",$F617="",$T617="",$T617&lt;0,$T617&gt;120,$AJ617=""),"—",ROUND(IF(ABS($AM617)&lt;=3,$AM617,IF($AM617&gt;3,3+($F617-$AO617)/($AO617-$AN617),-3+($F617-$AQ617)/($AP617-$AQ617))),2))</f>
        <v/>
      </c>
      <c r="P617">
        <f>IF(OR($O617="",$O617="—"),"",IF($O617&lt;-3,"Muito baixo",IF($O617&lt;-2,"Baixo",IF($O617&lt;=2,"Adequado","Elevado"))))</f>
        <v/>
      </c>
      <c r="Q617" s="12">
        <f>IF(OR($S617="",$F617="",$T617="",$T617&lt;0,$T617&gt;60,$AR617=""),"—",ROUND(IF(ABS($AU617)&lt;=3,$AU617,IF($AU617&gt;3,3+($F617-$AW617)/($AW617-$AV617),-3+($F617-$AY617)/($AX617-$AY617))),2))</f>
        <v/>
      </c>
      <c r="R617">
        <f>IF(OR($Q617="",$Q617="—"),"",IF($Q617&lt;-3,"Magreza acentuada",IF($Q617&lt;-2,"Magreza",IF($Q617&lt;=1,"Eutrofia",IF($Q617&lt;=2,"Risco de sobrepeso",IF($Q617&lt;=3,"Sobrepeso","Obesidade"))))))</f>
        <v/>
      </c>
      <c r="S617">
        <f>IF($C617="","",IF(UPPER(LEFT($C617,1))="M",1,IF(UPPER(LEFT($C617,1))="F",2,"")))</f>
        <v/>
      </c>
      <c r="T617">
        <f>IF(OR($D617="",$E617=""),"",DATEDIF($D617,$E617,"m"))</f>
        <v/>
      </c>
      <c r="U617">
        <f>IF(OR($D617="",$E617=""),"",$E617-$D617)</f>
        <v/>
      </c>
      <c r="V617">
        <f>IF(OR($G617="",$T617=""),"",IF($T617&lt;24,IF(LEFT(LOWER($H617),4)="em p",$G617+0.7,$G617),IF(LEFT(LOWER($H617),4)="deit",$G617-0.7,$G617)))</f>
        <v/>
      </c>
      <c r="W617">
        <f>IF(OR($S617="",$T617=""),"",$S617*1000000+IF($T617&lt;=60,$U617,$T617))</f>
        <v/>
      </c>
      <c r="X617">
        <f>IF(OR($S617="",$V617="",$T617&gt;60,$T617=""),"",$S617*1000000+ROUND($V617*10,0))</f>
        <v/>
      </c>
      <c r="Y617">
        <f>IF($W617="","",IFERROR(INDEX(IF($T617&lt;=60,imc05_l,imc519_l),MATCH($W617,IF($T617&lt;=60,imc05_k,imc519_k),1)),""))</f>
        <v/>
      </c>
      <c r="Z617">
        <f>IF($W617="","",IFERROR(INDEX(IF($T617&lt;=60,imc05_m,imc519_m),MATCH($W617,IF($T617&lt;=60,imc05_k,imc519_k),1)),""))</f>
        <v/>
      </c>
      <c r="AA617">
        <f>IF($W617="","",IFERROR(INDEX(IF($T617&lt;=60,imc05_s,imc519_s),MATCH($W617,IF($T617&lt;=60,imc05_k,imc519_k),1)),""))</f>
        <v/>
      </c>
      <c r="AB617">
        <f>IF($Y617="","",IF($Y617=0,LN($J617/$Z617)/$AA617,((($J617/$Z617)^$Y617)-1)/($Y617*$AA617)))</f>
        <v/>
      </c>
      <c r="AC617">
        <f>IF($Y617="","",IF($Y617=0,$Z617*EXP($AA617*2),$Z617*(1+$Y617*$AA617*2)^(1/$Y617)))</f>
        <v/>
      </c>
      <c r="AD617">
        <f>IF($Y617="","",IF($Y617=0,$Z617*EXP($AA617*3),$Z617*(1+$Y617*$AA617*3)^(1/$Y617)))</f>
        <v/>
      </c>
      <c r="AE617">
        <f>IF($Y617="","",IF($Y617=0,$Z617*EXP($AA617*-2),$Z617*(1+$Y617*$AA617*-2)^(1/$Y617)))</f>
        <v/>
      </c>
      <c r="AF617">
        <f>IF($Y617="","",IF($Y617=0,$Z617*EXP($AA617*-3),$Z617*(1+$Y617*$AA617*-3)^(1/$Y617)))</f>
        <v/>
      </c>
      <c r="AG617">
        <f>IF($W617="","",IFERROR(INDEX(IF($T617&lt;=60,est05_l,est519_l),MATCH($W617,IF($T617&lt;=60,est05_k,est519_k),1)),""))</f>
        <v/>
      </c>
      <c r="AH617">
        <f>IF($W617="","",IFERROR(INDEX(IF($T617&lt;=60,est05_m,est519_m),MATCH($W617,IF($T617&lt;=60,est05_k,est519_k),1)),""))</f>
        <v/>
      </c>
      <c r="AI617">
        <f>IF($W617="","",IFERROR(INDEX(IF($T617&lt;=60,est05_s,est519_s),MATCH($W617,IF($T617&lt;=60,est05_k,est519_k),1)),""))</f>
        <v/>
      </c>
      <c r="AJ617">
        <f>IF($W617="","",IFERROR(INDEX(IF($T617&lt;=60,peso05_l,peso510_l),MATCH($W617,IF($T617&lt;=60,peso05_k,peso510_k),1)),""))</f>
        <v/>
      </c>
      <c r="AK617">
        <f>IF($W617="","",IFERROR(INDEX(IF($T617&lt;=60,peso05_m,peso510_m),MATCH($W617,IF($T617&lt;=60,peso05_k,peso510_k),1)),""))</f>
        <v/>
      </c>
      <c r="AL617">
        <f>IF($W617="","",IFERROR(INDEX(IF($T617&lt;=60,peso05_s,peso510_s),MATCH($W617,IF($T617&lt;=60,peso05_k,peso510_k),1)),""))</f>
        <v/>
      </c>
      <c r="AM617">
        <f>IF($AJ617="","",IF($AJ617=0,LN($F617/$AK617)/$AL617,((($F617/$AK617)^$AJ617)-1)/($AJ617*$AL617)))</f>
        <v/>
      </c>
      <c r="AN617">
        <f>IF($AJ617="","",IF($AJ617=0,$AK617*EXP($AL617*2),$AK617*(1+$AJ617*$AL617*2)^(1/$AJ617)))</f>
        <v/>
      </c>
      <c r="AO617">
        <f>IF($AJ617="","",IF($AJ617=0,$AK617*EXP($AL617*3),$AK617*(1+$AJ617*$AL617*3)^(1/$AJ617)))</f>
        <v/>
      </c>
      <c r="AP617">
        <f>IF($AJ617="","",IF($AJ617=0,$AK617*EXP($AL617*-2),$AK617*(1+$AJ617*$AL617*-2)^(1/$AJ617)))</f>
        <v/>
      </c>
      <c r="AQ617">
        <f>IF($AJ617="","",IF($AJ617=0,$AK617*EXP($AL617*-3),$AK617*(1+$AJ617*$AL617*-3)^(1/$AJ617)))</f>
        <v/>
      </c>
      <c r="AR617">
        <f>IF(OR($X617="",$T617&gt;60),"",IFERROR(INDEX(IF($T617&lt;24,pcomp_l,palt_l),MATCH($X617,IF($T617&lt;24,pcomp_k,palt_k),1)),""))</f>
        <v/>
      </c>
      <c r="AS617">
        <f>IF(OR($X617="",$T617&gt;60),"",IFERROR(INDEX(IF($T617&lt;24,pcomp_m,palt_m),MATCH($X617,IF($T617&lt;24,pcomp_k,palt_k),1)),""))</f>
        <v/>
      </c>
      <c r="AT617">
        <f>IF(OR($X617="",$T617&gt;60),"",IFERROR(INDEX(IF($T617&lt;24,pcomp_s,palt_s),MATCH($X617,IF($T617&lt;24,pcomp_k,palt_k),1)),""))</f>
        <v/>
      </c>
      <c r="AU617">
        <f>IF($AR617="","",IF($AR617=0,LN($F617/$AS617)/$AT617,((($F617/$AS617)^$AR617)-1)/($AR617*$AT617)))</f>
        <v/>
      </c>
      <c r="AV617">
        <f>IF($AR617="","",IF($AR617=0,$AS617*EXP($AT617*2),$AS617*(1+$AR617*$AT617*2)^(1/$AR617)))</f>
        <v/>
      </c>
      <c r="AW617">
        <f>IF($AR617="","",IF($AR617=0,$AS617*EXP($AT617*3),$AS617*(1+$AR617*$AT617*3)^(1/$AR617)))</f>
        <v/>
      </c>
      <c r="AX617">
        <f>IF($AR617="","",IF($AR617=0,$AS617*EXP($AT617*-2),$AS617*(1+$AR617*$AT617*-2)^(1/$AR617)))</f>
        <v/>
      </c>
      <c r="AY617">
        <f>IF($AR617="","",IF($AR617=0,$AS617*EXP($AT617*-3),$AS617*(1+$AR617*$AT617*-3)^(1/$AR617)))</f>
        <v/>
      </c>
      <c r="AZ617">
        <f>IF(OR($A617="",$A617&lt;&gt;Ficha!$C$4),"",COUNTIF($A$2:$A617,Ficha!$C$4))</f>
        <v/>
      </c>
    </row>
    <row r="618">
      <c r="A618" s="8">
        <f>IF(INDEX(Banco!$A:$A,ROW())="","",INDEX(Banco!$A:$A,ROW()))</f>
        <v/>
      </c>
      <c r="B618" s="8">
        <f>IF(INDEX(Banco!$B:$B,ROW())="","",INDEX(Banco!$B:$B,ROW()))</f>
        <v/>
      </c>
      <c r="C618" s="8">
        <f>IF(INDEX(Banco!$C:$C,ROW())="","",INDEX(Banco!$C:$C,ROW()))</f>
        <v/>
      </c>
      <c r="D618" s="9">
        <f>IF(INDEX(Banco!$D:$D,ROW())="","",INDEX(Banco!$D:$D,ROW()))</f>
        <v/>
      </c>
      <c r="E618" s="9">
        <f>IF(INDEX(Banco!$E:$E,ROW())="","",INDEX(Banco!$E:$E,ROW()))</f>
        <v/>
      </c>
      <c r="F618" s="10">
        <f>IF(INDEX(Banco!$F:$F,ROW())="","",INDEX(Banco!$F:$F,ROW()))</f>
        <v/>
      </c>
      <c r="G618" s="10">
        <f>IF(INDEX(Banco!$G:$G,ROW())="","",INDEX(Banco!$G:$G,ROW()))</f>
        <v/>
      </c>
      <c r="H618" s="8">
        <f>IF(INDEX(Banco!$H:$H,ROW())="","",INDEX(Banco!$H:$H,ROW()))</f>
        <v/>
      </c>
      <c r="I618">
        <f>IF($T618="","",INT($T618/12)&amp;"a "&amp;MOD($T618,12)&amp;"m")</f>
        <v/>
      </c>
      <c r="J618" s="11">
        <f>IF(OR($F618="",$G618=""),"",ROUND($F618/($G618/100)^2,2))</f>
        <v/>
      </c>
      <c r="K618" s="12">
        <f>IF(OR($S618="",$J618="",$T618="",$T618&lt;0,$T618&gt;228,$Y618=""),"—",ROUND(IF(ABS($AB618)&lt;=3,$AB618,IF($AB618&gt;3,3+($J618-$AD618)/($AD618-$AC618),-3+($J618-$AF618)/($AE618-$AF618))),2))</f>
        <v/>
      </c>
      <c r="L618">
        <f>IF(OR($K618="",$K618="—"),"",IF($T618&lt;=60,IF($K618&lt;-3,"Magreza acentuada",IF($K618&lt;-2,"Magreza",IF($K618&lt;=1,"Eutrofia",IF($K618&lt;=2,"Risco de sobrepeso",IF($K618&lt;=3,"Sobrepeso","Obesidade"))))),IF($K618&lt;-3,"Magreza acentuada",IF($K618&lt;-2,"Magreza",IF($K618&lt;=1,"Eutrofia",IF($K618&lt;=2,"Sobrepeso",IF($K618&lt;=3,"Obesidade","Obesidade grave")))))))</f>
        <v/>
      </c>
      <c r="M618" s="12">
        <f>IF(OR($S618="",$V618="",$T618="",$T618&lt;0,$T618&gt;228,$AG618=""),"—",ROUND(IF($AG618=0,LN($V618/$AH618)/$AI618,((($V618/$AH618)^$AG618)-1)/($AG618*$AI618)),2))</f>
        <v/>
      </c>
      <c r="N618">
        <f>IF(OR($M618="",$M618="—"),"",IF($M618&lt;-3,"Muito baixa",IF($M618&lt;-2,"Baixa","Adequada")))</f>
        <v/>
      </c>
      <c r="O618" s="12">
        <f>IF(OR($S618="",$F618="",$T618="",$T618&lt;0,$T618&gt;120,$AJ618=""),"—",ROUND(IF(ABS($AM618)&lt;=3,$AM618,IF($AM618&gt;3,3+($F618-$AO618)/($AO618-$AN618),-3+($F618-$AQ618)/($AP618-$AQ618))),2))</f>
        <v/>
      </c>
      <c r="P618">
        <f>IF(OR($O618="",$O618="—"),"",IF($O618&lt;-3,"Muito baixo",IF($O618&lt;-2,"Baixo",IF($O618&lt;=2,"Adequado","Elevado"))))</f>
        <v/>
      </c>
      <c r="Q618" s="12">
        <f>IF(OR($S618="",$F618="",$T618="",$T618&lt;0,$T618&gt;60,$AR618=""),"—",ROUND(IF(ABS($AU618)&lt;=3,$AU618,IF($AU618&gt;3,3+($F618-$AW618)/($AW618-$AV618),-3+($F618-$AY618)/($AX618-$AY618))),2))</f>
        <v/>
      </c>
      <c r="R618">
        <f>IF(OR($Q618="",$Q618="—"),"",IF($Q618&lt;-3,"Magreza acentuada",IF($Q618&lt;-2,"Magreza",IF($Q618&lt;=1,"Eutrofia",IF($Q618&lt;=2,"Risco de sobrepeso",IF($Q618&lt;=3,"Sobrepeso","Obesidade"))))))</f>
        <v/>
      </c>
      <c r="S618">
        <f>IF($C618="","",IF(UPPER(LEFT($C618,1))="M",1,IF(UPPER(LEFT($C618,1))="F",2,"")))</f>
        <v/>
      </c>
      <c r="T618">
        <f>IF(OR($D618="",$E618=""),"",DATEDIF($D618,$E618,"m"))</f>
        <v/>
      </c>
      <c r="U618">
        <f>IF(OR($D618="",$E618=""),"",$E618-$D618)</f>
        <v/>
      </c>
      <c r="V618">
        <f>IF(OR($G618="",$T618=""),"",IF($T618&lt;24,IF(LEFT(LOWER($H618),4)="em p",$G618+0.7,$G618),IF(LEFT(LOWER($H618),4)="deit",$G618-0.7,$G618)))</f>
        <v/>
      </c>
      <c r="W618">
        <f>IF(OR($S618="",$T618=""),"",$S618*1000000+IF($T618&lt;=60,$U618,$T618))</f>
        <v/>
      </c>
      <c r="X618">
        <f>IF(OR($S618="",$V618="",$T618&gt;60,$T618=""),"",$S618*1000000+ROUND($V618*10,0))</f>
        <v/>
      </c>
      <c r="Y618">
        <f>IF($W618="","",IFERROR(INDEX(IF($T618&lt;=60,imc05_l,imc519_l),MATCH($W618,IF($T618&lt;=60,imc05_k,imc519_k),1)),""))</f>
        <v/>
      </c>
      <c r="Z618">
        <f>IF($W618="","",IFERROR(INDEX(IF($T618&lt;=60,imc05_m,imc519_m),MATCH($W618,IF($T618&lt;=60,imc05_k,imc519_k),1)),""))</f>
        <v/>
      </c>
      <c r="AA618">
        <f>IF($W618="","",IFERROR(INDEX(IF($T618&lt;=60,imc05_s,imc519_s),MATCH($W618,IF($T618&lt;=60,imc05_k,imc519_k),1)),""))</f>
        <v/>
      </c>
      <c r="AB618">
        <f>IF($Y618="","",IF($Y618=0,LN($J618/$Z618)/$AA618,((($J618/$Z618)^$Y618)-1)/($Y618*$AA618)))</f>
        <v/>
      </c>
      <c r="AC618">
        <f>IF($Y618="","",IF($Y618=0,$Z618*EXP($AA618*2),$Z618*(1+$Y618*$AA618*2)^(1/$Y618)))</f>
        <v/>
      </c>
      <c r="AD618">
        <f>IF($Y618="","",IF($Y618=0,$Z618*EXP($AA618*3),$Z618*(1+$Y618*$AA618*3)^(1/$Y618)))</f>
        <v/>
      </c>
      <c r="AE618">
        <f>IF($Y618="","",IF($Y618=0,$Z618*EXP($AA618*-2),$Z618*(1+$Y618*$AA618*-2)^(1/$Y618)))</f>
        <v/>
      </c>
      <c r="AF618">
        <f>IF($Y618="","",IF($Y618=0,$Z618*EXP($AA618*-3),$Z618*(1+$Y618*$AA618*-3)^(1/$Y618)))</f>
        <v/>
      </c>
      <c r="AG618">
        <f>IF($W618="","",IFERROR(INDEX(IF($T618&lt;=60,est05_l,est519_l),MATCH($W618,IF($T618&lt;=60,est05_k,est519_k),1)),""))</f>
        <v/>
      </c>
      <c r="AH618">
        <f>IF($W618="","",IFERROR(INDEX(IF($T618&lt;=60,est05_m,est519_m),MATCH($W618,IF($T618&lt;=60,est05_k,est519_k),1)),""))</f>
        <v/>
      </c>
      <c r="AI618">
        <f>IF($W618="","",IFERROR(INDEX(IF($T618&lt;=60,est05_s,est519_s),MATCH($W618,IF($T618&lt;=60,est05_k,est519_k),1)),""))</f>
        <v/>
      </c>
      <c r="AJ618">
        <f>IF($W618="","",IFERROR(INDEX(IF($T618&lt;=60,peso05_l,peso510_l),MATCH($W618,IF($T618&lt;=60,peso05_k,peso510_k),1)),""))</f>
        <v/>
      </c>
      <c r="AK618">
        <f>IF($W618="","",IFERROR(INDEX(IF($T618&lt;=60,peso05_m,peso510_m),MATCH($W618,IF($T618&lt;=60,peso05_k,peso510_k),1)),""))</f>
        <v/>
      </c>
      <c r="AL618">
        <f>IF($W618="","",IFERROR(INDEX(IF($T618&lt;=60,peso05_s,peso510_s),MATCH($W618,IF($T618&lt;=60,peso05_k,peso510_k),1)),""))</f>
        <v/>
      </c>
      <c r="AM618">
        <f>IF($AJ618="","",IF($AJ618=0,LN($F618/$AK618)/$AL618,((($F618/$AK618)^$AJ618)-1)/($AJ618*$AL618)))</f>
        <v/>
      </c>
      <c r="AN618">
        <f>IF($AJ618="","",IF($AJ618=0,$AK618*EXP($AL618*2),$AK618*(1+$AJ618*$AL618*2)^(1/$AJ618)))</f>
        <v/>
      </c>
      <c r="AO618">
        <f>IF($AJ618="","",IF($AJ618=0,$AK618*EXP($AL618*3),$AK618*(1+$AJ618*$AL618*3)^(1/$AJ618)))</f>
        <v/>
      </c>
      <c r="AP618">
        <f>IF($AJ618="","",IF($AJ618=0,$AK618*EXP($AL618*-2),$AK618*(1+$AJ618*$AL618*-2)^(1/$AJ618)))</f>
        <v/>
      </c>
      <c r="AQ618">
        <f>IF($AJ618="","",IF($AJ618=0,$AK618*EXP($AL618*-3),$AK618*(1+$AJ618*$AL618*-3)^(1/$AJ618)))</f>
        <v/>
      </c>
      <c r="AR618">
        <f>IF(OR($X618="",$T618&gt;60),"",IFERROR(INDEX(IF($T618&lt;24,pcomp_l,palt_l),MATCH($X618,IF($T618&lt;24,pcomp_k,palt_k),1)),""))</f>
        <v/>
      </c>
      <c r="AS618">
        <f>IF(OR($X618="",$T618&gt;60),"",IFERROR(INDEX(IF($T618&lt;24,pcomp_m,palt_m),MATCH($X618,IF($T618&lt;24,pcomp_k,palt_k),1)),""))</f>
        <v/>
      </c>
      <c r="AT618">
        <f>IF(OR($X618="",$T618&gt;60),"",IFERROR(INDEX(IF($T618&lt;24,pcomp_s,palt_s),MATCH($X618,IF($T618&lt;24,pcomp_k,palt_k),1)),""))</f>
        <v/>
      </c>
      <c r="AU618">
        <f>IF($AR618="","",IF($AR618=0,LN($F618/$AS618)/$AT618,((($F618/$AS618)^$AR618)-1)/($AR618*$AT618)))</f>
        <v/>
      </c>
      <c r="AV618">
        <f>IF($AR618="","",IF($AR618=0,$AS618*EXP($AT618*2),$AS618*(1+$AR618*$AT618*2)^(1/$AR618)))</f>
        <v/>
      </c>
      <c r="AW618">
        <f>IF($AR618="","",IF($AR618=0,$AS618*EXP($AT618*3),$AS618*(1+$AR618*$AT618*3)^(1/$AR618)))</f>
        <v/>
      </c>
      <c r="AX618">
        <f>IF($AR618="","",IF($AR618=0,$AS618*EXP($AT618*-2),$AS618*(1+$AR618*$AT618*-2)^(1/$AR618)))</f>
        <v/>
      </c>
      <c r="AY618">
        <f>IF($AR618="","",IF($AR618=0,$AS618*EXP($AT618*-3),$AS618*(1+$AR618*$AT618*-3)^(1/$AR618)))</f>
        <v/>
      </c>
      <c r="AZ618">
        <f>IF(OR($A618="",$A618&lt;&gt;Ficha!$C$4),"",COUNTIF($A$2:$A618,Ficha!$C$4))</f>
        <v/>
      </c>
    </row>
    <row r="619">
      <c r="A619" s="8">
        <f>IF(INDEX(Banco!$A:$A,ROW())="","",INDEX(Banco!$A:$A,ROW()))</f>
        <v/>
      </c>
      <c r="B619" s="8">
        <f>IF(INDEX(Banco!$B:$B,ROW())="","",INDEX(Banco!$B:$B,ROW()))</f>
        <v/>
      </c>
      <c r="C619" s="8">
        <f>IF(INDEX(Banco!$C:$C,ROW())="","",INDEX(Banco!$C:$C,ROW()))</f>
        <v/>
      </c>
      <c r="D619" s="9">
        <f>IF(INDEX(Banco!$D:$D,ROW())="","",INDEX(Banco!$D:$D,ROW()))</f>
        <v/>
      </c>
      <c r="E619" s="9">
        <f>IF(INDEX(Banco!$E:$E,ROW())="","",INDEX(Banco!$E:$E,ROW()))</f>
        <v/>
      </c>
      <c r="F619" s="10">
        <f>IF(INDEX(Banco!$F:$F,ROW())="","",INDEX(Banco!$F:$F,ROW()))</f>
        <v/>
      </c>
      <c r="G619" s="10">
        <f>IF(INDEX(Banco!$G:$G,ROW())="","",INDEX(Banco!$G:$G,ROW()))</f>
        <v/>
      </c>
      <c r="H619" s="8">
        <f>IF(INDEX(Banco!$H:$H,ROW())="","",INDEX(Banco!$H:$H,ROW()))</f>
        <v/>
      </c>
      <c r="I619">
        <f>IF($T619="","",INT($T619/12)&amp;"a "&amp;MOD($T619,12)&amp;"m")</f>
        <v/>
      </c>
      <c r="J619" s="11">
        <f>IF(OR($F619="",$G619=""),"",ROUND($F619/($G619/100)^2,2))</f>
        <v/>
      </c>
      <c r="K619" s="12">
        <f>IF(OR($S619="",$J619="",$T619="",$T619&lt;0,$T619&gt;228,$Y619=""),"—",ROUND(IF(ABS($AB619)&lt;=3,$AB619,IF($AB619&gt;3,3+($J619-$AD619)/($AD619-$AC619),-3+($J619-$AF619)/($AE619-$AF619))),2))</f>
        <v/>
      </c>
      <c r="L619">
        <f>IF(OR($K619="",$K619="—"),"",IF($T619&lt;=60,IF($K619&lt;-3,"Magreza acentuada",IF($K619&lt;-2,"Magreza",IF($K619&lt;=1,"Eutrofia",IF($K619&lt;=2,"Risco de sobrepeso",IF($K619&lt;=3,"Sobrepeso","Obesidade"))))),IF($K619&lt;-3,"Magreza acentuada",IF($K619&lt;-2,"Magreza",IF($K619&lt;=1,"Eutrofia",IF($K619&lt;=2,"Sobrepeso",IF($K619&lt;=3,"Obesidade","Obesidade grave")))))))</f>
        <v/>
      </c>
      <c r="M619" s="12">
        <f>IF(OR($S619="",$V619="",$T619="",$T619&lt;0,$T619&gt;228,$AG619=""),"—",ROUND(IF($AG619=0,LN($V619/$AH619)/$AI619,((($V619/$AH619)^$AG619)-1)/($AG619*$AI619)),2))</f>
        <v/>
      </c>
      <c r="N619">
        <f>IF(OR($M619="",$M619="—"),"",IF($M619&lt;-3,"Muito baixa",IF($M619&lt;-2,"Baixa","Adequada")))</f>
        <v/>
      </c>
      <c r="O619" s="12">
        <f>IF(OR($S619="",$F619="",$T619="",$T619&lt;0,$T619&gt;120,$AJ619=""),"—",ROUND(IF(ABS($AM619)&lt;=3,$AM619,IF($AM619&gt;3,3+($F619-$AO619)/($AO619-$AN619),-3+($F619-$AQ619)/($AP619-$AQ619))),2))</f>
        <v/>
      </c>
      <c r="P619">
        <f>IF(OR($O619="",$O619="—"),"",IF($O619&lt;-3,"Muito baixo",IF($O619&lt;-2,"Baixo",IF($O619&lt;=2,"Adequado","Elevado"))))</f>
        <v/>
      </c>
      <c r="Q619" s="12">
        <f>IF(OR($S619="",$F619="",$T619="",$T619&lt;0,$T619&gt;60,$AR619=""),"—",ROUND(IF(ABS($AU619)&lt;=3,$AU619,IF($AU619&gt;3,3+($F619-$AW619)/($AW619-$AV619),-3+($F619-$AY619)/($AX619-$AY619))),2))</f>
        <v/>
      </c>
      <c r="R619">
        <f>IF(OR($Q619="",$Q619="—"),"",IF($Q619&lt;-3,"Magreza acentuada",IF($Q619&lt;-2,"Magreza",IF($Q619&lt;=1,"Eutrofia",IF($Q619&lt;=2,"Risco de sobrepeso",IF($Q619&lt;=3,"Sobrepeso","Obesidade"))))))</f>
        <v/>
      </c>
      <c r="S619">
        <f>IF($C619="","",IF(UPPER(LEFT($C619,1))="M",1,IF(UPPER(LEFT($C619,1))="F",2,"")))</f>
        <v/>
      </c>
      <c r="T619">
        <f>IF(OR($D619="",$E619=""),"",DATEDIF($D619,$E619,"m"))</f>
        <v/>
      </c>
      <c r="U619">
        <f>IF(OR($D619="",$E619=""),"",$E619-$D619)</f>
        <v/>
      </c>
      <c r="V619">
        <f>IF(OR($G619="",$T619=""),"",IF($T619&lt;24,IF(LEFT(LOWER($H619),4)="em p",$G619+0.7,$G619),IF(LEFT(LOWER($H619),4)="deit",$G619-0.7,$G619)))</f>
        <v/>
      </c>
      <c r="W619">
        <f>IF(OR($S619="",$T619=""),"",$S619*1000000+IF($T619&lt;=60,$U619,$T619))</f>
        <v/>
      </c>
      <c r="X619">
        <f>IF(OR($S619="",$V619="",$T619&gt;60,$T619=""),"",$S619*1000000+ROUND($V619*10,0))</f>
        <v/>
      </c>
      <c r="Y619">
        <f>IF($W619="","",IFERROR(INDEX(IF($T619&lt;=60,imc05_l,imc519_l),MATCH($W619,IF($T619&lt;=60,imc05_k,imc519_k),1)),""))</f>
        <v/>
      </c>
      <c r="Z619">
        <f>IF($W619="","",IFERROR(INDEX(IF($T619&lt;=60,imc05_m,imc519_m),MATCH($W619,IF($T619&lt;=60,imc05_k,imc519_k),1)),""))</f>
        <v/>
      </c>
      <c r="AA619">
        <f>IF($W619="","",IFERROR(INDEX(IF($T619&lt;=60,imc05_s,imc519_s),MATCH($W619,IF($T619&lt;=60,imc05_k,imc519_k),1)),""))</f>
        <v/>
      </c>
      <c r="AB619">
        <f>IF($Y619="","",IF($Y619=0,LN($J619/$Z619)/$AA619,((($J619/$Z619)^$Y619)-1)/($Y619*$AA619)))</f>
        <v/>
      </c>
      <c r="AC619">
        <f>IF($Y619="","",IF($Y619=0,$Z619*EXP($AA619*2),$Z619*(1+$Y619*$AA619*2)^(1/$Y619)))</f>
        <v/>
      </c>
      <c r="AD619">
        <f>IF($Y619="","",IF($Y619=0,$Z619*EXP($AA619*3),$Z619*(1+$Y619*$AA619*3)^(1/$Y619)))</f>
        <v/>
      </c>
      <c r="AE619">
        <f>IF($Y619="","",IF($Y619=0,$Z619*EXP($AA619*-2),$Z619*(1+$Y619*$AA619*-2)^(1/$Y619)))</f>
        <v/>
      </c>
      <c r="AF619">
        <f>IF($Y619="","",IF($Y619=0,$Z619*EXP($AA619*-3),$Z619*(1+$Y619*$AA619*-3)^(1/$Y619)))</f>
        <v/>
      </c>
      <c r="AG619">
        <f>IF($W619="","",IFERROR(INDEX(IF($T619&lt;=60,est05_l,est519_l),MATCH($W619,IF($T619&lt;=60,est05_k,est519_k),1)),""))</f>
        <v/>
      </c>
      <c r="AH619">
        <f>IF($W619="","",IFERROR(INDEX(IF($T619&lt;=60,est05_m,est519_m),MATCH($W619,IF($T619&lt;=60,est05_k,est519_k),1)),""))</f>
        <v/>
      </c>
      <c r="AI619">
        <f>IF($W619="","",IFERROR(INDEX(IF($T619&lt;=60,est05_s,est519_s),MATCH($W619,IF($T619&lt;=60,est05_k,est519_k),1)),""))</f>
        <v/>
      </c>
      <c r="AJ619">
        <f>IF($W619="","",IFERROR(INDEX(IF($T619&lt;=60,peso05_l,peso510_l),MATCH($W619,IF($T619&lt;=60,peso05_k,peso510_k),1)),""))</f>
        <v/>
      </c>
      <c r="AK619">
        <f>IF($W619="","",IFERROR(INDEX(IF($T619&lt;=60,peso05_m,peso510_m),MATCH($W619,IF($T619&lt;=60,peso05_k,peso510_k),1)),""))</f>
        <v/>
      </c>
      <c r="AL619">
        <f>IF($W619="","",IFERROR(INDEX(IF($T619&lt;=60,peso05_s,peso510_s),MATCH($W619,IF($T619&lt;=60,peso05_k,peso510_k),1)),""))</f>
        <v/>
      </c>
      <c r="AM619">
        <f>IF($AJ619="","",IF($AJ619=0,LN($F619/$AK619)/$AL619,((($F619/$AK619)^$AJ619)-1)/($AJ619*$AL619)))</f>
        <v/>
      </c>
      <c r="AN619">
        <f>IF($AJ619="","",IF($AJ619=0,$AK619*EXP($AL619*2),$AK619*(1+$AJ619*$AL619*2)^(1/$AJ619)))</f>
        <v/>
      </c>
      <c r="AO619">
        <f>IF($AJ619="","",IF($AJ619=0,$AK619*EXP($AL619*3),$AK619*(1+$AJ619*$AL619*3)^(1/$AJ619)))</f>
        <v/>
      </c>
      <c r="AP619">
        <f>IF($AJ619="","",IF($AJ619=0,$AK619*EXP($AL619*-2),$AK619*(1+$AJ619*$AL619*-2)^(1/$AJ619)))</f>
        <v/>
      </c>
      <c r="AQ619">
        <f>IF($AJ619="","",IF($AJ619=0,$AK619*EXP($AL619*-3),$AK619*(1+$AJ619*$AL619*-3)^(1/$AJ619)))</f>
        <v/>
      </c>
      <c r="AR619">
        <f>IF(OR($X619="",$T619&gt;60),"",IFERROR(INDEX(IF($T619&lt;24,pcomp_l,palt_l),MATCH($X619,IF($T619&lt;24,pcomp_k,palt_k),1)),""))</f>
        <v/>
      </c>
      <c r="AS619">
        <f>IF(OR($X619="",$T619&gt;60),"",IFERROR(INDEX(IF($T619&lt;24,pcomp_m,palt_m),MATCH($X619,IF($T619&lt;24,pcomp_k,palt_k),1)),""))</f>
        <v/>
      </c>
      <c r="AT619">
        <f>IF(OR($X619="",$T619&gt;60),"",IFERROR(INDEX(IF($T619&lt;24,pcomp_s,palt_s),MATCH($X619,IF($T619&lt;24,pcomp_k,palt_k),1)),""))</f>
        <v/>
      </c>
      <c r="AU619">
        <f>IF($AR619="","",IF($AR619=0,LN($F619/$AS619)/$AT619,((($F619/$AS619)^$AR619)-1)/($AR619*$AT619)))</f>
        <v/>
      </c>
      <c r="AV619">
        <f>IF($AR619="","",IF($AR619=0,$AS619*EXP($AT619*2),$AS619*(1+$AR619*$AT619*2)^(1/$AR619)))</f>
        <v/>
      </c>
      <c r="AW619">
        <f>IF($AR619="","",IF($AR619=0,$AS619*EXP($AT619*3),$AS619*(1+$AR619*$AT619*3)^(1/$AR619)))</f>
        <v/>
      </c>
      <c r="AX619">
        <f>IF($AR619="","",IF($AR619=0,$AS619*EXP($AT619*-2),$AS619*(1+$AR619*$AT619*-2)^(1/$AR619)))</f>
        <v/>
      </c>
      <c r="AY619">
        <f>IF($AR619="","",IF($AR619=0,$AS619*EXP($AT619*-3),$AS619*(1+$AR619*$AT619*-3)^(1/$AR619)))</f>
        <v/>
      </c>
      <c r="AZ619">
        <f>IF(OR($A619="",$A619&lt;&gt;Ficha!$C$4),"",COUNTIF($A$2:$A619,Ficha!$C$4))</f>
        <v/>
      </c>
    </row>
    <row r="620">
      <c r="A620" s="8">
        <f>IF(INDEX(Banco!$A:$A,ROW())="","",INDEX(Banco!$A:$A,ROW()))</f>
        <v/>
      </c>
      <c r="B620" s="8">
        <f>IF(INDEX(Banco!$B:$B,ROW())="","",INDEX(Banco!$B:$B,ROW()))</f>
        <v/>
      </c>
      <c r="C620" s="8">
        <f>IF(INDEX(Banco!$C:$C,ROW())="","",INDEX(Banco!$C:$C,ROW()))</f>
        <v/>
      </c>
      <c r="D620" s="9">
        <f>IF(INDEX(Banco!$D:$D,ROW())="","",INDEX(Banco!$D:$D,ROW()))</f>
        <v/>
      </c>
      <c r="E620" s="9">
        <f>IF(INDEX(Banco!$E:$E,ROW())="","",INDEX(Banco!$E:$E,ROW()))</f>
        <v/>
      </c>
      <c r="F620" s="10">
        <f>IF(INDEX(Banco!$F:$F,ROW())="","",INDEX(Banco!$F:$F,ROW()))</f>
        <v/>
      </c>
      <c r="G620" s="10">
        <f>IF(INDEX(Banco!$G:$G,ROW())="","",INDEX(Banco!$G:$G,ROW()))</f>
        <v/>
      </c>
      <c r="H620" s="8">
        <f>IF(INDEX(Banco!$H:$H,ROW())="","",INDEX(Banco!$H:$H,ROW()))</f>
        <v/>
      </c>
      <c r="I620">
        <f>IF($T620="","",INT($T620/12)&amp;"a "&amp;MOD($T620,12)&amp;"m")</f>
        <v/>
      </c>
      <c r="J620" s="11">
        <f>IF(OR($F620="",$G620=""),"",ROUND($F620/($G620/100)^2,2))</f>
        <v/>
      </c>
      <c r="K620" s="12">
        <f>IF(OR($S620="",$J620="",$T620="",$T620&lt;0,$T620&gt;228,$Y620=""),"—",ROUND(IF(ABS($AB620)&lt;=3,$AB620,IF($AB620&gt;3,3+($J620-$AD620)/($AD620-$AC620),-3+($J620-$AF620)/($AE620-$AF620))),2))</f>
        <v/>
      </c>
      <c r="L620">
        <f>IF(OR($K620="",$K620="—"),"",IF($T620&lt;=60,IF($K620&lt;-3,"Magreza acentuada",IF($K620&lt;-2,"Magreza",IF($K620&lt;=1,"Eutrofia",IF($K620&lt;=2,"Risco de sobrepeso",IF($K620&lt;=3,"Sobrepeso","Obesidade"))))),IF($K620&lt;-3,"Magreza acentuada",IF($K620&lt;-2,"Magreza",IF($K620&lt;=1,"Eutrofia",IF($K620&lt;=2,"Sobrepeso",IF($K620&lt;=3,"Obesidade","Obesidade grave")))))))</f>
        <v/>
      </c>
      <c r="M620" s="12">
        <f>IF(OR($S620="",$V620="",$T620="",$T620&lt;0,$T620&gt;228,$AG620=""),"—",ROUND(IF($AG620=0,LN($V620/$AH620)/$AI620,((($V620/$AH620)^$AG620)-1)/($AG620*$AI620)),2))</f>
        <v/>
      </c>
      <c r="N620">
        <f>IF(OR($M620="",$M620="—"),"",IF($M620&lt;-3,"Muito baixa",IF($M620&lt;-2,"Baixa","Adequada")))</f>
        <v/>
      </c>
      <c r="O620" s="12">
        <f>IF(OR($S620="",$F620="",$T620="",$T620&lt;0,$T620&gt;120,$AJ620=""),"—",ROUND(IF(ABS($AM620)&lt;=3,$AM620,IF($AM620&gt;3,3+($F620-$AO620)/($AO620-$AN620),-3+($F620-$AQ620)/($AP620-$AQ620))),2))</f>
        <v/>
      </c>
      <c r="P620">
        <f>IF(OR($O620="",$O620="—"),"",IF($O620&lt;-3,"Muito baixo",IF($O620&lt;-2,"Baixo",IF($O620&lt;=2,"Adequado","Elevado"))))</f>
        <v/>
      </c>
      <c r="Q620" s="12">
        <f>IF(OR($S620="",$F620="",$T620="",$T620&lt;0,$T620&gt;60,$AR620=""),"—",ROUND(IF(ABS($AU620)&lt;=3,$AU620,IF($AU620&gt;3,3+($F620-$AW620)/($AW620-$AV620),-3+($F620-$AY620)/($AX620-$AY620))),2))</f>
        <v/>
      </c>
      <c r="R620">
        <f>IF(OR($Q620="",$Q620="—"),"",IF($Q620&lt;-3,"Magreza acentuada",IF($Q620&lt;-2,"Magreza",IF($Q620&lt;=1,"Eutrofia",IF($Q620&lt;=2,"Risco de sobrepeso",IF($Q620&lt;=3,"Sobrepeso","Obesidade"))))))</f>
        <v/>
      </c>
      <c r="S620">
        <f>IF($C620="","",IF(UPPER(LEFT($C620,1))="M",1,IF(UPPER(LEFT($C620,1))="F",2,"")))</f>
        <v/>
      </c>
      <c r="T620">
        <f>IF(OR($D620="",$E620=""),"",DATEDIF($D620,$E620,"m"))</f>
        <v/>
      </c>
      <c r="U620">
        <f>IF(OR($D620="",$E620=""),"",$E620-$D620)</f>
        <v/>
      </c>
      <c r="V620">
        <f>IF(OR($G620="",$T620=""),"",IF($T620&lt;24,IF(LEFT(LOWER($H620),4)="em p",$G620+0.7,$G620),IF(LEFT(LOWER($H620),4)="deit",$G620-0.7,$G620)))</f>
        <v/>
      </c>
      <c r="W620">
        <f>IF(OR($S620="",$T620=""),"",$S620*1000000+IF($T620&lt;=60,$U620,$T620))</f>
        <v/>
      </c>
      <c r="X620">
        <f>IF(OR($S620="",$V620="",$T620&gt;60,$T620=""),"",$S620*1000000+ROUND($V620*10,0))</f>
        <v/>
      </c>
      <c r="Y620">
        <f>IF($W620="","",IFERROR(INDEX(IF($T620&lt;=60,imc05_l,imc519_l),MATCH($W620,IF($T620&lt;=60,imc05_k,imc519_k),1)),""))</f>
        <v/>
      </c>
      <c r="Z620">
        <f>IF($W620="","",IFERROR(INDEX(IF($T620&lt;=60,imc05_m,imc519_m),MATCH($W620,IF($T620&lt;=60,imc05_k,imc519_k),1)),""))</f>
        <v/>
      </c>
      <c r="AA620">
        <f>IF($W620="","",IFERROR(INDEX(IF($T620&lt;=60,imc05_s,imc519_s),MATCH($W620,IF($T620&lt;=60,imc05_k,imc519_k),1)),""))</f>
        <v/>
      </c>
      <c r="AB620">
        <f>IF($Y620="","",IF($Y620=0,LN($J620/$Z620)/$AA620,((($J620/$Z620)^$Y620)-1)/($Y620*$AA620)))</f>
        <v/>
      </c>
      <c r="AC620">
        <f>IF($Y620="","",IF($Y620=0,$Z620*EXP($AA620*2),$Z620*(1+$Y620*$AA620*2)^(1/$Y620)))</f>
        <v/>
      </c>
      <c r="AD620">
        <f>IF($Y620="","",IF($Y620=0,$Z620*EXP($AA620*3),$Z620*(1+$Y620*$AA620*3)^(1/$Y620)))</f>
        <v/>
      </c>
      <c r="AE620">
        <f>IF($Y620="","",IF($Y620=0,$Z620*EXP($AA620*-2),$Z620*(1+$Y620*$AA620*-2)^(1/$Y620)))</f>
        <v/>
      </c>
      <c r="AF620">
        <f>IF($Y620="","",IF($Y620=0,$Z620*EXP($AA620*-3),$Z620*(1+$Y620*$AA620*-3)^(1/$Y620)))</f>
        <v/>
      </c>
      <c r="AG620">
        <f>IF($W620="","",IFERROR(INDEX(IF($T620&lt;=60,est05_l,est519_l),MATCH($W620,IF($T620&lt;=60,est05_k,est519_k),1)),""))</f>
        <v/>
      </c>
      <c r="AH620">
        <f>IF($W620="","",IFERROR(INDEX(IF($T620&lt;=60,est05_m,est519_m),MATCH($W620,IF($T620&lt;=60,est05_k,est519_k),1)),""))</f>
        <v/>
      </c>
      <c r="AI620">
        <f>IF($W620="","",IFERROR(INDEX(IF($T620&lt;=60,est05_s,est519_s),MATCH($W620,IF($T620&lt;=60,est05_k,est519_k),1)),""))</f>
        <v/>
      </c>
      <c r="AJ620">
        <f>IF($W620="","",IFERROR(INDEX(IF($T620&lt;=60,peso05_l,peso510_l),MATCH($W620,IF($T620&lt;=60,peso05_k,peso510_k),1)),""))</f>
        <v/>
      </c>
      <c r="AK620">
        <f>IF($W620="","",IFERROR(INDEX(IF($T620&lt;=60,peso05_m,peso510_m),MATCH($W620,IF($T620&lt;=60,peso05_k,peso510_k),1)),""))</f>
        <v/>
      </c>
      <c r="AL620">
        <f>IF($W620="","",IFERROR(INDEX(IF($T620&lt;=60,peso05_s,peso510_s),MATCH($W620,IF($T620&lt;=60,peso05_k,peso510_k),1)),""))</f>
        <v/>
      </c>
      <c r="AM620">
        <f>IF($AJ620="","",IF($AJ620=0,LN($F620/$AK620)/$AL620,((($F620/$AK620)^$AJ620)-1)/($AJ620*$AL620)))</f>
        <v/>
      </c>
      <c r="AN620">
        <f>IF($AJ620="","",IF($AJ620=0,$AK620*EXP($AL620*2),$AK620*(1+$AJ620*$AL620*2)^(1/$AJ620)))</f>
        <v/>
      </c>
      <c r="AO620">
        <f>IF($AJ620="","",IF($AJ620=0,$AK620*EXP($AL620*3),$AK620*(1+$AJ620*$AL620*3)^(1/$AJ620)))</f>
        <v/>
      </c>
      <c r="AP620">
        <f>IF($AJ620="","",IF($AJ620=0,$AK620*EXP($AL620*-2),$AK620*(1+$AJ620*$AL620*-2)^(1/$AJ620)))</f>
        <v/>
      </c>
      <c r="AQ620">
        <f>IF($AJ620="","",IF($AJ620=0,$AK620*EXP($AL620*-3),$AK620*(1+$AJ620*$AL620*-3)^(1/$AJ620)))</f>
        <v/>
      </c>
      <c r="AR620">
        <f>IF(OR($X620="",$T620&gt;60),"",IFERROR(INDEX(IF($T620&lt;24,pcomp_l,palt_l),MATCH($X620,IF($T620&lt;24,pcomp_k,palt_k),1)),""))</f>
        <v/>
      </c>
      <c r="AS620">
        <f>IF(OR($X620="",$T620&gt;60),"",IFERROR(INDEX(IF($T620&lt;24,pcomp_m,palt_m),MATCH($X620,IF($T620&lt;24,pcomp_k,palt_k),1)),""))</f>
        <v/>
      </c>
      <c r="AT620">
        <f>IF(OR($X620="",$T620&gt;60),"",IFERROR(INDEX(IF($T620&lt;24,pcomp_s,palt_s),MATCH($X620,IF($T620&lt;24,pcomp_k,palt_k),1)),""))</f>
        <v/>
      </c>
      <c r="AU620">
        <f>IF($AR620="","",IF($AR620=0,LN($F620/$AS620)/$AT620,((($F620/$AS620)^$AR620)-1)/($AR620*$AT620)))</f>
        <v/>
      </c>
      <c r="AV620">
        <f>IF($AR620="","",IF($AR620=0,$AS620*EXP($AT620*2),$AS620*(1+$AR620*$AT620*2)^(1/$AR620)))</f>
        <v/>
      </c>
      <c r="AW620">
        <f>IF($AR620="","",IF($AR620=0,$AS620*EXP($AT620*3),$AS620*(1+$AR620*$AT620*3)^(1/$AR620)))</f>
        <v/>
      </c>
      <c r="AX620">
        <f>IF($AR620="","",IF($AR620=0,$AS620*EXP($AT620*-2),$AS620*(1+$AR620*$AT620*-2)^(1/$AR620)))</f>
        <v/>
      </c>
      <c r="AY620">
        <f>IF($AR620="","",IF($AR620=0,$AS620*EXP($AT620*-3),$AS620*(1+$AR620*$AT620*-3)^(1/$AR620)))</f>
        <v/>
      </c>
      <c r="AZ620">
        <f>IF(OR($A620="",$A620&lt;&gt;Ficha!$C$4),"",COUNTIF($A$2:$A620,Ficha!$C$4))</f>
        <v/>
      </c>
    </row>
    <row r="621">
      <c r="A621" s="8">
        <f>IF(INDEX(Banco!$A:$A,ROW())="","",INDEX(Banco!$A:$A,ROW()))</f>
        <v/>
      </c>
      <c r="B621" s="8">
        <f>IF(INDEX(Banco!$B:$B,ROW())="","",INDEX(Banco!$B:$B,ROW()))</f>
        <v/>
      </c>
      <c r="C621" s="8">
        <f>IF(INDEX(Banco!$C:$C,ROW())="","",INDEX(Banco!$C:$C,ROW()))</f>
        <v/>
      </c>
      <c r="D621" s="9">
        <f>IF(INDEX(Banco!$D:$D,ROW())="","",INDEX(Banco!$D:$D,ROW()))</f>
        <v/>
      </c>
      <c r="E621" s="9">
        <f>IF(INDEX(Banco!$E:$E,ROW())="","",INDEX(Banco!$E:$E,ROW()))</f>
        <v/>
      </c>
      <c r="F621" s="10">
        <f>IF(INDEX(Banco!$F:$F,ROW())="","",INDEX(Banco!$F:$F,ROW()))</f>
        <v/>
      </c>
      <c r="G621" s="10">
        <f>IF(INDEX(Banco!$G:$G,ROW())="","",INDEX(Banco!$G:$G,ROW()))</f>
        <v/>
      </c>
      <c r="H621" s="8">
        <f>IF(INDEX(Banco!$H:$H,ROW())="","",INDEX(Banco!$H:$H,ROW()))</f>
        <v/>
      </c>
      <c r="I621">
        <f>IF($T621="","",INT($T621/12)&amp;"a "&amp;MOD($T621,12)&amp;"m")</f>
        <v/>
      </c>
      <c r="J621" s="11">
        <f>IF(OR($F621="",$G621=""),"",ROUND($F621/($G621/100)^2,2))</f>
        <v/>
      </c>
      <c r="K621" s="12">
        <f>IF(OR($S621="",$J621="",$T621="",$T621&lt;0,$T621&gt;228,$Y621=""),"—",ROUND(IF(ABS($AB621)&lt;=3,$AB621,IF($AB621&gt;3,3+($J621-$AD621)/($AD621-$AC621),-3+($J621-$AF621)/($AE621-$AF621))),2))</f>
        <v/>
      </c>
      <c r="L621">
        <f>IF(OR($K621="",$K621="—"),"",IF($T621&lt;=60,IF($K621&lt;-3,"Magreza acentuada",IF($K621&lt;-2,"Magreza",IF($K621&lt;=1,"Eutrofia",IF($K621&lt;=2,"Risco de sobrepeso",IF($K621&lt;=3,"Sobrepeso","Obesidade"))))),IF($K621&lt;-3,"Magreza acentuada",IF($K621&lt;-2,"Magreza",IF($K621&lt;=1,"Eutrofia",IF($K621&lt;=2,"Sobrepeso",IF($K621&lt;=3,"Obesidade","Obesidade grave")))))))</f>
        <v/>
      </c>
      <c r="M621" s="12">
        <f>IF(OR($S621="",$V621="",$T621="",$T621&lt;0,$T621&gt;228,$AG621=""),"—",ROUND(IF($AG621=0,LN($V621/$AH621)/$AI621,((($V621/$AH621)^$AG621)-1)/($AG621*$AI621)),2))</f>
        <v/>
      </c>
      <c r="N621">
        <f>IF(OR($M621="",$M621="—"),"",IF($M621&lt;-3,"Muito baixa",IF($M621&lt;-2,"Baixa","Adequada")))</f>
        <v/>
      </c>
      <c r="O621" s="12">
        <f>IF(OR($S621="",$F621="",$T621="",$T621&lt;0,$T621&gt;120,$AJ621=""),"—",ROUND(IF(ABS($AM621)&lt;=3,$AM621,IF($AM621&gt;3,3+($F621-$AO621)/($AO621-$AN621),-3+($F621-$AQ621)/($AP621-$AQ621))),2))</f>
        <v/>
      </c>
      <c r="P621">
        <f>IF(OR($O621="",$O621="—"),"",IF($O621&lt;-3,"Muito baixo",IF($O621&lt;-2,"Baixo",IF($O621&lt;=2,"Adequado","Elevado"))))</f>
        <v/>
      </c>
      <c r="Q621" s="12">
        <f>IF(OR($S621="",$F621="",$T621="",$T621&lt;0,$T621&gt;60,$AR621=""),"—",ROUND(IF(ABS($AU621)&lt;=3,$AU621,IF($AU621&gt;3,3+($F621-$AW621)/($AW621-$AV621),-3+($F621-$AY621)/($AX621-$AY621))),2))</f>
        <v/>
      </c>
      <c r="R621">
        <f>IF(OR($Q621="",$Q621="—"),"",IF($Q621&lt;-3,"Magreza acentuada",IF($Q621&lt;-2,"Magreza",IF($Q621&lt;=1,"Eutrofia",IF($Q621&lt;=2,"Risco de sobrepeso",IF($Q621&lt;=3,"Sobrepeso","Obesidade"))))))</f>
        <v/>
      </c>
      <c r="S621">
        <f>IF($C621="","",IF(UPPER(LEFT($C621,1))="M",1,IF(UPPER(LEFT($C621,1))="F",2,"")))</f>
        <v/>
      </c>
      <c r="T621">
        <f>IF(OR($D621="",$E621=""),"",DATEDIF($D621,$E621,"m"))</f>
        <v/>
      </c>
      <c r="U621">
        <f>IF(OR($D621="",$E621=""),"",$E621-$D621)</f>
        <v/>
      </c>
      <c r="V621">
        <f>IF(OR($G621="",$T621=""),"",IF($T621&lt;24,IF(LEFT(LOWER($H621),4)="em p",$G621+0.7,$G621),IF(LEFT(LOWER($H621),4)="deit",$G621-0.7,$G621)))</f>
        <v/>
      </c>
      <c r="W621">
        <f>IF(OR($S621="",$T621=""),"",$S621*1000000+IF($T621&lt;=60,$U621,$T621))</f>
        <v/>
      </c>
      <c r="X621">
        <f>IF(OR($S621="",$V621="",$T621&gt;60,$T621=""),"",$S621*1000000+ROUND($V621*10,0))</f>
        <v/>
      </c>
      <c r="Y621">
        <f>IF($W621="","",IFERROR(INDEX(IF($T621&lt;=60,imc05_l,imc519_l),MATCH($W621,IF($T621&lt;=60,imc05_k,imc519_k),1)),""))</f>
        <v/>
      </c>
      <c r="Z621">
        <f>IF($W621="","",IFERROR(INDEX(IF($T621&lt;=60,imc05_m,imc519_m),MATCH($W621,IF($T621&lt;=60,imc05_k,imc519_k),1)),""))</f>
        <v/>
      </c>
      <c r="AA621">
        <f>IF($W621="","",IFERROR(INDEX(IF($T621&lt;=60,imc05_s,imc519_s),MATCH($W621,IF($T621&lt;=60,imc05_k,imc519_k),1)),""))</f>
        <v/>
      </c>
      <c r="AB621">
        <f>IF($Y621="","",IF($Y621=0,LN($J621/$Z621)/$AA621,((($J621/$Z621)^$Y621)-1)/($Y621*$AA621)))</f>
        <v/>
      </c>
      <c r="AC621">
        <f>IF($Y621="","",IF($Y621=0,$Z621*EXP($AA621*2),$Z621*(1+$Y621*$AA621*2)^(1/$Y621)))</f>
        <v/>
      </c>
      <c r="AD621">
        <f>IF($Y621="","",IF($Y621=0,$Z621*EXP($AA621*3),$Z621*(1+$Y621*$AA621*3)^(1/$Y621)))</f>
        <v/>
      </c>
      <c r="AE621">
        <f>IF($Y621="","",IF($Y621=0,$Z621*EXP($AA621*-2),$Z621*(1+$Y621*$AA621*-2)^(1/$Y621)))</f>
        <v/>
      </c>
      <c r="AF621">
        <f>IF($Y621="","",IF($Y621=0,$Z621*EXP($AA621*-3),$Z621*(1+$Y621*$AA621*-3)^(1/$Y621)))</f>
        <v/>
      </c>
      <c r="AG621">
        <f>IF($W621="","",IFERROR(INDEX(IF($T621&lt;=60,est05_l,est519_l),MATCH($W621,IF($T621&lt;=60,est05_k,est519_k),1)),""))</f>
        <v/>
      </c>
      <c r="AH621">
        <f>IF($W621="","",IFERROR(INDEX(IF($T621&lt;=60,est05_m,est519_m),MATCH($W621,IF($T621&lt;=60,est05_k,est519_k),1)),""))</f>
        <v/>
      </c>
      <c r="AI621">
        <f>IF($W621="","",IFERROR(INDEX(IF($T621&lt;=60,est05_s,est519_s),MATCH($W621,IF($T621&lt;=60,est05_k,est519_k),1)),""))</f>
        <v/>
      </c>
      <c r="AJ621">
        <f>IF($W621="","",IFERROR(INDEX(IF($T621&lt;=60,peso05_l,peso510_l),MATCH($W621,IF($T621&lt;=60,peso05_k,peso510_k),1)),""))</f>
        <v/>
      </c>
      <c r="AK621">
        <f>IF($W621="","",IFERROR(INDEX(IF($T621&lt;=60,peso05_m,peso510_m),MATCH($W621,IF($T621&lt;=60,peso05_k,peso510_k),1)),""))</f>
        <v/>
      </c>
      <c r="AL621">
        <f>IF($W621="","",IFERROR(INDEX(IF($T621&lt;=60,peso05_s,peso510_s),MATCH($W621,IF($T621&lt;=60,peso05_k,peso510_k),1)),""))</f>
        <v/>
      </c>
      <c r="AM621">
        <f>IF($AJ621="","",IF($AJ621=0,LN($F621/$AK621)/$AL621,((($F621/$AK621)^$AJ621)-1)/($AJ621*$AL621)))</f>
        <v/>
      </c>
      <c r="AN621">
        <f>IF($AJ621="","",IF($AJ621=0,$AK621*EXP($AL621*2),$AK621*(1+$AJ621*$AL621*2)^(1/$AJ621)))</f>
        <v/>
      </c>
      <c r="AO621">
        <f>IF($AJ621="","",IF($AJ621=0,$AK621*EXP($AL621*3),$AK621*(1+$AJ621*$AL621*3)^(1/$AJ621)))</f>
        <v/>
      </c>
      <c r="AP621">
        <f>IF($AJ621="","",IF($AJ621=0,$AK621*EXP($AL621*-2),$AK621*(1+$AJ621*$AL621*-2)^(1/$AJ621)))</f>
        <v/>
      </c>
      <c r="AQ621">
        <f>IF($AJ621="","",IF($AJ621=0,$AK621*EXP($AL621*-3),$AK621*(1+$AJ621*$AL621*-3)^(1/$AJ621)))</f>
        <v/>
      </c>
      <c r="AR621">
        <f>IF(OR($X621="",$T621&gt;60),"",IFERROR(INDEX(IF($T621&lt;24,pcomp_l,palt_l),MATCH($X621,IF($T621&lt;24,pcomp_k,palt_k),1)),""))</f>
        <v/>
      </c>
      <c r="AS621">
        <f>IF(OR($X621="",$T621&gt;60),"",IFERROR(INDEX(IF($T621&lt;24,pcomp_m,palt_m),MATCH($X621,IF($T621&lt;24,pcomp_k,palt_k),1)),""))</f>
        <v/>
      </c>
      <c r="AT621">
        <f>IF(OR($X621="",$T621&gt;60),"",IFERROR(INDEX(IF($T621&lt;24,pcomp_s,palt_s),MATCH($X621,IF($T621&lt;24,pcomp_k,palt_k),1)),""))</f>
        <v/>
      </c>
      <c r="AU621">
        <f>IF($AR621="","",IF($AR621=0,LN($F621/$AS621)/$AT621,((($F621/$AS621)^$AR621)-1)/($AR621*$AT621)))</f>
        <v/>
      </c>
      <c r="AV621">
        <f>IF($AR621="","",IF($AR621=0,$AS621*EXP($AT621*2),$AS621*(1+$AR621*$AT621*2)^(1/$AR621)))</f>
        <v/>
      </c>
      <c r="AW621">
        <f>IF($AR621="","",IF($AR621=0,$AS621*EXP($AT621*3),$AS621*(1+$AR621*$AT621*3)^(1/$AR621)))</f>
        <v/>
      </c>
      <c r="AX621">
        <f>IF($AR621="","",IF($AR621=0,$AS621*EXP($AT621*-2),$AS621*(1+$AR621*$AT621*-2)^(1/$AR621)))</f>
        <v/>
      </c>
      <c r="AY621">
        <f>IF($AR621="","",IF($AR621=0,$AS621*EXP($AT621*-3),$AS621*(1+$AR621*$AT621*-3)^(1/$AR621)))</f>
        <v/>
      </c>
      <c r="AZ621">
        <f>IF(OR($A621="",$A621&lt;&gt;Ficha!$C$4),"",COUNTIF($A$2:$A621,Ficha!$C$4))</f>
        <v/>
      </c>
    </row>
    <row r="622">
      <c r="A622" s="8">
        <f>IF(INDEX(Banco!$A:$A,ROW())="","",INDEX(Banco!$A:$A,ROW()))</f>
        <v/>
      </c>
      <c r="B622" s="8">
        <f>IF(INDEX(Banco!$B:$B,ROW())="","",INDEX(Banco!$B:$B,ROW()))</f>
        <v/>
      </c>
      <c r="C622" s="8">
        <f>IF(INDEX(Banco!$C:$C,ROW())="","",INDEX(Banco!$C:$C,ROW()))</f>
        <v/>
      </c>
      <c r="D622" s="9">
        <f>IF(INDEX(Banco!$D:$D,ROW())="","",INDEX(Banco!$D:$D,ROW()))</f>
        <v/>
      </c>
      <c r="E622" s="9">
        <f>IF(INDEX(Banco!$E:$E,ROW())="","",INDEX(Banco!$E:$E,ROW()))</f>
        <v/>
      </c>
      <c r="F622" s="10">
        <f>IF(INDEX(Banco!$F:$F,ROW())="","",INDEX(Banco!$F:$F,ROW()))</f>
        <v/>
      </c>
      <c r="G622" s="10">
        <f>IF(INDEX(Banco!$G:$G,ROW())="","",INDEX(Banco!$G:$G,ROW()))</f>
        <v/>
      </c>
      <c r="H622" s="8">
        <f>IF(INDEX(Banco!$H:$H,ROW())="","",INDEX(Banco!$H:$H,ROW()))</f>
        <v/>
      </c>
      <c r="I622">
        <f>IF($T622="","",INT($T622/12)&amp;"a "&amp;MOD($T622,12)&amp;"m")</f>
        <v/>
      </c>
      <c r="J622" s="11">
        <f>IF(OR($F622="",$G622=""),"",ROUND($F622/($G622/100)^2,2))</f>
        <v/>
      </c>
      <c r="K622" s="12">
        <f>IF(OR($S622="",$J622="",$T622="",$T622&lt;0,$T622&gt;228,$Y622=""),"—",ROUND(IF(ABS($AB622)&lt;=3,$AB622,IF($AB622&gt;3,3+($J622-$AD622)/($AD622-$AC622),-3+($J622-$AF622)/($AE622-$AF622))),2))</f>
        <v/>
      </c>
      <c r="L622">
        <f>IF(OR($K622="",$K622="—"),"",IF($T622&lt;=60,IF($K622&lt;-3,"Magreza acentuada",IF($K622&lt;-2,"Magreza",IF($K622&lt;=1,"Eutrofia",IF($K622&lt;=2,"Risco de sobrepeso",IF($K622&lt;=3,"Sobrepeso","Obesidade"))))),IF($K622&lt;-3,"Magreza acentuada",IF($K622&lt;-2,"Magreza",IF($K622&lt;=1,"Eutrofia",IF($K622&lt;=2,"Sobrepeso",IF($K622&lt;=3,"Obesidade","Obesidade grave")))))))</f>
        <v/>
      </c>
      <c r="M622" s="12">
        <f>IF(OR($S622="",$V622="",$T622="",$T622&lt;0,$T622&gt;228,$AG622=""),"—",ROUND(IF($AG622=0,LN($V622/$AH622)/$AI622,((($V622/$AH622)^$AG622)-1)/($AG622*$AI622)),2))</f>
        <v/>
      </c>
      <c r="N622">
        <f>IF(OR($M622="",$M622="—"),"",IF($M622&lt;-3,"Muito baixa",IF($M622&lt;-2,"Baixa","Adequada")))</f>
        <v/>
      </c>
      <c r="O622" s="12">
        <f>IF(OR($S622="",$F622="",$T622="",$T622&lt;0,$T622&gt;120,$AJ622=""),"—",ROUND(IF(ABS($AM622)&lt;=3,$AM622,IF($AM622&gt;3,3+($F622-$AO622)/($AO622-$AN622),-3+($F622-$AQ622)/($AP622-$AQ622))),2))</f>
        <v/>
      </c>
      <c r="P622">
        <f>IF(OR($O622="",$O622="—"),"",IF($O622&lt;-3,"Muito baixo",IF($O622&lt;-2,"Baixo",IF($O622&lt;=2,"Adequado","Elevado"))))</f>
        <v/>
      </c>
      <c r="Q622" s="12">
        <f>IF(OR($S622="",$F622="",$T622="",$T622&lt;0,$T622&gt;60,$AR622=""),"—",ROUND(IF(ABS($AU622)&lt;=3,$AU622,IF($AU622&gt;3,3+($F622-$AW622)/($AW622-$AV622),-3+($F622-$AY622)/($AX622-$AY622))),2))</f>
        <v/>
      </c>
      <c r="R622">
        <f>IF(OR($Q622="",$Q622="—"),"",IF($Q622&lt;-3,"Magreza acentuada",IF($Q622&lt;-2,"Magreza",IF($Q622&lt;=1,"Eutrofia",IF($Q622&lt;=2,"Risco de sobrepeso",IF($Q622&lt;=3,"Sobrepeso","Obesidade"))))))</f>
        <v/>
      </c>
      <c r="S622">
        <f>IF($C622="","",IF(UPPER(LEFT($C622,1))="M",1,IF(UPPER(LEFT($C622,1))="F",2,"")))</f>
        <v/>
      </c>
      <c r="T622">
        <f>IF(OR($D622="",$E622=""),"",DATEDIF($D622,$E622,"m"))</f>
        <v/>
      </c>
      <c r="U622">
        <f>IF(OR($D622="",$E622=""),"",$E622-$D622)</f>
        <v/>
      </c>
      <c r="V622">
        <f>IF(OR($G622="",$T622=""),"",IF($T622&lt;24,IF(LEFT(LOWER($H622),4)="em p",$G622+0.7,$G622),IF(LEFT(LOWER($H622),4)="deit",$G622-0.7,$G622)))</f>
        <v/>
      </c>
      <c r="W622">
        <f>IF(OR($S622="",$T622=""),"",$S622*1000000+IF($T622&lt;=60,$U622,$T622))</f>
        <v/>
      </c>
      <c r="X622">
        <f>IF(OR($S622="",$V622="",$T622&gt;60,$T622=""),"",$S622*1000000+ROUND($V622*10,0))</f>
        <v/>
      </c>
      <c r="Y622">
        <f>IF($W622="","",IFERROR(INDEX(IF($T622&lt;=60,imc05_l,imc519_l),MATCH($W622,IF($T622&lt;=60,imc05_k,imc519_k),1)),""))</f>
        <v/>
      </c>
      <c r="Z622">
        <f>IF($W622="","",IFERROR(INDEX(IF($T622&lt;=60,imc05_m,imc519_m),MATCH($W622,IF($T622&lt;=60,imc05_k,imc519_k),1)),""))</f>
        <v/>
      </c>
      <c r="AA622">
        <f>IF($W622="","",IFERROR(INDEX(IF($T622&lt;=60,imc05_s,imc519_s),MATCH($W622,IF($T622&lt;=60,imc05_k,imc519_k),1)),""))</f>
        <v/>
      </c>
      <c r="AB622">
        <f>IF($Y622="","",IF($Y622=0,LN($J622/$Z622)/$AA622,((($J622/$Z622)^$Y622)-1)/($Y622*$AA622)))</f>
        <v/>
      </c>
      <c r="AC622">
        <f>IF($Y622="","",IF($Y622=0,$Z622*EXP($AA622*2),$Z622*(1+$Y622*$AA622*2)^(1/$Y622)))</f>
        <v/>
      </c>
      <c r="AD622">
        <f>IF($Y622="","",IF($Y622=0,$Z622*EXP($AA622*3),$Z622*(1+$Y622*$AA622*3)^(1/$Y622)))</f>
        <v/>
      </c>
      <c r="AE622">
        <f>IF($Y622="","",IF($Y622=0,$Z622*EXP($AA622*-2),$Z622*(1+$Y622*$AA622*-2)^(1/$Y622)))</f>
        <v/>
      </c>
      <c r="AF622">
        <f>IF($Y622="","",IF($Y622=0,$Z622*EXP($AA622*-3),$Z622*(1+$Y622*$AA622*-3)^(1/$Y622)))</f>
        <v/>
      </c>
      <c r="AG622">
        <f>IF($W622="","",IFERROR(INDEX(IF($T622&lt;=60,est05_l,est519_l),MATCH($W622,IF($T622&lt;=60,est05_k,est519_k),1)),""))</f>
        <v/>
      </c>
      <c r="AH622">
        <f>IF($W622="","",IFERROR(INDEX(IF($T622&lt;=60,est05_m,est519_m),MATCH($W622,IF($T622&lt;=60,est05_k,est519_k),1)),""))</f>
        <v/>
      </c>
      <c r="AI622">
        <f>IF($W622="","",IFERROR(INDEX(IF($T622&lt;=60,est05_s,est519_s),MATCH($W622,IF($T622&lt;=60,est05_k,est519_k),1)),""))</f>
        <v/>
      </c>
      <c r="AJ622">
        <f>IF($W622="","",IFERROR(INDEX(IF($T622&lt;=60,peso05_l,peso510_l),MATCH($W622,IF($T622&lt;=60,peso05_k,peso510_k),1)),""))</f>
        <v/>
      </c>
      <c r="AK622">
        <f>IF($W622="","",IFERROR(INDEX(IF($T622&lt;=60,peso05_m,peso510_m),MATCH($W622,IF($T622&lt;=60,peso05_k,peso510_k),1)),""))</f>
        <v/>
      </c>
      <c r="AL622">
        <f>IF($W622="","",IFERROR(INDEX(IF($T622&lt;=60,peso05_s,peso510_s),MATCH($W622,IF($T622&lt;=60,peso05_k,peso510_k),1)),""))</f>
        <v/>
      </c>
      <c r="AM622">
        <f>IF($AJ622="","",IF($AJ622=0,LN($F622/$AK622)/$AL622,((($F622/$AK622)^$AJ622)-1)/($AJ622*$AL622)))</f>
        <v/>
      </c>
      <c r="AN622">
        <f>IF($AJ622="","",IF($AJ622=0,$AK622*EXP($AL622*2),$AK622*(1+$AJ622*$AL622*2)^(1/$AJ622)))</f>
        <v/>
      </c>
      <c r="AO622">
        <f>IF($AJ622="","",IF($AJ622=0,$AK622*EXP($AL622*3),$AK622*(1+$AJ622*$AL622*3)^(1/$AJ622)))</f>
        <v/>
      </c>
      <c r="AP622">
        <f>IF($AJ622="","",IF($AJ622=0,$AK622*EXP($AL622*-2),$AK622*(1+$AJ622*$AL622*-2)^(1/$AJ622)))</f>
        <v/>
      </c>
      <c r="AQ622">
        <f>IF($AJ622="","",IF($AJ622=0,$AK622*EXP($AL622*-3),$AK622*(1+$AJ622*$AL622*-3)^(1/$AJ622)))</f>
        <v/>
      </c>
      <c r="AR622">
        <f>IF(OR($X622="",$T622&gt;60),"",IFERROR(INDEX(IF($T622&lt;24,pcomp_l,palt_l),MATCH($X622,IF($T622&lt;24,pcomp_k,palt_k),1)),""))</f>
        <v/>
      </c>
      <c r="AS622">
        <f>IF(OR($X622="",$T622&gt;60),"",IFERROR(INDEX(IF($T622&lt;24,pcomp_m,palt_m),MATCH($X622,IF($T622&lt;24,pcomp_k,palt_k),1)),""))</f>
        <v/>
      </c>
      <c r="AT622">
        <f>IF(OR($X622="",$T622&gt;60),"",IFERROR(INDEX(IF($T622&lt;24,pcomp_s,palt_s),MATCH($X622,IF($T622&lt;24,pcomp_k,palt_k),1)),""))</f>
        <v/>
      </c>
      <c r="AU622">
        <f>IF($AR622="","",IF($AR622=0,LN($F622/$AS622)/$AT622,((($F622/$AS622)^$AR622)-1)/($AR622*$AT622)))</f>
        <v/>
      </c>
      <c r="AV622">
        <f>IF($AR622="","",IF($AR622=0,$AS622*EXP($AT622*2),$AS622*(1+$AR622*$AT622*2)^(1/$AR622)))</f>
        <v/>
      </c>
      <c r="AW622">
        <f>IF($AR622="","",IF($AR622=0,$AS622*EXP($AT622*3),$AS622*(1+$AR622*$AT622*3)^(1/$AR622)))</f>
        <v/>
      </c>
      <c r="AX622">
        <f>IF($AR622="","",IF($AR622=0,$AS622*EXP($AT622*-2),$AS622*(1+$AR622*$AT622*-2)^(1/$AR622)))</f>
        <v/>
      </c>
      <c r="AY622">
        <f>IF($AR622="","",IF($AR622=0,$AS622*EXP($AT622*-3),$AS622*(1+$AR622*$AT622*-3)^(1/$AR622)))</f>
        <v/>
      </c>
      <c r="AZ622">
        <f>IF(OR($A622="",$A622&lt;&gt;Ficha!$C$4),"",COUNTIF($A$2:$A622,Ficha!$C$4))</f>
        <v/>
      </c>
    </row>
    <row r="623">
      <c r="A623" s="8">
        <f>IF(INDEX(Banco!$A:$A,ROW())="","",INDEX(Banco!$A:$A,ROW()))</f>
        <v/>
      </c>
      <c r="B623" s="8">
        <f>IF(INDEX(Banco!$B:$B,ROW())="","",INDEX(Banco!$B:$B,ROW()))</f>
        <v/>
      </c>
      <c r="C623" s="8">
        <f>IF(INDEX(Banco!$C:$C,ROW())="","",INDEX(Banco!$C:$C,ROW()))</f>
        <v/>
      </c>
      <c r="D623" s="9">
        <f>IF(INDEX(Banco!$D:$D,ROW())="","",INDEX(Banco!$D:$D,ROW()))</f>
        <v/>
      </c>
      <c r="E623" s="9">
        <f>IF(INDEX(Banco!$E:$E,ROW())="","",INDEX(Banco!$E:$E,ROW()))</f>
        <v/>
      </c>
      <c r="F623" s="10">
        <f>IF(INDEX(Banco!$F:$F,ROW())="","",INDEX(Banco!$F:$F,ROW()))</f>
        <v/>
      </c>
      <c r="G623" s="10">
        <f>IF(INDEX(Banco!$G:$G,ROW())="","",INDEX(Banco!$G:$G,ROW()))</f>
        <v/>
      </c>
      <c r="H623" s="8">
        <f>IF(INDEX(Banco!$H:$H,ROW())="","",INDEX(Banco!$H:$H,ROW()))</f>
        <v/>
      </c>
      <c r="I623">
        <f>IF($T623="","",INT($T623/12)&amp;"a "&amp;MOD($T623,12)&amp;"m")</f>
        <v/>
      </c>
      <c r="J623" s="11">
        <f>IF(OR($F623="",$G623=""),"",ROUND($F623/($G623/100)^2,2))</f>
        <v/>
      </c>
      <c r="K623" s="12">
        <f>IF(OR($S623="",$J623="",$T623="",$T623&lt;0,$T623&gt;228,$Y623=""),"—",ROUND(IF(ABS($AB623)&lt;=3,$AB623,IF($AB623&gt;3,3+($J623-$AD623)/($AD623-$AC623),-3+($J623-$AF623)/($AE623-$AF623))),2))</f>
        <v/>
      </c>
      <c r="L623">
        <f>IF(OR($K623="",$K623="—"),"",IF($T623&lt;=60,IF($K623&lt;-3,"Magreza acentuada",IF($K623&lt;-2,"Magreza",IF($K623&lt;=1,"Eutrofia",IF($K623&lt;=2,"Risco de sobrepeso",IF($K623&lt;=3,"Sobrepeso","Obesidade"))))),IF($K623&lt;-3,"Magreza acentuada",IF($K623&lt;-2,"Magreza",IF($K623&lt;=1,"Eutrofia",IF($K623&lt;=2,"Sobrepeso",IF($K623&lt;=3,"Obesidade","Obesidade grave")))))))</f>
        <v/>
      </c>
      <c r="M623" s="12">
        <f>IF(OR($S623="",$V623="",$T623="",$T623&lt;0,$T623&gt;228,$AG623=""),"—",ROUND(IF($AG623=0,LN($V623/$AH623)/$AI623,((($V623/$AH623)^$AG623)-1)/($AG623*$AI623)),2))</f>
        <v/>
      </c>
      <c r="N623">
        <f>IF(OR($M623="",$M623="—"),"",IF($M623&lt;-3,"Muito baixa",IF($M623&lt;-2,"Baixa","Adequada")))</f>
        <v/>
      </c>
      <c r="O623" s="12">
        <f>IF(OR($S623="",$F623="",$T623="",$T623&lt;0,$T623&gt;120,$AJ623=""),"—",ROUND(IF(ABS($AM623)&lt;=3,$AM623,IF($AM623&gt;3,3+($F623-$AO623)/($AO623-$AN623),-3+($F623-$AQ623)/($AP623-$AQ623))),2))</f>
        <v/>
      </c>
      <c r="P623">
        <f>IF(OR($O623="",$O623="—"),"",IF($O623&lt;-3,"Muito baixo",IF($O623&lt;-2,"Baixo",IF($O623&lt;=2,"Adequado","Elevado"))))</f>
        <v/>
      </c>
      <c r="Q623" s="12">
        <f>IF(OR($S623="",$F623="",$T623="",$T623&lt;0,$T623&gt;60,$AR623=""),"—",ROUND(IF(ABS($AU623)&lt;=3,$AU623,IF($AU623&gt;3,3+($F623-$AW623)/($AW623-$AV623),-3+($F623-$AY623)/($AX623-$AY623))),2))</f>
        <v/>
      </c>
      <c r="R623">
        <f>IF(OR($Q623="",$Q623="—"),"",IF($Q623&lt;-3,"Magreza acentuada",IF($Q623&lt;-2,"Magreza",IF($Q623&lt;=1,"Eutrofia",IF($Q623&lt;=2,"Risco de sobrepeso",IF($Q623&lt;=3,"Sobrepeso","Obesidade"))))))</f>
        <v/>
      </c>
      <c r="S623">
        <f>IF($C623="","",IF(UPPER(LEFT($C623,1))="M",1,IF(UPPER(LEFT($C623,1))="F",2,"")))</f>
        <v/>
      </c>
      <c r="T623">
        <f>IF(OR($D623="",$E623=""),"",DATEDIF($D623,$E623,"m"))</f>
        <v/>
      </c>
      <c r="U623">
        <f>IF(OR($D623="",$E623=""),"",$E623-$D623)</f>
        <v/>
      </c>
      <c r="V623">
        <f>IF(OR($G623="",$T623=""),"",IF($T623&lt;24,IF(LEFT(LOWER($H623),4)="em p",$G623+0.7,$G623),IF(LEFT(LOWER($H623),4)="deit",$G623-0.7,$G623)))</f>
        <v/>
      </c>
      <c r="W623">
        <f>IF(OR($S623="",$T623=""),"",$S623*1000000+IF($T623&lt;=60,$U623,$T623))</f>
        <v/>
      </c>
      <c r="X623">
        <f>IF(OR($S623="",$V623="",$T623&gt;60,$T623=""),"",$S623*1000000+ROUND($V623*10,0))</f>
        <v/>
      </c>
      <c r="Y623">
        <f>IF($W623="","",IFERROR(INDEX(IF($T623&lt;=60,imc05_l,imc519_l),MATCH($W623,IF($T623&lt;=60,imc05_k,imc519_k),1)),""))</f>
        <v/>
      </c>
      <c r="Z623">
        <f>IF($W623="","",IFERROR(INDEX(IF($T623&lt;=60,imc05_m,imc519_m),MATCH($W623,IF($T623&lt;=60,imc05_k,imc519_k),1)),""))</f>
        <v/>
      </c>
      <c r="AA623">
        <f>IF($W623="","",IFERROR(INDEX(IF($T623&lt;=60,imc05_s,imc519_s),MATCH($W623,IF($T623&lt;=60,imc05_k,imc519_k),1)),""))</f>
        <v/>
      </c>
      <c r="AB623">
        <f>IF($Y623="","",IF($Y623=0,LN($J623/$Z623)/$AA623,((($J623/$Z623)^$Y623)-1)/($Y623*$AA623)))</f>
        <v/>
      </c>
      <c r="AC623">
        <f>IF($Y623="","",IF($Y623=0,$Z623*EXP($AA623*2),$Z623*(1+$Y623*$AA623*2)^(1/$Y623)))</f>
        <v/>
      </c>
      <c r="AD623">
        <f>IF($Y623="","",IF($Y623=0,$Z623*EXP($AA623*3),$Z623*(1+$Y623*$AA623*3)^(1/$Y623)))</f>
        <v/>
      </c>
      <c r="AE623">
        <f>IF($Y623="","",IF($Y623=0,$Z623*EXP($AA623*-2),$Z623*(1+$Y623*$AA623*-2)^(1/$Y623)))</f>
        <v/>
      </c>
      <c r="AF623">
        <f>IF($Y623="","",IF($Y623=0,$Z623*EXP($AA623*-3),$Z623*(1+$Y623*$AA623*-3)^(1/$Y623)))</f>
        <v/>
      </c>
      <c r="AG623">
        <f>IF($W623="","",IFERROR(INDEX(IF($T623&lt;=60,est05_l,est519_l),MATCH($W623,IF($T623&lt;=60,est05_k,est519_k),1)),""))</f>
        <v/>
      </c>
      <c r="AH623">
        <f>IF($W623="","",IFERROR(INDEX(IF($T623&lt;=60,est05_m,est519_m),MATCH($W623,IF($T623&lt;=60,est05_k,est519_k),1)),""))</f>
        <v/>
      </c>
      <c r="AI623">
        <f>IF($W623="","",IFERROR(INDEX(IF($T623&lt;=60,est05_s,est519_s),MATCH($W623,IF($T623&lt;=60,est05_k,est519_k),1)),""))</f>
        <v/>
      </c>
      <c r="AJ623">
        <f>IF($W623="","",IFERROR(INDEX(IF($T623&lt;=60,peso05_l,peso510_l),MATCH($W623,IF($T623&lt;=60,peso05_k,peso510_k),1)),""))</f>
        <v/>
      </c>
      <c r="AK623">
        <f>IF($W623="","",IFERROR(INDEX(IF($T623&lt;=60,peso05_m,peso510_m),MATCH($W623,IF($T623&lt;=60,peso05_k,peso510_k),1)),""))</f>
        <v/>
      </c>
      <c r="AL623">
        <f>IF($W623="","",IFERROR(INDEX(IF($T623&lt;=60,peso05_s,peso510_s),MATCH($W623,IF($T623&lt;=60,peso05_k,peso510_k),1)),""))</f>
        <v/>
      </c>
      <c r="AM623">
        <f>IF($AJ623="","",IF($AJ623=0,LN($F623/$AK623)/$AL623,((($F623/$AK623)^$AJ623)-1)/($AJ623*$AL623)))</f>
        <v/>
      </c>
      <c r="AN623">
        <f>IF($AJ623="","",IF($AJ623=0,$AK623*EXP($AL623*2),$AK623*(1+$AJ623*$AL623*2)^(1/$AJ623)))</f>
        <v/>
      </c>
      <c r="AO623">
        <f>IF($AJ623="","",IF($AJ623=0,$AK623*EXP($AL623*3),$AK623*(1+$AJ623*$AL623*3)^(1/$AJ623)))</f>
        <v/>
      </c>
      <c r="AP623">
        <f>IF($AJ623="","",IF($AJ623=0,$AK623*EXP($AL623*-2),$AK623*(1+$AJ623*$AL623*-2)^(1/$AJ623)))</f>
        <v/>
      </c>
      <c r="AQ623">
        <f>IF($AJ623="","",IF($AJ623=0,$AK623*EXP($AL623*-3),$AK623*(1+$AJ623*$AL623*-3)^(1/$AJ623)))</f>
        <v/>
      </c>
      <c r="AR623">
        <f>IF(OR($X623="",$T623&gt;60),"",IFERROR(INDEX(IF($T623&lt;24,pcomp_l,palt_l),MATCH($X623,IF($T623&lt;24,pcomp_k,palt_k),1)),""))</f>
        <v/>
      </c>
      <c r="AS623">
        <f>IF(OR($X623="",$T623&gt;60),"",IFERROR(INDEX(IF($T623&lt;24,pcomp_m,palt_m),MATCH($X623,IF($T623&lt;24,pcomp_k,palt_k),1)),""))</f>
        <v/>
      </c>
      <c r="AT623">
        <f>IF(OR($X623="",$T623&gt;60),"",IFERROR(INDEX(IF($T623&lt;24,pcomp_s,palt_s),MATCH($X623,IF($T623&lt;24,pcomp_k,palt_k),1)),""))</f>
        <v/>
      </c>
      <c r="AU623">
        <f>IF($AR623="","",IF($AR623=0,LN($F623/$AS623)/$AT623,((($F623/$AS623)^$AR623)-1)/($AR623*$AT623)))</f>
        <v/>
      </c>
      <c r="AV623">
        <f>IF($AR623="","",IF($AR623=0,$AS623*EXP($AT623*2),$AS623*(1+$AR623*$AT623*2)^(1/$AR623)))</f>
        <v/>
      </c>
      <c r="AW623">
        <f>IF($AR623="","",IF($AR623=0,$AS623*EXP($AT623*3),$AS623*(1+$AR623*$AT623*3)^(1/$AR623)))</f>
        <v/>
      </c>
      <c r="AX623">
        <f>IF($AR623="","",IF($AR623=0,$AS623*EXP($AT623*-2),$AS623*(1+$AR623*$AT623*-2)^(1/$AR623)))</f>
        <v/>
      </c>
      <c r="AY623">
        <f>IF($AR623="","",IF($AR623=0,$AS623*EXP($AT623*-3),$AS623*(1+$AR623*$AT623*-3)^(1/$AR623)))</f>
        <v/>
      </c>
      <c r="AZ623">
        <f>IF(OR($A623="",$A623&lt;&gt;Ficha!$C$4),"",COUNTIF($A$2:$A623,Ficha!$C$4))</f>
        <v/>
      </c>
    </row>
    <row r="624">
      <c r="A624" s="8">
        <f>IF(INDEX(Banco!$A:$A,ROW())="","",INDEX(Banco!$A:$A,ROW()))</f>
        <v/>
      </c>
      <c r="B624" s="8">
        <f>IF(INDEX(Banco!$B:$B,ROW())="","",INDEX(Banco!$B:$B,ROW()))</f>
        <v/>
      </c>
      <c r="C624" s="8">
        <f>IF(INDEX(Banco!$C:$C,ROW())="","",INDEX(Banco!$C:$C,ROW()))</f>
        <v/>
      </c>
      <c r="D624" s="9">
        <f>IF(INDEX(Banco!$D:$D,ROW())="","",INDEX(Banco!$D:$D,ROW()))</f>
        <v/>
      </c>
      <c r="E624" s="9">
        <f>IF(INDEX(Banco!$E:$E,ROW())="","",INDEX(Banco!$E:$E,ROW()))</f>
        <v/>
      </c>
      <c r="F624" s="10">
        <f>IF(INDEX(Banco!$F:$F,ROW())="","",INDEX(Banco!$F:$F,ROW()))</f>
        <v/>
      </c>
      <c r="G624" s="10">
        <f>IF(INDEX(Banco!$G:$G,ROW())="","",INDEX(Banco!$G:$G,ROW()))</f>
        <v/>
      </c>
      <c r="H624" s="8">
        <f>IF(INDEX(Banco!$H:$H,ROW())="","",INDEX(Banco!$H:$H,ROW()))</f>
        <v/>
      </c>
      <c r="I624">
        <f>IF($T624="","",INT($T624/12)&amp;"a "&amp;MOD($T624,12)&amp;"m")</f>
        <v/>
      </c>
      <c r="J624" s="11">
        <f>IF(OR($F624="",$G624=""),"",ROUND($F624/($G624/100)^2,2))</f>
        <v/>
      </c>
      <c r="K624" s="12">
        <f>IF(OR($S624="",$J624="",$T624="",$T624&lt;0,$T624&gt;228,$Y624=""),"—",ROUND(IF(ABS($AB624)&lt;=3,$AB624,IF($AB624&gt;3,3+($J624-$AD624)/($AD624-$AC624),-3+($J624-$AF624)/($AE624-$AF624))),2))</f>
        <v/>
      </c>
      <c r="L624">
        <f>IF(OR($K624="",$K624="—"),"",IF($T624&lt;=60,IF($K624&lt;-3,"Magreza acentuada",IF($K624&lt;-2,"Magreza",IF($K624&lt;=1,"Eutrofia",IF($K624&lt;=2,"Risco de sobrepeso",IF($K624&lt;=3,"Sobrepeso","Obesidade"))))),IF($K624&lt;-3,"Magreza acentuada",IF($K624&lt;-2,"Magreza",IF($K624&lt;=1,"Eutrofia",IF($K624&lt;=2,"Sobrepeso",IF($K624&lt;=3,"Obesidade","Obesidade grave")))))))</f>
        <v/>
      </c>
      <c r="M624" s="12">
        <f>IF(OR($S624="",$V624="",$T624="",$T624&lt;0,$T624&gt;228,$AG624=""),"—",ROUND(IF($AG624=0,LN($V624/$AH624)/$AI624,((($V624/$AH624)^$AG624)-1)/($AG624*$AI624)),2))</f>
        <v/>
      </c>
      <c r="N624">
        <f>IF(OR($M624="",$M624="—"),"",IF($M624&lt;-3,"Muito baixa",IF($M624&lt;-2,"Baixa","Adequada")))</f>
        <v/>
      </c>
      <c r="O624" s="12">
        <f>IF(OR($S624="",$F624="",$T624="",$T624&lt;0,$T624&gt;120,$AJ624=""),"—",ROUND(IF(ABS($AM624)&lt;=3,$AM624,IF($AM624&gt;3,3+($F624-$AO624)/($AO624-$AN624),-3+($F624-$AQ624)/($AP624-$AQ624))),2))</f>
        <v/>
      </c>
      <c r="P624">
        <f>IF(OR($O624="",$O624="—"),"",IF($O624&lt;-3,"Muito baixo",IF($O624&lt;-2,"Baixo",IF($O624&lt;=2,"Adequado","Elevado"))))</f>
        <v/>
      </c>
      <c r="Q624" s="12">
        <f>IF(OR($S624="",$F624="",$T624="",$T624&lt;0,$T624&gt;60,$AR624=""),"—",ROUND(IF(ABS($AU624)&lt;=3,$AU624,IF($AU624&gt;3,3+($F624-$AW624)/($AW624-$AV624),-3+($F624-$AY624)/($AX624-$AY624))),2))</f>
        <v/>
      </c>
      <c r="R624">
        <f>IF(OR($Q624="",$Q624="—"),"",IF($Q624&lt;-3,"Magreza acentuada",IF($Q624&lt;-2,"Magreza",IF($Q624&lt;=1,"Eutrofia",IF($Q624&lt;=2,"Risco de sobrepeso",IF($Q624&lt;=3,"Sobrepeso","Obesidade"))))))</f>
        <v/>
      </c>
      <c r="S624">
        <f>IF($C624="","",IF(UPPER(LEFT($C624,1))="M",1,IF(UPPER(LEFT($C624,1))="F",2,"")))</f>
        <v/>
      </c>
      <c r="T624">
        <f>IF(OR($D624="",$E624=""),"",DATEDIF($D624,$E624,"m"))</f>
        <v/>
      </c>
      <c r="U624">
        <f>IF(OR($D624="",$E624=""),"",$E624-$D624)</f>
        <v/>
      </c>
      <c r="V624">
        <f>IF(OR($G624="",$T624=""),"",IF($T624&lt;24,IF(LEFT(LOWER($H624),4)="em p",$G624+0.7,$G624),IF(LEFT(LOWER($H624),4)="deit",$G624-0.7,$G624)))</f>
        <v/>
      </c>
      <c r="W624">
        <f>IF(OR($S624="",$T624=""),"",$S624*1000000+IF($T624&lt;=60,$U624,$T624))</f>
        <v/>
      </c>
      <c r="X624">
        <f>IF(OR($S624="",$V624="",$T624&gt;60,$T624=""),"",$S624*1000000+ROUND($V624*10,0))</f>
        <v/>
      </c>
      <c r="Y624">
        <f>IF($W624="","",IFERROR(INDEX(IF($T624&lt;=60,imc05_l,imc519_l),MATCH($W624,IF($T624&lt;=60,imc05_k,imc519_k),1)),""))</f>
        <v/>
      </c>
      <c r="Z624">
        <f>IF($W624="","",IFERROR(INDEX(IF($T624&lt;=60,imc05_m,imc519_m),MATCH($W624,IF($T624&lt;=60,imc05_k,imc519_k),1)),""))</f>
        <v/>
      </c>
      <c r="AA624">
        <f>IF($W624="","",IFERROR(INDEX(IF($T624&lt;=60,imc05_s,imc519_s),MATCH($W624,IF($T624&lt;=60,imc05_k,imc519_k),1)),""))</f>
        <v/>
      </c>
      <c r="AB624">
        <f>IF($Y624="","",IF($Y624=0,LN($J624/$Z624)/$AA624,((($J624/$Z624)^$Y624)-1)/($Y624*$AA624)))</f>
        <v/>
      </c>
      <c r="AC624">
        <f>IF($Y624="","",IF($Y624=0,$Z624*EXP($AA624*2),$Z624*(1+$Y624*$AA624*2)^(1/$Y624)))</f>
        <v/>
      </c>
      <c r="AD624">
        <f>IF($Y624="","",IF($Y624=0,$Z624*EXP($AA624*3),$Z624*(1+$Y624*$AA624*3)^(1/$Y624)))</f>
        <v/>
      </c>
      <c r="AE624">
        <f>IF($Y624="","",IF($Y624=0,$Z624*EXP($AA624*-2),$Z624*(1+$Y624*$AA624*-2)^(1/$Y624)))</f>
        <v/>
      </c>
      <c r="AF624">
        <f>IF($Y624="","",IF($Y624=0,$Z624*EXP($AA624*-3),$Z624*(1+$Y624*$AA624*-3)^(1/$Y624)))</f>
        <v/>
      </c>
      <c r="AG624">
        <f>IF($W624="","",IFERROR(INDEX(IF($T624&lt;=60,est05_l,est519_l),MATCH($W624,IF($T624&lt;=60,est05_k,est519_k),1)),""))</f>
        <v/>
      </c>
      <c r="AH624">
        <f>IF($W624="","",IFERROR(INDEX(IF($T624&lt;=60,est05_m,est519_m),MATCH($W624,IF($T624&lt;=60,est05_k,est519_k),1)),""))</f>
        <v/>
      </c>
      <c r="AI624">
        <f>IF($W624="","",IFERROR(INDEX(IF($T624&lt;=60,est05_s,est519_s),MATCH($W624,IF($T624&lt;=60,est05_k,est519_k),1)),""))</f>
        <v/>
      </c>
      <c r="AJ624">
        <f>IF($W624="","",IFERROR(INDEX(IF($T624&lt;=60,peso05_l,peso510_l),MATCH($W624,IF($T624&lt;=60,peso05_k,peso510_k),1)),""))</f>
        <v/>
      </c>
      <c r="AK624">
        <f>IF($W624="","",IFERROR(INDEX(IF($T624&lt;=60,peso05_m,peso510_m),MATCH($W624,IF($T624&lt;=60,peso05_k,peso510_k),1)),""))</f>
        <v/>
      </c>
      <c r="AL624">
        <f>IF($W624="","",IFERROR(INDEX(IF($T624&lt;=60,peso05_s,peso510_s),MATCH($W624,IF($T624&lt;=60,peso05_k,peso510_k),1)),""))</f>
        <v/>
      </c>
      <c r="AM624">
        <f>IF($AJ624="","",IF($AJ624=0,LN($F624/$AK624)/$AL624,((($F624/$AK624)^$AJ624)-1)/($AJ624*$AL624)))</f>
        <v/>
      </c>
      <c r="AN624">
        <f>IF($AJ624="","",IF($AJ624=0,$AK624*EXP($AL624*2),$AK624*(1+$AJ624*$AL624*2)^(1/$AJ624)))</f>
        <v/>
      </c>
      <c r="AO624">
        <f>IF($AJ624="","",IF($AJ624=0,$AK624*EXP($AL624*3),$AK624*(1+$AJ624*$AL624*3)^(1/$AJ624)))</f>
        <v/>
      </c>
      <c r="AP624">
        <f>IF($AJ624="","",IF($AJ624=0,$AK624*EXP($AL624*-2),$AK624*(1+$AJ624*$AL624*-2)^(1/$AJ624)))</f>
        <v/>
      </c>
      <c r="AQ624">
        <f>IF($AJ624="","",IF($AJ624=0,$AK624*EXP($AL624*-3),$AK624*(1+$AJ624*$AL624*-3)^(1/$AJ624)))</f>
        <v/>
      </c>
      <c r="AR624">
        <f>IF(OR($X624="",$T624&gt;60),"",IFERROR(INDEX(IF($T624&lt;24,pcomp_l,palt_l),MATCH($X624,IF($T624&lt;24,pcomp_k,palt_k),1)),""))</f>
        <v/>
      </c>
      <c r="AS624">
        <f>IF(OR($X624="",$T624&gt;60),"",IFERROR(INDEX(IF($T624&lt;24,pcomp_m,palt_m),MATCH($X624,IF($T624&lt;24,pcomp_k,palt_k),1)),""))</f>
        <v/>
      </c>
      <c r="AT624">
        <f>IF(OR($X624="",$T624&gt;60),"",IFERROR(INDEX(IF($T624&lt;24,pcomp_s,palt_s),MATCH($X624,IF($T624&lt;24,pcomp_k,palt_k),1)),""))</f>
        <v/>
      </c>
      <c r="AU624">
        <f>IF($AR624="","",IF($AR624=0,LN($F624/$AS624)/$AT624,((($F624/$AS624)^$AR624)-1)/($AR624*$AT624)))</f>
        <v/>
      </c>
      <c r="AV624">
        <f>IF($AR624="","",IF($AR624=0,$AS624*EXP($AT624*2),$AS624*(1+$AR624*$AT624*2)^(1/$AR624)))</f>
        <v/>
      </c>
      <c r="AW624">
        <f>IF($AR624="","",IF($AR624=0,$AS624*EXP($AT624*3),$AS624*(1+$AR624*$AT624*3)^(1/$AR624)))</f>
        <v/>
      </c>
      <c r="AX624">
        <f>IF($AR624="","",IF($AR624=0,$AS624*EXP($AT624*-2),$AS624*(1+$AR624*$AT624*-2)^(1/$AR624)))</f>
        <v/>
      </c>
      <c r="AY624">
        <f>IF($AR624="","",IF($AR624=0,$AS624*EXP($AT624*-3),$AS624*(1+$AR624*$AT624*-3)^(1/$AR624)))</f>
        <v/>
      </c>
      <c r="AZ624">
        <f>IF(OR($A624="",$A624&lt;&gt;Ficha!$C$4),"",COUNTIF($A$2:$A624,Ficha!$C$4))</f>
        <v/>
      </c>
    </row>
    <row r="625">
      <c r="A625" s="8">
        <f>IF(INDEX(Banco!$A:$A,ROW())="","",INDEX(Banco!$A:$A,ROW()))</f>
        <v/>
      </c>
      <c r="B625" s="8">
        <f>IF(INDEX(Banco!$B:$B,ROW())="","",INDEX(Banco!$B:$B,ROW()))</f>
        <v/>
      </c>
      <c r="C625" s="8">
        <f>IF(INDEX(Banco!$C:$C,ROW())="","",INDEX(Banco!$C:$C,ROW()))</f>
        <v/>
      </c>
      <c r="D625" s="9">
        <f>IF(INDEX(Banco!$D:$D,ROW())="","",INDEX(Banco!$D:$D,ROW()))</f>
        <v/>
      </c>
      <c r="E625" s="9">
        <f>IF(INDEX(Banco!$E:$E,ROW())="","",INDEX(Banco!$E:$E,ROW()))</f>
        <v/>
      </c>
      <c r="F625" s="10">
        <f>IF(INDEX(Banco!$F:$F,ROW())="","",INDEX(Banco!$F:$F,ROW()))</f>
        <v/>
      </c>
      <c r="G625" s="10">
        <f>IF(INDEX(Banco!$G:$G,ROW())="","",INDEX(Banco!$G:$G,ROW()))</f>
        <v/>
      </c>
      <c r="H625" s="8">
        <f>IF(INDEX(Banco!$H:$H,ROW())="","",INDEX(Banco!$H:$H,ROW()))</f>
        <v/>
      </c>
      <c r="I625">
        <f>IF($T625="","",INT($T625/12)&amp;"a "&amp;MOD($T625,12)&amp;"m")</f>
        <v/>
      </c>
      <c r="J625" s="11">
        <f>IF(OR($F625="",$G625=""),"",ROUND($F625/($G625/100)^2,2))</f>
        <v/>
      </c>
      <c r="K625" s="12">
        <f>IF(OR($S625="",$J625="",$T625="",$T625&lt;0,$T625&gt;228,$Y625=""),"—",ROUND(IF(ABS($AB625)&lt;=3,$AB625,IF($AB625&gt;3,3+($J625-$AD625)/($AD625-$AC625),-3+($J625-$AF625)/($AE625-$AF625))),2))</f>
        <v/>
      </c>
      <c r="L625">
        <f>IF(OR($K625="",$K625="—"),"",IF($T625&lt;=60,IF($K625&lt;-3,"Magreza acentuada",IF($K625&lt;-2,"Magreza",IF($K625&lt;=1,"Eutrofia",IF($K625&lt;=2,"Risco de sobrepeso",IF($K625&lt;=3,"Sobrepeso","Obesidade"))))),IF($K625&lt;-3,"Magreza acentuada",IF($K625&lt;-2,"Magreza",IF($K625&lt;=1,"Eutrofia",IF($K625&lt;=2,"Sobrepeso",IF($K625&lt;=3,"Obesidade","Obesidade grave")))))))</f>
        <v/>
      </c>
      <c r="M625" s="12">
        <f>IF(OR($S625="",$V625="",$T625="",$T625&lt;0,$T625&gt;228,$AG625=""),"—",ROUND(IF($AG625=0,LN($V625/$AH625)/$AI625,((($V625/$AH625)^$AG625)-1)/($AG625*$AI625)),2))</f>
        <v/>
      </c>
      <c r="N625">
        <f>IF(OR($M625="",$M625="—"),"",IF($M625&lt;-3,"Muito baixa",IF($M625&lt;-2,"Baixa","Adequada")))</f>
        <v/>
      </c>
      <c r="O625" s="12">
        <f>IF(OR($S625="",$F625="",$T625="",$T625&lt;0,$T625&gt;120,$AJ625=""),"—",ROUND(IF(ABS($AM625)&lt;=3,$AM625,IF($AM625&gt;3,3+($F625-$AO625)/($AO625-$AN625),-3+($F625-$AQ625)/($AP625-$AQ625))),2))</f>
        <v/>
      </c>
      <c r="P625">
        <f>IF(OR($O625="",$O625="—"),"",IF($O625&lt;-3,"Muito baixo",IF($O625&lt;-2,"Baixo",IF($O625&lt;=2,"Adequado","Elevado"))))</f>
        <v/>
      </c>
      <c r="Q625" s="12">
        <f>IF(OR($S625="",$F625="",$T625="",$T625&lt;0,$T625&gt;60,$AR625=""),"—",ROUND(IF(ABS($AU625)&lt;=3,$AU625,IF($AU625&gt;3,3+($F625-$AW625)/($AW625-$AV625),-3+($F625-$AY625)/($AX625-$AY625))),2))</f>
        <v/>
      </c>
      <c r="R625">
        <f>IF(OR($Q625="",$Q625="—"),"",IF($Q625&lt;-3,"Magreza acentuada",IF($Q625&lt;-2,"Magreza",IF($Q625&lt;=1,"Eutrofia",IF($Q625&lt;=2,"Risco de sobrepeso",IF($Q625&lt;=3,"Sobrepeso","Obesidade"))))))</f>
        <v/>
      </c>
      <c r="S625">
        <f>IF($C625="","",IF(UPPER(LEFT($C625,1))="M",1,IF(UPPER(LEFT($C625,1))="F",2,"")))</f>
        <v/>
      </c>
      <c r="T625">
        <f>IF(OR($D625="",$E625=""),"",DATEDIF($D625,$E625,"m"))</f>
        <v/>
      </c>
      <c r="U625">
        <f>IF(OR($D625="",$E625=""),"",$E625-$D625)</f>
        <v/>
      </c>
      <c r="V625">
        <f>IF(OR($G625="",$T625=""),"",IF($T625&lt;24,IF(LEFT(LOWER($H625),4)="em p",$G625+0.7,$G625),IF(LEFT(LOWER($H625),4)="deit",$G625-0.7,$G625)))</f>
        <v/>
      </c>
      <c r="W625">
        <f>IF(OR($S625="",$T625=""),"",$S625*1000000+IF($T625&lt;=60,$U625,$T625))</f>
        <v/>
      </c>
      <c r="X625">
        <f>IF(OR($S625="",$V625="",$T625&gt;60,$T625=""),"",$S625*1000000+ROUND($V625*10,0))</f>
        <v/>
      </c>
      <c r="Y625">
        <f>IF($W625="","",IFERROR(INDEX(IF($T625&lt;=60,imc05_l,imc519_l),MATCH($W625,IF($T625&lt;=60,imc05_k,imc519_k),1)),""))</f>
        <v/>
      </c>
      <c r="Z625">
        <f>IF($W625="","",IFERROR(INDEX(IF($T625&lt;=60,imc05_m,imc519_m),MATCH($W625,IF($T625&lt;=60,imc05_k,imc519_k),1)),""))</f>
        <v/>
      </c>
      <c r="AA625">
        <f>IF($W625="","",IFERROR(INDEX(IF($T625&lt;=60,imc05_s,imc519_s),MATCH($W625,IF($T625&lt;=60,imc05_k,imc519_k),1)),""))</f>
        <v/>
      </c>
      <c r="AB625">
        <f>IF($Y625="","",IF($Y625=0,LN($J625/$Z625)/$AA625,((($J625/$Z625)^$Y625)-1)/($Y625*$AA625)))</f>
        <v/>
      </c>
      <c r="AC625">
        <f>IF($Y625="","",IF($Y625=0,$Z625*EXP($AA625*2),$Z625*(1+$Y625*$AA625*2)^(1/$Y625)))</f>
        <v/>
      </c>
      <c r="AD625">
        <f>IF($Y625="","",IF($Y625=0,$Z625*EXP($AA625*3),$Z625*(1+$Y625*$AA625*3)^(1/$Y625)))</f>
        <v/>
      </c>
      <c r="AE625">
        <f>IF($Y625="","",IF($Y625=0,$Z625*EXP($AA625*-2),$Z625*(1+$Y625*$AA625*-2)^(1/$Y625)))</f>
        <v/>
      </c>
      <c r="AF625">
        <f>IF($Y625="","",IF($Y625=0,$Z625*EXP($AA625*-3),$Z625*(1+$Y625*$AA625*-3)^(1/$Y625)))</f>
        <v/>
      </c>
      <c r="AG625">
        <f>IF($W625="","",IFERROR(INDEX(IF($T625&lt;=60,est05_l,est519_l),MATCH($W625,IF($T625&lt;=60,est05_k,est519_k),1)),""))</f>
        <v/>
      </c>
      <c r="AH625">
        <f>IF($W625="","",IFERROR(INDEX(IF($T625&lt;=60,est05_m,est519_m),MATCH($W625,IF($T625&lt;=60,est05_k,est519_k),1)),""))</f>
        <v/>
      </c>
      <c r="AI625">
        <f>IF($W625="","",IFERROR(INDEX(IF($T625&lt;=60,est05_s,est519_s),MATCH($W625,IF($T625&lt;=60,est05_k,est519_k),1)),""))</f>
        <v/>
      </c>
      <c r="AJ625">
        <f>IF($W625="","",IFERROR(INDEX(IF($T625&lt;=60,peso05_l,peso510_l),MATCH($W625,IF($T625&lt;=60,peso05_k,peso510_k),1)),""))</f>
        <v/>
      </c>
      <c r="AK625">
        <f>IF($W625="","",IFERROR(INDEX(IF($T625&lt;=60,peso05_m,peso510_m),MATCH($W625,IF($T625&lt;=60,peso05_k,peso510_k),1)),""))</f>
        <v/>
      </c>
      <c r="AL625">
        <f>IF($W625="","",IFERROR(INDEX(IF($T625&lt;=60,peso05_s,peso510_s),MATCH($W625,IF($T625&lt;=60,peso05_k,peso510_k),1)),""))</f>
        <v/>
      </c>
      <c r="AM625">
        <f>IF($AJ625="","",IF($AJ625=0,LN($F625/$AK625)/$AL625,((($F625/$AK625)^$AJ625)-1)/($AJ625*$AL625)))</f>
        <v/>
      </c>
      <c r="AN625">
        <f>IF($AJ625="","",IF($AJ625=0,$AK625*EXP($AL625*2),$AK625*(1+$AJ625*$AL625*2)^(1/$AJ625)))</f>
        <v/>
      </c>
      <c r="AO625">
        <f>IF($AJ625="","",IF($AJ625=0,$AK625*EXP($AL625*3),$AK625*(1+$AJ625*$AL625*3)^(1/$AJ625)))</f>
        <v/>
      </c>
      <c r="AP625">
        <f>IF($AJ625="","",IF($AJ625=0,$AK625*EXP($AL625*-2),$AK625*(1+$AJ625*$AL625*-2)^(1/$AJ625)))</f>
        <v/>
      </c>
      <c r="AQ625">
        <f>IF($AJ625="","",IF($AJ625=0,$AK625*EXP($AL625*-3),$AK625*(1+$AJ625*$AL625*-3)^(1/$AJ625)))</f>
        <v/>
      </c>
      <c r="AR625">
        <f>IF(OR($X625="",$T625&gt;60),"",IFERROR(INDEX(IF($T625&lt;24,pcomp_l,palt_l),MATCH($X625,IF($T625&lt;24,pcomp_k,palt_k),1)),""))</f>
        <v/>
      </c>
      <c r="AS625">
        <f>IF(OR($X625="",$T625&gt;60),"",IFERROR(INDEX(IF($T625&lt;24,pcomp_m,palt_m),MATCH($X625,IF($T625&lt;24,pcomp_k,palt_k),1)),""))</f>
        <v/>
      </c>
      <c r="AT625">
        <f>IF(OR($X625="",$T625&gt;60),"",IFERROR(INDEX(IF($T625&lt;24,pcomp_s,palt_s),MATCH($X625,IF($T625&lt;24,pcomp_k,palt_k),1)),""))</f>
        <v/>
      </c>
      <c r="AU625">
        <f>IF($AR625="","",IF($AR625=0,LN($F625/$AS625)/$AT625,((($F625/$AS625)^$AR625)-1)/($AR625*$AT625)))</f>
        <v/>
      </c>
      <c r="AV625">
        <f>IF($AR625="","",IF($AR625=0,$AS625*EXP($AT625*2),$AS625*(1+$AR625*$AT625*2)^(1/$AR625)))</f>
        <v/>
      </c>
      <c r="AW625">
        <f>IF($AR625="","",IF($AR625=0,$AS625*EXP($AT625*3),$AS625*(1+$AR625*$AT625*3)^(1/$AR625)))</f>
        <v/>
      </c>
      <c r="AX625">
        <f>IF($AR625="","",IF($AR625=0,$AS625*EXP($AT625*-2),$AS625*(1+$AR625*$AT625*-2)^(1/$AR625)))</f>
        <v/>
      </c>
      <c r="AY625">
        <f>IF($AR625="","",IF($AR625=0,$AS625*EXP($AT625*-3),$AS625*(1+$AR625*$AT625*-3)^(1/$AR625)))</f>
        <v/>
      </c>
      <c r="AZ625">
        <f>IF(OR($A625="",$A625&lt;&gt;Ficha!$C$4),"",COUNTIF($A$2:$A625,Ficha!$C$4))</f>
        <v/>
      </c>
    </row>
    <row r="626">
      <c r="A626" s="8">
        <f>IF(INDEX(Banco!$A:$A,ROW())="","",INDEX(Banco!$A:$A,ROW()))</f>
        <v/>
      </c>
      <c r="B626" s="8">
        <f>IF(INDEX(Banco!$B:$B,ROW())="","",INDEX(Banco!$B:$B,ROW()))</f>
        <v/>
      </c>
      <c r="C626" s="8">
        <f>IF(INDEX(Banco!$C:$C,ROW())="","",INDEX(Banco!$C:$C,ROW()))</f>
        <v/>
      </c>
      <c r="D626" s="9">
        <f>IF(INDEX(Banco!$D:$D,ROW())="","",INDEX(Banco!$D:$D,ROW()))</f>
        <v/>
      </c>
      <c r="E626" s="9">
        <f>IF(INDEX(Banco!$E:$E,ROW())="","",INDEX(Banco!$E:$E,ROW()))</f>
        <v/>
      </c>
      <c r="F626" s="10">
        <f>IF(INDEX(Banco!$F:$F,ROW())="","",INDEX(Banco!$F:$F,ROW()))</f>
        <v/>
      </c>
      <c r="G626" s="10">
        <f>IF(INDEX(Banco!$G:$G,ROW())="","",INDEX(Banco!$G:$G,ROW()))</f>
        <v/>
      </c>
      <c r="H626" s="8">
        <f>IF(INDEX(Banco!$H:$H,ROW())="","",INDEX(Banco!$H:$H,ROW()))</f>
        <v/>
      </c>
      <c r="I626">
        <f>IF($T626="","",INT($T626/12)&amp;"a "&amp;MOD($T626,12)&amp;"m")</f>
        <v/>
      </c>
      <c r="J626" s="11">
        <f>IF(OR($F626="",$G626=""),"",ROUND($F626/($G626/100)^2,2))</f>
        <v/>
      </c>
      <c r="K626" s="12">
        <f>IF(OR($S626="",$J626="",$T626="",$T626&lt;0,$T626&gt;228,$Y626=""),"—",ROUND(IF(ABS($AB626)&lt;=3,$AB626,IF($AB626&gt;3,3+($J626-$AD626)/($AD626-$AC626),-3+($J626-$AF626)/($AE626-$AF626))),2))</f>
        <v/>
      </c>
      <c r="L626">
        <f>IF(OR($K626="",$K626="—"),"",IF($T626&lt;=60,IF($K626&lt;-3,"Magreza acentuada",IF($K626&lt;-2,"Magreza",IF($K626&lt;=1,"Eutrofia",IF($K626&lt;=2,"Risco de sobrepeso",IF($K626&lt;=3,"Sobrepeso","Obesidade"))))),IF($K626&lt;-3,"Magreza acentuada",IF($K626&lt;-2,"Magreza",IF($K626&lt;=1,"Eutrofia",IF($K626&lt;=2,"Sobrepeso",IF($K626&lt;=3,"Obesidade","Obesidade grave")))))))</f>
        <v/>
      </c>
      <c r="M626" s="12">
        <f>IF(OR($S626="",$V626="",$T626="",$T626&lt;0,$T626&gt;228,$AG626=""),"—",ROUND(IF($AG626=0,LN($V626/$AH626)/$AI626,((($V626/$AH626)^$AG626)-1)/($AG626*$AI626)),2))</f>
        <v/>
      </c>
      <c r="N626">
        <f>IF(OR($M626="",$M626="—"),"",IF($M626&lt;-3,"Muito baixa",IF($M626&lt;-2,"Baixa","Adequada")))</f>
        <v/>
      </c>
      <c r="O626" s="12">
        <f>IF(OR($S626="",$F626="",$T626="",$T626&lt;0,$T626&gt;120,$AJ626=""),"—",ROUND(IF(ABS($AM626)&lt;=3,$AM626,IF($AM626&gt;3,3+($F626-$AO626)/($AO626-$AN626),-3+($F626-$AQ626)/($AP626-$AQ626))),2))</f>
        <v/>
      </c>
      <c r="P626">
        <f>IF(OR($O626="",$O626="—"),"",IF($O626&lt;-3,"Muito baixo",IF($O626&lt;-2,"Baixo",IF($O626&lt;=2,"Adequado","Elevado"))))</f>
        <v/>
      </c>
      <c r="Q626" s="12">
        <f>IF(OR($S626="",$F626="",$T626="",$T626&lt;0,$T626&gt;60,$AR626=""),"—",ROUND(IF(ABS($AU626)&lt;=3,$AU626,IF($AU626&gt;3,3+($F626-$AW626)/($AW626-$AV626),-3+($F626-$AY626)/($AX626-$AY626))),2))</f>
        <v/>
      </c>
      <c r="R626">
        <f>IF(OR($Q626="",$Q626="—"),"",IF($Q626&lt;-3,"Magreza acentuada",IF($Q626&lt;-2,"Magreza",IF($Q626&lt;=1,"Eutrofia",IF($Q626&lt;=2,"Risco de sobrepeso",IF($Q626&lt;=3,"Sobrepeso","Obesidade"))))))</f>
        <v/>
      </c>
      <c r="S626">
        <f>IF($C626="","",IF(UPPER(LEFT($C626,1))="M",1,IF(UPPER(LEFT($C626,1))="F",2,"")))</f>
        <v/>
      </c>
      <c r="T626">
        <f>IF(OR($D626="",$E626=""),"",DATEDIF($D626,$E626,"m"))</f>
        <v/>
      </c>
      <c r="U626">
        <f>IF(OR($D626="",$E626=""),"",$E626-$D626)</f>
        <v/>
      </c>
      <c r="V626">
        <f>IF(OR($G626="",$T626=""),"",IF($T626&lt;24,IF(LEFT(LOWER($H626),4)="em p",$G626+0.7,$G626),IF(LEFT(LOWER($H626),4)="deit",$G626-0.7,$G626)))</f>
        <v/>
      </c>
      <c r="W626">
        <f>IF(OR($S626="",$T626=""),"",$S626*1000000+IF($T626&lt;=60,$U626,$T626))</f>
        <v/>
      </c>
      <c r="X626">
        <f>IF(OR($S626="",$V626="",$T626&gt;60,$T626=""),"",$S626*1000000+ROUND($V626*10,0))</f>
        <v/>
      </c>
      <c r="Y626">
        <f>IF($W626="","",IFERROR(INDEX(IF($T626&lt;=60,imc05_l,imc519_l),MATCH($W626,IF($T626&lt;=60,imc05_k,imc519_k),1)),""))</f>
        <v/>
      </c>
      <c r="Z626">
        <f>IF($W626="","",IFERROR(INDEX(IF($T626&lt;=60,imc05_m,imc519_m),MATCH($W626,IF($T626&lt;=60,imc05_k,imc519_k),1)),""))</f>
        <v/>
      </c>
      <c r="AA626">
        <f>IF($W626="","",IFERROR(INDEX(IF($T626&lt;=60,imc05_s,imc519_s),MATCH($W626,IF($T626&lt;=60,imc05_k,imc519_k),1)),""))</f>
        <v/>
      </c>
      <c r="AB626">
        <f>IF($Y626="","",IF($Y626=0,LN($J626/$Z626)/$AA626,((($J626/$Z626)^$Y626)-1)/($Y626*$AA626)))</f>
        <v/>
      </c>
      <c r="AC626">
        <f>IF($Y626="","",IF($Y626=0,$Z626*EXP($AA626*2),$Z626*(1+$Y626*$AA626*2)^(1/$Y626)))</f>
        <v/>
      </c>
      <c r="AD626">
        <f>IF($Y626="","",IF($Y626=0,$Z626*EXP($AA626*3),$Z626*(1+$Y626*$AA626*3)^(1/$Y626)))</f>
        <v/>
      </c>
      <c r="AE626">
        <f>IF($Y626="","",IF($Y626=0,$Z626*EXP($AA626*-2),$Z626*(1+$Y626*$AA626*-2)^(1/$Y626)))</f>
        <v/>
      </c>
      <c r="AF626">
        <f>IF($Y626="","",IF($Y626=0,$Z626*EXP($AA626*-3),$Z626*(1+$Y626*$AA626*-3)^(1/$Y626)))</f>
        <v/>
      </c>
      <c r="AG626">
        <f>IF($W626="","",IFERROR(INDEX(IF($T626&lt;=60,est05_l,est519_l),MATCH($W626,IF($T626&lt;=60,est05_k,est519_k),1)),""))</f>
        <v/>
      </c>
      <c r="AH626">
        <f>IF($W626="","",IFERROR(INDEX(IF($T626&lt;=60,est05_m,est519_m),MATCH($W626,IF($T626&lt;=60,est05_k,est519_k),1)),""))</f>
        <v/>
      </c>
      <c r="AI626">
        <f>IF($W626="","",IFERROR(INDEX(IF($T626&lt;=60,est05_s,est519_s),MATCH($W626,IF($T626&lt;=60,est05_k,est519_k),1)),""))</f>
        <v/>
      </c>
      <c r="AJ626">
        <f>IF($W626="","",IFERROR(INDEX(IF($T626&lt;=60,peso05_l,peso510_l),MATCH($W626,IF($T626&lt;=60,peso05_k,peso510_k),1)),""))</f>
        <v/>
      </c>
      <c r="AK626">
        <f>IF($W626="","",IFERROR(INDEX(IF($T626&lt;=60,peso05_m,peso510_m),MATCH($W626,IF($T626&lt;=60,peso05_k,peso510_k),1)),""))</f>
        <v/>
      </c>
      <c r="AL626">
        <f>IF($W626="","",IFERROR(INDEX(IF($T626&lt;=60,peso05_s,peso510_s),MATCH($W626,IF($T626&lt;=60,peso05_k,peso510_k),1)),""))</f>
        <v/>
      </c>
      <c r="AM626">
        <f>IF($AJ626="","",IF($AJ626=0,LN($F626/$AK626)/$AL626,((($F626/$AK626)^$AJ626)-1)/($AJ626*$AL626)))</f>
        <v/>
      </c>
      <c r="AN626">
        <f>IF($AJ626="","",IF($AJ626=0,$AK626*EXP($AL626*2),$AK626*(1+$AJ626*$AL626*2)^(1/$AJ626)))</f>
        <v/>
      </c>
      <c r="AO626">
        <f>IF($AJ626="","",IF($AJ626=0,$AK626*EXP($AL626*3),$AK626*(1+$AJ626*$AL626*3)^(1/$AJ626)))</f>
        <v/>
      </c>
      <c r="AP626">
        <f>IF($AJ626="","",IF($AJ626=0,$AK626*EXP($AL626*-2),$AK626*(1+$AJ626*$AL626*-2)^(1/$AJ626)))</f>
        <v/>
      </c>
      <c r="AQ626">
        <f>IF($AJ626="","",IF($AJ626=0,$AK626*EXP($AL626*-3),$AK626*(1+$AJ626*$AL626*-3)^(1/$AJ626)))</f>
        <v/>
      </c>
      <c r="AR626">
        <f>IF(OR($X626="",$T626&gt;60),"",IFERROR(INDEX(IF($T626&lt;24,pcomp_l,palt_l),MATCH($X626,IF($T626&lt;24,pcomp_k,palt_k),1)),""))</f>
        <v/>
      </c>
      <c r="AS626">
        <f>IF(OR($X626="",$T626&gt;60),"",IFERROR(INDEX(IF($T626&lt;24,pcomp_m,palt_m),MATCH($X626,IF($T626&lt;24,pcomp_k,palt_k),1)),""))</f>
        <v/>
      </c>
      <c r="AT626">
        <f>IF(OR($X626="",$T626&gt;60),"",IFERROR(INDEX(IF($T626&lt;24,pcomp_s,palt_s),MATCH($X626,IF($T626&lt;24,pcomp_k,palt_k),1)),""))</f>
        <v/>
      </c>
      <c r="AU626">
        <f>IF($AR626="","",IF($AR626=0,LN($F626/$AS626)/$AT626,((($F626/$AS626)^$AR626)-1)/($AR626*$AT626)))</f>
        <v/>
      </c>
      <c r="AV626">
        <f>IF($AR626="","",IF($AR626=0,$AS626*EXP($AT626*2),$AS626*(1+$AR626*$AT626*2)^(1/$AR626)))</f>
        <v/>
      </c>
      <c r="AW626">
        <f>IF($AR626="","",IF($AR626=0,$AS626*EXP($AT626*3),$AS626*(1+$AR626*$AT626*3)^(1/$AR626)))</f>
        <v/>
      </c>
      <c r="AX626">
        <f>IF($AR626="","",IF($AR626=0,$AS626*EXP($AT626*-2),$AS626*(1+$AR626*$AT626*-2)^(1/$AR626)))</f>
        <v/>
      </c>
      <c r="AY626">
        <f>IF($AR626="","",IF($AR626=0,$AS626*EXP($AT626*-3),$AS626*(1+$AR626*$AT626*-3)^(1/$AR626)))</f>
        <v/>
      </c>
      <c r="AZ626">
        <f>IF(OR($A626="",$A626&lt;&gt;Ficha!$C$4),"",COUNTIF($A$2:$A626,Ficha!$C$4))</f>
        <v/>
      </c>
    </row>
    <row r="627">
      <c r="A627" s="8">
        <f>IF(INDEX(Banco!$A:$A,ROW())="","",INDEX(Banco!$A:$A,ROW()))</f>
        <v/>
      </c>
      <c r="B627" s="8">
        <f>IF(INDEX(Banco!$B:$B,ROW())="","",INDEX(Banco!$B:$B,ROW()))</f>
        <v/>
      </c>
      <c r="C627" s="8">
        <f>IF(INDEX(Banco!$C:$C,ROW())="","",INDEX(Banco!$C:$C,ROW()))</f>
        <v/>
      </c>
      <c r="D627" s="9">
        <f>IF(INDEX(Banco!$D:$D,ROW())="","",INDEX(Banco!$D:$D,ROW()))</f>
        <v/>
      </c>
      <c r="E627" s="9">
        <f>IF(INDEX(Banco!$E:$E,ROW())="","",INDEX(Banco!$E:$E,ROW()))</f>
        <v/>
      </c>
      <c r="F627" s="10">
        <f>IF(INDEX(Banco!$F:$F,ROW())="","",INDEX(Banco!$F:$F,ROW()))</f>
        <v/>
      </c>
      <c r="G627" s="10">
        <f>IF(INDEX(Banco!$G:$G,ROW())="","",INDEX(Banco!$G:$G,ROW()))</f>
        <v/>
      </c>
      <c r="H627" s="8">
        <f>IF(INDEX(Banco!$H:$H,ROW())="","",INDEX(Banco!$H:$H,ROW()))</f>
        <v/>
      </c>
      <c r="I627">
        <f>IF($T627="","",INT($T627/12)&amp;"a "&amp;MOD($T627,12)&amp;"m")</f>
        <v/>
      </c>
      <c r="J627" s="11">
        <f>IF(OR($F627="",$G627=""),"",ROUND($F627/($G627/100)^2,2))</f>
        <v/>
      </c>
      <c r="K627" s="12">
        <f>IF(OR($S627="",$J627="",$T627="",$T627&lt;0,$T627&gt;228,$Y627=""),"—",ROUND(IF(ABS($AB627)&lt;=3,$AB627,IF($AB627&gt;3,3+($J627-$AD627)/($AD627-$AC627),-3+($J627-$AF627)/($AE627-$AF627))),2))</f>
        <v/>
      </c>
      <c r="L627">
        <f>IF(OR($K627="",$K627="—"),"",IF($T627&lt;=60,IF($K627&lt;-3,"Magreza acentuada",IF($K627&lt;-2,"Magreza",IF($K627&lt;=1,"Eutrofia",IF($K627&lt;=2,"Risco de sobrepeso",IF($K627&lt;=3,"Sobrepeso","Obesidade"))))),IF($K627&lt;-3,"Magreza acentuada",IF($K627&lt;-2,"Magreza",IF($K627&lt;=1,"Eutrofia",IF($K627&lt;=2,"Sobrepeso",IF($K627&lt;=3,"Obesidade","Obesidade grave")))))))</f>
        <v/>
      </c>
      <c r="M627" s="12">
        <f>IF(OR($S627="",$V627="",$T627="",$T627&lt;0,$T627&gt;228,$AG627=""),"—",ROUND(IF($AG627=0,LN($V627/$AH627)/$AI627,((($V627/$AH627)^$AG627)-1)/($AG627*$AI627)),2))</f>
        <v/>
      </c>
      <c r="N627">
        <f>IF(OR($M627="",$M627="—"),"",IF($M627&lt;-3,"Muito baixa",IF($M627&lt;-2,"Baixa","Adequada")))</f>
        <v/>
      </c>
      <c r="O627" s="12">
        <f>IF(OR($S627="",$F627="",$T627="",$T627&lt;0,$T627&gt;120,$AJ627=""),"—",ROUND(IF(ABS($AM627)&lt;=3,$AM627,IF($AM627&gt;3,3+($F627-$AO627)/($AO627-$AN627),-3+($F627-$AQ627)/($AP627-$AQ627))),2))</f>
        <v/>
      </c>
      <c r="P627">
        <f>IF(OR($O627="",$O627="—"),"",IF($O627&lt;-3,"Muito baixo",IF($O627&lt;-2,"Baixo",IF($O627&lt;=2,"Adequado","Elevado"))))</f>
        <v/>
      </c>
      <c r="Q627" s="12">
        <f>IF(OR($S627="",$F627="",$T627="",$T627&lt;0,$T627&gt;60,$AR627=""),"—",ROUND(IF(ABS($AU627)&lt;=3,$AU627,IF($AU627&gt;3,3+($F627-$AW627)/($AW627-$AV627),-3+($F627-$AY627)/($AX627-$AY627))),2))</f>
        <v/>
      </c>
      <c r="R627">
        <f>IF(OR($Q627="",$Q627="—"),"",IF($Q627&lt;-3,"Magreza acentuada",IF($Q627&lt;-2,"Magreza",IF($Q627&lt;=1,"Eutrofia",IF($Q627&lt;=2,"Risco de sobrepeso",IF($Q627&lt;=3,"Sobrepeso","Obesidade"))))))</f>
        <v/>
      </c>
      <c r="S627">
        <f>IF($C627="","",IF(UPPER(LEFT($C627,1))="M",1,IF(UPPER(LEFT($C627,1))="F",2,"")))</f>
        <v/>
      </c>
      <c r="T627">
        <f>IF(OR($D627="",$E627=""),"",DATEDIF($D627,$E627,"m"))</f>
        <v/>
      </c>
      <c r="U627">
        <f>IF(OR($D627="",$E627=""),"",$E627-$D627)</f>
        <v/>
      </c>
      <c r="V627">
        <f>IF(OR($G627="",$T627=""),"",IF($T627&lt;24,IF(LEFT(LOWER($H627),4)="em p",$G627+0.7,$G627),IF(LEFT(LOWER($H627),4)="deit",$G627-0.7,$G627)))</f>
        <v/>
      </c>
      <c r="W627">
        <f>IF(OR($S627="",$T627=""),"",$S627*1000000+IF($T627&lt;=60,$U627,$T627))</f>
        <v/>
      </c>
      <c r="X627">
        <f>IF(OR($S627="",$V627="",$T627&gt;60,$T627=""),"",$S627*1000000+ROUND($V627*10,0))</f>
        <v/>
      </c>
      <c r="Y627">
        <f>IF($W627="","",IFERROR(INDEX(IF($T627&lt;=60,imc05_l,imc519_l),MATCH($W627,IF($T627&lt;=60,imc05_k,imc519_k),1)),""))</f>
        <v/>
      </c>
      <c r="Z627">
        <f>IF($W627="","",IFERROR(INDEX(IF($T627&lt;=60,imc05_m,imc519_m),MATCH($W627,IF($T627&lt;=60,imc05_k,imc519_k),1)),""))</f>
        <v/>
      </c>
      <c r="AA627">
        <f>IF($W627="","",IFERROR(INDEX(IF($T627&lt;=60,imc05_s,imc519_s),MATCH($W627,IF($T627&lt;=60,imc05_k,imc519_k),1)),""))</f>
        <v/>
      </c>
      <c r="AB627">
        <f>IF($Y627="","",IF($Y627=0,LN($J627/$Z627)/$AA627,((($J627/$Z627)^$Y627)-1)/($Y627*$AA627)))</f>
        <v/>
      </c>
      <c r="AC627">
        <f>IF($Y627="","",IF($Y627=0,$Z627*EXP($AA627*2),$Z627*(1+$Y627*$AA627*2)^(1/$Y627)))</f>
        <v/>
      </c>
      <c r="AD627">
        <f>IF($Y627="","",IF($Y627=0,$Z627*EXP($AA627*3),$Z627*(1+$Y627*$AA627*3)^(1/$Y627)))</f>
        <v/>
      </c>
      <c r="AE627">
        <f>IF($Y627="","",IF($Y627=0,$Z627*EXP($AA627*-2),$Z627*(1+$Y627*$AA627*-2)^(1/$Y627)))</f>
        <v/>
      </c>
      <c r="AF627">
        <f>IF($Y627="","",IF($Y627=0,$Z627*EXP($AA627*-3),$Z627*(1+$Y627*$AA627*-3)^(1/$Y627)))</f>
        <v/>
      </c>
      <c r="AG627">
        <f>IF($W627="","",IFERROR(INDEX(IF($T627&lt;=60,est05_l,est519_l),MATCH($W627,IF($T627&lt;=60,est05_k,est519_k),1)),""))</f>
        <v/>
      </c>
      <c r="AH627">
        <f>IF($W627="","",IFERROR(INDEX(IF($T627&lt;=60,est05_m,est519_m),MATCH($W627,IF($T627&lt;=60,est05_k,est519_k),1)),""))</f>
        <v/>
      </c>
      <c r="AI627">
        <f>IF($W627="","",IFERROR(INDEX(IF($T627&lt;=60,est05_s,est519_s),MATCH($W627,IF($T627&lt;=60,est05_k,est519_k),1)),""))</f>
        <v/>
      </c>
      <c r="AJ627">
        <f>IF($W627="","",IFERROR(INDEX(IF($T627&lt;=60,peso05_l,peso510_l),MATCH($W627,IF($T627&lt;=60,peso05_k,peso510_k),1)),""))</f>
        <v/>
      </c>
      <c r="AK627">
        <f>IF($W627="","",IFERROR(INDEX(IF($T627&lt;=60,peso05_m,peso510_m),MATCH($W627,IF($T627&lt;=60,peso05_k,peso510_k),1)),""))</f>
        <v/>
      </c>
      <c r="AL627">
        <f>IF($W627="","",IFERROR(INDEX(IF($T627&lt;=60,peso05_s,peso510_s),MATCH($W627,IF($T627&lt;=60,peso05_k,peso510_k),1)),""))</f>
        <v/>
      </c>
      <c r="AM627">
        <f>IF($AJ627="","",IF($AJ627=0,LN($F627/$AK627)/$AL627,((($F627/$AK627)^$AJ627)-1)/($AJ627*$AL627)))</f>
        <v/>
      </c>
      <c r="AN627">
        <f>IF($AJ627="","",IF($AJ627=0,$AK627*EXP($AL627*2),$AK627*(1+$AJ627*$AL627*2)^(1/$AJ627)))</f>
        <v/>
      </c>
      <c r="AO627">
        <f>IF($AJ627="","",IF($AJ627=0,$AK627*EXP($AL627*3),$AK627*(1+$AJ627*$AL627*3)^(1/$AJ627)))</f>
        <v/>
      </c>
      <c r="AP627">
        <f>IF($AJ627="","",IF($AJ627=0,$AK627*EXP($AL627*-2),$AK627*(1+$AJ627*$AL627*-2)^(1/$AJ627)))</f>
        <v/>
      </c>
      <c r="AQ627">
        <f>IF($AJ627="","",IF($AJ627=0,$AK627*EXP($AL627*-3),$AK627*(1+$AJ627*$AL627*-3)^(1/$AJ627)))</f>
        <v/>
      </c>
      <c r="AR627">
        <f>IF(OR($X627="",$T627&gt;60),"",IFERROR(INDEX(IF($T627&lt;24,pcomp_l,palt_l),MATCH($X627,IF($T627&lt;24,pcomp_k,palt_k),1)),""))</f>
        <v/>
      </c>
      <c r="AS627">
        <f>IF(OR($X627="",$T627&gt;60),"",IFERROR(INDEX(IF($T627&lt;24,pcomp_m,palt_m),MATCH($X627,IF($T627&lt;24,pcomp_k,palt_k),1)),""))</f>
        <v/>
      </c>
      <c r="AT627">
        <f>IF(OR($X627="",$T627&gt;60),"",IFERROR(INDEX(IF($T627&lt;24,pcomp_s,palt_s),MATCH($X627,IF($T627&lt;24,pcomp_k,palt_k),1)),""))</f>
        <v/>
      </c>
      <c r="AU627">
        <f>IF($AR627="","",IF($AR627=0,LN($F627/$AS627)/$AT627,((($F627/$AS627)^$AR627)-1)/($AR627*$AT627)))</f>
        <v/>
      </c>
      <c r="AV627">
        <f>IF($AR627="","",IF($AR627=0,$AS627*EXP($AT627*2),$AS627*(1+$AR627*$AT627*2)^(1/$AR627)))</f>
        <v/>
      </c>
      <c r="AW627">
        <f>IF($AR627="","",IF($AR627=0,$AS627*EXP($AT627*3),$AS627*(1+$AR627*$AT627*3)^(1/$AR627)))</f>
        <v/>
      </c>
      <c r="AX627">
        <f>IF($AR627="","",IF($AR627=0,$AS627*EXP($AT627*-2),$AS627*(1+$AR627*$AT627*-2)^(1/$AR627)))</f>
        <v/>
      </c>
      <c r="AY627">
        <f>IF($AR627="","",IF($AR627=0,$AS627*EXP($AT627*-3),$AS627*(1+$AR627*$AT627*-3)^(1/$AR627)))</f>
        <v/>
      </c>
      <c r="AZ627">
        <f>IF(OR($A627="",$A627&lt;&gt;Ficha!$C$4),"",COUNTIF($A$2:$A627,Ficha!$C$4))</f>
        <v/>
      </c>
    </row>
    <row r="628">
      <c r="A628" s="8">
        <f>IF(INDEX(Banco!$A:$A,ROW())="","",INDEX(Banco!$A:$A,ROW()))</f>
        <v/>
      </c>
      <c r="B628" s="8">
        <f>IF(INDEX(Banco!$B:$B,ROW())="","",INDEX(Banco!$B:$B,ROW()))</f>
        <v/>
      </c>
      <c r="C628" s="8">
        <f>IF(INDEX(Banco!$C:$C,ROW())="","",INDEX(Banco!$C:$C,ROW()))</f>
        <v/>
      </c>
      <c r="D628" s="9">
        <f>IF(INDEX(Banco!$D:$D,ROW())="","",INDEX(Banco!$D:$D,ROW()))</f>
        <v/>
      </c>
      <c r="E628" s="9">
        <f>IF(INDEX(Banco!$E:$E,ROW())="","",INDEX(Banco!$E:$E,ROW()))</f>
        <v/>
      </c>
      <c r="F628" s="10">
        <f>IF(INDEX(Banco!$F:$F,ROW())="","",INDEX(Banco!$F:$F,ROW()))</f>
        <v/>
      </c>
      <c r="G628" s="10">
        <f>IF(INDEX(Banco!$G:$G,ROW())="","",INDEX(Banco!$G:$G,ROW()))</f>
        <v/>
      </c>
      <c r="H628" s="8">
        <f>IF(INDEX(Banco!$H:$H,ROW())="","",INDEX(Banco!$H:$H,ROW()))</f>
        <v/>
      </c>
      <c r="I628">
        <f>IF($T628="","",INT($T628/12)&amp;"a "&amp;MOD($T628,12)&amp;"m")</f>
        <v/>
      </c>
      <c r="J628" s="11">
        <f>IF(OR($F628="",$G628=""),"",ROUND($F628/($G628/100)^2,2))</f>
        <v/>
      </c>
      <c r="K628" s="12">
        <f>IF(OR($S628="",$J628="",$T628="",$T628&lt;0,$T628&gt;228,$Y628=""),"—",ROUND(IF(ABS($AB628)&lt;=3,$AB628,IF($AB628&gt;3,3+($J628-$AD628)/($AD628-$AC628),-3+($J628-$AF628)/($AE628-$AF628))),2))</f>
        <v/>
      </c>
      <c r="L628">
        <f>IF(OR($K628="",$K628="—"),"",IF($T628&lt;=60,IF($K628&lt;-3,"Magreza acentuada",IF($K628&lt;-2,"Magreza",IF($K628&lt;=1,"Eutrofia",IF($K628&lt;=2,"Risco de sobrepeso",IF($K628&lt;=3,"Sobrepeso","Obesidade"))))),IF($K628&lt;-3,"Magreza acentuada",IF($K628&lt;-2,"Magreza",IF($K628&lt;=1,"Eutrofia",IF($K628&lt;=2,"Sobrepeso",IF($K628&lt;=3,"Obesidade","Obesidade grave")))))))</f>
        <v/>
      </c>
      <c r="M628" s="12">
        <f>IF(OR($S628="",$V628="",$T628="",$T628&lt;0,$T628&gt;228,$AG628=""),"—",ROUND(IF($AG628=0,LN($V628/$AH628)/$AI628,((($V628/$AH628)^$AG628)-1)/($AG628*$AI628)),2))</f>
        <v/>
      </c>
      <c r="N628">
        <f>IF(OR($M628="",$M628="—"),"",IF($M628&lt;-3,"Muito baixa",IF($M628&lt;-2,"Baixa","Adequada")))</f>
        <v/>
      </c>
      <c r="O628" s="12">
        <f>IF(OR($S628="",$F628="",$T628="",$T628&lt;0,$T628&gt;120,$AJ628=""),"—",ROUND(IF(ABS($AM628)&lt;=3,$AM628,IF($AM628&gt;3,3+($F628-$AO628)/($AO628-$AN628),-3+($F628-$AQ628)/($AP628-$AQ628))),2))</f>
        <v/>
      </c>
      <c r="P628">
        <f>IF(OR($O628="",$O628="—"),"",IF($O628&lt;-3,"Muito baixo",IF($O628&lt;-2,"Baixo",IF($O628&lt;=2,"Adequado","Elevado"))))</f>
        <v/>
      </c>
      <c r="Q628" s="12">
        <f>IF(OR($S628="",$F628="",$T628="",$T628&lt;0,$T628&gt;60,$AR628=""),"—",ROUND(IF(ABS($AU628)&lt;=3,$AU628,IF($AU628&gt;3,3+($F628-$AW628)/($AW628-$AV628),-3+($F628-$AY628)/($AX628-$AY628))),2))</f>
        <v/>
      </c>
      <c r="R628">
        <f>IF(OR($Q628="",$Q628="—"),"",IF($Q628&lt;-3,"Magreza acentuada",IF($Q628&lt;-2,"Magreza",IF($Q628&lt;=1,"Eutrofia",IF($Q628&lt;=2,"Risco de sobrepeso",IF($Q628&lt;=3,"Sobrepeso","Obesidade"))))))</f>
        <v/>
      </c>
      <c r="S628">
        <f>IF($C628="","",IF(UPPER(LEFT($C628,1))="M",1,IF(UPPER(LEFT($C628,1))="F",2,"")))</f>
        <v/>
      </c>
      <c r="T628">
        <f>IF(OR($D628="",$E628=""),"",DATEDIF($D628,$E628,"m"))</f>
        <v/>
      </c>
      <c r="U628">
        <f>IF(OR($D628="",$E628=""),"",$E628-$D628)</f>
        <v/>
      </c>
      <c r="V628">
        <f>IF(OR($G628="",$T628=""),"",IF($T628&lt;24,IF(LEFT(LOWER($H628),4)="em p",$G628+0.7,$G628),IF(LEFT(LOWER($H628),4)="deit",$G628-0.7,$G628)))</f>
        <v/>
      </c>
      <c r="W628">
        <f>IF(OR($S628="",$T628=""),"",$S628*1000000+IF($T628&lt;=60,$U628,$T628))</f>
        <v/>
      </c>
      <c r="X628">
        <f>IF(OR($S628="",$V628="",$T628&gt;60,$T628=""),"",$S628*1000000+ROUND($V628*10,0))</f>
        <v/>
      </c>
      <c r="Y628">
        <f>IF($W628="","",IFERROR(INDEX(IF($T628&lt;=60,imc05_l,imc519_l),MATCH($W628,IF($T628&lt;=60,imc05_k,imc519_k),1)),""))</f>
        <v/>
      </c>
      <c r="Z628">
        <f>IF($W628="","",IFERROR(INDEX(IF($T628&lt;=60,imc05_m,imc519_m),MATCH($W628,IF($T628&lt;=60,imc05_k,imc519_k),1)),""))</f>
        <v/>
      </c>
      <c r="AA628">
        <f>IF($W628="","",IFERROR(INDEX(IF($T628&lt;=60,imc05_s,imc519_s),MATCH($W628,IF($T628&lt;=60,imc05_k,imc519_k),1)),""))</f>
        <v/>
      </c>
      <c r="AB628">
        <f>IF($Y628="","",IF($Y628=0,LN($J628/$Z628)/$AA628,((($J628/$Z628)^$Y628)-1)/($Y628*$AA628)))</f>
        <v/>
      </c>
      <c r="AC628">
        <f>IF($Y628="","",IF($Y628=0,$Z628*EXP($AA628*2),$Z628*(1+$Y628*$AA628*2)^(1/$Y628)))</f>
        <v/>
      </c>
      <c r="AD628">
        <f>IF($Y628="","",IF($Y628=0,$Z628*EXP($AA628*3),$Z628*(1+$Y628*$AA628*3)^(1/$Y628)))</f>
        <v/>
      </c>
      <c r="AE628">
        <f>IF($Y628="","",IF($Y628=0,$Z628*EXP($AA628*-2),$Z628*(1+$Y628*$AA628*-2)^(1/$Y628)))</f>
        <v/>
      </c>
      <c r="AF628">
        <f>IF($Y628="","",IF($Y628=0,$Z628*EXP($AA628*-3),$Z628*(1+$Y628*$AA628*-3)^(1/$Y628)))</f>
        <v/>
      </c>
      <c r="AG628">
        <f>IF($W628="","",IFERROR(INDEX(IF($T628&lt;=60,est05_l,est519_l),MATCH($W628,IF($T628&lt;=60,est05_k,est519_k),1)),""))</f>
        <v/>
      </c>
      <c r="AH628">
        <f>IF($W628="","",IFERROR(INDEX(IF($T628&lt;=60,est05_m,est519_m),MATCH($W628,IF($T628&lt;=60,est05_k,est519_k),1)),""))</f>
        <v/>
      </c>
      <c r="AI628">
        <f>IF($W628="","",IFERROR(INDEX(IF($T628&lt;=60,est05_s,est519_s),MATCH($W628,IF($T628&lt;=60,est05_k,est519_k),1)),""))</f>
        <v/>
      </c>
      <c r="AJ628">
        <f>IF($W628="","",IFERROR(INDEX(IF($T628&lt;=60,peso05_l,peso510_l),MATCH($W628,IF($T628&lt;=60,peso05_k,peso510_k),1)),""))</f>
        <v/>
      </c>
      <c r="AK628">
        <f>IF($W628="","",IFERROR(INDEX(IF($T628&lt;=60,peso05_m,peso510_m),MATCH($W628,IF($T628&lt;=60,peso05_k,peso510_k),1)),""))</f>
        <v/>
      </c>
      <c r="AL628">
        <f>IF($W628="","",IFERROR(INDEX(IF($T628&lt;=60,peso05_s,peso510_s),MATCH($W628,IF($T628&lt;=60,peso05_k,peso510_k),1)),""))</f>
        <v/>
      </c>
      <c r="AM628">
        <f>IF($AJ628="","",IF($AJ628=0,LN($F628/$AK628)/$AL628,((($F628/$AK628)^$AJ628)-1)/($AJ628*$AL628)))</f>
        <v/>
      </c>
      <c r="AN628">
        <f>IF($AJ628="","",IF($AJ628=0,$AK628*EXP($AL628*2),$AK628*(1+$AJ628*$AL628*2)^(1/$AJ628)))</f>
        <v/>
      </c>
      <c r="AO628">
        <f>IF($AJ628="","",IF($AJ628=0,$AK628*EXP($AL628*3),$AK628*(1+$AJ628*$AL628*3)^(1/$AJ628)))</f>
        <v/>
      </c>
      <c r="AP628">
        <f>IF($AJ628="","",IF($AJ628=0,$AK628*EXP($AL628*-2),$AK628*(1+$AJ628*$AL628*-2)^(1/$AJ628)))</f>
        <v/>
      </c>
      <c r="AQ628">
        <f>IF($AJ628="","",IF($AJ628=0,$AK628*EXP($AL628*-3),$AK628*(1+$AJ628*$AL628*-3)^(1/$AJ628)))</f>
        <v/>
      </c>
      <c r="AR628">
        <f>IF(OR($X628="",$T628&gt;60),"",IFERROR(INDEX(IF($T628&lt;24,pcomp_l,palt_l),MATCH($X628,IF($T628&lt;24,pcomp_k,palt_k),1)),""))</f>
        <v/>
      </c>
      <c r="AS628">
        <f>IF(OR($X628="",$T628&gt;60),"",IFERROR(INDEX(IF($T628&lt;24,pcomp_m,palt_m),MATCH($X628,IF($T628&lt;24,pcomp_k,palt_k),1)),""))</f>
        <v/>
      </c>
      <c r="AT628">
        <f>IF(OR($X628="",$T628&gt;60),"",IFERROR(INDEX(IF($T628&lt;24,pcomp_s,palt_s),MATCH($X628,IF($T628&lt;24,pcomp_k,palt_k),1)),""))</f>
        <v/>
      </c>
      <c r="AU628">
        <f>IF($AR628="","",IF($AR628=0,LN($F628/$AS628)/$AT628,((($F628/$AS628)^$AR628)-1)/($AR628*$AT628)))</f>
        <v/>
      </c>
      <c r="AV628">
        <f>IF($AR628="","",IF($AR628=0,$AS628*EXP($AT628*2),$AS628*(1+$AR628*$AT628*2)^(1/$AR628)))</f>
        <v/>
      </c>
      <c r="AW628">
        <f>IF($AR628="","",IF($AR628=0,$AS628*EXP($AT628*3),$AS628*(1+$AR628*$AT628*3)^(1/$AR628)))</f>
        <v/>
      </c>
      <c r="AX628">
        <f>IF($AR628="","",IF($AR628=0,$AS628*EXP($AT628*-2),$AS628*(1+$AR628*$AT628*-2)^(1/$AR628)))</f>
        <v/>
      </c>
      <c r="AY628">
        <f>IF($AR628="","",IF($AR628=0,$AS628*EXP($AT628*-3),$AS628*(1+$AR628*$AT628*-3)^(1/$AR628)))</f>
        <v/>
      </c>
      <c r="AZ628">
        <f>IF(OR($A628="",$A628&lt;&gt;Ficha!$C$4),"",COUNTIF($A$2:$A628,Ficha!$C$4))</f>
        <v/>
      </c>
    </row>
    <row r="629">
      <c r="A629" s="8">
        <f>IF(INDEX(Banco!$A:$A,ROW())="","",INDEX(Banco!$A:$A,ROW()))</f>
        <v/>
      </c>
      <c r="B629" s="8">
        <f>IF(INDEX(Banco!$B:$B,ROW())="","",INDEX(Banco!$B:$B,ROW()))</f>
        <v/>
      </c>
      <c r="C629" s="8">
        <f>IF(INDEX(Banco!$C:$C,ROW())="","",INDEX(Banco!$C:$C,ROW()))</f>
        <v/>
      </c>
      <c r="D629" s="9">
        <f>IF(INDEX(Banco!$D:$D,ROW())="","",INDEX(Banco!$D:$D,ROW()))</f>
        <v/>
      </c>
      <c r="E629" s="9">
        <f>IF(INDEX(Banco!$E:$E,ROW())="","",INDEX(Banco!$E:$E,ROW()))</f>
        <v/>
      </c>
      <c r="F629" s="10">
        <f>IF(INDEX(Banco!$F:$F,ROW())="","",INDEX(Banco!$F:$F,ROW()))</f>
        <v/>
      </c>
      <c r="G629" s="10">
        <f>IF(INDEX(Banco!$G:$G,ROW())="","",INDEX(Banco!$G:$G,ROW()))</f>
        <v/>
      </c>
      <c r="H629" s="8">
        <f>IF(INDEX(Banco!$H:$H,ROW())="","",INDEX(Banco!$H:$H,ROW()))</f>
        <v/>
      </c>
      <c r="I629">
        <f>IF($T629="","",INT($T629/12)&amp;"a "&amp;MOD($T629,12)&amp;"m")</f>
        <v/>
      </c>
      <c r="J629" s="11">
        <f>IF(OR($F629="",$G629=""),"",ROUND($F629/($G629/100)^2,2))</f>
        <v/>
      </c>
      <c r="K629" s="12">
        <f>IF(OR($S629="",$J629="",$T629="",$T629&lt;0,$T629&gt;228,$Y629=""),"—",ROUND(IF(ABS($AB629)&lt;=3,$AB629,IF($AB629&gt;3,3+($J629-$AD629)/($AD629-$AC629),-3+($J629-$AF629)/($AE629-$AF629))),2))</f>
        <v/>
      </c>
      <c r="L629">
        <f>IF(OR($K629="",$K629="—"),"",IF($T629&lt;=60,IF($K629&lt;-3,"Magreza acentuada",IF($K629&lt;-2,"Magreza",IF($K629&lt;=1,"Eutrofia",IF($K629&lt;=2,"Risco de sobrepeso",IF($K629&lt;=3,"Sobrepeso","Obesidade"))))),IF($K629&lt;-3,"Magreza acentuada",IF($K629&lt;-2,"Magreza",IF($K629&lt;=1,"Eutrofia",IF($K629&lt;=2,"Sobrepeso",IF($K629&lt;=3,"Obesidade","Obesidade grave")))))))</f>
        <v/>
      </c>
      <c r="M629" s="12">
        <f>IF(OR($S629="",$V629="",$T629="",$T629&lt;0,$T629&gt;228,$AG629=""),"—",ROUND(IF($AG629=0,LN($V629/$AH629)/$AI629,((($V629/$AH629)^$AG629)-1)/($AG629*$AI629)),2))</f>
        <v/>
      </c>
      <c r="N629">
        <f>IF(OR($M629="",$M629="—"),"",IF($M629&lt;-3,"Muito baixa",IF($M629&lt;-2,"Baixa","Adequada")))</f>
        <v/>
      </c>
      <c r="O629" s="12">
        <f>IF(OR($S629="",$F629="",$T629="",$T629&lt;0,$T629&gt;120,$AJ629=""),"—",ROUND(IF(ABS($AM629)&lt;=3,$AM629,IF($AM629&gt;3,3+($F629-$AO629)/($AO629-$AN629),-3+($F629-$AQ629)/($AP629-$AQ629))),2))</f>
        <v/>
      </c>
      <c r="P629">
        <f>IF(OR($O629="",$O629="—"),"",IF($O629&lt;-3,"Muito baixo",IF($O629&lt;-2,"Baixo",IF($O629&lt;=2,"Adequado","Elevado"))))</f>
        <v/>
      </c>
      <c r="Q629" s="12">
        <f>IF(OR($S629="",$F629="",$T629="",$T629&lt;0,$T629&gt;60,$AR629=""),"—",ROUND(IF(ABS($AU629)&lt;=3,$AU629,IF($AU629&gt;3,3+($F629-$AW629)/($AW629-$AV629),-3+($F629-$AY629)/($AX629-$AY629))),2))</f>
        <v/>
      </c>
      <c r="R629">
        <f>IF(OR($Q629="",$Q629="—"),"",IF($Q629&lt;-3,"Magreza acentuada",IF($Q629&lt;-2,"Magreza",IF($Q629&lt;=1,"Eutrofia",IF($Q629&lt;=2,"Risco de sobrepeso",IF($Q629&lt;=3,"Sobrepeso","Obesidade"))))))</f>
        <v/>
      </c>
      <c r="S629">
        <f>IF($C629="","",IF(UPPER(LEFT($C629,1))="M",1,IF(UPPER(LEFT($C629,1))="F",2,"")))</f>
        <v/>
      </c>
      <c r="T629">
        <f>IF(OR($D629="",$E629=""),"",DATEDIF($D629,$E629,"m"))</f>
        <v/>
      </c>
      <c r="U629">
        <f>IF(OR($D629="",$E629=""),"",$E629-$D629)</f>
        <v/>
      </c>
      <c r="V629">
        <f>IF(OR($G629="",$T629=""),"",IF($T629&lt;24,IF(LEFT(LOWER($H629),4)="em p",$G629+0.7,$G629),IF(LEFT(LOWER($H629),4)="deit",$G629-0.7,$G629)))</f>
        <v/>
      </c>
      <c r="W629">
        <f>IF(OR($S629="",$T629=""),"",$S629*1000000+IF($T629&lt;=60,$U629,$T629))</f>
        <v/>
      </c>
      <c r="X629">
        <f>IF(OR($S629="",$V629="",$T629&gt;60,$T629=""),"",$S629*1000000+ROUND($V629*10,0))</f>
        <v/>
      </c>
      <c r="Y629">
        <f>IF($W629="","",IFERROR(INDEX(IF($T629&lt;=60,imc05_l,imc519_l),MATCH($W629,IF($T629&lt;=60,imc05_k,imc519_k),1)),""))</f>
        <v/>
      </c>
      <c r="Z629">
        <f>IF($W629="","",IFERROR(INDEX(IF($T629&lt;=60,imc05_m,imc519_m),MATCH($W629,IF($T629&lt;=60,imc05_k,imc519_k),1)),""))</f>
        <v/>
      </c>
      <c r="AA629">
        <f>IF($W629="","",IFERROR(INDEX(IF($T629&lt;=60,imc05_s,imc519_s),MATCH($W629,IF($T629&lt;=60,imc05_k,imc519_k),1)),""))</f>
        <v/>
      </c>
      <c r="AB629">
        <f>IF($Y629="","",IF($Y629=0,LN($J629/$Z629)/$AA629,((($J629/$Z629)^$Y629)-1)/($Y629*$AA629)))</f>
        <v/>
      </c>
      <c r="AC629">
        <f>IF($Y629="","",IF($Y629=0,$Z629*EXP($AA629*2),$Z629*(1+$Y629*$AA629*2)^(1/$Y629)))</f>
        <v/>
      </c>
      <c r="AD629">
        <f>IF($Y629="","",IF($Y629=0,$Z629*EXP($AA629*3),$Z629*(1+$Y629*$AA629*3)^(1/$Y629)))</f>
        <v/>
      </c>
      <c r="AE629">
        <f>IF($Y629="","",IF($Y629=0,$Z629*EXP($AA629*-2),$Z629*(1+$Y629*$AA629*-2)^(1/$Y629)))</f>
        <v/>
      </c>
      <c r="AF629">
        <f>IF($Y629="","",IF($Y629=0,$Z629*EXP($AA629*-3),$Z629*(1+$Y629*$AA629*-3)^(1/$Y629)))</f>
        <v/>
      </c>
      <c r="AG629">
        <f>IF($W629="","",IFERROR(INDEX(IF($T629&lt;=60,est05_l,est519_l),MATCH($W629,IF($T629&lt;=60,est05_k,est519_k),1)),""))</f>
        <v/>
      </c>
      <c r="AH629">
        <f>IF($W629="","",IFERROR(INDEX(IF($T629&lt;=60,est05_m,est519_m),MATCH($W629,IF($T629&lt;=60,est05_k,est519_k),1)),""))</f>
        <v/>
      </c>
      <c r="AI629">
        <f>IF($W629="","",IFERROR(INDEX(IF($T629&lt;=60,est05_s,est519_s),MATCH($W629,IF($T629&lt;=60,est05_k,est519_k),1)),""))</f>
        <v/>
      </c>
      <c r="AJ629">
        <f>IF($W629="","",IFERROR(INDEX(IF($T629&lt;=60,peso05_l,peso510_l),MATCH($W629,IF($T629&lt;=60,peso05_k,peso510_k),1)),""))</f>
        <v/>
      </c>
      <c r="AK629">
        <f>IF($W629="","",IFERROR(INDEX(IF($T629&lt;=60,peso05_m,peso510_m),MATCH($W629,IF($T629&lt;=60,peso05_k,peso510_k),1)),""))</f>
        <v/>
      </c>
      <c r="AL629">
        <f>IF($W629="","",IFERROR(INDEX(IF($T629&lt;=60,peso05_s,peso510_s),MATCH($W629,IF($T629&lt;=60,peso05_k,peso510_k),1)),""))</f>
        <v/>
      </c>
      <c r="AM629">
        <f>IF($AJ629="","",IF($AJ629=0,LN($F629/$AK629)/$AL629,((($F629/$AK629)^$AJ629)-1)/($AJ629*$AL629)))</f>
        <v/>
      </c>
      <c r="AN629">
        <f>IF($AJ629="","",IF($AJ629=0,$AK629*EXP($AL629*2),$AK629*(1+$AJ629*$AL629*2)^(1/$AJ629)))</f>
        <v/>
      </c>
      <c r="AO629">
        <f>IF($AJ629="","",IF($AJ629=0,$AK629*EXP($AL629*3),$AK629*(1+$AJ629*$AL629*3)^(1/$AJ629)))</f>
        <v/>
      </c>
      <c r="AP629">
        <f>IF($AJ629="","",IF($AJ629=0,$AK629*EXP($AL629*-2),$AK629*(1+$AJ629*$AL629*-2)^(1/$AJ629)))</f>
        <v/>
      </c>
      <c r="AQ629">
        <f>IF($AJ629="","",IF($AJ629=0,$AK629*EXP($AL629*-3),$AK629*(1+$AJ629*$AL629*-3)^(1/$AJ629)))</f>
        <v/>
      </c>
      <c r="AR629">
        <f>IF(OR($X629="",$T629&gt;60),"",IFERROR(INDEX(IF($T629&lt;24,pcomp_l,palt_l),MATCH($X629,IF($T629&lt;24,pcomp_k,palt_k),1)),""))</f>
        <v/>
      </c>
      <c r="AS629">
        <f>IF(OR($X629="",$T629&gt;60),"",IFERROR(INDEX(IF($T629&lt;24,pcomp_m,palt_m),MATCH($X629,IF($T629&lt;24,pcomp_k,palt_k),1)),""))</f>
        <v/>
      </c>
      <c r="AT629">
        <f>IF(OR($X629="",$T629&gt;60),"",IFERROR(INDEX(IF($T629&lt;24,pcomp_s,palt_s),MATCH($X629,IF($T629&lt;24,pcomp_k,palt_k),1)),""))</f>
        <v/>
      </c>
      <c r="AU629">
        <f>IF($AR629="","",IF($AR629=0,LN($F629/$AS629)/$AT629,((($F629/$AS629)^$AR629)-1)/($AR629*$AT629)))</f>
        <v/>
      </c>
      <c r="AV629">
        <f>IF($AR629="","",IF($AR629=0,$AS629*EXP($AT629*2),$AS629*(1+$AR629*$AT629*2)^(1/$AR629)))</f>
        <v/>
      </c>
      <c r="AW629">
        <f>IF($AR629="","",IF($AR629=0,$AS629*EXP($AT629*3),$AS629*(1+$AR629*$AT629*3)^(1/$AR629)))</f>
        <v/>
      </c>
      <c r="AX629">
        <f>IF($AR629="","",IF($AR629=0,$AS629*EXP($AT629*-2),$AS629*(1+$AR629*$AT629*-2)^(1/$AR629)))</f>
        <v/>
      </c>
      <c r="AY629">
        <f>IF($AR629="","",IF($AR629=0,$AS629*EXP($AT629*-3),$AS629*(1+$AR629*$AT629*-3)^(1/$AR629)))</f>
        <v/>
      </c>
      <c r="AZ629">
        <f>IF(OR($A629="",$A629&lt;&gt;Ficha!$C$4),"",COUNTIF($A$2:$A629,Ficha!$C$4))</f>
        <v/>
      </c>
    </row>
    <row r="630">
      <c r="A630" s="8">
        <f>IF(INDEX(Banco!$A:$A,ROW())="","",INDEX(Banco!$A:$A,ROW()))</f>
        <v/>
      </c>
      <c r="B630" s="8">
        <f>IF(INDEX(Banco!$B:$B,ROW())="","",INDEX(Banco!$B:$B,ROW()))</f>
        <v/>
      </c>
      <c r="C630" s="8">
        <f>IF(INDEX(Banco!$C:$C,ROW())="","",INDEX(Banco!$C:$C,ROW()))</f>
        <v/>
      </c>
      <c r="D630" s="9">
        <f>IF(INDEX(Banco!$D:$D,ROW())="","",INDEX(Banco!$D:$D,ROW()))</f>
        <v/>
      </c>
      <c r="E630" s="9">
        <f>IF(INDEX(Banco!$E:$E,ROW())="","",INDEX(Banco!$E:$E,ROW()))</f>
        <v/>
      </c>
      <c r="F630" s="10">
        <f>IF(INDEX(Banco!$F:$F,ROW())="","",INDEX(Banco!$F:$F,ROW()))</f>
        <v/>
      </c>
      <c r="G630" s="10">
        <f>IF(INDEX(Banco!$G:$G,ROW())="","",INDEX(Banco!$G:$G,ROW()))</f>
        <v/>
      </c>
      <c r="H630" s="8">
        <f>IF(INDEX(Banco!$H:$H,ROW())="","",INDEX(Banco!$H:$H,ROW()))</f>
        <v/>
      </c>
      <c r="I630">
        <f>IF($T630="","",INT($T630/12)&amp;"a "&amp;MOD($T630,12)&amp;"m")</f>
        <v/>
      </c>
      <c r="J630" s="11">
        <f>IF(OR($F630="",$G630=""),"",ROUND($F630/($G630/100)^2,2))</f>
        <v/>
      </c>
      <c r="K630" s="12">
        <f>IF(OR($S630="",$J630="",$T630="",$T630&lt;0,$T630&gt;228,$Y630=""),"—",ROUND(IF(ABS($AB630)&lt;=3,$AB630,IF($AB630&gt;3,3+($J630-$AD630)/($AD630-$AC630),-3+($J630-$AF630)/($AE630-$AF630))),2))</f>
        <v/>
      </c>
      <c r="L630">
        <f>IF(OR($K630="",$K630="—"),"",IF($T630&lt;=60,IF($K630&lt;-3,"Magreza acentuada",IF($K630&lt;-2,"Magreza",IF($K630&lt;=1,"Eutrofia",IF($K630&lt;=2,"Risco de sobrepeso",IF($K630&lt;=3,"Sobrepeso","Obesidade"))))),IF($K630&lt;-3,"Magreza acentuada",IF($K630&lt;-2,"Magreza",IF($K630&lt;=1,"Eutrofia",IF($K630&lt;=2,"Sobrepeso",IF($K630&lt;=3,"Obesidade","Obesidade grave")))))))</f>
        <v/>
      </c>
      <c r="M630" s="12">
        <f>IF(OR($S630="",$V630="",$T630="",$T630&lt;0,$T630&gt;228,$AG630=""),"—",ROUND(IF($AG630=0,LN($V630/$AH630)/$AI630,((($V630/$AH630)^$AG630)-1)/($AG630*$AI630)),2))</f>
        <v/>
      </c>
      <c r="N630">
        <f>IF(OR($M630="",$M630="—"),"",IF($M630&lt;-3,"Muito baixa",IF($M630&lt;-2,"Baixa","Adequada")))</f>
        <v/>
      </c>
      <c r="O630" s="12">
        <f>IF(OR($S630="",$F630="",$T630="",$T630&lt;0,$T630&gt;120,$AJ630=""),"—",ROUND(IF(ABS($AM630)&lt;=3,$AM630,IF($AM630&gt;3,3+($F630-$AO630)/($AO630-$AN630),-3+($F630-$AQ630)/($AP630-$AQ630))),2))</f>
        <v/>
      </c>
      <c r="P630">
        <f>IF(OR($O630="",$O630="—"),"",IF($O630&lt;-3,"Muito baixo",IF($O630&lt;-2,"Baixo",IF($O630&lt;=2,"Adequado","Elevado"))))</f>
        <v/>
      </c>
      <c r="Q630" s="12">
        <f>IF(OR($S630="",$F630="",$T630="",$T630&lt;0,$T630&gt;60,$AR630=""),"—",ROUND(IF(ABS($AU630)&lt;=3,$AU630,IF($AU630&gt;3,3+($F630-$AW630)/($AW630-$AV630),-3+($F630-$AY630)/($AX630-$AY630))),2))</f>
        <v/>
      </c>
      <c r="R630">
        <f>IF(OR($Q630="",$Q630="—"),"",IF($Q630&lt;-3,"Magreza acentuada",IF($Q630&lt;-2,"Magreza",IF($Q630&lt;=1,"Eutrofia",IF($Q630&lt;=2,"Risco de sobrepeso",IF($Q630&lt;=3,"Sobrepeso","Obesidade"))))))</f>
        <v/>
      </c>
      <c r="S630">
        <f>IF($C630="","",IF(UPPER(LEFT($C630,1))="M",1,IF(UPPER(LEFT($C630,1))="F",2,"")))</f>
        <v/>
      </c>
      <c r="T630">
        <f>IF(OR($D630="",$E630=""),"",DATEDIF($D630,$E630,"m"))</f>
        <v/>
      </c>
      <c r="U630">
        <f>IF(OR($D630="",$E630=""),"",$E630-$D630)</f>
        <v/>
      </c>
      <c r="V630">
        <f>IF(OR($G630="",$T630=""),"",IF($T630&lt;24,IF(LEFT(LOWER($H630),4)="em p",$G630+0.7,$G630),IF(LEFT(LOWER($H630),4)="deit",$G630-0.7,$G630)))</f>
        <v/>
      </c>
      <c r="W630">
        <f>IF(OR($S630="",$T630=""),"",$S630*1000000+IF($T630&lt;=60,$U630,$T630))</f>
        <v/>
      </c>
      <c r="X630">
        <f>IF(OR($S630="",$V630="",$T630&gt;60,$T630=""),"",$S630*1000000+ROUND($V630*10,0))</f>
        <v/>
      </c>
      <c r="Y630">
        <f>IF($W630="","",IFERROR(INDEX(IF($T630&lt;=60,imc05_l,imc519_l),MATCH($W630,IF($T630&lt;=60,imc05_k,imc519_k),1)),""))</f>
        <v/>
      </c>
      <c r="Z630">
        <f>IF($W630="","",IFERROR(INDEX(IF($T630&lt;=60,imc05_m,imc519_m),MATCH($W630,IF($T630&lt;=60,imc05_k,imc519_k),1)),""))</f>
        <v/>
      </c>
      <c r="AA630">
        <f>IF($W630="","",IFERROR(INDEX(IF($T630&lt;=60,imc05_s,imc519_s),MATCH($W630,IF($T630&lt;=60,imc05_k,imc519_k),1)),""))</f>
        <v/>
      </c>
      <c r="AB630">
        <f>IF($Y630="","",IF($Y630=0,LN($J630/$Z630)/$AA630,((($J630/$Z630)^$Y630)-1)/($Y630*$AA630)))</f>
        <v/>
      </c>
      <c r="AC630">
        <f>IF($Y630="","",IF($Y630=0,$Z630*EXP($AA630*2),$Z630*(1+$Y630*$AA630*2)^(1/$Y630)))</f>
        <v/>
      </c>
      <c r="AD630">
        <f>IF($Y630="","",IF($Y630=0,$Z630*EXP($AA630*3),$Z630*(1+$Y630*$AA630*3)^(1/$Y630)))</f>
        <v/>
      </c>
      <c r="AE630">
        <f>IF($Y630="","",IF($Y630=0,$Z630*EXP($AA630*-2),$Z630*(1+$Y630*$AA630*-2)^(1/$Y630)))</f>
        <v/>
      </c>
      <c r="AF630">
        <f>IF($Y630="","",IF($Y630=0,$Z630*EXP($AA630*-3),$Z630*(1+$Y630*$AA630*-3)^(1/$Y630)))</f>
        <v/>
      </c>
      <c r="AG630">
        <f>IF($W630="","",IFERROR(INDEX(IF($T630&lt;=60,est05_l,est519_l),MATCH($W630,IF($T630&lt;=60,est05_k,est519_k),1)),""))</f>
        <v/>
      </c>
      <c r="AH630">
        <f>IF($W630="","",IFERROR(INDEX(IF($T630&lt;=60,est05_m,est519_m),MATCH($W630,IF($T630&lt;=60,est05_k,est519_k),1)),""))</f>
        <v/>
      </c>
      <c r="AI630">
        <f>IF($W630="","",IFERROR(INDEX(IF($T630&lt;=60,est05_s,est519_s),MATCH($W630,IF($T630&lt;=60,est05_k,est519_k),1)),""))</f>
        <v/>
      </c>
      <c r="AJ630">
        <f>IF($W630="","",IFERROR(INDEX(IF($T630&lt;=60,peso05_l,peso510_l),MATCH($W630,IF($T630&lt;=60,peso05_k,peso510_k),1)),""))</f>
        <v/>
      </c>
      <c r="AK630">
        <f>IF($W630="","",IFERROR(INDEX(IF($T630&lt;=60,peso05_m,peso510_m),MATCH($W630,IF($T630&lt;=60,peso05_k,peso510_k),1)),""))</f>
        <v/>
      </c>
      <c r="AL630">
        <f>IF($W630="","",IFERROR(INDEX(IF($T630&lt;=60,peso05_s,peso510_s),MATCH($W630,IF($T630&lt;=60,peso05_k,peso510_k),1)),""))</f>
        <v/>
      </c>
      <c r="AM630">
        <f>IF($AJ630="","",IF($AJ630=0,LN($F630/$AK630)/$AL630,((($F630/$AK630)^$AJ630)-1)/($AJ630*$AL630)))</f>
        <v/>
      </c>
      <c r="AN630">
        <f>IF($AJ630="","",IF($AJ630=0,$AK630*EXP($AL630*2),$AK630*(1+$AJ630*$AL630*2)^(1/$AJ630)))</f>
        <v/>
      </c>
      <c r="AO630">
        <f>IF($AJ630="","",IF($AJ630=0,$AK630*EXP($AL630*3),$AK630*(1+$AJ630*$AL630*3)^(1/$AJ630)))</f>
        <v/>
      </c>
      <c r="AP630">
        <f>IF($AJ630="","",IF($AJ630=0,$AK630*EXP($AL630*-2),$AK630*(1+$AJ630*$AL630*-2)^(1/$AJ630)))</f>
        <v/>
      </c>
      <c r="AQ630">
        <f>IF($AJ630="","",IF($AJ630=0,$AK630*EXP($AL630*-3),$AK630*(1+$AJ630*$AL630*-3)^(1/$AJ630)))</f>
        <v/>
      </c>
      <c r="AR630">
        <f>IF(OR($X630="",$T630&gt;60),"",IFERROR(INDEX(IF($T630&lt;24,pcomp_l,palt_l),MATCH($X630,IF($T630&lt;24,pcomp_k,palt_k),1)),""))</f>
        <v/>
      </c>
      <c r="AS630">
        <f>IF(OR($X630="",$T630&gt;60),"",IFERROR(INDEX(IF($T630&lt;24,pcomp_m,palt_m),MATCH($X630,IF($T630&lt;24,pcomp_k,palt_k),1)),""))</f>
        <v/>
      </c>
      <c r="AT630">
        <f>IF(OR($X630="",$T630&gt;60),"",IFERROR(INDEX(IF($T630&lt;24,pcomp_s,palt_s),MATCH($X630,IF($T630&lt;24,pcomp_k,palt_k),1)),""))</f>
        <v/>
      </c>
      <c r="AU630">
        <f>IF($AR630="","",IF($AR630=0,LN($F630/$AS630)/$AT630,((($F630/$AS630)^$AR630)-1)/($AR630*$AT630)))</f>
        <v/>
      </c>
      <c r="AV630">
        <f>IF($AR630="","",IF($AR630=0,$AS630*EXP($AT630*2),$AS630*(1+$AR630*$AT630*2)^(1/$AR630)))</f>
        <v/>
      </c>
      <c r="AW630">
        <f>IF($AR630="","",IF($AR630=0,$AS630*EXP($AT630*3),$AS630*(1+$AR630*$AT630*3)^(1/$AR630)))</f>
        <v/>
      </c>
      <c r="AX630">
        <f>IF($AR630="","",IF($AR630=0,$AS630*EXP($AT630*-2),$AS630*(1+$AR630*$AT630*-2)^(1/$AR630)))</f>
        <v/>
      </c>
      <c r="AY630">
        <f>IF($AR630="","",IF($AR630=0,$AS630*EXP($AT630*-3),$AS630*(1+$AR630*$AT630*-3)^(1/$AR630)))</f>
        <v/>
      </c>
      <c r="AZ630">
        <f>IF(OR($A630="",$A630&lt;&gt;Ficha!$C$4),"",COUNTIF($A$2:$A630,Ficha!$C$4))</f>
        <v/>
      </c>
    </row>
    <row r="631">
      <c r="A631" s="8">
        <f>IF(INDEX(Banco!$A:$A,ROW())="","",INDEX(Banco!$A:$A,ROW()))</f>
        <v/>
      </c>
      <c r="B631" s="8">
        <f>IF(INDEX(Banco!$B:$B,ROW())="","",INDEX(Banco!$B:$B,ROW()))</f>
        <v/>
      </c>
      <c r="C631" s="8">
        <f>IF(INDEX(Banco!$C:$C,ROW())="","",INDEX(Banco!$C:$C,ROW()))</f>
        <v/>
      </c>
      <c r="D631" s="9">
        <f>IF(INDEX(Banco!$D:$D,ROW())="","",INDEX(Banco!$D:$D,ROW()))</f>
        <v/>
      </c>
      <c r="E631" s="9">
        <f>IF(INDEX(Banco!$E:$E,ROW())="","",INDEX(Banco!$E:$E,ROW()))</f>
        <v/>
      </c>
      <c r="F631" s="10">
        <f>IF(INDEX(Banco!$F:$F,ROW())="","",INDEX(Banco!$F:$F,ROW()))</f>
        <v/>
      </c>
      <c r="G631" s="10">
        <f>IF(INDEX(Banco!$G:$G,ROW())="","",INDEX(Banco!$G:$G,ROW()))</f>
        <v/>
      </c>
      <c r="H631" s="8">
        <f>IF(INDEX(Banco!$H:$H,ROW())="","",INDEX(Banco!$H:$H,ROW()))</f>
        <v/>
      </c>
      <c r="I631">
        <f>IF($T631="","",INT($T631/12)&amp;"a "&amp;MOD($T631,12)&amp;"m")</f>
        <v/>
      </c>
      <c r="J631" s="11">
        <f>IF(OR($F631="",$G631=""),"",ROUND($F631/($G631/100)^2,2))</f>
        <v/>
      </c>
      <c r="K631" s="12">
        <f>IF(OR($S631="",$J631="",$T631="",$T631&lt;0,$T631&gt;228,$Y631=""),"—",ROUND(IF(ABS($AB631)&lt;=3,$AB631,IF($AB631&gt;3,3+($J631-$AD631)/($AD631-$AC631),-3+($J631-$AF631)/($AE631-$AF631))),2))</f>
        <v/>
      </c>
      <c r="L631">
        <f>IF(OR($K631="",$K631="—"),"",IF($T631&lt;=60,IF($K631&lt;-3,"Magreza acentuada",IF($K631&lt;-2,"Magreza",IF($K631&lt;=1,"Eutrofia",IF($K631&lt;=2,"Risco de sobrepeso",IF($K631&lt;=3,"Sobrepeso","Obesidade"))))),IF($K631&lt;-3,"Magreza acentuada",IF($K631&lt;-2,"Magreza",IF($K631&lt;=1,"Eutrofia",IF($K631&lt;=2,"Sobrepeso",IF($K631&lt;=3,"Obesidade","Obesidade grave")))))))</f>
        <v/>
      </c>
      <c r="M631" s="12">
        <f>IF(OR($S631="",$V631="",$T631="",$T631&lt;0,$T631&gt;228,$AG631=""),"—",ROUND(IF($AG631=0,LN($V631/$AH631)/$AI631,((($V631/$AH631)^$AG631)-1)/($AG631*$AI631)),2))</f>
        <v/>
      </c>
      <c r="N631">
        <f>IF(OR($M631="",$M631="—"),"",IF($M631&lt;-3,"Muito baixa",IF($M631&lt;-2,"Baixa","Adequada")))</f>
        <v/>
      </c>
      <c r="O631" s="12">
        <f>IF(OR($S631="",$F631="",$T631="",$T631&lt;0,$T631&gt;120,$AJ631=""),"—",ROUND(IF(ABS($AM631)&lt;=3,$AM631,IF($AM631&gt;3,3+($F631-$AO631)/($AO631-$AN631),-3+($F631-$AQ631)/($AP631-$AQ631))),2))</f>
        <v/>
      </c>
      <c r="P631">
        <f>IF(OR($O631="",$O631="—"),"",IF($O631&lt;-3,"Muito baixo",IF($O631&lt;-2,"Baixo",IF($O631&lt;=2,"Adequado","Elevado"))))</f>
        <v/>
      </c>
      <c r="Q631" s="12">
        <f>IF(OR($S631="",$F631="",$T631="",$T631&lt;0,$T631&gt;60,$AR631=""),"—",ROUND(IF(ABS($AU631)&lt;=3,$AU631,IF($AU631&gt;3,3+($F631-$AW631)/($AW631-$AV631),-3+($F631-$AY631)/($AX631-$AY631))),2))</f>
        <v/>
      </c>
      <c r="R631">
        <f>IF(OR($Q631="",$Q631="—"),"",IF($Q631&lt;-3,"Magreza acentuada",IF($Q631&lt;-2,"Magreza",IF($Q631&lt;=1,"Eutrofia",IF($Q631&lt;=2,"Risco de sobrepeso",IF($Q631&lt;=3,"Sobrepeso","Obesidade"))))))</f>
        <v/>
      </c>
      <c r="S631">
        <f>IF($C631="","",IF(UPPER(LEFT($C631,1))="M",1,IF(UPPER(LEFT($C631,1))="F",2,"")))</f>
        <v/>
      </c>
      <c r="T631">
        <f>IF(OR($D631="",$E631=""),"",DATEDIF($D631,$E631,"m"))</f>
        <v/>
      </c>
      <c r="U631">
        <f>IF(OR($D631="",$E631=""),"",$E631-$D631)</f>
        <v/>
      </c>
      <c r="V631">
        <f>IF(OR($G631="",$T631=""),"",IF($T631&lt;24,IF(LEFT(LOWER($H631),4)="em p",$G631+0.7,$G631),IF(LEFT(LOWER($H631),4)="deit",$G631-0.7,$G631)))</f>
        <v/>
      </c>
      <c r="W631">
        <f>IF(OR($S631="",$T631=""),"",$S631*1000000+IF($T631&lt;=60,$U631,$T631))</f>
        <v/>
      </c>
      <c r="X631">
        <f>IF(OR($S631="",$V631="",$T631&gt;60,$T631=""),"",$S631*1000000+ROUND($V631*10,0))</f>
        <v/>
      </c>
      <c r="Y631">
        <f>IF($W631="","",IFERROR(INDEX(IF($T631&lt;=60,imc05_l,imc519_l),MATCH($W631,IF($T631&lt;=60,imc05_k,imc519_k),1)),""))</f>
        <v/>
      </c>
      <c r="Z631">
        <f>IF($W631="","",IFERROR(INDEX(IF($T631&lt;=60,imc05_m,imc519_m),MATCH($W631,IF($T631&lt;=60,imc05_k,imc519_k),1)),""))</f>
        <v/>
      </c>
      <c r="AA631">
        <f>IF($W631="","",IFERROR(INDEX(IF($T631&lt;=60,imc05_s,imc519_s),MATCH($W631,IF($T631&lt;=60,imc05_k,imc519_k),1)),""))</f>
        <v/>
      </c>
      <c r="AB631">
        <f>IF($Y631="","",IF($Y631=0,LN($J631/$Z631)/$AA631,((($J631/$Z631)^$Y631)-1)/($Y631*$AA631)))</f>
        <v/>
      </c>
      <c r="AC631">
        <f>IF($Y631="","",IF($Y631=0,$Z631*EXP($AA631*2),$Z631*(1+$Y631*$AA631*2)^(1/$Y631)))</f>
        <v/>
      </c>
      <c r="AD631">
        <f>IF($Y631="","",IF($Y631=0,$Z631*EXP($AA631*3),$Z631*(1+$Y631*$AA631*3)^(1/$Y631)))</f>
        <v/>
      </c>
      <c r="AE631">
        <f>IF($Y631="","",IF($Y631=0,$Z631*EXP($AA631*-2),$Z631*(1+$Y631*$AA631*-2)^(1/$Y631)))</f>
        <v/>
      </c>
      <c r="AF631">
        <f>IF($Y631="","",IF($Y631=0,$Z631*EXP($AA631*-3),$Z631*(1+$Y631*$AA631*-3)^(1/$Y631)))</f>
        <v/>
      </c>
      <c r="AG631">
        <f>IF($W631="","",IFERROR(INDEX(IF($T631&lt;=60,est05_l,est519_l),MATCH($W631,IF($T631&lt;=60,est05_k,est519_k),1)),""))</f>
        <v/>
      </c>
      <c r="AH631">
        <f>IF($W631="","",IFERROR(INDEX(IF($T631&lt;=60,est05_m,est519_m),MATCH($W631,IF($T631&lt;=60,est05_k,est519_k),1)),""))</f>
        <v/>
      </c>
      <c r="AI631">
        <f>IF($W631="","",IFERROR(INDEX(IF($T631&lt;=60,est05_s,est519_s),MATCH($W631,IF($T631&lt;=60,est05_k,est519_k),1)),""))</f>
        <v/>
      </c>
      <c r="AJ631">
        <f>IF($W631="","",IFERROR(INDEX(IF($T631&lt;=60,peso05_l,peso510_l),MATCH($W631,IF($T631&lt;=60,peso05_k,peso510_k),1)),""))</f>
        <v/>
      </c>
      <c r="AK631">
        <f>IF($W631="","",IFERROR(INDEX(IF($T631&lt;=60,peso05_m,peso510_m),MATCH($W631,IF($T631&lt;=60,peso05_k,peso510_k),1)),""))</f>
        <v/>
      </c>
      <c r="AL631">
        <f>IF($W631="","",IFERROR(INDEX(IF($T631&lt;=60,peso05_s,peso510_s),MATCH($W631,IF($T631&lt;=60,peso05_k,peso510_k),1)),""))</f>
        <v/>
      </c>
      <c r="AM631">
        <f>IF($AJ631="","",IF($AJ631=0,LN($F631/$AK631)/$AL631,((($F631/$AK631)^$AJ631)-1)/($AJ631*$AL631)))</f>
        <v/>
      </c>
      <c r="AN631">
        <f>IF($AJ631="","",IF($AJ631=0,$AK631*EXP($AL631*2),$AK631*(1+$AJ631*$AL631*2)^(1/$AJ631)))</f>
        <v/>
      </c>
      <c r="AO631">
        <f>IF($AJ631="","",IF($AJ631=0,$AK631*EXP($AL631*3),$AK631*(1+$AJ631*$AL631*3)^(1/$AJ631)))</f>
        <v/>
      </c>
      <c r="AP631">
        <f>IF($AJ631="","",IF($AJ631=0,$AK631*EXP($AL631*-2),$AK631*(1+$AJ631*$AL631*-2)^(1/$AJ631)))</f>
        <v/>
      </c>
      <c r="AQ631">
        <f>IF($AJ631="","",IF($AJ631=0,$AK631*EXP($AL631*-3),$AK631*(1+$AJ631*$AL631*-3)^(1/$AJ631)))</f>
        <v/>
      </c>
      <c r="AR631">
        <f>IF(OR($X631="",$T631&gt;60),"",IFERROR(INDEX(IF($T631&lt;24,pcomp_l,palt_l),MATCH($X631,IF($T631&lt;24,pcomp_k,palt_k),1)),""))</f>
        <v/>
      </c>
      <c r="AS631">
        <f>IF(OR($X631="",$T631&gt;60),"",IFERROR(INDEX(IF($T631&lt;24,pcomp_m,palt_m),MATCH($X631,IF($T631&lt;24,pcomp_k,palt_k),1)),""))</f>
        <v/>
      </c>
      <c r="AT631">
        <f>IF(OR($X631="",$T631&gt;60),"",IFERROR(INDEX(IF($T631&lt;24,pcomp_s,palt_s),MATCH($X631,IF($T631&lt;24,pcomp_k,palt_k),1)),""))</f>
        <v/>
      </c>
      <c r="AU631">
        <f>IF($AR631="","",IF($AR631=0,LN($F631/$AS631)/$AT631,((($F631/$AS631)^$AR631)-1)/($AR631*$AT631)))</f>
        <v/>
      </c>
      <c r="AV631">
        <f>IF($AR631="","",IF($AR631=0,$AS631*EXP($AT631*2),$AS631*(1+$AR631*$AT631*2)^(1/$AR631)))</f>
        <v/>
      </c>
      <c r="AW631">
        <f>IF($AR631="","",IF($AR631=0,$AS631*EXP($AT631*3),$AS631*(1+$AR631*$AT631*3)^(1/$AR631)))</f>
        <v/>
      </c>
      <c r="AX631">
        <f>IF($AR631="","",IF($AR631=0,$AS631*EXP($AT631*-2),$AS631*(1+$AR631*$AT631*-2)^(1/$AR631)))</f>
        <v/>
      </c>
      <c r="AY631">
        <f>IF($AR631="","",IF($AR631=0,$AS631*EXP($AT631*-3),$AS631*(1+$AR631*$AT631*-3)^(1/$AR631)))</f>
        <v/>
      </c>
      <c r="AZ631">
        <f>IF(OR($A631="",$A631&lt;&gt;Ficha!$C$4),"",COUNTIF($A$2:$A631,Ficha!$C$4))</f>
        <v/>
      </c>
    </row>
    <row r="632">
      <c r="A632" s="8">
        <f>IF(INDEX(Banco!$A:$A,ROW())="","",INDEX(Banco!$A:$A,ROW()))</f>
        <v/>
      </c>
      <c r="B632" s="8">
        <f>IF(INDEX(Banco!$B:$B,ROW())="","",INDEX(Banco!$B:$B,ROW()))</f>
        <v/>
      </c>
      <c r="C632" s="8">
        <f>IF(INDEX(Banco!$C:$C,ROW())="","",INDEX(Banco!$C:$C,ROW()))</f>
        <v/>
      </c>
      <c r="D632" s="9">
        <f>IF(INDEX(Banco!$D:$D,ROW())="","",INDEX(Banco!$D:$D,ROW()))</f>
        <v/>
      </c>
      <c r="E632" s="9">
        <f>IF(INDEX(Banco!$E:$E,ROW())="","",INDEX(Banco!$E:$E,ROW()))</f>
        <v/>
      </c>
      <c r="F632" s="10">
        <f>IF(INDEX(Banco!$F:$F,ROW())="","",INDEX(Banco!$F:$F,ROW()))</f>
        <v/>
      </c>
      <c r="G632" s="10">
        <f>IF(INDEX(Banco!$G:$G,ROW())="","",INDEX(Banco!$G:$G,ROW()))</f>
        <v/>
      </c>
      <c r="H632" s="8">
        <f>IF(INDEX(Banco!$H:$H,ROW())="","",INDEX(Banco!$H:$H,ROW()))</f>
        <v/>
      </c>
      <c r="I632">
        <f>IF($T632="","",INT($T632/12)&amp;"a "&amp;MOD($T632,12)&amp;"m")</f>
        <v/>
      </c>
      <c r="J632" s="11">
        <f>IF(OR($F632="",$G632=""),"",ROUND($F632/($G632/100)^2,2))</f>
        <v/>
      </c>
      <c r="K632" s="12">
        <f>IF(OR($S632="",$J632="",$T632="",$T632&lt;0,$T632&gt;228,$Y632=""),"—",ROUND(IF(ABS($AB632)&lt;=3,$AB632,IF($AB632&gt;3,3+($J632-$AD632)/($AD632-$AC632),-3+($J632-$AF632)/($AE632-$AF632))),2))</f>
        <v/>
      </c>
      <c r="L632">
        <f>IF(OR($K632="",$K632="—"),"",IF($T632&lt;=60,IF($K632&lt;-3,"Magreza acentuada",IF($K632&lt;-2,"Magreza",IF($K632&lt;=1,"Eutrofia",IF($K632&lt;=2,"Risco de sobrepeso",IF($K632&lt;=3,"Sobrepeso","Obesidade"))))),IF($K632&lt;-3,"Magreza acentuada",IF($K632&lt;-2,"Magreza",IF($K632&lt;=1,"Eutrofia",IF($K632&lt;=2,"Sobrepeso",IF($K632&lt;=3,"Obesidade","Obesidade grave")))))))</f>
        <v/>
      </c>
      <c r="M632" s="12">
        <f>IF(OR($S632="",$V632="",$T632="",$T632&lt;0,$T632&gt;228,$AG632=""),"—",ROUND(IF($AG632=0,LN($V632/$AH632)/$AI632,((($V632/$AH632)^$AG632)-1)/($AG632*$AI632)),2))</f>
        <v/>
      </c>
      <c r="N632">
        <f>IF(OR($M632="",$M632="—"),"",IF($M632&lt;-3,"Muito baixa",IF($M632&lt;-2,"Baixa","Adequada")))</f>
        <v/>
      </c>
      <c r="O632" s="12">
        <f>IF(OR($S632="",$F632="",$T632="",$T632&lt;0,$T632&gt;120,$AJ632=""),"—",ROUND(IF(ABS($AM632)&lt;=3,$AM632,IF($AM632&gt;3,3+($F632-$AO632)/($AO632-$AN632),-3+($F632-$AQ632)/($AP632-$AQ632))),2))</f>
        <v/>
      </c>
      <c r="P632">
        <f>IF(OR($O632="",$O632="—"),"",IF($O632&lt;-3,"Muito baixo",IF($O632&lt;-2,"Baixo",IF($O632&lt;=2,"Adequado","Elevado"))))</f>
        <v/>
      </c>
      <c r="Q632" s="12">
        <f>IF(OR($S632="",$F632="",$T632="",$T632&lt;0,$T632&gt;60,$AR632=""),"—",ROUND(IF(ABS($AU632)&lt;=3,$AU632,IF($AU632&gt;3,3+($F632-$AW632)/($AW632-$AV632),-3+($F632-$AY632)/($AX632-$AY632))),2))</f>
        <v/>
      </c>
      <c r="R632">
        <f>IF(OR($Q632="",$Q632="—"),"",IF($Q632&lt;-3,"Magreza acentuada",IF($Q632&lt;-2,"Magreza",IF($Q632&lt;=1,"Eutrofia",IF($Q632&lt;=2,"Risco de sobrepeso",IF($Q632&lt;=3,"Sobrepeso","Obesidade"))))))</f>
        <v/>
      </c>
      <c r="S632">
        <f>IF($C632="","",IF(UPPER(LEFT($C632,1))="M",1,IF(UPPER(LEFT($C632,1))="F",2,"")))</f>
        <v/>
      </c>
      <c r="T632">
        <f>IF(OR($D632="",$E632=""),"",DATEDIF($D632,$E632,"m"))</f>
        <v/>
      </c>
      <c r="U632">
        <f>IF(OR($D632="",$E632=""),"",$E632-$D632)</f>
        <v/>
      </c>
      <c r="V632">
        <f>IF(OR($G632="",$T632=""),"",IF($T632&lt;24,IF(LEFT(LOWER($H632),4)="em p",$G632+0.7,$G632),IF(LEFT(LOWER($H632),4)="deit",$G632-0.7,$G632)))</f>
        <v/>
      </c>
      <c r="W632">
        <f>IF(OR($S632="",$T632=""),"",$S632*1000000+IF($T632&lt;=60,$U632,$T632))</f>
        <v/>
      </c>
      <c r="X632">
        <f>IF(OR($S632="",$V632="",$T632&gt;60,$T632=""),"",$S632*1000000+ROUND($V632*10,0))</f>
        <v/>
      </c>
      <c r="Y632">
        <f>IF($W632="","",IFERROR(INDEX(IF($T632&lt;=60,imc05_l,imc519_l),MATCH($W632,IF($T632&lt;=60,imc05_k,imc519_k),1)),""))</f>
        <v/>
      </c>
      <c r="Z632">
        <f>IF($W632="","",IFERROR(INDEX(IF($T632&lt;=60,imc05_m,imc519_m),MATCH($W632,IF($T632&lt;=60,imc05_k,imc519_k),1)),""))</f>
        <v/>
      </c>
      <c r="AA632">
        <f>IF($W632="","",IFERROR(INDEX(IF($T632&lt;=60,imc05_s,imc519_s),MATCH($W632,IF($T632&lt;=60,imc05_k,imc519_k),1)),""))</f>
        <v/>
      </c>
      <c r="AB632">
        <f>IF($Y632="","",IF($Y632=0,LN($J632/$Z632)/$AA632,((($J632/$Z632)^$Y632)-1)/($Y632*$AA632)))</f>
        <v/>
      </c>
      <c r="AC632">
        <f>IF($Y632="","",IF($Y632=0,$Z632*EXP($AA632*2),$Z632*(1+$Y632*$AA632*2)^(1/$Y632)))</f>
        <v/>
      </c>
      <c r="AD632">
        <f>IF($Y632="","",IF($Y632=0,$Z632*EXP($AA632*3),$Z632*(1+$Y632*$AA632*3)^(1/$Y632)))</f>
        <v/>
      </c>
      <c r="AE632">
        <f>IF($Y632="","",IF($Y632=0,$Z632*EXP($AA632*-2),$Z632*(1+$Y632*$AA632*-2)^(1/$Y632)))</f>
        <v/>
      </c>
      <c r="AF632">
        <f>IF($Y632="","",IF($Y632=0,$Z632*EXP($AA632*-3),$Z632*(1+$Y632*$AA632*-3)^(1/$Y632)))</f>
        <v/>
      </c>
      <c r="AG632">
        <f>IF($W632="","",IFERROR(INDEX(IF($T632&lt;=60,est05_l,est519_l),MATCH($W632,IF($T632&lt;=60,est05_k,est519_k),1)),""))</f>
        <v/>
      </c>
      <c r="AH632">
        <f>IF($W632="","",IFERROR(INDEX(IF($T632&lt;=60,est05_m,est519_m),MATCH($W632,IF($T632&lt;=60,est05_k,est519_k),1)),""))</f>
        <v/>
      </c>
      <c r="AI632">
        <f>IF($W632="","",IFERROR(INDEX(IF($T632&lt;=60,est05_s,est519_s),MATCH($W632,IF($T632&lt;=60,est05_k,est519_k),1)),""))</f>
        <v/>
      </c>
      <c r="AJ632">
        <f>IF($W632="","",IFERROR(INDEX(IF($T632&lt;=60,peso05_l,peso510_l),MATCH($W632,IF($T632&lt;=60,peso05_k,peso510_k),1)),""))</f>
        <v/>
      </c>
      <c r="AK632">
        <f>IF($W632="","",IFERROR(INDEX(IF($T632&lt;=60,peso05_m,peso510_m),MATCH($W632,IF($T632&lt;=60,peso05_k,peso510_k),1)),""))</f>
        <v/>
      </c>
      <c r="AL632">
        <f>IF($W632="","",IFERROR(INDEX(IF($T632&lt;=60,peso05_s,peso510_s),MATCH($W632,IF($T632&lt;=60,peso05_k,peso510_k),1)),""))</f>
        <v/>
      </c>
      <c r="AM632">
        <f>IF($AJ632="","",IF($AJ632=0,LN($F632/$AK632)/$AL632,((($F632/$AK632)^$AJ632)-1)/($AJ632*$AL632)))</f>
        <v/>
      </c>
      <c r="AN632">
        <f>IF($AJ632="","",IF($AJ632=0,$AK632*EXP($AL632*2),$AK632*(1+$AJ632*$AL632*2)^(1/$AJ632)))</f>
        <v/>
      </c>
      <c r="AO632">
        <f>IF($AJ632="","",IF($AJ632=0,$AK632*EXP($AL632*3),$AK632*(1+$AJ632*$AL632*3)^(1/$AJ632)))</f>
        <v/>
      </c>
      <c r="AP632">
        <f>IF($AJ632="","",IF($AJ632=0,$AK632*EXP($AL632*-2),$AK632*(1+$AJ632*$AL632*-2)^(1/$AJ632)))</f>
        <v/>
      </c>
      <c r="AQ632">
        <f>IF($AJ632="","",IF($AJ632=0,$AK632*EXP($AL632*-3),$AK632*(1+$AJ632*$AL632*-3)^(1/$AJ632)))</f>
        <v/>
      </c>
      <c r="AR632">
        <f>IF(OR($X632="",$T632&gt;60),"",IFERROR(INDEX(IF($T632&lt;24,pcomp_l,palt_l),MATCH($X632,IF($T632&lt;24,pcomp_k,palt_k),1)),""))</f>
        <v/>
      </c>
      <c r="AS632">
        <f>IF(OR($X632="",$T632&gt;60),"",IFERROR(INDEX(IF($T632&lt;24,pcomp_m,palt_m),MATCH($X632,IF($T632&lt;24,pcomp_k,palt_k),1)),""))</f>
        <v/>
      </c>
      <c r="AT632">
        <f>IF(OR($X632="",$T632&gt;60),"",IFERROR(INDEX(IF($T632&lt;24,pcomp_s,palt_s),MATCH($X632,IF($T632&lt;24,pcomp_k,palt_k),1)),""))</f>
        <v/>
      </c>
      <c r="AU632">
        <f>IF($AR632="","",IF($AR632=0,LN($F632/$AS632)/$AT632,((($F632/$AS632)^$AR632)-1)/($AR632*$AT632)))</f>
        <v/>
      </c>
      <c r="AV632">
        <f>IF($AR632="","",IF($AR632=0,$AS632*EXP($AT632*2),$AS632*(1+$AR632*$AT632*2)^(1/$AR632)))</f>
        <v/>
      </c>
      <c r="AW632">
        <f>IF($AR632="","",IF($AR632=0,$AS632*EXP($AT632*3),$AS632*(1+$AR632*$AT632*3)^(1/$AR632)))</f>
        <v/>
      </c>
      <c r="AX632">
        <f>IF($AR632="","",IF($AR632=0,$AS632*EXP($AT632*-2),$AS632*(1+$AR632*$AT632*-2)^(1/$AR632)))</f>
        <v/>
      </c>
      <c r="AY632">
        <f>IF($AR632="","",IF($AR632=0,$AS632*EXP($AT632*-3),$AS632*(1+$AR632*$AT632*-3)^(1/$AR632)))</f>
        <v/>
      </c>
      <c r="AZ632">
        <f>IF(OR($A632="",$A632&lt;&gt;Ficha!$C$4),"",COUNTIF($A$2:$A632,Ficha!$C$4))</f>
        <v/>
      </c>
    </row>
    <row r="633">
      <c r="A633" s="8">
        <f>IF(INDEX(Banco!$A:$A,ROW())="","",INDEX(Banco!$A:$A,ROW()))</f>
        <v/>
      </c>
      <c r="B633" s="8">
        <f>IF(INDEX(Banco!$B:$B,ROW())="","",INDEX(Banco!$B:$B,ROW()))</f>
        <v/>
      </c>
      <c r="C633" s="8">
        <f>IF(INDEX(Banco!$C:$C,ROW())="","",INDEX(Banco!$C:$C,ROW()))</f>
        <v/>
      </c>
      <c r="D633" s="9">
        <f>IF(INDEX(Banco!$D:$D,ROW())="","",INDEX(Banco!$D:$D,ROW()))</f>
        <v/>
      </c>
      <c r="E633" s="9">
        <f>IF(INDEX(Banco!$E:$E,ROW())="","",INDEX(Banco!$E:$E,ROW()))</f>
        <v/>
      </c>
      <c r="F633" s="10">
        <f>IF(INDEX(Banco!$F:$F,ROW())="","",INDEX(Banco!$F:$F,ROW()))</f>
        <v/>
      </c>
      <c r="G633" s="10">
        <f>IF(INDEX(Banco!$G:$G,ROW())="","",INDEX(Banco!$G:$G,ROW()))</f>
        <v/>
      </c>
      <c r="H633" s="8">
        <f>IF(INDEX(Banco!$H:$H,ROW())="","",INDEX(Banco!$H:$H,ROW()))</f>
        <v/>
      </c>
      <c r="I633">
        <f>IF($T633="","",INT($T633/12)&amp;"a "&amp;MOD($T633,12)&amp;"m")</f>
        <v/>
      </c>
      <c r="J633" s="11">
        <f>IF(OR($F633="",$G633=""),"",ROUND($F633/($G633/100)^2,2))</f>
        <v/>
      </c>
      <c r="K633" s="12">
        <f>IF(OR($S633="",$J633="",$T633="",$T633&lt;0,$T633&gt;228,$Y633=""),"—",ROUND(IF(ABS($AB633)&lt;=3,$AB633,IF($AB633&gt;3,3+($J633-$AD633)/($AD633-$AC633),-3+($J633-$AF633)/($AE633-$AF633))),2))</f>
        <v/>
      </c>
      <c r="L633">
        <f>IF(OR($K633="",$K633="—"),"",IF($T633&lt;=60,IF($K633&lt;-3,"Magreza acentuada",IF($K633&lt;-2,"Magreza",IF($K633&lt;=1,"Eutrofia",IF($K633&lt;=2,"Risco de sobrepeso",IF($K633&lt;=3,"Sobrepeso","Obesidade"))))),IF($K633&lt;-3,"Magreza acentuada",IF($K633&lt;-2,"Magreza",IF($K633&lt;=1,"Eutrofia",IF($K633&lt;=2,"Sobrepeso",IF($K633&lt;=3,"Obesidade","Obesidade grave")))))))</f>
        <v/>
      </c>
      <c r="M633" s="12">
        <f>IF(OR($S633="",$V633="",$T633="",$T633&lt;0,$T633&gt;228,$AG633=""),"—",ROUND(IF($AG633=0,LN($V633/$AH633)/$AI633,((($V633/$AH633)^$AG633)-1)/($AG633*$AI633)),2))</f>
        <v/>
      </c>
      <c r="N633">
        <f>IF(OR($M633="",$M633="—"),"",IF($M633&lt;-3,"Muito baixa",IF($M633&lt;-2,"Baixa","Adequada")))</f>
        <v/>
      </c>
      <c r="O633" s="12">
        <f>IF(OR($S633="",$F633="",$T633="",$T633&lt;0,$T633&gt;120,$AJ633=""),"—",ROUND(IF(ABS($AM633)&lt;=3,$AM633,IF($AM633&gt;3,3+($F633-$AO633)/($AO633-$AN633),-3+($F633-$AQ633)/($AP633-$AQ633))),2))</f>
        <v/>
      </c>
      <c r="P633">
        <f>IF(OR($O633="",$O633="—"),"",IF($O633&lt;-3,"Muito baixo",IF($O633&lt;-2,"Baixo",IF($O633&lt;=2,"Adequado","Elevado"))))</f>
        <v/>
      </c>
      <c r="Q633" s="12">
        <f>IF(OR($S633="",$F633="",$T633="",$T633&lt;0,$T633&gt;60,$AR633=""),"—",ROUND(IF(ABS($AU633)&lt;=3,$AU633,IF($AU633&gt;3,3+($F633-$AW633)/($AW633-$AV633),-3+($F633-$AY633)/($AX633-$AY633))),2))</f>
        <v/>
      </c>
      <c r="R633">
        <f>IF(OR($Q633="",$Q633="—"),"",IF($Q633&lt;-3,"Magreza acentuada",IF($Q633&lt;-2,"Magreza",IF($Q633&lt;=1,"Eutrofia",IF($Q633&lt;=2,"Risco de sobrepeso",IF($Q633&lt;=3,"Sobrepeso","Obesidade"))))))</f>
        <v/>
      </c>
      <c r="S633">
        <f>IF($C633="","",IF(UPPER(LEFT($C633,1))="M",1,IF(UPPER(LEFT($C633,1))="F",2,"")))</f>
        <v/>
      </c>
      <c r="T633">
        <f>IF(OR($D633="",$E633=""),"",DATEDIF($D633,$E633,"m"))</f>
        <v/>
      </c>
      <c r="U633">
        <f>IF(OR($D633="",$E633=""),"",$E633-$D633)</f>
        <v/>
      </c>
      <c r="V633">
        <f>IF(OR($G633="",$T633=""),"",IF($T633&lt;24,IF(LEFT(LOWER($H633),4)="em p",$G633+0.7,$G633),IF(LEFT(LOWER($H633),4)="deit",$G633-0.7,$G633)))</f>
        <v/>
      </c>
      <c r="W633">
        <f>IF(OR($S633="",$T633=""),"",$S633*1000000+IF($T633&lt;=60,$U633,$T633))</f>
        <v/>
      </c>
      <c r="X633">
        <f>IF(OR($S633="",$V633="",$T633&gt;60,$T633=""),"",$S633*1000000+ROUND($V633*10,0))</f>
        <v/>
      </c>
      <c r="Y633">
        <f>IF($W633="","",IFERROR(INDEX(IF($T633&lt;=60,imc05_l,imc519_l),MATCH($W633,IF($T633&lt;=60,imc05_k,imc519_k),1)),""))</f>
        <v/>
      </c>
      <c r="Z633">
        <f>IF($W633="","",IFERROR(INDEX(IF($T633&lt;=60,imc05_m,imc519_m),MATCH($W633,IF($T633&lt;=60,imc05_k,imc519_k),1)),""))</f>
        <v/>
      </c>
      <c r="AA633">
        <f>IF($W633="","",IFERROR(INDEX(IF($T633&lt;=60,imc05_s,imc519_s),MATCH($W633,IF($T633&lt;=60,imc05_k,imc519_k),1)),""))</f>
        <v/>
      </c>
      <c r="AB633">
        <f>IF($Y633="","",IF($Y633=0,LN($J633/$Z633)/$AA633,((($J633/$Z633)^$Y633)-1)/($Y633*$AA633)))</f>
        <v/>
      </c>
      <c r="AC633">
        <f>IF($Y633="","",IF($Y633=0,$Z633*EXP($AA633*2),$Z633*(1+$Y633*$AA633*2)^(1/$Y633)))</f>
        <v/>
      </c>
      <c r="AD633">
        <f>IF($Y633="","",IF($Y633=0,$Z633*EXP($AA633*3),$Z633*(1+$Y633*$AA633*3)^(1/$Y633)))</f>
        <v/>
      </c>
      <c r="AE633">
        <f>IF($Y633="","",IF($Y633=0,$Z633*EXP($AA633*-2),$Z633*(1+$Y633*$AA633*-2)^(1/$Y633)))</f>
        <v/>
      </c>
      <c r="AF633">
        <f>IF($Y633="","",IF($Y633=0,$Z633*EXP($AA633*-3),$Z633*(1+$Y633*$AA633*-3)^(1/$Y633)))</f>
        <v/>
      </c>
      <c r="AG633">
        <f>IF($W633="","",IFERROR(INDEX(IF($T633&lt;=60,est05_l,est519_l),MATCH($W633,IF($T633&lt;=60,est05_k,est519_k),1)),""))</f>
        <v/>
      </c>
      <c r="AH633">
        <f>IF($W633="","",IFERROR(INDEX(IF($T633&lt;=60,est05_m,est519_m),MATCH($W633,IF($T633&lt;=60,est05_k,est519_k),1)),""))</f>
        <v/>
      </c>
      <c r="AI633">
        <f>IF($W633="","",IFERROR(INDEX(IF($T633&lt;=60,est05_s,est519_s),MATCH($W633,IF($T633&lt;=60,est05_k,est519_k),1)),""))</f>
        <v/>
      </c>
      <c r="AJ633">
        <f>IF($W633="","",IFERROR(INDEX(IF($T633&lt;=60,peso05_l,peso510_l),MATCH($W633,IF($T633&lt;=60,peso05_k,peso510_k),1)),""))</f>
        <v/>
      </c>
      <c r="AK633">
        <f>IF($W633="","",IFERROR(INDEX(IF($T633&lt;=60,peso05_m,peso510_m),MATCH($W633,IF($T633&lt;=60,peso05_k,peso510_k),1)),""))</f>
        <v/>
      </c>
      <c r="AL633">
        <f>IF($W633="","",IFERROR(INDEX(IF($T633&lt;=60,peso05_s,peso510_s),MATCH($W633,IF($T633&lt;=60,peso05_k,peso510_k),1)),""))</f>
        <v/>
      </c>
      <c r="AM633">
        <f>IF($AJ633="","",IF($AJ633=0,LN($F633/$AK633)/$AL633,((($F633/$AK633)^$AJ633)-1)/($AJ633*$AL633)))</f>
        <v/>
      </c>
      <c r="AN633">
        <f>IF($AJ633="","",IF($AJ633=0,$AK633*EXP($AL633*2),$AK633*(1+$AJ633*$AL633*2)^(1/$AJ633)))</f>
        <v/>
      </c>
      <c r="AO633">
        <f>IF($AJ633="","",IF($AJ633=0,$AK633*EXP($AL633*3),$AK633*(1+$AJ633*$AL633*3)^(1/$AJ633)))</f>
        <v/>
      </c>
      <c r="AP633">
        <f>IF($AJ633="","",IF($AJ633=0,$AK633*EXP($AL633*-2),$AK633*(1+$AJ633*$AL633*-2)^(1/$AJ633)))</f>
        <v/>
      </c>
      <c r="AQ633">
        <f>IF($AJ633="","",IF($AJ633=0,$AK633*EXP($AL633*-3),$AK633*(1+$AJ633*$AL633*-3)^(1/$AJ633)))</f>
        <v/>
      </c>
      <c r="AR633">
        <f>IF(OR($X633="",$T633&gt;60),"",IFERROR(INDEX(IF($T633&lt;24,pcomp_l,palt_l),MATCH($X633,IF($T633&lt;24,pcomp_k,palt_k),1)),""))</f>
        <v/>
      </c>
      <c r="AS633">
        <f>IF(OR($X633="",$T633&gt;60),"",IFERROR(INDEX(IF($T633&lt;24,pcomp_m,palt_m),MATCH($X633,IF($T633&lt;24,pcomp_k,palt_k),1)),""))</f>
        <v/>
      </c>
      <c r="AT633">
        <f>IF(OR($X633="",$T633&gt;60),"",IFERROR(INDEX(IF($T633&lt;24,pcomp_s,palt_s),MATCH($X633,IF($T633&lt;24,pcomp_k,palt_k),1)),""))</f>
        <v/>
      </c>
      <c r="AU633">
        <f>IF($AR633="","",IF($AR633=0,LN($F633/$AS633)/$AT633,((($F633/$AS633)^$AR633)-1)/($AR633*$AT633)))</f>
        <v/>
      </c>
      <c r="AV633">
        <f>IF($AR633="","",IF($AR633=0,$AS633*EXP($AT633*2),$AS633*(1+$AR633*$AT633*2)^(1/$AR633)))</f>
        <v/>
      </c>
      <c r="AW633">
        <f>IF($AR633="","",IF($AR633=0,$AS633*EXP($AT633*3),$AS633*(1+$AR633*$AT633*3)^(1/$AR633)))</f>
        <v/>
      </c>
      <c r="AX633">
        <f>IF($AR633="","",IF($AR633=0,$AS633*EXP($AT633*-2),$AS633*(1+$AR633*$AT633*-2)^(1/$AR633)))</f>
        <v/>
      </c>
      <c r="AY633">
        <f>IF($AR633="","",IF($AR633=0,$AS633*EXP($AT633*-3),$AS633*(1+$AR633*$AT633*-3)^(1/$AR633)))</f>
        <v/>
      </c>
      <c r="AZ633">
        <f>IF(OR($A633="",$A633&lt;&gt;Ficha!$C$4),"",COUNTIF($A$2:$A633,Ficha!$C$4))</f>
        <v/>
      </c>
    </row>
    <row r="634">
      <c r="A634" s="8">
        <f>IF(INDEX(Banco!$A:$A,ROW())="","",INDEX(Banco!$A:$A,ROW()))</f>
        <v/>
      </c>
      <c r="B634" s="8">
        <f>IF(INDEX(Banco!$B:$B,ROW())="","",INDEX(Banco!$B:$B,ROW()))</f>
        <v/>
      </c>
      <c r="C634" s="8">
        <f>IF(INDEX(Banco!$C:$C,ROW())="","",INDEX(Banco!$C:$C,ROW()))</f>
        <v/>
      </c>
      <c r="D634" s="9">
        <f>IF(INDEX(Banco!$D:$D,ROW())="","",INDEX(Banco!$D:$D,ROW()))</f>
        <v/>
      </c>
      <c r="E634" s="9">
        <f>IF(INDEX(Banco!$E:$E,ROW())="","",INDEX(Banco!$E:$E,ROW()))</f>
        <v/>
      </c>
      <c r="F634" s="10">
        <f>IF(INDEX(Banco!$F:$F,ROW())="","",INDEX(Banco!$F:$F,ROW()))</f>
        <v/>
      </c>
      <c r="G634" s="10">
        <f>IF(INDEX(Banco!$G:$G,ROW())="","",INDEX(Banco!$G:$G,ROW()))</f>
        <v/>
      </c>
      <c r="H634" s="8">
        <f>IF(INDEX(Banco!$H:$H,ROW())="","",INDEX(Banco!$H:$H,ROW()))</f>
        <v/>
      </c>
      <c r="I634">
        <f>IF($T634="","",INT($T634/12)&amp;"a "&amp;MOD($T634,12)&amp;"m")</f>
        <v/>
      </c>
      <c r="J634" s="11">
        <f>IF(OR($F634="",$G634=""),"",ROUND($F634/($G634/100)^2,2))</f>
        <v/>
      </c>
      <c r="K634" s="12">
        <f>IF(OR($S634="",$J634="",$T634="",$T634&lt;0,$T634&gt;228,$Y634=""),"—",ROUND(IF(ABS($AB634)&lt;=3,$AB634,IF($AB634&gt;3,3+($J634-$AD634)/($AD634-$AC634),-3+($J634-$AF634)/($AE634-$AF634))),2))</f>
        <v/>
      </c>
      <c r="L634">
        <f>IF(OR($K634="",$K634="—"),"",IF($T634&lt;=60,IF($K634&lt;-3,"Magreza acentuada",IF($K634&lt;-2,"Magreza",IF($K634&lt;=1,"Eutrofia",IF($K634&lt;=2,"Risco de sobrepeso",IF($K634&lt;=3,"Sobrepeso","Obesidade"))))),IF($K634&lt;-3,"Magreza acentuada",IF($K634&lt;-2,"Magreza",IF($K634&lt;=1,"Eutrofia",IF($K634&lt;=2,"Sobrepeso",IF($K634&lt;=3,"Obesidade","Obesidade grave")))))))</f>
        <v/>
      </c>
      <c r="M634" s="12">
        <f>IF(OR($S634="",$V634="",$T634="",$T634&lt;0,$T634&gt;228,$AG634=""),"—",ROUND(IF($AG634=0,LN($V634/$AH634)/$AI634,((($V634/$AH634)^$AG634)-1)/($AG634*$AI634)),2))</f>
        <v/>
      </c>
      <c r="N634">
        <f>IF(OR($M634="",$M634="—"),"",IF($M634&lt;-3,"Muito baixa",IF($M634&lt;-2,"Baixa","Adequada")))</f>
        <v/>
      </c>
      <c r="O634" s="12">
        <f>IF(OR($S634="",$F634="",$T634="",$T634&lt;0,$T634&gt;120,$AJ634=""),"—",ROUND(IF(ABS($AM634)&lt;=3,$AM634,IF($AM634&gt;3,3+($F634-$AO634)/($AO634-$AN634),-3+($F634-$AQ634)/($AP634-$AQ634))),2))</f>
        <v/>
      </c>
      <c r="P634">
        <f>IF(OR($O634="",$O634="—"),"",IF($O634&lt;-3,"Muito baixo",IF($O634&lt;-2,"Baixo",IF($O634&lt;=2,"Adequado","Elevado"))))</f>
        <v/>
      </c>
      <c r="Q634" s="12">
        <f>IF(OR($S634="",$F634="",$T634="",$T634&lt;0,$T634&gt;60,$AR634=""),"—",ROUND(IF(ABS($AU634)&lt;=3,$AU634,IF($AU634&gt;3,3+($F634-$AW634)/($AW634-$AV634),-3+($F634-$AY634)/($AX634-$AY634))),2))</f>
        <v/>
      </c>
      <c r="R634">
        <f>IF(OR($Q634="",$Q634="—"),"",IF($Q634&lt;-3,"Magreza acentuada",IF($Q634&lt;-2,"Magreza",IF($Q634&lt;=1,"Eutrofia",IF($Q634&lt;=2,"Risco de sobrepeso",IF($Q634&lt;=3,"Sobrepeso","Obesidade"))))))</f>
        <v/>
      </c>
      <c r="S634">
        <f>IF($C634="","",IF(UPPER(LEFT($C634,1))="M",1,IF(UPPER(LEFT($C634,1))="F",2,"")))</f>
        <v/>
      </c>
      <c r="T634">
        <f>IF(OR($D634="",$E634=""),"",DATEDIF($D634,$E634,"m"))</f>
        <v/>
      </c>
      <c r="U634">
        <f>IF(OR($D634="",$E634=""),"",$E634-$D634)</f>
        <v/>
      </c>
      <c r="V634">
        <f>IF(OR($G634="",$T634=""),"",IF($T634&lt;24,IF(LEFT(LOWER($H634),4)="em p",$G634+0.7,$G634),IF(LEFT(LOWER($H634),4)="deit",$G634-0.7,$G634)))</f>
        <v/>
      </c>
      <c r="W634">
        <f>IF(OR($S634="",$T634=""),"",$S634*1000000+IF($T634&lt;=60,$U634,$T634))</f>
        <v/>
      </c>
      <c r="X634">
        <f>IF(OR($S634="",$V634="",$T634&gt;60,$T634=""),"",$S634*1000000+ROUND($V634*10,0))</f>
        <v/>
      </c>
      <c r="Y634">
        <f>IF($W634="","",IFERROR(INDEX(IF($T634&lt;=60,imc05_l,imc519_l),MATCH($W634,IF($T634&lt;=60,imc05_k,imc519_k),1)),""))</f>
        <v/>
      </c>
      <c r="Z634">
        <f>IF($W634="","",IFERROR(INDEX(IF($T634&lt;=60,imc05_m,imc519_m),MATCH($W634,IF($T634&lt;=60,imc05_k,imc519_k),1)),""))</f>
        <v/>
      </c>
      <c r="AA634">
        <f>IF($W634="","",IFERROR(INDEX(IF($T634&lt;=60,imc05_s,imc519_s),MATCH($W634,IF($T634&lt;=60,imc05_k,imc519_k),1)),""))</f>
        <v/>
      </c>
      <c r="AB634">
        <f>IF($Y634="","",IF($Y634=0,LN($J634/$Z634)/$AA634,((($J634/$Z634)^$Y634)-1)/($Y634*$AA634)))</f>
        <v/>
      </c>
      <c r="AC634">
        <f>IF($Y634="","",IF($Y634=0,$Z634*EXP($AA634*2),$Z634*(1+$Y634*$AA634*2)^(1/$Y634)))</f>
        <v/>
      </c>
      <c r="AD634">
        <f>IF($Y634="","",IF($Y634=0,$Z634*EXP($AA634*3),$Z634*(1+$Y634*$AA634*3)^(1/$Y634)))</f>
        <v/>
      </c>
      <c r="AE634">
        <f>IF($Y634="","",IF($Y634=0,$Z634*EXP($AA634*-2),$Z634*(1+$Y634*$AA634*-2)^(1/$Y634)))</f>
        <v/>
      </c>
      <c r="AF634">
        <f>IF($Y634="","",IF($Y634=0,$Z634*EXP($AA634*-3),$Z634*(1+$Y634*$AA634*-3)^(1/$Y634)))</f>
        <v/>
      </c>
      <c r="AG634">
        <f>IF($W634="","",IFERROR(INDEX(IF($T634&lt;=60,est05_l,est519_l),MATCH($W634,IF($T634&lt;=60,est05_k,est519_k),1)),""))</f>
        <v/>
      </c>
      <c r="AH634">
        <f>IF($W634="","",IFERROR(INDEX(IF($T634&lt;=60,est05_m,est519_m),MATCH($W634,IF($T634&lt;=60,est05_k,est519_k),1)),""))</f>
        <v/>
      </c>
      <c r="AI634">
        <f>IF($W634="","",IFERROR(INDEX(IF($T634&lt;=60,est05_s,est519_s),MATCH($W634,IF($T634&lt;=60,est05_k,est519_k),1)),""))</f>
        <v/>
      </c>
      <c r="AJ634">
        <f>IF($W634="","",IFERROR(INDEX(IF($T634&lt;=60,peso05_l,peso510_l),MATCH($W634,IF($T634&lt;=60,peso05_k,peso510_k),1)),""))</f>
        <v/>
      </c>
      <c r="AK634">
        <f>IF($W634="","",IFERROR(INDEX(IF($T634&lt;=60,peso05_m,peso510_m),MATCH($W634,IF($T634&lt;=60,peso05_k,peso510_k),1)),""))</f>
        <v/>
      </c>
      <c r="AL634">
        <f>IF($W634="","",IFERROR(INDEX(IF($T634&lt;=60,peso05_s,peso510_s),MATCH($W634,IF($T634&lt;=60,peso05_k,peso510_k),1)),""))</f>
        <v/>
      </c>
      <c r="AM634">
        <f>IF($AJ634="","",IF($AJ634=0,LN($F634/$AK634)/$AL634,((($F634/$AK634)^$AJ634)-1)/($AJ634*$AL634)))</f>
        <v/>
      </c>
      <c r="AN634">
        <f>IF($AJ634="","",IF($AJ634=0,$AK634*EXP($AL634*2),$AK634*(1+$AJ634*$AL634*2)^(1/$AJ634)))</f>
        <v/>
      </c>
      <c r="AO634">
        <f>IF($AJ634="","",IF($AJ634=0,$AK634*EXP($AL634*3),$AK634*(1+$AJ634*$AL634*3)^(1/$AJ634)))</f>
        <v/>
      </c>
      <c r="AP634">
        <f>IF($AJ634="","",IF($AJ634=0,$AK634*EXP($AL634*-2),$AK634*(1+$AJ634*$AL634*-2)^(1/$AJ634)))</f>
        <v/>
      </c>
      <c r="AQ634">
        <f>IF($AJ634="","",IF($AJ634=0,$AK634*EXP($AL634*-3),$AK634*(1+$AJ634*$AL634*-3)^(1/$AJ634)))</f>
        <v/>
      </c>
      <c r="AR634">
        <f>IF(OR($X634="",$T634&gt;60),"",IFERROR(INDEX(IF($T634&lt;24,pcomp_l,palt_l),MATCH($X634,IF($T634&lt;24,pcomp_k,palt_k),1)),""))</f>
        <v/>
      </c>
      <c r="AS634">
        <f>IF(OR($X634="",$T634&gt;60),"",IFERROR(INDEX(IF($T634&lt;24,pcomp_m,palt_m),MATCH($X634,IF($T634&lt;24,pcomp_k,palt_k),1)),""))</f>
        <v/>
      </c>
      <c r="AT634">
        <f>IF(OR($X634="",$T634&gt;60),"",IFERROR(INDEX(IF($T634&lt;24,pcomp_s,palt_s),MATCH($X634,IF($T634&lt;24,pcomp_k,palt_k),1)),""))</f>
        <v/>
      </c>
      <c r="AU634">
        <f>IF($AR634="","",IF($AR634=0,LN($F634/$AS634)/$AT634,((($F634/$AS634)^$AR634)-1)/($AR634*$AT634)))</f>
        <v/>
      </c>
      <c r="AV634">
        <f>IF($AR634="","",IF($AR634=0,$AS634*EXP($AT634*2),$AS634*(1+$AR634*$AT634*2)^(1/$AR634)))</f>
        <v/>
      </c>
      <c r="AW634">
        <f>IF($AR634="","",IF($AR634=0,$AS634*EXP($AT634*3),$AS634*(1+$AR634*$AT634*3)^(1/$AR634)))</f>
        <v/>
      </c>
      <c r="AX634">
        <f>IF($AR634="","",IF($AR634=0,$AS634*EXP($AT634*-2),$AS634*(1+$AR634*$AT634*-2)^(1/$AR634)))</f>
        <v/>
      </c>
      <c r="AY634">
        <f>IF($AR634="","",IF($AR634=0,$AS634*EXP($AT634*-3),$AS634*(1+$AR634*$AT634*-3)^(1/$AR634)))</f>
        <v/>
      </c>
      <c r="AZ634">
        <f>IF(OR($A634="",$A634&lt;&gt;Ficha!$C$4),"",COUNTIF($A$2:$A634,Ficha!$C$4))</f>
        <v/>
      </c>
    </row>
    <row r="635">
      <c r="A635" s="8">
        <f>IF(INDEX(Banco!$A:$A,ROW())="","",INDEX(Banco!$A:$A,ROW()))</f>
        <v/>
      </c>
      <c r="B635" s="8">
        <f>IF(INDEX(Banco!$B:$B,ROW())="","",INDEX(Banco!$B:$B,ROW()))</f>
        <v/>
      </c>
      <c r="C635" s="8">
        <f>IF(INDEX(Banco!$C:$C,ROW())="","",INDEX(Banco!$C:$C,ROW()))</f>
        <v/>
      </c>
      <c r="D635" s="9">
        <f>IF(INDEX(Banco!$D:$D,ROW())="","",INDEX(Banco!$D:$D,ROW()))</f>
        <v/>
      </c>
      <c r="E635" s="9">
        <f>IF(INDEX(Banco!$E:$E,ROW())="","",INDEX(Banco!$E:$E,ROW()))</f>
        <v/>
      </c>
      <c r="F635" s="10">
        <f>IF(INDEX(Banco!$F:$F,ROW())="","",INDEX(Banco!$F:$F,ROW()))</f>
        <v/>
      </c>
      <c r="G635" s="10">
        <f>IF(INDEX(Banco!$G:$G,ROW())="","",INDEX(Banco!$G:$G,ROW()))</f>
        <v/>
      </c>
      <c r="H635" s="8">
        <f>IF(INDEX(Banco!$H:$H,ROW())="","",INDEX(Banco!$H:$H,ROW()))</f>
        <v/>
      </c>
      <c r="I635">
        <f>IF($T635="","",INT($T635/12)&amp;"a "&amp;MOD($T635,12)&amp;"m")</f>
        <v/>
      </c>
      <c r="J635" s="11">
        <f>IF(OR($F635="",$G635=""),"",ROUND($F635/($G635/100)^2,2))</f>
        <v/>
      </c>
      <c r="K635" s="12">
        <f>IF(OR($S635="",$J635="",$T635="",$T635&lt;0,$T635&gt;228,$Y635=""),"—",ROUND(IF(ABS($AB635)&lt;=3,$AB635,IF($AB635&gt;3,3+($J635-$AD635)/($AD635-$AC635),-3+($J635-$AF635)/($AE635-$AF635))),2))</f>
        <v/>
      </c>
      <c r="L635">
        <f>IF(OR($K635="",$K635="—"),"",IF($T635&lt;=60,IF($K635&lt;-3,"Magreza acentuada",IF($K635&lt;-2,"Magreza",IF($K635&lt;=1,"Eutrofia",IF($K635&lt;=2,"Risco de sobrepeso",IF($K635&lt;=3,"Sobrepeso","Obesidade"))))),IF($K635&lt;-3,"Magreza acentuada",IF($K635&lt;-2,"Magreza",IF($K635&lt;=1,"Eutrofia",IF($K635&lt;=2,"Sobrepeso",IF($K635&lt;=3,"Obesidade","Obesidade grave")))))))</f>
        <v/>
      </c>
      <c r="M635" s="12">
        <f>IF(OR($S635="",$V635="",$T635="",$T635&lt;0,$T635&gt;228,$AG635=""),"—",ROUND(IF($AG635=0,LN($V635/$AH635)/$AI635,((($V635/$AH635)^$AG635)-1)/($AG635*$AI635)),2))</f>
        <v/>
      </c>
      <c r="N635">
        <f>IF(OR($M635="",$M635="—"),"",IF($M635&lt;-3,"Muito baixa",IF($M635&lt;-2,"Baixa","Adequada")))</f>
        <v/>
      </c>
      <c r="O635" s="12">
        <f>IF(OR($S635="",$F635="",$T635="",$T635&lt;0,$T635&gt;120,$AJ635=""),"—",ROUND(IF(ABS($AM635)&lt;=3,$AM635,IF($AM635&gt;3,3+($F635-$AO635)/($AO635-$AN635),-3+($F635-$AQ635)/($AP635-$AQ635))),2))</f>
        <v/>
      </c>
      <c r="P635">
        <f>IF(OR($O635="",$O635="—"),"",IF($O635&lt;-3,"Muito baixo",IF($O635&lt;-2,"Baixo",IF($O635&lt;=2,"Adequado","Elevado"))))</f>
        <v/>
      </c>
      <c r="Q635" s="12">
        <f>IF(OR($S635="",$F635="",$T635="",$T635&lt;0,$T635&gt;60,$AR635=""),"—",ROUND(IF(ABS($AU635)&lt;=3,$AU635,IF($AU635&gt;3,3+($F635-$AW635)/($AW635-$AV635),-3+($F635-$AY635)/($AX635-$AY635))),2))</f>
        <v/>
      </c>
      <c r="R635">
        <f>IF(OR($Q635="",$Q635="—"),"",IF($Q635&lt;-3,"Magreza acentuada",IF($Q635&lt;-2,"Magreza",IF($Q635&lt;=1,"Eutrofia",IF($Q635&lt;=2,"Risco de sobrepeso",IF($Q635&lt;=3,"Sobrepeso","Obesidade"))))))</f>
        <v/>
      </c>
      <c r="S635">
        <f>IF($C635="","",IF(UPPER(LEFT($C635,1))="M",1,IF(UPPER(LEFT($C635,1))="F",2,"")))</f>
        <v/>
      </c>
      <c r="T635">
        <f>IF(OR($D635="",$E635=""),"",DATEDIF($D635,$E635,"m"))</f>
        <v/>
      </c>
      <c r="U635">
        <f>IF(OR($D635="",$E635=""),"",$E635-$D635)</f>
        <v/>
      </c>
      <c r="V635">
        <f>IF(OR($G635="",$T635=""),"",IF($T635&lt;24,IF(LEFT(LOWER($H635),4)="em p",$G635+0.7,$G635),IF(LEFT(LOWER($H635),4)="deit",$G635-0.7,$G635)))</f>
        <v/>
      </c>
      <c r="W635">
        <f>IF(OR($S635="",$T635=""),"",$S635*1000000+IF($T635&lt;=60,$U635,$T635))</f>
        <v/>
      </c>
      <c r="X635">
        <f>IF(OR($S635="",$V635="",$T635&gt;60,$T635=""),"",$S635*1000000+ROUND($V635*10,0))</f>
        <v/>
      </c>
      <c r="Y635">
        <f>IF($W635="","",IFERROR(INDEX(IF($T635&lt;=60,imc05_l,imc519_l),MATCH($W635,IF($T635&lt;=60,imc05_k,imc519_k),1)),""))</f>
        <v/>
      </c>
      <c r="Z635">
        <f>IF($W635="","",IFERROR(INDEX(IF($T635&lt;=60,imc05_m,imc519_m),MATCH($W635,IF($T635&lt;=60,imc05_k,imc519_k),1)),""))</f>
        <v/>
      </c>
      <c r="AA635">
        <f>IF($W635="","",IFERROR(INDEX(IF($T635&lt;=60,imc05_s,imc519_s),MATCH($W635,IF($T635&lt;=60,imc05_k,imc519_k),1)),""))</f>
        <v/>
      </c>
      <c r="AB635">
        <f>IF($Y635="","",IF($Y635=0,LN($J635/$Z635)/$AA635,((($J635/$Z635)^$Y635)-1)/($Y635*$AA635)))</f>
        <v/>
      </c>
      <c r="AC635">
        <f>IF($Y635="","",IF($Y635=0,$Z635*EXP($AA635*2),$Z635*(1+$Y635*$AA635*2)^(1/$Y635)))</f>
        <v/>
      </c>
      <c r="AD635">
        <f>IF($Y635="","",IF($Y635=0,$Z635*EXP($AA635*3),$Z635*(1+$Y635*$AA635*3)^(1/$Y635)))</f>
        <v/>
      </c>
      <c r="AE635">
        <f>IF($Y635="","",IF($Y635=0,$Z635*EXP($AA635*-2),$Z635*(1+$Y635*$AA635*-2)^(1/$Y635)))</f>
        <v/>
      </c>
      <c r="AF635">
        <f>IF($Y635="","",IF($Y635=0,$Z635*EXP($AA635*-3),$Z635*(1+$Y635*$AA635*-3)^(1/$Y635)))</f>
        <v/>
      </c>
      <c r="AG635">
        <f>IF($W635="","",IFERROR(INDEX(IF($T635&lt;=60,est05_l,est519_l),MATCH($W635,IF($T635&lt;=60,est05_k,est519_k),1)),""))</f>
        <v/>
      </c>
      <c r="AH635">
        <f>IF($W635="","",IFERROR(INDEX(IF($T635&lt;=60,est05_m,est519_m),MATCH($W635,IF($T635&lt;=60,est05_k,est519_k),1)),""))</f>
        <v/>
      </c>
      <c r="AI635">
        <f>IF($W635="","",IFERROR(INDEX(IF($T635&lt;=60,est05_s,est519_s),MATCH($W635,IF($T635&lt;=60,est05_k,est519_k),1)),""))</f>
        <v/>
      </c>
      <c r="AJ635">
        <f>IF($W635="","",IFERROR(INDEX(IF($T635&lt;=60,peso05_l,peso510_l),MATCH($W635,IF($T635&lt;=60,peso05_k,peso510_k),1)),""))</f>
        <v/>
      </c>
      <c r="AK635">
        <f>IF($W635="","",IFERROR(INDEX(IF($T635&lt;=60,peso05_m,peso510_m),MATCH($W635,IF($T635&lt;=60,peso05_k,peso510_k),1)),""))</f>
        <v/>
      </c>
      <c r="AL635">
        <f>IF($W635="","",IFERROR(INDEX(IF($T635&lt;=60,peso05_s,peso510_s),MATCH($W635,IF($T635&lt;=60,peso05_k,peso510_k),1)),""))</f>
        <v/>
      </c>
      <c r="AM635">
        <f>IF($AJ635="","",IF($AJ635=0,LN($F635/$AK635)/$AL635,((($F635/$AK635)^$AJ635)-1)/($AJ635*$AL635)))</f>
        <v/>
      </c>
      <c r="AN635">
        <f>IF($AJ635="","",IF($AJ635=0,$AK635*EXP($AL635*2),$AK635*(1+$AJ635*$AL635*2)^(1/$AJ635)))</f>
        <v/>
      </c>
      <c r="AO635">
        <f>IF($AJ635="","",IF($AJ635=0,$AK635*EXP($AL635*3),$AK635*(1+$AJ635*$AL635*3)^(1/$AJ635)))</f>
        <v/>
      </c>
      <c r="AP635">
        <f>IF($AJ635="","",IF($AJ635=0,$AK635*EXP($AL635*-2),$AK635*(1+$AJ635*$AL635*-2)^(1/$AJ635)))</f>
        <v/>
      </c>
      <c r="AQ635">
        <f>IF($AJ635="","",IF($AJ635=0,$AK635*EXP($AL635*-3),$AK635*(1+$AJ635*$AL635*-3)^(1/$AJ635)))</f>
        <v/>
      </c>
      <c r="AR635">
        <f>IF(OR($X635="",$T635&gt;60),"",IFERROR(INDEX(IF($T635&lt;24,pcomp_l,palt_l),MATCH($X635,IF($T635&lt;24,pcomp_k,palt_k),1)),""))</f>
        <v/>
      </c>
      <c r="AS635">
        <f>IF(OR($X635="",$T635&gt;60),"",IFERROR(INDEX(IF($T635&lt;24,pcomp_m,palt_m),MATCH($X635,IF($T635&lt;24,pcomp_k,palt_k),1)),""))</f>
        <v/>
      </c>
      <c r="AT635">
        <f>IF(OR($X635="",$T635&gt;60),"",IFERROR(INDEX(IF($T635&lt;24,pcomp_s,palt_s),MATCH($X635,IF($T635&lt;24,pcomp_k,palt_k),1)),""))</f>
        <v/>
      </c>
      <c r="AU635">
        <f>IF($AR635="","",IF($AR635=0,LN($F635/$AS635)/$AT635,((($F635/$AS635)^$AR635)-1)/($AR635*$AT635)))</f>
        <v/>
      </c>
      <c r="AV635">
        <f>IF($AR635="","",IF($AR635=0,$AS635*EXP($AT635*2),$AS635*(1+$AR635*$AT635*2)^(1/$AR635)))</f>
        <v/>
      </c>
      <c r="AW635">
        <f>IF($AR635="","",IF($AR635=0,$AS635*EXP($AT635*3),$AS635*(1+$AR635*$AT635*3)^(1/$AR635)))</f>
        <v/>
      </c>
      <c r="AX635">
        <f>IF($AR635="","",IF($AR635=0,$AS635*EXP($AT635*-2),$AS635*(1+$AR635*$AT635*-2)^(1/$AR635)))</f>
        <v/>
      </c>
      <c r="AY635">
        <f>IF($AR635="","",IF($AR635=0,$AS635*EXP($AT635*-3),$AS635*(1+$AR635*$AT635*-3)^(1/$AR635)))</f>
        <v/>
      </c>
      <c r="AZ635">
        <f>IF(OR($A635="",$A635&lt;&gt;Ficha!$C$4),"",COUNTIF($A$2:$A635,Ficha!$C$4))</f>
        <v/>
      </c>
    </row>
    <row r="636">
      <c r="A636" s="8">
        <f>IF(INDEX(Banco!$A:$A,ROW())="","",INDEX(Banco!$A:$A,ROW()))</f>
        <v/>
      </c>
      <c r="B636" s="8">
        <f>IF(INDEX(Banco!$B:$B,ROW())="","",INDEX(Banco!$B:$B,ROW()))</f>
        <v/>
      </c>
      <c r="C636" s="8">
        <f>IF(INDEX(Banco!$C:$C,ROW())="","",INDEX(Banco!$C:$C,ROW()))</f>
        <v/>
      </c>
      <c r="D636" s="9">
        <f>IF(INDEX(Banco!$D:$D,ROW())="","",INDEX(Banco!$D:$D,ROW()))</f>
        <v/>
      </c>
      <c r="E636" s="9">
        <f>IF(INDEX(Banco!$E:$E,ROW())="","",INDEX(Banco!$E:$E,ROW()))</f>
        <v/>
      </c>
      <c r="F636" s="10">
        <f>IF(INDEX(Banco!$F:$F,ROW())="","",INDEX(Banco!$F:$F,ROW()))</f>
        <v/>
      </c>
      <c r="G636" s="10">
        <f>IF(INDEX(Banco!$G:$G,ROW())="","",INDEX(Banco!$G:$G,ROW()))</f>
        <v/>
      </c>
      <c r="H636" s="8">
        <f>IF(INDEX(Banco!$H:$H,ROW())="","",INDEX(Banco!$H:$H,ROW()))</f>
        <v/>
      </c>
      <c r="I636">
        <f>IF($T636="","",INT($T636/12)&amp;"a "&amp;MOD($T636,12)&amp;"m")</f>
        <v/>
      </c>
      <c r="J636" s="11">
        <f>IF(OR($F636="",$G636=""),"",ROUND($F636/($G636/100)^2,2))</f>
        <v/>
      </c>
      <c r="K636" s="12">
        <f>IF(OR($S636="",$J636="",$T636="",$T636&lt;0,$T636&gt;228,$Y636=""),"—",ROUND(IF(ABS($AB636)&lt;=3,$AB636,IF($AB636&gt;3,3+($J636-$AD636)/($AD636-$AC636),-3+($J636-$AF636)/($AE636-$AF636))),2))</f>
        <v/>
      </c>
      <c r="L636">
        <f>IF(OR($K636="",$K636="—"),"",IF($T636&lt;=60,IF($K636&lt;-3,"Magreza acentuada",IF($K636&lt;-2,"Magreza",IF($K636&lt;=1,"Eutrofia",IF($K636&lt;=2,"Risco de sobrepeso",IF($K636&lt;=3,"Sobrepeso","Obesidade"))))),IF($K636&lt;-3,"Magreza acentuada",IF($K636&lt;-2,"Magreza",IF($K636&lt;=1,"Eutrofia",IF($K636&lt;=2,"Sobrepeso",IF($K636&lt;=3,"Obesidade","Obesidade grave")))))))</f>
        <v/>
      </c>
      <c r="M636" s="12">
        <f>IF(OR($S636="",$V636="",$T636="",$T636&lt;0,$T636&gt;228,$AG636=""),"—",ROUND(IF($AG636=0,LN($V636/$AH636)/$AI636,((($V636/$AH636)^$AG636)-1)/($AG636*$AI636)),2))</f>
        <v/>
      </c>
      <c r="N636">
        <f>IF(OR($M636="",$M636="—"),"",IF($M636&lt;-3,"Muito baixa",IF($M636&lt;-2,"Baixa","Adequada")))</f>
        <v/>
      </c>
      <c r="O636" s="12">
        <f>IF(OR($S636="",$F636="",$T636="",$T636&lt;0,$T636&gt;120,$AJ636=""),"—",ROUND(IF(ABS($AM636)&lt;=3,$AM636,IF($AM636&gt;3,3+($F636-$AO636)/($AO636-$AN636),-3+($F636-$AQ636)/($AP636-$AQ636))),2))</f>
        <v/>
      </c>
      <c r="P636">
        <f>IF(OR($O636="",$O636="—"),"",IF($O636&lt;-3,"Muito baixo",IF($O636&lt;-2,"Baixo",IF($O636&lt;=2,"Adequado","Elevado"))))</f>
        <v/>
      </c>
      <c r="Q636" s="12">
        <f>IF(OR($S636="",$F636="",$T636="",$T636&lt;0,$T636&gt;60,$AR636=""),"—",ROUND(IF(ABS($AU636)&lt;=3,$AU636,IF($AU636&gt;3,3+($F636-$AW636)/($AW636-$AV636),-3+($F636-$AY636)/($AX636-$AY636))),2))</f>
        <v/>
      </c>
      <c r="R636">
        <f>IF(OR($Q636="",$Q636="—"),"",IF($Q636&lt;-3,"Magreza acentuada",IF($Q636&lt;-2,"Magreza",IF($Q636&lt;=1,"Eutrofia",IF($Q636&lt;=2,"Risco de sobrepeso",IF($Q636&lt;=3,"Sobrepeso","Obesidade"))))))</f>
        <v/>
      </c>
      <c r="S636">
        <f>IF($C636="","",IF(UPPER(LEFT($C636,1))="M",1,IF(UPPER(LEFT($C636,1))="F",2,"")))</f>
        <v/>
      </c>
      <c r="T636">
        <f>IF(OR($D636="",$E636=""),"",DATEDIF($D636,$E636,"m"))</f>
        <v/>
      </c>
      <c r="U636">
        <f>IF(OR($D636="",$E636=""),"",$E636-$D636)</f>
        <v/>
      </c>
      <c r="V636">
        <f>IF(OR($G636="",$T636=""),"",IF($T636&lt;24,IF(LEFT(LOWER($H636),4)="em p",$G636+0.7,$G636),IF(LEFT(LOWER($H636),4)="deit",$G636-0.7,$G636)))</f>
        <v/>
      </c>
      <c r="W636">
        <f>IF(OR($S636="",$T636=""),"",$S636*1000000+IF($T636&lt;=60,$U636,$T636))</f>
        <v/>
      </c>
      <c r="X636">
        <f>IF(OR($S636="",$V636="",$T636&gt;60,$T636=""),"",$S636*1000000+ROUND($V636*10,0))</f>
        <v/>
      </c>
      <c r="Y636">
        <f>IF($W636="","",IFERROR(INDEX(IF($T636&lt;=60,imc05_l,imc519_l),MATCH($W636,IF($T636&lt;=60,imc05_k,imc519_k),1)),""))</f>
        <v/>
      </c>
      <c r="Z636">
        <f>IF($W636="","",IFERROR(INDEX(IF($T636&lt;=60,imc05_m,imc519_m),MATCH($W636,IF($T636&lt;=60,imc05_k,imc519_k),1)),""))</f>
        <v/>
      </c>
      <c r="AA636">
        <f>IF($W636="","",IFERROR(INDEX(IF($T636&lt;=60,imc05_s,imc519_s),MATCH($W636,IF($T636&lt;=60,imc05_k,imc519_k),1)),""))</f>
        <v/>
      </c>
      <c r="AB636">
        <f>IF($Y636="","",IF($Y636=0,LN($J636/$Z636)/$AA636,((($J636/$Z636)^$Y636)-1)/($Y636*$AA636)))</f>
        <v/>
      </c>
      <c r="AC636">
        <f>IF($Y636="","",IF($Y636=0,$Z636*EXP($AA636*2),$Z636*(1+$Y636*$AA636*2)^(1/$Y636)))</f>
        <v/>
      </c>
      <c r="AD636">
        <f>IF($Y636="","",IF($Y636=0,$Z636*EXP($AA636*3),$Z636*(1+$Y636*$AA636*3)^(1/$Y636)))</f>
        <v/>
      </c>
      <c r="AE636">
        <f>IF($Y636="","",IF($Y636=0,$Z636*EXP($AA636*-2),$Z636*(1+$Y636*$AA636*-2)^(1/$Y636)))</f>
        <v/>
      </c>
      <c r="AF636">
        <f>IF($Y636="","",IF($Y636=0,$Z636*EXP($AA636*-3),$Z636*(1+$Y636*$AA636*-3)^(1/$Y636)))</f>
        <v/>
      </c>
      <c r="AG636">
        <f>IF($W636="","",IFERROR(INDEX(IF($T636&lt;=60,est05_l,est519_l),MATCH($W636,IF($T636&lt;=60,est05_k,est519_k),1)),""))</f>
        <v/>
      </c>
      <c r="AH636">
        <f>IF($W636="","",IFERROR(INDEX(IF($T636&lt;=60,est05_m,est519_m),MATCH($W636,IF($T636&lt;=60,est05_k,est519_k),1)),""))</f>
        <v/>
      </c>
      <c r="AI636">
        <f>IF($W636="","",IFERROR(INDEX(IF($T636&lt;=60,est05_s,est519_s),MATCH($W636,IF($T636&lt;=60,est05_k,est519_k),1)),""))</f>
        <v/>
      </c>
      <c r="AJ636">
        <f>IF($W636="","",IFERROR(INDEX(IF($T636&lt;=60,peso05_l,peso510_l),MATCH($W636,IF($T636&lt;=60,peso05_k,peso510_k),1)),""))</f>
        <v/>
      </c>
      <c r="AK636">
        <f>IF($W636="","",IFERROR(INDEX(IF($T636&lt;=60,peso05_m,peso510_m),MATCH($W636,IF($T636&lt;=60,peso05_k,peso510_k),1)),""))</f>
        <v/>
      </c>
      <c r="AL636">
        <f>IF($W636="","",IFERROR(INDEX(IF($T636&lt;=60,peso05_s,peso510_s),MATCH($W636,IF($T636&lt;=60,peso05_k,peso510_k),1)),""))</f>
        <v/>
      </c>
      <c r="AM636">
        <f>IF($AJ636="","",IF($AJ636=0,LN($F636/$AK636)/$AL636,((($F636/$AK636)^$AJ636)-1)/($AJ636*$AL636)))</f>
        <v/>
      </c>
      <c r="AN636">
        <f>IF($AJ636="","",IF($AJ636=0,$AK636*EXP($AL636*2),$AK636*(1+$AJ636*$AL636*2)^(1/$AJ636)))</f>
        <v/>
      </c>
      <c r="AO636">
        <f>IF($AJ636="","",IF($AJ636=0,$AK636*EXP($AL636*3),$AK636*(1+$AJ636*$AL636*3)^(1/$AJ636)))</f>
        <v/>
      </c>
      <c r="AP636">
        <f>IF($AJ636="","",IF($AJ636=0,$AK636*EXP($AL636*-2),$AK636*(1+$AJ636*$AL636*-2)^(1/$AJ636)))</f>
        <v/>
      </c>
      <c r="AQ636">
        <f>IF($AJ636="","",IF($AJ636=0,$AK636*EXP($AL636*-3),$AK636*(1+$AJ636*$AL636*-3)^(1/$AJ636)))</f>
        <v/>
      </c>
      <c r="AR636">
        <f>IF(OR($X636="",$T636&gt;60),"",IFERROR(INDEX(IF($T636&lt;24,pcomp_l,palt_l),MATCH($X636,IF($T636&lt;24,pcomp_k,palt_k),1)),""))</f>
        <v/>
      </c>
      <c r="AS636">
        <f>IF(OR($X636="",$T636&gt;60),"",IFERROR(INDEX(IF($T636&lt;24,pcomp_m,palt_m),MATCH($X636,IF($T636&lt;24,pcomp_k,palt_k),1)),""))</f>
        <v/>
      </c>
      <c r="AT636">
        <f>IF(OR($X636="",$T636&gt;60),"",IFERROR(INDEX(IF($T636&lt;24,pcomp_s,palt_s),MATCH($X636,IF($T636&lt;24,pcomp_k,palt_k),1)),""))</f>
        <v/>
      </c>
      <c r="AU636">
        <f>IF($AR636="","",IF($AR636=0,LN($F636/$AS636)/$AT636,((($F636/$AS636)^$AR636)-1)/($AR636*$AT636)))</f>
        <v/>
      </c>
      <c r="AV636">
        <f>IF($AR636="","",IF($AR636=0,$AS636*EXP($AT636*2),$AS636*(1+$AR636*$AT636*2)^(1/$AR636)))</f>
        <v/>
      </c>
      <c r="AW636">
        <f>IF($AR636="","",IF($AR636=0,$AS636*EXP($AT636*3),$AS636*(1+$AR636*$AT636*3)^(1/$AR636)))</f>
        <v/>
      </c>
      <c r="AX636">
        <f>IF($AR636="","",IF($AR636=0,$AS636*EXP($AT636*-2),$AS636*(1+$AR636*$AT636*-2)^(1/$AR636)))</f>
        <v/>
      </c>
      <c r="AY636">
        <f>IF($AR636="","",IF($AR636=0,$AS636*EXP($AT636*-3),$AS636*(1+$AR636*$AT636*-3)^(1/$AR636)))</f>
        <v/>
      </c>
      <c r="AZ636">
        <f>IF(OR($A636="",$A636&lt;&gt;Ficha!$C$4),"",COUNTIF($A$2:$A636,Ficha!$C$4))</f>
        <v/>
      </c>
    </row>
    <row r="637">
      <c r="A637" s="8">
        <f>IF(INDEX(Banco!$A:$A,ROW())="","",INDEX(Banco!$A:$A,ROW()))</f>
        <v/>
      </c>
      <c r="B637" s="8">
        <f>IF(INDEX(Banco!$B:$B,ROW())="","",INDEX(Banco!$B:$B,ROW()))</f>
        <v/>
      </c>
      <c r="C637" s="8">
        <f>IF(INDEX(Banco!$C:$C,ROW())="","",INDEX(Banco!$C:$C,ROW()))</f>
        <v/>
      </c>
      <c r="D637" s="9">
        <f>IF(INDEX(Banco!$D:$D,ROW())="","",INDEX(Banco!$D:$D,ROW()))</f>
        <v/>
      </c>
      <c r="E637" s="9">
        <f>IF(INDEX(Banco!$E:$E,ROW())="","",INDEX(Banco!$E:$E,ROW()))</f>
        <v/>
      </c>
      <c r="F637" s="10">
        <f>IF(INDEX(Banco!$F:$F,ROW())="","",INDEX(Banco!$F:$F,ROW()))</f>
        <v/>
      </c>
      <c r="G637" s="10">
        <f>IF(INDEX(Banco!$G:$G,ROW())="","",INDEX(Banco!$G:$G,ROW()))</f>
        <v/>
      </c>
      <c r="H637" s="8">
        <f>IF(INDEX(Banco!$H:$H,ROW())="","",INDEX(Banco!$H:$H,ROW()))</f>
        <v/>
      </c>
      <c r="I637">
        <f>IF($T637="","",INT($T637/12)&amp;"a "&amp;MOD($T637,12)&amp;"m")</f>
        <v/>
      </c>
      <c r="J637" s="11">
        <f>IF(OR($F637="",$G637=""),"",ROUND($F637/($G637/100)^2,2))</f>
        <v/>
      </c>
      <c r="K637" s="12">
        <f>IF(OR($S637="",$J637="",$T637="",$T637&lt;0,$T637&gt;228,$Y637=""),"—",ROUND(IF(ABS($AB637)&lt;=3,$AB637,IF($AB637&gt;3,3+($J637-$AD637)/($AD637-$AC637),-3+($J637-$AF637)/($AE637-$AF637))),2))</f>
        <v/>
      </c>
      <c r="L637">
        <f>IF(OR($K637="",$K637="—"),"",IF($T637&lt;=60,IF($K637&lt;-3,"Magreza acentuada",IF($K637&lt;-2,"Magreza",IF($K637&lt;=1,"Eutrofia",IF($K637&lt;=2,"Risco de sobrepeso",IF($K637&lt;=3,"Sobrepeso","Obesidade"))))),IF($K637&lt;-3,"Magreza acentuada",IF($K637&lt;-2,"Magreza",IF($K637&lt;=1,"Eutrofia",IF($K637&lt;=2,"Sobrepeso",IF($K637&lt;=3,"Obesidade","Obesidade grave")))))))</f>
        <v/>
      </c>
      <c r="M637" s="12">
        <f>IF(OR($S637="",$V637="",$T637="",$T637&lt;0,$T637&gt;228,$AG637=""),"—",ROUND(IF($AG637=0,LN($V637/$AH637)/$AI637,((($V637/$AH637)^$AG637)-1)/($AG637*$AI637)),2))</f>
        <v/>
      </c>
      <c r="N637">
        <f>IF(OR($M637="",$M637="—"),"",IF($M637&lt;-3,"Muito baixa",IF($M637&lt;-2,"Baixa","Adequada")))</f>
        <v/>
      </c>
      <c r="O637" s="12">
        <f>IF(OR($S637="",$F637="",$T637="",$T637&lt;0,$T637&gt;120,$AJ637=""),"—",ROUND(IF(ABS($AM637)&lt;=3,$AM637,IF($AM637&gt;3,3+($F637-$AO637)/($AO637-$AN637),-3+($F637-$AQ637)/($AP637-$AQ637))),2))</f>
        <v/>
      </c>
      <c r="P637">
        <f>IF(OR($O637="",$O637="—"),"",IF($O637&lt;-3,"Muito baixo",IF($O637&lt;-2,"Baixo",IF($O637&lt;=2,"Adequado","Elevado"))))</f>
        <v/>
      </c>
      <c r="Q637" s="12">
        <f>IF(OR($S637="",$F637="",$T637="",$T637&lt;0,$T637&gt;60,$AR637=""),"—",ROUND(IF(ABS($AU637)&lt;=3,$AU637,IF($AU637&gt;3,3+($F637-$AW637)/($AW637-$AV637),-3+($F637-$AY637)/($AX637-$AY637))),2))</f>
        <v/>
      </c>
      <c r="R637">
        <f>IF(OR($Q637="",$Q637="—"),"",IF($Q637&lt;-3,"Magreza acentuada",IF($Q637&lt;-2,"Magreza",IF($Q637&lt;=1,"Eutrofia",IF($Q637&lt;=2,"Risco de sobrepeso",IF($Q637&lt;=3,"Sobrepeso","Obesidade"))))))</f>
        <v/>
      </c>
      <c r="S637">
        <f>IF($C637="","",IF(UPPER(LEFT($C637,1))="M",1,IF(UPPER(LEFT($C637,1))="F",2,"")))</f>
        <v/>
      </c>
      <c r="T637">
        <f>IF(OR($D637="",$E637=""),"",DATEDIF($D637,$E637,"m"))</f>
        <v/>
      </c>
      <c r="U637">
        <f>IF(OR($D637="",$E637=""),"",$E637-$D637)</f>
        <v/>
      </c>
      <c r="V637">
        <f>IF(OR($G637="",$T637=""),"",IF($T637&lt;24,IF(LEFT(LOWER($H637),4)="em p",$G637+0.7,$G637),IF(LEFT(LOWER($H637),4)="deit",$G637-0.7,$G637)))</f>
        <v/>
      </c>
      <c r="W637">
        <f>IF(OR($S637="",$T637=""),"",$S637*1000000+IF($T637&lt;=60,$U637,$T637))</f>
        <v/>
      </c>
      <c r="X637">
        <f>IF(OR($S637="",$V637="",$T637&gt;60,$T637=""),"",$S637*1000000+ROUND($V637*10,0))</f>
        <v/>
      </c>
      <c r="Y637">
        <f>IF($W637="","",IFERROR(INDEX(IF($T637&lt;=60,imc05_l,imc519_l),MATCH($W637,IF($T637&lt;=60,imc05_k,imc519_k),1)),""))</f>
        <v/>
      </c>
      <c r="Z637">
        <f>IF($W637="","",IFERROR(INDEX(IF($T637&lt;=60,imc05_m,imc519_m),MATCH($W637,IF($T637&lt;=60,imc05_k,imc519_k),1)),""))</f>
        <v/>
      </c>
      <c r="AA637">
        <f>IF($W637="","",IFERROR(INDEX(IF($T637&lt;=60,imc05_s,imc519_s),MATCH($W637,IF($T637&lt;=60,imc05_k,imc519_k),1)),""))</f>
        <v/>
      </c>
      <c r="AB637">
        <f>IF($Y637="","",IF($Y637=0,LN($J637/$Z637)/$AA637,((($J637/$Z637)^$Y637)-1)/($Y637*$AA637)))</f>
        <v/>
      </c>
      <c r="AC637">
        <f>IF($Y637="","",IF($Y637=0,$Z637*EXP($AA637*2),$Z637*(1+$Y637*$AA637*2)^(1/$Y637)))</f>
        <v/>
      </c>
      <c r="AD637">
        <f>IF($Y637="","",IF($Y637=0,$Z637*EXP($AA637*3),$Z637*(1+$Y637*$AA637*3)^(1/$Y637)))</f>
        <v/>
      </c>
      <c r="AE637">
        <f>IF($Y637="","",IF($Y637=0,$Z637*EXP($AA637*-2),$Z637*(1+$Y637*$AA637*-2)^(1/$Y637)))</f>
        <v/>
      </c>
      <c r="AF637">
        <f>IF($Y637="","",IF($Y637=0,$Z637*EXP($AA637*-3),$Z637*(1+$Y637*$AA637*-3)^(1/$Y637)))</f>
        <v/>
      </c>
      <c r="AG637">
        <f>IF($W637="","",IFERROR(INDEX(IF($T637&lt;=60,est05_l,est519_l),MATCH($W637,IF($T637&lt;=60,est05_k,est519_k),1)),""))</f>
        <v/>
      </c>
      <c r="AH637">
        <f>IF($W637="","",IFERROR(INDEX(IF($T637&lt;=60,est05_m,est519_m),MATCH($W637,IF($T637&lt;=60,est05_k,est519_k),1)),""))</f>
        <v/>
      </c>
      <c r="AI637">
        <f>IF($W637="","",IFERROR(INDEX(IF($T637&lt;=60,est05_s,est519_s),MATCH($W637,IF($T637&lt;=60,est05_k,est519_k),1)),""))</f>
        <v/>
      </c>
      <c r="AJ637">
        <f>IF($W637="","",IFERROR(INDEX(IF($T637&lt;=60,peso05_l,peso510_l),MATCH($W637,IF($T637&lt;=60,peso05_k,peso510_k),1)),""))</f>
        <v/>
      </c>
      <c r="AK637">
        <f>IF($W637="","",IFERROR(INDEX(IF($T637&lt;=60,peso05_m,peso510_m),MATCH($W637,IF($T637&lt;=60,peso05_k,peso510_k),1)),""))</f>
        <v/>
      </c>
      <c r="AL637">
        <f>IF($W637="","",IFERROR(INDEX(IF($T637&lt;=60,peso05_s,peso510_s),MATCH($W637,IF($T637&lt;=60,peso05_k,peso510_k),1)),""))</f>
        <v/>
      </c>
      <c r="AM637">
        <f>IF($AJ637="","",IF($AJ637=0,LN($F637/$AK637)/$AL637,((($F637/$AK637)^$AJ637)-1)/($AJ637*$AL637)))</f>
        <v/>
      </c>
      <c r="AN637">
        <f>IF($AJ637="","",IF($AJ637=0,$AK637*EXP($AL637*2),$AK637*(1+$AJ637*$AL637*2)^(1/$AJ637)))</f>
        <v/>
      </c>
      <c r="AO637">
        <f>IF($AJ637="","",IF($AJ637=0,$AK637*EXP($AL637*3),$AK637*(1+$AJ637*$AL637*3)^(1/$AJ637)))</f>
        <v/>
      </c>
      <c r="AP637">
        <f>IF($AJ637="","",IF($AJ637=0,$AK637*EXP($AL637*-2),$AK637*(1+$AJ637*$AL637*-2)^(1/$AJ637)))</f>
        <v/>
      </c>
      <c r="AQ637">
        <f>IF($AJ637="","",IF($AJ637=0,$AK637*EXP($AL637*-3),$AK637*(1+$AJ637*$AL637*-3)^(1/$AJ637)))</f>
        <v/>
      </c>
      <c r="AR637">
        <f>IF(OR($X637="",$T637&gt;60),"",IFERROR(INDEX(IF($T637&lt;24,pcomp_l,palt_l),MATCH($X637,IF($T637&lt;24,pcomp_k,palt_k),1)),""))</f>
        <v/>
      </c>
      <c r="AS637">
        <f>IF(OR($X637="",$T637&gt;60),"",IFERROR(INDEX(IF($T637&lt;24,pcomp_m,palt_m),MATCH($X637,IF($T637&lt;24,pcomp_k,palt_k),1)),""))</f>
        <v/>
      </c>
      <c r="AT637">
        <f>IF(OR($X637="",$T637&gt;60),"",IFERROR(INDEX(IF($T637&lt;24,pcomp_s,palt_s),MATCH($X637,IF($T637&lt;24,pcomp_k,palt_k),1)),""))</f>
        <v/>
      </c>
      <c r="AU637">
        <f>IF($AR637="","",IF($AR637=0,LN($F637/$AS637)/$AT637,((($F637/$AS637)^$AR637)-1)/($AR637*$AT637)))</f>
        <v/>
      </c>
      <c r="AV637">
        <f>IF($AR637="","",IF($AR637=0,$AS637*EXP($AT637*2),$AS637*(1+$AR637*$AT637*2)^(1/$AR637)))</f>
        <v/>
      </c>
      <c r="AW637">
        <f>IF($AR637="","",IF($AR637=0,$AS637*EXP($AT637*3),$AS637*(1+$AR637*$AT637*3)^(1/$AR637)))</f>
        <v/>
      </c>
      <c r="AX637">
        <f>IF($AR637="","",IF($AR637=0,$AS637*EXP($AT637*-2),$AS637*(1+$AR637*$AT637*-2)^(1/$AR637)))</f>
        <v/>
      </c>
      <c r="AY637">
        <f>IF($AR637="","",IF($AR637=0,$AS637*EXP($AT637*-3),$AS637*(1+$AR637*$AT637*-3)^(1/$AR637)))</f>
        <v/>
      </c>
      <c r="AZ637">
        <f>IF(OR($A637="",$A637&lt;&gt;Ficha!$C$4),"",COUNTIF($A$2:$A637,Ficha!$C$4))</f>
        <v/>
      </c>
    </row>
    <row r="638">
      <c r="A638" s="8">
        <f>IF(INDEX(Banco!$A:$A,ROW())="","",INDEX(Banco!$A:$A,ROW()))</f>
        <v/>
      </c>
      <c r="B638" s="8">
        <f>IF(INDEX(Banco!$B:$B,ROW())="","",INDEX(Banco!$B:$B,ROW()))</f>
        <v/>
      </c>
      <c r="C638" s="8">
        <f>IF(INDEX(Banco!$C:$C,ROW())="","",INDEX(Banco!$C:$C,ROW()))</f>
        <v/>
      </c>
      <c r="D638" s="9">
        <f>IF(INDEX(Banco!$D:$D,ROW())="","",INDEX(Banco!$D:$D,ROW()))</f>
        <v/>
      </c>
      <c r="E638" s="9">
        <f>IF(INDEX(Banco!$E:$E,ROW())="","",INDEX(Banco!$E:$E,ROW()))</f>
        <v/>
      </c>
      <c r="F638" s="10">
        <f>IF(INDEX(Banco!$F:$F,ROW())="","",INDEX(Banco!$F:$F,ROW()))</f>
        <v/>
      </c>
      <c r="G638" s="10">
        <f>IF(INDEX(Banco!$G:$G,ROW())="","",INDEX(Banco!$G:$G,ROW()))</f>
        <v/>
      </c>
      <c r="H638" s="8">
        <f>IF(INDEX(Banco!$H:$H,ROW())="","",INDEX(Banco!$H:$H,ROW()))</f>
        <v/>
      </c>
      <c r="I638">
        <f>IF($T638="","",INT($T638/12)&amp;"a "&amp;MOD($T638,12)&amp;"m")</f>
        <v/>
      </c>
      <c r="J638" s="11">
        <f>IF(OR($F638="",$G638=""),"",ROUND($F638/($G638/100)^2,2))</f>
        <v/>
      </c>
      <c r="K638" s="12">
        <f>IF(OR($S638="",$J638="",$T638="",$T638&lt;0,$T638&gt;228,$Y638=""),"—",ROUND(IF(ABS($AB638)&lt;=3,$AB638,IF($AB638&gt;3,3+($J638-$AD638)/($AD638-$AC638),-3+($J638-$AF638)/($AE638-$AF638))),2))</f>
        <v/>
      </c>
      <c r="L638">
        <f>IF(OR($K638="",$K638="—"),"",IF($T638&lt;=60,IF($K638&lt;-3,"Magreza acentuada",IF($K638&lt;-2,"Magreza",IF($K638&lt;=1,"Eutrofia",IF($K638&lt;=2,"Risco de sobrepeso",IF($K638&lt;=3,"Sobrepeso","Obesidade"))))),IF($K638&lt;-3,"Magreza acentuada",IF($K638&lt;-2,"Magreza",IF($K638&lt;=1,"Eutrofia",IF($K638&lt;=2,"Sobrepeso",IF($K638&lt;=3,"Obesidade","Obesidade grave")))))))</f>
        <v/>
      </c>
      <c r="M638" s="12">
        <f>IF(OR($S638="",$V638="",$T638="",$T638&lt;0,$T638&gt;228,$AG638=""),"—",ROUND(IF($AG638=0,LN($V638/$AH638)/$AI638,((($V638/$AH638)^$AG638)-1)/($AG638*$AI638)),2))</f>
        <v/>
      </c>
      <c r="N638">
        <f>IF(OR($M638="",$M638="—"),"",IF($M638&lt;-3,"Muito baixa",IF($M638&lt;-2,"Baixa","Adequada")))</f>
        <v/>
      </c>
      <c r="O638" s="12">
        <f>IF(OR($S638="",$F638="",$T638="",$T638&lt;0,$T638&gt;120,$AJ638=""),"—",ROUND(IF(ABS($AM638)&lt;=3,$AM638,IF($AM638&gt;3,3+($F638-$AO638)/($AO638-$AN638),-3+($F638-$AQ638)/($AP638-$AQ638))),2))</f>
        <v/>
      </c>
      <c r="P638">
        <f>IF(OR($O638="",$O638="—"),"",IF($O638&lt;-3,"Muito baixo",IF($O638&lt;-2,"Baixo",IF($O638&lt;=2,"Adequado","Elevado"))))</f>
        <v/>
      </c>
      <c r="Q638" s="12">
        <f>IF(OR($S638="",$F638="",$T638="",$T638&lt;0,$T638&gt;60,$AR638=""),"—",ROUND(IF(ABS($AU638)&lt;=3,$AU638,IF($AU638&gt;3,3+($F638-$AW638)/($AW638-$AV638),-3+($F638-$AY638)/($AX638-$AY638))),2))</f>
        <v/>
      </c>
      <c r="R638">
        <f>IF(OR($Q638="",$Q638="—"),"",IF($Q638&lt;-3,"Magreza acentuada",IF($Q638&lt;-2,"Magreza",IF($Q638&lt;=1,"Eutrofia",IF($Q638&lt;=2,"Risco de sobrepeso",IF($Q638&lt;=3,"Sobrepeso","Obesidade"))))))</f>
        <v/>
      </c>
      <c r="S638">
        <f>IF($C638="","",IF(UPPER(LEFT($C638,1))="M",1,IF(UPPER(LEFT($C638,1))="F",2,"")))</f>
        <v/>
      </c>
      <c r="T638">
        <f>IF(OR($D638="",$E638=""),"",DATEDIF($D638,$E638,"m"))</f>
        <v/>
      </c>
      <c r="U638">
        <f>IF(OR($D638="",$E638=""),"",$E638-$D638)</f>
        <v/>
      </c>
      <c r="V638">
        <f>IF(OR($G638="",$T638=""),"",IF($T638&lt;24,IF(LEFT(LOWER($H638),4)="em p",$G638+0.7,$G638),IF(LEFT(LOWER($H638),4)="deit",$G638-0.7,$G638)))</f>
        <v/>
      </c>
      <c r="W638">
        <f>IF(OR($S638="",$T638=""),"",$S638*1000000+IF($T638&lt;=60,$U638,$T638))</f>
        <v/>
      </c>
      <c r="X638">
        <f>IF(OR($S638="",$V638="",$T638&gt;60,$T638=""),"",$S638*1000000+ROUND($V638*10,0))</f>
        <v/>
      </c>
      <c r="Y638">
        <f>IF($W638="","",IFERROR(INDEX(IF($T638&lt;=60,imc05_l,imc519_l),MATCH($W638,IF($T638&lt;=60,imc05_k,imc519_k),1)),""))</f>
        <v/>
      </c>
      <c r="Z638">
        <f>IF($W638="","",IFERROR(INDEX(IF($T638&lt;=60,imc05_m,imc519_m),MATCH($W638,IF($T638&lt;=60,imc05_k,imc519_k),1)),""))</f>
        <v/>
      </c>
      <c r="AA638">
        <f>IF($W638="","",IFERROR(INDEX(IF($T638&lt;=60,imc05_s,imc519_s),MATCH($W638,IF($T638&lt;=60,imc05_k,imc519_k),1)),""))</f>
        <v/>
      </c>
      <c r="AB638">
        <f>IF($Y638="","",IF($Y638=0,LN($J638/$Z638)/$AA638,((($J638/$Z638)^$Y638)-1)/($Y638*$AA638)))</f>
        <v/>
      </c>
      <c r="AC638">
        <f>IF($Y638="","",IF($Y638=0,$Z638*EXP($AA638*2),$Z638*(1+$Y638*$AA638*2)^(1/$Y638)))</f>
        <v/>
      </c>
      <c r="AD638">
        <f>IF($Y638="","",IF($Y638=0,$Z638*EXP($AA638*3),$Z638*(1+$Y638*$AA638*3)^(1/$Y638)))</f>
        <v/>
      </c>
      <c r="AE638">
        <f>IF($Y638="","",IF($Y638=0,$Z638*EXP($AA638*-2),$Z638*(1+$Y638*$AA638*-2)^(1/$Y638)))</f>
        <v/>
      </c>
      <c r="AF638">
        <f>IF($Y638="","",IF($Y638=0,$Z638*EXP($AA638*-3),$Z638*(1+$Y638*$AA638*-3)^(1/$Y638)))</f>
        <v/>
      </c>
      <c r="AG638">
        <f>IF($W638="","",IFERROR(INDEX(IF($T638&lt;=60,est05_l,est519_l),MATCH($W638,IF($T638&lt;=60,est05_k,est519_k),1)),""))</f>
        <v/>
      </c>
      <c r="AH638">
        <f>IF($W638="","",IFERROR(INDEX(IF($T638&lt;=60,est05_m,est519_m),MATCH($W638,IF($T638&lt;=60,est05_k,est519_k),1)),""))</f>
        <v/>
      </c>
      <c r="AI638">
        <f>IF($W638="","",IFERROR(INDEX(IF($T638&lt;=60,est05_s,est519_s),MATCH($W638,IF($T638&lt;=60,est05_k,est519_k),1)),""))</f>
        <v/>
      </c>
      <c r="AJ638">
        <f>IF($W638="","",IFERROR(INDEX(IF($T638&lt;=60,peso05_l,peso510_l),MATCH($W638,IF($T638&lt;=60,peso05_k,peso510_k),1)),""))</f>
        <v/>
      </c>
      <c r="AK638">
        <f>IF($W638="","",IFERROR(INDEX(IF($T638&lt;=60,peso05_m,peso510_m),MATCH($W638,IF($T638&lt;=60,peso05_k,peso510_k),1)),""))</f>
        <v/>
      </c>
      <c r="AL638">
        <f>IF($W638="","",IFERROR(INDEX(IF($T638&lt;=60,peso05_s,peso510_s),MATCH($W638,IF($T638&lt;=60,peso05_k,peso510_k),1)),""))</f>
        <v/>
      </c>
      <c r="AM638">
        <f>IF($AJ638="","",IF($AJ638=0,LN($F638/$AK638)/$AL638,((($F638/$AK638)^$AJ638)-1)/($AJ638*$AL638)))</f>
        <v/>
      </c>
      <c r="AN638">
        <f>IF($AJ638="","",IF($AJ638=0,$AK638*EXP($AL638*2),$AK638*(1+$AJ638*$AL638*2)^(1/$AJ638)))</f>
        <v/>
      </c>
      <c r="AO638">
        <f>IF($AJ638="","",IF($AJ638=0,$AK638*EXP($AL638*3),$AK638*(1+$AJ638*$AL638*3)^(1/$AJ638)))</f>
        <v/>
      </c>
      <c r="AP638">
        <f>IF($AJ638="","",IF($AJ638=0,$AK638*EXP($AL638*-2),$AK638*(1+$AJ638*$AL638*-2)^(1/$AJ638)))</f>
        <v/>
      </c>
      <c r="AQ638">
        <f>IF($AJ638="","",IF($AJ638=0,$AK638*EXP($AL638*-3),$AK638*(1+$AJ638*$AL638*-3)^(1/$AJ638)))</f>
        <v/>
      </c>
      <c r="AR638">
        <f>IF(OR($X638="",$T638&gt;60),"",IFERROR(INDEX(IF($T638&lt;24,pcomp_l,palt_l),MATCH($X638,IF($T638&lt;24,pcomp_k,palt_k),1)),""))</f>
        <v/>
      </c>
      <c r="AS638">
        <f>IF(OR($X638="",$T638&gt;60),"",IFERROR(INDEX(IF($T638&lt;24,pcomp_m,palt_m),MATCH($X638,IF($T638&lt;24,pcomp_k,palt_k),1)),""))</f>
        <v/>
      </c>
      <c r="AT638">
        <f>IF(OR($X638="",$T638&gt;60),"",IFERROR(INDEX(IF($T638&lt;24,pcomp_s,palt_s),MATCH($X638,IF($T638&lt;24,pcomp_k,palt_k),1)),""))</f>
        <v/>
      </c>
      <c r="AU638">
        <f>IF($AR638="","",IF($AR638=0,LN($F638/$AS638)/$AT638,((($F638/$AS638)^$AR638)-1)/($AR638*$AT638)))</f>
        <v/>
      </c>
      <c r="AV638">
        <f>IF($AR638="","",IF($AR638=0,$AS638*EXP($AT638*2),$AS638*(1+$AR638*$AT638*2)^(1/$AR638)))</f>
        <v/>
      </c>
      <c r="AW638">
        <f>IF($AR638="","",IF($AR638=0,$AS638*EXP($AT638*3),$AS638*(1+$AR638*$AT638*3)^(1/$AR638)))</f>
        <v/>
      </c>
      <c r="AX638">
        <f>IF($AR638="","",IF($AR638=0,$AS638*EXP($AT638*-2),$AS638*(1+$AR638*$AT638*-2)^(1/$AR638)))</f>
        <v/>
      </c>
      <c r="AY638">
        <f>IF($AR638="","",IF($AR638=0,$AS638*EXP($AT638*-3),$AS638*(1+$AR638*$AT638*-3)^(1/$AR638)))</f>
        <v/>
      </c>
      <c r="AZ638">
        <f>IF(OR($A638="",$A638&lt;&gt;Ficha!$C$4),"",COUNTIF($A$2:$A638,Ficha!$C$4))</f>
        <v/>
      </c>
    </row>
    <row r="639">
      <c r="A639" s="8">
        <f>IF(INDEX(Banco!$A:$A,ROW())="","",INDEX(Banco!$A:$A,ROW()))</f>
        <v/>
      </c>
      <c r="B639" s="8">
        <f>IF(INDEX(Banco!$B:$B,ROW())="","",INDEX(Banco!$B:$B,ROW()))</f>
        <v/>
      </c>
      <c r="C639" s="8">
        <f>IF(INDEX(Banco!$C:$C,ROW())="","",INDEX(Banco!$C:$C,ROW()))</f>
        <v/>
      </c>
      <c r="D639" s="9">
        <f>IF(INDEX(Banco!$D:$D,ROW())="","",INDEX(Banco!$D:$D,ROW()))</f>
        <v/>
      </c>
      <c r="E639" s="9">
        <f>IF(INDEX(Banco!$E:$E,ROW())="","",INDEX(Banco!$E:$E,ROW()))</f>
        <v/>
      </c>
      <c r="F639" s="10">
        <f>IF(INDEX(Banco!$F:$F,ROW())="","",INDEX(Banco!$F:$F,ROW()))</f>
        <v/>
      </c>
      <c r="G639" s="10">
        <f>IF(INDEX(Banco!$G:$G,ROW())="","",INDEX(Banco!$G:$G,ROW()))</f>
        <v/>
      </c>
      <c r="H639" s="8">
        <f>IF(INDEX(Banco!$H:$H,ROW())="","",INDEX(Banco!$H:$H,ROW()))</f>
        <v/>
      </c>
      <c r="I639">
        <f>IF($T639="","",INT($T639/12)&amp;"a "&amp;MOD($T639,12)&amp;"m")</f>
        <v/>
      </c>
      <c r="J639" s="11">
        <f>IF(OR($F639="",$G639=""),"",ROUND($F639/($G639/100)^2,2))</f>
        <v/>
      </c>
      <c r="K639" s="12">
        <f>IF(OR($S639="",$J639="",$T639="",$T639&lt;0,$T639&gt;228,$Y639=""),"—",ROUND(IF(ABS($AB639)&lt;=3,$AB639,IF($AB639&gt;3,3+($J639-$AD639)/($AD639-$AC639),-3+($J639-$AF639)/($AE639-$AF639))),2))</f>
        <v/>
      </c>
      <c r="L639">
        <f>IF(OR($K639="",$K639="—"),"",IF($T639&lt;=60,IF($K639&lt;-3,"Magreza acentuada",IF($K639&lt;-2,"Magreza",IF($K639&lt;=1,"Eutrofia",IF($K639&lt;=2,"Risco de sobrepeso",IF($K639&lt;=3,"Sobrepeso","Obesidade"))))),IF($K639&lt;-3,"Magreza acentuada",IF($K639&lt;-2,"Magreza",IF($K639&lt;=1,"Eutrofia",IF($K639&lt;=2,"Sobrepeso",IF($K639&lt;=3,"Obesidade","Obesidade grave")))))))</f>
        <v/>
      </c>
      <c r="M639" s="12">
        <f>IF(OR($S639="",$V639="",$T639="",$T639&lt;0,$T639&gt;228,$AG639=""),"—",ROUND(IF($AG639=0,LN($V639/$AH639)/$AI639,((($V639/$AH639)^$AG639)-1)/($AG639*$AI639)),2))</f>
        <v/>
      </c>
      <c r="N639">
        <f>IF(OR($M639="",$M639="—"),"",IF($M639&lt;-3,"Muito baixa",IF($M639&lt;-2,"Baixa","Adequada")))</f>
        <v/>
      </c>
      <c r="O639" s="12">
        <f>IF(OR($S639="",$F639="",$T639="",$T639&lt;0,$T639&gt;120,$AJ639=""),"—",ROUND(IF(ABS($AM639)&lt;=3,$AM639,IF($AM639&gt;3,3+($F639-$AO639)/($AO639-$AN639),-3+($F639-$AQ639)/($AP639-$AQ639))),2))</f>
        <v/>
      </c>
      <c r="P639">
        <f>IF(OR($O639="",$O639="—"),"",IF($O639&lt;-3,"Muito baixo",IF($O639&lt;-2,"Baixo",IF($O639&lt;=2,"Adequado","Elevado"))))</f>
        <v/>
      </c>
      <c r="Q639" s="12">
        <f>IF(OR($S639="",$F639="",$T639="",$T639&lt;0,$T639&gt;60,$AR639=""),"—",ROUND(IF(ABS($AU639)&lt;=3,$AU639,IF($AU639&gt;3,3+($F639-$AW639)/($AW639-$AV639),-3+($F639-$AY639)/($AX639-$AY639))),2))</f>
        <v/>
      </c>
      <c r="R639">
        <f>IF(OR($Q639="",$Q639="—"),"",IF($Q639&lt;-3,"Magreza acentuada",IF($Q639&lt;-2,"Magreza",IF($Q639&lt;=1,"Eutrofia",IF($Q639&lt;=2,"Risco de sobrepeso",IF($Q639&lt;=3,"Sobrepeso","Obesidade"))))))</f>
        <v/>
      </c>
      <c r="S639">
        <f>IF($C639="","",IF(UPPER(LEFT($C639,1))="M",1,IF(UPPER(LEFT($C639,1))="F",2,"")))</f>
        <v/>
      </c>
      <c r="T639">
        <f>IF(OR($D639="",$E639=""),"",DATEDIF($D639,$E639,"m"))</f>
        <v/>
      </c>
      <c r="U639">
        <f>IF(OR($D639="",$E639=""),"",$E639-$D639)</f>
        <v/>
      </c>
      <c r="V639">
        <f>IF(OR($G639="",$T639=""),"",IF($T639&lt;24,IF(LEFT(LOWER($H639),4)="em p",$G639+0.7,$G639),IF(LEFT(LOWER($H639),4)="deit",$G639-0.7,$G639)))</f>
        <v/>
      </c>
      <c r="W639">
        <f>IF(OR($S639="",$T639=""),"",$S639*1000000+IF($T639&lt;=60,$U639,$T639))</f>
        <v/>
      </c>
      <c r="X639">
        <f>IF(OR($S639="",$V639="",$T639&gt;60,$T639=""),"",$S639*1000000+ROUND($V639*10,0))</f>
        <v/>
      </c>
      <c r="Y639">
        <f>IF($W639="","",IFERROR(INDEX(IF($T639&lt;=60,imc05_l,imc519_l),MATCH($W639,IF($T639&lt;=60,imc05_k,imc519_k),1)),""))</f>
        <v/>
      </c>
      <c r="Z639">
        <f>IF($W639="","",IFERROR(INDEX(IF($T639&lt;=60,imc05_m,imc519_m),MATCH($W639,IF($T639&lt;=60,imc05_k,imc519_k),1)),""))</f>
        <v/>
      </c>
      <c r="AA639">
        <f>IF($W639="","",IFERROR(INDEX(IF($T639&lt;=60,imc05_s,imc519_s),MATCH($W639,IF($T639&lt;=60,imc05_k,imc519_k),1)),""))</f>
        <v/>
      </c>
      <c r="AB639">
        <f>IF($Y639="","",IF($Y639=0,LN($J639/$Z639)/$AA639,((($J639/$Z639)^$Y639)-1)/($Y639*$AA639)))</f>
        <v/>
      </c>
      <c r="AC639">
        <f>IF($Y639="","",IF($Y639=0,$Z639*EXP($AA639*2),$Z639*(1+$Y639*$AA639*2)^(1/$Y639)))</f>
        <v/>
      </c>
      <c r="AD639">
        <f>IF($Y639="","",IF($Y639=0,$Z639*EXP($AA639*3),$Z639*(1+$Y639*$AA639*3)^(1/$Y639)))</f>
        <v/>
      </c>
      <c r="AE639">
        <f>IF($Y639="","",IF($Y639=0,$Z639*EXP($AA639*-2),$Z639*(1+$Y639*$AA639*-2)^(1/$Y639)))</f>
        <v/>
      </c>
      <c r="AF639">
        <f>IF($Y639="","",IF($Y639=0,$Z639*EXP($AA639*-3),$Z639*(1+$Y639*$AA639*-3)^(1/$Y639)))</f>
        <v/>
      </c>
      <c r="AG639">
        <f>IF($W639="","",IFERROR(INDEX(IF($T639&lt;=60,est05_l,est519_l),MATCH($W639,IF($T639&lt;=60,est05_k,est519_k),1)),""))</f>
        <v/>
      </c>
      <c r="AH639">
        <f>IF($W639="","",IFERROR(INDEX(IF($T639&lt;=60,est05_m,est519_m),MATCH($W639,IF($T639&lt;=60,est05_k,est519_k),1)),""))</f>
        <v/>
      </c>
      <c r="AI639">
        <f>IF($W639="","",IFERROR(INDEX(IF($T639&lt;=60,est05_s,est519_s),MATCH($W639,IF($T639&lt;=60,est05_k,est519_k),1)),""))</f>
        <v/>
      </c>
      <c r="AJ639">
        <f>IF($W639="","",IFERROR(INDEX(IF($T639&lt;=60,peso05_l,peso510_l),MATCH($W639,IF($T639&lt;=60,peso05_k,peso510_k),1)),""))</f>
        <v/>
      </c>
      <c r="AK639">
        <f>IF($W639="","",IFERROR(INDEX(IF($T639&lt;=60,peso05_m,peso510_m),MATCH($W639,IF($T639&lt;=60,peso05_k,peso510_k),1)),""))</f>
        <v/>
      </c>
      <c r="AL639">
        <f>IF($W639="","",IFERROR(INDEX(IF($T639&lt;=60,peso05_s,peso510_s),MATCH($W639,IF($T639&lt;=60,peso05_k,peso510_k),1)),""))</f>
        <v/>
      </c>
      <c r="AM639">
        <f>IF($AJ639="","",IF($AJ639=0,LN($F639/$AK639)/$AL639,((($F639/$AK639)^$AJ639)-1)/($AJ639*$AL639)))</f>
        <v/>
      </c>
      <c r="AN639">
        <f>IF($AJ639="","",IF($AJ639=0,$AK639*EXP($AL639*2),$AK639*(1+$AJ639*$AL639*2)^(1/$AJ639)))</f>
        <v/>
      </c>
      <c r="AO639">
        <f>IF($AJ639="","",IF($AJ639=0,$AK639*EXP($AL639*3),$AK639*(1+$AJ639*$AL639*3)^(1/$AJ639)))</f>
        <v/>
      </c>
      <c r="AP639">
        <f>IF($AJ639="","",IF($AJ639=0,$AK639*EXP($AL639*-2),$AK639*(1+$AJ639*$AL639*-2)^(1/$AJ639)))</f>
        <v/>
      </c>
      <c r="AQ639">
        <f>IF($AJ639="","",IF($AJ639=0,$AK639*EXP($AL639*-3),$AK639*(1+$AJ639*$AL639*-3)^(1/$AJ639)))</f>
        <v/>
      </c>
      <c r="AR639">
        <f>IF(OR($X639="",$T639&gt;60),"",IFERROR(INDEX(IF($T639&lt;24,pcomp_l,palt_l),MATCH($X639,IF($T639&lt;24,pcomp_k,palt_k),1)),""))</f>
        <v/>
      </c>
      <c r="AS639">
        <f>IF(OR($X639="",$T639&gt;60),"",IFERROR(INDEX(IF($T639&lt;24,pcomp_m,palt_m),MATCH($X639,IF($T639&lt;24,pcomp_k,palt_k),1)),""))</f>
        <v/>
      </c>
      <c r="AT639">
        <f>IF(OR($X639="",$T639&gt;60),"",IFERROR(INDEX(IF($T639&lt;24,pcomp_s,palt_s),MATCH($X639,IF($T639&lt;24,pcomp_k,palt_k),1)),""))</f>
        <v/>
      </c>
      <c r="AU639">
        <f>IF($AR639="","",IF($AR639=0,LN($F639/$AS639)/$AT639,((($F639/$AS639)^$AR639)-1)/($AR639*$AT639)))</f>
        <v/>
      </c>
      <c r="AV639">
        <f>IF($AR639="","",IF($AR639=0,$AS639*EXP($AT639*2),$AS639*(1+$AR639*$AT639*2)^(1/$AR639)))</f>
        <v/>
      </c>
      <c r="AW639">
        <f>IF($AR639="","",IF($AR639=0,$AS639*EXP($AT639*3),$AS639*(1+$AR639*$AT639*3)^(1/$AR639)))</f>
        <v/>
      </c>
      <c r="AX639">
        <f>IF($AR639="","",IF($AR639=0,$AS639*EXP($AT639*-2),$AS639*(1+$AR639*$AT639*-2)^(1/$AR639)))</f>
        <v/>
      </c>
      <c r="AY639">
        <f>IF($AR639="","",IF($AR639=0,$AS639*EXP($AT639*-3),$AS639*(1+$AR639*$AT639*-3)^(1/$AR639)))</f>
        <v/>
      </c>
      <c r="AZ639">
        <f>IF(OR($A639="",$A639&lt;&gt;Ficha!$C$4),"",COUNTIF($A$2:$A639,Ficha!$C$4))</f>
        <v/>
      </c>
    </row>
    <row r="640">
      <c r="A640" s="8">
        <f>IF(INDEX(Banco!$A:$A,ROW())="","",INDEX(Banco!$A:$A,ROW()))</f>
        <v/>
      </c>
      <c r="B640" s="8">
        <f>IF(INDEX(Banco!$B:$B,ROW())="","",INDEX(Banco!$B:$B,ROW()))</f>
        <v/>
      </c>
      <c r="C640" s="8">
        <f>IF(INDEX(Banco!$C:$C,ROW())="","",INDEX(Banco!$C:$C,ROW()))</f>
        <v/>
      </c>
      <c r="D640" s="9">
        <f>IF(INDEX(Banco!$D:$D,ROW())="","",INDEX(Banco!$D:$D,ROW()))</f>
        <v/>
      </c>
      <c r="E640" s="9">
        <f>IF(INDEX(Banco!$E:$E,ROW())="","",INDEX(Banco!$E:$E,ROW()))</f>
        <v/>
      </c>
      <c r="F640" s="10">
        <f>IF(INDEX(Banco!$F:$F,ROW())="","",INDEX(Banco!$F:$F,ROW()))</f>
        <v/>
      </c>
      <c r="G640" s="10">
        <f>IF(INDEX(Banco!$G:$G,ROW())="","",INDEX(Banco!$G:$G,ROW()))</f>
        <v/>
      </c>
      <c r="H640" s="8">
        <f>IF(INDEX(Banco!$H:$H,ROW())="","",INDEX(Banco!$H:$H,ROW()))</f>
        <v/>
      </c>
      <c r="I640">
        <f>IF($T640="","",INT($T640/12)&amp;"a "&amp;MOD($T640,12)&amp;"m")</f>
        <v/>
      </c>
      <c r="J640" s="11">
        <f>IF(OR($F640="",$G640=""),"",ROUND($F640/($G640/100)^2,2))</f>
        <v/>
      </c>
      <c r="K640" s="12">
        <f>IF(OR($S640="",$J640="",$T640="",$T640&lt;0,$T640&gt;228,$Y640=""),"—",ROUND(IF(ABS($AB640)&lt;=3,$AB640,IF($AB640&gt;3,3+($J640-$AD640)/($AD640-$AC640),-3+($J640-$AF640)/($AE640-$AF640))),2))</f>
        <v/>
      </c>
      <c r="L640">
        <f>IF(OR($K640="",$K640="—"),"",IF($T640&lt;=60,IF($K640&lt;-3,"Magreza acentuada",IF($K640&lt;-2,"Magreza",IF($K640&lt;=1,"Eutrofia",IF($K640&lt;=2,"Risco de sobrepeso",IF($K640&lt;=3,"Sobrepeso","Obesidade"))))),IF($K640&lt;-3,"Magreza acentuada",IF($K640&lt;-2,"Magreza",IF($K640&lt;=1,"Eutrofia",IF($K640&lt;=2,"Sobrepeso",IF($K640&lt;=3,"Obesidade","Obesidade grave")))))))</f>
        <v/>
      </c>
      <c r="M640" s="12">
        <f>IF(OR($S640="",$V640="",$T640="",$T640&lt;0,$T640&gt;228,$AG640=""),"—",ROUND(IF($AG640=0,LN($V640/$AH640)/$AI640,((($V640/$AH640)^$AG640)-1)/($AG640*$AI640)),2))</f>
        <v/>
      </c>
      <c r="N640">
        <f>IF(OR($M640="",$M640="—"),"",IF($M640&lt;-3,"Muito baixa",IF($M640&lt;-2,"Baixa","Adequada")))</f>
        <v/>
      </c>
      <c r="O640" s="12">
        <f>IF(OR($S640="",$F640="",$T640="",$T640&lt;0,$T640&gt;120,$AJ640=""),"—",ROUND(IF(ABS($AM640)&lt;=3,$AM640,IF($AM640&gt;3,3+($F640-$AO640)/($AO640-$AN640),-3+($F640-$AQ640)/($AP640-$AQ640))),2))</f>
        <v/>
      </c>
      <c r="P640">
        <f>IF(OR($O640="",$O640="—"),"",IF($O640&lt;-3,"Muito baixo",IF($O640&lt;-2,"Baixo",IF($O640&lt;=2,"Adequado","Elevado"))))</f>
        <v/>
      </c>
      <c r="Q640" s="12">
        <f>IF(OR($S640="",$F640="",$T640="",$T640&lt;0,$T640&gt;60,$AR640=""),"—",ROUND(IF(ABS($AU640)&lt;=3,$AU640,IF($AU640&gt;3,3+($F640-$AW640)/($AW640-$AV640),-3+($F640-$AY640)/($AX640-$AY640))),2))</f>
        <v/>
      </c>
      <c r="R640">
        <f>IF(OR($Q640="",$Q640="—"),"",IF($Q640&lt;-3,"Magreza acentuada",IF($Q640&lt;-2,"Magreza",IF($Q640&lt;=1,"Eutrofia",IF($Q640&lt;=2,"Risco de sobrepeso",IF($Q640&lt;=3,"Sobrepeso","Obesidade"))))))</f>
        <v/>
      </c>
      <c r="S640">
        <f>IF($C640="","",IF(UPPER(LEFT($C640,1))="M",1,IF(UPPER(LEFT($C640,1))="F",2,"")))</f>
        <v/>
      </c>
      <c r="T640">
        <f>IF(OR($D640="",$E640=""),"",DATEDIF($D640,$E640,"m"))</f>
        <v/>
      </c>
      <c r="U640">
        <f>IF(OR($D640="",$E640=""),"",$E640-$D640)</f>
        <v/>
      </c>
      <c r="V640">
        <f>IF(OR($G640="",$T640=""),"",IF($T640&lt;24,IF(LEFT(LOWER($H640),4)="em p",$G640+0.7,$G640),IF(LEFT(LOWER($H640),4)="deit",$G640-0.7,$G640)))</f>
        <v/>
      </c>
      <c r="W640">
        <f>IF(OR($S640="",$T640=""),"",$S640*1000000+IF($T640&lt;=60,$U640,$T640))</f>
        <v/>
      </c>
      <c r="X640">
        <f>IF(OR($S640="",$V640="",$T640&gt;60,$T640=""),"",$S640*1000000+ROUND($V640*10,0))</f>
        <v/>
      </c>
      <c r="Y640">
        <f>IF($W640="","",IFERROR(INDEX(IF($T640&lt;=60,imc05_l,imc519_l),MATCH($W640,IF($T640&lt;=60,imc05_k,imc519_k),1)),""))</f>
        <v/>
      </c>
      <c r="Z640">
        <f>IF($W640="","",IFERROR(INDEX(IF($T640&lt;=60,imc05_m,imc519_m),MATCH($W640,IF($T640&lt;=60,imc05_k,imc519_k),1)),""))</f>
        <v/>
      </c>
      <c r="AA640">
        <f>IF($W640="","",IFERROR(INDEX(IF($T640&lt;=60,imc05_s,imc519_s),MATCH($W640,IF($T640&lt;=60,imc05_k,imc519_k),1)),""))</f>
        <v/>
      </c>
      <c r="AB640">
        <f>IF($Y640="","",IF($Y640=0,LN($J640/$Z640)/$AA640,((($J640/$Z640)^$Y640)-1)/($Y640*$AA640)))</f>
        <v/>
      </c>
      <c r="AC640">
        <f>IF($Y640="","",IF($Y640=0,$Z640*EXP($AA640*2),$Z640*(1+$Y640*$AA640*2)^(1/$Y640)))</f>
        <v/>
      </c>
      <c r="AD640">
        <f>IF($Y640="","",IF($Y640=0,$Z640*EXP($AA640*3),$Z640*(1+$Y640*$AA640*3)^(1/$Y640)))</f>
        <v/>
      </c>
      <c r="AE640">
        <f>IF($Y640="","",IF($Y640=0,$Z640*EXP($AA640*-2),$Z640*(1+$Y640*$AA640*-2)^(1/$Y640)))</f>
        <v/>
      </c>
      <c r="AF640">
        <f>IF($Y640="","",IF($Y640=0,$Z640*EXP($AA640*-3),$Z640*(1+$Y640*$AA640*-3)^(1/$Y640)))</f>
        <v/>
      </c>
      <c r="AG640">
        <f>IF($W640="","",IFERROR(INDEX(IF($T640&lt;=60,est05_l,est519_l),MATCH($W640,IF($T640&lt;=60,est05_k,est519_k),1)),""))</f>
        <v/>
      </c>
      <c r="AH640">
        <f>IF($W640="","",IFERROR(INDEX(IF($T640&lt;=60,est05_m,est519_m),MATCH($W640,IF($T640&lt;=60,est05_k,est519_k),1)),""))</f>
        <v/>
      </c>
      <c r="AI640">
        <f>IF($W640="","",IFERROR(INDEX(IF($T640&lt;=60,est05_s,est519_s),MATCH($W640,IF($T640&lt;=60,est05_k,est519_k),1)),""))</f>
        <v/>
      </c>
      <c r="AJ640">
        <f>IF($W640="","",IFERROR(INDEX(IF($T640&lt;=60,peso05_l,peso510_l),MATCH($W640,IF($T640&lt;=60,peso05_k,peso510_k),1)),""))</f>
        <v/>
      </c>
      <c r="AK640">
        <f>IF($W640="","",IFERROR(INDEX(IF($T640&lt;=60,peso05_m,peso510_m),MATCH($W640,IF($T640&lt;=60,peso05_k,peso510_k),1)),""))</f>
        <v/>
      </c>
      <c r="AL640">
        <f>IF($W640="","",IFERROR(INDEX(IF($T640&lt;=60,peso05_s,peso510_s),MATCH($W640,IF($T640&lt;=60,peso05_k,peso510_k),1)),""))</f>
        <v/>
      </c>
      <c r="AM640">
        <f>IF($AJ640="","",IF($AJ640=0,LN($F640/$AK640)/$AL640,((($F640/$AK640)^$AJ640)-1)/($AJ640*$AL640)))</f>
        <v/>
      </c>
      <c r="AN640">
        <f>IF($AJ640="","",IF($AJ640=0,$AK640*EXP($AL640*2),$AK640*(1+$AJ640*$AL640*2)^(1/$AJ640)))</f>
        <v/>
      </c>
      <c r="AO640">
        <f>IF($AJ640="","",IF($AJ640=0,$AK640*EXP($AL640*3),$AK640*(1+$AJ640*$AL640*3)^(1/$AJ640)))</f>
        <v/>
      </c>
      <c r="AP640">
        <f>IF($AJ640="","",IF($AJ640=0,$AK640*EXP($AL640*-2),$AK640*(1+$AJ640*$AL640*-2)^(1/$AJ640)))</f>
        <v/>
      </c>
      <c r="AQ640">
        <f>IF($AJ640="","",IF($AJ640=0,$AK640*EXP($AL640*-3),$AK640*(1+$AJ640*$AL640*-3)^(1/$AJ640)))</f>
        <v/>
      </c>
      <c r="AR640">
        <f>IF(OR($X640="",$T640&gt;60),"",IFERROR(INDEX(IF($T640&lt;24,pcomp_l,palt_l),MATCH($X640,IF($T640&lt;24,pcomp_k,palt_k),1)),""))</f>
        <v/>
      </c>
      <c r="AS640">
        <f>IF(OR($X640="",$T640&gt;60),"",IFERROR(INDEX(IF($T640&lt;24,pcomp_m,palt_m),MATCH($X640,IF($T640&lt;24,pcomp_k,palt_k),1)),""))</f>
        <v/>
      </c>
      <c r="AT640">
        <f>IF(OR($X640="",$T640&gt;60),"",IFERROR(INDEX(IF($T640&lt;24,pcomp_s,palt_s),MATCH($X640,IF($T640&lt;24,pcomp_k,palt_k),1)),""))</f>
        <v/>
      </c>
      <c r="AU640">
        <f>IF($AR640="","",IF($AR640=0,LN($F640/$AS640)/$AT640,((($F640/$AS640)^$AR640)-1)/($AR640*$AT640)))</f>
        <v/>
      </c>
      <c r="AV640">
        <f>IF($AR640="","",IF($AR640=0,$AS640*EXP($AT640*2),$AS640*(1+$AR640*$AT640*2)^(1/$AR640)))</f>
        <v/>
      </c>
      <c r="AW640">
        <f>IF($AR640="","",IF($AR640=0,$AS640*EXP($AT640*3),$AS640*(1+$AR640*$AT640*3)^(1/$AR640)))</f>
        <v/>
      </c>
      <c r="AX640">
        <f>IF($AR640="","",IF($AR640=0,$AS640*EXP($AT640*-2),$AS640*(1+$AR640*$AT640*-2)^(1/$AR640)))</f>
        <v/>
      </c>
      <c r="AY640">
        <f>IF($AR640="","",IF($AR640=0,$AS640*EXP($AT640*-3),$AS640*(1+$AR640*$AT640*-3)^(1/$AR640)))</f>
        <v/>
      </c>
      <c r="AZ640">
        <f>IF(OR($A640="",$A640&lt;&gt;Ficha!$C$4),"",COUNTIF($A$2:$A640,Ficha!$C$4))</f>
        <v/>
      </c>
    </row>
    <row r="641">
      <c r="A641" s="8">
        <f>IF(INDEX(Banco!$A:$A,ROW())="","",INDEX(Banco!$A:$A,ROW()))</f>
        <v/>
      </c>
      <c r="B641" s="8">
        <f>IF(INDEX(Banco!$B:$B,ROW())="","",INDEX(Banco!$B:$B,ROW()))</f>
        <v/>
      </c>
      <c r="C641" s="8">
        <f>IF(INDEX(Banco!$C:$C,ROW())="","",INDEX(Banco!$C:$C,ROW()))</f>
        <v/>
      </c>
      <c r="D641" s="9">
        <f>IF(INDEX(Banco!$D:$D,ROW())="","",INDEX(Banco!$D:$D,ROW()))</f>
        <v/>
      </c>
      <c r="E641" s="9">
        <f>IF(INDEX(Banco!$E:$E,ROW())="","",INDEX(Banco!$E:$E,ROW()))</f>
        <v/>
      </c>
      <c r="F641" s="10">
        <f>IF(INDEX(Banco!$F:$F,ROW())="","",INDEX(Banco!$F:$F,ROW()))</f>
        <v/>
      </c>
      <c r="G641" s="10">
        <f>IF(INDEX(Banco!$G:$G,ROW())="","",INDEX(Banco!$G:$G,ROW()))</f>
        <v/>
      </c>
      <c r="H641" s="8">
        <f>IF(INDEX(Banco!$H:$H,ROW())="","",INDEX(Banco!$H:$H,ROW()))</f>
        <v/>
      </c>
      <c r="I641">
        <f>IF($T641="","",INT($T641/12)&amp;"a "&amp;MOD($T641,12)&amp;"m")</f>
        <v/>
      </c>
      <c r="J641" s="11">
        <f>IF(OR($F641="",$G641=""),"",ROUND($F641/($G641/100)^2,2))</f>
        <v/>
      </c>
      <c r="K641" s="12">
        <f>IF(OR($S641="",$J641="",$T641="",$T641&lt;0,$T641&gt;228,$Y641=""),"—",ROUND(IF(ABS($AB641)&lt;=3,$AB641,IF($AB641&gt;3,3+($J641-$AD641)/($AD641-$AC641),-3+($J641-$AF641)/($AE641-$AF641))),2))</f>
        <v/>
      </c>
      <c r="L641">
        <f>IF(OR($K641="",$K641="—"),"",IF($T641&lt;=60,IF($K641&lt;-3,"Magreza acentuada",IF($K641&lt;-2,"Magreza",IF($K641&lt;=1,"Eutrofia",IF($K641&lt;=2,"Risco de sobrepeso",IF($K641&lt;=3,"Sobrepeso","Obesidade"))))),IF($K641&lt;-3,"Magreza acentuada",IF($K641&lt;-2,"Magreza",IF($K641&lt;=1,"Eutrofia",IF($K641&lt;=2,"Sobrepeso",IF($K641&lt;=3,"Obesidade","Obesidade grave")))))))</f>
        <v/>
      </c>
      <c r="M641" s="12">
        <f>IF(OR($S641="",$V641="",$T641="",$T641&lt;0,$T641&gt;228,$AG641=""),"—",ROUND(IF($AG641=0,LN($V641/$AH641)/$AI641,((($V641/$AH641)^$AG641)-1)/($AG641*$AI641)),2))</f>
        <v/>
      </c>
      <c r="N641">
        <f>IF(OR($M641="",$M641="—"),"",IF($M641&lt;-3,"Muito baixa",IF($M641&lt;-2,"Baixa","Adequada")))</f>
        <v/>
      </c>
      <c r="O641" s="12">
        <f>IF(OR($S641="",$F641="",$T641="",$T641&lt;0,$T641&gt;120,$AJ641=""),"—",ROUND(IF(ABS($AM641)&lt;=3,$AM641,IF($AM641&gt;3,3+($F641-$AO641)/($AO641-$AN641),-3+($F641-$AQ641)/($AP641-$AQ641))),2))</f>
        <v/>
      </c>
      <c r="P641">
        <f>IF(OR($O641="",$O641="—"),"",IF($O641&lt;-3,"Muito baixo",IF($O641&lt;-2,"Baixo",IF($O641&lt;=2,"Adequado","Elevado"))))</f>
        <v/>
      </c>
      <c r="Q641" s="12">
        <f>IF(OR($S641="",$F641="",$T641="",$T641&lt;0,$T641&gt;60,$AR641=""),"—",ROUND(IF(ABS($AU641)&lt;=3,$AU641,IF($AU641&gt;3,3+($F641-$AW641)/($AW641-$AV641),-3+($F641-$AY641)/($AX641-$AY641))),2))</f>
        <v/>
      </c>
      <c r="R641">
        <f>IF(OR($Q641="",$Q641="—"),"",IF($Q641&lt;-3,"Magreza acentuada",IF($Q641&lt;-2,"Magreza",IF($Q641&lt;=1,"Eutrofia",IF($Q641&lt;=2,"Risco de sobrepeso",IF($Q641&lt;=3,"Sobrepeso","Obesidade"))))))</f>
        <v/>
      </c>
      <c r="S641">
        <f>IF($C641="","",IF(UPPER(LEFT($C641,1))="M",1,IF(UPPER(LEFT($C641,1))="F",2,"")))</f>
        <v/>
      </c>
      <c r="T641">
        <f>IF(OR($D641="",$E641=""),"",DATEDIF($D641,$E641,"m"))</f>
        <v/>
      </c>
      <c r="U641">
        <f>IF(OR($D641="",$E641=""),"",$E641-$D641)</f>
        <v/>
      </c>
      <c r="V641">
        <f>IF(OR($G641="",$T641=""),"",IF($T641&lt;24,IF(LEFT(LOWER($H641),4)="em p",$G641+0.7,$G641),IF(LEFT(LOWER($H641),4)="deit",$G641-0.7,$G641)))</f>
        <v/>
      </c>
      <c r="W641">
        <f>IF(OR($S641="",$T641=""),"",$S641*1000000+IF($T641&lt;=60,$U641,$T641))</f>
        <v/>
      </c>
      <c r="X641">
        <f>IF(OR($S641="",$V641="",$T641&gt;60,$T641=""),"",$S641*1000000+ROUND($V641*10,0))</f>
        <v/>
      </c>
      <c r="Y641">
        <f>IF($W641="","",IFERROR(INDEX(IF($T641&lt;=60,imc05_l,imc519_l),MATCH($W641,IF($T641&lt;=60,imc05_k,imc519_k),1)),""))</f>
        <v/>
      </c>
      <c r="Z641">
        <f>IF($W641="","",IFERROR(INDEX(IF($T641&lt;=60,imc05_m,imc519_m),MATCH($W641,IF($T641&lt;=60,imc05_k,imc519_k),1)),""))</f>
        <v/>
      </c>
      <c r="AA641">
        <f>IF($W641="","",IFERROR(INDEX(IF($T641&lt;=60,imc05_s,imc519_s),MATCH($W641,IF($T641&lt;=60,imc05_k,imc519_k),1)),""))</f>
        <v/>
      </c>
      <c r="AB641">
        <f>IF($Y641="","",IF($Y641=0,LN($J641/$Z641)/$AA641,((($J641/$Z641)^$Y641)-1)/($Y641*$AA641)))</f>
        <v/>
      </c>
      <c r="AC641">
        <f>IF($Y641="","",IF($Y641=0,$Z641*EXP($AA641*2),$Z641*(1+$Y641*$AA641*2)^(1/$Y641)))</f>
        <v/>
      </c>
      <c r="AD641">
        <f>IF($Y641="","",IF($Y641=0,$Z641*EXP($AA641*3),$Z641*(1+$Y641*$AA641*3)^(1/$Y641)))</f>
        <v/>
      </c>
      <c r="AE641">
        <f>IF($Y641="","",IF($Y641=0,$Z641*EXP($AA641*-2),$Z641*(1+$Y641*$AA641*-2)^(1/$Y641)))</f>
        <v/>
      </c>
      <c r="AF641">
        <f>IF($Y641="","",IF($Y641=0,$Z641*EXP($AA641*-3),$Z641*(1+$Y641*$AA641*-3)^(1/$Y641)))</f>
        <v/>
      </c>
      <c r="AG641">
        <f>IF($W641="","",IFERROR(INDEX(IF($T641&lt;=60,est05_l,est519_l),MATCH($W641,IF($T641&lt;=60,est05_k,est519_k),1)),""))</f>
        <v/>
      </c>
      <c r="AH641">
        <f>IF($W641="","",IFERROR(INDEX(IF($T641&lt;=60,est05_m,est519_m),MATCH($W641,IF($T641&lt;=60,est05_k,est519_k),1)),""))</f>
        <v/>
      </c>
      <c r="AI641">
        <f>IF($W641="","",IFERROR(INDEX(IF($T641&lt;=60,est05_s,est519_s),MATCH($W641,IF($T641&lt;=60,est05_k,est519_k),1)),""))</f>
        <v/>
      </c>
      <c r="AJ641">
        <f>IF($W641="","",IFERROR(INDEX(IF($T641&lt;=60,peso05_l,peso510_l),MATCH($W641,IF($T641&lt;=60,peso05_k,peso510_k),1)),""))</f>
        <v/>
      </c>
      <c r="AK641">
        <f>IF($W641="","",IFERROR(INDEX(IF($T641&lt;=60,peso05_m,peso510_m),MATCH($W641,IF($T641&lt;=60,peso05_k,peso510_k),1)),""))</f>
        <v/>
      </c>
      <c r="AL641">
        <f>IF($W641="","",IFERROR(INDEX(IF($T641&lt;=60,peso05_s,peso510_s),MATCH($W641,IF($T641&lt;=60,peso05_k,peso510_k),1)),""))</f>
        <v/>
      </c>
      <c r="AM641">
        <f>IF($AJ641="","",IF($AJ641=0,LN($F641/$AK641)/$AL641,((($F641/$AK641)^$AJ641)-1)/($AJ641*$AL641)))</f>
        <v/>
      </c>
      <c r="AN641">
        <f>IF($AJ641="","",IF($AJ641=0,$AK641*EXP($AL641*2),$AK641*(1+$AJ641*$AL641*2)^(1/$AJ641)))</f>
        <v/>
      </c>
      <c r="AO641">
        <f>IF($AJ641="","",IF($AJ641=0,$AK641*EXP($AL641*3),$AK641*(1+$AJ641*$AL641*3)^(1/$AJ641)))</f>
        <v/>
      </c>
      <c r="AP641">
        <f>IF($AJ641="","",IF($AJ641=0,$AK641*EXP($AL641*-2),$AK641*(1+$AJ641*$AL641*-2)^(1/$AJ641)))</f>
        <v/>
      </c>
      <c r="AQ641">
        <f>IF($AJ641="","",IF($AJ641=0,$AK641*EXP($AL641*-3),$AK641*(1+$AJ641*$AL641*-3)^(1/$AJ641)))</f>
        <v/>
      </c>
      <c r="AR641">
        <f>IF(OR($X641="",$T641&gt;60),"",IFERROR(INDEX(IF($T641&lt;24,pcomp_l,palt_l),MATCH($X641,IF($T641&lt;24,pcomp_k,palt_k),1)),""))</f>
        <v/>
      </c>
      <c r="AS641">
        <f>IF(OR($X641="",$T641&gt;60),"",IFERROR(INDEX(IF($T641&lt;24,pcomp_m,palt_m),MATCH($X641,IF($T641&lt;24,pcomp_k,palt_k),1)),""))</f>
        <v/>
      </c>
      <c r="AT641">
        <f>IF(OR($X641="",$T641&gt;60),"",IFERROR(INDEX(IF($T641&lt;24,pcomp_s,palt_s),MATCH($X641,IF($T641&lt;24,pcomp_k,palt_k),1)),""))</f>
        <v/>
      </c>
      <c r="AU641">
        <f>IF($AR641="","",IF($AR641=0,LN($F641/$AS641)/$AT641,((($F641/$AS641)^$AR641)-1)/($AR641*$AT641)))</f>
        <v/>
      </c>
      <c r="AV641">
        <f>IF($AR641="","",IF($AR641=0,$AS641*EXP($AT641*2),$AS641*(1+$AR641*$AT641*2)^(1/$AR641)))</f>
        <v/>
      </c>
      <c r="AW641">
        <f>IF($AR641="","",IF($AR641=0,$AS641*EXP($AT641*3),$AS641*(1+$AR641*$AT641*3)^(1/$AR641)))</f>
        <v/>
      </c>
      <c r="AX641">
        <f>IF($AR641="","",IF($AR641=0,$AS641*EXP($AT641*-2),$AS641*(1+$AR641*$AT641*-2)^(1/$AR641)))</f>
        <v/>
      </c>
      <c r="AY641">
        <f>IF($AR641="","",IF($AR641=0,$AS641*EXP($AT641*-3),$AS641*(1+$AR641*$AT641*-3)^(1/$AR641)))</f>
        <v/>
      </c>
      <c r="AZ641">
        <f>IF(OR($A641="",$A641&lt;&gt;Ficha!$C$4),"",COUNTIF($A$2:$A641,Ficha!$C$4))</f>
        <v/>
      </c>
    </row>
    <row r="642">
      <c r="A642" s="8">
        <f>IF(INDEX(Banco!$A:$A,ROW())="","",INDEX(Banco!$A:$A,ROW()))</f>
        <v/>
      </c>
      <c r="B642" s="8">
        <f>IF(INDEX(Banco!$B:$B,ROW())="","",INDEX(Banco!$B:$B,ROW()))</f>
        <v/>
      </c>
      <c r="C642" s="8">
        <f>IF(INDEX(Banco!$C:$C,ROW())="","",INDEX(Banco!$C:$C,ROW()))</f>
        <v/>
      </c>
      <c r="D642" s="9">
        <f>IF(INDEX(Banco!$D:$D,ROW())="","",INDEX(Banco!$D:$D,ROW()))</f>
        <v/>
      </c>
      <c r="E642" s="9">
        <f>IF(INDEX(Banco!$E:$E,ROW())="","",INDEX(Banco!$E:$E,ROW()))</f>
        <v/>
      </c>
      <c r="F642" s="10">
        <f>IF(INDEX(Banco!$F:$F,ROW())="","",INDEX(Banco!$F:$F,ROW()))</f>
        <v/>
      </c>
      <c r="G642" s="10">
        <f>IF(INDEX(Banco!$G:$G,ROW())="","",INDEX(Banco!$G:$G,ROW()))</f>
        <v/>
      </c>
      <c r="H642" s="8">
        <f>IF(INDEX(Banco!$H:$H,ROW())="","",INDEX(Banco!$H:$H,ROW()))</f>
        <v/>
      </c>
      <c r="I642">
        <f>IF($T642="","",INT($T642/12)&amp;"a "&amp;MOD($T642,12)&amp;"m")</f>
        <v/>
      </c>
      <c r="J642" s="11">
        <f>IF(OR($F642="",$G642=""),"",ROUND($F642/($G642/100)^2,2))</f>
        <v/>
      </c>
      <c r="K642" s="12">
        <f>IF(OR($S642="",$J642="",$T642="",$T642&lt;0,$T642&gt;228,$Y642=""),"—",ROUND(IF(ABS($AB642)&lt;=3,$AB642,IF($AB642&gt;3,3+($J642-$AD642)/($AD642-$AC642),-3+($J642-$AF642)/($AE642-$AF642))),2))</f>
        <v/>
      </c>
      <c r="L642">
        <f>IF(OR($K642="",$K642="—"),"",IF($T642&lt;=60,IF($K642&lt;-3,"Magreza acentuada",IF($K642&lt;-2,"Magreza",IF($K642&lt;=1,"Eutrofia",IF($K642&lt;=2,"Risco de sobrepeso",IF($K642&lt;=3,"Sobrepeso","Obesidade"))))),IF($K642&lt;-3,"Magreza acentuada",IF($K642&lt;-2,"Magreza",IF($K642&lt;=1,"Eutrofia",IF($K642&lt;=2,"Sobrepeso",IF($K642&lt;=3,"Obesidade","Obesidade grave")))))))</f>
        <v/>
      </c>
      <c r="M642" s="12">
        <f>IF(OR($S642="",$V642="",$T642="",$T642&lt;0,$T642&gt;228,$AG642=""),"—",ROUND(IF($AG642=0,LN($V642/$AH642)/$AI642,((($V642/$AH642)^$AG642)-1)/($AG642*$AI642)),2))</f>
        <v/>
      </c>
      <c r="N642">
        <f>IF(OR($M642="",$M642="—"),"",IF($M642&lt;-3,"Muito baixa",IF($M642&lt;-2,"Baixa","Adequada")))</f>
        <v/>
      </c>
      <c r="O642" s="12">
        <f>IF(OR($S642="",$F642="",$T642="",$T642&lt;0,$T642&gt;120,$AJ642=""),"—",ROUND(IF(ABS($AM642)&lt;=3,$AM642,IF($AM642&gt;3,3+($F642-$AO642)/($AO642-$AN642),-3+($F642-$AQ642)/($AP642-$AQ642))),2))</f>
        <v/>
      </c>
      <c r="P642">
        <f>IF(OR($O642="",$O642="—"),"",IF($O642&lt;-3,"Muito baixo",IF($O642&lt;-2,"Baixo",IF($O642&lt;=2,"Adequado","Elevado"))))</f>
        <v/>
      </c>
      <c r="Q642" s="12">
        <f>IF(OR($S642="",$F642="",$T642="",$T642&lt;0,$T642&gt;60,$AR642=""),"—",ROUND(IF(ABS($AU642)&lt;=3,$AU642,IF($AU642&gt;3,3+($F642-$AW642)/($AW642-$AV642),-3+($F642-$AY642)/($AX642-$AY642))),2))</f>
        <v/>
      </c>
      <c r="R642">
        <f>IF(OR($Q642="",$Q642="—"),"",IF($Q642&lt;-3,"Magreza acentuada",IF($Q642&lt;-2,"Magreza",IF($Q642&lt;=1,"Eutrofia",IF($Q642&lt;=2,"Risco de sobrepeso",IF($Q642&lt;=3,"Sobrepeso","Obesidade"))))))</f>
        <v/>
      </c>
      <c r="S642">
        <f>IF($C642="","",IF(UPPER(LEFT($C642,1))="M",1,IF(UPPER(LEFT($C642,1))="F",2,"")))</f>
        <v/>
      </c>
      <c r="T642">
        <f>IF(OR($D642="",$E642=""),"",DATEDIF($D642,$E642,"m"))</f>
        <v/>
      </c>
      <c r="U642">
        <f>IF(OR($D642="",$E642=""),"",$E642-$D642)</f>
        <v/>
      </c>
      <c r="V642">
        <f>IF(OR($G642="",$T642=""),"",IF($T642&lt;24,IF(LEFT(LOWER($H642),4)="em p",$G642+0.7,$G642),IF(LEFT(LOWER($H642),4)="deit",$G642-0.7,$G642)))</f>
        <v/>
      </c>
      <c r="W642">
        <f>IF(OR($S642="",$T642=""),"",$S642*1000000+IF($T642&lt;=60,$U642,$T642))</f>
        <v/>
      </c>
      <c r="X642">
        <f>IF(OR($S642="",$V642="",$T642&gt;60,$T642=""),"",$S642*1000000+ROUND($V642*10,0))</f>
        <v/>
      </c>
      <c r="Y642">
        <f>IF($W642="","",IFERROR(INDEX(IF($T642&lt;=60,imc05_l,imc519_l),MATCH($W642,IF($T642&lt;=60,imc05_k,imc519_k),1)),""))</f>
        <v/>
      </c>
      <c r="Z642">
        <f>IF($W642="","",IFERROR(INDEX(IF($T642&lt;=60,imc05_m,imc519_m),MATCH($W642,IF($T642&lt;=60,imc05_k,imc519_k),1)),""))</f>
        <v/>
      </c>
      <c r="AA642">
        <f>IF($W642="","",IFERROR(INDEX(IF($T642&lt;=60,imc05_s,imc519_s),MATCH($W642,IF($T642&lt;=60,imc05_k,imc519_k),1)),""))</f>
        <v/>
      </c>
      <c r="AB642">
        <f>IF($Y642="","",IF($Y642=0,LN($J642/$Z642)/$AA642,((($J642/$Z642)^$Y642)-1)/($Y642*$AA642)))</f>
        <v/>
      </c>
      <c r="AC642">
        <f>IF($Y642="","",IF($Y642=0,$Z642*EXP($AA642*2),$Z642*(1+$Y642*$AA642*2)^(1/$Y642)))</f>
        <v/>
      </c>
      <c r="AD642">
        <f>IF($Y642="","",IF($Y642=0,$Z642*EXP($AA642*3),$Z642*(1+$Y642*$AA642*3)^(1/$Y642)))</f>
        <v/>
      </c>
      <c r="AE642">
        <f>IF($Y642="","",IF($Y642=0,$Z642*EXP($AA642*-2),$Z642*(1+$Y642*$AA642*-2)^(1/$Y642)))</f>
        <v/>
      </c>
      <c r="AF642">
        <f>IF($Y642="","",IF($Y642=0,$Z642*EXP($AA642*-3),$Z642*(1+$Y642*$AA642*-3)^(1/$Y642)))</f>
        <v/>
      </c>
      <c r="AG642">
        <f>IF($W642="","",IFERROR(INDEX(IF($T642&lt;=60,est05_l,est519_l),MATCH($W642,IF($T642&lt;=60,est05_k,est519_k),1)),""))</f>
        <v/>
      </c>
      <c r="AH642">
        <f>IF($W642="","",IFERROR(INDEX(IF($T642&lt;=60,est05_m,est519_m),MATCH($W642,IF($T642&lt;=60,est05_k,est519_k),1)),""))</f>
        <v/>
      </c>
      <c r="AI642">
        <f>IF($W642="","",IFERROR(INDEX(IF($T642&lt;=60,est05_s,est519_s),MATCH($W642,IF($T642&lt;=60,est05_k,est519_k),1)),""))</f>
        <v/>
      </c>
      <c r="AJ642">
        <f>IF($W642="","",IFERROR(INDEX(IF($T642&lt;=60,peso05_l,peso510_l),MATCH($W642,IF($T642&lt;=60,peso05_k,peso510_k),1)),""))</f>
        <v/>
      </c>
      <c r="AK642">
        <f>IF($W642="","",IFERROR(INDEX(IF($T642&lt;=60,peso05_m,peso510_m),MATCH($W642,IF($T642&lt;=60,peso05_k,peso510_k),1)),""))</f>
        <v/>
      </c>
      <c r="AL642">
        <f>IF($W642="","",IFERROR(INDEX(IF($T642&lt;=60,peso05_s,peso510_s),MATCH($W642,IF($T642&lt;=60,peso05_k,peso510_k),1)),""))</f>
        <v/>
      </c>
      <c r="AM642">
        <f>IF($AJ642="","",IF($AJ642=0,LN($F642/$AK642)/$AL642,((($F642/$AK642)^$AJ642)-1)/($AJ642*$AL642)))</f>
        <v/>
      </c>
      <c r="AN642">
        <f>IF($AJ642="","",IF($AJ642=0,$AK642*EXP($AL642*2),$AK642*(1+$AJ642*$AL642*2)^(1/$AJ642)))</f>
        <v/>
      </c>
      <c r="AO642">
        <f>IF($AJ642="","",IF($AJ642=0,$AK642*EXP($AL642*3),$AK642*(1+$AJ642*$AL642*3)^(1/$AJ642)))</f>
        <v/>
      </c>
      <c r="AP642">
        <f>IF($AJ642="","",IF($AJ642=0,$AK642*EXP($AL642*-2),$AK642*(1+$AJ642*$AL642*-2)^(1/$AJ642)))</f>
        <v/>
      </c>
      <c r="AQ642">
        <f>IF($AJ642="","",IF($AJ642=0,$AK642*EXP($AL642*-3),$AK642*(1+$AJ642*$AL642*-3)^(1/$AJ642)))</f>
        <v/>
      </c>
      <c r="AR642">
        <f>IF(OR($X642="",$T642&gt;60),"",IFERROR(INDEX(IF($T642&lt;24,pcomp_l,palt_l),MATCH($X642,IF($T642&lt;24,pcomp_k,palt_k),1)),""))</f>
        <v/>
      </c>
      <c r="AS642">
        <f>IF(OR($X642="",$T642&gt;60),"",IFERROR(INDEX(IF($T642&lt;24,pcomp_m,palt_m),MATCH($X642,IF($T642&lt;24,pcomp_k,palt_k),1)),""))</f>
        <v/>
      </c>
      <c r="AT642">
        <f>IF(OR($X642="",$T642&gt;60),"",IFERROR(INDEX(IF($T642&lt;24,pcomp_s,palt_s),MATCH($X642,IF($T642&lt;24,pcomp_k,palt_k),1)),""))</f>
        <v/>
      </c>
      <c r="AU642">
        <f>IF($AR642="","",IF($AR642=0,LN($F642/$AS642)/$AT642,((($F642/$AS642)^$AR642)-1)/($AR642*$AT642)))</f>
        <v/>
      </c>
      <c r="AV642">
        <f>IF($AR642="","",IF($AR642=0,$AS642*EXP($AT642*2),$AS642*(1+$AR642*$AT642*2)^(1/$AR642)))</f>
        <v/>
      </c>
      <c r="AW642">
        <f>IF($AR642="","",IF($AR642=0,$AS642*EXP($AT642*3),$AS642*(1+$AR642*$AT642*3)^(1/$AR642)))</f>
        <v/>
      </c>
      <c r="AX642">
        <f>IF($AR642="","",IF($AR642=0,$AS642*EXP($AT642*-2),$AS642*(1+$AR642*$AT642*-2)^(1/$AR642)))</f>
        <v/>
      </c>
      <c r="AY642">
        <f>IF($AR642="","",IF($AR642=0,$AS642*EXP($AT642*-3),$AS642*(1+$AR642*$AT642*-3)^(1/$AR642)))</f>
        <v/>
      </c>
      <c r="AZ642">
        <f>IF(OR($A642="",$A642&lt;&gt;Ficha!$C$4),"",COUNTIF($A$2:$A642,Ficha!$C$4))</f>
        <v/>
      </c>
    </row>
    <row r="643">
      <c r="A643" s="8">
        <f>IF(INDEX(Banco!$A:$A,ROW())="","",INDEX(Banco!$A:$A,ROW()))</f>
        <v/>
      </c>
      <c r="B643" s="8">
        <f>IF(INDEX(Banco!$B:$B,ROW())="","",INDEX(Banco!$B:$B,ROW()))</f>
        <v/>
      </c>
      <c r="C643" s="8">
        <f>IF(INDEX(Banco!$C:$C,ROW())="","",INDEX(Banco!$C:$C,ROW()))</f>
        <v/>
      </c>
      <c r="D643" s="9">
        <f>IF(INDEX(Banco!$D:$D,ROW())="","",INDEX(Banco!$D:$D,ROW()))</f>
        <v/>
      </c>
      <c r="E643" s="9">
        <f>IF(INDEX(Banco!$E:$E,ROW())="","",INDEX(Banco!$E:$E,ROW()))</f>
        <v/>
      </c>
      <c r="F643" s="10">
        <f>IF(INDEX(Banco!$F:$F,ROW())="","",INDEX(Banco!$F:$F,ROW()))</f>
        <v/>
      </c>
      <c r="G643" s="10">
        <f>IF(INDEX(Banco!$G:$G,ROW())="","",INDEX(Banco!$G:$G,ROW()))</f>
        <v/>
      </c>
      <c r="H643" s="8">
        <f>IF(INDEX(Banco!$H:$H,ROW())="","",INDEX(Banco!$H:$H,ROW()))</f>
        <v/>
      </c>
      <c r="I643">
        <f>IF($T643="","",INT($T643/12)&amp;"a "&amp;MOD($T643,12)&amp;"m")</f>
        <v/>
      </c>
      <c r="J643" s="11">
        <f>IF(OR($F643="",$G643=""),"",ROUND($F643/($G643/100)^2,2))</f>
        <v/>
      </c>
      <c r="K643" s="12">
        <f>IF(OR($S643="",$J643="",$T643="",$T643&lt;0,$T643&gt;228,$Y643=""),"—",ROUND(IF(ABS($AB643)&lt;=3,$AB643,IF($AB643&gt;3,3+($J643-$AD643)/($AD643-$AC643),-3+($J643-$AF643)/($AE643-$AF643))),2))</f>
        <v/>
      </c>
      <c r="L643">
        <f>IF(OR($K643="",$K643="—"),"",IF($T643&lt;=60,IF($K643&lt;-3,"Magreza acentuada",IF($K643&lt;-2,"Magreza",IF($K643&lt;=1,"Eutrofia",IF($K643&lt;=2,"Risco de sobrepeso",IF($K643&lt;=3,"Sobrepeso","Obesidade"))))),IF($K643&lt;-3,"Magreza acentuada",IF($K643&lt;-2,"Magreza",IF($K643&lt;=1,"Eutrofia",IF($K643&lt;=2,"Sobrepeso",IF($K643&lt;=3,"Obesidade","Obesidade grave")))))))</f>
        <v/>
      </c>
      <c r="M643" s="12">
        <f>IF(OR($S643="",$V643="",$T643="",$T643&lt;0,$T643&gt;228,$AG643=""),"—",ROUND(IF($AG643=0,LN($V643/$AH643)/$AI643,((($V643/$AH643)^$AG643)-1)/($AG643*$AI643)),2))</f>
        <v/>
      </c>
      <c r="N643">
        <f>IF(OR($M643="",$M643="—"),"",IF($M643&lt;-3,"Muito baixa",IF($M643&lt;-2,"Baixa","Adequada")))</f>
        <v/>
      </c>
      <c r="O643" s="12">
        <f>IF(OR($S643="",$F643="",$T643="",$T643&lt;0,$T643&gt;120,$AJ643=""),"—",ROUND(IF(ABS($AM643)&lt;=3,$AM643,IF($AM643&gt;3,3+($F643-$AO643)/($AO643-$AN643),-3+($F643-$AQ643)/($AP643-$AQ643))),2))</f>
        <v/>
      </c>
      <c r="P643">
        <f>IF(OR($O643="",$O643="—"),"",IF($O643&lt;-3,"Muito baixo",IF($O643&lt;-2,"Baixo",IF($O643&lt;=2,"Adequado","Elevado"))))</f>
        <v/>
      </c>
      <c r="Q643" s="12">
        <f>IF(OR($S643="",$F643="",$T643="",$T643&lt;0,$T643&gt;60,$AR643=""),"—",ROUND(IF(ABS($AU643)&lt;=3,$AU643,IF($AU643&gt;3,3+($F643-$AW643)/($AW643-$AV643),-3+($F643-$AY643)/($AX643-$AY643))),2))</f>
        <v/>
      </c>
      <c r="R643">
        <f>IF(OR($Q643="",$Q643="—"),"",IF($Q643&lt;-3,"Magreza acentuada",IF($Q643&lt;-2,"Magreza",IF($Q643&lt;=1,"Eutrofia",IF($Q643&lt;=2,"Risco de sobrepeso",IF($Q643&lt;=3,"Sobrepeso","Obesidade"))))))</f>
        <v/>
      </c>
      <c r="S643">
        <f>IF($C643="","",IF(UPPER(LEFT($C643,1))="M",1,IF(UPPER(LEFT($C643,1))="F",2,"")))</f>
        <v/>
      </c>
      <c r="T643">
        <f>IF(OR($D643="",$E643=""),"",DATEDIF($D643,$E643,"m"))</f>
        <v/>
      </c>
      <c r="U643">
        <f>IF(OR($D643="",$E643=""),"",$E643-$D643)</f>
        <v/>
      </c>
      <c r="V643">
        <f>IF(OR($G643="",$T643=""),"",IF($T643&lt;24,IF(LEFT(LOWER($H643),4)="em p",$G643+0.7,$G643),IF(LEFT(LOWER($H643),4)="deit",$G643-0.7,$G643)))</f>
        <v/>
      </c>
      <c r="W643">
        <f>IF(OR($S643="",$T643=""),"",$S643*1000000+IF($T643&lt;=60,$U643,$T643))</f>
        <v/>
      </c>
      <c r="X643">
        <f>IF(OR($S643="",$V643="",$T643&gt;60,$T643=""),"",$S643*1000000+ROUND($V643*10,0))</f>
        <v/>
      </c>
      <c r="Y643">
        <f>IF($W643="","",IFERROR(INDEX(IF($T643&lt;=60,imc05_l,imc519_l),MATCH($W643,IF($T643&lt;=60,imc05_k,imc519_k),1)),""))</f>
        <v/>
      </c>
      <c r="Z643">
        <f>IF($W643="","",IFERROR(INDEX(IF($T643&lt;=60,imc05_m,imc519_m),MATCH($W643,IF($T643&lt;=60,imc05_k,imc519_k),1)),""))</f>
        <v/>
      </c>
      <c r="AA643">
        <f>IF($W643="","",IFERROR(INDEX(IF($T643&lt;=60,imc05_s,imc519_s),MATCH($W643,IF($T643&lt;=60,imc05_k,imc519_k),1)),""))</f>
        <v/>
      </c>
      <c r="AB643">
        <f>IF($Y643="","",IF($Y643=0,LN($J643/$Z643)/$AA643,((($J643/$Z643)^$Y643)-1)/($Y643*$AA643)))</f>
        <v/>
      </c>
      <c r="AC643">
        <f>IF($Y643="","",IF($Y643=0,$Z643*EXP($AA643*2),$Z643*(1+$Y643*$AA643*2)^(1/$Y643)))</f>
        <v/>
      </c>
      <c r="AD643">
        <f>IF($Y643="","",IF($Y643=0,$Z643*EXP($AA643*3),$Z643*(1+$Y643*$AA643*3)^(1/$Y643)))</f>
        <v/>
      </c>
      <c r="AE643">
        <f>IF($Y643="","",IF($Y643=0,$Z643*EXP($AA643*-2),$Z643*(1+$Y643*$AA643*-2)^(1/$Y643)))</f>
        <v/>
      </c>
      <c r="AF643">
        <f>IF($Y643="","",IF($Y643=0,$Z643*EXP($AA643*-3),$Z643*(1+$Y643*$AA643*-3)^(1/$Y643)))</f>
        <v/>
      </c>
      <c r="AG643">
        <f>IF($W643="","",IFERROR(INDEX(IF($T643&lt;=60,est05_l,est519_l),MATCH($W643,IF($T643&lt;=60,est05_k,est519_k),1)),""))</f>
        <v/>
      </c>
      <c r="AH643">
        <f>IF($W643="","",IFERROR(INDEX(IF($T643&lt;=60,est05_m,est519_m),MATCH($W643,IF($T643&lt;=60,est05_k,est519_k),1)),""))</f>
        <v/>
      </c>
      <c r="AI643">
        <f>IF($W643="","",IFERROR(INDEX(IF($T643&lt;=60,est05_s,est519_s),MATCH($W643,IF($T643&lt;=60,est05_k,est519_k),1)),""))</f>
        <v/>
      </c>
      <c r="AJ643">
        <f>IF($W643="","",IFERROR(INDEX(IF($T643&lt;=60,peso05_l,peso510_l),MATCH($W643,IF($T643&lt;=60,peso05_k,peso510_k),1)),""))</f>
        <v/>
      </c>
      <c r="AK643">
        <f>IF($W643="","",IFERROR(INDEX(IF($T643&lt;=60,peso05_m,peso510_m),MATCH($W643,IF($T643&lt;=60,peso05_k,peso510_k),1)),""))</f>
        <v/>
      </c>
      <c r="AL643">
        <f>IF($W643="","",IFERROR(INDEX(IF($T643&lt;=60,peso05_s,peso510_s),MATCH($W643,IF($T643&lt;=60,peso05_k,peso510_k),1)),""))</f>
        <v/>
      </c>
      <c r="AM643">
        <f>IF($AJ643="","",IF($AJ643=0,LN($F643/$AK643)/$AL643,((($F643/$AK643)^$AJ643)-1)/($AJ643*$AL643)))</f>
        <v/>
      </c>
      <c r="AN643">
        <f>IF($AJ643="","",IF($AJ643=0,$AK643*EXP($AL643*2),$AK643*(1+$AJ643*$AL643*2)^(1/$AJ643)))</f>
        <v/>
      </c>
      <c r="AO643">
        <f>IF($AJ643="","",IF($AJ643=0,$AK643*EXP($AL643*3),$AK643*(1+$AJ643*$AL643*3)^(1/$AJ643)))</f>
        <v/>
      </c>
      <c r="AP643">
        <f>IF($AJ643="","",IF($AJ643=0,$AK643*EXP($AL643*-2),$AK643*(1+$AJ643*$AL643*-2)^(1/$AJ643)))</f>
        <v/>
      </c>
      <c r="AQ643">
        <f>IF($AJ643="","",IF($AJ643=0,$AK643*EXP($AL643*-3),$AK643*(1+$AJ643*$AL643*-3)^(1/$AJ643)))</f>
        <v/>
      </c>
      <c r="AR643">
        <f>IF(OR($X643="",$T643&gt;60),"",IFERROR(INDEX(IF($T643&lt;24,pcomp_l,palt_l),MATCH($X643,IF($T643&lt;24,pcomp_k,palt_k),1)),""))</f>
        <v/>
      </c>
      <c r="AS643">
        <f>IF(OR($X643="",$T643&gt;60),"",IFERROR(INDEX(IF($T643&lt;24,pcomp_m,palt_m),MATCH($X643,IF($T643&lt;24,pcomp_k,palt_k),1)),""))</f>
        <v/>
      </c>
      <c r="AT643">
        <f>IF(OR($X643="",$T643&gt;60),"",IFERROR(INDEX(IF($T643&lt;24,pcomp_s,palt_s),MATCH($X643,IF($T643&lt;24,pcomp_k,palt_k),1)),""))</f>
        <v/>
      </c>
      <c r="AU643">
        <f>IF($AR643="","",IF($AR643=0,LN($F643/$AS643)/$AT643,((($F643/$AS643)^$AR643)-1)/($AR643*$AT643)))</f>
        <v/>
      </c>
      <c r="AV643">
        <f>IF($AR643="","",IF($AR643=0,$AS643*EXP($AT643*2),$AS643*(1+$AR643*$AT643*2)^(1/$AR643)))</f>
        <v/>
      </c>
      <c r="AW643">
        <f>IF($AR643="","",IF($AR643=0,$AS643*EXP($AT643*3),$AS643*(1+$AR643*$AT643*3)^(1/$AR643)))</f>
        <v/>
      </c>
      <c r="AX643">
        <f>IF($AR643="","",IF($AR643=0,$AS643*EXP($AT643*-2),$AS643*(1+$AR643*$AT643*-2)^(1/$AR643)))</f>
        <v/>
      </c>
      <c r="AY643">
        <f>IF($AR643="","",IF($AR643=0,$AS643*EXP($AT643*-3),$AS643*(1+$AR643*$AT643*-3)^(1/$AR643)))</f>
        <v/>
      </c>
      <c r="AZ643">
        <f>IF(OR($A643="",$A643&lt;&gt;Ficha!$C$4),"",COUNTIF($A$2:$A643,Ficha!$C$4))</f>
        <v/>
      </c>
    </row>
    <row r="644">
      <c r="A644" s="8">
        <f>IF(INDEX(Banco!$A:$A,ROW())="","",INDEX(Banco!$A:$A,ROW()))</f>
        <v/>
      </c>
      <c r="B644" s="8">
        <f>IF(INDEX(Banco!$B:$B,ROW())="","",INDEX(Banco!$B:$B,ROW()))</f>
        <v/>
      </c>
      <c r="C644" s="8">
        <f>IF(INDEX(Banco!$C:$C,ROW())="","",INDEX(Banco!$C:$C,ROW()))</f>
        <v/>
      </c>
      <c r="D644" s="9">
        <f>IF(INDEX(Banco!$D:$D,ROW())="","",INDEX(Banco!$D:$D,ROW()))</f>
        <v/>
      </c>
      <c r="E644" s="9">
        <f>IF(INDEX(Banco!$E:$E,ROW())="","",INDEX(Banco!$E:$E,ROW()))</f>
        <v/>
      </c>
      <c r="F644" s="10">
        <f>IF(INDEX(Banco!$F:$F,ROW())="","",INDEX(Banco!$F:$F,ROW()))</f>
        <v/>
      </c>
      <c r="G644" s="10">
        <f>IF(INDEX(Banco!$G:$G,ROW())="","",INDEX(Banco!$G:$G,ROW()))</f>
        <v/>
      </c>
      <c r="H644" s="8">
        <f>IF(INDEX(Banco!$H:$H,ROW())="","",INDEX(Banco!$H:$H,ROW()))</f>
        <v/>
      </c>
      <c r="I644">
        <f>IF($T644="","",INT($T644/12)&amp;"a "&amp;MOD($T644,12)&amp;"m")</f>
        <v/>
      </c>
      <c r="J644" s="11">
        <f>IF(OR($F644="",$G644=""),"",ROUND($F644/($G644/100)^2,2))</f>
        <v/>
      </c>
      <c r="K644" s="12">
        <f>IF(OR($S644="",$J644="",$T644="",$T644&lt;0,$T644&gt;228,$Y644=""),"—",ROUND(IF(ABS($AB644)&lt;=3,$AB644,IF($AB644&gt;3,3+($J644-$AD644)/($AD644-$AC644),-3+($J644-$AF644)/($AE644-$AF644))),2))</f>
        <v/>
      </c>
      <c r="L644">
        <f>IF(OR($K644="",$K644="—"),"",IF($T644&lt;=60,IF($K644&lt;-3,"Magreza acentuada",IF($K644&lt;-2,"Magreza",IF($K644&lt;=1,"Eutrofia",IF($K644&lt;=2,"Risco de sobrepeso",IF($K644&lt;=3,"Sobrepeso","Obesidade"))))),IF($K644&lt;-3,"Magreza acentuada",IF($K644&lt;-2,"Magreza",IF($K644&lt;=1,"Eutrofia",IF($K644&lt;=2,"Sobrepeso",IF($K644&lt;=3,"Obesidade","Obesidade grave")))))))</f>
        <v/>
      </c>
      <c r="M644" s="12">
        <f>IF(OR($S644="",$V644="",$T644="",$T644&lt;0,$T644&gt;228,$AG644=""),"—",ROUND(IF($AG644=0,LN($V644/$AH644)/$AI644,((($V644/$AH644)^$AG644)-1)/($AG644*$AI644)),2))</f>
        <v/>
      </c>
      <c r="N644">
        <f>IF(OR($M644="",$M644="—"),"",IF($M644&lt;-3,"Muito baixa",IF($M644&lt;-2,"Baixa","Adequada")))</f>
        <v/>
      </c>
      <c r="O644" s="12">
        <f>IF(OR($S644="",$F644="",$T644="",$T644&lt;0,$T644&gt;120,$AJ644=""),"—",ROUND(IF(ABS($AM644)&lt;=3,$AM644,IF($AM644&gt;3,3+($F644-$AO644)/($AO644-$AN644),-3+($F644-$AQ644)/($AP644-$AQ644))),2))</f>
        <v/>
      </c>
      <c r="P644">
        <f>IF(OR($O644="",$O644="—"),"",IF($O644&lt;-3,"Muito baixo",IF($O644&lt;-2,"Baixo",IF($O644&lt;=2,"Adequado","Elevado"))))</f>
        <v/>
      </c>
      <c r="Q644" s="12">
        <f>IF(OR($S644="",$F644="",$T644="",$T644&lt;0,$T644&gt;60,$AR644=""),"—",ROUND(IF(ABS($AU644)&lt;=3,$AU644,IF($AU644&gt;3,3+($F644-$AW644)/($AW644-$AV644),-3+($F644-$AY644)/($AX644-$AY644))),2))</f>
        <v/>
      </c>
      <c r="R644">
        <f>IF(OR($Q644="",$Q644="—"),"",IF($Q644&lt;-3,"Magreza acentuada",IF($Q644&lt;-2,"Magreza",IF($Q644&lt;=1,"Eutrofia",IF($Q644&lt;=2,"Risco de sobrepeso",IF($Q644&lt;=3,"Sobrepeso","Obesidade"))))))</f>
        <v/>
      </c>
      <c r="S644">
        <f>IF($C644="","",IF(UPPER(LEFT($C644,1))="M",1,IF(UPPER(LEFT($C644,1))="F",2,"")))</f>
        <v/>
      </c>
      <c r="T644">
        <f>IF(OR($D644="",$E644=""),"",DATEDIF($D644,$E644,"m"))</f>
        <v/>
      </c>
      <c r="U644">
        <f>IF(OR($D644="",$E644=""),"",$E644-$D644)</f>
        <v/>
      </c>
      <c r="V644">
        <f>IF(OR($G644="",$T644=""),"",IF($T644&lt;24,IF(LEFT(LOWER($H644),4)="em p",$G644+0.7,$G644),IF(LEFT(LOWER($H644),4)="deit",$G644-0.7,$G644)))</f>
        <v/>
      </c>
      <c r="W644">
        <f>IF(OR($S644="",$T644=""),"",$S644*1000000+IF($T644&lt;=60,$U644,$T644))</f>
        <v/>
      </c>
      <c r="X644">
        <f>IF(OR($S644="",$V644="",$T644&gt;60,$T644=""),"",$S644*1000000+ROUND($V644*10,0))</f>
        <v/>
      </c>
      <c r="Y644">
        <f>IF($W644="","",IFERROR(INDEX(IF($T644&lt;=60,imc05_l,imc519_l),MATCH($W644,IF($T644&lt;=60,imc05_k,imc519_k),1)),""))</f>
        <v/>
      </c>
      <c r="Z644">
        <f>IF($W644="","",IFERROR(INDEX(IF($T644&lt;=60,imc05_m,imc519_m),MATCH($W644,IF($T644&lt;=60,imc05_k,imc519_k),1)),""))</f>
        <v/>
      </c>
      <c r="AA644">
        <f>IF($W644="","",IFERROR(INDEX(IF($T644&lt;=60,imc05_s,imc519_s),MATCH($W644,IF($T644&lt;=60,imc05_k,imc519_k),1)),""))</f>
        <v/>
      </c>
      <c r="AB644">
        <f>IF($Y644="","",IF($Y644=0,LN($J644/$Z644)/$AA644,((($J644/$Z644)^$Y644)-1)/($Y644*$AA644)))</f>
        <v/>
      </c>
      <c r="AC644">
        <f>IF($Y644="","",IF($Y644=0,$Z644*EXP($AA644*2),$Z644*(1+$Y644*$AA644*2)^(1/$Y644)))</f>
        <v/>
      </c>
      <c r="AD644">
        <f>IF($Y644="","",IF($Y644=0,$Z644*EXP($AA644*3),$Z644*(1+$Y644*$AA644*3)^(1/$Y644)))</f>
        <v/>
      </c>
      <c r="AE644">
        <f>IF($Y644="","",IF($Y644=0,$Z644*EXP($AA644*-2),$Z644*(1+$Y644*$AA644*-2)^(1/$Y644)))</f>
        <v/>
      </c>
      <c r="AF644">
        <f>IF($Y644="","",IF($Y644=0,$Z644*EXP($AA644*-3),$Z644*(1+$Y644*$AA644*-3)^(1/$Y644)))</f>
        <v/>
      </c>
      <c r="AG644">
        <f>IF($W644="","",IFERROR(INDEX(IF($T644&lt;=60,est05_l,est519_l),MATCH($W644,IF($T644&lt;=60,est05_k,est519_k),1)),""))</f>
        <v/>
      </c>
      <c r="AH644">
        <f>IF($W644="","",IFERROR(INDEX(IF($T644&lt;=60,est05_m,est519_m),MATCH($W644,IF($T644&lt;=60,est05_k,est519_k),1)),""))</f>
        <v/>
      </c>
      <c r="AI644">
        <f>IF($W644="","",IFERROR(INDEX(IF($T644&lt;=60,est05_s,est519_s),MATCH($W644,IF($T644&lt;=60,est05_k,est519_k),1)),""))</f>
        <v/>
      </c>
      <c r="AJ644">
        <f>IF($W644="","",IFERROR(INDEX(IF($T644&lt;=60,peso05_l,peso510_l),MATCH($W644,IF($T644&lt;=60,peso05_k,peso510_k),1)),""))</f>
        <v/>
      </c>
      <c r="AK644">
        <f>IF($W644="","",IFERROR(INDEX(IF($T644&lt;=60,peso05_m,peso510_m),MATCH($W644,IF($T644&lt;=60,peso05_k,peso510_k),1)),""))</f>
        <v/>
      </c>
      <c r="AL644">
        <f>IF($W644="","",IFERROR(INDEX(IF($T644&lt;=60,peso05_s,peso510_s),MATCH($W644,IF($T644&lt;=60,peso05_k,peso510_k),1)),""))</f>
        <v/>
      </c>
      <c r="AM644">
        <f>IF($AJ644="","",IF($AJ644=0,LN($F644/$AK644)/$AL644,((($F644/$AK644)^$AJ644)-1)/($AJ644*$AL644)))</f>
        <v/>
      </c>
      <c r="AN644">
        <f>IF($AJ644="","",IF($AJ644=0,$AK644*EXP($AL644*2),$AK644*(1+$AJ644*$AL644*2)^(1/$AJ644)))</f>
        <v/>
      </c>
      <c r="AO644">
        <f>IF($AJ644="","",IF($AJ644=0,$AK644*EXP($AL644*3),$AK644*(1+$AJ644*$AL644*3)^(1/$AJ644)))</f>
        <v/>
      </c>
      <c r="AP644">
        <f>IF($AJ644="","",IF($AJ644=0,$AK644*EXP($AL644*-2),$AK644*(1+$AJ644*$AL644*-2)^(1/$AJ644)))</f>
        <v/>
      </c>
      <c r="AQ644">
        <f>IF($AJ644="","",IF($AJ644=0,$AK644*EXP($AL644*-3),$AK644*(1+$AJ644*$AL644*-3)^(1/$AJ644)))</f>
        <v/>
      </c>
      <c r="AR644">
        <f>IF(OR($X644="",$T644&gt;60),"",IFERROR(INDEX(IF($T644&lt;24,pcomp_l,palt_l),MATCH($X644,IF($T644&lt;24,pcomp_k,palt_k),1)),""))</f>
        <v/>
      </c>
      <c r="AS644">
        <f>IF(OR($X644="",$T644&gt;60),"",IFERROR(INDEX(IF($T644&lt;24,pcomp_m,palt_m),MATCH($X644,IF($T644&lt;24,pcomp_k,palt_k),1)),""))</f>
        <v/>
      </c>
      <c r="AT644">
        <f>IF(OR($X644="",$T644&gt;60),"",IFERROR(INDEX(IF($T644&lt;24,pcomp_s,palt_s),MATCH($X644,IF($T644&lt;24,pcomp_k,palt_k),1)),""))</f>
        <v/>
      </c>
      <c r="AU644">
        <f>IF($AR644="","",IF($AR644=0,LN($F644/$AS644)/$AT644,((($F644/$AS644)^$AR644)-1)/($AR644*$AT644)))</f>
        <v/>
      </c>
      <c r="AV644">
        <f>IF($AR644="","",IF($AR644=0,$AS644*EXP($AT644*2),$AS644*(1+$AR644*$AT644*2)^(1/$AR644)))</f>
        <v/>
      </c>
      <c r="AW644">
        <f>IF($AR644="","",IF($AR644=0,$AS644*EXP($AT644*3),$AS644*(1+$AR644*$AT644*3)^(1/$AR644)))</f>
        <v/>
      </c>
      <c r="AX644">
        <f>IF($AR644="","",IF($AR644=0,$AS644*EXP($AT644*-2),$AS644*(1+$AR644*$AT644*-2)^(1/$AR644)))</f>
        <v/>
      </c>
      <c r="AY644">
        <f>IF($AR644="","",IF($AR644=0,$AS644*EXP($AT644*-3),$AS644*(1+$AR644*$AT644*-3)^(1/$AR644)))</f>
        <v/>
      </c>
      <c r="AZ644">
        <f>IF(OR($A644="",$A644&lt;&gt;Ficha!$C$4),"",COUNTIF($A$2:$A644,Ficha!$C$4))</f>
        <v/>
      </c>
    </row>
    <row r="645">
      <c r="A645" s="8">
        <f>IF(INDEX(Banco!$A:$A,ROW())="","",INDEX(Banco!$A:$A,ROW()))</f>
        <v/>
      </c>
      <c r="B645" s="8">
        <f>IF(INDEX(Banco!$B:$B,ROW())="","",INDEX(Banco!$B:$B,ROW()))</f>
        <v/>
      </c>
      <c r="C645" s="8">
        <f>IF(INDEX(Banco!$C:$C,ROW())="","",INDEX(Banco!$C:$C,ROW()))</f>
        <v/>
      </c>
      <c r="D645" s="9">
        <f>IF(INDEX(Banco!$D:$D,ROW())="","",INDEX(Banco!$D:$D,ROW()))</f>
        <v/>
      </c>
      <c r="E645" s="9">
        <f>IF(INDEX(Banco!$E:$E,ROW())="","",INDEX(Banco!$E:$E,ROW()))</f>
        <v/>
      </c>
      <c r="F645" s="10">
        <f>IF(INDEX(Banco!$F:$F,ROW())="","",INDEX(Banco!$F:$F,ROW()))</f>
        <v/>
      </c>
      <c r="G645" s="10">
        <f>IF(INDEX(Banco!$G:$G,ROW())="","",INDEX(Banco!$G:$G,ROW()))</f>
        <v/>
      </c>
      <c r="H645" s="8">
        <f>IF(INDEX(Banco!$H:$H,ROW())="","",INDEX(Banco!$H:$H,ROW()))</f>
        <v/>
      </c>
      <c r="I645">
        <f>IF($T645="","",INT($T645/12)&amp;"a "&amp;MOD($T645,12)&amp;"m")</f>
        <v/>
      </c>
      <c r="J645" s="11">
        <f>IF(OR($F645="",$G645=""),"",ROUND($F645/($G645/100)^2,2))</f>
        <v/>
      </c>
      <c r="K645" s="12">
        <f>IF(OR($S645="",$J645="",$T645="",$T645&lt;0,$T645&gt;228,$Y645=""),"—",ROUND(IF(ABS($AB645)&lt;=3,$AB645,IF($AB645&gt;3,3+($J645-$AD645)/($AD645-$AC645),-3+($J645-$AF645)/($AE645-$AF645))),2))</f>
        <v/>
      </c>
      <c r="L645">
        <f>IF(OR($K645="",$K645="—"),"",IF($T645&lt;=60,IF($K645&lt;-3,"Magreza acentuada",IF($K645&lt;-2,"Magreza",IF($K645&lt;=1,"Eutrofia",IF($K645&lt;=2,"Risco de sobrepeso",IF($K645&lt;=3,"Sobrepeso","Obesidade"))))),IF($K645&lt;-3,"Magreza acentuada",IF($K645&lt;-2,"Magreza",IF($K645&lt;=1,"Eutrofia",IF($K645&lt;=2,"Sobrepeso",IF($K645&lt;=3,"Obesidade","Obesidade grave")))))))</f>
        <v/>
      </c>
      <c r="M645" s="12">
        <f>IF(OR($S645="",$V645="",$T645="",$T645&lt;0,$T645&gt;228,$AG645=""),"—",ROUND(IF($AG645=0,LN($V645/$AH645)/$AI645,((($V645/$AH645)^$AG645)-1)/($AG645*$AI645)),2))</f>
        <v/>
      </c>
      <c r="N645">
        <f>IF(OR($M645="",$M645="—"),"",IF($M645&lt;-3,"Muito baixa",IF($M645&lt;-2,"Baixa","Adequada")))</f>
        <v/>
      </c>
      <c r="O645" s="12">
        <f>IF(OR($S645="",$F645="",$T645="",$T645&lt;0,$T645&gt;120,$AJ645=""),"—",ROUND(IF(ABS($AM645)&lt;=3,$AM645,IF($AM645&gt;3,3+($F645-$AO645)/($AO645-$AN645),-3+($F645-$AQ645)/($AP645-$AQ645))),2))</f>
        <v/>
      </c>
      <c r="P645">
        <f>IF(OR($O645="",$O645="—"),"",IF($O645&lt;-3,"Muito baixo",IF($O645&lt;-2,"Baixo",IF($O645&lt;=2,"Adequado","Elevado"))))</f>
        <v/>
      </c>
      <c r="Q645" s="12">
        <f>IF(OR($S645="",$F645="",$T645="",$T645&lt;0,$T645&gt;60,$AR645=""),"—",ROUND(IF(ABS($AU645)&lt;=3,$AU645,IF($AU645&gt;3,3+($F645-$AW645)/($AW645-$AV645),-3+($F645-$AY645)/($AX645-$AY645))),2))</f>
        <v/>
      </c>
      <c r="R645">
        <f>IF(OR($Q645="",$Q645="—"),"",IF($Q645&lt;-3,"Magreza acentuada",IF($Q645&lt;-2,"Magreza",IF($Q645&lt;=1,"Eutrofia",IF($Q645&lt;=2,"Risco de sobrepeso",IF($Q645&lt;=3,"Sobrepeso","Obesidade"))))))</f>
        <v/>
      </c>
      <c r="S645">
        <f>IF($C645="","",IF(UPPER(LEFT($C645,1))="M",1,IF(UPPER(LEFT($C645,1))="F",2,"")))</f>
        <v/>
      </c>
      <c r="T645">
        <f>IF(OR($D645="",$E645=""),"",DATEDIF($D645,$E645,"m"))</f>
        <v/>
      </c>
      <c r="U645">
        <f>IF(OR($D645="",$E645=""),"",$E645-$D645)</f>
        <v/>
      </c>
      <c r="V645">
        <f>IF(OR($G645="",$T645=""),"",IF($T645&lt;24,IF(LEFT(LOWER($H645),4)="em p",$G645+0.7,$G645),IF(LEFT(LOWER($H645),4)="deit",$G645-0.7,$G645)))</f>
        <v/>
      </c>
      <c r="W645">
        <f>IF(OR($S645="",$T645=""),"",$S645*1000000+IF($T645&lt;=60,$U645,$T645))</f>
        <v/>
      </c>
      <c r="X645">
        <f>IF(OR($S645="",$V645="",$T645&gt;60,$T645=""),"",$S645*1000000+ROUND($V645*10,0))</f>
        <v/>
      </c>
      <c r="Y645">
        <f>IF($W645="","",IFERROR(INDEX(IF($T645&lt;=60,imc05_l,imc519_l),MATCH($W645,IF($T645&lt;=60,imc05_k,imc519_k),1)),""))</f>
        <v/>
      </c>
      <c r="Z645">
        <f>IF($W645="","",IFERROR(INDEX(IF($T645&lt;=60,imc05_m,imc519_m),MATCH($W645,IF($T645&lt;=60,imc05_k,imc519_k),1)),""))</f>
        <v/>
      </c>
      <c r="AA645">
        <f>IF($W645="","",IFERROR(INDEX(IF($T645&lt;=60,imc05_s,imc519_s),MATCH($W645,IF($T645&lt;=60,imc05_k,imc519_k),1)),""))</f>
        <v/>
      </c>
      <c r="AB645">
        <f>IF($Y645="","",IF($Y645=0,LN($J645/$Z645)/$AA645,((($J645/$Z645)^$Y645)-1)/($Y645*$AA645)))</f>
        <v/>
      </c>
      <c r="AC645">
        <f>IF($Y645="","",IF($Y645=0,$Z645*EXP($AA645*2),$Z645*(1+$Y645*$AA645*2)^(1/$Y645)))</f>
        <v/>
      </c>
      <c r="AD645">
        <f>IF($Y645="","",IF($Y645=0,$Z645*EXP($AA645*3),$Z645*(1+$Y645*$AA645*3)^(1/$Y645)))</f>
        <v/>
      </c>
      <c r="AE645">
        <f>IF($Y645="","",IF($Y645=0,$Z645*EXP($AA645*-2),$Z645*(1+$Y645*$AA645*-2)^(1/$Y645)))</f>
        <v/>
      </c>
      <c r="AF645">
        <f>IF($Y645="","",IF($Y645=0,$Z645*EXP($AA645*-3),$Z645*(1+$Y645*$AA645*-3)^(1/$Y645)))</f>
        <v/>
      </c>
      <c r="AG645">
        <f>IF($W645="","",IFERROR(INDEX(IF($T645&lt;=60,est05_l,est519_l),MATCH($W645,IF($T645&lt;=60,est05_k,est519_k),1)),""))</f>
        <v/>
      </c>
      <c r="AH645">
        <f>IF($W645="","",IFERROR(INDEX(IF($T645&lt;=60,est05_m,est519_m),MATCH($W645,IF($T645&lt;=60,est05_k,est519_k),1)),""))</f>
        <v/>
      </c>
      <c r="AI645">
        <f>IF($W645="","",IFERROR(INDEX(IF($T645&lt;=60,est05_s,est519_s),MATCH($W645,IF($T645&lt;=60,est05_k,est519_k),1)),""))</f>
        <v/>
      </c>
      <c r="AJ645">
        <f>IF($W645="","",IFERROR(INDEX(IF($T645&lt;=60,peso05_l,peso510_l),MATCH($W645,IF($T645&lt;=60,peso05_k,peso510_k),1)),""))</f>
        <v/>
      </c>
      <c r="AK645">
        <f>IF($W645="","",IFERROR(INDEX(IF($T645&lt;=60,peso05_m,peso510_m),MATCH($W645,IF($T645&lt;=60,peso05_k,peso510_k),1)),""))</f>
        <v/>
      </c>
      <c r="AL645">
        <f>IF($W645="","",IFERROR(INDEX(IF($T645&lt;=60,peso05_s,peso510_s),MATCH($W645,IF($T645&lt;=60,peso05_k,peso510_k),1)),""))</f>
        <v/>
      </c>
      <c r="AM645">
        <f>IF($AJ645="","",IF($AJ645=0,LN($F645/$AK645)/$AL645,((($F645/$AK645)^$AJ645)-1)/($AJ645*$AL645)))</f>
        <v/>
      </c>
      <c r="AN645">
        <f>IF($AJ645="","",IF($AJ645=0,$AK645*EXP($AL645*2),$AK645*(1+$AJ645*$AL645*2)^(1/$AJ645)))</f>
        <v/>
      </c>
      <c r="AO645">
        <f>IF($AJ645="","",IF($AJ645=0,$AK645*EXP($AL645*3),$AK645*(1+$AJ645*$AL645*3)^(1/$AJ645)))</f>
        <v/>
      </c>
      <c r="AP645">
        <f>IF($AJ645="","",IF($AJ645=0,$AK645*EXP($AL645*-2),$AK645*(1+$AJ645*$AL645*-2)^(1/$AJ645)))</f>
        <v/>
      </c>
      <c r="AQ645">
        <f>IF($AJ645="","",IF($AJ645=0,$AK645*EXP($AL645*-3),$AK645*(1+$AJ645*$AL645*-3)^(1/$AJ645)))</f>
        <v/>
      </c>
      <c r="AR645">
        <f>IF(OR($X645="",$T645&gt;60),"",IFERROR(INDEX(IF($T645&lt;24,pcomp_l,palt_l),MATCH($X645,IF($T645&lt;24,pcomp_k,palt_k),1)),""))</f>
        <v/>
      </c>
      <c r="AS645">
        <f>IF(OR($X645="",$T645&gt;60),"",IFERROR(INDEX(IF($T645&lt;24,pcomp_m,palt_m),MATCH($X645,IF($T645&lt;24,pcomp_k,palt_k),1)),""))</f>
        <v/>
      </c>
      <c r="AT645">
        <f>IF(OR($X645="",$T645&gt;60),"",IFERROR(INDEX(IF($T645&lt;24,pcomp_s,palt_s),MATCH($X645,IF($T645&lt;24,pcomp_k,palt_k),1)),""))</f>
        <v/>
      </c>
      <c r="AU645">
        <f>IF($AR645="","",IF($AR645=0,LN($F645/$AS645)/$AT645,((($F645/$AS645)^$AR645)-1)/($AR645*$AT645)))</f>
        <v/>
      </c>
      <c r="AV645">
        <f>IF($AR645="","",IF($AR645=0,$AS645*EXP($AT645*2),$AS645*(1+$AR645*$AT645*2)^(1/$AR645)))</f>
        <v/>
      </c>
      <c r="AW645">
        <f>IF($AR645="","",IF($AR645=0,$AS645*EXP($AT645*3),$AS645*(1+$AR645*$AT645*3)^(1/$AR645)))</f>
        <v/>
      </c>
      <c r="AX645">
        <f>IF($AR645="","",IF($AR645=0,$AS645*EXP($AT645*-2),$AS645*(1+$AR645*$AT645*-2)^(1/$AR645)))</f>
        <v/>
      </c>
      <c r="AY645">
        <f>IF($AR645="","",IF($AR645=0,$AS645*EXP($AT645*-3),$AS645*(1+$AR645*$AT645*-3)^(1/$AR645)))</f>
        <v/>
      </c>
      <c r="AZ645">
        <f>IF(OR($A645="",$A645&lt;&gt;Ficha!$C$4),"",COUNTIF($A$2:$A645,Ficha!$C$4))</f>
        <v/>
      </c>
    </row>
    <row r="646">
      <c r="A646" s="8">
        <f>IF(INDEX(Banco!$A:$A,ROW())="","",INDEX(Banco!$A:$A,ROW()))</f>
        <v/>
      </c>
      <c r="B646" s="8">
        <f>IF(INDEX(Banco!$B:$B,ROW())="","",INDEX(Banco!$B:$B,ROW()))</f>
        <v/>
      </c>
      <c r="C646" s="8">
        <f>IF(INDEX(Banco!$C:$C,ROW())="","",INDEX(Banco!$C:$C,ROW()))</f>
        <v/>
      </c>
      <c r="D646" s="9">
        <f>IF(INDEX(Banco!$D:$D,ROW())="","",INDEX(Banco!$D:$D,ROW()))</f>
        <v/>
      </c>
      <c r="E646" s="9">
        <f>IF(INDEX(Banco!$E:$E,ROW())="","",INDEX(Banco!$E:$E,ROW()))</f>
        <v/>
      </c>
      <c r="F646" s="10">
        <f>IF(INDEX(Banco!$F:$F,ROW())="","",INDEX(Banco!$F:$F,ROW()))</f>
        <v/>
      </c>
      <c r="G646" s="10">
        <f>IF(INDEX(Banco!$G:$G,ROW())="","",INDEX(Banco!$G:$G,ROW()))</f>
        <v/>
      </c>
      <c r="H646" s="8">
        <f>IF(INDEX(Banco!$H:$H,ROW())="","",INDEX(Banco!$H:$H,ROW()))</f>
        <v/>
      </c>
      <c r="I646">
        <f>IF($T646="","",INT($T646/12)&amp;"a "&amp;MOD($T646,12)&amp;"m")</f>
        <v/>
      </c>
      <c r="J646" s="11">
        <f>IF(OR($F646="",$G646=""),"",ROUND($F646/($G646/100)^2,2))</f>
        <v/>
      </c>
      <c r="K646" s="12">
        <f>IF(OR($S646="",$J646="",$T646="",$T646&lt;0,$T646&gt;228,$Y646=""),"—",ROUND(IF(ABS($AB646)&lt;=3,$AB646,IF($AB646&gt;3,3+($J646-$AD646)/($AD646-$AC646),-3+($J646-$AF646)/($AE646-$AF646))),2))</f>
        <v/>
      </c>
      <c r="L646">
        <f>IF(OR($K646="",$K646="—"),"",IF($T646&lt;=60,IF($K646&lt;-3,"Magreza acentuada",IF($K646&lt;-2,"Magreza",IF($K646&lt;=1,"Eutrofia",IF($K646&lt;=2,"Risco de sobrepeso",IF($K646&lt;=3,"Sobrepeso","Obesidade"))))),IF($K646&lt;-3,"Magreza acentuada",IF($K646&lt;-2,"Magreza",IF($K646&lt;=1,"Eutrofia",IF($K646&lt;=2,"Sobrepeso",IF($K646&lt;=3,"Obesidade","Obesidade grave")))))))</f>
        <v/>
      </c>
      <c r="M646" s="12">
        <f>IF(OR($S646="",$V646="",$T646="",$T646&lt;0,$T646&gt;228,$AG646=""),"—",ROUND(IF($AG646=0,LN($V646/$AH646)/$AI646,((($V646/$AH646)^$AG646)-1)/($AG646*$AI646)),2))</f>
        <v/>
      </c>
      <c r="N646">
        <f>IF(OR($M646="",$M646="—"),"",IF($M646&lt;-3,"Muito baixa",IF($M646&lt;-2,"Baixa","Adequada")))</f>
        <v/>
      </c>
      <c r="O646" s="12">
        <f>IF(OR($S646="",$F646="",$T646="",$T646&lt;0,$T646&gt;120,$AJ646=""),"—",ROUND(IF(ABS($AM646)&lt;=3,$AM646,IF($AM646&gt;3,3+($F646-$AO646)/($AO646-$AN646),-3+($F646-$AQ646)/($AP646-$AQ646))),2))</f>
        <v/>
      </c>
      <c r="P646">
        <f>IF(OR($O646="",$O646="—"),"",IF($O646&lt;-3,"Muito baixo",IF($O646&lt;-2,"Baixo",IF($O646&lt;=2,"Adequado","Elevado"))))</f>
        <v/>
      </c>
      <c r="Q646" s="12">
        <f>IF(OR($S646="",$F646="",$T646="",$T646&lt;0,$T646&gt;60,$AR646=""),"—",ROUND(IF(ABS($AU646)&lt;=3,$AU646,IF($AU646&gt;3,3+($F646-$AW646)/($AW646-$AV646),-3+($F646-$AY646)/($AX646-$AY646))),2))</f>
        <v/>
      </c>
      <c r="R646">
        <f>IF(OR($Q646="",$Q646="—"),"",IF($Q646&lt;-3,"Magreza acentuada",IF($Q646&lt;-2,"Magreza",IF($Q646&lt;=1,"Eutrofia",IF($Q646&lt;=2,"Risco de sobrepeso",IF($Q646&lt;=3,"Sobrepeso","Obesidade"))))))</f>
        <v/>
      </c>
      <c r="S646">
        <f>IF($C646="","",IF(UPPER(LEFT($C646,1))="M",1,IF(UPPER(LEFT($C646,1))="F",2,"")))</f>
        <v/>
      </c>
      <c r="T646">
        <f>IF(OR($D646="",$E646=""),"",DATEDIF($D646,$E646,"m"))</f>
        <v/>
      </c>
      <c r="U646">
        <f>IF(OR($D646="",$E646=""),"",$E646-$D646)</f>
        <v/>
      </c>
      <c r="V646">
        <f>IF(OR($G646="",$T646=""),"",IF($T646&lt;24,IF(LEFT(LOWER($H646),4)="em p",$G646+0.7,$G646),IF(LEFT(LOWER($H646),4)="deit",$G646-0.7,$G646)))</f>
        <v/>
      </c>
      <c r="W646">
        <f>IF(OR($S646="",$T646=""),"",$S646*1000000+IF($T646&lt;=60,$U646,$T646))</f>
        <v/>
      </c>
      <c r="X646">
        <f>IF(OR($S646="",$V646="",$T646&gt;60,$T646=""),"",$S646*1000000+ROUND($V646*10,0))</f>
        <v/>
      </c>
      <c r="Y646">
        <f>IF($W646="","",IFERROR(INDEX(IF($T646&lt;=60,imc05_l,imc519_l),MATCH($W646,IF($T646&lt;=60,imc05_k,imc519_k),1)),""))</f>
        <v/>
      </c>
      <c r="Z646">
        <f>IF($W646="","",IFERROR(INDEX(IF($T646&lt;=60,imc05_m,imc519_m),MATCH($W646,IF($T646&lt;=60,imc05_k,imc519_k),1)),""))</f>
        <v/>
      </c>
      <c r="AA646">
        <f>IF($W646="","",IFERROR(INDEX(IF($T646&lt;=60,imc05_s,imc519_s),MATCH($W646,IF($T646&lt;=60,imc05_k,imc519_k),1)),""))</f>
        <v/>
      </c>
      <c r="AB646">
        <f>IF($Y646="","",IF($Y646=0,LN($J646/$Z646)/$AA646,((($J646/$Z646)^$Y646)-1)/($Y646*$AA646)))</f>
        <v/>
      </c>
      <c r="AC646">
        <f>IF($Y646="","",IF($Y646=0,$Z646*EXP($AA646*2),$Z646*(1+$Y646*$AA646*2)^(1/$Y646)))</f>
        <v/>
      </c>
      <c r="AD646">
        <f>IF($Y646="","",IF($Y646=0,$Z646*EXP($AA646*3),$Z646*(1+$Y646*$AA646*3)^(1/$Y646)))</f>
        <v/>
      </c>
      <c r="AE646">
        <f>IF($Y646="","",IF($Y646=0,$Z646*EXP($AA646*-2),$Z646*(1+$Y646*$AA646*-2)^(1/$Y646)))</f>
        <v/>
      </c>
      <c r="AF646">
        <f>IF($Y646="","",IF($Y646=0,$Z646*EXP($AA646*-3),$Z646*(1+$Y646*$AA646*-3)^(1/$Y646)))</f>
        <v/>
      </c>
      <c r="AG646">
        <f>IF($W646="","",IFERROR(INDEX(IF($T646&lt;=60,est05_l,est519_l),MATCH($W646,IF($T646&lt;=60,est05_k,est519_k),1)),""))</f>
        <v/>
      </c>
      <c r="AH646">
        <f>IF($W646="","",IFERROR(INDEX(IF($T646&lt;=60,est05_m,est519_m),MATCH($W646,IF($T646&lt;=60,est05_k,est519_k),1)),""))</f>
        <v/>
      </c>
      <c r="AI646">
        <f>IF($W646="","",IFERROR(INDEX(IF($T646&lt;=60,est05_s,est519_s),MATCH($W646,IF($T646&lt;=60,est05_k,est519_k),1)),""))</f>
        <v/>
      </c>
      <c r="AJ646">
        <f>IF($W646="","",IFERROR(INDEX(IF($T646&lt;=60,peso05_l,peso510_l),MATCH($W646,IF($T646&lt;=60,peso05_k,peso510_k),1)),""))</f>
        <v/>
      </c>
      <c r="AK646">
        <f>IF($W646="","",IFERROR(INDEX(IF($T646&lt;=60,peso05_m,peso510_m),MATCH($W646,IF($T646&lt;=60,peso05_k,peso510_k),1)),""))</f>
        <v/>
      </c>
      <c r="AL646">
        <f>IF($W646="","",IFERROR(INDEX(IF($T646&lt;=60,peso05_s,peso510_s),MATCH($W646,IF($T646&lt;=60,peso05_k,peso510_k),1)),""))</f>
        <v/>
      </c>
      <c r="AM646">
        <f>IF($AJ646="","",IF($AJ646=0,LN($F646/$AK646)/$AL646,((($F646/$AK646)^$AJ646)-1)/($AJ646*$AL646)))</f>
        <v/>
      </c>
      <c r="AN646">
        <f>IF($AJ646="","",IF($AJ646=0,$AK646*EXP($AL646*2),$AK646*(1+$AJ646*$AL646*2)^(1/$AJ646)))</f>
        <v/>
      </c>
      <c r="AO646">
        <f>IF($AJ646="","",IF($AJ646=0,$AK646*EXP($AL646*3),$AK646*(1+$AJ646*$AL646*3)^(1/$AJ646)))</f>
        <v/>
      </c>
      <c r="AP646">
        <f>IF($AJ646="","",IF($AJ646=0,$AK646*EXP($AL646*-2),$AK646*(1+$AJ646*$AL646*-2)^(1/$AJ646)))</f>
        <v/>
      </c>
      <c r="AQ646">
        <f>IF($AJ646="","",IF($AJ646=0,$AK646*EXP($AL646*-3),$AK646*(1+$AJ646*$AL646*-3)^(1/$AJ646)))</f>
        <v/>
      </c>
      <c r="AR646">
        <f>IF(OR($X646="",$T646&gt;60),"",IFERROR(INDEX(IF($T646&lt;24,pcomp_l,palt_l),MATCH($X646,IF($T646&lt;24,pcomp_k,palt_k),1)),""))</f>
        <v/>
      </c>
      <c r="AS646">
        <f>IF(OR($X646="",$T646&gt;60),"",IFERROR(INDEX(IF($T646&lt;24,pcomp_m,palt_m),MATCH($X646,IF($T646&lt;24,pcomp_k,palt_k),1)),""))</f>
        <v/>
      </c>
      <c r="AT646">
        <f>IF(OR($X646="",$T646&gt;60),"",IFERROR(INDEX(IF($T646&lt;24,pcomp_s,palt_s),MATCH($X646,IF($T646&lt;24,pcomp_k,palt_k),1)),""))</f>
        <v/>
      </c>
      <c r="AU646">
        <f>IF($AR646="","",IF($AR646=0,LN($F646/$AS646)/$AT646,((($F646/$AS646)^$AR646)-1)/($AR646*$AT646)))</f>
        <v/>
      </c>
      <c r="AV646">
        <f>IF($AR646="","",IF($AR646=0,$AS646*EXP($AT646*2),$AS646*(1+$AR646*$AT646*2)^(1/$AR646)))</f>
        <v/>
      </c>
      <c r="AW646">
        <f>IF($AR646="","",IF($AR646=0,$AS646*EXP($AT646*3),$AS646*(1+$AR646*$AT646*3)^(1/$AR646)))</f>
        <v/>
      </c>
      <c r="AX646">
        <f>IF($AR646="","",IF($AR646=0,$AS646*EXP($AT646*-2),$AS646*(1+$AR646*$AT646*-2)^(1/$AR646)))</f>
        <v/>
      </c>
      <c r="AY646">
        <f>IF($AR646="","",IF($AR646=0,$AS646*EXP($AT646*-3),$AS646*(1+$AR646*$AT646*-3)^(1/$AR646)))</f>
        <v/>
      </c>
      <c r="AZ646">
        <f>IF(OR($A646="",$A646&lt;&gt;Ficha!$C$4),"",COUNTIF($A$2:$A646,Ficha!$C$4))</f>
        <v/>
      </c>
    </row>
    <row r="647">
      <c r="A647" s="8">
        <f>IF(INDEX(Banco!$A:$A,ROW())="","",INDEX(Banco!$A:$A,ROW()))</f>
        <v/>
      </c>
      <c r="B647" s="8">
        <f>IF(INDEX(Banco!$B:$B,ROW())="","",INDEX(Banco!$B:$B,ROW()))</f>
        <v/>
      </c>
      <c r="C647" s="8">
        <f>IF(INDEX(Banco!$C:$C,ROW())="","",INDEX(Banco!$C:$C,ROW()))</f>
        <v/>
      </c>
      <c r="D647" s="9">
        <f>IF(INDEX(Banco!$D:$D,ROW())="","",INDEX(Banco!$D:$D,ROW()))</f>
        <v/>
      </c>
      <c r="E647" s="9">
        <f>IF(INDEX(Banco!$E:$E,ROW())="","",INDEX(Banco!$E:$E,ROW()))</f>
        <v/>
      </c>
      <c r="F647" s="10">
        <f>IF(INDEX(Banco!$F:$F,ROW())="","",INDEX(Banco!$F:$F,ROW()))</f>
        <v/>
      </c>
      <c r="G647" s="10">
        <f>IF(INDEX(Banco!$G:$G,ROW())="","",INDEX(Banco!$G:$G,ROW()))</f>
        <v/>
      </c>
      <c r="H647" s="8">
        <f>IF(INDEX(Banco!$H:$H,ROW())="","",INDEX(Banco!$H:$H,ROW()))</f>
        <v/>
      </c>
      <c r="I647">
        <f>IF($T647="","",INT($T647/12)&amp;"a "&amp;MOD($T647,12)&amp;"m")</f>
        <v/>
      </c>
      <c r="J647" s="11">
        <f>IF(OR($F647="",$G647=""),"",ROUND($F647/($G647/100)^2,2))</f>
        <v/>
      </c>
      <c r="K647" s="12">
        <f>IF(OR($S647="",$J647="",$T647="",$T647&lt;0,$T647&gt;228,$Y647=""),"—",ROUND(IF(ABS($AB647)&lt;=3,$AB647,IF($AB647&gt;3,3+($J647-$AD647)/($AD647-$AC647),-3+($J647-$AF647)/($AE647-$AF647))),2))</f>
        <v/>
      </c>
      <c r="L647">
        <f>IF(OR($K647="",$K647="—"),"",IF($T647&lt;=60,IF($K647&lt;-3,"Magreza acentuada",IF($K647&lt;-2,"Magreza",IF($K647&lt;=1,"Eutrofia",IF($K647&lt;=2,"Risco de sobrepeso",IF($K647&lt;=3,"Sobrepeso","Obesidade"))))),IF($K647&lt;-3,"Magreza acentuada",IF($K647&lt;-2,"Magreza",IF($K647&lt;=1,"Eutrofia",IF($K647&lt;=2,"Sobrepeso",IF($K647&lt;=3,"Obesidade","Obesidade grave")))))))</f>
        <v/>
      </c>
      <c r="M647" s="12">
        <f>IF(OR($S647="",$V647="",$T647="",$T647&lt;0,$T647&gt;228,$AG647=""),"—",ROUND(IF($AG647=0,LN($V647/$AH647)/$AI647,((($V647/$AH647)^$AG647)-1)/($AG647*$AI647)),2))</f>
        <v/>
      </c>
      <c r="N647">
        <f>IF(OR($M647="",$M647="—"),"",IF($M647&lt;-3,"Muito baixa",IF($M647&lt;-2,"Baixa","Adequada")))</f>
        <v/>
      </c>
      <c r="O647" s="12">
        <f>IF(OR($S647="",$F647="",$T647="",$T647&lt;0,$T647&gt;120,$AJ647=""),"—",ROUND(IF(ABS($AM647)&lt;=3,$AM647,IF($AM647&gt;3,3+($F647-$AO647)/($AO647-$AN647),-3+($F647-$AQ647)/($AP647-$AQ647))),2))</f>
        <v/>
      </c>
      <c r="P647">
        <f>IF(OR($O647="",$O647="—"),"",IF($O647&lt;-3,"Muito baixo",IF($O647&lt;-2,"Baixo",IF($O647&lt;=2,"Adequado","Elevado"))))</f>
        <v/>
      </c>
      <c r="Q647" s="12">
        <f>IF(OR($S647="",$F647="",$T647="",$T647&lt;0,$T647&gt;60,$AR647=""),"—",ROUND(IF(ABS($AU647)&lt;=3,$AU647,IF($AU647&gt;3,3+($F647-$AW647)/($AW647-$AV647),-3+($F647-$AY647)/($AX647-$AY647))),2))</f>
        <v/>
      </c>
      <c r="R647">
        <f>IF(OR($Q647="",$Q647="—"),"",IF($Q647&lt;-3,"Magreza acentuada",IF($Q647&lt;-2,"Magreza",IF($Q647&lt;=1,"Eutrofia",IF($Q647&lt;=2,"Risco de sobrepeso",IF($Q647&lt;=3,"Sobrepeso","Obesidade"))))))</f>
        <v/>
      </c>
      <c r="S647">
        <f>IF($C647="","",IF(UPPER(LEFT($C647,1))="M",1,IF(UPPER(LEFT($C647,1))="F",2,"")))</f>
        <v/>
      </c>
      <c r="T647">
        <f>IF(OR($D647="",$E647=""),"",DATEDIF($D647,$E647,"m"))</f>
        <v/>
      </c>
      <c r="U647">
        <f>IF(OR($D647="",$E647=""),"",$E647-$D647)</f>
        <v/>
      </c>
      <c r="V647">
        <f>IF(OR($G647="",$T647=""),"",IF($T647&lt;24,IF(LEFT(LOWER($H647),4)="em p",$G647+0.7,$G647),IF(LEFT(LOWER($H647),4)="deit",$G647-0.7,$G647)))</f>
        <v/>
      </c>
      <c r="W647">
        <f>IF(OR($S647="",$T647=""),"",$S647*1000000+IF($T647&lt;=60,$U647,$T647))</f>
        <v/>
      </c>
      <c r="X647">
        <f>IF(OR($S647="",$V647="",$T647&gt;60,$T647=""),"",$S647*1000000+ROUND($V647*10,0))</f>
        <v/>
      </c>
      <c r="Y647">
        <f>IF($W647="","",IFERROR(INDEX(IF($T647&lt;=60,imc05_l,imc519_l),MATCH($W647,IF($T647&lt;=60,imc05_k,imc519_k),1)),""))</f>
        <v/>
      </c>
      <c r="Z647">
        <f>IF($W647="","",IFERROR(INDEX(IF($T647&lt;=60,imc05_m,imc519_m),MATCH($W647,IF($T647&lt;=60,imc05_k,imc519_k),1)),""))</f>
        <v/>
      </c>
      <c r="AA647">
        <f>IF($W647="","",IFERROR(INDEX(IF($T647&lt;=60,imc05_s,imc519_s),MATCH($W647,IF($T647&lt;=60,imc05_k,imc519_k),1)),""))</f>
        <v/>
      </c>
      <c r="AB647">
        <f>IF($Y647="","",IF($Y647=0,LN($J647/$Z647)/$AA647,((($J647/$Z647)^$Y647)-1)/($Y647*$AA647)))</f>
        <v/>
      </c>
      <c r="AC647">
        <f>IF($Y647="","",IF($Y647=0,$Z647*EXP($AA647*2),$Z647*(1+$Y647*$AA647*2)^(1/$Y647)))</f>
        <v/>
      </c>
      <c r="AD647">
        <f>IF($Y647="","",IF($Y647=0,$Z647*EXP($AA647*3),$Z647*(1+$Y647*$AA647*3)^(1/$Y647)))</f>
        <v/>
      </c>
      <c r="AE647">
        <f>IF($Y647="","",IF($Y647=0,$Z647*EXP($AA647*-2),$Z647*(1+$Y647*$AA647*-2)^(1/$Y647)))</f>
        <v/>
      </c>
      <c r="AF647">
        <f>IF($Y647="","",IF($Y647=0,$Z647*EXP($AA647*-3),$Z647*(1+$Y647*$AA647*-3)^(1/$Y647)))</f>
        <v/>
      </c>
      <c r="AG647">
        <f>IF($W647="","",IFERROR(INDEX(IF($T647&lt;=60,est05_l,est519_l),MATCH($W647,IF($T647&lt;=60,est05_k,est519_k),1)),""))</f>
        <v/>
      </c>
      <c r="AH647">
        <f>IF($W647="","",IFERROR(INDEX(IF($T647&lt;=60,est05_m,est519_m),MATCH($W647,IF($T647&lt;=60,est05_k,est519_k),1)),""))</f>
        <v/>
      </c>
      <c r="AI647">
        <f>IF($W647="","",IFERROR(INDEX(IF($T647&lt;=60,est05_s,est519_s),MATCH($W647,IF($T647&lt;=60,est05_k,est519_k),1)),""))</f>
        <v/>
      </c>
      <c r="AJ647">
        <f>IF($W647="","",IFERROR(INDEX(IF($T647&lt;=60,peso05_l,peso510_l),MATCH($W647,IF($T647&lt;=60,peso05_k,peso510_k),1)),""))</f>
        <v/>
      </c>
      <c r="AK647">
        <f>IF($W647="","",IFERROR(INDEX(IF($T647&lt;=60,peso05_m,peso510_m),MATCH($W647,IF($T647&lt;=60,peso05_k,peso510_k),1)),""))</f>
        <v/>
      </c>
      <c r="AL647">
        <f>IF($W647="","",IFERROR(INDEX(IF($T647&lt;=60,peso05_s,peso510_s),MATCH($W647,IF($T647&lt;=60,peso05_k,peso510_k),1)),""))</f>
        <v/>
      </c>
      <c r="AM647">
        <f>IF($AJ647="","",IF($AJ647=0,LN($F647/$AK647)/$AL647,((($F647/$AK647)^$AJ647)-1)/($AJ647*$AL647)))</f>
        <v/>
      </c>
      <c r="AN647">
        <f>IF($AJ647="","",IF($AJ647=0,$AK647*EXP($AL647*2),$AK647*(1+$AJ647*$AL647*2)^(1/$AJ647)))</f>
        <v/>
      </c>
      <c r="AO647">
        <f>IF($AJ647="","",IF($AJ647=0,$AK647*EXP($AL647*3),$AK647*(1+$AJ647*$AL647*3)^(1/$AJ647)))</f>
        <v/>
      </c>
      <c r="AP647">
        <f>IF($AJ647="","",IF($AJ647=0,$AK647*EXP($AL647*-2),$AK647*(1+$AJ647*$AL647*-2)^(1/$AJ647)))</f>
        <v/>
      </c>
      <c r="AQ647">
        <f>IF($AJ647="","",IF($AJ647=0,$AK647*EXP($AL647*-3),$AK647*(1+$AJ647*$AL647*-3)^(1/$AJ647)))</f>
        <v/>
      </c>
      <c r="AR647">
        <f>IF(OR($X647="",$T647&gt;60),"",IFERROR(INDEX(IF($T647&lt;24,pcomp_l,palt_l),MATCH($X647,IF($T647&lt;24,pcomp_k,palt_k),1)),""))</f>
        <v/>
      </c>
      <c r="AS647">
        <f>IF(OR($X647="",$T647&gt;60),"",IFERROR(INDEX(IF($T647&lt;24,pcomp_m,palt_m),MATCH($X647,IF($T647&lt;24,pcomp_k,palt_k),1)),""))</f>
        <v/>
      </c>
      <c r="AT647">
        <f>IF(OR($X647="",$T647&gt;60),"",IFERROR(INDEX(IF($T647&lt;24,pcomp_s,palt_s),MATCH($X647,IF($T647&lt;24,pcomp_k,palt_k),1)),""))</f>
        <v/>
      </c>
      <c r="AU647">
        <f>IF($AR647="","",IF($AR647=0,LN($F647/$AS647)/$AT647,((($F647/$AS647)^$AR647)-1)/($AR647*$AT647)))</f>
        <v/>
      </c>
      <c r="AV647">
        <f>IF($AR647="","",IF($AR647=0,$AS647*EXP($AT647*2),$AS647*(1+$AR647*$AT647*2)^(1/$AR647)))</f>
        <v/>
      </c>
      <c r="AW647">
        <f>IF($AR647="","",IF($AR647=0,$AS647*EXP($AT647*3),$AS647*(1+$AR647*$AT647*3)^(1/$AR647)))</f>
        <v/>
      </c>
      <c r="AX647">
        <f>IF($AR647="","",IF($AR647=0,$AS647*EXP($AT647*-2),$AS647*(1+$AR647*$AT647*-2)^(1/$AR647)))</f>
        <v/>
      </c>
      <c r="AY647">
        <f>IF($AR647="","",IF($AR647=0,$AS647*EXP($AT647*-3),$AS647*(1+$AR647*$AT647*-3)^(1/$AR647)))</f>
        <v/>
      </c>
      <c r="AZ647">
        <f>IF(OR($A647="",$A647&lt;&gt;Ficha!$C$4),"",COUNTIF($A$2:$A647,Ficha!$C$4))</f>
        <v/>
      </c>
    </row>
    <row r="648">
      <c r="A648" s="8">
        <f>IF(INDEX(Banco!$A:$A,ROW())="","",INDEX(Banco!$A:$A,ROW()))</f>
        <v/>
      </c>
      <c r="B648" s="8">
        <f>IF(INDEX(Banco!$B:$B,ROW())="","",INDEX(Banco!$B:$B,ROW()))</f>
        <v/>
      </c>
      <c r="C648" s="8">
        <f>IF(INDEX(Banco!$C:$C,ROW())="","",INDEX(Banco!$C:$C,ROW()))</f>
        <v/>
      </c>
      <c r="D648" s="9">
        <f>IF(INDEX(Banco!$D:$D,ROW())="","",INDEX(Banco!$D:$D,ROW()))</f>
        <v/>
      </c>
      <c r="E648" s="9">
        <f>IF(INDEX(Banco!$E:$E,ROW())="","",INDEX(Banco!$E:$E,ROW()))</f>
        <v/>
      </c>
      <c r="F648" s="10">
        <f>IF(INDEX(Banco!$F:$F,ROW())="","",INDEX(Banco!$F:$F,ROW()))</f>
        <v/>
      </c>
      <c r="G648" s="10">
        <f>IF(INDEX(Banco!$G:$G,ROW())="","",INDEX(Banco!$G:$G,ROW()))</f>
        <v/>
      </c>
      <c r="H648" s="8">
        <f>IF(INDEX(Banco!$H:$H,ROW())="","",INDEX(Banco!$H:$H,ROW()))</f>
        <v/>
      </c>
      <c r="I648">
        <f>IF($T648="","",INT($T648/12)&amp;"a "&amp;MOD($T648,12)&amp;"m")</f>
        <v/>
      </c>
      <c r="J648" s="11">
        <f>IF(OR($F648="",$G648=""),"",ROUND($F648/($G648/100)^2,2))</f>
        <v/>
      </c>
      <c r="K648" s="12">
        <f>IF(OR($S648="",$J648="",$T648="",$T648&lt;0,$T648&gt;228,$Y648=""),"—",ROUND(IF(ABS($AB648)&lt;=3,$AB648,IF($AB648&gt;3,3+($J648-$AD648)/($AD648-$AC648),-3+($J648-$AF648)/($AE648-$AF648))),2))</f>
        <v/>
      </c>
      <c r="L648">
        <f>IF(OR($K648="",$K648="—"),"",IF($T648&lt;=60,IF($K648&lt;-3,"Magreza acentuada",IF($K648&lt;-2,"Magreza",IF($K648&lt;=1,"Eutrofia",IF($K648&lt;=2,"Risco de sobrepeso",IF($K648&lt;=3,"Sobrepeso","Obesidade"))))),IF($K648&lt;-3,"Magreza acentuada",IF($K648&lt;-2,"Magreza",IF($K648&lt;=1,"Eutrofia",IF($K648&lt;=2,"Sobrepeso",IF($K648&lt;=3,"Obesidade","Obesidade grave")))))))</f>
        <v/>
      </c>
      <c r="M648" s="12">
        <f>IF(OR($S648="",$V648="",$T648="",$T648&lt;0,$T648&gt;228,$AG648=""),"—",ROUND(IF($AG648=0,LN($V648/$AH648)/$AI648,((($V648/$AH648)^$AG648)-1)/($AG648*$AI648)),2))</f>
        <v/>
      </c>
      <c r="N648">
        <f>IF(OR($M648="",$M648="—"),"",IF($M648&lt;-3,"Muito baixa",IF($M648&lt;-2,"Baixa","Adequada")))</f>
        <v/>
      </c>
      <c r="O648" s="12">
        <f>IF(OR($S648="",$F648="",$T648="",$T648&lt;0,$T648&gt;120,$AJ648=""),"—",ROUND(IF(ABS($AM648)&lt;=3,$AM648,IF($AM648&gt;3,3+($F648-$AO648)/($AO648-$AN648),-3+($F648-$AQ648)/($AP648-$AQ648))),2))</f>
        <v/>
      </c>
      <c r="P648">
        <f>IF(OR($O648="",$O648="—"),"",IF($O648&lt;-3,"Muito baixo",IF($O648&lt;-2,"Baixo",IF($O648&lt;=2,"Adequado","Elevado"))))</f>
        <v/>
      </c>
      <c r="Q648" s="12">
        <f>IF(OR($S648="",$F648="",$T648="",$T648&lt;0,$T648&gt;60,$AR648=""),"—",ROUND(IF(ABS($AU648)&lt;=3,$AU648,IF($AU648&gt;3,3+($F648-$AW648)/($AW648-$AV648),-3+($F648-$AY648)/($AX648-$AY648))),2))</f>
        <v/>
      </c>
      <c r="R648">
        <f>IF(OR($Q648="",$Q648="—"),"",IF($Q648&lt;-3,"Magreza acentuada",IF($Q648&lt;-2,"Magreza",IF($Q648&lt;=1,"Eutrofia",IF($Q648&lt;=2,"Risco de sobrepeso",IF($Q648&lt;=3,"Sobrepeso","Obesidade"))))))</f>
        <v/>
      </c>
      <c r="S648">
        <f>IF($C648="","",IF(UPPER(LEFT($C648,1))="M",1,IF(UPPER(LEFT($C648,1))="F",2,"")))</f>
        <v/>
      </c>
      <c r="T648">
        <f>IF(OR($D648="",$E648=""),"",DATEDIF($D648,$E648,"m"))</f>
        <v/>
      </c>
      <c r="U648">
        <f>IF(OR($D648="",$E648=""),"",$E648-$D648)</f>
        <v/>
      </c>
      <c r="V648">
        <f>IF(OR($G648="",$T648=""),"",IF($T648&lt;24,IF(LEFT(LOWER($H648),4)="em p",$G648+0.7,$G648),IF(LEFT(LOWER($H648),4)="deit",$G648-0.7,$G648)))</f>
        <v/>
      </c>
      <c r="W648">
        <f>IF(OR($S648="",$T648=""),"",$S648*1000000+IF($T648&lt;=60,$U648,$T648))</f>
        <v/>
      </c>
      <c r="X648">
        <f>IF(OR($S648="",$V648="",$T648&gt;60,$T648=""),"",$S648*1000000+ROUND($V648*10,0))</f>
        <v/>
      </c>
      <c r="Y648">
        <f>IF($W648="","",IFERROR(INDEX(IF($T648&lt;=60,imc05_l,imc519_l),MATCH($W648,IF($T648&lt;=60,imc05_k,imc519_k),1)),""))</f>
        <v/>
      </c>
      <c r="Z648">
        <f>IF($W648="","",IFERROR(INDEX(IF($T648&lt;=60,imc05_m,imc519_m),MATCH($W648,IF($T648&lt;=60,imc05_k,imc519_k),1)),""))</f>
        <v/>
      </c>
      <c r="AA648">
        <f>IF($W648="","",IFERROR(INDEX(IF($T648&lt;=60,imc05_s,imc519_s),MATCH($W648,IF($T648&lt;=60,imc05_k,imc519_k),1)),""))</f>
        <v/>
      </c>
      <c r="AB648">
        <f>IF($Y648="","",IF($Y648=0,LN($J648/$Z648)/$AA648,((($J648/$Z648)^$Y648)-1)/($Y648*$AA648)))</f>
        <v/>
      </c>
      <c r="AC648">
        <f>IF($Y648="","",IF($Y648=0,$Z648*EXP($AA648*2),$Z648*(1+$Y648*$AA648*2)^(1/$Y648)))</f>
        <v/>
      </c>
      <c r="AD648">
        <f>IF($Y648="","",IF($Y648=0,$Z648*EXP($AA648*3),$Z648*(1+$Y648*$AA648*3)^(1/$Y648)))</f>
        <v/>
      </c>
      <c r="AE648">
        <f>IF($Y648="","",IF($Y648=0,$Z648*EXP($AA648*-2),$Z648*(1+$Y648*$AA648*-2)^(1/$Y648)))</f>
        <v/>
      </c>
      <c r="AF648">
        <f>IF($Y648="","",IF($Y648=0,$Z648*EXP($AA648*-3),$Z648*(1+$Y648*$AA648*-3)^(1/$Y648)))</f>
        <v/>
      </c>
      <c r="AG648">
        <f>IF($W648="","",IFERROR(INDEX(IF($T648&lt;=60,est05_l,est519_l),MATCH($W648,IF($T648&lt;=60,est05_k,est519_k),1)),""))</f>
        <v/>
      </c>
      <c r="AH648">
        <f>IF($W648="","",IFERROR(INDEX(IF($T648&lt;=60,est05_m,est519_m),MATCH($W648,IF($T648&lt;=60,est05_k,est519_k),1)),""))</f>
        <v/>
      </c>
      <c r="AI648">
        <f>IF($W648="","",IFERROR(INDEX(IF($T648&lt;=60,est05_s,est519_s),MATCH($W648,IF($T648&lt;=60,est05_k,est519_k),1)),""))</f>
        <v/>
      </c>
      <c r="AJ648">
        <f>IF($W648="","",IFERROR(INDEX(IF($T648&lt;=60,peso05_l,peso510_l),MATCH($W648,IF($T648&lt;=60,peso05_k,peso510_k),1)),""))</f>
        <v/>
      </c>
      <c r="AK648">
        <f>IF($W648="","",IFERROR(INDEX(IF($T648&lt;=60,peso05_m,peso510_m),MATCH($W648,IF($T648&lt;=60,peso05_k,peso510_k),1)),""))</f>
        <v/>
      </c>
      <c r="AL648">
        <f>IF($W648="","",IFERROR(INDEX(IF($T648&lt;=60,peso05_s,peso510_s),MATCH($W648,IF($T648&lt;=60,peso05_k,peso510_k),1)),""))</f>
        <v/>
      </c>
      <c r="AM648">
        <f>IF($AJ648="","",IF($AJ648=0,LN($F648/$AK648)/$AL648,((($F648/$AK648)^$AJ648)-1)/($AJ648*$AL648)))</f>
        <v/>
      </c>
      <c r="AN648">
        <f>IF($AJ648="","",IF($AJ648=0,$AK648*EXP($AL648*2),$AK648*(1+$AJ648*$AL648*2)^(1/$AJ648)))</f>
        <v/>
      </c>
      <c r="AO648">
        <f>IF($AJ648="","",IF($AJ648=0,$AK648*EXP($AL648*3),$AK648*(1+$AJ648*$AL648*3)^(1/$AJ648)))</f>
        <v/>
      </c>
      <c r="AP648">
        <f>IF($AJ648="","",IF($AJ648=0,$AK648*EXP($AL648*-2),$AK648*(1+$AJ648*$AL648*-2)^(1/$AJ648)))</f>
        <v/>
      </c>
      <c r="AQ648">
        <f>IF($AJ648="","",IF($AJ648=0,$AK648*EXP($AL648*-3),$AK648*(1+$AJ648*$AL648*-3)^(1/$AJ648)))</f>
        <v/>
      </c>
      <c r="AR648">
        <f>IF(OR($X648="",$T648&gt;60),"",IFERROR(INDEX(IF($T648&lt;24,pcomp_l,palt_l),MATCH($X648,IF($T648&lt;24,pcomp_k,palt_k),1)),""))</f>
        <v/>
      </c>
      <c r="AS648">
        <f>IF(OR($X648="",$T648&gt;60),"",IFERROR(INDEX(IF($T648&lt;24,pcomp_m,palt_m),MATCH($X648,IF($T648&lt;24,pcomp_k,palt_k),1)),""))</f>
        <v/>
      </c>
      <c r="AT648">
        <f>IF(OR($X648="",$T648&gt;60),"",IFERROR(INDEX(IF($T648&lt;24,pcomp_s,palt_s),MATCH($X648,IF($T648&lt;24,pcomp_k,palt_k),1)),""))</f>
        <v/>
      </c>
      <c r="AU648">
        <f>IF($AR648="","",IF($AR648=0,LN($F648/$AS648)/$AT648,((($F648/$AS648)^$AR648)-1)/($AR648*$AT648)))</f>
        <v/>
      </c>
      <c r="AV648">
        <f>IF($AR648="","",IF($AR648=0,$AS648*EXP($AT648*2),$AS648*(1+$AR648*$AT648*2)^(1/$AR648)))</f>
        <v/>
      </c>
      <c r="AW648">
        <f>IF($AR648="","",IF($AR648=0,$AS648*EXP($AT648*3),$AS648*(1+$AR648*$AT648*3)^(1/$AR648)))</f>
        <v/>
      </c>
      <c r="AX648">
        <f>IF($AR648="","",IF($AR648=0,$AS648*EXP($AT648*-2),$AS648*(1+$AR648*$AT648*-2)^(1/$AR648)))</f>
        <v/>
      </c>
      <c r="AY648">
        <f>IF($AR648="","",IF($AR648=0,$AS648*EXP($AT648*-3),$AS648*(1+$AR648*$AT648*-3)^(1/$AR648)))</f>
        <v/>
      </c>
      <c r="AZ648">
        <f>IF(OR($A648="",$A648&lt;&gt;Ficha!$C$4),"",COUNTIF($A$2:$A648,Ficha!$C$4))</f>
        <v/>
      </c>
    </row>
    <row r="649">
      <c r="A649" s="8">
        <f>IF(INDEX(Banco!$A:$A,ROW())="","",INDEX(Banco!$A:$A,ROW()))</f>
        <v/>
      </c>
      <c r="B649" s="8">
        <f>IF(INDEX(Banco!$B:$B,ROW())="","",INDEX(Banco!$B:$B,ROW()))</f>
        <v/>
      </c>
      <c r="C649" s="8">
        <f>IF(INDEX(Banco!$C:$C,ROW())="","",INDEX(Banco!$C:$C,ROW()))</f>
        <v/>
      </c>
      <c r="D649" s="9">
        <f>IF(INDEX(Banco!$D:$D,ROW())="","",INDEX(Banco!$D:$D,ROW()))</f>
        <v/>
      </c>
      <c r="E649" s="9">
        <f>IF(INDEX(Banco!$E:$E,ROW())="","",INDEX(Banco!$E:$E,ROW()))</f>
        <v/>
      </c>
      <c r="F649" s="10">
        <f>IF(INDEX(Banco!$F:$F,ROW())="","",INDEX(Banco!$F:$F,ROW()))</f>
        <v/>
      </c>
      <c r="G649" s="10">
        <f>IF(INDEX(Banco!$G:$G,ROW())="","",INDEX(Banco!$G:$G,ROW()))</f>
        <v/>
      </c>
      <c r="H649" s="8">
        <f>IF(INDEX(Banco!$H:$H,ROW())="","",INDEX(Banco!$H:$H,ROW()))</f>
        <v/>
      </c>
      <c r="I649">
        <f>IF($T649="","",INT($T649/12)&amp;"a "&amp;MOD($T649,12)&amp;"m")</f>
        <v/>
      </c>
      <c r="J649" s="11">
        <f>IF(OR($F649="",$G649=""),"",ROUND($F649/($G649/100)^2,2))</f>
        <v/>
      </c>
      <c r="K649" s="12">
        <f>IF(OR($S649="",$J649="",$T649="",$T649&lt;0,$T649&gt;228,$Y649=""),"—",ROUND(IF(ABS($AB649)&lt;=3,$AB649,IF($AB649&gt;3,3+($J649-$AD649)/($AD649-$AC649),-3+($J649-$AF649)/($AE649-$AF649))),2))</f>
        <v/>
      </c>
      <c r="L649">
        <f>IF(OR($K649="",$K649="—"),"",IF($T649&lt;=60,IF($K649&lt;-3,"Magreza acentuada",IF($K649&lt;-2,"Magreza",IF($K649&lt;=1,"Eutrofia",IF($K649&lt;=2,"Risco de sobrepeso",IF($K649&lt;=3,"Sobrepeso","Obesidade"))))),IF($K649&lt;-3,"Magreza acentuada",IF($K649&lt;-2,"Magreza",IF($K649&lt;=1,"Eutrofia",IF($K649&lt;=2,"Sobrepeso",IF($K649&lt;=3,"Obesidade","Obesidade grave")))))))</f>
        <v/>
      </c>
      <c r="M649" s="12">
        <f>IF(OR($S649="",$V649="",$T649="",$T649&lt;0,$T649&gt;228,$AG649=""),"—",ROUND(IF($AG649=0,LN($V649/$AH649)/$AI649,((($V649/$AH649)^$AG649)-1)/($AG649*$AI649)),2))</f>
        <v/>
      </c>
      <c r="N649">
        <f>IF(OR($M649="",$M649="—"),"",IF($M649&lt;-3,"Muito baixa",IF($M649&lt;-2,"Baixa","Adequada")))</f>
        <v/>
      </c>
      <c r="O649" s="12">
        <f>IF(OR($S649="",$F649="",$T649="",$T649&lt;0,$T649&gt;120,$AJ649=""),"—",ROUND(IF(ABS($AM649)&lt;=3,$AM649,IF($AM649&gt;3,3+($F649-$AO649)/($AO649-$AN649),-3+($F649-$AQ649)/($AP649-$AQ649))),2))</f>
        <v/>
      </c>
      <c r="P649">
        <f>IF(OR($O649="",$O649="—"),"",IF($O649&lt;-3,"Muito baixo",IF($O649&lt;-2,"Baixo",IF($O649&lt;=2,"Adequado","Elevado"))))</f>
        <v/>
      </c>
      <c r="Q649" s="12">
        <f>IF(OR($S649="",$F649="",$T649="",$T649&lt;0,$T649&gt;60,$AR649=""),"—",ROUND(IF(ABS($AU649)&lt;=3,$AU649,IF($AU649&gt;3,3+($F649-$AW649)/($AW649-$AV649),-3+($F649-$AY649)/($AX649-$AY649))),2))</f>
        <v/>
      </c>
      <c r="R649">
        <f>IF(OR($Q649="",$Q649="—"),"",IF($Q649&lt;-3,"Magreza acentuada",IF($Q649&lt;-2,"Magreza",IF($Q649&lt;=1,"Eutrofia",IF($Q649&lt;=2,"Risco de sobrepeso",IF($Q649&lt;=3,"Sobrepeso","Obesidade"))))))</f>
        <v/>
      </c>
      <c r="S649">
        <f>IF($C649="","",IF(UPPER(LEFT($C649,1))="M",1,IF(UPPER(LEFT($C649,1))="F",2,"")))</f>
        <v/>
      </c>
      <c r="T649">
        <f>IF(OR($D649="",$E649=""),"",DATEDIF($D649,$E649,"m"))</f>
        <v/>
      </c>
      <c r="U649">
        <f>IF(OR($D649="",$E649=""),"",$E649-$D649)</f>
        <v/>
      </c>
      <c r="V649">
        <f>IF(OR($G649="",$T649=""),"",IF($T649&lt;24,IF(LEFT(LOWER($H649),4)="em p",$G649+0.7,$G649),IF(LEFT(LOWER($H649),4)="deit",$G649-0.7,$G649)))</f>
        <v/>
      </c>
      <c r="W649">
        <f>IF(OR($S649="",$T649=""),"",$S649*1000000+IF($T649&lt;=60,$U649,$T649))</f>
        <v/>
      </c>
      <c r="X649">
        <f>IF(OR($S649="",$V649="",$T649&gt;60,$T649=""),"",$S649*1000000+ROUND($V649*10,0))</f>
        <v/>
      </c>
      <c r="Y649">
        <f>IF($W649="","",IFERROR(INDEX(IF($T649&lt;=60,imc05_l,imc519_l),MATCH($W649,IF($T649&lt;=60,imc05_k,imc519_k),1)),""))</f>
        <v/>
      </c>
      <c r="Z649">
        <f>IF($W649="","",IFERROR(INDEX(IF($T649&lt;=60,imc05_m,imc519_m),MATCH($W649,IF($T649&lt;=60,imc05_k,imc519_k),1)),""))</f>
        <v/>
      </c>
      <c r="AA649">
        <f>IF($W649="","",IFERROR(INDEX(IF($T649&lt;=60,imc05_s,imc519_s),MATCH($W649,IF($T649&lt;=60,imc05_k,imc519_k),1)),""))</f>
        <v/>
      </c>
      <c r="AB649">
        <f>IF($Y649="","",IF($Y649=0,LN($J649/$Z649)/$AA649,((($J649/$Z649)^$Y649)-1)/($Y649*$AA649)))</f>
        <v/>
      </c>
      <c r="AC649">
        <f>IF($Y649="","",IF($Y649=0,$Z649*EXP($AA649*2),$Z649*(1+$Y649*$AA649*2)^(1/$Y649)))</f>
        <v/>
      </c>
      <c r="AD649">
        <f>IF($Y649="","",IF($Y649=0,$Z649*EXP($AA649*3),$Z649*(1+$Y649*$AA649*3)^(1/$Y649)))</f>
        <v/>
      </c>
      <c r="AE649">
        <f>IF($Y649="","",IF($Y649=0,$Z649*EXP($AA649*-2),$Z649*(1+$Y649*$AA649*-2)^(1/$Y649)))</f>
        <v/>
      </c>
      <c r="AF649">
        <f>IF($Y649="","",IF($Y649=0,$Z649*EXP($AA649*-3),$Z649*(1+$Y649*$AA649*-3)^(1/$Y649)))</f>
        <v/>
      </c>
      <c r="AG649">
        <f>IF($W649="","",IFERROR(INDEX(IF($T649&lt;=60,est05_l,est519_l),MATCH($W649,IF($T649&lt;=60,est05_k,est519_k),1)),""))</f>
        <v/>
      </c>
      <c r="AH649">
        <f>IF($W649="","",IFERROR(INDEX(IF($T649&lt;=60,est05_m,est519_m),MATCH($W649,IF($T649&lt;=60,est05_k,est519_k),1)),""))</f>
        <v/>
      </c>
      <c r="AI649">
        <f>IF($W649="","",IFERROR(INDEX(IF($T649&lt;=60,est05_s,est519_s),MATCH($W649,IF($T649&lt;=60,est05_k,est519_k),1)),""))</f>
        <v/>
      </c>
      <c r="AJ649">
        <f>IF($W649="","",IFERROR(INDEX(IF($T649&lt;=60,peso05_l,peso510_l),MATCH($W649,IF($T649&lt;=60,peso05_k,peso510_k),1)),""))</f>
        <v/>
      </c>
      <c r="AK649">
        <f>IF($W649="","",IFERROR(INDEX(IF($T649&lt;=60,peso05_m,peso510_m),MATCH($W649,IF($T649&lt;=60,peso05_k,peso510_k),1)),""))</f>
        <v/>
      </c>
      <c r="AL649">
        <f>IF($W649="","",IFERROR(INDEX(IF($T649&lt;=60,peso05_s,peso510_s),MATCH($W649,IF($T649&lt;=60,peso05_k,peso510_k),1)),""))</f>
        <v/>
      </c>
      <c r="AM649">
        <f>IF($AJ649="","",IF($AJ649=0,LN($F649/$AK649)/$AL649,((($F649/$AK649)^$AJ649)-1)/($AJ649*$AL649)))</f>
        <v/>
      </c>
      <c r="AN649">
        <f>IF($AJ649="","",IF($AJ649=0,$AK649*EXP($AL649*2),$AK649*(1+$AJ649*$AL649*2)^(1/$AJ649)))</f>
        <v/>
      </c>
      <c r="AO649">
        <f>IF($AJ649="","",IF($AJ649=0,$AK649*EXP($AL649*3),$AK649*(1+$AJ649*$AL649*3)^(1/$AJ649)))</f>
        <v/>
      </c>
      <c r="AP649">
        <f>IF($AJ649="","",IF($AJ649=0,$AK649*EXP($AL649*-2),$AK649*(1+$AJ649*$AL649*-2)^(1/$AJ649)))</f>
        <v/>
      </c>
      <c r="AQ649">
        <f>IF($AJ649="","",IF($AJ649=0,$AK649*EXP($AL649*-3),$AK649*(1+$AJ649*$AL649*-3)^(1/$AJ649)))</f>
        <v/>
      </c>
      <c r="AR649">
        <f>IF(OR($X649="",$T649&gt;60),"",IFERROR(INDEX(IF($T649&lt;24,pcomp_l,palt_l),MATCH($X649,IF($T649&lt;24,pcomp_k,palt_k),1)),""))</f>
        <v/>
      </c>
      <c r="AS649">
        <f>IF(OR($X649="",$T649&gt;60),"",IFERROR(INDEX(IF($T649&lt;24,pcomp_m,palt_m),MATCH($X649,IF($T649&lt;24,pcomp_k,palt_k),1)),""))</f>
        <v/>
      </c>
      <c r="AT649">
        <f>IF(OR($X649="",$T649&gt;60),"",IFERROR(INDEX(IF($T649&lt;24,pcomp_s,palt_s),MATCH($X649,IF($T649&lt;24,pcomp_k,palt_k),1)),""))</f>
        <v/>
      </c>
      <c r="AU649">
        <f>IF($AR649="","",IF($AR649=0,LN($F649/$AS649)/$AT649,((($F649/$AS649)^$AR649)-1)/($AR649*$AT649)))</f>
        <v/>
      </c>
      <c r="AV649">
        <f>IF($AR649="","",IF($AR649=0,$AS649*EXP($AT649*2),$AS649*(1+$AR649*$AT649*2)^(1/$AR649)))</f>
        <v/>
      </c>
      <c r="AW649">
        <f>IF($AR649="","",IF($AR649=0,$AS649*EXP($AT649*3),$AS649*(1+$AR649*$AT649*3)^(1/$AR649)))</f>
        <v/>
      </c>
      <c r="AX649">
        <f>IF($AR649="","",IF($AR649=0,$AS649*EXP($AT649*-2),$AS649*(1+$AR649*$AT649*-2)^(1/$AR649)))</f>
        <v/>
      </c>
      <c r="AY649">
        <f>IF($AR649="","",IF($AR649=0,$AS649*EXP($AT649*-3),$AS649*(1+$AR649*$AT649*-3)^(1/$AR649)))</f>
        <v/>
      </c>
      <c r="AZ649">
        <f>IF(OR($A649="",$A649&lt;&gt;Ficha!$C$4),"",COUNTIF($A$2:$A649,Ficha!$C$4))</f>
        <v/>
      </c>
    </row>
    <row r="650">
      <c r="A650" s="8">
        <f>IF(INDEX(Banco!$A:$A,ROW())="","",INDEX(Banco!$A:$A,ROW()))</f>
        <v/>
      </c>
      <c r="B650" s="8">
        <f>IF(INDEX(Banco!$B:$B,ROW())="","",INDEX(Banco!$B:$B,ROW()))</f>
        <v/>
      </c>
      <c r="C650" s="8">
        <f>IF(INDEX(Banco!$C:$C,ROW())="","",INDEX(Banco!$C:$C,ROW()))</f>
        <v/>
      </c>
      <c r="D650" s="9">
        <f>IF(INDEX(Banco!$D:$D,ROW())="","",INDEX(Banco!$D:$D,ROW()))</f>
        <v/>
      </c>
      <c r="E650" s="9">
        <f>IF(INDEX(Banco!$E:$E,ROW())="","",INDEX(Banco!$E:$E,ROW()))</f>
        <v/>
      </c>
      <c r="F650" s="10">
        <f>IF(INDEX(Banco!$F:$F,ROW())="","",INDEX(Banco!$F:$F,ROW()))</f>
        <v/>
      </c>
      <c r="G650" s="10">
        <f>IF(INDEX(Banco!$G:$G,ROW())="","",INDEX(Banco!$G:$G,ROW()))</f>
        <v/>
      </c>
      <c r="H650" s="8">
        <f>IF(INDEX(Banco!$H:$H,ROW())="","",INDEX(Banco!$H:$H,ROW()))</f>
        <v/>
      </c>
      <c r="I650">
        <f>IF($T650="","",INT($T650/12)&amp;"a "&amp;MOD($T650,12)&amp;"m")</f>
        <v/>
      </c>
      <c r="J650" s="11">
        <f>IF(OR($F650="",$G650=""),"",ROUND($F650/($G650/100)^2,2))</f>
        <v/>
      </c>
      <c r="K650" s="12">
        <f>IF(OR($S650="",$J650="",$T650="",$T650&lt;0,$T650&gt;228,$Y650=""),"—",ROUND(IF(ABS($AB650)&lt;=3,$AB650,IF($AB650&gt;3,3+($J650-$AD650)/($AD650-$AC650),-3+($J650-$AF650)/($AE650-$AF650))),2))</f>
        <v/>
      </c>
      <c r="L650">
        <f>IF(OR($K650="",$K650="—"),"",IF($T650&lt;=60,IF($K650&lt;-3,"Magreza acentuada",IF($K650&lt;-2,"Magreza",IF($K650&lt;=1,"Eutrofia",IF($K650&lt;=2,"Risco de sobrepeso",IF($K650&lt;=3,"Sobrepeso","Obesidade"))))),IF($K650&lt;-3,"Magreza acentuada",IF($K650&lt;-2,"Magreza",IF($K650&lt;=1,"Eutrofia",IF($K650&lt;=2,"Sobrepeso",IF($K650&lt;=3,"Obesidade","Obesidade grave")))))))</f>
        <v/>
      </c>
      <c r="M650" s="12">
        <f>IF(OR($S650="",$V650="",$T650="",$T650&lt;0,$T650&gt;228,$AG650=""),"—",ROUND(IF($AG650=0,LN($V650/$AH650)/$AI650,((($V650/$AH650)^$AG650)-1)/($AG650*$AI650)),2))</f>
        <v/>
      </c>
      <c r="N650">
        <f>IF(OR($M650="",$M650="—"),"",IF($M650&lt;-3,"Muito baixa",IF($M650&lt;-2,"Baixa","Adequada")))</f>
        <v/>
      </c>
      <c r="O650" s="12">
        <f>IF(OR($S650="",$F650="",$T650="",$T650&lt;0,$T650&gt;120,$AJ650=""),"—",ROUND(IF(ABS($AM650)&lt;=3,$AM650,IF($AM650&gt;3,3+($F650-$AO650)/($AO650-$AN650),-3+($F650-$AQ650)/($AP650-$AQ650))),2))</f>
        <v/>
      </c>
      <c r="P650">
        <f>IF(OR($O650="",$O650="—"),"",IF($O650&lt;-3,"Muito baixo",IF($O650&lt;-2,"Baixo",IF($O650&lt;=2,"Adequado","Elevado"))))</f>
        <v/>
      </c>
      <c r="Q650" s="12">
        <f>IF(OR($S650="",$F650="",$T650="",$T650&lt;0,$T650&gt;60,$AR650=""),"—",ROUND(IF(ABS($AU650)&lt;=3,$AU650,IF($AU650&gt;3,3+($F650-$AW650)/($AW650-$AV650),-3+($F650-$AY650)/($AX650-$AY650))),2))</f>
        <v/>
      </c>
      <c r="R650">
        <f>IF(OR($Q650="",$Q650="—"),"",IF($Q650&lt;-3,"Magreza acentuada",IF($Q650&lt;-2,"Magreza",IF($Q650&lt;=1,"Eutrofia",IF($Q650&lt;=2,"Risco de sobrepeso",IF($Q650&lt;=3,"Sobrepeso","Obesidade"))))))</f>
        <v/>
      </c>
      <c r="S650">
        <f>IF($C650="","",IF(UPPER(LEFT($C650,1))="M",1,IF(UPPER(LEFT($C650,1))="F",2,"")))</f>
        <v/>
      </c>
      <c r="T650">
        <f>IF(OR($D650="",$E650=""),"",DATEDIF($D650,$E650,"m"))</f>
        <v/>
      </c>
      <c r="U650">
        <f>IF(OR($D650="",$E650=""),"",$E650-$D650)</f>
        <v/>
      </c>
      <c r="V650">
        <f>IF(OR($G650="",$T650=""),"",IF($T650&lt;24,IF(LEFT(LOWER($H650),4)="em p",$G650+0.7,$G650),IF(LEFT(LOWER($H650),4)="deit",$G650-0.7,$G650)))</f>
        <v/>
      </c>
      <c r="W650">
        <f>IF(OR($S650="",$T650=""),"",$S650*1000000+IF($T650&lt;=60,$U650,$T650))</f>
        <v/>
      </c>
      <c r="X650">
        <f>IF(OR($S650="",$V650="",$T650&gt;60,$T650=""),"",$S650*1000000+ROUND($V650*10,0))</f>
        <v/>
      </c>
      <c r="Y650">
        <f>IF($W650="","",IFERROR(INDEX(IF($T650&lt;=60,imc05_l,imc519_l),MATCH($W650,IF($T650&lt;=60,imc05_k,imc519_k),1)),""))</f>
        <v/>
      </c>
      <c r="Z650">
        <f>IF($W650="","",IFERROR(INDEX(IF($T650&lt;=60,imc05_m,imc519_m),MATCH($W650,IF($T650&lt;=60,imc05_k,imc519_k),1)),""))</f>
        <v/>
      </c>
      <c r="AA650">
        <f>IF($W650="","",IFERROR(INDEX(IF($T650&lt;=60,imc05_s,imc519_s),MATCH($W650,IF($T650&lt;=60,imc05_k,imc519_k),1)),""))</f>
        <v/>
      </c>
      <c r="AB650">
        <f>IF($Y650="","",IF($Y650=0,LN($J650/$Z650)/$AA650,((($J650/$Z650)^$Y650)-1)/($Y650*$AA650)))</f>
        <v/>
      </c>
      <c r="AC650">
        <f>IF($Y650="","",IF($Y650=0,$Z650*EXP($AA650*2),$Z650*(1+$Y650*$AA650*2)^(1/$Y650)))</f>
        <v/>
      </c>
      <c r="AD650">
        <f>IF($Y650="","",IF($Y650=0,$Z650*EXP($AA650*3),$Z650*(1+$Y650*$AA650*3)^(1/$Y650)))</f>
        <v/>
      </c>
      <c r="AE650">
        <f>IF($Y650="","",IF($Y650=0,$Z650*EXP($AA650*-2),$Z650*(1+$Y650*$AA650*-2)^(1/$Y650)))</f>
        <v/>
      </c>
      <c r="AF650">
        <f>IF($Y650="","",IF($Y650=0,$Z650*EXP($AA650*-3),$Z650*(1+$Y650*$AA650*-3)^(1/$Y650)))</f>
        <v/>
      </c>
      <c r="AG650">
        <f>IF($W650="","",IFERROR(INDEX(IF($T650&lt;=60,est05_l,est519_l),MATCH($W650,IF($T650&lt;=60,est05_k,est519_k),1)),""))</f>
        <v/>
      </c>
      <c r="AH650">
        <f>IF($W650="","",IFERROR(INDEX(IF($T650&lt;=60,est05_m,est519_m),MATCH($W650,IF($T650&lt;=60,est05_k,est519_k),1)),""))</f>
        <v/>
      </c>
      <c r="AI650">
        <f>IF($W650="","",IFERROR(INDEX(IF($T650&lt;=60,est05_s,est519_s),MATCH($W650,IF($T650&lt;=60,est05_k,est519_k),1)),""))</f>
        <v/>
      </c>
      <c r="AJ650">
        <f>IF($W650="","",IFERROR(INDEX(IF($T650&lt;=60,peso05_l,peso510_l),MATCH($W650,IF($T650&lt;=60,peso05_k,peso510_k),1)),""))</f>
        <v/>
      </c>
      <c r="AK650">
        <f>IF($W650="","",IFERROR(INDEX(IF($T650&lt;=60,peso05_m,peso510_m),MATCH($W650,IF($T650&lt;=60,peso05_k,peso510_k),1)),""))</f>
        <v/>
      </c>
      <c r="AL650">
        <f>IF($W650="","",IFERROR(INDEX(IF($T650&lt;=60,peso05_s,peso510_s),MATCH($W650,IF($T650&lt;=60,peso05_k,peso510_k),1)),""))</f>
        <v/>
      </c>
      <c r="AM650">
        <f>IF($AJ650="","",IF($AJ650=0,LN($F650/$AK650)/$AL650,((($F650/$AK650)^$AJ650)-1)/($AJ650*$AL650)))</f>
        <v/>
      </c>
      <c r="AN650">
        <f>IF($AJ650="","",IF($AJ650=0,$AK650*EXP($AL650*2),$AK650*(1+$AJ650*$AL650*2)^(1/$AJ650)))</f>
        <v/>
      </c>
      <c r="AO650">
        <f>IF($AJ650="","",IF($AJ650=0,$AK650*EXP($AL650*3),$AK650*(1+$AJ650*$AL650*3)^(1/$AJ650)))</f>
        <v/>
      </c>
      <c r="AP650">
        <f>IF($AJ650="","",IF($AJ650=0,$AK650*EXP($AL650*-2),$AK650*(1+$AJ650*$AL650*-2)^(1/$AJ650)))</f>
        <v/>
      </c>
      <c r="AQ650">
        <f>IF($AJ650="","",IF($AJ650=0,$AK650*EXP($AL650*-3),$AK650*(1+$AJ650*$AL650*-3)^(1/$AJ650)))</f>
        <v/>
      </c>
      <c r="AR650">
        <f>IF(OR($X650="",$T650&gt;60),"",IFERROR(INDEX(IF($T650&lt;24,pcomp_l,palt_l),MATCH($X650,IF($T650&lt;24,pcomp_k,palt_k),1)),""))</f>
        <v/>
      </c>
      <c r="AS650">
        <f>IF(OR($X650="",$T650&gt;60),"",IFERROR(INDEX(IF($T650&lt;24,pcomp_m,palt_m),MATCH($X650,IF($T650&lt;24,pcomp_k,palt_k),1)),""))</f>
        <v/>
      </c>
      <c r="AT650">
        <f>IF(OR($X650="",$T650&gt;60),"",IFERROR(INDEX(IF($T650&lt;24,pcomp_s,palt_s),MATCH($X650,IF($T650&lt;24,pcomp_k,palt_k),1)),""))</f>
        <v/>
      </c>
      <c r="AU650">
        <f>IF($AR650="","",IF($AR650=0,LN($F650/$AS650)/$AT650,((($F650/$AS650)^$AR650)-1)/($AR650*$AT650)))</f>
        <v/>
      </c>
      <c r="AV650">
        <f>IF($AR650="","",IF($AR650=0,$AS650*EXP($AT650*2),$AS650*(1+$AR650*$AT650*2)^(1/$AR650)))</f>
        <v/>
      </c>
      <c r="AW650">
        <f>IF($AR650="","",IF($AR650=0,$AS650*EXP($AT650*3),$AS650*(1+$AR650*$AT650*3)^(1/$AR650)))</f>
        <v/>
      </c>
      <c r="AX650">
        <f>IF($AR650="","",IF($AR650=0,$AS650*EXP($AT650*-2),$AS650*(1+$AR650*$AT650*-2)^(1/$AR650)))</f>
        <v/>
      </c>
      <c r="AY650">
        <f>IF($AR650="","",IF($AR650=0,$AS650*EXP($AT650*-3),$AS650*(1+$AR650*$AT650*-3)^(1/$AR650)))</f>
        <v/>
      </c>
      <c r="AZ650">
        <f>IF(OR($A650="",$A650&lt;&gt;Ficha!$C$4),"",COUNTIF($A$2:$A650,Ficha!$C$4))</f>
        <v/>
      </c>
    </row>
    <row r="651">
      <c r="A651" s="8">
        <f>IF(INDEX(Banco!$A:$A,ROW())="","",INDEX(Banco!$A:$A,ROW()))</f>
        <v/>
      </c>
      <c r="B651" s="8">
        <f>IF(INDEX(Banco!$B:$B,ROW())="","",INDEX(Banco!$B:$B,ROW()))</f>
        <v/>
      </c>
      <c r="C651" s="8">
        <f>IF(INDEX(Banco!$C:$C,ROW())="","",INDEX(Banco!$C:$C,ROW()))</f>
        <v/>
      </c>
      <c r="D651" s="9">
        <f>IF(INDEX(Banco!$D:$D,ROW())="","",INDEX(Banco!$D:$D,ROW()))</f>
        <v/>
      </c>
      <c r="E651" s="9">
        <f>IF(INDEX(Banco!$E:$E,ROW())="","",INDEX(Banco!$E:$E,ROW()))</f>
        <v/>
      </c>
      <c r="F651" s="10">
        <f>IF(INDEX(Banco!$F:$F,ROW())="","",INDEX(Banco!$F:$F,ROW()))</f>
        <v/>
      </c>
      <c r="G651" s="10">
        <f>IF(INDEX(Banco!$G:$G,ROW())="","",INDEX(Banco!$G:$G,ROW()))</f>
        <v/>
      </c>
      <c r="H651" s="8">
        <f>IF(INDEX(Banco!$H:$H,ROW())="","",INDEX(Banco!$H:$H,ROW()))</f>
        <v/>
      </c>
      <c r="I651">
        <f>IF($T651="","",INT($T651/12)&amp;"a "&amp;MOD($T651,12)&amp;"m")</f>
        <v/>
      </c>
      <c r="J651" s="11">
        <f>IF(OR($F651="",$G651=""),"",ROUND($F651/($G651/100)^2,2))</f>
        <v/>
      </c>
      <c r="K651" s="12">
        <f>IF(OR($S651="",$J651="",$T651="",$T651&lt;0,$T651&gt;228,$Y651=""),"—",ROUND(IF(ABS($AB651)&lt;=3,$AB651,IF($AB651&gt;3,3+($J651-$AD651)/($AD651-$AC651),-3+($J651-$AF651)/($AE651-$AF651))),2))</f>
        <v/>
      </c>
      <c r="L651">
        <f>IF(OR($K651="",$K651="—"),"",IF($T651&lt;=60,IF($K651&lt;-3,"Magreza acentuada",IF($K651&lt;-2,"Magreza",IF($K651&lt;=1,"Eutrofia",IF($K651&lt;=2,"Risco de sobrepeso",IF($K651&lt;=3,"Sobrepeso","Obesidade"))))),IF($K651&lt;-3,"Magreza acentuada",IF($K651&lt;-2,"Magreza",IF($K651&lt;=1,"Eutrofia",IF($K651&lt;=2,"Sobrepeso",IF($K651&lt;=3,"Obesidade","Obesidade grave")))))))</f>
        <v/>
      </c>
      <c r="M651" s="12">
        <f>IF(OR($S651="",$V651="",$T651="",$T651&lt;0,$T651&gt;228,$AG651=""),"—",ROUND(IF($AG651=0,LN($V651/$AH651)/$AI651,((($V651/$AH651)^$AG651)-1)/($AG651*$AI651)),2))</f>
        <v/>
      </c>
      <c r="N651">
        <f>IF(OR($M651="",$M651="—"),"",IF($M651&lt;-3,"Muito baixa",IF($M651&lt;-2,"Baixa","Adequada")))</f>
        <v/>
      </c>
      <c r="O651" s="12">
        <f>IF(OR($S651="",$F651="",$T651="",$T651&lt;0,$T651&gt;120,$AJ651=""),"—",ROUND(IF(ABS($AM651)&lt;=3,$AM651,IF($AM651&gt;3,3+($F651-$AO651)/($AO651-$AN651),-3+($F651-$AQ651)/($AP651-$AQ651))),2))</f>
        <v/>
      </c>
      <c r="P651">
        <f>IF(OR($O651="",$O651="—"),"",IF($O651&lt;-3,"Muito baixo",IF($O651&lt;-2,"Baixo",IF($O651&lt;=2,"Adequado","Elevado"))))</f>
        <v/>
      </c>
      <c r="Q651" s="12">
        <f>IF(OR($S651="",$F651="",$T651="",$T651&lt;0,$T651&gt;60,$AR651=""),"—",ROUND(IF(ABS($AU651)&lt;=3,$AU651,IF($AU651&gt;3,3+($F651-$AW651)/($AW651-$AV651),-3+($F651-$AY651)/($AX651-$AY651))),2))</f>
        <v/>
      </c>
      <c r="R651">
        <f>IF(OR($Q651="",$Q651="—"),"",IF($Q651&lt;-3,"Magreza acentuada",IF($Q651&lt;-2,"Magreza",IF($Q651&lt;=1,"Eutrofia",IF($Q651&lt;=2,"Risco de sobrepeso",IF($Q651&lt;=3,"Sobrepeso","Obesidade"))))))</f>
        <v/>
      </c>
      <c r="S651">
        <f>IF($C651="","",IF(UPPER(LEFT($C651,1))="M",1,IF(UPPER(LEFT($C651,1))="F",2,"")))</f>
        <v/>
      </c>
      <c r="T651">
        <f>IF(OR($D651="",$E651=""),"",DATEDIF($D651,$E651,"m"))</f>
        <v/>
      </c>
      <c r="U651">
        <f>IF(OR($D651="",$E651=""),"",$E651-$D651)</f>
        <v/>
      </c>
      <c r="V651">
        <f>IF(OR($G651="",$T651=""),"",IF($T651&lt;24,IF(LEFT(LOWER($H651),4)="em p",$G651+0.7,$G651),IF(LEFT(LOWER($H651),4)="deit",$G651-0.7,$G651)))</f>
        <v/>
      </c>
      <c r="W651">
        <f>IF(OR($S651="",$T651=""),"",$S651*1000000+IF($T651&lt;=60,$U651,$T651))</f>
        <v/>
      </c>
      <c r="X651">
        <f>IF(OR($S651="",$V651="",$T651&gt;60,$T651=""),"",$S651*1000000+ROUND($V651*10,0))</f>
        <v/>
      </c>
      <c r="Y651">
        <f>IF($W651="","",IFERROR(INDEX(IF($T651&lt;=60,imc05_l,imc519_l),MATCH($W651,IF($T651&lt;=60,imc05_k,imc519_k),1)),""))</f>
        <v/>
      </c>
      <c r="Z651">
        <f>IF($W651="","",IFERROR(INDEX(IF($T651&lt;=60,imc05_m,imc519_m),MATCH($W651,IF($T651&lt;=60,imc05_k,imc519_k),1)),""))</f>
        <v/>
      </c>
      <c r="AA651">
        <f>IF($W651="","",IFERROR(INDEX(IF($T651&lt;=60,imc05_s,imc519_s),MATCH($W651,IF($T651&lt;=60,imc05_k,imc519_k),1)),""))</f>
        <v/>
      </c>
      <c r="AB651">
        <f>IF($Y651="","",IF($Y651=0,LN($J651/$Z651)/$AA651,((($J651/$Z651)^$Y651)-1)/($Y651*$AA651)))</f>
        <v/>
      </c>
      <c r="AC651">
        <f>IF($Y651="","",IF($Y651=0,$Z651*EXP($AA651*2),$Z651*(1+$Y651*$AA651*2)^(1/$Y651)))</f>
        <v/>
      </c>
      <c r="AD651">
        <f>IF($Y651="","",IF($Y651=0,$Z651*EXP($AA651*3),$Z651*(1+$Y651*$AA651*3)^(1/$Y651)))</f>
        <v/>
      </c>
      <c r="AE651">
        <f>IF($Y651="","",IF($Y651=0,$Z651*EXP($AA651*-2),$Z651*(1+$Y651*$AA651*-2)^(1/$Y651)))</f>
        <v/>
      </c>
      <c r="AF651">
        <f>IF($Y651="","",IF($Y651=0,$Z651*EXP($AA651*-3),$Z651*(1+$Y651*$AA651*-3)^(1/$Y651)))</f>
        <v/>
      </c>
      <c r="AG651">
        <f>IF($W651="","",IFERROR(INDEX(IF($T651&lt;=60,est05_l,est519_l),MATCH($W651,IF($T651&lt;=60,est05_k,est519_k),1)),""))</f>
        <v/>
      </c>
      <c r="AH651">
        <f>IF($W651="","",IFERROR(INDEX(IF($T651&lt;=60,est05_m,est519_m),MATCH($W651,IF($T651&lt;=60,est05_k,est519_k),1)),""))</f>
        <v/>
      </c>
      <c r="AI651">
        <f>IF($W651="","",IFERROR(INDEX(IF($T651&lt;=60,est05_s,est519_s),MATCH($W651,IF($T651&lt;=60,est05_k,est519_k),1)),""))</f>
        <v/>
      </c>
      <c r="AJ651">
        <f>IF($W651="","",IFERROR(INDEX(IF($T651&lt;=60,peso05_l,peso510_l),MATCH($W651,IF($T651&lt;=60,peso05_k,peso510_k),1)),""))</f>
        <v/>
      </c>
      <c r="AK651">
        <f>IF($W651="","",IFERROR(INDEX(IF($T651&lt;=60,peso05_m,peso510_m),MATCH($W651,IF($T651&lt;=60,peso05_k,peso510_k),1)),""))</f>
        <v/>
      </c>
      <c r="AL651">
        <f>IF($W651="","",IFERROR(INDEX(IF($T651&lt;=60,peso05_s,peso510_s),MATCH($W651,IF($T651&lt;=60,peso05_k,peso510_k),1)),""))</f>
        <v/>
      </c>
      <c r="AM651">
        <f>IF($AJ651="","",IF($AJ651=0,LN($F651/$AK651)/$AL651,((($F651/$AK651)^$AJ651)-1)/($AJ651*$AL651)))</f>
        <v/>
      </c>
      <c r="AN651">
        <f>IF($AJ651="","",IF($AJ651=0,$AK651*EXP($AL651*2),$AK651*(1+$AJ651*$AL651*2)^(1/$AJ651)))</f>
        <v/>
      </c>
      <c r="AO651">
        <f>IF($AJ651="","",IF($AJ651=0,$AK651*EXP($AL651*3),$AK651*(1+$AJ651*$AL651*3)^(1/$AJ651)))</f>
        <v/>
      </c>
      <c r="AP651">
        <f>IF($AJ651="","",IF($AJ651=0,$AK651*EXP($AL651*-2),$AK651*(1+$AJ651*$AL651*-2)^(1/$AJ651)))</f>
        <v/>
      </c>
      <c r="AQ651">
        <f>IF($AJ651="","",IF($AJ651=0,$AK651*EXP($AL651*-3),$AK651*(1+$AJ651*$AL651*-3)^(1/$AJ651)))</f>
        <v/>
      </c>
      <c r="AR651">
        <f>IF(OR($X651="",$T651&gt;60),"",IFERROR(INDEX(IF($T651&lt;24,pcomp_l,palt_l),MATCH($X651,IF($T651&lt;24,pcomp_k,palt_k),1)),""))</f>
        <v/>
      </c>
      <c r="AS651">
        <f>IF(OR($X651="",$T651&gt;60),"",IFERROR(INDEX(IF($T651&lt;24,pcomp_m,palt_m),MATCH($X651,IF($T651&lt;24,pcomp_k,palt_k),1)),""))</f>
        <v/>
      </c>
      <c r="AT651">
        <f>IF(OR($X651="",$T651&gt;60),"",IFERROR(INDEX(IF($T651&lt;24,pcomp_s,palt_s),MATCH($X651,IF($T651&lt;24,pcomp_k,palt_k),1)),""))</f>
        <v/>
      </c>
      <c r="AU651">
        <f>IF($AR651="","",IF($AR651=0,LN($F651/$AS651)/$AT651,((($F651/$AS651)^$AR651)-1)/($AR651*$AT651)))</f>
        <v/>
      </c>
      <c r="AV651">
        <f>IF($AR651="","",IF($AR651=0,$AS651*EXP($AT651*2),$AS651*(1+$AR651*$AT651*2)^(1/$AR651)))</f>
        <v/>
      </c>
      <c r="AW651">
        <f>IF($AR651="","",IF($AR651=0,$AS651*EXP($AT651*3),$AS651*(1+$AR651*$AT651*3)^(1/$AR651)))</f>
        <v/>
      </c>
      <c r="AX651">
        <f>IF($AR651="","",IF($AR651=0,$AS651*EXP($AT651*-2),$AS651*(1+$AR651*$AT651*-2)^(1/$AR651)))</f>
        <v/>
      </c>
      <c r="AY651">
        <f>IF($AR651="","",IF($AR651=0,$AS651*EXP($AT651*-3),$AS651*(1+$AR651*$AT651*-3)^(1/$AR651)))</f>
        <v/>
      </c>
      <c r="AZ651">
        <f>IF(OR($A651="",$A651&lt;&gt;Ficha!$C$4),"",COUNTIF($A$2:$A651,Ficha!$C$4))</f>
        <v/>
      </c>
    </row>
    <row r="652">
      <c r="A652" s="8">
        <f>IF(INDEX(Banco!$A:$A,ROW())="","",INDEX(Banco!$A:$A,ROW()))</f>
        <v/>
      </c>
      <c r="B652" s="8">
        <f>IF(INDEX(Banco!$B:$B,ROW())="","",INDEX(Banco!$B:$B,ROW()))</f>
        <v/>
      </c>
      <c r="C652" s="8">
        <f>IF(INDEX(Banco!$C:$C,ROW())="","",INDEX(Banco!$C:$C,ROW()))</f>
        <v/>
      </c>
      <c r="D652" s="9">
        <f>IF(INDEX(Banco!$D:$D,ROW())="","",INDEX(Banco!$D:$D,ROW()))</f>
        <v/>
      </c>
      <c r="E652" s="9">
        <f>IF(INDEX(Banco!$E:$E,ROW())="","",INDEX(Banco!$E:$E,ROW()))</f>
        <v/>
      </c>
      <c r="F652" s="10">
        <f>IF(INDEX(Banco!$F:$F,ROW())="","",INDEX(Banco!$F:$F,ROW()))</f>
        <v/>
      </c>
      <c r="G652" s="10">
        <f>IF(INDEX(Banco!$G:$G,ROW())="","",INDEX(Banco!$G:$G,ROW()))</f>
        <v/>
      </c>
      <c r="H652" s="8">
        <f>IF(INDEX(Banco!$H:$H,ROW())="","",INDEX(Banco!$H:$H,ROW()))</f>
        <v/>
      </c>
      <c r="I652">
        <f>IF($T652="","",INT($T652/12)&amp;"a "&amp;MOD($T652,12)&amp;"m")</f>
        <v/>
      </c>
      <c r="J652" s="11">
        <f>IF(OR($F652="",$G652=""),"",ROUND($F652/($G652/100)^2,2))</f>
        <v/>
      </c>
      <c r="K652" s="12">
        <f>IF(OR($S652="",$J652="",$T652="",$T652&lt;0,$T652&gt;228,$Y652=""),"—",ROUND(IF(ABS($AB652)&lt;=3,$AB652,IF($AB652&gt;3,3+($J652-$AD652)/($AD652-$AC652),-3+($J652-$AF652)/($AE652-$AF652))),2))</f>
        <v/>
      </c>
      <c r="L652">
        <f>IF(OR($K652="",$K652="—"),"",IF($T652&lt;=60,IF($K652&lt;-3,"Magreza acentuada",IF($K652&lt;-2,"Magreza",IF($K652&lt;=1,"Eutrofia",IF($K652&lt;=2,"Risco de sobrepeso",IF($K652&lt;=3,"Sobrepeso","Obesidade"))))),IF($K652&lt;-3,"Magreza acentuada",IF($K652&lt;-2,"Magreza",IF($K652&lt;=1,"Eutrofia",IF($K652&lt;=2,"Sobrepeso",IF($K652&lt;=3,"Obesidade","Obesidade grave")))))))</f>
        <v/>
      </c>
      <c r="M652" s="12">
        <f>IF(OR($S652="",$V652="",$T652="",$T652&lt;0,$T652&gt;228,$AG652=""),"—",ROUND(IF($AG652=0,LN($V652/$AH652)/$AI652,((($V652/$AH652)^$AG652)-1)/($AG652*$AI652)),2))</f>
        <v/>
      </c>
      <c r="N652">
        <f>IF(OR($M652="",$M652="—"),"",IF($M652&lt;-3,"Muito baixa",IF($M652&lt;-2,"Baixa","Adequada")))</f>
        <v/>
      </c>
      <c r="O652" s="12">
        <f>IF(OR($S652="",$F652="",$T652="",$T652&lt;0,$T652&gt;120,$AJ652=""),"—",ROUND(IF(ABS($AM652)&lt;=3,$AM652,IF($AM652&gt;3,3+($F652-$AO652)/($AO652-$AN652),-3+($F652-$AQ652)/($AP652-$AQ652))),2))</f>
        <v/>
      </c>
      <c r="P652">
        <f>IF(OR($O652="",$O652="—"),"",IF($O652&lt;-3,"Muito baixo",IF($O652&lt;-2,"Baixo",IF($O652&lt;=2,"Adequado","Elevado"))))</f>
        <v/>
      </c>
      <c r="Q652" s="12">
        <f>IF(OR($S652="",$F652="",$T652="",$T652&lt;0,$T652&gt;60,$AR652=""),"—",ROUND(IF(ABS($AU652)&lt;=3,$AU652,IF($AU652&gt;3,3+($F652-$AW652)/($AW652-$AV652),-3+($F652-$AY652)/($AX652-$AY652))),2))</f>
        <v/>
      </c>
      <c r="R652">
        <f>IF(OR($Q652="",$Q652="—"),"",IF($Q652&lt;-3,"Magreza acentuada",IF($Q652&lt;-2,"Magreza",IF($Q652&lt;=1,"Eutrofia",IF($Q652&lt;=2,"Risco de sobrepeso",IF($Q652&lt;=3,"Sobrepeso","Obesidade"))))))</f>
        <v/>
      </c>
      <c r="S652">
        <f>IF($C652="","",IF(UPPER(LEFT($C652,1))="M",1,IF(UPPER(LEFT($C652,1))="F",2,"")))</f>
        <v/>
      </c>
      <c r="T652">
        <f>IF(OR($D652="",$E652=""),"",DATEDIF($D652,$E652,"m"))</f>
        <v/>
      </c>
      <c r="U652">
        <f>IF(OR($D652="",$E652=""),"",$E652-$D652)</f>
        <v/>
      </c>
      <c r="V652">
        <f>IF(OR($G652="",$T652=""),"",IF($T652&lt;24,IF(LEFT(LOWER($H652),4)="em p",$G652+0.7,$G652),IF(LEFT(LOWER($H652),4)="deit",$G652-0.7,$G652)))</f>
        <v/>
      </c>
      <c r="W652">
        <f>IF(OR($S652="",$T652=""),"",$S652*1000000+IF($T652&lt;=60,$U652,$T652))</f>
        <v/>
      </c>
      <c r="X652">
        <f>IF(OR($S652="",$V652="",$T652&gt;60,$T652=""),"",$S652*1000000+ROUND($V652*10,0))</f>
        <v/>
      </c>
      <c r="Y652">
        <f>IF($W652="","",IFERROR(INDEX(IF($T652&lt;=60,imc05_l,imc519_l),MATCH($W652,IF($T652&lt;=60,imc05_k,imc519_k),1)),""))</f>
        <v/>
      </c>
      <c r="Z652">
        <f>IF($W652="","",IFERROR(INDEX(IF($T652&lt;=60,imc05_m,imc519_m),MATCH($W652,IF($T652&lt;=60,imc05_k,imc519_k),1)),""))</f>
        <v/>
      </c>
      <c r="AA652">
        <f>IF($W652="","",IFERROR(INDEX(IF($T652&lt;=60,imc05_s,imc519_s),MATCH($W652,IF($T652&lt;=60,imc05_k,imc519_k),1)),""))</f>
        <v/>
      </c>
      <c r="AB652">
        <f>IF($Y652="","",IF($Y652=0,LN($J652/$Z652)/$AA652,((($J652/$Z652)^$Y652)-1)/($Y652*$AA652)))</f>
        <v/>
      </c>
      <c r="AC652">
        <f>IF($Y652="","",IF($Y652=0,$Z652*EXP($AA652*2),$Z652*(1+$Y652*$AA652*2)^(1/$Y652)))</f>
        <v/>
      </c>
      <c r="AD652">
        <f>IF($Y652="","",IF($Y652=0,$Z652*EXP($AA652*3),$Z652*(1+$Y652*$AA652*3)^(1/$Y652)))</f>
        <v/>
      </c>
      <c r="AE652">
        <f>IF($Y652="","",IF($Y652=0,$Z652*EXP($AA652*-2),$Z652*(1+$Y652*$AA652*-2)^(1/$Y652)))</f>
        <v/>
      </c>
      <c r="AF652">
        <f>IF($Y652="","",IF($Y652=0,$Z652*EXP($AA652*-3),$Z652*(1+$Y652*$AA652*-3)^(1/$Y652)))</f>
        <v/>
      </c>
      <c r="AG652">
        <f>IF($W652="","",IFERROR(INDEX(IF($T652&lt;=60,est05_l,est519_l),MATCH($W652,IF($T652&lt;=60,est05_k,est519_k),1)),""))</f>
        <v/>
      </c>
      <c r="AH652">
        <f>IF($W652="","",IFERROR(INDEX(IF($T652&lt;=60,est05_m,est519_m),MATCH($W652,IF($T652&lt;=60,est05_k,est519_k),1)),""))</f>
        <v/>
      </c>
      <c r="AI652">
        <f>IF($W652="","",IFERROR(INDEX(IF($T652&lt;=60,est05_s,est519_s),MATCH($W652,IF($T652&lt;=60,est05_k,est519_k),1)),""))</f>
        <v/>
      </c>
      <c r="AJ652">
        <f>IF($W652="","",IFERROR(INDEX(IF($T652&lt;=60,peso05_l,peso510_l),MATCH($W652,IF($T652&lt;=60,peso05_k,peso510_k),1)),""))</f>
        <v/>
      </c>
      <c r="AK652">
        <f>IF($W652="","",IFERROR(INDEX(IF($T652&lt;=60,peso05_m,peso510_m),MATCH($W652,IF($T652&lt;=60,peso05_k,peso510_k),1)),""))</f>
        <v/>
      </c>
      <c r="AL652">
        <f>IF($W652="","",IFERROR(INDEX(IF($T652&lt;=60,peso05_s,peso510_s),MATCH($W652,IF($T652&lt;=60,peso05_k,peso510_k),1)),""))</f>
        <v/>
      </c>
      <c r="AM652">
        <f>IF($AJ652="","",IF($AJ652=0,LN($F652/$AK652)/$AL652,((($F652/$AK652)^$AJ652)-1)/($AJ652*$AL652)))</f>
        <v/>
      </c>
      <c r="AN652">
        <f>IF($AJ652="","",IF($AJ652=0,$AK652*EXP($AL652*2),$AK652*(1+$AJ652*$AL652*2)^(1/$AJ652)))</f>
        <v/>
      </c>
      <c r="AO652">
        <f>IF($AJ652="","",IF($AJ652=0,$AK652*EXP($AL652*3),$AK652*(1+$AJ652*$AL652*3)^(1/$AJ652)))</f>
        <v/>
      </c>
      <c r="AP652">
        <f>IF($AJ652="","",IF($AJ652=0,$AK652*EXP($AL652*-2),$AK652*(1+$AJ652*$AL652*-2)^(1/$AJ652)))</f>
        <v/>
      </c>
      <c r="AQ652">
        <f>IF($AJ652="","",IF($AJ652=0,$AK652*EXP($AL652*-3),$AK652*(1+$AJ652*$AL652*-3)^(1/$AJ652)))</f>
        <v/>
      </c>
      <c r="AR652">
        <f>IF(OR($X652="",$T652&gt;60),"",IFERROR(INDEX(IF($T652&lt;24,pcomp_l,palt_l),MATCH($X652,IF($T652&lt;24,pcomp_k,palt_k),1)),""))</f>
        <v/>
      </c>
      <c r="AS652">
        <f>IF(OR($X652="",$T652&gt;60),"",IFERROR(INDEX(IF($T652&lt;24,pcomp_m,palt_m),MATCH($X652,IF($T652&lt;24,pcomp_k,palt_k),1)),""))</f>
        <v/>
      </c>
      <c r="AT652">
        <f>IF(OR($X652="",$T652&gt;60),"",IFERROR(INDEX(IF($T652&lt;24,pcomp_s,palt_s),MATCH($X652,IF($T652&lt;24,pcomp_k,palt_k),1)),""))</f>
        <v/>
      </c>
      <c r="AU652">
        <f>IF($AR652="","",IF($AR652=0,LN($F652/$AS652)/$AT652,((($F652/$AS652)^$AR652)-1)/($AR652*$AT652)))</f>
        <v/>
      </c>
      <c r="AV652">
        <f>IF($AR652="","",IF($AR652=0,$AS652*EXP($AT652*2),$AS652*(1+$AR652*$AT652*2)^(1/$AR652)))</f>
        <v/>
      </c>
      <c r="AW652">
        <f>IF($AR652="","",IF($AR652=0,$AS652*EXP($AT652*3),$AS652*(1+$AR652*$AT652*3)^(1/$AR652)))</f>
        <v/>
      </c>
      <c r="AX652">
        <f>IF($AR652="","",IF($AR652=0,$AS652*EXP($AT652*-2),$AS652*(1+$AR652*$AT652*-2)^(1/$AR652)))</f>
        <v/>
      </c>
      <c r="AY652">
        <f>IF($AR652="","",IF($AR652=0,$AS652*EXP($AT652*-3),$AS652*(1+$AR652*$AT652*-3)^(1/$AR652)))</f>
        <v/>
      </c>
      <c r="AZ652">
        <f>IF(OR($A652="",$A652&lt;&gt;Ficha!$C$4),"",COUNTIF($A$2:$A652,Ficha!$C$4))</f>
        <v/>
      </c>
    </row>
    <row r="653">
      <c r="A653" s="8">
        <f>IF(INDEX(Banco!$A:$A,ROW())="","",INDEX(Banco!$A:$A,ROW()))</f>
        <v/>
      </c>
      <c r="B653" s="8">
        <f>IF(INDEX(Banco!$B:$B,ROW())="","",INDEX(Banco!$B:$B,ROW()))</f>
        <v/>
      </c>
      <c r="C653" s="8">
        <f>IF(INDEX(Banco!$C:$C,ROW())="","",INDEX(Banco!$C:$C,ROW()))</f>
        <v/>
      </c>
      <c r="D653" s="9">
        <f>IF(INDEX(Banco!$D:$D,ROW())="","",INDEX(Banco!$D:$D,ROW()))</f>
        <v/>
      </c>
      <c r="E653" s="9">
        <f>IF(INDEX(Banco!$E:$E,ROW())="","",INDEX(Banco!$E:$E,ROW()))</f>
        <v/>
      </c>
      <c r="F653" s="10">
        <f>IF(INDEX(Banco!$F:$F,ROW())="","",INDEX(Banco!$F:$F,ROW()))</f>
        <v/>
      </c>
      <c r="G653" s="10">
        <f>IF(INDEX(Banco!$G:$G,ROW())="","",INDEX(Banco!$G:$G,ROW()))</f>
        <v/>
      </c>
      <c r="H653" s="8">
        <f>IF(INDEX(Banco!$H:$H,ROW())="","",INDEX(Banco!$H:$H,ROW()))</f>
        <v/>
      </c>
      <c r="I653">
        <f>IF($T653="","",INT($T653/12)&amp;"a "&amp;MOD($T653,12)&amp;"m")</f>
        <v/>
      </c>
      <c r="J653" s="11">
        <f>IF(OR($F653="",$G653=""),"",ROUND($F653/($G653/100)^2,2))</f>
        <v/>
      </c>
      <c r="K653" s="12">
        <f>IF(OR($S653="",$J653="",$T653="",$T653&lt;0,$T653&gt;228,$Y653=""),"—",ROUND(IF(ABS($AB653)&lt;=3,$AB653,IF($AB653&gt;3,3+($J653-$AD653)/($AD653-$AC653),-3+($J653-$AF653)/($AE653-$AF653))),2))</f>
        <v/>
      </c>
      <c r="L653">
        <f>IF(OR($K653="",$K653="—"),"",IF($T653&lt;=60,IF($K653&lt;-3,"Magreza acentuada",IF($K653&lt;-2,"Magreza",IF($K653&lt;=1,"Eutrofia",IF($K653&lt;=2,"Risco de sobrepeso",IF($K653&lt;=3,"Sobrepeso","Obesidade"))))),IF($K653&lt;-3,"Magreza acentuada",IF($K653&lt;-2,"Magreza",IF($K653&lt;=1,"Eutrofia",IF($K653&lt;=2,"Sobrepeso",IF($K653&lt;=3,"Obesidade","Obesidade grave")))))))</f>
        <v/>
      </c>
      <c r="M653" s="12">
        <f>IF(OR($S653="",$V653="",$T653="",$T653&lt;0,$T653&gt;228,$AG653=""),"—",ROUND(IF($AG653=0,LN($V653/$AH653)/$AI653,((($V653/$AH653)^$AG653)-1)/($AG653*$AI653)),2))</f>
        <v/>
      </c>
      <c r="N653">
        <f>IF(OR($M653="",$M653="—"),"",IF($M653&lt;-3,"Muito baixa",IF($M653&lt;-2,"Baixa","Adequada")))</f>
        <v/>
      </c>
      <c r="O653" s="12">
        <f>IF(OR($S653="",$F653="",$T653="",$T653&lt;0,$T653&gt;120,$AJ653=""),"—",ROUND(IF(ABS($AM653)&lt;=3,$AM653,IF($AM653&gt;3,3+($F653-$AO653)/($AO653-$AN653),-3+($F653-$AQ653)/($AP653-$AQ653))),2))</f>
        <v/>
      </c>
      <c r="P653">
        <f>IF(OR($O653="",$O653="—"),"",IF($O653&lt;-3,"Muito baixo",IF($O653&lt;-2,"Baixo",IF($O653&lt;=2,"Adequado","Elevado"))))</f>
        <v/>
      </c>
      <c r="Q653" s="12">
        <f>IF(OR($S653="",$F653="",$T653="",$T653&lt;0,$T653&gt;60,$AR653=""),"—",ROUND(IF(ABS($AU653)&lt;=3,$AU653,IF($AU653&gt;3,3+($F653-$AW653)/($AW653-$AV653),-3+($F653-$AY653)/($AX653-$AY653))),2))</f>
        <v/>
      </c>
      <c r="R653">
        <f>IF(OR($Q653="",$Q653="—"),"",IF($Q653&lt;-3,"Magreza acentuada",IF($Q653&lt;-2,"Magreza",IF($Q653&lt;=1,"Eutrofia",IF($Q653&lt;=2,"Risco de sobrepeso",IF($Q653&lt;=3,"Sobrepeso","Obesidade"))))))</f>
        <v/>
      </c>
      <c r="S653">
        <f>IF($C653="","",IF(UPPER(LEFT($C653,1))="M",1,IF(UPPER(LEFT($C653,1))="F",2,"")))</f>
        <v/>
      </c>
      <c r="T653">
        <f>IF(OR($D653="",$E653=""),"",DATEDIF($D653,$E653,"m"))</f>
        <v/>
      </c>
      <c r="U653">
        <f>IF(OR($D653="",$E653=""),"",$E653-$D653)</f>
        <v/>
      </c>
      <c r="V653">
        <f>IF(OR($G653="",$T653=""),"",IF($T653&lt;24,IF(LEFT(LOWER($H653),4)="em p",$G653+0.7,$G653),IF(LEFT(LOWER($H653),4)="deit",$G653-0.7,$G653)))</f>
        <v/>
      </c>
      <c r="W653">
        <f>IF(OR($S653="",$T653=""),"",$S653*1000000+IF($T653&lt;=60,$U653,$T653))</f>
        <v/>
      </c>
      <c r="X653">
        <f>IF(OR($S653="",$V653="",$T653&gt;60,$T653=""),"",$S653*1000000+ROUND($V653*10,0))</f>
        <v/>
      </c>
      <c r="Y653">
        <f>IF($W653="","",IFERROR(INDEX(IF($T653&lt;=60,imc05_l,imc519_l),MATCH($W653,IF($T653&lt;=60,imc05_k,imc519_k),1)),""))</f>
        <v/>
      </c>
      <c r="Z653">
        <f>IF($W653="","",IFERROR(INDEX(IF($T653&lt;=60,imc05_m,imc519_m),MATCH($W653,IF($T653&lt;=60,imc05_k,imc519_k),1)),""))</f>
        <v/>
      </c>
      <c r="AA653">
        <f>IF($W653="","",IFERROR(INDEX(IF($T653&lt;=60,imc05_s,imc519_s),MATCH($W653,IF($T653&lt;=60,imc05_k,imc519_k),1)),""))</f>
        <v/>
      </c>
      <c r="AB653">
        <f>IF($Y653="","",IF($Y653=0,LN($J653/$Z653)/$AA653,((($J653/$Z653)^$Y653)-1)/($Y653*$AA653)))</f>
        <v/>
      </c>
      <c r="AC653">
        <f>IF($Y653="","",IF($Y653=0,$Z653*EXP($AA653*2),$Z653*(1+$Y653*$AA653*2)^(1/$Y653)))</f>
        <v/>
      </c>
      <c r="AD653">
        <f>IF($Y653="","",IF($Y653=0,$Z653*EXP($AA653*3),$Z653*(1+$Y653*$AA653*3)^(1/$Y653)))</f>
        <v/>
      </c>
      <c r="AE653">
        <f>IF($Y653="","",IF($Y653=0,$Z653*EXP($AA653*-2),$Z653*(1+$Y653*$AA653*-2)^(1/$Y653)))</f>
        <v/>
      </c>
      <c r="AF653">
        <f>IF($Y653="","",IF($Y653=0,$Z653*EXP($AA653*-3),$Z653*(1+$Y653*$AA653*-3)^(1/$Y653)))</f>
        <v/>
      </c>
      <c r="AG653">
        <f>IF($W653="","",IFERROR(INDEX(IF($T653&lt;=60,est05_l,est519_l),MATCH($W653,IF($T653&lt;=60,est05_k,est519_k),1)),""))</f>
        <v/>
      </c>
      <c r="AH653">
        <f>IF($W653="","",IFERROR(INDEX(IF($T653&lt;=60,est05_m,est519_m),MATCH($W653,IF($T653&lt;=60,est05_k,est519_k),1)),""))</f>
        <v/>
      </c>
      <c r="AI653">
        <f>IF($W653="","",IFERROR(INDEX(IF($T653&lt;=60,est05_s,est519_s),MATCH($W653,IF($T653&lt;=60,est05_k,est519_k),1)),""))</f>
        <v/>
      </c>
      <c r="AJ653">
        <f>IF($W653="","",IFERROR(INDEX(IF($T653&lt;=60,peso05_l,peso510_l),MATCH($W653,IF($T653&lt;=60,peso05_k,peso510_k),1)),""))</f>
        <v/>
      </c>
      <c r="AK653">
        <f>IF($W653="","",IFERROR(INDEX(IF($T653&lt;=60,peso05_m,peso510_m),MATCH($W653,IF($T653&lt;=60,peso05_k,peso510_k),1)),""))</f>
        <v/>
      </c>
      <c r="AL653">
        <f>IF($W653="","",IFERROR(INDEX(IF($T653&lt;=60,peso05_s,peso510_s),MATCH($W653,IF($T653&lt;=60,peso05_k,peso510_k),1)),""))</f>
        <v/>
      </c>
      <c r="AM653">
        <f>IF($AJ653="","",IF($AJ653=0,LN($F653/$AK653)/$AL653,((($F653/$AK653)^$AJ653)-1)/($AJ653*$AL653)))</f>
        <v/>
      </c>
      <c r="AN653">
        <f>IF($AJ653="","",IF($AJ653=0,$AK653*EXP($AL653*2),$AK653*(1+$AJ653*$AL653*2)^(1/$AJ653)))</f>
        <v/>
      </c>
      <c r="AO653">
        <f>IF($AJ653="","",IF($AJ653=0,$AK653*EXP($AL653*3),$AK653*(1+$AJ653*$AL653*3)^(1/$AJ653)))</f>
        <v/>
      </c>
      <c r="AP653">
        <f>IF($AJ653="","",IF($AJ653=0,$AK653*EXP($AL653*-2),$AK653*(1+$AJ653*$AL653*-2)^(1/$AJ653)))</f>
        <v/>
      </c>
      <c r="AQ653">
        <f>IF($AJ653="","",IF($AJ653=0,$AK653*EXP($AL653*-3),$AK653*(1+$AJ653*$AL653*-3)^(1/$AJ653)))</f>
        <v/>
      </c>
      <c r="AR653">
        <f>IF(OR($X653="",$T653&gt;60),"",IFERROR(INDEX(IF($T653&lt;24,pcomp_l,palt_l),MATCH($X653,IF($T653&lt;24,pcomp_k,palt_k),1)),""))</f>
        <v/>
      </c>
      <c r="AS653">
        <f>IF(OR($X653="",$T653&gt;60),"",IFERROR(INDEX(IF($T653&lt;24,pcomp_m,palt_m),MATCH($X653,IF($T653&lt;24,pcomp_k,palt_k),1)),""))</f>
        <v/>
      </c>
      <c r="AT653">
        <f>IF(OR($X653="",$T653&gt;60),"",IFERROR(INDEX(IF($T653&lt;24,pcomp_s,palt_s),MATCH($X653,IF($T653&lt;24,pcomp_k,palt_k),1)),""))</f>
        <v/>
      </c>
      <c r="AU653">
        <f>IF($AR653="","",IF($AR653=0,LN($F653/$AS653)/$AT653,((($F653/$AS653)^$AR653)-1)/($AR653*$AT653)))</f>
        <v/>
      </c>
      <c r="AV653">
        <f>IF($AR653="","",IF($AR653=0,$AS653*EXP($AT653*2),$AS653*(1+$AR653*$AT653*2)^(1/$AR653)))</f>
        <v/>
      </c>
      <c r="AW653">
        <f>IF($AR653="","",IF($AR653=0,$AS653*EXP($AT653*3),$AS653*(1+$AR653*$AT653*3)^(1/$AR653)))</f>
        <v/>
      </c>
      <c r="AX653">
        <f>IF($AR653="","",IF($AR653=0,$AS653*EXP($AT653*-2),$AS653*(1+$AR653*$AT653*-2)^(1/$AR653)))</f>
        <v/>
      </c>
      <c r="AY653">
        <f>IF($AR653="","",IF($AR653=0,$AS653*EXP($AT653*-3),$AS653*(1+$AR653*$AT653*-3)^(1/$AR653)))</f>
        <v/>
      </c>
      <c r="AZ653">
        <f>IF(OR($A653="",$A653&lt;&gt;Ficha!$C$4),"",COUNTIF($A$2:$A653,Ficha!$C$4))</f>
        <v/>
      </c>
    </row>
    <row r="654">
      <c r="A654" s="8">
        <f>IF(INDEX(Banco!$A:$A,ROW())="","",INDEX(Banco!$A:$A,ROW()))</f>
        <v/>
      </c>
      <c r="B654" s="8">
        <f>IF(INDEX(Banco!$B:$B,ROW())="","",INDEX(Banco!$B:$B,ROW()))</f>
        <v/>
      </c>
      <c r="C654" s="8">
        <f>IF(INDEX(Banco!$C:$C,ROW())="","",INDEX(Banco!$C:$C,ROW()))</f>
        <v/>
      </c>
      <c r="D654" s="9">
        <f>IF(INDEX(Banco!$D:$D,ROW())="","",INDEX(Banco!$D:$D,ROW()))</f>
        <v/>
      </c>
      <c r="E654" s="9">
        <f>IF(INDEX(Banco!$E:$E,ROW())="","",INDEX(Banco!$E:$E,ROW()))</f>
        <v/>
      </c>
      <c r="F654" s="10">
        <f>IF(INDEX(Banco!$F:$F,ROW())="","",INDEX(Banco!$F:$F,ROW()))</f>
        <v/>
      </c>
      <c r="G654" s="10">
        <f>IF(INDEX(Banco!$G:$G,ROW())="","",INDEX(Banco!$G:$G,ROW()))</f>
        <v/>
      </c>
      <c r="H654" s="8">
        <f>IF(INDEX(Banco!$H:$H,ROW())="","",INDEX(Banco!$H:$H,ROW()))</f>
        <v/>
      </c>
      <c r="I654">
        <f>IF($T654="","",INT($T654/12)&amp;"a "&amp;MOD($T654,12)&amp;"m")</f>
        <v/>
      </c>
      <c r="J654" s="11">
        <f>IF(OR($F654="",$G654=""),"",ROUND($F654/($G654/100)^2,2))</f>
        <v/>
      </c>
      <c r="K654" s="12">
        <f>IF(OR($S654="",$J654="",$T654="",$T654&lt;0,$T654&gt;228,$Y654=""),"—",ROUND(IF(ABS($AB654)&lt;=3,$AB654,IF($AB654&gt;3,3+($J654-$AD654)/($AD654-$AC654),-3+($J654-$AF654)/($AE654-$AF654))),2))</f>
        <v/>
      </c>
      <c r="L654">
        <f>IF(OR($K654="",$K654="—"),"",IF($T654&lt;=60,IF($K654&lt;-3,"Magreza acentuada",IF($K654&lt;-2,"Magreza",IF($K654&lt;=1,"Eutrofia",IF($K654&lt;=2,"Risco de sobrepeso",IF($K654&lt;=3,"Sobrepeso","Obesidade"))))),IF($K654&lt;-3,"Magreza acentuada",IF($K654&lt;-2,"Magreza",IF($K654&lt;=1,"Eutrofia",IF($K654&lt;=2,"Sobrepeso",IF($K654&lt;=3,"Obesidade","Obesidade grave")))))))</f>
        <v/>
      </c>
      <c r="M654" s="12">
        <f>IF(OR($S654="",$V654="",$T654="",$T654&lt;0,$T654&gt;228,$AG654=""),"—",ROUND(IF($AG654=0,LN($V654/$AH654)/$AI654,((($V654/$AH654)^$AG654)-1)/($AG654*$AI654)),2))</f>
        <v/>
      </c>
      <c r="N654">
        <f>IF(OR($M654="",$M654="—"),"",IF($M654&lt;-3,"Muito baixa",IF($M654&lt;-2,"Baixa","Adequada")))</f>
        <v/>
      </c>
      <c r="O654" s="12">
        <f>IF(OR($S654="",$F654="",$T654="",$T654&lt;0,$T654&gt;120,$AJ654=""),"—",ROUND(IF(ABS($AM654)&lt;=3,$AM654,IF($AM654&gt;3,3+($F654-$AO654)/($AO654-$AN654),-3+($F654-$AQ654)/($AP654-$AQ654))),2))</f>
        <v/>
      </c>
      <c r="P654">
        <f>IF(OR($O654="",$O654="—"),"",IF($O654&lt;-3,"Muito baixo",IF($O654&lt;-2,"Baixo",IF($O654&lt;=2,"Adequado","Elevado"))))</f>
        <v/>
      </c>
      <c r="Q654" s="12">
        <f>IF(OR($S654="",$F654="",$T654="",$T654&lt;0,$T654&gt;60,$AR654=""),"—",ROUND(IF(ABS($AU654)&lt;=3,$AU654,IF($AU654&gt;3,3+($F654-$AW654)/($AW654-$AV654),-3+($F654-$AY654)/($AX654-$AY654))),2))</f>
        <v/>
      </c>
      <c r="R654">
        <f>IF(OR($Q654="",$Q654="—"),"",IF($Q654&lt;-3,"Magreza acentuada",IF($Q654&lt;-2,"Magreza",IF($Q654&lt;=1,"Eutrofia",IF($Q654&lt;=2,"Risco de sobrepeso",IF($Q654&lt;=3,"Sobrepeso","Obesidade"))))))</f>
        <v/>
      </c>
      <c r="S654">
        <f>IF($C654="","",IF(UPPER(LEFT($C654,1))="M",1,IF(UPPER(LEFT($C654,1))="F",2,"")))</f>
        <v/>
      </c>
      <c r="T654">
        <f>IF(OR($D654="",$E654=""),"",DATEDIF($D654,$E654,"m"))</f>
        <v/>
      </c>
      <c r="U654">
        <f>IF(OR($D654="",$E654=""),"",$E654-$D654)</f>
        <v/>
      </c>
      <c r="V654">
        <f>IF(OR($G654="",$T654=""),"",IF($T654&lt;24,IF(LEFT(LOWER($H654),4)="em p",$G654+0.7,$G654),IF(LEFT(LOWER($H654),4)="deit",$G654-0.7,$G654)))</f>
        <v/>
      </c>
      <c r="W654">
        <f>IF(OR($S654="",$T654=""),"",$S654*1000000+IF($T654&lt;=60,$U654,$T654))</f>
        <v/>
      </c>
      <c r="X654">
        <f>IF(OR($S654="",$V654="",$T654&gt;60,$T654=""),"",$S654*1000000+ROUND($V654*10,0))</f>
        <v/>
      </c>
      <c r="Y654">
        <f>IF($W654="","",IFERROR(INDEX(IF($T654&lt;=60,imc05_l,imc519_l),MATCH($W654,IF($T654&lt;=60,imc05_k,imc519_k),1)),""))</f>
        <v/>
      </c>
      <c r="Z654">
        <f>IF($W654="","",IFERROR(INDEX(IF($T654&lt;=60,imc05_m,imc519_m),MATCH($W654,IF($T654&lt;=60,imc05_k,imc519_k),1)),""))</f>
        <v/>
      </c>
      <c r="AA654">
        <f>IF($W654="","",IFERROR(INDEX(IF($T654&lt;=60,imc05_s,imc519_s),MATCH($W654,IF($T654&lt;=60,imc05_k,imc519_k),1)),""))</f>
        <v/>
      </c>
      <c r="AB654">
        <f>IF($Y654="","",IF($Y654=0,LN($J654/$Z654)/$AA654,((($J654/$Z654)^$Y654)-1)/($Y654*$AA654)))</f>
        <v/>
      </c>
      <c r="AC654">
        <f>IF($Y654="","",IF($Y654=0,$Z654*EXP($AA654*2),$Z654*(1+$Y654*$AA654*2)^(1/$Y654)))</f>
        <v/>
      </c>
      <c r="AD654">
        <f>IF($Y654="","",IF($Y654=0,$Z654*EXP($AA654*3),$Z654*(1+$Y654*$AA654*3)^(1/$Y654)))</f>
        <v/>
      </c>
      <c r="AE654">
        <f>IF($Y654="","",IF($Y654=0,$Z654*EXP($AA654*-2),$Z654*(1+$Y654*$AA654*-2)^(1/$Y654)))</f>
        <v/>
      </c>
      <c r="AF654">
        <f>IF($Y654="","",IF($Y654=0,$Z654*EXP($AA654*-3),$Z654*(1+$Y654*$AA654*-3)^(1/$Y654)))</f>
        <v/>
      </c>
      <c r="AG654">
        <f>IF($W654="","",IFERROR(INDEX(IF($T654&lt;=60,est05_l,est519_l),MATCH($W654,IF($T654&lt;=60,est05_k,est519_k),1)),""))</f>
        <v/>
      </c>
      <c r="AH654">
        <f>IF($W654="","",IFERROR(INDEX(IF($T654&lt;=60,est05_m,est519_m),MATCH($W654,IF($T654&lt;=60,est05_k,est519_k),1)),""))</f>
        <v/>
      </c>
      <c r="AI654">
        <f>IF($W654="","",IFERROR(INDEX(IF($T654&lt;=60,est05_s,est519_s),MATCH($W654,IF($T654&lt;=60,est05_k,est519_k),1)),""))</f>
        <v/>
      </c>
      <c r="AJ654">
        <f>IF($W654="","",IFERROR(INDEX(IF($T654&lt;=60,peso05_l,peso510_l),MATCH($W654,IF($T654&lt;=60,peso05_k,peso510_k),1)),""))</f>
        <v/>
      </c>
      <c r="AK654">
        <f>IF($W654="","",IFERROR(INDEX(IF($T654&lt;=60,peso05_m,peso510_m),MATCH($W654,IF($T654&lt;=60,peso05_k,peso510_k),1)),""))</f>
        <v/>
      </c>
      <c r="AL654">
        <f>IF($W654="","",IFERROR(INDEX(IF($T654&lt;=60,peso05_s,peso510_s),MATCH($W654,IF($T654&lt;=60,peso05_k,peso510_k),1)),""))</f>
        <v/>
      </c>
      <c r="AM654">
        <f>IF($AJ654="","",IF($AJ654=0,LN($F654/$AK654)/$AL654,((($F654/$AK654)^$AJ654)-1)/($AJ654*$AL654)))</f>
        <v/>
      </c>
      <c r="AN654">
        <f>IF($AJ654="","",IF($AJ654=0,$AK654*EXP($AL654*2),$AK654*(1+$AJ654*$AL654*2)^(1/$AJ654)))</f>
        <v/>
      </c>
      <c r="AO654">
        <f>IF($AJ654="","",IF($AJ654=0,$AK654*EXP($AL654*3),$AK654*(1+$AJ654*$AL654*3)^(1/$AJ654)))</f>
        <v/>
      </c>
      <c r="AP654">
        <f>IF($AJ654="","",IF($AJ654=0,$AK654*EXP($AL654*-2),$AK654*(1+$AJ654*$AL654*-2)^(1/$AJ654)))</f>
        <v/>
      </c>
      <c r="AQ654">
        <f>IF($AJ654="","",IF($AJ654=0,$AK654*EXP($AL654*-3),$AK654*(1+$AJ654*$AL654*-3)^(1/$AJ654)))</f>
        <v/>
      </c>
      <c r="AR654">
        <f>IF(OR($X654="",$T654&gt;60),"",IFERROR(INDEX(IF($T654&lt;24,pcomp_l,palt_l),MATCH($X654,IF($T654&lt;24,pcomp_k,palt_k),1)),""))</f>
        <v/>
      </c>
      <c r="AS654">
        <f>IF(OR($X654="",$T654&gt;60),"",IFERROR(INDEX(IF($T654&lt;24,pcomp_m,palt_m),MATCH($X654,IF($T654&lt;24,pcomp_k,palt_k),1)),""))</f>
        <v/>
      </c>
      <c r="AT654">
        <f>IF(OR($X654="",$T654&gt;60),"",IFERROR(INDEX(IF($T654&lt;24,pcomp_s,palt_s),MATCH($X654,IF($T654&lt;24,pcomp_k,palt_k),1)),""))</f>
        <v/>
      </c>
      <c r="AU654">
        <f>IF($AR654="","",IF($AR654=0,LN($F654/$AS654)/$AT654,((($F654/$AS654)^$AR654)-1)/($AR654*$AT654)))</f>
        <v/>
      </c>
      <c r="AV654">
        <f>IF($AR654="","",IF($AR654=0,$AS654*EXP($AT654*2),$AS654*(1+$AR654*$AT654*2)^(1/$AR654)))</f>
        <v/>
      </c>
      <c r="AW654">
        <f>IF($AR654="","",IF($AR654=0,$AS654*EXP($AT654*3),$AS654*(1+$AR654*$AT654*3)^(1/$AR654)))</f>
        <v/>
      </c>
      <c r="AX654">
        <f>IF($AR654="","",IF($AR654=0,$AS654*EXP($AT654*-2),$AS654*(1+$AR654*$AT654*-2)^(1/$AR654)))</f>
        <v/>
      </c>
      <c r="AY654">
        <f>IF($AR654="","",IF($AR654=0,$AS654*EXP($AT654*-3),$AS654*(1+$AR654*$AT654*-3)^(1/$AR654)))</f>
        <v/>
      </c>
      <c r="AZ654">
        <f>IF(OR($A654="",$A654&lt;&gt;Ficha!$C$4),"",COUNTIF($A$2:$A654,Ficha!$C$4))</f>
        <v/>
      </c>
    </row>
    <row r="655">
      <c r="A655" s="8">
        <f>IF(INDEX(Banco!$A:$A,ROW())="","",INDEX(Banco!$A:$A,ROW()))</f>
        <v/>
      </c>
      <c r="B655" s="8">
        <f>IF(INDEX(Banco!$B:$B,ROW())="","",INDEX(Banco!$B:$B,ROW()))</f>
        <v/>
      </c>
      <c r="C655" s="8">
        <f>IF(INDEX(Banco!$C:$C,ROW())="","",INDEX(Banco!$C:$C,ROW()))</f>
        <v/>
      </c>
      <c r="D655" s="9">
        <f>IF(INDEX(Banco!$D:$D,ROW())="","",INDEX(Banco!$D:$D,ROW()))</f>
        <v/>
      </c>
      <c r="E655" s="9">
        <f>IF(INDEX(Banco!$E:$E,ROW())="","",INDEX(Banco!$E:$E,ROW()))</f>
        <v/>
      </c>
      <c r="F655" s="10">
        <f>IF(INDEX(Banco!$F:$F,ROW())="","",INDEX(Banco!$F:$F,ROW()))</f>
        <v/>
      </c>
      <c r="G655" s="10">
        <f>IF(INDEX(Banco!$G:$G,ROW())="","",INDEX(Banco!$G:$G,ROW()))</f>
        <v/>
      </c>
      <c r="H655" s="8">
        <f>IF(INDEX(Banco!$H:$H,ROW())="","",INDEX(Banco!$H:$H,ROW()))</f>
        <v/>
      </c>
      <c r="I655">
        <f>IF($T655="","",INT($T655/12)&amp;"a "&amp;MOD($T655,12)&amp;"m")</f>
        <v/>
      </c>
      <c r="J655" s="11">
        <f>IF(OR($F655="",$G655=""),"",ROUND($F655/($G655/100)^2,2))</f>
        <v/>
      </c>
      <c r="K655" s="12">
        <f>IF(OR($S655="",$J655="",$T655="",$T655&lt;0,$T655&gt;228,$Y655=""),"—",ROUND(IF(ABS($AB655)&lt;=3,$AB655,IF($AB655&gt;3,3+($J655-$AD655)/($AD655-$AC655),-3+($J655-$AF655)/($AE655-$AF655))),2))</f>
        <v/>
      </c>
      <c r="L655">
        <f>IF(OR($K655="",$K655="—"),"",IF($T655&lt;=60,IF($K655&lt;-3,"Magreza acentuada",IF($K655&lt;-2,"Magreza",IF($K655&lt;=1,"Eutrofia",IF($K655&lt;=2,"Risco de sobrepeso",IF($K655&lt;=3,"Sobrepeso","Obesidade"))))),IF($K655&lt;-3,"Magreza acentuada",IF($K655&lt;-2,"Magreza",IF($K655&lt;=1,"Eutrofia",IF($K655&lt;=2,"Sobrepeso",IF($K655&lt;=3,"Obesidade","Obesidade grave")))))))</f>
        <v/>
      </c>
      <c r="M655" s="12">
        <f>IF(OR($S655="",$V655="",$T655="",$T655&lt;0,$T655&gt;228,$AG655=""),"—",ROUND(IF($AG655=0,LN($V655/$AH655)/$AI655,((($V655/$AH655)^$AG655)-1)/($AG655*$AI655)),2))</f>
        <v/>
      </c>
      <c r="N655">
        <f>IF(OR($M655="",$M655="—"),"",IF($M655&lt;-3,"Muito baixa",IF($M655&lt;-2,"Baixa","Adequada")))</f>
        <v/>
      </c>
      <c r="O655" s="12">
        <f>IF(OR($S655="",$F655="",$T655="",$T655&lt;0,$T655&gt;120,$AJ655=""),"—",ROUND(IF(ABS($AM655)&lt;=3,$AM655,IF($AM655&gt;3,3+($F655-$AO655)/($AO655-$AN655),-3+($F655-$AQ655)/($AP655-$AQ655))),2))</f>
        <v/>
      </c>
      <c r="P655">
        <f>IF(OR($O655="",$O655="—"),"",IF($O655&lt;-3,"Muito baixo",IF($O655&lt;-2,"Baixo",IF($O655&lt;=2,"Adequado","Elevado"))))</f>
        <v/>
      </c>
      <c r="Q655" s="12">
        <f>IF(OR($S655="",$F655="",$T655="",$T655&lt;0,$T655&gt;60,$AR655=""),"—",ROUND(IF(ABS($AU655)&lt;=3,$AU655,IF($AU655&gt;3,3+($F655-$AW655)/($AW655-$AV655),-3+($F655-$AY655)/($AX655-$AY655))),2))</f>
        <v/>
      </c>
      <c r="R655">
        <f>IF(OR($Q655="",$Q655="—"),"",IF($Q655&lt;-3,"Magreza acentuada",IF($Q655&lt;-2,"Magreza",IF($Q655&lt;=1,"Eutrofia",IF($Q655&lt;=2,"Risco de sobrepeso",IF($Q655&lt;=3,"Sobrepeso","Obesidade"))))))</f>
        <v/>
      </c>
      <c r="S655">
        <f>IF($C655="","",IF(UPPER(LEFT($C655,1))="M",1,IF(UPPER(LEFT($C655,1))="F",2,"")))</f>
        <v/>
      </c>
      <c r="T655">
        <f>IF(OR($D655="",$E655=""),"",DATEDIF($D655,$E655,"m"))</f>
        <v/>
      </c>
      <c r="U655">
        <f>IF(OR($D655="",$E655=""),"",$E655-$D655)</f>
        <v/>
      </c>
      <c r="V655">
        <f>IF(OR($G655="",$T655=""),"",IF($T655&lt;24,IF(LEFT(LOWER($H655),4)="em p",$G655+0.7,$G655),IF(LEFT(LOWER($H655),4)="deit",$G655-0.7,$G655)))</f>
        <v/>
      </c>
      <c r="W655">
        <f>IF(OR($S655="",$T655=""),"",$S655*1000000+IF($T655&lt;=60,$U655,$T655))</f>
        <v/>
      </c>
      <c r="X655">
        <f>IF(OR($S655="",$V655="",$T655&gt;60,$T655=""),"",$S655*1000000+ROUND($V655*10,0))</f>
        <v/>
      </c>
      <c r="Y655">
        <f>IF($W655="","",IFERROR(INDEX(IF($T655&lt;=60,imc05_l,imc519_l),MATCH($W655,IF($T655&lt;=60,imc05_k,imc519_k),1)),""))</f>
        <v/>
      </c>
      <c r="Z655">
        <f>IF($W655="","",IFERROR(INDEX(IF($T655&lt;=60,imc05_m,imc519_m),MATCH($W655,IF($T655&lt;=60,imc05_k,imc519_k),1)),""))</f>
        <v/>
      </c>
      <c r="AA655">
        <f>IF($W655="","",IFERROR(INDEX(IF($T655&lt;=60,imc05_s,imc519_s),MATCH($W655,IF($T655&lt;=60,imc05_k,imc519_k),1)),""))</f>
        <v/>
      </c>
      <c r="AB655">
        <f>IF($Y655="","",IF($Y655=0,LN($J655/$Z655)/$AA655,((($J655/$Z655)^$Y655)-1)/($Y655*$AA655)))</f>
        <v/>
      </c>
      <c r="AC655">
        <f>IF($Y655="","",IF($Y655=0,$Z655*EXP($AA655*2),$Z655*(1+$Y655*$AA655*2)^(1/$Y655)))</f>
        <v/>
      </c>
      <c r="AD655">
        <f>IF($Y655="","",IF($Y655=0,$Z655*EXP($AA655*3),$Z655*(1+$Y655*$AA655*3)^(1/$Y655)))</f>
        <v/>
      </c>
      <c r="AE655">
        <f>IF($Y655="","",IF($Y655=0,$Z655*EXP($AA655*-2),$Z655*(1+$Y655*$AA655*-2)^(1/$Y655)))</f>
        <v/>
      </c>
      <c r="AF655">
        <f>IF($Y655="","",IF($Y655=0,$Z655*EXP($AA655*-3),$Z655*(1+$Y655*$AA655*-3)^(1/$Y655)))</f>
        <v/>
      </c>
      <c r="AG655">
        <f>IF($W655="","",IFERROR(INDEX(IF($T655&lt;=60,est05_l,est519_l),MATCH($W655,IF($T655&lt;=60,est05_k,est519_k),1)),""))</f>
        <v/>
      </c>
      <c r="AH655">
        <f>IF($W655="","",IFERROR(INDEX(IF($T655&lt;=60,est05_m,est519_m),MATCH($W655,IF($T655&lt;=60,est05_k,est519_k),1)),""))</f>
        <v/>
      </c>
      <c r="AI655">
        <f>IF($W655="","",IFERROR(INDEX(IF($T655&lt;=60,est05_s,est519_s),MATCH($W655,IF($T655&lt;=60,est05_k,est519_k),1)),""))</f>
        <v/>
      </c>
      <c r="AJ655">
        <f>IF($W655="","",IFERROR(INDEX(IF($T655&lt;=60,peso05_l,peso510_l),MATCH($W655,IF($T655&lt;=60,peso05_k,peso510_k),1)),""))</f>
        <v/>
      </c>
      <c r="AK655">
        <f>IF($W655="","",IFERROR(INDEX(IF($T655&lt;=60,peso05_m,peso510_m),MATCH($W655,IF($T655&lt;=60,peso05_k,peso510_k),1)),""))</f>
        <v/>
      </c>
      <c r="AL655">
        <f>IF($W655="","",IFERROR(INDEX(IF($T655&lt;=60,peso05_s,peso510_s),MATCH($W655,IF($T655&lt;=60,peso05_k,peso510_k),1)),""))</f>
        <v/>
      </c>
      <c r="AM655">
        <f>IF($AJ655="","",IF($AJ655=0,LN($F655/$AK655)/$AL655,((($F655/$AK655)^$AJ655)-1)/($AJ655*$AL655)))</f>
        <v/>
      </c>
      <c r="AN655">
        <f>IF($AJ655="","",IF($AJ655=0,$AK655*EXP($AL655*2),$AK655*(1+$AJ655*$AL655*2)^(1/$AJ655)))</f>
        <v/>
      </c>
      <c r="AO655">
        <f>IF($AJ655="","",IF($AJ655=0,$AK655*EXP($AL655*3),$AK655*(1+$AJ655*$AL655*3)^(1/$AJ655)))</f>
        <v/>
      </c>
      <c r="AP655">
        <f>IF($AJ655="","",IF($AJ655=0,$AK655*EXP($AL655*-2),$AK655*(1+$AJ655*$AL655*-2)^(1/$AJ655)))</f>
        <v/>
      </c>
      <c r="AQ655">
        <f>IF($AJ655="","",IF($AJ655=0,$AK655*EXP($AL655*-3),$AK655*(1+$AJ655*$AL655*-3)^(1/$AJ655)))</f>
        <v/>
      </c>
      <c r="AR655">
        <f>IF(OR($X655="",$T655&gt;60),"",IFERROR(INDEX(IF($T655&lt;24,pcomp_l,palt_l),MATCH($X655,IF($T655&lt;24,pcomp_k,palt_k),1)),""))</f>
        <v/>
      </c>
      <c r="AS655">
        <f>IF(OR($X655="",$T655&gt;60),"",IFERROR(INDEX(IF($T655&lt;24,pcomp_m,palt_m),MATCH($X655,IF($T655&lt;24,pcomp_k,palt_k),1)),""))</f>
        <v/>
      </c>
      <c r="AT655">
        <f>IF(OR($X655="",$T655&gt;60),"",IFERROR(INDEX(IF($T655&lt;24,pcomp_s,palt_s),MATCH($X655,IF($T655&lt;24,pcomp_k,palt_k),1)),""))</f>
        <v/>
      </c>
      <c r="AU655">
        <f>IF($AR655="","",IF($AR655=0,LN($F655/$AS655)/$AT655,((($F655/$AS655)^$AR655)-1)/($AR655*$AT655)))</f>
        <v/>
      </c>
      <c r="AV655">
        <f>IF($AR655="","",IF($AR655=0,$AS655*EXP($AT655*2),$AS655*(1+$AR655*$AT655*2)^(1/$AR655)))</f>
        <v/>
      </c>
      <c r="AW655">
        <f>IF($AR655="","",IF($AR655=0,$AS655*EXP($AT655*3),$AS655*(1+$AR655*$AT655*3)^(1/$AR655)))</f>
        <v/>
      </c>
      <c r="AX655">
        <f>IF($AR655="","",IF($AR655=0,$AS655*EXP($AT655*-2),$AS655*(1+$AR655*$AT655*-2)^(1/$AR655)))</f>
        <v/>
      </c>
      <c r="AY655">
        <f>IF($AR655="","",IF($AR655=0,$AS655*EXP($AT655*-3),$AS655*(1+$AR655*$AT655*-3)^(1/$AR655)))</f>
        <v/>
      </c>
      <c r="AZ655">
        <f>IF(OR($A655="",$A655&lt;&gt;Ficha!$C$4),"",COUNTIF($A$2:$A655,Ficha!$C$4))</f>
        <v/>
      </c>
    </row>
    <row r="656">
      <c r="A656" s="8">
        <f>IF(INDEX(Banco!$A:$A,ROW())="","",INDEX(Banco!$A:$A,ROW()))</f>
        <v/>
      </c>
      <c r="B656" s="8">
        <f>IF(INDEX(Banco!$B:$B,ROW())="","",INDEX(Banco!$B:$B,ROW()))</f>
        <v/>
      </c>
      <c r="C656" s="8">
        <f>IF(INDEX(Banco!$C:$C,ROW())="","",INDEX(Banco!$C:$C,ROW()))</f>
        <v/>
      </c>
      <c r="D656" s="9">
        <f>IF(INDEX(Banco!$D:$D,ROW())="","",INDEX(Banco!$D:$D,ROW()))</f>
        <v/>
      </c>
      <c r="E656" s="9">
        <f>IF(INDEX(Banco!$E:$E,ROW())="","",INDEX(Banco!$E:$E,ROW()))</f>
        <v/>
      </c>
      <c r="F656" s="10">
        <f>IF(INDEX(Banco!$F:$F,ROW())="","",INDEX(Banco!$F:$F,ROW()))</f>
        <v/>
      </c>
      <c r="G656" s="10">
        <f>IF(INDEX(Banco!$G:$G,ROW())="","",INDEX(Banco!$G:$G,ROW()))</f>
        <v/>
      </c>
      <c r="H656" s="8">
        <f>IF(INDEX(Banco!$H:$H,ROW())="","",INDEX(Banco!$H:$H,ROW()))</f>
        <v/>
      </c>
      <c r="I656">
        <f>IF($T656="","",INT($T656/12)&amp;"a "&amp;MOD($T656,12)&amp;"m")</f>
        <v/>
      </c>
      <c r="J656" s="11">
        <f>IF(OR($F656="",$G656=""),"",ROUND($F656/($G656/100)^2,2))</f>
        <v/>
      </c>
      <c r="K656" s="12">
        <f>IF(OR($S656="",$J656="",$T656="",$T656&lt;0,$T656&gt;228,$Y656=""),"—",ROUND(IF(ABS($AB656)&lt;=3,$AB656,IF($AB656&gt;3,3+($J656-$AD656)/($AD656-$AC656),-3+($J656-$AF656)/($AE656-$AF656))),2))</f>
        <v/>
      </c>
      <c r="L656">
        <f>IF(OR($K656="",$K656="—"),"",IF($T656&lt;=60,IF($K656&lt;-3,"Magreza acentuada",IF($K656&lt;-2,"Magreza",IF($K656&lt;=1,"Eutrofia",IF($K656&lt;=2,"Risco de sobrepeso",IF($K656&lt;=3,"Sobrepeso","Obesidade"))))),IF($K656&lt;-3,"Magreza acentuada",IF($K656&lt;-2,"Magreza",IF($K656&lt;=1,"Eutrofia",IF($K656&lt;=2,"Sobrepeso",IF($K656&lt;=3,"Obesidade","Obesidade grave")))))))</f>
        <v/>
      </c>
      <c r="M656" s="12">
        <f>IF(OR($S656="",$V656="",$T656="",$T656&lt;0,$T656&gt;228,$AG656=""),"—",ROUND(IF($AG656=0,LN($V656/$AH656)/$AI656,((($V656/$AH656)^$AG656)-1)/($AG656*$AI656)),2))</f>
        <v/>
      </c>
      <c r="N656">
        <f>IF(OR($M656="",$M656="—"),"",IF($M656&lt;-3,"Muito baixa",IF($M656&lt;-2,"Baixa","Adequada")))</f>
        <v/>
      </c>
      <c r="O656" s="12">
        <f>IF(OR($S656="",$F656="",$T656="",$T656&lt;0,$T656&gt;120,$AJ656=""),"—",ROUND(IF(ABS($AM656)&lt;=3,$AM656,IF($AM656&gt;3,3+($F656-$AO656)/($AO656-$AN656),-3+($F656-$AQ656)/($AP656-$AQ656))),2))</f>
        <v/>
      </c>
      <c r="P656">
        <f>IF(OR($O656="",$O656="—"),"",IF($O656&lt;-3,"Muito baixo",IF($O656&lt;-2,"Baixo",IF($O656&lt;=2,"Adequado","Elevado"))))</f>
        <v/>
      </c>
      <c r="Q656" s="12">
        <f>IF(OR($S656="",$F656="",$T656="",$T656&lt;0,$T656&gt;60,$AR656=""),"—",ROUND(IF(ABS($AU656)&lt;=3,$AU656,IF($AU656&gt;3,3+($F656-$AW656)/($AW656-$AV656),-3+($F656-$AY656)/($AX656-$AY656))),2))</f>
        <v/>
      </c>
      <c r="R656">
        <f>IF(OR($Q656="",$Q656="—"),"",IF($Q656&lt;-3,"Magreza acentuada",IF($Q656&lt;-2,"Magreza",IF($Q656&lt;=1,"Eutrofia",IF($Q656&lt;=2,"Risco de sobrepeso",IF($Q656&lt;=3,"Sobrepeso","Obesidade"))))))</f>
        <v/>
      </c>
      <c r="S656">
        <f>IF($C656="","",IF(UPPER(LEFT($C656,1))="M",1,IF(UPPER(LEFT($C656,1))="F",2,"")))</f>
        <v/>
      </c>
      <c r="T656">
        <f>IF(OR($D656="",$E656=""),"",DATEDIF($D656,$E656,"m"))</f>
        <v/>
      </c>
      <c r="U656">
        <f>IF(OR($D656="",$E656=""),"",$E656-$D656)</f>
        <v/>
      </c>
      <c r="V656">
        <f>IF(OR($G656="",$T656=""),"",IF($T656&lt;24,IF(LEFT(LOWER($H656),4)="em p",$G656+0.7,$G656),IF(LEFT(LOWER($H656),4)="deit",$G656-0.7,$G656)))</f>
        <v/>
      </c>
      <c r="W656">
        <f>IF(OR($S656="",$T656=""),"",$S656*1000000+IF($T656&lt;=60,$U656,$T656))</f>
        <v/>
      </c>
      <c r="X656">
        <f>IF(OR($S656="",$V656="",$T656&gt;60,$T656=""),"",$S656*1000000+ROUND($V656*10,0))</f>
        <v/>
      </c>
      <c r="Y656">
        <f>IF($W656="","",IFERROR(INDEX(IF($T656&lt;=60,imc05_l,imc519_l),MATCH($W656,IF($T656&lt;=60,imc05_k,imc519_k),1)),""))</f>
        <v/>
      </c>
      <c r="Z656">
        <f>IF($W656="","",IFERROR(INDEX(IF($T656&lt;=60,imc05_m,imc519_m),MATCH($W656,IF($T656&lt;=60,imc05_k,imc519_k),1)),""))</f>
        <v/>
      </c>
      <c r="AA656">
        <f>IF($W656="","",IFERROR(INDEX(IF($T656&lt;=60,imc05_s,imc519_s),MATCH($W656,IF($T656&lt;=60,imc05_k,imc519_k),1)),""))</f>
        <v/>
      </c>
      <c r="AB656">
        <f>IF($Y656="","",IF($Y656=0,LN($J656/$Z656)/$AA656,((($J656/$Z656)^$Y656)-1)/($Y656*$AA656)))</f>
        <v/>
      </c>
      <c r="AC656">
        <f>IF($Y656="","",IF($Y656=0,$Z656*EXP($AA656*2),$Z656*(1+$Y656*$AA656*2)^(1/$Y656)))</f>
        <v/>
      </c>
      <c r="AD656">
        <f>IF($Y656="","",IF($Y656=0,$Z656*EXP($AA656*3),$Z656*(1+$Y656*$AA656*3)^(1/$Y656)))</f>
        <v/>
      </c>
      <c r="AE656">
        <f>IF($Y656="","",IF($Y656=0,$Z656*EXP($AA656*-2),$Z656*(1+$Y656*$AA656*-2)^(1/$Y656)))</f>
        <v/>
      </c>
      <c r="AF656">
        <f>IF($Y656="","",IF($Y656=0,$Z656*EXP($AA656*-3),$Z656*(1+$Y656*$AA656*-3)^(1/$Y656)))</f>
        <v/>
      </c>
      <c r="AG656">
        <f>IF($W656="","",IFERROR(INDEX(IF($T656&lt;=60,est05_l,est519_l),MATCH($W656,IF($T656&lt;=60,est05_k,est519_k),1)),""))</f>
        <v/>
      </c>
      <c r="AH656">
        <f>IF($W656="","",IFERROR(INDEX(IF($T656&lt;=60,est05_m,est519_m),MATCH($W656,IF($T656&lt;=60,est05_k,est519_k),1)),""))</f>
        <v/>
      </c>
      <c r="AI656">
        <f>IF($W656="","",IFERROR(INDEX(IF($T656&lt;=60,est05_s,est519_s),MATCH($W656,IF($T656&lt;=60,est05_k,est519_k),1)),""))</f>
        <v/>
      </c>
      <c r="AJ656">
        <f>IF($W656="","",IFERROR(INDEX(IF($T656&lt;=60,peso05_l,peso510_l),MATCH($W656,IF($T656&lt;=60,peso05_k,peso510_k),1)),""))</f>
        <v/>
      </c>
      <c r="AK656">
        <f>IF($W656="","",IFERROR(INDEX(IF($T656&lt;=60,peso05_m,peso510_m),MATCH($W656,IF($T656&lt;=60,peso05_k,peso510_k),1)),""))</f>
        <v/>
      </c>
      <c r="AL656">
        <f>IF($W656="","",IFERROR(INDEX(IF($T656&lt;=60,peso05_s,peso510_s),MATCH($W656,IF($T656&lt;=60,peso05_k,peso510_k),1)),""))</f>
        <v/>
      </c>
      <c r="AM656">
        <f>IF($AJ656="","",IF($AJ656=0,LN($F656/$AK656)/$AL656,((($F656/$AK656)^$AJ656)-1)/($AJ656*$AL656)))</f>
        <v/>
      </c>
      <c r="AN656">
        <f>IF($AJ656="","",IF($AJ656=0,$AK656*EXP($AL656*2),$AK656*(1+$AJ656*$AL656*2)^(1/$AJ656)))</f>
        <v/>
      </c>
      <c r="AO656">
        <f>IF($AJ656="","",IF($AJ656=0,$AK656*EXP($AL656*3),$AK656*(1+$AJ656*$AL656*3)^(1/$AJ656)))</f>
        <v/>
      </c>
      <c r="AP656">
        <f>IF($AJ656="","",IF($AJ656=0,$AK656*EXP($AL656*-2),$AK656*(1+$AJ656*$AL656*-2)^(1/$AJ656)))</f>
        <v/>
      </c>
      <c r="AQ656">
        <f>IF($AJ656="","",IF($AJ656=0,$AK656*EXP($AL656*-3),$AK656*(1+$AJ656*$AL656*-3)^(1/$AJ656)))</f>
        <v/>
      </c>
      <c r="AR656">
        <f>IF(OR($X656="",$T656&gt;60),"",IFERROR(INDEX(IF($T656&lt;24,pcomp_l,palt_l),MATCH($X656,IF($T656&lt;24,pcomp_k,palt_k),1)),""))</f>
        <v/>
      </c>
      <c r="AS656">
        <f>IF(OR($X656="",$T656&gt;60),"",IFERROR(INDEX(IF($T656&lt;24,pcomp_m,palt_m),MATCH($X656,IF($T656&lt;24,pcomp_k,palt_k),1)),""))</f>
        <v/>
      </c>
      <c r="AT656">
        <f>IF(OR($X656="",$T656&gt;60),"",IFERROR(INDEX(IF($T656&lt;24,pcomp_s,palt_s),MATCH($X656,IF($T656&lt;24,pcomp_k,palt_k),1)),""))</f>
        <v/>
      </c>
      <c r="AU656">
        <f>IF($AR656="","",IF($AR656=0,LN($F656/$AS656)/$AT656,((($F656/$AS656)^$AR656)-1)/($AR656*$AT656)))</f>
        <v/>
      </c>
      <c r="AV656">
        <f>IF($AR656="","",IF($AR656=0,$AS656*EXP($AT656*2),$AS656*(1+$AR656*$AT656*2)^(1/$AR656)))</f>
        <v/>
      </c>
      <c r="AW656">
        <f>IF($AR656="","",IF($AR656=0,$AS656*EXP($AT656*3),$AS656*(1+$AR656*$AT656*3)^(1/$AR656)))</f>
        <v/>
      </c>
      <c r="AX656">
        <f>IF($AR656="","",IF($AR656=0,$AS656*EXP($AT656*-2),$AS656*(1+$AR656*$AT656*-2)^(1/$AR656)))</f>
        <v/>
      </c>
      <c r="AY656">
        <f>IF($AR656="","",IF($AR656=0,$AS656*EXP($AT656*-3),$AS656*(1+$AR656*$AT656*-3)^(1/$AR656)))</f>
        <v/>
      </c>
      <c r="AZ656">
        <f>IF(OR($A656="",$A656&lt;&gt;Ficha!$C$4),"",COUNTIF($A$2:$A656,Ficha!$C$4))</f>
        <v/>
      </c>
    </row>
    <row r="657">
      <c r="A657" s="8">
        <f>IF(INDEX(Banco!$A:$A,ROW())="","",INDEX(Banco!$A:$A,ROW()))</f>
        <v/>
      </c>
      <c r="B657" s="8">
        <f>IF(INDEX(Banco!$B:$B,ROW())="","",INDEX(Banco!$B:$B,ROW()))</f>
        <v/>
      </c>
      <c r="C657" s="8">
        <f>IF(INDEX(Banco!$C:$C,ROW())="","",INDEX(Banco!$C:$C,ROW()))</f>
        <v/>
      </c>
      <c r="D657" s="9">
        <f>IF(INDEX(Banco!$D:$D,ROW())="","",INDEX(Banco!$D:$D,ROW()))</f>
        <v/>
      </c>
      <c r="E657" s="9">
        <f>IF(INDEX(Banco!$E:$E,ROW())="","",INDEX(Banco!$E:$E,ROW()))</f>
        <v/>
      </c>
      <c r="F657" s="10">
        <f>IF(INDEX(Banco!$F:$F,ROW())="","",INDEX(Banco!$F:$F,ROW()))</f>
        <v/>
      </c>
      <c r="G657" s="10">
        <f>IF(INDEX(Banco!$G:$G,ROW())="","",INDEX(Banco!$G:$G,ROW()))</f>
        <v/>
      </c>
      <c r="H657" s="8">
        <f>IF(INDEX(Banco!$H:$H,ROW())="","",INDEX(Banco!$H:$H,ROW()))</f>
        <v/>
      </c>
      <c r="I657">
        <f>IF($T657="","",INT($T657/12)&amp;"a "&amp;MOD($T657,12)&amp;"m")</f>
        <v/>
      </c>
      <c r="J657" s="11">
        <f>IF(OR($F657="",$G657=""),"",ROUND($F657/($G657/100)^2,2))</f>
        <v/>
      </c>
      <c r="K657" s="12">
        <f>IF(OR($S657="",$J657="",$T657="",$T657&lt;0,$T657&gt;228,$Y657=""),"—",ROUND(IF(ABS($AB657)&lt;=3,$AB657,IF($AB657&gt;3,3+($J657-$AD657)/($AD657-$AC657),-3+($J657-$AF657)/($AE657-$AF657))),2))</f>
        <v/>
      </c>
      <c r="L657">
        <f>IF(OR($K657="",$K657="—"),"",IF($T657&lt;=60,IF($K657&lt;-3,"Magreza acentuada",IF($K657&lt;-2,"Magreza",IF($K657&lt;=1,"Eutrofia",IF($K657&lt;=2,"Risco de sobrepeso",IF($K657&lt;=3,"Sobrepeso","Obesidade"))))),IF($K657&lt;-3,"Magreza acentuada",IF($K657&lt;-2,"Magreza",IF($K657&lt;=1,"Eutrofia",IF($K657&lt;=2,"Sobrepeso",IF($K657&lt;=3,"Obesidade","Obesidade grave")))))))</f>
        <v/>
      </c>
      <c r="M657" s="12">
        <f>IF(OR($S657="",$V657="",$T657="",$T657&lt;0,$T657&gt;228,$AG657=""),"—",ROUND(IF($AG657=0,LN($V657/$AH657)/$AI657,((($V657/$AH657)^$AG657)-1)/($AG657*$AI657)),2))</f>
        <v/>
      </c>
      <c r="N657">
        <f>IF(OR($M657="",$M657="—"),"",IF($M657&lt;-3,"Muito baixa",IF($M657&lt;-2,"Baixa","Adequada")))</f>
        <v/>
      </c>
      <c r="O657" s="12">
        <f>IF(OR($S657="",$F657="",$T657="",$T657&lt;0,$T657&gt;120,$AJ657=""),"—",ROUND(IF(ABS($AM657)&lt;=3,$AM657,IF($AM657&gt;3,3+($F657-$AO657)/($AO657-$AN657),-3+($F657-$AQ657)/($AP657-$AQ657))),2))</f>
        <v/>
      </c>
      <c r="P657">
        <f>IF(OR($O657="",$O657="—"),"",IF($O657&lt;-3,"Muito baixo",IF($O657&lt;-2,"Baixo",IF($O657&lt;=2,"Adequado","Elevado"))))</f>
        <v/>
      </c>
      <c r="Q657" s="12">
        <f>IF(OR($S657="",$F657="",$T657="",$T657&lt;0,$T657&gt;60,$AR657=""),"—",ROUND(IF(ABS($AU657)&lt;=3,$AU657,IF($AU657&gt;3,3+($F657-$AW657)/($AW657-$AV657),-3+($F657-$AY657)/($AX657-$AY657))),2))</f>
        <v/>
      </c>
      <c r="R657">
        <f>IF(OR($Q657="",$Q657="—"),"",IF($Q657&lt;-3,"Magreza acentuada",IF($Q657&lt;-2,"Magreza",IF($Q657&lt;=1,"Eutrofia",IF($Q657&lt;=2,"Risco de sobrepeso",IF($Q657&lt;=3,"Sobrepeso","Obesidade"))))))</f>
        <v/>
      </c>
      <c r="S657">
        <f>IF($C657="","",IF(UPPER(LEFT($C657,1))="M",1,IF(UPPER(LEFT($C657,1))="F",2,"")))</f>
        <v/>
      </c>
      <c r="T657">
        <f>IF(OR($D657="",$E657=""),"",DATEDIF($D657,$E657,"m"))</f>
        <v/>
      </c>
      <c r="U657">
        <f>IF(OR($D657="",$E657=""),"",$E657-$D657)</f>
        <v/>
      </c>
      <c r="V657">
        <f>IF(OR($G657="",$T657=""),"",IF($T657&lt;24,IF(LEFT(LOWER($H657),4)="em p",$G657+0.7,$G657),IF(LEFT(LOWER($H657),4)="deit",$G657-0.7,$G657)))</f>
        <v/>
      </c>
      <c r="W657">
        <f>IF(OR($S657="",$T657=""),"",$S657*1000000+IF($T657&lt;=60,$U657,$T657))</f>
        <v/>
      </c>
      <c r="X657">
        <f>IF(OR($S657="",$V657="",$T657&gt;60,$T657=""),"",$S657*1000000+ROUND($V657*10,0))</f>
        <v/>
      </c>
      <c r="Y657">
        <f>IF($W657="","",IFERROR(INDEX(IF($T657&lt;=60,imc05_l,imc519_l),MATCH($W657,IF($T657&lt;=60,imc05_k,imc519_k),1)),""))</f>
        <v/>
      </c>
      <c r="Z657">
        <f>IF($W657="","",IFERROR(INDEX(IF($T657&lt;=60,imc05_m,imc519_m),MATCH($W657,IF($T657&lt;=60,imc05_k,imc519_k),1)),""))</f>
        <v/>
      </c>
      <c r="AA657">
        <f>IF($W657="","",IFERROR(INDEX(IF($T657&lt;=60,imc05_s,imc519_s),MATCH($W657,IF($T657&lt;=60,imc05_k,imc519_k),1)),""))</f>
        <v/>
      </c>
      <c r="AB657">
        <f>IF($Y657="","",IF($Y657=0,LN($J657/$Z657)/$AA657,((($J657/$Z657)^$Y657)-1)/($Y657*$AA657)))</f>
        <v/>
      </c>
      <c r="AC657">
        <f>IF($Y657="","",IF($Y657=0,$Z657*EXP($AA657*2),$Z657*(1+$Y657*$AA657*2)^(1/$Y657)))</f>
        <v/>
      </c>
      <c r="AD657">
        <f>IF($Y657="","",IF($Y657=0,$Z657*EXP($AA657*3),$Z657*(1+$Y657*$AA657*3)^(1/$Y657)))</f>
        <v/>
      </c>
      <c r="AE657">
        <f>IF($Y657="","",IF($Y657=0,$Z657*EXP($AA657*-2),$Z657*(1+$Y657*$AA657*-2)^(1/$Y657)))</f>
        <v/>
      </c>
      <c r="AF657">
        <f>IF($Y657="","",IF($Y657=0,$Z657*EXP($AA657*-3),$Z657*(1+$Y657*$AA657*-3)^(1/$Y657)))</f>
        <v/>
      </c>
      <c r="AG657">
        <f>IF($W657="","",IFERROR(INDEX(IF($T657&lt;=60,est05_l,est519_l),MATCH($W657,IF($T657&lt;=60,est05_k,est519_k),1)),""))</f>
        <v/>
      </c>
      <c r="AH657">
        <f>IF($W657="","",IFERROR(INDEX(IF($T657&lt;=60,est05_m,est519_m),MATCH($W657,IF($T657&lt;=60,est05_k,est519_k),1)),""))</f>
        <v/>
      </c>
      <c r="AI657">
        <f>IF($W657="","",IFERROR(INDEX(IF($T657&lt;=60,est05_s,est519_s),MATCH($W657,IF($T657&lt;=60,est05_k,est519_k),1)),""))</f>
        <v/>
      </c>
      <c r="AJ657">
        <f>IF($W657="","",IFERROR(INDEX(IF($T657&lt;=60,peso05_l,peso510_l),MATCH($W657,IF($T657&lt;=60,peso05_k,peso510_k),1)),""))</f>
        <v/>
      </c>
      <c r="AK657">
        <f>IF($W657="","",IFERROR(INDEX(IF($T657&lt;=60,peso05_m,peso510_m),MATCH($W657,IF($T657&lt;=60,peso05_k,peso510_k),1)),""))</f>
        <v/>
      </c>
      <c r="AL657">
        <f>IF($W657="","",IFERROR(INDEX(IF($T657&lt;=60,peso05_s,peso510_s),MATCH($W657,IF($T657&lt;=60,peso05_k,peso510_k),1)),""))</f>
        <v/>
      </c>
      <c r="AM657">
        <f>IF($AJ657="","",IF($AJ657=0,LN($F657/$AK657)/$AL657,((($F657/$AK657)^$AJ657)-1)/($AJ657*$AL657)))</f>
        <v/>
      </c>
      <c r="AN657">
        <f>IF($AJ657="","",IF($AJ657=0,$AK657*EXP($AL657*2),$AK657*(1+$AJ657*$AL657*2)^(1/$AJ657)))</f>
        <v/>
      </c>
      <c r="AO657">
        <f>IF($AJ657="","",IF($AJ657=0,$AK657*EXP($AL657*3),$AK657*(1+$AJ657*$AL657*3)^(1/$AJ657)))</f>
        <v/>
      </c>
      <c r="AP657">
        <f>IF($AJ657="","",IF($AJ657=0,$AK657*EXP($AL657*-2),$AK657*(1+$AJ657*$AL657*-2)^(1/$AJ657)))</f>
        <v/>
      </c>
      <c r="AQ657">
        <f>IF($AJ657="","",IF($AJ657=0,$AK657*EXP($AL657*-3),$AK657*(1+$AJ657*$AL657*-3)^(1/$AJ657)))</f>
        <v/>
      </c>
      <c r="AR657">
        <f>IF(OR($X657="",$T657&gt;60),"",IFERROR(INDEX(IF($T657&lt;24,pcomp_l,palt_l),MATCH($X657,IF($T657&lt;24,pcomp_k,palt_k),1)),""))</f>
        <v/>
      </c>
      <c r="AS657">
        <f>IF(OR($X657="",$T657&gt;60),"",IFERROR(INDEX(IF($T657&lt;24,pcomp_m,palt_m),MATCH($X657,IF($T657&lt;24,pcomp_k,palt_k),1)),""))</f>
        <v/>
      </c>
      <c r="AT657">
        <f>IF(OR($X657="",$T657&gt;60),"",IFERROR(INDEX(IF($T657&lt;24,pcomp_s,palt_s),MATCH($X657,IF($T657&lt;24,pcomp_k,palt_k),1)),""))</f>
        <v/>
      </c>
      <c r="AU657">
        <f>IF($AR657="","",IF($AR657=0,LN($F657/$AS657)/$AT657,((($F657/$AS657)^$AR657)-1)/($AR657*$AT657)))</f>
        <v/>
      </c>
      <c r="AV657">
        <f>IF($AR657="","",IF($AR657=0,$AS657*EXP($AT657*2),$AS657*(1+$AR657*$AT657*2)^(1/$AR657)))</f>
        <v/>
      </c>
      <c r="AW657">
        <f>IF($AR657="","",IF($AR657=0,$AS657*EXP($AT657*3),$AS657*(1+$AR657*$AT657*3)^(1/$AR657)))</f>
        <v/>
      </c>
      <c r="AX657">
        <f>IF($AR657="","",IF($AR657=0,$AS657*EXP($AT657*-2),$AS657*(1+$AR657*$AT657*-2)^(1/$AR657)))</f>
        <v/>
      </c>
      <c r="AY657">
        <f>IF($AR657="","",IF($AR657=0,$AS657*EXP($AT657*-3),$AS657*(1+$AR657*$AT657*-3)^(1/$AR657)))</f>
        <v/>
      </c>
      <c r="AZ657">
        <f>IF(OR($A657="",$A657&lt;&gt;Ficha!$C$4),"",COUNTIF($A$2:$A657,Ficha!$C$4))</f>
        <v/>
      </c>
    </row>
    <row r="658">
      <c r="A658" s="8">
        <f>IF(INDEX(Banco!$A:$A,ROW())="","",INDEX(Banco!$A:$A,ROW()))</f>
        <v/>
      </c>
      <c r="B658" s="8">
        <f>IF(INDEX(Banco!$B:$B,ROW())="","",INDEX(Banco!$B:$B,ROW()))</f>
        <v/>
      </c>
      <c r="C658" s="8">
        <f>IF(INDEX(Banco!$C:$C,ROW())="","",INDEX(Banco!$C:$C,ROW()))</f>
        <v/>
      </c>
      <c r="D658" s="9">
        <f>IF(INDEX(Banco!$D:$D,ROW())="","",INDEX(Banco!$D:$D,ROW()))</f>
        <v/>
      </c>
      <c r="E658" s="9">
        <f>IF(INDEX(Banco!$E:$E,ROW())="","",INDEX(Banco!$E:$E,ROW()))</f>
        <v/>
      </c>
      <c r="F658" s="10">
        <f>IF(INDEX(Banco!$F:$F,ROW())="","",INDEX(Banco!$F:$F,ROW()))</f>
        <v/>
      </c>
      <c r="G658" s="10">
        <f>IF(INDEX(Banco!$G:$G,ROW())="","",INDEX(Banco!$G:$G,ROW()))</f>
        <v/>
      </c>
      <c r="H658" s="8">
        <f>IF(INDEX(Banco!$H:$H,ROW())="","",INDEX(Banco!$H:$H,ROW()))</f>
        <v/>
      </c>
      <c r="I658">
        <f>IF($T658="","",INT($T658/12)&amp;"a "&amp;MOD($T658,12)&amp;"m")</f>
        <v/>
      </c>
      <c r="J658" s="11">
        <f>IF(OR($F658="",$G658=""),"",ROUND($F658/($G658/100)^2,2))</f>
        <v/>
      </c>
      <c r="K658" s="12">
        <f>IF(OR($S658="",$J658="",$T658="",$T658&lt;0,$T658&gt;228,$Y658=""),"—",ROUND(IF(ABS($AB658)&lt;=3,$AB658,IF($AB658&gt;3,3+($J658-$AD658)/($AD658-$AC658),-3+($J658-$AF658)/($AE658-$AF658))),2))</f>
        <v/>
      </c>
      <c r="L658">
        <f>IF(OR($K658="",$K658="—"),"",IF($T658&lt;=60,IF($K658&lt;-3,"Magreza acentuada",IF($K658&lt;-2,"Magreza",IF($K658&lt;=1,"Eutrofia",IF($K658&lt;=2,"Risco de sobrepeso",IF($K658&lt;=3,"Sobrepeso","Obesidade"))))),IF($K658&lt;-3,"Magreza acentuada",IF($K658&lt;-2,"Magreza",IF($K658&lt;=1,"Eutrofia",IF($K658&lt;=2,"Sobrepeso",IF($K658&lt;=3,"Obesidade","Obesidade grave")))))))</f>
        <v/>
      </c>
      <c r="M658" s="12">
        <f>IF(OR($S658="",$V658="",$T658="",$T658&lt;0,$T658&gt;228,$AG658=""),"—",ROUND(IF($AG658=0,LN($V658/$AH658)/$AI658,((($V658/$AH658)^$AG658)-1)/($AG658*$AI658)),2))</f>
        <v/>
      </c>
      <c r="N658">
        <f>IF(OR($M658="",$M658="—"),"",IF($M658&lt;-3,"Muito baixa",IF($M658&lt;-2,"Baixa","Adequada")))</f>
        <v/>
      </c>
      <c r="O658" s="12">
        <f>IF(OR($S658="",$F658="",$T658="",$T658&lt;0,$T658&gt;120,$AJ658=""),"—",ROUND(IF(ABS($AM658)&lt;=3,$AM658,IF($AM658&gt;3,3+($F658-$AO658)/($AO658-$AN658),-3+($F658-$AQ658)/($AP658-$AQ658))),2))</f>
        <v/>
      </c>
      <c r="P658">
        <f>IF(OR($O658="",$O658="—"),"",IF($O658&lt;-3,"Muito baixo",IF($O658&lt;-2,"Baixo",IF($O658&lt;=2,"Adequado","Elevado"))))</f>
        <v/>
      </c>
      <c r="Q658" s="12">
        <f>IF(OR($S658="",$F658="",$T658="",$T658&lt;0,$T658&gt;60,$AR658=""),"—",ROUND(IF(ABS($AU658)&lt;=3,$AU658,IF($AU658&gt;3,3+($F658-$AW658)/($AW658-$AV658),-3+($F658-$AY658)/($AX658-$AY658))),2))</f>
        <v/>
      </c>
      <c r="R658">
        <f>IF(OR($Q658="",$Q658="—"),"",IF($Q658&lt;-3,"Magreza acentuada",IF($Q658&lt;-2,"Magreza",IF($Q658&lt;=1,"Eutrofia",IF($Q658&lt;=2,"Risco de sobrepeso",IF($Q658&lt;=3,"Sobrepeso","Obesidade"))))))</f>
        <v/>
      </c>
      <c r="S658">
        <f>IF($C658="","",IF(UPPER(LEFT($C658,1))="M",1,IF(UPPER(LEFT($C658,1))="F",2,"")))</f>
        <v/>
      </c>
      <c r="T658">
        <f>IF(OR($D658="",$E658=""),"",DATEDIF($D658,$E658,"m"))</f>
        <v/>
      </c>
      <c r="U658">
        <f>IF(OR($D658="",$E658=""),"",$E658-$D658)</f>
        <v/>
      </c>
      <c r="V658">
        <f>IF(OR($G658="",$T658=""),"",IF($T658&lt;24,IF(LEFT(LOWER($H658),4)="em p",$G658+0.7,$G658),IF(LEFT(LOWER($H658),4)="deit",$G658-0.7,$G658)))</f>
        <v/>
      </c>
      <c r="W658">
        <f>IF(OR($S658="",$T658=""),"",$S658*1000000+IF($T658&lt;=60,$U658,$T658))</f>
        <v/>
      </c>
      <c r="X658">
        <f>IF(OR($S658="",$V658="",$T658&gt;60,$T658=""),"",$S658*1000000+ROUND($V658*10,0))</f>
        <v/>
      </c>
      <c r="Y658">
        <f>IF($W658="","",IFERROR(INDEX(IF($T658&lt;=60,imc05_l,imc519_l),MATCH($W658,IF($T658&lt;=60,imc05_k,imc519_k),1)),""))</f>
        <v/>
      </c>
      <c r="Z658">
        <f>IF($W658="","",IFERROR(INDEX(IF($T658&lt;=60,imc05_m,imc519_m),MATCH($W658,IF($T658&lt;=60,imc05_k,imc519_k),1)),""))</f>
        <v/>
      </c>
      <c r="AA658">
        <f>IF($W658="","",IFERROR(INDEX(IF($T658&lt;=60,imc05_s,imc519_s),MATCH($W658,IF($T658&lt;=60,imc05_k,imc519_k),1)),""))</f>
        <v/>
      </c>
      <c r="AB658">
        <f>IF($Y658="","",IF($Y658=0,LN($J658/$Z658)/$AA658,((($J658/$Z658)^$Y658)-1)/($Y658*$AA658)))</f>
        <v/>
      </c>
      <c r="AC658">
        <f>IF($Y658="","",IF($Y658=0,$Z658*EXP($AA658*2),$Z658*(1+$Y658*$AA658*2)^(1/$Y658)))</f>
        <v/>
      </c>
      <c r="AD658">
        <f>IF($Y658="","",IF($Y658=0,$Z658*EXP($AA658*3),$Z658*(1+$Y658*$AA658*3)^(1/$Y658)))</f>
        <v/>
      </c>
      <c r="AE658">
        <f>IF($Y658="","",IF($Y658=0,$Z658*EXP($AA658*-2),$Z658*(1+$Y658*$AA658*-2)^(1/$Y658)))</f>
        <v/>
      </c>
      <c r="AF658">
        <f>IF($Y658="","",IF($Y658=0,$Z658*EXP($AA658*-3),$Z658*(1+$Y658*$AA658*-3)^(1/$Y658)))</f>
        <v/>
      </c>
      <c r="AG658">
        <f>IF($W658="","",IFERROR(INDEX(IF($T658&lt;=60,est05_l,est519_l),MATCH($W658,IF($T658&lt;=60,est05_k,est519_k),1)),""))</f>
        <v/>
      </c>
      <c r="AH658">
        <f>IF($W658="","",IFERROR(INDEX(IF($T658&lt;=60,est05_m,est519_m),MATCH($W658,IF($T658&lt;=60,est05_k,est519_k),1)),""))</f>
        <v/>
      </c>
      <c r="AI658">
        <f>IF($W658="","",IFERROR(INDEX(IF($T658&lt;=60,est05_s,est519_s),MATCH($W658,IF($T658&lt;=60,est05_k,est519_k),1)),""))</f>
        <v/>
      </c>
      <c r="AJ658">
        <f>IF($W658="","",IFERROR(INDEX(IF($T658&lt;=60,peso05_l,peso510_l),MATCH($W658,IF($T658&lt;=60,peso05_k,peso510_k),1)),""))</f>
        <v/>
      </c>
      <c r="AK658">
        <f>IF($W658="","",IFERROR(INDEX(IF($T658&lt;=60,peso05_m,peso510_m),MATCH($W658,IF($T658&lt;=60,peso05_k,peso510_k),1)),""))</f>
        <v/>
      </c>
      <c r="AL658">
        <f>IF($W658="","",IFERROR(INDEX(IF($T658&lt;=60,peso05_s,peso510_s),MATCH($W658,IF($T658&lt;=60,peso05_k,peso510_k),1)),""))</f>
        <v/>
      </c>
      <c r="AM658">
        <f>IF($AJ658="","",IF($AJ658=0,LN($F658/$AK658)/$AL658,((($F658/$AK658)^$AJ658)-1)/($AJ658*$AL658)))</f>
        <v/>
      </c>
      <c r="AN658">
        <f>IF($AJ658="","",IF($AJ658=0,$AK658*EXP($AL658*2),$AK658*(1+$AJ658*$AL658*2)^(1/$AJ658)))</f>
        <v/>
      </c>
      <c r="AO658">
        <f>IF($AJ658="","",IF($AJ658=0,$AK658*EXP($AL658*3),$AK658*(1+$AJ658*$AL658*3)^(1/$AJ658)))</f>
        <v/>
      </c>
      <c r="AP658">
        <f>IF($AJ658="","",IF($AJ658=0,$AK658*EXP($AL658*-2),$AK658*(1+$AJ658*$AL658*-2)^(1/$AJ658)))</f>
        <v/>
      </c>
      <c r="AQ658">
        <f>IF($AJ658="","",IF($AJ658=0,$AK658*EXP($AL658*-3),$AK658*(1+$AJ658*$AL658*-3)^(1/$AJ658)))</f>
        <v/>
      </c>
      <c r="AR658">
        <f>IF(OR($X658="",$T658&gt;60),"",IFERROR(INDEX(IF($T658&lt;24,pcomp_l,palt_l),MATCH($X658,IF($T658&lt;24,pcomp_k,palt_k),1)),""))</f>
        <v/>
      </c>
      <c r="AS658">
        <f>IF(OR($X658="",$T658&gt;60),"",IFERROR(INDEX(IF($T658&lt;24,pcomp_m,palt_m),MATCH($X658,IF($T658&lt;24,pcomp_k,palt_k),1)),""))</f>
        <v/>
      </c>
      <c r="AT658">
        <f>IF(OR($X658="",$T658&gt;60),"",IFERROR(INDEX(IF($T658&lt;24,pcomp_s,palt_s),MATCH($X658,IF($T658&lt;24,pcomp_k,palt_k),1)),""))</f>
        <v/>
      </c>
      <c r="AU658">
        <f>IF($AR658="","",IF($AR658=0,LN($F658/$AS658)/$AT658,((($F658/$AS658)^$AR658)-1)/($AR658*$AT658)))</f>
        <v/>
      </c>
      <c r="AV658">
        <f>IF($AR658="","",IF($AR658=0,$AS658*EXP($AT658*2),$AS658*(1+$AR658*$AT658*2)^(1/$AR658)))</f>
        <v/>
      </c>
      <c r="AW658">
        <f>IF($AR658="","",IF($AR658=0,$AS658*EXP($AT658*3),$AS658*(1+$AR658*$AT658*3)^(1/$AR658)))</f>
        <v/>
      </c>
      <c r="AX658">
        <f>IF($AR658="","",IF($AR658=0,$AS658*EXP($AT658*-2),$AS658*(1+$AR658*$AT658*-2)^(1/$AR658)))</f>
        <v/>
      </c>
      <c r="AY658">
        <f>IF($AR658="","",IF($AR658=0,$AS658*EXP($AT658*-3),$AS658*(1+$AR658*$AT658*-3)^(1/$AR658)))</f>
        <v/>
      </c>
      <c r="AZ658">
        <f>IF(OR($A658="",$A658&lt;&gt;Ficha!$C$4),"",COUNTIF($A$2:$A658,Ficha!$C$4))</f>
        <v/>
      </c>
    </row>
    <row r="659">
      <c r="A659" s="8">
        <f>IF(INDEX(Banco!$A:$A,ROW())="","",INDEX(Banco!$A:$A,ROW()))</f>
        <v/>
      </c>
      <c r="B659" s="8">
        <f>IF(INDEX(Banco!$B:$B,ROW())="","",INDEX(Banco!$B:$B,ROW()))</f>
        <v/>
      </c>
      <c r="C659" s="8">
        <f>IF(INDEX(Banco!$C:$C,ROW())="","",INDEX(Banco!$C:$C,ROW()))</f>
        <v/>
      </c>
      <c r="D659" s="9">
        <f>IF(INDEX(Banco!$D:$D,ROW())="","",INDEX(Banco!$D:$D,ROW()))</f>
        <v/>
      </c>
      <c r="E659" s="9">
        <f>IF(INDEX(Banco!$E:$E,ROW())="","",INDEX(Banco!$E:$E,ROW()))</f>
        <v/>
      </c>
      <c r="F659" s="10">
        <f>IF(INDEX(Banco!$F:$F,ROW())="","",INDEX(Banco!$F:$F,ROW()))</f>
        <v/>
      </c>
      <c r="G659" s="10">
        <f>IF(INDEX(Banco!$G:$G,ROW())="","",INDEX(Banco!$G:$G,ROW()))</f>
        <v/>
      </c>
      <c r="H659" s="8">
        <f>IF(INDEX(Banco!$H:$H,ROW())="","",INDEX(Banco!$H:$H,ROW()))</f>
        <v/>
      </c>
      <c r="I659">
        <f>IF($T659="","",INT($T659/12)&amp;"a "&amp;MOD($T659,12)&amp;"m")</f>
        <v/>
      </c>
      <c r="J659" s="11">
        <f>IF(OR($F659="",$G659=""),"",ROUND($F659/($G659/100)^2,2))</f>
        <v/>
      </c>
      <c r="K659" s="12">
        <f>IF(OR($S659="",$J659="",$T659="",$T659&lt;0,$T659&gt;228,$Y659=""),"—",ROUND(IF(ABS($AB659)&lt;=3,$AB659,IF($AB659&gt;3,3+($J659-$AD659)/($AD659-$AC659),-3+($J659-$AF659)/($AE659-$AF659))),2))</f>
        <v/>
      </c>
      <c r="L659">
        <f>IF(OR($K659="",$K659="—"),"",IF($T659&lt;=60,IF($K659&lt;-3,"Magreza acentuada",IF($K659&lt;-2,"Magreza",IF($K659&lt;=1,"Eutrofia",IF($K659&lt;=2,"Risco de sobrepeso",IF($K659&lt;=3,"Sobrepeso","Obesidade"))))),IF($K659&lt;-3,"Magreza acentuada",IF($K659&lt;-2,"Magreza",IF($K659&lt;=1,"Eutrofia",IF($K659&lt;=2,"Sobrepeso",IF($K659&lt;=3,"Obesidade","Obesidade grave")))))))</f>
        <v/>
      </c>
      <c r="M659" s="12">
        <f>IF(OR($S659="",$V659="",$T659="",$T659&lt;0,$T659&gt;228,$AG659=""),"—",ROUND(IF($AG659=0,LN($V659/$AH659)/$AI659,((($V659/$AH659)^$AG659)-1)/($AG659*$AI659)),2))</f>
        <v/>
      </c>
      <c r="N659">
        <f>IF(OR($M659="",$M659="—"),"",IF($M659&lt;-3,"Muito baixa",IF($M659&lt;-2,"Baixa","Adequada")))</f>
        <v/>
      </c>
      <c r="O659" s="12">
        <f>IF(OR($S659="",$F659="",$T659="",$T659&lt;0,$T659&gt;120,$AJ659=""),"—",ROUND(IF(ABS($AM659)&lt;=3,$AM659,IF($AM659&gt;3,3+($F659-$AO659)/($AO659-$AN659),-3+($F659-$AQ659)/($AP659-$AQ659))),2))</f>
        <v/>
      </c>
      <c r="P659">
        <f>IF(OR($O659="",$O659="—"),"",IF($O659&lt;-3,"Muito baixo",IF($O659&lt;-2,"Baixo",IF($O659&lt;=2,"Adequado","Elevado"))))</f>
        <v/>
      </c>
      <c r="Q659" s="12">
        <f>IF(OR($S659="",$F659="",$T659="",$T659&lt;0,$T659&gt;60,$AR659=""),"—",ROUND(IF(ABS($AU659)&lt;=3,$AU659,IF($AU659&gt;3,3+($F659-$AW659)/($AW659-$AV659),-3+($F659-$AY659)/($AX659-$AY659))),2))</f>
        <v/>
      </c>
      <c r="R659">
        <f>IF(OR($Q659="",$Q659="—"),"",IF($Q659&lt;-3,"Magreza acentuada",IF($Q659&lt;-2,"Magreza",IF($Q659&lt;=1,"Eutrofia",IF($Q659&lt;=2,"Risco de sobrepeso",IF($Q659&lt;=3,"Sobrepeso","Obesidade"))))))</f>
        <v/>
      </c>
      <c r="S659">
        <f>IF($C659="","",IF(UPPER(LEFT($C659,1))="M",1,IF(UPPER(LEFT($C659,1))="F",2,"")))</f>
        <v/>
      </c>
      <c r="T659">
        <f>IF(OR($D659="",$E659=""),"",DATEDIF($D659,$E659,"m"))</f>
        <v/>
      </c>
      <c r="U659">
        <f>IF(OR($D659="",$E659=""),"",$E659-$D659)</f>
        <v/>
      </c>
      <c r="V659">
        <f>IF(OR($G659="",$T659=""),"",IF($T659&lt;24,IF(LEFT(LOWER($H659),4)="em p",$G659+0.7,$G659),IF(LEFT(LOWER($H659),4)="deit",$G659-0.7,$G659)))</f>
        <v/>
      </c>
      <c r="W659">
        <f>IF(OR($S659="",$T659=""),"",$S659*1000000+IF($T659&lt;=60,$U659,$T659))</f>
        <v/>
      </c>
      <c r="X659">
        <f>IF(OR($S659="",$V659="",$T659&gt;60,$T659=""),"",$S659*1000000+ROUND($V659*10,0))</f>
        <v/>
      </c>
      <c r="Y659">
        <f>IF($W659="","",IFERROR(INDEX(IF($T659&lt;=60,imc05_l,imc519_l),MATCH($W659,IF($T659&lt;=60,imc05_k,imc519_k),1)),""))</f>
        <v/>
      </c>
      <c r="Z659">
        <f>IF($W659="","",IFERROR(INDEX(IF($T659&lt;=60,imc05_m,imc519_m),MATCH($W659,IF($T659&lt;=60,imc05_k,imc519_k),1)),""))</f>
        <v/>
      </c>
      <c r="AA659">
        <f>IF($W659="","",IFERROR(INDEX(IF($T659&lt;=60,imc05_s,imc519_s),MATCH($W659,IF($T659&lt;=60,imc05_k,imc519_k),1)),""))</f>
        <v/>
      </c>
      <c r="AB659">
        <f>IF($Y659="","",IF($Y659=0,LN($J659/$Z659)/$AA659,((($J659/$Z659)^$Y659)-1)/($Y659*$AA659)))</f>
        <v/>
      </c>
      <c r="AC659">
        <f>IF($Y659="","",IF($Y659=0,$Z659*EXP($AA659*2),$Z659*(1+$Y659*$AA659*2)^(1/$Y659)))</f>
        <v/>
      </c>
      <c r="AD659">
        <f>IF($Y659="","",IF($Y659=0,$Z659*EXP($AA659*3),$Z659*(1+$Y659*$AA659*3)^(1/$Y659)))</f>
        <v/>
      </c>
      <c r="AE659">
        <f>IF($Y659="","",IF($Y659=0,$Z659*EXP($AA659*-2),$Z659*(1+$Y659*$AA659*-2)^(1/$Y659)))</f>
        <v/>
      </c>
      <c r="AF659">
        <f>IF($Y659="","",IF($Y659=0,$Z659*EXP($AA659*-3),$Z659*(1+$Y659*$AA659*-3)^(1/$Y659)))</f>
        <v/>
      </c>
      <c r="AG659">
        <f>IF($W659="","",IFERROR(INDEX(IF($T659&lt;=60,est05_l,est519_l),MATCH($W659,IF($T659&lt;=60,est05_k,est519_k),1)),""))</f>
        <v/>
      </c>
      <c r="AH659">
        <f>IF($W659="","",IFERROR(INDEX(IF($T659&lt;=60,est05_m,est519_m),MATCH($W659,IF($T659&lt;=60,est05_k,est519_k),1)),""))</f>
        <v/>
      </c>
      <c r="AI659">
        <f>IF($W659="","",IFERROR(INDEX(IF($T659&lt;=60,est05_s,est519_s),MATCH($W659,IF($T659&lt;=60,est05_k,est519_k),1)),""))</f>
        <v/>
      </c>
      <c r="AJ659">
        <f>IF($W659="","",IFERROR(INDEX(IF($T659&lt;=60,peso05_l,peso510_l),MATCH($W659,IF($T659&lt;=60,peso05_k,peso510_k),1)),""))</f>
        <v/>
      </c>
      <c r="AK659">
        <f>IF($W659="","",IFERROR(INDEX(IF($T659&lt;=60,peso05_m,peso510_m),MATCH($W659,IF($T659&lt;=60,peso05_k,peso510_k),1)),""))</f>
        <v/>
      </c>
      <c r="AL659">
        <f>IF($W659="","",IFERROR(INDEX(IF($T659&lt;=60,peso05_s,peso510_s),MATCH($W659,IF($T659&lt;=60,peso05_k,peso510_k),1)),""))</f>
        <v/>
      </c>
      <c r="AM659">
        <f>IF($AJ659="","",IF($AJ659=0,LN($F659/$AK659)/$AL659,((($F659/$AK659)^$AJ659)-1)/($AJ659*$AL659)))</f>
        <v/>
      </c>
      <c r="AN659">
        <f>IF($AJ659="","",IF($AJ659=0,$AK659*EXP($AL659*2),$AK659*(1+$AJ659*$AL659*2)^(1/$AJ659)))</f>
        <v/>
      </c>
      <c r="AO659">
        <f>IF($AJ659="","",IF($AJ659=0,$AK659*EXP($AL659*3),$AK659*(1+$AJ659*$AL659*3)^(1/$AJ659)))</f>
        <v/>
      </c>
      <c r="AP659">
        <f>IF($AJ659="","",IF($AJ659=0,$AK659*EXP($AL659*-2),$AK659*(1+$AJ659*$AL659*-2)^(1/$AJ659)))</f>
        <v/>
      </c>
      <c r="AQ659">
        <f>IF($AJ659="","",IF($AJ659=0,$AK659*EXP($AL659*-3),$AK659*(1+$AJ659*$AL659*-3)^(1/$AJ659)))</f>
        <v/>
      </c>
      <c r="AR659">
        <f>IF(OR($X659="",$T659&gt;60),"",IFERROR(INDEX(IF($T659&lt;24,pcomp_l,palt_l),MATCH($X659,IF($T659&lt;24,pcomp_k,palt_k),1)),""))</f>
        <v/>
      </c>
      <c r="AS659">
        <f>IF(OR($X659="",$T659&gt;60),"",IFERROR(INDEX(IF($T659&lt;24,pcomp_m,palt_m),MATCH($X659,IF($T659&lt;24,pcomp_k,palt_k),1)),""))</f>
        <v/>
      </c>
      <c r="AT659">
        <f>IF(OR($X659="",$T659&gt;60),"",IFERROR(INDEX(IF($T659&lt;24,pcomp_s,palt_s),MATCH($X659,IF($T659&lt;24,pcomp_k,palt_k),1)),""))</f>
        <v/>
      </c>
      <c r="AU659">
        <f>IF($AR659="","",IF($AR659=0,LN($F659/$AS659)/$AT659,((($F659/$AS659)^$AR659)-1)/($AR659*$AT659)))</f>
        <v/>
      </c>
      <c r="AV659">
        <f>IF($AR659="","",IF($AR659=0,$AS659*EXP($AT659*2),$AS659*(1+$AR659*$AT659*2)^(1/$AR659)))</f>
        <v/>
      </c>
      <c r="AW659">
        <f>IF($AR659="","",IF($AR659=0,$AS659*EXP($AT659*3),$AS659*(1+$AR659*$AT659*3)^(1/$AR659)))</f>
        <v/>
      </c>
      <c r="AX659">
        <f>IF($AR659="","",IF($AR659=0,$AS659*EXP($AT659*-2),$AS659*(1+$AR659*$AT659*-2)^(1/$AR659)))</f>
        <v/>
      </c>
      <c r="AY659">
        <f>IF($AR659="","",IF($AR659=0,$AS659*EXP($AT659*-3),$AS659*(1+$AR659*$AT659*-3)^(1/$AR659)))</f>
        <v/>
      </c>
      <c r="AZ659">
        <f>IF(OR($A659="",$A659&lt;&gt;Ficha!$C$4),"",COUNTIF($A$2:$A659,Ficha!$C$4))</f>
        <v/>
      </c>
    </row>
    <row r="660">
      <c r="A660" s="8">
        <f>IF(INDEX(Banco!$A:$A,ROW())="","",INDEX(Banco!$A:$A,ROW()))</f>
        <v/>
      </c>
      <c r="B660" s="8">
        <f>IF(INDEX(Banco!$B:$B,ROW())="","",INDEX(Banco!$B:$B,ROW()))</f>
        <v/>
      </c>
      <c r="C660" s="8">
        <f>IF(INDEX(Banco!$C:$C,ROW())="","",INDEX(Banco!$C:$C,ROW()))</f>
        <v/>
      </c>
      <c r="D660" s="9">
        <f>IF(INDEX(Banco!$D:$D,ROW())="","",INDEX(Banco!$D:$D,ROW()))</f>
        <v/>
      </c>
      <c r="E660" s="9">
        <f>IF(INDEX(Banco!$E:$E,ROW())="","",INDEX(Banco!$E:$E,ROW()))</f>
        <v/>
      </c>
      <c r="F660" s="10">
        <f>IF(INDEX(Banco!$F:$F,ROW())="","",INDEX(Banco!$F:$F,ROW()))</f>
        <v/>
      </c>
      <c r="G660" s="10">
        <f>IF(INDEX(Banco!$G:$G,ROW())="","",INDEX(Banco!$G:$G,ROW()))</f>
        <v/>
      </c>
      <c r="H660" s="8">
        <f>IF(INDEX(Banco!$H:$H,ROW())="","",INDEX(Banco!$H:$H,ROW()))</f>
        <v/>
      </c>
      <c r="I660">
        <f>IF($T660="","",INT($T660/12)&amp;"a "&amp;MOD($T660,12)&amp;"m")</f>
        <v/>
      </c>
      <c r="J660" s="11">
        <f>IF(OR($F660="",$G660=""),"",ROUND($F660/($G660/100)^2,2))</f>
        <v/>
      </c>
      <c r="K660" s="12">
        <f>IF(OR($S660="",$J660="",$T660="",$T660&lt;0,$T660&gt;228,$Y660=""),"—",ROUND(IF(ABS($AB660)&lt;=3,$AB660,IF($AB660&gt;3,3+($J660-$AD660)/($AD660-$AC660),-3+($J660-$AF660)/($AE660-$AF660))),2))</f>
        <v/>
      </c>
      <c r="L660">
        <f>IF(OR($K660="",$K660="—"),"",IF($T660&lt;=60,IF($K660&lt;-3,"Magreza acentuada",IF($K660&lt;-2,"Magreza",IF($K660&lt;=1,"Eutrofia",IF($K660&lt;=2,"Risco de sobrepeso",IF($K660&lt;=3,"Sobrepeso","Obesidade"))))),IF($K660&lt;-3,"Magreza acentuada",IF($K660&lt;-2,"Magreza",IF($K660&lt;=1,"Eutrofia",IF($K660&lt;=2,"Sobrepeso",IF($K660&lt;=3,"Obesidade","Obesidade grave")))))))</f>
        <v/>
      </c>
      <c r="M660" s="12">
        <f>IF(OR($S660="",$V660="",$T660="",$T660&lt;0,$T660&gt;228,$AG660=""),"—",ROUND(IF($AG660=0,LN($V660/$AH660)/$AI660,((($V660/$AH660)^$AG660)-1)/($AG660*$AI660)),2))</f>
        <v/>
      </c>
      <c r="N660">
        <f>IF(OR($M660="",$M660="—"),"",IF($M660&lt;-3,"Muito baixa",IF($M660&lt;-2,"Baixa","Adequada")))</f>
        <v/>
      </c>
      <c r="O660" s="12">
        <f>IF(OR($S660="",$F660="",$T660="",$T660&lt;0,$T660&gt;120,$AJ660=""),"—",ROUND(IF(ABS($AM660)&lt;=3,$AM660,IF($AM660&gt;3,3+($F660-$AO660)/($AO660-$AN660),-3+($F660-$AQ660)/($AP660-$AQ660))),2))</f>
        <v/>
      </c>
      <c r="P660">
        <f>IF(OR($O660="",$O660="—"),"",IF($O660&lt;-3,"Muito baixo",IF($O660&lt;-2,"Baixo",IF($O660&lt;=2,"Adequado","Elevado"))))</f>
        <v/>
      </c>
      <c r="Q660" s="12">
        <f>IF(OR($S660="",$F660="",$T660="",$T660&lt;0,$T660&gt;60,$AR660=""),"—",ROUND(IF(ABS($AU660)&lt;=3,$AU660,IF($AU660&gt;3,3+($F660-$AW660)/($AW660-$AV660),-3+($F660-$AY660)/($AX660-$AY660))),2))</f>
        <v/>
      </c>
      <c r="R660">
        <f>IF(OR($Q660="",$Q660="—"),"",IF($Q660&lt;-3,"Magreza acentuada",IF($Q660&lt;-2,"Magreza",IF($Q660&lt;=1,"Eutrofia",IF($Q660&lt;=2,"Risco de sobrepeso",IF($Q660&lt;=3,"Sobrepeso","Obesidade"))))))</f>
        <v/>
      </c>
      <c r="S660">
        <f>IF($C660="","",IF(UPPER(LEFT($C660,1))="M",1,IF(UPPER(LEFT($C660,1))="F",2,"")))</f>
        <v/>
      </c>
      <c r="T660">
        <f>IF(OR($D660="",$E660=""),"",DATEDIF($D660,$E660,"m"))</f>
        <v/>
      </c>
      <c r="U660">
        <f>IF(OR($D660="",$E660=""),"",$E660-$D660)</f>
        <v/>
      </c>
      <c r="V660">
        <f>IF(OR($G660="",$T660=""),"",IF($T660&lt;24,IF(LEFT(LOWER($H660),4)="em p",$G660+0.7,$G660),IF(LEFT(LOWER($H660),4)="deit",$G660-0.7,$G660)))</f>
        <v/>
      </c>
      <c r="W660">
        <f>IF(OR($S660="",$T660=""),"",$S660*1000000+IF($T660&lt;=60,$U660,$T660))</f>
        <v/>
      </c>
      <c r="X660">
        <f>IF(OR($S660="",$V660="",$T660&gt;60,$T660=""),"",$S660*1000000+ROUND($V660*10,0))</f>
        <v/>
      </c>
      <c r="Y660">
        <f>IF($W660="","",IFERROR(INDEX(IF($T660&lt;=60,imc05_l,imc519_l),MATCH($W660,IF($T660&lt;=60,imc05_k,imc519_k),1)),""))</f>
        <v/>
      </c>
      <c r="Z660">
        <f>IF($W660="","",IFERROR(INDEX(IF($T660&lt;=60,imc05_m,imc519_m),MATCH($W660,IF($T660&lt;=60,imc05_k,imc519_k),1)),""))</f>
        <v/>
      </c>
      <c r="AA660">
        <f>IF($W660="","",IFERROR(INDEX(IF($T660&lt;=60,imc05_s,imc519_s),MATCH($W660,IF($T660&lt;=60,imc05_k,imc519_k),1)),""))</f>
        <v/>
      </c>
      <c r="AB660">
        <f>IF($Y660="","",IF($Y660=0,LN($J660/$Z660)/$AA660,((($J660/$Z660)^$Y660)-1)/($Y660*$AA660)))</f>
        <v/>
      </c>
      <c r="AC660">
        <f>IF($Y660="","",IF($Y660=0,$Z660*EXP($AA660*2),$Z660*(1+$Y660*$AA660*2)^(1/$Y660)))</f>
        <v/>
      </c>
      <c r="AD660">
        <f>IF($Y660="","",IF($Y660=0,$Z660*EXP($AA660*3),$Z660*(1+$Y660*$AA660*3)^(1/$Y660)))</f>
        <v/>
      </c>
      <c r="AE660">
        <f>IF($Y660="","",IF($Y660=0,$Z660*EXP($AA660*-2),$Z660*(1+$Y660*$AA660*-2)^(1/$Y660)))</f>
        <v/>
      </c>
      <c r="AF660">
        <f>IF($Y660="","",IF($Y660=0,$Z660*EXP($AA660*-3),$Z660*(1+$Y660*$AA660*-3)^(1/$Y660)))</f>
        <v/>
      </c>
      <c r="AG660">
        <f>IF($W660="","",IFERROR(INDEX(IF($T660&lt;=60,est05_l,est519_l),MATCH($W660,IF($T660&lt;=60,est05_k,est519_k),1)),""))</f>
        <v/>
      </c>
      <c r="AH660">
        <f>IF($W660="","",IFERROR(INDEX(IF($T660&lt;=60,est05_m,est519_m),MATCH($W660,IF($T660&lt;=60,est05_k,est519_k),1)),""))</f>
        <v/>
      </c>
      <c r="AI660">
        <f>IF($W660="","",IFERROR(INDEX(IF($T660&lt;=60,est05_s,est519_s),MATCH($W660,IF($T660&lt;=60,est05_k,est519_k),1)),""))</f>
        <v/>
      </c>
      <c r="AJ660">
        <f>IF($W660="","",IFERROR(INDEX(IF($T660&lt;=60,peso05_l,peso510_l),MATCH($W660,IF($T660&lt;=60,peso05_k,peso510_k),1)),""))</f>
        <v/>
      </c>
      <c r="AK660">
        <f>IF($W660="","",IFERROR(INDEX(IF($T660&lt;=60,peso05_m,peso510_m),MATCH($W660,IF($T660&lt;=60,peso05_k,peso510_k),1)),""))</f>
        <v/>
      </c>
      <c r="AL660">
        <f>IF($W660="","",IFERROR(INDEX(IF($T660&lt;=60,peso05_s,peso510_s),MATCH($W660,IF($T660&lt;=60,peso05_k,peso510_k),1)),""))</f>
        <v/>
      </c>
      <c r="AM660">
        <f>IF($AJ660="","",IF($AJ660=0,LN($F660/$AK660)/$AL660,((($F660/$AK660)^$AJ660)-1)/($AJ660*$AL660)))</f>
        <v/>
      </c>
      <c r="AN660">
        <f>IF($AJ660="","",IF($AJ660=0,$AK660*EXP($AL660*2),$AK660*(1+$AJ660*$AL660*2)^(1/$AJ660)))</f>
        <v/>
      </c>
      <c r="AO660">
        <f>IF($AJ660="","",IF($AJ660=0,$AK660*EXP($AL660*3),$AK660*(1+$AJ660*$AL660*3)^(1/$AJ660)))</f>
        <v/>
      </c>
      <c r="AP660">
        <f>IF($AJ660="","",IF($AJ660=0,$AK660*EXP($AL660*-2),$AK660*(1+$AJ660*$AL660*-2)^(1/$AJ660)))</f>
        <v/>
      </c>
      <c r="AQ660">
        <f>IF($AJ660="","",IF($AJ660=0,$AK660*EXP($AL660*-3),$AK660*(1+$AJ660*$AL660*-3)^(1/$AJ660)))</f>
        <v/>
      </c>
      <c r="AR660">
        <f>IF(OR($X660="",$T660&gt;60),"",IFERROR(INDEX(IF($T660&lt;24,pcomp_l,palt_l),MATCH($X660,IF($T660&lt;24,pcomp_k,palt_k),1)),""))</f>
        <v/>
      </c>
      <c r="AS660">
        <f>IF(OR($X660="",$T660&gt;60),"",IFERROR(INDEX(IF($T660&lt;24,pcomp_m,palt_m),MATCH($X660,IF($T660&lt;24,pcomp_k,palt_k),1)),""))</f>
        <v/>
      </c>
      <c r="AT660">
        <f>IF(OR($X660="",$T660&gt;60),"",IFERROR(INDEX(IF($T660&lt;24,pcomp_s,palt_s),MATCH($X660,IF($T660&lt;24,pcomp_k,palt_k),1)),""))</f>
        <v/>
      </c>
      <c r="AU660">
        <f>IF($AR660="","",IF($AR660=0,LN($F660/$AS660)/$AT660,((($F660/$AS660)^$AR660)-1)/($AR660*$AT660)))</f>
        <v/>
      </c>
      <c r="AV660">
        <f>IF($AR660="","",IF($AR660=0,$AS660*EXP($AT660*2),$AS660*(1+$AR660*$AT660*2)^(1/$AR660)))</f>
        <v/>
      </c>
      <c r="AW660">
        <f>IF($AR660="","",IF($AR660=0,$AS660*EXP($AT660*3),$AS660*(1+$AR660*$AT660*3)^(1/$AR660)))</f>
        <v/>
      </c>
      <c r="AX660">
        <f>IF($AR660="","",IF($AR660=0,$AS660*EXP($AT660*-2),$AS660*(1+$AR660*$AT660*-2)^(1/$AR660)))</f>
        <v/>
      </c>
      <c r="AY660">
        <f>IF($AR660="","",IF($AR660=0,$AS660*EXP($AT660*-3),$AS660*(1+$AR660*$AT660*-3)^(1/$AR660)))</f>
        <v/>
      </c>
      <c r="AZ660">
        <f>IF(OR($A660="",$A660&lt;&gt;Ficha!$C$4),"",COUNTIF($A$2:$A660,Ficha!$C$4))</f>
        <v/>
      </c>
    </row>
    <row r="661">
      <c r="A661" s="8">
        <f>IF(INDEX(Banco!$A:$A,ROW())="","",INDEX(Banco!$A:$A,ROW()))</f>
        <v/>
      </c>
      <c r="B661" s="8">
        <f>IF(INDEX(Banco!$B:$B,ROW())="","",INDEX(Banco!$B:$B,ROW()))</f>
        <v/>
      </c>
      <c r="C661" s="8">
        <f>IF(INDEX(Banco!$C:$C,ROW())="","",INDEX(Banco!$C:$C,ROW()))</f>
        <v/>
      </c>
      <c r="D661" s="9">
        <f>IF(INDEX(Banco!$D:$D,ROW())="","",INDEX(Banco!$D:$D,ROW()))</f>
        <v/>
      </c>
      <c r="E661" s="9">
        <f>IF(INDEX(Banco!$E:$E,ROW())="","",INDEX(Banco!$E:$E,ROW()))</f>
        <v/>
      </c>
      <c r="F661" s="10">
        <f>IF(INDEX(Banco!$F:$F,ROW())="","",INDEX(Banco!$F:$F,ROW()))</f>
        <v/>
      </c>
      <c r="G661" s="10">
        <f>IF(INDEX(Banco!$G:$G,ROW())="","",INDEX(Banco!$G:$G,ROW()))</f>
        <v/>
      </c>
      <c r="H661" s="8">
        <f>IF(INDEX(Banco!$H:$H,ROW())="","",INDEX(Banco!$H:$H,ROW()))</f>
        <v/>
      </c>
      <c r="I661">
        <f>IF($T661="","",INT($T661/12)&amp;"a "&amp;MOD($T661,12)&amp;"m")</f>
        <v/>
      </c>
      <c r="J661" s="11">
        <f>IF(OR($F661="",$G661=""),"",ROUND($F661/($G661/100)^2,2))</f>
        <v/>
      </c>
      <c r="K661" s="12">
        <f>IF(OR($S661="",$J661="",$T661="",$T661&lt;0,$T661&gt;228,$Y661=""),"—",ROUND(IF(ABS($AB661)&lt;=3,$AB661,IF($AB661&gt;3,3+($J661-$AD661)/($AD661-$AC661),-3+($J661-$AF661)/($AE661-$AF661))),2))</f>
        <v/>
      </c>
      <c r="L661">
        <f>IF(OR($K661="",$K661="—"),"",IF($T661&lt;=60,IF($K661&lt;-3,"Magreza acentuada",IF($K661&lt;-2,"Magreza",IF($K661&lt;=1,"Eutrofia",IF($K661&lt;=2,"Risco de sobrepeso",IF($K661&lt;=3,"Sobrepeso","Obesidade"))))),IF($K661&lt;-3,"Magreza acentuada",IF($K661&lt;-2,"Magreza",IF($K661&lt;=1,"Eutrofia",IF($K661&lt;=2,"Sobrepeso",IF($K661&lt;=3,"Obesidade","Obesidade grave")))))))</f>
        <v/>
      </c>
      <c r="M661" s="12">
        <f>IF(OR($S661="",$V661="",$T661="",$T661&lt;0,$T661&gt;228,$AG661=""),"—",ROUND(IF($AG661=0,LN($V661/$AH661)/$AI661,((($V661/$AH661)^$AG661)-1)/($AG661*$AI661)),2))</f>
        <v/>
      </c>
      <c r="N661">
        <f>IF(OR($M661="",$M661="—"),"",IF($M661&lt;-3,"Muito baixa",IF($M661&lt;-2,"Baixa","Adequada")))</f>
        <v/>
      </c>
      <c r="O661" s="12">
        <f>IF(OR($S661="",$F661="",$T661="",$T661&lt;0,$T661&gt;120,$AJ661=""),"—",ROUND(IF(ABS($AM661)&lt;=3,$AM661,IF($AM661&gt;3,3+($F661-$AO661)/($AO661-$AN661),-3+($F661-$AQ661)/($AP661-$AQ661))),2))</f>
        <v/>
      </c>
      <c r="P661">
        <f>IF(OR($O661="",$O661="—"),"",IF($O661&lt;-3,"Muito baixo",IF($O661&lt;-2,"Baixo",IF($O661&lt;=2,"Adequado","Elevado"))))</f>
        <v/>
      </c>
      <c r="Q661" s="12">
        <f>IF(OR($S661="",$F661="",$T661="",$T661&lt;0,$T661&gt;60,$AR661=""),"—",ROUND(IF(ABS($AU661)&lt;=3,$AU661,IF($AU661&gt;3,3+($F661-$AW661)/($AW661-$AV661),-3+($F661-$AY661)/($AX661-$AY661))),2))</f>
        <v/>
      </c>
      <c r="R661">
        <f>IF(OR($Q661="",$Q661="—"),"",IF($Q661&lt;-3,"Magreza acentuada",IF($Q661&lt;-2,"Magreza",IF($Q661&lt;=1,"Eutrofia",IF($Q661&lt;=2,"Risco de sobrepeso",IF($Q661&lt;=3,"Sobrepeso","Obesidade"))))))</f>
        <v/>
      </c>
      <c r="S661">
        <f>IF($C661="","",IF(UPPER(LEFT($C661,1))="M",1,IF(UPPER(LEFT($C661,1))="F",2,"")))</f>
        <v/>
      </c>
      <c r="T661">
        <f>IF(OR($D661="",$E661=""),"",DATEDIF($D661,$E661,"m"))</f>
        <v/>
      </c>
      <c r="U661">
        <f>IF(OR($D661="",$E661=""),"",$E661-$D661)</f>
        <v/>
      </c>
      <c r="V661">
        <f>IF(OR($G661="",$T661=""),"",IF($T661&lt;24,IF(LEFT(LOWER($H661),4)="em p",$G661+0.7,$G661),IF(LEFT(LOWER($H661),4)="deit",$G661-0.7,$G661)))</f>
        <v/>
      </c>
      <c r="W661">
        <f>IF(OR($S661="",$T661=""),"",$S661*1000000+IF($T661&lt;=60,$U661,$T661))</f>
        <v/>
      </c>
      <c r="X661">
        <f>IF(OR($S661="",$V661="",$T661&gt;60,$T661=""),"",$S661*1000000+ROUND($V661*10,0))</f>
        <v/>
      </c>
      <c r="Y661">
        <f>IF($W661="","",IFERROR(INDEX(IF($T661&lt;=60,imc05_l,imc519_l),MATCH($W661,IF($T661&lt;=60,imc05_k,imc519_k),1)),""))</f>
        <v/>
      </c>
      <c r="Z661">
        <f>IF($W661="","",IFERROR(INDEX(IF($T661&lt;=60,imc05_m,imc519_m),MATCH($W661,IF($T661&lt;=60,imc05_k,imc519_k),1)),""))</f>
        <v/>
      </c>
      <c r="AA661">
        <f>IF($W661="","",IFERROR(INDEX(IF($T661&lt;=60,imc05_s,imc519_s),MATCH($W661,IF($T661&lt;=60,imc05_k,imc519_k),1)),""))</f>
        <v/>
      </c>
      <c r="AB661">
        <f>IF($Y661="","",IF($Y661=0,LN($J661/$Z661)/$AA661,((($J661/$Z661)^$Y661)-1)/($Y661*$AA661)))</f>
        <v/>
      </c>
      <c r="AC661">
        <f>IF($Y661="","",IF($Y661=0,$Z661*EXP($AA661*2),$Z661*(1+$Y661*$AA661*2)^(1/$Y661)))</f>
        <v/>
      </c>
      <c r="AD661">
        <f>IF($Y661="","",IF($Y661=0,$Z661*EXP($AA661*3),$Z661*(1+$Y661*$AA661*3)^(1/$Y661)))</f>
        <v/>
      </c>
      <c r="AE661">
        <f>IF($Y661="","",IF($Y661=0,$Z661*EXP($AA661*-2),$Z661*(1+$Y661*$AA661*-2)^(1/$Y661)))</f>
        <v/>
      </c>
      <c r="AF661">
        <f>IF($Y661="","",IF($Y661=0,$Z661*EXP($AA661*-3),$Z661*(1+$Y661*$AA661*-3)^(1/$Y661)))</f>
        <v/>
      </c>
      <c r="AG661">
        <f>IF($W661="","",IFERROR(INDEX(IF($T661&lt;=60,est05_l,est519_l),MATCH($W661,IF($T661&lt;=60,est05_k,est519_k),1)),""))</f>
        <v/>
      </c>
      <c r="AH661">
        <f>IF($W661="","",IFERROR(INDEX(IF($T661&lt;=60,est05_m,est519_m),MATCH($W661,IF($T661&lt;=60,est05_k,est519_k),1)),""))</f>
        <v/>
      </c>
      <c r="AI661">
        <f>IF($W661="","",IFERROR(INDEX(IF($T661&lt;=60,est05_s,est519_s),MATCH($W661,IF($T661&lt;=60,est05_k,est519_k),1)),""))</f>
        <v/>
      </c>
      <c r="AJ661">
        <f>IF($W661="","",IFERROR(INDEX(IF($T661&lt;=60,peso05_l,peso510_l),MATCH($W661,IF($T661&lt;=60,peso05_k,peso510_k),1)),""))</f>
        <v/>
      </c>
      <c r="AK661">
        <f>IF($W661="","",IFERROR(INDEX(IF($T661&lt;=60,peso05_m,peso510_m),MATCH($W661,IF($T661&lt;=60,peso05_k,peso510_k),1)),""))</f>
        <v/>
      </c>
      <c r="AL661">
        <f>IF($W661="","",IFERROR(INDEX(IF($T661&lt;=60,peso05_s,peso510_s),MATCH($W661,IF($T661&lt;=60,peso05_k,peso510_k),1)),""))</f>
        <v/>
      </c>
      <c r="AM661">
        <f>IF($AJ661="","",IF($AJ661=0,LN($F661/$AK661)/$AL661,((($F661/$AK661)^$AJ661)-1)/($AJ661*$AL661)))</f>
        <v/>
      </c>
      <c r="AN661">
        <f>IF($AJ661="","",IF($AJ661=0,$AK661*EXP($AL661*2),$AK661*(1+$AJ661*$AL661*2)^(1/$AJ661)))</f>
        <v/>
      </c>
      <c r="AO661">
        <f>IF($AJ661="","",IF($AJ661=0,$AK661*EXP($AL661*3),$AK661*(1+$AJ661*$AL661*3)^(1/$AJ661)))</f>
        <v/>
      </c>
      <c r="AP661">
        <f>IF($AJ661="","",IF($AJ661=0,$AK661*EXP($AL661*-2),$AK661*(1+$AJ661*$AL661*-2)^(1/$AJ661)))</f>
        <v/>
      </c>
      <c r="AQ661">
        <f>IF($AJ661="","",IF($AJ661=0,$AK661*EXP($AL661*-3),$AK661*(1+$AJ661*$AL661*-3)^(1/$AJ661)))</f>
        <v/>
      </c>
      <c r="AR661">
        <f>IF(OR($X661="",$T661&gt;60),"",IFERROR(INDEX(IF($T661&lt;24,pcomp_l,palt_l),MATCH($X661,IF($T661&lt;24,pcomp_k,palt_k),1)),""))</f>
        <v/>
      </c>
      <c r="AS661">
        <f>IF(OR($X661="",$T661&gt;60),"",IFERROR(INDEX(IF($T661&lt;24,pcomp_m,palt_m),MATCH($X661,IF($T661&lt;24,pcomp_k,palt_k),1)),""))</f>
        <v/>
      </c>
      <c r="AT661">
        <f>IF(OR($X661="",$T661&gt;60),"",IFERROR(INDEX(IF($T661&lt;24,pcomp_s,palt_s),MATCH($X661,IF($T661&lt;24,pcomp_k,palt_k),1)),""))</f>
        <v/>
      </c>
      <c r="AU661">
        <f>IF($AR661="","",IF($AR661=0,LN($F661/$AS661)/$AT661,((($F661/$AS661)^$AR661)-1)/($AR661*$AT661)))</f>
        <v/>
      </c>
      <c r="AV661">
        <f>IF($AR661="","",IF($AR661=0,$AS661*EXP($AT661*2),$AS661*(1+$AR661*$AT661*2)^(1/$AR661)))</f>
        <v/>
      </c>
      <c r="AW661">
        <f>IF($AR661="","",IF($AR661=0,$AS661*EXP($AT661*3),$AS661*(1+$AR661*$AT661*3)^(1/$AR661)))</f>
        <v/>
      </c>
      <c r="AX661">
        <f>IF($AR661="","",IF($AR661=0,$AS661*EXP($AT661*-2),$AS661*(1+$AR661*$AT661*-2)^(1/$AR661)))</f>
        <v/>
      </c>
      <c r="AY661">
        <f>IF($AR661="","",IF($AR661=0,$AS661*EXP($AT661*-3),$AS661*(1+$AR661*$AT661*-3)^(1/$AR661)))</f>
        <v/>
      </c>
      <c r="AZ661">
        <f>IF(OR($A661="",$A661&lt;&gt;Ficha!$C$4),"",COUNTIF($A$2:$A661,Ficha!$C$4))</f>
        <v/>
      </c>
    </row>
    <row r="662">
      <c r="A662" s="8">
        <f>IF(INDEX(Banco!$A:$A,ROW())="","",INDEX(Banco!$A:$A,ROW()))</f>
        <v/>
      </c>
      <c r="B662" s="8">
        <f>IF(INDEX(Banco!$B:$B,ROW())="","",INDEX(Banco!$B:$B,ROW()))</f>
        <v/>
      </c>
      <c r="C662" s="8">
        <f>IF(INDEX(Banco!$C:$C,ROW())="","",INDEX(Banco!$C:$C,ROW()))</f>
        <v/>
      </c>
      <c r="D662" s="9">
        <f>IF(INDEX(Banco!$D:$D,ROW())="","",INDEX(Banco!$D:$D,ROW()))</f>
        <v/>
      </c>
      <c r="E662" s="9">
        <f>IF(INDEX(Banco!$E:$E,ROW())="","",INDEX(Banco!$E:$E,ROW()))</f>
        <v/>
      </c>
      <c r="F662" s="10">
        <f>IF(INDEX(Banco!$F:$F,ROW())="","",INDEX(Banco!$F:$F,ROW()))</f>
        <v/>
      </c>
      <c r="G662" s="10">
        <f>IF(INDEX(Banco!$G:$G,ROW())="","",INDEX(Banco!$G:$G,ROW()))</f>
        <v/>
      </c>
      <c r="H662" s="8">
        <f>IF(INDEX(Banco!$H:$H,ROW())="","",INDEX(Banco!$H:$H,ROW()))</f>
        <v/>
      </c>
      <c r="I662">
        <f>IF($T662="","",INT($T662/12)&amp;"a "&amp;MOD($T662,12)&amp;"m")</f>
        <v/>
      </c>
      <c r="J662" s="11">
        <f>IF(OR($F662="",$G662=""),"",ROUND($F662/($G662/100)^2,2))</f>
        <v/>
      </c>
      <c r="K662" s="12">
        <f>IF(OR($S662="",$J662="",$T662="",$T662&lt;0,$T662&gt;228,$Y662=""),"—",ROUND(IF(ABS($AB662)&lt;=3,$AB662,IF($AB662&gt;3,3+($J662-$AD662)/($AD662-$AC662),-3+($J662-$AF662)/($AE662-$AF662))),2))</f>
        <v/>
      </c>
      <c r="L662">
        <f>IF(OR($K662="",$K662="—"),"",IF($T662&lt;=60,IF($K662&lt;-3,"Magreza acentuada",IF($K662&lt;-2,"Magreza",IF($K662&lt;=1,"Eutrofia",IF($K662&lt;=2,"Risco de sobrepeso",IF($K662&lt;=3,"Sobrepeso","Obesidade"))))),IF($K662&lt;-3,"Magreza acentuada",IF($K662&lt;-2,"Magreza",IF($K662&lt;=1,"Eutrofia",IF($K662&lt;=2,"Sobrepeso",IF($K662&lt;=3,"Obesidade","Obesidade grave")))))))</f>
        <v/>
      </c>
      <c r="M662" s="12">
        <f>IF(OR($S662="",$V662="",$T662="",$T662&lt;0,$T662&gt;228,$AG662=""),"—",ROUND(IF($AG662=0,LN($V662/$AH662)/$AI662,((($V662/$AH662)^$AG662)-1)/($AG662*$AI662)),2))</f>
        <v/>
      </c>
      <c r="N662">
        <f>IF(OR($M662="",$M662="—"),"",IF($M662&lt;-3,"Muito baixa",IF($M662&lt;-2,"Baixa","Adequada")))</f>
        <v/>
      </c>
      <c r="O662" s="12">
        <f>IF(OR($S662="",$F662="",$T662="",$T662&lt;0,$T662&gt;120,$AJ662=""),"—",ROUND(IF(ABS($AM662)&lt;=3,$AM662,IF($AM662&gt;3,3+($F662-$AO662)/($AO662-$AN662),-3+($F662-$AQ662)/($AP662-$AQ662))),2))</f>
        <v/>
      </c>
      <c r="P662">
        <f>IF(OR($O662="",$O662="—"),"",IF($O662&lt;-3,"Muito baixo",IF($O662&lt;-2,"Baixo",IF($O662&lt;=2,"Adequado","Elevado"))))</f>
        <v/>
      </c>
      <c r="Q662" s="12">
        <f>IF(OR($S662="",$F662="",$T662="",$T662&lt;0,$T662&gt;60,$AR662=""),"—",ROUND(IF(ABS($AU662)&lt;=3,$AU662,IF($AU662&gt;3,3+($F662-$AW662)/($AW662-$AV662),-3+($F662-$AY662)/($AX662-$AY662))),2))</f>
        <v/>
      </c>
      <c r="R662">
        <f>IF(OR($Q662="",$Q662="—"),"",IF($Q662&lt;-3,"Magreza acentuada",IF($Q662&lt;-2,"Magreza",IF($Q662&lt;=1,"Eutrofia",IF($Q662&lt;=2,"Risco de sobrepeso",IF($Q662&lt;=3,"Sobrepeso","Obesidade"))))))</f>
        <v/>
      </c>
      <c r="S662">
        <f>IF($C662="","",IF(UPPER(LEFT($C662,1))="M",1,IF(UPPER(LEFT($C662,1))="F",2,"")))</f>
        <v/>
      </c>
      <c r="T662">
        <f>IF(OR($D662="",$E662=""),"",DATEDIF($D662,$E662,"m"))</f>
        <v/>
      </c>
      <c r="U662">
        <f>IF(OR($D662="",$E662=""),"",$E662-$D662)</f>
        <v/>
      </c>
      <c r="V662">
        <f>IF(OR($G662="",$T662=""),"",IF($T662&lt;24,IF(LEFT(LOWER($H662),4)="em p",$G662+0.7,$G662),IF(LEFT(LOWER($H662),4)="deit",$G662-0.7,$G662)))</f>
        <v/>
      </c>
      <c r="W662">
        <f>IF(OR($S662="",$T662=""),"",$S662*1000000+IF($T662&lt;=60,$U662,$T662))</f>
        <v/>
      </c>
      <c r="X662">
        <f>IF(OR($S662="",$V662="",$T662&gt;60,$T662=""),"",$S662*1000000+ROUND($V662*10,0))</f>
        <v/>
      </c>
      <c r="Y662">
        <f>IF($W662="","",IFERROR(INDEX(IF($T662&lt;=60,imc05_l,imc519_l),MATCH($W662,IF($T662&lt;=60,imc05_k,imc519_k),1)),""))</f>
        <v/>
      </c>
      <c r="Z662">
        <f>IF($W662="","",IFERROR(INDEX(IF($T662&lt;=60,imc05_m,imc519_m),MATCH($W662,IF($T662&lt;=60,imc05_k,imc519_k),1)),""))</f>
        <v/>
      </c>
      <c r="AA662">
        <f>IF($W662="","",IFERROR(INDEX(IF($T662&lt;=60,imc05_s,imc519_s),MATCH($W662,IF($T662&lt;=60,imc05_k,imc519_k),1)),""))</f>
        <v/>
      </c>
      <c r="AB662">
        <f>IF($Y662="","",IF($Y662=0,LN($J662/$Z662)/$AA662,((($J662/$Z662)^$Y662)-1)/($Y662*$AA662)))</f>
        <v/>
      </c>
      <c r="AC662">
        <f>IF($Y662="","",IF($Y662=0,$Z662*EXP($AA662*2),$Z662*(1+$Y662*$AA662*2)^(1/$Y662)))</f>
        <v/>
      </c>
      <c r="AD662">
        <f>IF($Y662="","",IF($Y662=0,$Z662*EXP($AA662*3),$Z662*(1+$Y662*$AA662*3)^(1/$Y662)))</f>
        <v/>
      </c>
      <c r="AE662">
        <f>IF($Y662="","",IF($Y662=0,$Z662*EXP($AA662*-2),$Z662*(1+$Y662*$AA662*-2)^(1/$Y662)))</f>
        <v/>
      </c>
      <c r="AF662">
        <f>IF($Y662="","",IF($Y662=0,$Z662*EXP($AA662*-3),$Z662*(1+$Y662*$AA662*-3)^(1/$Y662)))</f>
        <v/>
      </c>
      <c r="AG662">
        <f>IF($W662="","",IFERROR(INDEX(IF($T662&lt;=60,est05_l,est519_l),MATCH($W662,IF($T662&lt;=60,est05_k,est519_k),1)),""))</f>
        <v/>
      </c>
      <c r="AH662">
        <f>IF($W662="","",IFERROR(INDEX(IF($T662&lt;=60,est05_m,est519_m),MATCH($W662,IF($T662&lt;=60,est05_k,est519_k),1)),""))</f>
        <v/>
      </c>
      <c r="AI662">
        <f>IF($W662="","",IFERROR(INDEX(IF($T662&lt;=60,est05_s,est519_s),MATCH($W662,IF($T662&lt;=60,est05_k,est519_k),1)),""))</f>
        <v/>
      </c>
      <c r="AJ662">
        <f>IF($W662="","",IFERROR(INDEX(IF($T662&lt;=60,peso05_l,peso510_l),MATCH($W662,IF($T662&lt;=60,peso05_k,peso510_k),1)),""))</f>
        <v/>
      </c>
      <c r="AK662">
        <f>IF($W662="","",IFERROR(INDEX(IF($T662&lt;=60,peso05_m,peso510_m),MATCH($W662,IF($T662&lt;=60,peso05_k,peso510_k),1)),""))</f>
        <v/>
      </c>
      <c r="AL662">
        <f>IF($W662="","",IFERROR(INDEX(IF($T662&lt;=60,peso05_s,peso510_s),MATCH($W662,IF($T662&lt;=60,peso05_k,peso510_k),1)),""))</f>
        <v/>
      </c>
      <c r="AM662">
        <f>IF($AJ662="","",IF($AJ662=0,LN($F662/$AK662)/$AL662,((($F662/$AK662)^$AJ662)-1)/($AJ662*$AL662)))</f>
        <v/>
      </c>
      <c r="AN662">
        <f>IF($AJ662="","",IF($AJ662=0,$AK662*EXP($AL662*2),$AK662*(1+$AJ662*$AL662*2)^(1/$AJ662)))</f>
        <v/>
      </c>
      <c r="AO662">
        <f>IF($AJ662="","",IF($AJ662=0,$AK662*EXP($AL662*3),$AK662*(1+$AJ662*$AL662*3)^(1/$AJ662)))</f>
        <v/>
      </c>
      <c r="AP662">
        <f>IF($AJ662="","",IF($AJ662=0,$AK662*EXP($AL662*-2),$AK662*(1+$AJ662*$AL662*-2)^(1/$AJ662)))</f>
        <v/>
      </c>
      <c r="AQ662">
        <f>IF($AJ662="","",IF($AJ662=0,$AK662*EXP($AL662*-3),$AK662*(1+$AJ662*$AL662*-3)^(1/$AJ662)))</f>
        <v/>
      </c>
      <c r="AR662">
        <f>IF(OR($X662="",$T662&gt;60),"",IFERROR(INDEX(IF($T662&lt;24,pcomp_l,palt_l),MATCH($X662,IF($T662&lt;24,pcomp_k,palt_k),1)),""))</f>
        <v/>
      </c>
      <c r="AS662">
        <f>IF(OR($X662="",$T662&gt;60),"",IFERROR(INDEX(IF($T662&lt;24,pcomp_m,palt_m),MATCH($X662,IF($T662&lt;24,pcomp_k,palt_k),1)),""))</f>
        <v/>
      </c>
      <c r="AT662">
        <f>IF(OR($X662="",$T662&gt;60),"",IFERROR(INDEX(IF($T662&lt;24,pcomp_s,palt_s),MATCH($X662,IF($T662&lt;24,pcomp_k,palt_k),1)),""))</f>
        <v/>
      </c>
      <c r="AU662">
        <f>IF($AR662="","",IF($AR662=0,LN($F662/$AS662)/$AT662,((($F662/$AS662)^$AR662)-1)/($AR662*$AT662)))</f>
        <v/>
      </c>
      <c r="AV662">
        <f>IF($AR662="","",IF($AR662=0,$AS662*EXP($AT662*2),$AS662*(1+$AR662*$AT662*2)^(1/$AR662)))</f>
        <v/>
      </c>
      <c r="AW662">
        <f>IF($AR662="","",IF($AR662=0,$AS662*EXP($AT662*3),$AS662*(1+$AR662*$AT662*3)^(1/$AR662)))</f>
        <v/>
      </c>
      <c r="AX662">
        <f>IF($AR662="","",IF($AR662=0,$AS662*EXP($AT662*-2),$AS662*(1+$AR662*$AT662*-2)^(1/$AR662)))</f>
        <v/>
      </c>
      <c r="AY662">
        <f>IF($AR662="","",IF($AR662=0,$AS662*EXP($AT662*-3),$AS662*(1+$AR662*$AT662*-3)^(1/$AR662)))</f>
        <v/>
      </c>
      <c r="AZ662">
        <f>IF(OR($A662="",$A662&lt;&gt;Ficha!$C$4),"",COUNTIF($A$2:$A662,Ficha!$C$4))</f>
        <v/>
      </c>
    </row>
    <row r="663">
      <c r="A663" s="8">
        <f>IF(INDEX(Banco!$A:$A,ROW())="","",INDEX(Banco!$A:$A,ROW()))</f>
        <v/>
      </c>
      <c r="B663" s="8">
        <f>IF(INDEX(Banco!$B:$B,ROW())="","",INDEX(Banco!$B:$B,ROW()))</f>
        <v/>
      </c>
      <c r="C663" s="8">
        <f>IF(INDEX(Banco!$C:$C,ROW())="","",INDEX(Banco!$C:$C,ROW()))</f>
        <v/>
      </c>
      <c r="D663" s="9">
        <f>IF(INDEX(Banco!$D:$D,ROW())="","",INDEX(Banco!$D:$D,ROW()))</f>
        <v/>
      </c>
      <c r="E663" s="9">
        <f>IF(INDEX(Banco!$E:$E,ROW())="","",INDEX(Banco!$E:$E,ROW()))</f>
        <v/>
      </c>
      <c r="F663" s="10">
        <f>IF(INDEX(Banco!$F:$F,ROW())="","",INDEX(Banco!$F:$F,ROW()))</f>
        <v/>
      </c>
      <c r="G663" s="10">
        <f>IF(INDEX(Banco!$G:$G,ROW())="","",INDEX(Banco!$G:$G,ROW()))</f>
        <v/>
      </c>
      <c r="H663" s="8">
        <f>IF(INDEX(Banco!$H:$H,ROW())="","",INDEX(Banco!$H:$H,ROW()))</f>
        <v/>
      </c>
      <c r="I663">
        <f>IF($T663="","",INT($T663/12)&amp;"a "&amp;MOD($T663,12)&amp;"m")</f>
        <v/>
      </c>
      <c r="J663" s="11">
        <f>IF(OR($F663="",$G663=""),"",ROUND($F663/($G663/100)^2,2))</f>
        <v/>
      </c>
      <c r="K663" s="12">
        <f>IF(OR($S663="",$J663="",$T663="",$T663&lt;0,$T663&gt;228,$Y663=""),"—",ROUND(IF(ABS($AB663)&lt;=3,$AB663,IF($AB663&gt;3,3+($J663-$AD663)/($AD663-$AC663),-3+($J663-$AF663)/($AE663-$AF663))),2))</f>
        <v/>
      </c>
      <c r="L663">
        <f>IF(OR($K663="",$K663="—"),"",IF($T663&lt;=60,IF($K663&lt;-3,"Magreza acentuada",IF($K663&lt;-2,"Magreza",IF($K663&lt;=1,"Eutrofia",IF($K663&lt;=2,"Risco de sobrepeso",IF($K663&lt;=3,"Sobrepeso","Obesidade"))))),IF($K663&lt;-3,"Magreza acentuada",IF($K663&lt;-2,"Magreza",IF($K663&lt;=1,"Eutrofia",IF($K663&lt;=2,"Sobrepeso",IF($K663&lt;=3,"Obesidade","Obesidade grave")))))))</f>
        <v/>
      </c>
      <c r="M663" s="12">
        <f>IF(OR($S663="",$V663="",$T663="",$T663&lt;0,$T663&gt;228,$AG663=""),"—",ROUND(IF($AG663=0,LN($V663/$AH663)/$AI663,((($V663/$AH663)^$AG663)-1)/($AG663*$AI663)),2))</f>
        <v/>
      </c>
      <c r="N663">
        <f>IF(OR($M663="",$M663="—"),"",IF($M663&lt;-3,"Muito baixa",IF($M663&lt;-2,"Baixa","Adequada")))</f>
        <v/>
      </c>
      <c r="O663" s="12">
        <f>IF(OR($S663="",$F663="",$T663="",$T663&lt;0,$T663&gt;120,$AJ663=""),"—",ROUND(IF(ABS($AM663)&lt;=3,$AM663,IF($AM663&gt;3,3+($F663-$AO663)/($AO663-$AN663),-3+($F663-$AQ663)/($AP663-$AQ663))),2))</f>
        <v/>
      </c>
      <c r="P663">
        <f>IF(OR($O663="",$O663="—"),"",IF($O663&lt;-3,"Muito baixo",IF($O663&lt;-2,"Baixo",IF($O663&lt;=2,"Adequado","Elevado"))))</f>
        <v/>
      </c>
      <c r="Q663" s="12">
        <f>IF(OR($S663="",$F663="",$T663="",$T663&lt;0,$T663&gt;60,$AR663=""),"—",ROUND(IF(ABS($AU663)&lt;=3,$AU663,IF($AU663&gt;3,3+($F663-$AW663)/($AW663-$AV663),-3+($F663-$AY663)/($AX663-$AY663))),2))</f>
        <v/>
      </c>
      <c r="R663">
        <f>IF(OR($Q663="",$Q663="—"),"",IF($Q663&lt;-3,"Magreza acentuada",IF($Q663&lt;-2,"Magreza",IF($Q663&lt;=1,"Eutrofia",IF($Q663&lt;=2,"Risco de sobrepeso",IF($Q663&lt;=3,"Sobrepeso","Obesidade"))))))</f>
        <v/>
      </c>
      <c r="S663">
        <f>IF($C663="","",IF(UPPER(LEFT($C663,1))="M",1,IF(UPPER(LEFT($C663,1))="F",2,"")))</f>
        <v/>
      </c>
      <c r="T663">
        <f>IF(OR($D663="",$E663=""),"",DATEDIF($D663,$E663,"m"))</f>
        <v/>
      </c>
      <c r="U663">
        <f>IF(OR($D663="",$E663=""),"",$E663-$D663)</f>
        <v/>
      </c>
      <c r="V663">
        <f>IF(OR($G663="",$T663=""),"",IF($T663&lt;24,IF(LEFT(LOWER($H663),4)="em p",$G663+0.7,$G663),IF(LEFT(LOWER($H663),4)="deit",$G663-0.7,$G663)))</f>
        <v/>
      </c>
      <c r="W663">
        <f>IF(OR($S663="",$T663=""),"",$S663*1000000+IF($T663&lt;=60,$U663,$T663))</f>
        <v/>
      </c>
      <c r="X663">
        <f>IF(OR($S663="",$V663="",$T663&gt;60,$T663=""),"",$S663*1000000+ROUND($V663*10,0))</f>
        <v/>
      </c>
      <c r="Y663">
        <f>IF($W663="","",IFERROR(INDEX(IF($T663&lt;=60,imc05_l,imc519_l),MATCH($W663,IF($T663&lt;=60,imc05_k,imc519_k),1)),""))</f>
        <v/>
      </c>
      <c r="Z663">
        <f>IF($W663="","",IFERROR(INDEX(IF($T663&lt;=60,imc05_m,imc519_m),MATCH($W663,IF($T663&lt;=60,imc05_k,imc519_k),1)),""))</f>
        <v/>
      </c>
      <c r="AA663">
        <f>IF($W663="","",IFERROR(INDEX(IF($T663&lt;=60,imc05_s,imc519_s),MATCH($W663,IF($T663&lt;=60,imc05_k,imc519_k),1)),""))</f>
        <v/>
      </c>
      <c r="AB663">
        <f>IF($Y663="","",IF($Y663=0,LN($J663/$Z663)/$AA663,((($J663/$Z663)^$Y663)-1)/($Y663*$AA663)))</f>
        <v/>
      </c>
      <c r="AC663">
        <f>IF($Y663="","",IF($Y663=0,$Z663*EXP($AA663*2),$Z663*(1+$Y663*$AA663*2)^(1/$Y663)))</f>
        <v/>
      </c>
      <c r="AD663">
        <f>IF($Y663="","",IF($Y663=0,$Z663*EXP($AA663*3),$Z663*(1+$Y663*$AA663*3)^(1/$Y663)))</f>
        <v/>
      </c>
      <c r="AE663">
        <f>IF($Y663="","",IF($Y663=0,$Z663*EXP($AA663*-2),$Z663*(1+$Y663*$AA663*-2)^(1/$Y663)))</f>
        <v/>
      </c>
      <c r="AF663">
        <f>IF($Y663="","",IF($Y663=0,$Z663*EXP($AA663*-3),$Z663*(1+$Y663*$AA663*-3)^(1/$Y663)))</f>
        <v/>
      </c>
      <c r="AG663">
        <f>IF($W663="","",IFERROR(INDEX(IF($T663&lt;=60,est05_l,est519_l),MATCH($W663,IF($T663&lt;=60,est05_k,est519_k),1)),""))</f>
        <v/>
      </c>
      <c r="AH663">
        <f>IF($W663="","",IFERROR(INDEX(IF($T663&lt;=60,est05_m,est519_m),MATCH($W663,IF($T663&lt;=60,est05_k,est519_k),1)),""))</f>
        <v/>
      </c>
      <c r="AI663">
        <f>IF($W663="","",IFERROR(INDEX(IF($T663&lt;=60,est05_s,est519_s),MATCH($W663,IF($T663&lt;=60,est05_k,est519_k),1)),""))</f>
        <v/>
      </c>
      <c r="AJ663">
        <f>IF($W663="","",IFERROR(INDEX(IF($T663&lt;=60,peso05_l,peso510_l),MATCH($W663,IF($T663&lt;=60,peso05_k,peso510_k),1)),""))</f>
        <v/>
      </c>
      <c r="AK663">
        <f>IF($W663="","",IFERROR(INDEX(IF($T663&lt;=60,peso05_m,peso510_m),MATCH($W663,IF($T663&lt;=60,peso05_k,peso510_k),1)),""))</f>
        <v/>
      </c>
      <c r="AL663">
        <f>IF($W663="","",IFERROR(INDEX(IF($T663&lt;=60,peso05_s,peso510_s),MATCH($W663,IF($T663&lt;=60,peso05_k,peso510_k),1)),""))</f>
        <v/>
      </c>
      <c r="AM663">
        <f>IF($AJ663="","",IF($AJ663=0,LN($F663/$AK663)/$AL663,((($F663/$AK663)^$AJ663)-1)/($AJ663*$AL663)))</f>
        <v/>
      </c>
      <c r="AN663">
        <f>IF($AJ663="","",IF($AJ663=0,$AK663*EXP($AL663*2),$AK663*(1+$AJ663*$AL663*2)^(1/$AJ663)))</f>
        <v/>
      </c>
      <c r="AO663">
        <f>IF($AJ663="","",IF($AJ663=0,$AK663*EXP($AL663*3),$AK663*(1+$AJ663*$AL663*3)^(1/$AJ663)))</f>
        <v/>
      </c>
      <c r="AP663">
        <f>IF($AJ663="","",IF($AJ663=0,$AK663*EXP($AL663*-2),$AK663*(1+$AJ663*$AL663*-2)^(1/$AJ663)))</f>
        <v/>
      </c>
      <c r="AQ663">
        <f>IF($AJ663="","",IF($AJ663=0,$AK663*EXP($AL663*-3),$AK663*(1+$AJ663*$AL663*-3)^(1/$AJ663)))</f>
        <v/>
      </c>
      <c r="AR663">
        <f>IF(OR($X663="",$T663&gt;60),"",IFERROR(INDEX(IF($T663&lt;24,pcomp_l,palt_l),MATCH($X663,IF($T663&lt;24,pcomp_k,palt_k),1)),""))</f>
        <v/>
      </c>
      <c r="AS663">
        <f>IF(OR($X663="",$T663&gt;60),"",IFERROR(INDEX(IF($T663&lt;24,pcomp_m,palt_m),MATCH($X663,IF($T663&lt;24,pcomp_k,palt_k),1)),""))</f>
        <v/>
      </c>
      <c r="AT663">
        <f>IF(OR($X663="",$T663&gt;60),"",IFERROR(INDEX(IF($T663&lt;24,pcomp_s,palt_s),MATCH($X663,IF($T663&lt;24,pcomp_k,palt_k),1)),""))</f>
        <v/>
      </c>
      <c r="AU663">
        <f>IF($AR663="","",IF($AR663=0,LN($F663/$AS663)/$AT663,((($F663/$AS663)^$AR663)-1)/($AR663*$AT663)))</f>
        <v/>
      </c>
      <c r="AV663">
        <f>IF($AR663="","",IF($AR663=0,$AS663*EXP($AT663*2),$AS663*(1+$AR663*$AT663*2)^(1/$AR663)))</f>
        <v/>
      </c>
      <c r="AW663">
        <f>IF($AR663="","",IF($AR663=0,$AS663*EXP($AT663*3),$AS663*(1+$AR663*$AT663*3)^(1/$AR663)))</f>
        <v/>
      </c>
      <c r="AX663">
        <f>IF($AR663="","",IF($AR663=0,$AS663*EXP($AT663*-2),$AS663*(1+$AR663*$AT663*-2)^(1/$AR663)))</f>
        <v/>
      </c>
      <c r="AY663">
        <f>IF($AR663="","",IF($AR663=0,$AS663*EXP($AT663*-3),$AS663*(1+$AR663*$AT663*-3)^(1/$AR663)))</f>
        <v/>
      </c>
      <c r="AZ663">
        <f>IF(OR($A663="",$A663&lt;&gt;Ficha!$C$4),"",COUNTIF($A$2:$A663,Ficha!$C$4))</f>
        <v/>
      </c>
    </row>
    <row r="664">
      <c r="A664" s="8">
        <f>IF(INDEX(Banco!$A:$A,ROW())="","",INDEX(Banco!$A:$A,ROW()))</f>
        <v/>
      </c>
      <c r="B664" s="8">
        <f>IF(INDEX(Banco!$B:$B,ROW())="","",INDEX(Banco!$B:$B,ROW()))</f>
        <v/>
      </c>
      <c r="C664" s="8">
        <f>IF(INDEX(Banco!$C:$C,ROW())="","",INDEX(Banco!$C:$C,ROW()))</f>
        <v/>
      </c>
      <c r="D664" s="9">
        <f>IF(INDEX(Banco!$D:$D,ROW())="","",INDEX(Banco!$D:$D,ROW()))</f>
        <v/>
      </c>
      <c r="E664" s="9">
        <f>IF(INDEX(Banco!$E:$E,ROW())="","",INDEX(Banco!$E:$E,ROW()))</f>
        <v/>
      </c>
      <c r="F664" s="10">
        <f>IF(INDEX(Banco!$F:$F,ROW())="","",INDEX(Banco!$F:$F,ROW()))</f>
        <v/>
      </c>
      <c r="G664" s="10">
        <f>IF(INDEX(Banco!$G:$G,ROW())="","",INDEX(Banco!$G:$G,ROW()))</f>
        <v/>
      </c>
      <c r="H664" s="8">
        <f>IF(INDEX(Banco!$H:$H,ROW())="","",INDEX(Banco!$H:$H,ROW()))</f>
        <v/>
      </c>
      <c r="I664">
        <f>IF($T664="","",INT($T664/12)&amp;"a "&amp;MOD($T664,12)&amp;"m")</f>
        <v/>
      </c>
      <c r="J664" s="11">
        <f>IF(OR($F664="",$G664=""),"",ROUND($F664/($G664/100)^2,2))</f>
        <v/>
      </c>
      <c r="K664" s="12">
        <f>IF(OR($S664="",$J664="",$T664="",$T664&lt;0,$T664&gt;228,$Y664=""),"—",ROUND(IF(ABS($AB664)&lt;=3,$AB664,IF($AB664&gt;3,3+($J664-$AD664)/($AD664-$AC664),-3+($J664-$AF664)/($AE664-$AF664))),2))</f>
        <v/>
      </c>
      <c r="L664">
        <f>IF(OR($K664="",$K664="—"),"",IF($T664&lt;=60,IF($K664&lt;-3,"Magreza acentuada",IF($K664&lt;-2,"Magreza",IF($K664&lt;=1,"Eutrofia",IF($K664&lt;=2,"Risco de sobrepeso",IF($K664&lt;=3,"Sobrepeso","Obesidade"))))),IF($K664&lt;-3,"Magreza acentuada",IF($K664&lt;-2,"Magreza",IF($K664&lt;=1,"Eutrofia",IF($K664&lt;=2,"Sobrepeso",IF($K664&lt;=3,"Obesidade","Obesidade grave")))))))</f>
        <v/>
      </c>
      <c r="M664" s="12">
        <f>IF(OR($S664="",$V664="",$T664="",$T664&lt;0,$T664&gt;228,$AG664=""),"—",ROUND(IF($AG664=0,LN($V664/$AH664)/$AI664,((($V664/$AH664)^$AG664)-1)/($AG664*$AI664)),2))</f>
        <v/>
      </c>
      <c r="N664">
        <f>IF(OR($M664="",$M664="—"),"",IF($M664&lt;-3,"Muito baixa",IF($M664&lt;-2,"Baixa","Adequada")))</f>
        <v/>
      </c>
      <c r="O664" s="12">
        <f>IF(OR($S664="",$F664="",$T664="",$T664&lt;0,$T664&gt;120,$AJ664=""),"—",ROUND(IF(ABS($AM664)&lt;=3,$AM664,IF($AM664&gt;3,3+($F664-$AO664)/($AO664-$AN664),-3+($F664-$AQ664)/($AP664-$AQ664))),2))</f>
        <v/>
      </c>
      <c r="P664">
        <f>IF(OR($O664="",$O664="—"),"",IF($O664&lt;-3,"Muito baixo",IF($O664&lt;-2,"Baixo",IF($O664&lt;=2,"Adequado","Elevado"))))</f>
        <v/>
      </c>
      <c r="Q664" s="12">
        <f>IF(OR($S664="",$F664="",$T664="",$T664&lt;0,$T664&gt;60,$AR664=""),"—",ROUND(IF(ABS($AU664)&lt;=3,$AU664,IF($AU664&gt;3,3+($F664-$AW664)/($AW664-$AV664),-3+($F664-$AY664)/($AX664-$AY664))),2))</f>
        <v/>
      </c>
      <c r="R664">
        <f>IF(OR($Q664="",$Q664="—"),"",IF($Q664&lt;-3,"Magreza acentuada",IF($Q664&lt;-2,"Magreza",IF($Q664&lt;=1,"Eutrofia",IF($Q664&lt;=2,"Risco de sobrepeso",IF($Q664&lt;=3,"Sobrepeso","Obesidade"))))))</f>
        <v/>
      </c>
      <c r="S664">
        <f>IF($C664="","",IF(UPPER(LEFT($C664,1))="M",1,IF(UPPER(LEFT($C664,1))="F",2,"")))</f>
        <v/>
      </c>
      <c r="T664">
        <f>IF(OR($D664="",$E664=""),"",DATEDIF($D664,$E664,"m"))</f>
        <v/>
      </c>
      <c r="U664">
        <f>IF(OR($D664="",$E664=""),"",$E664-$D664)</f>
        <v/>
      </c>
      <c r="V664">
        <f>IF(OR($G664="",$T664=""),"",IF($T664&lt;24,IF(LEFT(LOWER($H664),4)="em p",$G664+0.7,$G664),IF(LEFT(LOWER($H664),4)="deit",$G664-0.7,$G664)))</f>
        <v/>
      </c>
      <c r="W664">
        <f>IF(OR($S664="",$T664=""),"",$S664*1000000+IF($T664&lt;=60,$U664,$T664))</f>
        <v/>
      </c>
      <c r="X664">
        <f>IF(OR($S664="",$V664="",$T664&gt;60,$T664=""),"",$S664*1000000+ROUND($V664*10,0))</f>
        <v/>
      </c>
      <c r="Y664">
        <f>IF($W664="","",IFERROR(INDEX(IF($T664&lt;=60,imc05_l,imc519_l),MATCH($W664,IF($T664&lt;=60,imc05_k,imc519_k),1)),""))</f>
        <v/>
      </c>
      <c r="Z664">
        <f>IF($W664="","",IFERROR(INDEX(IF($T664&lt;=60,imc05_m,imc519_m),MATCH($W664,IF($T664&lt;=60,imc05_k,imc519_k),1)),""))</f>
        <v/>
      </c>
      <c r="AA664">
        <f>IF($W664="","",IFERROR(INDEX(IF($T664&lt;=60,imc05_s,imc519_s),MATCH($W664,IF($T664&lt;=60,imc05_k,imc519_k),1)),""))</f>
        <v/>
      </c>
      <c r="AB664">
        <f>IF($Y664="","",IF($Y664=0,LN($J664/$Z664)/$AA664,((($J664/$Z664)^$Y664)-1)/($Y664*$AA664)))</f>
        <v/>
      </c>
      <c r="AC664">
        <f>IF($Y664="","",IF($Y664=0,$Z664*EXP($AA664*2),$Z664*(1+$Y664*$AA664*2)^(1/$Y664)))</f>
        <v/>
      </c>
      <c r="AD664">
        <f>IF($Y664="","",IF($Y664=0,$Z664*EXP($AA664*3),$Z664*(1+$Y664*$AA664*3)^(1/$Y664)))</f>
        <v/>
      </c>
      <c r="AE664">
        <f>IF($Y664="","",IF($Y664=0,$Z664*EXP($AA664*-2),$Z664*(1+$Y664*$AA664*-2)^(1/$Y664)))</f>
        <v/>
      </c>
      <c r="AF664">
        <f>IF($Y664="","",IF($Y664=0,$Z664*EXP($AA664*-3),$Z664*(1+$Y664*$AA664*-3)^(1/$Y664)))</f>
        <v/>
      </c>
      <c r="AG664">
        <f>IF($W664="","",IFERROR(INDEX(IF($T664&lt;=60,est05_l,est519_l),MATCH($W664,IF($T664&lt;=60,est05_k,est519_k),1)),""))</f>
        <v/>
      </c>
      <c r="AH664">
        <f>IF($W664="","",IFERROR(INDEX(IF($T664&lt;=60,est05_m,est519_m),MATCH($W664,IF($T664&lt;=60,est05_k,est519_k),1)),""))</f>
        <v/>
      </c>
      <c r="AI664">
        <f>IF($W664="","",IFERROR(INDEX(IF($T664&lt;=60,est05_s,est519_s),MATCH($W664,IF($T664&lt;=60,est05_k,est519_k),1)),""))</f>
        <v/>
      </c>
      <c r="AJ664">
        <f>IF($W664="","",IFERROR(INDEX(IF($T664&lt;=60,peso05_l,peso510_l),MATCH($W664,IF($T664&lt;=60,peso05_k,peso510_k),1)),""))</f>
        <v/>
      </c>
      <c r="AK664">
        <f>IF($W664="","",IFERROR(INDEX(IF($T664&lt;=60,peso05_m,peso510_m),MATCH($W664,IF($T664&lt;=60,peso05_k,peso510_k),1)),""))</f>
        <v/>
      </c>
      <c r="AL664">
        <f>IF($W664="","",IFERROR(INDEX(IF($T664&lt;=60,peso05_s,peso510_s),MATCH($W664,IF($T664&lt;=60,peso05_k,peso510_k),1)),""))</f>
        <v/>
      </c>
      <c r="AM664">
        <f>IF($AJ664="","",IF($AJ664=0,LN($F664/$AK664)/$AL664,((($F664/$AK664)^$AJ664)-1)/($AJ664*$AL664)))</f>
        <v/>
      </c>
      <c r="AN664">
        <f>IF($AJ664="","",IF($AJ664=0,$AK664*EXP($AL664*2),$AK664*(1+$AJ664*$AL664*2)^(1/$AJ664)))</f>
        <v/>
      </c>
      <c r="AO664">
        <f>IF($AJ664="","",IF($AJ664=0,$AK664*EXP($AL664*3),$AK664*(1+$AJ664*$AL664*3)^(1/$AJ664)))</f>
        <v/>
      </c>
      <c r="AP664">
        <f>IF($AJ664="","",IF($AJ664=0,$AK664*EXP($AL664*-2),$AK664*(1+$AJ664*$AL664*-2)^(1/$AJ664)))</f>
        <v/>
      </c>
      <c r="AQ664">
        <f>IF($AJ664="","",IF($AJ664=0,$AK664*EXP($AL664*-3),$AK664*(1+$AJ664*$AL664*-3)^(1/$AJ664)))</f>
        <v/>
      </c>
      <c r="AR664">
        <f>IF(OR($X664="",$T664&gt;60),"",IFERROR(INDEX(IF($T664&lt;24,pcomp_l,palt_l),MATCH($X664,IF($T664&lt;24,pcomp_k,palt_k),1)),""))</f>
        <v/>
      </c>
      <c r="AS664">
        <f>IF(OR($X664="",$T664&gt;60),"",IFERROR(INDEX(IF($T664&lt;24,pcomp_m,palt_m),MATCH($X664,IF($T664&lt;24,pcomp_k,palt_k),1)),""))</f>
        <v/>
      </c>
      <c r="AT664">
        <f>IF(OR($X664="",$T664&gt;60),"",IFERROR(INDEX(IF($T664&lt;24,pcomp_s,palt_s),MATCH($X664,IF($T664&lt;24,pcomp_k,palt_k),1)),""))</f>
        <v/>
      </c>
      <c r="AU664">
        <f>IF($AR664="","",IF($AR664=0,LN($F664/$AS664)/$AT664,((($F664/$AS664)^$AR664)-1)/($AR664*$AT664)))</f>
        <v/>
      </c>
      <c r="AV664">
        <f>IF($AR664="","",IF($AR664=0,$AS664*EXP($AT664*2),$AS664*(1+$AR664*$AT664*2)^(1/$AR664)))</f>
        <v/>
      </c>
      <c r="AW664">
        <f>IF($AR664="","",IF($AR664=0,$AS664*EXP($AT664*3),$AS664*(1+$AR664*$AT664*3)^(1/$AR664)))</f>
        <v/>
      </c>
      <c r="AX664">
        <f>IF($AR664="","",IF($AR664=0,$AS664*EXP($AT664*-2),$AS664*(1+$AR664*$AT664*-2)^(1/$AR664)))</f>
        <v/>
      </c>
      <c r="AY664">
        <f>IF($AR664="","",IF($AR664=0,$AS664*EXP($AT664*-3),$AS664*(1+$AR664*$AT664*-3)^(1/$AR664)))</f>
        <v/>
      </c>
      <c r="AZ664">
        <f>IF(OR($A664="",$A664&lt;&gt;Ficha!$C$4),"",COUNTIF($A$2:$A664,Ficha!$C$4))</f>
        <v/>
      </c>
    </row>
    <row r="665">
      <c r="A665" s="8">
        <f>IF(INDEX(Banco!$A:$A,ROW())="","",INDEX(Banco!$A:$A,ROW()))</f>
        <v/>
      </c>
      <c r="B665" s="8">
        <f>IF(INDEX(Banco!$B:$B,ROW())="","",INDEX(Banco!$B:$B,ROW()))</f>
        <v/>
      </c>
      <c r="C665" s="8">
        <f>IF(INDEX(Banco!$C:$C,ROW())="","",INDEX(Banco!$C:$C,ROW()))</f>
        <v/>
      </c>
      <c r="D665" s="9">
        <f>IF(INDEX(Banco!$D:$D,ROW())="","",INDEX(Banco!$D:$D,ROW()))</f>
        <v/>
      </c>
      <c r="E665" s="9">
        <f>IF(INDEX(Banco!$E:$E,ROW())="","",INDEX(Banco!$E:$E,ROW()))</f>
        <v/>
      </c>
      <c r="F665" s="10">
        <f>IF(INDEX(Banco!$F:$F,ROW())="","",INDEX(Banco!$F:$F,ROW()))</f>
        <v/>
      </c>
      <c r="G665" s="10">
        <f>IF(INDEX(Banco!$G:$G,ROW())="","",INDEX(Banco!$G:$G,ROW()))</f>
        <v/>
      </c>
      <c r="H665" s="8">
        <f>IF(INDEX(Banco!$H:$H,ROW())="","",INDEX(Banco!$H:$H,ROW()))</f>
        <v/>
      </c>
      <c r="I665">
        <f>IF($T665="","",INT($T665/12)&amp;"a "&amp;MOD($T665,12)&amp;"m")</f>
        <v/>
      </c>
      <c r="J665" s="11">
        <f>IF(OR($F665="",$G665=""),"",ROUND($F665/($G665/100)^2,2))</f>
        <v/>
      </c>
      <c r="K665" s="12">
        <f>IF(OR($S665="",$J665="",$T665="",$T665&lt;0,$T665&gt;228,$Y665=""),"—",ROUND(IF(ABS($AB665)&lt;=3,$AB665,IF($AB665&gt;3,3+($J665-$AD665)/($AD665-$AC665),-3+($J665-$AF665)/($AE665-$AF665))),2))</f>
        <v/>
      </c>
      <c r="L665">
        <f>IF(OR($K665="",$K665="—"),"",IF($T665&lt;=60,IF($K665&lt;-3,"Magreza acentuada",IF($K665&lt;-2,"Magreza",IF($K665&lt;=1,"Eutrofia",IF($K665&lt;=2,"Risco de sobrepeso",IF($K665&lt;=3,"Sobrepeso","Obesidade"))))),IF($K665&lt;-3,"Magreza acentuada",IF($K665&lt;-2,"Magreza",IF($K665&lt;=1,"Eutrofia",IF($K665&lt;=2,"Sobrepeso",IF($K665&lt;=3,"Obesidade","Obesidade grave")))))))</f>
        <v/>
      </c>
      <c r="M665" s="12">
        <f>IF(OR($S665="",$V665="",$T665="",$T665&lt;0,$T665&gt;228,$AG665=""),"—",ROUND(IF($AG665=0,LN($V665/$AH665)/$AI665,((($V665/$AH665)^$AG665)-1)/($AG665*$AI665)),2))</f>
        <v/>
      </c>
      <c r="N665">
        <f>IF(OR($M665="",$M665="—"),"",IF($M665&lt;-3,"Muito baixa",IF($M665&lt;-2,"Baixa","Adequada")))</f>
        <v/>
      </c>
      <c r="O665" s="12">
        <f>IF(OR($S665="",$F665="",$T665="",$T665&lt;0,$T665&gt;120,$AJ665=""),"—",ROUND(IF(ABS($AM665)&lt;=3,$AM665,IF($AM665&gt;3,3+($F665-$AO665)/($AO665-$AN665),-3+($F665-$AQ665)/($AP665-$AQ665))),2))</f>
        <v/>
      </c>
      <c r="P665">
        <f>IF(OR($O665="",$O665="—"),"",IF($O665&lt;-3,"Muito baixo",IF($O665&lt;-2,"Baixo",IF($O665&lt;=2,"Adequado","Elevado"))))</f>
        <v/>
      </c>
      <c r="Q665" s="12">
        <f>IF(OR($S665="",$F665="",$T665="",$T665&lt;0,$T665&gt;60,$AR665=""),"—",ROUND(IF(ABS($AU665)&lt;=3,$AU665,IF($AU665&gt;3,3+($F665-$AW665)/($AW665-$AV665),-3+($F665-$AY665)/($AX665-$AY665))),2))</f>
        <v/>
      </c>
      <c r="R665">
        <f>IF(OR($Q665="",$Q665="—"),"",IF($Q665&lt;-3,"Magreza acentuada",IF($Q665&lt;-2,"Magreza",IF($Q665&lt;=1,"Eutrofia",IF($Q665&lt;=2,"Risco de sobrepeso",IF($Q665&lt;=3,"Sobrepeso","Obesidade"))))))</f>
        <v/>
      </c>
      <c r="S665">
        <f>IF($C665="","",IF(UPPER(LEFT($C665,1))="M",1,IF(UPPER(LEFT($C665,1))="F",2,"")))</f>
        <v/>
      </c>
      <c r="T665">
        <f>IF(OR($D665="",$E665=""),"",DATEDIF($D665,$E665,"m"))</f>
        <v/>
      </c>
      <c r="U665">
        <f>IF(OR($D665="",$E665=""),"",$E665-$D665)</f>
        <v/>
      </c>
      <c r="V665">
        <f>IF(OR($G665="",$T665=""),"",IF($T665&lt;24,IF(LEFT(LOWER($H665),4)="em p",$G665+0.7,$G665),IF(LEFT(LOWER($H665),4)="deit",$G665-0.7,$G665)))</f>
        <v/>
      </c>
      <c r="W665">
        <f>IF(OR($S665="",$T665=""),"",$S665*1000000+IF($T665&lt;=60,$U665,$T665))</f>
        <v/>
      </c>
      <c r="X665">
        <f>IF(OR($S665="",$V665="",$T665&gt;60,$T665=""),"",$S665*1000000+ROUND($V665*10,0))</f>
        <v/>
      </c>
      <c r="Y665">
        <f>IF($W665="","",IFERROR(INDEX(IF($T665&lt;=60,imc05_l,imc519_l),MATCH($W665,IF($T665&lt;=60,imc05_k,imc519_k),1)),""))</f>
        <v/>
      </c>
      <c r="Z665">
        <f>IF($W665="","",IFERROR(INDEX(IF($T665&lt;=60,imc05_m,imc519_m),MATCH($W665,IF($T665&lt;=60,imc05_k,imc519_k),1)),""))</f>
        <v/>
      </c>
      <c r="AA665">
        <f>IF($W665="","",IFERROR(INDEX(IF($T665&lt;=60,imc05_s,imc519_s),MATCH($W665,IF($T665&lt;=60,imc05_k,imc519_k),1)),""))</f>
        <v/>
      </c>
      <c r="AB665">
        <f>IF($Y665="","",IF($Y665=0,LN($J665/$Z665)/$AA665,((($J665/$Z665)^$Y665)-1)/($Y665*$AA665)))</f>
        <v/>
      </c>
      <c r="AC665">
        <f>IF($Y665="","",IF($Y665=0,$Z665*EXP($AA665*2),$Z665*(1+$Y665*$AA665*2)^(1/$Y665)))</f>
        <v/>
      </c>
      <c r="AD665">
        <f>IF($Y665="","",IF($Y665=0,$Z665*EXP($AA665*3),$Z665*(1+$Y665*$AA665*3)^(1/$Y665)))</f>
        <v/>
      </c>
      <c r="AE665">
        <f>IF($Y665="","",IF($Y665=0,$Z665*EXP($AA665*-2),$Z665*(1+$Y665*$AA665*-2)^(1/$Y665)))</f>
        <v/>
      </c>
      <c r="AF665">
        <f>IF($Y665="","",IF($Y665=0,$Z665*EXP($AA665*-3),$Z665*(1+$Y665*$AA665*-3)^(1/$Y665)))</f>
        <v/>
      </c>
      <c r="AG665">
        <f>IF($W665="","",IFERROR(INDEX(IF($T665&lt;=60,est05_l,est519_l),MATCH($W665,IF($T665&lt;=60,est05_k,est519_k),1)),""))</f>
        <v/>
      </c>
      <c r="AH665">
        <f>IF($W665="","",IFERROR(INDEX(IF($T665&lt;=60,est05_m,est519_m),MATCH($W665,IF($T665&lt;=60,est05_k,est519_k),1)),""))</f>
        <v/>
      </c>
      <c r="AI665">
        <f>IF($W665="","",IFERROR(INDEX(IF($T665&lt;=60,est05_s,est519_s),MATCH($W665,IF($T665&lt;=60,est05_k,est519_k),1)),""))</f>
        <v/>
      </c>
      <c r="AJ665">
        <f>IF($W665="","",IFERROR(INDEX(IF($T665&lt;=60,peso05_l,peso510_l),MATCH($W665,IF($T665&lt;=60,peso05_k,peso510_k),1)),""))</f>
        <v/>
      </c>
      <c r="AK665">
        <f>IF($W665="","",IFERROR(INDEX(IF($T665&lt;=60,peso05_m,peso510_m),MATCH($W665,IF($T665&lt;=60,peso05_k,peso510_k),1)),""))</f>
        <v/>
      </c>
      <c r="AL665">
        <f>IF($W665="","",IFERROR(INDEX(IF($T665&lt;=60,peso05_s,peso510_s),MATCH($W665,IF($T665&lt;=60,peso05_k,peso510_k),1)),""))</f>
        <v/>
      </c>
      <c r="AM665">
        <f>IF($AJ665="","",IF($AJ665=0,LN($F665/$AK665)/$AL665,((($F665/$AK665)^$AJ665)-1)/($AJ665*$AL665)))</f>
        <v/>
      </c>
      <c r="AN665">
        <f>IF($AJ665="","",IF($AJ665=0,$AK665*EXP($AL665*2),$AK665*(1+$AJ665*$AL665*2)^(1/$AJ665)))</f>
        <v/>
      </c>
      <c r="AO665">
        <f>IF($AJ665="","",IF($AJ665=0,$AK665*EXP($AL665*3),$AK665*(1+$AJ665*$AL665*3)^(1/$AJ665)))</f>
        <v/>
      </c>
      <c r="AP665">
        <f>IF($AJ665="","",IF($AJ665=0,$AK665*EXP($AL665*-2),$AK665*(1+$AJ665*$AL665*-2)^(1/$AJ665)))</f>
        <v/>
      </c>
      <c r="AQ665">
        <f>IF($AJ665="","",IF($AJ665=0,$AK665*EXP($AL665*-3),$AK665*(1+$AJ665*$AL665*-3)^(1/$AJ665)))</f>
        <v/>
      </c>
      <c r="AR665">
        <f>IF(OR($X665="",$T665&gt;60),"",IFERROR(INDEX(IF($T665&lt;24,pcomp_l,palt_l),MATCH($X665,IF($T665&lt;24,pcomp_k,palt_k),1)),""))</f>
        <v/>
      </c>
      <c r="AS665">
        <f>IF(OR($X665="",$T665&gt;60),"",IFERROR(INDEX(IF($T665&lt;24,pcomp_m,palt_m),MATCH($X665,IF($T665&lt;24,pcomp_k,palt_k),1)),""))</f>
        <v/>
      </c>
      <c r="AT665">
        <f>IF(OR($X665="",$T665&gt;60),"",IFERROR(INDEX(IF($T665&lt;24,pcomp_s,palt_s),MATCH($X665,IF($T665&lt;24,pcomp_k,palt_k),1)),""))</f>
        <v/>
      </c>
      <c r="AU665">
        <f>IF($AR665="","",IF($AR665=0,LN($F665/$AS665)/$AT665,((($F665/$AS665)^$AR665)-1)/($AR665*$AT665)))</f>
        <v/>
      </c>
      <c r="AV665">
        <f>IF($AR665="","",IF($AR665=0,$AS665*EXP($AT665*2),$AS665*(1+$AR665*$AT665*2)^(1/$AR665)))</f>
        <v/>
      </c>
      <c r="AW665">
        <f>IF($AR665="","",IF($AR665=0,$AS665*EXP($AT665*3),$AS665*(1+$AR665*$AT665*3)^(1/$AR665)))</f>
        <v/>
      </c>
      <c r="AX665">
        <f>IF($AR665="","",IF($AR665=0,$AS665*EXP($AT665*-2),$AS665*(1+$AR665*$AT665*-2)^(1/$AR665)))</f>
        <v/>
      </c>
      <c r="AY665">
        <f>IF($AR665="","",IF($AR665=0,$AS665*EXP($AT665*-3),$AS665*(1+$AR665*$AT665*-3)^(1/$AR665)))</f>
        <v/>
      </c>
      <c r="AZ665">
        <f>IF(OR($A665="",$A665&lt;&gt;Ficha!$C$4),"",COUNTIF($A$2:$A665,Ficha!$C$4))</f>
        <v/>
      </c>
    </row>
    <row r="666">
      <c r="A666" s="8">
        <f>IF(INDEX(Banco!$A:$A,ROW())="","",INDEX(Banco!$A:$A,ROW()))</f>
        <v/>
      </c>
      <c r="B666" s="8">
        <f>IF(INDEX(Banco!$B:$B,ROW())="","",INDEX(Banco!$B:$B,ROW()))</f>
        <v/>
      </c>
      <c r="C666" s="8">
        <f>IF(INDEX(Banco!$C:$C,ROW())="","",INDEX(Banco!$C:$C,ROW()))</f>
        <v/>
      </c>
      <c r="D666" s="9">
        <f>IF(INDEX(Banco!$D:$D,ROW())="","",INDEX(Banco!$D:$D,ROW()))</f>
        <v/>
      </c>
      <c r="E666" s="9">
        <f>IF(INDEX(Banco!$E:$E,ROW())="","",INDEX(Banco!$E:$E,ROW()))</f>
        <v/>
      </c>
      <c r="F666" s="10">
        <f>IF(INDEX(Banco!$F:$F,ROW())="","",INDEX(Banco!$F:$F,ROW()))</f>
        <v/>
      </c>
      <c r="G666" s="10">
        <f>IF(INDEX(Banco!$G:$G,ROW())="","",INDEX(Banco!$G:$G,ROW()))</f>
        <v/>
      </c>
      <c r="H666" s="8">
        <f>IF(INDEX(Banco!$H:$H,ROW())="","",INDEX(Banco!$H:$H,ROW()))</f>
        <v/>
      </c>
      <c r="I666">
        <f>IF($T666="","",INT($T666/12)&amp;"a "&amp;MOD($T666,12)&amp;"m")</f>
        <v/>
      </c>
      <c r="J666" s="11">
        <f>IF(OR($F666="",$G666=""),"",ROUND($F666/($G666/100)^2,2))</f>
        <v/>
      </c>
      <c r="K666" s="12">
        <f>IF(OR($S666="",$J666="",$T666="",$T666&lt;0,$T666&gt;228,$Y666=""),"—",ROUND(IF(ABS($AB666)&lt;=3,$AB666,IF($AB666&gt;3,3+($J666-$AD666)/($AD666-$AC666),-3+($J666-$AF666)/($AE666-$AF666))),2))</f>
        <v/>
      </c>
      <c r="L666">
        <f>IF(OR($K666="",$K666="—"),"",IF($T666&lt;=60,IF($K666&lt;-3,"Magreza acentuada",IF($K666&lt;-2,"Magreza",IF($K666&lt;=1,"Eutrofia",IF($K666&lt;=2,"Risco de sobrepeso",IF($K666&lt;=3,"Sobrepeso","Obesidade"))))),IF($K666&lt;-3,"Magreza acentuada",IF($K666&lt;-2,"Magreza",IF($K666&lt;=1,"Eutrofia",IF($K666&lt;=2,"Sobrepeso",IF($K666&lt;=3,"Obesidade","Obesidade grave")))))))</f>
        <v/>
      </c>
      <c r="M666" s="12">
        <f>IF(OR($S666="",$V666="",$T666="",$T666&lt;0,$T666&gt;228,$AG666=""),"—",ROUND(IF($AG666=0,LN($V666/$AH666)/$AI666,((($V666/$AH666)^$AG666)-1)/($AG666*$AI666)),2))</f>
        <v/>
      </c>
      <c r="N666">
        <f>IF(OR($M666="",$M666="—"),"",IF($M666&lt;-3,"Muito baixa",IF($M666&lt;-2,"Baixa","Adequada")))</f>
        <v/>
      </c>
      <c r="O666" s="12">
        <f>IF(OR($S666="",$F666="",$T666="",$T666&lt;0,$T666&gt;120,$AJ666=""),"—",ROUND(IF(ABS($AM666)&lt;=3,$AM666,IF($AM666&gt;3,3+($F666-$AO666)/($AO666-$AN666),-3+($F666-$AQ666)/($AP666-$AQ666))),2))</f>
        <v/>
      </c>
      <c r="P666">
        <f>IF(OR($O666="",$O666="—"),"",IF($O666&lt;-3,"Muito baixo",IF($O666&lt;-2,"Baixo",IF($O666&lt;=2,"Adequado","Elevado"))))</f>
        <v/>
      </c>
      <c r="Q666" s="12">
        <f>IF(OR($S666="",$F666="",$T666="",$T666&lt;0,$T666&gt;60,$AR666=""),"—",ROUND(IF(ABS($AU666)&lt;=3,$AU666,IF($AU666&gt;3,3+($F666-$AW666)/($AW666-$AV666),-3+($F666-$AY666)/($AX666-$AY666))),2))</f>
        <v/>
      </c>
      <c r="R666">
        <f>IF(OR($Q666="",$Q666="—"),"",IF($Q666&lt;-3,"Magreza acentuada",IF($Q666&lt;-2,"Magreza",IF($Q666&lt;=1,"Eutrofia",IF($Q666&lt;=2,"Risco de sobrepeso",IF($Q666&lt;=3,"Sobrepeso","Obesidade"))))))</f>
        <v/>
      </c>
      <c r="S666">
        <f>IF($C666="","",IF(UPPER(LEFT($C666,1))="M",1,IF(UPPER(LEFT($C666,1))="F",2,"")))</f>
        <v/>
      </c>
      <c r="T666">
        <f>IF(OR($D666="",$E666=""),"",DATEDIF($D666,$E666,"m"))</f>
        <v/>
      </c>
      <c r="U666">
        <f>IF(OR($D666="",$E666=""),"",$E666-$D666)</f>
        <v/>
      </c>
      <c r="V666">
        <f>IF(OR($G666="",$T666=""),"",IF($T666&lt;24,IF(LEFT(LOWER($H666),4)="em p",$G666+0.7,$G666),IF(LEFT(LOWER($H666),4)="deit",$G666-0.7,$G666)))</f>
        <v/>
      </c>
      <c r="W666">
        <f>IF(OR($S666="",$T666=""),"",$S666*1000000+IF($T666&lt;=60,$U666,$T666))</f>
        <v/>
      </c>
      <c r="X666">
        <f>IF(OR($S666="",$V666="",$T666&gt;60,$T666=""),"",$S666*1000000+ROUND($V666*10,0))</f>
        <v/>
      </c>
      <c r="Y666">
        <f>IF($W666="","",IFERROR(INDEX(IF($T666&lt;=60,imc05_l,imc519_l),MATCH($W666,IF($T666&lt;=60,imc05_k,imc519_k),1)),""))</f>
        <v/>
      </c>
      <c r="Z666">
        <f>IF($W666="","",IFERROR(INDEX(IF($T666&lt;=60,imc05_m,imc519_m),MATCH($W666,IF($T666&lt;=60,imc05_k,imc519_k),1)),""))</f>
        <v/>
      </c>
      <c r="AA666">
        <f>IF($W666="","",IFERROR(INDEX(IF($T666&lt;=60,imc05_s,imc519_s),MATCH($W666,IF($T666&lt;=60,imc05_k,imc519_k),1)),""))</f>
        <v/>
      </c>
      <c r="AB666">
        <f>IF($Y666="","",IF($Y666=0,LN($J666/$Z666)/$AA666,((($J666/$Z666)^$Y666)-1)/($Y666*$AA666)))</f>
        <v/>
      </c>
      <c r="AC666">
        <f>IF($Y666="","",IF($Y666=0,$Z666*EXP($AA666*2),$Z666*(1+$Y666*$AA666*2)^(1/$Y666)))</f>
        <v/>
      </c>
      <c r="AD666">
        <f>IF($Y666="","",IF($Y666=0,$Z666*EXP($AA666*3),$Z666*(1+$Y666*$AA666*3)^(1/$Y666)))</f>
        <v/>
      </c>
      <c r="AE666">
        <f>IF($Y666="","",IF($Y666=0,$Z666*EXP($AA666*-2),$Z666*(1+$Y666*$AA666*-2)^(1/$Y666)))</f>
        <v/>
      </c>
      <c r="AF666">
        <f>IF($Y666="","",IF($Y666=0,$Z666*EXP($AA666*-3),$Z666*(1+$Y666*$AA666*-3)^(1/$Y666)))</f>
        <v/>
      </c>
      <c r="AG666">
        <f>IF($W666="","",IFERROR(INDEX(IF($T666&lt;=60,est05_l,est519_l),MATCH($W666,IF($T666&lt;=60,est05_k,est519_k),1)),""))</f>
        <v/>
      </c>
      <c r="AH666">
        <f>IF($W666="","",IFERROR(INDEX(IF($T666&lt;=60,est05_m,est519_m),MATCH($W666,IF($T666&lt;=60,est05_k,est519_k),1)),""))</f>
        <v/>
      </c>
      <c r="AI666">
        <f>IF($W666="","",IFERROR(INDEX(IF($T666&lt;=60,est05_s,est519_s),MATCH($W666,IF($T666&lt;=60,est05_k,est519_k),1)),""))</f>
        <v/>
      </c>
      <c r="AJ666">
        <f>IF($W666="","",IFERROR(INDEX(IF($T666&lt;=60,peso05_l,peso510_l),MATCH($W666,IF($T666&lt;=60,peso05_k,peso510_k),1)),""))</f>
        <v/>
      </c>
      <c r="AK666">
        <f>IF($W666="","",IFERROR(INDEX(IF($T666&lt;=60,peso05_m,peso510_m),MATCH($W666,IF($T666&lt;=60,peso05_k,peso510_k),1)),""))</f>
        <v/>
      </c>
      <c r="AL666">
        <f>IF($W666="","",IFERROR(INDEX(IF($T666&lt;=60,peso05_s,peso510_s),MATCH($W666,IF($T666&lt;=60,peso05_k,peso510_k),1)),""))</f>
        <v/>
      </c>
      <c r="AM666">
        <f>IF($AJ666="","",IF($AJ666=0,LN($F666/$AK666)/$AL666,((($F666/$AK666)^$AJ666)-1)/($AJ666*$AL666)))</f>
        <v/>
      </c>
      <c r="AN666">
        <f>IF($AJ666="","",IF($AJ666=0,$AK666*EXP($AL666*2),$AK666*(1+$AJ666*$AL666*2)^(1/$AJ666)))</f>
        <v/>
      </c>
      <c r="AO666">
        <f>IF($AJ666="","",IF($AJ666=0,$AK666*EXP($AL666*3),$AK666*(1+$AJ666*$AL666*3)^(1/$AJ666)))</f>
        <v/>
      </c>
      <c r="AP666">
        <f>IF($AJ666="","",IF($AJ666=0,$AK666*EXP($AL666*-2),$AK666*(1+$AJ666*$AL666*-2)^(1/$AJ666)))</f>
        <v/>
      </c>
      <c r="AQ666">
        <f>IF($AJ666="","",IF($AJ666=0,$AK666*EXP($AL666*-3),$AK666*(1+$AJ666*$AL666*-3)^(1/$AJ666)))</f>
        <v/>
      </c>
      <c r="AR666">
        <f>IF(OR($X666="",$T666&gt;60),"",IFERROR(INDEX(IF($T666&lt;24,pcomp_l,palt_l),MATCH($X666,IF($T666&lt;24,pcomp_k,palt_k),1)),""))</f>
        <v/>
      </c>
      <c r="AS666">
        <f>IF(OR($X666="",$T666&gt;60),"",IFERROR(INDEX(IF($T666&lt;24,pcomp_m,palt_m),MATCH($X666,IF($T666&lt;24,pcomp_k,palt_k),1)),""))</f>
        <v/>
      </c>
      <c r="AT666">
        <f>IF(OR($X666="",$T666&gt;60),"",IFERROR(INDEX(IF($T666&lt;24,pcomp_s,palt_s),MATCH($X666,IF($T666&lt;24,pcomp_k,palt_k),1)),""))</f>
        <v/>
      </c>
      <c r="AU666">
        <f>IF($AR666="","",IF($AR666=0,LN($F666/$AS666)/$AT666,((($F666/$AS666)^$AR666)-1)/($AR666*$AT666)))</f>
        <v/>
      </c>
      <c r="AV666">
        <f>IF($AR666="","",IF($AR666=0,$AS666*EXP($AT666*2),$AS666*(1+$AR666*$AT666*2)^(1/$AR666)))</f>
        <v/>
      </c>
      <c r="AW666">
        <f>IF($AR666="","",IF($AR666=0,$AS666*EXP($AT666*3),$AS666*(1+$AR666*$AT666*3)^(1/$AR666)))</f>
        <v/>
      </c>
      <c r="AX666">
        <f>IF($AR666="","",IF($AR666=0,$AS666*EXP($AT666*-2),$AS666*(1+$AR666*$AT666*-2)^(1/$AR666)))</f>
        <v/>
      </c>
      <c r="AY666">
        <f>IF($AR666="","",IF($AR666=0,$AS666*EXP($AT666*-3),$AS666*(1+$AR666*$AT666*-3)^(1/$AR666)))</f>
        <v/>
      </c>
      <c r="AZ666">
        <f>IF(OR($A666="",$A666&lt;&gt;Ficha!$C$4),"",COUNTIF($A$2:$A666,Ficha!$C$4))</f>
        <v/>
      </c>
    </row>
    <row r="667">
      <c r="A667" s="8">
        <f>IF(INDEX(Banco!$A:$A,ROW())="","",INDEX(Banco!$A:$A,ROW()))</f>
        <v/>
      </c>
      <c r="B667" s="8">
        <f>IF(INDEX(Banco!$B:$B,ROW())="","",INDEX(Banco!$B:$B,ROW()))</f>
        <v/>
      </c>
      <c r="C667" s="8">
        <f>IF(INDEX(Banco!$C:$C,ROW())="","",INDEX(Banco!$C:$C,ROW()))</f>
        <v/>
      </c>
      <c r="D667" s="9">
        <f>IF(INDEX(Banco!$D:$D,ROW())="","",INDEX(Banco!$D:$D,ROW()))</f>
        <v/>
      </c>
      <c r="E667" s="9">
        <f>IF(INDEX(Banco!$E:$E,ROW())="","",INDEX(Banco!$E:$E,ROW()))</f>
        <v/>
      </c>
      <c r="F667" s="10">
        <f>IF(INDEX(Banco!$F:$F,ROW())="","",INDEX(Banco!$F:$F,ROW()))</f>
        <v/>
      </c>
      <c r="G667" s="10">
        <f>IF(INDEX(Banco!$G:$G,ROW())="","",INDEX(Banco!$G:$G,ROW()))</f>
        <v/>
      </c>
      <c r="H667" s="8">
        <f>IF(INDEX(Banco!$H:$H,ROW())="","",INDEX(Banco!$H:$H,ROW()))</f>
        <v/>
      </c>
      <c r="I667">
        <f>IF($T667="","",INT($T667/12)&amp;"a "&amp;MOD($T667,12)&amp;"m")</f>
        <v/>
      </c>
      <c r="J667" s="11">
        <f>IF(OR($F667="",$G667=""),"",ROUND($F667/($G667/100)^2,2))</f>
        <v/>
      </c>
      <c r="K667" s="12">
        <f>IF(OR($S667="",$J667="",$T667="",$T667&lt;0,$T667&gt;228,$Y667=""),"—",ROUND(IF(ABS($AB667)&lt;=3,$AB667,IF($AB667&gt;3,3+($J667-$AD667)/($AD667-$AC667),-3+($J667-$AF667)/($AE667-$AF667))),2))</f>
        <v/>
      </c>
      <c r="L667">
        <f>IF(OR($K667="",$K667="—"),"",IF($T667&lt;=60,IF($K667&lt;-3,"Magreza acentuada",IF($K667&lt;-2,"Magreza",IF($K667&lt;=1,"Eutrofia",IF($K667&lt;=2,"Risco de sobrepeso",IF($K667&lt;=3,"Sobrepeso","Obesidade"))))),IF($K667&lt;-3,"Magreza acentuada",IF($K667&lt;-2,"Magreza",IF($K667&lt;=1,"Eutrofia",IF($K667&lt;=2,"Sobrepeso",IF($K667&lt;=3,"Obesidade","Obesidade grave")))))))</f>
        <v/>
      </c>
      <c r="M667" s="12">
        <f>IF(OR($S667="",$V667="",$T667="",$T667&lt;0,$T667&gt;228,$AG667=""),"—",ROUND(IF($AG667=0,LN($V667/$AH667)/$AI667,((($V667/$AH667)^$AG667)-1)/($AG667*$AI667)),2))</f>
        <v/>
      </c>
      <c r="N667">
        <f>IF(OR($M667="",$M667="—"),"",IF($M667&lt;-3,"Muito baixa",IF($M667&lt;-2,"Baixa","Adequada")))</f>
        <v/>
      </c>
      <c r="O667" s="12">
        <f>IF(OR($S667="",$F667="",$T667="",$T667&lt;0,$T667&gt;120,$AJ667=""),"—",ROUND(IF(ABS($AM667)&lt;=3,$AM667,IF($AM667&gt;3,3+($F667-$AO667)/($AO667-$AN667),-3+($F667-$AQ667)/($AP667-$AQ667))),2))</f>
        <v/>
      </c>
      <c r="P667">
        <f>IF(OR($O667="",$O667="—"),"",IF($O667&lt;-3,"Muito baixo",IF($O667&lt;-2,"Baixo",IF($O667&lt;=2,"Adequado","Elevado"))))</f>
        <v/>
      </c>
      <c r="Q667" s="12">
        <f>IF(OR($S667="",$F667="",$T667="",$T667&lt;0,$T667&gt;60,$AR667=""),"—",ROUND(IF(ABS($AU667)&lt;=3,$AU667,IF($AU667&gt;3,3+($F667-$AW667)/($AW667-$AV667),-3+($F667-$AY667)/($AX667-$AY667))),2))</f>
        <v/>
      </c>
      <c r="R667">
        <f>IF(OR($Q667="",$Q667="—"),"",IF($Q667&lt;-3,"Magreza acentuada",IF($Q667&lt;-2,"Magreza",IF($Q667&lt;=1,"Eutrofia",IF($Q667&lt;=2,"Risco de sobrepeso",IF($Q667&lt;=3,"Sobrepeso","Obesidade"))))))</f>
        <v/>
      </c>
      <c r="S667">
        <f>IF($C667="","",IF(UPPER(LEFT($C667,1))="M",1,IF(UPPER(LEFT($C667,1))="F",2,"")))</f>
        <v/>
      </c>
      <c r="T667">
        <f>IF(OR($D667="",$E667=""),"",DATEDIF($D667,$E667,"m"))</f>
        <v/>
      </c>
      <c r="U667">
        <f>IF(OR($D667="",$E667=""),"",$E667-$D667)</f>
        <v/>
      </c>
      <c r="V667">
        <f>IF(OR($G667="",$T667=""),"",IF($T667&lt;24,IF(LEFT(LOWER($H667),4)="em p",$G667+0.7,$G667),IF(LEFT(LOWER($H667),4)="deit",$G667-0.7,$G667)))</f>
        <v/>
      </c>
      <c r="W667">
        <f>IF(OR($S667="",$T667=""),"",$S667*1000000+IF($T667&lt;=60,$U667,$T667))</f>
        <v/>
      </c>
      <c r="X667">
        <f>IF(OR($S667="",$V667="",$T667&gt;60,$T667=""),"",$S667*1000000+ROUND($V667*10,0))</f>
        <v/>
      </c>
      <c r="Y667">
        <f>IF($W667="","",IFERROR(INDEX(IF($T667&lt;=60,imc05_l,imc519_l),MATCH($W667,IF($T667&lt;=60,imc05_k,imc519_k),1)),""))</f>
        <v/>
      </c>
      <c r="Z667">
        <f>IF($W667="","",IFERROR(INDEX(IF($T667&lt;=60,imc05_m,imc519_m),MATCH($W667,IF($T667&lt;=60,imc05_k,imc519_k),1)),""))</f>
        <v/>
      </c>
      <c r="AA667">
        <f>IF($W667="","",IFERROR(INDEX(IF($T667&lt;=60,imc05_s,imc519_s),MATCH($W667,IF($T667&lt;=60,imc05_k,imc519_k),1)),""))</f>
        <v/>
      </c>
      <c r="AB667">
        <f>IF($Y667="","",IF($Y667=0,LN($J667/$Z667)/$AA667,((($J667/$Z667)^$Y667)-1)/($Y667*$AA667)))</f>
        <v/>
      </c>
      <c r="AC667">
        <f>IF($Y667="","",IF($Y667=0,$Z667*EXP($AA667*2),$Z667*(1+$Y667*$AA667*2)^(1/$Y667)))</f>
        <v/>
      </c>
      <c r="AD667">
        <f>IF($Y667="","",IF($Y667=0,$Z667*EXP($AA667*3),$Z667*(1+$Y667*$AA667*3)^(1/$Y667)))</f>
        <v/>
      </c>
      <c r="AE667">
        <f>IF($Y667="","",IF($Y667=0,$Z667*EXP($AA667*-2),$Z667*(1+$Y667*$AA667*-2)^(1/$Y667)))</f>
        <v/>
      </c>
      <c r="AF667">
        <f>IF($Y667="","",IF($Y667=0,$Z667*EXP($AA667*-3),$Z667*(1+$Y667*$AA667*-3)^(1/$Y667)))</f>
        <v/>
      </c>
      <c r="AG667">
        <f>IF($W667="","",IFERROR(INDEX(IF($T667&lt;=60,est05_l,est519_l),MATCH($W667,IF($T667&lt;=60,est05_k,est519_k),1)),""))</f>
        <v/>
      </c>
      <c r="AH667">
        <f>IF($W667="","",IFERROR(INDEX(IF($T667&lt;=60,est05_m,est519_m),MATCH($W667,IF($T667&lt;=60,est05_k,est519_k),1)),""))</f>
        <v/>
      </c>
      <c r="AI667">
        <f>IF($W667="","",IFERROR(INDEX(IF($T667&lt;=60,est05_s,est519_s),MATCH($W667,IF($T667&lt;=60,est05_k,est519_k),1)),""))</f>
        <v/>
      </c>
      <c r="AJ667">
        <f>IF($W667="","",IFERROR(INDEX(IF($T667&lt;=60,peso05_l,peso510_l),MATCH($W667,IF($T667&lt;=60,peso05_k,peso510_k),1)),""))</f>
        <v/>
      </c>
      <c r="AK667">
        <f>IF($W667="","",IFERROR(INDEX(IF($T667&lt;=60,peso05_m,peso510_m),MATCH($W667,IF($T667&lt;=60,peso05_k,peso510_k),1)),""))</f>
        <v/>
      </c>
      <c r="AL667">
        <f>IF($W667="","",IFERROR(INDEX(IF($T667&lt;=60,peso05_s,peso510_s),MATCH($W667,IF($T667&lt;=60,peso05_k,peso510_k),1)),""))</f>
        <v/>
      </c>
      <c r="AM667">
        <f>IF($AJ667="","",IF($AJ667=0,LN($F667/$AK667)/$AL667,((($F667/$AK667)^$AJ667)-1)/($AJ667*$AL667)))</f>
        <v/>
      </c>
      <c r="AN667">
        <f>IF($AJ667="","",IF($AJ667=0,$AK667*EXP($AL667*2),$AK667*(1+$AJ667*$AL667*2)^(1/$AJ667)))</f>
        <v/>
      </c>
      <c r="AO667">
        <f>IF($AJ667="","",IF($AJ667=0,$AK667*EXP($AL667*3),$AK667*(1+$AJ667*$AL667*3)^(1/$AJ667)))</f>
        <v/>
      </c>
      <c r="AP667">
        <f>IF($AJ667="","",IF($AJ667=0,$AK667*EXP($AL667*-2),$AK667*(1+$AJ667*$AL667*-2)^(1/$AJ667)))</f>
        <v/>
      </c>
      <c r="AQ667">
        <f>IF($AJ667="","",IF($AJ667=0,$AK667*EXP($AL667*-3),$AK667*(1+$AJ667*$AL667*-3)^(1/$AJ667)))</f>
        <v/>
      </c>
      <c r="AR667">
        <f>IF(OR($X667="",$T667&gt;60),"",IFERROR(INDEX(IF($T667&lt;24,pcomp_l,palt_l),MATCH($X667,IF($T667&lt;24,pcomp_k,palt_k),1)),""))</f>
        <v/>
      </c>
      <c r="AS667">
        <f>IF(OR($X667="",$T667&gt;60),"",IFERROR(INDEX(IF($T667&lt;24,pcomp_m,palt_m),MATCH($X667,IF($T667&lt;24,pcomp_k,palt_k),1)),""))</f>
        <v/>
      </c>
      <c r="AT667">
        <f>IF(OR($X667="",$T667&gt;60),"",IFERROR(INDEX(IF($T667&lt;24,pcomp_s,palt_s),MATCH($X667,IF($T667&lt;24,pcomp_k,palt_k),1)),""))</f>
        <v/>
      </c>
      <c r="AU667">
        <f>IF($AR667="","",IF($AR667=0,LN($F667/$AS667)/$AT667,((($F667/$AS667)^$AR667)-1)/($AR667*$AT667)))</f>
        <v/>
      </c>
      <c r="AV667">
        <f>IF($AR667="","",IF($AR667=0,$AS667*EXP($AT667*2),$AS667*(1+$AR667*$AT667*2)^(1/$AR667)))</f>
        <v/>
      </c>
      <c r="AW667">
        <f>IF($AR667="","",IF($AR667=0,$AS667*EXP($AT667*3),$AS667*(1+$AR667*$AT667*3)^(1/$AR667)))</f>
        <v/>
      </c>
      <c r="AX667">
        <f>IF($AR667="","",IF($AR667=0,$AS667*EXP($AT667*-2),$AS667*(1+$AR667*$AT667*-2)^(1/$AR667)))</f>
        <v/>
      </c>
      <c r="AY667">
        <f>IF($AR667="","",IF($AR667=0,$AS667*EXP($AT667*-3),$AS667*(1+$AR667*$AT667*-3)^(1/$AR667)))</f>
        <v/>
      </c>
      <c r="AZ667">
        <f>IF(OR($A667="",$A667&lt;&gt;Ficha!$C$4),"",COUNTIF($A$2:$A667,Ficha!$C$4))</f>
        <v/>
      </c>
    </row>
    <row r="668">
      <c r="A668" s="8">
        <f>IF(INDEX(Banco!$A:$A,ROW())="","",INDEX(Banco!$A:$A,ROW()))</f>
        <v/>
      </c>
      <c r="B668" s="8">
        <f>IF(INDEX(Banco!$B:$B,ROW())="","",INDEX(Banco!$B:$B,ROW()))</f>
        <v/>
      </c>
      <c r="C668" s="8">
        <f>IF(INDEX(Banco!$C:$C,ROW())="","",INDEX(Banco!$C:$C,ROW()))</f>
        <v/>
      </c>
      <c r="D668" s="9">
        <f>IF(INDEX(Banco!$D:$D,ROW())="","",INDEX(Banco!$D:$D,ROW()))</f>
        <v/>
      </c>
      <c r="E668" s="9">
        <f>IF(INDEX(Banco!$E:$E,ROW())="","",INDEX(Banco!$E:$E,ROW()))</f>
        <v/>
      </c>
      <c r="F668" s="10">
        <f>IF(INDEX(Banco!$F:$F,ROW())="","",INDEX(Banco!$F:$F,ROW()))</f>
        <v/>
      </c>
      <c r="G668" s="10">
        <f>IF(INDEX(Banco!$G:$G,ROW())="","",INDEX(Banco!$G:$G,ROW()))</f>
        <v/>
      </c>
      <c r="H668" s="8">
        <f>IF(INDEX(Banco!$H:$H,ROW())="","",INDEX(Banco!$H:$H,ROW()))</f>
        <v/>
      </c>
      <c r="I668">
        <f>IF($T668="","",INT($T668/12)&amp;"a "&amp;MOD($T668,12)&amp;"m")</f>
        <v/>
      </c>
      <c r="J668" s="11">
        <f>IF(OR($F668="",$G668=""),"",ROUND($F668/($G668/100)^2,2))</f>
        <v/>
      </c>
      <c r="K668" s="12">
        <f>IF(OR($S668="",$J668="",$T668="",$T668&lt;0,$T668&gt;228,$Y668=""),"—",ROUND(IF(ABS($AB668)&lt;=3,$AB668,IF($AB668&gt;3,3+($J668-$AD668)/($AD668-$AC668),-3+($J668-$AF668)/($AE668-$AF668))),2))</f>
        <v/>
      </c>
      <c r="L668">
        <f>IF(OR($K668="",$K668="—"),"",IF($T668&lt;=60,IF($K668&lt;-3,"Magreza acentuada",IF($K668&lt;-2,"Magreza",IF($K668&lt;=1,"Eutrofia",IF($K668&lt;=2,"Risco de sobrepeso",IF($K668&lt;=3,"Sobrepeso","Obesidade"))))),IF($K668&lt;-3,"Magreza acentuada",IF($K668&lt;-2,"Magreza",IF($K668&lt;=1,"Eutrofia",IF($K668&lt;=2,"Sobrepeso",IF($K668&lt;=3,"Obesidade","Obesidade grave")))))))</f>
        <v/>
      </c>
      <c r="M668" s="12">
        <f>IF(OR($S668="",$V668="",$T668="",$T668&lt;0,$T668&gt;228,$AG668=""),"—",ROUND(IF($AG668=0,LN($V668/$AH668)/$AI668,((($V668/$AH668)^$AG668)-1)/($AG668*$AI668)),2))</f>
        <v/>
      </c>
      <c r="N668">
        <f>IF(OR($M668="",$M668="—"),"",IF($M668&lt;-3,"Muito baixa",IF($M668&lt;-2,"Baixa","Adequada")))</f>
        <v/>
      </c>
      <c r="O668" s="12">
        <f>IF(OR($S668="",$F668="",$T668="",$T668&lt;0,$T668&gt;120,$AJ668=""),"—",ROUND(IF(ABS($AM668)&lt;=3,$AM668,IF($AM668&gt;3,3+($F668-$AO668)/($AO668-$AN668),-3+($F668-$AQ668)/($AP668-$AQ668))),2))</f>
        <v/>
      </c>
      <c r="P668">
        <f>IF(OR($O668="",$O668="—"),"",IF($O668&lt;-3,"Muito baixo",IF($O668&lt;-2,"Baixo",IF($O668&lt;=2,"Adequado","Elevado"))))</f>
        <v/>
      </c>
      <c r="Q668" s="12">
        <f>IF(OR($S668="",$F668="",$T668="",$T668&lt;0,$T668&gt;60,$AR668=""),"—",ROUND(IF(ABS($AU668)&lt;=3,$AU668,IF($AU668&gt;3,3+($F668-$AW668)/($AW668-$AV668),-3+($F668-$AY668)/($AX668-$AY668))),2))</f>
        <v/>
      </c>
      <c r="R668">
        <f>IF(OR($Q668="",$Q668="—"),"",IF($Q668&lt;-3,"Magreza acentuada",IF($Q668&lt;-2,"Magreza",IF($Q668&lt;=1,"Eutrofia",IF($Q668&lt;=2,"Risco de sobrepeso",IF($Q668&lt;=3,"Sobrepeso","Obesidade"))))))</f>
        <v/>
      </c>
      <c r="S668">
        <f>IF($C668="","",IF(UPPER(LEFT($C668,1))="M",1,IF(UPPER(LEFT($C668,1))="F",2,"")))</f>
        <v/>
      </c>
      <c r="T668">
        <f>IF(OR($D668="",$E668=""),"",DATEDIF($D668,$E668,"m"))</f>
        <v/>
      </c>
      <c r="U668">
        <f>IF(OR($D668="",$E668=""),"",$E668-$D668)</f>
        <v/>
      </c>
      <c r="V668">
        <f>IF(OR($G668="",$T668=""),"",IF($T668&lt;24,IF(LEFT(LOWER($H668),4)="em p",$G668+0.7,$G668),IF(LEFT(LOWER($H668),4)="deit",$G668-0.7,$G668)))</f>
        <v/>
      </c>
      <c r="W668">
        <f>IF(OR($S668="",$T668=""),"",$S668*1000000+IF($T668&lt;=60,$U668,$T668))</f>
        <v/>
      </c>
      <c r="X668">
        <f>IF(OR($S668="",$V668="",$T668&gt;60,$T668=""),"",$S668*1000000+ROUND($V668*10,0))</f>
        <v/>
      </c>
      <c r="Y668">
        <f>IF($W668="","",IFERROR(INDEX(IF($T668&lt;=60,imc05_l,imc519_l),MATCH($W668,IF($T668&lt;=60,imc05_k,imc519_k),1)),""))</f>
        <v/>
      </c>
      <c r="Z668">
        <f>IF($W668="","",IFERROR(INDEX(IF($T668&lt;=60,imc05_m,imc519_m),MATCH($W668,IF($T668&lt;=60,imc05_k,imc519_k),1)),""))</f>
        <v/>
      </c>
      <c r="AA668">
        <f>IF($W668="","",IFERROR(INDEX(IF($T668&lt;=60,imc05_s,imc519_s),MATCH($W668,IF($T668&lt;=60,imc05_k,imc519_k),1)),""))</f>
        <v/>
      </c>
      <c r="AB668">
        <f>IF($Y668="","",IF($Y668=0,LN($J668/$Z668)/$AA668,((($J668/$Z668)^$Y668)-1)/($Y668*$AA668)))</f>
        <v/>
      </c>
      <c r="AC668">
        <f>IF($Y668="","",IF($Y668=0,$Z668*EXP($AA668*2),$Z668*(1+$Y668*$AA668*2)^(1/$Y668)))</f>
        <v/>
      </c>
      <c r="AD668">
        <f>IF($Y668="","",IF($Y668=0,$Z668*EXP($AA668*3),$Z668*(1+$Y668*$AA668*3)^(1/$Y668)))</f>
        <v/>
      </c>
      <c r="AE668">
        <f>IF($Y668="","",IF($Y668=0,$Z668*EXP($AA668*-2),$Z668*(1+$Y668*$AA668*-2)^(1/$Y668)))</f>
        <v/>
      </c>
      <c r="AF668">
        <f>IF($Y668="","",IF($Y668=0,$Z668*EXP($AA668*-3),$Z668*(1+$Y668*$AA668*-3)^(1/$Y668)))</f>
        <v/>
      </c>
      <c r="AG668">
        <f>IF($W668="","",IFERROR(INDEX(IF($T668&lt;=60,est05_l,est519_l),MATCH($W668,IF($T668&lt;=60,est05_k,est519_k),1)),""))</f>
        <v/>
      </c>
      <c r="AH668">
        <f>IF($W668="","",IFERROR(INDEX(IF($T668&lt;=60,est05_m,est519_m),MATCH($W668,IF($T668&lt;=60,est05_k,est519_k),1)),""))</f>
        <v/>
      </c>
      <c r="AI668">
        <f>IF($W668="","",IFERROR(INDEX(IF($T668&lt;=60,est05_s,est519_s),MATCH($W668,IF($T668&lt;=60,est05_k,est519_k),1)),""))</f>
        <v/>
      </c>
      <c r="AJ668">
        <f>IF($W668="","",IFERROR(INDEX(IF($T668&lt;=60,peso05_l,peso510_l),MATCH($W668,IF($T668&lt;=60,peso05_k,peso510_k),1)),""))</f>
        <v/>
      </c>
      <c r="AK668">
        <f>IF($W668="","",IFERROR(INDEX(IF($T668&lt;=60,peso05_m,peso510_m),MATCH($W668,IF($T668&lt;=60,peso05_k,peso510_k),1)),""))</f>
        <v/>
      </c>
      <c r="AL668">
        <f>IF($W668="","",IFERROR(INDEX(IF($T668&lt;=60,peso05_s,peso510_s),MATCH($W668,IF($T668&lt;=60,peso05_k,peso510_k),1)),""))</f>
        <v/>
      </c>
      <c r="AM668">
        <f>IF($AJ668="","",IF($AJ668=0,LN($F668/$AK668)/$AL668,((($F668/$AK668)^$AJ668)-1)/($AJ668*$AL668)))</f>
        <v/>
      </c>
      <c r="AN668">
        <f>IF($AJ668="","",IF($AJ668=0,$AK668*EXP($AL668*2),$AK668*(1+$AJ668*$AL668*2)^(1/$AJ668)))</f>
        <v/>
      </c>
      <c r="AO668">
        <f>IF($AJ668="","",IF($AJ668=0,$AK668*EXP($AL668*3),$AK668*(1+$AJ668*$AL668*3)^(1/$AJ668)))</f>
        <v/>
      </c>
      <c r="AP668">
        <f>IF($AJ668="","",IF($AJ668=0,$AK668*EXP($AL668*-2),$AK668*(1+$AJ668*$AL668*-2)^(1/$AJ668)))</f>
        <v/>
      </c>
      <c r="AQ668">
        <f>IF($AJ668="","",IF($AJ668=0,$AK668*EXP($AL668*-3),$AK668*(1+$AJ668*$AL668*-3)^(1/$AJ668)))</f>
        <v/>
      </c>
      <c r="AR668">
        <f>IF(OR($X668="",$T668&gt;60),"",IFERROR(INDEX(IF($T668&lt;24,pcomp_l,palt_l),MATCH($X668,IF($T668&lt;24,pcomp_k,palt_k),1)),""))</f>
        <v/>
      </c>
      <c r="AS668">
        <f>IF(OR($X668="",$T668&gt;60),"",IFERROR(INDEX(IF($T668&lt;24,pcomp_m,palt_m),MATCH($X668,IF($T668&lt;24,pcomp_k,palt_k),1)),""))</f>
        <v/>
      </c>
      <c r="AT668">
        <f>IF(OR($X668="",$T668&gt;60),"",IFERROR(INDEX(IF($T668&lt;24,pcomp_s,palt_s),MATCH($X668,IF($T668&lt;24,pcomp_k,palt_k),1)),""))</f>
        <v/>
      </c>
      <c r="AU668">
        <f>IF($AR668="","",IF($AR668=0,LN($F668/$AS668)/$AT668,((($F668/$AS668)^$AR668)-1)/($AR668*$AT668)))</f>
        <v/>
      </c>
      <c r="AV668">
        <f>IF($AR668="","",IF($AR668=0,$AS668*EXP($AT668*2),$AS668*(1+$AR668*$AT668*2)^(1/$AR668)))</f>
        <v/>
      </c>
      <c r="AW668">
        <f>IF($AR668="","",IF($AR668=0,$AS668*EXP($AT668*3),$AS668*(1+$AR668*$AT668*3)^(1/$AR668)))</f>
        <v/>
      </c>
      <c r="AX668">
        <f>IF($AR668="","",IF($AR668=0,$AS668*EXP($AT668*-2),$AS668*(1+$AR668*$AT668*-2)^(1/$AR668)))</f>
        <v/>
      </c>
      <c r="AY668">
        <f>IF($AR668="","",IF($AR668=0,$AS668*EXP($AT668*-3),$AS668*(1+$AR668*$AT668*-3)^(1/$AR668)))</f>
        <v/>
      </c>
      <c r="AZ668">
        <f>IF(OR($A668="",$A668&lt;&gt;Ficha!$C$4),"",COUNTIF($A$2:$A668,Ficha!$C$4))</f>
        <v/>
      </c>
    </row>
    <row r="669">
      <c r="A669" s="8">
        <f>IF(INDEX(Banco!$A:$A,ROW())="","",INDEX(Banco!$A:$A,ROW()))</f>
        <v/>
      </c>
      <c r="B669" s="8">
        <f>IF(INDEX(Banco!$B:$B,ROW())="","",INDEX(Banco!$B:$B,ROW()))</f>
        <v/>
      </c>
      <c r="C669" s="8">
        <f>IF(INDEX(Banco!$C:$C,ROW())="","",INDEX(Banco!$C:$C,ROW()))</f>
        <v/>
      </c>
      <c r="D669" s="9">
        <f>IF(INDEX(Banco!$D:$D,ROW())="","",INDEX(Banco!$D:$D,ROW()))</f>
        <v/>
      </c>
      <c r="E669" s="9">
        <f>IF(INDEX(Banco!$E:$E,ROW())="","",INDEX(Banco!$E:$E,ROW()))</f>
        <v/>
      </c>
      <c r="F669" s="10">
        <f>IF(INDEX(Banco!$F:$F,ROW())="","",INDEX(Banco!$F:$F,ROW()))</f>
        <v/>
      </c>
      <c r="G669" s="10">
        <f>IF(INDEX(Banco!$G:$G,ROW())="","",INDEX(Banco!$G:$G,ROW()))</f>
        <v/>
      </c>
      <c r="H669" s="8">
        <f>IF(INDEX(Banco!$H:$H,ROW())="","",INDEX(Banco!$H:$H,ROW()))</f>
        <v/>
      </c>
      <c r="I669">
        <f>IF($T669="","",INT($T669/12)&amp;"a "&amp;MOD($T669,12)&amp;"m")</f>
        <v/>
      </c>
      <c r="J669" s="11">
        <f>IF(OR($F669="",$G669=""),"",ROUND($F669/($G669/100)^2,2))</f>
        <v/>
      </c>
      <c r="K669" s="12">
        <f>IF(OR($S669="",$J669="",$T669="",$T669&lt;0,$T669&gt;228,$Y669=""),"—",ROUND(IF(ABS($AB669)&lt;=3,$AB669,IF($AB669&gt;3,3+($J669-$AD669)/($AD669-$AC669),-3+($J669-$AF669)/($AE669-$AF669))),2))</f>
        <v/>
      </c>
      <c r="L669">
        <f>IF(OR($K669="",$K669="—"),"",IF($T669&lt;=60,IF($K669&lt;-3,"Magreza acentuada",IF($K669&lt;-2,"Magreza",IF($K669&lt;=1,"Eutrofia",IF($K669&lt;=2,"Risco de sobrepeso",IF($K669&lt;=3,"Sobrepeso","Obesidade"))))),IF($K669&lt;-3,"Magreza acentuada",IF($K669&lt;-2,"Magreza",IF($K669&lt;=1,"Eutrofia",IF($K669&lt;=2,"Sobrepeso",IF($K669&lt;=3,"Obesidade","Obesidade grave")))))))</f>
        <v/>
      </c>
      <c r="M669" s="12">
        <f>IF(OR($S669="",$V669="",$T669="",$T669&lt;0,$T669&gt;228,$AG669=""),"—",ROUND(IF($AG669=0,LN($V669/$AH669)/$AI669,((($V669/$AH669)^$AG669)-1)/($AG669*$AI669)),2))</f>
        <v/>
      </c>
      <c r="N669">
        <f>IF(OR($M669="",$M669="—"),"",IF($M669&lt;-3,"Muito baixa",IF($M669&lt;-2,"Baixa","Adequada")))</f>
        <v/>
      </c>
      <c r="O669" s="12">
        <f>IF(OR($S669="",$F669="",$T669="",$T669&lt;0,$T669&gt;120,$AJ669=""),"—",ROUND(IF(ABS($AM669)&lt;=3,$AM669,IF($AM669&gt;3,3+($F669-$AO669)/($AO669-$AN669),-3+($F669-$AQ669)/($AP669-$AQ669))),2))</f>
        <v/>
      </c>
      <c r="P669">
        <f>IF(OR($O669="",$O669="—"),"",IF($O669&lt;-3,"Muito baixo",IF($O669&lt;-2,"Baixo",IF($O669&lt;=2,"Adequado","Elevado"))))</f>
        <v/>
      </c>
      <c r="Q669" s="12">
        <f>IF(OR($S669="",$F669="",$T669="",$T669&lt;0,$T669&gt;60,$AR669=""),"—",ROUND(IF(ABS($AU669)&lt;=3,$AU669,IF($AU669&gt;3,3+($F669-$AW669)/($AW669-$AV669),-3+($F669-$AY669)/($AX669-$AY669))),2))</f>
        <v/>
      </c>
      <c r="R669">
        <f>IF(OR($Q669="",$Q669="—"),"",IF($Q669&lt;-3,"Magreza acentuada",IF($Q669&lt;-2,"Magreza",IF($Q669&lt;=1,"Eutrofia",IF($Q669&lt;=2,"Risco de sobrepeso",IF($Q669&lt;=3,"Sobrepeso","Obesidade"))))))</f>
        <v/>
      </c>
      <c r="S669">
        <f>IF($C669="","",IF(UPPER(LEFT($C669,1))="M",1,IF(UPPER(LEFT($C669,1))="F",2,"")))</f>
        <v/>
      </c>
      <c r="T669">
        <f>IF(OR($D669="",$E669=""),"",DATEDIF($D669,$E669,"m"))</f>
        <v/>
      </c>
      <c r="U669">
        <f>IF(OR($D669="",$E669=""),"",$E669-$D669)</f>
        <v/>
      </c>
      <c r="V669">
        <f>IF(OR($G669="",$T669=""),"",IF($T669&lt;24,IF(LEFT(LOWER($H669),4)="em p",$G669+0.7,$G669),IF(LEFT(LOWER($H669),4)="deit",$G669-0.7,$G669)))</f>
        <v/>
      </c>
      <c r="W669">
        <f>IF(OR($S669="",$T669=""),"",$S669*1000000+IF($T669&lt;=60,$U669,$T669))</f>
        <v/>
      </c>
      <c r="X669">
        <f>IF(OR($S669="",$V669="",$T669&gt;60,$T669=""),"",$S669*1000000+ROUND($V669*10,0))</f>
        <v/>
      </c>
      <c r="Y669">
        <f>IF($W669="","",IFERROR(INDEX(IF($T669&lt;=60,imc05_l,imc519_l),MATCH($W669,IF($T669&lt;=60,imc05_k,imc519_k),1)),""))</f>
        <v/>
      </c>
      <c r="Z669">
        <f>IF($W669="","",IFERROR(INDEX(IF($T669&lt;=60,imc05_m,imc519_m),MATCH($W669,IF($T669&lt;=60,imc05_k,imc519_k),1)),""))</f>
        <v/>
      </c>
      <c r="AA669">
        <f>IF($W669="","",IFERROR(INDEX(IF($T669&lt;=60,imc05_s,imc519_s),MATCH($W669,IF($T669&lt;=60,imc05_k,imc519_k),1)),""))</f>
        <v/>
      </c>
      <c r="AB669">
        <f>IF($Y669="","",IF($Y669=0,LN($J669/$Z669)/$AA669,((($J669/$Z669)^$Y669)-1)/($Y669*$AA669)))</f>
        <v/>
      </c>
      <c r="AC669">
        <f>IF($Y669="","",IF($Y669=0,$Z669*EXP($AA669*2),$Z669*(1+$Y669*$AA669*2)^(1/$Y669)))</f>
        <v/>
      </c>
      <c r="AD669">
        <f>IF($Y669="","",IF($Y669=0,$Z669*EXP($AA669*3),$Z669*(1+$Y669*$AA669*3)^(1/$Y669)))</f>
        <v/>
      </c>
      <c r="AE669">
        <f>IF($Y669="","",IF($Y669=0,$Z669*EXP($AA669*-2),$Z669*(1+$Y669*$AA669*-2)^(1/$Y669)))</f>
        <v/>
      </c>
      <c r="AF669">
        <f>IF($Y669="","",IF($Y669=0,$Z669*EXP($AA669*-3),$Z669*(1+$Y669*$AA669*-3)^(1/$Y669)))</f>
        <v/>
      </c>
      <c r="AG669">
        <f>IF($W669="","",IFERROR(INDEX(IF($T669&lt;=60,est05_l,est519_l),MATCH($W669,IF($T669&lt;=60,est05_k,est519_k),1)),""))</f>
        <v/>
      </c>
      <c r="AH669">
        <f>IF($W669="","",IFERROR(INDEX(IF($T669&lt;=60,est05_m,est519_m),MATCH($W669,IF($T669&lt;=60,est05_k,est519_k),1)),""))</f>
        <v/>
      </c>
      <c r="AI669">
        <f>IF($W669="","",IFERROR(INDEX(IF($T669&lt;=60,est05_s,est519_s),MATCH($W669,IF($T669&lt;=60,est05_k,est519_k),1)),""))</f>
        <v/>
      </c>
      <c r="AJ669">
        <f>IF($W669="","",IFERROR(INDEX(IF($T669&lt;=60,peso05_l,peso510_l),MATCH($W669,IF($T669&lt;=60,peso05_k,peso510_k),1)),""))</f>
        <v/>
      </c>
      <c r="AK669">
        <f>IF($W669="","",IFERROR(INDEX(IF($T669&lt;=60,peso05_m,peso510_m),MATCH($W669,IF($T669&lt;=60,peso05_k,peso510_k),1)),""))</f>
        <v/>
      </c>
      <c r="AL669">
        <f>IF($W669="","",IFERROR(INDEX(IF($T669&lt;=60,peso05_s,peso510_s),MATCH($W669,IF($T669&lt;=60,peso05_k,peso510_k),1)),""))</f>
        <v/>
      </c>
      <c r="AM669">
        <f>IF($AJ669="","",IF($AJ669=0,LN($F669/$AK669)/$AL669,((($F669/$AK669)^$AJ669)-1)/($AJ669*$AL669)))</f>
        <v/>
      </c>
      <c r="AN669">
        <f>IF($AJ669="","",IF($AJ669=0,$AK669*EXP($AL669*2),$AK669*(1+$AJ669*$AL669*2)^(1/$AJ669)))</f>
        <v/>
      </c>
      <c r="AO669">
        <f>IF($AJ669="","",IF($AJ669=0,$AK669*EXP($AL669*3),$AK669*(1+$AJ669*$AL669*3)^(1/$AJ669)))</f>
        <v/>
      </c>
      <c r="AP669">
        <f>IF($AJ669="","",IF($AJ669=0,$AK669*EXP($AL669*-2),$AK669*(1+$AJ669*$AL669*-2)^(1/$AJ669)))</f>
        <v/>
      </c>
      <c r="AQ669">
        <f>IF($AJ669="","",IF($AJ669=0,$AK669*EXP($AL669*-3),$AK669*(1+$AJ669*$AL669*-3)^(1/$AJ669)))</f>
        <v/>
      </c>
      <c r="AR669">
        <f>IF(OR($X669="",$T669&gt;60),"",IFERROR(INDEX(IF($T669&lt;24,pcomp_l,palt_l),MATCH($X669,IF($T669&lt;24,pcomp_k,palt_k),1)),""))</f>
        <v/>
      </c>
      <c r="AS669">
        <f>IF(OR($X669="",$T669&gt;60),"",IFERROR(INDEX(IF($T669&lt;24,pcomp_m,palt_m),MATCH($X669,IF($T669&lt;24,pcomp_k,palt_k),1)),""))</f>
        <v/>
      </c>
      <c r="AT669">
        <f>IF(OR($X669="",$T669&gt;60),"",IFERROR(INDEX(IF($T669&lt;24,pcomp_s,palt_s),MATCH($X669,IF($T669&lt;24,pcomp_k,palt_k),1)),""))</f>
        <v/>
      </c>
      <c r="AU669">
        <f>IF($AR669="","",IF($AR669=0,LN($F669/$AS669)/$AT669,((($F669/$AS669)^$AR669)-1)/($AR669*$AT669)))</f>
        <v/>
      </c>
      <c r="AV669">
        <f>IF($AR669="","",IF($AR669=0,$AS669*EXP($AT669*2),$AS669*(1+$AR669*$AT669*2)^(1/$AR669)))</f>
        <v/>
      </c>
      <c r="AW669">
        <f>IF($AR669="","",IF($AR669=0,$AS669*EXP($AT669*3),$AS669*(1+$AR669*$AT669*3)^(1/$AR669)))</f>
        <v/>
      </c>
      <c r="AX669">
        <f>IF($AR669="","",IF($AR669=0,$AS669*EXP($AT669*-2),$AS669*(1+$AR669*$AT669*-2)^(1/$AR669)))</f>
        <v/>
      </c>
      <c r="AY669">
        <f>IF($AR669="","",IF($AR669=0,$AS669*EXP($AT669*-3),$AS669*(1+$AR669*$AT669*-3)^(1/$AR669)))</f>
        <v/>
      </c>
      <c r="AZ669">
        <f>IF(OR($A669="",$A669&lt;&gt;Ficha!$C$4),"",COUNTIF($A$2:$A669,Ficha!$C$4))</f>
        <v/>
      </c>
    </row>
    <row r="670">
      <c r="A670" s="8">
        <f>IF(INDEX(Banco!$A:$A,ROW())="","",INDEX(Banco!$A:$A,ROW()))</f>
        <v/>
      </c>
      <c r="B670" s="8">
        <f>IF(INDEX(Banco!$B:$B,ROW())="","",INDEX(Banco!$B:$B,ROW()))</f>
        <v/>
      </c>
      <c r="C670" s="8">
        <f>IF(INDEX(Banco!$C:$C,ROW())="","",INDEX(Banco!$C:$C,ROW()))</f>
        <v/>
      </c>
      <c r="D670" s="9">
        <f>IF(INDEX(Banco!$D:$D,ROW())="","",INDEX(Banco!$D:$D,ROW()))</f>
        <v/>
      </c>
      <c r="E670" s="9">
        <f>IF(INDEX(Banco!$E:$E,ROW())="","",INDEX(Banco!$E:$E,ROW()))</f>
        <v/>
      </c>
      <c r="F670" s="10">
        <f>IF(INDEX(Banco!$F:$F,ROW())="","",INDEX(Banco!$F:$F,ROW()))</f>
        <v/>
      </c>
      <c r="G670" s="10">
        <f>IF(INDEX(Banco!$G:$G,ROW())="","",INDEX(Banco!$G:$G,ROW()))</f>
        <v/>
      </c>
      <c r="H670" s="8">
        <f>IF(INDEX(Banco!$H:$H,ROW())="","",INDEX(Banco!$H:$H,ROW()))</f>
        <v/>
      </c>
      <c r="I670">
        <f>IF($T670="","",INT($T670/12)&amp;"a "&amp;MOD($T670,12)&amp;"m")</f>
        <v/>
      </c>
      <c r="J670" s="11">
        <f>IF(OR($F670="",$G670=""),"",ROUND($F670/($G670/100)^2,2))</f>
        <v/>
      </c>
      <c r="K670" s="12">
        <f>IF(OR($S670="",$J670="",$T670="",$T670&lt;0,$T670&gt;228,$Y670=""),"—",ROUND(IF(ABS($AB670)&lt;=3,$AB670,IF($AB670&gt;3,3+($J670-$AD670)/($AD670-$AC670),-3+($J670-$AF670)/($AE670-$AF670))),2))</f>
        <v/>
      </c>
      <c r="L670">
        <f>IF(OR($K670="",$K670="—"),"",IF($T670&lt;=60,IF($K670&lt;-3,"Magreza acentuada",IF($K670&lt;-2,"Magreza",IF($K670&lt;=1,"Eutrofia",IF($K670&lt;=2,"Risco de sobrepeso",IF($K670&lt;=3,"Sobrepeso","Obesidade"))))),IF($K670&lt;-3,"Magreza acentuada",IF($K670&lt;-2,"Magreza",IF($K670&lt;=1,"Eutrofia",IF($K670&lt;=2,"Sobrepeso",IF($K670&lt;=3,"Obesidade","Obesidade grave")))))))</f>
        <v/>
      </c>
      <c r="M670" s="12">
        <f>IF(OR($S670="",$V670="",$T670="",$T670&lt;0,$T670&gt;228,$AG670=""),"—",ROUND(IF($AG670=0,LN($V670/$AH670)/$AI670,((($V670/$AH670)^$AG670)-1)/($AG670*$AI670)),2))</f>
        <v/>
      </c>
      <c r="N670">
        <f>IF(OR($M670="",$M670="—"),"",IF($M670&lt;-3,"Muito baixa",IF($M670&lt;-2,"Baixa","Adequada")))</f>
        <v/>
      </c>
      <c r="O670" s="12">
        <f>IF(OR($S670="",$F670="",$T670="",$T670&lt;0,$T670&gt;120,$AJ670=""),"—",ROUND(IF(ABS($AM670)&lt;=3,$AM670,IF($AM670&gt;3,3+($F670-$AO670)/($AO670-$AN670),-3+($F670-$AQ670)/($AP670-$AQ670))),2))</f>
        <v/>
      </c>
      <c r="P670">
        <f>IF(OR($O670="",$O670="—"),"",IF($O670&lt;-3,"Muito baixo",IF($O670&lt;-2,"Baixo",IF($O670&lt;=2,"Adequado","Elevado"))))</f>
        <v/>
      </c>
      <c r="Q670" s="12">
        <f>IF(OR($S670="",$F670="",$T670="",$T670&lt;0,$T670&gt;60,$AR670=""),"—",ROUND(IF(ABS($AU670)&lt;=3,$AU670,IF($AU670&gt;3,3+($F670-$AW670)/($AW670-$AV670),-3+($F670-$AY670)/($AX670-$AY670))),2))</f>
        <v/>
      </c>
      <c r="R670">
        <f>IF(OR($Q670="",$Q670="—"),"",IF($Q670&lt;-3,"Magreza acentuada",IF($Q670&lt;-2,"Magreza",IF($Q670&lt;=1,"Eutrofia",IF($Q670&lt;=2,"Risco de sobrepeso",IF($Q670&lt;=3,"Sobrepeso","Obesidade"))))))</f>
        <v/>
      </c>
      <c r="S670">
        <f>IF($C670="","",IF(UPPER(LEFT($C670,1))="M",1,IF(UPPER(LEFT($C670,1))="F",2,"")))</f>
        <v/>
      </c>
      <c r="T670">
        <f>IF(OR($D670="",$E670=""),"",DATEDIF($D670,$E670,"m"))</f>
        <v/>
      </c>
      <c r="U670">
        <f>IF(OR($D670="",$E670=""),"",$E670-$D670)</f>
        <v/>
      </c>
      <c r="V670">
        <f>IF(OR($G670="",$T670=""),"",IF($T670&lt;24,IF(LEFT(LOWER($H670),4)="em p",$G670+0.7,$G670),IF(LEFT(LOWER($H670),4)="deit",$G670-0.7,$G670)))</f>
        <v/>
      </c>
      <c r="W670">
        <f>IF(OR($S670="",$T670=""),"",$S670*1000000+IF($T670&lt;=60,$U670,$T670))</f>
        <v/>
      </c>
      <c r="X670">
        <f>IF(OR($S670="",$V670="",$T670&gt;60,$T670=""),"",$S670*1000000+ROUND($V670*10,0))</f>
        <v/>
      </c>
      <c r="Y670">
        <f>IF($W670="","",IFERROR(INDEX(IF($T670&lt;=60,imc05_l,imc519_l),MATCH($W670,IF($T670&lt;=60,imc05_k,imc519_k),1)),""))</f>
        <v/>
      </c>
      <c r="Z670">
        <f>IF($W670="","",IFERROR(INDEX(IF($T670&lt;=60,imc05_m,imc519_m),MATCH($W670,IF($T670&lt;=60,imc05_k,imc519_k),1)),""))</f>
        <v/>
      </c>
      <c r="AA670">
        <f>IF($W670="","",IFERROR(INDEX(IF($T670&lt;=60,imc05_s,imc519_s),MATCH($W670,IF($T670&lt;=60,imc05_k,imc519_k),1)),""))</f>
        <v/>
      </c>
      <c r="AB670">
        <f>IF($Y670="","",IF($Y670=0,LN($J670/$Z670)/$AA670,((($J670/$Z670)^$Y670)-1)/($Y670*$AA670)))</f>
        <v/>
      </c>
      <c r="AC670">
        <f>IF($Y670="","",IF($Y670=0,$Z670*EXP($AA670*2),$Z670*(1+$Y670*$AA670*2)^(1/$Y670)))</f>
        <v/>
      </c>
      <c r="AD670">
        <f>IF($Y670="","",IF($Y670=0,$Z670*EXP($AA670*3),$Z670*(1+$Y670*$AA670*3)^(1/$Y670)))</f>
        <v/>
      </c>
      <c r="AE670">
        <f>IF($Y670="","",IF($Y670=0,$Z670*EXP($AA670*-2),$Z670*(1+$Y670*$AA670*-2)^(1/$Y670)))</f>
        <v/>
      </c>
      <c r="AF670">
        <f>IF($Y670="","",IF($Y670=0,$Z670*EXP($AA670*-3),$Z670*(1+$Y670*$AA670*-3)^(1/$Y670)))</f>
        <v/>
      </c>
      <c r="AG670">
        <f>IF($W670="","",IFERROR(INDEX(IF($T670&lt;=60,est05_l,est519_l),MATCH($W670,IF($T670&lt;=60,est05_k,est519_k),1)),""))</f>
        <v/>
      </c>
      <c r="AH670">
        <f>IF($W670="","",IFERROR(INDEX(IF($T670&lt;=60,est05_m,est519_m),MATCH($W670,IF($T670&lt;=60,est05_k,est519_k),1)),""))</f>
        <v/>
      </c>
      <c r="AI670">
        <f>IF($W670="","",IFERROR(INDEX(IF($T670&lt;=60,est05_s,est519_s),MATCH($W670,IF($T670&lt;=60,est05_k,est519_k),1)),""))</f>
        <v/>
      </c>
      <c r="AJ670">
        <f>IF($W670="","",IFERROR(INDEX(IF($T670&lt;=60,peso05_l,peso510_l),MATCH($W670,IF($T670&lt;=60,peso05_k,peso510_k),1)),""))</f>
        <v/>
      </c>
      <c r="AK670">
        <f>IF($W670="","",IFERROR(INDEX(IF($T670&lt;=60,peso05_m,peso510_m),MATCH($W670,IF($T670&lt;=60,peso05_k,peso510_k),1)),""))</f>
        <v/>
      </c>
      <c r="AL670">
        <f>IF($W670="","",IFERROR(INDEX(IF($T670&lt;=60,peso05_s,peso510_s),MATCH($W670,IF($T670&lt;=60,peso05_k,peso510_k),1)),""))</f>
        <v/>
      </c>
      <c r="AM670">
        <f>IF($AJ670="","",IF($AJ670=0,LN($F670/$AK670)/$AL670,((($F670/$AK670)^$AJ670)-1)/($AJ670*$AL670)))</f>
        <v/>
      </c>
      <c r="AN670">
        <f>IF($AJ670="","",IF($AJ670=0,$AK670*EXP($AL670*2),$AK670*(1+$AJ670*$AL670*2)^(1/$AJ670)))</f>
        <v/>
      </c>
      <c r="AO670">
        <f>IF($AJ670="","",IF($AJ670=0,$AK670*EXP($AL670*3),$AK670*(1+$AJ670*$AL670*3)^(1/$AJ670)))</f>
        <v/>
      </c>
      <c r="AP670">
        <f>IF($AJ670="","",IF($AJ670=0,$AK670*EXP($AL670*-2),$AK670*(1+$AJ670*$AL670*-2)^(1/$AJ670)))</f>
        <v/>
      </c>
      <c r="AQ670">
        <f>IF($AJ670="","",IF($AJ670=0,$AK670*EXP($AL670*-3),$AK670*(1+$AJ670*$AL670*-3)^(1/$AJ670)))</f>
        <v/>
      </c>
      <c r="AR670">
        <f>IF(OR($X670="",$T670&gt;60),"",IFERROR(INDEX(IF($T670&lt;24,pcomp_l,palt_l),MATCH($X670,IF($T670&lt;24,pcomp_k,palt_k),1)),""))</f>
        <v/>
      </c>
      <c r="AS670">
        <f>IF(OR($X670="",$T670&gt;60),"",IFERROR(INDEX(IF($T670&lt;24,pcomp_m,palt_m),MATCH($X670,IF($T670&lt;24,pcomp_k,palt_k),1)),""))</f>
        <v/>
      </c>
      <c r="AT670">
        <f>IF(OR($X670="",$T670&gt;60),"",IFERROR(INDEX(IF($T670&lt;24,pcomp_s,palt_s),MATCH($X670,IF($T670&lt;24,pcomp_k,palt_k),1)),""))</f>
        <v/>
      </c>
      <c r="AU670">
        <f>IF($AR670="","",IF($AR670=0,LN($F670/$AS670)/$AT670,((($F670/$AS670)^$AR670)-1)/($AR670*$AT670)))</f>
        <v/>
      </c>
      <c r="AV670">
        <f>IF($AR670="","",IF($AR670=0,$AS670*EXP($AT670*2),$AS670*(1+$AR670*$AT670*2)^(1/$AR670)))</f>
        <v/>
      </c>
      <c r="AW670">
        <f>IF($AR670="","",IF($AR670=0,$AS670*EXP($AT670*3),$AS670*(1+$AR670*$AT670*3)^(1/$AR670)))</f>
        <v/>
      </c>
      <c r="AX670">
        <f>IF($AR670="","",IF($AR670=0,$AS670*EXP($AT670*-2),$AS670*(1+$AR670*$AT670*-2)^(1/$AR670)))</f>
        <v/>
      </c>
      <c r="AY670">
        <f>IF($AR670="","",IF($AR670=0,$AS670*EXP($AT670*-3),$AS670*(1+$AR670*$AT670*-3)^(1/$AR670)))</f>
        <v/>
      </c>
      <c r="AZ670">
        <f>IF(OR($A670="",$A670&lt;&gt;Ficha!$C$4),"",COUNTIF($A$2:$A670,Ficha!$C$4))</f>
        <v/>
      </c>
    </row>
    <row r="671">
      <c r="A671" s="8">
        <f>IF(INDEX(Banco!$A:$A,ROW())="","",INDEX(Banco!$A:$A,ROW()))</f>
        <v/>
      </c>
      <c r="B671" s="8">
        <f>IF(INDEX(Banco!$B:$B,ROW())="","",INDEX(Banco!$B:$B,ROW()))</f>
        <v/>
      </c>
      <c r="C671" s="8">
        <f>IF(INDEX(Banco!$C:$C,ROW())="","",INDEX(Banco!$C:$C,ROW()))</f>
        <v/>
      </c>
      <c r="D671" s="9">
        <f>IF(INDEX(Banco!$D:$D,ROW())="","",INDEX(Banco!$D:$D,ROW()))</f>
        <v/>
      </c>
      <c r="E671" s="9">
        <f>IF(INDEX(Banco!$E:$E,ROW())="","",INDEX(Banco!$E:$E,ROW()))</f>
        <v/>
      </c>
      <c r="F671" s="10">
        <f>IF(INDEX(Banco!$F:$F,ROW())="","",INDEX(Banco!$F:$F,ROW()))</f>
        <v/>
      </c>
      <c r="G671" s="10">
        <f>IF(INDEX(Banco!$G:$G,ROW())="","",INDEX(Banco!$G:$G,ROW()))</f>
        <v/>
      </c>
      <c r="H671" s="8">
        <f>IF(INDEX(Banco!$H:$H,ROW())="","",INDEX(Banco!$H:$H,ROW()))</f>
        <v/>
      </c>
      <c r="I671">
        <f>IF($T671="","",INT($T671/12)&amp;"a "&amp;MOD($T671,12)&amp;"m")</f>
        <v/>
      </c>
      <c r="J671" s="11">
        <f>IF(OR($F671="",$G671=""),"",ROUND($F671/($G671/100)^2,2))</f>
        <v/>
      </c>
      <c r="K671" s="12">
        <f>IF(OR($S671="",$J671="",$T671="",$T671&lt;0,$T671&gt;228,$Y671=""),"—",ROUND(IF(ABS($AB671)&lt;=3,$AB671,IF($AB671&gt;3,3+($J671-$AD671)/($AD671-$AC671),-3+($J671-$AF671)/($AE671-$AF671))),2))</f>
        <v/>
      </c>
      <c r="L671">
        <f>IF(OR($K671="",$K671="—"),"",IF($T671&lt;=60,IF($K671&lt;-3,"Magreza acentuada",IF($K671&lt;-2,"Magreza",IF($K671&lt;=1,"Eutrofia",IF($K671&lt;=2,"Risco de sobrepeso",IF($K671&lt;=3,"Sobrepeso","Obesidade"))))),IF($K671&lt;-3,"Magreza acentuada",IF($K671&lt;-2,"Magreza",IF($K671&lt;=1,"Eutrofia",IF($K671&lt;=2,"Sobrepeso",IF($K671&lt;=3,"Obesidade","Obesidade grave")))))))</f>
        <v/>
      </c>
      <c r="M671" s="12">
        <f>IF(OR($S671="",$V671="",$T671="",$T671&lt;0,$T671&gt;228,$AG671=""),"—",ROUND(IF($AG671=0,LN($V671/$AH671)/$AI671,((($V671/$AH671)^$AG671)-1)/($AG671*$AI671)),2))</f>
        <v/>
      </c>
      <c r="N671">
        <f>IF(OR($M671="",$M671="—"),"",IF($M671&lt;-3,"Muito baixa",IF($M671&lt;-2,"Baixa","Adequada")))</f>
        <v/>
      </c>
      <c r="O671" s="12">
        <f>IF(OR($S671="",$F671="",$T671="",$T671&lt;0,$T671&gt;120,$AJ671=""),"—",ROUND(IF(ABS($AM671)&lt;=3,$AM671,IF($AM671&gt;3,3+($F671-$AO671)/($AO671-$AN671),-3+($F671-$AQ671)/($AP671-$AQ671))),2))</f>
        <v/>
      </c>
      <c r="P671">
        <f>IF(OR($O671="",$O671="—"),"",IF($O671&lt;-3,"Muito baixo",IF($O671&lt;-2,"Baixo",IF($O671&lt;=2,"Adequado","Elevado"))))</f>
        <v/>
      </c>
      <c r="Q671" s="12">
        <f>IF(OR($S671="",$F671="",$T671="",$T671&lt;0,$T671&gt;60,$AR671=""),"—",ROUND(IF(ABS($AU671)&lt;=3,$AU671,IF($AU671&gt;3,3+($F671-$AW671)/($AW671-$AV671),-3+($F671-$AY671)/($AX671-$AY671))),2))</f>
        <v/>
      </c>
      <c r="R671">
        <f>IF(OR($Q671="",$Q671="—"),"",IF($Q671&lt;-3,"Magreza acentuada",IF($Q671&lt;-2,"Magreza",IF($Q671&lt;=1,"Eutrofia",IF($Q671&lt;=2,"Risco de sobrepeso",IF($Q671&lt;=3,"Sobrepeso","Obesidade"))))))</f>
        <v/>
      </c>
      <c r="S671">
        <f>IF($C671="","",IF(UPPER(LEFT($C671,1))="M",1,IF(UPPER(LEFT($C671,1))="F",2,"")))</f>
        <v/>
      </c>
      <c r="T671">
        <f>IF(OR($D671="",$E671=""),"",DATEDIF($D671,$E671,"m"))</f>
        <v/>
      </c>
      <c r="U671">
        <f>IF(OR($D671="",$E671=""),"",$E671-$D671)</f>
        <v/>
      </c>
      <c r="V671">
        <f>IF(OR($G671="",$T671=""),"",IF($T671&lt;24,IF(LEFT(LOWER($H671),4)="em p",$G671+0.7,$G671),IF(LEFT(LOWER($H671),4)="deit",$G671-0.7,$G671)))</f>
        <v/>
      </c>
      <c r="W671">
        <f>IF(OR($S671="",$T671=""),"",$S671*1000000+IF($T671&lt;=60,$U671,$T671))</f>
        <v/>
      </c>
      <c r="X671">
        <f>IF(OR($S671="",$V671="",$T671&gt;60,$T671=""),"",$S671*1000000+ROUND($V671*10,0))</f>
        <v/>
      </c>
      <c r="Y671">
        <f>IF($W671="","",IFERROR(INDEX(IF($T671&lt;=60,imc05_l,imc519_l),MATCH($W671,IF($T671&lt;=60,imc05_k,imc519_k),1)),""))</f>
        <v/>
      </c>
      <c r="Z671">
        <f>IF($W671="","",IFERROR(INDEX(IF($T671&lt;=60,imc05_m,imc519_m),MATCH($W671,IF($T671&lt;=60,imc05_k,imc519_k),1)),""))</f>
        <v/>
      </c>
      <c r="AA671">
        <f>IF($W671="","",IFERROR(INDEX(IF($T671&lt;=60,imc05_s,imc519_s),MATCH($W671,IF($T671&lt;=60,imc05_k,imc519_k),1)),""))</f>
        <v/>
      </c>
      <c r="AB671">
        <f>IF($Y671="","",IF($Y671=0,LN($J671/$Z671)/$AA671,((($J671/$Z671)^$Y671)-1)/($Y671*$AA671)))</f>
        <v/>
      </c>
      <c r="AC671">
        <f>IF($Y671="","",IF($Y671=0,$Z671*EXP($AA671*2),$Z671*(1+$Y671*$AA671*2)^(1/$Y671)))</f>
        <v/>
      </c>
      <c r="AD671">
        <f>IF($Y671="","",IF($Y671=0,$Z671*EXP($AA671*3),$Z671*(1+$Y671*$AA671*3)^(1/$Y671)))</f>
        <v/>
      </c>
      <c r="AE671">
        <f>IF($Y671="","",IF($Y671=0,$Z671*EXP($AA671*-2),$Z671*(1+$Y671*$AA671*-2)^(1/$Y671)))</f>
        <v/>
      </c>
      <c r="AF671">
        <f>IF($Y671="","",IF($Y671=0,$Z671*EXP($AA671*-3),$Z671*(1+$Y671*$AA671*-3)^(1/$Y671)))</f>
        <v/>
      </c>
      <c r="AG671">
        <f>IF($W671="","",IFERROR(INDEX(IF($T671&lt;=60,est05_l,est519_l),MATCH($W671,IF($T671&lt;=60,est05_k,est519_k),1)),""))</f>
        <v/>
      </c>
      <c r="AH671">
        <f>IF($W671="","",IFERROR(INDEX(IF($T671&lt;=60,est05_m,est519_m),MATCH($W671,IF($T671&lt;=60,est05_k,est519_k),1)),""))</f>
        <v/>
      </c>
      <c r="AI671">
        <f>IF($W671="","",IFERROR(INDEX(IF($T671&lt;=60,est05_s,est519_s),MATCH($W671,IF($T671&lt;=60,est05_k,est519_k),1)),""))</f>
        <v/>
      </c>
      <c r="AJ671">
        <f>IF($W671="","",IFERROR(INDEX(IF($T671&lt;=60,peso05_l,peso510_l),MATCH($W671,IF($T671&lt;=60,peso05_k,peso510_k),1)),""))</f>
        <v/>
      </c>
      <c r="AK671">
        <f>IF($W671="","",IFERROR(INDEX(IF($T671&lt;=60,peso05_m,peso510_m),MATCH($W671,IF($T671&lt;=60,peso05_k,peso510_k),1)),""))</f>
        <v/>
      </c>
      <c r="AL671">
        <f>IF($W671="","",IFERROR(INDEX(IF($T671&lt;=60,peso05_s,peso510_s),MATCH($W671,IF($T671&lt;=60,peso05_k,peso510_k),1)),""))</f>
        <v/>
      </c>
      <c r="AM671">
        <f>IF($AJ671="","",IF($AJ671=0,LN($F671/$AK671)/$AL671,((($F671/$AK671)^$AJ671)-1)/($AJ671*$AL671)))</f>
        <v/>
      </c>
      <c r="AN671">
        <f>IF($AJ671="","",IF($AJ671=0,$AK671*EXP($AL671*2),$AK671*(1+$AJ671*$AL671*2)^(1/$AJ671)))</f>
        <v/>
      </c>
      <c r="AO671">
        <f>IF($AJ671="","",IF($AJ671=0,$AK671*EXP($AL671*3),$AK671*(1+$AJ671*$AL671*3)^(1/$AJ671)))</f>
        <v/>
      </c>
      <c r="AP671">
        <f>IF($AJ671="","",IF($AJ671=0,$AK671*EXP($AL671*-2),$AK671*(1+$AJ671*$AL671*-2)^(1/$AJ671)))</f>
        <v/>
      </c>
      <c r="AQ671">
        <f>IF($AJ671="","",IF($AJ671=0,$AK671*EXP($AL671*-3),$AK671*(1+$AJ671*$AL671*-3)^(1/$AJ671)))</f>
        <v/>
      </c>
      <c r="AR671">
        <f>IF(OR($X671="",$T671&gt;60),"",IFERROR(INDEX(IF($T671&lt;24,pcomp_l,palt_l),MATCH($X671,IF($T671&lt;24,pcomp_k,palt_k),1)),""))</f>
        <v/>
      </c>
      <c r="AS671">
        <f>IF(OR($X671="",$T671&gt;60),"",IFERROR(INDEX(IF($T671&lt;24,pcomp_m,palt_m),MATCH($X671,IF($T671&lt;24,pcomp_k,palt_k),1)),""))</f>
        <v/>
      </c>
      <c r="AT671">
        <f>IF(OR($X671="",$T671&gt;60),"",IFERROR(INDEX(IF($T671&lt;24,pcomp_s,palt_s),MATCH($X671,IF($T671&lt;24,pcomp_k,palt_k),1)),""))</f>
        <v/>
      </c>
      <c r="AU671">
        <f>IF($AR671="","",IF($AR671=0,LN($F671/$AS671)/$AT671,((($F671/$AS671)^$AR671)-1)/($AR671*$AT671)))</f>
        <v/>
      </c>
      <c r="AV671">
        <f>IF($AR671="","",IF($AR671=0,$AS671*EXP($AT671*2),$AS671*(1+$AR671*$AT671*2)^(1/$AR671)))</f>
        <v/>
      </c>
      <c r="AW671">
        <f>IF($AR671="","",IF($AR671=0,$AS671*EXP($AT671*3),$AS671*(1+$AR671*$AT671*3)^(1/$AR671)))</f>
        <v/>
      </c>
      <c r="AX671">
        <f>IF($AR671="","",IF($AR671=0,$AS671*EXP($AT671*-2),$AS671*(1+$AR671*$AT671*-2)^(1/$AR671)))</f>
        <v/>
      </c>
      <c r="AY671">
        <f>IF($AR671="","",IF($AR671=0,$AS671*EXP($AT671*-3),$AS671*(1+$AR671*$AT671*-3)^(1/$AR671)))</f>
        <v/>
      </c>
      <c r="AZ671">
        <f>IF(OR($A671="",$A671&lt;&gt;Ficha!$C$4),"",COUNTIF($A$2:$A671,Ficha!$C$4))</f>
        <v/>
      </c>
    </row>
    <row r="672">
      <c r="A672" s="8">
        <f>IF(INDEX(Banco!$A:$A,ROW())="","",INDEX(Banco!$A:$A,ROW()))</f>
        <v/>
      </c>
      <c r="B672" s="8">
        <f>IF(INDEX(Banco!$B:$B,ROW())="","",INDEX(Banco!$B:$B,ROW()))</f>
        <v/>
      </c>
      <c r="C672" s="8">
        <f>IF(INDEX(Banco!$C:$C,ROW())="","",INDEX(Banco!$C:$C,ROW()))</f>
        <v/>
      </c>
      <c r="D672" s="9">
        <f>IF(INDEX(Banco!$D:$D,ROW())="","",INDEX(Banco!$D:$D,ROW()))</f>
        <v/>
      </c>
      <c r="E672" s="9">
        <f>IF(INDEX(Banco!$E:$E,ROW())="","",INDEX(Banco!$E:$E,ROW()))</f>
        <v/>
      </c>
      <c r="F672" s="10">
        <f>IF(INDEX(Banco!$F:$F,ROW())="","",INDEX(Banco!$F:$F,ROW()))</f>
        <v/>
      </c>
      <c r="G672" s="10">
        <f>IF(INDEX(Banco!$G:$G,ROW())="","",INDEX(Banco!$G:$G,ROW()))</f>
        <v/>
      </c>
      <c r="H672" s="8">
        <f>IF(INDEX(Banco!$H:$H,ROW())="","",INDEX(Banco!$H:$H,ROW()))</f>
        <v/>
      </c>
      <c r="I672">
        <f>IF($T672="","",INT($T672/12)&amp;"a "&amp;MOD($T672,12)&amp;"m")</f>
        <v/>
      </c>
      <c r="J672" s="11">
        <f>IF(OR($F672="",$G672=""),"",ROUND($F672/($G672/100)^2,2))</f>
        <v/>
      </c>
      <c r="K672" s="12">
        <f>IF(OR($S672="",$J672="",$T672="",$T672&lt;0,$T672&gt;228,$Y672=""),"—",ROUND(IF(ABS($AB672)&lt;=3,$AB672,IF($AB672&gt;3,3+($J672-$AD672)/($AD672-$AC672),-3+($J672-$AF672)/($AE672-$AF672))),2))</f>
        <v/>
      </c>
      <c r="L672">
        <f>IF(OR($K672="",$K672="—"),"",IF($T672&lt;=60,IF($K672&lt;-3,"Magreza acentuada",IF($K672&lt;-2,"Magreza",IF($K672&lt;=1,"Eutrofia",IF($K672&lt;=2,"Risco de sobrepeso",IF($K672&lt;=3,"Sobrepeso","Obesidade"))))),IF($K672&lt;-3,"Magreza acentuada",IF($K672&lt;-2,"Magreza",IF($K672&lt;=1,"Eutrofia",IF($K672&lt;=2,"Sobrepeso",IF($K672&lt;=3,"Obesidade","Obesidade grave")))))))</f>
        <v/>
      </c>
      <c r="M672" s="12">
        <f>IF(OR($S672="",$V672="",$T672="",$T672&lt;0,$T672&gt;228,$AG672=""),"—",ROUND(IF($AG672=0,LN($V672/$AH672)/$AI672,((($V672/$AH672)^$AG672)-1)/($AG672*$AI672)),2))</f>
        <v/>
      </c>
      <c r="N672">
        <f>IF(OR($M672="",$M672="—"),"",IF($M672&lt;-3,"Muito baixa",IF($M672&lt;-2,"Baixa","Adequada")))</f>
        <v/>
      </c>
      <c r="O672" s="12">
        <f>IF(OR($S672="",$F672="",$T672="",$T672&lt;0,$T672&gt;120,$AJ672=""),"—",ROUND(IF(ABS($AM672)&lt;=3,$AM672,IF($AM672&gt;3,3+($F672-$AO672)/($AO672-$AN672),-3+($F672-$AQ672)/($AP672-$AQ672))),2))</f>
        <v/>
      </c>
      <c r="P672">
        <f>IF(OR($O672="",$O672="—"),"",IF($O672&lt;-3,"Muito baixo",IF($O672&lt;-2,"Baixo",IF($O672&lt;=2,"Adequado","Elevado"))))</f>
        <v/>
      </c>
      <c r="Q672" s="12">
        <f>IF(OR($S672="",$F672="",$T672="",$T672&lt;0,$T672&gt;60,$AR672=""),"—",ROUND(IF(ABS($AU672)&lt;=3,$AU672,IF($AU672&gt;3,3+($F672-$AW672)/($AW672-$AV672),-3+($F672-$AY672)/($AX672-$AY672))),2))</f>
        <v/>
      </c>
      <c r="R672">
        <f>IF(OR($Q672="",$Q672="—"),"",IF($Q672&lt;-3,"Magreza acentuada",IF($Q672&lt;-2,"Magreza",IF($Q672&lt;=1,"Eutrofia",IF($Q672&lt;=2,"Risco de sobrepeso",IF($Q672&lt;=3,"Sobrepeso","Obesidade"))))))</f>
        <v/>
      </c>
      <c r="S672">
        <f>IF($C672="","",IF(UPPER(LEFT($C672,1))="M",1,IF(UPPER(LEFT($C672,1))="F",2,"")))</f>
        <v/>
      </c>
      <c r="T672">
        <f>IF(OR($D672="",$E672=""),"",DATEDIF($D672,$E672,"m"))</f>
        <v/>
      </c>
      <c r="U672">
        <f>IF(OR($D672="",$E672=""),"",$E672-$D672)</f>
        <v/>
      </c>
      <c r="V672">
        <f>IF(OR($G672="",$T672=""),"",IF($T672&lt;24,IF(LEFT(LOWER($H672),4)="em p",$G672+0.7,$G672),IF(LEFT(LOWER($H672),4)="deit",$G672-0.7,$G672)))</f>
        <v/>
      </c>
      <c r="W672">
        <f>IF(OR($S672="",$T672=""),"",$S672*1000000+IF($T672&lt;=60,$U672,$T672))</f>
        <v/>
      </c>
      <c r="X672">
        <f>IF(OR($S672="",$V672="",$T672&gt;60,$T672=""),"",$S672*1000000+ROUND($V672*10,0))</f>
        <v/>
      </c>
      <c r="Y672">
        <f>IF($W672="","",IFERROR(INDEX(IF($T672&lt;=60,imc05_l,imc519_l),MATCH($W672,IF($T672&lt;=60,imc05_k,imc519_k),1)),""))</f>
        <v/>
      </c>
      <c r="Z672">
        <f>IF($W672="","",IFERROR(INDEX(IF($T672&lt;=60,imc05_m,imc519_m),MATCH($W672,IF($T672&lt;=60,imc05_k,imc519_k),1)),""))</f>
        <v/>
      </c>
      <c r="AA672">
        <f>IF($W672="","",IFERROR(INDEX(IF($T672&lt;=60,imc05_s,imc519_s),MATCH($W672,IF($T672&lt;=60,imc05_k,imc519_k),1)),""))</f>
        <v/>
      </c>
      <c r="AB672">
        <f>IF($Y672="","",IF($Y672=0,LN($J672/$Z672)/$AA672,((($J672/$Z672)^$Y672)-1)/($Y672*$AA672)))</f>
        <v/>
      </c>
      <c r="AC672">
        <f>IF($Y672="","",IF($Y672=0,$Z672*EXP($AA672*2),$Z672*(1+$Y672*$AA672*2)^(1/$Y672)))</f>
        <v/>
      </c>
      <c r="AD672">
        <f>IF($Y672="","",IF($Y672=0,$Z672*EXP($AA672*3),$Z672*(1+$Y672*$AA672*3)^(1/$Y672)))</f>
        <v/>
      </c>
      <c r="AE672">
        <f>IF($Y672="","",IF($Y672=0,$Z672*EXP($AA672*-2),$Z672*(1+$Y672*$AA672*-2)^(1/$Y672)))</f>
        <v/>
      </c>
      <c r="AF672">
        <f>IF($Y672="","",IF($Y672=0,$Z672*EXP($AA672*-3),$Z672*(1+$Y672*$AA672*-3)^(1/$Y672)))</f>
        <v/>
      </c>
      <c r="AG672">
        <f>IF($W672="","",IFERROR(INDEX(IF($T672&lt;=60,est05_l,est519_l),MATCH($W672,IF($T672&lt;=60,est05_k,est519_k),1)),""))</f>
        <v/>
      </c>
      <c r="AH672">
        <f>IF($W672="","",IFERROR(INDEX(IF($T672&lt;=60,est05_m,est519_m),MATCH($W672,IF($T672&lt;=60,est05_k,est519_k),1)),""))</f>
        <v/>
      </c>
      <c r="AI672">
        <f>IF($W672="","",IFERROR(INDEX(IF($T672&lt;=60,est05_s,est519_s),MATCH($W672,IF($T672&lt;=60,est05_k,est519_k),1)),""))</f>
        <v/>
      </c>
      <c r="AJ672">
        <f>IF($W672="","",IFERROR(INDEX(IF($T672&lt;=60,peso05_l,peso510_l),MATCH($W672,IF($T672&lt;=60,peso05_k,peso510_k),1)),""))</f>
        <v/>
      </c>
      <c r="AK672">
        <f>IF($W672="","",IFERROR(INDEX(IF($T672&lt;=60,peso05_m,peso510_m),MATCH($W672,IF($T672&lt;=60,peso05_k,peso510_k),1)),""))</f>
        <v/>
      </c>
      <c r="AL672">
        <f>IF($W672="","",IFERROR(INDEX(IF($T672&lt;=60,peso05_s,peso510_s),MATCH($W672,IF($T672&lt;=60,peso05_k,peso510_k),1)),""))</f>
        <v/>
      </c>
      <c r="AM672">
        <f>IF($AJ672="","",IF($AJ672=0,LN($F672/$AK672)/$AL672,((($F672/$AK672)^$AJ672)-1)/($AJ672*$AL672)))</f>
        <v/>
      </c>
      <c r="AN672">
        <f>IF($AJ672="","",IF($AJ672=0,$AK672*EXP($AL672*2),$AK672*(1+$AJ672*$AL672*2)^(1/$AJ672)))</f>
        <v/>
      </c>
      <c r="AO672">
        <f>IF($AJ672="","",IF($AJ672=0,$AK672*EXP($AL672*3),$AK672*(1+$AJ672*$AL672*3)^(1/$AJ672)))</f>
        <v/>
      </c>
      <c r="AP672">
        <f>IF($AJ672="","",IF($AJ672=0,$AK672*EXP($AL672*-2),$AK672*(1+$AJ672*$AL672*-2)^(1/$AJ672)))</f>
        <v/>
      </c>
      <c r="AQ672">
        <f>IF($AJ672="","",IF($AJ672=0,$AK672*EXP($AL672*-3),$AK672*(1+$AJ672*$AL672*-3)^(1/$AJ672)))</f>
        <v/>
      </c>
      <c r="AR672">
        <f>IF(OR($X672="",$T672&gt;60),"",IFERROR(INDEX(IF($T672&lt;24,pcomp_l,palt_l),MATCH($X672,IF($T672&lt;24,pcomp_k,palt_k),1)),""))</f>
        <v/>
      </c>
      <c r="AS672">
        <f>IF(OR($X672="",$T672&gt;60),"",IFERROR(INDEX(IF($T672&lt;24,pcomp_m,palt_m),MATCH($X672,IF($T672&lt;24,pcomp_k,palt_k),1)),""))</f>
        <v/>
      </c>
      <c r="AT672">
        <f>IF(OR($X672="",$T672&gt;60),"",IFERROR(INDEX(IF($T672&lt;24,pcomp_s,palt_s),MATCH($X672,IF($T672&lt;24,pcomp_k,palt_k),1)),""))</f>
        <v/>
      </c>
      <c r="AU672">
        <f>IF($AR672="","",IF($AR672=0,LN($F672/$AS672)/$AT672,((($F672/$AS672)^$AR672)-1)/($AR672*$AT672)))</f>
        <v/>
      </c>
      <c r="AV672">
        <f>IF($AR672="","",IF($AR672=0,$AS672*EXP($AT672*2),$AS672*(1+$AR672*$AT672*2)^(1/$AR672)))</f>
        <v/>
      </c>
      <c r="AW672">
        <f>IF($AR672="","",IF($AR672=0,$AS672*EXP($AT672*3),$AS672*(1+$AR672*$AT672*3)^(1/$AR672)))</f>
        <v/>
      </c>
      <c r="AX672">
        <f>IF($AR672="","",IF($AR672=0,$AS672*EXP($AT672*-2),$AS672*(1+$AR672*$AT672*-2)^(1/$AR672)))</f>
        <v/>
      </c>
      <c r="AY672">
        <f>IF($AR672="","",IF($AR672=0,$AS672*EXP($AT672*-3),$AS672*(1+$AR672*$AT672*-3)^(1/$AR672)))</f>
        <v/>
      </c>
      <c r="AZ672">
        <f>IF(OR($A672="",$A672&lt;&gt;Ficha!$C$4),"",COUNTIF($A$2:$A672,Ficha!$C$4))</f>
        <v/>
      </c>
    </row>
    <row r="673">
      <c r="A673" s="8">
        <f>IF(INDEX(Banco!$A:$A,ROW())="","",INDEX(Banco!$A:$A,ROW()))</f>
        <v/>
      </c>
      <c r="B673" s="8">
        <f>IF(INDEX(Banco!$B:$B,ROW())="","",INDEX(Banco!$B:$B,ROW()))</f>
        <v/>
      </c>
      <c r="C673" s="8">
        <f>IF(INDEX(Banco!$C:$C,ROW())="","",INDEX(Banco!$C:$C,ROW()))</f>
        <v/>
      </c>
      <c r="D673" s="9">
        <f>IF(INDEX(Banco!$D:$D,ROW())="","",INDEX(Banco!$D:$D,ROW()))</f>
        <v/>
      </c>
      <c r="E673" s="9">
        <f>IF(INDEX(Banco!$E:$E,ROW())="","",INDEX(Banco!$E:$E,ROW()))</f>
        <v/>
      </c>
      <c r="F673" s="10">
        <f>IF(INDEX(Banco!$F:$F,ROW())="","",INDEX(Banco!$F:$F,ROW()))</f>
        <v/>
      </c>
      <c r="G673" s="10">
        <f>IF(INDEX(Banco!$G:$G,ROW())="","",INDEX(Banco!$G:$G,ROW()))</f>
        <v/>
      </c>
      <c r="H673" s="8">
        <f>IF(INDEX(Banco!$H:$H,ROW())="","",INDEX(Banco!$H:$H,ROW()))</f>
        <v/>
      </c>
      <c r="I673">
        <f>IF($T673="","",INT($T673/12)&amp;"a "&amp;MOD($T673,12)&amp;"m")</f>
        <v/>
      </c>
      <c r="J673" s="11">
        <f>IF(OR($F673="",$G673=""),"",ROUND($F673/($G673/100)^2,2))</f>
        <v/>
      </c>
      <c r="K673" s="12">
        <f>IF(OR($S673="",$J673="",$T673="",$T673&lt;0,$T673&gt;228,$Y673=""),"—",ROUND(IF(ABS($AB673)&lt;=3,$AB673,IF($AB673&gt;3,3+($J673-$AD673)/($AD673-$AC673),-3+($J673-$AF673)/($AE673-$AF673))),2))</f>
        <v/>
      </c>
      <c r="L673">
        <f>IF(OR($K673="",$K673="—"),"",IF($T673&lt;=60,IF($K673&lt;-3,"Magreza acentuada",IF($K673&lt;-2,"Magreza",IF($K673&lt;=1,"Eutrofia",IF($K673&lt;=2,"Risco de sobrepeso",IF($K673&lt;=3,"Sobrepeso","Obesidade"))))),IF($K673&lt;-3,"Magreza acentuada",IF($K673&lt;-2,"Magreza",IF($K673&lt;=1,"Eutrofia",IF($K673&lt;=2,"Sobrepeso",IF($K673&lt;=3,"Obesidade","Obesidade grave")))))))</f>
        <v/>
      </c>
      <c r="M673" s="12">
        <f>IF(OR($S673="",$V673="",$T673="",$T673&lt;0,$T673&gt;228,$AG673=""),"—",ROUND(IF($AG673=0,LN($V673/$AH673)/$AI673,((($V673/$AH673)^$AG673)-1)/($AG673*$AI673)),2))</f>
        <v/>
      </c>
      <c r="N673">
        <f>IF(OR($M673="",$M673="—"),"",IF($M673&lt;-3,"Muito baixa",IF($M673&lt;-2,"Baixa","Adequada")))</f>
        <v/>
      </c>
      <c r="O673" s="12">
        <f>IF(OR($S673="",$F673="",$T673="",$T673&lt;0,$T673&gt;120,$AJ673=""),"—",ROUND(IF(ABS($AM673)&lt;=3,$AM673,IF($AM673&gt;3,3+($F673-$AO673)/($AO673-$AN673),-3+($F673-$AQ673)/($AP673-$AQ673))),2))</f>
        <v/>
      </c>
      <c r="P673">
        <f>IF(OR($O673="",$O673="—"),"",IF($O673&lt;-3,"Muito baixo",IF($O673&lt;-2,"Baixo",IF($O673&lt;=2,"Adequado","Elevado"))))</f>
        <v/>
      </c>
      <c r="Q673" s="12">
        <f>IF(OR($S673="",$F673="",$T673="",$T673&lt;0,$T673&gt;60,$AR673=""),"—",ROUND(IF(ABS($AU673)&lt;=3,$AU673,IF($AU673&gt;3,3+($F673-$AW673)/($AW673-$AV673),-3+($F673-$AY673)/($AX673-$AY673))),2))</f>
        <v/>
      </c>
      <c r="R673">
        <f>IF(OR($Q673="",$Q673="—"),"",IF($Q673&lt;-3,"Magreza acentuada",IF($Q673&lt;-2,"Magreza",IF($Q673&lt;=1,"Eutrofia",IF($Q673&lt;=2,"Risco de sobrepeso",IF($Q673&lt;=3,"Sobrepeso","Obesidade"))))))</f>
        <v/>
      </c>
      <c r="S673">
        <f>IF($C673="","",IF(UPPER(LEFT($C673,1))="M",1,IF(UPPER(LEFT($C673,1))="F",2,"")))</f>
        <v/>
      </c>
      <c r="T673">
        <f>IF(OR($D673="",$E673=""),"",DATEDIF($D673,$E673,"m"))</f>
        <v/>
      </c>
      <c r="U673">
        <f>IF(OR($D673="",$E673=""),"",$E673-$D673)</f>
        <v/>
      </c>
      <c r="V673">
        <f>IF(OR($G673="",$T673=""),"",IF($T673&lt;24,IF(LEFT(LOWER($H673),4)="em p",$G673+0.7,$G673),IF(LEFT(LOWER($H673),4)="deit",$G673-0.7,$G673)))</f>
        <v/>
      </c>
      <c r="W673">
        <f>IF(OR($S673="",$T673=""),"",$S673*1000000+IF($T673&lt;=60,$U673,$T673))</f>
        <v/>
      </c>
      <c r="X673">
        <f>IF(OR($S673="",$V673="",$T673&gt;60,$T673=""),"",$S673*1000000+ROUND($V673*10,0))</f>
        <v/>
      </c>
      <c r="Y673">
        <f>IF($W673="","",IFERROR(INDEX(IF($T673&lt;=60,imc05_l,imc519_l),MATCH($W673,IF($T673&lt;=60,imc05_k,imc519_k),1)),""))</f>
        <v/>
      </c>
      <c r="Z673">
        <f>IF($W673="","",IFERROR(INDEX(IF($T673&lt;=60,imc05_m,imc519_m),MATCH($W673,IF($T673&lt;=60,imc05_k,imc519_k),1)),""))</f>
        <v/>
      </c>
      <c r="AA673">
        <f>IF($W673="","",IFERROR(INDEX(IF($T673&lt;=60,imc05_s,imc519_s),MATCH($W673,IF($T673&lt;=60,imc05_k,imc519_k),1)),""))</f>
        <v/>
      </c>
      <c r="AB673">
        <f>IF($Y673="","",IF($Y673=0,LN($J673/$Z673)/$AA673,((($J673/$Z673)^$Y673)-1)/($Y673*$AA673)))</f>
        <v/>
      </c>
      <c r="AC673">
        <f>IF($Y673="","",IF($Y673=0,$Z673*EXP($AA673*2),$Z673*(1+$Y673*$AA673*2)^(1/$Y673)))</f>
        <v/>
      </c>
      <c r="AD673">
        <f>IF($Y673="","",IF($Y673=0,$Z673*EXP($AA673*3),$Z673*(1+$Y673*$AA673*3)^(1/$Y673)))</f>
        <v/>
      </c>
      <c r="AE673">
        <f>IF($Y673="","",IF($Y673=0,$Z673*EXP($AA673*-2),$Z673*(1+$Y673*$AA673*-2)^(1/$Y673)))</f>
        <v/>
      </c>
      <c r="AF673">
        <f>IF($Y673="","",IF($Y673=0,$Z673*EXP($AA673*-3),$Z673*(1+$Y673*$AA673*-3)^(1/$Y673)))</f>
        <v/>
      </c>
      <c r="AG673">
        <f>IF($W673="","",IFERROR(INDEX(IF($T673&lt;=60,est05_l,est519_l),MATCH($W673,IF($T673&lt;=60,est05_k,est519_k),1)),""))</f>
        <v/>
      </c>
      <c r="AH673">
        <f>IF($W673="","",IFERROR(INDEX(IF($T673&lt;=60,est05_m,est519_m),MATCH($W673,IF($T673&lt;=60,est05_k,est519_k),1)),""))</f>
        <v/>
      </c>
      <c r="AI673">
        <f>IF($W673="","",IFERROR(INDEX(IF($T673&lt;=60,est05_s,est519_s),MATCH($W673,IF($T673&lt;=60,est05_k,est519_k),1)),""))</f>
        <v/>
      </c>
      <c r="AJ673">
        <f>IF($W673="","",IFERROR(INDEX(IF($T673&lt;=60,peso05_l,peso510_l),MATCH($W673,IF($T673&lt;=60,peso05_k,peso510_k),1)),""))</f>
        <v/>
      </c>
      <c r="AK673">
        <f>IF($W673="","",IFERROR(INDEX(IF($T673&lt;=60,peso05_m,peso510_m),MATCH($W673,IF($T673&lt;=60,peso05_k,peso510_k),1)),""))</f>
        <v/>
      </c>
      <c r="AL673">
        <f>IF($W673="","",IFERROR(INDEX(IF($T673&lt;=60,peso05_s,peso510_s),MATCH($W673,IF($T673&lt;=60,peso05_k,peso510_k),1)),""))</f>
        <v/>
      </c>
      <c r="AM673">
        <f>IF($AJ673="","",IF($AJ673=0,LN($F673/$AK673)/$AL673,((($F673/$AK673)^$AJ673)-1)/($AJ673*$AL673)))</f>
        <v/>
      </c>
      <c r="AN673">
        <f>IF($AJ673="","",IF($AJ673=0,$AK673*EXP($AL673*2),$AK673*(1+$AJ673*$AL673*2)^(1/$AJ673)))</f>
        <v/>
      </c>
      <c r="AO673">
        <f>IF($AJ673="","",IF($AJ673=0,$AK673*EXP($AL673*3),$AK673*(1+$AJ673*$AL673*3)^(1/$AJ673)))</f>
        <v/>
      </c>
      <c r="AP673">
        <f>IF($AJ673="","",IF($AJ673=0,$AK673*EXP($AL673*-2),$AK673*(1+$AJ673*$AL673*-2)^(1/$AJ673)))</f>
        <v/>
      </c>
      <c r="AQ673">
        <f>IF($AJ673="","",IF($AJ673=0,$AK673*EXP($AL673*-3),$AK673*(1+$AJ673*$AL673*-3)^(1/$AJ673)))</f>
        <v/>
      </c>
      <c r="AR673">
        <f>IF(OR($X673="",$T673&gt;60),"",IFERROR(INDEX(IF($T673&lt;24,pcomp_l,palt_l),MATCH($X673,IF($T673&lt;24,pcomp_k,palt_k),1)),""))</f>
        <v/>
      </c>
      <c r="AS673">
        <f>IF(OR($X673="",$T673&gt;60),"",IFERROR(INDEX(IF($T673&lt;24,pcomp_m,palt_m),MATCH($X673,IF($T673&lt;24,pcomp_k,palt_k),1)),""))</f>
        <v/>
      </c>
      <c r="AT673">
        <f>IF(OR($X673="",$T673&gt;60),"",IFERROR(INDEX(IF($T673&lt;24,pcomp_s,palt_s),MATCH($X673,IF($T673&lt;24,pcomp_k,palt_k),1)),""))</f>
        <v/>
      </c>
      <c r="AU673">
        <f>IF($AR673="","",IF($AR673=0,LN($F673/$AS673)/$AT673,((($F673/$AS673)^$AR673)-1)/($AR673*$AT673)))</f>
        <v/>
      </c>
      <c r="AV673">
        <f>IF($AR673="","",IF($AR673=0,$AS673*EXP($AT673*2),$AS673*(1+$AR673*$AT673*2)^(1/$AR673)))</f>
        <v/>
      </c>
      <c r="AW673">
        <f>IF($AR673="","",IF($AR673=0,$AS673*EXP($AT673*3),$AS673*(1+$AR673*$AT673*3)^(1/$AR673)))</f>
        <v/>
      </c>
      <c r="AX673">
        <f>IF($AR673="","",IF($AR673=0,$AS673*EXP($AT673*-2),$AS673*(1+$AR673*$AT673*-2)^(1/$AR673)))</f>
        <v/>
      </c>
      <c r="AY673">
        <f>IF($AR673="","",IF($AR673=0,$AS673*EXP($AT673*-3),$AS673*(1+$AR673*$AT673*-3)^(1/$AR673)))</f>
        <v/>
      </c>
      <c r="AZ673">
        <f>IF(OR($A673="",$A673&lt;&gt;Ficha!$C$4),"",COUNTIF($A$2:$A673,Ficha!$C$4))</f>
        <v/>
      </c>
    </row>
    <row r="674">
      <c r="A674" s="8">
        <f>IF(INDEX(Banco!$A:$A,ROW())="","",INDEX(Banco!$A:$A,ROW()))</f>
        <v/>
      </c>
      <c r="B674" s="8">
        <f>IF(INDEX(Banco!$B:$B,ROW())="","",INDEX(Banco!$B:$B,ROW()))</f>
        <v/>
      </c>
      <c r="C674" s="8">
        <f>IF(INDEX(Banco!$C:$C,ROW())="","",INDEX(Banco!$C:$C,ROW()))</f>
        <v/>
      </c>
      <c r="D674" s="9">
        <f>IF(INDEX(Banco!$D:$D,ROW())="","",INDEX(Banco!$D:$D,ROW()))</f>
        <v/>
      </c>
      <c r="E674" s="9">
        <f>IF(INDEX(Banco!$E:$E,ROW())="","",INDEX(Banco!$E:$E,ROW()))</f>
        <v/>
      </c>
      <c r="F674" s="10">
        <f>IF(INDEX(Banco!$F:$F,ROW())="","",INDEX(Banco!$F:$F,ROW()))</f>
        <v/>
      </c>
      <c r="G674" s="10">
        <f>IF(INDEX(Banco!$G:$G,ROW())="","",INDEX(Banco!$G:$G,ROW()))</f>
        <v/>
      </c>
      <c r="H674" s="8">
        <f>IF(INDEX(Banco!$H:$H,ROW())="","",INDEX(Banco!$H:$H,ROW()))</f>
        <v/>
      </c>
      <c r="I674">
        <f>IF($T674="","",INT($T674/12)&amp;"a "&amp;MOD($T674,12)&amp;"m")</f>
        <v/>
      </c>
      <c r="J674" s="11">
        <f>IF(OR($F674="",$G674=""),"",ROUND($F674/($G674/100)^2,2))</f>
        <v/>
      </c>
      <c r="K674" s="12">
        <f>IF(OR($S674="",$J674="",$T674="",$T674&lt;0,$T674&gt;228,$Y674=""),"—",ROUND(IF(ABS($AB674)&lt;=3,$AB674,IF($AB674&gt;3,3+($J674-$AD674)/($AD674-$AC674),-3+($J674-$AF674)/($AE674-$AF674))),2))</f>
        <v/>
      </c>
      <c r="L674">
        <f>IF(OR($K674="",$K674="—"),"",IF($T674&lt;=60,IF($K674&lt;-3,"Magreza acentuada",IF($K674&lt;-2,"Magreza",IF($K674&lt;=1,"Eutrofia",IF($K674&lt;=2,"Risco de sobrepeso",IF($K674&lt;=3,"Sobrepeso","Obesidade"))))),IF($K674&lt;-3,"Magreza acentuada",IF($K674&lt;-2,"Magreza",IF($K674&lt;=1,"Eutrofia",IF($K674&lt;=2,"Sobrepeso",IF($K674&lt;=3,"Obesidade","Obesidade grave")))))))</f>
        <v/>
      </c>
      <c r="M674" s="12">
        <f>IF(OR($S674="",$V674="",$T674="",$T674&lt;0,$T674&gt;228,$AG674=""),"—",ROUND(IF($AG674=0,LN($V674/$AH674)/$AI674,((($V674/$AH674)^$AG674)-1)/($AG674*$AI674)),2))</f>
        <v/>
      </c>
      <c r="N674">
        <f>IF(OR($M674="",$M674="—"),"",IF($M674&lt;-3,"Muito baixa",IF($M674&lt;-2,"Baixa","Adequada")))</f>
        <v/>
      </c>
      <c r="O674" s="12">
        <f>IF(OR($S674="",$F674="",$T674="",$T674&lt;0,$T674&gt;120,$AJ674=""),"—",ROUND(IF(ABS($AM674)&lt;=3,$AM674,IF($AM674&gt;3,3+($F674-$AO674)/($AO674-$AN674),-3+($F674-$AQ674)/($AP674-$AQ674))),2))</f>
        <v/>
      </c>
      <c r="P674">
        <f>IF(OR($O674="",$O674="—"),"",IF($O674&lt;-3,"Muito baixo",IF($O674&lt;-2,"Baixo",IF($O674&lt;=2,"Adequado","Elevado"))))</f>
        <v/>
      </c>
      <c r="Q674" s="12">
        <f>IF(OR($S674="",$F674="",$T674="",$T674&lt;0,$T674&gt;60,$AR674=""),"—",ROUND(IF(ABS($AU674)&lt;=3,$AU674,IF($AU674&gt;3,3+($F674-$AW674)/($AW674-$AV674),-3+($F674-$AY674)/($AX674-$AY674))),2))</f>
        <v/>
      </c>
      <c r="R674">
        <f>IF(OR($Q674="",$Q674="—"),"",IF($Q674&lt;-3,"Magreza acentuada",IF($Q674&lt;-2,"Magreza",IF($Q674&lt;=1,"Eutrofia",IF($Q674&lt;=2,"Risco de sobrepeso",IF($Q674&lt;=3,"Sobrepeso","Obesidade"))))))</f>
        <v/>
      </c>
      <c r="S674">
        <f>IF($C674="","",IF(UPPER(LEFT($C674,1))="M",1,IF(UPPER(LEFT($C674,1))="F",2,"")))</f>
        <v/>
      </c>
      <c r="T674">
        <f>IF(OR($D674="",$E674=""),"",DATEDIF($D674,$E674,"m"))</f>
        <v/>
      </c>
      <c r="U674">
        <f>IF(OR($D674="",$E674=""),"",$E674-$D674)</f>
        <v/>
      </c>
      <c r="V674">
        <f>IF(OR($G674="",$T674=""),"",IF($T674&lt;24,IF(LEFT(LOWER($H674),4)="em p",$G674+0.7,$G674),IF(LEFT(LOWER($H674),4)="deit",$G674-0.7,$G674)))</f>
        <v/>
      </c>
      <c r="W674">
        <f>IF(OR($S674="",$T674=""),"",$S674*1000000+IF($T674&lt;=60,$U674,$T674))</f>
        <v/>
      </c>
      <c r="X674">
        <f>IF(OR($S674="",$V674="",$T674&gt;60,$T674=""),"",$S674*1000000+ROUND($V674*10,0))</f>
        <v/>
      </c>
      <c r="Y674">
        <f>IF($W674="","",IFERROR(INDEX(IF($T674&lt;=60,imc05_l,imc519_l),MATCH($W674,IF($T674&lt;=60,imc05_k,imc519_k),1)),""))</f>
        <v/>
      </c>
      <c r="Z674">
        <f>IF($W674="","",IFERROR(INDEX(IF($T674&lt;=60,imc05_m,imc519_m),MATCH($W674,IF($T674&lt;=60,imc05_k,imc519_k),1)),""))</f>
        <v/>
      </c>
      <c r="AA674">
        <f>IF($W674="","",IFERROR(INDEX(IF($T674&lt;=60,imc05_s,imc519_s),MATCH($W674,IF($T674&lt;=60,imc05_k,imc519_k),1)),""))</f>
        <v/>
      </c>
      <c r="AB674">
        <f>IF($Y674="","",IF($Y674=0,LN($J674/$Z674)/$AA674,((($J674/$Z674)^$Y674)-1)/($Y674*$AA674)))</f>
        <v/>
      </c>
      <c r="AC674">
        <f>IF($Y674="","",IF($Y674=0,$Z674*EXP($AA674*2),$Z674*(1+$Y674*$AA674*2)^(1/$Y674)))</f>
        <v/>
      </c>
      <c r="AD674">
        <f>IF($Y674="","",IF($Y674=0,$Z674*EXP($AA674*3),$Z674*(1+$Y674*$AA674*3)^(1/$Y674)))</f>
        <v/>
      </c>
      <c r="AE674">
        <f>IF($Y674="","",IF($Y674=0,$Z674*EXP($AA674*-2),$Z674*(1+$Y674*$AA674*-2)^(1/$Y674)))</f>
        <v/>
      </c>
      <c r="AF674">
        <f>IF($Y674="","",IF($Y674=0,$Z674*EXP($AA674*-3),$Z674*(1+$Y674*$AA674*-3)^(1/$Y674)))</f>
        <v/>
      </c>
      <c r="AG674">
        <f>IF($W674="","",IFERROR(INDEX(IF($T674&lt;=60,est05_l,est519_l),MATCH($W674,IF($T674&lt;=60,est05_k,est519_k),1)),""))</f>
        <v/>
      </c>
      <c r="AH674">
        <f>IF($W674="","",IFERROR(INDEX(IF($T674&lt;=60,est05_m,est519_m),MATCH($W674,IF($T674&lt;=60,est05_k,est519_k),1)),""))</f>
        <v/>
      </c>
      <c r="AI674">
        <f>IF($W674="","",IFERROR(INDEX(IF($T674&lt;=60,est05_s,est519_s),MATCH($W674,IF($T674&lt;=60,est05_k,est519_k),1)),""))</f>
        <v/>
      </c>
      <c r="AJ674">
        <f>IF($W674="","",IFERROR(INDEX(IF($T674&lt;=60,peso05_l,peso510_l),MATCH($W674,IF($T674&lt;=60,peso05_k,peso510_k),1)),""))</f>
        <v/>
      </c>
      <c r="AK674">
        <f>IF($W674="","",IFERROR(INDEX(IF($T674&lt;=60,peso05_m,peso510_m),MATCH($W674,IF($T674&lt;=60,peso05_k,peso510_k),1)),""))</f>
        <v/>
      </c>
      <c r="AL674">
        <f>IF($W674="","",IFERROR(INDEX(IF($T674&lt;=60,peso05_s,peso510_s),MATCH($W674,IF($T674&lt;=60,peso05_k,peso510_k),1)),""))</f>
        <v/>
      </c>
      <c r="AM674">
        <f>IF($AJ674="","",IF($AJ674=0,LN($F674/$AK674)/$AL674,((($F674/$AK674)^$AJ674)-1)/($AJ674*$AL674)))</f>
        <v/>
      </c>
      <c r="AN674">
        <f>IF($AJ674="","",IF($AJ674=0,$AK674*EXP($AL674*2),$AK674*(1+$AJ674*$AL674*2)^(1/$AJ674)))</f>
        <v/>
      </c>
      <c r="AO674">
        <f>IF($AJ674="","",IF($AJ674=0,$AK674*EXP($AL674*3),$AK674*(1+$AJ674*$AL674*3)^(1/$AJ674)))</f>
        <v/>
      </c>
      <c r="AP674">
        <f>IF($AJ674="","",IF($AJ674=0,$AK674*EXP($AL674*-2),$AK674*(1+$AJ674*$AL674*-2)^(1/$AJ674)))</f>
        <v/>
      </c>
      <c r="AQ674">
        <f>IF($AJ674="","",IF($AJ674=0,$AK674*EXP($AL674*-3),$AK674*(1+$AJ674*$AL674*-3)^(1/$AJ674)))</f>
        <v/>
      </c>
      <c r="AR674">
        <f>IF(OR($X674="",$T674&gt;60),"",IFERROR(INDEX(IF($T674&lt;24,pcomp_l,palt_l),MATCH($X674,IF($T674&lt;24,pcomp_k,palt_k),1)),""))</f>
        <v/>
      </c>
      <c r="AS674">
        <f>IF(OR($X674="",$T674&gt;60),"",IFERROR(INDEX(IF($T674&lt;24,pcomp_m,palt_m),MATCH($X674,IF($T674&lt;24,pcomp_k,palt_k),1)),""))</f>
        <v/>
      </c>
      <c r="AT674">
        <f>IF(OR($X674="",$T674&gt;60),"",IFERROR(INDEX(IF($T674&lt;24,pcomp_s,palt_s),MATCH($X674,IF($T674&lt;24,pcomp_k,palt_k),1)),""))</f>
        <v/>
      </c>
      <c r="AU674">
        <f>IF($AR674="","",IF($AR674=0,LN($F674/$AS674)/$AT674,((($F674/$AS674)^$AR674)-1)/($AR674*$AT674)))</f>
        <v/>
      </c>
      <c r="AV674">
        <f>IF($AR674="","",IF($AR674=0,$AS674*EXP($AT674*2),$AS674*(1+$AR674*$AT674*2)^(1/$AR674)))</f>
        <v/>
      </c>
      <c r="AW674">
        <f>IF($AR674="","",IF($AR674=0,$AS674*EXP($AT674*3),$AS674*(1+$AR674*$AT674*3)^(1/$AR674)))</f>
        <v/>
      </c>
      <c r="AX674">
        <f>IF($AR674="","",IF($AR674=0,$AS674*EXP($AT674*-2),$AS674*(1+$AR674*$AT674*-2)^(1/$AR674)))</f>
        <v/>
      </c>
      <c r="AY674">
        <f>IF($AR674="","",IF($AR674=0,$AS674*EXP($AT674*-3),$AS674*(1+$AR674*$AT674*-3)^(1/$AR674)))</f>
        <v/>
      </c>
      <c r="AZ674">
        <f>IF(OR($A674="",$A674&lt;&gt;Ficha!$C$4),"",COUNTIF($A$2:$A674,Ficha!$C$4))</f>
        <v/>
      </c>
    </row>
    <row r="675">
      <c r="A675" s="8">
        <f>IF(INDEX(Banco!$A:$A,ROW())="","",INDEX(Banco!$A:$A,ROW()))</f>
        <v/>
      </c>
      <c r="B675" s="8">
        <f>IF(INDEX(Banco!$B:$B,ROW())="","",INDEX(Banco!$B:$B,ROW()))</f>
        <v/>
      </c>
      <c r="C675" s="8">
        <f>IF(INDEX(Banco!$C:$C,ROW())="","",INDEX(Banco!$C:$C,ROW()))</f>
        <v/>
      </c>
      <c r="D675" s="9">
        <f>IF(INDEX(Banco!$D:$D,ROW())="","",INDEX(Banco!$D:$D,ROW()))</f>
        <v/>
      </c>
      <c r="E675" s="9">
        <f>IF(INDEX(Banco!$E:$E,ROW())="","",INDEX(Banco!$E:$E,ROW()))</f>
        <v/>
      </c>
      <c r="F675" s="10">
        <f>IF(INDEX(Banco!$F:$F,ROW())="","",INDEX(Banco!$F:$F,ROW()))</f>
        <v/>
      </c>
      <c r="G675" s="10">
        <f>IF(INDEX(Banco!$G:$G,ROW())="","",INDEX(Banco!$G:$G,ROW()))</f>
        <v/>
      </c>
      <c r="H675" s="8">
        <f>IF(INDEX(Banco!$H:$H,ROW())="","",INDEX(Banco!$H:$H,ROW()))</f>
        <v/>
      </c>
      <c r="I675">
        <f>IF($T675="","",INT($T675/12)&amp;"a "&amp;MOD($T675,12)&amp;"m")</f>
        <v/>
      </c>
      <c r="J675" s="11">
        <f>IF(OR($F675="",$G675=""),"",ROUND($F675/($G675/100)^2,2))</f>
        <v/>
      </c>
      <c r="K675" s="12">
        <f>IF(OR($S675="",$J675="",$T675="",$T675&lt;0,$T675&gt;228,$Y675=""),"—",ROUND(IF(ABS($AB675)&lt;=3,$AB675,IF($AB675&gt;3,3+($J675-$AD675)/($AD675-$AC675),-3+($J675-$AF675)/($AE675-$AF675))),2))</f>
        <v/>
      </c>
      <c r="L675">
        <f>IF(OR($K675="",$K675="—"),"",IF($T675&lt;=60,IF($K675&lt;-3,"Magreza acentuada",IF($K675&lt;-2,"Magreza",IF($K675&lt;=1,"Eutrofia",IF($K675&lt;=2,"Risco de sobrepeso",IF($K675&lt;=3,"Sobrepeso","Obesidade"))))),IF($K675&lt;-3,"Magreza acentuada",IF($K675&lt;-2,"Magreza",IF($K675&lt;=1,"Eutrofia",IF($K675&lt;=2,"Sobrepeso",IF($K675&lt;=3,"Obesidade","Obesidade grave")))))))</f>
        <v/>
      </c>
      <c r="M675" s="12">
        <f>IF(OR($S675="",$V675="",$T675="",$T675&lt;0,$T675&gt;228,$AG675=""),"—",ROUND(IF($AG675=0,LN($V675/$AH675)/$AI675,((($V675/$AH675)^$AG675)-1)/($AG675*$AI675)),2))</f>
        <v/>
      </c>
      <c r="N675">
        <f>IF(OR($M675="",$M675="—"),"",IF($M675&lt;-3,"Muito baixa",IF($M675&lt;-2,"Baixa","Adequada")))</f>
        <v/>
      </c>
      <c r="O675" s="12">
        <f>IF(OR($S675="",$F675="",$T675="",$T675&lt;0,$T675&gt;120,$AJ675=""),"—",ROUND(IF(ABS($AM675)&lt;=3,$AM675,IF($AM675&gt;3,3+($F675-$AO675)/($AO675-$AN675),-3+($F675-$AQ675)/($AP675-$AQ675))),2))</f>
        <v/>
      </c>
      <c r="P675">
        <f>IF(OR($O675="",$O675="—"),"",IF($O675&lt;-3,"Muito baixo",IF($O675&lt;-2,"Baixo",IF($O675&lt;=2,"Adequado","Elevado"))))</f>
        <v/>
      </c>
      <c r="Q675" s="12">
        <f>IF(OR($S675="",$F675="",$T675="",$T675&lt;0,$T675&gt;60,$AR675=""),"—",ROUND(IF(ABS($AU675)&lt;=3,$AU675,IF($AU675&gt;3,3+($F675-$AW675)/($AW675-$AV675),-3+($F675-$AY675)/($AX675-$AY675))),2))</f>
        <v/>
      </c>
      <c r="R675">
        <f>IF(OR($Q675="",$Q675="—"),"",IF($Q675&lt;-3,"Magreza acentuada",IF($Q675&lt;-2,"Magreza",IF($Q675&lt;=1,"Eutrofia",IF($Q675&lt;=2,"Risco de sobrepeso",IF($Q675&lt;=3,"Sobrepeso","Obesidade"))))))</f>
        <v/>
      </c>
      <c r="S675">
        <f>IF($C675="","",IF(UPPER(LEFT($C675,1))="M",1,IF(UPPER(LEFT($C675,1))="F",2,"")))</f>
        <v/>
      </c>
      <c r="T675">
        <f>IF(OR($D675="",$E675=""),"",DATEDIF($D675,$E675,"m"))</f>
        <v/>
      </c>
      <c r="U675">
        <f>IF(OR($D675="",$E675=""),"",$E675-$D675)</f>
        <v/>
      </c>
      <c r="V675">
        <f>IF(OR($G675="",$T675=""),"",IF($T675&lt;24,IF(LEFT(LOWER($H675),4)="em p",$G675+0.7,$G675),IF(LEFT(LOWER($H675),4)="deit",$G675-0.7,$G675)))</f>
        <v/>
      </c>
      <c r="W675">
        <f>IF(OR($S675="",$T675=""),"",$S675*1000000+IF($T675&lt;=60,$U675,$T675))</f>
        <v/>
      </c>
      <c r="X675">
        <f>IF(OR($S675="",$V675="",$T675&gt;60,$T675=""),"",$S675*1000000+ROUND($V675*10,0))</f>
        <v/>
      </c>
      <c r="Y675">
        <f>IF($W675="","",IFERROR(INDEX(IF($T675&lt;=60,imc05_l,imc519_l),MATCH($W675,IF($T675&lt;=60,imc05_k,imc519_k),1)),""))</f>
        <v/>
      </c>
      <c r="Z675">
        <f>IF($W675="","",IFERROR(INDEX(IF($T675&lt;=60,imc05_m,imc519_m),MATCH($W675,IF($T675&lt;=60,imc05_k,imc519_k),1)),""))</f>
        <v/>
      </c>
      <c r="AA675">
        <f>IF($W675="","",IFERROR(INDEX(IF($T675&lt;=60,imc05_s,imc519_s),MATCH($W675,IF($T675&lt;=60,imc05_k,imc519_k),1)),""))</f>
        <v/>
      </c>
      <c r="AB675">
        <f>IF($Y675="","",IF($Y675=0,LN($J675/$Z675)/$AA675,((($J675/$Z675)^$Y675)-1)/($Y675*$AA675)))</f>
        <v/>
      </c>
      <c r="AC675">
        <f>IF($Y675="","",IF($Y675=0,$Z675*EXP($AA675*2),$Z675*(1+$Y675*$AA675*2)^(1/$Y675)))</f>
        <v/>
      </c>
      <c r="AD675">
        <f>IF($Y675="","",IF($Y675=0,$Z675*EXP($AA675*3),$Z675*(1+$Y675*$AA675*3)^(1/$Y675)))</f>
        <v/>
      </c>
      <c r="AE675">
        <f>IF($Y675="","",IF($Y675=0,$Z675*EXP($AA675*-2),$Z675*(1+$Y675*$AA675*-2)^(1/$Y675)))</f>
        <v/>
      </c>
      <c r="AF675">
        <f>IF($Y675="","",IF($Y675=0,$Z675*EXP($AA675*-3),$Z675*(1+$Y675*$AA675*-3)^(1/$Y675)))</f>
        <v/>
      </c>
      <c r="AG675">
        <f>IF($W675="","",IFERROR(INDEX(IF($T675&lt;=60,est05_l,est519_l),MATCH($W675,IF($T675&lt;=60,est05_k,est519_k),1)),""))</f>
        <v/>
      </c>
      <c r="AH675">
        <f>IF($W675="","",IFERROR(INDEX(IF($T675&lt;=60,est05_m,est519_m),MATCH($W675,IF($T675&lt;=60,est05_k,est519_k),1)),""))</f>
        <v/>
      </c>
      <c r="AI675">
        <f>IF($W675="","",IFERROR(INDEX(IF($T675&lt;=60,est05_s,est519_s),MATCH($W675,IF($T675&lt;=60,est05_k,est519_k),1)),""))</f>
        <v/>
      </c>
      <c r="AJ675">
        <f>IF($W675="","",IFERROR(INDEX(IF($T675&lt;=60,peso05_l,peso510_l),MATCH($W675,IF($T675&lt;=60,peso05_k,peso510_k),1)),""))</f>
        <v/>
      </c>
      <c r="AK675">
        <f>IF($W675="","",IFERROR(INDEX(IF($T675&lt;=60,peso05_m,peso510_m),MATCH($W675,IF($T675&lt;=60,peso05_k,peso510_k),1)),""))</f>
        <v/>
      </c>
      <c r="AL675">
        <f>IF($W675="","",IFERROR(INDEX(IF($T675&lt;=60,peso05_s,peso510_s),MATCH($W675,IF($T675&lt;=60,peso05_k,peso510_k),1)),""))</f>
        <v/>
      </c>
      <c r="AM675">
        <f>IF($AJ675="","",IF($AJ675=0,LN($F675/$AK675)/$AL675,((($F675/$AK675)^$AJ675)-1)/($AJ675*$AL675)))</f>
        <v/>
      </c>
      <c r="AN675">
        <f>IF($AJ675="","",IF($AJ675=0,$AK675*EXP($AL675*2),$AK675*(1+$AJ675*$AL675*2)^(1/$AJ675)))</f>
        <v/>
      </c>
      <c r="AO675">
        <f>IF($AJ675="","",IF($AJ675=0,$AK675*EXP($AL675*3),$AK675*(1+$AJ675*$AL675*3)^(1/$AJ675)))</f>
        <v/>
      </c>
      <c r="AP675">
        <f>IF($AJ675="","",IF($AJ675=0,$AK675*EXP($AL675*-2),$AK675*(1+$AJ675*$AL675*-2)^(1/$AJ675)))</f>
        <v/>
      </c>
      <c r="AQ675">
        <f>IF($AJ675="","",IF($AJ675=0,$AK675*EXP($AL675*-3),$AK675*(1+$AJ675*$AL675*-3)^(1/$AJ675)))</f>
        <v/>
      </c>
      <c r="AR675">
        <f>IF(OR($X675="",$T675&gt;60),"",IFERROR(INDEX(IF($T675&lt;24,pcomp_l,palt_l),MATCH($X675,IF($T675&lt;24,pcomp_k,palt_k),1)),""))</f>
        <v/>
      </c>
      <c r="AS675">
        <f>IF(OR($X675="",$T675&gt;60),"",IFERROR(INDEX(IF($T675&lt;24,pcomp_m,palt_m),MATCH($X675,IF($T675&lt;24,pcomp_k,palt_k),1)),""))</f>
        <v/>
      </c>
      <c r="AT675">
        <f>IF(OR($X675="",$T675&gt;60),"",IFERROR(INDEX(IF($T675&lt;24,pcomp_s,palt_s),MATCH($X675,IF($T675&lt;24,pcomp_k,palt_k),1)),""))</f>
        <v/>
      </c>
      <c r="AU675">
        <f>IF($AR675="","",IF($AR675=0,LN($F675/$AS675)/$AT675,((($F675/$AS675)^$AR675)-1)/($AR675*$AT675)))</f>
        <v/>
      </c>
      <c r="AV675">
        <f>IF($AR675="","",IF($AR675=0,$AS675*EXP($AT675*2),$AS675*(1+$AR675*$AT675*2)^(1/$AR675)))</f>
        <v/>
      </c>
      <c r="AW675">
        <f>IF($AR675="","",IF($AR675=0,$AS675*EXP($AT675*3),$AS675*(1+$AR675*$AT675*3)^(1/$AR675)))</f>
        <v/>
      </c>
      <c r="AX675">
        <f>IF($AR675="","",IF($AR675=0,$AS675*EXP($AT675*-2),$AS675*(1+$AR675*$AT675*-2)^(1/$AR675)))</f>
        <v/>
      </c>
      <c r="AY675">
        <f>IF($AR675="","",IF($AR675=0,$AS675*EXP($AT675*-3),$AS675*(1+$AR675*$AT675*-3)^(1/$AR675)))</f>
        <v/>
      </c>
      <c r="AZ675">
        <f>IF(OR($A675="",$A675&lt;&gt;Ficha!$C$4),"",COUNTIF($A$2:$A675,Ficha!$C$4))</f>
        <v/>
      </c>
    </row>
    <row r="676">
      <c r="A676" s="8">
        <f>IF(INDEX(Banco!$A:$A,ROW())="","",INDEX(Banco!$A:$A,ROW()))</f>
        <v/>
      </c>
      <c r="B676" s="8">
        <f>IF(INDEX(Banco!$B:$B,ROW())="","",INDEX(Banco!$B:$B,ROW()))</f>
        <v/>
      </c>
      <c r="C676" s="8">
        <f>IF(INDEX(Banco!$C:$C,ROW())="","",INDEX(Banco!$C:$C,ROW()))</f>
        <v/>
      </c>
      <c r="D676" s="9">
        <f>IF(INDEX(Banco!$D:$D,ROW())="","",INDEX(Banco!$D:$D,ROW()))</f>
        <v/>
      </c>
      <c r="E676" s="9">
        <f>IF(INDEX(Banco!$E:$E,ROW())="","",INDEX(Banco!$E:$E,ROW()))</f>
        <v/>
      </c>
      <c r="F676" s="10">
        <f>IF(INDEX(Banco!$F:$F,ROW())="","",INDEX(Banco!$F:$F,ROW()))</f>
        <v/>
      </c>
      <c r="G676" s="10">
        <f>IF(INDEX(Banco!$G:$G,ROW())="","",INDEX(Banco!$G:$G,ROW()))</f>
        <v/>
      </c>
      <c r="H676" s="8">
        <f>IF(INDEX(Banco!$H:$H,ROW())="","",INDEX(Banco!$H:$H,ROW()))</f>
        <v/>
      </c>
      <c r="I676">
        <f>IF($T676="","",INT($T676/12)&amp;"a "&amp;MOD($T676,12)&amp;"m")</f>
        <v/>
      </c>
      <c r="J676" s="11">
        <f>IF(OR($F676="",$G676=""),"",ROUND($F676/($G676/100)^2,2))</f>
        <v/>
      </c>
      <c r="K676" s="12">
        <f>IF(OR($S676="",$J676="",$T676="",$T676&lt;0,$T676&gt;228,$Y676=""),"—",ROUND(IF(ABS($AB676)&lt;=3,$AB676,IF($AB676&gt;3,3+($J676-$AD676)/($AD676-$AC676),-3+($J676-$AF676)/($AE676-$AF676))),2))</f>
        <v/>
      </c>
      <c r="L676">
        <f>IF(OR($K676="",$K676="—"),"",IF($T676&lt;=60,IF($K676&lt;-3,"Magreza acentuada",IF($K676&lt;-2,"Magreza",IF($K676&lt;=1,"Eutrofia",IF($K676&lt;=2,"Risco de sobrepeso",IF($K676&lt;=3,"Sobrepeso","Obesidade"))))),IF($K676&lt;-3,"Magreza acentuada",IF($K676&lt;-2,"Magreza",IF($K676&lt;=1,"Eutrofia",IF($K676&lt;=2,"Sobrepeso",IF($K676&lt;=3,"Obesidade","Obesidade grave")))))))</f>
        <v/>
      </c>
      <c r="M676" s="12">
        <f>IF(OR($S676="",$V676="",$T676="",$T676&lt;0,$T676&gt;228,$AG676=""),"—",ROUND(IF($AG676=0,LN($V676/$AH676)/$AI676,((($V676/$AH676)^$AG676)-1)/($AG676*$AI676)),2))</f>
        <v/>
      </c>
      <c r="N676">
        <f>IF(OR($M676="",$M676="—"),"",IF($M676&lt;-3,"Muito baixa",IF($M676&lt;-2,"Baixa","Adequada")))</f>
        <v/>
      </c>
      <c r="O676" s="12">
        <f>IF(OR($S676="",$F676="",$T676="",$T676&lt;0,$T676&gt;120,$AJ676=""),"—",ROUND(IF(ABS($AM676)&lt;=3,$AM676,IF($AM676&gt;3,3+($F676-$AO676)/($AO676-$AN676),-3+($F676-$AQ676)/($AP676-$AQ676))),2))</f>
        <v/>
      </c>
      <c r="P676">
        <f>IF(OR($O676="",$O676="—"),"",IF($O676&lt;-3,"Muito baixo",IF($O676&lt;-2,"Baixo",IF($O676&lt;=2,"Adequado","Elevado"))))</f>
        <v/>
      </c>
      <c r="Q676" s="12">
        <f>IF(OR($S676="",$F676="",$T676="",$T676&lt;0,$T676&gt;60,$AR676=""),"—",ROUND(IF(ABS($AU676)&lt;=3,$AU676,IF($AU676&gt;3,3+($F676-$AW676)/($AW676-$AV676),-3+($F676-$AY676)/($AX676-$AY676))),2))</f>
        <v/>
      </c>
      <c r="R676">
        <f>IF(OR($Q676="",$Q676="—"),"",IF($Q676&lt;-3,"Magreza acentuada",IF($Q676&lt;-2,"Magreza",IF($Q676&lt;=1,"Eutrofia",IF($Q676&lt;=2,"Risco de sobrepeso",IF($Q676&lt;=3,"Sobrepeso","Obesidade"))))))</f>
        <v/>
      </c>
      <c r="S676">
        <f>IF($C676="","",IF(UPPER(LEFT($C676,1))="M",1,IF(UPPER(LEFT($C676,1))="F",2,"")))</f>
        <v/>
      </c>
      <c r="T676">
        <f>IF(OR($D676="",$E676=""),"",DATEDIF($D676,$E676,"m"))</f>
        <v/>
      </c>
      <c r="U676">
        <f>IF(OR($D676="",$E676=""),"",$E676-$D676)</f>
        <v/>
      </c>
      <c r="V676">
        <f>IF(OR($G676="",$T676=""),"",IF($T676&lt;24,IF(LEFT(LOWER($H676),4)="em p",$G676+0.7,$G676),IF(LEFT(LOWER($H676),4)="deit",$G676-0.7,$G676)))</f>
        <v/>
      </c>
      <c r="W676">
        <f>IF(OR($S676="",$T676=""),"",$S676*1000000+IF($T676&lt;=60,$U676,$T676))</f>
        <v/>
      </c>
      <c r="X676">
        <f>IF(OR($S676="",$V676="",$T676&gt;60,$T676=""),"",$S676*1000000+ROUND($V676*10,0))</f>
        <v/>
      </c>
      <c r="Y676">
        <f>IF($W676="","",IFERROR(INDEX(IF($T676&lt;=60,imc05_l,imc519_l),MATCH($W676,IF($T676&lt;=60,imc05_k,imc519_k),1)),""))</f>
        <v/>
      </c>
      <c r="Z676">
        <f>IF($W676="","",IFERROR(INDEX(IF($T676&lt;=60,imc05_m,imc519_m),MATCH($W676,IF($T676&lt;=60,imc05_k,imc519_k),1)),""))</f>
        <v/>
      </c>
      <c r="AA676">
        <f>IF($W676="","",IFERROR(INDEX(IF($T676&lt;=60,imc05_s,imc519_s),MATCH($W676,IF($T676&lt;=60,imc05_k,imc519_k),1)),""))</f>
        <v/>
      </c>
      <c r="AB676">
        <f>IF($Y676="","",IF($Y676=0,LN($J676/$Z676)/$AA676,((($J676/$Z676)^$Y676)-1)/($Y676*$AA676)))</f>
        <v/>
      </c>
      <c r="AC676">
        <f>IF($Y676="","",IF($Y676=0,$Z676*EXP($AA676*2),$Z676*(1+$Y676*$AA676*2)^(1/$Y676)))</f>
        <v/>
      </c>
      <c r="AD676">
        <f>IF($Y676="","",IF($Y676=0,$Z676*EXP($AA676*3),$Z676*(1+$Y676*$AA676*3)^(1/$Y676)))</f>
        <v/>
      </c>
      <c r="AE676">
        <f>IF($Y676="","",IF($Y676=0,$Z676*EXP($AA676*-2),$Z676*(1+$Y676*$AA676*-2)^(1/$Y676)))</f>
        <v/>
      </c>
      <c r="AF676">
        <f>IF($Y676="","",IF($Y676=0,$Z676*EXP($AA676*-3),$Z676*(1+$Y676*$AA676*-3)^(1/$Y676)))</f>
        <v/>
      </c>
      <c r="AG676">
        <f>IF($W676="","",IFERROR(INDEX(IF($T676&lt;=60,est05_l,est519_l),MATCH($W676,IF($T676&lt;=60,est05_k,est519_k),1)),""))</f>
        <v/>
      </c>
      <c r="AH676">
        <f>IF($W676="","",IFERROR(INDEX(IF($T676&lt;=60,est05_m,est519_m),MATCH($W676,IF($T676&lt;=60,est05_k,est519_k),1)),""))</f>
        <v/>
      </c>
      <c r="AI676">
        <f>IF($W676="","",IFERROR(INDEX(IF($T676&lt;=60,est05_s,est519_s),MATCH($W676,IF($T676&lt;=60,est05_k,est519_k),1)),""))</f>
        <v/>
      </c>
      <c r="AJ676">
        <f>IF($W676="","",IFERROR(INDEX(IF($T676&lt;=60,peso05_l,peso510_l),MATCH($W676,IF($T676&lt;=60,peso05_k,peso510_k),1)),""))</f>
        <v/>
      </c>
      <c r="AK676">
        <f>IF($W676="","",IFERROR(INDEX(IF($T676&lt;=60,peso05_m,peso510_m),MATCH($W676,IF($T676&lt;=60,peso05_k,peso510_k),1)),""))</f>
        <v/>
      </c>
      <c r="AL676">
        <f>IF($W676="","",IFERROR(INDEX(IF($T676&lt;=60,peso05_s,peso510_s),MATCH($W676,IF($T676&lt;=60,peso05_k,peso510_k),1)),""))</f>
        <v/>
      </c>
      <c r="AM676">
        <f>IF($AJ676="","",IF($AJ676=0,LN($F676/$AK676)/$AL676,((($F676/$AK676)^$AJ676)-1)/($AJ676*$AL676)))</f>
        <v/>
      </c>
      <c r="AN676">
        <f>IF($AJ676="","",IF($AJ676=0,$AK676*EXP($AL676*2),$AK676*(1+$AJ676*$AL676*2)^(1/$AJ676)))</f>
        <v/>
      </c>
      <c r="AO676">
        <f>IF($AJ676="","",IF($AJ676=0,$AK676*EXP($AL676*3),$AK676*(1+$AJ676*$AL676*3)^(1/$AJ676)))</f>
        <v/>
      </c>
      <c r="AP676">
        <f>IF($AJ676="","",IF($AJ676=0,$AK676*EXP($AL676*-2),$AK676*(1+$AJ676*$AL676*-2)^(1/$AJ676)))</f>
        <v/>
      </c>
      <c r="AQ676">
        <f>IF($AJ676="","",IF($AJ676=0,$AK676*EXP($AL676*-3),$AK676*(1+$AJ676*$AL676*-3)^(1/$AJ676)))</f>
        <v/>
      </c>
      <c r="AR676">
        <f>IF(OR($X676="",$T676&gt;60),"",IFERROR(INDEX(IF($T676&lt;24,pcomp_l,palt_l),MATCH($X676,IF($T676&lt;24,pcomp_k,palt_k),1)),""))</f>
        <v/>
      </c>
      <c r="AS676">
        <f>IF(OR($X676="",$T676&gt;60),"",IFERROR(INDEX(IF($T676&lt;24,pcomp_m,palt_m),MATCH($X676,IF($T676&lt;24,pcomp_k,palt_k),1)),""))</f>
        <v/>
      </c>
      <c r="AT676">
        <f>IF(OR($X676="",$T676&gt;60),"",IFERROR(INDEX(IF($T676&lt;24,pcomp_s,palt_s),MATCH($X676,IF($T676&lt;24,pcomp_k,palt_k),1)),""))</f>
        <v/>
      </c>
      <c r="AU676">
        <f>IF($AR676="","",IF($AR676=0,LN($F676/$AS676)/$AT676,((($F676/$AS676)^$AR676)-1)/($AR676*$AT676)))</f>
        <v/>
      </c>
      <c r="AV676">
        <f>IF($AR676="","",IF($AR676=0,$AS676*EXP($AT676*2),$AS676*(1+$AR676*$AT676*2)^(1/$AR676)))</f>
        <v/>
      </c>
      <c r="AW676">
        <f>IF($AR676="","",IF($AR676=0,$AS676*EXP($AT676*3),$AS676*(1+$AR676*$AT676*3)^(1/$AR676)))</f>
        <v/>
      </c>
      <c r="AX676">
        <f>IF($AR676="","",IF($AR676=0,$AS676*EXP($AT676*-2),$AS676*(1+$AR676*$AT676*-2)^(1/$AR676)))</f>
        <v/>
      </c>
      <c r="AY676">
        <f>IF($AR676="","",IF($AR676=0,$AS676*EXP($AT676*-3),$AS676*(1+$AR676*$AT676*-3)^(1/$AR676)))</f>
        <v/>
      </c>
      <c r="AZ676">
        <f>IF(OR($A676="",$A676&lt;&gt;Ficha!$C$4),"",COUNTIF($A$2:$A676,Ficha!$C$4))</f>
        <v/>
      </c>
    </row>
    <row r="677">
      <c r="A677" s="8">
        <f>IF(INDEX(Banco!$A:$A,ROW())="","",INDEX(Banco!$A:$A,ROW()))</f>
        <v/>
      </c>
      <c r="B677" s="8">
        <f>IF(INDEX(Banco!$B:$B,ROW())="","",INDEX(Banco!$B:$B,ROW()))</f>
        <v/>
      </c>
      <c r="C677" s="8">
        <f>IF(INDEX(Banco!$C:$C,ROW())="","",INDEX(Banco!$C:$C,ROW()))</f>
        <v/>
      </c>
      <c r="D677" s="9">
        <f>IF(INDEX(Banco!$D:$D,ROW())="","",INDEX(Banco!$D:$D,ROW()))</f>
        <v/>
      </c>
      <c r="E677" s="9">
        <f>IF(INDEX(Banco!$E:$E,ROW())="","",INDEX(Banco!$E:$E,ROW()))</f>
        <v/>
      </c>
      <c r="F677" s="10">
        <f>IF(INDEX(Banco!$F:$F,ROW())="","",INDEX(Banco!$F:$F,ROW()))</f>
        <v/>
      </c>
      <c r="G677" s="10">
        <f>IF(INDEX(Banco!$G:$G,ROW())="","",INDEX(Banco!$G:$G,ROW()))</f>
        <v/>
      </c>
      <c r="H677" s="8">
        <f>IF(INDEX(Banco!$H:$H,ROW())="","",INDEX(Banco!$H:$H,ROW()))</f>
        <v/>
      </c>
      <c r="I677">
        <f>IF($T677="","",INT($T677/12)&amp;"a "&amp;MOD($T677,12)&amp;"m")</f>
        <v/>
      </c>
      <c r="J677" s="11">
        <f>IF(OR($F677="",$G677=""),"",ROUND($F677/($G677/100)^2,2))</f>
        <v/>
      </c>
      <c r="K677" s="12">
        <f>IF(OR($S677="",$J677="",$T677="",$T677&lt;0,$T677&gt;228,$Y677=""),"—",ROUND(IF(ABS($AB677)&lt;=3,$AB677,IF($AB677&gt;3,3+($J677-$AD677)/($AD677-$AC677),-3+($J677-$AF677)/($AE677-$AF677))),2))</f>
        <v/>
      </c>
      <c r="L677">
        <f>IF(OR($K677="",$K677="—"),"",IF($T677&lt;=60,IF($K677&lt;-3,"Magreza acentuada",IF($K677&lt;-2,"Magreza",IF($K677&lt;=1,"Eutrofia",IF($K677&lt;=2,"Risco de sobrepeso",IF($K677&lt;=3,"Sobrepeso","Obesidade"))))),IF($K677&lt;-3,"Magreza acentuada",IF($K677&lt;-2,"Magreza",IF($K677&lt;=1,"Eutrofia",IF($K677&lt;=2,"Sobrepeso",IF($K677&lt;=3,"Obesidade","Obesidade grave")))))))</f>
        <v/>
      </c>
      <c r="M677" s="12">
        <f>IF(OR($S677="",$V677="",$T677="",$T677&lt;0,$T677&gt;228,$AG677=""),"—",ROUND(IF($AG677=0,LN($V677/$AH677)/$AI677,((($V677/$AH677)^$AG677)-1)/($AG677*$AI677)),2))</f>
        <v/>
      </c>
      <c r="N677">
        <f>IF(OR($M677="",$M677="—"),"",IF($M677&lt;-3,"Muito baixa",IF($M677&lt;-2,"Baixa","Adequada")))</f>
        <v/>
      </c>
      <c r="O677" s="12">
        <f>IF(OR($S677="",$F677="",$T677="",$T677&lt;0,$T677&gt;120,$AJ677=""),"—",ROUND(IF(ABS($AM677)&lt;=3,$AM677,IF($AM677&gt;3,3+($F677-$AO677)/($AO677-$AN677),-3+($F677-$AQ677)/($AP677-$AQ677))),2))</f>
        <v/>
      </c>
      <c r="P677">
        <f>IF(OR($O677="",$O677="—"),"",IF($O677&lt;-3,"Muito baixo",IF($O677&lt;-2,"Baixo",IF($O677&lt;=2,"Adequado","Elevado"))))</f>
        <v/>
      </c>
      <c r="Q677" s="12">
        <f>IF(OR($S677="",$F677="",$T677="",$T677&lt;0,$T677&gt;60,$AR677=""),"—",ROUND(IF(ABS($AU677)&lt;=3,$AU677,IF($AU677&gt;3,3+($F677-$AW677)/($AW677-$AV677),-3+($F677-$AY677)/($AX677-$AY677))),2))</f>
        <v/>
      </c>
      <c r="R677">
        <f>IF(OR($Q677="",$Q677="—"),"",IF($Q677&lt;-3,"Magreza acentuada",IF($Q677&lt;-2,"Magreza",IF($Q677&lt;=1,"Eutrofia",IF($Q677&lt;=2,"Risco de sobrepeso",IF($Q677&lt;=3,"Sobrepeso","Obesidade"))))))</f>
        <v/>
      </c>
      <c r="S677">
        <f>IF($C677="","",IF(UPPER(LEFT($C677,1))="M",1,IF(UPPER(LEFT($C677,1))="F",2,"")))</f>
        <v/>
      </c>
      <c r="T677">
        <f>IF(OR($D677="",$E677=""),"",DATEDIF($D677,$E677,"m"))</f>
        <v/>
      </c>
      <c r="U677">
        <f>IF(OR($D677="",$E677=""),"",$E677-$D677)</f>
        <v/>
      </c>
      <c r="V677">
        <f>IF(OR($G677="",$T677=""),"",IF($T677&lt;24,IF(LEFT(LOWER($H677),4)="em p",$G677+0.7,$G677),IF(LEFT(LOWER($H677),4)="deit",$G677-0.7,$G677)))</f>
        <v/>
      </c>
      <c r="W677">
        <f>IF(OR($S677="",$T677=""),"",$S677*1000000+IF($T677&lt;=60,$U677,$T677))</f>
        <v/>
      </c>
      <c r="X677">
        <f>IF(OR($S677="",$V677="",$T677&gt;60,$T677=""),"",$S677*1000000+ROUND($V677*10,0))</f>
        <v/>
      </c>
      <c r="Y677">
        <f>IF($W677="","",IFERROR(INDEX(IF($T677&lt;=60,imc05_l,imc519_l),MATCH($W677,IF($T677&lt;=60,imc05_k,imc519_k),1)),""))</f>
        <v/>
      </c>
      <c r="Z677">
        <f>IF($W677="","",IFERROR(INDEX(IF($T677&lt;=60,imc05_m,imc519_m),MATCH($W677,IF($T677&lt;=60,imc05_k,imc519_k),1)),""))</f>
        <v/>
      </c>
      <c r="AA677">
        <f>IF($W677="","",IFERROR(INDEX(IF($T677&lt;=60,imc05_s,imc519_s),MATCH($W677,IF($T677&lt;=60,imc05_k,imc519_k),1)),""))</f>
        <v/>
      </c>
      <c r="AB677">
        <f>IF($Y677="","",IF($Y677=0,LN($J677/$Z677)/$AA677,((($J677/$Z677)^$Y677)-1)/($Y677*$AA677)))</f>
        <v/>
      </c>
      <c r="AC677">
        <f>IF($Y677="","",IF($Y677=0,$Z677*EXP($AA677*2),$Z677*(1+$Y677*$AA677*2)^(1/$Y677)))</f>
        <v/>
      </c>
      <c r="AD677">
        <f>IF($Y677="","",IF($Y677=0,$Z677*EXP($AA677*3),$Z677*(1+$Y677*$AA677*3)^(1/$Y677)))</f>
        <v/>
      </c>
      <c r="AE677">
        <f>IF($Y677="","",IF($Y677=0,$Z677*EXP($AA677*-2),$Z677*(1+$Y677*$AA677*-2)^(1/$Y677)))</f>
        <v/>
      </c>
      <c r="AF677">
        <f>IF($Y677="","",IF($Y677=0,$Z677*EXP($AA677*-3),$Z677*(1+$Y677*$AA677*-3)^(1/$Y677)))</f>
        <v/>
      </c>
      <c r="AG677">
        <f>IF($W677="","",IFERROR(INDEX(IF($T677&lt;=60,est05_l,est519_l),MATCH($W677,IF($T677&lt;=60,est05_k,est519_k),1)),""))</f>
        <v/>
      </c>
      <c r="AH677">
        <f>IF($W677="","",IFERROR(INDEX(IF($T677&lt;=60,est05_m,est519_m),MATCH($W677,IF($T677&lt;=60,est05_k,est519_k),1)),""))</f>
        <v/>
      </c>
      <c r="AI677">
        <f>IF($W677="","",IFERROR(INDEX(IF($T677&lt;=60,est05_s,est519_s),MATCH($W677,IF($T677&lt;=60,est05_k,est519_k),1)),""))</f>
        <v/>
      </c>
      <c r="AJ677">
        <f>IF($W677="","",IFERROR(INDEX(IF($T677&lt;=60,peso05_l,peso510_l),MATCH($W677,IF($T677&lt;=60,peso05_k,peso510_k),1)),""))</f>
        <v/>
      </c>
      <c r="AK677">
        <f>IF($W677="","",IFERROR(INDEX(IF($T677&lt;=60,peso05_m,peso510_m),MATCH($W677,IF($T677&lt;=60,peso05_k,peso510_k),1)),""))</f>
        <v/>
      </c>
      <c r="AL677">
        <f>IF($W677="","",IFERROR(INDEX(IF($T677&lt;=60,peso05_s,peso510_s),MATCH($W677,IF($T677&lt;=60,peso05_k,peso510_k),1)),""))</f>
        <v/>
      </c>
      <c r="AM677">
        <f>IF($AJ677="","",IF($AJ677=0,LN($F677/$AK677)/$AL677,((($F677/$AK677)^$AJ677)-1)/($AJ677*$AL677)))</f>
        <v/>
      </c>
      <c r="AN677">
        <f>IF($AJ677="","",IF($AJ677=0,$AK677*EXP($AL677*2),$AK677*(1+$AJ677*$AL677*2)^(1/$AJ677)))</f>
        <v/>
      </c>
      <c r="AO677">
        <f>IF($AJ677="","",IF($AJ677=0,$AK677*EXP($AL677*3),$AK677*(1+$AJ677*$AL677*3)^(1/$AJ677)))</f>
        <v/>
      </c>
      <c r="AP677">
        <f>IF($AJ677="","",IF($AJ677=0,$AK677*EXP($AL677*-2),$AK677*(1+$AJ677*$AL677*-2)^(1/$AJ677)))</f>
        <v/>
      </c>
      <c r="AQ677">
        <f>IF($AJ677="","",IF($AJ677=0,$AK677*EXP($AL677*-3),$AK677*(1+$AJ677*$AL677*-3)^(1/$AJ677)))</f>
        <v/>
      </c>
      <c r="AR677">
        <f>IF(OR($X677="",$T677&gt;60),"",IFERROR(INDEX(IF($T677&lt;24,pcomp_l,palt_l),MATCH($X677,IF($T677&lt;24,pcomp_k,palt_k),1)),""))</f>
        <v/>
      </c>
      <c r="AS677">
        <f>IF(OR($X677="",$T677&gt;60),"",IFERROR(INDEX(IF($T677&lt;24,pcomp_m,palt_m),MATCH($X677,IF($T677&lt;24,pcomp_k,palt_k),1)),""))</f>
        <v/>
      </c>
      <c r="AT677">
        <f>IF(OR($X677="",$T677&gt;60),"",IFERROR(INDEX(IF($T677&lt;24,pcomp_s,palt_s),MATCH($X677,IF($T677&lt;24,pcomp_k,palt_k),1)),""))</f>
        <v/>
      </c>
      <c r="AU677">
        <f>IF($AR677="","",IF($AR677=0,LN($F677/$AS677)/$AT677,((($F677/$AS677)^$AR677)-1)/($AR677*$AT677)))</f>
        <v/>
      </c>
      <c r="AV677">
        <f>IF($AR677="","",IF($AR677=0,$AS677*EXP($AT677*2),$AS677*(1+$AR677*$AT677*2)^(1/$AR677)))</f>
        <v/>
      </c>
      <c r="AW677">
        <f>IF($AR677="","",IF($AR677=0,$AS677*EXP($AT677*3),$AS677*(1+$AR677*$AT677*3)^(1/$AR677)))</f>
        <v/>
      </c>
      <c r="AX677">
        <f>IF($AR677="","",IF($AR677=0,$AS677*EXP($AT677*-2),$AS677*(1+$AR677*$AT677*-2)^(1/$AR677)))</f>
        <v/>
      </c>
      <c r="AY677">
        <f>IF($AR677="","",IF($AR677=0,$AS677*EXP($AT677*-3),$AS677*(1+$AR677*$AT677*-3)^(1/$AR677)))</f>
        <v/>
      </c>
      <c r="AZ677">
        <f>IF(OR($A677="",$A677&lt;&gt;Ficha!$C$4),"",COUNTIF($A$2:$A677,Ficha!$C$4))</f>
        <v/>
      </c>
    </row>
    <row r="678">
      <c r="A678" s="8">
        <f>IF(INDEX(Banco!$A:$A,ROW())="","",INDEX(Banco!$A:$A,ROW()))</f>
        <v/>
      </c>
      <c r="B678" s="8">
        <f>IF(INDEX(Banco!$B:$B,ROW())="","",INDEX(Banco!$B:$B,ROW()))</f>
        <v/>
      </c>
      <c r="C678" s="8">
        <f>IF(INDEX(Banco!$C:$C,ROW())="","",INDEX(Banco!$C:$C,ROW()))</f>
        <v/>
      </c>
      <c r="D678" s="9">
        <f>IF(INDEX(Banco!$D:$D,ROW())="","",INDEX(Banco!$D:$D,ROW()))</f>
        <v/>
      </c>
      <c r="E678" s="9">
        <f>IF(INDEX(Banco!$E:$E,ROW())="","",INDEX(Banco!$E:$E,ROW()))</f>
        <v/>
      </c>
      <c r="F678" s="10">
        <f>IF(INDEX(Banco!$F:$F,ROW())="","",INDEX(Banco!$F:$F,ROW()))</f>
        <v/>
      </c>
      <c r="G678" s="10">
        <f>IF(INDEX(Banco!$G:$G,ROW())="","",INDEX(Banco!$G:$G,ROW()))</f>
        <v/>
      </c>
      <c r="H678" s="8">
        <f>IF(INDEX(Banco!$H:$H,ROW())="","",INDEX(Banco!$H:$H,ROW()))</f>
        <v/>
      </c>
      <c r="I678">
        <f>IF($T678="","",INT($T678/12)&amp;"a "&amp;MOD($T678,12)&amp;"m")</f>
        <v/>
      </c>
      <c r="J678" s="11">
        <f>IF(OR($F678="",$G678=""),"",ROUND($F678/($G678/100)^2,2))</f>
        <v/>
      </c>
      <c r="K678" s="12">
        <f>IF(OR($S678="",$J678="",$T678="",$T678&lt;0,$T678&gt;228,$Y678=""),"—",ROUND(IF(ABS($AB678)&lt;=3,$AB678,IF($AB678&gt;3,3+($J678-$AD678)/($AD678-$AC678),-3+($J678-$AF678)/($AE678-$AF678))),2))</f>
        <v/>
      </c>
      <c r="L678">
        <f>IF(OR($K678="",$K678="—"),"",IF($T678&lt;=60,IF($K678&lt;-3,"Magreza acentuada",IF($K678&lt;-2,"Magreza",IF($K678&lt;=1,"Eutrofia",IF($K678&lt;=2,"Risco de sobrepeso",IF($K678&lt;=3,"Sobrepeso","Obesidade"))))),IF($K678&lt;-3,"Magreza acentuada",IF($K678&lt;-2,"Magreza",IF($K678&lt;=1,"Eutrofia",IF($K678&lt;=2,"Sobrepeso",IF($K678&lt;=3,"Obesidade","Obesidade grave")))))))</f>
        <v/>
      </c>
      <c r="M678" s="12">
        <f>IF(OR($S678="",$V678="",$T678="",$T678&lt;0,$T678&gt;228,$AG678=""),"—",ROUND(IF($AG678=0,LN($V678/$AH678)/$AI678,((($V678/$AH678)^$AG678)-1)/($AG678*$AI678)),2))</f>
        <v/>
      </c>
      <c r="N678">
        <f>IF(OR($M678="",$M678="—"),"",IF($M678&lt;-3,"Muito baixa",IF($M678&lt;-2,"Baixa","Adequada")))</f>
        <v/>
      </c>
      <c r="O678" s="12">
        <f>IF(OR($S678="",$F678="",$T678="",$T678&lt;0,$T678&gt;120,$AJ678=""),"—",ROUND(IF(ABS($AM678)&lt;=3,$AM678,IF($AM678&gt;3,3+($F678-$AO678)/($AO678-$AN678),-3+($F678-$AQ678)/($AP678-$AQ678))),2))</f>
        <v/>
      </c>
      <c r="P678">
        <f>IF(OR($O678="",$O678="—"),"",IF($O678&lt;-3,"Muito baixo",IF($O678&lt;-2,"Baixo",IF($O678&lt;=2,"Adequado","Elevado"))))</f>
        <v/>
      </c>
      <c r="Q678" s="12">
        <f>IF(OR($S678="",$F678="",$T678="",$T678&lt;0,$T678&gt;60,$AR678=""),"—",ROUND(IF(ABS($AU678)&lt;=3,$AU678,IF($AU678&gt;3,3+($F678-$AW678)/($AW678-$AV678),-3+($F678-$AY678)/($AX678-$AY678))),2))</f>
        <v/>
      </c>
      <c r="R678">
        <f>IF(OR($Q678="",$Q678="—"),"",IF($Q678&lt;-3,"Magreza acentuada",IF($Q678&lt;-2,"Magreza",IF($Q678&lt;=1,"Eutrofia",IF($Q678&lt;=2,"Risco de sobrepeso",IF($Q678&lt;=3,"Sobrepeso","Obesidade"))))))</f>
        <v/>
      </c>
      <c r="S678">
        <f>IF($C678="","",IF(UPPER(LEFT($C678,1))="M",1,IF(UPPER(LEFT($C678,1))="F",2,"")))</f>
        <v/>
      </c>
      <c r="T678">
        <f>IF(OR($D678="",$E678=""),"",DATEDIF($D678,$E678,"m"))</f>
        <v/>
      </c>
      <c r="U678">
        <f>IF(OR($D678="",$E678=""),"",$E678-$D678)</f>
        <v/>
      </c>
      <c r="V678">
        <f>IF(OR($G678="",$T678=""),"",IF($T678&lt;24,IF(LEFT(LOWER($H678),4)="em p",$G678+0.7,$G678),IF(LEFT(LOWER($H678),4)="deit",$G678-0.7,$G678)))</f>
        <v/>
      </c>
      <c r="W678">
        <f>IF(OR($S678="",$T678=""),"",$S678*1000000+IF($T678&lt;=60,$U678,$T678))</f>
        <v/>
      </c>
      <c r="X678">
        <f>IF(OR($S678="",$V678="",$T678&gt;60,$T678=""),"",$S678*1000000+ROUND($V678*10,0))</f>
        <v/>
      </c>
      <c r="Y678">
        <f>IF($W678="","",IFERROR(INDEX(IF($T678&lt;=60,imc05_l,imc519_l),MATCH($W678,IF($T678&lt;=60,imc05_k,imc519_k),1)),""))</f>
        <v/>
      </c>
      <c r="Z678">
        <f>IF($W678="","",IFERROR(INDEX(IF($T678&lt;=60,imc05_m,imc519_m),MATCH($W678,IF($T678&lt;=60,imc05_k,imc519_k),1)),""))</f>
        <v/>
      </c>
      <c r="AA678">
        <f>IF($W678="","",IFERROR(INDEX(IF($T678&lt;=60,imc05_s,imc519_s),MATCH($W678,IF($T678&lt;=60,imc05_k,imc519_k),1)),""))</f>
        <v/>
      </c>
      <c r="AB678">
        <f>IF($Y678="","",IF($Y678=0,LN($J678/$Z678)/$AA678,((($J678/$Z678)^$Y678)-1)/($Y678*$AA678)))</f>
        <v/>
      </c>
      <c r="AC678">
        <f>IF($Y678="","",IF($Y678=0,$Z678*EXP($AA678*2),$Z678*(1+$Y678*$AA678*2)^(1/$Y678)))</f>
        <v/>
      </c>
      <c r="AD678">
        <f>IF($Y678="","",IF($Y678=0,$Z678*EXP($AA678*3),$Z678*(1+$Y678*$AA678*3)^(1/$Y678)))</f>
        <v/>
      </c>
      <c r="AE678">
        <f>IF($Y678="","",IF($Y678=0,$Z678*EXP($AA678*-2),$Z678*(1+$Y678*$AA678*-2)^(1/$Y678)))</f>
        <v/>
      </c>
      <c r="AF678">
        <f>IF($Y678="","",IF($Y678=0,$Z678*EXP($AA678*-3),$Z678*(1+$Y678*$AA678*-3)^(1/$Y678)))</f>
        <v/>
      </c>
      <c r="AG678">
        <f>IF($W678="","",IFERROR(INDEX(IF($T678&lt;=60,est05_l,est519_l),MATCH($W678,IF($T678&lt;=60,est05_k,est519_k),1)),""))</f>
        <v/>
      </c>
      <c r="AH678">
        <f>IF($W678="","",IFERROR(INDEX(IF($T678&lt;=60,est05_m,est519_m),MATCH($W678,IF($T678&lt;=60,est05_k,est519_k),1)),""))</f>
        <v/>
      </c>
      <c r="AI678">
        <f>IF($W678="","",IFERROR(INDEX(IF($T678&lt;=60,est05_s,est519_s),MATCH($W678,IF($T678&lt;=60,est05_k,est519_k),1)),""))</f>
        <v/>
      </c>
      <c r="AJ678">
        <f>IF($W678="","",IFERROR(INDEX(IF($T678&lt;=60,peso05_l,peso510_l),MATCH($W678,IF($T678&lt;=60,peso05_k,peso510_k),1)),""))</f>
        <v/>
      </c>
      <c r="AK678">
        <f>IF($W678="","",IFERROR(INDEX(IF($T678&lt;=60,peso05_m,peso510_m),MATCH($W678,IF($T678&lt;=60,peso05_k,peso510_k),1)),""))</f>
        <v/>
      </c>
      <c r="AL678">
        <f>IF($W678="","",IFERROR(INDEX(IF($T678&lt;=60,peso05_s,peso510_s),MATCH($W678,IF($T678&lt;=60,peso05_k,peso510_k),1)),""))</f>
        <v/>
      </c>
      <c r="AM678">
        <f>IF($AJ678="","",IF($AJ678=0,LN($F678/$AK678)/$AL678,((($F678/$AK678)^$AJ678)-1)/($AJ678*$AL678)))</f>
        <v/>
      </c>
      <c r="AN678">
        <f>IF($AJ678="","",IF($AJ678=0,$AK678*EXP($AL678*2),$AK678*(1+$AJ678*$AL678*2)^(1/$AJ678)))</f>
        <v/>
      </c>
      <c r="AO678">
        <f>IF($AJ678="","",IF($AJ678=0,$AK678*EXP($AL678*3),$AK678*(1+$AJ678*$AL678*3)^(1/$AJ678)))</f>
        <v/>
      </c>
      <c r="AP678">
        <f>IF($AJ678="","",IF($AJ678=0,$AK678*EXP($AL678*-2),$AK678*(1+$AJ678*$AL678*-2)^(1/$AJ678)))</f>
        <v/>
      </c>
      <c r="AQ678">
        <f>IF($AJ678="","",IF($AJ678=0,$AK678*EXP($AL678*-3),$AK678*(1+$AJ678*$AL678*-3)^(1/$AJ678)))</f>
        <v/>
      </c>
      <c r="AR678">
        <f>IF(OR($X678="",$T678&gt;60),"",IFERROR(INDEX(IF($T678&lt;24,pcomp_l,palt_l),MATCH($X678,IF($T678&lt;24,pcomp_k,palt_k),1)),""))</f>
        <v/>
      </c>
      <c r="AS678">
        <f>IF(OR($X678="",$T678&gt;60),"",IFERROR(INDEX(IF($T678&lt;24,pcomp_m,palt_m),MATCH($X678,IF($T678&lt;24,pcomp_k,palt_k),1)),""))</f>
        <v/>
      </c>
      <c r="AT678">
        <f>IF(OR($X678="",$T678&gt;60),"",IFERROR(INDEX(IF($T678&lt;24,pcomp_s,palt_s),MATCH($X678,IF($T678&lt;24,pcomp_k,palt_k),1)),""))</f>
        <v/>
      </c>
      <c r="AU678">
        <f>IF($AR678="","",IF($AR678=0,LN($F678/$AS678)/$AT678,((($F678/$AS678)^$AR678)-1)/($AR678*$AT678)))</f>
        <v/>
      </c>
      <c r="AV678">
        <f>IF($AR678="","",IF($AR678=0,$AS678*EXP($AT678*2),$AS678*(1+$AR678*$AT678*2)^(1/$AR678)))</f>
        <v/>
      </c>
      <c r="AW678">
        <f>IF($AR678="","",IF($AR678=0,$AS678*EXP($AT678*3),$AS678*(1+$AR678*$AT678*3)^(1/$AR678)))</f>
        <v/>
      </c>
      <c r="AX678">
        <f>IF($AR678="","",IF($AR678=0,$AS678*EXP($AT678*-2),$AS678*(1+$AR678*$AT678*-2)^(1/$AR678)))</f>
        <v/>
      </c>
      <c r="AY678">
        <f>IF($AR678="","",IF($AR678=0,$AS678*EXP($AT678*-3),$AS678*(1+$AR678*$AT678*-3)^(1/$AR678)))</f>
        <v/>
      </c>
      <c r="AZ678">
        <f>IF(OR($A678="",$A678&lt;&gt;Ficha!$C$4),"",COUNTIF($A$2:$A678,Ficha!$C$4))</f>
        <v/>
      </c>
    </row>
    <row r="679">
      <c r="A679" s="8">
        <f>IF(INDEX(Banco!$A:$A,ROW())="","",INDEX(Banco!$A:$A,ROW()))</f>
        <v/>
      </c>
      <c r="B679" s="8">
        <f>IF(INDEX(Banco!$B:$B,ROW())="","",INDEX(Banco!$B:$B,ROW()))</f>
        <v/>
      </c>
      <c r="C679" s="8">
        <f>IF(INDEX(Banco!$C:$C,ROW())="","",INDEX(Banco!$C:$C,ROW()))</f>
        <v/>
      </c>
      <c r="D679" s="9">
        <f>IF(INDEX(Banco!$D:$D,ROW())="","",INDEX(Banco!$D:$D,ROW()))</f>
        <v/>
      </c>
      <c r="E679" s="9">
        <f>IF(INDEX(Banco!$E:$E,ROW())="","",INDEX(Banco!$E:$E,ROW()))</f>
        <v/>
      </c>
      <c r="F679" s="10">
        <f>IF(INDEX(Banco!$F:$F,ROW())="","",INDEX(Banco!$F:$F,ROW()))</f>
        <v/>
      </c>
      <c r="G679" s="10">
        <f>IF(INDEX(Banco!$G:$G,ROW())="","",INDEX(Banco!$G:$G,ROW()))</f>
        <v/>
      </c>
      <c r="H679" s="8">
        <f>IF(INDEX(Banco!$H:$H,ROW())="","",INDEX(Banco!$H:$H,ROW()))</f>
        <v/>
      </c>
      <c r="I679">
        <f>IF($T679="","",INT($T679/12)&amp;"a "&amp;MOD($T679,12)&amp;"m")</f>
        <v/>
      </c>
      <c r="J679" s="11">
        <f>IF(OR($F679="",$G679=""),"",ROUND($F679/($G679/100)^2,2))</f>
        <v/>
      </c>
      <c r="K679" s="12">
        <f>IF(OR($S679="",$J679="",$T679="",$T679&lt;0,$T679&gt;228,$Y679=""),"—",ROUND(IF(ABS($AB679)&lt;=3,$AB679,IF($AB679&gt;3,3+($J679-$AD679)/($AD679-$AC679),-3+($J679-$AF679)/($AE679-$AF679))),2))</f>
        <v/>
      </c>
      <c r="L679">
        <f>IF(OR($K679="",$K679="—"),"",IF($T679&lt;=60,IF($K679&lt;-3,"Magreza acentuada",IF($K679&lt;-2,"Magreza",IF($K679&lt;=1,"Eutrofia",IF($K679&lt;=2,"Risco de sobrepeso",IF($K679&lt;=3,"Sobrepeso","Obesidade"))))),IF($K679&lt;-3,"Magreza acentuada",IF($K679&lt;-2,"Magreza",IF($K679&lt;=1,"Eutrofia",IF($K679&lt;=2,"Sobrepeso",IF($K679&lt;=3,"Obesidade","Obesidade grave")))))))</f>
        <v/>
      </c>
      <c r="M679" s="12">
        <f>IF(OR($S679="",$V679="",$T679="",$T679&lt;0,$T679&gt;228,$AG679=""),"—",ROUND(IF($AG679=0,LN($V679/$AH679)/$AI679,((($V679/$AH679)^$AG679)-1)/($AG679*$AI679)),2))</f>
        <v/>
      </c>
      <c r="N679">
        <f>IF(OR($M679="",$M679="—"),"",IF($M679&lt;-3,"Muito baixa",IF($M679&lt;-2,"Baixa","Adequada")))</f>
        <v/>
      </c>
      <c r="O679" s="12">
        <f>IF(OR($S679="",$F679="",$T679="",$T679&lt;0,$T679&gt;120,$AJ679=""),"—",ROUND(IF(ABS($AM679)&lt;=3,$AM679,IF($AM679&gt;3,3+($F679-$AO679)/($AO679-$AN679),-3+($F679-$AQ679)/($AP679-$AQ679))),2))</f>
        <v/>
      </c>
      <c r="P679">
        <f>IF(OR($O679="",$O679="—"),"",IF($O679&lt;-3,"Muito baixo",IF($O679&lt;-2,"Baixo",IF($O679&lt;=2,"Adequado","Elevado"))))</f>
        <v/>
      </c>
      <c r="Q679" s="12">
        <f>IF(OR($S679="",$F679="",$T679="",$T679&lt;0,$T679&gt;60,$AR679=""),"—",ROUND(IF(ABS($AU679)&lt;=3,$AU679,IF($AU679&gt;3,3+($F679-$AW679)/($AW679-$AV679),-3+($F679-$AY679)/($AX679-$AY679))),2))</f>
        <v/>
      </c>
      <c r="R679">
        <f>IF(OR($Q679="",$Q679="—"),"",IF($Q679&lt;-3,"Magreza acentuada",IF($Q679&lt;-2,"Magreza",IF($Q679&lt;=1,"Eutrofia",IF($Q679&lt;=2,"Risco de sobrepeso",IF($Q679&lt;=3,"Sobrepeso","Obesidade"))))))</f>
        <v/>
      </c>
      <c r="S679">
        <f>IF($C679="","",IF(UPPER(LEFT($C679,1))="M",1,IF(UPPER(LEFT($C679,1))="F",2,"")))</f>
        <v/>
      </c>
      <c r="T679">
        <f>IF(OR($D679="",$E679=""),"",DATEDIF($D679,$E679,"m"))</f>
        <v/>
      </c>
      <c r="U679">
        <f>IF(OR($D679="",$E679=""),"",$E679-$D679)</f>
        <v/>
      </c>
      <c r="V679">
        <f>IF(OR($G679="",$T679=""),"",IF($T679&lt;24,IF(LEFT(LOWER($H679),4)="em p",$G679+0.7,$G679),IF(LEFT(LOWER($H679),4)="deit",$G679-0.7,$G679)))</f>
        <v/>
      </c>
      <c r="W679">
        <f>IF(OR($S679="",$T679=""),"",$S679*1000000+IF($T679&lt;=60,$U679,$T679))</f>
        <v/>
      </c>
      <c r="X679">
        <f>IF(OR($S679="",$V679="",$T679&gt;60,$T679=""),"",$S679*1000000+ROUND($V679*10,0))</f>
        <v/>
      </c>
      <c r="Y679">
        <f>IF($W679="","",IFERROR(INDEX(IF($T679&lt;=60,imc05_l,imc519_l),MATCH($W679,IF($T679&lt;=60,imc05_k,imc519_k),1)),""))</f>
        <v/>
      </c>
      <c r="Z679">
        <f>IF($W679="","",IFERROR(INDEX(IF($T679&lt;=60,imc05_m,imc519_m),MATCH($W679,IF($T679&lt;=60,imc05_k,imc519_k),1)),""))</f>
        <v/>
      </c>
      <c r="AA679">
        <f>IF($W679="","",IFERROR(INDEX(IF($T679&lt;=60,imc05_s,imc519_s),MATCH($W679,IF($T679&lt;=60,imc05_k,imc519_k),1)),""))</f>
        <v/>
      </c>
      <c r="AB679">
        <f>IF($Y679="","",IF($Y679=0,LN($J679/$Z679)/$AA679,((($J679/$Z679)^$Y679)-1)/($Y679*$AA679)))</f>
        <v/>
      </c>
      <c r="AC679">
        <f>IF($Y679="","",IF($Y679=0,$Z679*EXP($AA679*2),$Z679*(1+$Y679*$AA679*2)^(1/$Y679)))</f>
        <v/>
      </c>
      <c r="AD679">
        <f>IF($Y679="","",IF($Y679=0,$Z679*EXP($AA679*3),$Z679*(1+$Y679*$AA679*3)^(1/$Y679)))</f>
        <v/>
      </c>
      <c r="AE679">
        <f>IF($Y679="","",IF($Y679=0,$Z679*EXP($AA679*-2),$Z679*(1+$Y679*$AA679*-2)^(1/$Y679)))</f>
        <v/>
      </c>
      <c r="AF679">
        <f>IF($Y679="","",IF($Y679=0,$Z679*EXP($AA679*-3),$Z679*(1+$Y679*$AA679*-3)^(1/$Y679)))</f>
        <v/>
      </c>
      <c r="AG679">
        <f>IF($W679="","",IFERROR(INDEX(IF($T679&lt;=60,est05_l,est519_l),MATCH($W679,IF($T679&lt;=60,est05_k,est519_k),1)),""))</f>
        <v/>
      </c>
      <c r="AH679">
        <f>IF($W679="","",IFERROR(INDEX(IF($T679&lt;=60,est05_m,est519_m),MATCH($W679,IF($T679&lt;=60,est05_k,est519_k),1)),""))</f>
        <v/>
      </c>
      <c r="AI679">
        <f>IF($W679="","",IFERROR(INDEX(IF($T679&lt;=60,est05_s,est519_s),MATCH($W679,IF($T679&lt;=60,est05_k,est519_k),1)),""))</f>
        <v/>
      </c>
      <c r="AJ679">
        <f>IF($W679="","",IFERROR(INDEX(IF($T679&lt;=60,peso05_l,peso510_l),MATCH($W679,IF($T679&lt;=60,peso05_k,peso510_k),1)),""))</f>
        <v/>
      </c>
      <c r="AK679">
        <f>IF($W679="","",IFERROR(INDEX(IF($T679&lt;=60,peso05_m,peso510_m),MATCH($W679,IF($T679&lt;=60,peso05_k,peso510_k),1)),""))</f>
        <v/>
      </c>
      <c r="AL679">
        <f>IF($W679="","",IFERROR(INDEX(IF($T679&lt;=60,peso05_s,peso510_s),MATCH($W679,IF($T679&lt;=60,peso05_k,peso510_k),1)),""))</f>
        <v/>
      </c>
      <c r="AM679">
        <f>IF($AJ679="","",IF($AJ679=0,LN($F679/$AK679)/$AL679,((($F679/$AK679)^$AJ679)-1)/($AJ679*$AL679)))</f>
        <v/>
      </c>
      <c r="AN679">
        <f>IF($AJ679="","",IF($AJ679=0,$AK679*EXP($AL679*2),$AK679*(1+$AJ679*$AL679*2)^(1/$AJ679)))</f>
        <v/>
      </c>
      <c r="AO679">
        <f>IF($AJ679="","",IF($AJ679=0,$AK679*EXP($AL679*3),$AK679*(1+$AJ679*$AL679*3)^(1/$AJ679)))</f>
        <v/>
      </c>
      <c r="AP679">
        <f>IF($AJ679="","",IF($AJ679=0,$AK679*EXP($AL679*-2),$AK679*(1+$AJ679*$AL679*-2)^(1/$AJ679)))</f>
        <v/>
      </c>
      <c r="AQ679">
        <f>IF($AJ679="","",IF($AJ679=0,$AK679*EXP($AL679*-3),$AK679*(1+$AJ679*$AL679*-3)^(1/$AJ679)))</f>
        <v/>
      </c>
      <c r="AR679">
        <f>IF(OR($X679="",$T679&gt;60),"",IFERROR(INDEX(IF($T679&lt;24,pcomp_l,palt_l),MATCH($X679,IF($T679&lt;24,pcomp_k,palt_k),1)),""))</f>
        <v/>
      </c>
      <c r="AS679">
        <f>IF(OR($X679="",$T679&gt;60),"",IFERROR(INDEX(IF($T679&lt;24,pcomp_m,palt_m),MATCH($X679,IF($T679&lt;24,pcomp_k,palt_k),1)),""))</f>
        <v/>
      </c>
      <c r="AT679">
        <f>IF(OR($X679="",$T679&gt;60),"",IFERROR(INDEX(IF($T679&lt;24,pcomp_s,palt_s),MATCH($X679,IF($T679&lt;24,pcomp_k,palt_k),1)),""))</f>
        <v/>
      </c>
      <c r="AU679">
        <f>IF($AR679="","",IF($AR679=0,LN($F679/$AS679)/$AT679,((($F679/$AS679)^$AR679)-1)/($AR679*$AT679)))</f>
        <v/>
      </c>
      <c r="AV679">
        <f>IF($AR679="","",IF($AR679=0,$AS679*EXP($AT679*2),$AS679*(1+$AR679*$AT679*2)^(1/$AR679)))</f>
        <v/>
      </c>
      <c r="AW679">
        <f>IF($AR679="","",IF($AR679=0,$AS679*EXP($AT679*3),$AS679*(1+$AR679*$AT679*3)^(1/$AR679)))</f>
        <v/>
      </c>
      <c r="AX679">
        <f>IF($AR679="","",IF($AR679=0,$AS679*EXP($AT679*-2),$AS679*(1+$AR679*$AT679*-2)^(1/$AR679)))</f>
        <v/>
      </c>
      <c r="AY679">
        <f>IF($AR679="","",IF($AR679=0,$AS679*EXP($AT679*-3),$AS679*(1+$AR679*$AT679*-3)^(1/$AR679)))</f>
        <v/>
      </c>
      <c r="AZ679">
        <f>IF(OR($A679="",$A679&lt;&gt;Ficha!$C$4),"",COUNTIF($A$2:$A679,Ficha!$C$4))</f>
        <v/>
      </c>
    </row>
    <row r="680">
      <c r="A680" s="8">
        <f>IF(INDEX(Banco!$A:$A,ROW())="","",INDEX(Banco!$A:$A,ROW()))</f>
        <v/>
      </c>
      <c r="B680" s="8">
        <f>IF(INDEX(Banco!$B:$B,ROW())="","",INDEX(Banco!$B:$B,ROW()))</f>
        <v/>
      </c>
      <c r="C680" s="8">
        <f>IF(INDEX(Banco!$C:$C,ROW())="","",INDEX(Banco!$C:$C,ROW()))</f>
        <v/>
      </c>
      <c r="D680" s="9">
        <f>IF(INDEX(Banco!$D:$D,ROW())="","",INDEX(Banco!$D:$D,ROW()))</f>
        <v/>
      </c>
      <c r="E680" s="9">
        <f>IF(INDEX(Banco!$E:$E,ROW())="","",INDEX(Banco!$E:$E,ROW()))</f>
        <v/>
      </c>
      <c r="F680" s="10">
        <f>IF(INDEX(Banco!$F:$F,ROW())="","",INDEX(Banco!$F:$F,ROW()))</f>
        <v/>
      </c>
      <c r="G680" s="10">
        <f>IF(INDEX(Banco!$G:$G,ROW())="","",INDEX(Banco!$G:$G,ROW()))</f>
        <v/>
      </c>
      <c r="H680" s="8">
        <f>IF(INDEX(Banco!$H:$H,ROW())="","",INDEX(Banco!$H:$H,ROW()))</f>
        <v/>
      </c>
      <c r="I680">
        <f>IF($T680="","",INT($T680/12)&amp;"a "&amp;MOD($T680,12)&amp;"m")</f>
        <v/>
      </c>
      <c r="J680" s="11">
        <f>IF(OR($F680="",$G680=""),"",ROUND($F680/($G680/100)^2,2))</f>
        <v/>
      </c>
      <c r="K680" s="12">
        <f>IF(OR($S680="",$J680="",$T680="",$T680&lt;0,$T680&gt;228,$Y680=""),"—",ROUND(IF(ABS($AB680)&lt;=3,$AB680,IF($AB680&gt;3,3+($J680-$AD680)/($AD680-$AC680),-3+($J680-$AF680)/($AE680-$AF680))),2))</f>
        <v/>
      </c>
      <c r="L680">
        <f>IF(OR($K680="",$K680="—"),"",IF($T680&lt;=60,IF($K680&lt;-3,"Magreza acentuada",IF($K680&lt;-2,"Magreza",IF($K680&lt;=1,"Eutrofia",IF($K680&lt;=2,"Risco de sobrepeso",IF($K680&lt;=3,"Sobrepeso","Obesidade"))))),IF($K680&lt;-3,"Magreza acentuada",IF($K680&lt;-2,"Magreza",IF($K680&lt;=1,"Eutrofia",IF($K680&lt;=2,"Sobrepeso",IF($K680&lt;=3,"Obesidade","Obesidade grave")))))))</f>
        <v/>
      </c>
      <c r="M680" s="12">
        <f>IF(OR($S680="",$V680="",$T680="",$T680&lt;0,$T680&gt;228,$AG680=""),"—",ROUND(IF($AG680=0,LN($V680/$AH680)/$AI680,((($V680/$AH680)^$AG680)-1)/($AG680*$AI680)),2))</f>
        <v/>
      </c>
      <c r="N680">
        <f>IF(OR($M680="",$M680="—"),"",IF($M680&lt;-3,"Muito baixa",IF($M680&lt;-2,"Baixa","Adequada")))</f>
        <v/>
      </c>
      <c r="O680" s="12">
        <f>IF(OR($S680="",$F680="",$T680="",$T680&lt;0,$T680&gt;120,$AJ680=""),"—",ROUND(IF(ABS($AM680)&lt;=3,$AM680,IF($AM680&gt;3,3+($F680-$AO680)/($AO680-$AN680),-3+($F680-$AQ680)/($AP680-$AQ680))),2))</f>
        <v/>
      </c>
      <c r="P680">
        <f>IF(OR($O680="",$O680="—"),"",IF($O680&lt;-3,"Muito baixo",IF($O680&lt;-2,"Baixo",IF($O680&lt;=2,"Adequado","Elevado"))))</f>
        <v/>
      </c>
      <c r="Q680" s="12">
        <f>IF(OR($S680="",$F680="",$T680="",$T680&lt;0,$T680&gt;60,$AR680=""),"—",ROUND(IF(ABS($AU680)&lt;=3,$AU680,IF($AU680&gt;3,3+($F680-$AW680)/($AW680-$AV680),-3+($F680-$AY680)/($AX680-$AY680))),2))</f>
        <v/>
      </c>
      <c r="R680">
        <f>IF(OR($Q680="",$Q680="—"),"",IF($Q680&lt;-3,"Magreza acentuada",IF($Q680&lt;-2,"Magreza",IF($Q680&lt;=1,"Eutrofia",IF($Q680&lt;=2,"Risco de sobrepeso",IF($Q680&lt;=3,"Sobrepeso","Obesidade"))))))</f>
        <v/>
      </c>
      <c r="S680">
        <f>IF($C680="","",IF(UPPER(LEFT($C680,1))="M",1,IF(UPPER(LEFT($C680,1))="F",2,"")))</f>
        <v/>
      </c>
      <c r="T680">
        <f>IF(OR($D680="",$E680=""),"",DATEDIF($D680,$E680,"m"))</f>
        <v/>
      </c>
      <c r="U680">
        <f>IF(OR($D680="",$E680=""),"",$E680-$D680)</f>
        <v/>
      </c>
      <c r="V680">
        <f>IF(OR($G680="",$T680=""),"",IF($T680&lt;24,IF(LEFT(LOWER($H680),4)="em p",$G680+0.7,$G680),IF(LEFT(LOWER($H680),4)="deit",$G680-0.7,$G680)))</f>
        <v/>
      </c>
      <c r="W680">
        <f>IF(OR($S680="",$T680=""),"",$S680*1000000+IF($T680&lt;=60,$U680,$T680))</f>
        <v/>
      </c>
      <c r="X680">
        <f>IF(OR($S680="",$V680="",$T680&gt;60,$T680=""),"",$S680*1000000+ROUND($V680*10,0))</f>
        <v/>
      </c>
      <c r="Y680">
        <f>IF($W680="","",IFERROR(INDEX(IF($T680&lt;=60,imc05_l,imc519_l),MATCH($W680,IF($T680&lt;=60,imc05_k,imc519_k),1)),""))</f>
        <v/>
      </c>
      <c r="Z680">
        <f>IF($W680="","",IFERROR(INDEX(IF($T680&lt;=60,imc05_m,imc519_m),MATCH($W680,IF($T680&lt;=60,imc05_k,imc519_k),1)),""))</f>
        <v/>
      </c>
      <c r="AA680">
        <f>IF($W680="","",IFERROR(INDEX(IF($T680&lt;=60,imc05_s,imc519_s),MATCH($W680,IF($T680&lt;=60,imc05_k,imc519_k),1)),""))</f>
        <v/>
      </c>
      <c r="AB680">
        <f>IF($Y680="","",IF($Y680=0,LN($J680/$Z680)/$AA680,((($J680/$Z680)^$Y680)-1)/($Y680*$AA680)))</f>
        <v/>
      </c>
      <c r="AC680">
        <f>IF($Y680="","",IF($Y680=0,$Z680*EXP($AA680*2),$Z680*(1+$Y680*$AA680*2)^(1/$Y680)))</f>
        <v/>
      </c>
      <c r="AD680">
        <f>IF($Y680="","",IF($Y680=0,$Z680*EXP($AA680*3),$Z680*(1+$Y680*$AA680*3)^(1/$Y680)))</f>
        <v/>
      </c>
      <c r="AE680">
        <f>IF($Y680="","",IF($Y680=0,$Z680*EXP($AA680*-2),$Z680*(1+$Y680*$AA680*-2)^(1/$Y680)))</f>
        <v/>
      </c>
      <c r="AF680">
        <f>IF($Y680="","",IF($Y680=0,$Z680*EXP($AA680*-3),$Z680*(1+$Y680*$AA680*-3)^(1/$Y680)))</f>
        <v/>
      </c>
      <c r="AG680">
        <f>IF($W680="","",IFERROR(INDEX(IF($T680&lt;=60,est05_l,est519_l),MATCH($W680,IF($T680&lt;=60,est05_k,est519_k),1)),""))</f>
        <v/>
      </c>
      <c r="AH680">
        <f>IF($W680="","",IFERROR(INDEX(IF($T680&lt;=60,est05_m,est519_m),MATCH($W680,IF($T680&lt;=60,est05_k,est519_k),1)),""))</f>
        <v/>
      </c>
      <c r="AI680">
        <f>IF($W680="","",IFERROR(INDEX(IF($T680&lt;=60,est05_s,est519_s),MATCH($W680,IF($T680&lt;=60,est05_k,est519_k),1)),""))</f>
        <v/>
      </c>
      <c r="AJ680">
        <f>IF($W680="","",IFERROR(INDEX(IF($T680&lt;=60,peso05_l,peso510_l),MATCH($W680,IF($T680&lt;=60,peso05_k,peso510_k),1)),""))</f>
        <v/>
      </c>
      <c r="AK680">
        <f>IF($W680="","",IFERROR(INDEX(IF($T680&lt;=60,peso05_m,peso510_m),MATCH($W680,IF($T680&lt;=60,peso05_k,peso510_k),1)),""))</f>
        <v/>
      </c>
      <c r="AL680">
        <f>IF($W680="","",IFERROR(INDEX(IF($T680&lt;=60,peso05_s,peso510_s),MATCH($W680,IF($T680&lt;=60,peso05_k,peso510_k),1)),""))</f>
        <v/>
      </c>
      <c r="AM680">
        <f>IF($AJ680="","",IF($AJ680=0,LN($F680/$AK680)/$AL680,((($F680/$AK680)^$AJ680)-1)/($AJ680*$AL680)))</f>
        <v/>
      </c>
      <c r="AN680">
        <f>IF($AJ680="","",IF($AJ680=0,$AK680*EXP($AL680*2),$AK680*(1+$AJ680*$AL680*2)^(1/$AJ680)))</f>
        <v/>
      </c>
      <c r="AO680">
        <f>IF($AJ680="","",IF($AJ680=0,$AK680*EXP($AL680*3),$AK680*(1+$AJ680*$AL680*3)^(1/$AJ680)))</f>
        <v/>
      </c>
      <c r="AP680">
        <f>IF($AJ680="","",IF($AJ680=0,$AK680*EXP($AL680*-2),$AK680*(1+$AJ680*$AL680*-2)^(1/$AJ680)))</f>
        <v/>
      </c>
      <c r="AQ680">
        <f>IF($AJ680="","",IF($AJ680=0,$AK680*EXP($AL680*-3),$AK680*(1+$AJ680*$AL680*-3)^(1/$AJ680)))</f>
        <v/>
      </c>
      <c r="AR680">
        <f>IF(OR($X680="",$T680&gt;60),"",IFERROR(INDEX(IF($T680&lt;24,pcomp_l,palt_l),MATCH($X680,IF($T680&lt;24,pcomp_k,palt_k),1)),""))</f>
        <v/>
      </c>
      <c r="AS680">
        <f>IF(OR($X680="",$T680&gt;60),"",IFERROR(INDEX(IF($T680&lt;24,pcomp_m,palt_m),MATCH($X680,IF($T680&lt;24,pcomp_k,palt_k),1)),""))</f>
        <v/>
      </c>
      <c r="AT680">
        <f>IF(OR($X680="",$T680&gt;60),"",IFERROR(INDEX(IF($T680&lt;24,pcomp_s,palt_s),MATCH($X680,IF($T680&lt;24,pcomp_k,palt_k),1)),""))</f>
        <v/>
      </c>
      <c r="AU680">
        <f>IF($AR680="","",IF($AR680=0,LN($F680/$AS680)/$AT680,((($F680/$AS680)^$AR680)-1)/($AR680*$AT680)))</f>
        <v/>
      </c>
      <c r="AV680">
        <f>IF($AR680="","",IF($AR680=0,$AS680*EXP($AT680*2),$AS680*(1+$AR680*$AT680*2)^(1/$AR680)))</f>
        <v/>
      </c>
      <c r="AW680">
        <f>IF($AR680="","",IF($AR680=0,$AS680*EXP($AT680*3),$AS680*(1+$AR680*$AT680*3)^(1/$AR680)))</f>
        <v/>
      </c>
      <c r="AX680">
        <f>IF($AR680="","",IF($AR680=0,$AS680*EXP($AT680*-2),$AS680*(1+$AR680*$AT680*-2)^(1/$AR680)))</f>
        <v/>
      </c>
      <c r="AY680">
        <f>IF($AR680="","",IF($AR680=0,$AS680*EXP($AT680*-3),$AS680*(1+$AR680*$AT680*-3)^(1/$AR680)))</f>
        <v/>
      </c>
      <c r="AZ680">
        <f>IF(OR($A680="",$A680&lt;&gt;Ficha!$C$4),"",COUNTIF($A$2:$A680,Ficha!$C$4))</f>
        <v/>
      </c>
    </row>
    <row r="681">
      <c r="A681" s="8">
        <f>IF(INDEX(Banco!$A:$A,ROW())="","",INDEX(Banco!$A:$A,ROW()))</f>
        <v/>
      </c>
      <c r="B681" s="8">
        <f>IF(INDEX(Banco!$B:$B,ROW())="","",INDEX(Banco!$B:$B,ROW()))</f>
        <v/>
      </c>
      <c r="C681" s="8">
        <f>IF(INDEX(Banco!$C:$C,ROW())="","",INDEX(Banco!$C:$C,ROW()))</f>
        <v/>
      </c>
      <c r="D681" s="9">
        <f>IF(INDEX(Banco!$D:$D,ROW())="","",INDEX(Banco!$D:$D,ROW()))</f>
        <v/>
      </c>
      <c r="E681" s="9">
        <f>IF(INDEX(Banco!$E:$E,ROW())="","",INDEX(Banco!$E:$E,ROW()))</f>
        <v/>
      </c>
      <c r="F681" s="10">
        <f>IF(INDEX(Banco!$F:$F,ROW())="","",INDEX(Banco!$F:$F,ROW()))</f>
        <v/>
      </c>
      <c r="G681" s="10">
        <f>IF(INDEX(Banco!$G:$G,ROW())="","",INDEX(Banco!$G:$G,ROW()))</f>
        <v/>
      </c>
      <c r="H681" s="8">
        <f>IF(INDEX(Banco!$H:$H,ROW())="","",INDEX(Banco!$H:$H,ROW()))</f>
        <v/>
      </c>
      <c r="I681">
        <f>IF($T681="","",INT($T681/12)&amp;"a "&amp;MOD($T681,12)&amp;"m")</f>
        <v/>
      </c>
      <c r="J681" s="11">
        <f>IF(OR($F681="",$G681=""),"",ROUND($F681/($G681/100)^2,2))</f>
        <v/>
      </c>
      <c r="K681" s="12">
        <f>IF(OR($S681="",$J681="",$T681="",$T681&lt;0,$T681&gt;228,$Y681=""),"—",ROUND(IF(ABS($AB681)&lt;=3,$AB681,IF($AB681&gt;3,3+($J681-$AD681)/($AD681-$AC681),-3+($J681-$AF681)/($AE681-$AF681))),2))</f>
        <v/>
      </c>
      <c r="L681">
        <f>IF(OR($K681="",$K681="—"),"",IF($T681&lt;=60,IF($K681&lt;-3,"Magreza acentuada",IF($K681&lt;-2,"Magreza",IF($K681&lt;=1,"Eutrofia",IF($K681&lt;=2,"Risco de sobrepeso",IF($K681&lt;=3,"Sobrepeso","Obesidade"))))),IF($K681&lt;-3,"Magreza acentuada",IF($K681&lt;-2,"Magreza",IF($K681&lt;=1,"Eutrofia",IF($K681&lt;=2,"Sobrepeso",IF($K681&lt;=3,"Obesidade","Obesidade grave")))))))</f>
        <v/>
      </c>
      <c r="M681" s="12">
        <f>IF(OR($S681="",$V681="",$T681="",$T681&lt;0,$T681&gt;228,$AG681=""),"—",ROUND(IF($AG681=0,LN($V681/$AH681)/$AI681,((($V681/$AH681)^$AG681)-1)/($AG681*$AI681)),2))</f>
        <v/>
      </c>
      <c r="N681">
        <f>IF(OR($M681="",$M681="—"),"",IF($M681&lt;-3,"Muito baixa",IF($M681&lt;-2,"Baixa","Adequada")))</f>
        <v/>
      </c>
      <c r="O681" s="12">
        <f>IF(OR($S681="",$F681="",$T681="",$T681&lt;0,$T681&gt;120,$AJ681=""),"—",ROUND(IF(ABS($AM681)&lt;=3,$AM681,IF($AM681&gt;3,3+($F681-$AO681)/($AO681-$AN681),-3+($F681-$AQ681)/($AP681-$AQ681))),2))</f>
        <v/>
      </c>
      <c r="P681">
        <f>IF(OR($O681="",$O681="—"),"",IF($O681&lt;-3,"Muito baixo",IF($O681&lt;-2,"Baixo",IF($O681&lt;=2,"Adequado","Elevado"))))</f>
        <v/>
      </c>
      <c r="Q681" s="12">
        <f>IF(OR($S681="",$F681="",$T681="",$T681&lt;0,$T681&gt;60,$AR681=""),"—",ROUND(IF(ABS($AU681)&lt;=3,$AU681,IF($AU681&gt;3,3+($F681-$AW681)/($AW681-$AV681),-3+($F681-$AY681)/($AX681-$AY681))),2))</f>
        <v/>
      </c>
      <c r="R681">
        <f>IF(OR($Q681="",$Q681="—"),"",IF($Q681&lt;-3,"Magreza acentuada",IF($Q681&lt;-2,"Magreza",IF($Q681&lt;=1,"Eutrofia",IF($Q681&lt;=2,"Risco de sobrepeso",IF($Q681&lt;=3,"Sobrepeso","Obesidade"))))))</f>
        <v/>
      </c>
      <c r="S681">
        <f>IF($C681="","",IF(UPPER(LEFT($C681,1))="M",1,IF(UPPER(LEFT($C681,1))="F",2,"")))</f>
        <v/>
      </c>
      <c r="T681">
        <f>IF(OR($D681="",$E681=""),"",DATEDIF($D681,$E681,"m"))</f>
        <v/>
      </c>
      <c r="U681">
        <f>IF(OR($D681="",$E681=""),"",$E681-$D681)</f>
        <v/>
      </c>
      <c r="V681">
        <f>IF(OR($G681="",$T681=""),"",IF($T681&lt;24,IF(LEFT(LOWER($H681),4)="em p",$G681+0.7,$G681),IF(LEFT(LOWER($H681),4)="deit",$G681-0.7,$G681)))</f>
        <v/>
      </c>
      <c r="W681">
        <f>IF(OR($S681="",$T681=""),"",$S681*1000000+IF($T681&lt;=60,$U681,$T681))</f>
        <v/>
      </c>
      <c r="X681">
        <f>IF(OR($S681="",$V681="",$T681&gt;60,$T681=""),"",$S681*1000000+ROUND($V681*10,0))</f>
        <v/>
      </c>
      <c r="Y681">
        <f>IF($W681="","",IFERROR(INDEX(IF($T681&lt;=60,imc05_l,imc519_l),MATCH($W681,IF($T681&lt;=60,imc05_k,imc519_k),1)),""))</f>
        <v/>
      </c>
      <c r="Z681">
        <f>IF($W681="","",IFERROR(INDEX(IF($T681&lt;=60,imc05_m,imc519_m),MATCH($W681,IF($T681&lt;=60,imc05_k,imc519_k),1)),""))</f>
        <v/>
      </c>
      <c r="AA681">
        <f>IF($W681="","",IFERROR(INDEX(IF($T681&lt;=60,imc05_s,imc519_s),MATCH($W681,IF($T681&lt;=60,imc05_k,imc519_k),1)),""))</f>
        <v/>
      </c>
      <c r="AB681">
        <f>IF($Y681="","",IF($Y681=0,LN($J681/$Z681)/$AA681,((($J681/$Z681)^$Y681)-1)/($Y681*$AA681)))</f>
        <v/>
      </c>
      <c r="AC681">
        <f>IF($Y681="","",IF($Y681=0,$Z681*EXP($AA681*2),$Z681*(1+$Y681*$AA681*2)^(1/$Y681)))</f>
        <v/>
      </c>
      <c r="AD681">
        <f>IF($Y681="","",IF($Y681=0,$Z681*EXP($AA681*3),$Z681*(1+$Y681*$AA681*3)^(1/$Y681)))</f>
        <v/>
      </c>
      <c r="AE681">
        <f>IF($Y681="","",IF($Y681=0,$Z681*EXP($AA681*-2),$Z681*(1+$Y681*$AA681*-2)^(1/$Y681)))</f>
        <v/>
      </c>
      <c r="AF681">
        <f>IF($Y681="","",IF($Y681=0,$Z681*EXP($AA681*-3),$Z681*(1+$Y681*$AA681*-3)^(1/$Y681)))</f>
        <v/>
      </c>
      <c r="AG681">
        <f>IF($W681="","",IFERROR(INDEX(IF($T681&lt;=60,est05_l,est519_l),MATCH($W681,IF($T681&lt;=60,est05_k,est519_k),1)),""))</f>
        <v/>
      </c>
      <c r="AH681">
        <f>IF($W681="","",IFERROR(INDEX(IF($T681&lt;=60,est05_m,est519_m),MATCH($W681,IF($T681&lt;=60,est05_k,est519_k),1)),""))</f>
        <v/>
      </c>
      <c r="AI681">
        <f>IF($W681="","",IFERROR(INDEX(IF($T681&lt;=60,est05_s,est519_s),MATCH($W681,IF($T681&lt;=60,est05_k,est519_k),1)),""))</f>
        <v/>
      </c>
      <c r="AJ681">
        <f>IF($W681="","",IFERROR(INDEX(IF($T681&lt;=60,peso05_l,peso510_l),MATCH($W681,IF($T681&lt;=60,peso05_k,peso510_k),1)),""))</f>
        <v/>
      </c>
      <c r="AK681">
        <f>IF($W681="","",IFERROR(INDEX(IF($T681&lt;=60,peso05_m,peso510_m),MATCH($W681,IF($T681&lt;=60,peso05_k,peso510_k),1)),""))</f>
        <v/>
      </c>
      <c r="AL681">
        <f>IF($W681="","",IFERROR(INDEX(IF($T681&lt;=60,peso05_s,peso510_s),MATCH($W681,IF($T681&lt;=60,peso05_k,peso510_k),1)),""))</f>
        <v/>
      </c>
      <c r="AM681">
        <f>IF($AJ681="","",IF($AJ681=0,LN($F681/$AK681)/$AL681,((($F681/$AK681)^$AJ681)-1)/($AJ681*$AL681)))</f>
        <v/>
      </c>
      <c r="AN681">
        <f>IF($AJ681="","",IF($AJ681=0,$AK681*EXP($AL681*2),$AK681*(1+$AJ681*$AL681*2)^(1/$AJ681)))</f>
        <v/>
      </c>
      <c r="AO681">
        <f>IF($AJ681="","",IF($AJ681=0,$AK681*EXP($AL681*3),$AK681*(1+$AJ681*$AL681*3)^(1/$AJ681)))</f>
        <v/>
      </c>
      <c r="AP681">
        <f>IF($AJ681="","",IF($AJ681=0,$AK681*EXP($AL681*-2),$AK681*(1+$AJ681*$AL681*-2)^(1/$AJ681)))</f>
        <v/>
      </c>
      <c r="AQ681">
        <f>IF($AJ681="","",IF($AJ681=0,$AK681*EXP($AL681*-3),$AK681*(1+$AJ681*$AL681*-3)^(1/$AJ681)))</f>
        <v/>
      </c>
      <c r="AR681">
        <f>IF(OR($X681="",$T681&gt;60),"",IFERROR(INDEX(IF($T681&lt;24,pcomp_l,palt_l),MATCH($X681,IF($T681&lt;24,pcomp_k,palt_k),1)),""))</f>
        <v/>
      </c>
      <c r="AS681">
        <f>IF(OR($X681="",$T681&gt;60),"",IFERROR(INDEX(IF($T681&lt;24,pcomp_m,palt_m),MATCH($X681,IF($T681&lt;24,pcomp_k,palt_k),1)),""))</f>
        <v/>
      </c>
      <c r="AT681">
        <f>IF(OR($X681="",$T681&gt;60),"",IFERROR(INDEX(IF($T681&lt;24,pcomp_s,palt_s),MATCH($X681,IF($T681&lt;24,pcomp_k,palt_k),1)),""))</f>
        <v/>
      </c>
      <c r="AU681">
        <f>IF($AR681="","",IF($AR681=0,LN($F681/$AS681)/$AT681,((($F681/$AS681)^$AR681)-1)/($AR681*$AT681)))</f>
        <v/>
      </c>
      <c r="AV681">
        <f>IF($AR681="","",IF($AR681=0,$AS681*EXP($AT681*2),$AS681*(1+$AR681*$AT681*2)^(1/$AR681)))</f>
        <v/>
      </c>
      <c r="AW681">
        <f>IF($AR681="","",IF($AR681=0,$AS681*EXP($AT681*3),$AS681*(1+$AR681*$AT681*3)^(1/$AR681)))</f>
        <v/>
      </c>
      <c r="AX681">
        <f>IF($AR681="","",IF($AR681=0,$AS681*EXP($AT681*-2),$AS681*(1+$AR681*$AT681*-2)^(1/$AR681)))</f>
        <v/>
      </c>
      <c r="AY681">
        <f>IF($AR681="","",IF($AR681=0,$AS681*EXP($AT681*-3),$AS681*(1+$AR681*$AT681*-3)^(1/$AR681)))</f>
        <v/>
      </c>
      <c r="AZ681">
        <f>IF(OR($A681="",$A681&lt;&gt;Ficha!$C$4),"",COUNTIF($A$2:$A681,Ficha!$C$4))</f>
        <v/>
      </c>
    </row>
    <row r="682">
      <c r="A682" s="8">
        <f>IF(INDEX(Banco!$A:$A,ROW())="","",INDEX(Banco!$A:$A,ROW()))</f>
        <v/>
      </c>
      <c r="B682" s="8">
        <f>IF(INDEX(Banco!$B:$B,ROW())="","",INDEX(Banco!$B:$B,ROW()))</f>
        <v/>
      </c>
      <c r="C682" s="8">
        <f>IF(INDEX(Banco!$C:$C,ROW())="","",INDEX(Banco!$C:$C,ROW()))</f>
        <v/>
      </c>
      <c r="D682" s="9">
        <f>IF(INDEX(Banco!$D:$D,ROW())="","",INDEX(Banco!$D:$D,ROW()))</f>
        <v/>
      </c>
      <c r="E682" s="9">
        <f>IF(INDEX(Banco!$E:$E,ROW())="","",INDEX(Banco!$E:$E,ROW()))</f>
        <v/>
      </c>
      <c r="F682" s="10">
        <f>IF(INDEX(Banco!$F:$F,ROW())="","",INDEX(Banco!$F:$F,ROW()))</f>
        <v/>
      </c>
      <c r="G682" s="10">
        <f>IF(INDEX(Banco!$G:$G,ROW())="","",INDEX(Banco!$G:$G,ROW()))</f>
        <v/>
      </c>
      <c r="H682" s="8">
        <f>IF(INDEX(Banco!$H:$H,ROW())="","",INDEX(Banco!$H:$H,ROW()))</f>
        <v/>
      </c>
      <c r="I682">
        <f>IF($T682="","",INT($T682/12)&amp;"a "&amp;MOD($T682,12)&amp;"m")</f>
        <v/>
      </c>
      <c r="J682" s="11">
        <f>IF(OR($F682="",$G682=""),"",ROUND($F682/($G682/100)^2,2))</f>
        <v/>
      </c>
      <c r="K682" s="12">
        <f>IF(OR($S682="",$J682="",$T682="",$T682&lt;0,$T682&gt;228,$Y682=""),"—",ROUND(IF(ABS($AB682)&lt;=3,$AB682,IF($AB682&gt;3,3+($J682-$AD682)/($AD682-$AC682),-3+($J682-$AF682)/($AE682-$AF682))),2))</f>
        <v/>
      </c>
      <c r="L682">
        <f>IF(OR($K682="",$K682="—"),"",IF($T682&lt;=60,IF($K682&lt;-3,"Magreza acentuada",IF($K682&lt;-2,"Magreza",IF($K682&lt;=1,"Eutrofia",IF($K682&lt;=2,"Risco de sobrepeso",IF($K682&lt;=3,"Sobrepeso","Obesidade"))))),IF($K682&lt;-3,"Magreza acentuada",IF($K682&lt;-2,"Magreza",IF($K682&lt;=1,"Eutrofia",IF($K682&lt;=2,"Sobrepeso",IF($K682&lt;=3,"Obesidade","Obesidade grave")))))))</f>
        <v/>
      </c>
      <c r="M682" s="12">
        <f>IF(OR($S682="",$V682="",$T682="",$T682&lt;0,$T682&gt;228,$AG682=""),"—",ROUND(IF($AG682=0,LN($V682/$AH682)/$AI682,((($V682/$AH682)^$AG682)-1)/($AG682*$AI682)),2))</f>
        <v/>
      </c>
      <c r="N682">
        <f>IF(OR($M682="",$M682="—"),"",IF($M682&lt;-3,"Muito baixa",IF($M682&lt;-2,"Baixa","Adequada")))</f>
        <v/>
      </c>
      <c r="O682" s="12">
        <f>IF(OR($S682="",$F682="",$T682="",$T682&lt;0,$T682&gt;120,$AJ682=""),"—",ROUND(IF(ABS($AM682)&lt;=3,$AM682,IF($AM682&gt;3,3+($F682-$AO682)/($AO682-$AN682),-3+($F682-$AQ682)/($AP682-$AQ682))),2))</f>
        <v/>
      </c>
      <c r="P682">
        <f>IF(OR($O682="",$O682="—"),"",IF($O682&lt;-3,"Muito baixo",IF($O682&lt;-2,"Baixo",IF($O682&lt;=2,"Adequado","Elevado"))))</f>
        <v/>
      </c>
      <c r="Q682" s="12">
        <f>IF(OR($S682="",$F682="",$T682="",$T682&lt;0,$T682&gt;60,$AR682=""),"—",ROUND(IF(ABS($AU682)&lt;=3,$AU682,IF($AU682&gt;3,3+($F682-$AW682)/($AW682-$AV682),-3+($F682-$AY682)/($AX682-$AY682))),2))</f>
        <v/>
      </c>
      <c r="R682">
        <f>IF(OR($Q682="",$Q682="—"),"",IF($Q682&lt;-3,"Magreza acentuada",IF($Q682&lt;-2,"Magreza",IF($Q682&lt;=1,"Eutrofia",IF($Q682&lt;=2,"Risco de sobrepeso",IF($Q682&lt;=3,"Sobrepeso","Obesidade"))))))</f>
        <v/>
      </c>
      <c r="S682">
        <f>IF($C682="","",IF(UPPER(LEFT($C682,1))="M",1,IF(UPPER(LEFT($C682,1))="F",2,"")))</f>
        <v/>
      </c>
      <c r="T682">
        <f>IF(OR($D682="",$E682=""),"",DATEDIF($D682,$E682,"m"))</f>
        <v/>
      </c>
      <c r="U682">
        <f>IF(OR($D682="",$E682=""),"",$E682-$D682)</f>
        <v/>
      </c>
      <c r="V682">
        <f>IF(OR($G682="",$T682=""),"",IF($T682&lt;24,IF(LEFT(LOWER($H682),4)="em p",$G682+0.7,$G682),IF(LEFT(LOWER($H682),4)="deit",$G682-0.7,$G682)))</f>
        <v/>
      </c>
      <c r="W682">
        <f>IF(OR($S682="",$T682=""),"",$S682*1000000+IF($T682&lt;=60,$U682,$T682))</f>
        <v/>
      </c>
      <c r="X682">
        <f>IF(OR($S682="",$V682="",$T682&gt;60,$T682=""),"",$S682*1000000+ROUND($V682*10,0))</f>
        <v/>
      </c>
      <c r="Y682">
        <f>IF($W682="","",IFERROR(INDEX(IF($T682&lt;=60,imc05_l,imc519_l),MATCH($W682,IF($T682&lt;=60,imc05_k,imc519_k),1)),""))</f>
        <v/>
      </c>
      <c r="Z682">
        <f>IF($W682="","",IFERROR(INDEX(IF($T682&lt;=60,imc05_m,imc519_m),MATCH($W682,IF($T682&lt;=60,imc05_k,imc519_k),1)),""))</f>
        <v/>
      </c>
      <c r="AA682">
        <f>IF($W682="","",IFERROR(INDEX(IF($T682&lt;=60,imc05_s,imc519_s),MATCH($W682,IF($T682&lt;=60,imc05_k,imc519_k),1)),""))</f>
        <v/>
      </c>
      <c r="AB682">
        <f>IF($Y682="","",IF($Y682=0,LN($J682/$Z682)/$AA682,((($J682/$Z682)^$Y682)-1)/($Y682*$AA682)))</f>
        <v/>
      </c>
      <c r="AC682">
        <f>IF($Y682="","",IF($Y682=0,$Z682*EXP($AA682*2),$Z682*(1+$Y682*$AA682*2)^(1/$Y682)))</f>
        <v/>
      </c>
      <c r="AD682">
        <f>IF($Y682="","",IF($Y682=0,$Z682*EXP($AA682*3),$Z682*(1+$Y682*$AA682*3)^(1/$Y682)))</f>
        <v/>
      </c>
      <c r="AE682">
        <f>IF($Y682="","",IF($Y682=0,$Z682*EXP($AA682*-2),$Z682*(1+$Y682*$AA682*-2)^(1/$Y682)))</f>
        <v/>
      </c>
      <c r="AF682">
        <f>IF($Y682="","",IF($Y682=0,$Z682*EXP($AA682*-3),$Z682*(1+$Y682*$AA682*-3)^(1/$Y682)))</f>
        <v/>
      </c>
      <c r="AG682">
        <f>IF($W682="","",IFERROR(INDEX(IF($T682&lt;=60,est05_l,est519_l),MATCH($W682,IF($T682&lt;=60,est05_k,est519_k),1)),""))</f>
        <v/>
      </c>
      <c r="AH682">
        <f>IF($W682="","",IFERROR(INDEX(IF($T682&lt;=60,est05_m,est519_m),MATCH($W682,IF($T682&lt;=60,est05_k,est519_k),1)),""))</f>
        <v/>
      </c>
      <c r="AI682">
        <f>IF($W682="","",IFERROR(INDEX(IF($T682&lt;=60,est05_s,est519_s),MATCH($W682,IF($T682&lt;=60,est05_k,est519_k),1)),""))</f>
        <v/>
      </c>
      <c r="AJ682">
        <f>IF($W682="","",IFERROR(INDEX(IF($T682&lt;=60,peso05_l,peso510_l),MATCH($W682,IF($T682&lt;=60,peso05_k,peso510_k),1)),""))</f>
        <v/>
      </c>
      <c r="AK682">
        <f>IF($W682="","",IFERROR(INDEX(IF($T682&lt;=60,peso05_m,peso510_m),MATCH($W682,IF($T682&lt;=60,peso05_k,peso510_k),1)),""))</f>
        <v/>
      </c>
      <c r="AL682">
        <f>IF($W682="","",IFERROR(INDEX(IF($T682&lt;=60,peso05_s,peso510_s),MATCH($W682,IF($T682&lt;=60,peso05_k,peso510_k),1)),""))</f>
        <v/>
      </c>
      <c r="AM682">
        <f>IF($AJ682="","",IF($AJ682=0,LN($F682/$AK682)/$AL682,((($F682/$AK682)^$AJ682)-1)/($AJ682*$AL682)))</f>
        <v/>
      </c>
      <c r="AN682">
        <f>IF($AJ682="","",IF($AJ682=0,$AK682*EXP($AL682*2),$AK682*(1+$AJ682*$AL682*2)^(1/$AJ682)))</f>
        <v/>
      </c>
      <c r="AO682">
        <f>IF($AJ682="","",IF($AJ682=0,$AK682*EXP($AL682*3),$AK682*(1+$AJ682*$AL682*3)^(1/$AJ682)))</f>
        <v/>
      </c>
      <c r="AP682">
        <f>IF($AJ682="","",IF($AJ682=0,$AK682*EXP($AL682*-2),$AK682*(1+$AJ682*$AL682*-2)^(1/$AJ682)))</f>
        <v/>
      </c>
      <c r="AQ682">
        <f>IF($AJ682="","",IF($AJ682=0,$AK682*EXP($AL682*-3),$AK682*(1+$AJ682*$AL682*-3)^(1/$AJ682)))</f>
        <v/>
      </c>
      <c r="AR682">
        <f>IF(OR($X682="",$T682&gt;60),"",IFERROR(INDEX(IF($T682&lt;24,pcomp_l,palt_l),MATCH($X682,IF($T682&lt;24,pcomp_k,palt_k),1)),""))</f>
        <v/>
      </c>
      <c r="AS682">
        <f>IF(OR($X682="",$T682&gt;60),"",IFERROR(INDEX(IF($T682&lt;24,pcomp_m,palt_m),MATCH($X682,IF($T682&lt;24,pcomp_k,palt_k),1)),""))</f>
        <v/>
      </c>
      <c r="AT682">
        <f>IF(OR($X682="",$T682&gt;60),"",IFERROR(INDEX(IF($T682&lt;24,pcomp_s,palt_s),MATCH($X682,IF($T682&lt;24,pcomp_k,palt_k),1)),""))</f>
        <v/>
      </c>
      <c r="AU682">
        <f>IF($AR682="","",IF($AR682=0,LN($F682/$AS682)/$AT682,((($F682/$AS682)^$AR682)-1)/($AR682*$AT682)))</f>
        <v/>
      </c>
      <c r="AV682">
        <f>IF($AR682="","",IF($AR682=0,$AS682*EXP($AT682*2),$AS682*(1+$AR682*$AT682*2)^(1/$AR682)))</f>
        <v/>
      </c>
      <c r="AW682">
        <f>IF($AR682="","",IF($AR682=0,$AS682*EXP($AT682*3),$AS682*(1+$AR682*$AT682*3)^(1/$AR682)))</f>
        <v/>
      </c>
      <c r="AX682">
        <f>IF($AR682="","",IF($AR682=0,$AS682*EXP($AT682*-2),$AS682*(1+$AR682*$AT682*-2)^(1/$AR682)))</f>
        <v/>
      </c>
      <c r="AY682">
        <f>IF($AR682="","",IF($AR682=0,$AS682*EXP($AT682*-3),$AS682*(1+$AR682*$AT682*-3)^(1/$AR682)))</f>
        <v/>
      </c>
      <c r="AZ682">
        <f>IF(OR($A682="",$A682&lt;&gt;Ficha!$C$4),"",COUNTIF($A$2:$A682,Ficha!$C$4))</f>
        <v/>
      </c>
    </row>
    <row r="683">
      <c r="A683" s="8">
        <f>IF(INDEX(Banco!$A:$A,ROW())="","",INDEX(Banco!$A:$A,ROW()))</f>
        <v/>
      </c>
      <c r="B683" s="8">
        <f>IF(INDEX(Banco!$B:$B,ROW())="","",INDEX(Banco!$B:$B,ROW()))</f>
        <v/>
      </c>
      <c r="C683" s="8">
        <f>IF(INDEX(Banco!$C:$C,ROW())="","",INDEX(Banco!$C:$C,ROW()))</f>
        <v/>
      </c>
      <c r="D683" s="9">
        <f>IF(INDEX(Banco!$D:$D,ROW())="","",INDEX(Banco!$D:$D,ROW()))</f>
        <v/>
      </c>
      <c r="E683" s="9">
        <f>IF(INDEX(Banco!$E:$E,ROW())="","",INDEX(Banco!$E:$E,ROW()))</f>
        <v/>
      </c>
      <c r="F683" s="10">
        <f>IF(INDEX(Banco!$F:$F,ROW())="","",INDEX(Banco!$F:$F,ROW()))</f>
        <v/>
      </c>
      <c r="G683" s="10">
        <f>IF(INDEX(Banco!$G:$G,ROW())="","",INDEX(Banco!$G:$G,ROW()))</f>
        <v/>
      </c>
      <c r="H683" s="8">
        <f>IF(INDEX(Banco!$H:$H,ROW())="","",INDEX(Banco!$H:$H,ROW()))</f>
        <v/>
      </c>
      <c r="I683">
        <f>IF($T683="","",INT($T683/12)&amp;"a "&amp;MOD($T683,12)&amp;"m")</f>
        <v/>
      </c>
      <c r="J683" s="11">
        <f>IF(OR($F683="",$G683=""),"",ROUND($F683/($G683/100)^2,2))</f>
        <v/>
      </c>
      <c r="K683" s="12">
        <f>IF(OR($S683="",$J683="",$T683="",$T683&lt;0,$T683&gt;228,$Y683=""),"—",ROUND(IF(ABS($AB683)&lt;=3,$AB683,IF($AB683&gt;3,3+($J683-$AD683)/($AD683-$AC683),-3+($J683-$AF683)/($AE683-$AF683))),2))</f>
        <v/>
      </c>
      <c r="L683">
        <f>IF(OR($K683="",$K683="—"),"",IF($T683&lt;=60,IF($K683&lt;-3,"Magreza acentuada",IF($K683&lt;-2,"Magreza",IF($K683&lt;=1,"Eutrofia",IF($K683&lt;=2,"Risco de sobrepeso",IF($K683&lt;=3,"Sobrepeso","Obesidade"))))),IF($K683&lt;-3,"Magreza acentuada",IF($K683&lt;-2,"Magreza",IF($K683&lt;=1,"Eutrofia",IF($K683&lt;=2,"Sobrepeso",IF($K683&lt;=3,"Obesidade","Obesidade grave")))))))</f>
        <v/>
      </c>
      <c r="M683" s="12">
        <f>IF(OR($S683="",$V683="",$T683="",$T683&lt;0,$T683&gt;228,$AG683=""),"—",ROUND(IF($AG683=0,LN($V683/$AH683)/$AI683,((($V683/$AH683)^$AG683)-1)/($AG683*$AI683)),2))</f>
        <v/>
      </c>
      <c r="N683">
        <f>IF(OR($M683="",$M683="—"),"",IF($M683&lt;-3,"Muito baixa",IF($M683&lt;-2,"Baixa","Adequada")))</f>
        <v/>
      </c>
      <c r="O683" s="12">
        <f>IF(OR($S683="",$F683="",$T683="",$T683&lt;0,$T683&gt;120,$AJ683=""),"—",ROUND(IF(ABS($AM683)&lt;=3,$AM683,IF($AM683&gt;3,3+($F683-$AO683)/($AO683-$AN683),-3+($F683-$AQ683)/($AP683-$AQ683))),2))</f>
        <v/>
      </c>
      <c r="P683">
        <f>IF(OR($O683="",$O683="—"),"",IF($O683&lt;-3,"Muito baixo",IF($O683&lt;-2,"Baixo",IF($O683&lt;=2,"Adequado","Elevado"))))</f>
        <v/>
      </c>
      <c r="Q683" s="12">
        <f>IF(OR($S683="",$F683="",$T683="",$T683&lt;0,$T683&gt;60,$AR683=""),"—",ROUND(IF(ABS($AU683)&lt;=3,$AU683,IF($AU683&gt;3,3+($F683-$AW683)/($AW683-$AV683),-3+($F683-$AY683)/($AX683-$AY683))),2))</f>
        <v/>
      </c>
      <c r="R683">
        <f>IF(OR($Q683="",$Q683="—"),"",IF($Q683&lt;-3,"Magreza acentuada",IF($Q683&lt;-2,"Magreza",IF($Q683&lt;=1,"Eutrofia",IF($Q683&lt;=2,"Risco de sobrepeso",IF($Q683&lt;=3,"Sobrepeso","Obesidade"))))))</f>
        <v/>
      </c>
      <c r="S683">
        <f>IF($C683="","",IF(UPPER(LEFT($C683,1))="M",1,IF(UPPER(LEFT($C683,1))="F",2,"")))</f>
        <v/>
      </c>
      <c r="T683">
        <f>IF(OR($D683="",$E683=""),"",DATEDIF($D683,$E683,"m"))</f>
        <v/>
      </c>
      <c r="U683">
        <f>IF(OR($D683="",$E683=""),"",$E683-$D683)</f>
        <v/>
      </c>
      <c r="V683">
        <f>IF(OR($G683="",$T683=""),"",IF($T683&lt;24,IF(LEFT(LOWER($H683),4)="em p",$G683+0.7,$G683),IF(LEFT(LOWER($H683),4)="deit",$G683-0.7,$G683)))</f>
        <v/>
      </c>
      <c r="W683">
        <f>IF(OR($S683="",$T683=""),"",$S683*1000000+IF($T683&lt;=60,$U683,$T683))</f>
        <v/>
      </c>
      <c r="X683">
        <f>IF(OR($S683="",$V683="",$T683&gt;60,$T683=""),"",$S683*1000000+ROUND($V683*10,0))</f>
        <v/>
      </c>
      <c r="Y683">
        <f>IF($W683="","",IFERROR(INDEX(IF($T683&lt;=60,imc05_l,imc519_l),MATCH($W683,IF($T683&lt;=60,imc05_k,imc519_k),1)),""))</f>
        <v/>
      </c>
      <c r="Z683">
        <f>IF($W683="","",IFERROR(INDEX(IF($T683&lt;=60,imc05_m,imc519_m),MATCH($W683,IF($T683&lt;=60,imc05_k,imc519_k),1)),""))</f>
        <v/>
      </c>
      <c r="AA683">
        <f>IF($W683="","",IFERROR(INDEX(IF($T683&lt;=60,imc05_s,imc519_s),MATCH($W683,IF($T683&lt;=60,imc05_k,imc519_k),1)),""))</f>
        <v/>
      </c>
      <c r="AB683">
        <f>IF($Y683="","",IF($Y683=0,LN($J683/$Z683)/$AA683,((($J683/$Z683)^$Y683)-1)/($Y683*$AA683)))</f>
        <v/>
      </c>
      <c r="AC683">
        <f>IF($Y683="","",IF($Y683=0,$Z683*EXP($AA683*2),$Z683*(1+$Y683*$AA683*2)^(1/$Y683)))</f>
        <v/>
      </c>
      <c r="AD683">
        <f>IF($Y683="","",IF($Y683=0,$Z683*EXP($AA683*3),$Z683*(1+$Y683*$AA683*3)^(1/$Y683)))</f>
        <v/>
      </c>
      <c r="AE683">
        <f>IF($Y683="","",IF($Y683=0,$Z683*EXP($AA683*-2),$Z683*(1+$Y683*$AA683*-2)^(1/$Y683)))</f>
        <v/>
      </c>
      <c r="AF683">
        <f>IF($Y683="","",IF($Y683=0,$Z683*EXP($AA683*-3),$Z683*(1+$Y683*$AA683*-3)^(1/$Y683)))</f>
        <v/>
      </c>
      <c r="AG683">
        <f>IF($W683="","",IFERROR(INDEX(IF($T683&lt;=60,est05_l,est519_l),MATCH($W683,IF($T683&lt;=60,est05_k,est519_k),1)),""))</f>
        <v/>
      </c>
      <c r="AH683">
        <f>IF($W683="","",IFERROR(INDEX(IF($T683&lt;=60,est05_m,est519_m),MATCH($W683,IF($T683&lt;=60,est05_k,est519_k),1)),""))</f>
        <v/>
      </c>
      <c r="AI683">
        <f>IF($W683="","",IFERROR(INDEX(IF($T683&lt;=60,est05_s,est519_s),MATCH($W683,IF($T683&lt;=60,est05_k,est519_k),1)),""))</f>
        <v/>
      </c>
      <c r="AJ683">
        <f>IF($W683="","",IFERROR(INDEX(IF($T683&lt;=60,peso05_l,peso510_l),MATCH($W683,IF($T683&lt;=60,peso05_k,peso510_k),1)),""))</f>
        <v/>
      </c>
      <c r="AK683">
        <f>IF($W683="","",IFERROR(INDEX(IF($T683&lt;=60,peso05_m,peso510_m),MATCH($W683,IF($T683&lt;=60,peso05_k,peso510_k),1)),""))</f>
        <v/>
      </c>
      <c r="AL683">
        <f>IF($W683="","",IFERROR(INDEX(IF($T683&lt;=60,peso05_s,peso510_s),MATCH($W683,IF($T683&lt;=60,peso05_k,peso510_k),1)),""))</f>
        <v/>
      </c>
      <c r="AM683">
        <f>IF($AJ683="","",IF($AJ683=0,LN($F683/$AK683)/$AL683,((($F683/$AK683)^$AJ683)-1)/($AJ683*$AL683)))</f>
        <v/>
      </c>
      <c r="AN683">
        <f>IF($AJ683="","",IF($AJ683=0,$AK683*EXP($AL683*2),$AK683*(1+$AJ683*$AL683*2)^(1/$AJ683)))</f>
        <v/>
      </c>
      <c r="AO683">
        <f>IF($AJ683="","",IF($AJ683=0,$AK683*EXP($AL683*3),$AK683*(1+$AJ683*$AL683*3)^(1/$AJ683)))</f>
        <v/>
      </c>
      <c r="AP683">
        <f>IF($AJ683="","",IF($AJ683=0,$AK683*EXP($AL683*-2),$AK683*(1+$AJ683*$AL683*-2)^(1/$AJ683)))</f>
        <v/>
      </c>
      <c r="AQ683">
        <f>IF($AJ683="","",IF($AJ683=0,$AK683*EXP($AL683*-3),$AK683*(1+$AJ683*$AL683*-3)^(1/$AJ683)))</f>
        <v/>
      </c>
      <c r="AR683">
        <f>IF(OR($X683="",$T683&gt;60),"",IFERROR(INDEX(IF($T683&lt;24,pcomp_l,palt_l),MATCH($X683,IF($T683&lt;24,pcomp_k,palt_k),1)),""))</f>
        <v/>
      </c>
      <c r="AS683">
        <f>IF(OR($X683="",$T683&gt;60),"",IFERROR(INDEX(IF($T683&lt;24,pcomp_m,palt_m),MATCH($X683,IF($T683&lt;24,pcomp_k,palt_k),1)),""))</f>
        <v/>
      </c>
      <c r="AT683">
        <f>IF(OR($X683="",$T683&gt;60),"",IFERROR(INDEX(IF($T683&lt;24,pcomp_s,palt_s),MATCH($X683,IF($T683&lt;24,pcomp_k,palt_k),1)),""))</f>
        <v/>
      </c>
      <c r="AU683">
        <f>IF($AR683="","",IF($AR683=0,LN($F683/$AS683)/$AT683,((($F683/$AS683)^$AR683)-1)/($AR683*$AT683)))</f>
        <v/>
      </c>
      <c r="AV683">
        <f>IF($AR683="","",IF($AR683=0,$AS683*EXP($AT683*2),$AS683*(1+$AR683*$AT683*2)^(1/$AR683)))</f>
        <v/>
      </c>
      <c r="AW683">
        <f>IF($AR683="","",IF($AR683=0,$AS683*EXP($AT683*3),$AS683*(1+$AR683*$AT683*3)^(1/$AR683)))</f>
        <v/>
      </c>
      <c r="AX683">
        <f>IF($AR683="","",IF($AR683=0,$AS683*EXP($AT683*-2),$AS683*(1+$AR683*$AT683*-2)^(1/$AR683)))</f>
        <v/>
      </c>
      <c r="AY683">
        <f>IF($AR683="","",IF($AR683=0,$AS683*EXP($AT683*-3),$AS683*(1+$AR683*$AT683*-3)^(1/$AR683)))</f>
        <v/>
      </c>
      <c r="AZ683">
        <f>IF(OR($A683="",$A683&lt;&gt;Ficha!$C$4),"",COUNTIF($A$2:$A683,Ficha!$C$4))</f>
        <v/>
      </c>
    </row>
    <row r="684">
      <c r="A684" s="8">
        <f>IF(INDEX(Banco!$A:$A,ROW())="","",INDEX(Banco!$A:$A,ROW()))</f>
        <v/>
      </c>
      <c r="B684" s="8">
        <f>IF(INDEX(Banco!$B:$B,ROW())="","",INDEX(Banco!$B:$B,ROW()))</f>
        <v/>
      </c>
      <c r="C684" s="8">
        <f>IF(INDEX(Banco!$C:$C,ROW())="","",INDEX(Banco!$C:$C,ROW()))</f>
        <v/>
      </c>
      <c r="D684" s="9">
        <f>IF(INDEX(Banco!$D:$D,ROW())="","",INDEX(Banco!$D:$D,ROW()))</f>
        <v/>
      </c>
      <c r="E684" s="9">
        <f>IF(INDEX(Banco!$E:$E,ROW())="","",INDEX(Banco!$E:$E,ROW()))</f>
        <v/>
      </c>
      <c r="F684" s="10">
        <f>IF(INDEX(Banco!$F:$F,ROW())="","",INDEX(Banco!$F:$F,ROW()))</f>
        <v/>
      </c>
      <c r="G684" s="10">
        <f>IF(INDEX(Banco!$G:$G,ROW())="","",INDEX(Banco!$G:$G,ROW()))</f>
        <v/>
      </c>
      <c r="H684" s="8">
        <f>IF(INDEX(Banco!$H:$H,ROW())="","",INDEX(Banco!$H:$H,ROW()))</f>
        <v/>
      </c>
      <c r="I684">
        <f>IF($T684="","",INT($T684/12)&amp;"a "&amp;MOD($T684,12)&amp;"m")</f>
        <v/>
      </c>
      <c r="J684" s="11">
        <f>IF(OR($F684="",$G684=""),"",ROUND($F684/($G684/100)^2,2))</f>
        <v/>
      </c>
      <c r="K684" s="12">
        <f>IF(OR($S684="",$J684="",$T684="",$T684&lt;0,$T684&gt;228,$Y684=""),"—",ROUND(IF(ABS($AB684)&lt;=3,$AB684,IF($AB684&gt;3,3+($J684-$AD684)/($AD684-$AC684),-3+($J684-$AF684)/($AE684-$AF684))),2))</f>
        <v/>
      </c>
      <c r="L684">
        <f>IF(OR($K684="",$K684="—"),"",IF($T684&lt;=60,IF($K684&lt;-3,"Magreza acentuada",IF($K684&lt;-2,"Magreza",IF($K684&lt;=1,"Eutrofia",IF($K684&lt;=2,"Risco de sobrepeso",IF($K684&lt;=3,"Sobrepeso","Obesidade"))))),IF($K684&lt;-3,"Magreza acentuada",IF($K684&lt;-2,"Magreza",IF($K684&lt;=1,"Eutrofia",IF($K684&lt;=2,"Sobrepeso",IF($K684&lt;=3,"Obesidade","Obesidade grave")))))))</f>
        <v/>
      </c>
      <c r="M684" s="12">
        <f>IF(OR($S684="",$V684="",$T684="",$T684&lt;0,$T684&gt;228,$AG684=""),"—",ROUND(IF($AG684=0,LN($V684/$AH684)/$AI684,((($V684/$AH684)^$AG684)-1)/($AG684*$AI684)),2))</f>
        <v/>
      </c>
      <c r="N684">
        <f>IF(OR($M684="",$M684="—"),"",IF($M684&lt;-3,"Muito baixa",IF($M684&lt;-2,"Baixa","Adequada")))</f>
        <v/>
      </c>
      <c r="O684" s="12">
        <f>IF(OR($S684="",$F684="",$T684="",$T684&lt;0,$T684&gt;120,$AJ684=""),"—",ROUND(IF(ABS($AM684)&lt;=3,$AM684,IF($AM684&gt;3,3+($F684-$AO684)/($AO684-$AN684),-3+($F684-$AQ684)/($AP684-$AQ684))),2))</f>
        <v/>
      </c>
      <c r="P684">
        <f>IF(OR($O684="",$O684="—"),"",IF($O684&lt;-3,"Muito baixo",IF($O684&lt;-2,"Baixo",IF($O684&lt;=2,"Adequado","Elevado"))))</f>
        <v/>
      </c>
      <c r="Q684" s="12">
        <f>IF(OR($S684="",$F684="",$T684="",$T684&lt;0,$T684&gt;60,$AR684=""),"—",ROUND(IF(ABS($AU684)&lt;=3,$AU684,IF($AU684&gt;3,3+($F684-$AW684)/($AW684-$AV684),-3+($F684-$AY684)/($AX684-$AY684))),2))</f>
        <v/>
      </c>
      <c r="R684">
        <f>IF(OR($Q684="",$Q684="—"),"",IF($Q684&lt;-3,"Magreza acentuada",IF($Q684&lt;-2,"Magreza",IF($Q684&lt;=1,"Eutrofia",IF($Q684&lt;=2,"Risco de sobrepeso",IF($Q684&lt;=3,"Sobrepeso","Obesidade"))))))</f>
        <v/>
      </c>
      <c r="S684">
        <f>IF($C684="","",IF(UPPER(LEFT($C684,1))="M",1,IF(UPPER(LEFT($C684,1))="F",2,"")))</f>
        <v/>
      </c>
      <c r="T684">
        <f>IF(OR($D684="",$E684=""),"",DATEDIF($D684,$E684,"m"))</f>
        <v/>
      </c>
      <c r="U684">
        <f>IF(OR($D684="",$E684=""),"",$E684-$D684)</f>
        <v/>
      </c>
      <c r="V684">
        <f>IF(OR($G684="",$T684=""),"",IF($T684&lt;24,IF(LEFT(LOWER($H684),4)="em p",$G684+0.7,$G684),IF(LEFT(LOWER($H684),4)="deit",$G684-0.7,$G684)))</f>
        <v/>
      </c>
      <c r="W684">
        <f>IF(OR($S684="",$T684=""),"",$S684*1000000+IF($T684&lt;=60,$U684,$T684))</f>
        <v/>
      </c>
      <c r="X684">
        <f>IF(OR($S684="",$V684="",$T684&gt;60,$T684=""),"",$S684*1000000+ROUND($V684*10,0))</f>
        <v/>
      </c>
      <c r="Y684">
        <f>IF($W684="","",IFERROR(INDEX(IF($T684&lt;=60,imc05_l,imc519_l),MATCH($W684,IF($T684&lt;=60,imc05_k,imc519_k),1)),""))</f>
        <v/>
      </c>
      <c r="Z684">
        <f>IF($W684="","",IFERROR(INDEX(IF($T684&lt;=60,imc05_m,imc519_m),MATCH($W684,IF($T684&lt;=60,imc05_k,imc519_k),1)),""))</f>
        <v/>
      </c>
      <c r="AA684">
        <f>IF($W684="","",IFERROR(INDEX(IF($T684&lt;=60,imc05_s,imc519_s),MATCH($W684,IF($T684&lt;=60,imc05_k,imc519_k),1)),""))</f>
        <v/>
      </c>
      <c r="AB684">
        <f>IF($Y684="","",IF($Y684=0,LN($J684/$Z684)/$AA684,((($J684/$Z684)^$Y684)-1)/($Y684*$AA684)))</f>
        <v/>
      </c>
      <c r="AC684">
        <f>IF($Y684="","",IF($Y684=0,$Z684*EXP($AA684*2),$Z684*(1+$Y684*$AA684*2)^(1/$Y684)))</f>
        <v/>
      </c>
      <c r="AD684">
        <f>IF($Y684="","",IF($Y684=0,$Z684*EXP($AA684*3),$Z684*(1+$Y684*$AA684*3)^(1/$Y684)))</f>
        <v/>
      </c>
      <c r="AE684">
        <f>IF($Y684="","",IF($Y684=0,$Z684*EXP($AA684*-2),$Z684*(1+$Y684*$AA684*-2)^(1/$Y684)))</f>
        <v/>
      </c>
      <c r="AF684">
        <f>IF($Y684="","",IF($Y684=0,$Z684*EXP($AA684*-3),$Z684*(1+$Y684*$AA684*-3)^(1/$Y684)))</f>
        <v/>
      </c>
      <c r="AG684">
        <f>IF($W684="","",IFERROR(INDEX(IF($T684&lt;=60,est05_l,est519_l),MATCH($W684,IF($T684&lt;=60,est05_k,est519_k),1)),""))</f>
        <v/>
      </c>
      <c r="AH684">
        <f>IF($W684="","",IFERROR(INDEX(IF($T684&lt;=60,est05_m,est519_m),MATCH($W684,IF($T684&lt;=60,est05_k,est519_k),1)),""))</f>
        <v/>
      </c>
      <c r="AI684">
        <f>IF($W684="","",IFERROR(INDEX(IF($T684&lt;=60,est05_s,est519_s),MATCH($W684,IF($T684&lt;=60,est05_k,est519_k),1)),""))</f>
        <v/>
      </c>
      <c r="AJ684">
        <f>IF($W684="","",IFERROR(INDEX(IF($T684&lt;=60,peso05_l,peso510_l),MATCH($W684,IF($T684&lt;=60,peso05_k,peso510_k),1)),""))</f>
        <v/>
      </c>
      <c r="AK684">
        <f>IF($W684="","",IFERROR(INDEX(IF($T684&lt;=60,peso05_m,peso510_m),MATCH($W684,IF($T684&lt;=60,peso05_k,peso510_k),1)),""))</f>
        <v/>
      </c>
      <c r="AL684">
        <f>IF($W684="","",IFERROR(INDEX(IF($T684&lt;=60,peso05_s,peso510_s),MATCH($W684,IF($T684&lt;=60,peso05_k,peso510_k),1)),""))</f>
        <v/>
      </c>
      <c r="AM684">
        <f>IF($AJ684="","",IF($AJ684=0,LN($F684/$AK684)/$AL684,((($F684/$AK684)^$AJ684)-1)/($AJ684*$AL684)))</f>
        <v/>
      </c>
      <c r="AN684">
        <f>IF($AJ684="","",IF($AJ684=0,$AK684*EXP($AL684*2),$AK684*(1+$AJ684*$AL684*2)^(1/$AJ684)))</f>
        <v/>
      </c>
      <c r="AO684">
        <f>IF($AJ684="","",IF($AJ684=0,$AK684*EXP($AL684*3),$AK684*(1+$AJ684*$AL684*3)^(1/$AJ684)))</f>
        <v/>
      </c>
      <c r="AP684">
        <f>IF($AJ684="","",IF($AJ684=0,$AK684*EXP($AL684*-2),$AK684*(1+$AJ684*$AL684*-2)^(1/$AJ684)))</f>
        <v/>
      </c>
      <c r="AQ684">
        <f>IF($AJ684="","",IF($AJ684=0,$AK684*EXP($AL684*-3),$AK684*(1+$AJ684*$AL684*-3)^(1/$AJ684)))</f>
        <v/>
      </c>
      <c r="AR684">
        <f>IF(OR($X684="",$T684&gt;60),"",IFERROR(INDEX(IF($T684&lt;24,pcomp_l,palt_l),MATCH($X684,IF($T684&lt;24,pcomp_k,palt_k),1)),""))</f>
        <v/>
      </c>
      <c r="AS684">
        <f>IF(OR($X684="",$T684&gt;60),"",IFERROR(INDEX(IF($T684&lt;24,pcomp_m,palt_m),MATCH($X684,IF($T684&lt;24,pcomp_k,palt_k),1)),""))</f>
        <v/>
      </c>
      <c r="AT684">
        <f>IF(OR($X684="",$T684&gt;60),"",IFERROR(INDEX(IF($T684&lt;24,pcomp_s,palt_s),MATCH($X684,IF($T684&lt;24,pcomp_k,palt_k),1)),""))</f>
        <v/>
      </c>
      <c r="AU684">
        <f>IF($AR684="","",IF($AR684=0,LN($F684/$AS684)/$AT684,((($F684/$AS684)^$AR684)-1)/($AR684*$AT684)))</f>
        <v/>
      </c>
      <c r="AV684">
        <f>IF($AR684="","",IF($AR684=0,$AS684*EXP($AT684*2),$AS684*(1+$AR684*$AT684*2)^(1/$AR684)))</f>
        <v/>
      </c>
      <c r="AW684">
        <f>IF($AR684="","",IF($AR684=0,$AS684*EXP($AT684*3),$AS684*(1+$AR684*$AT684*3)^(1/$AR684)))</f>
        <v/>
      </c>
      <c r="AX684">
        <f>IF($AR684="","",IF($AR684=0,$AS684*EXP($AT684*-2),$AS684*(1+$AR684*$AT684*-2)^(1/$AR684)))</f>
        <v/>
      </c>
      <c r="AY684">
        <f>IF($AR684="","",IF($AR684=0,$AS684*EXP($AT684*-3),$AS684*(1+$AR684*$AT684*-3)^(1/$AR684)))</f>
        <v/>
      </c>
      <c r="AZ684">
        <f>IF(OR($A684="",$A684&lt;&gt;Ficha!$C$4),"",COUNTIF($A$2:$A684,Ficha!$C$4))</f>
        <v/>
      </c>
    </row>
    <row r="685">
      <c r="A685" s="8">
        <f>IF(INDEX(Banco!$A:$A,ROW())="","",INDEX(Banco!$A:$A,ROW()))</f>
        <v/>
      </c>
      <c r="B685" s="8">
        <f>IF(INDEX(Banco!$B:$B,ROW())="","",INDEX(Banco!$B:$B,ROW()))</f>
        <v/>
      </c>
      <c r="C685" s="8">
        <f>IF(INDEX(Banco!$C:$C,ROW())="","",INDEX(Banco!$C:$C,ROW()))</f>
        <v/>
      </c>
      <c r="D685" s="9">
        <f>IF(INDEX(Banco!$D:$D,ROW())="","",INDEX(Banco!$D:$D,ROW()))</f>
        <v/>
      </c>
      <c r="E685" s="9">
        <f>IF(INDEX(Banco!$E:$E,ROW())="","",INDEX(Banco!$E:$E,ROW()))</f>
        <v/>
      </c>
      <c r="F685" s="10">
        <f>IF(INDEX(Banco!$F:$F,ROW())="","",INDEX(Banco!$F:$F,ROW()))</f>
        <v/>
      </c>
      <c r="G685" s="10">
        <f>IF(INDEX(Banco!$G:$G,ROW())="","",INDEX(Banco!$G:$G,ROW()))</f>
        <v/>
      </c>
      <c r="H685" s="8">
        <f>IF(INDEX(Banco!$H:$H,ROW())="","",INDEX(Banco!$H:$H,ROW()))</f>
        <v/>
      </c>
      <c r="I685">
        <f>IF($T685="","",INT($T685/12)&amp;"a "&amp;MOD($T685,12)&amp;"m")</f>
        <v/>
      </c>
      <c r="J685" s="11">
        <f>IF(OR($F685="",$G685=""),"",ROUND($F685/($G685/100)^2,2))</f>
        <v/>
      </c>
      <c r="K685" s="12">
        <f>IF(OR($S685="",$J685="",$T685="",$T685&lt;0,$T685&gt;228,$Y685=""),"—",ROUND(IF(ABS($AB685)&lt;=3,$AB685,IF($AB685&gt;3,3+($J685-$AD685)/($AD685-$AC685),-3+($J685-$AF685)/($AE685-$AF685))),2))</f>
        <v/>
      </c>
      <c r="L685">
        <f>IF(OR($K685="",$K685="—"),"",IF($T685&lt;=60,IF($K685&lt;-3,"Magreza acentuada",IF($K685&lt;-2,"Magreza",IF($K685&lt;=1,"Eutrofia",IF($K685&lt;=2,"Risco de sobrepeso",IF($K685&lt;=3,"Sobrepeso","Obesidade"))))),IF($K685&lt;-3,"Magreza acentuada",IF($K685&lt;-2,"Magreza",IF($K685&lt;=1,"Eutrofia",IF($K685&lt;=2,"Sobrepeso",IF($K685&lt;=3,"Obesidade","Obesidade grave")))))))</f>
        <v/>
      </c>
      <c r="M685" s="12">
        <f>IF(OR($S685="",$V685="",$T685="",$T685&lt;0,$T685&gt;228,$AG685=""),"—",ROUND(IF($AG685=0,LN($V685/$AH685)/$AI685,((($V685/$AH685)^$AG685)-1)/($AG685*$AI685)),2))</f>
        <v/>
      </c>
      <c r="N685">
        <f>IF(OR($M685="",$M685="—"),"",IF($M685&lt;-3,"Muito baixa",IF($M685&lt;-2,"Baixa","Adequada")))</f>
        <v/>
      </c>
      <c r="O685" s="12">
        <f>IF(OR($S685="",$F685="",$T685="",$T685&lt;0,$T685&gt;120,$AJ685=""),"—",ROUND(IF(ABS($AM685)&lt;=3,$AM685,IF($AM685&gt;3,3+($F685-$AO685)/($AO685-$AN685),-3+($F685-$AQ685)/($AP685-$AQ685))),2))</f>
        <v/>
      </c>
      <c r="P685">
        <f>IF(OR($O685="",$O685="—"),"",IF($O685&lt;-3,"Muito baixo",IF($O685&lt;-2,"Baixo",IF($O685&lt;=2,"Adequado","Elevado"))))</f>
        <v/>
      </c>
      <c r="Q685" s="12">
        <f>IF(OR($S685="",$F685="",$T685="",$T685&lt;0,$T685&gt;60,$AR685=""),"—",ROUND(IF(ABS($AU685)&lt;=3,$AU685,IF($AU685&gt;3,3+($F685-$AW685)/($AW685-$AV685),-3+($F685-$AY685)/($AX685-$AY685))),2))</f>
        <v/>
      </c>
      <c r="R685">
        <f>IF(OR($Q685="",$Q685="—"),"",IF($Q685&lt;-3,"Magreza acentuada",IF($Q685&lt;-2,"Magreza",IF($Q685&lt;=1,"Eutrofia",IF($Q685&lt;=2,"Risco de sobrepeso",IF($Q685&lt;=3,"Sobrepeso","Obesidade"))))))</f>
        <v/>
      </c>
      <c r="S685">
        <f>IF($C685="","",IF(UPPER(LEFT($C685,1))="M",1,IF(UPPER(LEFT($C685,1))="F",2,"")))</f>
        <v/>
      </c>
      <c r="T685">
        <f>IF(OR($D685="",$E685=""),"",DATEDIF($D685,$E685,"m"))</f>
        <v/>
      </c>
      <c r="U685">
        <f>IF(OR($D685="",$E685=""),"",$E685-$D685)</f>
        <v/>
      </c>
      <c r="V685">
        <f>IF(OR($G685="",$T685=""),"",IF($T685&lt;24,IF(LEFT(LOWER($H685),4)="em p",$G685+0.7,$G685),IF(LEFT(LOWER($H685),4)="deit",$G685-0.7,$G685)))</f>
        <v/>
      </c>
      <c r="W685">
        <f>IF(OR($S685="",$T685=""),"",$S685*1000000+IF($T685&lt;=60,$U685,$T685))</f>
        <v/>
      </c>
      <c r="X685">
        <f>IF(OR($S685="",$V685="",$T685&gt;60,$T685=""),"",$S685*1000000+ROUND($V685*10,0))</f>
        <v/>
      </c>
      <c r="Y685">
        <f>IF($W685="","",IFERROR(INDEX(IF($T685&lt;=60,imc05_l,imc519_l),MATCH($W685,IF($T685&lt;=60,imc05_k,imc519_k),1)),""))</f>
        <v/>
      </c>
      <c r="Z685">
        <f>IF($W685="","",IFERROR(INDEX(IF($T685&lt;=60,imc05_m,imc519_m),MATCH($W685,IF($T685&lt;=60,imc05_k,imc519_k),1)),""))</f>
        <v/>
      </c>
      <c r="AA685">
        <f>IF($W685="","",IFERROR(INDEX(IF($T685&lt;=60,imc05_s,imc519_s),MATCH($W685,IF($T685&lt;=60,imc05_k,imc519_k),1)),""))</f>
        <v/>
      </c>
      <c r="AB685">
        <f>IF($Y685="","",IF($Y685=0,LN($J685/$Z685)/$AA685,((($J685/$Z685)^$Y685)-1)/($Y685*$AA685)))</f>
        <v/>
      </c>
      <c r="AC685">
        <f>IF($Y685="","",IF($Y685=0,$Z685*EXP($AA685*2),$Z685*(1+$Y685*$AA685*2)^(1/$Y685)))</f>
        <v/>
      </c>
      <c r="AD685">
        <f>IF($Y685="","",IF($Y685=0,$Z685*EXP($AA685*3),$Z685*(1+$Y685*$AA685*3)^(1/$Y685)))</f>
        <v/>
      </c>
      <c r="AE685">
        <f>IF($Y685="","",IF($Y685=0,$Z685*EXP($AA685*-2),$Z685*(1+$Y685*$AA685*-2)^(1/$Y685)))</f>
        <v/>
      </c>
      <c r="AF685">
        <f>IF($Y685="","",IF($Y685=0,$Z685*EXP($AA685*-3),$Z685*(1+$Y685*$AA685*-3)^(1/$Y685)))</f>
        <v/>
      </c>
      <c r="AG685">
        <f>IF($W685="","",IFERROR(INDEX(IF($T685&lt;=60,est05_l,est519_l),MATCH($W685,IF($T685&lt;=60,est05_k,est519_k),1)),""))</f>
        <v/>
      </c>
      <c r="AH685">
        <f>IF($W685="","",IFERROR(INDEX(IF($T685&lt;=60,est05_m,est519_m),MATCH($W685,IF($T685&lt;=60,est05_k,est519_k),1)),""))</f>
        <v/>
      </c>
      <c r="AI685">
        <f>IF($W685="","",IFERROR(INDEX(IF($T685&lt;=60,est05_s,est519_s),MATCH($W685,IF($T685&lt;=60,est05_k,est519_k),1)),""))</f>
        <v/>
      </c>
      <c r="AJ685">
        <f>IF($W685="","",IFERROR(INDEX(IF($T685&lt;=60,peso05_l,peso510_l),MATCH($W685,IF($T685&lt;=60,peso05_k,peso510_k),1)),""))</f>
        <v/>
      </c>
      <c r="AK685">
        <f>IF($W685="","",IFERROR(INDEX(IF($T685&lt;=60,peso05_m,peso510_m),MATCH($W685,IF($T685&lt;=60,peso05_k,peso510_k),1)),""))</f>
        <v/>
      </c>
      <c r="AL685">
        <f>IF($W685="","",IFERROR(INDEX(IF($T685&lt;=60,peso05_s,peso510_s),MATCH($W685,IF($T685&lt;=60,peso05_k,peso510_k),1)),""))</f>
        <v/>
      </c>
      <c r="AM685">
        <f>IF($AJ685="","",IF($AJ685=0,LN($F685/$AK685)/$AL685,((($F685/$AK685)^$AJ685)-1)/($AJ685*$AL685)))</f>
        <v/>
      </c>
      <c r="AN685">
        <f>IF($AJ685="","",IF($AJ685=0,$AK685*EXP($AL685*2),$AK685*(1+$AJ685*$AL685*2)^(1/$AJ685)))</f>
        <v/>
      </c>
      <c r="AO685">
        <f>IF($AJ685="","",IF($AJ685=0,$AK685*EXP($AL685*3),$AK685*(1+$AJ685*$AL685*3)^(1/$AJ685)))</f>
        <v/>
      </c>
      <c r="AP685">
        <f>IF($AJ685="","",IF($AJ685=0,$AK685*EXP($AL685*-2),$AK685*(1+$AJ685*$AL685*-2)^(1/$AJ685)))</f>
        <v/>
      </c>
      <c r="AQ685">
        <f>IF($AJ685="","",IF($AJ685=0,$AK685*EXP($AL685*-3),$AK685*(1+$AJ685*$AL685*-3)^(1/$AJ685)))</f>
        <v/>
      </c>
      <c r="AR685">
        <f>IF(OR($X685="",$T685&gt;60),"",IFERROR(INDEX(IF($T685&lt;24,pcomp_l,palt_l),MATCH($X685,IF($T685&lt;24,pcomp_k,palt_k),1)),""))</f>
        <v/>
      </c>
      <c r="AS685">
        <f>IF(OR($X685="",$T685&gt;60),"",IFERROR(INDEX(IF($T685&lt;24,pcomp_m,palt_m),MATCH($X685,IF($T685&lt;24,pcomp_k,palt_k),1)),""))</f>
        <v/>
      </c>
      <c r="AT685">
        <f>IF(OR($X685="",$T685&gt;60),"",IFERROR(INDEX(IF($T685&lt;24,pcomp_s,palt_s),MATCH($X685,IF($T685&lt;24,pcomp_k,palt_k),1)),""))</f>
        <v/>
      </c>
      <c r="AU685">
        <f>IF($AR685="","",IF($AR685=0,LN($F685/$AS685)/$AT685,((($F685/$AS685)^$AR685)-1)/($AR685*$AT685)))</f>
        <v/>
      </c>
      <c r="AV685">
        <f>IF($AR685="","",IF($AR685=0,$AS685*EXP($AT685*2),$AS685*(1+$AR685*$AT685*2)^(1/$AR685)))</f>
        <v/>
      </c>
      <c r="AW685">
        <f>IF($AR685="","",IF($AR685=0,$AS685*EXP($AT685*3),$AS685*(1+$AR685*$AT685*3)^(1/$AR685)))</f>
        <v/>
      </c>
      <c r="AX685">
        <f>IF($AR685="","",IF($AR685=0,$AS685*EXP($AT685*-2),$AS685*(1+$AR685*$AT685*-2)^(1/$AR685)))</f>
        <v/>
      </c>
      <c r="AY685">
        <f>IF($AR685="","",IF($AR685=0,$AS685*EXP($AT685*-3),$AS685*(1+$AR685*$AT685*-3)^(1/$AR685)))</f>
        <v/>
      </c>
      <c r="AZ685">
        <f>IF(OR($A685="",$A685&lt;&gt;Ficha!$C$4),"",COUNTIF($A$2:$A685,Ficha!$C$4))</f>
        <v/>
      </c>
    </row>
    <row r="686">
      <c r="A686" s="8">
        <f>IF(INDEX(Banco!$A:$A,ROW())="","",INDEX(Banco!$A:$A,ROW()))</f>
        <v/>
      </c>
      <c r="B686" s="8">
        <f>IF(INDEX(Banco!$B:$B,ROW())="","",INDEX(Banco!$B:$B,ROW()))</f>
        <v/>
      </c>
      <c r="C686" s="8">
        <f>IF(INDEX(Banco!$C:$C,ROW())="","",INDEX(Banco!$C:$C,ROW()))</f>
        <v/>
      </c>
      <c r="D686" s="9">
        <f>IF(INDEX(Banco!$D:$D,ROW())="","",INDEX(Banco!$D:$D,ROW()))</f>
        <v/>
      </c>
      <c r="E686" s="9">
        <f>IF(INDEX(Banco!$E:$E,ROW())="","",INDEX(Banco!$E:$E,ROW()))</f>
        <v/>
      </c>
      <c r="F686" s="10">
        <f>IF(INDEX(Banco!$F:$F,ROW())="","",INDEX(Banco!$F:$F,ROW()))</f>
        <v/>
      </c>
      <c r="G686" s="10">
        <f>IF(INDEX(Banco!$G:$G,ROW())="","",INDEX(Banco!$G:$G,ROW()))</f>
        <v/>
      </c>
      <c r="H686" s="8">
        <f>IF(INDEX(Banco!$H:$H,ROW())="","",INDEX(Banco!$H:$H,ROW()))</f>
        <v/>
      </c>
      <c r="I686">
        <f>IF($T686="","",INT($T686/12)&amp;"a "&amp;MOD($T686,12)&amp;"m")</f>
        <v/>
      </c>
      <c r="J686" s="11">
        <f>IF(OR($F686="",$G686=""),"",ROUND($F686/($G686/100)^2,2))</f>
        <v/>
      </c>
      <c r="K686" s="12">
        <f>IF(OR($S686="",$J686="",$T686="",$T686&lt;0,$T686&gt;228,$Y686=""),"—",ROUND(IF(ABS($AB686)&lt;=3,$AB686,IF($AB686&gt;3,3+($J686-$AD686)/($AD686-$AC686),-3+($J686-$AF686)/($AE686-$AF686))),2))</f>
        <v/>
      </c>
      <c r="L686">
        <f>IF(OR($K686="",$K686="—"),"",IF($T686&lt;=60,IF($K686&lt;-3,"Magreza acentuada",IF($K686&lt;-2,"Magreza",IF($K686&lt;=1,"Eutrofia",IF($K686&lt;=2,"Risco de sobrepeso",IF($K686&lt;=3,"Sobrepeso","Obesidade"))))),IF($K686&lt;-3,"Magreza acentuada",IF($K686&lt;-2,"Magreza",IF($K686&lt;=1,"Eutrofia",IF($K686&lt;=2,"Sobrepeso",IF($K686&lt;=3,"Obesidade","Obesidade grave")))))))</f>
        <v/>
      </c>
      <c r="M686" s="12">
        <f>IF(OR($S686="",$V686="",$T686="",$T686&lt;0,$T686&gt;228,$AG686=""),"—",ROUND(IF($AG686=0,LN($V686/$AH686)/$AI686,((($V686/$AH686)^$AG686)-1)/($AG686*$AI686)),2))</f>
        <v/>
      </c>
      <c r="N686">
        <f>IF(OR($M686="",$M686="—"),"",IF($M686&lt;-3,"Muito baixa",IF($M686&lt;-2,"Baixa","Adequada")))</f>
        <v/>
      </c>
      <c r="O686" s="12">
        <f>IF(OR($S686="",$F686="",$T686="",$T686&lt;0,$T686&gt;120,$AJ686=""),"—",ROUND(IF(ABS($AM686)&lt;=3,$AM686,IF($AM686&gt;3,3+($F686-$AO686)/($AO686-$AN686),-3+($F686-$AQ686)/($AP686-$AQ686))),2))</f>
        <v/>
      </c>
      <c r="P686">
        <f>IF(OR($O686="",$O686="—"),"",IF($O686&lt;-3,"Muito baixo",IF($O686&lt;-2,"Baixo",IF($O686&lt;=2,"Adequado","Elevado"))))</f>
        <v/>
      </c>
      <c r="Q686" s="12">
        <f>IF(OR($S686="",$F686="",$T686="",$T686&lt;0,$T686&gt;60,$AR686=""),"—",ROUND(IF(ABS($AU686)&lt;=3,$AU686,IF($AU686&gt;3,3+($F686-$AW686)/($AW686-$AV686),-3+($F686-$AY686)/($AX686-$AY686))),2))</f>
        <v/>
      </c>
      <c r="R686">
        <f>IF(OR($Q686="",$Q686="—"),"",IF($Q686&lt;-3,"Magreza acentuada",IF($Q686&lt;-2,"Magreza",IF($Q686&lt;=1,"Eutrofia",IF($Q686&lt;=2,"Risco de sobrepeso",IF($Q686&lt;=3,"Sobrepeso","Obesidade"))))))</f>
        <v/>
      </c>
      <c r="S686">
        <f>IF($C686="","",IF(UPPER(LEFT($C686,1))="M",1,IF(UPPER(LEFT($C686,1))="F",2,"")))</f>
        <v/>
      </c>
      <c r="T686">
        <f>IF(OR($D686="",$E686=""),"",DATEDIF($D686,$E686,"m"))</f>
        <v/>
      </c>
      <c r="U686">
        <f>IF(OR($D686="",$E686=""),"",$E686-$D686)</f>
        <v/>
      </c>
      <c r="V686">
        <f>IF(OR($G686="",$T686=""),"",IF($T686&lt;24,IF(LEFT(LOWER($H686),4)="em p",$G686+0.7,$G686),IF(LEFT(LOWER($H686),4)="deit",$G686-0.7,$G686)))</f>
        <v/>
      </c>
      <c r="W686">
        <f>IF(OR($S686="",$T686=""),"",$S686*1000000+IF($T686&lt;=60,$U686,$T686))</f>
        <v/>
      </c>
      <c r="X686">
        <f>IF(OR($S686="",$V686="",$T686&gt;60,$T686=""),"",$S686*1000000+ROUND($V686*10,0))</f>
        <v/>
      </c>
      <c r="Y686">
        <f>IF($W686="","",IFERROR(INDEX(IF($T686&lt;=60,imc05_l,imc519_l),MATCH($W686,IF($T686&lt;=60,imc05_k,imc519_k),1)),""))</f>
        <v/>
      </c>
      <c r="Z686">
        <f>IF($W686="","",IFERROR(INDEX(IF($T686&lt;=60,imc05_m,imc519_m),MATCH($W686,IF($T686&lt;=60,imc05_k,imc519_k),1)),""))</f>
        <v/>
      </c>
      <c r="AA686">
        <f>IF($W686="","",IFERROR(INDEX(IF($T686&lt;=60,imc05_s,imc519_s),MATCH($W686,IF($T686&lt;=60,imc05_k,imc519_k),1)),""))</f>
        <v/>
      </c>
      <c r="AB686">
        <f>IF($Y686="","",IF($Y686=0,LN($J686/$Z686)/$AA686,((($J686/$Z686)^$Y686)-1)/($Y686*$AA686)))</f>
        <v/>
      </c>
      <c r="AC686">
        <f>IF($Y686="","",IF($Y686=0,$Z686*EXP($AA686*2),$Z686*(1+$Y686*$AA686*2)^(1/$Y686)))</f>
        <v/>
      </c>
      <c r="AD686">
        <f>IF($Y686="","",IF($Y686=0,$Z686*EXP($AA686*3),$Z686*(1+$Y686*$AA686*3)^(1/$Y686)))</f>
        <v/>
      </c>
      <c r="AE686">
        <f>IF($Y686="","",IF($Y686=0,$Z686*EXP($AA686*-2),$Z686*(1+$Y686*$AA686*-2)^(1/$Y686)))</f>
        <v/>
      </c>
      <c r="AF686">
        <f>IF($Y686="","",IF($Y686=0,$Z686*EXP($AA686*-3),$Z686*(1+$Y686*$AA686*-3)^(1/$Y686)))</f>
        <v/>
      </c>
      <c r="AG686">
        <f>IF($W686="","",IFERROR(INDEX(IF($T686&lt;=60,est05_l,est519_l),MATCH($W686,IF($T686&lt;=60,est05_k,est519_k),1)),""))</f>
        <v/>
      </c>
      <c r="AH686">
        <f>IF($W686="","",IFERROR(INDEX(IF($T686&lt;=60,est05_m,est519_m),MATCH($W686,IF($T686&lt;=60,est05_k,est519_k),1)),""))</f>
        <v/>
      </c>
      <c r="AI686">
        <f>IF($W686="","",IFERROR(INDEX(IF($T686&lt;=60,est05_s,est519_s),MATCH($W686,IF($T686&lt;=60,est05_k,est519_k),1)),""))</f>
        <v/>
      </c>
      <c r="AJ686">
        <f>IF($W686="","",IFERROR(INDEX(IF($T686&lt;=60,peso05_l,peso510_l),MATCH($W686,IF($T686&lt;=60,peso05_k,peso510_k),1)),""))</f>
        <v/>
      </c>
      <c r="AK686">
        <f>IF($W686="","",IFERROR(INDEX(IF($T686&lt;=60,peso05_m,peso510_m),MATCH($W686,IF($T686&lt;=60,peso05_k,peso510_k),1)),""))</f>
        <v/>
      </c>
      <c r="AL686">
        <f>IF($W686="","",IFERROR(INDEX(IF($T686&lt;=60,peso05_s,peso510_s),MATCH($W686,IF($T686&lt;=60,peso05_k,peso510_k),1)),""))</f>
        <v/>
      </c>
      <c r="AM686">
        <f>IF($AJ686="","",IF($AJ686=0,LN($F686/$AK686)/$AL686,((($F686/$AK686)^$AJ686)-1)/($AJ686*$AL686)))</f>
        <v/>
      </c>
      <c r="AN686">
        <f>IF($AJ686="","",IF($AJ686=0,$AK686*EXP($AL686*2),$AK686*(1+$AJ686*$AL686*2)^(1/$AJ686)))</f>
        <v/>
      </c>
      <c r="AO686">
        <f>IF($AJ686="","",IF($AJ686=0,$AK686*EXP($AL686*3),$AK686*(1+$AJ686*$AL686*3)^(1/$AJ686)))</f>
        <v/>
      </c>
      <c r="AP686">
        <f>IF($AJ686="","",IF($AJ686=0,$AK686*EXP($AL686*-2),$AK686*(1+$AJ686*$AL686*-2)^(1/$AJ686)))</f>
        <v/>
      </c>
      <c r="AQ686">
        <f>IF($AJ686="","",IF($AJ686=0,$AK686*EXP($AL686*-3),$AK686*(1+$AJ686*$AL686*-3)^(1/$AJ686)))</f>
        <v/>
      </c>
      <c r="AR686">
        <f>IF(OR($X686="",$T686&gt;60),"",IFERROR(INDEX(IF($T686&lt;24,pcomp_l,palt_l),MATCH($X686,IF($T686&lt;24,pcomp_k,palt_k),1)),""))</f>
        <v/>
      </c>
      <c r="AS686">
        <f>IF(OR($X686="",$T686&gt;60),"",IFERROR(INDEX(IF($T686&lt;24,pcomp_m,palt_m),MATCH($X686,IF($T686&lt;24,pcomp_k,palt_k),1)),""))</f>
        <v/>
      </c>
      <c r="AT686">
        <f>IF(OR($X686="",$T686&gt;60),"",IFERROR(INDEX(IF($T686&lt;24,pcomp_s,palt_s),MATCH($X686,IF($T686&lt;24,pcomp_k,palt_k),1)),""))</f>
        <v/>
      </c>
      <c r="AU686">
        <f>IF($AR686="","",IF($AR686=0,LN($F686/$AS686)/$AT686,((($F686/$AS686)^$AR686)-1)/($AR686*$AT686)))</f>
        <v/>
      </c>
      <c r="AV686">
        <f>IF($AR686="","",IF($AR686=0,$AS686*EXP($AT686*2),$AS686*(1+$AR686*$AT686*2)^(1/$AR686)))</f>
        <v/>
      </c>
      <c r="AW686">
        <f>IF($AR686="","",IF($AR686=0,$AS686*EXP($AT686*3),$AS686*(1+$AR686*$AT686*3)^(1/$AR686)))</f>
        <v/>
      </c>
      <c r="AX686">
        <f>IF($AR686="","",IF($AR686=0,$AS686*EXP($AT686*-2),$AS686*(1+$AR686*$AT686*-2)^(1/$AR686)))</f>
        <v/>
      </c>
      <c r="AY686">
        <f>IF($AR686="","",IF($AR686=0,$AS686*EXP($AT686*-3),$AS686*(1+$AR686*$AT686*-3)^(1/$AR686)))</f>
        <v/>
      </c>
      <c r="AZ686">
        <f>IF(OR($A686="",$A686&lt;&gt;Ficha!$C$4),"",COUNTIF($A$2:$A686,Ficha!$C$4))</f>
        <v/>
      </c>
    </row>
    <row r="687">
      <c r="A687" s="8">
        <f>IF(INDEX(Banco!$A:$A,ROW())="","",INDEX(Banco!$A:$A,ROW()))</f>
        <v/>
      </c>
      <c r="B687" s="8">
        <f>IF(INDEX(Banco!$B:$B,ROW())="","",INDEX(Banco!$B:$B,ROW()))</f>
        <v/>
      </c>
      <c r="C687" s="8">
        <f>IF(INDEX(Banco!$C:$C,ROW())="","",INDEX(Banco!$C:$C,ROW()))</f>
        <v/>
      </c>
      <c r="D687" s="9">
        <f>IF(INDEX(Banco!$D:$D,ROW())="","",INDEX(Banco!$D:$D,ROW()))</f>
        <v/>
      </c>
      <c r="E687" s="9">
        <f>IF(INDEX(Banco!$E:$E,ROW())="","",INDEX(Banco!$E:$E,ROW()))</f>
        <v/>
      </c>
      <c r="F687" s="10">
        <f>IF(INDEX(Banco!$F:$F,ROW())="","",INDEX(Banco!$F:$F,ROW()))</f>
        <v/>
      </c>
      <c r="G687" s="10">
        <f>IF(INDEX(Banco!$G:$G,ROW())="","",INDEX(Banco!$G:$G,ROW()))</f>
        <v/>
      </c>
      <c r="H687" s="8">
        <f>IF(INDEX(Banco!$H:$H,ROW())="","",INDEX(Banco!$H:$H,ROW()))</f>
        <v/>
      </c>
      <c r="I687">
        <f>IF($T687="","",INT($T687/12)&amp;"a "&amp;MOD($T687,12)&amp;"m")</f>
        <v/>
      </c>
      <c r="J687" s="11">
        <f>IF(OR($F687="",$G687=""),"",ROUND($F687/($G687/100)^2,2))</f>
        <v/>
      </c>
      <c r="K687" s="12">
        <f>IF(OR($S687="",$J687="",$T687="",$T687&lt;0,$T687&gt;228,$Y687=""),"—",ROUND(IF(ABS($AB687)&lt;=3,$AB687,IF($AB687&gt;3,3+($J687-$AD687)/($AD687-$AC687),-3+($J687-$AF687)/($AE687-$AF687))),2))</f>
        <v/>
      </c>
      <c r="L687">
        <f>IF(OR($K687="",$K687="—"),"",IF($T687&lt;=60,IF($K687&lt;-3,"Magreza acentuada",IF($K687&lt;-2,"Magreza",IF($K687&lt;=1,"Eutrofia",IF($K687&lt;=2,"Risco de sobrepeso",IF($K687&lt;=3,"Sobrepeso","Obesidade"))))),IF($K687&lt;-3,"Magreza acentuada",IF($K687&lt;-2,"Magreza",IF($K687&lt;=1,"Eutrofia",IF($K687&lt;=2,"Sobrepeso",IF($K687&lt;=3,"Obesidade","Obesidade grave")))))))</f>
        <v/>
      </c>
      <c r="M687" s="12">
        <f>IF(OR($S687="",$V687="",$T687="",$T687&lt;0,$T687&gt;228,$AG687=""),"—",ROUND(IF($AG687=0,LN($V687/$AH687)/$AI687,((($V687/$AH687)^$AG687)-1)/($AG687*$AI687)),2))</f>
        <v/>
      </c>
      <c r="N687">
        <f>IF(OR($M687="",$M687="—"),"",IF($M687&lt;-3,"Muito baixa",IF($M687&lt;-2,"Baixa","Adequada")))</f>
        <v/>
      </c>
      <c r="O687" s="12">
        <f>IF(OR($S687="",$F687="",$T687="",$T687&lt;0,$T687&gt;120,$AJ687=""),"—",ROUND(IF(ABS($AM687)&lt;=3,$AM687,IF($AM687&gt;3,3+($F687-$AO687)/($AO687-$AN687),-3+($F687-$AQ687)/($AP687-$AQ687))),2))</f>
        <v/>
      </c>
      <c r="P687">
        <f>IF(OR($O687="",$O687="—"),"",IF($O687&lt;-3,"Muito baixo",IF($O687&lt;-2,"Baixo",IF($O687&lt;=2,"Adequado","Elevado"))))</f>
        <v/>
      </c>
      <c r="Q687" s="12">
        <f>IF(OR($S687="",$F687="",$T687="",$T687&lt;0,$T687&gt;60,$AR687=""),"—",ROUND(IF(ABS($AU687)&lt;=3,$AU687,IF($AU687&gt;3,3+($F687-$AW687)/($AW687-$AV687),-3+($F687-$AY687)/($AX687-$AY687))),2))</f>
        <v/>
      </c>
      <c r="R687">
        <f>IF(OR($Q687="",$Q687="—"),"",IF($Q687&lt;-3,"Magreza acentuada",IF($Q687&lt;-2,"Magreza",IF($Q687&lt;=1,"Eutrofia",IF($Q687&lt;=2,"Risco de sobrepeso",IF($Q687&lt;=3,"Sobrepeso","Obesidade"))))))</f>
        <v/>
      </c>
      <c r="S687">
        <f>IF($C687="","",IF(UPPER(LEFT($C687,1))="M",1,IF(UPPER(LEFT($C687,1))="F",2,"")))</f>
        <v/>
      </c>
      <c r="T687">
        <f>IF(OR($D687="",$E687=""),"",DATEDIF($D687,$E687,"m"))</f>
        <v/>
      </c>
      <c r="U687">
        <f>IF(OR($D687="",$E687=""),"",$E687-$D687)</f>
        <v/>
      </c>
      <c r="V687">
        <f>IF(OR($G687="",$T687=""),"",IF($T687&lt;24,IF(LEFT(LOWER($H687),4)="em p",$G687+0.7,$G687),IF(LEFT(LOWER($H687),4)="deit",$G687-0.7,$G687)))</f>
        <v/>
      </c>
      <c r="W687">
        <f>IF(OR($S687="",$T687=""),"",$S687*1000000+IF($T687&lt;=60,$U687,$T687))</f>
        <v/>
      </c>
      <c r="X687">
        <f>IF(OR($S687="",$V687="",$T687&gt;60,$T687=""),"",$S687*1000000+ROUND($V687*10,0))</f>
        <v/>
      </c>
      <c r="Y687">
        <f>IF($W687="","",IFERROR(INDEX(IF($T687&lt;=60,imc05_l,imc519_l),MATCH($W687,IF($T687&lt;=60,imc05_k,imc519_k),1)),""))</f>
        <v/>
      </c>
      <c r="Z687">
        <f>IF($W687="","",IFERROR(INDEX(IF($T687&lt;=60,imc05_m,imc519_m),MATCH($W687,IF($T687&lt;=60,imc05_k,imc519_k),1)),""))</f>
        <v/>
      </c>
      <c r="AA687">
        <f>IF($W687="","",IFERROR(INDEX(IF($T687&lt;=60,imc05_s,imc519_s),MATCH($W687,IF($T687&lt;=60,imc05_k,imc519_k),1)),""))</f>
        <v/>
      </c>
      <c r="AB687">
        <f>IF($Y687="","",IF($Y687=0,LN($J687/$Z687)/$AA687,((($J687/$Z687)^$Y687)-1)/($Y687*$AA687)))</f>
        <v/>
      </c>
      <c r="AC687">
        <f>IF($Y687="","",IF($Y687=0,$Z687*EXP($AA687*2),$Z687*(1+$Y687*$AA687*2)^(1/$Y687)))</f>
        <v/>
      </c>
      <c r="AD687">
        <f>IF($Y687="","",IF($Y687=0,$Z687*EXP($AA687*3),$Z687*(1+$Y687*$AA687*3)^(1/$Y687)))</f>
        <v/>
      </c>
      <c r="AE687">
        <f>IF($Y687="","",IF($Y687=0,$Z687*EXP($AA687*-2),$Z687*(1+$Y687*$AA687*-2)^(1/$Y687)))</f>
        <v/>
      </c>
      <c r="AF687">
        <f>IF($Y687="","",IF($Y687=0,$Z687*EXP($AA687*-3),$Z687*(1+$Y687*$AA687*-3)^(1/$Y687)))</f>
        <v/>
      </c>
      <c r="AG687">
        <f>IF($W687="","",IFERROR(INDEX(IF($T687&lt;=60,est05_l,est519_l),MATCH($W687,IF($T687&lt;=60,est05_k,est519_k),1)),""))</f>
        <v/>
      </c>
      <c r="AH687">
        <f>IF($W687="","",IFERROR(INDEX(IF($T687&lt;=60,est05_m,est519_m),MATCH($W687,IF($T687&lt;=60,est05_k,est519_k),1)),""))</f>
        <v/>
      </c>
      <c r="AI687">
        <f>IF($W687="","",IFERROR(INDEX(IF($T687&lt;=60,est05_s,est519_s),MATCH($W687,IF($T687&lt;=60,est05_k,est519_k),1)),""))</f>
        <v/>
      </c>
      <c r="AJ687">
        <f>IF($W687="","",IFERROR(INDEX(IF($T687&lt;=60,peso05_l,peso510_l),MATCH($W687,IF($T687&lt;=60,peso05_k,peso510_k),1)),""))</f>
        <v/>
      </c>
      <c r="AK687">
        <f>IF($W687="","",IFERROR(INDEX(IF($T687&lt;=60,peso05_m,peso510_m),MATCH($W687,IF($T687&lt;=60,peso05_k,peso510_k),1)),""))</f>
        <v/>
      </c>
      <c r="AL687">
        <f>IF($W687="","",IFERROR(INDEX(IF($T687&lt;=60,peso05_s,peso510_s),MATCH($W687,IF($T687&lt;=60,peso05_k,peso510_k),1)),""))</f>
        <v/>
      </c>
      <c r="AM687">
        <f>IF($AJ687="","",IF($AJ687=0,LN($F687/$AK687)/$AL687,((($F687/$AK687)^$AJ687)-1)/($AJ687*$AL687)))</f>
        <v/>
      </c>
      <c r="AN687">
        <f>IF($AJ687="","",IF($AJ687=0,$AK687*EXP($AL687*2),$AK687*(1+$AJ687*$AL687*2)^(1/$AJ687)))</f>
        <v/>
      </c>
      <c r="AO687">
        <f>IF($AJ687="","",IF($AJ687=0,$AK687*EXP($AL687*3),$AK687*(1+$AJ687*$AL687*3)^(1/$AJ687)))</f>
        <v/>
      </c>
      <c r="AP687">
        <f>IF($AJ687="","",IF($AJ687=0,$AK687*EXP($AL687*-2),$AK687*(1+$AJ687*$AL687*-2)^(1/$AJ687)))</f>
        <v/>
      </c>
      <c r="AQ687">
        <f>IF($AJ687="","",IF($AJ687=0,$AK687*EXP($AL687*-3),$AK687*(1+$AJ687*$AL687*-3)^(1/$AJ687)))</f>
        <v/>
      </c>
      <c r="AR687">
        <f>IF(OR($X687="",$T687&gt;60),"",IFERROR(INDEX(IF($T687&lt;24,pcomp_l,palt_l),MATCH($X687,IF($T687&lt;24,pcomp_k,palt_k),1)),""))</f>
        <v/>
      </c>
      <c r="AS687">
        <f>IF(OR($X687="",$T687&gt;60),"",IFERROR(INDEX(IF($T687&lt;24,pcomp_m,palt_m),MATCH($X687,IF($T687&lt;24,pcomp_k,palt_k),1)),""))</f>
        <v/>
      </c>
      <c r="AT687">
        <f>IF(OR($X687="",$T687&gt;60),"",IFERROR(INDEX(IF($T687&lt;24,pcomp_s,palt_s),MATCH($X687,IF($T687&lt;24,pcomp_k,palt_k),1)),""))</f>
        <v/>
      </c>
      <c r="AU687">
        <f>IF($AR687="","",IF($AR687=0,LN($F687/$AS687)/$AT687,((($F687/$AS687)^$AR687)-1)/($AR687*$AT687)))</f>
        <v/>
      </c>
      <c r="AV687">
        <f>IF($AR687="","",IF($AR687=0,$AS687*EXP($AT687*2),$AS687*(1+$AR687*$AT687*2)^(1/$AR687)))</f>
        <v/>
      </c>
      <c r="AW687">
        <f>IF($AR687="","",IF($AR687=0,$AS687*EXP($AT687*3),$AS687*(1+$AR687*$AT687*3)^(1/$AR687)))</f>
        <v/>
      </c>
      <c r="AX687">
        <f>IF($AR687="","",IF($AR687=0,$AS687*EXP($AT687*-2),$AS687*(1+$AR687*$AT687*-2)^(1/$AR687)))</f>
        <v/>
      </c>
      <c r="AY687">
        <f>IF($AR687="","",IF($AR687=0,$AS687*EXP($AT687*-3),$AS687*(1+$AR687*$AT687*-3)^(1/$AR687)))</f>
        <v/>
      </c>
      <c r="AZ687">
        <f>IF(OR($A687="",$A687&lt;&gt;Ficha!$C$4),"",COUNTIF($A$2:$A687,Ficha!$C$4))</f>
        <v/>
      </c>
    </row>
    <row r="688">
      <c r="A688" s="8">
        <f>IF(INDEX(Banco!$A:$A,ROW())="","",INDEX(Banco!$A:$A,ROW()))</f>
        <v/>
      </c>
      <c r="B688" s="8">
        <f>IF(INDEX(Banco!$B:$B,ROW())="","",INDEX(Banco!$B:$B,ROW()))</f>
        <v/>
      </c>
      <c r="C688" s="8">
        <f>IF(INDEX(Banco!$C:$C,ROW())="","",INDEX(Banco!$C:$C,ROW()))</f>
        <v/>
      </c>
      <c r="D688" s="9">
        <f>IF(INDEX(Banco!$D:$D,ROW())="","",INDEX(Banco!$D:$D,ROW()))</f>
        <v/>
      </c>
      <c r="E688" s="9">
        <f>IF(INDEX(Banco!$E:$E,ROW())="","",INDEX(Banco!$E:$E,ROW()))</f>
        <v/>
      </c>
      <c r="F688" s="10">
        <f>IF(INDEX(Banco!$F:$F,ROW())="","",INDEX(Banco!$F:$F,ROW()))</f>
        <v/>
      </c>
      <c r="G688" s="10">
        <f>IF(INDEX(Banco!$G:$G,ROW())="","",INDEX(Banco!$G:$G,ROW()))</f>
        <v/>
      </c>
      <c r="H688" s="8">
        <f>IF(INDEX(Banco!$H:$H,ROW())="","",INDEX(Banco!$H:$H,ROW()))</f>
        <v/>
      </c>
      <c r="I688">
        <f>IF($T688="","",INT($T688/12)&amp;"a "&amp;MOD($T688,12)&amp;"m")</f>
        <v/>
      </c>
      <c r="J688" s="11">
        <f>IF(OR($F688="",$G688=""),"",ROUND($F688/($G688/100)^2,2))</f>
        <v/>
      </c>
      <c r="K688" s="12">
        <f>IF(OR($S688="",$J688="",$T688="",$T688&lt;0,$T688&gt;228,$Y688=""),"—",ROUND(IF(ABS($AB688)&lt;=3,$AB688,IF($AB688&gt;3,3+($J688-$AD688)/($AD688-$AC688),-3+($J688-$AF688)/($AE688-$AF688))),2))</f>
        <v/>
      </c>
      <c r="L688">
        <f>IF(OR($K688="",$K688="—"),"",IF($T688&lt;=60,IF($K688&lt;-3,"Magreza acentuada",IF($K688&lt;-2,"Magreza",IF($K688&lt;=1,"Eutrofia",IF($K688&lt;=2,"Risco de sobrepeso",IF($K688&lt;=3,"Sobrepeso","Obesidade"))))),IF($K688&lt;-3,"Magreza acentuada",IF($K688&lt;-2,"Magreza",IF($K688&lt;=1,"Eutrofia",IF($K688&lt;=2,"Sobrepeso",IF($K688&lt;=3,"Obesidade","Obesidade grave")))))))</f>
        <v/>
      </c>
      <c r="M688" s="12">
        <f>IF(OR($S688="",$V688="",$T688="",$T688&lt;0,$T688&gt;228,$AG688=""),"—",ROUND(IF($AG688=0,LN($V688/$AH688)/$AI688,((($V688/$AH688)^$AG688)-1)/($AG688*$AI688)),2))</f>
        <v/>
      </c>
      <c r="N688">
        <f>IF(OR($M688="",$M688="—"),"",IF($M688&lt;-3,"Muito baixa",IF($M688&lt;-2,"Baixa","Adequada")))</f>
        <v/>
      </c>
      <c r="O688" s="12">
        <f>IF(OR($S688="",$F688="",$T688="",$T688&lt;0,$T688&gt;120,$AJ688=""),"—",ROUND(IF(ABS($AM688)&lt;=3,$AM688,IF($AM688&gt;3,3+($F688-$AO688)/($AO688-$AN688),-3+($F688-$AQ688)/($AP688-$AQ688))),2))</f>
        <v/>
      </c>
      <c r="P688">
        <f>IF(OR($O688="",$O688="—"),"",IF($O688&lt;-3,"Muito baixo",IF($O688&lt;-2,"Baixo",IF($O688&lt;=2,"Adequado","Elevado"))))</f>
        <v/>
      </c>
      <c r="Q688" s="12">
        <f>IF(OR($S688="",$F688="",$T688="",$T688&lt;0,$T688&gt;60,$AR688=""),"—",ROUND(IF(ABS($AU688)&lt;=3,$AU688,IF($AU688&gt;3,3+($F688-$AW688)/($AW688-$AV688),-3+($F688-$AY688)/($AX688-$AY688))),2))</f>
        <v/>
      </c>
      <c r="R688">
        <f>IF(OR($Q688="",$Q688="—"),"",IF($Q688&lt;-3,"Magreza acentuada",IF($Q688&lt;-2,"Magreza",IF($Q688&lt;=1,"Eutrofia",IF($Q688&lt;=2,"Risco de sobrepeso",IF($Q688&lt;=3,"Sobrepeso","Obesidade"))))))</f>
        <v/>
      </c>
      <c r="S688">
        <f>IF($C688="","",IF(UPPER(LEFT($C688,1))="M",1,IF(UPPER(LEFT($C688,1))="F",2,"")))</f>
        <v/>
      </c>
      <c r="T688">
        <f>IF(OR($D688="",$E688=""),"",DATEDIF($D688,$E688,"m"))</f>
        <v/>
      </c>
      <c r="U688">
        <f>IF(OR($D688="",$E688=""),"",$E688-$D688)</f>
        <v/>
      </c>
      <c r="V688">
        <f>IF(OR($G688="",$T688=""),"",IF($T688&lt;24,IF(LEFT(LOWER($H688),4)="em p",$G688+0.7,$G688),IF(LEFT(LOWER($H688),4)="deit",$G688-0.7,$G688)))</f>
        <v/>
      </c>
      <c r="W688">
        <f>IF(OR($S688="",$T688=""),"",$S688*1000000+IF($T688&lt;=60,$U688,$T688))</f>
        <v/>
      </c>
      <c r="X688">
        <f>IF(OR($S688="",$V688="",$T688&gt;60,$T688=""),"",$S688*1000000+ROUND($V688*10,0))</f>
        <v/>
      </c>
      <c r="Y688">
        <f>IF($W688="","",IFERROR(INDEX(IF($T688&lt;=60,imc05_l,imc519_l),MATCH($W688,IF($T688&lt;=60,imc05_k,imc519_k),1)),""))</f>
        <v/>
      </c>
      <c r="Z688">
        <f>IF($W688="","",IFERROR(INDEX(IF($T688&lt;=60,imc05_m,imc519_m),MATCH($W688,IF($T688&lt;=60,imc05_k,imc519_k),1)),""))</f>
        <v/>
      </c>
      <c r="AA688">
        <f>IF($W688="","",IFERROR(INDEX(IF($T688&lt;=60,imc05_s,imc519_s),MATCH($W688,IF($T688&lt;=60,imc05_k,imc519_k),1)),""))</f>
        <v/>
      </c>
      <c r="AB688">
        <f>IF($Y688="","",IF($Y688=0,LN($J688/$Z688)/$AA688,((($J688/$Z688)^$Y688)-1)/($Y688*$AA688)))</f>
        <v/>
      </c>
      <c r="AC688">
        <f>IF($Y688="","",IF($Y688=0,$Z688*EXP($AA688*2),$Z688*(1+$Y688*$AA688*2)^(1/$Y688)))</f>
        <v/>
      </c>
      <c r="AD688">
        <f>IF($Y688="","",IF($Y688=0,$Z688*EXP($AA688*3),$Z688*(1+$Y688*$AA688*3)^(1/$Y688)))</f>
        <v/>
      </c>
      <c r="AE688">
        <f>IF($Y688="","",IF($Y688=0,$Z688*EXP($AA688*-2),$Z688*(1+$Y688*$AA688*-2)^(1/$Y688)))</f>
        <v/>
      </c>
      <c r="AF688">
        <f>IF($Y688="","",IF($Y688=0,$Z688*EXP($AA688*-3),$Z688*(1+$Y688*$AA688*-3)^(1/$Y688)))</f>
        <v/>
      </c>
      <c r="AG688">
        <f>IF($W688="","",IFERROR(INDEX(IF($T688&lt;=60,est05_l,est519_l),MATCH($W688,IF($T688&lt;=60,est05_k,est519_k),1)),""))</f>
        <v/>
      </c>
      <c r="AH688">
        <f>IF($W688="","",IFERROR(INDEX(IF($T688&lt;=60,est05_m,est519_m),MATCH($W688,IF($T688&lt;=60,est05_k,est519_k),1)),""))</f>
        <v/>
      </c>
      <c r="AI688">
        <f>IF($W688="","",IFERROR(INDEX(IF($T688&lt;=60,est05_s,est519_s),MATCH($W688,IF($T688&lt;=60,est05_k,est519_k),1)),""))</f>
        <v/>
      </c>
      <c r="AJ688">
        <f>IF($W688="","",IFERROR(INDEX(IF($T688&lt;=60,peso05_l,peso510_l),MATCH($W688,IF($T688&lt;=60,peso05_k,peso510_k),1)),""))</f>
        <v/>
      </c>
      <c r="AK688">
        <f>IF($W688="","",IFERROR(INDEX(IF($T688&lt;=60,peso05_m,peso510_m),MATCH($W688,IF($T688&lt;=60,peso05_k,peso510_k),1)),""))</f>
        <v/>
      </c>
      <c r="AL688">
        <f>IF($W688="","",IFERROR(INDEX(IF($T688&lt;=60,peso05_s,peso510_s),MATCH($W688,IF($T688&lt;=60,peso05_k,peso510_k),1)),""))</f>
        <v/>
      </c>
      <c r="AM688">
        <f>IF($AJ688="","",IF($AJ688=0,LN($F688/$AK688)/$AL688,((($F688/$AK688)^$AJ688)-1)/($AJ688*$AL688)))</f>
        <v/>
      </c>
      <c r="AN688">
        <f>IF($AJ688="","",IF($AJ688=0,$AK688*EXP($AL688*2),$AK688*(1+$AJ688*$AL688*2)^(1/$AJ688)))</f>
        <v/>
      </c>
      <c r="AO688">
        <f>IF($AJ688="","",IF($AJ688=0,$AK688*EXP($AL688*3),$AK688*(1+$AJ688*$AL688*3)^(1/$AJ688)))</f>
        <v/>
      </c>
      <c r="AP688">
        <f>IF($AJ688="","",IF($AJ688=0,$AK688*EXP($AL688*-2),$AK688*(1+$AJ688*$AL688*-2)^(1/$AJ688)))</f>
        <v/>
      </c>
      <c r="AQ688">
        <f>IF($AJ688="","",IF($AJ688=0,$AK688*EXP($AL688*-3),$AK688*(1+$AJ688*$AL688*-3)^(1/$AJ688)))</f>
        <v/>
      </c>
      <c r="AR688">
        <f>IF(OR($X688="",$T688&gt;60),"",IFERROR(INDEX(IF($T688&lt;24,pcomp_l,palt_l),MATCH($X688,IF($T688&lt;24,pcomp_k,palt_k),1)),""))</f>
        <v/>
      </c>
      <c r="AS688">
        <f>IF(OR($X688="",$T688&gt;60),"",IFERROR(INDEX(IF($T688&lt;24,pcomp_m,palt_m),MATCH($X688,IF($T688&lt;24,pcomp_k,palt_k),1)),""))</f>
        <v/>
      </c>
      <c r="AT688">
        <f>IF(OR($X688="",$T688&gt;60),"",IFERROR(INDEX(IF($T688&lt;24,pcomp_s,palt_s),MATCH($X688,IF($T688&lt;24,pcomp_k,palt_k),1)),""))</f>
        <v/>
      </c>
      <c r="AU688">
        <f>IF($AR688="","",IF($AR688=0,LN($F688/$AS688)/$AT688,((($F688/$AS688)^$AR688)-1)/($AR688*$AT688)))</f>
        <v/>
      </c>
      <c r="AV688">
        <f>IF($AR688="","",IF($AR688=0,$AS688*EXP($AT688*2),$AS688*(1+$AR688*$AT688*2)^(1/$AR688)))</f>
        <v/>
      </c>
      <c r="AW688">
        <f>IF($AR688="","",IF($AR688=0,$AS688*EXP($AT688*3),$AS688*(1+$AR688*$AT688*3)^(1/$AR688)))</f>
        <v/>
      </c>
      <c r="AX688">
        <f>IF($AR688="","",IF($AR688=0,$AS688*EXP($AT688*-2),$AS688*(1+$AR688*$AT688*-2)^(1/$AR688)))</f>
        <v/>
      </c>
      <c r="AY688">
        <f>IF($AR688="","",IF($AR688=0,$AS688*EXP($AT688*-3),$AS688*(1+$AR688*$AT688*-3)^(1/$AR688)))</f>
        <v/>
      </c>
      <c r="AZ688">
        <f>IF(OR($A688="",$A688&lt;&gt;Ficha!$C$4),"",COUNTIF($A$2:$A688,Ficha!$C$4))</f>
        <v/>
      </c>
    </row>
    <row r="689">
      <c r="A689" s="8">
        <f>IF(INDEX(Banco!$A:$A,ROW())="","",INDEX(Banco!$A:$A,ROW()))</f>
        <v/>
      </c>
      <c r="B689" s="8">
        <f>IF(INDEX(Banco!$B:$B,ROW())="","",INDEX(Banco!$B:$B,ROW()))</f>
        <v/>
      </c>
      <c r="C689" s="8">
        <f>IF(INDEX(Banco!$C:$C,ROW())="","",INDEX(Banco!$C:$C,ROW()))</f>
        <v/>
      </c>
      <c r="D689" s="9">
        <f>IF(INDEX(Banco!$D:$D,ROW())="","",INDEX(Banco!$D:$D,ROW()))</f>
        <v/>
      </c>
      <c r="E689" s="9">
        <f>IF(INDEX(Banco!$E:$E,ROW())="","",INDEX(Banco!$E:$E,ROW()))</f>
        <v/>
      </c>
      <c r="F689" s="10">
        <f>IF(INDEX(Banco!$F:$F,ROW())="","",INDEX(Banco!$F:$F,ROW()))</f>
        <v/>
      </c>
      <c r="G689" s="10">
        <f>IF(INDEX(Banco!$G:$G,ROW())="","",INDEX(Banco!$G:$G,ROW()))</f>
        <v/>
      </c>
      <c r="H689" s="8">
        <f>IF(INDEX(Banco!$H:$H,ROW())="","",INDEX(Banco!$H:$H,ROW()))</f>
        <v/>
      </c>
      <c r="I689">
        <f>IF($T689="","",INT($T689/12)&amp;"a "&amp;MOD($T689,12)&amp;"m")</f>
        <v/>
      </c>
      <c r="J689" s="11">
        <f>IF(OR($F689="",$G689=""),"",ROUND($F689/($G689/100)^2,2))</f>
        <v/>
      </c>
      <c r="K689" s="12">
        <f>IF(OR($S689="",$J689="",$T689="",$T689&lt;0,$T689&gt;228,$Y689=""),"—",ROUND(IF(ABS($AB689)&lt;=3,$AB689,IF($AB689&gt;3,3+($J689-$AD689)/($AD689-$AC689),-3+($J689-$AF689)/($AE689-$AF689))),2))</f>
        <v/>
      </c>
      <c r="L689">
        <f>IF(OR($K689="",$K689="—"),"",IF($T689&lt;=60,IF($K689&lt;-3,"Magreza acentuada",IF($K689&lt;-2,"Magreza",IF($K689&lt;=1,"Eutrofia",IF($K689&lt;=2,"Risco de sobrepeso",IF($K689&lt;=3,"Sobrepeso","Obesidade"))))),IF($K689&lt;-3,"Magreza acentuada",IF($K689&lt;-2,"Magreza",IF($K689&lt;=1,"Eutrofia",IF($K689&lt;=2,"Sobrepeso",IF($K689&lt;=3,"Obesidade","Obesidade grave")))))))</f>
        <v/>
      </c>
      <c r="M689" s="12">
        <f>IF(OR($S689="",$V689="",$T689="",$T689&lt;0,$T689&gt;228,$AG689=""),"—",ROUND(IF($AG689=0,LN($V689/$AH689)/$AI689,((($V689/$AH689)^$AG689)-1)/($AG689*$AI689)),2))</f>
        <v/>
      </c>
      <c r="N689">
        <f>IF(OR($M689="",$M689="—"),"",IF($M689&lt;-3,"Muito baixa",IF($M689&lt;-2,"Baixa","Adequada")))</f>
        <v/>
      </c>
      <c r="O689" s="12">
        <f>IF(OR($S689="",$F689="",$T689="",$T689&lt;0,$T689&gt;120,$AJ689=""),"—",ROUND(IF(ABS($AM689)&lt;=3,$AM689,IF($AM689&gt;3,3+($F689-$AO689)/($AO689-$AN689),-3+($F689-$AQ689)/($AP689-$AQ689))),2))</f>
        <v/>
      </c>
      <c r="P689">
        <f>IF(OR($O689="",$O689="—"),"",IF($O689&lt;-3,"Muito baixo",IF($O689&lt;-2,"Baixo",IF($O689&lt;=2,"Adequado","Elevado"))))</f>
        <v/>
      </c>
      <c r="Q689" s="12">
        <f>IF(OR($S689="",$F689="",$T689="",$T689&lt;0,$T689&gt;60,$AR689=""),"—",ROUND(IF(ABS($AU689)&lt;=3,$AU689,IF($AU689&gt;3,3+($F689-$AW689)/($AW689-$AV689),-3+($F689-$AY689)/($AX689-$AY689))),2))</f>
        <v/>
      </c>
      <c r="R689">
        <f>IF(OR($Q689="",$Q689="—"),"",IF($Q689&lt;-3,"Magreza acentuada",IF($Q689&lt;-2,"Magreza",IF($Q689&lt;=1,"Eutrofia",IF($Q689&lt;=2,"Risco de sobrepeso",IF($Q689&lt;=3,"Sobrepeso","Obesidade"))))))</f>
        <v/>
      </c>
      <c r="S689">
        <f>IF($C689="","",IF(UPPER(LEFT($C689,1))="M",1,IF(UPPER(LEFT($C689,1))="F",2,"")))</f>
        <v/>
      </c>
      <c r="T689">
        <f>IF(OR($D689="",$E689=""),"",DATEDIF($D689,$E689,"m"))</f>
        <v/>
      </c>
      <c r="U689">
        <f>IF(OR($D689="",$E689=""),"",$E689-$D689)</f>
        <v/>
      </c>
      <c r="V689">
        <f>IF(OR($G689="",$T689=""),"",IF($T689&lt;24,IF(LEFT(LOWER($H689),4)="em p",$G689+0.7,$G689),IF(LEFT(LOWER($H689),4)="deit",$G689-0.7,$G689)))</f>
        <v/>
      </c>
      <c r="W689">
        <f>IF(OR($S689="",$T689=""),"",$S689*1000000+IF($T689&lt;=60,$U689,$T689))</f>
        <v/>
      </c>
      <c r="X689">
        <f>IF(OR($S689="",$V689="",$T689&gt;60,$T689=""),"",$S689*1000000+ROUND($V689*10,0))</f>
        <v/>
      </c>
      <c r="Y689">
        <f>IF($W689="","",IFERROR(INDEX(IF($T689&lt;=60,imc05_l,imc519_l),MATCH($W689,IF($T689&lt;=60,imc05_k,imc519_k),1)),""))</f>
        <v/>
      </c>
      <c r="Z689">
        <f>IF($W689="","",IFERROR(INDEX(IF($T689&lt;=60,imc05_m,imc519_m),MATCH($W689,IF($T689&lt;=60,imc05_k,imc519_k),1)),""))</f>
        <v/>
      </c>
      <c r="AA689">
        <f>IF($W689="","",IFERROR(INDEX(IF($T689&lt;=60,imc05_s,imc519_s),MATCH($W689,IF($T689&lt;=60,imc05_k,imc519_k),1)),""))</f>
        <v/>
      </c>
      <c r="AB689">
        <f>IF($Y689="","",IF($Y689=0,LN($J689/$Z689)/$AA689,((($J689/$Z689)^$Y689)-1)/($Y689*$AA689)))</f>
        <v/>
      </c>
      <c r="AC689">
        <f>IF($Y689="","",IF($Y689=0,$Z689*EXP($AA689*2),$Z689*(1+$Y689*$AA689*2)^(1/$Y689)))</f>
        <v/>
      </c>
      <c r="AD689">
        <f>IF($Y689="","",IF($Y689=0,$Z689*EXP($AA689*3),$Z689*(1+$Y689*$AA689*3)^(1/$Y689)))</f>
        <v/>
      </c>
      <c r="AE689">
        <f>IF($Y689="","",IF($Y689=0,$Z689*EXP($AA689*-2),$Z689*(1+$Y689*$AA689*-2)^(1/$Y689)))</f>
        <v/>
      </c>
      <c r="AF689">
        <f>IF($Y689="","",IF($Y689=0,$Z689*EXP($AA689*-3),$Z689*(1+$Y689*$AA689*-3)^(1/$Y689)))</f>
        <v/>
      </c>
      <c r="AG689">
        <f>IF($W689="","",IFERROR(INDEX(IF($T689&lt;=60,est05_l,est519_l),MATCH($W689,IF($T689&lt;=60,est05_k,est519_k),1)),""))</f>
        <v/>
      </c>
      <c r="AH689">
        <f>IF($W689="","",IFERROR(INDEX(IF($T689&lt;=60,est05_m,est519_m),MATCH($W689,IF($T689&lt;=60,est05_k,est519_k),1)),""))</f>
        <v/>
      </c>
      <c r="AI689">
        <f>IF($W689="","",IFERROR(INDEX(IF($T689&lt;=60,est05_s,est519_s),MATCH($W689,IF($T689&lt;=60,est05_k,est519_k),1)),""))</f>
        <v/>
      </c>
      <c r="AJ689">
        <f>IF($W689="","",IFERROR(INDEX(IF($T689&lt;=60,peso05_l,peso510_l),MATCH($W689,IF($T689&lt;=60,peso05_k,peso510_k),1)),""))</f>
        <v/>
      </c>
      <c r="AK689">
        <f>IF($W689="","",IFERROR(INDEX(IF($T689&lt;=60,peso05_m,peso510_m),MATCH($W689,IF($T689&lt;=60,peso05_k,peso510_k),1)),""))</f>
        <v/>
      </c>
      <c r="AL689">
        <f>IF($W689="","",IFERROR(INDEX(IF($T689&lt;=60,peso05_s,peso510_s),MATCH($W689,IF($T689&lt;=60,peso05_k,peso510_k),1)),""))</f>
        <v/>
      </c>
      <c r="AM689">
        <f>IF($AJ689="","",IF($AJ689=0,LN($F689/$AK689)/$AL689,((($F689/$AK689)^$AJ689)-1)/($AJ689*$AL689)))</f>
        <v/>
      </c>
      <c r="AN689">
        <f>IF($AJ689="","",IF($AJ689=0,$AK689*EXP($AL689*2),$AK689*(1+$AJ689*$AL689*2)^(1/$AJ689)))</f>
        <v/>
      </c>
      <c r="AO689">
        <f>IF($AJ689="","",IF($AJ689=0,$AK689*EXP($AL689*3),$AK689*(1+$AJ689*$AL689*3)^(1/$AJ689)))</f>
        <v/>
      </c>
      <c r="AP689">
        <f>IF($AJ689="","",IF($AJ689=0,$AK689*EXP($AL689*-2),$AK689*(1+$AJ689*$AL689*-2)^(1/$AJ689)))</f>
        <v/>
      </c>
      <c r="AQ689">
        <f>IF($AJ689="","",IF($AJ689=0,$AK689*EXP($AL689*-3),$AK689*(1+$AJ689*$AL689*-3)^(1/$AJ689)))</f>
        <v/>
      </c>
      <c r="AR689">
        <f>IF(OR($X689="",$T689&gt;60),"",IFERROR(INDEX(IF($T689&lt;24,pcomp_l,palt_l),MATCH($X689,IF($T689&lt;24,pcomp_k,palt_k),1)),""))</f>
        <v/>
      </c>
      <c r="AS689">
        <f>IF(OR($X689="",$T689&gt;60),"",IFERROR(INDEX(IF($T689&lt;24,pcomp_m,palt_m),MATCH($X689,IF($T689&lt;24,pcomp_k,palt_k),1)),""))</f>
        <v/>
      </c>
      <c r="AT689">
        <f>IF(OR($X689="",$T689&gt;60),"",IFERROR(INDEX(IF($T689&lt;24,pcomp_s,palt_s),MATCH($X689,IF($T689&lt;24,pcomp_k,palt_k),1)),""))</f>
        <v/>
      </c>
      <c r="AU689">
        <f>IF($AR689="","",IF($AR689=0,LN($F689/$AS689)/$AT689,((($F689/$AS689)^$AR689)-1)/($AR689*$AT689)))</f>
        <v/>
      </c>
      <c r="AV689">
        <f>IF($AR689="","",IF($AR689=0,$AS689*EXP($AT689*2),$AS689*(1+$AR689*$AT689*2)^(1/$AR689)))</f>
        <v/>
      </c>
      <c r="AW689">
        <f>IF($AR689="","",IF($AR689=0,$AS689*EXP($AT689*3),$AS689*(1+$AR689*$AT689*3)^(1/$AR689)))</f>
        <v/>
      </c>
      <c r="AX689">
        <f>IF($AR689="","",IF($AR689=0,$AS689*EXP($AT689*-2),$AS689*(1+$AR689*$AT689*-2)^(1/$AR689)))</f>
        <v/>
      </c>
      <c r="AY689">
        <f>IF($AR689="","",IF($AR689=0,$AS689*EXP($AT689*-3),$AS689*(1+$AR689*$AT689*-3)^(1/$AR689)))</f>
        <v/>
      </c>
      <c r="AZ689">
        <f>IF(OR($A689="",$A689&lt;&gt;Ficha!$C$4),"",COUNTIF($A$2:$A689,Ficha!$C$4))</f>
        <v/>
      </c>
    </row>
    <row r="690">
      <c r="A690" s="8">
        <f>IF(INDEX(Banco!$A:$A,ROW())="","",INDEX(Banco!$A:$A,ROW()))</f>
        <v/>
      </c>
      <c r="B690" s="8">
        <f>IF(INDEX(Banco!$B:$B,ROW())="","",INDEX(Banco!$B:$B,ROW()))</f>
        <v/>
      </c>
      <c r="C690" s="8">
        <f>IF(INDEX(Banco!$C:$C,ROW())="","",INDEX(Banco!$C:$C,ROW()))</f>
        <v/>
      </c>
      <c r="D690" s="9">
        <f>IF(INDEX(Banco!$D:$D,ROW())="","",INDEX(Banco!$D:$D,ROW()))</f>
        <v/>
      </c>
      <c r="E690" s="9">
        <f>IF(INDEX(Banco!$E:$E,ROW())="","",INDEX(Banco!$E:$E,ROW()))</f>
        <v/>
      </c>
      <c r="F690" s="10">
        <f>IF(INDEX(Banco!$F:$F,ROW())="","",INDEX(Banco!$F:$F,ROW()))</f>
        <v/>
      </c>
      <c r="G690" s="10">
        <f>IF(INDEX(Banco!$G:$G,ROW())="","",INDEX(Banco!$G:$G,ROW()))</f>
        <v/>
      </c>
      <c r="H690" s="8">
        <f>IF(INDEX(Banco!$H:$H,ROW())="","",INDEX(Banco!$H:$H,ROW()))</f>
        <v/>
      </c>
      <c r="I690">
        <f>IF($T690="","",INT($T690/12)&amp;"a "&amp;MOD($T690,12)&amp;"m")</f>
        <v/>
      </c>
      <c r="J690" s="11">
        <f>IF(OR($F690="",$G690=""),"",ROUND($F690/($G690/100)^2,2))</f>
        <v/>
      </c>
      <c r="K690" s="12">
        <f>IF(OR($S690="",$J690="",$T690="",$T690&lt;0,$T690&gt;228,$Y690=""),"—",ROUND(IF(ABS($AB690)&lt;=3,$AB690,IF($AB690&gt;3,3+($J690-$AD690)/($AD690-$AC690),-3+($J690-$AF690)/($AE690-$AF690))),2))</f>
        <v/>
      </c>
      <c r="L690">
        <f>IF(OR($K690="",$K690="—"),"",IF($T690&lt;=60,IF($K690&lt;-3,"Magreza acentuada",IF($K690&lt;-2,"Magreza",IF($K690&lt;=1,"Eutrofia",IF($K690&lt;=2,"Risco de sobrepeso",IF($K690&lt;=3,"Sobrepeso","Obesidade"))))),IF($K690&lt;-3,"Magreza acentuada",IF($K690&lt;-2,"Magreza",IF($K690&lt;=1,"Eutrofia",IF($K690&lt;=2,"Sobrepeso",IF($K690&lt;=3,"Obesidade","Obesidade grave")))))))</f>
        <v/>
      </c>
      <c r="M690" s="12">
        <f>IF(OR($S690="",$V690="",$T690="",$T690&lt;0,$T690&gt;228,$AG690=""),"—",ROUND(IF($AG690=0,LN($V690/$AH690)/$AI690,((($V690/$AH690)^$AG690)-1)/($AG690*$AI690)),2))</f>
        <v/>
      </c>
      <c r="N690">
        <f>IF(OR($M690="",$M690="—"),"",IF($M690&lt;-3,"Muito baixa",IF($M690&lt;-2,"Baixa","Adequada")))</f>
        <v/>
      </c>
      <c r="O690" s="12">
        <f>IF(OR($S690="",$F690="",$T690="",$T690&lt;0,$T690&gt;120,$AJ690=""),"—",ROUND(IF(ABS($AM690)&lt;=3,$AM690,IF($AM690&gt;3,3+($F690-$AO690)/($AO690-$AN690),-3+($F690-$AQ690)/($AP690-$AQ690))),2))</f>
        <v/>
      </c>
      <c r="P690">
        <f>IF(OR($O690="",$O690="—"),"",IF($O690&lt;-3,"Muito baixo",IF($O690&lt;-2,"Baixo",IF($O690&lt;=2,"Adequado","Elevado"))))</f>
        <v/>
      </c>
      <c r="Q690" s="12">
        <f>IF(OR($S690="",$F690="",$T690="",$T690&lt;0,$T690&gt;60,$AR690=""),"—",ROUND(IF(ABS($AU690)&lt;=3,$AU690,IF($AU690&gt;3,3+($F690-$AW690)/($AW690-$AV690),-3+($F690-$AY690)/($AX690-$AY690))),2))</f>
        <v/>
      </c>
      <c r="R690">
        <f>IF(OR($Q690="",$Q690="—"),"",IF($Q690&lt;-3,"Magreza acentuada",IF($Q690&lt;-2,"Magreza",IF($Q690&lt;=1,"Eutrofia",IF($Q690&lt;=2,"Risco de sobrepeso",IF($Q690&lt;=3,"Sobrepeso","Obesidade"))))))</f>
        <v/>
      </c>
      <c r="S690">
        <f>IF($C690="","",IF(UPPER(LEFT($C690,1))="M",1,IF(UPPER(LEFT($C690,1))="F",2,"")))</f>
        <v/>
      </c>
      <c r="T690">
        <f>IF(OR($D690="",$E690=""),"",DATEDIF($D690,$E690,"m"))</f>
        <v/>
      </c>
      <c r="U690">
        <f>IF(OR($D690="",$E690=""),"",$E690-$D690)</f>
        <v/>
      </c>
      <c r="V690">
        <f>IF(OR($G690="",$T690=""),"",IF($T690&lt;24,IF(LEFT(LOWER($H690),4)="em p",$G690+0.7,$G690),IF(LEFT(LOWER($H690),4)="deit",$G690-0.7,$G690)))</f>
        <v/>
      </c>
      <c r="W690">
        <f>IF(OR($S690="",$T690=""),"",$S690*1000000+IF($T690&lt;=60,$U690,$T690))</f>
        <v/>
      </c>
      <c r="X690">
        <f>IF(OR($S690="",$V690="",$T690&gt;60,$T690=""),"",$S690*1000000+ROUND($V690*10,0))</f>
        <v/>
      </c>
      <c r="Y690">
        <f>IF($W690="","",IFERROR(INDEX(IF($T690&lt;=60,imc05_l,imc519_l),MATCH($W690,IF($T690&lt;=60,imc05_k,imc519_k),1)),""))</f>
        <v/>
      </c>
      <c r="Z690">
        <f>IF($W690="","",IFERROR(INDEX(IF($T690&lt;=60,imc05_m,imc519_m),MATCH($W690,IF($T690&lt;=60,imc05_k,imc519_k),1)),""))</f>
        <v/>
      </c>
      <c r="AA690">
        <f>IF($W690="","",IFERROR(INDEX(IF($T690&lt;=60,imc05_s,imc519_s),MATCH($W690,IF($T690&lt;=60,imc05_k,imc519_k),1)),""))</f>
        <v/>
      </c>
      <c r="AB690">
        <f>IF($Y690="","",IF($Y690=0,LN($J690/$Z690)/$AA690,((($J690/$Z690)^$Y690)-1)/($Y690*$AA690)))</f>
        <v/>
      </c>
      <c r="AC690">
        <f>IF($Y690="","",IF($Y690=0,$Z690*EXP($AA690*2),$Z690*(1+$Y690*$AA690*2)^(1/$Y690)))</f>
        <v/>
      </c>
      <c r="AD690">
        <f>IF($Y690="","",IF($Y690=0,$Z690*EXP($AA690*3),$Z690*(1+$Y690*$AA690*3)^(1/$Y690)))</f>
        <v/>
      </c>
      <c r="AE690">
        <f>IF($Y690="","",IF($Y690=0,$Z690*EXP($AA690*-2),$Z690*(1+$Y690*$AA690*-2)^(1/$Y690)))</f>
        <v/>
      </c>
      <c r="AF690">
        <f>IF($Y690="","",IF($Y690=0,$Z690*EXP($AA690*-3),$Z690*(1+$Y690*$AA690*-3)^(1/$Y690)))</f>
        <v/>
      </c>
      <c r="AG690">
        <f>IF($W690="","",IFERROR(INDEX(IF($T690&lt;=60,est05_l,est519_l),MATCH($W690,IF($T690&lt;=60,est05_k,est519_k),1)),""))</f>
        <v/>
      </c>
      <c r="AH690">
        <f>IF($W690="","",IFERROR(INDEX(IF($T690&lt;=60,est05_m,est519_m),MATCH($W690,IF($T690&lt;=60,est05_k,est519_k),1)),""))</f>
        <v/>
      </c>
      <c r="AI690">
        <f>IF($W690="","",IFERROR(INDEX(IF($T690&lt;=60,est05_s,est519_s),MATCH($W690,IF($T690&lt;=60,est05_k,est519_k),1)),""))</f>
        <v/>
      </c>
      <c r="AJ690">
        <f>IF($W690="","",IFERROR(INDEX(IF($T690&lt;=60,peso05_l,peso510_l),MATCH($W690,IF($T690&lt;=60,peso05_k,peso510_k),1)),""))</f>
        <v/>
      </c>
      <c r="AK690">
        <f>IF($W690="","",IFERROR(INDEX(IF($T690&lt;=60,peso05_m,peso510_m),MATCH($W690,IF($T690&lt;=60,peso05_k,peso510_k),1)),""))</f>
        <v/>
      </c>
      <c r="AL690">
        <f>IF($W690="","",IFERROR(INDEX(IF($T690&lt;=60,peso05_s,peso510_s),MATCH($W690,IF($T690&lt;=60,peso05_k,peso510_k),1)),""))</f>
        <v/>
      </c>
      <c r="AM690">
        <f>IF($AJ690="","",IF($AJ690=0,LN($F690/$AK690)/$AL690,((($F690/$AK690)^$AJ690)-1)/($AJ690*$AL690)))</f>
        <v/>
      </c>
      <c r="AN690">
        <f>IF($AJ690="","",IF($AJ690=0,$AK690*EXP($AL690*2),$AK690*(1+$AJ690*$AL690*2)^(1/$AJ690)))</f>
        <v/>
      </c>
      <c r="AO690">
        <f>IF($AJ690="","",IF($AJ690=0,$AK690*EXP($AL690*3),$AK690*(1+$AJ690*$AL690*3)^(1/$AJ690)))</f>
        <v/>
      </c>
      <c r="AP690">
        <f>IF($AJ690="","",IF($AJ690=0,$AK690*EXP($AL690*-2),$AK690*(1+$AJ690*$AL690*-2)^(1/$AJ690)))</f>
        <v/>
      </c>
      <c r="AQ690">
        <f>IF($AJ690="","",IF($AJ690=0,$AK690*EXP($AL690*-3),$AK690*(1+$AJ690*$AL690*-3)^(1/$AJ690)))</f>
        <v/>
      </c>
      <c r="AR690">
        <f>IF(OR($X690="",$T690&gt;60),"",IFERROR(INDEX(IF($T690&lt;24,pcomp_l,palt_l),MATCH($X690,IF($T690&lt;24,pcomp_k,palt_k),1)),""))</f>
        <v/>
      </c>
      <c r="AS690">
        <f>IF(OR($X690="",$T690&gt;60),"",IFERROR(INDEX(IF($T690&lt;24,pcomp_m,palt_m),MATCH($X690,IF($T690&lt;24,pcomp_k,palt_k),1)),""))</f>
        <v/>
      </c>
      <c r="AT690">
        <f>IF(OR($X690="",$T690&gt;60),"",IFERROR(INDEX(IF($T690&lt;24,pcomp_s,palt_s),MATCH($X690,IF($T690&lt;24,pcomp_k,palt_k),1)),""))</f>
        <v/>
      </c>
      <c r="AU690">
        <f>IF($AR690="","",IF($AR690=0,LN($F690/$AS690)/$AT690,((($F690/$AS690)^$AR690)-1)/($AR690*$AT690)))</f>
        <v/>
      </c>
      <c r="AV690">
        <f>IF($AR690="","",IF($AR690=0,$AS690*EXP($AT690*2),$AS690*(1+$AR690*$AT690*2)^(1/$AR690)))</f>
        <v/>
      </c>
      <c r="AW690">
        <f>IF($AR690="","",IF($AR690=0,$AS690*EXP($AT690*3),$AS690*(1+$AR690*$AT690*3)^(1/$AR690)))</f>
        <v/>
      </c>
      <c r="AX690">
        <f>IF($AR690="","",IF($AR690=0,$AS690*EXP($AT690*-2),$AS690*(1+$AR690*$AT690*-2)^(1/$AR690)))</f>
        <v/>
      </c>
      <c r="AY690">
        <f>IF($AR690="","",IF($AR690=0,$AS690*EXP($AT690*-3),$AS690*(1+$AR690*$AT690*-3)^(1/$AR690)))</f>
        <v/>
      </c>
      <c r="AZ690">
        <f>IF(OR($A690="",$A690&lt;&gt;Ficha!$C$4),"",COUNTIF($A$2:$A690,Ficha!$C$4))</f>
        <v/>
      </c>
    </row>
    <row r="691">
      <c r="A691" s="8">
        <f>IF(INDEX(Banco!$A:$A,ROW())="","",INDEX(Banco!$A:$A,ROW()))</f>
        <v/>
      </c>
      <c r="B691" s="8">
        <f>IF(INDEX(Banco!$B:$B,ROW())="","",INDEX(Banco!$B:$B,ROW()))</f>
        <v/>
      </c>
      <c r="C691" s="8">
        <f>IF(INDEX(Banco!$C:$C,ROW())="","",INDEX(Banco!$C:$C,ROW()))</f>
        <v/>
      </c>
      <c r="D691" s="9">
        <f>IF(INDEX(Banco!$D:$D,ROW())="","",INDEX(Banco!$D:$D,ROW()))</f>
        <v/>
      </c>
      <c r="E691" s="9">
        <f>IF(INDEX(Banco!$E:$E,ROW())="","",INDEX(Banco!$E:$E,ROW()))</f>
        <v/>
      </c>
      <c r="F691" s="10">
        <f>IF(INDEX(Banco!$F:$F,ROW())="","",INDEX(Banco!$F:$F,ROW()))</f>
        <v/>
      </c>
      <c r="G691" s="10">
        <f>IF(INDEX(Banco!$G:$G,ROW())="","",INDEX(Banco!$G:$G,ROW()))</f>
        <v/>
      </c>
      <c r="H691" s="8">
        <f>IF(INDEX(Banco!$H:$H,ROW())="","",INDEX(Banco!$H:$H,ROW()))</f>
        <v/>
      </c>
      <c r="I691">
        <f>IF($T691="","",INT($T691/12)&amp;"a "&amp;MOD($T691,12)&amp;"m")</f>
        <v/>
      </c>
      <c r="J691" s="11">
        <f>IF(OR($F691="",$G691=""),"",ROUND($F691/($G691/100)^2,2))</f>
        <v/>
      </c>
      <c r="K691" s="12">
        <f>IF(OR($S691="",$J691="",$T691="",$T691&lt;0,$T691&gt;228,$Y691=""),"—",ROUND(IF(ABS($AB691)&lt;=3,$AB691,IF($AB691&gt;3,3+($J691-$AD691)/($AD691-$AC691),-3+($J691-$AF691)/($AE691-$AF691))),2))</f>
        <v/>
      </c>
      <c r="L691">
        <f>IF(OR($K691="",$K691="—"),"",IF($T691&lt;=60,IF($K691&lt;-3,"Magreza acentuada",IF($K691&lt;-2,"Magreza",IF($K691&lt;=1,"Eutrofia",IF($K691&lt;=2,"Risco de sobrepeso",IF($K691&lt;=3,"Sobrepeso","Obesidade"))))),IF($K691&lt;-3,"Magreza acentuada",IF($K691&lt;-2,"Magreza",IF($K691&lt;=1,"Eutrofia",IF($K691&lt;=2,"Sobrepeso",IF($K691&lt;=3,"Obesidade","Obesidade grave")))))))</f>
        <v/>
      </c>
      <c r="M691" s="12">
        <f>IF(OR($S691="",$V691="",$T691="",$T691&lt;0,$T691&gt;228,$AG691=""),"—",ROUND(IF($AG691=0,LN($V691/$AH691)/$AI691,((($V691/$AH691)^$AG691)-1)/($AG691*$AI691)),2))</f>
        <v/>
      </c>
      <c r="N691">
        <f>IF(OR($M691="",$M691="—"),"",IF($M691&lt;-3,"Muito baixa",IF($M691&lt;-2,"Baixa","Adequada")))</f>
        <v/>
      </c>
      <c r="O691" s="12">
        <f>IF(OR($S691="",$F691="",$T691="",$T691&lt;0,$T691&gt;120,$AJ691=""),"—",ROUND(IF(ABS($AM691)&lt;=3,$AM691,IF($AM691&gt;3,3+($F691-$AO691)/($AO691-$AN691),-3+($F691-$AQ691)/($AP691-$AQ691))),2))</f>
        <v/>
      </c>
      <c r="P691">
        <f>IF(OR($O691="",$O691="—"),"",IF($O691&lt;-3,"Muito baixo",IF($O691&lt;-2,"Baixo",IF($O691&lt;=2,"Adequado","Elevado"))))</f>
        <v/>
      </c>
      <c r="Q691" s="12">
        <f>IF(OR($S691="",$F691="",$T691="",$T691&lt;0,$T691&gt;60,$AR691=""),"—",ROUND(IF(ABS($AU691)&lt;=3,$AU691,IF($AU691&gt;3,3+($F691-$AW691)/($AW691-$AV691),-3+($F691-$AY691)/($AX691-$AY691))),2))</f>
        <v/>
      </c>
      <c r="R691">
        <f>IF(OR($Q691="",$Q691="—"),"",IF($Q691&lt;-3,"Magreza acentuada",IF($Q691&lt;-2,"Magreza",IF($Q691&lt;=1,"Eutrofia",IF($Q691&lt;=2,"Risco de sobrepeso",IF($Q691&lt;=3,"Sobrepeso","Obesidade"))))))</f>
        <v/>
      </c>
      <c r="S691">
        <f>IF($C691="","",IF(UPPER(LEFT($C691,1))="M",1,IF(UPPER(LEFT($C691,1))="F",2,"")))</f>
        <v/>
      </c>
      <c r="T691">
        <f>IF(OR($D691="",$E691=""),"",DATEDIF($D691,$E691,"m"))</f>
        <v/>
      </c>
      <c r="U691">
        <f>IF(OR($D691="",$E691=""),"",$E691-$D691)</f>
        <v/>
      </c>
      <c r="V691">
        <f>IF(OR($G691="",$T691=""),"",IF($T691&lt;24,IF(LEFT(LOWER($H691),4)="em p",$G691+0.7,$G691),IF(LEFT(LOWER($H691),4)="deit",$G691-0.7,$G691)))</f>
        <v/>
      </c>
      <c r="W691">
        <f>IF(OR($S691="",$T691=""),"",$S691*1000000+IF($T691&lt;=60,$U691,$T691))</f>
        <v/>
      </c>
      <c r="X691">
        <f>IF(OR($S691="",$V691="",$T691&gt;60,$T691=""),"",$S691*1000000+ROUND($V691*10,0))</f>
        <v/>
      </c>
      <c r="Y691">
        <f>IF($W691="","",IFERROR(INDEX(IF($T691&lt;=60,imc05_l,imc519_l),MATCH($W691,IF($T691&lt;=60,imc05_k,imc519_k),1)),""))</f>
        <v/>
      </c>
      <c r="Z691">
        <f>IF($W691="","",IFERROR(INDEX(IF($T691&lt;=60,imc05_m,imc519_m),MATCH($W691,IF($T691&lt;=60,imc05_k,imc519_k),1)),""))</f>
        <v/>
      </c>
      <c r="AA691">
        <f>IF($W691="","",IFERROR(INDEX(IF($T691&lt;=60,imc05_s,imc519_s),MATCH($W691,IF($T691&lt;=60,imc05_k,imc519_k),1)),""))</f>
        <v/>
      </c>
      <c r="AB691">
        <f>IF($Y691="","",IF($Y691=0,LN($J691/$Z691)/$AA691,((($J691/$Z691)^$Y691)-1)/($Y691*$AA691)))</f>
        <v/>
      </c>
      <c r="AC691">
        <f>IF($Y691="","",IF($Y691=0,$Z691*EXP($AA691*2),$Z691*(1+$Y691*$AA691*2)^(1/$Y691)))</f>
        <v/>
      </c>
      <c r="AD691">
        <f>IF($Y691="","",IF($Y691=0,$Z691*EXP($AA691*3),$Z691*(1+$Y691*$AA691*3)^(1/$Y691)))</f>
        <v/>
      </c>
      <c r="AE691">
        <f>IF($Y691="","",IF($Y691=0,$Z691*EXP($AA691*-2),$Z691*(1+$Y691*$AA691*-2)^(1/$Y691)))</f>
        <v/>
      </c>
      <c r="AF691">
        <f>IF($Y691="","",IF($Y691=0,$Z691*EXP($AA691*-3),$Z691*(1+$Y691*$AA691*-3)^(1/$Y691)))</f>
        <v/>
      </c>
      <c r="AG691">
        <f>IF($W691="","",IFERROR(INDEX(IF($T691&lt;=60,est05_l,est519_l),MATCH($W691,IF($T691&lt;=60,est05_k,est519_k),1)),""))</f>
        <v/>
      </c>
      <c r="AH691">
        <f>IF($W691="","",IFERROR(INDEX(IF($T691&lt;=60,est05_m,est519_m),MATCH($W691,IF($T691&lt;=60,est05_k,est519_k),1)),""))</f>
        <v/>
      </c>
      <c r="AI691">
        <f>IF($W691="","",IFERROR(INDEX(IF($T691&lt;=60,est05_s,est519_s),MATCH($W691,IF($T691&lt;=60,est05_k,est519_k),1)),""))</f>
        <v/>
      </c>
      <c r="AJ691">
        <f>IF($W691="","",IFERROR(INDEX(IF($T691&lt;=60,peso05_l,peso510_l),MATCH($W691,IF($T691&lt;=60,peso05_k,peso510_k),1)),""))</f>
        <v/>
      </c>
      <c r="AK691">
        <f>IF($W691="","",IFERROR(INDEX(IF($T691&lt;=60,peso05_m,peso510_m),MATCH($W691,IF($T691&lt;=60,peso05_k,peso510_k),1)),""))</f>
        <v/>
      </c>
      <c r="AL691">
        <f>IF($W691="","",IFERROR(INDEX(IF($T691&lt;=60,peso05_s,peso510_s),MATCH($W691,IF($T691&lt;=60,peso05_k,peso510_k),1)),""))</f>
        <v/>
      </c>
      <c r="AM691">
        <f>IF($AJ691="","",IF($AJ691=0,LN($F691/$AK691)/$AL691,((($F691/$AK691)^$AJ691)-1)/($AJ691*$AL691)))</f>
        <v/>
      </c>
      <c r="AN691">
        <f>IF($AJ691="","",IF($AJ691=0,$AK691*EXP($AL691*2),$AK691*(1+$AJ691*$AL691*2)^(1/$AJ691)))</f>
        <v/>
      </c>
      <c r="AO691">
        <f>IF($AJ691="","",IF($AJ691=0,$AK691*EXP($AL691*3),$AK691*(1+$AJ691*$AL691*3)^(1/$AJ691)))</f>
        <v/>
      </c>
      <c r="AP691">
        <f>IF($AJ691="","",IF($AJ691=0,$AK691*EXP($AL691*-2),$AK691*(1+$AJ691*$AL691*-2)^(1/$AJ691)))</f>
        <v/>
      </c>
      <c r="AQ691">
        <f>IF($AJ691="","",IF($AJ691=0,$AK691*EXP($AL691*-3),$AK691*(1+$AJ691*$AL691*-3)^(1/$AJ691)))</f>
        <v/>
      </c>
      <c r="AR691">
        <f>IF(OR($X691="",$T691&gt;60),"",IFERROR(INDEX(IF($T691&lt;24,pcomp_l,palt_l),MATCH($X691,IF($T691&lt;24,pcomp_k,palt_k),1)),""))</f>
        <v/>
      </c>
      <c r="AS691">
        <f>IF(OR($X691="",$T691&gt;60),"",IFERROR(INDEX(IF($T691&lt;24,pcomp_m,palt_m),MATCH($X691,IF($T691&lt;24,pcomp_k,palt_k),1)),""))</f>
        <v/>
      </c>
      <c r="AT691">
        <f>IF(OR($X691="",$T691&gt;60),"",IFERROR(INDEX(IF($T691&lt;24,pcomp_s,palt_s),MATCH($X691,IF($T691&lt;24,pcomp_k,palt_k),1)),""))</f>
        <v/>
      </c>
      <c r="AU691">
        <f>IF($AR691="","",IF($AR691=0,LN($F691/$AS691)/$AT691,((($F691/$AS691)^$AR691)-1)/($AR691*$AT691)))</f>
        <v/>
      </c>
      <c r="AV691">
        <f>IF($AR691="","",IF($AR691=0,$AS691*EXP($AT691*2),$AS691*(1+$AR691*$AT691*2)^(1/$AR691)))</f>
        <v/>
      </c>
      <c r="AW691">
        <f>IF($AR691="","",IF($AR691=0,$AS691*EXP($AT691*3),$AS691*(1+$AR691*$AT691*3)^(1/$AR691)))</f>
        <v/>
      </c>
      <c r="AX691">
        <f>IF($AR691="","",IF($AR691=0,$AS691*EXP($AT691*-2),$AS691*(1+$AR691*$AT691*-2)^(1/$AR691)))</f>
        <v/>
      </c>
      <c r="AY691">
        <f>IF($AR691="","",IF($AR691=0,$AS691*EXP($AT691*-3),$AS691*(1+$AR691*$AT691*-3)^(1/$AR691)))</f>
        <v/>
      </c>
      <c r="AZ691">
        <f>IF(OR($A691="",$A691&lt;&gt;Ficha!$C$4),"",COUNTIF($A$2:$A691,Ficha!$C$4))</f>
        <v/>
      </c>
    </row>
    <row r="692">
      <c r="A692" s="8">
        <f>IF(INDEX(Banco!$A:$A,ROW())="","",INDEX(Banco!$A:$A,ROW()))</f>
        <v/>
      </c>
      <c r="B692" s="8">
        <f>IF(INDEX(Banco!$B:$B,ROW())="","",INDEX(Banco!$B:$B,ROW()))</f>
        <v/>
      </c>
      <c r="C692" s="8">
        <f>IF(INDEX(Banco!$C:$C,ROW())="","",INDEX(Banco!$C:$C,ROW()))</f>
        <v/>
      </c>
      <c r="D692" s="9">
        <f>IF(INDEX(Banco!$D:$D,ROW())="","",INDEX(Banco!$D:$D,ROW()))</f>
        <v/>
      </c>
      <c r="E692" s="9">
        <f>IF(INDEX(Banco!$E:$E,ROW())="","",INDEX(Banco!$E:$E,ROW()))</f>
        <v/>
      </c>
      <c r="F692" s="10">
        <f>IF(INDEX(Banco!$F:$F,ROW())="","",INDEX(Banco!$F:$F,ROW()))</f>
        <v/>
      </c>
      <c r="G692" s="10">
        <f>IF(INDEX(Banco!$G:$G,ROW())="","",INDEX(Banco!$G:$G,ROW()))</f>
        <v/>
      </c>
      <c r="H692" s="8">
        <f>IF(INDEX(Banco!$H:$H,ROW())="","",INDEX(Banco!$H:$H,ROW()))</f>
        <v/>
      </c>
      <c r="I692">
        <f>IF($T692="","",INT($T692/12)&amp;"a "&amp;MOD($T692,12)&amp;"m")</f>
        <v/>
      </c>
      <c r="J692" s="11">
        <f>IF(OR($F692="",$G692=""),"",ROUND($F692/($G692/100)^2,2))</f>
        <v/>
      </c>
      <c r="K692" s="12">
        <f>IF(OR($S692="",$J692="",$T692="",$T692&lt;0,$T692&gt;228,$Y692=""),"—",ROUND(IF(ABS($AB692)&lt;=3,$AB692,IF($AB692&gt;3,3+($J692-$AD692)/($AD692-$AC692),-3+($J692-$AF692)/($AE692-$AF692))),2))</f>
        <v/>
      </c>
      <c r="L692">
        <f>IF(OR($K692="",$K692="—"),"",IF($T692&lt;=60,IF($K692&lt;-3,"Magreza acentuada",IF($K692&lt;-2,"Magreza",IF($K692&lt;=1,"Eutrofia",IF($K692&lt;=2,"Risco de sobrepeso",IF($K692&lt;=3,"Sobrepeso","Obesidade"))))),IF($K692&lt;-3,"Magreza acentuada",IF($K692&lt;-2,"Magreza",IF($K692&lt;=1,"Eutrofia",IF($K692&lt;=2,"Sobrepeso",IF($K692&lt;=3,"Obesidade","Obesidade grave")))))))</f>
        <v/>
      </c>
      <c r="M692" s="12">
        <f>IF(OR($S692="",$V692="",$T692="",$T692&lt;0,$T692&gt;228,$AG692=""),"—",ROUND(IF($AG692=0,LN($V692/$AH692)/$AI692,((($V692/$AH692)^$AG692)-1)/($AG692*$AI692)),2))</f>
        <v/>
      </c>
      <c r="N692">
        <f>IF(OR($M692="",$M692="—"),"",IF($M692&lt;-3,"Muito baixa",IF($M692&lt;-2,"Baixa","Adequada")))</f>
        <v/>
      </c>
      <c r="O692" s="12">
        <f>IF(OR($S692="",$F692="",$T692="",$T692&lt;0,$T692&gt;120,$AJ692=""),"—",ROUND(IF(ABS($AM692)&lt;=3,$AM692,IF($AM692&gt;3,3+($F692-$AO692)/($AO692-$AN692),-3+($F692-$AQ692)/($AP692-$AQ692))),2))</f>
        <v/>
      </c>
      <c r="P692">
        <f>IF(OR($O692="",$O692="—"),"",IF($O692&lt;-3,"Muito baixo",IF($O692&lt;-2,"Baixo",IF($O692&lt;=2,"Adequado","Elevado"))))</f>
        <v/>
      </c>
      <c r="Q692" s="12">
        <f>IF(OR($S692="",$F692="",$T692="",$T692&lt;0,$T692&gt;60,$AR692=""),"—",ROUND(IF(ABS($AU692)&lt;=3,$AU692,IF($AU692&gt;3,3+($F692-$AW692)/($AW692-$AV692),-3+($F692-$AY692)/($AX692-$AY692))),2))</f>
        <v/>
      </c>
      <c r="R692">
        <f>IF(OR($Q692="",$Q692="—"),"",IF($Q692&lt;-3,"Magreza acentuada",IF($Q692&lt;-2,"Magreza",IF($Q692&lt;=1,"Eutrofia",IF($Q692&lt;=2,"Risco de sobrepeso",IF($Q692&lt;=3,"Sobrepeso","Obesidade"))))))</f>
        <v/>
      </c>
      <c r="S692">
        <f>IF($C692="","",IF(UPPER(LEFT($C692,1))="M",1,IF(UPPER(LEFT($C692,1))="F",2,"")))</f>
        <v/>
      </c>
      <c r="T692">
        <f>IF(OR($D692="",$E692=""),"",DATEDIF($D692,$E692,"m"))</f>
        <v/>
      </c>
      <c r="U692">
        <f>IF(OR($D692="",$E692=""),"",$E692-$D692)</f>
        <v/>
      </c>
      <c r="V692">
        <f>IF(OR($G692="",$T692=""),"",IF($T692&lt;24,IF(LEFT(LOWER($H692),4)="em p",$G692+0.7,$G692),IF(LEFT(LOWER($H692),4)="deit",$G692-0.7,$G692)))</f>
        <v/>
      </c>
      <c r="W692">
        <f>IF(OR($S692="",$T692=""),"",$S692*1000000+IF($T692&lt;=60,$U692,$T692))</f>
        <v/>
      </c>
      <c r="X692">
        <f>IF(OR($S692="",$V692="",$T692&gt;60,$T692=""),"",$S692*1000000+ROUND($V692*10,0))</f>
        <v/>
      </c>
      <c r="Y692">
        <f>IF($W692="","",IFERROR(INDEX(IF($T692&lt;=60,imc05_l,imc519_l),MATCH($W692,IF($T692&lt;=60,imc05_k,imc519_k),1)),""))</f>
        <v/>
      </c>
      <c r="Z692">
        <f>IF($W692="","",IFERROR(INDEX(IF($T692&lt;=60,imc05_m,imc519_m),MATCH($W692,IF($T692&lt;=60,imc05_k,imc519_k),1)),""))</f>
        <v/>
      </c>
      <c r="AA692">
        <f>IF($W692="","",IFERROR(INDEX(IF($T692&lt;=60,imc05_s,imc519_s),MATCH($W692,IF($T692&lt;=60,imc05_k,imc519_k),1)),""))</f>
        <v/>
      </c>
      <c r="AB692">
        <f>IF($Y692="","",IF($Y692=0,LN($J692/$Z692)/$AA692,((($J692/$Z692)^$Y692)-1)/($Y692*$AA692)))</f>
        <v/>
      </c>
      <c r="AC692">
        <f>IF($Y692="","",IF($Y692=0,$Z692*EXP($AA692*2),$Z692*(1+$Y692*$AA692*2)^(1/$Y692)))</f>
        <v/>
      </c>
      <c r="AD692">
        <f>IF($Y692="","",IF($Y692=0,$Z692*EXP($AA692*3),$Z692*(1+$Y692*$AA692*3)^(1/$Y692)))</f>
        <v/>
      </c>
      <c r="AE692">
        <f>IF($Y692="","",IF($Y692=0,$Z692*EXP($AA692*-2),$Z692*(1+$Y692*$AA692*-2)^(1/$Y692)))</f>
        <v/>
      </c>
      <c r="AF692">
        <f>IF($Y692="","",IF($Y692=0,$Z692*EXP($AA692*-3),$Z692*(1+$Y692*$AA692*-3)^(1/$Y692)))</f>
        <v/>
      </c>
      <c r="AG692">
        <f>IF($W692="","",IFERROR(INDEX(IF($T692&lt;=60,est05_l,est519_l),MATCH($W692,IF($T692&lt;=60,est05_k,est519_k),1)),""))</f>
        <v/>
      </c>
      <c r="AH692">
        <f>IF($W692="","",IFERROR(INDEX(IF($T692&lt;=60,est05_m,est519_m),MATCH($W692,IF($T692&lt;=60,est05_k,est519_k),1)),""))</f>
        <v/>
      </c>
      <c r="AI692">
        <f>IF($W692="","",IFERROR(INDEX(IF($T692&lt;=60,est05_s,est519_s),MATCH($W692,IF($T692&lt;=60,est05_k,est519_k),1)),""))</f>
        <v/>
      </c>
      <c r="AJ692">
        <f>IF($W692="","",IFERROR(INDEX(IF($T692&lt;=60,peso05_l,peso510_l),MATCH($W692,IF($T692&lt;=60,peso05_k,peso510_k),1)),""))</f>
        <v/>
      </c>
      <c r="AK692">
        <f>IF($W692="","",IFERROR(INDEX(IF($T692&lt;=60,peso05_m,peso510_m),MATCH($W692,IF($T692&lt;=60,peso05_k,peso510_k),1)),""))</f>
        <v/>
      </c>
      <c r="AL692">
        <f>IF($W692="","",IFERROR(INDEX(IF($T692&lt;=60,peso05_s,peso510_s),MATCH($W692,IF($T692&lt;=60,peso05_k,peso510_k),1)),""))</f>
        <v/>
      </c>
      <c r="AM692">
        <f>IF($AJ692="","",IF($AJ692=0,LN($F692/$AK692)/$AL692,((($F692/$AK692)^$AJ692)-1)/($AJ692*$AL692)))</f>
        <v/>
      </c>
      <c r="AN692">
        <f>IF($AJ692="","",IF($AJ692=0,$AK692*EXP($AL692*2),$AK692*(1+$AJ692*$AL692*2)^(1/$AJ692)))</f>
        <v/>
      </c>
      <c r="AO692">
        <f>IF($AJ692="","",IF($AJ692=0,$AK692*EXP($AL692*3),$AK692*(1+$AJ692*$AL692*3)^(1/$AJ692)))</f>
        <v/>
      </c>
      <c r="AP692">
        <f>IF($AJ692="","",IF($AJ692=0,$AK692*EXP($AL692*-2),$AK692*(1+$AJ692*$AL692*-2)^(1/$AJ692)))</f>
        <v/>
      </c>
      <c r="AQ692">
        <f>IF($AJ692="","",IF($AJ692=0,$AK692*EXP($AL692*-3),$AK692*(1+$AJ692*$AL692*-3)^(1/$AJ692)))</f>
        <v/>
      </c>
      <c r="AR692">
        <f>IF(OR($X692="",$T692&gt;60),"",IFERROR(INDEX(IF($T692&lt;24,pcomp_l,palt_l),MATCH($X692,IF($T692&lt;24,pcomp_k,palt_k),1)),""))</f>
        <v/>
      </c>
      <c r="AS692">
        <f>IF(OR($X692="",$T692&gt;60),"",IFERROR(INDEX(IF($T692&lt;24,pcomp_m,palt_m),MATCH($X692,IF($T692&lt;24,pcomp_k,palt_k),1)),""))</f>
        <v/>
      </c>
      <c r="AT692">
        <f>IF(OR($X692="",$T692&gt;60),"",IFERROR(INDEX(IF($T692&lt;24,pcomp_s,palt_s),MATCH($X692,IF($T692&lt;24,pcomp_k,palt_k),1)),""))</f>
        <v/>
      </c>
      <c r="AU692">
        <f>IF($AR692="","",IF($AR692=0,LN($F692/$AS692)/$AT692,((($F692/$AS692)^$AR692)-1)/($AR692*$AT692)))</f>
        <v/>
      </c>
      <c r="AV692">
        <f>IF($AR692="","",IF($AR692=0,$AS692*EXP($AT692*2),$AS692*(1+$AR692*$AT692*2)^(1/$AR692)))</f>
        <v/>
      </c>
      <c r="AW692">
        <f>IF($AR692="","",IF($AR692=0,$AS692*EXP($AT692*3),$AS692*(1+$AR692*$AT692*3)^(1/$AR692)))</f>
        <v/>
      </c>
      <c r="AX692">
        <f>IF($AR692="","",IF($AR692=0,$AS692*EXP($AT692*-2),$AS692*(1+$AR692*$AT692*-2)^(1/$AR692)))</f>
        <v/>
      </c>
      <c r="AY692">
        <f>IF($AR692="","",IF($AR692=0,$AS692*EXP($AT692*-3),$AS692*(1+$AR692*$AT692*-3)^(1/$AR692)))</f>
        <v/>
      </c>
      <c r="AZ692">
        <f>IF(OR($A692="",$A692&lt;&gt;Ficha!$C$4),"",COUNTIF($A$2:$A692,Ficha!$C$4))</f>
        <v/>
      </c>
    </row>
    <row r="693">
      <c r="A693" s="8">
        <f>IF(INDEX(Banco!$A:$A,ROW())="","",INDEX(Banco!$A:$A,ROW()))</f>
        <v/>
      </c>
      <c r="B693" s="8">
        <f>IF(INDEX(Banco!$B:$B,ROW())="","",INDEX(Banco!$B:$B,ROW()))</f>
        <v/>
      </c>
      <c r="C693" s="8">
        <f>IF(INDEX(Banco!$C:$C,ROW())="","",INDEX(Banco!$C:$C,ROW()))</f>
        <v/>
      </c>
      <c r="D693" s="9">
        <f>IF(INDEX(Banco!$D:$D,ROW())="","",INDEX(Banco!$D:$D,ROW()))</f>
        <v/>
      </c>
      <c r="E693" s="9">
        <f>IF(INDEX(Banco!$E:$E,ROW())="","",INDEX(Banco!$E:$E,ROW()))</f>
        <v/>
      </c>
      <c r="F693" s="10">
        <f>IF(INDEX(Banco!$F:$F,ROW())="","",INDEX(Banco!$F:$F,ROW()))</f>
        <v/>
      </c>
      <c r="G693" s="10">
        <f>IF(INDEX(Banco!$G:$G,ROW())="","",INDEX(Banco!$G:$G,ROW()))</f>
        <v/>
      </c>
      <c r="H693" s="8">
        <f>IF(INDEX(Banco!$H:$H,ROW())="","",INDEX(Banco!$H:$H,ROW()))</f>
        <v/>
      </c>
      <c r="I693">
        <f>IF($T693="","",INT($T693/12)&amp;"a "&amp;MOD($T693,12)&amp;"m")</f>
        <v/>
      </c>
      <c r="J693" s="11">
        <f>IF(OR($F693="",$G693=""),"",ROUND($F693/($G693/100)^2,2))</f>
        <v/>
      </c>
      <c r="K693" s="12">
        <f>IF(OR($S693="",$J693="",$T693="",$T693&lt;0,$T693&gt;228,$Y693=""),"—",ROUND(IF(ABS($AB693)&lt;=3,$AB693,IF($AB693&gt;3,3+($J693-$AD693)/($AD693-$AC693),-3+($J693-$AF693)/($AE693-$AF693))),2))</f>
        <v/>
      </c>
      <c r="L693">
        <f>IF(OR($K693="",$K693="—"),"",IF($T693&lt;=60,IF($K693&lt;-3,"Magreza acentuada",IF($K693&lt;-2,"Magreza",IF($K693&lt;=1,"Eutrofia",IF($K693&lt;=2,"Risco de sobrepeso",IF($K693&lt;=3,"Sobrepeso","Obesidade"))))),IF($K693&lt;-3,"Magreza acentuada",IF($K693&lt;-2,"Magreza",IF($K693&lt;=1,"Eutrofia",IF($K693&lt;=2,"Sobrepeso",IF($K693&lt;=3,"Obesidade","Obesidade grave")))))))</f>
        <v/>
      </c>
      <c r="M693" s="12">
        <f>IF(OR($S693="",$V693="",$T693="",$T693&lt;0,$T693&gt;228,$AG693=""),"—",ROUND(IF($AG693=0,LN($V693/$AH693)/$AI693,((($V693/$AH693)^$AG693)-1)/($AG693*$AI693)),2))</f>
        <v/>
      </c>
      <c r="N693">
        <f>IF(OR($M693="",$M693="—"),"",IF($M693&lt;-3,"Muito baixa",IF($M693&lt;-2,"Baixa","Adequada")))</f>
        <v/>
      </c>
      <c r="O693" s="12">
        <f>IF(OR($S693="",$F693="",$T693="",$T693&lt;0,$T693&gt;120,$AJ693=""),"—",ROUND(IF(ABS($AM693)&lt;=3,$AM693,IF($AM693&gt;3,3+($F693-$AO693)/($AO693-$AN693),-3+($F693-$AQ693)/($AP693-$AQ693))),2))</f>
        <v/>
      </c>
      <c r="P693">
        <f>IF(OR($O693="",$O693="—"),"",IF($O693&lt;-3,"Muito baixo",IF($O693&lt;-2,"Baixo",IF($O693&lt;=2,"Adequado","Elevado"))))</f>
        <v/>
      </c>
      <c r="Q693" s="12">
        <f>IF(OR($S693="",$F693="",$T693="",$T693&lt;0,$T693&gt;60,$AR693=""),"—",ROUND(IF(ABS($AU693)&lt;=3,$AU693,IF($AU693&gt;3,3+($F693-$AW693)/($AW693-$AV693),-3+($F693-$AY693)/($AX693-$AY693))),2))</f>
        <v/>
      </c>
      <c r="R693">
        <f>IF(OR($Q693="",$Q693="—"),"",IF($Q693&lt;-3,"Magreza acentuada",IF($Q693&lt;-2,"Magreza",IF($Q693&lt;=1,"Eutrofia",IF($Q693&lt;=2,"Risco de sobrepeso",IF($Q693&lt;=3,"Sobrepeso","Obesidade"))))))</f>
        <v/>
      </c>
      <c r="S693">
        <f>IF($C693="","",IF(UPPER(LEFT($C693,1))="M",1,IF(UPPER(LEFT($C693,1))="F",2,"")))</f>
        <v/>
      </c>
      <c r="T693">
        <f>IF(OR($D693="",$E693=""),"",DATEDIF($D693,$E693,"m"))</f>
        <v/>
      </c>
      <c r="U693">
        <f>IF(OR($D693="",$E693=""),"",$E693-$D693)</f>
        <v/>
      </c>
      <c r="V693">
        <f>IF(OR($G693="",$T693=""),"",IF($T693&lt;24,IF(LEFT(LOWER($H693),4)="em p",$G693+0.7,$G693),IF(LEFT(LOWER($H693),4)="deit",$G693-0.7,$G693)))</f>
        <v/>
      </c>
      <c r="W693">
        <f>IF(OR($S693="",$T693=""),"",$S693*1000000+IF($T693&lt;=60,$U693,$T693))</f>
        <v/>
      </c>
      <c r="X693">
        <f>IF(OR($S693="",$V693="",$T693&gt;60,$T693=""),"",$S693*1000000+ROUND($V693*10,0))</f>
        <v/>
      </c>
      <c r="Y693">
        <f>IF($W693="","",IFERROR(INDEX(IF($T693&lt;=60,imc05_l,imc519_l),MATCH($W693,IF($T693&lt;=60,imc05_k,imc519_k),1)),""))</f>
        <v/>
      </c>
      <c r="Z693">
        <f>IF($W693="","",IFERROR(INDEX(IF($T693&lt;=60,imc05_m,imc519_m),MATCH($W693,IF($T693&lt;=60,imc05_k,imc519_k),1)),""))</f>
        <v/>
      </c>
      <c r="AA693">
        <f>IF($W693="","",IFERROR(INDEX(IF($T693&lt;=60,imc05_s,imc519_s),MATCH($W693,IF($T693&lt;=60,imc05_k,imc519_k),1)),""))</f>
        <v/>
      </c>
      <c r="AB693">
        <f>IF($Y693="","",IF($Y693=0,LN($J693/$Z693)/$AA693,((($J693/$Z693)^$Y693)-1)/($Y693*$AA693)))</f>
        <v/>
      </c>
      <c r="AC693">
        <f>IF($Y693="","",IF($Y693=0,$Z693*EXP($AA693*2),$Z693*(1+$Y693*$AA693*2)^(1/$Y693)))</f>
        <v/>
      </c>
      <c r="AD693">
        <f>IF($Y693="","",IF($Y693=0,$Z693*EXP($AA693*3),$Z693*(1+$Y693*$AA693*3)^(1/$Y693)))</f>
        <v/>
      </c>
      <c r="AE693">
        <f>IF($Y693="","",IF($Y693=0,$Z693*EXP($AA693*-2),$Z693*(1+$Y693*$AA693*-2)^(1/$Y693)))</f>
        <v/>
      </c>
      <c r="AF693">
        <f>IF($Y693="","",IF($Y693=0,$Z693*EXP($AA693*-3),$Z693*(1+$Y693*$AA693*-3)^(1/$Y693)))</f>
        <v/>
      </c>
      <c r="AG693">
        <f>IF($W693="","",IFERROR(INDEX(IF($T693&lt;=60,est05_l,est519_l),MATCH($W693,IF($T693&lt;=60,est05_k,est519_k),1)),""))</f>
        <v/>
      </c>
      <c r="AH693">
        <f>IF($W693="","",IFERROR(INDEX(IF($T693&lt;=60,est05_m,est519_m),MATCH($W693,IF($T693&lt;=60,est05_k,est519_k),1)),""))</f>
        <v/>
      </c>
      <c r="AI693">
        <f>IF($W693="","",IFERROR(INDEX(IF($T693&lt;=60,est05_s,est519_s),MATCH($W693,IF($T693&lt;=60,est05_k,est519_k),1)),""))</f>
        <v/>
      </c>
      <c r="AJ693">
        <f>IF($W693="","",IFERROR(INDEX(IF($T693&lt;=60,peso05_l,peso510_l),MATCH($W693,IF($T693&lt;=60,peso05_k,peso510_k),1)),""))</f>
        <v/>
      </c>
      <c r="AK693">
        <f>IF($W693="","",IFERROR(INDEX(IF($T693&lt;=60,peso05_m,peso510_m),MATCH($W693,IF($T693&lt;=60,peso05_k,peso510_k),1)),""))</f>
        <v/>
      </c>
      <c r="AL693">
        <f>IF($W693="","",IFERROR(INDEX(IF($T693&lt;=60,peso05_s,peso510_s),MATCH($W693,IF($T693&lt;=60,peso05_k,peso510_k),1)),""))</f>
        <v/>
      </c>
      <c r="AM693">
        <f>IF($AJ693="","",IF($AJ693=0,LN($F693/$AK693)/$AL693,((($F693/$AK693)^$AJ693)-1)/($AJ693*$AL693)))</f>
        <v/>
      </c>
      <c r="AN693">
        <f>IF($AJ693="","",IF($AJ693=0,$AK693*EXP($AL693*2),$AK693*(1+$AJ693*$AL693*2)^(1/$AJ693)))</f>
        <v/>
      </c>
      <c r="AO693">
        <f>IF($AJ693="","",IF($AJ693=0,$AK693*EXP($AL693*3),$AK693*(1+$AJ693*$AL693*3)^(1/$AJ693)))</f>
        <v/>
      </c>
      <c r="AP693">
        <f>IF($AJ693="","",IF($AJ693=0,$AK693*EXP($AL693*-2),$AK693*(1+$AJ693*$AL693*-2)^(1/$AJ693)))</f>
        <v/>
      </c>
      <c r="AQ693">
        <f>IF($AJ693="","",IF($AJ693=0,$AK693*EXP($AL693*-3),$AK693*(1+$AJ693*$AL693*-3)^(1/$AJ693)))</f>
        <v/>
      </c>
      <c r="AR693">
        <f>IF(OR($X693="",$T693&gt;60),"",IFERROR(INDEX(IF($T693&lt;24,pcomp_l,palt_l),MATCH($X693,IF($T693&lt;24,pcomp_k,palt_k),1)),""))</f>
        <v/>
      </c>
      <c r="AS693">
        <f>IF(OR($X693="",$T693&gt;60),"",IFERROR(INDEX(IF($T693&lt;24,pcomp_m,palt_m),MATCH($X693,IF($T693&lt;24,pcomp_k,palt_k),1)),""))</f>
        <v/>
      </c>
      <c r="AT693">
        <f>IF(OR($X693="",$T693&gt;60),"",IFERROR(INDEX(IF($T693&lt;24,pcomp_s,palt_s),MATCH($X693,IF($T693&lt;24,pcomp_k,palt_k),1)),""))</f>
        <v/>
      </c>
      <c r="AU693">
        <f>IF($AR693="","",IF($AR693=0,LN($F693/$AS693)/$AT693,((($F693/$AS693)^$AR693)-1)/($AR693*$AT693)))</f>
        <v/>
      </c>
      <c r="AV693">
        <f>IF($AR693="","",IF($AR693=0,$AS693*EXP($AT693*2),$AS693*(1+$AR693*$AT693*2)^(1/$AR693)))</f>
        <v/>
      </c>
      <c r="AW693">
        <f>IF($AR693="","",IF($AR693=0,$AS693*EXP($AT693*3),$AS693*(1+$AR693*$AT693*3)^(1/$AR693)))</f>
        <v/>
      </c>
      <c r="AX693">
        <f>IF($AR693="","",IF($AR693=0,$AS693*EXP($AT693*-2),$AS693*(1+$AR693*$AT693*-2)^(1/$AR693)))</f>
        <v/>
      </c>
      <c r="AY693">
        <f>IF($AR693="","",IF($AR693=0,$AS693*EXP($AT693*-3),$AS693*(1+$AR693*$AT693*-3)^(1/$AR693)))</f>
        <v/>
      </c>
      <c r="AZ693">
        <f>IF(OR($A693="",$A693&lt;&gt;Ficha!$C$4),"",COUNTIF($A$2:$A693,Ficha!$C$4))</f>
        <v/>
      </c>
    </row>
    <row r="694">
      <c r="A694" s="8">
        <f>IF(INDEX(Banco!$A:$A,ROW())="","",INDEX(Banco!$A:$A,ROW()))</f>
        <v/>
      </c>
      <c r="B694" s="8">
        <f>IF(INDEX(Banco!$B:$B,ROW())="","",INDEX(Banco!$B:$B,ROW()))</f>
        <v/>
      </c>
      <c r="C694" s="8">
        <f>IF(INDEX(Banco!$C:$C,ROW())="","",INDEX(Banco!$C:$C,ROW()))</f>
        <v/>
      </c>
      <c r="D694" s="9">
        <f>IF(INDEX(Banco!$D:$D,ROW())="","",INDEX(Banco!$D:$D,ROW()))</f>
        <v/>
      </c>
      <c r="E694" s="9">
        <f>IF(INDEX(Banco!$E:$E,ROW())="","",INDEX(Banco!$E:$E,ROW()))</f>
        <v/>
      </c>
      <c r="F694" s="10">
        <f>IF(INDEX(Banco!$F:$F,ROW())="","",INDEX(Banco!$F:$F,ROW()))</f>
        <v/>
      </c>
      <c r="G694" s="10">
        <f>IF(INDEX(Banco!$G:$G,ROW())="","",INDEX(Banco!$G:$G,ROW()))</f>
        <v/>
      </c>
      <c r="H694" s="8">
        <f>IF(INDEX(Banco!$H:$H,ROW())="","",INDEX(Banco!$H:$H,ROW()))</f>
        <v/>
      </c>
      <c r="I694">
        <f>IF($T694="","",INT($T694/12)&amp;"a "&amp;MOD($T694,12)&amp;"m")</f>
        <v/>
      </c>
      <c r="J694" s="11">
        <f>IF(OR($F694="",$G694=""),"",ROUND($F694/($G694/100)^2,2))</f>
        <v/>
      </c>
      <c r="K694" s="12">
        <f>IF(OR($S694="",$J694="",$T694="",$T694&lt;0,$T694&gt;228,$Y694=""),"—",ROUND(IF(ABS($AB694)&lt;=3,$AB694,IF($AB694&gt;3,3+($J694-$AD694)/($AD694-$AC694),-3+($J694-$AF694)/($AE694-$AF694))),2))</f>
        <v/>
      </c>
      <c r="L694">
        <f>IF(OR($K694="",$K694="—"),"",IF($T694&lt;=60,IF($K694&lt;-3,"Magreza acentuada",IF($K694&lt;-2,"Magreza",IF($K694&lt;=1,"Eutrofia",IF($K694&lt;=2,"Risco de sobrepeso",IF($K694&lt;=3,"Sobrepeso","Obesidade"))))),IF($K694&lt;-3,"Magreza acentuada",IF($K694&lt;-2,"Magreza",IF($K694&lt;=1,"Eutrofia",IF($K694&lt;=2,"Sobrepeso",IF($K694&lt;=3,"Obesidade","Obesidade grave")))))))</f>
        <v/>
      </c>
      <c r="M694" s="12">
        <f>IF(OR($S694="",$V694="",$T694="",$T694&lt;0,$T694&gt;228,$AG694=""),"—",ROUND(IF($AG694=0,LN($V694/$AH694)/$AI694,((($V694/$AH694)^$AG694)-1)/($AG694*$AI694)),2))</f>
        <v/>
      </c>
      <c r="N694">
        <f>IF(OR($M694="",$M694="—"),"",IF($M694&lt;-3,"Muito baixa",IF($M694&lt;-2,"Baixa","Adequada")))</f>
        <v/>
      </c>
      <c r="O694" s="12">
        <f>IF(OR($S694="",$F694="",$T694="",$T694&lt;0,$T694&gt;120,$AJ694=""),"—",ROUND(IF(ABS($AM694)&lt;=3,$AM694,IF($AM694&gt;3,3+($F694-$AO694)/($AO694-$AN694),-3+($F694-$AQ694)/($AP694-$AQ694))),2))</f>
        <v/>
      </c>
      <c r="P694">
        <f>IF(OR($O694="",$O694="—"),"",IF($O694&lt;-3,"Muito baixo",IF($O694&lt;-2,"Baixo",IF($O694&lt;=2,"Adequado","Elevado"))))</f>
        <v/>
      </c>
      <c r="Q694" s="12">
        <f>IF(OR($S694="",$F694="",$T694="",$T694&lt;0,$T694&gt;60,$AR694=""),"—",ROUND(IF(ABS($AU694)&lt;=3,$AU694,IF($AU694&gt;3,3+($F694-$AW694)/($AW694-$AV694),-3+($F694-$AY694)/($AX694-$AY694))),2))</f>
        <v/>
      </c>
      <c r="R694">
        <f>IF(OR($Q694="",$Q694="—"),"",IF($Q694&lt;-3,"Magreza acentuada",IF($Q694&lt;-2,"Magreza",IF($Q694&lt;=1,"Eutrofia",IF($Q694&lt;=2,"Risco de sobrepeso",IF($Q694&lt;=3,"Sobrepeso","Obesidade"))))))</f>
        <v/>
      </c>
      <c r="S694">
        <f>IF($C694="","",IF(UPPER(LEFT($C694,1))="M",1,IF(UPPER(LEFT($C694,1))="F",2,"")))</f>
        <v/>
      </c>
      <c r="T694">
        <f>IF(OR($D694="",$E694=""),"",DATEDIF($D694,$E694,"m"))</f>
        <v/>
      </c>
      <c r="U694">
        <f>IF(OR($D694="",$E694=""),"",$E694-$D694)</f>
        <v/>
      </c>
      <c r="V694">
        <f>IF(OR($G694="",$T694=""),"",IF($T694&lt;24,IF(LEFT(LOWER($H694),4)="em p",$G694+0.7,$G694),IF(LEFT(LOWER($H694),4)="deit",$G694-0.7,$G694)))</f>
        <v/>
      </c>
      <c r="W694">
        <f>IF(OR($S694="",$T694=""),"",$S694*1000000+IF($T694&lt;=60,$U694,$T694))</f>
        <v/>
      </c>
      <c r="X694">
        <f>IF(OR($S694="",$V694="",$T694&gt;60,$T694=""),"",$S694*1000000+ROUND($V694*10,0))</f>
        <v/>
      </c>
      <c r="Y694">
        <f>IF($W694="","",IFERROR(INDEX(IF($T694&lt;=60,imc05_l,imc519_l),MATCH($W694,IF($T694&lt;=60,imc05_k,imc519_k),1)),""))</f>
        <v/>
      </c>
      <c r="Z694">
        <f>IF($W694="","",IFERROR(INDEX(IF($T694&lt;=60,imc05_m,imc519_m),MATCH($W694,IF($T694&lt;=60,imc05_k,imc519_k),1)),""))</f>
        <v/>
      </c>
      <c r="AA694">
        <f>IF($W694="","",IFERROR(INDEX(IF($T694&lt;=60,imc05_s,imc519_s),MATCH($W694,IF($T694&lt;=60,imc05_k,imc519_k),1)),""))</f>
        <v/>
      </c>
      <c r="AB694">
        <f>IF($Y694="","",IF($Y694=0,LN($J694/$Z694)/$AA694,((($J694/$Z694)^$Y694)-1)/($Y694*$AA694)))</f>
        <v/>
      </c>
      <c r="AC694">
        <f>IF($Y694="","",IF($Y694=0,$Z694*EXP($AA694*2),$Z694*(1+$Y694*$AA694*2)^(1/$Y694)))</f>
        <v/>
      </c>
      <c r="AD694">
        <f>IF($Y694="","",IF($Y694=0,$Z694*EXP($AA694*3),$Z694*(1+$Y694*$AA694*3)^(1/$Y694)))</f>
        <v/>
      </c>
      <c r="AE694">
        <f>IF($Y694="","",IF($Y694=0,$Z694*EXP($AA694*-2),$Z694*(1+$Y694*$AA694*-2)^(1/$Y694)))</f>
        <v/>
      </c>
      <c r="AF694">
        <f>IF($Y694="","",IF($Y694=0,$Z694*EXP($AA694*-3),$Z694*(1+$Y694*$AA694*-3)^(1/$Y694)))</f>
        <v/>
      </c>
      <c r="AG694">
        <f>IF($W694="","",IFERROR(INDEX(IF($T694&lt;=60,est05_l,est519_l),MATCH($W694,IF($T694&lt;=60,est05_k,est519_k),1)),""))</f>
        <v/>
      </c>
      <c r="AH694">
        <f>IF($W694="","",IFERROR(INDEX(IF($T694&lt;=60,est05_m,est519_m),MATCH($W694,IF($T694&lt;=60,est05_k,est519_k),1)),""))</f>
        <v/>
      </c>
      <c r="AI694">
        <f>IF($W694="","",IFERROR(INDEX(IF($T694&lt;=60,est05_s,est519_s),MATCH($W694,IF($T694&lt;=60,est05_k,est519_k),1)),""))</f>
        <v/>
      </c>
      <c r="AJ694">
        <f>IF($W694="","",IFERROR(INDEX(IF($T694&lt;=60,peso05_l,peso510_l),MATCH($W694,IF($T694&lt;=60,peso05_k,peso510_k),1)),""))</f>
        <v/>
      </c>
      <c r="AK694">
        <f>IF($W694="","",IFERROR(INDEX(IF($T694&lt;=60,peso05_m,peso510_m),MATCH($W694,IF($T694&lt;=60,peso05_k,peso510_k),1)),""))</f>
        <v/>
      </c>
      <c r="AL694">
        <f>IF($W694="","",IFERROR(INDEX(IF($T694&lt;=60,peso05_s,peso510_s),MATCH($W694,IF($T694&lt;=60,peso05_k,peso510_k),1)),""))</f>
        <v/>
      </c>
      <c r="AM694">
        <f>IF($AJ694="","",IF($AJ694=0,LN($F694/$AK694)/$AL694,((($F694/$AK694)^$AJ694)-1)/($AJ694*$AL694)))</f>
        <v/>
      </c>
      <c r="AN694">
        <f>IF($AJ694="","",IF($AJ694=0,$AK694*EXP($AL694*2),$AK694*(1+$AJ694*$AL694*2)^(1/$AJ694)))</f>
        <v/>
      </c>
      <c r="AO694">
        <f>IF($AJ694="","",IF($AJ694=0,$AK694*EXP($AL694*3),$AK694*(1+$AJ694*$AL694*3)^(1/$AJ694)))</f>
        <v/>
      </c>
      <c r="AP694">
        <f>IF($AJ694="","",IF($AJ694=0,$AK694*EXP($AL694*-2),$AK694*(1+$AJ694*$AL694*-2)^(1/$AJ694)))</f>
        <v/>
      </c>
      <c r="AQ694">
        <f>IF($AJ694="","",IF($AJ694=0,$AK694*EXP($AL694*-3),$AK694*(1+$AJ694*$AL694*-3)^(1/$AJ694)))</f>
        <v/>
      </c>
      <c r="AR694">
        <f>IF(OR($X694="",$T694&gt;60),"",IFERROR(INDEX(IF($T694&lt;24,pcomp_l,palt_l),MATCH($X694,IF($T694&lt;24,pcomp_k,palt_k),1)),""))</f>
        <v/>
      </c>
      <c r="AS694">
        <f>IF(OR($X694="",$T694&gt;60),"",IFERROR(INDEX(IF($T694&lt;24,pcomp_m,palt_m),MATCH($X694,IF($T694&lt;24,pcomp_k,palt_k),1)),""))</f>
        <v/>
      </c>
      <c r="AT694">
        <f>IF(OR($X694="",$T694&gt;60),"",IFERROR(INDEX(IF($T694&lt;24,pcomp_s,palt_s),MATCH($X694,IF($T694&lt;24,pcomp_k,palt_k),1)),""))</f>
        <v/>
      </c>
      <c r="AU694">
        <f>IF($AR694="","",IF($AR694=0,LN($F694/$AS694)/$AT694,((($F694/$AS694)^$AR694)-1)/($AR694*$AT694)))</f>
        <v/>
      </c>
      <c r="AV694">
        <f>IF($AR694="","",IF($AR694=0,$AS694*EXP($AT694*2),$AS694*(1+$AR694*$AT694*2)^(1/$AR694)))</f>
        <v/>
      </c>
      <c r="AW694">
        <f>IF($AR694="","",IF($AR694=0,$AS694*EXP($AT694*3),$AS694*(1+$AR694*$AT694*3)^(1/$AR694)))</f>
        <v/>
      </c>
      <c r="AX694">
        <f>IF($AR694="","",IF($AR694=0,$AS694*EXP($AT694*-2),$AS694*(1+$AR694*$AT694*-2)^(1/$AR694)))</f>
        <v/>
      </c>
      <c r="AY694">
        <f>IF($AR694="","",IF($AR694=0,$AS694*EXP($AT694*-3),$AS694*(1+$AR694*$AT694*-3)^(1/$AR694)))</f>
        <v/>
      </c>
      <c r="AZ694">
        <f>IF(OR($A694="",$A694&lt;&gt;Ficha!$C$4),"",COUNTIF($A$2:$A694,Ficha!$C$4))</f>
        <v/>
      </c>
    </row>
    <row r="695">
      <c r="A695" s="8">
        <f>IF(INDEX(Banco!$A:$A,ROW())="","",INDEX(Banco!$A:$A,ROW()))</f>
        <v/>
      </c>
      <c r="B695" s="8">
        <f>IF(INDEX(Banco!$B:$B,ROW())="","",INDEX(Banco!$B:$B,ROW()))</f>
        <v/>
      </c>
      <c r="C695" s="8">
        <f>IF(INDEX(Banco!$C:$C,ROW())="","",INDEX(Banco!$C:$C,ROW()))</f>
        <v/>
      </c>
      <c r="D695" s="9">
        <f>IF(INDEX(Banco!$D:$D,ROW())="","",INDEX(Banco!$D:$D,ROW()))</f>
        <v/>
      </c>
      <c r="E695" s="9">
        <f>IF(INDEX(Banco!$E:$E,ROW())="","",INDEX(Banco!$E:$E,ROW()))</f>
        <v/>
      </c>
      <c r="F695" s="10">
        <f>IF(INDEX(Banco!$F:$F,ROW())="","",INDEX(Banco!$F:$F,ROW()))</f>
        <v/>
      </c>
      <c r="G695" s="10">
        <f>IF(INDEX(Banco!$G:$G,ROW())="","",INDEX(Banco!$G:$G,ROW()))</f>
        <v/>
      </c>
      <c r="H695" s="8">
        <f>IF(INDEX(Banco!$H:$H,ROW())="","",INDEX(Banco!$H:$H,ROW()))</f>
        <v/>
      </c>
      <c r="I695">
        <f>IF($T695="","",INT($T695/12)&amp;"a "&amp;MOD($T695,12)&amp;"m")</f>
        <v/>
      </c>
      <c r="J695" s="11">
        <f>IF(OR($F695="",$G695=""),"",ROUND($F695/($G695/100)^2,2))</f>
        <v/>
      </c>
      <c r="K695" s="12">
        <f>IF(OR($S695="",$J695="",$T695="",$T695&lt;0,$T695&gt;228,$Y695=""),"—",ROUND(IF(ABS($AB695)&lt;=3,$AB695,IF($AB695&gt;3,3+($J695-$AD695)/($AD695-$AC695),-3+($J695-$AF695)/($AE695-$AF695))),2))</f>
        <v/>
      </c>
      <c r="L695">
        <f>IF(OR($K695="",$K695="—"),"",IF($T695&lt;=60,IF($K695&lt;-3,"Magreza acentuada",IF($K695&lt;-2,"Magreza",IF($K695&lt;=1,"Eutrofia",IF($K695&lt;=2,"Risco de sobrepeso",IF($K695&lt;=3,"Sobrepeso","Obesidade"))))),IF($K695&lt;-3,"Magreza acentuada",IF($K695&lt;-2,"Magreza",IF($K695&lt;=1,"Eutrofia",IF($K695&lt;=2,"Sobrepeso",IF($K695&lt;=3,"Obesidade","Obesidade grave")))))))</f>
        <v/>
      </c>
      <c r="M695" s="12">
        <f>IF(OR($S695="",$V695="",$T695="",$T695&lt;0,$T695&gt;228,$AG695=""),"—",ROUND(IF($AG695=0,LN($V695/$AH695)/$AI695,((($V695/$AH695)^$AG695)-1)/($AG695*$AI695)),2))</f>
        <v/>
      </c>
      <c r="N695">
        <f>IF(OR($M695="",$M695="—"),"",IF($M695&lt;-3,"Muito baixa",IF($M695&lt;-2,"Baixa","Adequada")))</f>
        <v/>
      </c>
      <c r="O695" s="12">
        <f>IF(OR($S695="",$F695="",$T695="",$T695&lt;0,$T695&gt;120,$AJ695=""),"—",ROUND(IF(ABS($AM695)&lt;=3,$AM695,IF($AM695&gt;3,3+($F695-$AO695)/($AO695-$AN695),-3+($F695-$AQ695)/($AP695-$AQ695))),2))</f>
        <v/>
      </c>
      <c r="P695">
        <f>IF(OR($O695="",$O695="—"),"",IF($O695&lt;-3,"Muito baixo",IF($O695&lt;-2,"Baixo",IF($O695&lt;=2,"Adequado","Elevado"))))</f>
        <v/>
      </c>
      <c r="Q695" s="12">
        <f>IF(OR($S695="",$F695="",$T695="",$T695&lt;0,$T695&gt;60,$AR695=""),"—",ROUND(IF(ABS($AU695)&lt;=3,$AU695,IF($AU695&gt;3,3+($F695-$AW695)/($AW695-$AV695),-3+($F695-$AY695)/($AX695-$AY695))),2))</f>
        <v/>
      </c>
      <c r="R695">
        <f>IF(OR($Q695="",$Q695="—"),"",IF($Q695&lt;-3,"Magreza acentuada",IF($Q695&lt;-2,"Magreza",IF($Q695&lt;=1,"Eutrofia",IF($Q695&lt;=2,"Risco de sobrepeso",IF($Q695&lt;=3,"Sobrepeso","Obesidade"))))))</f>
        <v/>
      </c>
      <c r="S695">
        <f>IF($C695="","",IF(UPPER(LEFT($C695,1))="M",1,IF(UPPER(LEFT($C695,1))="F",2,"")))</f>
        <v/>
      </c>
      <c r="T695">
        <f>IF(OR($D695="",$E695=""),"",DATEDIF($D695,$E695,"m"))</f>
        <v/>
      </c>
      <c r="U695">
        <f>IF(OR($D695="",$E695=""),"",$E695-$D695)</f>
        <v/>
      </c>
      <c r="V695">
        <f>IF(OR($G695="",$T695=""),"",IF($T695&lt;24,IF(LEFT(LOWER($H695),4)="em p",$G695+0.7,$G695),IF(LEFT(LOWER($H695),4)="deit",$G695-0.7,$G695)))</f>
        <v/>
      </c>
      <c r="W695">
        <f>IF(OR($S695="",$T695=""),"",$S695*1000000+IF($T695&lt;=60,$U695,$T695))</f>
        <v/>
      </c>
      <c r="X695">
        <f>IF(OR($S695="",$V695="",$T695&gt;60,$T695=""),"",$S695*1000000+ROUND($V695*10,0))</f>
        <v/>
      </c>
      <c r="Y695">
        <f>IF($W695="","",IFERROR(INDEX(IF($T695&lt;=60,imc05_l,imc519_l),MATCH($W695,IF($T695&lt;=60,imc05_k,imc519_k),1)),""))</f>
        <v/>
      </c>
      <c r="Z695">
        <f>IF($W695="","",IFERROR(INDEX(IF($T695&lt;=60,imc05_m,imc519_m),MATCH($W695,IF($T695&lt;=60,imc05_k,imc519_k),1)),""))</f>
        <v/>
      </c>
      <c r="AA695">
        <f>IF($W695="","",IFERROR(INDEX(IF($T695&lt;=60,imc05_s,imc519_s),MATCH($W695,IF($T695&lt;=60,imc05_k,imc519_k),1)),""))</f>
        <v/>
      </c>
      <c r="AB695">
        <f>IF($Y695="","",IF($Y695=0,LN($J695/$Z695)/$AA695,((($J695/$Z695)^$Y695)-1)/($Y695*$AA695)))</f>
        <v/>
      </c>
      <c r="AC695">
        <f>IF($Y695="","",IF($Y695=0,$Z695*EXP($AA695*2),$Z695*(1+$Y695*$AA695*2)^(1/$Y695)))</f>
        <v/>
      </c>
      <c r="AD695">
        <f>IF($Y695="","",IF($Y695=0,$Z695*EXP($AA695*3),$Z695*(1+$Y695*$AA695*3)^(1/$Y695)))</f>
        <v/>
      </c>
      <c r="AE695">
        <f>IF($Y695="","",IF($Y695=0,$Z695*EXP($AA695*-2),$Z695*(1+$Y695*$AA695*-2)^(1/$Y695)))</f>
        <v/>
      </c>
      <c r="AF695">
        <f>IF($Y695="","",IF($Y695=0,$Z695*EXP($AA695*-3),$Z695*(1+$Y695*$AA695*-3)^(1/$Y695)))</f>
        <v/>
      </c>
      <c r="AG695">
        <f>IF($W695="","",IFERROR(INDEX(IF($T695&lt;=60,est05_l,est519_l),MATCH($W695,IF($T695&lt;=60,est05_k,est519_k),1)),""))</f>
        <v/>
      </c>
      <c r="AH695">
        <f>IF($W695="","",IFERROR(INDEX(IF($T695&lt;=60,est05_m,est519_m),MATCH($W695,IF($T695&lt;=60,est05_k,est519_k),1)),""))</f>
        <v/>
      </c>
      <c r="AI695">
        <f>IF($W695="","",IFERROR(INDEX(IF($T695&lt;=60,est05_s,est519_s),MATCH($W695,IF($T695&lt;=60,est05_k,est519_k),1)),""))</f>
        <v/>
      </c>
      <c r="AJ695">
        <f>IF($W695="","",IFERROR(INDEX(IF($T695&lt;=60,peso05_l,peso510_l),MATCH($W695,IF($T695&lt;=60,peso05_k,peso510_k),1)),""))</f>
        <v/>
      </c>
      <c r="AK695">
        <f>IF($W695="","",IFERROR(INDEX(IF($T695&lt;=60,peso05_m,peso510_m),MATCH($W695,IF($T695&lt;=60,peso05_k,peso510_k),1)),""))</f>
        <v/>
      </c>
      <c r="AL695">
        <f>IF($W695="","",IFERROR(INDEX(IF($T695&lt;=60,peso05_s,peso510_s),MATCH($W695,IF($T695&lt;=60,peso05_k,peso510_k),1)),""))</f>
        <v/>
      </c>
      <c r="AM695">
        <f>IF($AJ695="","",IF($AJ695=0,LN($F695/$AK695)/$AL695,((($F695/$AK695)^$AJ695)-1)/($AJ695*$AL695)))</f>
        <v/>
      </c>
      <c r="AN695">
        <f>IF($AJ695="","",IF($AJ695=0,$AK695*EXP($AL695*2),$AK695*(1+$AJ695*$AL695*2)^(1/$AJ695)))</f>
        <v/>
      </c>
      <c r="AO695">
        <f>IF($AJ695="","",IF($AJ695=0,$AK695*EXP($AL695*3),$AK695*(1+$AJ695*$AL695*3)^(1/$AJ695)))</f>
        <v/>
      </c>
      <c r="AP695">
        <f>IF($AJ695="","",IF($AJ695=0,$AK695*EXP($AL695*-2),$AK695*(1+$AJ695*$AL695*-2)^(1/$AJ695)))</f>
        <v/>
      </c>
      <c r="AQ695">
        <f>IF($AJ695="","",IF($AJ695=0,$AK695*EXP($AL695*-3),$AK695*(1+$AJ695*$AL695*-3)^(1/$AJ695)))</f>
        <v/>
      </c>
      <c r="AR695">
        <f>IF(OR($X695="",$T695&gt;60),"",IFERROR(INDEX(IF($T695&lt;24,pcomp_l,palt_l),MATCH($X695,IF($T695&lt;24,pcomp_k,palt_k),1)),""))</f>
        <v/>
      </c>
      <c r="AS695">
        <f>IF(OR($X695="",$T695&gt;60),"",IFERROR(INDEX(IF($T695&lt;24,pcomp_m,palt_m),MATCH($X695,IF($T695&lt;24,pcomp_k,palt_k),1)),""))</f>
        <v/>
      </c>
      <c r="AT695">
        <f>IF(OR($X695="",$T695&gt;60),"",IFERROR(INDEX(IF($T695&lt;24,pcomp_s,palt_s),MATCH($X695,IF($T695&lt;24,pcomp_k,palt_k),1)),""))</f>
        <v/>
      </c>
      <c r="AU695">
        <f>IF($AR695="","",IF($AR695=0,LN($F695/$AS695)/$AT695,((($F695/$AS695)^$AR695)-1)/($AR695*$AT695)))</f>
        <v/>
      </c>
      <c r="AV695">
        <f>IF($AR695="","",IF($AR695=0,$AS695*EXP($AT695*2),$AS695*(1+$AR695*$AT695*2)^(1/$AR695)))</f>
        <v/>
      </c>
      <c r="AW695">
        <f>IF($AR695="","",IF($AR695=0,$AS695*EXP($AT695*3),$AS695*(1+$AR695*$AT695*3)^(1/$AR695)))</f>
        <v/>
      </c>
      <c r="AX695">
        <f>IF($AR695="","",IF($AR695=0,$AS695*EXP($AT695*-2),$AS695*(1+$AR695*$AT695*-2)^(1/$AR695)))</f>
        <v/>
      </c>
      <c r="AY695">
        <f>IF($AR695="","",IF($AR695=0,$AS695*EXP($AT695*-3),$AS695*(1+$AR695*$AT695*-3)^(1/$AR695)))</f>
        <v/>
      </c>
      <c r="AZ695">
        <f>IF(OR($A695="",$A695&lt;&gt;Ficha!$C$4),"",COUNTIF($A$2:$A695,Ficha!$C$4))</f>
        <v/>
      </c>
    </row>
    <row r="696">
      <c r="A696" s="8">
        <f>IF(INDEX(Banco!$A:$A,ROW())="","",INDEX(Banco!$A:$A,ROW()))</f>
        <v/>
      </c>
      <c r="B696" s="8">
        <f>IF(INDEX(Banco!$B:$B,ROW())="","",INDEX(Banco!$B:$B,ROW()))</f>
        <v/>
      </c>
      <c r="C696" s="8">
        <f>IF(INDEX(Banco!$C:$C,ROW())="","",INDEX(Banco!$C:$C,ROW()))</f>
        <v/>
      </c>
      <c r="D696" s="9">
        <f>IF(INDEX(Banco!$D:$D,ROW())="","",INDEX(Banco!$D:$D,ROW()))</f>
        <v/>
      </c>
      <c r="E696" s="9">
        <f>IF(INDEX(Banco!$E:$E,ROW())="","",INDEX(Banco!$E:$E,ROW()))</f>
        <v/>
      </c>
      <c r="F696" s="10">
        <f>IF(INDEX(Banco!$F:$F,ROW())="","",INDEX(Banco!$F:$F,ROW()))</f>
        <v/>
      </c>
      <c r="G696" s="10">
        <f>IF(INDEX(Banco!$G:$G,ROW())="","",INDEX(Banco!$G:$G,ROW()))</f>
        <v/>
      </c>
      <c r="H696" s="8">
        <f>IF(INDEX(Banco!$H:$H,ROW())="","",INDEX(Banco!$H:$H,ROW()))</f>
        <v/>
      </c>
      <c r="I696">
        <f>IF($T696="","",INT($T696/12)&amp;"a "&amp;MOD($T696,12)&amp;"m")</f>
        <v/>
      </c>
      <c r="J696" s="11">
        <f>IF(OR($F696="",$G696=""),"",ROUND($F696/($G696/100)^2,2))</f>
        <v/>
      </c>
      <c r="K696" s="12">
        <f>IF(OR($S696="",$J696="",$T696="",$T696&lt;0,$T696&gt;228,$Y696=""),"—",ROUND(IF(ABS($AB696)&lt;=3,$AB696,IF($AB696&gt;3,3+($J696-$AD696)/($AD696-$AC696),-3+($J696-$AF696)/($AE696-$AF696))),2))</f>
        <v/>
      </c>
      <c r="L696">
        <f>IF(OR($K696="",$K696="—"),"",IF($T696&lt;=60,IF($K696&lt;-3,"Magreza acentuada",IF($K696&lt;-2,"Magreza",IF($K696&lt;=1,"Eutrofia",IF($K696&lt;=2,"Risco de sobrepeso",IF($K696&lt;=3,"Sobrepeso","Obesidade"))))),IF($K696&lt;-3,"Magreza acentuada",IF($K696&lt;-2,"Magreza",IF($K696&lt;=1,"Eutrofia",IF($K696&lt;=2,"Sobrepeso",IF($K696&lt;=3,"Obesidade","Obesidade grave")))))))</f>
        <v/>
      </c>
      <c r="M696" s="12">
        <f>IF(OR($S696="",$V696="",$T696="",$T696&lt;0,$T696&gt;228,$AG696=""),"—",ROUND(IF($AG696=0,LN($V696/$AH696)/$AI696,((($V696/$AH696)^$AG696)-1)/($AG696*$AI696)),2))</f>
        <v/>
      </c>
      <c r="N696">
        <f>IF(OR($M696="",$M696="—"),"",IF($M696&lt;-3,"Muito baixa",IF($M696&lt;-2,"Baixa","Adequada")))</f>
        <v/>
      </c>
      <c r="O696" s="12">
        <f>IF(OR($S696="",$F696="",$T696="",$T696&lt;0,$T696&gt;120,$AJ696=""),"—",ROUND(IF(ABS($AM696)&lt;=3,$AM696,IF($AM696&gt;3,3+($F696-$AO696)/($AO696-$AN696),-3+($F696-$AQ696)/($AP696-$AQ696))),2))</f>
        <v/>
      </c>
      <c r="P696">
        <f>IF(OR($O696="",$O696="—"),"",IF($O696&lt;-3,"Muito baixo",IF($O696&lt;-2,"Baixo",IF($O696&lt;=2,"Adequado","Elevado"))))</f>
        <v/>
      </c>
      <c r="Q696" s="12">
        <f>IF(OR($S696="",$F696="",$T696="",$T696&lt;0,$T696&gt;60,$AR696=""),"—",ROUND(IF(ABS($AU696)&lt;=3,$AU696,IF($AU696&gt;3,3+($F696-$AW696)/($AW696-$AV696),-3+($F696-$AY696)/($AX696-$AY696))),2))</f>
        <v/>
      </c>
      <c r="R696">
        <f>IF(OR($Q696="",$Q696="—"),"",IF($Q696&lt;-3,"Magreza acentuada",IF($Q696&lt;-2,"Magreza",IF($Q696&lt;=1,"Eutrofia",IF($Q696&lt;=2,"Risco de sobrepeso",IF($Q696&lt;=3,"Sobrepeso","Obesidade"))))))</f>
        <v/>
      </c>
      <c r="S696">
        <f>IF($C696="","",IF(UPPER(LEFT($C696,1))="M",1,IF(UPPER(LEFT($C696,1))="F",2,"")))</f>
        <v/>
      </c>
      <c r="T696">
        <f>IF(OR($D696="",$E696=""),"",DATEDIF($D696,$E696,"m"))</f>
        <v/>
      </c>
      <c r="U696">
        <f>IF(OR($D696="",$E696=""),"",$E696-$D696)</f>
        <v/>
      </c>
      <c r="V696">
        <f>IF(OR($G696="",$T696=""),"",IF($T696&lt;24,IF(LEFT(LOWER($H696),4)="em p",$G696+0.7,$G696),IF(LEFT(LOWER($H696),4)="deit",$G696-0.7,$G696)))</f>
        <v/>
      </c>
      <c r="W696">
        <f>IF(OR($S696="",$T696=""),"",$S696*1000000+IF($T696&lt;=60,$U696,$T696))</f>
        <v/>
      </c>
      <c r="X696">
        <f>IF(OR($S696="",$V696="",$T696&gt;60,$T696=""),"",$S696*1000000+ROUND($V696*10,0))</f>
        <v/>
      </c>
      <c r="Y696">
        <f>IF($W696="","",IFERROR(INDEX(IF($T696&lt;=60,imc05_l,imc519_l),MATCH($W696,IF($T696&lt;=60,imc05_k,imc519_k),1)),""))</f>
        <v/>
      </c>
      <c r="Z696">
        <f>IF($W696="","",IFERROR(INDEX(IF($T696&lt;=60,imc05_m,imc519_m),MATCH($W696,IF($T696&lt;=60,imc05_k,imc519_k),1)),""))</f>
        <v/>
      </c>
      <c r="AA696">
        <f>IF($W696="","",IFERROR(INDEX(IF($T696&lt;=60,imc05_s,imc519_s),MATCH($W696,IF($T696&lt;=60,imc05_k,imc519_k),1)),""))</f>
        <v/>
      </c>
      <c r="AB696">
        <f>IF($Y696="","",IF($Y696=0,LN($J696/$Z696)/$AA696,((($J696/$Z696)^$Y696)-1)/($Y696*$AA696)))</f>
        <v/>
      </c>
      <c r="AC696">
        <f>IF($Y696="","",IF($Y696=0,$Z696*EXP($AA696*2),$Z696*(1+$Y696*$AA696*2)^(1/$Y696)))</f>
        <v/>
      </c>
      <c r="AD696">
        <f>IF($Y696="","",IF($Y696=0,$Z696*EXP($AA696*3),$Z696*(1+$Y696*$AA696*3)^(1/$Y696)))</f>
        <v/>
      </c>
      <c r="AE696">
        <f>IF($Y696="","",IF($Y696=0,$Z696*EXP($AA696*-2),$Z696*(1+$Y696*$AA696*-2)^(1/$Y696)))</f>
        <v/>
      </c>
      <c r="AF696">
        <f>IF($Y696="","",IF($Y696=0,$Z696*EXP($AA696*-3),$Z696*(1+$Y696*$AA696*-3)^(1/$Y696)))</f>
        <v/>
      </c>
      <c r="AG696">
        <f>IF($W696="","",IFERROR(INDEX(IF($T696&lt;=60,est05_l,est519_l),MATCH($W696,IF($T696&lt;=60,est05_k,est519_k),1)),""))</f>
        <v/>
      </c>
      <c r="AH696">
        <f>IF($W696="","",IFERROR(INDEX(IF($T696&lt;=60,est05_m,est519_m),MATCH($W696,IF($T696&lt;=60,est05_k,est519_k),1)),""))</f>
        <v/>
      </c>
      <c r="AI696">
        <f>IF($W696="","",IFERROR(INDEX(IF($T696&lt;=60,est05_s,est519_s),MATCH($W696,IF($T696&lt;=60,est05_k,est519_k),1)),""))</f>
        <v/>
      </c>
      <c r="AJ696">
        <f>IF($W696="","",IFERROR(INDEX(IF($T696&lt;=60,peso05_l,peso510_l),MATCH($W696,IF($T696&lt;=60,peso05_k,peso510_k),1)),""))</f>
        <v/>
      </c>
      <c r="AK696">
        <f>IF($W696="","",IFERROR(INDEX(IF($T696&lt;=60,peso05_m,peso510_m),MATCH($W696,IF($T696&lt;=60,peso05_k,peso510_k),1)),""))</f>
        <v/>
      </c>
      <c r="AL696">
        <f>IF($W696="","",IFERROR(INDEX(IF($T696&lt;=60,peso05_s,peso510_s),MATCH($W696,IF($T696&lt;=60,peso05_k,peso510_k),1)),""))</f>
        <v/>
      </c>
      <c r="AM696">
        <f>IF($AJ696="","",IF($AJ696=0,LN($F696/$AK696)/$AL696,((($F696/$AK696)^$AJ696)-1)/($AJ696*$AL696)))</f>
        <v/>
      </c>
      <c r="AN696">
        <f>IF($AJ696="","",IF($AJ696=0,$AK696*EXP($AL696*2),$AK696*(1+$AJ696*$AL696*2)^(1/$AJ696)))</f>
        <v/>
      </c>
      <c r="AO696">
        <f>IF($AJ696="","",IF($AJ696=0,$AK696*EXP($AL696*3),$AK696*(1+$AJ696*$AL696*3)^(1/$AJ696)))</f>
        <v/>
      </c>
      <c r="AP696">
        <f>IF($AJ696="","",IF($AJ696=0,$AK696*EXP($AL696*-2),$AK696*(1+$AJ696*$AL696*-2)^(1/$AJ696)))</f>
        <v/>
      </c>
      <c r="AQ696">
        <f>IF($AJ696="","",IF($AJ696=0,$AK696*EXP($AL696*-3),$AK696*(1+$AJ696*$AL696*-3)^(1/$AJ696)))</f>
        <v/>
      </c>
      <c r="AR696">
        <f>IF(OR($X696="",$T696&gt;60),"",IFERROR(INDEX(IF($T696&lt;24,pcomp_l,palt_l),MATCH($X696,IF($T696&lt;24,pcomp_k,palt_k),1)),""))</f>
        <v/>
      </c>
      <c r="AS696">
        <f>IF(OR($X696="",$T696&gt;60),"",IFERROR(INDEX(IF($T696&lt;24,pcomp_m,palt_m),MATCH($X696,IF($T696&lt;24,pcomp_k,palt_k),1)),""))</f>
        <v/>
      </c>
      <c r="AT696">
        <f>IF(OR($X696="",$T696&gt;60),"",IFERROR(INDEX(IF($T696&lt;24,pcomp_s,palt_s),MATCH($X696,IF($T696&lt;24,pcomp_k,palt_k),1)),""))</f>
        <v/>
      </c>
      <c r="AU696">
        <f>IF($AR696="","",IF($AR696=0,LN($F696/$AS696)/$AT696,((($F696/$AS696)^$AR696)-1)/($AR696*$AT696)))</f>
        <v/>
      </c>
      <c r="AV696">
        <f>IF($AR696="","",IF($AR696=0,$AS696*EXP($AT696*2),$AS696*(1+$AR696*$AT696*2)^(1/$AR696)))</f>
        <v/>
      </c>
      <c r="AW696">
        <f>IF($AR696="","",IF($AR696=0,$AS696*EXP($AT696*3),$AS696*(1+$AR696*$AT696*3)^(1/$AR696)))</f>
        <v/>
      </c>
      <c r="AX696">
        <f>IF($AR696="","",IF($AR696=0,$AS696*EXP($AT696*-2),$AS696*(1+$AR696*$AT696*-2)^(1/$AR696)))</f>
        <v/>
      </c>
      <c r="AY696">
        <f>IF($AR696="","",IF($AR696=0,$AS696*EXP($AT696*-3),$AS696*(1+$AR696*$AT696*-3)^(1/$AR696)))</f>
        <v/>
      </c>
      <c r="AZ696">
        <f>IF(OR($A696="",$A696&lt;&gt;Ficha!$C$4),"",COUNTIF($A$2:$A696,Ficha!$C$4))</f>
        <v/>
      </c>
    </row>
    <row r="697">
      <c r="A697" s="8">
        <f>IF(INDEX(Banco!$A:$A,ROW())="","",INDEX(Banco!$A:$A,ROW()))</f>
        <v/>
      </c>
      <c r="B697" s="8">
        <f>IF(INDEX(Banco!$B:$B,ROW())="","",INDEX(Banco!$B:$B,ROW()))</f>
        <v/>
      </c>
      <c r="C697" s="8">
        <f>IF(INDEX(Banco!$C:$C,ROW())="","",INDEX(Banco!$C:$C,ROW()))</f>
        <v/>
      </c>
      <c r="D697" s="9">
        <f>IF(INDEX(Banco!$D:$D,ROW())="","",INDEX(Banco!$D:$D,ROW()))</f>
        <v/>
      </c>
      <c r="E697" s="9">
        <f>IF(INDEX(Banco!$E:$E,ROW())="","",INDEX(Banco!$E:$E,ROW()))</f>
        <v/>
      </c>
      <c r="F697" s="10">
        <f>IF(INDEX(Banco!$F:$F,ROW())="","",INDEX(Banco!$F:$F,ROW()))</f>
        <v/>
      </c>
      <c r="G697" s="10">
        <f>IF(INDEX(Banco!$G:$G,ROW())="","",INDEX(Banco!$G:$G,ROW()))</f>
        <v/>
      </c>
      <c r="H697" s="8">
        <f>IF(INDEX(Banco!$H:$H,ROW())="","",INDEX(Banco!$H:$H,ROW()))</f>
        <v/>
      </c>
      <c r="I697">
        <f>IF($T697="","",INT($T697/12)&amp;"a "&amp;MOD($T697,12)&amp;"m")</f>
        <v/>
      </c>
      <c r="J697" s="11">
        <f>IF(OR($F697="",$G697=""),"",ROUND($F697/($G697/100)^2,2))</f>
        <v/>
      </c>
      <c r="K697" s="12">
        <f>IF(OR($S697="",$J697="",$T697="",$T697&lt;0,$T697&gt;228,$Y697=""),"—",ROUND(IF(ABS($AB697)&lt;=3,$AB697,IF($AB697&gt;3,3+($J697-$AD697)/($AD697-$AC697),-3+($J697-$AF697)/($AE697-$AF697))),2))</f>
        <v/>
      </c>
      <c r="L697">
        <f>IF(OR($K697="",$K697="—"),"",IF($T697&lt;=60,IF($K697&lt;-3,"Magreza acentuada",IF($K697&lt;-2,"Magreza",IF($K697&lt;=1,"Eutrofia",IF($K697&lt;=2,"Risco de sobrepeso",IF($K697&lt;=3,"Sobrepeso","Obesidade"))))),IF($K697&lt;-3,"Magreza acentuada",IF($K697&lt;-2,"Magreza",IF($K697&lt;=1,"Eutrofia",IF($K697&lt;=2,"Sobrepeso",IF($K697&lt;=3,"Obesidade","Obesidade grave")))))))</f>
        <v/>
      </c>
      <c r="M697" s="12">
        <f>IF(OR($S697="",$V697="",$T697="",$T697&lt;0,$T697&gt;228,$AG697=""),"—",ROUND(IF($AG697=0,LN($V697/$AH697)/$AI697,((($V697/$AH697)^$AG697)-1)/($AG697*$AI697)),2))</f>
        <v/>
      </c>
      <c r="N697">
        <f>IF(OR($M697="",$M697="—"),"",IF($M697&lt;-3,"Muito baixa",IF($M697&lt;-2,"Baixa","Adequada")))</f>
        <v/>
      </c>
      <c r="O697" s="12">
        <f>IF(OR($S697="",$F697="",$T697="",$T697&lt;0,$T697&gt;120,$AJ697=""),"—",ROUND(IF(ABS($AM697)&lt;=3,$AM697,IF($AM697&gt;3,3+($F697-$AO697)/($AO697-$AN697),-3+($F697-$AQ697)/($AP697-$AQ697))),2))</f>
        <v/>
      </c>
      <c r="P697">
        <f>IF(OR($O697="",$O697="—"),"",IF($O697&lt;-3,"Muito baixo",IF($O697&lt;-2,"Baixo",IF($O697&lt;=2,"Adequado","Elevado"))))</f>
        <v/>
      </c>
      <c r="Q697" s="12">
        <f>IF(OR($S697="",$F697="",$T697="",$T697&lt;0,$T697&gt;60,$AR697=""),"—",ROUND(IF(ABS($AU697)&lt;=3,$AU697,IF($AU697&gt;3,3+($F697-$AW697)/($AW697-$AV697),-3+($F697-$AY697)/($AX697-$AY697))),2))</f>
        <v/>
      </c>
      <c r="R697">
        <f>IF(OR($Q697="",$Q697="—"),"",IF($Q697&lt;-3,"Magreza acentuada",IF($Q697&lt;-2,"Magreza",IF($Q697&lt;=1,"Eutrofia",IF($Q697&lt;=2,"Risco de sobrepeso",IF($Q697&lt;=3,"Sobrepeso","Obesidade"))))))</f>
        <v/>
      </c>
      <c r="S697">
        <f>IF($C697="","",IF(UPPER(LEFT($C697,1))="M",1,IF(UPPER(LEFT($C697,1))="F",2,"")))</f>
        <v/>
      </c>
      <c r="T697">
        <f>IF(OR($D697="",$E697=""),"",DATEDIF($D697,$E697,"m"))</f>
        <v/>
      </c>
      <c r="U697">
        <f>IF(OR($D697="",$E697=""),"",$E697-$D697)</f>
        <v/>
      </c>
      <c r="V697">
        <f>IF(OR($G697="",$T697=""),"",IF($T697&lt;24,IF(LEFT(LOWER($H697),4)="em p",$G697+0.7,$G697),IF(LEFT(LOWER($H697),4)="deit",$G697-0.7,$G697)))</f>
        <v/>
      </c>
      <c r="W697">
        <f>IF(OR($S697="",$T697=""),"",$S697*1000000+IF($T697&lt;=60,$U697,$T697))</f>
        <v/>
      </c>
      <c r="X697">
        <f>IF(OR($S697="",$V697="",$T697&gt;60,$T697=""),"",$S697*1000000+ROUND($V697*10,0))</f>
        <v/>
      </c>
      <c r="Y697">
        <f>IF($W697="","",IFERROR(INDEX(IF($T697&lt;=60,imc05_l,imc519_l),MATCH($W697,IF($T697&lt;=60,imc05_k,imc519_k),1)),""))</f>
        <v/>
      </c>
      <c r="Z697">
        <f>IF($W697="","",IFERROR(INDEX(IF($T697&lt;=60,imc05_m,imc519_m),MATCH($W697,IF($T697&lt;=60,imc05_k,imc519_k),1)),""))</f>
        <v/>
      </c>
      <c r="AA697">
        <f>IF($W697="","",IFERROR(INDEX(IF($T697&lt;=60,imc05_s,imc519_s),MATCH($W697,IF($T697&lt;=60,imc05_k,imc519_k),1)),""))</f>
        <v/>
      </c>
      <c r="AB697">
        <f>IF($Y697="","",IF($Y697=0,LN($J697/$Z697)/$AA697,((($J697/$Z697)^$Y697)-1)/($Y697*$AA697)))</f>
        <v/>
      </c>
      <c r="AC697">
        <f>IF($Y697="","",IF($Y697=0,$Z697*EXP($AA697*2),$Z697*(1+$Y697*$AA697*2)^(1/$Y697)))</f>
        <v/>
      </c>
      <c r="AD697">
        <f>IF($Y697="","",IF($Y697=0,$Z697*EXP($AA697*3),$Z697*(1+$Y697*$AA697*3)^(1/$Y697)))</f>
        <v/>
      </c>
      <c r="AE697">
        <f>IF($Y697="","",IF($Y697=0,$Z697*EXP($AA697*-2),$Z697*(1+$Y697*$AA697*-2)^(1/$Y697)))</f>
        <v/>
      </c>
      <c r="AF697">
        <f>IF($Y697="","",IF($Y697=0,$Z697*EXP($AA697*-3),$Z697*(1+$Y697*$AA697*-3)^(1/$Y697)))</f>
        <v/>
      </c>
      <c r="AG697">
        <f>IF($W697="","",IFERROR(INDEX(IF($T697&lt;=60,est05_l,est519_l),MATCH($W697,IF($T697&lt;=60,est05_k,est519_k),1)),""))</f>
        <v/>
      </c>
      <c r="AH697">
        <f>IF($W697="","",IFERROR(INDEX(IF($T697&lt;=60,est05_m,est519_m),MATCH($W697,IF($T697&lt;=60,est05_k,est519_k),1)),""))</f>
        <v/>
      </c>
      <c r="AI697">
        <f>IF($W697="","",IFERROR(INDEX(IF($T697&lt;=60,est05_s,est519_s),MATCH($W697,IF($T697&lt;=60,est05_k,est519_k),1)),""))</f>
        <v/>
      </c>
      <c r="AJ697">
        <f>IF($W697="","",IFERROR(INDEX(IF($T697&lt;=60,peso05_l,peso510_l),MATCH($W697,IF($T697&lt;=60,peso05_k,peso510_k),1)),""))</f>
        <v/>
      </c>
      <c r="AK697">
        <f>IF($W697="","",IFERROR(INDEX(IF($T697&lt;=60,peso05_m,peso510_m),MATCH($W697,IF($T697&lt;=60,peso05_k,peso510_k),1)),""))</f>
        <v/>
      </c>
      <c r="AL697">
        <f>IF($W697="","",IFERROR(INDEX(IF($T697&lt;=60,peso05_s,peso510_s),MATCH($W697,IF($T697&lt;=60,peso05_k,peso510_k),1)),""))</f>
        <v/>
      </c>
      <c r="AM697">
        <f>IF($AJ697="","",IF($AJ697=0,LN($F697/$AK697)/$AL697,((($F697/$AK697)^$AJ697)-1)/($AJ697*$AL697)))</f>
        <v/>
      </c>
      <c r="AN697">
        <f>IF($AJ697="","",IF($AJ697=0,$AK697*EXP($AL697*2),$AK697*(1+$AJ697*$AL697*2)^(1/$AJ697)))</f>
        <v/>
      </c>
      <c r="AO697">
        <f>IF($AJ697="","",IF($AJ697=0,$AK697*EXP($AL697*3),$AK697*(1+$AJ697*$AL697*3)^(1/$AJ697)))</f>
        <v/>
      </c>
      <c r="AP697">
        <f>IF($AJ697="","",IF($AJ697=0,$AK697*EXP($AL697*-2),$AK697*(1+$AJ697*$AL697*-2)^(1/$AJ697)))</f>
        <v/>
      </c>
      <c r="AQ697">
        <f>IF($AJ697="","",IF($AJ697=0,$AK697*EXP($AL697*-3),$AK697*(1+$AJ697*$AL697*-3)^(1/$AJ697)))</f>
        <v/>
      </c>
      <c r="AR697">
        <f>IF(OR($X697="",$T697&gt;60),"",IFERROR(INDEX(IF($T697&lt;24,pcomp_l,palt_l),MATCH($X697,IF($T697&lt;24,pcomp_k,palt_k),1)),""))</f>
        <v/>
      </c>
      <c r="AS697">
        <f>IF(OR($X697="",$T697&gt;60),"",IFERROR(INDEX(IF($T697&lt;24,pcomp_m,palt_m),MATCH($X697,IF($T697&lt;24,pcomp_k,palt_k),1)),""))</f>
        <v/>
      </c>
      <c r="AT697">
        <f>IF(OR($X697="",$T697&gt;60),"",IFERROR(INDEX(IF($T697&lt;24,pcomp_s,palt_s),MATCH($X697,IF($T697&lt;24,pcomp_k,palt_k),1)),""))</f>
        <v/>
      </c>
      <c r="AU697">
        <f>IF($AR697="","",IF($AR697=0,LN($F697/$AS697)/$AT697,((($F697/$AS697)^$AR697)-1)/($AR697*$AT697)))</f>
        <v/>
      </c>
      <c r="AV697">
        <f>IF($AR697="","",IF($AR697=0,$AS697*EXP($AT697*2),$AS697*(1+$AR697*$AT697*2)^(1/$AR697)))</f>
        <v/>
      </c>
      <c r="AW697">
        <f>IF($AR697="","",IF($AR697=0,$AS697*EXP($AT697*3),$AS697*(1+$AR697*$AT697*3)^(1/$AR697)))</f>
        <v/>
      </c>
      <c r="AX697">
        <f>IF($AR697="","",IF($AR697=0,$AS697*EXP($AT697*-2),$AS697*(1+$AR697*$AT697*-2)^(1/$AR697)))</f>
        <v/>
      </c>
      <c r="AY697">
        <f>IF($AR697="","",IF($AR697=0,$AS697*EXP($AT697*-3),$AS697*(1+$AR697*$AT697*-3)^(1/$AR697)))</f>
        <v/>
      </c>
      <c r="AZ697">
        <f>IF(OR($A697="",$A697&lt;&gt;Ficha!$C$4),"",COUNTIF($A$2:$A697,Ficha!$C$4))</f>
        <v/>
      </c>
    </row>
    <row r="698">
      <c r="A698" s="8">
        <f>IF(INDEX(Banco!$A:$A,ROW())="","",INDEX(Banco!$A:$A,ROW()))</f>
        <v/>
      </c>
      <c r="B698" s="8">
        <f>IF(INDEX(Banco!$B:$B,ROW())="","",INDEX(Banco!$B:$B,ROW()))</f>
        <v/>
      </c>
      <c r="C698" s="8">
        <f>IF(INDEX(Banco!$C:$C,ROW())="","",INDEX(Banco!$C:$C,ROW()))</f>
        <v/>
      </c>
      <c r="D698" s="9">
        <f>IF(INDEX(Banco!$D:$D,ROW())="","",INDEX(Banco!$D:$D,ROW()))</f>
        <v/>
      </c>
      <c r="E698" s="9">
        <f>IF(INDEX(Banco!$E:$E,ROW())="","",INDEX(Banco!$E:$E,ROW()))</f>
        <v/>
      </c>
      <c r="F698" s="10">
        <f>IF(INDEX(Banco!$F:$F,ROW())="","",INDEX(Banco!$F:$F,ROW()))</f>
        <v/>
      </c>
      <c r="G698" s="10">
        <f>IF(INDEX(Banco!$G:$G,ROW())="","",INDEX(Banco!$G:$G,ROW()))</f>
        <v/>
      </c>
      <c r="H698" s="8">
        <f>IF(INDEX(Banco!$H:$H,ROW())="","",INDEX(Banco!$H:$H,ROW()))</f>
        <v/>
      </c>
      <c r="I698">
        <f>IF($T698="","",INT($T698/12)&amp;"a "&amp;MOD($T698,12)&amp;"m")</f>
        <v/>
      </c>
      <c r="J698" s="11">
        <f>IF(OR($F698="",$G698=""),"",ROUND($F698/($G698/100)^2,2))</f>
        <v/>
      </c>
      <c r="K698" s="12">
        <f>IF(OR($S698="",$J698="",$T698="",$T698&lt;0,$T698&gt;228,$Y698=""),"—",ROUND(IF(ABS($AB698)&lt;=3,$AB698,IF($AB698&gt;3,3+($J698-$AD698)/($AD698-$AC698),-3+($J698-$AF698)/($AE698-$AF698))),2))</f>
        <v/>
      </c>
      <c r="L698">
        <f>IF(OR($K698="",$K698="—"),"",IF($T698&lt;=60,IF($K698&lt;-3,"Magreza acentuada",IF($K698&lt;-2,"Magreza",IF($K698&lt;=1,"Eutrofia",IF($K698&lt;=2,"Risco de sobrepeso",IF($K698&lt;=3,"Sobrepeso","Obesidade"))))),IF($K698&lt;-3,"Magreza acentuada",IF($K698&lt;-2,"Magreza",IF($K698&lt;=1,"Eutrofia",IF($K698&lt;=2,"Sobrepeso",IF($K698&lt;=3,"Obesidade","Obesidade grave")))))))</f>
        <v/>
      </c>
      <c r="M698" s="12">
        <f>IF(OR($S698="",$V698="",$T698="",$T698&lt;0,$T698&gt;228,$AG698=""),"—",ROUND(IF($AG698=0,LN($V698/$AH698)/$AI698,((($V698/$AH698)^$AG698)-1)/($AG698*$AI698)),2))</f>
        <v/>
      </c>
      <c r="N698">
        <f>IF(OR($M698="",$M698="—"),"",IF($M698&lt;-3,"Muito baixa",IF($M698&lt;-2,"Baixa","Adequada")))</f>
        <v/>
      </c>
      <c r="O698" s="12">
        <f>IF(OR($S698="",$F698="",$T698="",$T698&lt;0,$T698&gt;120,$AJ698=""),"—",ROUND(IF(ABS($AM698)&lt;=3,$AM698,IF($AM698&gt;3,3+($F698-$AO698)/($AO698-$AN698),-3+($F698-$AQ698)/($AP698-$AQ698))),2))</f>
        <v/>
      </c>
      <c r="P698">
        <f>IF(OR($O698="",$O698="—"),"",IF($O698&lt;-3,"Muito baixo",IF($O698&lt;-2,"Baixo",IF($O698&lt;=2,"Adequado","Elevado"))))</f>
        <v/>
      </c>
      <c r="Q698" s="12">
        <f>IF(OR($S698="",$F698="",$T698="",$T698&lt;0,$T698&gt;60,$AR698=""),"—",ROUND(IF(ABS($AU698)&lt;=3,$AU698,IF($AU698&gt;3,3+($F698-$AW698)/($AW698-$AV698),-3+($F698-$AY698)/($AX698-$AY698))),2))</f>
        <v/>
      </c>
      <c r="R698">
        <f>IF(OR($Q698="",$Q698="—"),"",IF($Q698&lt;-3,"Magreza acentuada",IF($Q698&lt;-2,"Magreza",IF($Q698&lt;=1,"Eutrofia",IF($Q698&lt;=2,"Risco de sobrepeso",IF($Q698&lt;=3,"Sobrepeso","Obesidade"))))))</f>
        <v/>
      </c>
      <c r="S698">
        <f>IF($C698="","",IF(UPPER(LEFT($C698,1))="M",1,IF(UPPER(LEFT($C698,1))="F",2,"")))</f>
        <v/>
      </c>
      <c r="T698">
        <f>IF(OR($D698="",$E698=""),"",DATEDIF($D698,$E698,"m"))</f>
        <v/>
      </c>
      <c r="U698">
        <f>IF(OR($D698="",$E698=""),"",$E698-$D698)</f>
        <v/>
      </c>
      <c r="V698">
        <f>IF(OR($G698="",$T698=""),"",IF($T698&lt;24,IF(LEFT(LOWER($H698),4)="em p",$G698+0.7,$G698),IF(LEFT(LOWER($H698),4)="deit",$G698-0.7,$G698)))</f>
        <v/>
      </c>
      <c r="W698">
        <f>IF(OR($S698="",$T698=""),"",$S698*1000000+IF($T698&lt;=60,$U698,$T698))</f>
        <v/>
      </c>
      <c r="X698">
        <f>IF(OR($S698="",$V698="",$T698&gt;60,$T698=""),"",$S698*1000000+ROUND($V698*10,0))</f>
        <v/>
      </c>
      <c r="Y698">
        <f>IF($W698="","",IFERROR(INDEX(IF($T698&lt;=60,imc05_l,imc519_l),MATCH($W698,IF($T698&lt;=60,imc05_k,imc519_k),1)),""))</f>
        <v/>
      </c>
      <c r="Z698">
        <f>IF($W698="","",IFERROR(INDEX(IF($T698&lt;=60,imc05_m,imc519_m),MATCH($W698,IF($T698&lt;=60,imc05_k,imc519_k),1)),""))</f>
        <v/>
      </c>
      <c r="AA698">
        <f>IF($W698="","",IFERROR(INDEX(IF($T698&lt;=60,imc05_s,imc519_s),MATCH($W698,IF($T698&lt;=60,imc05_k,imc519_k),1)),""))</f>
        <v/>
      </c>
      <c r="AB698">
        <f>IF($Y698="","",IF($Y698=0,LN($J698/$Z698)/$AA698,((($J698/$Z698)^$Y698)-1)/($Y698*$AA698)))</f>
        <v/>
      </c>
      <c r="AC698">
        <f>IF($Y698="","",IF($Y698=0,$Z698*EXP($AA698*2),$Z698*(1+$Y698*$AA698*2)^(1/$Y698)))</f>
        <v/>
      </c>
      <c r="AD698">
        <f>IF($Y698="","",IF($Y698=0,$Z698*EXP($AA698*3),$Z698*(1+$Y698*$AA698*3)^(1/$Y698)))</f>
        <v/>
      </c>
      <c r="AE698">
        <f>IF($Y698="","",IF($Y698=0,$Z698*EXP($AA698*-2),$Z698*(1+$Y698*$AA698*-2)^(1/$Y698)))</f>
        <v/>
      </c>
      <c r="AF698">
        <f>IF($Y698="","",IF($Y698=0,$Z698*EXP($AA698*-3),$Z698*(1+$Y698*$AA698*-3)^(1/$Y698)))</f>
        <v/>
      </c>
      <c r="AG698">
        <f>IF($W698="","",IFERROR(INDEX(IF($T698&lt;=60,est05_l,est519_l),MATCH($W698,IF($T698&lt;=60,est05_k,est519_k),1)),""))</f>
        <v/>
      </c>
      <c r="AH698">
        <f>IF($W698="","",IFERROR(INDEX(IF($T698&lt;=60,est05_m,est519_m),MATCH($W698,IF($T698&lt;=60,est05_k,est519_k),1)),""))</f>
        <v/>
      </c>
      <c r="AI698">
        <f>IF($W698="","",IFERROR(INDEX(IF($T698&lt;=60,est05_s,est519_s),MATCH($W698,IF($T698&lt;=60,est05_k,est519_k),1)),""))</f>
        <v/>
      </c>
      <c r="AJ698">
        <f>IF($W698="","",IFERROR(INDEX(IF($T698&lt;=60,peso05_l,peso510_l),MATCH($W698,IF($T698&lt;=60,peso05_k,peso510_k),1)),""))</f>
        <v/>
      </c>
      <c r="AK698">
        <f>IF($W698="","",IFERROR(INDEX(IF($T698&lt;=60,peso05_m,peso510_m),MATCH($W698,IF($T698&lt;=60,peso05_k,peso510_k),1)),""))</f>
        <v/>
      </c>
      <c r="AL698">
        <f>IF($W698="","",IFERROR(INDEX(IF($T698&lt;=60,peso05_s,peso510_s),MATCH($W698,IF($T698&lt;=60,peso05_k,peso510_k),1)),""))</f>
        <v/>
      </c>
      <c r="AM698">
        <f>IF($AJ698="","",IF($AJ698=0,LN($F698/$AK698)/$AL698,((($F698/$AK698)^$AJ698)-1)/($AJ698*$AL698)))</f>
        <v/>
      </c>
      <c r="AN698">
        <f>IF($AJ698="","",IF($AJ698=0,$AK698*EXP($AL698*2),$AK698*(1+$AJ698*$AL698*2)^(1/$AJ698)))</f>
        <v/>
      </c>
      <c r="AO698">
        <f>IF($AJ698="","",IF($AJ698=0,$AK698*EXP($AL698*3),$AK698*(1+$AJ698*$AL698*3)^(1/$AJ698)))</f>
        <v/>
      </c>
      <c r="AP698">
        <f>IF($AJ698="","",IF($AJ698=0,$AK698*EXP($AL698*-2),$AK698*(1+$AJ698*$AL698*-2)^(1/$AJ698)))</f>
        <v/>
      </c>
      <c r="AQ698">
        <f>IF($AJ698="","",IF($AJ698=0,$AK698*EXP($AL698*-3),$AK698*(1+$AJ698*$AL698*-3)^(1/$AJ698)))</f>
        <v/>
      </c>
      <c r="AR698">
        <f>IF(OR($X698="",$T698&gt;60),"",IFERROR(INDEX(IF($T698&lt;24,pcomp_l,palt_l),MATCH($X698,IF($T698&lt;24,pcomp_k,palt_k),1)),""))</f>
        <v/>
      </c>
      <c r="AS698">
        <f>IF(OR($X698="",$T698&gt;60),"",IFERROR(INDEX(IF($T698&lt;24,pcomp_m,palt_m),MATCH($X698,IF($T698&lt;24,pcomp_k,palt_k),1)),""))</f>
        <v/>
      </c>
      <c r="AT698">
        <f>IF(OR($X698="",$T698&gt;60),"",IFERROR(INDEX(IF($T698&lt;24,pcomp_s,palt_s),MATCH($X698,IF($T698&lt;24,pcomp_k,palt_k),1)),""))</f>
        <v/>
      </c>
      <c r="AU698">
        <f>IF($AR698="","",IF($AR698=0,LN($F698/$AS698)/$AT698,((($F698/$AS698)^$AR698)-1)/($AR698*$AT698)))</f>
        <v/>
      </c>
      <c r="AV698">
        <f>IF($AR698="","",IF($AR698=0,$AS698*EXP($AT698*2),$AS698*(1+$AR698*$AT698*2)^(1/$AR698)))</f>
        <v/>
      </c>
      <c r="AW698">
        <f>IF($AR698="","",IF($AR698=0,$AS698*EXP($AT698*3),$AS698*(1+$AR698*$AT698*3)^(1/$AR698)))</f>
        <v/>
      </c>
      <c r="AX698">
        <f>IF($AR698="","",IF($AR698=0,$AS698*EXP($AT698*-2),$AS698*(1+$AR698*$AT698*-2)^(1/$AR698)))</f>
        <v/>
      </c>
      <c r="AY698">
        <f>IF($AR698="","",IF($AR698=0,$AS698*EXP($AT698*-3),$AS698*(1+$AR698*$AT698*-3)^(1/$AR698)))</f>
        <v/>
      </c>
      <c r="AZ698">
        <f>IF(OR($A698="",$A698&lt;&gt;Ficha!$C$4),"",COUNTIF($A$2:$A698,Ficha!$C$4))</f>
        <v/>
      </c>
    </row>
    <row r="699">
      <c r="A699" s="8">
        <f>IF(INDEX(Banco!$A:$A,ROW())="","",INDEX(Banco!$A:$A,ROW()))</f>
        <v/>
      </c>
      <c r="B699" s="8">
        <f>IF(INDEX(Banco!$B:$B,ROW())="","",INDEX(Banco!$B:$B,ROW()))</f>
        <v/>
      </c>
      <c r="C699" s="8">
        <f>IF(INDEX(Banco!$C:$C,ROW())="","",INDEX(Banco!$C:$C,ROW()))</f>
        <v/>
      </c>
      <c r="D699" s="9">
        <f>IF(INDEX(Banco!$D:$D,ROW())="","",INDEX(Banco!$D:$D,ROW()))</f>
        <v/>
      </c>
      <c r="E699" s="9">
        <f>IF(INDEX(Banco!$E:$E,ROW())="","",INDEX(Banco!$E:$E,ROW()))</f>
        <v/>
      </c>
      <c r="F699" s="10">
        <f>IF(INDEX(Banco!$F:$F,ROW())="","",INDEX(Banco!$F:$F,ROW()))</f>
        <v/>
      </c>
      <c r="G699" s="10">
        <f>IF(INDEX(Banco!$G:$G,ROW())="","",INDEX(Banco!$G:$G,ROW()))</f>
        <v/>
      </c>
      <c r="H699" s="8">
        <f>IF(INDEX(Banco!$H:$H,ROW())="","",INDEX(Banco!$H:$H,ROW()))</f>
        <v/>
      </c>
      <c r="I699">
        <f>IF($T699="","",INT($T699/12)&amp;"a "&amp;MOD($T699,12)&amp;"m")</f>
        <v/>
      </c>
      <c r="J699" s="11">
        <f>IF(OR($F699="",$G699=""),"",ROUND($F699/($G699/100)^2,2))</f>
        <v/>
      </c>
      <c r="K699" s="12">
        <f>IF(OR($S699="",$J699="",$T699="",$T699&lt;0,$T699&gt;228,$Y699=""),"—",ROUND(IF(ABS($AB699)&lt;=3,$AB699,IF($AB699&gt;3,3+($J699-$AD699)/($AD699-$AC699),-3+($J699-$AF699)/($AE699-$AF699))),2))</f>
        <v/>
      </c>
      <c r="L699">
        <f>IF(OR($K699="",$K699="—"),"",IF($T699&lt;=60,IF($K699&lt;-3,"Magreza acentuada",IF($K699&lt;-2,"Magreza",IF($K699&lt;=1,"Eutrofia",IF($K699&lt;=2,"Risco de sobrepeso",IF($K699&lt;=3,"Sobrepeso","Obesidade"))))),IF($K699&lt;-3,"Magreza acentuada",IF($K699&lt;-2,"Magreza",IF($K699&lt;=1,"Eutrofia",IF($K699&lt;=2,"Sobrepeso",IF($K699&lt;=3,"Obesidade","Obesidade grave")))))))</f>
        <v/>
      </c>
      <c r="M699" s="12">
        <f>IF(OR($S699="",$V699="",$T699="",$T699&lt;0,$T699&gt;228,$AG699=""),"—",ROUND(IF($AG699=0,LN($V699/$AH699)/$AI699,((($V699/$AH699)^$AG699)-1)/($AG699*$AI699)),2))</f>
        <v/>
      </c>
      <c r="N699">
        <f>IF(OR($M699="",$M699="—"),"",IF($M699&lt;-3,"Muito baixa",IF($M699&lt;-2,"Baixa","Adequada")))</f>
        <v/>
      </c>
      <c r="O699" s="12">
        <f>IF(OR($S699="",$F699="",$T699="",$T699&lt;0,$T699&gt;120,$AJ699=""),"—",ROUND(IF(ABS($AM699)&lt;=3,$AM699,IF($AM699&gt;3,3+($F699-$AO699)/($AO699-$AN699),-3+($F699-$AQ699)/($AP699-$AQ699))),2))</f>
        <v/>
      </c>
      <c r="P699">
        <f>IF(OR($O699="",$O699="—"),"",IF($O699&lt;-3,"Muito baixo",IF($O699&lt;-2,"Baixo",IF($O699&lt;=2,"Adequado","Elevado"))))</f>
        <v/>
      </c>
      <c r="Q699" s="12">
        <f>IF(OR($S699="",$F699="",$T699="",$T699&lt;0,$T699&gt;60,$AR699=""),"—",ROUND(IF(ABS($AU699)&lt;=3,$AU699,IF($AU699&gt;3,3+($F699-$AW699)/($AW699-$AV699),-3+($F699-$AY699)/($AX699-$AY699))),2))</f>
        <v/>
      </c>
      <c r="R699">
        <f>IF(OR($Q699="",$Q699="—"),"",IF($Q699&lt;-3,"Magreza acentuada",IF($Q699&lt;-2,"Magreza",IF($Q699&lt;=1,"Eutrofia",IF($Q699&lt;=2,"Risco de sobrepeso",IF($Q699&lt;=3,"Sobrepeso","Obesidade"))))))</f>
        <v/>
      </c>
      <c r="S699">
        <f>IF($C699="","",IF(UPPER(LEFT($C699,1))="M",1,IF(UPPER(LEFT($C699,1))="F",2,"")))</f>
        <v/>
      </c>
      <c r="T699">
        <f>IF(OR($D699="",$E699=""),"",DATEDIF($D699,$E699,"m"))</f>
        <v/>
      </c>
      <c r="U699">
        <f>IF(OR($D699="",$E699=""),"",$E699-$D699)</f>
        <v/>
      </c>
      <c r="V699">
        <f>IF(OR($G699="",$T699=""),"",IF($T699&lt;24,IF(LEFT(LOWER($H699),4)="em p",$G699+0.7,$G699),IF(LEFT(LOWER($H699),4)="deit",$G699-0.7,$G699)))</f>
        <v/>
      </c>
      <c r="W699">
        <f>IF(OR($S699="",$T699=""),"",$S699*1000000+IF($T699&lt;=60,$U699,$T699))</f>
        <v/>
      </c>
      <c r="X699">
        <f>IF(OR($S699="",$V699="",$T699&gt;60,$T699=""),"",$S699*1000000+ROUND($V699*10,0))</f>
        <v/>
      </c>
      <c r="Y699">
        <f>IF($W699="","",IFERROR(INDEX(IF($T699&lt;=60,imc05_l,imc519_l),MATCH($W699,IF($T699&lt;=60,imc05_k,imc519_k),1)),""))</f>
        <v/>
      </c>
      <c r="Z699">
        <f>IF($W699="","",IFERROR(INDEX(IF($T699&lt;=60,imc05_m,imc519_m),MATCH($W699,IF($T699&lt;=60,imc05_k,imc519_k),1)),""))</f>
        <v/>
      </c>
      <c r="AA699">
        <f>IF($W699="","",IFERROR(INDEX(IF($T699&lt;=60,imc05_s,imc519_s),MATCH($W699,IF($T699&lt;=60,imc05_k,imc519_k),1)),""))</f>
        <v/>
      </c>
      <c r="AB699">
        <f>IF($Y699="","",IF($Y699=0,LN($J699/$Z699)/$AA699,((($J699/$Z699)^$Y699)-1)/($Y699*$AA699)))</f>
        <v/>
      </c>
      <c r="AC699">
        <f>IF($Y699="","",IF($Y699=0,$Z699*EXP($AA699*2),$Z699*(1+$Y699*$AA699*2)^(1/$Y699)))</f>
        <v/>
      </c>
      <c r="AD699">
        <f>IF($Y699="","",IF($Y699=0,$Z699*EXP($AA699*3),$Z699*(1+$Y699*$AA699*3)^(1/$Y699)))</f>
        <v/>
      </c>
      <c r="AE699">
        <f>IF($Y699="","",IF($Y699=0,$Z699*EXP($AA699*-2),$Z699*(1+$Y699*$AA699*-2)^(1/$Y699)))</f>
        <v/>
      </c>
      <c r="AF699">
        <f>IF($Y699="","",IF($Y699=0,$Z699*EXP($AA699*-3),$Z699*(1+$Y699*$AA699*-3)^(1/$Y699)))</f>
        <v/>
      </c>
      <c r="AG699">
        <f>IF($W699="","",IFERROR(INDEX(IF($T699&lt;=60,est05_l,est519_l),MATCH($W699,IF($T699&lt;=60,est05_k,est519_k),1)),""))</f>
        <v/>
      </c>
      <c r="AH699">
        <f>IF($W699="","",IFERROR(INDEX(IF($T699&lt;=60,est05_m,est519_m),MATCH($W699,IF($T699&lt;=60,est05_k,est519_k),1)),""))</f>
        <v/>
      </c>
      <c r="AI699">
        <f>IF($W699="","",IFERROR(INDEX(IF($T699&lt;=60,est05_s,est519_s),MATCH($W699,IF($T699&lt;=60,est05_k,est519_k),1)),""))</f>
        <v/>
      </c>
      <c r="AJ699">
        <f>IF($W699="","",IFERROR(INDEX(IF($T699&lt;=60,peso05_l,peso510_l),MATCH($W699,IF($T699&lt;=60,peso05_k,peso510_k),1)),""))</f>
        <v/>
      </c>
      <c r="AK699">
        <f>IF($W699="","",IFERROR(INDEX(IF($T699&lt;=60,peso05_m,peso510_m),MATCH($W699,IF($T699&lt;=60,peso05_k,peso510_k),1)),""))</f>
        <v/>
      </c>
      <c r="AL699">
        <f>IF($W699="","",IFERROR(INDEX(IF($T699&lt;=60,peso05_s,peso510_s),MATCH($W699,IF($T699&lt;=60,peso05_k,peso510_k),1)),""))</f>
        <v/>
      </c>
      <c r="AM699">
        <f>IF($AJ699="","",IF($AJ699=0,LN($F699/$AK699)/$AL699,((($F699/$AK699)^$AJ699)-1)/($AJ699*$AL699)))</f>
        <v/>
      </c>
      <c r="AN699">
        <f>IF($AJ699="","",IF($AJ699=0,$AK699*EXP($AL699*2),$AK699*(1+$AJ699*$AL699*2)^(1/$AJ699)))</f>
        <v/>
      </c>
      <c r="AO699">
        <f>IF($AJ699="","",IF($AJ699=0,$AK699*EXP($AL699*3),$AK699*(1+$AJ699*$AL699*3)^(1/$AJ699)))</f>
        <v/>
      </c>
      <c r="AP699">
        <f>IF($AJ699="","",IF($AJ699=0,$AK699*EXP($AL699*-2),$AK699*(1+$AJ699*$AL699*-2)^(1/$AJ699)))</f>
        <v/>
      </c>
      <c r="AQ699">
        <f>IF($AJ699="","",IF($AJ699=0,$AK699*EXP($AL699*-3),$AK699*(1+$AJ699*$AL699*-3)^(1/$AJ699)))</f>
        <v/>
      </c>
      <c r="AR699">
        <f>IF(OR($X699="",$T699&gt;60),"",IFERROR(INDEX(IF($T699&lt;24,pcomp_l,palt_l),MATCH($X699,IF($T699&lt;24,pcomp_k,palt_k),1)),""))</f>
        <v/>
      </c>
      <c r="AS699">
        <f>IF(OR($X699="",$T699&gt;60),"",IFERROR(INDEX(IF($T699&lt;24,pcomp_m,palt_m),MATCH($X699,IF($T699&lt;24,pcomp_k,palt_k),1)),""))</f>
        <v/>
      </c>
      <c r="AT699">
        <f>IF(OR($X699="",$T699&gt;60),"",IFERROR(INDEX(IF($T699&lt;24,pcomp_s,palt_s),MATCH($X699,IF($T699&lt;24,pcomp_k,palt_k),1)),""))</f>
        <v/>
      </c>
      <c r="AU699">
        <f>IF($AR699="","",IF($AR699=0,LN($F699/$AS699)/$AT699,((($F699/$AS699)^$AR699)-1)/($AR699*$AT699)))</f>
        <v/>
      </c>
      <c r="AV699">
        <f>IF($AR699="","",IF($AR699=0,$AS699*EXP($AT699*2),$AS699*(1+$AR699*$AT699*2)^(1/$AR699)))</f>
        <v/>
      </c>
      <c r="AW699">
        <f>IF($AR699="","",IF($AR699=0,$AS699*EXP($AT699*3),$AS699*(1+$AR699*$AT699*3)^(1/$AR699)))</f>
        <v/>
      </c>
      <c r="AX699">
        <f>IF($AR699="","",IF($AR699=0,$AS699*EXP($AT699*-2),$AS699*(1+$AR699*$AT699*-2)^(1/$AR699)))</f>
        <v/>
      </c>
      <c r="AY699">
        <f>IF($AR699="","",IF($AR699=0,$AS699*EXP($AT699*-3),$AS699*(1+$AR699*$AT699*-3)^(1/$AR699)))</f>
        <v/>
      </c>
      <c r="AZ699">
        <f>IF(OR($A699="",$A699&lt;&gt;Ficha!$C$4),"",COUNTIF($A$2:$A699,Ficha!$C$4))</f>
        <v/>
      </c>
    </row>
    <row r="700">
      <c r="A700" s="8">
        <f>IF(INDEX(Banco!$A:$A,ROW())="","",INDEX(Banco!$A:$A,ROW()))</f>
        <v/>
      </c>
      <c r="B700" s="8">
        <f>IF(INDEX(Banco!$B:$B,ROW())="","",INDEX(Banco!$B:$B,ROW()))</f>
        <v/>
      </c>
      <c r="C700" s="8">
        <f>IF(INDEX(Banco!$C:$C,ROW())="","",INDEX(Banco!$C:$C,ROW()))</f>
        <v/>
      </c>
      <c r="D700" s="9">
        <f>IF(INDEX(Banco!$D:$D,ROW())="","",INDEX(Banco!$D:$D,ROW()))</f>
        <v/>
      </c>
      <c r="E700" s="9">
        <f>IF(INDEX(Banco!$E:$E,ROW())="","",INDEX(Banco!$E:$E,ROW()))</f>
        <v/>
      </c>
      <c r="F700" s="10">
        <f>IF(INDEX(Banco!$F:$F,ROW())="","",INDEX(Banco!$F:$F,ROW()))</f>
        <v/>
      </c>
      <c r="G700" s="10">
        <f>IF(INDEX(Banco!$G:$G,ROW())="","",INDEX(Banco!$G:$G,ROW()))</f>
        <v/>
      </c>
      <c r="H700" s="8">
        <f>IF(INDEX(Banco!$H:$H,ROW())="","",INDEX(Banco!$H:$H,ROW()))</f>
        <v/>
      </c>
      <c r="I700">
        <f>IF($T700="","",INT($T700/12)&amp;"a "&amp;MOD($T700,12)&amp;"m")</f>
        <v/>
      </c>
      <c r="J700" s="11">
        <f>IF(OR($F700="",$G700=""),"",ROUND($F700/($G700/100)^2,2))</f>
        <v/>
      </c>
      <c r="K700" s="12">
        <f>IF(OR($S700="",$J700="",$T700="",$T700&lt;0,$T700&gt;228,$Y700=""),"—",ROUND(IF(ABS($AB700)&lt;=3,$AB700,IF($AB700&gt;3,3+($J700-$AD700)/($AD700-$AC700),-3+($J700-$AF700)/($AE700-$AF700))),2))</f>
        <v/>
      </c>
      <c r="L700">
        <f>IF(OR($K700="",$K700="—"),"",IF($T700&lt;=60,IF($K700&lt;-3,"Magreza acentuada",IF($K700&lt;-2,"Magreza",IF($K700&lt;=1,"Eutrofia",IF($K700&lt;=2,"Risco de sobrepeso",IF($K700&lt;=3,"Sobrepeso","Obesidade"))))),IF($K700&lt;-3,"Magreza acentuada",IF($K700&lt;-2,"Magreza",IF($K700&lt;=1,"Eutrofia",IF($K700&lt;=2,"Sobrepeso",IF($K700&lt;=3,"Obesidade","Obesidade grave")))))))</f>
        <v/>
      </c>
      <c r="M700" s="12">
        <f>IF(OR($S700="",$V700="",$T700="",$T700&lt;0,$T700&gt;228,$AG700=""),"—",ROUND(IF($AG700=0,LN($V700/$AH700)/$AI700,((($V700/$AH700)^$AG700)-1)/($AG700*$AI700)),2))</f>
        <v/>
      </c>
      <c r="N700">
        <f>IF(OR($M700="",$M700="—"),"",IF($M700&lt;-3,"Muito baixa",IF($M700&lt;-2,"Baixa","Adequada")))</f>
        <v/>
      </c>
      <c r="O700" s="12">
        <f>IF(OR($S700="",$F700="",$T700="",$T700&lt;0,$T700&gt;120,$AJ700=""),"—",ROUND(IF(ABS($AM700)&lt;=3,$AM700,IF($AM700&gt;3,3+($F700-$AO700)/($AO700-$AN700),-3+($F700-$AQ700)/($AP700-$AQ700))),2))</f>
        <v/>
      </c>
      <c r="P700">
        <f>IF(OR($O700="",$O700="—"),"",IF($O700&lt;-3,"Muito baixo",IF($O700&lt;-2,"Baixo",IF($O700&lt;=2,"Adequado","Elevado"))))</f>
        <v/>
      </c>
      <c r="Q700" s="12">
        <f>IF(OR($S700="",$F700="",$T700="",$T700&lt;0,$T700&gt;60,$AR700=""),"—",ROUND(IF(ABS($AU700)&lt;=3,$AU700,IF($AU700&gt;3,3+($F700-$AW700)/($AW700-$AV700),-3+($F700-$AY700)/($AX700-$AY700))),2))</f>
        <v/>
      </c>
      <c r="R700">
        <f>IF(OR($Q700="",$Q700="—"),"",IF($Q700&lt;-3,"Magreza acentuada",IF($Q700&lt;-2,"Magreza",IF($Q700&lt;=1,"Eutrofia",IF($Q700&lt;=2,"Risco de sobrepeso",IF($Q700&lt;=3,"Sobrepeso","Obesidade"))))))</f>
        <v/>
      </c>
      <c r="S700">
        <f>IF($C700="","",IF(UPPER(LEFT($C700,1))="M",1,IF(UPPER(LEFT($C700,1))="F",2,"")))</f>
        <v/>
      </c>
      <c r="T700">
        <f>IF(OR($D700="",$E700=""),"",DATEDIF($D700,$E700,"m"))</f>
        <v/>
      </c>
      <c r="U700">
        <f>IF(OR($D700="",$E700=""),"",$E700-$D700)</f>
        <v/>
      </c>
      <c r="V700">
        <f>IF(OR($G700="",$T700=""),"",IF($T700&lt;24,IF(LEFT(LOWER($H700),4)="em p",$G700+0.7,$G700),IF(LEFT(LOWER($H700),4)="deit",$G700-0.7,$G700)))</f>
        <v/>
      </c>
      <c r="W700">
        <f>IF(OR($S700="",$T700=""),"",$S700*1000000+IF($T700&lt;=60,$U700,$T700))</f>
        <v/>
      </c>
      <c r="X700">
        <f>IF(OR($S700="",$V700="",$T700&gt;60,$T700=""),"",$S700*1000000+ROUND($V700*10,0))</f>
        <v/>
      </c>
      <c r="Y700">
        <f>IF($W700="","",IFERROR(INDEX(IF($T700&lt;=60,imc05_l,imc519_l),MATCH($W700,IF($T700&lt;=60,imc05_k,imc519_k),1)),""))</f>
        <v/>
      </c>
      <c r="Z700">
        <f>IF($W700="","",IFERROR(INDEX(IF($T700&lt;=60,imc05_m,imc519_m),MATCH($W700,IF($T700&lt;=60,imc05_k,imc519_k),1)),""))</f>
        <v/>
      </c>
      <c r="AA700">
        <f>IF($W700="","",IFERROR(INDEX(IF($T700&lt;=60,imc05_s,imc519_s),MATCH($W700,IF($T700&lt;=60,imc05_k,imc519_k),1)),""))</f>
        <v/>
      </c>
      <c r="AB700">
        <f>IF($Y700="","",IF($Y700=0,LN($J700/$Z700)/$AA700,((($J700/$Z700)^$Y700)-1)/($Y700*$AA700)))</f>
        <v/>
      </c>
      <c r="AC700">
        <f>IF($Y700="","",IF($Y700=0,$Z700*EXP($AA700*2),$Z700*(1+$Y700*$AA700*2)^(1/$Y700)))</f>
        <v/>
      </c>
      <c r="AD700">
        <f>IF($Y700="","",IF($Y700=0,$Z700*EXP($AA700*3),$Z700*(1+$Y700*$AA700*3)^(1/$Y700)))</f>
        <v/>
      </c>
      <c r="AE700">
        <f>IF($Y700="","",IF($Y700=0,$Z700*EXP($AA700*-2),$Z700*(1+$Y700*$AA700*-2)^(1/$Y700)))</f>
        <v/>
      </c>
      <c r="AF700">
        <f>IF($Y700="","",IF($Y700=0,$Z700*EXP($AA700*-3),$Z700*(1+$Y700*$AA700*-3)^(1/$Y700)))</f>
        <v/>
      </c>
      <c r="AG700">
        <f>IF($W700="","",IFERROR(INDEX(IF($T700&lt;=60,est05_l,est519_l),MATCH($W700,IF($T700&lt;=60,est05_k,est519_k),1)),""))</f>
        <v/>
      </c>
      <c r="AH700">
        <f>IF($W700="","",IFERROR(INDEX(IF($T700&lt;=60,est05_m,est519_m),MATCH($W700,IF($T700&lt;=60,est05_k,est519_k),1)),""))</f>
        <v/>
      </c>
      <c r="AI700">
        <f>IF($W700="","",IFERROR(INDEX(IF($T700&lt;=60,est05_s,est519_s),MATCH($W700,IF($T700&lt;=60,est05_k,est519_k),1)),""))</f>
        <v/>
      </c>
      <c r="AJ700">
        <f>IF($W700="","",IFERROR(INDEX(IF($T700&lt;=60,peso05_l,peso510_l),MATCH($W700,IF($T700&lt;=60,peso05_k,peso510_k),1)),""))</f>
        <v/>
      </c>
      <c r="AK700">
        <f>IF($W700="","",IFERROR(INDEX(IF($T700&lt;=60,peso05_m,peso510_m),MATCH($W700,IF($T700&lt;=60,peso05_k,peso510_k),1)),""))</f>
        <v/>
      </c>
      <c r="AL700">
        <f>IF($W700="","",IFERROR(INDEX(IF($T700&lt;=60,peso05_s,peso510_s),MATCH($W700,IF($T700&lt;=60,peso05_k,peso510_k),1)),""))</f>
        <v/>
      </c>
      <c r="AM700">
        <f>IF($AJ700="","",IF($AJ700=0,LN($F700/$AK700)/$AL700,((($F700/$AK700)^$AJ700)-1)/($AJ700*$AL700)))</f>
        <v/>
      </c>
      <c r="AN700">
        <f>IF($AJ700="","",IF($AJ700=0,$AK700*EXP($AL700*2),$AK700*(1+$AJ700*$AL700*2)^(1/$AJ700)))</f>
        <v/>
      </c>
      <c r="AO700">
        <f>IF($AJ700="","",IF($AJ700=0,$AK700*EXP($AL700*3),$AK700*(1+$AJ700*$AL700*3)^(1/$AJ700)))</f>
        <v/>
      </c>
      <c r="AP700">
        <f>IF($AJ700="","",IF($AJ700=0,$AK700*EXP($AL700*-2),$AK700*(1+$AJ700*$AL700*-2)^(1/$AJ700)))</f>
        <v/>
      </c>
      <c r="AQ700">
        <f>IF($AJ700="","",IF($AJ700=0,$AK700*EXP($AL700*-3),$AK700*(1+$AJ700*$AL700*-3)^(1/$AJ700)))</f>
        <v/>
      </c>
      <c r="AR700">
        <f>IF(OR($X700="",$T700&gt;60),"",IFERROR(INDEX(IF($T700&lt;24,pcomp_l,palt_l),MATCH($X700,IF($T700&lt;24,pcomp_k,palt_k),1)),""))</f>
        <v/>
      </c>
      <c r="AS700">
        <f>IF(OR($X700="",$T700&gt;60),"",IFERROR(INDEX(IF($T700&lt;24,pcomp_m,palt_m),MATCH($X700,IF($T700&lt;24,pcomp_k,palt_k),1)),""))</f>
        <v/>
      </c>
      <c r="AT700">
        <f>IF(OR($X700="",$T700&gt;60),"",IFERROR(INDEX(IF($T700&lt;24,pcomp_s,palt_s),MATCH($X700,IF($T700&lt;24,pcomp_k,palt_k),1)),""))</f>
        <v/>
      </c>
      <c r="AU700">
        <f>IF($AR700="","",IF($AR700=0,LN($F700/$AS700)/$AT700,((($F700/$AS700)^$AR700)-1)/($AR700*$AT700)))</f>
        <v/>
      </c>
      <c r="AV700">
        <f>IF($AR700="","",IF($AR700=0,$AS700*EXP($AT700*2),$AS700*(1+$AR700*$AT700*2)^(1/$AR700)))</f>
        <v/>
      </c>
      <c r="AW700">
        <f>IF($AR700="","",IF($AR700=0,$AS700*EXP($AT700*3),$AS700*(1+$AR700*$AT700*3)^(1/$AR700)))</f>
        <v/>
      </c>
      <c r="AX700">
        <f>IF($AR700="","",IF($AR700=0,$AS700*EXP($AT700*-2),$AS700*(1+$AR700*$AT700*-2)^(1/$AR700)))</f>
        <v/>
      </c>
      <c r="AY700">
        <f>IF($AR700="","",IF($AR700=0,$AS700*EXP($AT700*-3),$AS700*(1+$AR700*$AT700*-3)^(1/$AR700)))</f>
        <v/>
      </c>
      <c r="AZ700">
        <f>IF(OR($A700="",$A700&lt;&gt;Ficha!$C$4),"",COUNTIF($A$2:$A700,Ficha!$C$4))</f>
        <v/>
      </c>
    </row>
    <row r="701">
      <c r="A701" s="8">
        <f>IF(INDEX(Banco!$A:$A,ROW())="","",INDEX(Banco!$A:$A,ROW()))</f>
        <v/>
      </c>
      <c r="B701" s="8">
        <f>IF(INDEX(Banco!$B:$B,ROW())="","",INDEX(Banco!$B:$B,ROW()))</f>
        <v/>
      </c>
      <c r="C701" s="8">
        <f>IF(INDEX(Banco!$C:$C,ROW())="","",INDEX(Banco!$C:$C,ROW()))</f>
        <v/>
      </c>
      <c r="D701" s="9">
        <f>IF(INDEX(Banco!$D:$D,ROW())="","",INDEX(Banco!$D:$D,ROW()))</f>
        <v/>
      </c>
      <c r="E701" s="9">
        <f>IF(INDEX(Banco!$E:$E,ROW())="","",INDEX(Banco!$E:$E,ROW()))</f>
        <v/>
      </c>
      <c r="F701" s="10">
        <f>IF(INDEX(Banco!$F:$F,ROW())="","",INDEX(Banco!$F:$F,ROW()))</f>
        <v/>
      </c>
      <c r="G701" s="10">
        <f>IF(INDEX(Banco!$G:$G,ROW())="","",INDEX(Banco!$G:$G,ROW()))</f>
        <v/>
      </c>
      <c r="H701" s="8">
        <f>IF(INDEX(Banco!$H:$H,ROW())="","",INDEX(Banco!$H:$H,ROW()))</f>
        <v/>
      </c>
      <c r="I701">
        <f>IF($T701="","",INT($T701/12)&amp;"a "&amp;MOD($T701,12)&amp;"m")</f>
        <v/>
      </c>
      <c r="J701" s="11">
        <f>IF(OR($F701="",$G701=""),"",ROUND($F701/($G701/100)^2,2))</f>
        <v/>
      </c>
      <c r="K701" s="12">
        <f>IF(OR($S701="",$J701="",$T701="",$T701&lt;0,$T701&gt;228,$Y701=""),"—",ROUND(IF(ABS($AB701)&lt;=3,$AB701,IF($AB701&gt;3,3+($J701-$AD701)/($AD701-$AC701),-3+($J701-$AF701)/($AE701-$AF701))),2))</f>
        <v/>
      </c>
      <c r="L701">
        <f>IF(OR($K701="",$K701="—"),"",IF($T701&lt;=60,IF($K701&lt;-3,"Magreza acentuada",IF($K701&lt;-2,"Magreza",IF($K701&lt;=1,"Eutrofia",IF($K701&lt;=2,"Risco de sobrepeso",IF($K701&lt;=3,"Sobrepeso","Obesidade"))))),IF($K701&lt;-3,"Magreza acentuada",IF($K701&lt;-2,"Magreza",IF($K701&lt;=1,"Eutrofia",IF($K701&lt;=2,"Sobrepeso",IF($K701&lt;=3,"Obesidade","Obesidade grave")))))))</f>
        <v/>
      </c>
      <c r="M701" s="12">
        <f>IF(OR($S701="",$V701="",$T701="",$T701&lt;0,$T701&gt;228,$AG701=""),"—",ROUND(IF($AG701=0,LN($V701/$AH701)/$AI701,((($V701/$AH701)^$AG701)-1)/($AG701*$AI701)),2))</f>
        <v/>
      </c>
      <c r="N701">
        <f>IF(OR($M701="",$M701="—"),"",IF($M701&lt;-3,"Muito baixa",IF($M701&lt;-2,"Baixa","Adequada")))</f>
        <v/>
      </c>
      <c r="O701" s="12">
        <f>IF(OR($S701="",$F701="",$T701="",$T701&lt;0,$T701&gt;120,$AJ701=""),"—",ROUND(IF(ABS($AM701)&lt;=3,$AM701,IF($AM701&gt;3,3+($F701-$AO701)/($AO701-$AN701),-3+($F701-$AQ701)/($AP701-$AQ701))),2))</f>
        <v/>
      </c>
      <c r="P701">
        <f>IF(OR($O701="",$O701="—"),"",IF($O701&lt;-3,"Muito baixo",IF($O701&lt;-2,"Baixo",IF($O701&lt;=2,"Adequado","Elevado"))))</f>
        <v/>
      </c>
      <c r="Q701" s="12">
        <f>IF(OR($S701="",$F701="",$T701="",$T701&lt;0,$T701&gt;60,$AR701=""),"—",ROUND(IF(ABS($AU701)&lt;=3,$AU701,IF($AU701&gt;3,3+($F701-$AW701)/($AW701-$AV701),-3+($F701-$AY701)/($AX701-$AY701))),2))</f>
        <v/>
      </c>
      <c r="R701">
        <f>IF(OR($Q701="",$Q701="—"),"",IF($Q701&lt;-3,"Magreza acentuada",IF($Q701&lt;-2,"Magreza",IF($Q701&lt;=1,"Eutrofia",IF($Q701&lt;=2,"Risco de sobrepeso",IF($Q701&lt;=3,"Sobrepeso","Obesidade"))))))</f>
        <v/>
      </c>
      <c r="S701">
        <f>IF($C701="","",IF(UPPER(LEFT($C701,1))="M",1,IF(UPPER(LEFT($C701,1))="F",2,"")))</f>
        <v/>
      </c>
      <c r="T701">
        <f>IF(OR($D701="",$E701=""),"",DATEDIF($D701,$E701,"m"))</f>
        <v/>
      </c>
      <c r="U701">
        <f>IF(OR($D701="",$E701=""),"",$E701-$D701)</f>
        <v/>
      </c>
      <c r="V701">
        <f>IF(OR($G701="",$T701=""),"",IF($T701&lt;24,IF(LEFT(LOWER($H701),4)="em p",$G701+0.7,$G701),IF(LEFT(LOWER($H701),4)="deit",$G701-0.7,$G701)))</f>
        <v/>
      </c>
      <c r="W701">
        <f>IF(OR($S701="",$T701=""),"",$S701*1000000+IF($T701&lt;=60,$U701,$T701))</f>
        <v/>
      </c>
      <c r="X701">
        <f>IF(OR($S701="",$V701="",$T701&gt;60,$T701=""),"",$S701*1000000+ROUND($V701*10,0))</f>
        <v/>
      </c>
      <c r="Y701">
        <f>IF($W701="","",IFERROR(INDEX(IF($T701&lt;=60,imc05_l,imc519_l),MATCH($W701,IF($T701&lt;=60,imc05_k,imc519_k),1)),""))</f>
        <v/>
      </c>
      <c r="Z701">
        <f>IF($W701="","",IFERROR(INDEX(IF($T701&lt;=60,imc05_m,imc519_m),MATCH($W701,IF($T701&lt;=60,imc05_k,imc519_k),1)),""))</f>
        <v/>
      </c>
      <c r="AA701">
        <f>IF($W701="","",IFERROR(INDEX(IF($T701&lt;=60,imc05_s,imc519_s),MATCH($W701,IF($T701&lt;=60,imc05_k,imc519_k),1)),""))</f>
        <v/>
      </c>
      <c r="AB701">
        <f>IF($Y701="","",IF($Y701=0,LN($J701/$Z701)/$AA701,((($J701/$Z701)^$Y701)-1)/($Y701*$AA701)))</f>
        <v/>
      </c>
      <c r="AC701">
        <f>IF($Y701="","",IF($Y701=0,$Z701*EXP($AA701*2),$Z701*(1+$Y701*$AA701*2)^(1/$Y701)))</f>
        <v/>
      </c>
      <c r="AD701">
        <f>IF($Y701="","",IF($Y701=0,$Z701*EXP($AA701*3),$Z701*(1+$Y701*$AA701*3)^(1/$Y701)))</f>
        <v/>
      </c>
      <c r="AE701">
        <f>IF($Y701="","",IF($Y701=0,$Z701*EXP($AA701*-2),$Z701*(1+$Y701*$AA701*-2)^(1/$Y701)))</f>
        <v/>
      </c>
      <c r="AF701">
        <f>IF($Y701="","",IF($Y701=0,$Z701*EXP($AA701*-3),$Z701*(1+$Y701*$AA701*-3)^(1/$Y701)))</f>
        <v/>
      </c>
      <c r="AG701">
        <f>IF($W701="","",IFERROR(INDEX(IF($T701&lt;=60,est05_l,est519_l),MATCH($W701,IF($T701&lt;=60,est05_k,est519_k),1)),""))</f>
        <v/>
      </c>
      <c r="AH701">
        <f>IF($W701="","",IFERROR(INDEX(IF($T701&lt;=60,est05_m,est519_m),MATCH($W701,IF($T701&lt;=60,est05_k,est519_k),1)),""))</f>
        <v/>
      </c>
      <c r="AI701">
        <f>IF($W701="","",IFERROR(INDEX(IF($T701&lt;=60,est05_s,est519_s),MATCH($W701,IF($T701&lt;=60,est05_k,est519_k),1)),""))</f>
        <v/>
      </c>
      <c r="AJ701">
        <f>IF($W701="","",IFERROR(INDEX(IF($T701&lt;=60,peso05_l,peso510_l),MATCH($W701,IF($T701&lt;=60,peso05_k,peso510_k),1)),""))</f>
        <v/>
      </c>
      <c r="AK701">
        <f>IF($W701="","",IFERROR(INDEX(IF($T701&lt;=60,peso05_m,peso510_m),MATCH($W701,IF($T701&lt;=60,peso05_k,peso510_k),1)),""))</f>
        <v/>
      </c>
      <c r="AL701">
        <f>IF($W701="","",IFERROR(INDEX(IF($T701&lt;=60,peso05_s,peso510_s),MATCH($W701,IF($T701&lt;=60,peso05_k,peso510_k),1)),""))</f>
        <v/>
      </c>
      <c r="AM701">
        <f>IF($AJ701="","",IF($AJ701=0,LN($F701/$AK701)/$AL701,((($F701/$AK701)^$AJ701)-1)/($AJ701*$AL701)))</f>
        <v/>
      </c>
      <c r="AN701">
        <f>IF($AJ701="","",IF($AJ701=0,$AK701*EXP($AL701*2),$AK701*(1+$AJ701*$AL701*2)^(1/$AJ701)))</f>
        <v/>
      </c>
      <c r="AO701">
        <f>IF($AJ701="","",IF($AJ701=0,$AK701*EXP($AL701*3),$AK701*(1+$AJ701*$AL701*3)^(1/$AJ701)))</f>
        <v/>
      </c>
      <c r="AP701">
        <f>IF($AJ701="","",IF($AJ701=0,$AK701*EXP($AL701*-2),$AK701*(1+$AJ701*$AL701*-2)^(1/$AJ701)))</f>
        <v/>
      </c>
      <c r="AQ701">
        <f>IF($AJ701="","",IF($AJ701=0,$AK701*EXP($AL701*-3),$AK701*(1+$AJ701*$AL701*-3)^(1/$AJ701)))</f>
        <v/>
      </c>
      <c r="AR701">
        <f>IF(OR($X701="",$T701&gt;60),"",IFERROR(INDEX(IF($T701&lt;24,pcomp_l,palt_l),MATCH($X701,IF($T701&lt;24,pcomp_k,palt_k),1)),""))</f>
        <v/>
      </c>
      <c r="AS701">
        <f>IF(OR($X701="",$T701&gt;60),"",IFERROR(INDEX(IF($T701&lt;24,pcomp_m,palt_m),MATCH($X701,IF($T701&lt;24,pcomp_k,palt_k),1)),""))</f>
        <v/>
      </c>
      <c r="AT701">
        <f>IF(OR($X701="",$T701&gt;60),"",IFERROR(INDEX(IF($T701&lt;24,pcomp_s,palt_s),MATCH($X701,IF($T701&lt;24,pcomp_k,palt_k),1)),""))</f>
        <v/>
      </c>
      <c r="AU701">
        <f>IF($AR701="","",IF($AR701=0,LN($F701/$AS701)/$AT701,((($F701/$AS701)^$AR701)-1)/($AR701*$AT701)))</f>
        <v/>
      </c>
      <c r="AV701">
        <f>IF($AR701="","",IF($AR701=0,$AS701*EXP($AT701*2),$AS701*(1+$AR701*$AT701*2)^(1/$AR701)))</f>
        <v/>
      </c>
      <c r="AW701">
        <f>IF($AR701="","",IF($AR701=0,$AS701*EXP($AT701*3),$AS701*(1+$AR701*$AT701*3)^(1/$AR701)))</f>
        <v/>
      </c>
      <c r="AX701">
        <f>IF($AR701="","",IF($AR701=0,$AS701*EXP($AT701*-2),$AS701*(1+$AR701*$AT701*-2)^(1/$AR701)))</f>
        <v/>
      </c>
      <c r="AY701">
        <f>IF($AR701="","",IF($AR701=0,$AS701*EXP($AT701*-3),$AS701*(1+$AR701*$AT701*-3)^(1/$AR701)))</f>
        <v/>
      </c>
      <c r="AZ701">
        <f>IF(OR($A701="",$A701&lt;&gt;Ficha!$C$4),"",COUNTIF($A$2:$A701,Ficha!$C$4))</f>
        <v/>
      </c>
    </row>
    <row r="702">
      <c r="A702" s="8">
        <f>IF(INDEX(Banco!$A:$A,ROW())="","",INDEX(Banco!$A:$A,ROW()))</f>
        <v/>
      </c>
      <c r="B702" s="8">
        <f>IF(INDEX(Banco!$B:$B,ROW())="","",INDEX(Banco!$B:$B,ROW()))</f>
        <v/>
      </c>
      <c r="C702" s="8">
        <f>IF(INDEX(Banco!$C:$C,ROW())="","",INDEX(Banco!$C:$C,ROW()))</f>
        <v/>
      </c>
      <c r="D702" s="9">
        <f>IF(INDEX(Banco!$D:$D,ROW())="","",INDEX(Banco!$D:$D,ROW()))</f>
        <v/>
      </c>
      <c r="E702" s="9">
        <f>IF(INDEX(Banco!$E:$E,ROW())="","",INDEX(Banco!$E:$E,ROW()))</f>
        <v/>
      </c>
      <c r="F702" s="10">
        <f>IF(INDEX(Banco!$F:$F,ROW())="","",INDEX(Banco!$F:$F,ROW()))</f>
        <v/>
      </c>
      <c r="G702" s="10">
        <f>IF(INDEX(Banco!$G:$G,ROW())="","",INDEX(Banco!$G:$G,ROW()))</f>
        <v/>
      </c>
      <c r="H702" s="8">
        <f>IF(INDEX(Banco!$H:$H,ROW())="","",INDEX(Banco!$H:$H,ROW()))</f>
        <v/>
      </c>
      <c r="I702">
        <f>IF($T702="","",INT($T702/12)&amp;"a "&amp;MOD($T702,12)&amp;"m")</f>
        <v/>
      </c>
      <c r="J702" s="11">
        <f>IF(OR($F702="",$G702=""),"",ROUND($F702/($G702/100)^2,2))</f>
        <v/>
      </c>
      <c r="K702" s="12">
        <f>IF(OR($S702="",$J702="",$T702="",$T702&lt;0,$T702&gt;228,$Y702=""),"—",ROUND(IF(ABS($AB702)&lt;=3,$AB702,IF($AB702&gt;3,3+($J702-$AD702)/($AD702-$AC702),-3+($J702-$AF702)/($AE702-$AF702))),2))</f>
        <v/>
      </c>
      <c r="L702">
        <f>IF(OR($K702="",$K702="—"),"",IF($T702&lt;=60,IF($K702&lt;-3,"Magreza acentuada",IF($K702&lt;-2,"Magreza",IF($K702&lt;=1,"Eutrofia",IF($K702&lt;=2,"Risco de sobrepeso",IF($K702&lt;=3,"Sobrepeso","Obesidade"))))),IF($K702&lt;-3,"Magreza acentuada",IF($K702&lt;-2,"Magreza",IF($K702&lt;=1,"Eutrofia",IF($K702&lt;=2,"Sobrepeso",IF($K702&lt;=3,"Obesidade","Obesidade grave")))))))</f>
        <v/>
      </c>
      <c r="M702" s="12">
        <f>IF(OR($S702="",$V702="",$T702="",$T702&lt;0,$T702&gt;228,$AG702=""),"—",ROUND(IF($AG702=0,LN($V702/$AH702)/$AI702,((($V702/$AH702)^$AG702)-1)/($AG702*$AI702)),2))</f>
        <v/>
      </c>
      <c r="N702">
        <f>IF(OR($M702="",$M702="—"),"",IF($M702&lt;-3,"Muito baixa",IF($M702&lt;-2,"Baixa","Adequada")))</f>
        <v/>
      </c>
      <c r="O702" s="12">
        <f>IF(OR($S702="",$F702="",$T702="",$T702&lt;0,$T702&gt;120,$AJ702=""),"—",ROUND(IF(ABS($AM702)&lt;=3,$AM702,IF($AM702&gt;3,3+($F702-$AO702)/($AO702-$AN702),-3+($F702-$AQ702)/($AP702-$AQ702))),2))</f>
        <v/>
      </c>
      <c r="P702">
        <f>IF(OR($O702="",$O702="—"),"",IF($O702&lt;-3,"Muito baixo",IF($O702&lt;-2,"Baixo",IF($O702&lt;=2,"Adequado","Elevado"))))</f>
        <v/>
      </c>
      <c r="Q702" s="12">
        <f>IF(OR($S702="",$F702="",$T702="",$T702&lt;0,$T702&gt;60,$AR702=""),"—",ROUND(IF(ABS($AU702)&lt;=3,$AU702,IF($AU702&gt;3,3+($F702-$AW702)/($AW702-$AV702),-3+($F702-$AY702)/($AX702-$AY702))),2))</f>
        <v/>
      </c>
      <c r="R702">
        <f>IF(OR($Q702="",$Q702="—"),"",IF($Q702&lt;-3,"Magreza acentuada",IF($Q702&lt;-2,"Magreza",IF($Q702&lt;=1,"Eutrofia",IF($Q702&lt;=2,"Risco de sobrepeso",IF($Q702&lt;=3,"Sobrepeso","Obesidade"))))))</f>
        <v/>
      </c>
      <c r="S702">
        <f>IF($C702="","",IF(UPPER(LEFT($C702,1))="M",1,IF(UPPER(LEFT($C702,1))="F",2,"")))</f>
        <v/>
      </c>
      <c r="T702">
        <f>IF(OR($D702="",$E702=""),"",DATEDIF($D702,$E702,"m"))</f>
        <v/>
      </c>
      <c r="U702">
        <f>IF(OR($D702="",$E702=""),"",$E702-$D702)</f>
        <v/>
      </c>
      <c r="V702">
        <f>IF(OR($G702="",$T702=""),"",IF($T702&lt;24,IF(LEFT(LOWER($H702),4)="em p",$G702+0.7,$G702),IF(LEFT(LOWER($H702),4)="deit",$G702-0.7,$G702)))</f>
        <v/>
      </c>
      <c r="W702">
        <f>IF(OR($S702="",$T702=""),"",$S702*1000000+IF($T702&lt;=60,$U702,$T702))</f>
        <v/>
      </c>
      <c r="X702">
        <f>IF(OR($S702="",$V702="",$T702&gt;60,$T702=""),"",$S702*1000000+ROUND($V702*10,0))</f>
        <v/>
      </c>
      <c r="Y702">
        <f>IF($W702="","",IFERROR(INDEX(IF($T702&lt;=60,imc05_l,imc519_l),MATCH($W702,IF($T702&lt;=60,imc05_k,imc519_k),1)),""))</f>
        <v/>
      </c>
      <c r="Z702">
        <f>IF($W702="","",IFERROR(INDEX(IF($T702&lt;=60,imc05_m,imc519_m),MATCH($W702,IF($T702&lt;=60,imc05_k,imc519_k),1)),""))</f>
        <v/>
      </c>
      <c r="AA702">
        <f>IF($W702="","",IFERROR(INDEX(IF($T702&lt;=60,imc05_s,imc519_s),MATCH($W702,IF($T702&lt;=60,imc05_k,imc519_k),1)),""))</f>
        <v/>
      </c>
      <c r="AB702">
        <f>IF($Y702="","",IF($Y702=0,LN($J702/$Z702)/$AA702,((($J702/$Z702)^$Y702)-1)/($Y702*$AA702)))</f>
        <v/>
      </c>
      <c r="AC702">
        <f>IF($Y702="","",IF($Y702=0,$Z702*EXP($AA702*2),$Z702*(1+$Y702*$AA702*2)^(1/$Y702)))</f>
        <v/>
      </c>
      <c r="AD702">
        <f>IF($Y702="","",IF($Y702=0,$Z702*EXP($AA702*3),$Z702*(1+$Y702*$AA702*3)^(1/$Y702)))</f>
        <v/>
      </c>
      <c r="AE702">
        <f>IF($Y702="","",IF($Y702=0,$Z702*EXP($AA702*-2),$Z702*(1+$Y702*$AA702*-2)^(1/$Y702)))</f>
        <v/>
      </c>
      <c r="AF702">
        <f>IF($Y702="","",IF($Y702=0,$Z702*EXP($AA702*-3),$Z702*(1+$Y702*$AA702*-3)^(1/$Y702)))</f>
        <v/>
      </c>
      <c r="AG702">
        <f>IF($W702="","",IFERROR(INDEX(IF($T702&lt;=60,est05_l,est519_l),MATCH($W702,IF($T702&lt;=60,est05_k,est519_k),1)),""))</f>
        <v/>
      </c>
      <c r="AH702">
        <f>IF($W702="","",IFERROR(INDEX(IF($T702&lt;=60,est05_m,est519_m),MATCH($W702,IF($T702&lt;=60,est05_k,est519_k),1)),""))</f>
        <v/>
      </c>
      <c r="AI702">
        <f>IF($W702="","",IFERROR(INDEX(IF($T702&lt;=60,est05_s,est519_s),MATCH($W702,IF($T702&lt;=60,est05_k,est519_k),1)),""))</f>
        <v/>
      </c>
      <c r="AJ702">
        <f>IF($W702="","",IFERROR(INDEX(IF($T702&lt;=60,peso05_l,peso510_l),MATCH($W702,IF($T702&lt;=60,peso05_k,peso510_k),1)),""))</f>
        <v/>
      </c>
      <c r="AK702">
        <f>IF($W702="","",IFERROR(INDEX(IF($T702&lt;=60,peso05_m,peso510_m),MATCH($W702,IF($T702&lt;=60,peso05_k,peso510_k),1)),""))</f>
        <v/>
      </c>
      <c r="AL702">
        <f>IF($W702="","",IFERROR(INDEX(IF($T702&lt;=60,peso05_s,peso510_s),MATCH($W702,IF($T702&lt;=60,peso05_k,peso510_k),1)),""))</f>
        <v/>
      </c>
      <c r="AM702">
        <f>IF($AJ702="","",IF($AJ702=0,LN($F702/$AK702)/$AL702,((($F702/$AK702)^$AJ702)-1)/($AJ702*$AL702)))</f>
        <v/>
      </c>
      <c r="AN702">
        <f>IF($AJ702="","",IF($AJ702=0,$AK702*EXP($AL702*2),$AK702*(1+$AJ702*$AL702*2)^(1/$AJ702)))</f>
        <v/>
      </c>
      <c r="AO702">
        <f>IF($AJ702="","",IF($AJ702=0,$AK702*EXP($AL702*3),$AK702*(1+$AJ702*$AL702*3)^(1/$AJ702)))</f>
        <v/>
      </c>
      <c r="AP702">
        <f>IF($AJ702="","",IF($AJ702=0,$AK702*EXP($AL702*-2),$AK702*(1+$AJ702*$AL702*-2)^(1/$AJ702)))</f>
        <v/>
      </c>
      <c r="AQ702">
        <f>IF($AJ702="","",IF($AJ702=0,$AK702*EXP($AL702*-3),$AK702*(1+$AJ702*$AL702*-3)^(1/$AJ702)))</f>
        <v/>
      </c>
      <c r="AR702">
        <f>IF(OR($X702="",$T702&gt;60),"",IFERROR(INDEX(IF($T702&lt;24,pcomp_l,palt_l),MATCH($X702,IF($T702&lt;24,pcomp_k,palt_k),1)),""))</f>
        <v/>
      </c>
      <c r="AS702">
        <f>IF(OR($X702="",$T702&gt;60),"",IFERROR(INDEX(IF($T702&lt;24,pcomp_m,palt_m),MATCH($X702,IF($T702&lt;24,pcomp_k,palt_k),1)),""))</f>
        <v/>
      </c>
      <c r="AT702">
        <f>IF(OR($X702="",$T702&gt;60),"",IFERROR(INDEX(IF($T702&lt;24,pcomp_s,palt_s),MATCH($X702,IF($T702&lt;24,pcomp_k,palt_k),1)),""))</f>
        <v/>
      </c>
      <c r="AU702">
        <f>IF($AR702="","",IF($AR702=0,LN($F702/$AS702)/$AT702,((($F702/$AS702)^$AR702)-1)/($AR702*$AT702)))</f>
        <v/>
      </c>
      <c r="AV702">
        <f>IF($AR702="","",IF($AR702=0,$AS702*EXP($AT702*2),$AS702*(1+$AR702*$AT702*2)^(1/$AR702)))</f>
        <v/>
      </c>
      <c r="AW702">
        <f>IF($AR702="","",IF($AR702=0,$AS702*EXP($AT702*3),$AS702*(1+$AR702*$AT702*3)^(1/$AR702)))</f>
        <v/>
      </c>
      <c r="AX702">
        <f>IF($AR702="","",IF($AR702=0,$AS702*EXP($AT702*-2),$AS702*(1+$AR702*$AT702*-2)^(1/$AR702)))</f>
        <v/>
      </c>
      <c r="AY702">
        <f>IF($AR702="","",IF($AR702=0,$AS702*EXP($AT702*-3),$AS702*(1+$AR702*$AT702*-3)^(1/$AR702)))</f>
        <v/>
      </c>
      <c r="AZ702">
        <f>IF(OR($A702="",$A702&lt;&gt;Ficha!$C$4),"",COUNTIF($A$2:$A702,Ficha!$C$4))</f>
        <v/>
      </c>
    </row>
    <row r="703">
      <c r="A703" s="8">
        <f>IF(INDEX(Banco!$A:$A,ROW())="","",INDEX(Banco!$A:$A,ROW()))</f>
        <v/>
      </c>
      <c r="B703" s="8">
        <f>IF(INDEX(Banco!$B:$B,ROW())="","",INDEX(Banco!$B:$B,ROW()))</f>
        <v/>
      </c>
      <c r="C703" s="8">
        <f>IF(INDEX(Banco!$C:$C,ROW())="","",INDEX(Banco!$C:$C,ROW()))</f>
        <v/>
      </c>
      <c r="D703" s="9">
        <f>IF(INDEX(Banco!$D:$D,ROW())="","",INDEX(Banco!$D:$D,ROW()))</f>
        <v/>
      </c>
      <c r="E703" s="9">
        <f>IF(INDEX(Banco!$E:$E,ROW())="","",INDEX(Banco!$E:$E,ROW()))</f>
        <v/>
      </c>
      <c r="F703" s="10">
        <f>IF(INDEX(Banco!$F:$F,ROW())="","",INDEX(Banco!$F:$F,ROW()))</f>
        <v/>
      </c>
      <c r="G703" s="10">
        <f>IF(INDEX(Banco!$G:$G,ROW())="","",INDEX(Banco!$G:$G,ROW()))</f>
        <v/>
      </c>
      <c r="H703" s="8">
        <f>IF(INDEX(Banco!$H:$H,ROW())="","",INDEX(Banco!$H:$H,ROW()))</f>
        <v/>
      </c>
      <c r="I703">
        <f>IF($T703="","",INT($T703/12)&amp;"a "&amp;MOD($T703,12)&amp;"m")</f>
        <v/>
      </c>
      <c r="J703" s="11">
        <f>IF(OR($F703="",$G703=""),"",ROUND($F703/($G703/100)^2,2))</f>
        <v/>
      </c>
      <c r="K703" s="12">
        <f>IF(OR($S703="",$J703="",$T703="",$T703&lt;0,$T703&gt;228,$Y703=""),"—",ROUND(IF(ABS($AB703)&lt;=3,$AB703,IF($AB703&gt;3,3+($J703-$AD703)/($AD703-$AC703),-3+($J703-$AF703)/($AE703-$AF703))),2))</f>
        <v/>
      </c>
      <c r="L703">
        <f>IF(OR($K703="",$K703="—"),"",IF($T703&lt;=60,IF($K703&lt;-3,"Magreza acentuada",IF($K703&lt;-2,"Magreza",IF($K703&lt;=1,"Eutrofia",IF($K703&lt;=2,"Risco de sobrepeso",IF($K703&lt;=3,"Sobrepeso","Obesidade"))))),IF($K703&lt;-3,"Magreza acentuada",IF($K703&lt;-2,"Magreza",IF($K703&lt;=1,"Eutrofia",IF($K703&lt;=2,"Sobrepeso",IF($K703&lt;=3,"Obesidade","Obesidade grave")))))))</f>
        <v/>
      </c>
      <c r="M703" s="12">
        <f>IF(OR($S703="",$V703="",$T703="",$T703&lt;0,$T703&gt;228,$AG703=""),"—",ROUND(IF($AG703=0,LN($V703/$AH703)/$AI703,((($V703/$AH703)^$AG703)-1)/($AG703*$AI703)),2))</f>
        <v/>
      </c>
      <c r="N703">
        <f>IF(OR($M703="",$M703="—"),"",IF($M703&lt;-3,"Muito baixa",IF($M703&lt;-2,"Baixa","Adequada")))</f>
        <v/>
      </c>
      <c r="O703" s="12">
        <f>IF(OR($S703="",$F703="",$T703="",$T703&lt;0,$T703&gt;120,$AJ703=""),"—",ROUND(IF(ABS($AM703)&lt;=3,$AM703,IF($AM703&gt;3,3+($F703-$AO703)/($AO703-$AN703),-3+($F703-$AQ703)/($AP703-$AQ703))),2))</f>
        <v/>
      </c>
      <c r="P703">
        <f>IF(OR($O703="",$O703="—"),"",IF($O703&lt;-3,"Muito baixo",IF($O703&lt;-2,"Baixo",IF($O703&lt;=2,"Adequado","Elevado"))))</f>
        <v/>
      </c>
      <c r="Q703" s="12">
        <f>IF(OR($S703="",$F703="",$T703="",$T703&lt;0,$T703&gt;60,$AR703=""),"—",ROUND(IF(ABS($AU703)&lt;=3,$AU703,IF($AU703&gt;3,3+($F703-$AW703)/($AW703-$AV703),-3+($F703-$AY703)/($AX703-$AY703))),2))</f>
        <v/>
      </c>
      <c r="R703">
        <f>IF(OR($Q703="",$Q703="—"),"",IF($Q703&lt;-3,"Magreza acentuada",IF($Q703&lt;-2,"Magreza",IF($Q703&lt;=1,"Eutrofia",IF($Q703&lt;=2,"Risco de sobrepeso",IF($Q703&lt;=3,"Sobrepeso","Obesidade"))))))</f>
        <v/>
      </c>
      <c r="S703">
        <f>IF($C703="","",IF(UPPER(LEFT($C703,1))="M",1,IF(UPPER(LEFT($C703,1))="F",2,"")))</f>
        <v/>
      </c>
      <c r="T703">
        <f>IF(OR($D703="",$E703=""),"",DATEDIF($D703,$E703,"m"))</f>
        <v/>
      </c>
      <c r="U703">
        <f>IF(OR($D703="",$E703=""),"",$E703-$D703)</f>
        <v/>
      </c>
      <c r="V703">
        <f>IF(OR($G703="",$T703=""),"",IF($T703&lt;24,IF(LEFT(LOWER($H703),4)="em p",$G703+0.7,$G703),IF(LEFT(LOWER($H703),4)="deit",$G703-0.7,$G703)))</f>
        <v/>
      </c>
      <c r="W703">
        <f>IF(OR($S703="",$T703=""),"",$S703*1000000+IF($T703&lt;=60,$U703,$T703))</f>
        <v/>
      </c>
      <c r="X703">
        <f>IF(OR($S703="",$V703="",$T703&gt;60,$T703=""),"",$S703*1000000+ROUND($V703*10,0))</f>
        <v/>
      </c>
      <c r="Y703">
        <f>IF($W703="","",IFERROR(INDEX(IF($T703&lt;=60,imc05_l,imc519_l),MATCH($W703,IF($T703&lt;=60,imc05_k,imc519_k),1)),""))</f>
        <v/>
      </c>
      <c r="Z703">
        <f>IF($W703="","",IFERROR(INDEX(IF($T703&lt;=60,imc05_m,imc519_m),MATCH($W703,IF($T703&lt;=60,imc05_k,imc519_k),1)),""))</f>
        <v/>
      </c>
      <c r="AA703">
        <f>IF($W703="","",IFERROR(INDEX(IF($T703&lt;=60,imc05_s,imc519_s),MATCH($W703,IF($T703&lt;=60,imc05_k,imc519_k),1)),""))</f>
        <v/>
      </c>
      <c r="AB703">
        <f>IF($Y703="","",IF($Y703=0,LN($J703/$Z703)/$AA703,((($J703/$Z703)^$Y703)-1)/($Y703*$AA703)))</f>
        <v/>
      </c>
      <c r="AC703">
        <f>IF($Y703="","",IF($Y703=0,$Z703*EXP($AA703*2),$Z703*(1+$Y703*$AA703*2)^(1/$Y703)))</f>
        <v/>
      </c>
      <c r="AD703">
        <f>IF($Y703="","",IF($Y703=0,$Z703*EXP($AA703*3),$Z703*(1+$Y703*$AA703*3)^(1/$Y703)))</f>
        <v/>
      </c>
      <c r="AE703">
        <f>IF($Y703="","",IF($Y703=0,$Z703*EXP($AA703*-2),$Z703*(1+$Y703*$AA703*-2)^(1/$Y703)))</f>
        <v/>
      </c>
      <c r="AF703">
        <f>IF($Y703="","",IF($Y703=0,$Z703*EXP($AA703*-3),$Z703*(1+$Y703*$AA703*-3)^(1/$Y703)))</f>
        <v/>
      </c>
      <c r="AG703">
        <f>IF($W703="","",IFERROR(INDEX(IF($T703&lt;=60,est05_l,est519_l),MATCH($W703,IF($T703&lt;=60,est05_k,est519_k),1)),""))</f>
        <v/>
      </c>
      <c r="AH703">
        <f>IF($W703="","",IFERROR(INDEX(IF($T703&lt;=60,est05_m,est519_m),MATCH($W703,IF($T703&lt;=60,est05_k,est519_k),1)),""))</f>
        <v/>
      </c>
      <c r="AI703">
        <f>IF($W703="","",IFERROR(INDEX(IF($T703&lt;=60,est05_s,est519_s),MATCH($W703,IF($T703&lt;=60,est05_k,est519_k),1)),""))</f>
        <v/>
      </c>
      <c r="AJ703">
        <f>IF($W703="","",IFERROR(INDEX(IF($T703&lt;=60,peso05_l,peso510_l),MATCH($W703,IF($T703&lt;=60,peso05_k,peso510_k),1)),""))</f>
        <v/>
      </c>
      <c r="AK703">
        <f>IF($W703="","",IFERROR(INDEX(IF($T703&lt;=60,peso05_m,peso510_m),MATCH($W703,IF($T703&lt;=60,peso05_k,peso510_k),1)),""))</f>
        <v/>
      </c>
      <c r="AL703">
        <f>IF($W703="","",IFERROR(INDEX(IF($T703&lt;=60,peso05_s,peso510_s),MATCH($W703,IF($T703&lt;=60,peso05_k,peso510_k),1)),""))</f>
        <v/>
      </c>
      <c r="AM703">
        <f>IF($AJ703="","",IF($AJ703=0,LN($F703/$AK703)/$AL703,((($F703/$AK703)^$AJ703)-1)/($AJ703*$AL703)))</f>
        <v/>
      </c>
      <c r="AN703">
        <f>IF($AJ703="","",IF($AJ703=0,$AK703*EXP($AL703*2),$AK703*(1+$AJ703*$AL703*2)^(1/$AJ703)))</f>
        <v/>
      </c>
      <c r="AO703">
        <f>IF($AJ703="","",IF($AJ703=0,$AK703*EXP($AL703*3),$AK703*(1+$AJ703*$AL703*3)^(1/$AJ703)))</f>
        <v/>
      </c>
      <c r="AP703">
        <f>IF($AJ703="","",IF($AJ703=0,$AK703*EXP($AL703*-2),$AK703*(1+$AJ703*$AL703*-2)^(1/$AJ703)))</f>
        <v/>
      </c>
      <c r="AQ703">
        <f>IF($AJ703="","",IF($AJ703=0,$AK703*EXP($AL703*-3),$AK703*(1+$AJ703*$AL703*-3)^(1/$AJ703)))</f>
        <v/>
      </c>
      <c r="AR703">
        <f>IF(OR($X703="",$T703&gt;60),"",IFERROR(INDEX(IF($T703&lt;24,pcomp_l,palt_l),MATCH($X703,IF($T703&lt;24,pcomp_k,palt_k),1)),""))</f>
        <v/>
      </c>
      <c r="AS703">
        <f>IF(OR($X703="",$T703&gt;60),"",IFERROR(INDEX(IF($T703&lt;24,pcomp_m,palt_m),MATCH($X703,IF($T703&lt;24,pcomp_k,palt_k),1)),""))</f>
        <v/>
      </c>
      <c r="AT703">
        <f>IF(OR($X703="",$T703&gt;60),"",IFERROR(INDEX(IF($T703&lt;24,pcomp_s,palt_s),MATCH($X703,IF($T703&lt;24,pcomp_k,palt_k),1)),""))</f>
        <v/>
      </c>
      <c r="AU703">
        <f>IF($AR703="","",IF($AR703=0,LN($F703/$AS703)/$AT703,((($F703/$AS703)^$AR703)-1)/($AR703*$AT703)))</f>
        <v/>
      </c>
      <c r="AV703">
        <f>IF($AR703="","",IF($AR703=0,$AS703*EXP($AT703*2),$AS703*(1+$AR703*$AT703*2)^(1/$AR703)))</f>
        <v/>
      </c>
      <c r="AW703">
        <f>IF($AR703="","",IF($AR703=0,$AS703*EXP($AT703*3),$AS703*(1+$AR703*$AT703*3)^(1/$AR703)))</f>
        <v/>
      </c>
      <c r="AX703">
        <f>IF($AR703="","",IF($AR703=0,$AS703*EXP($AT703*-2),$AS703*(1+$AR703*$AT703*-2)^(1/$AR703)))</f>
        <v/>
      </c>
      <c r="AY703">
        <f>IF($AR703="","",IF($AR703=0,$AS703*EXP($AT703*-3),$AS703*(1+$AR703*$AT703*-3)^(1/$AR703)))</f>
        <v/>
      </c>
      <c r="AZ703">
        <f>IF(OR($A703="",$A703&lt;&gt;Ficha!$C$4),"",COUNTIF($A$2:$A703,Ficha!$C$4))</f>
        <v/>
      </c>
    </row>
    <row r="704">
      <c r="A704" s="8">
        <f>IF(INDEX(Banco!$A:$A,ROW())="","",INDEX(Banco!$A:$A,ROW()))</f>
        <v/>
      </c>
      <c r="B704" s="8">
        <f>IF(INDEX(Banco!$B:$B,ROW())="","",INDEX(Banco!$B:$B,ROW()))</f>
        <v/>
      </c>
      <c r="C704" s="8">
        <f>IF(INDEX(Banco!$C:$C,ROW())="","",INDEX(Banco!$C:$C,ROW()))</f>
        <v/>
      </c>
      <c r="D704" s="9">
        <f>IF(INDEX(Banco!$D:$D,ROW())="","",INDEX(Banco!$D:$D,ROW()))</f>
        <v/>
      </c>
      <c r="E704" s="9">
        <f>IF(INDEX(Banco!$E:$E,ROW())="","",INDEX(Banco!$E:$E,ROW()))</f>
        <v/>
      </c>
      <c r="F704" s="10">
        <f>IF(INDEX(Banco!$F:$F,ROW())="","",INDEX(Banco!$F:$F,ROW()))</f>
        <v/>
      </c>
      <c r="G704" s="10">
        <f>IF(INDEX(Banco!$G:$G,ROW())="","",INDEX(Banco!$G:$G,ROW()))</f>
        <v/>
      </c>
      <c r="H704" s="8">
        <f>IF(INDEX(Banco!$H:$H,ROW())="","",INDEX(Banco!$H:$H,ROW()))</f>
        <v/>
      </c>
      <c r="I704">
        <f>IF($T704="","",INT($T704/12)&amp;"a "&amp;MOD($T704,12)&amp;"m")</f>
        <v/>
      </c>
      <c r="J704" s="11">
        <f>IF(OR($F704="",$G704=""),"",ROUND($F704/($G704/100)^2,2))</f>
        <v/>
      </c>
      <c r="K704" s="12">
        <f>IF(OR($S704="",$J704="",$T704="",$T704&lt;0,$T704&gt;228,$Y704=""),"—",ROUND(IF(ABS($AB704)&lt;=3,$AB704,IF($AB704&gt;3,3+($J704-$AD704)/($AD704-$AC704),-3+($J704-$AF704)/($AE704-$AF704))),2))</f>
        <v/>
      </c>
      <c r="L704">
        <f>IF(OR($K704="",$K704="—"),"",IF($T704&lt;=60,IF($K704&lt;-3,"Magreza acentuada",IF($K704&lt;-2,"Magreza",IF($K704&lt;=1,"Eutrofia",IF($K704&lt;=2,"Risco de sobrepeso",IF($K704&lt;=3,"Sobrepeso","Obesidade"))))),IF($K704&lt;-3,"Magreza acentuada",IF($K704&lt;-2,"Magreza",IF($K704&lt;=1,"Eutrofia",IF($K704&lt;=2,"Sobrepeso",IF($K704&lt;=3,"Obesidade","Obesidade grave")))))))</f>
        <v/>
      </c>
      <c r="M704" s="12">
        <f>IF(OR($S704="",$V704="",$T704="",$T704&lt;0,$T704&gt;228,$AG704=""),"—",ROUND(IF($AG704=0,LN($V704/$AH704)/$AI704,((($V704/$AH704)^$AG704)-1)/($AG704*$AI704)),2))</f>
        <v/>
      </c>
      <c r="N704">
        <f>IF(OR($M704="",$M704="—"),"",IF($M704&lt;-3,"Muito baixa",IF($M704&lt;-2,"Baixa","Adequada")))</f>
        <v/>
      </c>
      <c r="O704" s="12">
        <f>IF(OR($S704="",$F704="",$T704="",$T704&lt;0,$T704&gt;120,$AJ704=""),"—",ROUND(IF(ABS($AM704)&lt;=3,$AM704,IF($AM704&gt;3,3+($F704-$AO704)/($AO704-$AN704),-3+($F704-$AQ704)/($AP704-$AQ704))),2))</f>
        <v/>
      </c>
      <c r="P704">
        <f>IF(OR($O704="",$O704="—"),"",IF($O704&lt;-3,"Muito baixo",IF($O704&lt;-2,"Baixo",IF($O704&lt;=2,"Adequado","Elevado"))))</f>
        <v/>
      </c>
      <c r="Q704" s="12">
        <f>IF(OR($S704="",$F704="",$T704="",$T704&lt;0,$T704&gt;60,$AR704=""),"—",ROUND(IF(ABS($AU704)&lt;=3,$AU704,IF($AU704&gt;3,3+($F704-$AW704)/($AW704-$AV704),-3+($F704-$AY704)/($AX704-$AY704))),2))</f>
        <v/>
      </c>
      <c r="R704">
        <f>IF(OR($Q704="",$Q704="—"),"",IF($Q704&lt;-3,"Magreza acentuada",IF($Q704&lt;-2,"Magreza",IF($Q704&lt;=1,"Eutrofia",IF($Q704&lt;=2,"Risco de sobrepeso",IF($Q704&lt;=3,"Sobrepeso","Obesidade"))))))</f>
        <v/>
      </c>
      <c r="S704">
        <f>IF($C704="","",IF(UPPER(LEFT($C704,1))="M",1,IF(UPPER(LEFT($C704,1))="F",2,"")))</f>
        <v/>
      </c>
      <c r="T704">
        <f>IF(OR($D704="",$E704=""),"",DATEDIF($D704,$E704,"m"))</f>
        <v/>
      </c>
      <c r="U704">
        <f>IF(OR($D704="",$E704=""),"",$E704-$D704)</f>
        <v/>
      </c>
      <c r="V704">
        <f>IF(OR($G704="",$T704=""),"",IF($T704&lt;24,IF(LEFT(LOWER($H704),4)="em p",$G704+0.7,$G704),IF(LEFT(LOWER($H704),4)="deit",$G704-0.7,$G704)))</f>
        <v/>
      </c>
      <c r="W704">
        <f>IF(OR($S704="",$T704=""),"",$S704*1000000+IF($T704&lt;=60,$U704,$T704))</f>
        <v/>
      </c>
      <c r="X704">
        <f>IF(OR($S704="",$V704="",$T704&gt;60,$T704=""),"",$S704*1000000+ROUND($V704*10,0))</f>
        <v/>
      </c>
      <c r="Y704">
        <f>IF($W704="","",IFERROR(INDEX(IF($T704&lt;=60,imc05_l,imc519_l),MATCH($W704,IF($T704&lt;=60,imc05_k,imc519_k),1)),""))</f>
        <v/>
      </c>
      <c r="Z704">
        <f>IF($W704="","",IFERROR(INDEX(IF($T704&lt;=60,imc05_m,imc519_m),MATCH($W704,IF($T704&lt;=60,imc05_k,imc519_k),1)),""))</f>
        <v/>
      </c>
      <c r="AA704">
        <f>IF($W704="","",IFERROR(INDEX(IF($T704&lt;=60,imc05_s,imc519_s),MATCH($W704,IF($T704&lt;=60,imc05_k,imc519_k),1)),""))</f>
        <v/>
      </c>
      <c r="AB704">
        <f>IF($Y704="","",IF($Y704=0,LN($J704/$Z704)/$AA704,((($J704/$Z704)^$Y704)-1)/($Y704*$AA704)))</f>
        <v/>
      </c>
      <c r="AC704">
        <f>IF($Y704="","",IF($Y704=0,$Z704*EXP($AA704*2),$Z704*(1+$Y704*$AA704*2)^(1/$Y704)))</f>
        <v/>
      </c>
      <c r="AD704">
        <f>IF($Y704="","",IF($Y704=0,$Z704*EXP($AA704*3),$Z704*(1+$Y704*$AA704*3)^(1/$Y704)))</f>
        <v/>
      </c>
      <c r="AE704">
        <f>IF($Y704="","",IF($Y704=0,$Z704*EXP($AA704*-2),$Z704*(1+$Y704*$AA704*-2)^(1/$Y704)))</f>
        <v/>
      </c>
      <c r="AF704">
        <f>IF($Y704="","",IF($Y704=0,$Z704*EXP($AA704*-3),$Z704*(1+$Y704*$AA704*-3)^(1/$Y704)))</f>
        <v/>
      </c>
      <c r="AG704">
        <f>IF($W704="","",IFERROR(INDEX(IF($T704&lt;=60,est05_l,est519_l),MATCH($W704,IF($T704&lt;=60,est05_k,est519_k),1)),""))</f>
        <v/>
      </c>
      <c r="AH704">
        <f>IF($W704="","",IFERROR(INDEX(IF($T704&lt;=60,est05_m,est519_m),MATCH($W704,IF($T704&lt;=60,est05_k,est519_k),1)),""))</f>
        <v/>
      </c>
      <c r="AI704">
        <f>IF($W704="","",IFERROR(INDEX(IF($T704&lt;=60,est05_s,est519_s),MATCH($W704,IF($T704&lt;=60,est05_k,est519_k),1)),""))</f>
        <v/>
      </c>
      <c r="AJ704">
        <f>IF($W704="","",IFERROR(INDEX(IF($T704&lt;=60,peso05_l,peso510_l),MATCH($W704,IF($T704&lt;=60,peso05_k,peso510_k),1)),""))</f>
        <v/>
      </c>
      <c r="AK704">
        <f>IF($W704="","",IFERROR(INDEX(IF($T704&lt;=60,peso05_m,peso510_m),MATCH($W704,IF($T704&lt;=60,peso05_k,peso510_k),1)),""))</f>
        <v/>
      </c>
      <c r="AL704">
        <f>IF($W704="","",IFERROR(INDEX(IF($T704&lt;=60,peso05_s,peso510_s),MATCH($W704,IF($T704&lt;=60,peso05_k,peso510_k),1)),""))</f>
        <v/>
      </c>
      <c r="AM704">
        <f>IF($AJ704="","",IF($AJ704=0,LN($F704/$AK704)/$AL704,((($F704/$AK704)^$AJ704)-1)/($AJ704*$AL704)))</f>
        <v/>
      </c>
      <c r="AN704">
        <f>IF($AJ704="","",IF($AJ704=0,$AK704*EXP($AL704*2),$AK704*(1+$AJ704*$AL704*2)^(1/$AJ704)))</f>
        <v/>
      </c>
      <c r="AO704">
        <f>IF($AJ704="","",IF($AJ704=0,$AK704*EXP($AL704*3),$AK704*(1+$AJ704*$AL704*3)^(1/$AJ704)))</f>
        <v/>
      </c>
      <c r="AP704">
        <f>IF($AJ704="","",IF($AJ704=0,$AK704*EXP($AL704*-2),$AK704*(1+$AJ704*$AL704*-2)^(1/$AJ704)))</f>
        <v/>
      </c>
      <c r="AQ704">
        <f>IF($AJ704="","",IF($AJ704=0,$AK704*EXP($AL704*-3),$AK704*(1+$AJ704*$AL704*-3)^(1/$AJ704)))</f>
        <v/>
      </c>
      <c r="AR704">
        <f>IF(OR($X704="",$T704&gt;60),"",IFERROR(INDEX(IF($T704&lt;24,pcomp_l,palt_l),MATCH($X704,IF($T704&lt;24,pcomp_k,palt_k),1)),""))</f>
        <v/>
      </c>
      <c r="AS704">
        <f>IF(OR($X704="",$T704&gt;60),"",IFERROR(INDEX(IF($T704&lt;24,pcomp_m,palt_m),MATCH($X704,IF($T704&lt;24,pcomp_k,palt_k),1)),""))</f>
        <v/>
      </c>
      <c r="AT704">
        <f>IF(OR($X704="",$T704&gt;60),"",IFERROR(INDEX(IF($T704&lt;24,pcomp_s,palt_s),MATCH($X704,IF($T704&lt;24,pcomp_k,palt_k),1)),""))</f>
        <v/>
      </c>
      <c r="AU704">
        <f>IF($AR704="","",IF($AR704=0,LN($F704/$AS704)/$AT704,((($F704/$AS704)^$AR704)-1)/($AR704*$AT704)))</f>
        <v/>
      </c>
      <c r="AV704">
        <f>IF($AR704="","",IF($AR704=0,$AS704*EXP($AT704*2),$AS704*(1+$AR704*$AT704*2)^(1/$AR704)))</f>
        <v/>
      </c>
      <c r="AW704">
        <f>IF($AR704="","",IF($AR704=0,$AS704*EXP($AT704*3),$AS704*(1+$AR704*$AT704*3)^(1/$AR704)))</f>
        <v/>
      </c>
      <c r="AX704">
        <f>IF($AR704="","",IF($AR704=0,$AS704*EXP($AT704*-2),$AS704*(1+$AR704*$AT704*-2)^(1/$AR704)))</f>
        <v/>
      </c>
      <c r="AY704">
        <f>IF($AR704="","",IF($AR704=0,$AS704*EXP($AT704*-3),$AS704*(1+$AR704*$AT704*-3)^(1/$AR704)))</f>
        <v/>
      </c>
      <c r="AZ704">
        <f>IF(OR($A704="",$A704&lt;&gt;Ficha!$C$4),"",COUNTIF($A$2:$A704,Ficha!$C$4))</f>
        <v/>
      </c>
    </row>
    <row r="705">
      <c r="A705" s="8">
        <f>IF(INDEX(Banco!$A:$A,ROW())="","",INDEX(Banco!$A:$A,ROW()))</f>
        <v/>
      </c>
      <c r="B705" s="8">
        <f>IF(INDEX(Banco!$B:$B,ROW())="","",INDEX(Banco!$B:$B,ROW()))</f>
        <v/>
      </c>
      <c r="C705" s="8">
        <f>IF(INDEX(Banco!$C:$C,ROW())="","",INDEX(Banco!$C:$C,ROW()))</f>
        <v/>
      </c>
      <c r="D705" s="9">
        <f>IF(INDEX(Banco!$D:$D,ROW())="","",INDEX(Banco!$D:$D,ROW()))</f>
        <v/>
      </c>
      <c r="E705" s="9">
        <f>IF(INDEX(Banco!$E:$E,ROW())="","",INDEX(Banco!$E:$E,ROW()))</f>
        <v/>
      </c>
      <c r="F705" s="10">
        <f>IF(INDEX(Banco!$F:$F,ROW())="","",INDEX(Banco!$F:$F,ROW()))</f>
        <v/>
      </c>
      <c r="G705" s="10">
        <f>IF(INDEX(Banco!$G:$G,ROW())="","",INDEX(Banco!$G:$G,ROW()))</f>
        <v/>
      </c>
      <c r="H705" s="8">
        <f>IF(INDEX(Banco!$H:$H,ROW())="","",INDEX(Banco!$H:$H,ROW()))</f>
        <v/>
      </c>
      <c r="I705">
        <f>IF($T705="","",INT($T705/12)&amp;"a "&amp;MOD($T705,12)&amp;"m")</f>
        <v/>
      </c>
      <c r="J705" s="11">
        <f>IF(OR($F705="",$G705=""),"",ROUND($F705/($G705/100)^2,2))</f>
        <v/>
      </c>
      <c r="K705" s="12">
        <f>IF(OR($S705="",$J705="",$T705="",$T705&lt;0,$T705&gt;228,$Y705=""),"—",ROUND(IF(ABS($AB705)&lt;=3,$AB705,IF($AB705&gt;3,3+($J705-$AD705)/($AD705-$AC705),-3+($J705-$AF705)/($AE705-$AF705))),2))</f>
        <v/>
      </c>
      <c r="L705">
        <f>IF(OR($K705="",$K705="—"),"",IF($T705&lt;=60,IF($K705&lt;-3,"Magreza acentuada",IF($K705&lt;-2,"Magreza",IF($K705&lt;=1,"Eutrofia",IF($K705&lt;=2,"Risco de sobrepeso",IF($K705&lt;=3,"Sobrepeso","Obesidade"))))),IF($K705&lt;-3,"Magreza acentuada",IF($K705&lt;-2,"Magreza",IF($K705&lt;=1,"Eutrofia",IF($K705&lt;=2,"Sobrepeso",IF($K705&lt;=3,"Obesidade","Obesidade grave")))))))</f>
        <v/>
      </c>
      <c r="M705" s="12">
        <f>IF(OR($S705="",$V705="",$T705="",$T705&lt;0,$T705&gt;228,$AG705=""),"—",ROUND(IF($AG705=0,LN($V705/$AH705)/$AI705,((($V705/$AH705)^$AG705)-1)/($AG705*$AI705)),2))</f>
        <v/>
      </c>
      <c r="N705">
        <f>IF(OR($M705="",$M705="—"),"",IF($M705&lt;-3,"Muito baixa",IF($M705&lt;-2,"Baixa","Adequada")))</f>
        <v/>
      </c>
      <c r="O705" s="12">
        <f>IF(OR($S705="",$F705="",$T705="",$T705&lt;0,$T705&gt;120,$AJ705=""),"—",ROUND(IF(ABS($AM705)&lt;=3,$AM705,IF($AM705&gt;3,3+($F705-$AO705)/($AO705-$AN705),-3+($F705-$AQ705)/($AP705-$AQ705))),2))</f>
        <v/>
      </c>
      <c r="P705">
        <f>IF(OR($O705="",$O705="—"),"",IF($O705&lt;-3,"Muito baixo",IF($O705&lt;-2,"Baixo",IF($O705&lt;=2,"Adequado","Elevado"))))</f>
        <v/>
      </c>
      <c r="Q705" s="12">
        <f>IF(OR($S705="",$F705="",$T705="",$T705&lt;0,$T705&gt;60,$AR705=""),"—",ROUND(IF(ABS($AU705)&lt;=3,$AU705,IF($AU705&gt;3,3+($F705-$AW705)/($AW705-$AV705),-3+($F705-$AY705)/($AX705-$AY705))),2))</f>
        <v/>
      </c>
      <c r="R705">
        <f>IF(OR($Q705="",$Q705="—"),"",IF($Q705&lt;-3,"Magreza acentuada",IF($Q705&lt;-2,"Magreza",IF($Q705&lt;=1,"Eutrofia",IF($Q705&lt;=2,"Risco de sobrepeso",IF($Q705&lt;=3,"Sobrepeso","Obesidade"))))))</f>
        <v/>
      </c>
      <c r="S705">
        <f>IF($C705="","",IF(UPPER(LEFT($C705,1))="M",1,IF(UPPER(LEFT($C705,1))="F",2,"")))</f>
        <v/>
      </c>
      <c r="T705">
        <f>IF(OR($D705="",$E705=""),"",DATEDIF($D705,$E705,"m"))</f>
        <v/>
      </c>
      <c r="U705">
        <f>IF(OR($D705="",$E705=""),"",$E705-$D705)</f>
        <v/>
      </c>
      <c r="V705">
        <f>IF(OR($G705="",$T705=""),"",IF($T705&lt;24,IF(LEFT(LOWER($H705),4)="em p",$G705+0.7,$G705),IF(LEFT(LOWER($H705),4)="deit",$G705-0.7,$G705)))</f>
        <v/>
      </c>
      <c r="W705">
        <f>IF(OR($S705="",$T705=""),"",$S705*1000000+IF($T705&lt;=60,$U705,$T705))</f>
        <v/>
      </c>
      <c r="X705">
        <f>IF(OR($S705="",$V705="",$T705&gt;60,$T705=""),"",$S705*1000000+ROUND($V705*10,0))</f>
        <v/>
      </c>
      <c r="Y705">
        <f>IF($W705="","",IFERROR(INDEX(IF($T705&lt;=60,imc05_l,imc519_l),MATCH($W705,IF($T705&lt;=60,imc05_k,imc519_k),1)),""))</f>
        <v/>
      </c>
      <c r="Z705">
        <f>IF($W705="","",IFERROR(INDEX(IF($T705&lt;=60,imc05_m,imc519_m),MATCH($W705,IF($T705&lt;=60,imc05_k,imc519_k),1)),""))</f>
        <v/>
      </c>
      <c r="AA705">
        <f>IF($W705="","",IFERROR(INDEX(IF($T705&lt;=60,imc05_s,imc519_s),MATCH($W705,IF($T705&lt;=60,imc05_k,imc519_k),1)),""))</f>
        <v/>
      </c>
      <c r="AB705">
        <f>IF($Y705="","",IF($Y705=0,LN($J705/$Z705)/$AA705,((($J705/$Z705)^$Y705)-1)/($Y705*$AA705)))</f>
        <v/>
      </c>
      <c r="AC705">
        <f>IF($Y705="","",IF($Y705=0,$Z705*EXP($AA705*2),$Z705*(1+$Y705*$AA705*2)^(1/$Y705)))</f>
        <v/>
      </c>
      <c r="AD705">
        <f>IF($Y705="","",IF($Y705=0,$Z705*EXP($AA705*3),$Z705*(1+$Y705*$AA705*3)^(1/$Y705)))</f>
        <v/>
      </c>
      <c r="AE705">
        <f>IF($Y705="","",IF($Y705=0,$Z705*EXP($AA705*-2),$Z705*(1+$Y705*$AA705*-2)^(1/$Y705)))</f>
        <v/>
      </c>
      <c r="AF705">
        <f>IF($Y705="","",IF($Y705=0,$Z705*EXP($AA705*-3),$Z705*(1+$Y705*$AA705*-3)^(1/$Y705)))</f>
        <v/>
      </c>
      <c r="AG705">
        <f>IF($W705="","",IFERROR(INDEX(IF($T705&lt;=60,est05_l,est519_l),MATCH($W705,IF($T705&lt;=60,est05_k,est519_k),1)),""))</f>
        <v/>
      </c>
      <c r="AH705">
        <f>IF($W705="","",IFERROR(INDEX(IF($T705&lt;=60,est05_m,est519_m),MATCH($W705,IF($T705&lt;=60,est05_k,est519_k),1)),""))</f>
        <v/>
      </c>
      <c r="AI705">
        <f>IF($W705="","",IFERROR(INDEX(IF($T705&lt;=60,est05_s,est519_s),MATCH($W705,IF($T705&lt;=60,est05_k,est519_k),1)),""))</f>
        <v/>
      </c>
      <c r="AJ705">
        <f>IF($W705="","",IFERROR(INDEX(IF($T705&lt;=60,peso05_l,peso510_l),MATCH($W705,IF($T705&lt;=60,peso05_k,peso510_k),1)),""))</f>
        <v/>
      </c>
      <c r="AK705">
        <f>IF($W705="","",IFERROR(INDEX(IF($T705&lt;=60,peso05_m,peso510_m),MATCH($W705,IF($T705&lt;=60,peso05_k,peso510_k),1)),""))</f>
        <v/>
      </c>
      <c r="AL705">
        <f>IF($W705="","",IFERROR(INDEX(IF($T705&lt;=60,peso05_s,peso510_s),MATCH($W705,IF($T705&lt;=60,peso05_k,peso510_k),1)),""))</f>
        <v/>
      </c>
      <c r="AM705">
        <f>IF($AJ705="","",IF($AJ705=0,LN($F705/$AK705)/$AL705,((($F705/$AK705)^$AJ705)-1)/($AJ705*$AL705)))</f>
        <v/>
      </c>
      <c r="AN705">
        <f>IF($AJ705="","",IF($AJ705=0,$AK705*EXP($AL705*2),$AK705*(1+$AJ705*$AL705*2)^(1/$AJ705)))</f>
        <v/>
      </c>
      <c r="AO705">
        <f>IF($AJ705="","",IF($AJ705=0,$AK705*EXP($AL705*3),$AK705*(1+$AJ705*$AL705*3)^(1/$AJ705)))</f>
        <v/>
      </c>
      <c r="AP705">
        <f>IF($AJ705="","",IF($AJ705=0,$AK705*EXP($AL705*-2),$AK705*(1+$AJ705*$AL705*-2)^(1/$AJ705)))</f>
        <v/>
      </c>
      <c r="AQ705">
        <f>IF($AJ705="","",IF($AJ705=0,$AK705*EXP($AL705*-3),$AK705*(1+$AJ705*$AL705*-3)^(1/$AJ705)))</f>
        <v/>
      </c>
      <c r="AR705">
        <f>IF(OR($X705="",$T705&gt;60),"",IFERROR(INDEX(IF($T705&lt;24,pcomp_l,palt_l),MATCH($X705,IF($T705&lt;24,pcomp_k,palt_k),1)),""))</f>
        <v/>
      </c>
      <c r="AS705">
        <f>IF(OR($X705="",$T705&gt;60),"",IFERROR(INDEX(IF($T705&lt;24,pcomp_m,palt_m),MATCH($X705,IF($T705&lt;24,pcomp_k,palt_k),1)),""))</f>
        <v/>
      </c>
      <c r="AT705">
        <f>IF(OR($X705="",$T705&gt;60),"",IFERROR(INDEX(IF($T705&lt;24,pcomp_s,palt_s),MATCH($X705,IF($T705&lt;24,pcomp_k,palt_k),1)),""))</f>
        <v/>
      </c>
      <c r="AU705">
        <f>IF($AR705="","",IF($AR705=0,LN($F705/$AS705)/$AT705,((($F705/$AS705)^$AR705)-1)/($AR705*$AT705)))</f>
        <v/>
      </c>
      <c r="AV705">
        <f>IF($AR705="","",IF($AR705=0,$AS705*EXP($AT705*2),$AS705*(1+$AR705*$AT705*2)^(1/$AR705)))</f>
        <v/>
      </c>
      <c r="AW705">
        <f>IF($AR705="","",IF($AR705=0,$AS705*EXP($AT705*3),$AS705*(1+$AR705*$AT705*3)^(1/$AR705)))</f>
        <v/>
      </c>
      <c r="AX705">
        <f>IF($AR705="","",IF($AR705=0,$AS705*EXP($AT705*-2),$AS705*(1+$AR705*$AT705*-2)^(1/$AR705)))</f>
        <v/>
      </c>
      <c r="AY705">
        <f>IF($AR705="","",IF($AR705=0,$AS705*EXP($AT705*-3),$AS705*(1+$AR705*$AT705*-3)^(1/$AR705)))</f>
        <v/>
      </c>
      <c r="AZ705">
        <f>IF(OR($A705="",$A705&lt;&gt;Ficha!$C$4),"",COUNTIF($A$2:$A705,Ficha!$C$4))</f>
        <v/>
      </c>
    </row>
    <row r="706">
      <c r="A706" s="8">
        <f>IF(INDEX(Banco!$A:$A,ROW())="","",INDEX(Banco!$A:$A,ROW()))</f>
        <v/>
      </c>
      <c r="B706" s="8">
        <f>IF(INDEX(Banco!$B:$B,ROW())="","",INDEX(Banco!$B:$B,ROW()))</f>
        <v/>
      </c>
      <c r="C706" s="8">
        <f>IF(INDEX(Banco!$C:$C,ROW())="","",INDEX(Banco!$C:$C,ROW()))</f>
        <v/>
      </c>
      <c r="D706" s="9">
        <f>IF(INDEX(Banco!$D:$D,ROW())="","",INDEX(Banco!$D:$D,ROW()))</f>
        <v/>
      </c>
      <c r="E706" s="9">
        <f>IF(INDEX(Banco!$E:$E,ROW())="","",INDEX(Banco!$E:$E,ROW()))</f>
        <v/>
      </c>
      <c r="F706" s="10">
        <f>IF(INDEX(Banco!$F:$F,ROW())="","",INDEX(Banco!$F:$F,ROW()))</f>
        <v/>
      </c>
      <c r="G706" s="10">
        <f>IF(INDEX(Banco!$G:$G,ROW())="","",INDEX(Banco!$G:$G,ROW()))</f>
        <v/>
      </c>
      <c r="H706" s="8">
        <f>IF(INDEX(Banco!$H:$H,ROW())="","",INDEX(Banco!$H:$H,ROW()))</f>
        <v/>
      </c>
      <c r="I706">
        <f>IF($T706="","",INT($T706/12)&amp;"a "&amp;MOD($T706,12)&amp;"m")</f>
        <v/>
      </c>
      <c r="J706" s="11">
        <f>IF(OR($F706="",$G706=""),"",ROUND($F706/($G706/100)^2,2))</f>
        <v/>
      </c>
      <c r="K706" s="12">
        <f>IF(OR($S706="",$J706="",$T706="",$T706&lt;0,$T706&gt;228,$Y706=""),"—",ROUND(IF(ABS($AB706)&lt;=3,$AB706,IF($AB706&gt;3,3+($J706-$AD706)/($AD706-$AC706),-3+($J706-$AF706)/($AE706-$AF706))),2))</f>
        <v/>
      </c>
      <c r="L706">
        <f>IF(OR($K706="",$K706="—"),"",IF($T706&lt;=60,IF($K706&lt;-3,"Magreza acentuada",IF($K706&lt;-2,"Magreza",IF($K706&lt;=1,"Eutrofia",IF($K706&lt;=2,"Risco de sobrepeso",IF($K706&lt;=3,"Sobrepeso","Obesidade"))))),IF($K706&lt;-3,"Magreza acentuada",IF($K706&lt;-2,"Magreza",IF($K706&lt;=1,"Eutrofia",IF($K706&lt;=2,"Sobrepeso",IF($K706&lt;=3,"Obesidade","Obesidade grave")))))))</f>
        <v/>
      </c>
      <c r="M706" s="12">
        <f>IF(OR($S706="",$V706="",$T706="",$T706&lt;0,$T706&gt;228,$AG706=""),"—",ROUND(IF($AG706=0,LN($V706/$AH706)/$AI706,((($V706/$AH706)^$AG706)-1)/($AG706*$AI706)),2))</f>
        <v/>
      </c>
      <c r="N706">
        <f>IF(OR($M706="",$M706="—"),"",IF($M706&lt;-3,"Muito baixa",IF($M706&lt;-2,"Baixa","Adequada")))</f>
        <v/>
      </c>
      <c r="O706" s="12">
        <f>IF(OR($S706="",$F706="",$T706="",$T706&lt;0,$T706&gt;120,$AJ706=""),"—",ROUND(IF(ABS($AM706)&lt;=3,$AM706,IF($AM706&gt;3,3+($F706-$AO706)/($AO706-$AN706),-3+($F706-$AQ706)/($AP706-$AQ706))),2))</f>
        <v/>
      </c>
      <c r="P706">
        <f>IF(OR($O706="",$O706="—"),"",IF($O706&lt;-3,"Muito baixo",IF($O706&lt;-2,"Baixo",IF($O706&lt;=2,"Adequado","Elevado"))))</f>
        <v/>
      </c>
      <c r="Q706" s="12">
        <f>IF(OR($S706="",$F706="",$T706="",$T706&lt;0,$T706&gt;60,$AR706=""),"—",ROUND(IF(ABS($AU706)&lt;=3,$AU706,IF($AU706&gt;3,3+($F706-$AW706)/($AW706-$AV706),-3+($F706-$AY706)/($AX706-$AY706))),2))</f>
        <v/>
      </c>
      <c r="R706">
        <f>IF(OR($Q706="",$Q706="—"),"",IF($Q706&lt;-3,"Magreza acentuada",IF($Q706&lt;-2,"Magreza",IF($Q706&lt;=1,"Eutrofia",IF($Q706&lt;=2,"Risco de sobrepeso",IF($Q706&lt;=3,"Sobrepeso","Obesidade"))))))</f>
        <v/>
      </c>
      <c r="S706">
        <f>IF($C706="","",IF(UPPER(LEFT($C706,1))="M",1,IF(UPPER(LEFT($C706,1))="F",2,"")))</f>
        <v/>
      </c>
      <c r="T706">
        <f>IF(OR($D706="",$E706=""),"",DATEDIF($D706,$E706,"m"))</f>
        <v/>
      </c>
      <c r="U706">
        <f>IF(OR($D706="",$E706=""),"",$E706-$D706)</f>
        <v/>
      </c>
      <c r="V706">
        <f>IF(OR($G706="",$T706=""),"",IF($T706&lt;24,IF(LEFT(LOWER($H706),4)="em p",$G706+0.7,$G706),IF(LEFT(LOWER($H706),4)="deit",$G706-0.7,$G706)))</f>
        <v/>
      </c>
      <c r="W706">
        <f>IF(OR($S706="",$T706=""),"",$S706*1000000+IF($T706&lt;=60,$U706,$T706))</f>
        <v/>
      </c>
      <c r="X706">
        <f>IF(OR($S706="",$V706="",$T706&gt;60,$T706=""),"",$S706*1000000+ROUND($V706*10,0))</f>
        <v/>
      </c>
      <c r="Y706">
        <f>IF($W706="","",IFERROR(INDEX(IF($T706&lt;=60,imc05_l,imc519_l),MATCH($W706,IF($T706&lt;=60,imc05_k,imc519_k),1)),""))</f>
        <v/>
      </c>
      <c r="Z706">
        <f>IF($W706="","",IFERROR(INDEX(IF($T706&lt;=60,imc05_m,imc519_m),MATCH($W706,IF($T706&lt;=60,imc05_k,imc519_k),1)),""))</f>
        <v/>
      </c>
      <c r="AA706">
        <f>IF($W706="","",IFERROR(INDEX(IF($T706&lt;=60,imc05_s,imc519_s),MATCH($W706,IF($T706&lt;=60,imc05_k,imc519_k),1)),""))</f>
        <v/>
      </c>
      <c r="AB706">
        <f>IF($Y706="","",IF($Y706=0,LN($J706/$Z706)/$AA706,((($J706/$Z706)^$Y706)-1)/($Y706*$AA706)))</f>
        <v/>
      </c>
      <c r="AC706">
        <f>IF($Y706="","",IF($Y706=0,$Z706*EXP($AA706*2),$Z706*(1+$Y706*$AA706*2)^(1/$Y706)))</f>
        <v/>
      </c>
      <c r="AD706">
        <f>IF($Y706="","",IF($Y706=0,$Z706*EXP($AA706*3),$Z706*(1+$Y706*$AA706*3)^(1/$Y706)))</f>
        <v/>
      </c>
      <c r="AE706">
        <f>IF($Y706="","",IF($Y706=0,$Z706*EXP($AA706*-2),$Z706*(1+$Y706*$AA706*-2)^(1/$Y706)))</f>
        <v/>
      </c>
      <c r="AF706">
        <f>IF($Y706="","",IF($Y706=0,$Z706*EXP($AA706*-3),$Z706*(1+$Y706*$AA706*-3)^(1/$Y706)))</f>
        <v/>
      </c>
      <c r="AG706">
        <f>IF($W706="","",IFERROR(INDEX(IF($T706&lt;=60,est05_l,est519_l),MATCH($W706,IF($T706&lt;=60,est05_k,est519_k),1)),""))</f>
        <v/>
      </c>
      <c r="AH706">
        <f>IF($W706="","",IFERROR(INDEX(IF($T706&lt;=60,est05_m,est519_m),MATCH($W706,IF($T706&lt;=60,est05_k,est519_k),1)),""))</f>
        <v/>
      </c>
      <c r="AI706">
        <f>IF($W706="","",IFERROR(INDEX(IF($T706&lt;=60,est05_s,est519_s),MATCH($W706,IF($T706&lt;=60,est05_k,est519_k),1)),""))</f>
        <v/>
      </c>
      <c r="AJ706">
        <f>IF($W706="","",IFERROR(INDEX(IF($T706&lt;=60,peso05_l,peso510_l),MATCH($W706,IF($T706&lt;=60,peso05_k,peso510_k),1)),""))</f>
        <v/>
      </c>
      <c r="AK706">
        <f>IF($W706="","",IFERROR(INDEX(IF($T706&lt;=60,peso05_m,peso510_m),MATCH($W706,IF($T706&lt;=60,peso05_k,peso510_k),1)),""))</f>
        <v/>
      </c>
      <c r="AL706">
        <f>IF($W706="","",IFERROR(INDEX(IF($T706&lt;=60,peso05_s,peso510_s),MATCH($W706,IF($T706&lt;=60,peso05_k,peso510_k),1)),""))</f>
        <v/>
      </c>
      <c r="AM706">
        <f>IF($AJ706="","",IF($AJ706=0,LN($F706/$AK706)/$AL706,((($F706/$AK706)^$AJ706)-1)/($AJ706*$AL706)))</f>
        <v/>
      </c>
      <c r="AN706">
        <f>IF($AJ706="","",IF($AJ706=0,$AK706*EXP($AL706*2),$AK706*(1+$AJ706*$AL706*2)^(1/$AJ706)))</f>
        <v/>
      </c>
      <c r="AO706">
        <f>IF($AJ706="","",IF($AJ706=0,$AK706*EXP($AL706*3),$AK706*(1+$AJ706*$AL706*3)^(1/$AJ706)))</f>
        <v/>
      </c>
      <c r="AP706">
        <f>IF($AJ706="","",IF($AJ706=0,$AK706*EXP($AL706*-2),$AK706*(1+$AJ706*$AL706*-2)^(1/$AJ706)))</f>
        <v/>
      </c>
      <c r="AQ706">
        <f>IF($AJ706="","",IF($AJ706=0,$AK706*EXP($AL706*-3),$AK706*(1+$AJ706*$AL706*-3)^(1/$AJ706)))</f>
        <v/>
      </c>
      <c r="AR706">
        <f>IF(OR($X706="",$T706&gt;60),"",IFERROR(INDEX(IF($T706&lt;24,pcomp_l,palt_l),MATCH($X706,IF($T706&lt;24,pcomp_k,palt_k),1)),""))</f>
        <v/>
      </c>
      <c r="AS706">
        <f>IF(OR($X706="",$T706&gt;60),"",IFERROR(INDEX(IF($T706&lt;24,pcomp_m,palt_m),MATCH($X706,IF($T706&lt;24,pcomp_k,palt_k),1)),""))</f>
        <v/>
      </c>
      <c r="AT706">
        <f>IF(OR($X706="",$T706&gt;60),"",IFERROR(INDEX(IF($T706&lt;24,pcomp_s,palt_s),MATCH($X706,IF($T706&lt;24,pcomp_k,palt_k),1)),""))</f>
        <v/>
      </c>
      <c r="AU706">
        <f>IF($AR706="","",IF($AR706=0,LN($F706/$AS706)/$AT706,((($F706/$AS706)^$AR706)-1)/($AR706*$AT706)))</f>
        <v/>
      </c>
      <c r="AV706">
        <f>IF($AR706="","",IF($AR706=0,$AS706*EXP($AT706*2),$AS706*(1+$AR706*$AT706*2)^(1/$AR706)))</f>
        <v/>
      </c>
      <c r="AW706">
        <f>IF($AR706="","",IF($AR706=0,$AS706*EXP($AT706*3),$AS706*(1+$AR706*$AT706*3)^(1/$AR706)))</f>
        <v/>
      </c>
      <c r="AX706">
        <f>IF($AR706="","",IF($AR706=0,$AS706*EXP($AT706*-2),$AS706*(1+$AR706*$AT706*-2)^(1/$AR706)))</f>
        <v/>
      </c>
      <c r="AY706">
        <f>IF($AR706="","",IF($AR706=0,$AS706*EXP($AT706*-3),$AS706*(1+$AR706*$AT706*-3)^(1/$AR706)))</f>
        <v/>
      </c>
      <c r="AZ706">
        <f>IF(OR($A706="",$A706&lt;&gt;Ficha!$C$4),"",COUNTIF($A$2:$A706,Ficha!$C$4))</f>
        <v/>
      </c>
    </row>
    <row r="707">
      <c r="A707" s="8">
        <f>IF(INDEX(Banco!$A:$A,ROW())="","",INDEX(Banco!$A:$A,ROW()))</f>
        <v/>
      </c>
      <c r="B707" s="8">
        <f>IF(INDEX(Banco!$B:$B,ROW())="","",INDEX(Banco!$B:$B,ROW()))</f>
        <v/>
      </c>
      <c r="C707" s="8">
        <f>IF(INDEX(Banco!$C:$C,ROW())="","",INDEX(Banco!$C:$C,ROW()))</f>
        <v/>
      </c>
      <c r="D707" s="9">
        <f>IF(INDEX(Banco!$D:$D,ROW())="","",INDEX(Banco!$D:$D,ROW()))</f>
        <v/>
      </c>
      <c r="E707" s="9">
        <f>IF(INDEX(Banco!$E:$E,ROW())="","",INDEX(Banco!$E:$E,ROW()))</f>
        <v/>
      </c>
      <c r="F707" s="10">
        <f>IF(INDEX(Banco!$F:$F,ROW())="","",INDEX(Banco!$F:$F,ROW()))</f>
        <v/>
      </c>
      <c r="G707" s="10">
        <f>IF(INDEX(Banco!$G:$G,ROW())="","",INDEX(Banco!$G:$G,ROW()))</f>
        <v/>
      </c>
      <c r="H707" s="8">
        <f>IF(INDEX(Banco!$H:$H,ROW())="","",INDEX(Banco!$H:$H,ROW()))</f>
        <v/>
      </c>
      <c r="I707">
        <f>IF($T707="","",INT($T707/12)&amp;"a "&amp;MOD($T707,12)&amp;"m")</f>
        <v/>
      </c>
      <c r="J707" s="11">
        <f>IF(OR($F707="",$G707=""),"",ROUND($F707/($G707/100)^2,2))</f>
        <v/>
      </c>
      <c r="K707" s="12">
        <f>IF(OR($S707="",$J707="",$T707="",$T707&lt;0,$T707&gt;228,$Y707=""),"—",ROUND(IF(ABS($AB707)&lt;=3,$AB707,IF($AB707&gt;3,3+($J707-$AD707)/($AD707-$AC707),-3+($J707-$AF707)/($AE707-$AF707))),2))</f>
        <v/>
      </c>
      <c r="L707">
        <f>IF(OR($K707="",$K707="—"),"",IF($T707&lt;=60,IF($K707&lt;-3,"Magreza acentuada",IF($K707&lt;-2,"Magreza",IF($K707&lt;=1,"Eutrofia",IF($K707&lt;=2,"Risco de sobrepeso",IF($K707&lt;=3,"Sobrepeso","Obesidade"))))),IF($K707&lt;-3,"Magreza acentuada",IF($K707&lt;-2,"Magreza",IF($K707&lt;=1,"Eutrofia",IF($K707&lt;=2,"Sobrepeso",IF($K707&lt;=3,"Obesidade","Obesidade grave")))))))</f>
        <v/>
      </c>
      <c r="M707" s="12">
        <f>IF(OR($S707="",$V707="",$T707="",$T707&lt;0,$T707&gt;228,$AG707=""),"—",ROUND(IF($AG707=0,LN($V707/$AH707)/$AI707,((($V707/$AH707)^$AG707)-1)/($AG707*$AI707)),2))</f>
        <v/>
      </c>
      <c r="N707">
        <f>IF(OR($M707="",$M707="—"),"",IF($M707&lt;-3,"Muito baixa",IF($M707&lt;-2,"Baixa","Adequada")))</f>
        <v/>
      </c>
      <c r="O707" s="12">
        <f>IF(OR($S707="",$F707="",$T707="",$T707&lt;0,$T707&gt;120,$AJ707=""),"—",ROUND(IF(ABS($AM707)&lt;=3,$AM707,IF($AM707&gt;3,3+($F707-$AO707)/($AO707-$AN707),-3+($F707-$AQ707)/($AP707-$AQ707))),2))</f>
        <v/>
      </c>
      <c r="P707">
        <f>IF(OR($O707="",$O707="—"),"",IF($O707&lt;-3,"Muito baixo",IF($O707&lt;-2,"Baixo",IF($O707&lt;=2,"Adequado","Elevado"))))</f>
        <v/>
      </c>
      <c r="Q707" s="12">
        <f>IF(OR($S707="",$F707="",$T707="",$T707&lt;0,$T707&gt;60,$AR707=""),"—",ROUND(IF(ABS($AU707)&lt;=3,$AU707,IF($AU707&gt;3,3+($F707-$AW707)/($AW707-$AV707),-3+($F707-$AY707)/($AX707-$AY707))),2))</f>
        <v/>
      </c>
      <c r="R707">
        <f>IF(OR($Q707="",$Q707="—"),"",IF($Q707&lt;-3,"Magreza acentuada",IF($Q707&lt;-2,"Magreza",IF($Q707&lt;=1,"Eutrofia",IF($Q707&lt;=2,"Risco de sobrepeso",IF($Q707&lt;=3,"Sobrepeso","Obesidade"))))))</f>
        <v/>
      </c>
      <c r="S707">
        <f>IF($C707="","",IF(UPPER(LEFT($C707,1))="M",1,IF(UPPER(LEFT($C707,1))="F",2,"")))</f>
        <v/>
      </c>
      <c r="T707">
        <f>IF(OR($D707="",$E707=""),"",DATEDIF($D707,$E707,"m"))</f>
        <v/>
      </c>
      <c r="U707">
        <f>IF(OR($D707="",$E707=""),"",$E707-$D707)</f>
        <v/>
      </c>
      <c r="V707">
        <f>IF(OR($G707="",$T707=""),"",IF($T707&lt;24,IF(LEFT(LOWER($H707),4)="em p",$G707+0.7,$G707),IF(LEFT(LOWER($H707),4)="deit",$G707-0.7,$G707)))</f>
        <v/>
      </c>
      <c r="W707">
        <f>IF(OR($S707="",$T707=""),"",$S707*1000000+IF($T707&lt;=60,$U707,$T707))</f>
        <v/>
      </c>
      <c r="X707">
        <f>IF(OR($S707="",$V707="",$T707&gt;60,$T707=""),"",$S707*1000000+ROUND($V707*10,0))</f>
        <v/>
      </c>
      <c r="Y707">
        <f>IF($W707="","",IFERROR(INDEX(IF($T707&lt;=60,imc05_l,imc519_l),MATCH($W707,IF($T707&lt;=60,imc05_k,imc519_k),1)),""))</f>
        <v/>
      </c>
      <c r="Z707">
        <f>IF($W707="","",IFERROR(INDEX(IF($T707&lt;=60,imc05_m,imc519_m),MATCH($W707,IF($T707&lt;=60,imc05_k,imc519_k),1)),""))</f>
        <v/>
      </c>
      <c r="AA707">
        <f>IF($W707="","",IFERROR(INDEX(IF($T707&lt;=60,imc05_s,imc519_s),MATCH($W707,IF($T707&lt;=60,imc05_k,imc519_k),1)),""))</f>
        <v/>
      </c>
      <c r="AB707">
        <f>IF($Y707="","",IF($Y707=0,LN($J707/$Z707)/$AA707,((($J707/$Z707)^$Y707)-1)/($Y707*$AA707)))</f>
        <v/>
      </c>
      <c r="AC707">
        <f>IF($Y707="","",IF($Y707=0,$Z707*EXP($AA707*2),$Z707*(1+$Y707*$AA707*2)^(1/$Y707)))</f>
        <v/>
      </c>
      <c r="AD707">
        <f>IF($Y707="","",IF($Y707=0,$Z707*EXP($AA707*3),$Z707*(1+$Y707*$AA707*3)^(1/$Y707)))</f>
        <v/>
      </c>
      <c r="AE707">
        <f>IF($Y707="","",IF($Y707=0,$Z707*EXP($AA707*-2),$Z707*(1+$Y707*$AA707*-2)^(1/$Y707)))</f>
        <v/>
      </c>
      <c r="AF707">
        <f>IF($Y707="","",IF($Y707=0,$Z707*EXP($AA707*-3),$Z707*(1+$Y707*$AA707*-3)^(1/$Y707)))</f>
        <v/>
      </c>
      <c r="AG707">
        <f>IF($W707="","",IFERROR(INDEX(IF($T707&lt;=60,est05_l,est519_l),MATCH($W707,IF($T707&lt;=60,est05_k,est519_k),1)),""))</f>
        <v/>
      </c>
      <c r="AH707">
        <f>IF($W707="","",IFERROR(INDEX(IF($T707&lt;=60,est05_m,est519_m),MATCH($W707,IF($T707&lt;=60,est05_k,est519_k),1)),""))</f>
        <v/>
      </c>
      <c r="AI707">
        <f>IF($W707="","",IFERROR(INDEX(IF($T707&lt;=60,est05_s,est519_s),MATCH($W707,IF($T707&lt;=60,est05_k,est519_k),1)),""))</f>
        <v/>
      </c>
      <c r="AJ707">
        <f>IF($W707="","",IFERROR(INDEX(IF($T707&lt;=60,peso05_l,peso510_l),MATCH($W707,IF($T707&lt;=60,peso05_k,peso510_k),1)),""))</f>
        <v/>
      </c>
      <c r="AK707">
        <f>IF($W707="","",IFERROR(INDEX(IF($T707&lt;=60,peso05_m,peso510_m),MATCH($W707,IF($T707&lt;=60,peso05_k,peso510_k),1)),""))</f>
        <v/>
      </c>
      <c r="AL707">
        <f>IF($W707="","",IFERROR(INDEX(IF($T707&lt;=60,peso05_s,peso510_s),MATCH($W707,IF($T707&lt;=60,peso05_k,peso510_k),1)),""))</f>
        <v/>
      </c>
      <c r="AM707">
        <f>IF($AJ707="","",IF($AJ707=0,LN($F707/$AK707)/$AL707,((($F707/$AK707)^$AJ707)-1)/($AJ707*$AL707)))</f>
        <v/>
      </c>
      <c r="AN707">
        <f>IF($AJ707="","",IF($AJ707=0,$AK707*EXP($AL707*2),$AK707*(1+$AJ707*$AL707*2)^(1/$AJ707)))</f>
        <v/>
      </c>
      <c r="AO707">
        <f>IF($AJ707="","",IF($AJ707=0,$AK707*EXP($AL707*3),$AK707*(1+$AJ707*$AL707*3)^(1/$AJ707)))</f>
        <v/>
      </c>
      <c r="AP707">
        <f>IF($AJ707="","",IF($AJ707=0,$AK707*EXP($AL707*-2),$AK707*(1+$AJ707*$AL707*-2)^(1/$AJ707)))</f>
        <v/>
      </c>
      <c r="AQ707">
        <f>IF($AJ707="","",IF($AJ707=0,$AK707*EXP($AL707*-3),$AK707*(1+$AJ707*$AL707*-3)^(1/$AJ707)))</f>
        <v/>
      </c>
      <c r="AR707">
        <f>IF(OR($X707="",$T707&gt;60),"",IFERROR(INDEX(IF($T707&lt;24,pcomp_l,palt_l),MATCH($X707,IF($T707&lt;24,pcomp_k,palt_k),1)),""))</f>
        <v/>
      </c>
      <c r="AS707">
        <f>IF(OR($X707="",$T707&gt;60),"",IFERROR(INDEX(IF($T707&lt;24,pcomp_m,palt_m),MATCH($X707,IF($T707&lt;24,pcomp_k,palt_k),1)),""))</f>
        <v/>
      </c>
      <c r="AT707">
        <f>IF(OR($X707="",$T707&gt;60),"",IFERROR(INDEX(IF($T707&lt;24,pcomp_s,palt_s),MATCH($X707,IF($T707&lt;24,pcomp_k,palt_k),1)),""))</f>
        <v/>
      </c>
      <c r="AU707">
        <f>IF($AR707="","",IF($AR707=0,LN($F707/$AS707)/$AT707,((($F707/$AS707)^$AR707)-1)/($AR707*$AT707)))</f>
        <v/>
      </c>
      <c r="AV707">
        <f>IF($AR707="","",IF($AR707=0,$AS707*EXP($AT707*2),$AS707*(1+$AR707*$AT707*2)^(1/$AR707)))</f>
        <v/>
      </c>
      <c r="AW707">
        <f>IF($AR707="","",IF($AR707=0,$AS707*EXP($AT707*3),$AS707*(1+$AR707*$AT707*3)^(1/$AR707)))</f>
        <v/>
      </c>
      <c r="AX707">
        <f>IF($AR707="","",IF($AR707=0,$AS707*EXP($AT707*-2),$AS707*(1+$AR707*$AT707*-2)^(1/$AR707)))</f>
        <v/>
      </c>
      <c r="AY707">
        <f>IF($AR707="","",IF($AR707=0,$AS707*EXP($AT707*-3),$AS707*(1+$AR707*$AT707*-3)^(1/$AR707)))</f>
        <v/>
      </c>
      <c r="AZ707">
        <f>IF(OR($A707="",$A707&lt;&gt;Ficha!$C$4),"",COUNTIF($A$2:$A707,Ficha!$C$4))</f>
        <v/>
      </c>
    </row>
    <row r="708">
      <c r="A708" s="8">
        <f>IF(INDEX(Banco!$A:$A,ROW())="","",INDEX(Banco!$A:$A,ROW()))</f>
        <v/>
      </c>
      <c r="B708" s="8">
        <f>IF(INDEX(Banco!$B:$B,ROW())="","",INDEX(Banco!$B:$B,ROW()))</f>
        <v/>
      </c>
      <c r="C708" s="8">
        <f>IF(INDEX(Banco!$C:$C,ROW())="","",INDEX(Banco!$C:$C,ROW()))</f>
        <v/>
      </c>
      <c r="D708" s="9">
        <f>IF(INDEX(Banco!$D:$D,ROW())="","",INDEX(Banco!$D:$D,ROW()))</f>
        <v/>
      </c>
      <c r="E708" s="9">
        <f>IF(INDEX(Banco!$E:$E,ROW())="","",INDEX(Banco!$E:$E,ROW()))</f>
        <v/>
      </c>
      <c r="F708" s="10">
        <f>IF(INDEX(Banco!$F:$F,ROW())="","",INDEX(Banco!$F:$F,ROW()))</f>
        <v/>
      </c>
      <c r="G708" s="10">
        <f>IF(INDEX(Banco!$G:$G,ROW())="","",INDEX(Banco!$G:$G,ROW()))</f>
        <v/>
      </c>
      <c r="H708" s="8">
        <f>IF(INDEX(Banco!$H:$H,ROW())="","",INDEX(Banco!$H:$H,ROW()))</f>
        <v/>
      </c>
      <c r="I708">
        <f>IF($T708="","",INT($T708/12)&amp;"a "&amp;MOD($T708,12)&amp;"m")</f>
        <v/>
      </c>
      <c r="J708" s="11">
        <f>IF(OR($F708="",$G708=""),"",ROUND($F708/($G708/100)^2,2))</f>
        <v/>
      </c>
      <c r="K708" s="12">
        <f>IF(OR($S708="",$J708="",$T708="",$T708&lt;0,$T708&gt;228,$Y708=""),"—",ROUND(IF(ABS($AB708)&lt;=3,$AB708,IF($AB708&gt;3,3+($J708-$AD708)/($AD708-$AC708),-3+($J708-$AF708)/($AE708-$AF708))),2))</f>
        <v/>
      </c>
      <c r="L708">
        <f>IF(OR($K708="",$K708="—"),"",IF($T708&lt;=60,IF($K708&lt;-3,"Magreza acentuada",IF($K708&lt;-2,"Magreza",IF($K708&lt;=1,"Eutrofia",IF($K708&lt;=2,"Risco de sobrepeso",IF($K708&lt;=3,"Sobrepeso","Obesidade"))))),IF($K708&lt;-3,"Magreza acentuada",IF($K708&lt;-2,"Magreza",IF($K708&lt;=1,"Eutrofia",IF($K708&lt;=2,"Sobrepeso",IF($K708&lt;=3,"Obesidade","Obesidade grave")))))))</f>
        <v/>
      </c>
      <c r="M708" s="12">
        <f>IF(OR($S708="",$V708="",$T708="",$T708&lt;0,$T708&gt;228,$AG708=""),"—",ROUND(IF($AG708=0,LN($V708/$AH708)/$AI708,((($V708/$AH708)^$AG708)-1)/($AG708*$AI708)),2))</f>
        <v/>
      </c>
      <c r="N708">
        <f>IF(OR($M708="",$M708="—"),"",IF($M708&lt;-3,"Muito baixa",IF($M708&lt;-2,"Baixa","Adequada")))</f>
        <v/>
      </c>
      <c r="O708" s="12">
        <f>IF(OR($S708="",$F708="",$T708="",$T708&lt;0,$T708&gt;120,$AJ708=""),"—",ROUND(IF(ABS($AM708)&lt;=3,$AM708,IF($AM708&gt;3,3+($F708-$AO708)/($AO708-$AN708),-3+($F708-$AQ708)/($AP708-$AQ708))),2))</f>
        <v/>
      </c>
      <c r="P708">
        <f>IF(OR($O708="",$O708="—"),"",IF($O708&lt;-3,"Muito baixo",IF($O708&lt;-2,"Baixo",IF($O708&lt;=2,"Adequado","Elevado"))))</f>
        <v/>
      </c>
      <c r="Q708" s="12">
        <f>IF(OR($S708="",$F708="",$T708="",$T708&lt;0,$T708&gt;60,$AR708=""),"—",ROUND(IF(ABS($AU708)&lt;=3,$AU708,IF($AU708&gt;3,3+($F708-$AW708)/($AW708-$AV708),-3+($F708-$AY708)/($AX708-$AY708))),2))</f>
        <v/>
      </c>
      <c r="R708">
        <f>IF(OR($Q708="",$Q708="—"),"",IF($Q708&lt;-3,"Magreza acentuada",IF($Q708&lt;-2,"Magreza",IF($Q708&lt;=1,"Eutrofia",IF($Q708&lt;=2,"Risco de sobrepeso",IF($Q708&lt;=3,"Sobrepeso","Obesidade"))))))</f>
        <v/>
      </c>
      <c r="S708">
        <f>IF($C708="","",IF(UPPER(LEFT($C708,1))="M",1,IF(UPPER(LEFT($C708,1))="F",2,"")))</f>
        <v/>
      </c>
      <c r="T708">
        <f>IF(OR($D708="",$E708=""),"",DATEDIF($D708,$E708,"m"))</f>
        <v/>
      </c>
      <c r="U708">
        <f>IF(OR($D708="",$E708=""),"",$E708-$D708)</f>
        <v/>
      </c>
      <c r="V708">
        <f>IF(OR($G708="",$T708=""),"",IF($T708&lt;24,IF(LEFT(LOWER($H708),4)="em p",$G708+0.7,$G708),IF(LEFT(LOWER($H708),4)="deit",$G708-0.7,$G708)))</f>
        <v/>
      </c>
      <c r="W708">
        <f>IF(OR($S708="",$T708=""),"",$S708*1000000+IF($T708&lt;=60,$U708,$T708))</f>
        <v/>
      </c>
      <c r="X708">
        <f>IF(OR($S708="",$V708="",$T708&gt;60,$T708=""),"",$S708*1000000+ROUND($V708*10,0))</f>
        <v/>
      </c>
      <c r="Y708">
        <f>IF($W708="","",IFERROR(INDEX(IF($T708&lt;=60,imc05_l,imc519_l),MATCH($W708,IF($T708&lt;=60,imc05_k,imc519_k),1)),""))</f>
        <v/>
      </c>
      <c r="Z708">
        <f>IF($W708="","",IFERROR(INDEX(IF($T708&lt;=60,imc05_m,imc519_m),MATCH($W708,IF($T708&lt;=60,imc05_k,imc519_k),1)),""))</f>
        <v/>
      </c>
      <c r="AA708">
        <f>IF($W708="","",IFERROR(INDEX(IF($T708&lt;=60,imc05_s,imc519_s),MATCH($W708,IF($T708&lt;=60,imc05_k,imc519_k),1)),""))</f>
        <v/>
      </c>
      <c r="AB708">
        <f>IF($Y708="","",IF($Y708=0,LN($J708/$Z708)/$AA708,((($J708/$Z708)^$Y708)-1)/($Y708*$AA708)))</f>
        <v/>
      </c>
      <c r="AC708">
        <f>IF($Y708="","",IF($Y708=0,$Z708*EXP($AA708*2),$Z708*(1+$Y708*$AA708*2)^(1/$Y708)))</f>
        <v/>
      </c>
      <c r="AD708">
        <f>IF($Y708="","",IF($Y708=0,$Z708*EXP($AA708*3),$Z708*(1+$Y708*$AA708*3)^(1/$Y708)))</f>
        <v/>
      </c>
      <c r="AE708">
        <f>IF($Y708="","",IF($Y708=0,$Z708*EXP($AA708*-2),$Z708*(1+$Y708*$AA708*-2)^(1/$Y708)))</f>
        <v/>
      </c>
      <c r="AF708">
        <f>IF($Y708="","",IF($Y708=0,$Z708*EXP($AA708*-3),$Z708*(1+$Y708*$AA708*-3)^(1/$Y708)))</f>
        <v/>
      </c>
      <c r="AG708">
        <f>IF($W708="","",IFERROR(INDEX(IF($T708&lt;=60,est05_l,est519_l),MATCH($W708,IF($T708&lt;=60,est05_k,est519_k),1)),""))</f>
        <v/>
      </c>
      <c r="AH708">
        <f>IF($W708="","",IFERROR(INDEX(IF($T708&lt;=60,est05_m,est519_m),MATCH($W708,IF($T708&lt;=60,est05_k,est519_k),1)),""))</f>
        <v/>
      </c>
      <c r="AI708">
        <f>IF($W708="","",IFERROR(INDEX(IF($T708&lt;=60,est05_s,est519_s),MATCH($W708,IF($T708&lt;=60,est05_k,est519_k),1)),""))</f>
        <v/>
      </c>
      <c r="AJ708">
        <f>IF($W708="","",IFERROR(INDEX(IF($T708&lt;=60,peso05_l,peso510_l),MATCH($W708,IF($T708&lt;=60,peso05_k,peso510_k),1)),""))</f>
        <v/>
      </c>
      <c r="AK708">
        <f>IF($W708="","",IFERROR(INDEX(IF($T708&lt;=60,peso05_m,peso510_m),MATCH($W708,IF($T708&lt;=60,peso05_k,peso510_k),1)),""))</f>
        <v/>
      </c>
      <c r="AL708">
        <f>IF($W708="","",IFERROR(INDEX(IF($T708&lt;=60,peso05_s,peso510_s),MATCH($W708,IF($T708&lt;=60,peso05_k,peso510_k),1)),""))</f>
        <v/>
      </c>
      <c r="AM708">
        <f>IF($AJ708="","",IF($AJ708=0,LN($F708/$AK708)/$AL708,((($F708/$AK708)^$AJ708)-1)/($AJ708*$AL708)))</f>
        <v/>
      </c>
      <c r="AN708">
        <f>IF($AJ708="","",IF($AJ708=0,$AK708*EXP($AL708*2),$AK708*(1+$AJ708*$AL708*2)^(1/$AJ708)))</f>
        <v/>
      </c>
      <c r="AO708">
        <f>IF($AJ708="","",IF($AJ708=0,$AK708*EXP($AL708*3),$AK708*(1+$AJ708*$AL708*3)^(1/$AJ708)))</f>
        <v/>
      </c>
      <c r="AP708">
        <f>IF($AJ708="","",IF($AJ708=0,$AK708*EXP($AL708*-2),$AK708*(1+$AJ708*$AL708*-2)^(1/$AJ708)))</f>
        <v/>
      </c>
      <c r="AQ708">
        <f>IF($AJ708="","",IF($AJ708=0,$AK708*EXP($AL708*-3),$AK708*(1+$AJ708*$AL708*-3)^(1/$AJ708)))</f>
        <v/>
      </c>
      <c r="AR708">
        <f>IF(OR($X708="",$T708&gt;60),"",IFERROR(INDEX(IF($T708&lt;24,pcomp_l,palt_l),MATCH($X708,IF($T708&lt;24,pcomp_k,palt_k),1)),""))</f>
        <v/>
      </c>
      <c r="AS708">
        <f>IF(OR($X708="",$T708&gt;60),"",IFERROR(INDEX(IF($T708&lt;24,pcomp_m,palt_m),MATCH($X708,IF($T708&lt;24,pcomp_k,palt_k),1)),""))</f>
        <v/>
      </c>
      <c r="AT708">
        <f>IF(OR($X708="",$T708&gt;60),"",IFERROR(INDEX(IF($T708&lt;24,pcomp_s,palt_s),MATCH($X708,IF($T708&lt;24,pcomp_k,palt_k),1)),""))</f>
        <v/>
      </c>
      <c r="AU708">
        <f>IF($AR708="","",IF($AR708=0,LN($F708/$AS708)/$AT708,((($F708/$AS708)^$AR708)-1)/($AR708*$AT708)))</f>
        <v/>
      </c>
      <c r="AV708">
        <f>IF($AR708="","",IF($AR708=0,$AS708*EXP($AT708*2),$AS708*(1+$AR708*$AT708*2)^(1/$AR708)))</f>
        <v/>
      </c>
      <c r="AW708">
        <f>IF($AR708="","",IF($AR708=0,$AS708*EXP($AT708*3),$AS708*(1+$AR708*$AT708*3)^(1/$AR708)))</f>
        <v/>
      </c>
      <c r="AX708">
        <f>IF($AR708="","",IF($AR708=0,$AS708*EXP($AT708*-2),$AS708*(1+$AR708*$AT708*-2)^(1/$AR708)))</f>
        <v/>
      </c>
      <c r="AY708">
        <f>IF($AR708="","",IF($AR708=0,$AS708*EXP($AT708*-3),$AS708*(1+$AR708*$AT708*-3)^(1/$AR708)))</f>
        <v/>
      </c>
      <c r="AZ708">
        <f>IF(OR($A708="",$A708&lt;&gt;Ficha!$C$4),"",COUNTIF($A$2:$A708,Ficha!$C$4))</f>
        <v/>
      </c>
    </row>
    <row r="709">
      <c r="A709" s="8">
        <f>IF(INDEX(Banco!$A:$A,ROW())="","",INDEX(Banco!$A:$A,ROW()))</f>
        <v/>
      </c>
      <c r="B709" s="8">
        <f>IF(INDEX(Banco!$B:$B,ROW())="","",INDEX(Banco!$B:$B,ROW()))</f>
        <v/>
      </c>
      <c r="C709" s="8">
        <f>IF(INDEX(Banco!$C:$C,ROW())="","",INDEX(Banco!$C:$C,ROW()))</f>
        <v/>
      </c>
      <c r="D709" s="9">
        <f>IF(INDEX(Banco!$D:$D,ROW())="","",INDEX(Banco!$D:$D,ROW()))</f>
        <v/>
      </c>
      <c r="E709" s="9">
        <f>IF(INDEX(Banco!$E:$E,ROW())="","",INDEX(Banco!$E:$E,ROW()))</f>
        <v/>
      </c>
      <c r="F709" s="10">
        <f>IF(INDEX(Banco!$F:$F,ROW())="","",INDEX(Banco!$F:$F,ROW()))</f>
        <v/>
      </c>
      <c r="G709" s="10">
        <f>IF(INDEX(Banco!$G:$G,ROW())="","",INDEX(Banco!$G:$G,ROW()))</f>
        <v/>
      </c>
      <c r="H709" s="8">
        <f>IF(INDEX(Banco!$H:$H,ROW())="","",INDEX(Banco!$H:$H,ROW()))</f>
        <v/>
      </c>
      <c r="I709">
        <f>IF($T709="","",INT($T709/12)&amp;"a "&amp;MOD($T709,12)&amp;"m")</f>
        <v/>
      </c>
      <c r="J709" s="11">
        <f>IF(OR($F709="",$G709=""),"",ROUND($F709/($G709/100)^2,2))</f>
        <v/>
      </c>
      <c r="K709" s="12">
        <f>IF(OR($S709="",$J709="",$T709="",$T709&lt;0,$T709&gt;228,$Y709=""),"—",ROUND(IF(ABS($AB709)&lt;=3,$AB709,IF($AB709&gt;3,3+($J709-$AD709)/($AD709-$AC709),-3+($J709-$AF709)/($AE709-$AF709))),2))</f>
        <v/>
      </c>
      <c r="L709">
        <f>IF(OR($K709="",$K709="—"),"",IF($T709&lt;=60,IF($K709&lt;-3,"Magreza acentuada",IF($K709&lt;-2,"Magreza",IF($K709&lt;=1,"Eutrofia",IF($K709&lt;=2,"Risco de sobrepeso",IF($K709&lt;=3,"Sobrepeso","Obesidade"))))),IF($K709&lt;-3,"Magreza acentuada",IF($K709&lt;-2,"Magreza",IF($K709&lt;=1,"Eutrofia",IF($K709&lt;=2,"Sobrepeso",IF($K709&lt;=3,"Obesidade","Obesidade grave")))))))</f>
        <v/>
      </c>
      <c r="M709" s="12">
        <f>IF(OR($S709="",$V709="",$T709="",$T709&lt;0,$T709&gt;228,$AG709=""),"—",ROUND(IF($AG709=0,LN($V709/$AH709)/$AI709,((($V709/$AH709)^$AG709)-1)/($AG709*$AI709)),2))</f>
        <v/>
      </c>
      <c r="N709">
        <f>IF(OR($M709="",$M709="—"),"",IF($M709&lt;-3,"Muito baixa",IF($M709&lt;-2,"Baixa","Adequada")))</f>
        <v/>
      </c>
      <c r="O709" s="12">
        <f>IF(OR($S709="",$F709="",$T709="",$T709&lt;0,$T709&gt;120,$AJ709=""),"—",ROUND(IF(ABS($AM709)&lt;=3,$AM709,IF($AM709&gt;3,3+($F709-$AO709)/($AO709-$AN709),-3+($F709-$AQ709)/($AP709-$AQ709))),2))</f>
        <v/>
      </c>
      <c r="P709">
        <f>IF(OR($O709="",$O709="—"),"",IF($O709&lt;-3,"Muito baixo",IF($O709&lt;-2,"Baixo",IF($O709&lt;=2,"Adequado","Elevado"))))</f>
        <v/>
      </c>
      <c r="Q709" s="12">
        <f>IF(OR($S709="",$F709="",$T709="",$T709&lt;0,$T709&gt;60,$AR709=""),"—",ROUND(IF(ABS($AU709)&lt;=3,$AU709,IF($AU709&gt;3,3+($F709-$AW709)/($AW709-$AV709),-3+($F709-$AY709)/($AX709-$AY709))),2))</f>
        <v/>
      </c>
      <c r="R709">
        <f>IF(OR($Q709="",$Q709="—"),"",IF($Q709&lt;-3,"Magreza acentuada",IF($Q709&lt;-2,"Magreza",IF($Q709&lt;=1,"Eutrofia",IF($Q709&lt;=2,"Risco de sobrepeso",IF($Q709&lt;=3,"Sobrepeso","Obesidade"))))))</f>
        <v/>
      </c>
      <c r="S709">
        <f>IF($C709="","",IF(UPPER(LEFT($C709,1))="M",1,IF(UPPER(LEFT($C709,1))="F",2,"")))</f>
        <v/>
      </c>
      <c r="T709">
        <f>IF(OR($D709="",$E709=""),"",DATEDIF($D709,$E709,"m"))</f>
        <v/>
      </c>
      <c r="U709">
        <f>IF(OR($D709="",$E709=""),"",$E709-$D709)</f>
        <v/>
      </c>
      <c r="V709">
        <f>IF(OR($G709="",$T709=""),"",IF($T709&lt;24,IF(LEFT(LOWER($H709),4)="em p",$G709+0.7,$G709),IF(LEFT(LOWER($H709),4)="deit",$G709-0.7,$G709)))</f>
        <v/>
      </c>
      <c r="W709">
        <f>IF(OR($S709="",$T709=""),"",$S709*1000000+IF($T709&lt;=60,$U709,$T709))</f>
        <v/>
      </c>
      <c r="X709">
        <f>IF(OR($S709="",$V709="",$T709&gt;60,$T709=""),"",$S709*1000000+ROUND($V709*10,0))</f>
        <v/>
      </c>
      <c r="Y709">
        <f>IF($W709="","",IFERROR(INDEX(IF($T709&lt;=60,imc05_l,imc519_l),MATCH($W709,IF($T709&lt;=60,imc05_k,imc519_k),1)),""))</f>
        <v/>
      </c>
      <c r="Z709">
        <f>IF($W709="","",IFERROR(INDEX(IF($T709&lt;=60,imc05_m,imc519_m),MATCH($W709,IF($T709&lt;=60,imc05_k,imc519_k),1)),""))</f>
        <v/>
      </c>
      <c r="AA709">
        <f>IF($W709="","",IFERROR(INDEX(IF($T709&lt;=60,imc05_s,imc519_s),MATCH($W709,IF($T709&lt;=60,imc05_k,imc519_k),1)),""))</f>
        <v/>
      </c>
      <c r="AB709">
        <f>IF($Y709="","",IF($Y709=0,LN($J709/$Z709)/$AA709,((($J709/$Z709)^$Y709)-1)/($Y709*$AA709)))</f>
        <v/>
      </c>
      <c r="AC709">
        <f>IF($Y709="","",IF($Y709=0,$Z709*EXP($AA709*2),$Z709*(1+$Y709*$AA709*2)^(1/$Y709)))</f>
        <v/>
      </c>
      <c r="AD709">
        <f>IF($Y709="","",IF($Y709=0,$Z709*EXP($AA709*3),$Z709*(1+$Y709*$AA709*3)^(1/$Y709)))</f>
        <v/>
      </c>
      <c r="AE709">
        <f>IF($Y709="","",IF($Y709=0,$Z709*EXP($AA709*-2),$Z709*(1+$Y709*$AA709*-2)^(1/$Y709)))</f>
        <v/>
      </c>
      <c r="AF709">
        <f>IF($Y709="","",IF($Y709=0,$Z709*EXP($AA709*-3),$Z709*(1+$Y709*$AA709*-3)^(1/$Y709)))</f>
        <v/>
      </c>
      <c r="AG709">
        <f>IF($W709="","",IFERROR(INDEX(IF($T709&lt;=60,est05_l,est519_l),MATCH($W709,IF($T709&lt;=60,est05_k,est519_k),1)),""))</f>
        <v/>
      </c>
      <c r="AH709">
        <f>IF($W709="","",IFERROR(INDEX(IF($T709&lt;=60,est05_m,est519_m),MATCH($W709,IF($T709&lt;=60,est05_k,est519_k),1)),""))</f>
        <v/>
      </c>
      <c r="AI709">
        <f>IF($W709="","",IFERROR(INDEX(IF($T709&lt;=60,est05_s,est519_s),MATCH($W709,IF($T709&lt;=60,est05_k,est519_k),1)),""))</f>
        <v/>
      </c>
      <c r="AJ709">
        <f>IF($W709="","",IFERROR(INDEX(IF($T709&lt;=60,peso05_l,peso510_l),MATCH($W709,IF($T709&lt;=60,peso05_k,peso510_k),1)),""))</f>
        <v/>
      </c>
      <c r="AK709">
        <f>IF($W709="","",IFERROR(INDEX(IF($T709&lt;=60,peso05_m,peso510_m),MATCH($W709,IF($T709&lt;=60,peso05_k,peso510_k),1)),""))</f>
        <v/>
      </c>
      <c r="AL709">
        <f>IF($W709="","",IFERROR(INDEX(IF($T709&lt;=60,peso05_s,peso510_s),MATCH($W709,IF($T709&lt;=60,peso05_k,peso510_k),1)),""))</f>
        <v/>
      </c>
      <c r="AM709">
        <f>IF($AJ709="","",IF($AJ709=0,LN($F709/$AK709)/$AL709,((($F709/$AK709)^$AJ709)-1)/($AJ709*$AL709)))</f>
        <v/>
      </c>
      <c r="AN709">
        <f>IF($AJ709="","",IF($AJ709=0,$AK709*EXP($AL709*2),$AK709*(1+$AJ709*$AL709*2)^(1/$AJ709)))</f>
        <v/>
      </c>
      <c r="AO709">
        <f>IF($AJ709="","",IF($AJ709=0,$AK709*EXP($AL709*3),$AK709*(1+$AJ709*$AL709*3)^(1/$AJ709)))</f>
        <v/>
      </c>
      <c r="AP709">
        <f>IF($AJ709="","",IF($AJ709=0,$AK709*EXP($AL709*-2),$AK709*(1+$AJ709*$AL709*-2)^(1/$AJ709)))</f>
        <v/>
      </c>
      <c r="AQ709">
        <f>IF($AJ709="","",IF($AJ709=0,$AK709*EXP($AL709*-3),$AK709*(1+$AJ709*$AL709*-3)^(1/$AJ709)))</f>
        <v/>
      </c>
      <c r="AR709">
        <f>IF(OR($X709="",$T709&gt;60),"",IFERROR(INDEX(IF($T709&lt;24,pcomp_l,palt_l),MATCH($X709,IF($T709&lt;24,pcomp_k,palt_k),1)),""))</f>
        <v/>
      </c>
      <c r="AS709">
        <f>IF(OR($X709="",$T709&gt;60),"",IFERROR(INDEX(IF($T709&lt;24,pcomp_m,palt_m),MATCH($X709,IF($T709&lt;24,pcomp_k,palt_k),1)),""))</f>
        <v/>
      </c>
      <c r="AT709">
        <f>IF(OR($X709="",$T709&gt;60),"",IFERROR(INDEX(IF($T709&lt;24,pcomp_s,palt_s),MATCH($X709,IF($T709&lt;24,pcomp_k,palt_k),1)),""))</f>
        <v/>
      </c>
      <c r="AU709">
        <f>IF($AR709="","",IF($AR709=0,LN($F709/$AS709)/$AT709,((($F709/$AS709)^$AR709)-1)/($AR709*$AT709)))</f>
        <v/>
      </c>
      <c r="AV709">
        <f>IF($AR709="","",IF($AR709=0,$AS709*EXP($AT709*2),$AS709*(1+$AR709*$AT709*2)^(1/$AR709)))</f>
        <v/>
      </c>
      <c r="AW709">
        <f>IF($AR709="","",IF($AR709=0,$AS709*EXP($AT709*3),$AS709*(1+$AR709*$AT709*3)^(1/$AR709)))</f>
        <v/>
      </c>
      <c r="AX709">
        <f>IF($AR709="","",IF($AR709=0,$AS709*EXP($AT709*-2),$AS709*(1+$AR709*$AT709*-2)^(1/$AR709)))</f>
        <v/>
      </c>
      <c r="AY709">
        <f>IF($AR709="","",IF($AR709=0,$AS709*EXP($AT709*-3),$AS709*(1+$AR709*$AT709*-3)^(1/$AR709)))</f>
        <v/>
      </c>
      <c r="AZ709">
        <f>IF(OR($A709="",$A709&lt;&gt;Ficha!$C$4),"",COUNTIF($A$2:$A709,Ficha!$C$4))</f>
        <v/>
      </c>
    </row>
    <row r="710">
      <c r="A710" s="8">
        <f>IF(INDEX(Banco!$A:$A,ROW())="","",INDEX(Banco!$A:$A,ROW()))</f>
        <v/>
      </c>
      <c r="B710" s="8">
        <f>IF(INDEX(Banco!$B:$B,ROW())="","",INDEX(Banco!$B:$B,ROW()))</f>
        <v/>
      </c>
      <c r="C710" s="8">
        <f>IF(INDEX(Banco!$C:$C,ROW())="","",INDEX(Banco!$C:$C,ROW()))</f>
        <v/>
      </c>
      <c r="D710" s="9">
        <f>IF(INDEX(Banco!$D:$D,ROW())="","",INDEX(Banco!$D:$D,ROW()))</f>
        <v/>
      </c>
      <c r="E710" s="9">
        <f>IF(INDEX(Banco!$E:$E,ROW())="","",INDEX(Banco!$E:$E,ROW()))</f>
        <v/>
      </c>
      <c r="F710" s="10">
        <f>IF(INDEX(Banco!$F:$F,ROW())="","",INDEX(Banco!$F:$F,ROW()))</f>
        <v/>
      </c>
      <c r="G710" s="10">
        <f>IF(INDEX(Banco!$G:$G,ROW())="","",INDEX(Banco!$G:$G,ROW()))</f>
        <v/>
      </c>
      <c r="H710" s="8">
        <f>IF(INDEX(Banco!$H:$H,ROW())="","",INDEX(Banco!$H:$H,ROW()))</f>
        <v/>
      </c>
      <c r="I710">
        <f>IF($T710="","",INT($T710/12)&amp;"a "&amp;MOD($T710,12)&amp;"m")</f>
        <v/>
      </c>
      <c r="J710" s="11">
        <f>IF(OR($F710="",$G710=""),"",ROUND($F710/($G710/100)^2,2))</f>
        <v/>
      </c>
      <c r="K710" s="12">
        <f>IF(OR($S710="",$J710="",$T710="",$T710&lt;0,$T710&gt;228,$Y710=""),"—",ROUND(IF(ABS($AB710)&lt;=3,$AB710,IF($AB710&gt;3,3+($J710-$AD710)/($AD710-$AC710),-3+($J710-$AF710)/($AE710-$AF710))),2))</f>
        <v/>
      </c>
      <c r="L710">
        <f>IF(OR($K710="",$K710="—"),"",IF($T710&lt;=60,IF($K710&lt;-3,"Magreza acentuada",IF($K710&lt;-2,"Magreza",IF($K710&lt;=1,"Eutrofia",IF($K710&lt;=2,"Risco de sobrepeso",IF($K710&lt;=3,"Sobrepeso","Obesidade"))))),IF($K710&lt;-3,"Magreza acentuada",IF($K710&lt;-2,"Magreza",IF($K710&lt;=1,"Eutrofia",IF($K710&lt;=2,"Sobrepeso",IF($K710&lt;=3,"Obesidade","Obesidade grave")))))))</f>
        <v/>
      </c>
      <c r="M710" s="12">
        <f>IF(OR($S710="",$V710="",$T710="",$T710&lt;0,$T710&gt;228,$AG710=""),"—",ROUND(IF($AG710=0,LN($V710/$AH710)/$AI710,((($V710/$AH710)^$AG710)-1)/($AG710*$AI710)),2))</f>
        <v/>
      </c>
      <c r="N710">
        <f>IF(OR($M710="",$M710="—"),"",IF($M710&lt;-3,"Muito baixa",IF($M710&lt;-2,"Baixa","Adequada")))</f>
        <v/>
      </c>
      <c r="O710" s="12">
        <f>IF(OR($S710="",$F710="",$T710="",$T710&lt;0,$T710&gt;120,$AJ710=""),"—",ROUND(IF(ABS($AM710)&lt;=3,$AM710,IF($AM710&gt;3,3+($F710-$AO710)/($AO710-$AN710),-3+($F710-$AQ710)/($AP710-$AQ710))),2))</f>
        <v/>
      </c>
      <c r="P710">
        <f>IF(OR($O710="",$O710="—"),"",IF($O710&lt;-3,"Muito baixo",IF($O710&lt;-2,"Baixo",IF($O710&lt;=2,"Adequado","Elevado"))))</f>
        <v/>
      </c>
      <c r="Q710" s="12">
        <f>IF(OR($S710="",$F710="",$T710="",$T710&lt;0,$T710&gt;60,$AR710=""),"—",ROUND(IF(ABS($AU710)&lt;=3,$AU710,IF($AU710&gt;3,3+($F710-$AW710)/($AW710-$AV710),-3+($F710-$AY710)/($AX710-$AY710))),2))</f>
        <v/>
      </c>
      <c r="R710">
        <f>IF(OR($Q710="",$Q710="—"),"",IF($Q710&lt;-3,"Magreza acentuada",IF($Q710&lt;-2,"Magreza",IF($Q710&lt;=1,"Eutrofia",IF($Q710&lt;=2,"Risco de sobrepeso",IF($Q710&lt;=3,"Sobrepeso","Obesidade"))))))</f>
        <v/>
      </c>
      <c r="S710">
        <f>IF($C710="","",IF(UPPER(LEFT($C710,1))="M",1,IF(UPPER(LEFT($C710,1))="F",2,"")))</f>
        <v/>
      </c>
      <c r="T710">
        <f>IF(OR($D710="",$E710=""),"",DATEDIF($D710,$E710,"m"))</f>
        <v/>
      </c>
      <c r="U710">
        <f>IF(OR($D710="",$E710=""),"",$E710-$D710)</f>
        <v/>
      </c>
      <c r="V710">
        <f>IF(OR($G710="",$T710=""),"",IF($T710&lt;24,IF(LEFT(LOWER($H710),4)="em p",$G710+0.7,$G710),IF(LEFT(LOWER($H710),4)="deit",$G710-0.7,$G710)))</f>
        <v/>
      </c>
      <c r="W710">
        <f>IF(OR($S710="",$T710=""),"",$S710*1000000+IF($T710&lt;=60,$U710,$T710))</f>
        <v/>
      </c>
      <c r="X710">
        <f>IF(OR($S710="",$V710="",$T710&gt;60,$T710=""),"",$S710*1000000+ROUND($V710*10,0))</f>
        <v/>
      </c>
      <c r="Y710">
        <f>IF($W710="","",IFERROR(INDEX(IF($T710&lt;=60,imc05_l,imc519_l),MATCH($W710,IF($T710&lt;=60,imc05_k,imc519_k),1)),""))</f>
        <v/>
      </c>
      <c r="Z710">
        <f>IF($W710="","",IFERROR(INDEX(IF($T710&lt;=60,imc05_m,imc519_m),MATCH($W710,IF($T710&lt;=60,imc05_k,imc519_k),1)),""))</f>
        <v/>
      </c>
      <c r="AA710">
        <f>IF($W710="","",IFERROR(INDEX(IF($T710&lt;=60,imc05_s,imc519_s),MATCH($W710,IF($T710&lt;=60,imc05_k,imc519_k),1)),""))</f>
        <v/>
      </c>
      <c r="AB710">
        <f>IF($Y710="","",IF($Y710=0,LN($J710/$Z710)/$AA710,((($J710/$Z710)^$Y710)-1)/($Y710*$AA710)))</f>
        <v/>
      </c>
      <c r="AC710">
        <f>IF($Y710="","",IF($Y710=0,$Z710*EXP($AA710*2),$Z710*(1+$Y710*$AA710*2)^(1/$Y710)))</f>
        <v/>
      </c>
      <c r="AD710">
        <f>IF($Y710="","",IF($Y710=0,$Z710*EXP($AA710*3),$Z710*(1+$Y710*$AA710*3)^(1/$Y710)))</f>
        <v/>
      </c>
      <c r="AE710">
        <f>IF($Y710="","",IF($Y710=0,$Z710*EXP($AA710*-2),$Z710*(1+$Y710*$AA710*-2)^(1/$Y710)))</f>
        <v/>
      </c>
      <c r="AF710">
        <f>IF($Y710="","",IF($Y710=0,$Z710*EXP($AA710*-3),$Z710*(1+$Y710*$AA710*-3)^(1/$Y710)))</f>
        <v/>
      </c>
      <c r="AG710">
        <f>IF($W710="","",IFERROR(INDEX(IF($T710&lt;=60,est05_l,est519_l),MATCH($W710,IF($T710&lt;=60,est05_k,est519_k),1)),""))</f>
        <v/>
      </c>
      <c r="AH710">
        <f>IF($W710="","",IFERROR(INDEX(IF($T710&lt;=60,est05_m,est519_m),MATCH($W710,IF($T710&lt;=60,est05_k,est519_k),1)),""))</f>
        <v/>
      </c>
      <c r="AI710">
        <f>IF($W710="","",IFERROR(INDEX(IF($T710&lt;=60,est05_s,est519_s),MATCH($W710,IF($T710&lt;=60,est05_k,est519_k),1)),""))</f>
        <v/>
      </c>
      <c r="AJ710">
        <f>IF($W710="","",IFERROR(INDEX(IF($T710&lt;=60,peso05_l,peso510_l),MATCH($W710,IF($T710&lt;=60,peso05_k,peso510_k),1)),""))</f>
        <v/>
      </c>
      <c r="AK710">
        <f>IF($W710="","",IFERROR(INDEX(IF($T710&lt;=60,peso05_m,peso510_m),MATCH($W710,IF($T710&lt;=60,peso05_k,peso510_k),1)),""))</f>
        <v/>
      </c>
      <c r="AL710">
        <f>IF($W710="","",IFERROR(INDEX(IF($T710&lt;=60,peso05_s,peso510_s),MATCH($W710,IF($T710&lt;=60,peso05_k,peso510_k),1)),""))</f>
        <v/>
      </c>
      <c r="AM710">
        <f>IF($AJ710="","",IF($AJ710=0,LN($F710/$AK710)/$AL710,((($F710/$AK710)^$AJ710)-1)/($AJ710*$AL710)))</f>
        <v/>
      </c>
      <c r="AN710">
        <f>IF($AJ710="","",IF($AJ710=0,$AK710*EXP($AL710*2),$AK710*(1+$AJ710*$AL710*2)^(1/$AJ710)))</f>
        <v/>
      </c>
      <c r="AO710">
        <f>IF($AJ710="","",IF($AJ710=0,$AK710*EXP($AL710*3),$AK710*(1+$AJ710*$AL710*3)^(1/$AJ710)))</f>
        <v/>
      </c>
      <c r="AP710">
        <f>IF($AJ710="","",IF($AJ710=0,$AK710*EXP($AL710*-2),$AK710*(1+$AJ710*$AL710*-2)^(1/$AJ710)))</f>
        <v/>
      </c>
      <c r="AQ710">
        <f>IF($AJ710="","",IF($AJ710=0,$AK710*EXP($AL710*-3),$AK710*(1+$AJ710*$AL710*-3)^(1/$AJ710)))</f>
        <v/>
      </c>
      <c r="AR710">
        <f>IF(OR($X710="",$T710&gt;60),"",IFERROR(INDEX(IF($T710&lt;24,pcomp_l,palt_l),MATCH($X710,IF($T710&lt;24,pcomp_k,palt_k),1)),""))</f>
        <v/>
      </c>
      <c r="AS710">
        <f>IF(OR($X710="",$T710&gt;60),"",IFERROR(INDEX(IF($T710&lt;24,pcomp_m,palt_m),MATCH($X710,IF($T710&lt;24,pcomp_k,palt_k),1)),""))</f>
        <v/>
      </c>
      <c r="AT710">
        <f>IF(OR($X710="",$T710&gt;60),"",IFERROR(INDEX(IF($T710&lt;24,pcomp_s,palt_s),MATCH($X710,IF($T710&lt;24,pcomp_k,palt_k),1)),""))</f>
        <v/>
      </c>
      <c r="AU710">
        <f>IF($AR710="","",IF($AR710=0,LN($F710/$AS710)/$AT710,((($F710/$AS710)^$AR710)-1)/($AR710*$AT710)))</f>
        <v/>
      </c>
      <c r="AV710">
        <f>IF($AR710="","",IF($AR710=0,$AS710*EXP($AT710*2),$AS710*(1+$AR710*$AT710*2)^(1/$AR710)))</f>
        <v/>
      </c>
      <c r="AW710">
        <f>IF($AR710="","",IF($AR710=0,$AS710*EXP($AT710*3),$AS710*(1+$AR710*$AT710*3)^(1/$AR710)))</f>
        <v/>
      </c>
      <c r="AX710">
        <f>IF($AR710="","",IF($AR710=0,$AS710*EXP($AT710*-2),$AS710*(1+$AR710*$AT710*-2)^(1/$AR710)))</f>
        <v/>
      </c>
      <c r="AY710">
        <f>IF($AR710="","",IF($AR710=0,$AS710*EXP($AT710*-3),$AS710*(1+$AR710*$AT710*-3)^(1/$AR710)))</f>
        <v/>
      </c>
      <c r="AZ710">
        <f>IF(OR($A710="",$A710&lt;&gt;Ficha!$C$4),"",COUNTIF($A$2:$A710,Ficha!$C$4))</f>
        <v/>
      </c>
    </row>
    <row r="711">
      <c r="A711" s="8">
        <f>IF(INDEX(Banco!$A:$A,ROW())="","",INDEX(Banco!$A:$A,ROW()))</f>
        <v/>
      </c>
      <c r="B711" s="8">
        <f>IF(INDEX(Banco!$B:$B,ROW())="","",INDEX(Banco!$B:$B,ROW()))</f>
        <v/>
      </c>
      <c r="C711" s="8">
        <f>IF(INDEX(Banco!$C:$C,ROW())="","",INDEX(Banco!$C:$C,ROW()))</f>
        <v/>
      </c>
      <c r="D711" s="9">
        <f>IF(INDEX(Banco!$D:$D,ROW())="","",INDEX(Banco!$D:$D,ROW()))</f>
        <v/>
      </c>
      <c r="E711" s="9">
        <f>IF(INDEX(Banco!$E:$E,ROW())="","",INDEX(Banco!$E:$E,ROW()))</f>
        <v/>
      </c>
      <c r="F711" s="10">
        <f>IF(INDEX(Banco!$F:$F,ROW())="","",INDEX(Banco!$F:$F,ROW()))</f>
        <v/>
      </c>
      <c r="G711" s="10">
        <f>IF(INDEX(Banco!$G:$G,ROW())="","",INDEX(Banco!$G:$G,ROW()))</f>
        <v/>
      </c>
      <c r="H711" s="8">
        <f>IF(INDEX(Banco!$H:$H,ROW())="","",INDEX(Banco!$H:$H,ROW()))</f>
        <v/>
      </c>
      <c r="I711">
        <f>IF($T711="","",INT($T711/12)&amp;"a "&amp;MOD($T711,12)&amp;"m")</f>
        <v/>
      </c>
      <c r="J711" s="11">
        <f>IF(OR($F711="",$G711=""),"",ROUND($F711/($G711/100)^2,2))</f>
        <v/>
      </c>
      <c r="K711" s="12">
        <f>IF(OR($S711="",$J711="",$T711="",$T711&lt;0,$T711&gt;228,$Y711=""),"—",ROUND(IF(ABS($AB711)&lt;=3,$AB711,IF($AB711&gt;3,3+($J711-$AD711)/($AD711-$AC711),-3+($J711-$AF711)/($AE711-$AF711))),2))</f>
        <v/>
      </c>
      <c r="L711">
        <f>IF(OR($K711="",$K711="—"),"",IF($T711&lt;=60,IF($K711&lt;-3,"Magreza acentuada",IF($K711&lt;-2,"Magreza",IF($K711&lt;=1,"Eutrofia",IF($K711&lt;=2,"Risco de sobrepeso",IF($K711&lt;=3,"Sobrepeso","Obesidade"))))),IF($K711&lt;-3,"Magreza acentuada",IF($K711&lt;-2,"Magreza",IF($K711&lt;=1,"Eutrofia",IF($K711&lt;=2,"Sobrepeso",IF($K711&lt;=3,"Obesidade","Obesidade grave")))))))</f>
        <v/>
      </c>
      <c r="M711" s="12">
        <f>IF(OR($S711="",$V711="",$T711="",$T711&lt;0,$T711&gt;228,$AG711=""),"—",ROUND(IF($AG711=0,LN($V711/$AH711)/$AI711,((($V711/$AH711)^$AG711)-1)/($AG711*$AI711)),2))</f>
        <v/>
      </c>
      <c r="N711">
        <f>IF(OR($M711="",$M711="—"),"",IF($M711&lt;-3,"Muito baixa",IF($M711&lt;-2,"Baixa","Adequada")))</f>
        <v/>
      </c>
      <c r="O711" s="12">
        <f>IF(OR($S711="",$F711="",$T711="",$T711&lt;0,$T711&gt;120,$AJ711=""),"—",ROUND(IF(ABS($AM711)&lt;=3,$AM711,IF($AM711&gt;3,3+($F711-$AO711)/($AO711-$AN711),-3+($F711-$AQ711)/($AP711-$AQ711))),2))</f>
        <v/>
      </c>
      <c r="P711">
        <f>IF(OR($O711="",$O711="—"),"",IF($O711&lt;-3,"Muito baixo",IF($O711&lt;-2,"Baixo",IF($O711&lt;=2,"Adequado","Elevado"))))</f>
        <v/>
      </c>
      <c r="Q711" s="12">
        <f>IF(OR($S711="",$F711="",$T711="",$T711&lt;0,$T711&gt;60,$AR711=""),"—",ROUND(IF(ABS($AU711)&lt;=3,$AU711,IF($AU711&gt;3,3+($F711-$AW711)/($AW711-$AV711),-3+($F711-$AY711)/($AX711-$AY711))),2))</f>
        <v/>
      </c>
      <c r="R711">
        <f>IF(OR($Q711="",$Q711="—"),"",IF($Q711&lt;-3,"Magreza acentuada",IF($Q711&lt;-2,"Magreza",IF($Q711&lt;=1,"Eutrofia",IF($Q711&lt;=2,"Risco de sobrepeso",IF($Q711&lt;=3,"Sobrepeso","Obesidade"))))))</f>
        <v/>
      </c>
      <c r="S711">
        <f>IF($C711="","",IF(UPPER(LEFT($C711,1))="M",1,IF(UPPER(LEFT($C711,1))="F",2,"")))</f>
        <v/>
      </c>
      <c r="T711">
        <f>IF(OR($D711="",$E711=""),"",DATEDIF($D711,$E711,"m"))</f>
        <v/>
      </c>
      <c r="U711">
        <f>IF(OR($D711="",$E711=""),"",$E711-$D711)</f>
        <v/>
      </c>
      <c r="V711">
        <f>IF(OR($G711="",$T711=""),"",IF($T711&lt;24,IF(LEFT(LOWER($H711),4)="em p",$G711+0.7,$G711),IF(LEFT(LOWER($H711),4)="deit",$G711-0.7,$G711)))</f>
        <v/>
      </c>
      <c r="W711">
        <f>IF(OR($S711="",$T711=""),"",$S711*1000000+IF($T711&lt;=60,$U711,$T711))</f>
        <v/>
      </c>
      <c r="X711">
        <f>IF(OR($S711="",$V711="",$T711&gt;60,$T711=""),"",$S711*1000000+ROUND($V711*10,0))</f>
        <v/>
      </c>
      <c r="Y711">
        <f>IF($W711="","",IFERROR(INDEX(IF($T711&lt;=60,imc05_l,imc519_l),MATCH($W711,IF($T711&lt;=60,imc05_k,imc519_k),1)),""))</f>
        <v/>
      </c>
      <c r="Z711">
        <f>IF($W711="","",IFERROR(INDEX(IF($T711&lt;=60,imc05_m,imc519_m),MATCH($W711,IF($T711&lt;=60,imc05_k,imc519_k),1)),""))</f>
        <v/>
      </c>
      <c r="AA711">
        <f>IF($W711="","",IFERROR(INDEX(IF($T711&lt;=60,imc05_s,imc519_s),MATCH($W711,IF($T711&lt;=60,imc05_k,imc519_k),1)),""))</f>
        <v/>
      </c>
      <c r="AB711">
        <f>IF($Y711="","",IF($Y711=0,LN($J711/$Z711)/$AA711,((($J711/$Z711)^$Y711)-1)/($Y711*$AA711)))</f>
        <v/>
      </c>
      <c r="AC711">
        <f>IF($Y711="","",IF($Y711=0,$Z711*EXP($AA711*2),$Z711*(1+$Y711*$AA711*2)^(1/$Y711)))</f>
        <v/>
      </c>
      <c r="AD711">
        <f>IF($Y711="","",IF($Y711=0,$Z711*EXP($AA711*3),$Z711*(1+$Y711*$AA711*3)^(1/$Y711)))</f>
        <v/>
      </c>
      <c r="AE711">
        <f>IF($Y711="","",IF($Y711=0,$Z711*EXP($AA711*-2),$Z711*(1+$Y711*$AA711*-2)^(1/$Y711)))</f>
        <v/>
      </c>
      <c r="AF711">
        <f>IF($Y711="","",IF($Y711=0,$Z711*EXP($AA711*-3),$Z711*(1+$Y711*$AA711*-3)^(1/$Y711)))</f>
        <v/>
      </c>
      <c r="AG711">
        <f>IF($W711="","",IFERROR(INDEX(IF($T711&lt;=60,est05_l,est519_l),MATCH($W711,IF($T711&lt;=60,est05_k,est519_k),1)),""))</f>
        <v/>
      </c>
      <c r="AH711">
        <f>IF($W711="","",IFERROR(INDEX(IF($T711&lt;=60,est05_m,est519_m),MATCH($W711,IF($T711&lt;=60,est05_k,est519_k),1)),""))</f>
        <v/>
      </c>
      <c r="AI711">
        <f>IF($W711="","",IFERROR(INDEX(IF($T711&lt;=60,est05_s,est519_s),MATCH($W711,IF($T711&lt;=60,est05_k,est519_k),1)),""))</f>
        <v/>
      </c>
      <c r="AJ711">
        <f>IF($W711="","",IFERROR(INDEX(IF($T711&lt;=60,peso05_l,peso510_l),MATCH($W711,IF($T711&lt;=60,peso05_k,peso510_k),1)),""))</f>
        <v/>
      </c>
      <c r="AK711">
        <f>IF($W711="","",IFERROR(INDEX(IF($T711&lt;=60,peso05_m,peso510_m),MATCH($W711,IF($T711&lt;=60,peso05_k,peso510_k),1)),""))</f>
        <v/>
      </c>
      <c r="AL711">
        <f>IF($W711="","",IFERROR(INDEX(IF($T711&lt;=60,peso05_s,peso510_s),MATCH($W711,IF($T711&lt;=60,peso05_k,peso510_k),1)),""))</f>
        <v/>
      </c>
      <c r="AM711">
        <f>IF($AJ711="","",IF($AJ711=0,LN($F711/$AK711)/$AL711,((($F711/$AK711)^$AJ711)-1)/($AJ711*$AL711)))</f>
        <v/>
      </c>
      <c r="AN711">
        <f>IF($AJ711="","",IF($AJ711=0,$AK711*EXP($AL711*2),$AK711*(1+$AJ711*$AL711*2)^(1/$AJ711)))</f>
        <v/>
      </c>
      <c r="AO711">
        <f>IF($AJ711="","",IF($AJ711=0,$AK711*EXP($AL711*3),$AK711*(1+$AJ711*$AL711*3)^(1/$AJ711)))</f>
        <v/>
      </c>
      <c r="AP711">
        <f>IF($AJ711="","",IF($AJ711=0,$AK711*EXP($AL711*-2),$AK711*(1+$AJ711*$AL711*-2)^(1/$AJ711)))</f>
        <v/>
      </c>
      <c r="AQ711">
        <f>IF($AJ711="","",IF($AJ711=0,$AK711*EXP($AL711*-3),$AK711*(1+$AJ711*$AL711*-3)^(1/$AJ711)))</f>
        <v/>
      </c>
      <c r="AR711">
        <f>IF(OR($X711="",$T711&gt;60),"",IFERROR(INDEX(IF($T711&lt;24,pcomp_l,palt_l),MATCH($X711,IF($T711&lt;24,pcomp_k,palt_k),1)),""))</f>
        <v/>
      </c>
      <c r="AS711">
        <f>IF(OR($X711="",$T711&gt;60),"",IFERROR(INDEX(IF($T711&lt;24,pcomp_m,palt_m),MATCH($X711,IF($T711&lt;24,pcomp_k,palt_k),1)),""))</f>
        <v/>
      </c>
      <c r="AT711">
        <f>IF(OR($X711="",$T711&gt;60),"",IFERROR(INDEX(IF($T711&lt;24,pcomp_s,palt_s),MATCH($X711,IF($T711&lt;24,pcomp_k,palt_k),1)),""))</f>
        <v/>
      </c>
      <c r="AU711">
        <f>IF($AR711="","",IF($AR711=0,LN($F711/$AS711)/$AT711,((($F711/$AS711)^$AR711)-1)/($AR711*$AT711)))</f>
        <v/>
      </c>
      <c r="AV711">
        <f>IF($AR711="","",IF($AR711=0,$AS711*EXP($AT711*2),$AS711*(1+$AR711*$AT711*2)^(1/$AR711)))</f>
        <v/>
      </c>
      <c r="AW711">
        <f>IF($AR711="","",IF($AR711=0,$AS711*EXP($AT711*3),$AS711*(1+$AR711*$AT711*3)^(1/$AR711)))</f>
        <v/>
      </c>
      <c r="AX711">
        <f>IF($AR711="","",IF($AR711=0,$AS711*EXP($AT711*-2),$AS711*(1+$AR711*$AT711*-2)^(1/$AR711)))</f>
        <v/>
      </c>
      <c r="AY711">
        <f>IF($AR711="","",IF($AR711=0,$AS711*EXP($AT711*-3),$AS711*(1+$AR711*$AT711*-3)^(1/$AR711)))</f>
        <v/>
      </c>
      <c r="AZ711">
        <f>IF(OR($A711="",$A711&lt;&gt;Ficha!$C$4),"",COUNTIF($A$2:$A711,Ficha!$C$4))</f>
        <v/>
      </c>
    </row>
    <row r="712">
      <c r="A712" s="8">
        <f>IF(INDEX(Banco!$A:$A,ROW())="","",INDEX(Banco!$A:$A,ROW()))</f>
        <v/>
      </c>
      <c r="B712" s="8">
        <f>IF(INDEX(Banco!$B:$B,ROW())="","",INDEX(Banco!$B:$B,ROW()))</f>
        <v/>
      </c>
      <c r="C712" s="8">
        <f>IF(INDEX(Banco!$C:$C,ROW())="","",INDEX(Banco!$C:$C,ROW()))</f>
        <v/>
      </c>
      <c r="D712" s="9">
        <f>IF(INDEX(Banco!$D:$D,ROW())="","",INDEX(Banco!$D:$D,ROW()))</f>
        <v/>
      </c>
      <c r="E712" s="9">
        <f>IF(INDEX(Banco!$E:$E,ROW())="","",INDEX(Banco!$E:$E,ROW()))</f>
        <v/>
      </c>
      <c r="F712" s="10">
        <f>IF(INDEX(Banco!$F:$F,ROW())="","",INDEX(Banco!$F:$F,ROW()))</f>
        <v/>
      </c>
      <c r="G712" s="10">
        <f>IF(INDEX(Banco!$G:$G,ROW())="","",INDEX(Banco!$G:$G,ROW()))</f>
        <v/>
      </c>
      <c r="H712" s="8">
        <f>IF(INDEX(Banco!$H:$H,ROW())="","",INDEX(Banco!$H:$H,ROW()))</f>
        <v/>
      </c>
      <c r="I712">
        <f>IF($T712="","",INT($T712/12)&amp;"a "&amp;MOD($T712,12)&amp;"m")</f>
        <v/>
      </c>
      <c r="J712" s="11">
        <f>IF(OR($F712="",$G712=""),"",ROUND($F712/($G712/100)^2,2))</f>
        <v/>
      </c>
      <c r="K712" s="12">
        <f>IF(OR($S712="",$J712="",$T712="",$T712&lt;0,$T712&gt;228,$Y712=""),"—",ROUND(IF(ABS($AB712)&lt;=3,$AB712,IF($AB712&gt;3,3+($J712-$AD712)/($AD712-$AC712),-3+($J712-$AF712)/($AE712-$AF712))),2))</f>
        <v/>
      </c>
      <c r="L712">
        <f>IF(OR($K712="",$K712="—"),"",IF($T712&lt;=60,IF($K712&lt;-3,"Magreza acentuada",IF($K712&lt;-2,"Magreza",IF($K712&lt;=1,"Eutrofia",IF($K712&lt;=2,"Risco de sobrepeso",IF($K712&lt;=3,"Sobrepeso","Obesidade"))))),IF($K712&lt;-3,"Magreza acentuada",IF($K712&lt;-2,"Magreza",IF($K712&lt;=1,"Eutrofia",IF($K712&lt;=2,"Sobrepeso",IF($K712&lt;=3,"Obesidade","Obesidade grave")))))))</f>
        <v/>
      </c>
      <c r="M712" s="12">
        <f>IF(OR($S712="",$V712="",$T712="",$T712&lt;0,$T712&gt;228,$AG712=""),"—",ROUND(IF($AG712=0,LN($V712/$AH712)/$AI712,((($V712/$AH712)^$AG712)-1)/($AG712*$AI712)),2))</f>
        <v/>
      </c>
      <c r="N712">
        <f>IF(OR($M712="",$M712="—"),"",IF($M712&lt;-3,"Muito baixa",IF($M712&lt;-2,"Baixa","Adequada")))</f>
        <v/>
      </c>
      <c r="O712" s="12">
        <f>IF(OR($S712="",$F712="",$T712="",$T712&lt;0,$T712&gt;120,$AJ712=""),"—",ROUND(IF(ABS($AM712)&lt;=3,$AM712,IF($AM712&gt;3,3+($F712-$AO712)/($AO712-$AN712),-3+($F712-$AQ712)/($AP712-$AQ712))),2))</f>
        <v/>
      </c>
      <c r="P712">
        <f>IF(OR($O712="",$O712="—"),"",IF($O712&lt;-3,"Muito baixo",IF($O712&lt;-2,"Baixo",IF($O712&lt;=2,"Adequado","Elevado"))))</f>
        <v/>
      </c>
      <c r="Q712" s="12">
        <f>IF(OR($S712="",$F712="",$T712="",$T712&lt;0,$T712&gt;60,$AR712=""),"—",ROUND(IF(ABS($AU712)&lt;=3,$AU712,IF($AU712&gt;3,3+($F712-$AW712)/($AW712-$AV712),-3+($F712-$AY712)/($AX712-$AY712))),2))</f>
        <v/>
      </c>
      <c r="R712">
        <f>IF(OR($Q712="",$Q712="—"),"",IF($Q712&lt;-3,"Magreza acentuada",IF($Q712&lt;-2,"Magreza",IF($Q712&lt;=1,"Eutrofia",IF($Q712&lt;=2,"Risco de sobrepeso",IF($Q712&lt;=3,"Sobrepeso","Obesidade"))))))</f>
        <v/>
      </c>
      <c r="S712">
        <f>IF($C712="","",IF(UPPER(LEFT($C712,1))="M",1,IF(UPPER(LEFT($C712,1))="F",2,"")))</f>
        <v/>
      </c>
      <c r="T712">
        <f>IF(OR($D712="",$E712=""),"",DATEDIF($D712,$E712,"m"))</f>
        <v/>
      </c>
      <c r="U712">
        <f>IF(OR($D712="",$E712=""),"",$E712-$D712)</f>
        <v/>
      </c>
      <c r="V712">
        <f>IF(OR($G712="",$T712=""),"",IF($T712&lt;24,IF(LEFT(LOWER($H712),4)="em p",$G712+0.7,$G712),IF(LEFT(LOWER($H712),4)="deit",$G712-0.7,$G712)))</f>
        <v/>
      </c>
      <c r="W712">
        <f>IF(OR($S712="",$T712=""),"",$S712*1000000+IF($T712&lt;=60,$U712,$T712))</f>
        <v/>
      </c>
      <c r="X712">
        <f>IF(OR($S712="",$V712="",$T712&gt;60,$T712=""),"",$S712*1000000+ROUND($V712*10,0))</f>
        <v/>
      </c>
      <c r="Y712">
        <f>IF($W712="","",IFERROR(INDEX(IF($T712&lt;=60,imc05_l,imc519_l),MATCH($W712,IF($T712&lt;=60,imc05_k,imc519_k),1)),""))</f>
        <v/>
      </c>
      <c r="Z712">
        <f>IF($W712="","",IFERROR(INDEX(IF($T712&lt;=60,imc05_m,imc519_m),MATCH($W712,IF($T712&lt;=60,imc05_k,imc519_k),1)),""))</f>
        <v/>
      </c>
      <c r="AA712">
        <f>IF($W712="","",IFERROR(INDEX(IF($T712&lt;=60,imc05_s,imc519_s),MATCH($W712,IF($T712&lt;=60,imc05_k,imc519_k),1)),""))</f>
        <v/>
      </c>
      <c r="AB712">
        <f>IF($Y712="","",IF($Y712=0,LN($J712/$Z712)/$AA712,((($J712/$Z712)^$Y712)-1)/($Y712*$AA712)))</f>
        <v/>
      </c>
      <c r="AC712">
        <f>IF($Y712="","",IF($Y712=0,$Z712*EXP($AA712*2),$Z712*(1+$Y712*$AA712*2)^(1/$Y712)))</f>
        <v/>
      </c>
      <c r="AD712">
        <f>IF($Y712="","",IF($Y712=0,$Z712*EXP($AA712*3),$Z712*(1+$Y712*$AA712*3)^(1/$Y712)))</f>
        <v/>
      </c>
      <c r="AE712">
        <f>IF($Y712="","",IF($Y712=0,$Z712*EXP($AA712*-2),$Z712*(1+$Y712*$AA712*-2)^(1/$Y712)))</f>
        <v/>
      </c>
      <c r="AF712">
        <f>IF($Y712="","",IF($Y712=0,$Z712*EXP($AA712*-3),$Z712*(1+$Y712*$AA712*-3)^(1/$Y712)))</f>
        <v/>
      </c>
      <c r="AG712">
        <f>IF($W712="","",IFERROR(INDEX(IF($T712&lt;=60,est05_l,est519_l),MATCH($W712,IF($T712&lt;=60,est05_k,est519_k),1)),""))</f>
        <v/>
      </c>
      <c r="AH712">
        <f>IF($W712="","",IFERROR(INDEX(IF($T712&lt;=60,est05_m,est519_m),MATCH($W712,IF($T712&lt;=60,est05_k,est519_k),1)),""))</f>
        <v/>
      </c>
      <c r="AI712">
        <f>IF($W712="","",IFERROR(INDEX(IF($T712&lt;=60,est05_s,est519_s),MATCH($W712,IF($T712&lt;=60,est05_k,est519_k),1)),""))</f>
        <v/>
      </c>
      <c r="AJ712">
        <f>IF($W712="","",IFERROR(INDEX(IF($T712&lt;=60,peso05_l,peso510_l),MATCH($W712,IF($T712&lt;=60,peso05_k,peso510_k),1)),""))</f>
        <v/>
      </c>
      <c r="AK712">
        <f>IF($W712="","",IFERROR(INDEX(IF($T712&lt;=60,peso05_m,peso510_m),MATCH($W712,IF($T712&lt;=60,peso05_k,peso510_k),1)),""))</f>
        <v/>
      </c>
      <c r="AL712">
        <f>IF($W712="","",IFERROR(INDEX(IF($T712&lt;=60,peso05_s,peso510_s),MATCH($W712,IF($T712&lt;=60,peso05_k,peso510_k),1)),""))</f>
        <v/>
      </c>
      <c r="AM712">
        <f>IF($AJ712="","",IF($AJ712=0,LN($F712/$AK712)/$AL712,((($F712/$AK712)^$AJ712)-1)/($AJ712*$AL712)))</f>
        <v/>
      </c>
      <c r="AN712">
        <f>IF($AJ712="","",IF($AJ712=0,$AK712*EXP($AL712*2),$AK712*(1+$AJ712*$AL712*2)^(1/$AJ712)))</f>
        <v/>
      </c>
      <c r="AO712">
        <f>IF($AJ712="","",IF($AJ712=0,$AK712*EXP($AL712*3),$AK712*(1+$AJ712*$AL712*3)^(1/$AJ712)))</f>
        <v/>
      </c>
      <c r="AP712">
        <f>IF($AJ712="","",IF($AJ712=0,$AK712*EXP($AL712*-2),$AK712*(1+$AJ712*$AL712*-2)^(1/$AJ712)))</f>
        <v/>
      </c>
      <c r="AQ712">
        <f>IF($AJ712="","",IF($AJ712=0,$AK712*EXP($AL712*-3),$AK712*(1+$AJ712*$AL712*-3)^(1/$AJ712)))</f>
        <v/>
      </c>
      <c r="AR712">
        <f>IF(OR($X712="",$T712&gt;60),"",IFERROR(INDEX(IF($T712&lt;24,pcomp_l,palt_l),MATCH($X712,IF($T712&lt;24,pcomp_k,palt_k),1)),""))</f>
        <v/>
      </c>
      <c r="AS712">
        <f>IF(OR($X712="",$T712&gt;60),"",IFERROR(INDEX(IF($T712&lt;24,pcomp_m,palt_m),MATCH($X712,IF($T712&lt;24,pcomp_k,palt_k),1)),""))</f>
        <v/>
      </c>
      <c r="AT712">
        <f>IF(OR($X712="",$T712&gt;60),"",IFERROR(INDEX(IF($T712&lt;24,pcomp_s,palt_s),MATCH($X712,IF($T712&lt;24,pcomp_k,palt_k),1)),""))</f>
        <v/>
      </c>
      <c r="AU712">
        <f>IF($AR712="","",IF($AR712=0,LN($F712/$AS712)/$AT712,((($F712/$AS712)^$AR712)-1)/($AR712*$AT712)))</f>
        <v/>
      </c>
      <c r="AV712">
        <f>IF($AR712="","",IF($AR712=0,$AS712*EXP($AT712*2),$AS712*(1+$AR712*$AT712*2)^(1/$AR712)))</f>
        <v/>
      </c>
      <c r="AW712">
        <f>IF($AR712="","",IF($AR712=0,$AS712*EXP($AT712*3),$AS712*(1+$AR712*$AT712*3)^(1/$AR712)))</f>
        <v/>
      </c>
      <c r="AX712">
        <f>IF($AR712="","",IF($AR712=0,$AS712*EXP($AT712*-2),$AS712*(1+$AR712*$AT712*-2)^(1/$AR712)))</f>
        <v/>
      </c>
      <c r="AY712">
        <f>IF($AR712="","",IF($AR712=0,$AS712*EXP($AT712*-3),$AS712*(1+$AR712*$AT712*-3)^(1/$AR712)))</f>
        <v/>
      </c>
      <c r="AZ712">
        <f>IF(OR($A712="",$A712&lt;&gt;Ficha!$C$4),"",COUNTIF($A$2:$A712,Ficha!$C$4))</f>
        <v/>
      </c>
    </row>
    <row r="713">
      <c r="A713" s="8">
        <f>IF(INDEX(Banco!$A:$A,ROW())="","",INDEX(Banco!$A:$A,ROW()))</f>
        <v/>
      </c>
      <c r="B713" s="8">
        <f>IF(INDEX(Banco!$B:$B,ROW())="","",INDEX(Banco!$B:$B,ROW()))</f>
        <v/>
      </c>
      <c r="C713" s="8">
        <f>IF(INDEX(Banco!$C:$C,ROW())="","",INDEX(Banco!$C:$C,ROW()))</f>
        <v/>
      </c>
      <c r="D713" s="9">
        <f>IF(INDEX(Banco!$D:$D,ROW())="","",INDEX(Banco!$D:$D,ROW()))</f>
        <v/>
      </c>
      <c r="E713" s="9">
        <f>IF(INDEX(Banco!$E:$E,ROW())="","",INDEX(Banco!$E:$E,ROW()))</f>
        <v/>
      </c>
      <c r="F713" s="10">
        <f>IF(INDEX(Banco!$F:$F,ROW())="","",INDEX(Banco!$F:$F,ROW()))</f>
        <v/>
      </c>
      <c r="G713" s="10">
        <f>IF(INDEX(Banco!$G:$G,ROW())="","",INDEX(Banco!$G:$G,ROW()))</f>
        <v/>
      </c>
      <c r="H713" s="8">
        <f>IF(INDEX(Banco!$H:$H,ROW())="","",INDEX(Banco!$H:$H,ROW()))</f>
        <v/>
      </c>
      <c r="I713">
        <f>IF($T713="","",INT($T713/12)&amp;"a "&amp;MOD($T713,12)&amp;"m")</f>
        <v/>
      </c>
      <c r="J713" s="11">
        <f>IF(OR($F713="",$G713=""),"",ROUND($F713/($G713/100)^2,2))</f>
        <v/>
      </c>
      <c r="K713" s="12">
        <f>IF(OR($S713="",$J713="",$T713="",$T713&lt;0,$T713&gt;228,$Y713=""),"—",ROUND(IF(ABS($AB713)&lt;=3,$AB713,IF($AB713&gt;3,3+($J713-$AD713)/($AD713-$AC713),-3+($J713-$AF713)/($AE713-$AF713))),2))</f>
        <v/>
      </c>
      <c r="L713">
        <f>IF(OR($K713="",$K713="—"),"",IF($T713&lt;=60,IF($K713&lt;-3,"Magreza acentuada",IF($K713&lt;-2,"Magreza",IF($K713&lt;=1,"Eutrofia",IF($K713&lt;=2,"Risco de sobrepeso",IF($K713&lt;=3,"Sobrepeso","Obesidade"))))),IF($K713&lt;-3,"Magreza acentuada",IF($K713&lt;-2,"Magreza",IF($K713&lt;=1,"Eutrofia",IF($K713&lt;=2,"Sobrepeso",IF($K713&lt;=3,"Obesidade","Obesidade grave")))))))</f>
        <v/>
      </c>
      <c r="M713" s="12">
        <f>IF(OR($S713="",$V713="",$T713="",$T713&lt;0,$T713&gt;228,$AG713=""),"—",ROUND(IF($AG713=0,LN($V713/$AH713)/$AI713,((($V713/$AH713)^$AG713)-1)/($AG713*$AI713)),2))</f>
        <v/>
      </c>
      <c r="N713">
        <f>IF(OR($M713="",$M713="—"),"",IF($M713&lt;-3,"Muito baixa",IF($M713&lt;-2,"Baixa","Adequada")))</f>
        <v/>
      </c>
      <c r="O713" s="12">
        <f>IF(OR($S713="",$F713="",$T713="",$T713&lt;0,$T713&gt;120,$AJ713=""),"—",ROUND(IF(ABS($AM713)&lt;=3,$AM713,IF($AM713&gt;3,3+($F713-$AO713)/($AO713-$AN713),-3+($F713-$AQ713)/($AP713-$AQ713))),2))</f>
        <v/>
      </c>
      <c r="P713">
        <f>IF(OR($O713="",$O713="—"),"",IF($O713&lt;-3,"Muito baixo",IF($O713&lt;-2,"Baixo",IF($O713&lt;=2,"Adequado","Elevado"))))</f>
        <v/>
      </c>
      <c r="Q713" s="12">
        <f>IF(OR($S713="",$F713="",$T713="",$T713&lt;0,$T713&gt;60,$AR713=""),"—",ROUND(IF(ABS($AU713)&lt;=3,$AU713,IF($AU713&gt;3,3+($F713-$AW713)/($AW713-$AV713),-3+($F713-$AY713)/($AX713-$AY713))),2))</f>
        <v/>
      </c>
      <c r="R713">
        <f>IF(OR($Q713="",$Q713="—"),"",IF($Q713&lt;-3,"Magreza acentuada",IF($Q713&lt;-2,"Magreza",IF($Q713&lt;=1,"Eutrofia",IF($Q713&lt;=2,"Risco de sobrepeso",IF($Q713&lt;=3,"Sobrepeso","Obesidade"))))))</f>
        <v/>
      </c>
      <c r="S713">
        <f>IF($C713="","",IF(UPPER(LEFT($C713,1))="M",1,IF(UPPER(LEFT($C713,1))="F",2,"")))</f>
        <v/>
      </c>
      <c r="T713">
        <f>IF(OR($D713="",$E713=""),"",DATEDIF($D713,$E713,"m"))</f>
        <v/>
      </c>
      <c r="U713">
        <f>IF(OR($D713="",$E713=""),"",$E713-$D713)</f>
        <v/>
      </c>
      <c r="V713">
        <f>IF(OR($G713="",$T713=""),"",IF($T713&lt;24,IF(LEFT(LOWER($H713),4)="em p",$G713+0.7,$G713),IF(LEFT(LOWER($H713),4)="deit",$G713-0.7,$G713)))</f>
        <v/>
      </c>
      <c r="W713">
        <f>IF(OR($S713="",$T713=""),"",$S713*1000000+IF($T713&lt;=60,$U713,$T713))</f>
        <v/>
      </c>
      <c r="X713">
        <f>IF(OR($S713="",$V713="",$T713&gt;60,$T713=""),"",$S713*1000000+ROUND($V713*10,0))</f>
        <v/>
      </c>
      <c r="Y713">
        <f>IF($W713="","",IFERROR(INDEX(IF($T713&lt;=60,imc05_l,imc519_l),MATCH($W713,IF($T713&lt;=60,imc05_k,imc519_k),1)),""))</f>
        <v/>
      </c>
      <c r="Z713">
        <f>IF($W713="","",IFERROR(INDEX(IF($T713&lt;=60,imc05_m,imc519_m),MATCH($W713,IF($T713&lt;=60,imc05_k,imc519_k),1)),""))</f>
        <v/>
      </c>
      <c r="AA713">
        <f>IF($W713="","",IFERROR(INDEX(IF($T713&lt;=60,imc05_s,imc519_s),MATCH($W713,IF($T713&lt;=60,imc05_k,imc519_k),1)),""))</f>
        <v/>
      </c>
      <c r="AB713">
        <f>IF($Y713="","",IF($Y713=0,LN($J713/$Z713)/$AA713,((($J713/$Z713)^$Y713)-1)/($Y713*$AA713)))</f>
        <v/>
      </c>
      <c r="AC713">
        <f>IF($Y713="","",IF($Y713=0,$Z713*EXP($AA713*2),$Z713*(1+$Y713*$AA713*2)^(1/$Y713)))</f>
        <v/>
      </c>
      <c r="AD713">
        <f>IF($Y713="","",IF($Y713=0,$Z713*EXP($AA713*3),$Z713*(1+$Y713*$AA713*3)^(1/$Y713)))</f>
        <v/>
      </c>
      <c r="AE713">
        <f>IF($Y713="","",IF($Y713=0,$Z713*EXP($AA713*-2),$Z713*(1+$Y713*$AA713*-2)^(1/$Y713)))</f>
        <v/>
      </c>
      <c r="AF713">
        <f>IF($Y713="","",IF($Y713=0,$Z713*EXP($AA713*-3),$Z713*(1+$Y713*$AA713*-3)^(1/$Y713)))</f>
        <v/>
      </c>
      <c r="AG713">
        <f>IF($W713="","",IFERROR(INDEX(IF($T713&lt;=60,est05_l,est519_l),MATCH($W713,IF($T713&lt;=60,est05_k,est519_k),1)),""))</f>
        <v/>
      </c>
      <c r="AH713">
        <f>IF($W713="","",IFERROR(INDEX(IF($T713&lt;=60,est05_m,est519_m),MATCH($W713,IF($T713&lt;=60,est05_k,est519_k),1)),""))</f>
        <v/>
      </c>
      <c r="AI713">
        <f>IF($W713="","",IFERROR(INDEX(IF($T713&lt;=60,est05_s,est519_s),MATCH($W713,IF($T713&lt;=60,est05_k,est519_k),1)),""))</f>
        <v/>
      </c>
      <c r="AJ713">
        <f>IF($W713="","",IFERROR(INDEX(IF($T713&lt;=60,peso05_l,peso510_l),MATCH($W713,IF($T713&lt;=60,peso05_k,peso510_k),1)),""))</f>
        <v/>
      </c>
      <c r="AK713">
        <f>IF($W713="","",IFERROR(INDEX(IF($T713&lt;=60,peso05_m,peso510_m),MATCH($W713,IF($T713&lt;=60,peso05_k,peso510_k),1)),""))</f>
        <v/>
      </c>
      <c r="AL713">
        <f>IF($W713="","",IFERROR(INDEX(IF($T713&lt;=60,peso05_s,peso510_s),MATCH($W713,IF($T713&lt;=60,peso05_k,peso510_k),1)),""))</f>
        <v/>
      </c>
      <c r="AM713">
        <f>IF($AJ713="","",IF($AJ713=0,LN($F713/$AK713)/$AL713,((($F713/$AK713)^$AJ713)-1)/($AJ713*$AL713)))</f>
        <v/>
      </c>
      <c r="AN713">
        <f>IF($AJ713="","",IF($AJ713=0,$AK713*EXP($AL713*2),$AK713*(1+$AJ713*$AL713*2)^(1/$AJ713)))</f>
        <v/>
      </c>
      <c r="AO713">
        <f>IF($AJ713="","",IF($AJ713=0,$AK713*EXP($AL713*3),$AK713*(1+$AJ713*$AL713*3)^(1/$AJ713)))</f>
        <v/>
      </c>
      <c r="AP713">
        <f>IF($AJ713="","",IF($AJ713=0,$AK713*EXP($AL713*-2),$AK713*(1+$AJ713*$AL713*-2)^(1/$AJ713)))</f>
        <v/>
      </c>
      <c r="AQ713">
        <f>IF($AJ713="","",IF($AJ713=0,$AK713*EXP($AL713*-3),$AK713*(1+$AJ713*$AL713*-3)^(1/$AJ713)))</f>
        <v/>
      </c>
      <c r="AR713">
        <f>IF(OR($X713="",$T713&gt;60),"",IFERROR(INDEX(IF($T713&lt;24,pcomp_l,palt_l),MATCH($X713,IF($T713&lt;24,pcomp_k,palt_k),1)),""))</f>
        <v/>
      </c>
      <c r="AS713">
        <f>IF(OR($X713="",$T713&gt;60),"",IFERROR(INDEX(IF($T713&lt;24,pcomp_m,palt_m),MATCH($X713,IF($T713&lt;24,pcomp_k,palt_k),1)),""))</f>
        <v/>
      </c>
      <c r="AT713">
        <f>IF(OR($X713="",$T713&gt;60),"",IFERROR(INDEX(IF($T713&lt;24,pcomp_s,palt_s),MATCH($X713,IF($T713&lt;24,pcomp_k,palt_k),1)),""))</f>
        <v/>
      </c>
      <c r="AU713">
        <f>IF($AR713="","",IF($AR713=0,LN($F713/$AS713)/$AT713,((($F713/$AS713)^$AR713)-1)/($AR713*$AT713)))</f>
        <v/>
      </c>
      <c r="AV713">
        <f>IF($AR713="","",IF($AR713=0,$AS713*EXP($AT713*2),$AS713*(1+$AR713*$AT713*2)^(1/$AR713)))</f>
        <v/>
      </c>
      <c r="AW713">
        <f>IF($AR713="","",IF($AR713=0,$AS713*EXP($AT713*3),$AS713*(1+$AR713*$AT713*3)^(1/$AR713)))</f>
        <v/>
      </c>
      <c r="AX713">
        <f>IF($AR713="","",IF($AR713=0,$AS713*EXP($AT713*-2),$AS713*(1+$AR713*$AT713*-2)^(1/$AR713)))</f>
        <v/>
      </c>
      <c r="AY713">
        <f>IF($AR713="","",IF($AR713=0,$AS713*EXP($AT713*-3),$AS713*(1+$AR713*$AT713*-3)^(1/$AR713)))</f>
        <v/>
      </c>
      <c r="AZ713">
        <f>IF(OR($A713="",$A713&lt;&gt;Ficha!$C$4),"",COUNTIF($A$2:$A713,Ficha!$C$4))</f>
        <v/>
      </c>
    </row>
    <row r="714">
      <c r="A714" s="8">
        <f>IF(INDEX(Banco!$A:$A,ROW())="","",INDEX(Banco!$A:$A,ROW()))</f>
        <v/>
      </c>
      <c r="B714" s="8">
        <f>IF(INDEX(Banco!$B:$B,ROW())="","",INDEX(Banco!$B:$B,ROW()))</f>
        <v/>
      </c>
      <c r="C714" s="8">
        <f>IF(INDEX(Banco!$C:$C,ROW())="","",INDEX(Banco!$C:$C,ROW()))</f>
        <v/>
      </c>
      <c r="D714" s="9">
        <f>IF(INDEX(Banco!$D:$D,ROW())="","",INDEX(Banco!$D:$D,ROW()))</f>
        <v/>
      </c>
      <c r="E714" s="9">
        <f>IF(INDEX(Banco!$E:$E,ROW())="","",INDEX(Banco!$E:$E,ROW()))</f>
        <v/>
      </c>
      <c r="F714" s="10">
        <f>IF(INDEX(Banco!$F:$F,ROW())="","",INDEX(Banco!$F:$F,ROW()))</f>
        <v/>
      </c>
      <c r="G714" s="10">
        <f>IF(INDEX(Banco!$G:$G,ROW())="","",INDEX(Banco!$G:$G,ROW()))</f>
        <v/>
      </c>
      <c r="H714" s="8">
        <f>IF(INDEX(Banco!$H:$H,ROW())="","",INDEX(Banco!$H:$H,ROW()))</f>
        <v/>
      </c>
      <c r="I714">
        <f>IF($T714="","",INT($T714/12)&amp;"a "&amp;MOD($T714,12)&amp;"m")</f>
        <v/>
      </c>
      <c r="J714" s="11">
        <f>IF(OR($F714="",$G714=""),"",ROUND($F714/($G714/100)^2,2))</f>
        <v/>
      </c>
      <c r="K714" s="12">
        <f>IF(OR($S714="",$J714="",$T714="",$T714&lt;0,$T714&gt;228,$Y714=""),"—",ROUND(IF(ABS($AB714)&lt;=3,$AB714,IF($AB714&gt;3,3+($J714-$AD714)/($AD714-$AC714),-3+($J714-$AF714)/($AE714-$AF714))),2))</f>
        <v/>
      </c>
      <c r="L714">
        <f>IF(OR($K714="",$K714="—"),"",IF($T714&lt;=60,IF($K714&lt;-3,"Magreza acentuada",IF($K714&lt;-2,"Magreza",IF($K714&lt;=1,"Eutrofia",IF($K714&lt;=2,"Risco de sobrepeso",IF($K714&lt;=3,"Sobrepeso","Obesidade"))))),IF($K714&lt;-3,"Magreza acentuada",IF($K714&lt;-2,"Magreza",IF($K714&lt;=1,"Eutrofia",IF($K714&lt;=2,"Sobrepeso",IF($K714&lt;=3,"Obesidade","Obesidade grave")))))))</f>
        <v/>
      </c>
      <c r="M714" s="12">
        <f>IF(OR($S714="",$V714="",$T714="",$T714&lt;0,$T714&gt;228,$AG714=""),"—",ROUND(IF($AG714=0,LN($V714/$AH714)/$AI714,((($V714/$AH714)^$AG714)-1)/($AG714*$AI714)),2))</f>
        <v/>
      </c>
      <c r="N714">
        <f>IF(OR($M714="",$M714="—"),"",IF($M714&lt;-3,"Muito baixa",IF($M714&lt;-2,"Baixa","Adequada")))</f>
        <v/>
      </c>
      <c r="O714" s="12">
        <f>IF(OR($S714="",$F714="",$T714="",$T714&lt;0,$T714&gt;120,$AJ714=""),"—",ROUND(IF(ABS($AM714)&lt;=3,$AM714,IF($AM714&gt;3,3+($F714-$AO714)/($AO714-$AN714),-3+($F714-$AQ714)/($AP714-$AQ714))),2))</f>
        <v/>
      </c>
      <c r="P714">
        <f>IF(OR($O714="",$O714="—"),"",IF($O714&lt;-3,"Muito baixo",IF($O714&lt;-2,"Baixo",IF($O714&lt;=2,"Adequado","Elevado"))))</f>
        <v/>
      </c>
      <c r="Q714" s="12">
        <f>IF(OR($S714="",$F714="",$T714="",$T714&lt;0,$T714&gt;60,$AR714=""),"—",ROUND(IF(ABS($AU714)&lt;=3,$AU714,IF($AU714&gt;3,3+($F714-$AW714)/($AW714-$AV714),-3+($F714-$AY714)/($AX714-$AY714))),2))</f>
        <v/>
      </c>
      <c r="R714">
        <f>IF(OR($Q714="",$Q714="—"),"",IF($Q714&lt;-3,"Magreza acentuada",IF($Q714&lt;-2,"Magreza",IF($Q714&lt;=1,"Eutrofia",IF($Q714&lt;=2,"Risco de sobrepeso",IF($Q714&lt;=3,"Sobrepeso","Obesidade"))))))</f>
        <v/>
      </c>
      <c r="S714">
        <f>IF($C714="","",IF(UPPER(LEFT($C714,1))="M",1,IF(UPPER(LEFT($C714,1))="F",2,"")))</f>
        <v/>
      </c>
      <c r="T714">
        <f>IF(OR($D714="",$E714=""),"",DATEDIF($D714,$E714,"m"))</f>
        <v/>
      </c>
      <c r="U714">
        <f>IF(OR($D714="",$E714=""),"",$E714-$D714)</f>
        <v/>
      </c>
      <c r="V714">
        <f>IF(OR($G714="",$T714=""),"",IF($T714&lt;24,IF(LEFT(LOWER($H714),4)="em p",$G714+0.7,$G714),IF(LEFT(LOWER($H714),4)="deit",$G714-0.7,$G714)))</f>
        <v/>
      </c>
      <c r="W714">
        <f>IF(OR($S714="",$T714=""),"",$S714*1000000+IF($T714&lt;=60,$U714,$T714))</f>
        <v/>
      </c>
      <c r="X714">
        <f>IF(OR($S714="",$V714="",$T714&gt;60,$T714=""),"",$S714*1000000+ROUND($V714*10,0))</f>
        <v/>
      </c>
      <c r="Y714">
        <f>IF($W714="","",IFERROR(INDEX(IF($T714&lt;=60,imc05_l,imc519_l),MATCH($W714,IF($T714&lt;=60,imc05_k,imc519_k),1)),""))</f>
        <v/>
      </c>
      <c r="Z714">
        <f>IF($W714="","",IFERROR(INDEX(IF($T714&lt;=60,imc05_m,imc519_m),MATCH($W714,IF($T714&lt;=60,imc05_k,imc519_k),1)),""))</f>
        <v/>
      </c>
      <c r="AA714">
        <f>IF($W714="","",IFERROR(INDEX(IF($T714&lt;=60,imc05_s,imc519_s),MATCH($W714,IF($T714&lt;=60,imc05_k,imc519_k),1)),""))</f>
        <v/>
      </c>
      <c r="AB714">
        <f>IF($Y714="","",IF($Y714=0,LN($J714/$Z714)/$AA714,((($J714/$Z714)^$Y714)-1)/($Y714*$AA714)))</f>
        <v/>
      </c>
      <c r="AC714">
        <f>IF($Y714="","",IF($Y714=0,$Z714*EXP($AA714*2),$Z714*(1+$Y714*$AA714*2)^(1/$Y714)))</f>
        <v/>
      </c>
      <c r="AD714">
        <f>IF($Y714="","",IF($Y714=0,$Z714*EXP($AA714*3),$Z714*(1+$Y714*$AA714*3)^(1/$Y714)))</f>
        <v/>
      </c>
      <c r="AE714">
        <f>IF($Y714="","",IF($Y714=0,$Z714*EXP($AA714*-2),$Z714*(1+$Y714*$AA714*-2)^(1/$Y714)))</f>
        <v/>
      </c>
      <c r="AF714">
        <f>IF($Y714="","",IF($Y714=0,$Z714*EXP($AA714*-3),$Z714*(1+$Y714*$AA714*-3)^(1/$Y714)))</f>
        <v/>
      </c>
      <c r="AG714">
        <f>IF($W714="","",IFERROR(INDEX(IF($T714&lt;=60,est05_l,est519_l),MATCH($W714,IF($T714&lt;=60,est05_k,est519_k),1)),""))</f>
        <v/>
      </c>
      <c r="AH714">
        <f>IF($W714="","",IFERROR(INDEX(IF($T714&lt;=60,est05_m,est519_m),MATCH($W714,IF($T714&lt;=60,est05_k,est519_k),1)),""))</f>
        <v/>
      </c>
      <c r="AI714">
        <f>IF($W714="","",IFERROR(INDEX(IF($T714&lt;=60,est05_s,est519_s),MATCH($W714,IF($T714&lt;=60,est05_k,est519_k),1)),""))</f>
        <v/>
      </c>
      <c r="AJ714">
        <f>IF($W714="","",IFERROR(INDEX(IF($T714&lt;=60,peso05_l,peso510_l),MATCH($W714,IF($T714&lt;=60,peso05_k,peso510_k),1)),""))</f>
        <v/>
      </c>
      <c r="AK714">
        <f>IF($W714="","",IFERROR(INDEX(IF($T714&lt;=60,peso05_m,peso510_m),MATCH($W714,IF($T714&lt;=60,peso05_k,peso510_k),1)),""))</f>
        <v/>
      </c>
      <c r="AL714">
        <f>IF($W714="","",IFERROR(INDEX(IF($T714&lt;=60,peso05_s,peso510_s),MATCH($W714,IF($T714&lt;=60,peso05_k,peso510_k),1)),""))</f>
        <v/>
      </c>
      <c r="AM714">
        <f>IF($AJ714="","",IF($AJ714=0,LN($F714/$AK714)/$AL714,((($F714/$AK714)^$AJ714)-1)/($AJ714*$AL714)))</f>
        <v/>
      </c>
      <c r="AN714">
        <f>IF($AJ714="","",IF($AJ714=0,$AK714*EXP($AL714*2),$AK714*(1+$AJ714*$AL714*2)^(1/$AJ714)))</f>
        <v/>
      </c>
      <c r="AO714">
        <f>IF($AJ714="","",IF($AJ714=0,$AK714*EXP($AL714*3),$AK714*(1+$AJ714*$AL714*3)^(1/$AJ714)))</f>
        <v/>
      </c>
      <c r="AP714">
        <f>IF($AJ714="","",IF($AJ714=0,$AK714*EXP($AL714*-2),$AK714*(1+$AJ714*$AL714*-2)^(1/$AJ714)))</f>
        <v/>
      </c>
      <c r="AQ714">
        <f>IF($AJ714="","",IF($AJ714=0,$AK714*EXP($AL714*-3),$AK714*(1+$AJ714*$AL714*-3)^(1/$AJ714)))</f>
        <v/>
      </c>
      <c r="AR714">
        <f>IF(OR($X714="",$T714&gt;60),"",IFERROR(INDEX(IF($T714&lt;24,pcomp_l,palt_l),MATCH($X714,IF($T714&lt;24,pcomp_k,palt_k),1)),""))</f>
        <v/>
      </c>
      <c r="AS714">
        <f>IF(OR($X714="",$T714&gt;60),"",IFERROR(INDEX(IF($T714&lt;24,pcomp_m,palt_m),MATCH($X714,IF($T714&lt;24,pcomp_k,palt_k),1)),""))</f>
        <v/>
      </c>
      <c r="AT714">
        <f>IF(OR($X714="",$T714&gt;60),"",IFERROR(INDEX(IF($T714&lt;24,pcomp_s,palt_s),MATCH($X714,IF($T714&lt;24,pcomp_k,palt_k),1)),""))</f>
        <v/>
      </c>
      <c r="AU714">
        <f>IF($AR714="","",IF($AR714=0,LN($F714/$AS714)/$AT714,((($F714/$AS714)^$AR714)-1)/($AR714*$AT714)))</f>
        <v/>
      </c>
      <c r="AV714">
        <f>IF($AR714="","",IF($AR714=0,$AS714*EXP($AT714*2),$AS714*(1+$AR714*$AT714*2)^(1/$AR714)))</f>
        <v/>
      </c>
      <c r="AW714">
        <f>IF($AR714="","",IF($AR714=0,$AS714*EXP($AT714*3),$AS714*(1+$AR714*$AT714*3)^(1/$AR714)))</f>
        <v/>
      </c>
      <c r="AX714">
        <f>IF($AR714="","",IF($AR714=0,$AS714*EXP($AT714*-2),$AS714*(1+$AR714*$AT714*-2)^(1/$AR714)))</f>
        <v/>
      </c>
      <c r="AY714">
        <f>IF($AR714="","",IF($AR714=0,$AS714*EXP($AT714*-3),$AS714*(1+$AR714*$AT714*-3)^(1/$AR714)))</f>
        <v/>
      </c>
      <c r="AZ714">
        <f>IF(OR($A714="",$A714&lt;&gt;Ficha!$C$4),"",COUNTIF($A$2:$A714,Ficha!$C$4))</f>
        <v/>
      </c>
    </row>
    <row r="715">
      <c r="A715" s="8">
        <f>IF(INDEX(Banco!$A:$A,ROW())="","",INDEX(Banco!$A:$A,ROW()))</f>
        <v/>
      </c>
      <c r="B715" s="8">
        <f>IF(INDEX(Banco!$B:$B,ROW())="","",INDEX(Banco!$B:$B,ROW()))</f>
        <v/>
      </c>
      <c r="C715" s="8">
        <f>IF(INDEX(Banco!$C:$C,ROW())="","",INDEX(Banco!$C:$C,ROW()))</f>
        <v/>
      </c>
      <c r="D715" s="9">
        <f>IF(INDEX(Banco!$D:$D,ROW())="","",INDEX(Banco!$D:$D,ROW()))</f>
        <v/>
      </c>
      <c r="E715" s="9">
        <f>IF(INDEX(Banco!$E:$E,ROW())="","",INDEX(Banco!$E:$E,ROW()))</f>
        <v/>
      </c>
      <c r="F715" s="10">
        <f>IF(INDEX(Banco!$F:$F,ROW())="","",INDEX(Banco!$F:$F,ROW()))</f>
        <v/>
      </c>
      <c r="G715" s="10">
        <f>IF(INDEX(Banco!$G:$G,ROW())="","",INDEX(Banco!$G:$G,ROW()))</f>
        <v/>
      </c>
      <c r="H715" s="8">
        <f>IF(INDEX(Banco!$H:$H,ROW())="","",INDEX(Banco!$H:$H,ROW()))</f>
        <v/>
      </c>
      <c r="I715">
        <f>IF($T715="","",INT($T715/12)&amp;"a "&amp;MOD($T715,12)&amp;"m")</f>
        <v/>
      </c>
      <c r="J715" s="11">
        <f>IF(OR($F715="",$G715=""),"",ROUND($F715/($G715/100)^2,2))</f>
        <v/>
      </c>
      <c r="K715" s="12">
        <f>IF(OR($S715="",$J715="",$T715="",$T715&lt;0,$T715&gt;228,$Y715=""),"—",ROUND(IF(ABS($AB715)&lt;=3,$AB715,IF($AB715&gt;3,3+($J715-$AD715)/($AD715-$AC715),-3+($J715-$AF715)/($AE715-$AF715))),2))</f>
        <v/>
      </c>
      <c r="L715">
        <f>IF(OR($K715="",$K715="—"),"",IF($T715&lt;=60,IF($K715&lt;-3,"Magreza acentuada",IF($K715&lt;-2,"Magreza",IF($K715&lt;=1,"Eutrofia",IF($K715&lt;=2,"Risco de sobrepeso",IF($K715&lt;=3,"Sobrepeso","Obesidade"))))),IF($K715&lt;-3,"Magreza acentuada",IF($K715&lt;-2,"Magreza",IF($K715&lt;=1,"Eutrofia",IF($K715&lt;=2,"Sobrepeso",IF($K715&lt;=3,"Obesidade","Obesidade grave")))))))</f>
        <v/>
      </c>
      <c r="M715" s="12">
        <f>IF(OR($S715="",$V715="",$T715="",$T715&lt;0,$T715&gt;228,$AG715=""),"—",ROUND(IF($AG715=0,LN($V715/$AH715)/$AI715,((($V715/$AH715)^$AG715)-1)/($AG715*$AI715)),2))</f>
        <v/>
      </c>
      <c r="N715">
        <f>IF(OR($M715="",$M715="—"),"",IF($M715&lt;-3,"Muito baixa",IF($M715&lt;-2,"Baixa","Adequada")))</f>
        <v/>
      </c>
      <c r="O715" s="12">
        <f>IF(OR($S715="",$F715="",$T715="",$T715&lt;0,$T715&gt;120,$AJ715=""),"—",ROUND(IF(ABS($AM715)&lt;=3,$AM715,IF($AM715&gt;3,3+($F715-$AO715)/($AO715-$AN715),-3+($F715-$AQ715)/($AP715-$AQ715))),2))</f>
        <v/>
      </c>
      <c r="P715">
        <f>IF(OR($O715="",$O715="—"),"",IF($O715&lt;-3,"Muito baixo",IF($O715&lt;-2,"Baixo",IF($O715&lt;=2,"Adequado","Elevado"))))</f>
        <v/>
      </c>
      <c r="Q715" s="12">
        <f>IF(OR($S715="",$F715="",$T715="",$T715&lt;0,$T715&gt;60,$AR715=""),"—",ROUND(IF(ABS($AU715)&lt;=3,$AU715,IF($AU715&gt;3,3+($F715-$AW715)/($AW715-$AV715),-3+($F715-$AY715)/($AX715-$AY715))),2))</f>
        <v/>
      </c>
      <c r="R715">
        <f>IF(OR($Q715="",$Q715="—"),"",IF($Q715&lt;-3,"Magreza acentuada",IF($Q715&lt;-2,"Magreza",IF($Q715&lt;=1,"Eutrofia",IF($Q715&lt;=2,"Risco de sobrepeso",IF($Q715&lt;=3,"Sobrepeso","Obesidade"))))))</f>
        <v/>
      </c>
      <c r="S715">
        <f>IF($C715="","",IF(UPPER(LEFT($C715,1))="M",1,IF(UPPER(LEFT($C715,1))="F",2,"")))</f>
        <v/>
      </c>
      <c r="T715">
        <f>IF(OR($D715="",$E715=""),"",DATEDIF($D715,$E715,"m"))</f>
        <v/>
      </c>
      <c r="U715">
        <f>IF(OR($D715="",$E715=""),"",$E715-$D715)</f>
        <v/>
      </c>
      <c r="V715">
        <f>IF(OR($G715="",$T715=""),"",IF($T715&lt;24,IF(LEFT(LOWER($H715),4)="em p",$G715+0.7,$G715),IF(LEFT(LOWER($H715),4)="deit",$G715-0.7,$G715)))</f>
        <v/>
      </c>
      <c r="W715">
        <f>IF(OR($S715="",$T715=""),"",$S715*1000000+IF($T715&lt;=60,$U715,$T715))</f>
        <v/>
      </c>
      <c r="X715">
        <f>IF(OR($S715="",$V715="",$T715&gt;60,$T715=""),"",$S715*1000000+ROUND($V715*10,0))</f>
        <v/>
      </c>
      <c r="Y715">
        <f>IF($W715="","",IFERROR(INDEX(IF($T715&lt;=60,imc05_l,imc519_l),MATCH($W715,IF($T715&lt;=60,imc05_k,imc519_k),1)),""))</f>
        <v/>
      </c>
      <c r="Z715">
        <f>IF($W715="","",IFERROR(INDEX(IF($T715&lt;=60,imc05_m,imc519_m),MATCH($W715,IF($T715&lt;=60,imc05_k,imc519_k),1)),""))</f>
        <v/>
      </c>
      <c r="AA715">
        <f>IF($W715="","",IFERROR(INDEX(IF($T715&lt;=60,imc05_s,imc519_s),MATCH($W715,IF($T715&lt;=60,imc05_k,imc519_k),1)),""))</f>
        <v/>
      </c>
      <c r="AB715">
        <f>IF($Y715="","",IF($Y715=0,LN($J715/$Z715)/$AA715,((($J715/$Z715)^$Y715)-1)/($Y715*$AA715)))</f>
        <v/>
      </c>
      <c r="AC715">
        <f>IF($Y715="","",IF($Y715=0,$Z715*EXP($AA715*2),$Z715*(1+$Y715*$AA715*2)^(1/$Y715)))</f>
        <v/>
      </c>
      <c r="AD715">
        <f>IF($Y715="","",IF($Y715=0,$Z715*EXP($AA715*3),$Z715*(1+$Y715*$AA715*3)^(1/$Y715)))</f>
        <v/>
      </c>
      <c r="AE715">
        <f>IF($Y715="","",IF($Y715=0,$Z715*EXP($AA715*-2),$Z715*(1+$Y715*$AA715*-2)^(1/$Y715)))</f>
        <v/>
      </c>
      <c r="AF715">
        <f>IF($Y715="","",IF($Y715=0,$Z715*EXP($AA715*-3),$Z715*(1+$Y715*$AA715*-3)^(1/$Y715)))</f>
        <v/>
      </c>
      <c r="AG715">
        <f>IF($W715="","",IFERROR(INDEX(IF($T715&lt;=60,est05_l,est519_l),MATCH($W715,IF($T715&lt;=60,est05_k,est519_k),1)),""))</f>
        <v/>
      </c>
      <c r="AH715">
        <f>IF($W715="","",IFERROR(INDEX(IF($T715&lt;=60,est05_m,est519_m),MATCH($W715,IF($T715&lt;=60,est05_k,est519_k),1)),""))</f>
        <v/>
      </c>
      <c r="AI715">
        <f>IF($W715="","",IFERROR(INDEX(IF($T715&lt;=60,est05_s,est519_s),MATCH($W715,IF($T715&lt;=60,est05_k,est519_k),1)),""))</f>
        <v/>
      </c>
      <c r="AJ715">
        <f>IF($W715="","",IFERROR(INDEX(IF($T715&lt;=60,peso05_l,peso510_l),MATCH($W715,IF($T715&lt;=60,peso05_k,peso510_k),1)),""))</f>
        <v/>
      </c>
      <c r="AK715">
        <f>IF($W715="","",IFERROR(INDEX(IF($T715&lt;=60,peso05_m,peso510_m),MATCH($W715,IF($T715&lt;=60,peso05_k,peso510_k),1)),""))</f>
        <v/>
      </c>
      <c r="AL715">
        <f>IF($W715="","",IFERROR(INDEX(IF($T715&lt;=60,peso05_s,peso510_s),MATCH($W715,IF($T715&lt;=60,peso05_k,peso510_k),1)),""))</f>
        <v/>
      </c>
      <c r="AM715">
        <f>IF($AJ715="","",IF($AJ715=0,LN($F715/$AK715)/$AL715,((($F715/$AK715)^$AJ715)-1)/($AJ715*$AL715)))</f>
        <v/>
      </c>
      <c r="AN715">
        <f>IF($AJ715="","",IF($AJ715=0,$AK715*EXP($AL715*2),$AK715*(1+$AJ715*$AL715*2)^(1/$AJ715)))</f>
        <v/>
      </c>
      <c r="AO715">
        <f>IF($AJ715="","",IF($AJ715=0,$AK715*EXP($AL715*3),$AK715*(1+$AJ715*$AL715*3)^(1/$AJ715)))</f>
        <v/>
      </c>
      <c r="AP715">
        <f>IF($AJ715="","",IF($AJ715=0,$AK715*EXP($AL715*-2),$AK715*(1+$AJ715*$AL715*-2)^(1/$AJ715)))</f>
        <v/>
      </c>
      <c r="AQ715">
        <f>IF($AJ715="","",IF($AJ715=0,$AK715*EXP($AL715*-3),$AK715*(1+$AJ715*$AL715*-3)^(1/$AJ715)))</f>
        <v/>
      </c>
      <c r="AR715">
        <f>IF(OR($X715="",$T715&gt;60),"",IFERROR(INDEX(IF($T715&lt;24,pcomp_l,palt_l),MATCH($X715,IF($T715&lt;24,pcomp_k,palt_k),1)),""))</f>
        <v/>
      </c>
      <c r="AS715">
        <f>IF(OR($X715="",$T715&gt;60),"",IFERROR(INDEX(IF($T715&lt;24,pcomp_m,palt_m),MATCH($X715,IF($T715&lt;24,pcomp_k,palt_k),1)),""))</f>
        <v/>
      </c>
      <c r="AT715">
        <f>IF(OR($X715="",$T715&gt;60),"",IFERROR(INDEX(IF($T715&lt;24,pcomp_s,palt_s),MATCH($X715,IF($T715&lt;24,pcomp_k,palt_k),1)),""))</f>
        <v/>
      </c>
      <c r="AU715">
        <f>IF($AR715="","",IF($AR715=0,LN($F715/$AS715)/$AT715,((($F715/$AS715)^$AR715)-1)/($AR715*$AT715)))</f>
        <v/>
      </c>
      <c r="AV715">
        <f>IF($AR715="","",IF($AR715=0,$AS715*EXP($AT715*2),$AS715*(1+$AR715*$AT715*2)^(1/$AR715)))</f>
        <v/>
      </c>
      <c r="AW715">
        <f>IF($AR715="","",IF($AR715=0,$AS715*EXP($AT715*3),$AS715*(1+$AR715*$AT715*3)^(1/$AR715)))</f>
        <v/>
      </c>
      <c r="AX715">
        <f>IF($AR715="","",IF($AR715=0,$AS715*EXP($AT715*-2),$AS715*(1+$AR715*$AT715*-2)^(1/$AR715)))</f>
        <v/>
      </c>
      <c r="AY715">
        <f>IF($AR715="","",IF($AR715=0,$AS715*EXP($AT715*-3),$AS715*(1+$AR715*$AT715*-3)^(1/$AR715)))</f>
        <v/>
      </c>
      <c r="AZ715">
        <f>IF(OR($A715="",$A715&lt;&gt;Ficha!$C$4),"",COUNTIF($A$2:$A715,Ficha!$C$4))</f>
        <v/>
      </c>
    </row>
    <row r="716">
      <c r="A716" s="8">
        <f>IF(INDEX(Banco!$A:$A,ROW())="","",INDEX(Banco!$A:$A,ROW()))</f>
        <v/>
      </c>
      <c r="B716" s="8">
        <f>IF(INDEX(Banco!$B:$B,ROW())="","",INDEX(Banco!$B:$B,ROW()))</f>
        <v/>
      </c>
      <c r="C716" s="8">
        <f>IF(INDEX(Banco!$C:$C,ROW())="","",INDEX(Banco!$C:$C,ROW()))</f>
        <v/>
      </c>
      <c r="D716" s="9">
        <f>IF(INDEX(Banco!$D:$D,ROW())="","",INDEX(Banco!$D:$D,ROW()))</f>
        <v/>
      </c>
      <c r="E716" s="9">
        <f>IF(INDEX(Banco!$E:$E,ROW())="","",INDEX(Banco!$E:$E,ROW()))</f>
        <v/>
      </c>
      <c r="F716" s="10">
        <f>IF(INDEX(Banco!$F:$F,ROW())="","",INDEX(Banco!$F:$F,ROW()))</f>
        <v/>
      </c>
      <c r="G716" s="10">
        <f>IF(INDEX(Banco!$G:$G,ROW())="","",INDEX(Banco!$G:$G,ROW()))</f>
        <v/>
      </c>
      <c r="H716" s="8">
        <f>IF(INDEX(Banco!$H:$H,ROW())="","",INDEX(Banco!$H:$H,ROW()))</f>
        <v/>
      </c>
      <c r="I716">
        <f>IF($T716="","",INT($T716/12)&amp;"a "&amp;MOD($T716,12)&amp;"m")</f>
        <v/>
      </c>
      <c r="J716" s="11">
        <f>IF(OR($F716="",$G716=""),"",ROUND($F716/($G716/100)^2,2))</f>
        <v/>
      </c>
      <c r="K716" s="12">
        <f>IF(OR($S716="",$J716="",$T716="",$T716&lt;0,$T716&gt;228,$Y716=""),"—",ROUND(IF(ABS($AB716)&lt;=3,$AB716,IF($AB716&gt;3,3+($J716-$AD716)/($AD716-$AC716),-3+($J716-$AF716)/($AE716-$AF716))),2))</f>
        <v/>
      </c>
      <c r="L716">
        <f>IF(OR($K716="",$K716="—"),"",IF($T716&lt;=60,IF($K716&lt;-3,"Magreza acentuada",IF($K716&lt;-2,"Magreza",IF($K716&lt;=1,"Eutrofia",IF($K716&lt;=2,"Risco de sobrepeso",IF($K716&lt;=3,"Sobrepeso","Obesidade"))))),IF($K716&lt;-3,"Magreza acentuada",IF($K716&lt;-2,"Magreza",IF($K716&lt;=1,"Eutrofia",IF($K716&lt;=2,"Sobrepeso",IF($K716&lt;=3,"Obesidade","Obesidade grave")))))))</f>
        <v/>
      </c>
      <c r="M716" s="12">
        <f>IF(OR($S716="",$V716="",$T716="",$T716&lt;0,$T716&gt;228,$AG716=""),"—",ROUND(IF($AG716=0,LN($V716/$AH716)/$AI716,((($V716/$AH716)^$AG716)-1)/($AG716*$AI716)),2))</f>
        <v/>
      </c>
      <c r="N716">
        <f>IF(OR($M716="",$M716="—"),"",IF($M716&lt;-3,"Muito baixa",IF($M716&lt;-2,"Baixa","Adequada")))</f>
        <v/>
      </c>
      <c r="O716" s="12">
        <f>IF(OR($S716="",$F716="",$T716="",$T716&lt;0,$T716&gt;120,$AJ716=""),"—",ROUND(IF(ABS($AM716)&lt;=3,$AM716,IF($AM716&gt;3,3+($F716-$AO716)/($AO716-$AN716),-3+($F716-$AQ716)/($AP716-$AQ716))),2))</f>
        <v/>
      </c>
      <c r="P716">
        <f>IF(OR($O716="",$O716="—"),"",IF($O716&lt;-3,"Muito baixo",IF($O716&lt;-2,"Baixo",IF($O716&lt;=2,"Adequado","Elevado"))))</f>
        <v/>
      </c>
      <c r="Q716" s="12">
        <f>IF(OR($S716="",$F716="",$T716="",$T716&lt;0,$T716&gt;60,$AR716=""),"—",ROUND(IF(ABS($AU716)&lt;=3,$AU716,IF($AU716&gt;3,3+($F716-$AW716)/($AW716-$AV716),-3+($F716-$AY716)/($AX716-$AY716))),2))</f>
        <v/>
      </c>
      <c r="R716">
        <f>IF(OR($Q716="",$Q716="—"),"",IF($Q716&lt;-3,"Magreza acentuada",IF($Q716&lt;-2,"Magreza",IF($Q716&lt;=1,"Eutrofia",IF($Q716&lt;=2,"Risco de sobrepeso",IF($Q716&lt;=3,"Sobrepeso","Obesidade"))))))</f>
        <v/>
      </c>
      <c r="S716">
        <f>IF($C716="","",IF(UPPER(LEFT($C716,1))="M",1,IF(UPPER(LEFT($C716,1))="F",2,"")))</f>
        <v/>
      </c>
      <c r="T716">
        <f>IF(OR($D716="",$E716=""),"",DATEDIF($D716,$E716,"m"))</f>
        <v/>
      </c>
      <c r="U716">
        <f>IF(OR($D716="",$E716=""),"",$E716-$D716)</f>
        <v/>
      </c>
      <c r="V716">
        <f>IF(OR($G716="",$T716=""),"",IF($T716&lt;24,IF(LEFT(LOWER($H716),4)="em p",$G716+0.7,$G716),IF(LEFT(LOWER($H716),4)="deit",$G716-0.7,$G716)))</f>
        <v/>
      </c>
      <c r="W716">
        <f>IF(OR($S716="",$T716=""),"",$S716*1000000+IF($T716&lt;=60,$U716,$T716))</f>
        <v/>
      </c>
      <c r="X716">
        <f>IF(OR($S716="",$V716="",$T716&gt;60,$T716=""),"",$S716*1000000+ROUND($V716*10,0))</f>
        <v/>
      </c>
      <c r="Y716">
        <f>IF($W716="","",IFERROR(INDEX(IF($T716&lt;=60,imc05_l,imc519_l),MATCH($W716,IF($T716&lt;=60,imc05_k,imc519_k),1)),""))</f>
        <v/>
      </c>
      <c r="Z716">
        <f>IF($W716="","",IFERROR(INDEX(IF($T716&lt;=60,imc05_m,imc519_m),MATCH($W716,IF($T716&lt;=60,imc05_k,imc519_k),1)),""))</f>
        <v/>
      </c>
      <c r="AA716">
        <f>IF($W716="","",IFERROR(INDEX(IF($T716&lt;=60,imc05_s,imc519_s),MATCH($W716,IF($T716&lt;=60,imc05_k,imc519_k),1)),""))</f>
        <v/>
      </c>
      <c r="AB716">
        <f>IF($Y716="","",IF($Y716=0,LN($J716/$Z716)/$AA716,((($J716/$Z716)^$Y716)-1)/($Y716*$AA716)))</f>
        <v/>
      </c>
      <c r="AC716">
        <f>IF($Y716="","",IF($Y716=0,$Z716*EXP($AA716*2),$Z716*(1+$Y716*$AA716*2)^(1/$Y716)))</f>
        <v/>
      </c>
      <c r="AD716">
        <f>IF($Y716="","",IF($Y716=0,$Z716*EXP($AA716*3),$Z716*(1+$Y716*$AA716*3)^(1/$Y716)))</f>
        <v/>
      </c>
      <c r="AE716">
        <f>IF($Y716="","",IF($Y716=0,$Z716*EXP($AA716*-2),$Z716*(1+$Y716*$AA716*-2)^(1/$Y716)))</f>
        <v/>
      </c>
      <c r="AF716">
        <f>IF($Y716="","",IF($Y716=0,$Z716*EXP($AA716*-3),$Z716*(1+$Y716*$AA716*-3)^(1/$Y716)))</f>
        <v/>
      </c>
      <c r="AG716">
        <f>IF($W716="","",IFERROR(INDEX(IF($T716&lt;=60,est05_l,est519_l),MATCH($W716,IF($T716&lt;=60,est05_k,est519_k),1)),""))</f>
        <v/>
      </c>
      <c r="AH716">
        <f>IF($W716="","",IFERROR(INDEX(IF($T716&lt;=60,est05_m,est519_m),MATCH($W716,IF($T716&lt;=60,est05_k,est519_k),1)),""))</f>
        <v/>
      </c>
      <c r="AI716">
        <f>IF($W716="","",IFERROR(INDEX(IF($T716&lt;=60,est05_s,est519_s),MATCH($W716,IF($T716&lt;=60,est05_k,est519_k),1)),""))</f>
        <v/>
      </c>
      <c r="AJ716">
        <f>IF($W716="","",IFERROR(INDEX(IF($T716&lt;=60,peso05_l,peso510_l),MATCH($W716,IF($T716&lt;=60,peso05_k,peso510_k),1)),""))</f>
        <v/>
      </c>
      <c r="AK716">
        <f>IF($W716="","",IFERROR(INDEX(IF($T716&lt;=60,peso05_m,peso510_m),MATCH($W716,IF($T716&lt;=60,peso05_k,peso510_k),1)),""))</f>
        <v/>
      </c>
      <c r="AL716">
        <f>IF($W716="","",IFERROR(INDEX(IF($T716&lt;=60,peso05_s,peso510_s),MATCH($W716,IF($T716&lt;=60,peso05_k,peso510_k),1)),""))</f>
        <v/>
      </c>
      <c r="AM716">
        <f>IF($AJ716="","",IF($AJ716=0,LN($F716/$AK716)/$AL716,((($F716/$AK716)^$AJ716)-1)/($AJ716*$AL716)))</f>
        <v/>
      </c>
      <c r="AN716">
        <f>IF($AJ716="","",IF($AJ716=0,$AK716*EXP($AL716*2),$AK716*(1+$AJ716*$AL716*2)^(1/$AJ716)))</f>
        <v/>
      </c>
      <c r="AO716">
        <f>IF($AJ716="","",IF($AJ716=0,$AK716*EXP($AL716*3),$AK716*(1+$AJ716*$AL716*3)^(1/$AJ716)))</f>
        <v/>
      </c>
      <c r="AP716">
        <f>IF($AJ716="","",IF($AJ716=0,$AK716*EXP($AL716*-2),$AK716*(1+$AJ716*$AL716*-2)^(1/$AJ716)))</f>
        <v/>
      </c>
      <c r="AQ716">
        <f>IF($AJ716="","",IF($AJ716=0,$AK716*EXP($AL716*-3),$AK716*(1+$AJ716*$AL716*-3)^(1/$AJ716)))</f>
        <v/>
      </c>
      <c r="AR716">
        <f>IF(OR($X716="",$T716&gt;60),"",IFERROR(INDEX(IF($T716&lt;24,pcomp_l,palt_l),MATCH($X716,IF($T716&lt;24,pcomp_k,palt_k),1)),""))</f>
        <v/>
      </c>
      <c r="AS716">
        <f>IF(OR($X716="",$T716&gt;60),"",IFERROR(INDEX(IF($T716&lt;24,pcomp_m,palt_m),MATCH($X716,IF($T716&lt;24,pcomp_k,palt_k),1)),""))</f>
        <v/>
      </c>
      <c r="AT716">
        <f>IF(OR($X716="",$T716&gt;60),"",IFERROR(INDEX(IF($T716&lt;24,pcomp_s,palt_s),MATCH($X716,IF($T716&lt;24,pcomp_k,palt_k),1)),""))</f>
        <v/>
      </c>
      <c r="AU716">
        <f>IF($AR716="","",IF($AR716=0,LN($F716/$AS716)/$AT716,((($F716/$AS716)^$AR716)-1)/($AR716*$AT716)))</f>
        <v/>
      </c>
      <c r="AV716">
        <f>IF($AR716="","",IF($AR716=0,$AS716*EXP($AT716*2),$AS716*(1+$AR716*$AT716*2)^(1/$AR716)))</f>
        <v/>
      </c>
      <c r="AW716">
        <f>IF($AR716="","",IF($AR716=0,$AS716*EXP($AT716*3),$AS716*(1+$AR716*$AT716*3)^(1/$AR716)))</f>
        <v/>
      </c>
      <c r="AX716">
        <f>IF($AR716="","",IF($AR716=0,$AS716*EXP($AT716*-2),$AS716*(1+$AR716*$AT716*-2)^(1/$AR716)))</f>
        <v/>
      </c>
      <c r="AY716">
        <f>IF($AR716="","",IF($AR716=0,$AS716*EXP($AT716*-3),$AS716*(1+$AR716*$AT716*-3)^(1/$AR716)))</f>
        <v/>
      </c>
      <c r="AZ716">
        <f>IF(OR($A716="",$A716&lt;&gt;Ficha!$C$4),"",COUNTIF($A$2:$A716,Ficha!$C$4))</f>
        <v/>
      </c>
    </row>
    <row r="717">
      <c r="A717" s="8">
        <f>IF(INDEX(Banco!$A:$A,ROW())="","",INDEX(Banco!$A:$A,ROW()))</f>
        <v/>
      </c>
      <c r="B717" s="8">
        <f>IF(INDEX(Banco!$B:$B,ROW())="","",INDEX(Banco!$B:$B,ROW()))</f>
        <v/>
      </c>
      <c r="C717" s="8">
        <f>IF(INDEX(Banco!$C:$C,ROW())="","",INDEX(Banco!$C:$C,ROW()))</f>
        <v/>
      </c>
      <c r="D717" s="9">
        <f>IF(INDEX(Banco!$D:$D,ROW())="","",INDEX(Banco!$D:$D,ROW()))</f>
        <v/>
      </c>
      <c r="E717" s="9">
        <f>IF(INDEX(Banco!$E:$E,ROW())="","",INDEX(Banco!$E:$E,ROW()))</f>
        <v/>
      </c>
      <c r="F717" s="10">
        <f>IF(INDEX(Banco!$F:$F,ROW())="","",INDEX(Banco!$F:$F,ROW()))</f>
        <v/>
      </c>
      <c r="G717" s="10">
        <f>IF(INDEX(Banco!$G:$G,ROW())="","",INDEX(Banco!$G:$G,ROW()))</f>
        <v/>
      </c>
      <c r="H717" s="8">
        <f>IF(INDEX(Banco!$H:$H,ROW())="","",INDEX(Banco!$H:$H,ROW()))</f>
        <v/>
      </c>
      <c r="I717">
        <f>IF($T717="","",INT($T717/12)&amp;"a "&amp;MOD($T717,12)&amp;"m")</f>
        <v/>
      </c>
      <c r="J717" s="11">
        <f>IF(OR($F717="",$G717=""),"",ROUND($F717/($G717/100)^2,2))</f>
        <v/>
      </c>
      <c r="K717" s="12">
        <f>IF(OR($S717="",$J717="",$T717="",$T717&lt;0,$T717&gt;228,$Y717=""),"—",ROUND(IF(ABS($AB717)&lt;=3,$AB717,IF($AB717&gt;3,3+($J717-$AD717)/($AD717-$AC717),-3+($J717-$AF717)/($AE717-$AF717))),2))</f>
        <v/>
      </c>
      <c r="L717">
        <f>IF(OR($K717="",$K717="—"),"",IF($T717&lt;=60,IF($K717&lt;-3,"Magreza acentuada",IF($K717&lt;-2,"Magreza",IF($K717&lt;=1,"Eutrofia",IF($K717&lt;=2,"Risco de sobrepeso",IF($K717&lt;=3,"Sobrepeso","Obesidade"))))),IF($K717&lt;-3,"Magreza acentuada",IF($K717&lt;-2,"Magreza",IF($K717&lt;=1,"Eutrofia",IF($K717&lt;=2,"Sobrepeso",IF($K717&lt;=3,"Obesidade","Obesidade grave")))))))</f>
        <v/>
      </c>
      <c r="M717" s="12">
        <f>IF(OR($S717="",$V717="",$T717="",$T717&lt;0,$T717&gt;228,$AG717=""),"—",ROUND(IF($AG717=0,LN($V717/$AH717)/$AI717,((($V717/$AH717)^$AG717)-1)/($AG717*$AI717)),2))</f>
        <v/>
      </c>
      <c r="N717">
        <f>IF(OR($M717="",$M717="—"),"",IF($M717&lt;-3,"Muito baixa",IF($M717&lt;-2,"Baixa","Adequada")))</f>
        <v/>
      </c>
      <c r="O717" s="12">
        <f>IF(OR($S717="",$F717="",$T717="",$T717&lt;0,$T717&gt;120,$AJ717=""),"—",ROUND(IF(ABS($AM717)&lt;=3,$AM717,IF($AM717&gt;3,3+($F717-$AO717)/($AO717-$AN717),-3+($F717-$AQ717)/($AP717-$AQ717))),2))</f>
        <v/>
      </c>
      <c r="P717">
        <f>IF(OR($O717="",$O717="—"),"",IF($O717&lt;-3,"Muito baixo",IF($O717&lt;-2,"Baixo",IF($O717&lt;=2,"Adequado","Elevado"))))</f>
        <v/>
      </c>
      <c r="Q717" s="12">
        <f>IF(OR($S717="",$F717="",$T717="",$T717&lt;0,$T717&gt;60,$AR717=""),"—",ROUND(IF(ABS($AU717)&lt;=3,$AU717,IF($AU717&gt;3,3+($F717-$AW717)/($AW717-$AV717),-3+($F717-$AY717)/($AX717-$AY717))),2))</f>
        <v/>
      </c>
      <c r="R717">
        <f>IF(OR($Q717="",$Q717="—"),"",IF($Q717&lt;-3,"Magreza acentuada",IF($Q717&lt;-2,"Magreza",IF($Q717&lt;=1,"Eutrofia",IF($Q717&lt;=2,"Risco de sobrepeso",IF($Q717&lt;=3,"Sobrepeso","Obesidade"))))))</f>
        <v/>
      </c>
      <c r="S717">
        <f>IF($C717="","",IF(UPPER(LEFT($C717,1))="M",1,IF(UPPER(LEFT($C717,1))="F",2,"")))</f>
        <v/>
      </c>
      <c r="T717">
        <f>IF(OR($D717="",$E717=""),"",DATEDIF($D717,$E717,"m"))</f>
        <v/>
      </c>
      <c r="U717">
        <f>IF(OR($D717="",$E717=""),"",$E717-$D717)</f>
        <v/>
      </c>
      <c r="V717">
        <f>IF(OR($G717="",$T717=""),"",IF($T717&lt;24,IF(LEFT(LOWER($H717),4)="em p",$G717+0.7,$G717),IF(LEFT(LOWER($H717),4)="deit",$G717-0.7,$G717)))</f>
        <v/>
      </c>
      <c r="W717">
        <f>IF(OR($S717="",$T717=""),"",$S717*1000000+IF($T717&lt;=60,$U717,$T717))</f>
        <v/>
      </c>
      <c r="X717">
        <f>IF(OR($S717="",$V717="",$T717&gt;60,$T717=""),"",$S717*1000000+ROUND($V717*10,0))</f>
        <v/>
      </c>
      <c r="Y717">
        <f>IF($W717="","",IFERROR(INDEX(IF($T717&lt;=60,imc05_l,imc519_l),MATCH($W717,IF($T717&lt;=60,imc05_k,imc519_k),1)),""))</f>
        <v/>
      </c>
      <c r="Z717">
        <f>IF($W717="","",IFERROR(INDEX(IF($T717&lt;=60,imc05_m,imc519_m),MATCH($W717,IF($T717&lt;=60,imc05_k,imc519_k),1)),""))</f>
        <v/>
      </c>
      <c r="AA717">
        <f>IF($W717="","",IFERROR(INDEX(IF($T717&lt;=60,imc05_s,imc519_s),MATCH($W717,IF($T717&lt;=60,imc05_k,imc519_k),1)),""))</f>
        <v/>
      </c>
      <c r="AB717">
        <f>IF($Y717="","",IF($Y717=0,LN($J717/$Z717)/$AA717,((($J717/$Z717)^$Y717)-1)/($Y717*$AA717)))</f>
        <v/>
      </c>
      <c r="AC717">
        <f>IF($Y717="","",IF($Y717=0,$Z717*EXP($AA717*2),$Z717*(1+$Y717*$AA717*2)^(1/$Y717)))</f>
        <v/>
      </c>
      <c r="AD717">
        <f>IF($Y717="","",IF($Y717=0,$Z717*EXP($AA717*3),$Z717*(1+$Y717*$AA717*3)^(1/$Y717)))</f>
        <v/>
      </c>
      <c r="AE717">
        <f>IF($Y717="","",IF($Y717=0,$Z717*EXP($AA717*-2),$Z717*(1+$Y717*$AA717*-2)^(1/$Y717)))</f>
        <v/>
      </c>
      <c r="AF717">
        <f>IF($Y717="","",IF($Y717=0,$Z717*EXP($AA717*-3),$Z717*(1+$Y717*$AA717*-3)^(1/$Y717)))</f>
        <v/>
      </c>
      <c r="AG717">
        <f>IF($W717="","",IFERROR(INDEX(IF($T717&lt;=60,est05_l,est519_l),MATCH($W717,IF($T717&lt;=60,est05_k,est519_k),1)),""))</f>
        <v/>
      </c>
      <c r="AH717">
        <f>IF($W717="","",IFERROR(INDEX(IF($T717&lt;=60,est05_m,est519_m),MATCH($W717,IF($T717&lt;=60,est05_k,est519_k),1)),""))</f>
        <v/>
      </c>
      <c r="AI717">
        <f>IF($W717="","",IFERROR(INDEX(IF($T717&lt;=60,est05_s,est519_s),MATCH($W717,IF($T717&lt;=60,est05_k,est519_k),1)),""))</f>
        <v/>
      </c>
      <c r="AJ717">
        <f>IF($W717="","",IFERROR(INDEX(IF($T717&lt;=60,peso05_l,peso510_l),MATCH($W717,IF($T717&lt;=60,peso05_k,peso510_k),1)),""))</f>
        <v/>
      </c>
      <c r="AK717">
        <f>IF($W717="","",IFERROR(INDEX(IF($T717&lt;=60,peso05_m,peso510_m),MATCH($W717,IF($T717&lt;=60,peso05_k,peso510_k),1)),""))</f>
        <v/>
      </c>
      <c r="AL717">
        <f>IF($W717="","",IFERROR(INDEX(IF($T717&lt;=60,peso05_s,peso510_s),MATCH($W717,IF($T717&lt;=60,peso05_k,peso510_k),1)),""))</f>
        <v/>
      </c>
      <c r="AM717">
        <f>IF($AJ717="","",IF($AJ717=0,LN($F717/$AK717)/$AL717,((($F717/$AK717)^$AJ717)-1)/($AJ717*$AL717)))</f>
        <v/>
      </c>
      <c r="AN717">
        <f>IF($AJ717="","",IF($AJ717=0,$AK717*EXP($AL717*2),$AK717*(1+$AJ717*$AL717*2)^(1/$AJ717)))</f>
        <v/>
      </c>
      <c r="AO717">
        <f>IF($AJ717="","",IF($AJ717=0,$AK717*EXP($AL717*3),$AK717*(1+$AJ717*$AL717*3)^(1/$AJ717)))</f>
        <v/>
      </c>
      <c r="AP717">
        <f>IF($AJ717="","",IF($AJ717=0,$AK717*EXP($AL717*-2),$AK717*(1+$AJ717*$AL717*-2)^(1/$AJ717)))</f>
        <v/>
      </c>
      <c r="AQ717">
        <f>IF($AJ717="","",IF($AJ717=0,$AK717*EXP($AL717*-3),$AK717*(1+$AJ717*$AL717*-3)^(1/$AJ717)))</f>
        <v/>
      </c>
      <c r="AR717">
        <f>IF(OR($X717="",$T717&gt;60),"",IFERROR(INDEX(IF($T717&lt;24,pcomp_l,palt_l),MATCH($X717,IF($T717&lt;24,pcomp_k,palt_k),1)),""))</f>
        <v/>
      </c>
      <c r="AS717">
        <f>IF(OR($X717="",$T717&gt;60),"",IFERROR(INDEX(IF($T717&lt;24,pcomp_m,palt_m),MATCH($X717,IF($T717&lt;24,pcomp_k,palt_k),1)),""))</f>
        <v/>
      </c>
      <c r="AT717">
        <f>IF(OR($X717="",$T717&gt;60),"",IFERROR(INDEX(IF($T717&lt;24,pcomp_s,palt_s),MATCH($X717,IF($T717&lt;24,pcomp_k,palt_k),1)),""))</f>
        <v/>
      </c>
      <c r="AU717">
        <f>IF($AR717="","",IF($AR717=0,LN($F717/$AS717)/$AT717,((($F717/$AS717)^$AR717)-1)/($AR717*$AT717)))</f>
        <v/>
      </c>
      <c r="AV717">
        <f>IF($AR717="","",IF($AR717=0,$AS717*EXP($AT717*2),$AS717*(1+$AR717*$AT717*2)^(1/$AR717)))</f>
        <v/>
      </c>
      <c r="AW717">
        <f>IF($AR717="","",IF($AR717=0,$AS717*EXP($AT717*3),$AS717*(1+$AR717*$AT717*3)^(1/$AR717)))</f>
        <v/>
      </c>
      <c r="AX717">
        <f>IF($AR717="","",IF($AR717=0,$AS717*EXP($AT717*-2),$AS717*(1+$AR717*$AT717*-2)^(1/$AR717)))</f>
        <v/>
      </c>
      <c r="AY717">
        <f>IF($AR717="","",IF($AR717=0,$AS717*EXP($AT717*-3),$AS717*(1+$AR717*$AT717*-3)^(1/$AR717)))</f>
        <v/>
      </c>
      <c r="AZ717">
        <f>IF(OR($A717="",$A717&lt;&gt;Ficha!$C$4),"",COUNTIF($A$2:$A717,Ficha!$C$4))</f>
        <v/>
      </c>
    </row>
    <row r="718">
      <c r="A718" s="8">
        <f>IF(INDEX(Banco!$A:$A,ROW())="","",INDEX(Banco!$A:$A,ROW()))</f>
        <v/>
      </c>
      <c r="B718" s="8">
        <f>IF(INDEX(Banco!$B:$B,ROW())="","",INDEX(Banco!$B:$B,ROW()))</f>
        <v/>
      </c>
      <c r="C718" s="8">
        <f>IF(INDEX(Banco!$C:$C,ROW())="","",INDEX(Banco!$C:$C,ROW()))</f>
        <v/>
      </c>
      <c r="D718" s="9">
        <f>IF(INDEX(Banco!$D:$D,ROW())="","",INDEX(Banco!$D:$D,ROW()))</f>
        <v/>
      </c>
      <c r="E718" s="9">
        <f>IF(INDEX(Banco!$E:$E,ROW())="","",INDEX(Banco!$E:$E,ROW()))</f>
        <v/>
      </c>
      <c r="F718" s="10">
        <f>IF(INDEX(Banco!$F:$F,ROW())="","",INDEX(Banco!$F:$F,ROW()))</f>
        <v/>
      </c>
      <c r="G718" s="10">
        <f>IF(INDEX(Banco!$G:$G,ROW())="","",INDEX(Banco!$G:$G,ROW()))</f>
        <v/>
      </c>
      <c r="H718" s="8">
        <f>IF(INDEX(Banco!$H:$H,ROW())="","",INDEX(Banco!$H:$H,ROW()))</f>
        <v/>
      </c>
      <c r="I718">
        <f>IF($T718="","",INT($T718/12)&amp;"a "&amp;MOD($T718,12)&amp;"m")</f>
        <v/>
      </c>
      <c r="J718" s="11">
        <f>IF(OR($F718="",$G718=""),"",ROUND($F718/($G718/100)^2,2))</f>
        <v/>
      </c>
      <c r="K718" s="12">
        <f>IF(OR($S718="",$J718="",$T718="",$T718&lt;0,$T718&gt;228,$Y718=""),"—",ROUND(IF(ABS($AB718)&lt;=3,$AB718,IF($AB718&gt;3,3+($J718-$AD718)/($AD718-$AC718),-3+($J718-$AF718)/($AE718-$AF718))),2))</f>
        <v/>
      </c>
      <c r="L718">
        <f>IF(OR($K718="",$K718="—"),"",IF($T718&lt;=60,IF($K718&lt;-3,"Magreza acentuada",IF($K718&lt;-2,"Magreza",IF($K718&lt;=1,"Eutrofia",IF($K718&lt;=2,"Risco de sobrepeso",IF($K718&lt;=3,"Sobrepeso","Obesidade"))))),IF($K718&lt;-3,"Magreza acentuada",IF($K718&lt;-2,"Magreza",IF($K718&lt;=1,"Eutrofia",IF($K718&lt;=2,"Sobrepeso",IF($K718&lt;=3,"Obesidade","Obesidade grave")))))))</f>
        <v/>
      </c>
      <c r="M718" s="12">
        <f>IF(OR($S718="",$V718="",$T718="",$T718&lt;0,$T718&gt;228,$AG718=""),"—",ROUND(IF($AG718=0,LN($V718/$AH718)/$AI718,((($V718/$AH718)^$AG718)-1)/($AG718*$AI718)),2))</f>
        <v/>
      </c>
      <c r="N718">
        <f>IF(OR($M718="",$M718="—"),"",IF($M718&lt;-3,"Muito baixa",IF($M718&lt;-2,"Baixa","Adequada")))</f>
        <v/>
      </c>
      <c r="O718" s="12">
        <f>IF(OR($S718="",$F718="",$T718="",$T718&lt;0,$T718&gt;120,$AJ718=""),"—",ROUND(IF(ABS($AM718)&lt;=3,$AM718,IF($AM718&gt;3,3+($F718-$AO718)/($AO718-$AN718),-3+($F718-$AQ718)/($AP718-$AQ718))),2))</f>
        <v/>
      </c>
      <c r="P718">
        <f>IF(OR($O718="",$O718="—"),"",IF($O718&lt;-3,"Muito baixo",IF($O718&lt;-2,"Baixo",IF($O718&lt;=2,"Adequado","Elevado"))))</f>
        <v/>
      </c>
      <c r="Q718" s="12">
        <f>IF(OR($S718="",$F718="",$T718="",$T718&lt;0,$T718&gt;60,$AR718=""),"—",ROUND(IF(ABS($AU718)&lt;=3,$AU718,IF($AU718&gt;3,3+($F718-$AW718)/($AW718-$AV718),-3+($F718-$AY718)/($AX718-$AY718))),2))</f>
        <v/>
      </c>
      <c r="R718">
        <f>IF(OR($Q718="",$Q718="—"),"",IF($Q718&lt;-3,"Magreza acentuada",IF($Q718&lt;-2,"Magreza",IF($Q718&lt;=1,"Eutrofia",IF($Q718&lt;=2,"Risco de sobrepeso",IF($Q718&lt;=3,"Sobrepeso","Obesidade"))))))</f>
        <v/>
      </c>
      <c r="S718">
        <f>IF($C718="","",IF(UPPER(LEFT($C718,1))="M",1,IF(UPPER(LEFT($C718,1))="F",2,"")))</f>
        <v/>
      </c>
      <c r="T718">
        <f>IF(OR($D718="",$E718=""),"",DATEDIF($D718,$E718,"m"))</f>
        <v/>
      </c>
      <c r="U718">
        <f>IF(OR($D718="",$E718=""),"",$E718-$D718)</f>
        <v/>
      </c>
      <c r="V718">
        <f>IF(OR($G718="",$T718=""),"",IF($T718&lt;24,IF(LEFT(LOWER($H718),4)="em p",$G718+0.7,$G718),IF(LEFT(LOWER($H718),4)="deit",$G718-0.7,$G718)))</f>
        <v/>
      </c>
      <c r="W718">
        <f>IF(OR($S718="",$T718=""),"",$S718*1000000+IF($T718&lt;=60,$U718,$T718))</f>
        <v/>
      </c>
      <c r="X718">
        <f>IF(OR($S718="",$V718="",$T718&gt;60,$T718=""),"",$S718*1000000+ROUND($V718*10,0))</f>
        <v/>
      </c>
      <c r="Y718">
        <f>IF($W718="","",IFERROR(INDEX(IF($T718&lt;=60,imc05_l,imc519_l),MATCH($W718,IF($T718&lt;=60,imc05_k,imc519_k),1)),""))</f>
        <v/>
      </c>
      <c r="Z718">
        <f>IF($W718="","",IFERROR(INDEX(IF($T718&lt;=60,imc05_m,imc519_m),MATCH($W718,IF($T718&lt;=60,imc05_k,imc519_k),1)),""))</f>
        <v/>
      </c>
      <c r="AA718">
        <f>IF($W718="","",IFERROR(INDEX(IF($T718&lt;=60,imc05_s,imc519_s),MATCH($W718,IF($T718&lt;=60,imc05_k,imc519_k),1)),""))</f>
        <v/>
      </c>
      <c r="AB718">
        <f>IF($Y718="","",IF($Y718=0,LN($J718/$Z718)/$AA718,((($J718/$Z718)^$Y718)-1)/($Y718*$AA718)))</f>
        <v/>
      </c>
      <c r="AC718">
        <f>IF($Y718="","",IF($Y718=0,$Z718*EXP($AA718*2),$Z718*(1+$Y718*$AA718*2)^(1/$Y718)))</f>
        <v/>
      </c>
      <c r="AD718">
        <f>IF($Y718="","",IF($Y718=0,$Z718*EXP($AA718*3),$Z718*(1+$Y718*$AA718*3)^(1/$Y718)))</f>
        <v/>
      </c>
      <c r="AE718">
        <f>IF($Y718="","",IF($Y718=0,$Z718*EXP($AA718*-2),$Z718*(1+$Y718*$AA718*-2)^(1/$Y718)))</f>
        <v/>
      </c>
      <c r="AF718">
        <f>IF($Y718="","",IF($Y718=0,$Z718*EXP($AA718*-3),$Z718*(1+$Y718*$AA718*-3)^(1/$Y718)))</f>
        <v/>
      </c>
      <c r="AG718">
        <f>IF($W718="","",IFERROR(INDEX(IF($T718&lt;=60,est05_l,est519_l),MATCH($W718,IF($T718&lt;=60,est05_k,est519_k),1)),""))</f>
        <v/>
      </c>
      <c r="AH718">
        <f>IF($W718="","",IFERROR(INDEX(IF($T718&lt;=60,est05_m,est519_m),MATCH($W718,IF($T718&lt;=60,est05_k,est519_k),1)),""))</f>
        <v/>
      </c>
      <c r="AI718">
        <f>IF($W718="","",IFERROR(INDEX(IF($T718&lt;=60,est05_s,est519_s),MATCH($W718,IF($T718&lt;=60,est05_k,est519_k),1)),""))</f>
        <v/>
      </c>
      <c r="AJ718">
        <f>IF($W718="","",IFERROR(INDEX(IF($T718&lt;=60,peso05_l,peso510_l),MATCH($W718,IF($T718&lt;=60,peso05_k,peso510_k),1)),""))</f>
        <v/>
      </c>
      <c r="AK718">
        <f>IF($W718="","",IFERROR(INDEX(IF($T718&lt;=60,peso05_m,peso510_m),MATCH($W718,IF($T718&lt;=60,peso05_k,peso510_k),1)),""))</f>
        <v/>
      </c>
      <c r="AL718">
        <f>IF($W718="","",IFERROR(INDEX(IF($T718&lt;=60,peso05_s,peso510_s),MATCH($W718,IF($T718&lt;=60,peso05_k,peso510_k),1)),""))</f>
        <v/>
      </c>
      <c r="AM718">
        <f>IF($AJ718="","",IF($AJ718=0,LN($F718/$AK718)/$AL718,((($F718/$AK718)^$AJ718)-1)/($AJ718*$AL718)))</f>
        <v/>
      </c>
      <c r="AN718">
        <f>IF($AJ718="","",IF($AJ718=0,$AK718*EXP($AL718*2),$AK718*(1+$AJ718*$AL718*2)^(1/$AJ718)))</f>
        <v/>
      </c>
      <c r="AO718">
        <f>IF($AJ718="","",IF($AJ718=0,$AK718*EXP($AL718*3),$AK718*(1+$AJ718*$AL718*3)^(1/$AJ718)))</f>
        <v/>
      </c>
      <c r="AP718">
        <f>IF($AJ718="","",IF($AJ718=0,$AK718*EXP($AL718*-2),$AK718*(1+$AJ718*$AL718*-2)^(1/$AJ718)))</f>
        <v/>
      </c>
      <c r="AQ718">
        <f>IF($AJ718="","",IF($AJ718=0,$AK718*EXP($AL718*-3),$AK718*(1+$AJ718*$AL718*-3)^(1/$AJ718)))</f>
        <v/>
      </c>
      <c r="AR718">
        <f>IF(OR($X718="",$T718&gt;60),"",IFERROR(INDEX(IF($T718&lt;24,pcomp_l,palt_l),MATCH($X718,IF($T718&lt;24,pcomp_k,palt_k),1)),""))</f>
        <v/>
      </c>
      <c r="AS718">
        <f>IF(OR($X718="",$T718&gt;60),"",IFERROR(INDEX(IF($T718&lt;24,pcomp_m,palt_m),MATCH($X718,IF($T718&lt;24,pcomp_k,palt_k),1)),""))</f>
        <v/>
      </c>
      <c r="AT718">
        <f>IF(OR($X718="",$T718&gt;60),"",IFERROR(INDEX(IF($T718&lt;24,pcomp_s,palt_s),MATCH($X718,IF($T718&lt;24,pcomp_k,palt_k),1)),""))</f>
        <v/>
      </c>
      <c r="AU718">
        <f>IF($AR718="","",IF($AR718=0,LN($F718/$AS718)/$AT718,((($F718/$AS718)^$AR718)-1)/($AR718*$AT718)))</f>
        <v/>
      </c>
      <c r="AV718">
        <f>IF($AR718="","",IF($AR718=0,$AS718*EXP($AT718*2),$AS718*(1+$AR718*$AT718*2)^(1/$AR718)))</f>
        <v/>
      </c>
      <c r="AW718">
        <f>IF($AR718="","",IF($AR718=0,$AS718*EXP($AT718*3),$AS718*(1+$AR718*$AT718*3)^(1/$AR718)))</f>
        <v/>
      </c>
      <c r="AX718">
        <f>IF($AR718="","",IF($AR718=0,$AS718*EXP($AT718*-2),$AS718*(1+$AR718*$AT718*-2)^(1/$AR718)))</f>
        <v/>
      </c>
      <c r="AY718">
        <f>IF($AR718="","",IF($AR718=0,$AS718*EXP($AT718*-3),$AS718*(1+$AR718*$AT718*-3)^(1/$AR718)))</f>
        <v/>
      </c>
      <c r="AZ718">
        <f>IF(OR($A718="",$A718&lt;&gt;Ficha!$C$4),"",COUNTIF($A$2:$A718,Ficha!$C$4))</f>
        <v/>
      </c>
    </row>
    <row r="719">
      <c r="A719" s="8">
        <f>IF(INDEX(Banco!$A:$A,ROW())="","",INDEX(Banco!$A:$A,ROW()))</f>
        <v/>
      </c>
      <c r="B719" s="8">
        <f>IF(INDEX(Banco!$B:$B,ROW())="","",INDEX(Banco!$B:$B,ROW()))</f>
        <v/>
      </c>
      <c r="C719" s="8">
        <f>IF(INDEX(Banco!$C:$C,ROW())="","",INDEX(Banco!$C:$C,ROW()))</f>
        <v/>
      </c>
      <c r="D719" s="9">
        <f>IF(INDEX(Banco!$D:$D,ROW())="","",INDEX(Banco!$D:$D,ROW()))</f>
        <v/>
      </c>
      <c r="E719" s="9">
        <f>IF(INDEX(Banco!$E:$E,ROW())="","",INDEX(Banco!$E:$E,ROW()))</f>
        <v/>
      </c>
      <c r="F719" s="10">
        <f>IF(INDEX(Banco!$F:$F,ROW())="","",INDEX(Banco!$F:$F,ROW()))</f>
        <v/>
      </c>
      <c r="G719" s="10">
        <f>IF(INDEX(Banco!$G:$G,ROW())="","",INDEX(Banco!$G:$G,ROW()))</f>
        <v/>
      </c>
      <c r="H719" s="8">
        <f>IF(INDEX(Banco!$H:$H,ROW())="","",INDEX(Banco!$H:$H,ROW()))</f>
        <v/>
      </c>
      <c r="I719">
        <f>IF($T719="","",INT($T719/12)&amp;"a "&amp;MOD($T719,12)&amp;"m")</f>
        <v/>
      </c>
      <c r="J719" s="11">
        <f>IF(OR($F719="",$G719=""),"",ROUND($F719/($G719/100)^2,2))</f>
        <v/>
      </c>
      <c r="K719" s="12">
        <f>IF(OR($S719="",$J719="",$T719="",$T719&lt;0,$T719&gt;228,$Y719=""),"—",ROUND(IF(ABS($AB719)&lt;=3,$AB719,IF($AB719&gt;3,3+($J719-$AD719)/($AD719-$AC719),-3+($J719-$AF719)/($AE719-$AF719))),2))</f>
        <v/>
      </c>
      <c r="L719">
        <f>IF(OR($K719="",$K719="—"),"",IF($T719&lt;=60,IF($K719&lt;-3,"Magreza acentuada",IF($K719&lt;-2,"Magreza",IF($K719&lt;=1,"Eutrofia",IF($K719&lt;=2,"Risco de sobrepeso",IF($K719&lt;=3,"Sobrepeso","Obesidade"))))),IF($K719&lt;-3,"Magreza acentuada",IF($K719&lt;-2,"Magreza",IF($K719&lt;=1,"Eutrofia",IF($K719&lt;=2,"Sobrepeso",IF($K719&lt;=3,"Obesidade","Obesidade grave")))))))</f>
        <v/>
      </c>
      <c r="M719" s="12">
        <f>IF(OR($S719="",$V719="",$T719="",$T719&lt;0,$T719&gt;228,$AG719=""),"—",ROUND(IF($AG719=0,LN($V719/$AH719)/$AI719,((($V719/$AH719)^$AG719)-1)/($AG719*$AI719)),2))</f>
        <v/>
      </c>
      <c r="N719">
        <f>IF(OR($M719="",$M719="—"),"",IF($M719&lt;-3,"Muito baixa",IF($M719&lt;-2,"Baixa","Adequada")))</f>
        <v/>
      </c>
      <c r="O719" s="12">
        <f>IF(OR($S719="",$F719="",$T719="",$T719&lt;0,$T719&gt;120,$AJ719=""),"—",ROUND(IF(ABS($AM719)&lt;=3,$AM719,IF($AM719&gt;3,3+($F719-$AO719)/($AO719-$AN719),-3+($F719-$AQ719)/($AP719-$AQ719))),2))</f>
        <v/>
      </c>
      <c r="P719">
        <f>IF(OR($O719="",$O719="—"),"",IF($O719&lt;-3,"Muito baixo",IF($O719&lt;-2,"Baixo",IF($O719&lt;=2,"Adequado","Elevado"))))</f>
        <v/>
      </c>
      <c r="Q719" s="12">
        <f>IF(OR($S719="",$F719="",$T719="",$T719&lt;0,$T719&gt;60,$AR719=""),"—",ROUND(IF(ABS($AU719)&lt;=3,$AU719,IF($AU719&gt;3,3+($F719-$AW719)/($AW719-$AV719),-3+($F719-$AY719)/($AX719-$AY719))),2))</f>
        <v/>
      </c>
      <c r="R719">
        <f>IF(OR($Q719="",$Q719="—"),"",IF($Q719&lt;-3,"Magreza acentuada",IF($Q719&lt;-2,"Magreza",IF($Q719&lt;=1,"Eutrofia",IF($Q719&lt;=2,"Risco de sobrepeso",IF($Q719&lt;=3,"Sobrepeso","Obesidade"))))))</f>
        <v/>
      </c>
      <c r="S719">
        <f>IF($C719="","",IF(UPPER(LEFT($C719,1))="M",1,IF(UPPER(LEFT($C719,1))="F",2,"")))</f>
        <v/>
      </c>
      <c r="T719">
        <f>IF(OR($D719="",$E719=""),"",DATEDIF($D719,$E719,"m"))</f>
        <v/>
      </c>
      <c r="U719">
        <f>IF(OR($D719="",$E719=""),"",$E719-$D719)</f>
        <v/>
      </c>
      <c r="V719">
        <f>IF(OR($G719="",$T719=""),"",IF($T719&lt;24,IF(LEFT(LOWER($H719),4)="em p",$G719+0.7,$G719),IF(LEFT(LOWER($H719),4)="deit",$G719-0.7,$G719)))</f>
        <v/>
      </c>
      <c r="W719">
        <f>IF(OR($S719="",$T719=""),"",$S719*1000000+IF($T719&lt;=60,$U719,$T719))</f>
        <v/>
      </c>
      <c r="X719">
        <f>IF(OR($S719="",$V719="",$T719&gt;60,$T719=""),"",$S719*1000000+ROUND($V719*10,0))</f>
        <v/>
      </c>
      <c r="Y719">
        <f>IF($W719="","",IFERROR(INDEX(IF($T719&lt;=60,imc05_l,imc519_l),MATCH($W719,IF($T719&lt;=60,imc05_k,imc519_k),1)),""))</f>
        <v/>
      </c>
      <c r="Z719">
        <f>IF($W719="","",IFERROR(INDEX(IF($T719&lt;=60,imc05_m,imc519_m),MATCH($W719,IF($T719&lt;=60,imc05_k,imc519_k),1)),""))</f>
        <v/>
      </c>
      <c r="AA719">
        <f>IF($W719="","",IFERROR(INDEX(IF($T719&lt;=60,imc05_s,imc519_s),MATCH($W719,IF($T719&lt;=60,imc05_k,imc519_k),1)),""))</f>
        <v/>
      </c>
      <c r="AB719">
        <f>IF($Y719="","",IF($Y719=0,LN($J719/$Z719)/$AA719,((($J719/$Z719)^$Y719)-1)/($Y719*$AA719)))</f>
        <v/>
      </c>
      <c r="AC719">
        <f>IF($Y719="","",IF($Y719=0,$Z719*EXP($AA719*2),$Z719*(1+$Y719*$AA719*2)^(1/$Y719)))</f>
        <v/>
      </c>
      <c r="AD719">
        <f>IF($Y719="","",IF($Y719=0,$Z719*EXP($AA719*3),$Z719*(1+$Y719*$AA719*3)^(1/$Y719)))</f>
        <v/>
      </c>
      <c r="AE719">
        <f>IF($Y719="","",IF($Y719=0,$Z719*EXP($AA719*-2),$Z719*(1+$Y719*$AA719*-2)^(1/$Y719)))</f>
        <v/>
      </c>
      <c r="AF719">
        <f>IF($Y719="","",IF($Y719=0,$Z719*EXP($AA719*-3),$Z719*(1+$Y719*$AA719*-3)^(1/$Y719)))</f>
        <v/>
      </c>
      <c r="AG719">
        <f>IF($W719="","",IFERROR(INDEX(IF($T719&lt;=60,est05_l,est519_l),MATCH($W719,IF($T719&lt;=60,est05_k,est519_k),1)),""))</f>
        <v/>
      </c>
      <c r="AH719">
        <f>IF($W719="","",IFERROR(INDEX(IF($T719&lt;=60,est05_m,est519_m),MATCH($W719,IF($T719&lt;=60,est05_k,est519_k),1)),""))</f>
        <v/>
      </c>
      <c r="AI719">
        <f>IF($W719="","",IFERROR(INDEX(IF($T719&lt;=60,est05_s,est519_s),MATCH($W719,IF($T719&lt;=60,est05_k,est519_k),1)),""))</f>
        <v/>
      </c>
      <c r="AJ719">
        <f>IF($W719="","",IFERROR(INDEX(IF($T719&lt;=60,peso05_l,peso510_l),MATCH($W719,IF($T719&lt;=60,peso05_k,peso510_k),1)),""))</f>
        <v/>
      </c>
      <c r="AK719">
        <f>IF($W719="","",IFERROR(INDEX(IF($T719&lt;=60,peso05_m,peso510_m),MATCH($W719,IF($T719&lt;=60,peso05_k,peso510_k),1)),""))</f>
        <v/>
      </c>
      <c r="AL719">
        <f>IF($W719="","",IFERROR(INDEX(IF($T719&lt;=60,peso05_s,peso510_s),MATCH($W719,IF($T719&lt;=60,peso05_k,peso510_k),1)),""))</f>
        <v/>
      </c>
      <c r="AM719">
        <f>IF($AJ719="","",IF($AJ719=0,LN($F719/$AK719)/$AL719,((($F719/$AK719)^$AJ719)-1)/($AJ719*$AL719)))</f>
        <v/>
      </c>
      <c r="AN719">
        <f>IF($AJ719="","",IF($AJ719=0,$AK719*EXP($AL719*2),$AK719*(1+$AJ719*$AL719*2)^(1/$AJ719)))</f>
        <v/>
      </c>
      <c r="AO719">
        <f>IF($AJ719="","",IF($AJ719=0,$AK719*EXP($AL719*3),$AK719*(1+$AJ719*$AL719*3)^(1/$AJ719)))</f>
        <v/>
      </c>
      <c r="AP719">
        <f>IF($AJ719="","",IF($AJ719=0,$AK719*EXP($AL719*-2),$AK719*(1+$AJ719*$AL719*-2)^(1/$AJ719)))</f>
        <v/>
      </c>
      <c r="AQ719">
        <f>IF($AJ719="","",IF($AJ719=0,$AK719*EXP($AL719*-3),$AK719*(1+$AJ719*$AL719*-3)^(1/$AJ719)))</f>
        <v/>
      </c>
      <c r="AR719">
        <f>IF(OR($X719="",$T719&gt;60),"",IFERROR(INDEX(IF($T719&lt;24,pcomp_l,palt_l),MATCH($X719,IF($T719&lt;24,pcomp_k,palt_k),1)),""))</f>
        <v/>
      </c>
      <c r="AS719">
        <f>IF(OR($X719="",$T719&gt;60),"",IFERROR(INDEX(IF($T719&lt;24,pcomp_m,palt_m),MATCH($X719,IF($T719&lt;24,pcomp_k,palt_k),1)),""))</f>
        <v/>
      </c>
      <c r="AT719">
        <f>IF(OR($X719="",$T719&gt;60),"",IFERROR(INDEX(IF($T719&lt;24,pcomp_s,palt_s),MATCH($X719,IF($T719&lt;24,pcomp_k,palt_k),1)),""))</f>
        <v/>
      </c>
      <c r="AU719">
        <f>IF($AR719="","",IF($AR719=0,LN($F719/$AS719)/$AT719,((($F719/$AS719)^$AR719)-1)/($AR719*$AT719)))</f>
        <v/>
      </c>
      <c r="AV719">
        <f>IF($AR719="","",IF($AR719=0,$AS719*EXP($AT719*2),$AS719*(1+$AR719*$AT719*2)^(1/$AR719)))</f>
        <v/>
      </c>
      <c r="AW719">
        <f>IF($AR719="","",IF($AR719=0,$AS719*EXP($AT719*3),$AS719*(1+$AR719*$AT719*3)^(1/$AR719)))</f>
        <v/>
      </c>
      <c r="AX719">
        <f>IF($AR719="","",IF($AR719=0,$AS719*EXP($AT719*-2),$AS719*(1+$AR719*$AT719*-2)^(1/$AR719)))</f>
        <v/>
      </c>
      <c r="AY719">
        <f>IF($AR719="","",IF($AR719=0,$AS719*EXP($AT719*-3),$AS719*(1+$AR719*$AT719*-3)^(1/$AR719)))</f>
        <v/>
      </c>
      <c r="AZ719">
        <f>IF(OR($A719="",$A719&lt;&gt;Ficha!$C$4),"",COUNTIF($A$2:$A719,Ficha!$C$4))</f>
        <v/>
      </c>
    </row>
    <row r="720">
      <c r="A720" s="8">
        <f>IF(INDEX(Banco!$A:$A,ROW())="","",INDEX(Banco!$A:$A,ROW()))</f>
        <v/>
      </c>
      <c r="B720" s="8">
        <f>IF(INDEX(Banco!$B:$B,ROW())="","",INDEX(Banco!$B:$B,ROW()))</f>
        <v/>
      </c>
      <c r="C720" s="8">
        <f>IF(INDEX(Banco!$C:$C,ROW())="","",INDEX(Banco!$C:$C,ROW()))</f>
        <v/>
      </c>
      <c r="D720" s="9">
        <f>IF(INDEX(Banco!$D:$D,ROW())="","",INDEX(Banco!$D:$D,ROW()))</f>
        <v/>
      </c>
      <c r="E720" s="9">
        <f>IF(INDEX(Banco!$E:$E,ROW())="","",INDEX(Banco!$E:$E,ROW()))</f>
        <v/>
      </c>
      <c r="F720" s="10">
        <f>IF(INDEX(Banco!$F:$F,ROW())="","",INDEX(Banco!$F:$F,ROW()))</f>
        <v/>
      </c>
      <c r="G720" s="10">
        <f>IF(INDEX(Banco!$G:$G,ROW())="","",INDEX(Banco!$G:$G,ROW()))</f>
        <v/>
      </c>
      <c r="H720" s="8">
        <f>IF(INDEX(Banco!$H:$H,ROW())="","",INDEX(Banco!$H:$H,ROW()))</f>
        <v/>
      </c>
      <c r="I720">
        <f>IF($T720="","",INT($T720/12)&amp;"a "&amp;MOD($T720,12)&amp;"m")</f>
        <v/>
      </c>
      <c r="J720" s="11">
        <f>IF(OR($F720="",$G720=""),"",ROUND($F720/($G720/100)^2,2))</f>
        <v/>
      </c>
      <c r="K720" s="12">
        <f>IF(OR($S720="",$J720="",$T720="",$T720&lt;0,$T720&gt;228,$Y720=""),"—",ROUND(IF(ABS($AB720)&lt;=3,$AB720,IF($AB720&gt;3,3+($J720-$AD720)/($AD720-$AC720),-3+($J720-$AF720)/($AE720-$AF720))),2))</f>
        <v/>
      </c>
      <c r="L720">
        <f>IF(OR($K720="",$K720="—"),"",IF($T720&lt;=60,IF($K720&lt;-3,"Magreza acentuada",IF($K720&lt;-2,"Magreza",IF($K720&lt;=1,"Eutrofia",IF($K720&lt;=2,"Risco de sobrepeso",IF($K720&lt;=3,"Sobrepeso","Obesidade"))))),IF($K720&lt;-3,"Magreza acentuada",IF($K720&lt;-2,"Magreza",IF($K720&lt;=1,"Eutrofia",IF($K720&lt;=2,"Sobrepeso",IF($K720&lt;=3,"Obesidade","Obesidade grave")))))))</f>
        <v/>
      </c>
      <c r="M720" s="12">
        <f>IF(OR($S720="",$V720="",$T720="",$T720&lt;0,$T720&gt;228,$AG720=""),"—",ROUND(IF($AG720=0,LN($V720/$AH720)/$AI720,((($V720/$AH720)^$AG720)-1)/($AG720*$AI720)),2))</f>
        <v/>
      </c>
      <c r="N720">
        <f>IF(OR($M720="",$M720="—"),"",IF($M720&lt;-3,"Muito baixa",IF($M720&lt;-2,"Baixa","Adequada")))</f>
        <v/>
      </c>
      <c r="O720" s="12">
        <f>IF(OR($S720="",$F720="",$T720="",$T720&lt;0,$T720&gt;120,$AJ720=""),"—",ROUND(IF(ABS($AM720)&lt;=3,$AM720,IF($AM720&gt;3,3+($F720-$AO720)/($AO720-$AN720),-3+($F720-$AQ720)/($AP720-$AQ720))),2))</f>
        <v/>
      </c>
      <c r="P720">
        <f>IF(OR($O720="",$O720="—"),"",IF($O720&lt;-3,"Muito baixo",IF($O720&lt;-2,"Baixo",IF($O720&lt;=2,"Adequado","Elevado"))))</f>
        <v/>
      </c>
      <c r="Q720" s="12">
        <f>IF(OR($S720="",$F720="",$T720="",$T720&lt;0,$T720&gt;60,$AR720=""),"—",ROUND(IF(ABS($AU720)&lt;=3,$AU720,IF($AU720&gt;3,3+($F720-$AW720)/($AW720-$AV720),-3+($F720-$AY720)/($AX720-$AY720))),2))</f>
        <v/>
      </c>
      <c r="R720">
        <f>IF(OR($Q720="",$Q720="—"),"",IF($Q720&lt;-3,"Magreza acentuada",IF($Q720&lt;-2,"Magreza",IF($Q720&lt;=1,"Eutrofia",IF($Q720&lt;=2,"Risco de sobrepeso",IF($Q720&lt;=3,"Sobrepeso","Obesidade"))))))</f>
        <v/>
      </c>
      <c r="S720">
        <f>IF($C720="","",IF(UPPER(LEFT($C720,1))="M",1,IF(UPPER(LEFT($C720,1))="F",2,"")))</f>
        <v/>
      </c>
      <c r="T720">
        <f>IF(OR($D720="",$E720=""),"",DATEDIF($D720,$E720,"m"))</f>
        <v/>
      </c>
      <c r="U720">
        <f>IF(OR($D720="",$E720=""),"",$E720-$D720)</f>
        <v/>
      </c>
      <c r="V720">
        <f>IF(OR($G720="",$T720=""),"",IF($T720&lt;24,IF(LEFT(LOWER($H720),4)="em p",$G720+0.7,$G720),IF(LEFT(LOWER($H720),4)="deit",$G720-0.7,$G720)))</f>
        <v/>
      </c>
      <c r="W720">
        <f>IF(OR($S720="",$T720=""),"",$S720*1000000+IF($T720&lt;=60,$U720,$T720))</f>
        <v/>
      </c>
      <c r="X720">
        <f>IF(OR($S720="",$V720="",$T720&gt;60,$T720=""),"",$S720*1000000+ROUND($V720*10,0))</f>
        <v/>
      </c>
      <c r="Y720">
        <f>IF($W720="","",IFERROR(INDEX(IF($T720&lt;=60,imc05_l,imc519_l),MATCH($W720,IF($T720&lt;=60,imc05_k,imc519_k),1)),""))</f>
        <v/>
      </c>
      <c r="Z720">
        <f>IF($W720="","",IFERROR(INDEX(IF($T720&lt;=60,imc05_m,imc519_m),MATCH($W720,IF($T720&lt;=60,imc05_k,imc519_k),1)),""))</f>
        <v/>
      </c>
      <c r="AA720">
        <f>IF($W720="","",IFERROR(INDEX(IF($T720&lt;=60,imc05_s,imc519_s),MATCH($W720,IF($T720&lt;=60,imc05_k,imc519_k),1)),""))</f>
        <v/>
      </c>
      <c r="AB720">
        <f>IF($Y720="","",IF($Y720=0,LN($J720/$Z720)/$AA720,((($J720/$Z720)^$Y720)-1)/($Y720*$AA720)))</f>
        <v/>
      </c>
      <c r="AC720">
        <f>IF($Y720="","",IF($Y720=0,$Z720*EXP($AA720*2),$Z720*(1+$Y720*$AA720*2)^(1/$Y720)))</f>
        <v/>
      </c>
      <c r="AD720">
        <f>IF($Y720="","",IF($Y720=0,$Z720*EXP($AA720*3),$Z720*(1+$Y720*$AA720*3)^(1/$Y720)))</f>
        <v/>
      </c>
      <c r="AE720">
        <f>IF($Y720="","",IF($Y720=0,$Z720*EXP($AA720*-2),$Z720*(1+$Y720*$AA720*-2)^(1/$Y720)))</f>
        <v/>
      </c>
      <c r="AF720">
        <f>IF($Y720="","",IF($Y720=0,$Z720*EXP($AA720*-3),$Z720*(1+$Y720*$AA720*-3)^(1/$Y720)))</f>
        <v/>
      </c>
      <c r="AG720">
        <f>IF($W720="","",IFERROR(INDEX(IF($T720&lt;=60,est05_l,est519_l),MATCH($W720,IF($T720&lt;=60,est05_k,est519_k),1)),""))</f>
        <v/>
      </c>
      <c r="AH720">
        <f>IF($W720="","",IFERROR(INDEX(IF($T720&lt;=60,est05_m,est519_m),MATCH($W720,IF($T720&lt;=60,est05_k,est519_k),1)),""))</f>
        <v/>
      </c>
      <c r="AI720">
        <f>IF($W720="","",IFERROR(INDEX(IF($T720&lt;=60,est05_s,est519_s),MATCH($W720,IF($T720&lt;=60,est05_k,est519_k),1)),""))</f>
        <v/>
      </c>
      <c r="AJ720">
        <f>IF($W720="","",IFERROR(INDEX(IF($T720&lt;=60,peso05_l,peso510_l),MATCH($W720,IF($T720&lt;=60,peso05_k,peso510_k),1)),""))</f>
        <v/>
      </c>
      <c r="AK720">
        <f>IF($W720="","",IFERROR(INDEX(IF($T720&lt;=60,peso05_m,peso510_m),MATCH($W720,IF($T720&lt;=60,peso05_k,peso510_k),1)),""))</f>
        <v/>
      </c>
      <c r="AL720">
        <f>IF($W720="","",IFERROR(INDEX(IF($T720&lt;=60,peso05_s,peso510_s),MATCH($W720,IF($T720&lt;=60,peso05_k,peso510_k),1)),""))</f>
        <v/>
      </c>
      <c r="AM720">
        <f>IF($AJ720="","",IF($AJ720=0,LN($F720/$AK720)/$AL720,((($F720/$AK720)^$AJ720)-1)/($AJ720*$AL720)))</f>
        <v/>
      </c>
      <c r="AN720">
        <f>IF($AJ720="","",IF($AJ720=0,$AK720*EXP($AL720*2),$AK720*(1+$AJ720*$AL720*2)^(1/$AJ720)))</f>
        <v/>
      </c>
      <c r="AO720">
        <f>IF($AJ720="","",IF($AJ720=0,$AK720*EXP($AL720*3),$AK720*(1+$AJ720*$AL720*3)^(1/$AJ720)))</f>
        <v/>
      </c>
      <c r="AP720">
        <f>IF($AJ720="","",IF($AJ720=0,$AK720*EXP($AL720*-2),$AK720*(1+$AJ720*$AL720*-2)^(1/$AJ720)))</f>
        <v/>
      </c>
      <c r="AQ720">
        <f>IF($AJ720="","",IF($AJ720=0,$AK720*EXP($AL720*-3),$AK720*(1+$AJ720*$AL720*-3)^(1/$AJ720)))</f>
        <v/>
      </c>
      <c r="AR720">
        <f>IF(OR($X720="",$T720&gt;60),"",IFERROR(INDEX(IF($T720&lt;24,pcomp_l,palt_l),MATCH($X720,IF($T720&lt;24,pcomp_k,palt_k),1)),""))</f>
        <v/>
      </c>
      <c r="AS720">
        <f>IF(OR($X720="",$T720&gt;60),"",IFERROR(INDEX(IF($T720&lt;24,pcomp_m,palt_m),MATCH($X720,IF($T720&lt;24,pcomp_k,palt_k),1)),""))</f>
        <v/>
      </c>
      <c r="AT720">
        <f>IF(OR($X720="",$T720&gt;60),"",IFERROR(INDEX(IF($T720&lt;24,pcomp_s,palt_s),MATCH($X720,IF($T720&lt;24,pcomp_k,palt_k),1)),""))</f>
        <v/>
      </c>
      <c r="AU720">
        <f>IF($AR720="","",IF($AR720=0,LN($F720/$AS720)/$AT720,((($F720/$AS720)^$AR720)-1)/($AR720*$AT720)))</f>
        <v/>
      </c>
      <c r="AV720">
        <f>IF($AR720="","",IF($AR720=0,$AS720*EXP($AT720*2),$AS720*(1+$AR720*$AT720*2)^(1/$AR720)))</f>
        <v/>
      </c>
      <c r="AW720">
        <f>IF($AR720="","",IF($AR720=0,$AS720*EXP($AT720*3),$AS720*(1+$AR720*$AT720*3)^(1/$AR720)))</f>
        <v/>
      </c>
      <c r="AX720">
        <f>IF($AR720="","",IF($AR720=0,$AS720*EXP($AT720*-2),$AS720*(1+$AR720*$AT720*-2)^(1/$AR720)))</f>
        <v/>
      </c>
      <c r="AY720">
        <f>IF($AR720="","",IF($AR720=0,$AS720*EXP($AT720*-3),$AS720*(1+$AR720*$AT720*-3)^(1/$AR720)))</f>
        <v/>
      </c>
      <c r="AZ720">
        <f>IF(OR($A720="",$A720&lt;&gt;Ficha!$C$4),"",COUNTIF($A$2:$A720,Ficha!$C$4))</f>
        <v/>
      </c>
    </row>
    <row r="721">
      <c r="A721" s="8">
        <f>IF(INDEX(Banco!$A:$A,ROW())="","",INDEX(Banco!$A:$A,ROW()))</f>
        <v/>
      </c>
      <c r="B721" s="8">
        <f>IF(INDEX(Banco!$B:$B,ROW())="","",INDEX(Banco!$B:$B,ROW()))</f>
        <v/>
      </c>
      <c r="C721" s="8">
        <f>IF(INDEX(Banco!$C:$C,ROW())="","",INDEX(Banco!$C:$C,ROW()))</f>
        <v/>
      </c>
      <c r="D721" s="9">
        <f>IF(INDEX(Banco!$D:$D,ROW())="","",INDEX(Banco!$D:$D,ROW()))</f>
        <v/>
      </c>
      <c r="E721" s="9">
        <f>IF(INDEX(Banco!$E:$E,ROW())="","",INDEX(Banco!$E:$E,ROW()))</f>
        <v/>
      </c>
      <c r="F721" s="10">
        <f>IF(INDEX(Banco!$F:$F,ROW())="","",INDEX(Banco!$F:$F,ROW()))</f>
        <v/>
      </c>
      <c r="G721" s="10">
        <f>IF(INDEX(Banco!$G:$G,ROW())="","",INDEX(Banco!$G:$G,ROW()))</f>
        <v/>
      </c>
      <c r="H721" s="8">
        <f>IF(INDEX(Banco!$H:$H,ROW())="","",INDEX(Banco!$H:$H,ROW()))</f>
        <v/>
      </c>
      <c r="I721">
        <f>IF($T721="","",INT($T721/12)&amp;"a "&amp;MOD($T721,12)&amp;"m")</f>
        <v/>
      </c>
      <c r="J721" s="11">
        <f>IF(OR($F721="",$G721=""),"",ROUND($F721/($G721/100)^2,2))</f>
        <v/>
      </c>
      <c r="K721" s="12">
        <f>IF(OR($S721="",$J721="",$T721="",$T721&lt;0,$T721&gt;228,$Y721=""),"—",ROUND(IF(ABS($AB721)&lt;=3,$AB721,IF($AB721&gt;3,3+($J721-$AD721)/($AD721-$AC721),-3+($J721-$AF721)/($AE721-$AF721))),2))</f>
        <v/>
      </c>
      <c r="L721">
        <f>IF(OR($K721="",$K721="—"),"",IF($T721&lt;=60,IF($K721&lt;-3,"Magreza acentuada",IF($K721&lt;-2,"Magreza",IF($K721&lt;=1,"Eutrofia",IF($K721&lt;=2,"Risco de sobrepeso",IF($K721&lt;=3,"Sobrepeso","Obesidade"))))),IF($K721&lt;-3,"Magreza acentuada",IF($K721&lt;-2,"Magreza",IF($K721&lt;=1,"Eutrofia",IF($K721&lt;=2,"Sobrepeso",IF($K721&lt;=3,"Obesidade","Obesidade grave")))))))</f>
        <v/>
      </c>
      <c r="M721" s="12">
        <f>IF(OR($S721="",$V721="",$T721="",$T721&lt;0,$T721&gt;228,$AG721=""),"—",ROUND(IF($AG721=0,LN($V721/$AH721)/$AI721,((($V721/$AH721)^$AG721)-1)/($AG721*$AI721)),2))</f>
        <v/>
      </c>
      <c r="N721">
        <f>IF(OR($M721="",$M721="—"),"",IF($M721&lt;-3,"Muito baixa",IF($M721&lt;-2,"Baixa","Adequada")))</f>
        <v/>
      </c>
      <c r="O721" s="12">
        <f>IF(OR($S721="",$F721="",$T721="",$T721&lt;0,$T721&gt;120,$AJ721=""),"—",ROUND(IF(ABS($AM721)&lt;=3,$AM721,IF($AM721&gt;3,3+($F721-$AO721)/($AO721-$AN721),-3+($F721-$AQ721)/($AP721-$AQ721))),2))</f>
        <v/>
      </c>
      <c r="P721">
        <f>IF(OR($O721="",$O721="—"),"",IF($O721&lt;-3,"Muito baixo",IF($O721&lt;-2,"Baixo",IF($O721&lt;=2,"Adequado","Elevado"))))</f>
        <v/>
      </c>
      <c r="Q721" s="12">
        <f>IF(OR($S721="",$F721="",$T721="",$T721&lt;0,$T721&gt;60,$AR721=""),"—",ROUND(IF(ABS($AU721)&lt;=3,$AU721,IF($AU721&gt;3,3+($F721-$AW721)/($AW721-$AV721),-3+($F721-$AY721)/($AX721-$AY721))),2))</f>
        <v/>
      </c>
      <c r="R721">
        <f>IF(OR($Q721="",$Q721="—"),"",IF($Q721&lt;-3,"Magreza acentuada",IF($Q721&lt;-2,"Magreza",IF($Q721&lt;=1,"Eutrofia",IF($Q721&lt;=2,"Risco de sobrepeso",IF($Q721&lt;=3,"Sobrepeso","Obesidade"))))))</f>
        <v/>
      </c>
      <c r="S721">
        <f>IF($C721="","",IF(UPPER(LEFT($C721,1))="M",1,IF(UPPER(LEFT($C721,1))="F",2,"")))</f>
        <v/>
      </c>
      <c r="T721">
        <f>IF(OR($D721="",$E721=""),"",DATEDIF($D721,$E721,"m"))</f>
        <v/>
      </c>
      <c r="U721">
        <f>IF(OR($D721="",$E721=""),"",$E721-$D721)</f>
        <v/>
      </c>
      <c r="V721">
        <f>IF(OR($G721="",$T721=""),"",IF($T721&lt;24,IF(LEFT(LOWER($H721),4)="em p",$G721+0.7,$G721),IF(LEFT(LOWER($H721),4)="deit",$G721-0.7,$G721)))</f>
        <v/>
      </c>
      <c r="W721">
        <f>IF(OR($S721="",$T721=""),"",$S721*1000000+IF($T721&lt;=60,$U721,$T721))</f>
        <v/>
      </c>
      <c r="X721">
        <f>IF(OR($S721="",$V721="",$T721&gt;60,$T721=""),"",$S721*1000000+ROUND($V721*10,0))</f>
        <v/>
      </c>
      <c r="Y721">
        <f>IF($W721="","",IFERROR(INDEX(IF($T721&lt;=60,imc05_l,imc519_l),MATCH($W721,IF($T721&lt;=60,imc05_k,imc519_k),1)),""))</f>
        <v/>
      </c>
      <c r="Z721">
        <f>IF($W721="","",IFERROR(INDEX(IF($T721&lt;=60,imc05_m,imc519_m),MATCH($W721,IF($T721&lt;=60,imc05_k,imc519_k),1)),""))</f>
        <v/>
      </c>
      <c r="AA721">
        <f>IF($W721="","",IFERROR(INDEX(IF($T721&lt;=60,imc05_s,imc519_s),MATCH($W721,IF($T721&lt;=60,imc05_k,imc519_k),1)),""))</f>
        <v/>
      </c>
      <c r="AB721">
        <f>IF($Y721="","",IF($Y721=0,LN($J721/$Z721)/$AA721,((($J721/$Z721)^$Y721)-1)/($Y721*$AA721)))</f>
        <v/>
      </c>
      <c r="AC721">
        <f>IF($Y721="","",IF($Y721=0,$Z721*EXP($AA721*2),$Z721*(1+$Y721*$AA721*2)^(1/$Y721)))</f>
        <v/>
      </c>
      <c r="AD721">
        <f>IF($Y721="","",IF($Y721=0,$Z721*EXP($AA721*3),$Z721*(1+$Y721*$AA721*3)^(1/$Y721)))</f>
        <v/>
      </c>
      <c r="AE721">
        <f>IF($Y721="","",IF($Y721=0,$Z721*EXP($AA721*-2),$Z721*(1+$Y721*$AA721*-2)^(1/$Y721)))</f>
        <v/>
      </c>
      <c r="AF721">
        <f>IF($Y721="","",IF($Y721=0,$Z721*EXP($AA721*-3),$Z721*(1+$Y721*$AA721*-3)^(1/$Y721)))</f>
        <v/>
      </c>
      <c r="AG721">
        <f>IF($W721="","",IFERROR(INDEX(IF($T721&lt;=60,est05_l,est519_l),MATCH($W721,IF($T721&lt;=60,est05_k,est519_k),1)),""))</f>
        <v/>
      </c>
      <c r="AH721">
        <f>IF($W721="","",IFERROR(INDEX(IF($T721&lt;=60,est05_m,est519_m),MATCH($W721,IF($T721&lt;=60,est05_k,est519_k),1)),""))</f>
        <v/>
      </c>
      <c r="AI721">
        <f>IF($W721="","",IFERROR(INDEX(IF($T721&lt;=60,est05_s,est519_s),MATCH($W721,IF($T721&lt;=60,est05_k,est519_k),1)),""))</f>
        <v/>
      </c>
      <c r="AJ721">
        <f>IF($W721="","",IFERROR(INDEX(IF($T721&lt;=60,peso05_l,peso510_l),MATCH($W721,IF($T721&lt;=60,peso05_k,peso510_k),1)),""))</f>
        <v/>
      </c>
      <c r="AK721">
        <f>IF($W721="","",IFERROR(INDEX(IF($T721&lt;=60,peso05_m,peso510_m),MATCH($W721,IF($T721&lt;=60,peso05_k,peso510_k),1)),""))</f>
        <v/>
      </c>
      <c r="AL721">
        <f>IF($W721="","",IFERROR(INDEX(IF($T721&lt;=60,peso05_s,peso510_s),MATCH($W721,IF($T721&lt;=60,peso05_k,peso510_k),1)),""))</f>
        <v/>
      </c>
      <c r="AM721">
        <f>IF($AJ721="","",IF($AJ721=0,LN($F721/$AK721)/$AL721,((($F721/$AK721)^$AJ721)-1)/($AJ721*$AL721)))</f>
        <v/>
      </c>
      <c r="AN721">
        <f>IF($AJ721="","",IF($AJ721=0,$AK721*EXP($AL721*2),$AK721*(1+$AJ721*$AL721*2)^(1/$AJ721)))</f>
        <v/>
      </c>
      <c r="AO721">
        <f>IF($AJ721="","",IF($AJ721=0,$AK721*EXP($AL721*3),$AK721*(1+$AJ721*$AL721*3)^(1/$AJ721)))</f>
        <v/>
      </c>
      <c r="AP721">
        <f>IF($AJ721="","",IF($AJ721=0,$AK721*EXP($AL721*-2),$AK721*(1+$AJ721*$AL721*-2)^(1/$AJ721)))</f>
        <v/>
      </c>
      <c r="AQ721">
        <f>IF($AJ721="","",IF($AJ721=0,$AK721*EXP($AL721*-3),$AK721*(1+$AJ721*$AL721*-3)^(1/$AJ721)))</f>
        <v/>
      </c>
      <c r="AR721">
        <f>IF(OR($X721="",$T721&gt;60),"",IFERROR(INDEX(IF($T721&lt;24,pcomp_l,palt_l),MATCH($X721,IF($T721&lt;24,pcomp_k,palt_k),1)),""))</f>
        <v/>
      </c>
      <c r="AS721">
        <f>IF(OR($X721="",$T721&gt;60),"",IFERROR(INDEX(IF($T721&lt;24,pcomp_m,palt_m),MATCH($X721,IF($T721&lt;24,pcomp_k,palt_k),1)),""))</f>
        <v/>
      </c>
      <c r="AT721">
        <f>IF(OR($X721="",$T721&gt;60),"",IFERROR(INDEX(IF($T721&lt;24,pcomp_s,palt_s),MATCH($X721,IF($T721&lt;24,pcomp_k,palt_k),1)),""))</f>
        <v/>
      </c>
      <c r="AU721">
        <f>IF($AR721="","",IF($AR721=0,LN($F721/$AS721)/$AT721,((($F721/$AS721)^$AR721)-1)/($AR721*$AT721)))</f>
        <v/>
      </c>
      <c r="AV721">
        <f>IF($AR721="","",IF($AR721=0,$AS721*EXP($AT721*2),$AS721*(1+$AR721*$AT721*2)^(1/$AR721)))</f>
        <v/>
      </c>
      <c r="AW721">
        <f>IF($AR721="","",IF($AR721=0,$AS721*EXP($AT721*3),$AS721*(1+$AR721*$AT721*3)^(1/$AR721)))</f>
        <v/>
      </c>
      <c r="AX721">
        <f>IF($AR721="","",IF($AR721=0,$AS721*EXP($AT721*-2),$AS721*(1+$AR721*$AT721*-2)^(1/$AR721)))</f>
        <v/>
      </c>
      <c r="AY721">
        <f>IF($AR721="","",IF($AR721=0,$AS721*EXP($AT721*-3),$AS721*(1+$AR721*$AT721*-3)^(1/$AR721)))</f>
        <v/>
      </c>
      <c r="AZ721">
        <f>IF(OR($A721="",$A721&lt;&gt;Ficha!$C$4),"",COUNTIF($A$2:$A721,Ficha!$C$4))</f>
        <v/>
      </c>
    </row>
    <row r="722">
      <c r="A722" s="8">
        <f>IF(INDEX(Banco!$A:$A,ROW())="","",INDEX(Banco!$A:$A,ROW()))</f>
        <v/>
      </c>
      <c r="B722" s="8">
        <f>IF(INDEX(Banco!$B:$B,ROW())="","",INDEX(Banco!$B:$B,ROW()))</f>
        <v/>
      </c>
      <c r="C722" s="8">
        <f>IF(INDEX(Banco!$C:$C,ROW())="","",INDEX(Banco!$C:$C,ROW()))</f>
        <v/>
      </c>
      <c r="D722" s="9">
        <f>IF(INDEX(Banco!$D:$D,ROW())="","",INDEX(Banco!$D:$D,ROW()))</f>
        <v/>
      </c>
      <c r="E722" s="9">
        <f>IF(INDEX(Banco!$E:$E,ROW())="","",INDEX(Banco!$E:$E,ROW()))</f>
        <v/>
      </c>
      <c r="F722" s="10">
        <f>IF(INDEX(Banco!$F:$F,ROW())="","",INDEX(Banco!$F:$F,ROW()))</f>
        <v/>
      </c>
      <c r="G722" s="10">
        <f>IF(INDEX(Banco!$G:$G,ROW())="","",INDEX(Banco!$G:$G,ROW()))</f>
        <v/>
      </c>
      <c r="H722" s="8">
        <f>IF(INDEX(Banco!$H:$H,ROW())="","",INDEX(Banco!$H:$H,ROW()))</f>
        <v/>
      </c>
      <c r="I722">
        <f>IF($T722="","",INT($T722/12)&amp;"a "&amp;MOD($T722,12)&amp;"m")</f>
        <v/>
      </c>
      <c r="J722" s="11">
        <f>IF(OR($F722="",$G722=""),"",ROUND($F722/($G722/100)^2,2))</f>
        <v/>
      </c>
      <c r="K722" s="12">
        <f>IF(OR($S722="",$J722="",$T722="",$T722&lt;0,$T722&gt;228,$Y722=""),"—",ROUND(IF(ABS($AB722)&lt;=3,$AB722,IF($AB722&gt;3,3+($J722-$AD722)/($AD722-$AC722),-3+($J722-$AF722)/($AE722-$AF722))),2))</f>
        <v/>
      </c>
      <c r="L722">
        <f>IF(OR($K722="",$K722="—"),"",IF($T722&lt;=60,IF($K722&lt;-3,"Magreza acentuada",IF($K722&lt;-2,"Magreza",IF($K722&lt;=1,"Eutrofia",IF($K722&lt;=2,"Risco de sobrepeso",IF($K722&lt;=3,"Sobrepeso","Obesidade"))))),IF($K722&lt;-3,"Magreza acentuada",IF($K722&lt;-2,"Magreza",IF($K722&lt;=1,"Eutrofia",IF($K722&lt;=2,"Sobrepeso",IF($K722&lt;=3,"Obesidade","Obesidade grave")))))))</f>
        <v/>
      </c>
      <c r="M722" s="12">
        <f>IF(OR($S722="",$V722="",$T722="",$T722&lt;0,$T722&gt;228,$AG722=""),"—",ROUND(IF($AG722=0,LN($V722/$AH722)/$AI722,((($V722/$AH722)^$AG722)-1)/($AG722*$AI722)),2))</f>
        <v/>
      </c>
      <c r="N722">
        <f>IF(OR($M722="",$M722="—"),"",IF($M722&lt;-3,"Muito baixa",IF($M722&lt;-2,"Baixa","Adequada")))</f>
        <v/>
      </c>
      <c r="O722" s="12">
        <f>IF(OR($S722="",$F722="",$T722="",$T722&lt;0,$T722&gt;120,$AJ722=""),"—",ROUND(IF(ABS($AM722)&lt;=3,$AM722,IF($AM722&gt;3,3+($F722-$AO722)/($AO722-$AN722),-3+($F722-$AQ722)/($AP722-$AQ722))),2))</f>
        <v/>
      </c>
      <c r="P722">
        <f>IF(OR($O722="",$O722="—"),"",IF($O722&lt;-3,"Muito baixo",IF($O722&lt;-2,"Baixo",IF($O722&lt;=2,"Adequado","Elevado"))))</f>
        <v/>
      </c>
      <c r="Q722" s="12">
        <f>IF(OR($S722="",$F722="",$T722="",$T722&lt;0,$T722&gt;60,$AR722=""),"—",ROUND(IF(ABS($AU722)&lt;=3,$AU722,IF($AU722&gt;3,3+($F722-$AW722)/($AW722-$AV722),-3+($F722-$AY722)/($AX722-$AY722))),2))</f>
        <v/>
      </c>
      <c r="R722">
        <f>IF(OR($Q722="",$Q722="—"),"",IF($Q722&lt;-3,"Magreza acentuada",IF($Q722&lt;-2,"Magreza",IF($Q722&lt;=1,"Eutrofia",IF($Q722&lt;=2,"Risco de sobrepeso",IF($Q722&lt;=3,"Sobrepeso","Obesidade"))))))</f>
        <v/>
      </c>
      <c r="S722">
        <f>IF($C722="","",IF(UPPER(LEFT($C722,1))="M",1,IF(UPPER(LEFT($C722,1))="F",2,"")))</f>
        <v/>
      </c>
      <c r="T722">
        <f>IF(OR($D722="",$E722=""),"",DATEDIF($D722,$E722,"m"))</f>
        <v/>
      </c>
      <c r="U722">
        <f>IF(OR($D722="",$E722=""),"",$E722-$D722)</f>
        <v/>
      </c>
      <c r="V722">
        <f>IF(OR($G722="",$T722=""),"",IF($T722&lt;24,IF(LEFT(LOWER($H722),4)="em p",$G722+0.7,$G722),IF(LEFT(LOWER($H722),4)="deit",$G722-0.7,$G722)))</f>
        <v/>
      </c>
      <c r="W722">
        <f>IF(OR($S722="",$T722=""),"",$S722*1000000+IF($T722&lt;=60,$U722,$T722))</f>
        <v/>
      </c>
      <c r="X722">
        <f>IF(OR($S722="",$V722="",$T722&gt;60,$T722=""),"",$S722*1000000+ROUND($V722*10,0))</f>
        <v/>
      </c>
      <c r="Y722">
        <f>IF($W722="","",IFERROR(INDEX(IF($T722&lt;=60,imc05_l,imc519_l),MATCH($W722,IF($T722&lt;=60,imc05_k,imc519_k),1)),""))</f>
        <v/>
      </c>
      <c r="Z722">
        <f>IF($W722="","",IFERROR(INDEX(IF($T722&lt;=60,imc05_m,imc519_m),MATCH($W722,IF($T722&lt;=60,imc05_k,imc519_k),1)),""))</f>
        <v/>
      </c>
      <c r="AA722">
        <f>IF($W722="","",IFERROR(INDEX(IF($T722&lt;=60,imc05_s,imc519_s),MATCH($W722,IF($T722&lt;=60,imc05_k,imc519_k),1)),""))</f>
        <v/>
      </c>
      <c r="AB722">
        <f>IF($Y722="","",IF($Y722=0,LN($J722/$Z722)/$AA722,((($J722/$Z722)^$Y722)-1)/($Y722*$AA722)))</f>
        <v/>
      </c>
      <c r="AC722">
        <f>IF($Y722="","",IF($Y722=0,$Z722*EXP($AA722*2),$Z722*(1+$Y722*$AA722*2)^(1/$Y722)))</f>
        <v/>
      </c>
      <c r="AD722">
        <f>IF($Y722="","",IF($Y722=0,$Z722*EXP($AA722*3),$Z722*(1+$Y722*$AA722*3)^(1/$Y722)))</f>
        <v/>
      </c>
      <c r="AE722">
        <f>IF($Y722="","",IF($Y722=0,$Z722*EXP($AA722*-2),$Z722*(1+$Y722*$AA722*-2)^(1/$Y722)))</f>
        <v/>
      </c>
      <c r="AF722">
        <f>IF($Y722="","",IF($Y722=0,$Z722*EXP($AA722*-3),$Z722*(1+$Y722*$AA722*-3)^(1/$Y722)))</f>
        <v/>
      </c>
      <c r="AG722">
        <f>IF($W722="","",IFERROR(INDEX(IF($T722&lt;=60,est05_l,est519_l),MATCH($W722,IF($T722&lt;=60,est05_k,est519_k),1)),""))</f>
        <v/>
      </c>
      <c r="AH722">
        <f>IF($W722="","",IFERROR(INDEX(IF($T722&lt;=60,est05_m,est519_m),MATCH($W722,IF($T722&lt;=60,est05_k,est519_k),1)),""))</f>
        <v/>
      </c>
      <c r="AI722">
        <f>IF($W722="","",IFERROR(INDEX(IF($T722&lt;=60,est05_s,est519_s),MATCH($W722,IF($T722&lt;=60,est05_k,est519_k),1)),""))</f>
        <v/>
      </c>
      <c r="AJ722">
        <f>IF($W722="","",IFERROR(INDEX(IF($T722&lt;=60,peso05_l,peso510_l),MATCH($W722,IF($T722&lt;=60,peso05_k,peso510_k),1)),""))</f>
        <v/>
      </c>
      <c r="AK722">
        <f>IF($W722="","",IFERROR(INDEX(IF($T722&lt;=60,peso05_m,peso510_m),MATCH($W722,IF($T722&lt;=60,peso05_k,peso510_k),1)),""))</f>
        <v/>
      </c>
      <c r="AL722">
        <f>IF($W722="","",IFERROR(INDEX(IF($T722&lt;=60,peso05_s,peso510_s),MATCH($W722,IF($T722&lt;=60,peso05_k,peso510_k),1)),""))</f>
        <v/>
      </c>
      <c r="AM722">
        <f>IF($AJ722="","",IF($AJ722=0,LN($F722/$AK722)/$AL722,((($F722/$AK722)^$AJ722)-1)/($AJ722*$AL722)))</f>
        <v/>
      </c>
      <c r="AN722">
        <f>IF($AJ722="","",IF($AJ722=0,$AK722*EXP($AL722*2),$AK722*(1+$AJ722*$AL722*2)^(1/$AJ722)))</f>
        <v/>
      </c>
      <c r="AO722">
        <f>IF($AJ722="","",IF($AJ722=0,$AK722*EXP($AL722*3),$AK722*(1+$AJ722*$AL722*3)^(1/$AJ722)))</f>
        <v/>
      </c>
      <c r="AP722">
        <f>IF($AJ722="","",IF($AJ722=0,$AK722*EXP($AL722*-2),$AK722*(1+$AJ722*$AL722*-2)^(1/$AJ722)))</f>
        <v/>
      </c>
      <c r="AQ722">
        <f>IF($AJ722="","",IF($AJ722=0,$AK722*EXP($AL722*-3),$AK722*(1+$AJ722*$AL722*-3)^(1/$AJ722)))</f>
        <v/>
      </c>
      <c r="AR722">
        <f>IF(OR($X722="",$T722&gt;60),"",IFERROR(INDEX(IF($T722&lt;24,pcomp_l,palt_l),MATCH($X722,IF($T722&lt;24,pcomp_k,palt_k),1)),""))</f>
        <v/>
      </c>
      <c r="AS722">
        <f>IF(OR($X722="",$T722&gt;60),"",IFERROR(INDEX(IF($T722&lt;24,pcomp_m,palt_m),MATCH($X722,IF($T722&lt;24,pcomp_k,palt_k),1)),""))</f>
        <v/>
      </c>
      <c r="AT722">
        <f>IF(OR($X722="",$T722&gt;60),"",IFERROR(INDEX(IF($T722&lt;24,pcomp_s,palt_s),MATCH($X722,IF($T722&lt;24,pcomp_k,palt_k),1)),""))</f>
        <v/>
      </c>
      <c r="AU722">
        <f>IF($AR722="","",IF($AR722=0,LN($F722/$AS722)/$AT722,((($F722/$AS722)^$AR722)-1)/($AR722*$AT722)))</f>
        <v/>
      </c>
      <c r="AV722">
        <f>IF($AR722="","",IF($AR722=0,$AS722*EXP($AT722*2),$AS722*(1+$AR722*$AT722*2)^(1/$AR722)))</f>
        <v/>
      </c>
      <c r="AW722">
        <f>IF($AR722="","",IF($AR722=0,$AS722*EXP($AT722*3),$AS722*(1+$AR722*$AT722*3)^(1/$AR722)))</f>
        <v/>
      </c>
      <c r="AX722">
        <f>IF($AR722="","",IF($AR722=0,$AS722*EXP($AT722*-2),$AS722*(1+$AR722*$AT722*-2)^(1/$AR722)))</f>
        <v/>
      </c>
      <c r="AY722">
        <f>IF($AR722="","",IF($AR722=0,$AS722*EXP($AT722*-3),$AS722*(1+$AR722*$AT722*-3)^(1/$AR722)))</f>
        <v/>
      </c>
      <c r="AZ722">
        <f>IF(OR($A722="",$A722&lt;&gt;Ficha!$C$4),"",COUNTIF($A$2:$A722,Ficha!$C$4))</f>
        <v/>
      </c>
    </row>
    <row r="723">
      <c r="A723" s="8">
        <f>IF(INDEX(Banco!$A:$A,ROW())="","",INDEX(Banco!$A:$A,ROW()))</f>
        <v/>
      </c>
      <c r="B723" s="8">
        <f>IF(INDEX(Banco!$B:$B,ROW())="","",INDEX(Banco!$B:$B,ROW()))</f>
        <v/>
      </c>
      <c r="C723" s="8">
        <f>IF(INDEX(Banco!$C:$C,ROW())="","",INDEX(Banco!$C:$C,ROW()))</f>
        <v/>
      </c>
      <c r="D723" s="9">
        <f>IF(INDEX(Banco!$D:$D,ROW())="","",INDEX(Banco!$D:$D,ROW()))</f>
        <v/>
      </c>
      <c r="E723" s="9">
        <f>IF(INDEX(Banco!$E:$E,ROW())="","",INDEX(Banco!$E:$E,ROW()))</f>
        <v/>
      </c>
      <c r="F723" s="10">
        <f>IF(INDEX(Banco!$F:$F,ROW())="","",INDEX(Banco!$F:$F,ROW()))</f>
        <v/>
      </c>
      <c r="G723" s="10">
        <f>IF(INDEX(Banco!$G:$G,ROW())="","",INDEX(Banco!$G:$G,ROW()))</f>
        <v/>
      </c>
      <c r="H723" s="8">
        <f>IF(INDEX(Banco!$H:$H,ROW())="","",INDEX(Banco!$H:$H,ROW()))</f>
        <v/>
      </c>
      <c r="I723">
        <f>IF($T723="","",INT($T723/12)&amp;"a "&amp;MOD($T723,12)&amp;"m")</f>
        <v/>
      </c>
      <c r="J723" s="11">
        <f>IF(OR($F723="",$G723=""),"",ROUND($F723/($G723/100)^2,2))</f>
        <v/>
      </c>
      <c r="K723" s="12">
        <f>IF(OR($S723="",$J723="",$T723="",$T723&lt;0,$T723&gt;228,$Y723=""),"—",ROUND(IF(ABS($AB723)&lt;=3,$AB723,IF($AB723&gt;3,3+($J723-$AD723)/($AD723-$AC723),-3+($J723-$AF723)/($AE723-$AF723))),2))</f>
        <v/>
      </c>
      <c r="L723">
        <f>IF(OR($K723="",$K723="—"),"",IF($T723&lt;=60,IF($K723&lt;-3,"Magreza acentuada",IF($K723&lt;-2,"Magreza",IF($K723&lt;=1,"Eutrofia",IF($K723&lt;=2,"Risco de sobrepeso",IF($K723&lt;=3,"Sobrepeso","Obesidade"))))),IF($K723&lt;-3,"Magreza acentuada",IF($K723&lt;-2,"Magreza",IF($K723&lt;=1,"Eutrofia",IF($K723&lt;=2,"Sobrepeso",IF($K723&lt;=3,"Obesidade","Obesidade grave")))))))</f>
        <v/>
      </c>
      <c r="M723" s="12">
        <f>IF(OR($S723="",$V723="",$T723="",$T723&lt;0,$T723&gt;228,$AG723=""),"—",ROUND(IF($AG723=0,LN($V723/$AH723)/$AI723,((($V723/$AH723)^$AG723)-1)/($AG723*$AI723)),2))</f>
        <v/>
      </c>
      <c r="N723">
        <f>IF(OR($M723="",$M723="—"),"",IF($M723&lt;-3,"Muito baixa",IF($M723&lt;-2,"Baixa","Adequada")))</f>
        <v/>
      </c>
      <c r="O723" s="12">
        <f>IF(OR($S723="",$F723="",$T723="",$T723&lt;0,$T723&gt;120,$AJ723=""),"—",ROUND(IF(ABS($AM723)&lt;=3,$AM723,IF($AM723&gt;3,3+($F723-$AO723)/($AO723-$AN723),-3+($F723-$AQ723)/($AP723-$AQ723))),2))</f>
        <v/>
      </c>
      <c r="P723">
        <f>IF(OR($O723="",$O723="—"),"",IF($O723&lt;-3,"Muito baixo",IF($O723&lt;-2,"Baixo",IF($O723&lt;=2,"Adequado","Elevado"))))</f>
        <v/>
      </c>
      <c r="Q723" s="12">
        <f>IF(OR($S723="",$F723="",$T723="",$T723&lt;0,$T723&gt;60,$AR723=""),"—",ROUND(IF(ABS($AU723)&lt;=3,$AU723,IF($AU723&gt;3,3+($F723-$AW723)/($AW723-$AV723),-3+($F723-$AY723)/($AX723-$AY723))),2))</f>
        <v/>
      </c>
      <c r="R723">
        <f>IF(OR($Q723="",$Q723="—"),"",IF($Q723&lt;-3,"Magreza acentuada",IF($Q723&lt;-2,"Magreza",IF($Q723&lt;=1,"Eutrofia",IF($Q723&lt;=2,"Risco de sobrepeso",IF($Q723&lt;=3,"Sobrepeso","Obesidade"))))))</f>
        <v/>
      </c>
      <c r="S723">
        <f>IF($C723="","",IF(UPPER(LEFT($C723,1))="M",1,IF(UPPER(LEFT($C723,1))="F",2,"")))</f>
        <v/>
      </c>
      <c r="T723">
        <f>IF(OR($D723="",$E723=""),"",DATEDIF($D723,$E723,"m"))</f>
        <v/>
      </c>
      <c r="U723">
        <f>IF(OR($D723="",$E723=""),"",$E723-$D723)</f>
        <v/>
      </c>
      <c r="V723">
        <f>IF(OR($G723="",$T723=""),"",IF($T723&lt;24,IF(LEFT(LOWER($H723),4)="em p",$G723+0.7,$G723),IF(LEFT(LOWER($H723),4)="deit",$G723-0.7,$G723)))</f>
        <v/>
      </c>
      <c r="W723">
        <f>IF(OR($S723="",$T723=""),"",$S723*1000000+IF($T723&lt;=60,$U723,$T723))</f>
        <v/>
      </c>
      <c r="X723">
        <f>IF(OR($S723="",$V723="",$T723&gt;60,$T723=""),"",$S723*1000000+ROUND($V723*10,0))</f>
        <v/>
      </c>
      <c r="Y723">
        <f>IF($W723="","",IFERROR(INDEX(IF($T723&lt;=60,imc05_l,imc519_l),MATCH($W723,IF($T723&lt;=60,imc05_k,imc519_k),1)),""))</f>
        <v/>
      </c>
      <c r="Z723">
        <f>IF($W723="","",IFERROR(INDEX(IF($T723&lt;=60,imc05_m,imc519_m),MATCH($W723,IF($T723&lt;=60,imc05_k,imc519_k),1)),""))</f>
        <v/>
      </c>
      <c r="AA723">
        <f>IF($W723="","",IFERROR(INDEX(IF($T723&lt;=60,imc05_s,imc519_s),MATCH($W723,IF($T723&lt;=60,imc05_k,imc519_k),1)),""))</f>
        <v/>
      </c>
      <c r="AB723">
        <f>IF($Y723="","",IF($Y723=0,LN($J723/$Z723)/$AA723,((($J723/$Z723)^$Y723)-1)/($Y723*$AA723)))</f>
        <v/>
      </c>
      <c r="AC723">
        <f>IF($Y723="","",IF($Y723=0,$Z723*EXP($AA723*2),$Z723*(1+$Y723*$AA723*2)^(1/$Y723)))</f>
        <v/>
      </c>
      <c r="AD723">
        <f>IF($Y723="","",IF($Y723=0,$Z723*EXP($AA723*3),$Z723*(1+$Y723*$AA723*3)^(1/$Y723)))</f>
        <v/>
      </c>
      <c r="AE723">
        <f>IF($Y723="","",IF($Y723=0,$Z723*EXP($AA723*-2),$Z723*(1+$Y723*$AA723*-2)^(1/$Y723)))</f>
        <v/>
      </c>
      <c r="AF723">
        <f>IF($Y723="","",IF($Y723=0,$Z723*EXP($AA723*-3),$Z723*(1+$Y723*$AA723*-3)^(1/$Y723)))</f>
        <v/>
      </c>
      <c r="AG723">
        <f>IF($W723="","",IFERROR(INDEX(IF($T723&lt;=60,est05_l,est519_l),MATCH($W723,IF($T723&lt;=60,est05_k,est519_k),1)),""))</f>
        <v/>
      </c>
      <c r="AH723">
        <f>IF($W723="","",IFERROR(INDEX(IF($T723&lt;=60,est05_m,est519_m),MATCH($W723,IF($T723&lt;=60,est05_k,est519_k),1)),""))</f>
        <v/>
      </c>
      <c r="AI723">
        <f>IF($W723="","",IFERROR(INDEX(IF($T723&lt;=60,est05_s,est519_s),MATCH($W723,IF($T723&lt;=60,est05_k,est519_k),1)),""))</f>
        <v/>
      </c>
      <c r="AJ723">
        <f>IF($W723="","",IFERROR(INDEX(IF($T723&lt;=60,peso05_l,peso510_l),MATCH($W723,IF($T723&lt;=60,peso05_k,peso510_k),1)),""))</f>
        <v/>
      </c>
      <c r="AK723">
        <f>IF($W723="","",IFERROR(INDEX(IF($T723&lt;=60,peso05_m,peso510_m),MATCH($W723,IF($T723&lt;=60,peso05_k,peso510_k),1)),""))</f>
        <v/>
      </c>
      <c r="AL723">
        <f>IF($W723="","",IFERROR(INDEX(IF($T723&lt;=60,peso05_s,peso510_s),MATCH($W723,IF($T723&lt;=60,peso05_k,peso510_k),1)),""))</f>
        <v/>
      </c>
      <c r="AM723">
        <f>IF($AJ723="","",IF($AJ723=0,LN($F723/$AK723)/$AL723,((($F723/$AK723)^$AJ723)-1)/($AJ723*$AL723)))</f>
        <v/>
      </c>
      <c r="AN723">
        <f>IF($AJ723="","",IF($AJ723=0,$AK723*EXP($AL723*2),$AK723*(1+$AJ723*$AL723*2)^(1/$AJ723)))</f>
        <v/>
      </c>
      <c r="AO723">
        <f>IF($AJ723="","",IF($AJ723=0,$AK723*EXP($AL723*3),$AK723*(1+$AJ723*$AL723*3)^(1/$AJ723)))</f>
        <v/>
      </c>
      <c r="AP723">
        <f>IF($AJ723="","",IF($AJ723=0,$AK723*EXP($AL723*-2),$AK723*(1+$AJ723*$AL723*-2)^(1/$AJ723)))</f>
        <v/>
      </c>
      <c r="AQ723">
        <f>IF($AJ723="","",IF($AJ723=0,$AK723*EXP($AL723*-3),$AK723*(1+$AJ723*$AL723*-3)^(1/$AJ723)))</f>
        <v/>
      </c>
      <c r="AR723">
        <f>IF(OR($X723="",$T723&gt;60),"",IFERROR(INDEX(IF($T723&lt;24,pcomp_l,palt_l),MATCH($X723,IF($T723&lt;24,pcomp_k,palt_k),1)),""))</f>
        <v/>
      </c>
      <c r="AS723">
        <f>IF(OR($X723="",$T723&gt;60),"",IFERROR(INDEX(IF($T723&lt;24,pcomp_m,palt_m),MATCH($X723,IF($T723&lt;24,pcomp_k,palt_k),1)),""))</f>
        <v/>
      </c>
      <c r="AT723">
        <f>IF(OR($X723="",$T723&gt;60),"",IFERROR(INDEX(IF($T723&lt;24,pcomp_s,palt_s),MATCH($X723,IF($T723&lt;24,pcomp_k,palt_k),1)),""))</f>
        <v/>
      </c>
      <c r="AU723">
        <f>IF($AR723="","",IF($AR723=0,LN($F723/$AS723)/$AT723,((($F723/$AS723)^$AR723)-1)/($AR723*$AT723)))</f>
        <v/>
      </c>
      <c r="AV723">
        <f>IF($AR723="","",IF($AR723=0,$AS723*EXP($AT723*2),$AS723*(1+$AR723*$AT723*2)^(1/$AR723)))</f>
        <v/>
      </c>
      <c r="AW723">
        <f>IF($AR723="","",IF($AR723=0,$AS723*EXP($AT723*3),$AS723*(1+$AR723*$AT723*3)^(1/$AR723)))</f>
        <v/>
      </c>
      <c r="AX723">
        <f>IF($AR723="","",IF($AR723=0,$AS723*EXP($AT723*-2),$AS723*(1+$AR723*$AT723*-2)^(1/$AR723)))</f>
        <v/>
      </c>
      <c r="AY723">
        <f>IF($AR723="","",IF($AR723=0,$AS723*EXP($AT723*-3),$AS723*(1+$AR723*$AT723*-3)^(1/$AR723)))</f>
        <v/>
      </c>
      <c r="AZ723">
        <f>IF(OR($A723="",$A723&lt;&gt;Ficha!$C$4),"",COUNTIF($A$2:$A723,Ficha!$C$4))</f>
        <v/>
      </c>
    </row>
    <row r="724">
      <c r="A724" s="8">
        <f>IF(INDEX(Banco!$A:$A,ROW())="","",INDEX(Banco!$A:$A,ROW()))</f>
        <v/>
      </c>
      <c r="B724" s="8">
        <f>IF(INDEX(Banco!$B:$B,ROW())="","",INDEX(Banco!$B:$B,ROW()))</f>
        <v/>
      </c>
      <c r="C724" s="8">
        <f>IF(INDEX(Banco!$C:$C,ROW())="","",INDEX(Banco!$C:$C,ROW()))</f>
        <v/>
      </c>
      <c r="D724" s="9">
        <f>IF(INDEX(Banco!$D:$D,ROW())="","",INDEX(Banco!$D:$D,ROW()))</f>
        <v/>
      </c>
      <c r="E724" s="9">
        <f>IF(INDEX(Banco!$E:$E,ROW())="","",INDEX(Banco!$E:$E,ROW()))</f>
        <v/>
      </c>
      <c r="F724" s="10">
        <f>IF(INDEX(Banco!$F:$F,ROW())="","",INDEX(Banco!$F:$F,ROW()))</f>
        <v/>
      </c>
      <c r="G724" s="10">
        <f>IF(INDEX(Banco!$G:$G,ROW())="","",INDEX(Banco!$G:$G,ROW()))</f>
        <v/>
      </c>
      <c r="H724" s="8">
        <f>IF(INDEX(Banco!$H:$H,ROW())="","",INDEX(Banco!$H:$H,ROW()))</f>
        <v/>
      </c>
      <c r="I724">
        <f>IF($T724="","",INT($T724/12)&amp;"a "&amp;MOD($T724,12)&amp;"m")</f>
        <v/>
      </c>
      <c r="J724" s="11">
        <f>IF(OR($F724="",$G724=""),"",ROUND($F724/($G724/100)^2,2))</f>
        <v/>
      </c>
      <c r="K724" s="12">
        <f>IF(OR($S724="",$J724="",$T724="",$T724&lt;0,$T724&gt;228,$Y724=""),"—",ROUND(IF(ABS($AB724)&lt;=3,$AB724,IF($AB724&gt;3,3+($J724-$AD724)/($AD724-$AC724),-3+($J724-$AF724)/($AE724-$AF724))),2))</f>
        <v/>
      </c>
      <c r="L724">
        <f>IF(OR($K724="",$K724="—"),"",IF($T724&lt;=60,IF($K724&lt;-3,"Magreza acentuada",IF($K724&lt;-2,"Magreza",IF($K724&lt;=1,"Eutrofia",IF($K724&lt;=2,"Risco de sobrepeso",IF($K724&lt;=3,"Sobrepeso","Obesidade"))))),IF($K724&lt;-3,"Magreza acentuada",IF($K724&lt;-2,"Magreza",IF($K724&lt;=1,"Eutrofia",IF($K724&lt;=2,"Sobrepeso",IF($K724&lt;=3,"Obesidade","Obesidade grave")))))))</f>
        <v/>
      </c>
      <c r="M724" s="12">
        <f>IF(OR($S724="",$V724="",$T724="",$T724&lt;0,$T724&gt;228,$AG724=""),"—",ROUND(IF($AG724=0,LN($V724/$AH724)/$AI724,((($V724/$AH724)^$AG724)-1)/($AG724*$AI724)),2))</f>
        <v/>
      </c>
      <c r="N724">
        <f>IF(OR($M724="",$M724="—"),"",IF($M724&lt;-3,"Muito baixa",IF($M724&lt;-2,"Baixa","Adequada")))</f>
        <v/>
      </c>
      <c r="O724" s="12">
        <f>IF(OR($S724="",$F724="",$T724="",$T724&lt;0,$T724&gt;120,$AJ724=""),"—",ROUND(IF(ABS($AM724)&lt;=3,$AM724,IF($AM724&gt;3,3+($F724-$AO724)/($AO724-$AN724),-3+($F724-$AQ724)/($AP724-$AQ724))),2))</f>
        <v/>
      </c>
      <c r="P724">
        <f>IF(OR($O724="",$O724="—"),"",IF($O724&lt;-3,"Muito baixo",IF($O724&lt;-2,"Baixo",IF($O724&lt;=2,"Adequado","Elevado"))))</f>
        <v/>
      </c>
      <c r="Q724" s="12">
        <f>IF(OR($S724="",$F724="",$T724="",$T724&lt;0,$T724&gt;60,$AR724=""),"—",ROUND(IF(ABS($AU724)&lt;=3,$AU724,IF($AU724&gt;3,3+($F724-$AW724)/($AW724-$AV724),-3+($F724-$AY724)/($AX724-$AY724))),2))</f>
        <v/>
      </c>
      <c r="R724">
        <f>IF(OR($Q724="",$Q724="—"),"",IF($Q724&lt;-3,"Magreza acentuada",IF($Q724&lt;-2,"Magreza",IF($Q724&lt;=1,"Eutrofia",IF($Q724&lt;=2,"Risco de sobrepeso",IF($Q724&lt;=3,"Sobrepeso","Obesidade"))))))</f>
        <v/>
      </c>
      <c r="S724">
        <f>IF($C724="","",IF(UPPER(LEFT($C724,1))="M",1,IF(UPPER(LEFT($C724,1))="F",2,"")))</f>
        <v/>
      </c>
      <c r="T724">
        <f>IF(OR($D724="",$E724=""),"",DATEDIF($D724,$E724,"m"))</f>
        <v/>
      </c>
      <c r="U724">
        <f>IF(OR($D724="",$E724=""),"",$E724-$D724)</f>
        <v/>
      </c>
      <c r="V724">
        <f>IF(OR($G724="",$T724=""),"",IF($T724&lt;24,IF(LEFT(LOWER($H724),4)="em p",$G724+0.7,$G724),IF(LEFT(LOWER($H724),4)="deit",$G724-0.7,$G724)))</f>
        <v/>
      </c>
      <c r="W724">
        <f>IF(OR($S724="",$T724=""),"",$S724*1000000+IF($T724&lt;=60,$U724,$T724))</f>
        <v/>
      </c>
      <c r="X724">
        <f>IF(OR($S724="",$V724="",$T724&gt;60,$T724=""),"",$S724*1000000+ROUND($V724*10,0))</f>
        <v/>
      </c>
      <c r="Y724">
        <f>IF($W724="","",IFERROR(INDEX(IF($T724&lt;=60,imc05_l,imc519_l),MATCH($W724,IF($T724&lt;=60,imc05_k,imc519_k),1)),""))</f>
        <v/>
      </c>
      <c r="Z724">
        <f>IF($W724="","",IFERROR(INDEX(IF($T724&lt;=60,imc05_m,imc519_m),MATCH($W724,IF($T724&lt;=60,imc05_k,imc519_k),1)),""))</f>
        <v/>
      </c>
      <c r="AA724">
        <f>IF($W724="","",IFERROR(INDEX(IF($T724&lt;=60,imc05_s,imc519_s),MATCH($W724,IF($T724&lt;=60,imc05_k,imc519_k),1)),""))</f>
        <v/>
      </c>
      <c r="AB724">
        <f>IF($Y724="","",IF($Y724=0,LN($J724/$Z724)/$AA724,((($J724/$Z724)^$Y724)-1)/($Y724*$AA724)))</f>
        <v/>
      </c>
      <c r="AC724">
        <f>IF($Y724="","",IF($Y724=0,$Z724*EXP($AA724*2),$Z724*(1+$Y724*$AA724*2)^(1/$Y724)))</f>
        <v/>
      </c>
      <c r="AD724">
        <f>IF($Y724="","",IF($Y724=0,$Z724*EXP($AA724*3),$Z724*(1+$Y724*$AA724*3)^(1/$Y724)))</f>
        <v/>
      </c>
      <c r="AE724">
        <f>IF($Y724="","",IF($Y724=0,$Z724*EXP($AA724*-2),$Z724*(1+$Y724*$AA724*-2)^(1/$Y724)))</f>
        <v/>
      </c>
      <c r="AF724">
        <f>IF($Y724="","",IF($Y724=0,$Z724*EXP($AA724*-3),$Z724*(1+$Y724*$AA724*-3)^(1/$Y724)))</f>
        <v/>
      </c>
      <c r="AG724">
        <f>IF($W724="","",IFERROR(INDEX(IF($T724&lt;=60,est05_l,est519_l),MATCH($W724,IF($T724&lt;=60,est05_k,est519_k),1)),""))</f>
        <v/>
      </c>
      <c r="AH724">
        <f>IF($W724="","",IFERROR(INDEX(IF($T724&lt;=60,est05_m,est519_m),MATCH($W724,IF($T724&lt;=60,est05_k,est519_k),1)),""))</f>
        <v/>
      </c>
      <c r="AI724">
        <f>IF($W724="","",IFERROR(INDEX(IF($T724&lt;=60,est05_s,est519_s),MATCH($W724,IF($T724&lt;=60,est05_k,est519_k),1)),""))</f>
        <v/>
      </c>
      <c r="AJ724">
        <f>IF($W724="","",IFERROR(INDEX(IF($T724&lt;=60,peso05_l,peso510_l),MATCH($W724,IF($T724&lt;=60,peso05_k,peso510_k),1)),""))</f>
        <v/>
      </c>
      <c r="AK724">
        <f>IF($W724="","",IFERROR(INDEX(IF($T724&lt;=60,peso05_m,peso510_m),MATCH($W724,IF($T724&lt;=60,peso05_k,peso510_k),1)),""))</f>
        <v/>
      </c>
      <c r="AL724">
        <f>IF($W724="","",IFERROR(INDEX(IF($T724&lt;=60,peso05_s,peso510_s),MATCH($W724,IF($T724&lt;=60,peso05_k,peso510_k),1)),""))</f>
        <v/>
      </c>
      <c r="AM724">
        <f>IF($AJ724="","",IF($AJ724=0,LN($F724/$AK724)/$AL724,((($F724/$AK724)^$AJ724)-1)/($AJ724*$AL724)))</f>
        <v/>
      </c>
      <c r="AN724">
        <f>IF($AJ724="","",IF($AJ724=0,$AK724*EXP($AL724*2),$AK724*(1+$AJ724*$AL724*2)^(1/$AJ724)))</f>
        <v/>
      </c>
      <c r="AO724">
        <f>IF($AJ724="","",IF($AJ724=0,$AK724*EXP($AL724*3),$AK724*(1+$AJ724*$AL724*3)^(1/$AJ724)))</f>
        <v/>
      </c>
      <c r="AP724">
        <f>IF($AJ724="","",IF($AJ724=0,$AK724*EXP($AL724*-2),$AK724*(1+$AJ724*$AL724*-2)^(1/$AJ724)))</f>
        <v/>
      </c>
      <c r="AQ724">
        <f>IF($AJ724="","",IF($AJ724=0,$AK724*EXP($AL724*-3),$AK724*(1+$AJ724*$AL724*-3)^(1/$AJ724)))</f>
        <v/>
      </c>
      <c r="AR724">
        <f>IF(OR($X724="",$T724&gt;60),"",IFERROR(INDEX(IF($T724&lt;24,pcomp_l,palt_l),MATCH($X724,IF($T724&lt;24,pcomp_k,palt_k),1)),""))</f>
        <v/>
      </c>
      <c r="AS724">
        <f>IF(OR($X724="",$T724&gt;60),"",IFERROR(INDEX(IF($T724&lt;24,pcomp_m,palt_m),MATCH($X724,IF($T724&lt;24,pcomp_k,palt_k),1)),""))</f>
        <v/>
      </c>
      <c r="AT724">
        <f>IF(OR($X724="",$T724&gt;60),"",IFERROR(INDEX(IF($T724&lt;24,pcomp_s,palt_s),MATCH($X724,IF($T724&lt;24,pcomp_k,palt_k),1)),""))</f>
        <v/>
      </c>
      <c r="AU724">
        <f>IF($AR724="","",IF($AR724=0,LN($F724/$AS724)/$AT724,((($F724/$AS724)^$AR724)-1)/($AR724*$AT724)))</f>
        <v/>
      </c>
      <c r="AV724">
        <f>IF($AR724="","",IF($AR724=0,$AS724*EXP($AT724*2),$AS724*(1+$AR724*$AT724*2)^(1/$AR724)))</f>
        <v/>
      </c>
      <c r="AW724">
        <f>IF($AR724="","",IF($AR724=0,$AS724*EXP($AT724*3),$AS724*(1+$AR724*$AT724*3)^(1/$AR724)))</f>
        <v/>
      </c>
      <c r="AX724">
        <f>IF($AR724="","",IF($AR724=0,$AS724*EXP($AT724*-2),$AS724*(1+$AR724*$AT724*-2)^(1/$AR724)))</f>
        <v/>
      </c>
      <c r="AY724">
        <f>IF($AR724="","",IF($AR724=0,$AS724*EXP($AT724*-3),$AS724*(1+$AR724*$AT724*-3)^(1/$AR724)))</f>
        <v/>
      </c>
      <c r="AZ724">
        <f>IF(OR($A724="",$A724&lt;&gt;Ficha!$C$4),"",COUNTIF($A$2:$A724,Ficha!$C$4))</f>
        <v/>
      </c>
    </row>
    <row r="725">
      <c r="A725" s="8">
        <f>IF(INDEX(Banco!$A:$A,ROW())="","",INDEX(Banco!$A:$A,ROW()))</f>
        <v/>
      </c>
      <c r="B725" s="8">
        <f>IF(INDEX(Banco!$B:$B,ROW())="","",INDEX(Banco!$B:$B,ROW()))</f>
        <v/>
      </c>
      <c r="C725" s="8">
        <f>IF(INDEX(Banco!$C:$C,ROW())="","",INDEX(Banco!$C:$C,ROW()))</f>
        <v/>
      </c>
      <c r="D725" s="9">
        <f>IF(INDEX(Banco!$D:$D,ROW())="","",INDEX(Banco!$D:$D,ROW()))</f>
        <v/>
      </c>
      <c r="E725" s="9">
        <f>IF(INDEX(Banco!$E:$E,ROW())="","",INDEX(Banco!$E:$E,ROW()))</f>
        <v/>
      </c>
      <c r="F725" s="10">
        <f>IF(INDEX(Banco!$F:$F,ROW())="","",INDEX(Banco!$F:$F,ROW()))</f>
        <v/>
      </c>
      <c r="G725" s="10">
        <f>IF(INDEX(Banco!$G:$G,ROW())="","",INDEX(Banco!$G:$G,ROW()))</f>
        <v/>
      </c>
      <c r="H725" s="8">
        <f>IF(INDEX(Banco!$H:$H,ROW())="","",INDEX(Banco!$H:$H,ROW()))</f>
        <v/>
      </c>
      <c r="I725">
        <f>IF($T725="","",INT($T725/12)&amp;"a "&amp;MOD($T725,12)&amp;"m")</f>
        <v/>
      </c>
      <c r="J725" s="11">
        <f>IF(OR($F725="",$G725=""),"",ROUND($F725/($G725/100)^2,2))</f>
        <v/>
      </c>
      <c r="K725" s="12">
        <f>IF(OR($S725="",$J725="",$T725="",$T725&lt;0,$T725&gt;228,$Y725=""),"—",ROUND(IF(ABS($AB725)&lt;=3,$AB725,IF($AB725&gt;3,3+($J725-$AD725)/($AD725-$AC725),-3+($J725-$AF725)/($AE725-$AF725))),2))</f>
        <v/>
      </c>
      <c r="L725">
        <f>IF(OR($K725="",$K725="—"),"",IF($T725&lt;=60,IF($K725&lt;-3,"Magreza acentuada",IF($K725&lt;-2,"Magreza",IF($K725&lt;=1,"Eutrofia",IF($K725&lt;=2,"Risco de sobrepeso",IF($K725&lt;=3,"Sobrepeso","Obesidade"))))),IF($K725&lt;-3,"Magreza acentuada",IF($K725&lt;-2,"Magreza",IF($K725&lt;=1,"Eutrofia",IF($K725&lt;=2,"Sobrepeso",IF($K725&lt;=3,"Obesidade","Obesidade grave")))))))</f>
        <v/>
      </c>
      <c r="M725" s="12">
        <f>IF(OR($S725="",$V725="",$T725="",$T725&lt;0,$T725&gt;228,$AG725=""),"—",ROUND(IF($AG725=0,LN($V725/$AH725)/$AI725,((($V725/$AH725)^$AG725)-1)/($AG725*$AI725)),2))</f>
        <v/>
      </c>
      <c r="N725">
        <f>IF(OR($M725="",$M725="—"),"",IF($M725&lt;-3,"Muito baixa",IF($M725&lt;-2,"Baixa","Adequada")))</f>
        <v/>
      </c>
      <c r="O725" s="12">
        <f>IF(OR($S725="",$F725="",$T725="",$T725&lt;0,$T725&gt;120,$AJ725=""),"—",ROUND(IF(ABS($AM725)&lt;=3,$AM725,IF($AM725&gt;3,3+($F725-$AO725)/($AO725-$AN725),-3+($F725-$AQ725)/($AP725-$AQ725))),2))</f>
        <v/>
      </c>
      <c r="P725">
        <f>IF(OR($O725="",$O725="—"),"",IF($O725&lt;-3,"Muito baixo",IF($O725&lt;-2,"Baixo",IF($O725&lt;=2,"Adequado","Elevado"))))</f>
        <v/>
      </c>
      <c r="Q725" s="12">
        <f>IF(OR($S725="",$F725="",$T725="",$T725&lt;0,$T725&gt;60,$AR725=""),"—",ROUND(IF(ABS($AU725)&lt;=3,$AU725,IF($AU725&gt;3,3+($F725-$AW725)/($AW725-$AV725),-3+($F725-$AY725)/($AX725-$AY725))),2))</f>
        <v/>
      </c>
      <c r="R725">
        <f>IF(OR($Q725="",$Q725="—"),"",IF($Q725&lt;-3,"Magreza acentuada",IF($Q725&lt;-2,"Magreza",IF($Q725&lt;=1,"Eutrofia",IF($Q725&lt;=2,"Risco de sobrepeso",IF($Q725&lt;=3,"Sobrepeso","Obesidade"))))))</f>
        <v/>
      </c>
      <c r="S725">
        <f>IF($C725="","",IF(UPPER(LEFT($C725,1))="M",1,IF(UPPER(LEFT($C725,1))="F",2,"")))</f>
        <v/>
      </c>
      <c r="T725">
        <f>IF(OR($D725="",$E725=""),"",DATEDIF($D725,$E725,"m"))</f>
        <v/>
      </c>
      <c r="U725">
        <f>IF(OR($D725="",$E725=""),"",$E725-$D725)</f>
        <v/>
      </c>
      <c r="V725">
        <f>IF(OR($G725="",$T725=""),"",IF($T725&lt;24,IF(LEFT(LOWER($H725),4)="em p",$G725+0.7,$G725),IF(LEFT(LOWER($H725),4)="deit",$G725-0.7,$G725)))</f>
        <v/>
      </c>
      <c r="W725">
        <f>IF(OR($S725="",$T725=""),"",$S725*1000000+IF($T725&lt;=60,$U725,$T725))</f>
        <v/>
      </c>
      <c r="X725">
        <f>IF(OR($S725="",$V725="",$T725&gt;60,$T725=""),"",$S725*1000000+ROUND($V725*10,0))</f>
        <v/>
      </c>
      <c r="Y725">
        <f>IF($W725="","",IFERROR(INDEX(IF($T725&lt;=60,imc05_l,imc519_l),MATCH($W725,IF($T725&lt;=60,imc05_k,imc519_k),1)),""))</f>
        <v/>
      </c>
      <c r="Z725">
        <f>IF($W725="","",IFERROR(INDEX(IF($T725&lt;=60,imc05_m,imc519_m),MATCH($W725,IF($T725&lt;=60,imc05_k,imc519_k),1)),""))</f>
        <v/>
      </c>
      <c r="AA725">
        <f>IF($W725="","",IFERROR(INDEX(IF($T725&lt;=60,imc05_s,imc519_s),MATCH($W725,IF($T725&lt;=60,imc05_k,imc519_k),1)),""))</f>
        <v/>
      </c>
      <c r="AB725">
        <f>IF($Y725="","",IF($Y725=0,LN($J725/$Z725)/$AA725,((($J725/$Z725)^$Y725)-1)/($Y725*$AA725)))</f>
        <v/>
      </c>
      <c r="AC725">
        <f>IF($Y725="","",IF($Y725=0,$Z725*EXP($AA725*2),$Z725*(1+$Y725*$AA725*2)^(1/$Y725)))</f>
        <v/>
      </c>
      <c r="AD725">
        <f>IF($Y725="","",IF($Y725=0,$Z725*EXP($AA725*3),$Z725*(1+$Y725*$AA725*3)^(1/$Y725)))</f>
        <v/>
      </c>
      <c r="AE725">
        <f>IF($Y725="","",IF($Y725=0,$Z725*EXP($AA725*-2),$Z725*(1+$Y725*$AA725*-2)^(1/$Y725)))</f>
        <v/>
      </c>
      <c r="AF725">
        <f>IF($Y725="","",IF($Y725=0,$Z725*EXP($AA725*-3),$Z725*(1+$Y725*$AA725*-3)^(1/$Y725)))</f>
        <v/>
      </c>
      <c r="AG725">
        <f>IF($W725="","",IFERROR(INDEX(IF($T725&lt;=60,est05_l,est519_l),MATCH($W725,IF($T725&lt;=60,est05_k,est519_k),1)),""))</f>
        <v/>
      </c>
      <c r="AH725">
        <f>IF($W725="","",IFERROR(INDEX(IF($T725&lt;=60,est05_m,est519_m),MATCH($W725,IF($T725&lt;=60,est05_k,est519_k),1)),""))</f>
        <v/>
      </c>
      <c r="AI725">
        <f>IF($W725="","",IFERROR(INDEX(IF($T725&lt;=60,est05_s,est519_s),MATCH($W725,IF($T725&lt;=60,est05_k,est519_k),1)),""))</f>
        <v/>
      </c>
      <c r="AJ725">
        <f>IF($W725="","",IFERROR(INDEX(IF($T725&lt;=60,peso05_l,peso510_l),MATCH($W725,IF($T725&lt;=60,peso05_k,peso510_k),1)),""))</f>
        <v/>
      </c>
      <c r="AK725">
        <f>IF($W725="","",IFERROR(INDEX(IF($T725&lt;=60,peso05_m,peso510_m),MATCH($W725,IF($T725&lt;=60,peso05_k,peso510_k),1)),""))</f>
        <v/>
      </c>
      <c r="AL725">
        <f>IF($W725="","",IFERROR(INDEX(IF($T725&lt;=60,peso05_s,peso510_s),MATCH($W725,IF($T725&lt;=60,peso05_k,peso510_k),1)),""))</f>
        <v/>
      </c>
      <c r="AM725">
        <f>IF($AJ725="","",IF($AJ725=0,LN($F725/$AK725)/$AL725,((($F725/$AK725)^$AJ725)-1)/($AJ725*$AL725)))</f>
        <v/>
      </c>
      <c r="AN725">
        <f>IF($AJ725="","",IF($AJ725=0,$AK725*EXP($AL725*2),$AK725*(1+$AJ725*$AL725*2)^(1/$AJ725)))</f>
        <v/>
      </c>
      <c r="AO725">
        <f>IF($AJ725="","",IF($AJ725=0,$AK725*EXP($AL725*3),$AK725*(1+$AJ725*$AL725*3)^(1/$AJ725)))</f>
        <v/>
      </c>
      <c r="AP725">
        <f>IF($AJ725="","",IF($AJ725=0,$AK725*EXP($AL725*-2),$AK725*(1+$AJ725*$AL725*-2)^(1/$AJ725)))</f>
        <v/>
      </c>
      <c r="AQ725">
        <f>IF($AJ725="","",IF($AJ725=0,$AK725*EXP($AL725*-3),$AK725*(1+$AJ725*$AL725*-3)^(1/$AJ725)))</f>
        <v/>
      </c>
      <c r="AR725">
        <f>IF(OR($X725="",$T725&gt;60),"",IFERROR(INDEX(IF($T725&lt;24,pcomp_l,palt_l),MATCH($X725,IF($T725&lt;24,pcomp_k,palt_k),1)),""))</f>
        <v/>
      </c>
      <c r="AS725">
        <f>IF(OR($X725="",$T725&gt;60),"",IFERROR(INDEX(IF($T725&lt;24,pcomp_m,palt_m),MATCH($X725,IF($T725&lt;24,pcomp_k,palt_k),1)),""))</f>
        <v/>
      </c>
      <c r="AT725">
        <f>IF(OR($X725="",$T725&gt;60),"",IFERROR(INDEX(IF($T725&lt;24,pcomp_s,palt_s),MATCH($X725,IF($T725&lt;24,pcomp_k,palt_k),1)),""))</f>
        <v/>
      </c>
      <c r="AU725">
        <f>IF($AR725="","",IF($AR725=0,LN($F725/$AS725)/$AT725,((($F725/$AS725)^$AR725)-1)/($AR725*$AT725)))</f>
        <v/>
      </c>
      <c r="AV725">
        <f>IF($AR725="","",IF($AR725=0,$AS725*EXP($AT725*2),$AS725*(1+$AR725*$AT725*2)^(1/$AR725)))</f>
        <v/>
      </c>
      <c r="AW725">
        <f>IF($AR725="","",IF($AR725=0,$AS725*EXP($AT725*3),$AS725*(1+$AR725*$AT725*3)^(1/$AR725)))</f>
        <v/>
      </c>
      <c r="AX725">
        <f>IF($AR725="","",IF($AR725=0,$AS725*EXP($AT725*-2),$AS725*(1+$AR725*$AT725*-2)^(1/$AR725)))</f>
        <v/>
      </c>
      <c r="AY725">
        <f>IF($AR725="","",IF($AR725=0,$AS725*EXP($AT725*-3),$AS725*(1+$AR725*$AT725*-3)^(1/$AR725)))</f>
        <v/>
      </c>
      <c r="AZ725">
        <f>IF(OR($A725="",$A725&lt;&gt;Ficha!$C$4),"",COUNTIF($A$2:$A725,Ficha!$C$4))</f>
        <v/>
      </c>
    </row>
    <row r="726">
      <c r="A726" s="8">
        <f>IF(INDEX(Banco!$A:$A,ROW())="","",INDEX(Banco!$A:$A,ROW()))</f>
        <v/>
      </c>
      <c r="B726" s="8">
        <f>IF(INDEX(Banco!$B:$B,ROW())="","",INDEX(Banco!$B:$B,ROW()))</f>
        <v/>
      </c>
      <c r="C726" s="8">
        <f>IF(INDEX(Banco!$C:$C,ROW())="","",INDEX(Banco!$C:$C,ROW()))</f>
        <v/>
      </c>
      <c r="D726" s="9">
        <f>IF(INDEX(Banco!$D:$D,ROW())="","",INDEX(Banco!$D:$D,ROW()))</f>
        <v/>
      </c>
      <c r="E726" s="9">
        <f>IF(INDEX(Banco!$E:$E,ROW())="","",INDEX(Banco!$E:$E,ROW()))</f>
        <v/>
      </c>
      <c r="F726" s="10">
        <f>IF(INDEX(Banco!$F:$F,ROW())="","",INDEX(Banco!$F:$F,ROW()))</f>
        <v/>
      </c>
      <c r="G726" s="10">
        <f>IF(INDEX(Banco!$G:$G,ROW())="","",INDEX(Banco!$G:$G,ROW()))</f>
        <v/>
      </c>
      <c r="H726" s="8">
        <f>IF(INDEX(Banco!$H:$H,ROW())="","",INDEX(Banco!$H:$H,ROW()))</f>
        <v/>
      </c>
      <c r="I726">
        <f>IF($T726="","",INT($T726/12)&amp;"a "&amp;MOD($T726,12)&amp;"m")</f>
        <v/>
      </c>
      <c r="J726" s="11">
        <f>IF(OR($F726="",$G726=""),"",ROUND($F726/($G726/100)^2,2))</f>
        <v/>
      </c>
      <c r="K726" s="12">
        <f>IF(OR($S726="",$J726="",$T726="",$T726&lt;0,$T726&gt;228,$Y726=""),"—",ROUND(IF(ABS($AB726)&lt;=3,$AB726,IF($AB726&gt;3,3+($J726-$AD726)/($AD726-$AC726),-3+($J726-$AF726)/($AE726-$AF726))),2))</f>
        <v/>
      </c>
      <c r="L726">
        <f>IF(OR($K726="",$K726="—"),"",IF($T726&lt;=60,IF($K726&lt;-3,"Magreza acentuada",IF($K726&lt;-2,"Magreza",IF($K726&lt;=1,"Eutrofia",IF($K726&lt;=2,"Risco de sobrepeso",IF($K726&lt;=3,"Sobrepeso","Obesidade"))))),IF($K726&lt;-3,"Magreza acentuada",IF($K726&lt;-2,"Magreza",IF($K726&lt;=1,"Eutrofia",IF($K726&lt;=2,"Sobrepeso",IF($K726&lt;=3,"Obesidade","Obesidade grave")))))))</f>
        <v/>
      </c>
      <c r="M726" s="12">
        <f>IF(OR($S726="",$V726="",$T726="",$T726&lt;0,$T726&gt;228,$AG726=""),"—",ROUND(IF($AG726=0,LN($V726/$AH726)/$AI726,((($V726/$AH726)^$AG726)-1)/($AG726*$AI726)),2))</f>
        <v/>
      </c>
      <c r="N726">
        <f>IF(OR($M726="",$M726="—"),"",IF($M726&lt;-3,"Muito baixa",IF($M726&lt;-2,"Baixa","Adequada")))</f>
        <v/>
      </c>
      <c r="O726" s="12">
        <f>IF(OR($S726="",$F726="",$T726="",$T726&lt;0,$T726&gt;120,$AJ726=""),"—",ROUND(IF(ABS($AM726)&lt;=3,$AM726,IF($AM726&gt;3,3+($F726-$AO726)/($AO726-$AN726),-3+($F726-$AQ726)/($AP726-$AQ726))),2))</f>
        <v/>
      </c>
      <c r="P726">
        <f>IF(OR($O726="",$O726="—"),"",IF($O726&lt;-3,"Muito baixo",IF($O726&lt;-2,"Baixo",IF($O726&lt;=2,"Adequado","Elevado"))))</f>
        <v/>
      </c>
      <c r="Q726" s="12">
        <f>IF(OR($S726="",$F726="",$T726="",$T726&lt;0,$T726&gt;60,$AR726=""),"—",ROUND(IF(ABS($AU726)&lt;=3,$AU726,IF($AU726&gt;3,3+($F726-$AW726)/($AW726-$AV726),-3+($F726-$AY726)/($AX726-$AY726))),2))</f>
        <v/>
      </c>
      <c r="R726">
        <f>IF(OR($Q726="",$Q726="—"),"",IF($Q726&lt;-3,"Magreza acentuada",IF($Q726&lt;-2,"Magreza",IF($Q726&lt;=1,"Eutrofia",IF($Q726&lt;=2,"Risco de sobrepeso",IF($Q726&lt;=3,"Sobrepeso","Obesidade"))))))</f>
        <v/>
      </c>
      <c r="S726">
        <f>IF($C726="","",IF(UPPER(LEFT($C726,1))="M",1,IF(UPPER(LEFT($C726,1))="F",2,"")))</f>
        <v/>
      </c>
      <c r="T726">
        <f>IF(OR($D726="",$E726=""),"",DATEDIF($D726,$E726,"m"))</f>
        <v/>
      </c>
      <c r="U726">
        <f>IF(OR($D726="",$E726=""),"",$E726-$D726)</f>
        <v/>
      </c>
      <c r="V726">
        <f>IF(OR($G726="",$T726=""),"",IF($T726&lt;24,IF(LEFT(LOWER($H726),4)="em p",$G726+0.7,$G726),IF(LEFT(LOWER($H726),4)="deit",$G726-0.7,$G726)))</f>
        <v/>
      </c>
      <c r="W726">
        <f>IF(OR($S726="",$T726=""),"",$S726*1000000+IF($T726&lt;=60,$U726,$T726))</f>
        <v/>
      </c>
      <c r="X726">
        <f>IF(OR($S726="",$V726="",$T726&gt;60,$T726=""),"",$S726*1000000+ROUND($V726*10,0))</f>
        <v/>
      </c>
      <c r="Y726">
        <f>IF($W726="","",IFERROR(INDEX(IF($T726&lt;=60,imc05_l,imc519_l),MATCH($W726,IF($T726&lt;=60,imc05_k,imc519_k),1)),""))</f>
        <v/>
      </c>
      <c r="Z726">
        <f>IF($W726="","",IFERROR(INDEX(IF($T726&lt;=60,imc05_m,imc519_m),MATCH($W726,IF($T726&lt;=60,imc05_k,imc519_k),1)),""))</f>
        <v/>
      </c>
      <c r="AA726">
        <f>IF($W726="","",IFERROR(INDEX(IF($T726&lt;=60,imc05_s,imc519_s),MATCH($W726,IF($T726&lt;=60,imc05_k,imc519_k),1)),""))</f>
        <v/>
      </c>
      <c r="AB726">
        <f>IF($Y726="","",IF($Y726=0,LN($J726/$Z726)/$AA726,((($J726/$Z726)^$Y726)-1)/($Y726*$AA726)))</f>
        <v/>
      </c>
      <c r="AC726">
        <f>IF($Y726="","",IF($Y726=0,$Z726*EXP($AA726*2),$Z726*(1+$Y726*$AA726*2)^(1/$Y726)))</f>
        <v/>
      </c>
      <c r="AD726">
        <f>IF($Y726="","",IF($Y726=0,$Z726*EXP($AA726*3),$Z726*(1+$Y726*$AA726*3)^(1/$Y726)))</f>
        <v/>
      </c>
      <c r="AE726">
        <f>IF($Y726="","",IF($Y726=0,$Z726*EXP($AA726*-2),$Z726*(1+$Y726*$AA726*-2)^(1/$Y726)))</f>
        <v/>
      </c>
      <c r="AF726">
        <f>IF($Y726="","",IF($Y726=0,$Z726*EXP($AA726*-3),$Z726*(1+$Y726*$AA726*-3)^(1/$Y726)))</f>
        <v/>
      </c>
      <c r="AG726">
        <f>IF($W726="","",IFERROR(INDEX(IF($T726&lt;=60,est05_l,est519_l),MATCH($W726,IF($T726&lt;=60,est05_k,est519_k),1)),""))</f>
        <v/>
      </c>
      <c r="AH726">
        <f>IF($W726="","",IFERROR(INDEX(IF($T726&lt;=60,est05_m,est519_m),MATCH($W726,IF($T726&lt;=60,est05_k,est519_k),1)),""))</f>
        <v/>
      </c>
      <c r="AI726">
        <f>IF($W726="","",IFERROR(INDEX(IF($T726&lt;=60,est05_s,est519_s),MATCH($W726,IF($T726&lt;=60,est05_k,est519_k),1)),""))</f>
        <v/>
      </c>
      <c r="AJ726">
        <f>IF($W726="","",IFERROR(INDEX(IF($T726&lt;=60,peso05_l,peso510_l),MATCH($W726,IF($T726&lt;=60,peso05_k,peso510_k),1)),""))</f>
        <v/>
      </c>
      <c r="AK726">
        <f>IF($W726="","",IFERROR(INDEX(IF($T726&lt;=60,peso05_m,peso510_m),MATCH($W726,IF($T726&lt;=60,peso05_k,peso510_k),1)),""))</f>
        <v/>
      </c>
      <c r="AL726">
        <f>IF($W726="","",IFERROR(INDEX(IF($T726&lt;=60,peso05_s,peso510_s),MATCH($W726,IF($T726&lt;=60,peso05_k,peso510_k),1)),""))</f>
        <v/>
      </c>
      <c r="AM726">
        <f>IF($AJ726="","",IF($AJ726=0,LN($F726/$AK726)/$AL726,((($F726/$AK726)^$AJ726)-1)/($AJ726*$AL726)))</f>
        <v/>
      </c>
      <c r="AN726">
        <f>IF($AJ726="","",IF($AJ726=0,$AK726*EXP($AL726*2),$AK726*(1+$AJ726*$AL726*2)^(1/$AJ726)))</f>
        <v/>
      </c>
      <c r="AO726">
        <f>IF($AJ726="","",IF($AJ726=0,$AK726*EXP($AL726*3),$AK726*(1+$AJ726*$AL726*3)^(1/$AJ726)))</f>
        <v/>
      </c>
      <c r="AP726">
        <f>IF($AJ726="","",IF($AJ726=0,$AK726*EXP($AL726*-2),$AK726*(1+$AJ726*$AL726*-2)^(1/$AJ726)))</f>
        <v/>
      </c>
      <c r="AQ726">
        <f>IF($AJ726="","",IF($AJ726=0,$AK726*EXP($AL726*-3),$AK726*(1+$AJ726*$AL726*-3)^(1/$AJ726)))</f>
        <v/>
      </c>
      <c r="AR726">
        <f>IF(OR($X726="",$T726&gt;60),"",IFERROR(INDEX(IF($T726&lt;24,pcomp_l,palt_l),MATCH($X726,IF($T726&lt;24,pcomp_k,palt_k),1)),""))</f>
        <v/>
      </c>
      <c r="AS726">
        <f>IF(OR($X726="",$T726&gt;60),"",IFERROR(INDEX(IF($T726&lt;24,pcomp_m,palt_m),MATCH($X726,IF($T726&lt;24,pcomp_k,palt_k),1)),""))</f>
        <v/>
      </c>
      <c r="AT726">
        <f>IF(OR($X726="",$T726&gt;60),"",IFERROR(INDEX(IF($T726&lt;24,pcomp_s,palt_s),MATCH($X726,IF($T726&lt;24,pcomp_k,palt_k),1)),""))</f>
        <v/>
      </c>
      <c r="AU726">
        <f>IF($AR726="","",IF($AR726=0,LN($F726/$AS726)/$AT726,((($F726/$AS726)^$AR726)-1)/($AR726*$AT726)))</f>
        <v/>
      </c>
      <c r="AV726">
        <f>IF($AR726="","",IF($AR726=0,$AS726*EXP($AT726*2),$AS726*(1+$AR726*$AT726*2)^(1/$AR726)))</f>
        <v/>
      </c>
      <c r="AW726">
        <f>IF($AR726="","",IF($AR726=0,$AS726*EXP($AT726*3),$AS726*(1+$AR726*$AT726*3)^(1/$AR726)))</f>
        <v/>
      </c>
      <c r="AX726">
        <f>IF($AR726="","",IF($AR726=0,$AS726*EXP($AT726*-2),$AS726*(1+$AR726*$AT726*-2)^(1/$AR726)))</f>
        <v/>
      </c>
      <c r="AY726">
        <f>IF($AR726="","",IF($AR726=0,$AS726*EXP($AT726*-3),$AS726*(1+$AR726*$AT726*-3)^(1/$AR726)))</f>
        <v/>
      </c>
      <c r="AZ726">
        <f>IF(OR($A726="",$A726&lt;&gt;Ficha!$C$4),"",COUNTIF($A$2:$A726,Ficha!$C$4))</f>
        <v/>
      </c>
    </row>
    <row r="727">
      <c r="A727" s="8">
        <f>IF(INDEX(Banco!$A:$A,ROW())="","",INDEX(Banco!$A:$A,ROW()))</f>
        <v/>
      </c>
      <c r="B727" s="8">
        <f>IF(INDEX(Banco!$B:$B,ROW())="","",INDEX(Banco!$B:$B,ROW()))</f>
        <v/>
      </c>
      <c r="C727" s="8">
        <f>IF(INDEX(Banco!$C:$C,ROW())="","",INDEX(Banco!$C:$C,ROW()))</f>
        <v/>
      </c>
      <c r="D727" s="9">
        <f>IF(INDEX(Banco!$D:$D,ROW())="","",INDEX(Banco!$D:$D,ROW()))</f>
        <v/>
      </c>
      <c r="E727" s="9">
        <f>IF(INDEX(Banco!$E:$E,ROW())="","",INDEX(Banco!$E:$E,ROW()))</f>
        <v/>
      </c>
      <c r="F727" s="10">
        <f>IF(INDEX(Banco!$F:$F,ROW())="","",INDEX(Banco!$F:$F,ROW()))</f>
        <v/>
      </c>
      <c r="G727" s="10">
        <f>IF(INDEX(Banco!$G:$G,ROW())="","",INDEX(Banco!$G:$G,ROW()))</f>
        <v/>
      </c>
      <c r="H727" s="8">
        <f>IF(INDEX(Banco!$H:$H,ROW())="","",INDEX(Banco!$H:$H,ROW()))</f>
        <v/>
      </c>
      <c r="I727">
        <f>IF($T727="","",INT($T727/12)&amp;"a "&amp;MOD($T727,12)&amp;"m")</f>
        <v/>
      </c>
      <c r="J727" s="11">
        <f>IF(OR($F727="",$G727=""),"",ROUND($F727/($G727/100)^2,2))</f>
        <v/>
      </c>
      <c r="K727" s="12">
        <f>IF(OR($S727="",$J727="",$T727="",$T727&lt;0,$T727&gt;228,$Y727=""),"—",ROUND(IF(ABS($AB727)&lt;=3,$AB727,IF($AB727&gt;3,3+($J727-$AD727)/($AD727-$AC727),-3+($J727-$AF727)/($AE727-$AF727))),2))</f>
        <v/>
      </c>
      <c r="L727">
        <f>IF(OR($K727="",$K727="—"),"",IF($T727&lt;=60,IF($K727&lt;-3,"Magreza acentuada",IF($K727&lt;-2,"Magreza",IF($K727&lt;=1,"Eutrofia",IF($K727&lt;=2,"Risco de sobrepeso",IF($K727&lt;=3,"Sobrepeso","Obesidade"))))),IF($K727&lt;-3,"Magreza acentuada",IF($K727&lt;-2,"Magreza",IF($K727&lt;=1,"Eutrofia",IF($K727&lt;=2,"Sobrepeso",IF($K727&lt;=3,"Obesidade","Obesidade grave")))))))</f>
        <v/>
      </c>
      <c r="M727" s="12">
        <f>IF(OR($S727="",$V727="",$T727="",$T727&lt;0,$T727&gt;228,$AG727=""),"—",ROUND(IF($AG727=0,LN($V727/$AH727)/$AI727,((($V727/$AH727)^$AG727)-1)/($AG727*$AI727)),2))</f>
        <v/>
      </c>
      <c r="N727">
        <f>IF(OR($M727="",$M727="—"),"",IF($M727&lt;-3,"Muito baixa",IF($M727&lt;-2,"Baixa","Adequada")))</f>
        <v/>
      </c>
      <c r="O727" s="12">
        <f>IF(OR($S727="",$F727="",$T727="",$T727&lt;0,$T727&gt;120,$AJ727=""),"—",ROUND(IF(ABS($AM727)&lt;=3,$AM727,IF($AM727&gt;3,3+($F727-$AO727)/($AO727-$AN727),-3+($F727-$AQ727)/($AP727-$AQ727))),2))</f>
        <v/>
      </c>
      <c r="P727">
        <f>IF(OR($O727="",$O727="—"),"",IF($O727&lt;-3,"Muito baixo",IF($O727&lt;-2,"Baixo",IF($O727&lt;=2,"Adequado","Elevado"))))</f>
        <v/>
      </c>
      <c r="Q727" s="12">
        <f>IF(OR($S727="",$F727="",$T727="",$T727&lt;0,$T727&gt;60,$AR727=""),"—",ROUND(IF(ABS($AU727)&lt;=3,$AU727,IF($AU727&gt;3,3+($F727-$AW727)/($AW727-$AV727),-3+($F727-$AY727)/($AX727-$AY727))),2))</f>
        <v/>
      </c>
      <c r="R727">
        <f>IF(OR($Q727="",$Q727="—"),"",IF($Q727&lt;-3,"Magreza acentuada",IF($Q727&lt;-2,"Magreza",IF($Q727&lt;=1,"Eutrofia",IF($Q727&lt;=2,"Risco de sobrepeso",IF($Q727&lt;=3,"Sobrepeso","Obesidade"))))))</f>
        <v/>
      </c>
      <c r="S727">
        <f>IF($C727="","",IF(UPPER(LEFT($C727,1))="M",1,IF(UPPER(LEFT($C727,1))="F",2,"")))</f>
        <v/>
      </c>
      <c r="T727">
        <f>IF(OR($D727="",$E727=""),"",DATEDIF($D727,$E727,"m"))</f>
        <v/>
      </c>
      <c r="U727">
        <f>IF(OR($D727="",$E727=""),"",$E727-$D727)</f>
        <v/>
      </c>
      <c r="V727">
        <f>IF(OR($G727="",$T727=""),"",IF($T727&lt;24,IF(LEFT(LOWER($H727),4)="em p",$G727+0.7,$G727),IF(LEFT(LOWER($H727),4)="deit",$G727-0.7,$G727)))</f>
        <v/>
      </c>
      <c r="W727">
        <f>IF(OR($S727="",$T727=""),"",$S727*1000000+IF($T727&lt;=60,$U727,$T727))</f>
        <v/>
      </c>
      <c r="X727">
        <f>IF(OR($S727="",$V727="",$T727&gt;60,$T727=""),"",$S727*1000000+ROUND($V727*10,0))</f>
        <v/>
      </c>
      <c r="Y727">
        <f>IF($W727="","",IFERROR(INDEX(IF($T727&lt;=60,imc05_l,imc519_l),MATCH($W727,IF($T727&lt;=60,imc05_k,imc519_k),1)),""))</f>
        <v/>
      </c>
      <c r="Z727">
        <f>IF($W727="","",IFERROR(INDEX(IF($T727&lt;=60,imc05_m,imc519_m),MATCH($W727,IF($T727&lt;=60,imc05_k,imc519_k),1)),""))</f>
        <v/>
      </c>
      <c r="AA727">
        <f>IF($W727="","",IFERROR(INDEX(IF($T727&lt;=60,imc05_s,imc519_s),MATCH($W727,IF($T727&lt;=60,imc05_k,imc519_k),1)),""))</f>
        <v/>
      </c>
      <c r="AB727">
        <f>IF($Y727="","",IF($Y727=0,LN($J727/$Z727)/$AA727,((($J727/$Z727)^$Y727)-1)/($Y727*$AA727)))</f>
        <v/>
      </c>
      <c r="AC727">
        <f>IF($Y727="","",IF($Y727=0,$Z727*EXP($AA727*2),$Z727*(1+$Y727*$AA727*2)^(1/$Y727)))</f>
        <v/>
      </c>
      <c r="AD727">
        <f>IF($Y727="","",IF($Y727=0,$Z727*EXP($AA727*3),$Z727*(1+$Y727*$AA727*3)^(1/$Y727)))</f>
        <v/>
      </c>
      <c r="AE727">
        <f>IF($Y727="","",IF($Y727=0,$Z727*EXP($AA727*-2),$Z727*(1+$Y727*$AA727*-2)^(1/$Y727)))</f>
        <v/>
      </c>
      <c r="AF727">
        <f>IF($Y727="","",IF($Y727=0,$Z727*EXP($AA727*-3),$Z727*(1+$Y727*$AA727*-3)^(1/$Y727)))</f>
        <v/>
      </c>
      <c r="AG727">
        <f>IF($W727="","",IFERROR(INDEX(IF($T727&lt;=60,est05_l,est519_l),MATCH($W727,IF($T727&lt;=60,est05_k,est519_k),1)),""))</f>
        <v/>
      </c>
      <c r="AH727">
        <f>IF($W727="","",IFERROR(INDEX(IF($T727&lt;=60,est05_m,est519_m),MATCH($W727,IF($T727&lt;=60,est05_k,est519_k),1)),""))</f>
        <v/>
      </c>
      <c r="AI727">
        <f>IF($W727="","",IFERROR(INDEX(IF($T727&lt;=60,est05_s,est519_s),MATCH($W727,IF($T727&lt;=60,est05_k,est519_k),1)),""))</f>
        <v/>
      </c>
      <c r="AJ727">
        <f>IF($W727="","",IFERROR(INDEX(IF($T727&lt;=60,peso05_l,peso510_l),MATCH($W727,IF($T727&lt;=60,peso05_k,peso510_k),1)),""))</f>
        <v/>
      </c>
      <c r="AK727">
        <f>IF($W727="","",IFERROR(INDEX(IF($T727&lt;=60,peso05_m,peso510_m),MATCH($W727,IF($T727&lt;=60,peso05_k,peso510_k),1)),""))</f>
        <v/>
      </c>
      <c r="AL727">
        <f>IF($W727="","",IFERROR(INDEX(IF($T727&lt;=60,peso05_s,peso510_s),MATCH($W727,IF($T727&lt;=60,peso05_k,peso510_k),1)),""))</f>
        <v/>
      </c>
      <c r="AM727">
        <f>IF($AJ727="","",IF($AJ727=0,LN($F727/$AK727)/$AL727,((($F727/$AK727)^$AJ727)-1)/($AJ727*$AL727)))</f>
        <v/>
      </c>
      <c r="AN727">
        <f>IF($AJ727="","",IF($AJ727=0,$AK727*EXP($AL727*2),$AK727*(1+$AJ727*$AL727*2)^(1/$AJ727)))</f>
        <v/>
      </c>
      <c r="AO727">
        <f>IF($AJ727="","",IF($AJ727=0,$AK727*EXP($AL727*3),$AK727*(1+$AJ727*$AL727*3)^(1/$AJ727)))</f>
        <v/>
      </c>
      <c r="AP727">
        <f>IF($AJ727="","",IF($AJ727=0,$AK727*EXP($AL727*-2),$AK727*(1+$AJ727*$AL727*-2)^(1/$AJ727)))</f>
        <v/>
      </c>
      <c r="AQ727">
        <f>IF($AJ727="","",IF($AJ727=0,$AK727*EXP($AL727*-3),$AK727*(1+$AJ727*$AL727*-3)^(1/$AJ727)))</f>
        <v/>
      </c>
      <c r="AR727">
        <f>IF(OR($X727="",$T727&gt;60),"",IFERROR(INDEX(IF($T727&lt;24,pcomp_l,palt_l),MATCH($X727,IF($T727&lt;24,pcomp_k,palt_k),1)),""))</f>
        <v/>
      </c>
      <c r="AS727">
        <f>IF(OR($X727="",$T727&gt;60),"",IFERROR(INDEX(IF($T727&lt;24,pcomp_m,palt_m),MATCH($X727,IF($T727&lt;24,pcomp_k,palt_k),1)),""))</f>
        <v/>
      </c>
      <c r="AT727">
        <f>IF(OR($X727="",$T727&gt;60),"",IFERROR(INDEX(IF($T727&lt;24,pcomp_s,palt_s),MATCH($X727,IF($T727&lt;24,pcomp_k,palt_k),1)),""))</f>
        <v/>
      </c>
      <c r="AU727">
        <f>IF($AR727="","",IF($AR727=0,LN($F727/$AS727)/$AT727,((($F727/$AS727)^$AR727)-1)/($AR727*$AT727)))</f>
        <v/>
      </c>
      <c r="AV727">
        <f>IF($AR727="","",IF($AR727=0,$AS727*EXP($AT727*2),$AS727*(1+$AR727*$AT727*2)^(1/$AR727)))</f>
        <v/>
      </c>
      <c r="AW727">
        <f>IF($AR727="","",IF($AR727=0,$AS727*EXP($AT727*3),$AS727*(1+$AR727*$AT727*3)^(1/$AR727)))</f>
        <v/>
      </c>
      <c r="AX727">
        <f>IF($AR727="","",IF($AR727=0,$AS727*EXP($AT727*-2),$AS727*(1+$AR727*$AT727*-2)^(1/$AR727)))</f>
        <v/>
      </c>
      <c r="AY727">
        <f>IF($AR727="","",IF($AR727=0,$AS727*EXP($AT727*-3),$AS727*(1+$AR727*$AT727*-3)^(1/$AR727)))</f>
        <v/>
      </c>
      <c r="AZ727">
        <f>IF(OR($A727="",$A727&lt;&gt;Ficha!$C$4),"",COUNTIF($A$2:$A727,Ficha!$C$4))</f>
        <v/>
      </c>
    </row>
    <row r="728">
      <c r="A728" s="8">
        <f>IF(INDEX(Banco!$A:$A,ROW())="","",INDEX(Banco!$A:$A,ROW()))</f>
        <v/>
      </c>
      <c r="B728" s="8">
        <f>IF(INDEX(Banco!$B:$B,ROW())="","",INDEX(Banco!$B:$B,ROW()))</f>
        <v/>
      </c>
      <c r="C728" s="8">
        <f>IF(INDEX(Banco!$C:$C,ROW())="","",INDEX(Banco!$C:$C,ROW()))</f>
        <v/>
      </c>
      <c r="D728" s="9">
        <f>IF(INDEX(Banco!$D:$D,ROW())="","",INDEX(Banco!$D:$D,ROW()))</f>
        <v/>
      </c>
      <c r="E728" s="9">
        <f>IF(INDEX(Banco!$E:$E,ROW())="","",INDEX(Banco!$E:$E,ROW()))</f>
        <v/>
      </c>
      <c r="F728" s="10">
        <f>IF(INDEX(Banco!$F:$F,ROW())="","",INDEX(Banco!$F:$F,ROW()))</f>
        <v/>
      </c>
      <c r="G728" s="10">
        <f>IF(INDEX(Banco!$G:$G,ROW())="","",INDEX(Banco!$G:$G,ROW()))</f>
        <v/>
      </c>
      <c r="H728" s="8">
        <f>IF(INDEX(Banco!$H:$H,ROW())="","",INDEX(Banco!$H:$H,ROW()))</f>
        <v/>
      </c>
      <c r="I728">
        <f>IF($T728="","",INT($T728/12)&amp;"a "&amp;MOD($T728,12)&amp;"m")</f>
        <v/>
      </c>
      <c r="J728" s="11">
        <f>IF(OR($F728="",$G728=""),"",ROUND($F728/($G728/100)^2,2))</f>
        <v/>
      </c>
      <c r="K728" s="12">
        <f>IF(OR($S728="",$J728="",$T728="",$T728&lt;0,$T728&gt;228,$Y728=""),"—",ROUND(IF(ABS($AB728)&lt;=3,$AB728,IF($AB728&gt;3,3+($J728-$AD728)/($AD728-$AC728),-3+($J728-$AF728)/($AE728-$AF728))),2))</f>
        <v/>
      </c>
      <c r="L728">
        <f>IF(OR($K728="",$K728="—"),"",IF($T728&lt;=60,IF($K728&lt;-3,"Magreza acentuada",IF($K728&lt;-2,"Magreza",IF($K728&lt;=1,"Eutrofia",IF($K728&lt;=2,"Risco de sobrepeso",IF($K728&lt;=3,"Sobrepeso","Obesidade"))))),IF($K728&lt;-3,"Magreza acentuada",IF($K728&lt;-2,"Magreza",IF($K728&lt;=1,"Eutrofia",IF($K728&lt;=2,"Sobrepeso",IF($K728&lt;=3,"Obesidade","Obesidade grave")))))))</f>
        <v/>
      </c>
      <c r="M728" s="12">
        <f>IF(OR($S728="",$V728="",$T728="",$T728&lt;0,$T728&gt;228,$AG728=""),"—",ROUND(IF($AG728=0,LN($V728/$AH728)/$AI728,((($V728/$AH728)^$AG728)-1)/($AG728*$AI728)),2))</f>
        <v/>
      </c>
      <c r="N728">
        <f>IF(OR($M728="",$M728="—"),"",IF($M728&lt;-3,"Muito baixa",IF($M728&lt;-2,"Baixa","Adequada")))</f>
        <v/>
      </c>
      <c r="O728" s="12">
        <f>IF(OR($S728="",$F728="",$T728="",$T728&lt;0,$T728&gt;120,$AJ728=""),"—",ROUND(IF(ABS($AM728)&lt;=3,$AM728,IF($AM728&gt;3,3+($F728-$AO728)/($AO728-$AN728),-3+($F728-$AQ728)/($AP728-$AQ728))),2))</f>
        <v/>
      </c>
      <c r="P728">
        <f>IF(OR($O728="",$O728="—"),"",IF($O728&lt;-3,"Muito baixo",IF($O728&lt;-2,"Baixo",IF($O728&lt;=2,"Adequado","Elevado"))))</f>
        <v/>
      </c>
      <c r="Q728" s="12">
        <f>IF(OR($S728="",$F728="",$T728="",$T728&lt;0,$T728&gt;60,$AR728=""),"—",ROUND(IF(ABS($AU728)&lt;=3,$AU728,IF($AU728&gt;3,3+($F728-$AW728)/($AW728-$AV728),-3+($F728-$AY728)/($AX728-$AY728))),2))</f>
        <v/>
      </c>
      <c r="R728">
        <f>IF(OR($Q728="",$Q728="—"),"",IF($Q728&lt;-3,"Magreza acentuada",IF($Q728&lt;-2,"Magreza",IF($Q728&lt;=1,"Eutrofia",IF($Q728&lt;=2,"Risco de sobrepeso",IF($Q728&lt;=3,"Sobrepeso","Obesidade"))))))</f>
        <v/>
      </c>
      <c r="S728">
        <f>IF($C728="","",IF(UPPER(LEFT($C728,1))="M",1,IF(UPPER(LEFT($C728,1))="F",2,"")))</f>
        <v/>
      </c>
      <c r="T728">
        <f>IF(OR($D728="",$E728=""),"",DATEDIF($D728,$E728,"m"))</f>
        <v/>
      </c>
      <c r="U728">
        <f>IF(OR($D728="",$E728=""),"",$E728-$D728)</f>
        <v/>
      </c>
      <c r="V728">
        <f>IF(OR($G728="",$T728=""),"",IF($T728&lt;24,IF(LEFT(LOWER($H728),4)="em p",$G728+0.7,$G728),IF(LEFT(LOWER($H728),4)="deit",$G728-0.7,$G728)))</f>
        <v/>
      </c>
      <c r="W728">
        <f>IF(OR($S728="",$T728=""),"",$S728*1000000+IF($T728&lt;=60,$U728,$T728))</f>
        <v/>
      </c>
      <c r="X728">
        <f>IF(OR($S728="",$V728="",$T728&gt;60,$T728=""),"",$S728*1000000+ROUND($V728*10,0))</f>
        <v/>
      </c>
      <c r="Y728">
        <f>IF($W728="","",IFERROR(INDEX(IF($T728&lt;=60,imc05_l,imc519_l),MATCH($W728,IF($T728&lt;=60,imc05_k,imc519_k),1)),""))</f>
        <v/>
      </c>
      <c r="Z728">
        <f>IF($W728="","",IFERROR(INDEX(IF($T728&lt;=60,imc05_m,imc519_m),MATCH($W728,IF($T728&lt;=60,imc05_k,imc519_k),1)),""))</f>
        <v/>
      </c>
      <c r="AA728">
        <f>IF($W728="","",IFERROR(INDEX(IF($T728&lt;=60,imc05_s,imc519_s),MATCH($W728,IF($T728&lt;=60,imc05_k,imc519_k),1)),""))</f>
        <v/>
      </c>
      <c r="AB728">
        <f>IF($Y728="","",IF($Y728=0,LN($J728/$Z728)/$AA728,((($J728/$Z728)^$Y728)-1)/($Y728*$AA728)))</f>
        <v/>
      </c>
      <c r="AC728">
        <f>IF($Y728="","",IF($Y728=0,$Z728*EXP($AA728*2),$Z728*(1+$Y728*$AA728*2)^(1/$Y728)))</f>
        <v/>
      </c>
      <c r="AD728">
        <f>IF($Y728="","",IF($Y728=0,$Z728*EXP($AA728*3),$Z728*(1+$Y728*$AA728*3)^(1/$Y728)))</f>
        <v/>
      </c>
      <c r="AE728">
        <f>IF($Y728="","",IF($Y728=0,$Z728*EXP($AA728*-2),$Z728*(1+$Y728*$AA728*-2)^(1/$Y728)))</f>
        <v/>
      </c>
      <c r="AF728">
        <f>IF($Y728="","",IF($Y728=0,$Z728*EXP($AA728*-3),$Z728*(1+$Y728*$AA728*-3)^(1/$Y728)))</f>
        <v/>
      </c>
      <c r="AG728">
        <f>IF($W728="","",IFERROR(INDEX(IF($T728&lt;=60,est05_l,est519_l),MATCH($W728,IF($T728&lt;=60,est05_k,est519_k),1)),""))</f>
        <v/>
      </c>
      <c r="AH728">
        <f>IF($W728="","",IFERROR(INDEX(IF($T728&lt;=60,est05_m,est519_m),MATCH($W728,IF($T728&lt;=60,est05_k,est519_k),1)),""))</f>
        <v/>
      </c>
      <c r="AI728">
        <f>IF($W728="","",IFERROR(INDEX(IF($T728&lt;=60,est05_s,est519_s),MATCH($W728,IF($T728&lt;=60,est05_k,est519_k),1)),""))</f>
        <v/>
      </c>
      <c r="AJ728">
        <f>IF($W728="","",IFERROR(INDEX(IF($T728&lt;=60,peso05_l,peso510_l),MATCH($W728,IF($T728&lt;=60,peso05_k,peso510_k),1)),""))</f>
        <v/>
      </c>
      <c r="AK728">
        <f>IF($W728="","",IFERROR(INDEX(IF($T728&lt;=60,peso05_m,peso510_m),MATCH($W728,IF($T728&lt;=60,peso05_k,peso510_k),1)),""))</f>
        <v/>
      </c>
      <c r="AL728">
        <f>IF($W728="","",IFERROR(INDEX(IF($T728&lt;=60,peso05_s,peso510_s),MATCH($W728,IF($T728&lt;=60,peso05_k,peso510_k),1)),""))</f>
        <v/>
      </c>
      <c r="AM728">
        <f>IF($AJ728="","",IF($AJ728=0,LN($F728/$AK728)/$AL728,((($F728/$AK728)^$AJ728)-1)/($AJ728*$AL728)))</f>
        <v/>
      </c>
      <c r="AN728">
        <f>IF($AJ728="","",IF($AJ728=0,$AK728*EXP($AL728*2),$AK728*(1+$AJ728*$AL728*2)^(1/$AJ728)))</f>
        <v/>
      </c>
      <c r="AO728">
        <f>IF($AJ728="","",IF($AJ728=0,$AK728*EXP($AL728*3),$AK728*(1+$AJ728*$AL728*3)^(1/$AJ728)))</f>
        <v/>
      </c>
      <c r="AP728">
        <f>IF($AJ728="","",IF($AJ728=0,$AK728*EXP($AL728*-2),$AK728*(1+$AJ728*$AL728*-2)^(1/$AJ728)))</f>
        <v/>
      </c>
      <c r="AQ728">
        <f>IF($AJ728="","",IF($AJ728=0,$AK728*EXP($AL728*-3),$AK728*(1+$AJ728*$AL728*-3)^(1/$AJ728)))</f>
        <v/>
      </c>
      <c r="AR728">
        <f>IF(OR($X728="",$T728&gt;60),"",IFERROR(INDEX(IF($T728&lt;24,pcomp_l,palt_l),MATCH($X728,IF($T728&lt;24,pcomp_k,palt_k),1)),""))</f>
        <v/>
      </c>
      <c r="AS728">
        <f>IF(OR($X728="",$T728&gt;60),"",IFERROR(INDEX(IF($T728&lt;24,pcomp_m,palt_m),MATCH($X728,IF($T728&lt;24,pcomp_k,palt_k),1)),""))</f>
        <v/>
      </c>
      <c r="AT728">
        <f>IF(OR($X728="",$T728&gt;60),"",IFERROR(INDEX(IF($T728&lt;24,pcomp_s,palt_s),MATCH($X728,IF($T728&lt;24,pcomp_k,palt_k),1)),""))</f>
        <v/>
      </c>
      <c r="AU728">
        <f>IF($AR728="","",IF($AR728=0,LN($F728/$AS728)/$AT728,((($F728/$AS728)^$AR728)-1)/($AR728*$AT728)))</f>
        <v/>
      </c>
      <c r="AV728">
        <f>IF($AR728="","",IF($AR728=0,$AS728*EXP($AT728*2),$AS728*(1+$AR728*$AT728*2)^(1/$AR728)))</f>
        <v/>
      </c>
      <c r="AW728">
        <f>IF($AR728="","",IF($AR728=0,$AS728*EXP($AT728*3),$AS728*(1+$AR728*$AT728*3)^(1/$AR728)))</f>
        <v/>
      </c>
      <c r="AX728">
        <f>IF($AR728="","",IF($AR728=0,$AS728*EXP($AT728*-2),$AS728*(1+$AR728*$AT728*-2)^(1/$AR728)))</f>
        <v/>
      </c>
      <c r="AY728">
        <f>IF($AR728="","",IF($AR728=0,$AS728*EXP($AT728*-3),$AS728*(1+$AR728*$AT728*-3)^(1/$AR728)))</f>
        <v/>
      </c>
      <c r="AZ728">
        <f>IF(OR($A728="",$A728&lt;&gt;Ficha!$C$4),"",COUNTIF($A$2:$A728,Ficha!$C$4))</f>
        <v/>
      </c>
    </row>
    <row r="729">
      <c r="A729" s="8">
        <f>IF(INDEX(Banco!$A:$A,ROW())="","",INDEX(Banco!$A:$A,ROW()))</f>
        <v/>
      </c>
      <c r="B729" s="8">
        <f>IF(INDEX(Banco!$B:$B,ROW())="","",INDEX(Banco!$B:$B,ROW()))</f>
        <v/>
      </c>
      <c r="C729" s="8">
        <f>IF(INDEX(Banco!$C:$C,ROW())="","",INDEX(Banco!$C:$C,ROW()))</f>
        <v/>
      </c>
      <c r="D729" s="9">
        <f>IF(INDEX(Banco!$D:$D,ROW())="","",INDEX(Banco!$D:$D,ROW()))</f>
        <v/>
      </c>
      <c r="E729" s="9">
        <f>IF(INDEX(Banco!$E:$E,ROW())="","",INDEX(Banco!$E:$E,ROW()))</f>
        <v/>
      </c>
      <c r="F729" s="10">
        <f>IF(INDEX(Banco!$F:$F,ROW())="","",INDEX(Banco!$F:$F,ROW()))</f>
        <v/>
      </c>
      <c r="G729" s="10">
        <f>IF(INDEX(Banco!$G:$G,ROW())="","",INDEX(Banco!$G:$G,ROW()))</f>
        <v/>
      </c>
      <c r="H729" s="8">
        <f>IF(INDEX(Banco!$H:$H,ROW())="","",INDEX(Banco!$H:$H,ROW()))</f>
        <v/>
      </c>
      <c r="I729">
        <f>IF($T729="","",INT($T729/12)&amp;"a "&amp;MOD($T729,12)&amp;"m")</f>
        <v/>
      </c>
      <c r="J729" s="11">
        <f>IF(OR($F729="",$G729=""),"",ROUND($F729/($G729/100)^2,2))</f>
        <v/>
      </c>
      <c r="K729" s="12">
        <f>IF(OR($S729="",$J729="",$T729="",$T729&lt;0,$T729&gt;228,$Y729=""),"—",ROUND(IF(ABS($AB729)&lt;=3,$AB729,IF($AB729&gt;3,3+($J729-$AD729)/($AD729-$AC729),-3+($J729-$AF729)/($AE729-$AF729))),2))</f>
        <v/>
      </c>
      <c r="L729">
        <f>IF(OR($K729="",$K729="—"),"",IF($T729&lt;=60,IF($K729&lt;-3,"Magreza acentuada",IF($K729&lt;-2,"Magreza",IF($K729&lt;=1,"Eutrofia",IF($K729&lt;=2,"Risco de sobrepeso",IF($K729&lt;=3,"Sobrepeso","Obesidade"))))),IF($K729&lt;-3,"Magreza acentuada",IF($K729&lt;-2,"Magreza",IF($K729&lt;=1,"Eutrofia",IF($K729&lt;=2,"Sobrepeso",IF($K729&lt;=3,"Obesidade","Obesidade grave")))))))</f>
        <v/>
      </c>
      <c r="M729" s="12">
        <f>IF(OR($S729="",$V729="",$T729="",$T729&lt;0,$T729&gt;228,$AG729=""),"—",ROUND(IF($AG729=0,LN($V729/$AH729)/$AI729,((($V729/$AH729)^$AG729)-1)/($AG729*$AI729)),2))</f>
        <v/>
      </c>
      <c r="N729">
        <f>IF(OR($M729="",$M729="—"),"",IF($M729&lt;-3,"Muito baixa",IF($M729&lt;-2,"Baixa","Adequada")))</f>
        <v/>
      </c>
      <c r="O729" s="12">
        <f>IF(OR($S729="",$F729="",$T729="",$T729&lt;0,$T729&gt;120,$AJ729=""),"—",ROUND(IF(ABS($AM729)&lt;=3,$AM729,IF($AM729&gt;3,3+($F729-$AO729)/($AO729-$AN729),-3+($F729-$AQ729)/($AP729-$AQ729))),2))</f>
        <v/>
      </c>
      <c r="P729">
        <f>IF(OR($O729="",$O729="—"),"",IF($O729&lt;-3,"Muito baixo",IF($O729&lt;-2,"Baixo",IF($O729&lt;=2,"Adequado","Elevado"))))</f>
        <v/>
      </c>
      <c r="Q729" s="12">
        <f>IF(OR($S729="",$F729="",$T729="",$T729&lt;0,$T729&gt;60,$AR729=""),"—",ROUND(IF(ABS($AU729)&lt;=3,$AU729,IF($AU729&gt;3,3+($F729-$AW729)/($AW729-$AV729),-3+($F729-$AY729)/($AX729-$AY729))),2))</f>
        <v/>
      </c>
      <c r="R729">
        <f>IF(OR($Q729="",$Q729="—"),"",IF($Q729&lt;-3,"Magreza acentuada",IF($Q729&lt;-2,"Magreza",IF($Q729&lt;=1,"Eutrofia",IF($Q729&lt;=2,"Risco de sobrepeso",IF($Q729&lt;=3,"Sobrepeso","Obesidade"))))))</f>
        <v/>
      </c>
      <c r="S729">
        <f>IF($C729="","",IF(UPPER(LEFT($C729,1))="M",1,IF(UPPER(LEFT($C729,1))="F",2,"")))</f>
        <v/>
      </c>
      <c r="T729">
        <f>IF(OR($D729="",$E729=""),"",DATEDIF($D729,$E729,"m"))</f>
        <v/>
      </c>
      <c r="U729">
        <f>IF(OR($D729="",$E729=""),"",$E729-$D729)</f>
        <v/>
      </c>
      <c r="V729">
        <f>IF(OR($G729="",$T729=""),"",IF($T729&lt;24,IF(LEFT(LOWER($H729),4)="em p",$G729+0.7,$G729),IF(LEFT(LOWER($H729),4)="deit",$G729-0.7,$G729)))</f>
        <v/>
      </c>
      <c r="W729">
        <f>IF(OR($S729="",$T729=""),"",$S729*1000000+IF($T729&lt;=60,$U729,$T729))</f>
        <v/>
      </c>
      <c r="X729">
        <f>IF(OR($S729="",$V729="",$T729&gt;60,$T729=""),"",$S729*1000000+ROUND($V729*10,0))</f>
        <v/>
      </c>
      <c r="Y729">
        <f>IF($W729="","",IFERROR(INDEX(IF($T729&lt;=60,imc05_l,imc519_l),MATCH($W729,IF($T729&lt;=60,imc05_k,imc519_k),1)),""))</f>
        <v/>
      </c>
      <c r="Z729">
        <f>IF($W729="","",IFERROR(INDEX(IF($T729&lt;=60,imc05_m,imc519_m),MATCH($W729,IF($T729&lt;=60,imc05_k,imc519_k),1)),""))</f>
        <v/>
      </c>
      <c r="AA729">
        <f>IF($W729="","",IFERROR(INDEX(IF($T729&lt;=60,imc05_s,imc519_s),MATCH($W729,IF($T729&lt;=60,imc05_k,imc519_k),1)),""))</f>
        <v/>
      </c>
      <c r="AB729">
        <f>IF($Y729="","",IF($Y729=0,LN($J729/$Z729)/$AA729,((($J729/$Z729)^$Y729)-1)/($Y729*$AA729)))</f>
        <v/>
      </c>
      <c r="AC729">
        <f>IF($Y729="","",IF($Y729=0,$Z729*EXP($AA729*2),$Z729*(1+$Y729*$AA729*2)^(1/$Y729)))</f>
        <v/>
      </c>
      <c r="AD729">
        <f>IF($Y729="","",IF($Y729=0,$Z729*EXP($AA729*3),$Z729*(1+$Y729*$AA729*3)^(1/$Y729)))</f>
        <v/>
      </c>
      <c r="AE729">
        <f>IF($Y729="","",IF($Y729=0,$Z729*EXP($AA729*-2),$Z729*(1+$Y729*$AA729*-2)^(1/$Y729)))</f>
        <v/>
      </c>
      <c r="AF729">
        <f>IF($Y729="","",IF($Y729=0,$Z729*EXP($AA729*-3),$Z729*(1+$Y729*$AA729*-3)^(1/$Y729)))</f>
        <v/>
      </c>
      <c r="AG729">
        <f>IF($W729="","",IFERROR(INDEX(IF($T729&lt;=60,est05_l,est519_l),MATCH($W729,IF($T729&lt;=60,est05_k,est519_k),1)),""))</f>
        <v/>
      </c>
      <c r="AH729">
        <f>IF($W729="","",IFERROR(INDEX(IF($T729&lt;=60,est05_m,est519_m),MATCH($W729,IF($T729&lt;=60,est05_k,est519_k),1)),""))</f>
        <v/>
      </c>
      <c r="AI729">
        <f>IF($W729="","",IFERROR(INDEX(IF($T729&lt;=60,est05_s,est519_s),MATCH($W729,IF($T729&lt;=60,est05_k,est519_k),1)),""))</f>
        <v/>
      </c>
      <c r="AJ729">
        <f>IF($W729="","",IFERROR(INDEX(IF($T729&lt;=60,peso05_l,peso510_l),MATCH($W729,IF($T729&lt;=60,peso05_k,peso510_k),1)),""))</f>
        <v/>
      </c>
      <c r="AK729">
        <f>IF($W729="","",IFERROR(INDEX(IF($T729&lt;=60,peso05_m,peso510_m),MATCH($W729,IF($T729&lt;=60,peso05_k,peso510_k),1)),""))</f>
        <v/>
      </c>
      <c r="AL729">
        <f>IF($W729="","",IFERROR(INDEX(IF($T729&lt;=60,peso05_s,peso510_s),MATCH($W729,IF($T729&lt;=60,peso05_k,peso510_k),1)),""))</f>
        <v/>
      </c>
      <c r="AM729">
        <f>IF($AJ729="","",IF($AJ729=0,LN($F729/$AK729)/$AL729,((($F729/$AK729)^$AJ729)-1)/($AJ729*$AL729)))</f>
        <v/>
      </c>
      <c r="AN729">
        <f>IF($AJ729="","",IF($AJ729=0,$AK729*EXP($AL729*2),$AK729*(1+$AJ729*$AL729*2)^(1/$AJ729)))</f>
        <v/>
      </c>
      <c r="AO729">
        <f>IF($AJ729="","",IF($AJ729=0,$AK729*EXP($AL729*3),$AK729*(1+$AJ729*$AL729*3)^(1/$AJ729)))</f>
        <v/>
      </c>
      <c r="AP729">
        <f>IF($AJ729="","",IF($AJ729=0,$AK729*EXP($AL729*-2),$AK729*(1+$AJ729*$AL729*-2)^(1/$AJ729)))</f>
        <v/>
      </c>
      <c r="AQ729">
        <f>IF($AJ729="","",IF($AJ729=0,$AK729*EXP($AL729*-3),$AK729*(1+$AJ729*$AL729*-3)^(1/$AJ729)))</f>
        <v/>
      </c>
      <c r="AR729">
        <f>IF(OR($X729="",$T729&gt;60),"",IFERROR(INDEX(IF($T729&lt;24,pcomp_l,palt_l),MATCH($X729,IF($T729&lt;24,pcomp_k,palt_k),1)),""))</f>
        <v/>
      </c>
      <c r="AS729">
        <f>IF(OR($X729="",$T729&gt;60),"",IFERROR(INDEX(IF($T729&lt;24,pcomp_m,palt_m),MATCH($X729,IF($T729&lt;24,pcomp_k,palt_k),1)),""))</f>
        <v/>
      </c>
      <c r="AT729">
        <f>IF(OR($X729="",$T729&gt;60),"",IFERROR(INDEX(IF($T729&lt;24,pcomp_s,palt_s),MATCH($X729,IF($T729&lt;24,pcomp_k,palt_k),1)),""))</f>
        <v/>
      </c>
      <c r="AU729">
        <f>IF($AR729="","",IF($AR729=0,LN($F729/$AS729)/$AT729,((($F729/$AS729)^$AR729)-1)/($AR729*$AT729)))</f>
        <v/>
      </c>
      <c r="AV729">
        <f>IF($AR729="","",IF($AR729=0,$AS729*EXP($AT729*2),$AS729*(1+$AR729*$AT729*2)^(1/$AR729)))</f>
        <v/>
      </c>
      <c r="AW729">
        <f>IF($AR729="","",IF($AR729=0,$AS729*EXP($AT729*3),$AS729*(1+$AR729*$AT729*3)^(1/$AR729)))</f>
        <v/>
      </c>
      <c r="AX729">
        <f>IF($AR729="","",IF($AR729=0,$AS729*EXP($AT729*-2),$AS729*(1+$AR729*$AT729*-2)^(1/$AR729)))</f>
        <v/>
      </c>
      <c r="AY729">
        <f>IF($AR729="","",IF($AR729=0,$AS729*EXP($AT729*-3),$AS729*(1+$AR729*$AT729*-3)^(1/$AR729)))</f>
        <v/>
      </c>
      <c r="AZ729">
        <f>IF(OR($A729="",$A729&lt;&gt;Ficha!$C$4),"",COUNTIF($A$2:$A729,Ficha!$C$4))</f>
        <v/>
      </c>
    </row>
    <row r="730">
      <c r="A730" s="8">
        <f>IF(INDEX(Banco!$A:$A,ROW())="","",INDEX(Banco!$A:$A,ROW()))</f>
        <v/>
      </c>
      <c r="B730" s="8">
        <f>IF(INDEX(Banco!$B:$B,ROW())="","",INDEX(Banco!$B:$B,ROW()))</f>
        <v/>
      </c>
      <c r="C730" s="8">
        <f>IF(INDEX(Banco!$C:$C,ROW())="","",INDEX(Banco!$C:$C,ROW()))</f>
        <v/>
      </c>
      <c r="D730" s="9">
        <f>IF(INDEX(Banco!$D:$D,ROW())="","",INDEX(Banco!$D:$D,ROW()))</f>
        <v/>
      </c>
      <c r="E730" s="9">
        <f>IF(INDEX(Banco!$E:$E,ROW())="","",INDEX(Banco!$E:$E,ROW()))</f>
        <v/>
      </c>
      <c r="F730" s="10">
        <f>IF(INDEX(Banco!$F:$F,ROW())="","",INDEX(Banco!$F:$F,ROW()))</f>
        <v/>
      </c>
      <c r="G730" s="10">
        <f>IF(INDEX(Banco!$G:$G,ROW())="","",INDEX(Banco!$G:$G,ROW()))</f>
        <v/>
      </c>
      <c r="H730" s="8">
        <f>IF(INDEX(Banco!$H:$H,ROW())="","",INDEX(Banco!$H:$H,ROW()))</f>
        <v/>
      </c>
      <c r="I730">
        <f>IF($T730="","",INT($T730/12)&amp;"a "&amp;MOD($T730,12)&amp;"m")</f>
        <v/>
      </c>
      <c r="J730" s="11">
        <f>IF(OR($F730="",$G730=""),"",ROUND($F730/($G730/100)^2,2))</f>
        <v/>
      </c>
      <c r="K730" s="12">
        <f>IF(OR($S730="",$J730="",$T730="",$T730&lt;0,$T730&gt;228,$Y730=""),"—",ROUND(IF(ABS($AB730)&lt;=3,$AB730,IF($AB730&gt;3,3+($J730-$AD730)/($AD730-$AC730),-3+($J730-$AF730)/($AE730-$AF730))),2))</f>
        <v/>
      </c>
      <c r="L730">
        <f>IF(OR($K730="",$K730="—"),"",IF($T730&lt;=60,IF($K730&lt;-3,"Magreza acentuada",IF($K730&lt;-2,"Magreza",IF($K730&lt;=1,"Eutrofia",IF($K730&lt;=2,"Risco de sobrepeso",IF($K730&lt;=3,"Sobrepeso","Obesidade"))))),IF($K730&lt;-3,"Magreza acentuada",IF($K730&lt;-2,"Magreza",IF($K730&lt;=1,"Eutrofia",IF($K730&lt;=2,"Sobrepeso",IF($K730&lt;=3,"Obesidade","Obesidade grave")))))))</f>
        <v/>
      </c>
      <c r="M730" s="12">
        <f>IF(OR($S730="",$V730="",$T730="",$T730&lt;0,$T730&gt;228,$AG730=""),"—",ROUND(IF($AG730=0,LN($V730/$AH730)/$AI730,((($V730/$AH730)^$AG730)-1)/($AG730*$AI730)),2))</f>
        <v/>
      </c>
      <c r="N730">
        <f>IF(OR($M730="",$M730="—"),"",IF($M730&lt;-3,"Muito baixa",IF($M730&lt;-2,"Baixa","Adequada")))</f>
        <v/>
      </c>
      <c r="O730" s="12">
        <f>IF(OR($S730="",$F730="",$T730="",$T730&lt;0,$T730&gt;120,$AJ730=""),"—",ROUND(IF(ABS($AM730)&lt;=3,$AM730,IF($AM730&gt;3,3+($F730-$AO730)/($AO730-$AN730),-3+($F730-$AQ730)/($AP730-$AQ730))),2))</f>
        <v/>
      </c>
      <c r="P730">
        <f>IF(OR($O730="",$O730="—"),"",IF($O730&lt;-3,"Muito baixo",IF($O730&lt;-2,"Baixo",IF($O730&lt;=2,"Adequado","Elevado"))))</f>
        <v/>
      </c>
      <c r="Q730" s="12">
        <f>IF(OR($S730="",$F730="",$T730="",$T730&lt;0,$T730&gt;60,$AR730=""),"—",ROUND(IF(ABS($AU730)&lt;=3,$AU730,IF($AU730&gt;3,3+($F730-$AW730)/($AW730-$AV730),-3+($F730-$AY730)/($AX730-$AY730))),2))</f>
        <v/>
      </c>
      <c r="R730">
        <f>IF(OR($Q730="",$Q730="—"),"",IF($Q730&lt;-3,"Magreza acentuada",IF($Q730&lt;-2,"Magreza",IF($Q730&lt;=1,"Eutrofia",IF($Q730&lt;=2,"Risco de sobrepeso",IF($Q730&lt;=3,"Sobrepeso","Obesidade"))))))</f>
        <v/>
      </c>
      <c r="S730">
        <f>IF($C730="","",IF(UPPER(LEFT($C730,1))="M",1,IF(UPPER(LEFT($C730,1))="F",2,"")))</f>
        <v/>
      </c>
      <c r="T730">
        <f>IF(OR($D730="",$E730=""),"",DATEDIF($D730,$E730,"m"))</f>
        <v/>
      </c>
      <c r="U730">
        <f>IF(OR($D730="",$E730=""),"",$E730-$D730)</f>
        <v/>
      </c>
      <c r="V730">
        <f>IF(OR($G730="",$T730=""),"",IF($T730&lt;24,IF(LEFT(LOWER($H730),4)="em p",$G730+0.7,$G730),IF(LEFT(LOWER($H730),4)="deit",$G730-0.7,$G730)))</f>
        <v/>
      </c>
      <c r="W730">
        <f>IF(OR($S730="",$T730=""),"",$S730*1000000+IF($T730&lt;=60,$U730,$T730))</f>
        <v/>
      </c>
      <c r="X730">
        <f>IF(OR($S730="",$V730="",$T730&gt;60,$T730=""),"",$S730*1000000+ROUND($V730*10,0))</f>
        <v/>
      </c>
      <c r="Y730">
        <f>IF($W730="","",IFERROR(INDEX(IF($T730&lt;=60,imc05_l,imc519_l),MATCH($W730,IF($T730&lt;=60,imc05_k,imc519_k),1)),""))</f>
        <v/>
      </c>
      <c r="Z730">
        <f>IF($W730="","",IFERROR(INDEX(IF($T730&lt;=60,imc05_m,imc519_m),MATCH($W730,IF($T730&lt;=60,imc05_k,imc519_k),1)),""))</f>
        <v/>
      </c>
      <c r="AA730">
        <f>IF($W730="","",IFERROR(INDEX(IF($T730&lt;=60,imc05_s,imc519_s),MATCH($W730,IF($T730&lt;=60,imc05_k,imc519_k),1)),""))</f>
        <v/>
      </c>
      <c r="AB730">
        <f>IF($Y730="","",IF($Y730=0,LN($J730/$Z730)/$AA730,((($J730/$Z730)^$Y730)-1)/($Y730*$AA730)))</f>
        <v/>
      </c>
      <c r="AC730">
        <f>IF($Y730="","",IF($Y730=0,$Z730*EXP($AA730*2),$Z730*(1+$Y730*$AA730*2)^(1/$Y730)))</f>
        <v/>
      </c>
      <c r="AD730">
        <f>IF($Y730="","",IF($Y730=0,$Z730*EXP($AA730*3),$Z730*(1+$Y730*$AA730*3)^(1/$Y730)))</f>
        <v/>
      </c>
      <c r="AE730">
        <f>IF($Y730="","",IF($Y730=0,$Z730*EXP($AA730*-2),$Z730*(1+$Y730*$AA730*-2)^(1/$Y730)))</f>
        <v/>
      </c>
      <c r="AF730">
        <f>IF($Y730="","",IF($Y730=0,$Z730*EXP($AA730*-3),$Z730*(1+$Y730*$AA730*-3)^(1/$Y730)))</f>
        <v/>
      </c>
      <c r="AG730">
        <f>IF($W730="","",IFERROR(INDEX(IF($T730&lt;=60,est05_l,est519_l),MATCH($W730,IF($T730&lt;=60,est05_k,est519_k),1)),""))</f>
        <v/>
      </c>
      <c r="AH730">
        <f>IF($W730="","",IFERROR(INDEX(IF($T730&lt;=60,est05_m,est519_m),MATCH($W730,IF($T730&lt;=60,est05_k,est519_k),1)),""))</f>
        <v/>
      </c>
      <c r="AI730">
        <f>IF($W730="","",IFERROR(INDEX(IF($T730&lt;=60,est05_s,est519_s),MATCH($W730,IF($T730&lt;=60,est05_k,est519_k),1)),""))</f>
        <v/>
      </c>
      <c r="AJ730">
        <f>IF($W730="","",IFERROR(INDEX(IF($T730&lt;=60,peso05_l,peso510_l),MATCH($W730,IF($T730&lt;=60,peso05_k,peso510_k),1)),""))</f>
        <v/>
      </c>
      <c r="AK730">
        <f>IF($W730="","",IFERROR(INDEX(IF($T730&lt;=60,peso05_m,peso510_m),MATCH($W730,IF($T730&lt;=60,peso05_k,peso510_k),1)),""))</f>
        <v/>
      </c>
      <c r="AL730">
        <f>IF($W730="","",IFERROR(INDEX(IF($T730&lt;=60,peso05_s,peso510_s),MATCH($W730,IF($T730&lt;=60,peso05_k,peso510_k),1)),""))</f>
        <v/>
      </c>
      <c r="AM730">
        <f>IF($AJ730="","",IF($AJ730=0,LN($F730/$AK730)/$AL730,((($F730/$AK730)^$AJ730)-1)/($AJ730*$AL730)))</f>
        <v/>
      </c>
      <c r="AN730">
        <f>IF($AJ730="","",IF($AJ730=0,$AK730*EXP($AL730*2),$AK730*(1+$AJ730*$AL730*2)^(1/$AJ730)))</f>
        <v/>
      </c>
      <c r="AO730">
        <f>IF($AJ730="","",IF($AJ730=0,$AK730*EXP($AL730*3),$AK730*(1+$AJ730*$AL730*3)^(1/$AJ730)))</f>
        <v/>
      </c>
      <c r="AP730">
        <f>IF($AJ730="","",IF($AJ730=0,$AK730*EXP($AL730*-2),$AK730*(1+$AJ730*$AL730*-2)^(1/$AJ730)))</f>
        <v/>
      </c>
      <c r="AQ730">
        <f>IF($AJ730="","",IF($AJ730=0,$AK730*EXP($AL730*-3),$AK730*(1+$AJ730*$AL730*-3)^(1/$AJ730)))</f>
        <v/>
      </c>
      <c r="AR730">
        <f>IF(OR($X730="",$T730&gt;60),"",IFERROR(INDEX(IF($T730&lt;24,pcomp_l,palt_l),MATCH($X730,IF($T730&lt;24,pcomp_k,palt_k),1)),""))</f>
        <v/>
      </c>
      <c r="AS730">
        <f>IF(OR($X730="",$T730&gt;60),"",IFERROR(INDEX(IF($T730&lt;24,pcomp_m,palt_m),MATCH($X730,IF($T730&lt;24,pcomp_k,palt_k),1)),""))</f>
        <v/>
      </c>
      <c r="AT730">
        <f>IF(OR($X730="",$T730&gt;60),"",IFERROR(INDEX(IF($T730&lt;24,pcomp_s,palt_s),MATCH($X730,IF($T730&lt;24,pcomp_k,palt_k),1)),""))</f>
        <v/>
      </c>
      <c r="AU730">
        <f>IF($AR730="","",IF($AR730=0,LN($F730/$AS730)/$AT730,((($F730/$AS730)^$AR730)-1)/($AR730*$AT730)))</f>
        <v/>
      </c>
      <c r="AV730">
        <f>IF($AR730="","",IF($AR730=0,$AS730*EXP($AT730*2),$AS730*(1+$AR730*$AT730*2)^(1/$AR730)))</f>
        <v/>
      </c>
      <c r="AW730">
        <f>IF($AR730="","",IF($AR730=0,$AS730*EXP($AT730*3),$AS730*(1+$AR730*$AT730*3)^(1/$AR730)))</f>
        <v/>
      </c>
      <c r="AX730">
        <f>IF($AR730="","",IF($AR730=0,$AS730*EXP($AT730*-2),$AS730*(1+$AR730*$AT730*-2)^(1/$AR730)))</f>
        <v/>
      </c>
      <c r="AY730">
        <f>IF($AR730="","",IF($AR730=0,$AS730*EXP($AT730*-3),$AS730*(1+$AR730*$AT730*-3)^(1/$AR730)))</f>
        <v/>
      </c>
      <c r="AZ730">
        <f>IF(OR($A730="",$A730&lt;&gt;Ficha!$C$4),"",COUNTIF($A$2:$A730,Ficha!$C$4))</f>
        <v/>
      </c>
    </row>
    <row r="731">
      <c r="A731" s="8">
        <f>IF(INDEX(Banco!$A:$A,ROW())="","",INDEX(Banco!$A:$A,ROW()))</f>
        <v/>
      </c>
      <c r="B731" s="8">
        <f>IF(INDEX(Banco!$B:$B,ROW())="","",INDEX(Banco!$B:$B,ROW()))</f>
        <v/>
      </c>
      <c r="C731" s="8">
        <f>IF(INDEX(Banco!$C:$C,ROW())="","",INDEX(Banco!$C:$C,ROW()))</f>
        <v/>
      </c>
      <c r="D731" s="9">
        <f>IF(INDEX(Banco!$D:$D,ROW())="","",INDEX(Banco!$D:$D,ROW()))</f>
        <v/>
      </c>
      <c r="E731" s="9">
        <f>IF(INDEX(Banco!$E:$E,ROW())="","",INDEX(Banco!$E:$E,ROW()))</f>
        <v/>
      </c>
      <c r="F731" s="10">
        <f>IF(INDEX(Banco!$F:$F,ROW())="","",INDEX(Banco!$F:$F,ROW()))</f>
        <v/>
      </c>
      <c r="G731" s="10">
        <f>IF(INDEX(Banco!$G:$G,ROW())="","",INDEX(Banco!$G:$G,ROW()))</f>
        <v/>
      </c>
      <c r="H731" s="8">
        <f>IF(INDEX(Banco!$H:$H,ROW())="","",INDEX(Banco!$H:$H,ROW()))</f>
        <v/>
      </c>
      <c r="I731">
        <f>IF($T731="","",INT($T731/12)&amp;"a "&amp;MOD($T731,12)&amp;"m")</f>
        <v/>
      </c>
      <c r="J731" s="11">
        <f>IF(OR($F731="",$G731=""),"",ROUND($F731/($G731/100)^2,2))</f>
        <v/>
      </c>
      <c r="K731" s="12">
        <f>IF(OR($S731="",$J731="",$T731="",$T731&lt;0,$T731&gt;228,$Y731=""),"—",ROUND(IF(ABS($AB731)&lt;=3,$AB731,IF($AB731&gt;3,3+($J731-$AD731)/($AD731-$AC731),-3+($J731-$AF731)/($AE731-$AF731))),2))</f>
        <v/>
      </c>
      <c r="L731">
        <f>IF(OR($K731="",$K731="—"),"",IF($T731&lt;=60,IF($K731&lt;-3,"Magreza acentuada",IF($K731&lt;-2,"Magreza",IF($K731&lt;=1,"Eutrofia",IF($K731&lt;=2,"Risco de sobrepeso",IF($K731&lt;=3,"Sobrepeso","Obesidade"))))),IF($K731&lt;-3,"Magreza acentuada",IF($K731&lt;-2,"Magreza",IF($K731&lt;=1,"Eutrofia",IF($K731&lt;=2,"Sobrepeso",IF($K731&lt;=3,"Obesidade","Obesidade grave")))))))</f>
        <v/>
      </c>
      <c r="M731" s="12">
        <f>IF(OR($S731="",$V731="",$T731="",$T731&lt;0,$T731&gt;228,$AG731=""),"—",ROUND(IF($AG731=0,LN($V731/$AH731)/$AI731,((($V731/$AH731)^$AG731)-1)/($AG731*$AI731)),2))</f>
        <v/>
      </c>
      <c r="N731">
        <f>IF(OR($M731="",$M731="—"),"",IF($M731&lt;-3,"Muito baixa",IF($M731&lt;-2,"Baixa","Adequada")))</f>
        <v/>
      </c>
      <c r="O731" s="12">
        <f>IF(OR($S731="",$F731="",$T731="",$T731&lt;0,$T731&gt;120,$AJ731=""),"—",ROUND(IF(ABS($AM731)&lt;=3,$AM731,IF($AM731&gt;3,3+($F731-$AO731)/($AO731-$AN731),-3+($F731-$AQ731)/($AP731-$AQ731))),2))</f>
        <v/>
      </c>
      <c r="P731">
        <f>IF(OR($O731="",$O731="—"),"",IF($O731&lt;-3,"Muito baixo",IF($O731&lt;-2,"Baixo",IF($O731&lt;=2,"Adequado","Elevado"))))</f>
        <v/>
      </c>
      <c r="Q731" s="12">
        <f>IF(OR($S731="",$F731="",$T731="",$T731&lt;0,$T731&gt;60,$AR731=""),"—",ROUND(IF(ABS($AU731)&lt;=3,$AU731,IF($AU731&gt;3,3+($F731-$AW731)/($AW731-$AV731),-3+($F731-$AY731)/($AX731-$AY731))),2))</f>
        <v/>
      </c>
      <c r="R731">
        <f>IF(OR($Q731="",$Q731="—"),"",IF($Q731&lt;-3,"Magreza acentuada",IF($Q731&lt;-2,"Magreza",IF($Q731&lt;=1,"Eutrofia",IF($Q731&lt;=2,"Risco de sobrepeso",IF($Q731&lt;=3,"Sobrepeso","Obesidade"))))))</f>
        <v/>
      </c>
      <c r="S731">
        <f>IF($C731="","",IF(UPPER(LEFT($C731,1))="M",1,IF(UPPER(LEFT($C731,1))="F",2,"")))</f>
        <v/>
      </c>
      <c r="T731">
        <f>IF(OR($D731="",$E731=""),"",DATEDIF($D731,$E731,"m"))</f>
        <v/>
      </c>
      <c r="U731">
        <f>IF(OR($D731="",$E731=""),"",$E731-$D731)</f>
        <v/>
      </c>
      <c r="V731">
        <f>IF(OR($G731="",$T731=""),"",IF($T731&lt;24,IF(LEFT(LOWER($H731),4)="em p",$G731+0.7,$G731),IF(LEFT(LOWER($H731),4)="deit",$G731-0.7,$G731)))</f>
        <v/>
      </c>
      <c r="W731">
        <f>IF(OR($S731="",$T731=""),"",$S731*1000000+IF($T731&lt;=60,$U731,$T731))</f>
        <v/>
      </c>
      <c r="X731">
        <f>IF(OR($S731="",$V731="",$T731&gt;60,$T731=""),"",$S731*1000000+ROUND($V731*10,0))</f>
        <v/>
      </c>
      <c r="Y731">
        <f>IF($W731="","",IFERROR(INDEX(IF($T731&lt;=60,imc05_l,imc519_l),MATCH($W731,IF($T731&lt;=60,imc05_k,imc519_k),1)),""))</f>
        <v/>
      </c>
      <c r="Z731">
        <f>IF($W731="","",IFERROR(INDEX(IF($T731&lt;=60,imc05_m,imc519_m),MATCH($W731,IF($T731&lt;=60,imc05_k,imc519_k),1)),""))</f>
        <v/>
      </c>
      <c r="AA731">
        <f>IF($W731="","",IFERROR(INDEX(IF($T731&lt;=60,imc05_s,imc519_s),MATCH($W731,IF($T731&lt;=60,imc05_k,imc519_k),1)),""))</f>
        <v/>
      </c>
      <c r="AB731">
        <f>IF($Y731="","",IF($Y731=0,LN($J731/$Z731)/$AA731,((($J731/$Z731)^$Y731)-1)/($Y731*$AA731)))</f>
        <v/>
      </c>
      <c r="AC731">
        <f>IF($Y731="","",IF($Y731=0,$Z731*EXP($AA731*2),$Z731*(1+$Y731*$AA731*2)^(1/$Y731)))</f>
        <v/>
      </c>
      <c r="AD731">
        <f>IF($Y731="","",IF($Y731=0,$Z731*EXP($AA731*3),$Z731*(1+$Y731*$AA731*3)^(1/$Y731)))</f>
        <v/>
      </c>
      <c r="AE731">
        <f>IF($Y731="","",IF($Y731=0,$Z731*EXP($AA731*-2),$Z731*(1+$Y731*$AA731*-2)^(1/$Y731)))</f>
        <v/>
      </c>
      <c r="AF731">
        <f>IF($Y731="","",IF($Y731=0,$Z731*EXP($AA731*-3),$Z731*(1+$Y731*$AA731*-3)^(1/$Y731)))</f>
        <v/>
      </c>
      <c r="AG731">
        <f>IF($W731="","",IFERROR(INDEX(IF($T731&lt;=60,est05_l,est519_l),MATCH($W731,IF($T731&lt;=60,est05_k,est519_k),1)),""))</f>
        <v/>
      </c>
      <c r="AH731">
        <f>IF($W731="","",IFERROR(INDEX(IF($T731&lt;=60,est05_m,est519_m),MATCH($W731,IF($T731&lt;=60,est05_k,est519_k),1)),""))</f>
        <v/>
      </c>
      <c r="AI731">
        <f>IF($W731="","",IFERROR(INDEX(IF($T731&lt;=60,est05_s,est519_s),MATCH($W731,IF($T731&lt;=60,est05_k,est519_k),1)),""))</f>
        <v/>
      </c>
      <c r="AJ731">
        <f>IF($W731="","",IFERROR(INDEX(IF($T731&lt;=60,peso05_l,peso510_l),MATCH($W731,IF($T731&lt;=60,peso05_k,peso510_k),1)),""))</f>
        <v/>
      </c>
      <c r="AK731">
        <f>IF($W731="","",IFERROR(INDEX(IF($T731&lt;=60,peso05_m,peso510_m),MATCH($W731,IF($T731&lt;=60,peso05_k,peso510_k),1)),""))</f>
        <v/>
      </c>
      <c r="AL731">
        <f>IF($W731="","",IFERROR(INDEX(IF($T731&lt;=60,peso05_s,peso510_s),MATCH($W731,IF($T731&lt;=60,peso05_k,peso510_k),1)),""))</f>
        <v/>
      </c>
      <c r="AM731">
        <f>IF($AJ731="","",IF($AJ731=0,LN($F731/$AK731)/$AL731,((($F731/$AK731)^$AJ731)-1)/($AJ731*$AL731)))</f>
        <v/>
      </c>
      <c r="AN731">
        <f>IF($AJ731="","",IF($AJ731=0,$AK731*EXP($AL731*2),$AK731*(1+$AJ731*$AL731*2)^(1/$AJ731)))</f>
        <v/>
      </c>
      <c r="AO731">
        <f>IF($AJ731="","",IF($AJ731=0,$AK731*EXP($AL731*3),$AK731*(1+$AJ731*$AL731*3)^(1/$AJ731)))</f>
        <v/>
      </c>
      <c r="AP731">
        <f>IF($AJ731="","",IF($AJ731=0,$AK731*EXP($AL731*-2),$AK731*(1+$AJ731*$AL731*-2)^(1/$AJ731)))</f>
        <v/>
      </c>
      <c r="AQ731">
        <f>IF($AJ731="","",IF($AJ731=0,$AK731*EXP($AL731*-3),$AK731*(1+$AJ731*$AL731*-3)^(1/$AJ731)))</f>
        <v/>
      </c>
      <c r="AR731">
        <f>IF(OR($X731="",$T731&gt;60),"",IFERROR(INDEX(IF($T731&lt;24,pcomp_l,palt_l),MATCH($X731,IF($T731&lt;24,pcomp_k,palt_k),1)),""))</f>
        <v/>
      </c>
      <c r="AS731">
        <f>IF(OR($X731="",$T731&gt;60),"",IFERROR(INDEX(IF($T731&lt;24,pcomp_m,palt_m),MATCH($X731,IF($T731&lt;24,pcomp_k,palt_k),1)),""))</f>
        <v/>
      </c>
      <c r="AT731">
        <f>IF(OR($X731="",$T731&gt;60),"",IFERROR(INDEX(IF($T731&lt;24,pcomp_s,palt_s),MATCH($X731,IF($T731&lt;24,pcomp_k,palt_k),1)),""))</f>
        <v/>
      </c>
      <c r="AU731">
        <f>IF($AR731="","",IF($AR731=0,LN($F731/$AS731)/$AT731,((($F731/$AS731)^$AR731)-1)/($AR731*$AT731)))</f>
        <v/>
      </c>
      <c r="AV731">
        <f>IF($AR731="","",IF($AR731=0,$AS731*EXP($AT731*2),$AS731*(1+$AR731*$AT731*2)^(1/$AR731)))</f>
        <v/>
      </c>
      <c r="AW731">
        <f>IF($AR731="","",IF($AR731=0,$AS731*EXP($AT731*3),$AS731*(1+$AR731*$AT731*3)^(1/$AR731)))</f>
        <v/>
      </c>
      <c r="AX731">
        <f>IF($AR731="","",IF($AR731=0,$AS731*EXP($AT731*-2),$AS731*(1+$AR731*$AT731*-2)^(1/$AR731)))</f>
        <v/>
      </c>
      <c r="AY731">
        <f>IF($AR731="","",IF($AR731=0,$AS731*EXP($AT731*-3),$AS731*(1+$AR731*$AT731*-3)^(1/$AR731)))</f>
        <v/>
      </c>
      <c r="AZ731">
        <f>IF(OR($A731="",$A731&lt;&gt;Ficha!$C$4),"",COUNTIF($A$2:$A731,Ficha!$C$4))</f>
        <v/>
      </c>
    </row>
    <row r="732">
      <c r="A732" s="8">
        <f>IF(INDEX(Banco!$A:$A,ROW())="","",INDEX(Banco!$A:$A,ROW()))</f>
        <v/>
      </c>
      <c r="B732" s="8">
        <f>IF(INDEX(Banco!$B:$B,ROW())="","",INDEX(Banco!$B:$B,ROW()))</f>
        <v/>
      </c>
      <c r="C732" s="8">
        <f>IF(INDEX(Banco!$C:$C,ROW())="","",INDEX(Banco!$C:$C,ROW()))</f>
        <v/>
      </c>
      <c r="D732" s="9">
        <f>IF(INDEX(Banco!$D:$D,ROW())="","",INDEX(Banco!$D:$D,ROW()))</f>
        <v/>
      </c>
      <c r="E732" s="9">
        <f>IF(INDEX(Banco!$E:$E,ROW())="","",INDEX(Banco!$E:$E,ROW()))</f>
        <v/>
      </c>
      <c r="F732" s="10">
        <f>IF(INDEX(Banco!$F:$F,ROW())="","",INDEX(Banco!$F:$F,ROW()))</f>
        <v/>
      </c>
      <c r="G732" s="10">
        <f>IF(INDEX(Banco!$G:$G,ROW())="","",INDEX(Banco!$G:$G,ROW()))</f>
        <v/>
      </c>
      <c r="H732" s="8">
        <f>IF(INDEX(Banco!$H:$H,ROW())="","",INDEX(Banco!$H:$H,ROW()))</f>
        <v/>
      </c>
      <c r="I732">
        <f>IF($T732="","",INT($T732/12)&amp;"a "&amp;MOD($T732,12)&amp;"m")</f>
        <v/>
      </c>
      <c r="J732" s="11">
        <f>IF(OR($F732="",$G732=""),"",ROUND($F732/($G732/100)^2,2))</f>
        <v/>
      </c>
      <c r="K732" s="12">
        <f>IF(OR($S732="",$J732="",$T732="",$T732&lt;0,$T732&gt;228,$Y732=""),"—",ROUND(IF(ABS($AB732)&lt;=3,$AB732,IF($AB732&gt;3,3+($J732-$AD732)/($AD732-$AC732),-3+($J732-$AF732)/($AE732-$AF732))),2))</f>
        <v/>
      </c>
      <c r="L732">
        <f>IF(OR($K732="",$K732="—"),"",IF($T732&lt;=60,IF($K732&lt;-3,"Magreza acentuada",IF($K732&lt;-2,"Magreza",IF($K732&lt;=1,"Eutrofia",IF($K732&lt;=2,"Risco de sobrepeso",IF($K732&lt;=3,"Sobrepeso","Obesidade"))))),IF($K732&lt;-3,"Magreza acentuada",IF($K732&lt;-2,"Magreza",IF($K732&lt;=1,"Eutrofia",IF($K732&lt;=2,"Sobrepeso",IF($K732&lt;=3,"Obesidade","Obesidade grave")))))))</f>
        <v/>
      </c>
      <c r="M732" s="12">
        <f>IF(OR($S732="",$V732="",$T732="",$T732&lt;0,$T732&gt;228,$AG732=""),"—",ROUND(IF($AG732=0,LN($V732/$AH732)/$AI732,((($V732/$AH732)^$AG732)-1)/($AG732*$AI732)),2))</f>
        <v/>
      </c>
      <c r="N732">
        <f>IF(OR($M732="",$M732="—"),"",IF($M732&lt;-3,"Muito baixa",IF($M732&lt;-2,"Baixa","Adequada")))</f>
        <v/>
      </c>
      <c r="O732" s="12">
        <f>IF(OR($S732="",$F732="",$T732="",$T732&lt;0,$T732&gt;120,$AJ732=""),"—",ROUND(IF(ABS($AM732)&lt;=3,$AM732,IF($AM732&gt;3,3+($F732-$AO732)/($AO732-$AN732),-3+($F732-$AQ732)/($AP732-$AQ732))),2))</f>
        <v/>
      </c>
      <c r="P732">
        <f>IF(OR($O732="",$O732="—"),"",IF($O732&lt;-3,"Muito baixo",IF($O732&lt;-2,"Baixo",IF($O732&lt;=2,"Adequado","Elevado"))))</f>
        <v/>
      </c>
      <c r="Q732" s="12">
        <f>IF(OR($S732="",$F732="",$T732="",$T732&lt;0,$T732&gt;60,$AR732=""),"—",ROUND(IF(ABS($AU732)&lt;=3,$AU732,IF($AU732&gt;3,3+($F732-$AW732)/($AW732-$AV732),-3+($F732-$AY732)/($AX732-$AY732))),2))</f>
        <v/>
      </c>
      <c r="R732">
        <f>IF(OR($Q732="",$Q732="—"),"",IF($Q732&lt;-3,"Magreza acentuada",IF($Q732&lt;-2,"Magreza",IF($Q732&lt;=1,"Eutrofia",IF($Q732&lt;=2,"Risco de sobrepeso",IF($Q732&lt;=3,"Sobrepeso","Obesidade"))))))</f>
        <v/>
      </c>
      <c r="S732">
        <f>IF($C732="","",IF(UPPER(LEFT($C732,1))="M",1,IF(UPPER(LEFT($C732,1))="F",2,"")))</f>
        <v/>
      </c>
      <c r="T732">
        <f>IF(OR($D732="",$E732=""),"",DATEDIF($D732,$E732,"m"))</f>
        <v/>
      </c>
      <c r="U732">
        <f>IF(OR($D732="",$E732=""),"",$E732-$D732)</f>
        <v/>
      </c>
      <c r="V732">
        <f>IF(OR($G732="",$T732=""),"",IF($T732&lt;24,IF(LEFT(LOWER($H732),4)="em p",$G732+0.7,$G732),IF(LEFT(LOWER($H732),4)="deit",$G732-0.7,$G732)))</f>
        <v/>
      </c>
      <c r="W732">
        <f>IF(OR($S732="",$T732=""),"",$S732*1000000+IF($T732&lt;=60,$U732,$T732))</f>
        <v/>
      </c>
      <c r="X732">
        <f>IF(OR($S732="",$V732="",$T732&gt;60,$T732=""),"",$S732*1000000+ROUND($V732*10,0))</f>
        <v/>
      </c>
      <c r="Y732">
        <f>IF($W732="","",IFERROR(INDEX(IF($T732&lt;=60,imc05_l,imc519_l),MATCH($W732,IF($T732&lt;=60,imc05_k,imc519_k),1)),""))</f>
        <v/>
      </c>
      <c r="Z732">
        <f>IF($W732="","",IFERROR(INDEX(IF($T732&lt;=60,imc05_m,imc519_m),MATCH($W732,IF($T732&lt;=60,imc05_k,imc519_k),1)),""))</f>
        <v/>
      </c>
      <c r="AA732">
        <f>IF($W732="","",IFERROR(INDEX(IF($T732&lt;=60,imc05_s,imc519_s),MATCH($W732,IF($T732&lt;=60,imc05_k,imc519_k),1)),""))</f>
        <v/>
      </c>
      <c r="AB732">
        <f>IF($Y732="","",IF($Y732=0,LN($J732/$Z732)/$AA732,((($J732/$Z732)^$Y732)-1)/($Y732*$AA732)))</f>
        <v/>
      </c>
      <c r="AC732">
        <f>IF($Y732="","",IF($Y732=0,$Z732*EXP($AA732*2),$Z732*(1+$Y732*$AA732*2)^(1/$Y732)))</f>
        <v/>
      </c>
      <c r="AD732">
        <f>IF($Y732="","",IF($Y732=0,$Z732*EXP($AA732*3),$Z732*(1+$Y732*$AA732*3)^(1/$Y732)))</f>
        <v/>
      </c>
      <c r="AE732">
        <f>IF($Y732="","",IF($Y732=0,$Z732*EXP($AA732*-2),$Z732*(1+$Y732*$AA732*-2)^(1/$Y732)))</f>
        <v/>
      </c>
      <c r="AF732">
        <f>IF($Y732="","",IF($Y732=0,$Z732*EXP($AA732*-3),$Z732*(1+$Y732*$AA732*-3)^(1/$Y732)))</f>
        <v/>
      </c>
      <c r="AG732">
        <f>IF($W732="","",IFERROR(INDEX(IF($T732&lt;=60,est05_l,est519_l),MATCH($W732,IF($T732&lt;=60,est05_k,est519_k),1)),""))</f>
        <v/>
      </c>
      <c r="AH732">
        <f>IF($W732="","",IFERROR(INDEX(IF($T732&lt;=60,est05_m,est519_m),MATCH($W732,IF($T732&lt;=60,est05_k,est519_k),1)),""))</f>
        <v/>
      </c>
      <c r="AI732">
        <f>IF($W732="","",IFERROR(INDEX(IF($T732&lt;=60,est05_s,est519_s),MATCH($W732,IF($T732&lt;=60,est05_k,est519_k),1)),""))</f>
        <v/>
      </c>
      <c r="AJ732">
        <f>IF($W732="","",IFERROR(INDEX(IF($T732&lt;=60,peso05_l,peso510_l),MATCH($W732,IF($T732&lt;=60,peso05_k,peso510_k),1)),""))</f>
        <v/>
      </c>
      <c r="AK732">
        <f>IF($W732="","",IFERROR(INDEX(IF($T732&lt;=60,peso05_m,peso510_m),MATCH($W732,IF($T732&lt;=60,peso05_k,peso510_k),1)),""))</f>
        <v/>
      </c>
      <c r="AL732">
        <f>IF($W732="","",IFERROR(INDEX(IF($T732&lt;=60,peso05_s,peso510_s),MATCH($W732,IF($T732&lt;=60,peso05_k,peso510_k),1)),""))</f>
        <v/>
      </c>
      <c r="AM732">
        <f>IF($AJ732="","",IF($AJ732=0,LN($F732/$AK732)/$AL732,((($F732/$AK732)^$AJ732)-1)/($AJ732*$AL732)))</f>
        <v/>
      </c>
      <c r="AN732">
        <f>IF($AJ732="","",IF($AJ732=0,$AK732*EXP($AL732*2),$AK732*(1+$AJ732*$AL732*2)^(1/$AJ732)))</f>
        <v/>
      </c>
      <c r="AO732">
        <f>IF($AJ732="","",IF($AJ732=0,$AK732*EXP($AL732*3),$AK732*(1+$AJ732*$AL732*3)^(1/$AJ732)))</f>
        <v/>
      </c>
      <c r="AP732">
        <f>IF($AJ732="","",IF($AJ732=0,$AK732*EXP($AL732*-2),$AK732*(1+$AJ732*$AL732*-2)^(1/$AJ732)))</f>
        <v/>
      </c>
      <c r="AQ732">
        <f>IF($AJ732="","",IF($AJ732=0,$AK732*EXP($AL732*-3),$AK732*(1+$AJ732*$AL732*-3)^(1/$AJ732)))</f>
        <v/>
      </c>
      <c r="AR732">
        <f>IF(OR($X732="",$T732&gt;60),"",IFERROR(INDEX(IF($T732&lt;24,pcomp_l,palt_l),MATCH($X732,IF($T732&lt;24,pcomp_k,palt_k),1)),""))</f>
        <v/>
      </c>
      <c r="AS732">
        <f>IF(OR($X732="",$T732&gt;60),"",IFERROR(INDEX(IF($T732&lt;24,pcomp_m,palt_m),MATCH($X732,IF($T732&lt;24,pcomp_k,palt_k),1)),""))</f>
        <v/>
      </c>
      <c r="AT732">
        <f>IF(OR($X732="",$T732&gt;60),"",IFERROR(INDEX(IF($T732&lt;24,pcomp_s,palt_s),MATCH($X732,IF($T732&lt;24,pcomp_k,palt_k),1)),""))</f>
        <v/>
      </c>
      <c r="AU732">
        <f>IF($AR732="","",IF($AR732=0,LN($F732/$AS732)/$AT732,((($F732/$AS732)^$AR732)-1)/($AR732*$AT732)))</f>
        <v/>
      </c>
      <c r="AV732">
        <f>IF($AR732="","",IF($AR732=0,$AS732*EXP($AT732*2),$AS732*(1+$AR732*$AT732*2)^(1/$AR732)))</f>
        <v/>
      </c>
      <c r="AW732">
        <f>IF($AR732="","",IF($AR732=0,$AS732*EXP($AT732*3),$AS732*(1+$AR732*$AT732*3)^(1/$AR732)))</f>
        <v/>
      </c>
      <c r="AX732">
        <f>IF($AR732="","",IF($AR732=0,$AS732*EXP($AT732*-2),$AS732*(1+$AR732*$AT732*-2)^(1/$AR732)))</f>
        <v/>
      </c>
      <c r="AY732">
        <f>IF($AR732="","",IF($AR732=0,$AS732*EXP($AT732*-3),$AS732*(1+$AR732*$AT732*-3)^(1/$AR732)))</f>
        <v/>
      </c>
      <c r="AZ732">
        <f>IF(OR($A732="",$A732&lt;&gt;Ficha!$C$4),"",COUNTIF($A$2:$A732,Ficha!$C$4))</f>
        <v/>
      </c>
    </row>
    <row r="733">
      <c r="A733" s="8">
        <f>IF(INDEX(Banco!$A:$A,ROW())="","",INDEX(Banco!$A:$A,ROW()))</f>
        <v/>
      </c>
      <c r="B733" s="8">
        <f>IF(INDEX(Banco!$B:$B,ROW())="","",INDEX(Banco!$B:$B,ROW()))</f>
        <v/>
      </c>
      <c r="C733" s="8">
        <f>IF(INDEX(Banco!$C:$C,ROW())="","",INDEX(Banco!$C:$C,ROW()))</f>
        <v/>
      </c>
      <c r="D733" s="9">
        <f>IF(INDEX(Banco!$D:$D,ROW())="","",INDEX(Banco!$D:$D,ROW()))</f>
        <v/>
      </c>
      <c r="E733" s="9">
        <f>IF(INDEX(Banco!$E:$E,ROW())="","",INDEX(Banco!$E:$E,ROW()))</f>
        <v/>
      </c>
      <c r="F733" s="10">
        <f>IF(INDEX(Banco!$F:$F,ROW())="","",INDEX(Banco!$F:$F,ROW()))</f>
        <v/>
      </c>
      <c r="G733" s="10">
        <f>IF(INDEX(Banco!$G:$G,ROW())="","",INDEX(Banco!$G:$G,ROW()))</f>
        <v/>
      </c>
      <c r="H733" s="8">
        <f>IF(INDEX(Banco!$H:$H,ROW())="","",INDEX(Banco!$H:$H,ROW()))</f>
        <v/>
      </c>
      <c r="I733">
        <f>IF($T733="","",INT($T733/12)&amp;"a "&amp;MOD($T733,12)&amp;"m")</f>
        <v/>
      </c>
      <c r="J733" s="11">
        <f>IF(OR($F733="",$G733=""),"",ROUND($F733/($G733/100)^2,2))</f>
        <v/>
      </c>
      <c r="K733" s="12">
        <f>IF(OR($S733="",$J733="",$T733="",$T733&lt;0,$T733&gt;228,$Y733=""),"—",ROUND(IF(ABS($AB733)&lt;=3,$AB733,IF($AB733&gt;3,3+($J733-$AD733)/($AD733-$AC733),-3+($J733-$AF733)/($AE733-$AF733))),2))</f>
        <v/>
      </c>
      <c r="L733">
        <f>IF(OR($K733="",$K733="—"),"",IF($T733&lt;=60,IF($K733&lt;-3,"Magreza acentuada",IF($K733&lt;-2,"Magreza",IF($K733&lt;=1,"Eutrofia",IF($K733&lt;=2,"Risco de sobrepeso",IF($K733&lt;=3,"Sobrepeso","Obesidade"))))),IF($K733&lt;-3,"Magreza acentuada",IF($K733&lt;-2,"Magreza",IF($K733&lt;=1,"Eutrofia",IF($K733&lt;=2,"Sobrepeso",IF($K733&lt;=3,"Obesidade","Obesidade grave")))))))</f>
        <v/>
      </c>
      <c r="M733" s="12">
        <f>IF(OR($S733="",$V733="",$T733="",$T733&lt;0,$T733&gt;228,$AG733=""),"—",ROUND(IF($AG733=0,LN($V733/$AH733)/$AI733,((($V733/$AH733)^$AG733)-1)/($AG733*$AI733)),2))</f>
        <v/>
      </c>
      <c r="N733">
        <f>IF(OR($M733="",$M733="—"),"",IF($M733&lt;-3,"Muito baixa",IF($M733&lt;-2,"Baixa","Adequada")))</f>
        <v/>
      </c>
      <c r="O733" s="12">
        <f>IF(OR($S733="",$F733="",$T733="",$T733&lt;0,$T733&gt;120,$AJ733=""),"—",ROUND(IF(ABS($AM733)&lt;=3,$AM733,IF($AM733&gt;3,3+($F733-$AO733)/($AO733-$AN733),-3+($F733-$AQ733)/($AP733-$AQ733))),2))</f>
        <v/>
      </c>
      <c r="P733">
        <f>IF(OR($O733="",$O733="—"),"",IF($O733&lt;-3,"Muito baixo",IF($O733&lt;-2,"Baixo",IF($O733&lt;=2,"Adequado","Elevado"))))</f>
        <v/>
      </c>
      <c r="Q733" s="12">
        <f>IF(OR($S733="",$F733="",$T733="",$T733&lt;0,$T733&gt;60,$AR733=""),"—",ROUND(IF(ABS($AU733)&lt;=3,$AU733,IF($AU733&gt;3,3+($F733-$AW733)/($AW733-$AV733),-3+($F733-$AY733)/($AX733-$AY733))),2))</f>
        <v/>
      </c>
      <c r="R733">
        <f>IF(OR($Q733="",$Q733="—"),"",IF($Q733&lt;-3,"Magreza acentuada",IF($Q733&lt;-2,"Magreza",IF($Q733&lt;=1,"Eutrofia",IF($Q733&lt;=2,"Risco de sobrepeso",IF($Q733&lt;=3,"Sobrepeso","Obesidade"))))))</f>
        <v/>
      </c>
      <c r="S733">
        <f>IF($C733="","",IF(UPPER(LEFT($C733,1))="M",1,IF(UPPER(LEFT($C733,1))="F",2,"")))</f>
        <v/>
      </c>
      <c r="T733">
        <f>IF(OR($D733="",$E733=""),"",DATEDIF($D733,$E733,"m"))</f>
        <v/>
      </c>
      <c r="U733">
        <f>IF(OR($D733="",$E733=""),"",$E733-$D733)</f>
        <v/>
      </c>
      <c r="V733">
        <f>IF(OR($G733="",$T733=""),"",IF($T733&lt;24,IF(LEFT(LOWER($H733),4)="em p",$G733+0.7,$G733),IF(LEFT(LOWER($H733),4)="deit",$G733-0.7,$G733)))</f>
        <v/>
      </c>
      <c r="W733">
        <f>IF(OR($S733="",$T733=""),"",$S733*1000000+IF($T733&lt;=60,$U733,$T733))</f>
        <v/>
      </c>
      <c r="X733">
        <f>IF(OR($S733="",$V733="",$T733&gt;60,$T733=""),"",$S733*1000000+ROUND($V733*10,0))</f>
        <v/>
      </c>
      <c r="Y733">
        <f>IF($W733="","",IFERROR(INDEX(IF($T733&lt;=60,imc05_l,imc519_l),MATCH($W733,IF($T733&lt;=60,imc05_k,imc519_k),1)),""))</f>
        <v/>
      </c>
      <c r="Z733">
        <f>IF($W733="","",IFERROR(INDEX(IF($T733&lt;=60,imc05_m,imc519_m),MATCH($W733,IF($T733&lt;=60,imc05_k,imc519_k),1)),""))</f>
        <v/>
      </c>
      <c r="AA733">
        <f>IF($W733="","",IFERROR(INDEX(IF($T733&lt;=60,imc05_s,imc519_s),MATCH($W733,IF($T733&lt;=60,imc05_k,imc519_k),1)),""))</f>
        <v/>
      </c>
      <c r="AB733">
        <f>IF($Y733="","",IF($Y733=0,LN($J733/$Z733)/$AA733,((($J733/$Z733)^$Y733)-1)/($Y733*$AA733)))</f>
        <v/>
      </c>
      <c r="AC733">
        <f>IF($Y733="","",IF($Y733=0,$Z733*EXP($AA733*2),$Z733*(1+$Y733*$AA733*2)^(1/$Y733)))</f>
        <v/>
      </c>
      <c r="AD733">
        <f>IF($Y733="","",IF($Y733=0,$Z733*EXP($AA733*3),$Z733*(1+$Y733*$AA733*3)^(1/$Y733)))</f>
        <v/>
      </c>
      <c r="AE733">
        <f>IF($Y733="","",IF($Y733=0,$Z733*EXP($AA733*-2),$Z733*(1+$Y733*$AA733*-2)^(1/$Y733)))</f>
        <v/>
      </c>
      <c r="AF733">
        <f>IF($Y733="","",IF($Y733=0,$Z733*EXP($AA733*-3),$Z733*(1+$Y733*$AA733*-3)^(1/$Y733)))</f>
        <v/>
      </c>
      <c r="AG733">
        <f>IF($W733="","",IFERROR(INDEX(IF($T733&lt;=60,est05_l,est519_l),MATCH($W733,IF($T733&lt;=60,est05_k,est519_k),1)),""))</f>
        <v/>
      </c>
      <c r="AH733">
        <f>IF($W733="","",IFERROR(INDEX(IF($T733&lt;=60,est05_m,est519_m),MATCH($W733,IF($T733&lt;=60,est05_k,est519_k),1)),""))</f>
        <v/>
      </c>
      <c r="AI733">
        <f>IF($W733="","",IFERROR(INDEX(IF($T733&lt;=60,est05_s,est519_s),MATCH($W733,IF($T733&lt;=60,est05_k,est519_k),1)),""))</f>
        <v/>
      </c>
      <c r="AJ733">
        <f>IF($W733="","",IFERROR(INDEX(IF($T733&lt;=60,peso05_l,peso510_l),MATCH($W733,IF($T733&lt;=60,peso05_k,peso510_k),1)),""))</f>
        <v/>
      </c>
      <c r="AK733">
        <f>IF($W733="","",IFERROR(INDEX(IF($T733&lt;=60,peso05_m,peso510_m),MATCH($W733,IF($T733&lt;=60,peso05_k,peso510_k),1)),""))</f>
        <v/>
      </c>
      <c r="AL733">
        <f>IF($W733="","",IFERROR(INDEX(IF($T733&lt;=60,peso05_s,peso510_s),MATCH($W733,IF($T733&lt;=60,peso05_k,peso510_k),1)),""))</f>
        <v/>
      </c>
      <c r="AM733">
        <f>IF($AJ733="","",IF($AJ733=0,LN($F733/$AK733)/$AL733,((($F733/$AK733)^$AJ733)-1)/($AJ733*$AL733)))</f>
        <v/>
      </c>
      <c r="AN733">
        <f>IF($AJ733="","",IF($AJ733=0,$AK733*EXP($AL733*2),$AK733*(1+$AJ733*$AL733*2)^(1/$AJ733)))</f>
        <v/>
      </c>
      <c r="AO733">
        <f>IF($AJ733="","",IF($AJ733=0,$AK733*EXP($AL733*3),$AK733*(1+$AJ733*$AL733*3)^(1/$AJ733)))</f>
        <v/>
      </c>
      <c r="AP733">
        <f>IF($AJ733="","",IF($AJ733=0,$AK733*EXP($AL733*-2),$AK733*(1+$AJ733*$AL733*-2)^(1/$AJ733)))</f>
        <v/>
      </c>
      <c r="AQ733">
        <f>IF($AJ733="","",IF($AJ733=0,$AK733*EXP($AL733*-3),$AK733*(1+$AJ733*$AL733*-3)^(1/$AJ733)))</f>
        <v/>
      </c>
      <c r="AR733">
        <f>IF(OR($X733="",$T733&gt;60),"",IFERROR(INDEX(IF($T733&lt;24,pcomp_l,palt_l),MATCH($X733,IF($T733&lt;24,pcomp_k,palt_k),1)),""))</f>
        <v/>
      </c>
      <c r="AS733">
        <f>IF(OR($X733="",$T733&gt;60),"",IFERROR(INDEX(IF($T733&lt;24,pcomp_m,palt_m),MATCH($X733,IF($T733&lt;24,pcomp_k,palt_k),1)),""))</f>
        <v/>
      </c>
      <c r="AT733">
        <f>IF(OR($X733="",$T733&gt;60),"",IFERROR(INDEX(IF($T733&lt;24,pcomp_s,palt_s),MATCH($X733,IF($T733&lt;24,pcomp_k,palt_k),1)),""))</f>
        <v/>
      </c>
      <c r="AU733">
        <f>IF($AR733="","",IF($AR733=0,LN($F733/$AS733)/$AT733,((($F733/$AS733)^$AR733)-1)/($AR733*$AT733)))</f>
        <v/>
      </c>
      <c r="AV733">
        <f>IF($AR733="","",IF($AR733=0,$AS733*EXP($AT733*2),$AS733*(1+$AR733*$AT733*2)^(1/$AR733)))</f>
        <v/>
      </c>
      <c r="AW733">
        <f>IF($AR733="","",IF($AR733=0,$AS733*EXP($AT733*3),$AS733*(1+$AR733*$AT733*3)^(1/$AR733)))</f>
        <v/>
      </c>
      <c r="AX733">
        <f>IF($AR733="","",IF($AR733=0,$AS733*EXP($AT733*-2),$AS733*(1+$AR733*$AT733*-2)^(1/$AR733)))</f>
        <v/>
      </c>
      <c r="AY733">
        <f>IF($AR733="","",IF($AR733=0,$AS733*EXP($AT733*-3),$AS733*(1+$AR733*$AT733*-3)^(1/$AR733)))</f>
        <v/>
      </c>
      <c r="AZ733">
        <f>IF(OR($A733="",$A733&lt;&gt;Ficha!$C$4),"",COUNTIF($A$2:$A733,Ficha!$C$4))</f>
        <v/>
      </c>
    </row>
    <row r="734">
      <c r="A734" s="8">
        <f>IF(INDEX(Banco!$A:$A,ROW())="","",INDEX(Banco!$A:$A,ROW()))</f>
        <v/>
      </c>
      <c r="B734" s="8">
        <f>IF(INDEX(Banco!$B:$B,ROW())="","",INDEX(Banco!$B:$B,ROW()))</f>
        <v/>
      </c>
      <c r="C734" s="8">
        <f>IF(INDEX(Banco!$C:$C,ROW())="","",INDEX(Banco!$C:$C,ROW()))</f>
        <v/>
      </c>
      <c r="D734" s="9">
        <f>IF(INDEX(Banco!$D:$D,ROW())="","",INDEX(Banco!$D:$D,ROW()))</f>
        <v/>
      </c>
      <c r="E734" s="9">
        <f>IF(INDEX(Banco!$E:$E,ROW())="","",INDEX(Banco!$E:$E,ROW()))</f>
        <v/>
      </c>
      <c r="F734" s="10">
        <f>IF(INDEX(Banco!$F:$F,ROW())="","",INDEX(Banco!$F:$F,ROW()))</f>
        <v/>
      </c>
      <c r="G734" s="10">
        <f>IF(INDEX(Banco!$G:$G,ROW())="","",INDEX(Banco!$G:$G,ROW()))</f>
        <v/>
      </c>
      <c r="H734" s="8">
        <f>IF(INDEX(Banco!$H:$H,ROW())="","",INDEX(Banco!$H:$H,ROW()))</f>
        <v/>
      </c>
      <c r="I734">
        <f>IF($T734="","",INT($T734/12)&amp;"a "&amp;MOD($T734,12)&amp;"m")</f>
        <v/>
      </c>
      <c r="J734" s="11">
        <f>IF(OR($F734="",$G734=""),"",ROUND($F734/($G734/100)^2,2))</f>
        <v/>
      </c>
      <c r="K734" s="12">
        <f>IF(OR($S734="",$J734="",$T734="",$T734&lt;0,$T734&gt;228,$Y734=""),"—",ROUND(IF(ABS($AB734)&lt;=3,$AB734,IF($AB734&gt;3,3+($J734-$AD734)/($AD734-$AC734),-3+($J734-$AF734)/($AE734-$AF734))),2))</f>
        <v/>
      </c>
      <c r="L734">
        <f>IF(OR($K734="",$K734="—"),"",IF($T734&lt;=60,IF($K734&lt;-3,"Magreza acentuada",IF($K734&lt;-2,"Magreza",IF($K734&lt;=1,"Eutrofia",IF($K734&lt;=2,"Risco de sobrepeso",IF($K734&lt;=3,"Sobrepeso","Obesidade"))))),IF($K734&lt;-3,"Magreza acentuada",IF($K734&lt;-2,"Magreza",IF($K734&lt;=1,"Eutrofia",IF($K734&lt;=2,"Sobrepeso",IF($K734&lt;=3,"Obesidade","Obesidade grave")))))))</f>
        <v/>
      </c>
      <c r="M734" s="12">
        <f>IF(OR($S734="",$V734="",$T734="",$T734&lt;0,$T734&gt;228,$AG734=""),"—",ROUND(IF($AG734=0,LN($V734/$AH734)/$AI734,((($V734/$AH734)^$AG734)-1)/($AG734*$AI734)),2))</f>
        <v/>
      </c>
      <c r="N734">
        <f>IF(OR($M734="",$M734="—"),"",IF($M734&lt;-3,"Muito baixa",IF($M734&lt;-2,"Baixa","Adequada")))</f>
        <v/>
      </c>
      <c r="O734" s="12">
        <f>IF(OR($S734="",$F734="",$T734="",$T734&lt;0,$T734&gt;120,$AJ734=""),"—",ROUND(IF(ABS($AM734)&lt;=3,$AM734,IF($AM734&gt;3,3+($F734-$AO734)/($AO734-$AN734),-3+($F734-$AQ734)/($AP734-$AQ734))),2))</f>
        <v/>
      </c>
      <c r="P734">
        <f>IF(OR($O734="",$O734="—"),"",IF($O734&lt;-3,"Muito baixo",IF($O734&lt;-2,"Baixo",IF($O734&lt;=2,"Adequado","Elevado"))))</f>
        <v/>
      </c>
      <c r="Q734" s="12">
        <f>IF(OR($S734="",$F734="",$T734="",$T734&lt;0,$T734&gt;60,$AR734=""),"—",ROUND(IF(ABS($AU734)&lt;=3,$AU734,IF($AU734&gt;3,3+($F734-$AW734)/($AW734-$AV734),-3+($F734-$AY734)/($AX734-$AY734))),2))</f>
        <v/>
      </c>
      <c r="R734">
        <f>IF(OR($Q734="",$Q734="—"),"",IF($Q734&lt;-3,"Magreza acentuada",IF($Q734&lt;-2,"Magreza",IF($Q734&lt;=1,"Eutrofia",IF($Q734&lt;=2,"Risco de sobrepeso",IF($Q734&lt;=3,"Sobrepeso","Obesidade"))))))</f>
        <v/>
      </c>
      <c r="S734">
        <f>IF($C734="","",IF(UPPER(LEFT($C734,1))="M",1,IF(UPPER(LEFT($C734,1))="F",2,"")))</f>
        <v/>
      </c>
      <c r="T734">
        <f>IF(OR($D734="",$E734=""),"",DATEDIF($D734,$E734,"m"))</f>
        <v/>
      </c>
      <c r="U734">
        <f>IF(OR($D734="",$E734=""),"",$E734-$D734)</f>
        <v/>
      </c>
      <c r="V734">
        <f>IF(OR($G734="",$T734=""),"",IF($T734&lt;24,IF(LEFT(LOWER($H734),4)="em p",$G734+0.7,$G734),IF(LEFT(LOWER($H734),4)="deit",$G734-0.7,$G734)))</f>
        <v/>
      </c>
      <c r="W734">
        <f>IF(OR($S734="",$T734=""),"",$S734*1000000+IF($T734&lt;=60,$U734,$T734))</f>
        <v/>
      </c>
      <c r="X734">
        <f>IF(OR($S734="",$V734="",$T734&gt;60,$T734=""),"",$S734*1000000+ROUND($V734*10,0))</f>
        <v/>
      </c>
      <c r="Y734">
        <f>IF($W734="","",IFERROR(INDEX(IF($T734&lt;=60,imc05_l,imc519_l),MATCH($W734,IF($T734&lt;=60,imc05_k,imc519_k),1)),""))</f>
        <v/>
      </c>
      <c r="Z734">
        <f>IF($W734="","",IFERROR(INDEX(IF($T734&lt;=60,imc05_m,imc519_m),MATCH($W734,IF($T734&lt;=60,imc05_k,imc519_k),1)),""))</f>
        <v/>
      </c>
      <c r="AA734">
        <f>IF($W734="","",IFERROR(INDEX(IF($T734&lt;=60,imc05_s,imc519_s),MATCH($W734,IF($T734&lt;=60,imc05_k,imc519_k),1)),""))</f>
        <v/>
      </c>
      <c r="AB734">
        <f>IF($Y734="","",IF($Y734=0,LN($J734/$Z734)/$AA734,((($J734/$Z734)^$Y734)-1)/($Y734*$AA734)))</f>
        <v/>
      </c>
      <c r="AC734">
        <f>IF($Y734="","",IF($Y734=0,$Z734*EXP($AA734*2),$Z734*(1+$Y734*$AA734*2)^(1/$Y734)))</f>
        <v/>
      </c>
      <c r="AD734">
        <f>IF($Y734="","",IF($Y734=0,$Z734*EXP($AA734*3),$Z734*(1+$Y734*$AA734*3)^(1/$Y734)))</f>
        <v/>
      </c>
      <c r="AE734">
        <f>IF($Y734="","",IF($Y734=0,$Z734*EXP($AA734*-2),$Z734*(1+$Y734*$AA734*-2)^(1/$Y734)))</f>
        <v/>
      </c>
      <c r="AF734">
        <f>IF($Y734="","",IF($Y734=0,$Z734*EXP($AA734*-3),$Z734*(1+$Y734*$AA734*-3)^(1/$Y734)))</f>
        <v/>
      </c>
      <c r="AG734">
        <f>IF($W734="","",IFERROR(INDEX(IF($T734&lt;=60,est05_l,est519_l),MATCH($W734,IF($T734&lt;=60,est05_k,est519_k),1)),""))</f>
        <v/>
      </c>
      <c r="AH734">
        <f>IF($W734="","",IFERROR(INDEX(IF($T734&lt;=60,est05_m,est519_m),MATCH($W734,IF($T734&lt;=60,est05_k,est519_k),1)),""))</f>
        <v/>
      </c>
      <c r="AI734">
        <f>IF($W734="","",IFERROR(INDEX(IF($T734&lt;=60,est05_s,est519_s),MATCH($W734,IF($T734&lt;=60,est05_k,est519_k),1)),""))</f>
        <v/>
      </c>
      <c r="AJ734">
        <f>IF($W734="","",IFERROR(INDEX(IF($T734&lt;=60,peso05_l,peso510_l),MATCH($W734,IF($T734&lt;=60,peso05_k,peso510_k),1)),""))</f>
        <v/>
      </c>
      <c r="AK734">
        <f>IF($W734="","",IFERROR(INDEX(IF($T734&lt;=60,peso05_m,peso510_m),MATCH($W734,IF($T734&lt;=60,peso05_k,peso510_k),1)),""))</f>
        <v/>
      </c>
      <c r="AL734">
        <f>IF($W734="","",IFERROR(INDEX(IF($T734&lt;=60,peso05_s,peso510_s),MATCH($W734,IF($T734&lt;=60,peso05_k,peso510_k),1)),""))</f>
        <v/>
      </c>
      <c r="AM734">
        <f>IF($AJ734="","",IF($AJ734=0,LN($F734/$AK734)/$AL734,((($F734/$AK734)^$AJ734)-1)/($AJ734*$AL734)))</f>
        <v/>
      </c>
      <c r="AN734">
        <f>IF($AJ734="","",IF($AJ734=0,$AK734*EXP($AL734*2),$AK734*(1+$AJ734*$AL734*2)^(1/$AJ734)))</f>
        <v/>
      </c>
      <c r="AO734">
        <f>IF($AJ734="","",IF($AJ734=0,$AK734*EXP($AL734*3),$AK734*(1+$AJ734*$AL734*3)^(1/$AJ734)))</f>
        <v/>
      </c>
      <c r="AP734">
        <f>IF($AJ734="","",IF($AJ734=0,$AK734*EXP($AL734*-2),$AK734*(1+$AJ734*$AL734*-2)^(1/$AJ734)))</f>
        <v/>
      </c>
      <c r="AQ734">
        <f>IF($AJ734="","",IF($AJ734=0,$AK734*EXP($AL734*-3),$AK734*(1+$AJ734*$AL734*-3)^(1/$AJ734)))</f>
        <v/>
      </c>
      <c r="AR734">
        <f>IF(OR($X734="",$T734&gt;60),"",IFERROR(INDEX(IF($T734&lt;24,pcomp_l,palt_l),MATCH($X734,IF($T734&lt;24,pcomp_k,palt_k),1)),""))</f>
        <v/>
      </c>
      <c r="AS734">
        <f>IF(OR($X734="",$T734&gt;60),"",IFERROR(INDEX(IF($T734&lt;24,pcomp_m,palt_m),MATCH($X734,IF($T734&lt;24,pcomp_k,palt_k),1)),""))</f>
        <v/>
      </c>
      <c r="AT734">
        <f>IF(OR($X734="",$T734&gt;60),"",IFERROR(INDEX(IF($T734&lt;24,pcomp_s,palt_s),MATCH($X734,IF($T734&lt;24,pcomp_k,palt_k),1)),""))</f>
        <v/>
      </c>
      <c r="AU734">
        <f>IF($AR734="","",IF($AR734=0,LN($F734/$AS734)/$AT734,((($F734/$AS734)^$AR734)-1)/($AR734*$AT734)))</f>
        <v/>
      </c>
      <c r="AV734">
        <f>IF($AR734="","",IF($AR734=0,$AS734*EXP($AT734*2),$AS734*(1+$AR734*$AT734*2)^(1/$AR734)))</f>
        <v/>
      </c>
      <c r="AW734">
        <f>IF($AR734="","",IF($AR734=0,$AS734*EXP($AT734*3),$AS734*(1+$AR734*$AT734*3)^(1/$AR734)))</f>
        <v/>
      </c>
      <c r="AX734">
        <f>IF($AR734="","",IF($AR734=0,$AS734*EXP($AT734*-2),$AS734*(1+$AR734*$AT734*-2)^(1/$AR734)))</f>
        <v/>
      </c>
      <c r="AY734">
        <f>IF($AR734="","",IF($AR734=0,$AS734*EXP($AT734*-3),$AS734*(1+$AR734*$AT734*-3)^(1/$AR734)))</f>
        <v/>
      </c>
      <c r="AZ734">
        <f>IF(OR($A734="",$A734&lt;&gt;Ficha!$C$4),"",COUNTIF($A$2:$A734,Ficha!$C$4))</f>
        <v/>
      </c>
    </row>
    <row r="735">
      <c r="A735" s="8">
        <f>IF(INDEX(Banco!$A:$A,ROW())="","",INDEX(Banco!$A:$A,ROW()))</f>
        <v/>
      </c>
      <c r="B735" s="8">
        <f>IF(INDEX(Banco!$B:$B,ROW())="","",INDEX(Banco!$B:$B,ROW()))</f>
        <v/>
      </c>
      <c r="C735" s="8">
        <f>IF(INDEX(Banco!$C:$C,ROW())="","",INDEX(Banco!$C:$C,ROW()))</f>
        <v/>
      </c>
      <c r="D735" s="9">
        <f>IF(INDEX(Banco!$D:$D,ROW())="","",INDEX(Banco!$D:$D,ROW()))</f>
        <v/>
      </c>
      <c r="E735" s="9">
        <f>IF(INDEX(Banco!$E:$E,ROW())="","",INDEX(Banco!$E:$E,ROW()))</f>
        <v/>
      </c>
      <c r="F735" s="10">
        <f>IF(INDEX(Banco!$F:$F,ROW())="","",INDEX(Banco!$F:$F,ROW()))</f>
        <v/>
      </c>
      <c r="G735" s="10">
        <f>IF(INDEX(Banco!$G:$G,ROW())="","",INDEX(Banco!$G:$G,ROW()))</f>
        <v/>
      </c>
      <c r="H735" s="8">
        <f>IF(INDEX(Banco!$H:$H,ROW())="","",INDEX(Banco!$H:$H,ROW()))</f>
        <v/>
      </c>
      <c r="I735">
        <f>IF($T735="","",INT($T735/12)&amp;"a "&amp;MOD($T735,12)&amp;"m")</f>
        <v/>
      </c>
      <c r="J735" s="11">
        <f>IF(OR($F735="",$G735=""),"",ROUND($F735/($G735/100)^2,2))</f>
        <v/>
      </c>
      <c r="K735" s="12">
        <f>IF(OR($S735="",$J735="",$T735="",$T735&lt;0,$T735&gt;228,$Y735=""),"—",ROUND(IF(ABS($AB735)&lt;=3,$AB735,IF($AB735&gt;3,3+($J735-$AD735)/($AD735-$AC735),-3+($J735-$AF735)/($AE735-$AF735))),2))</f>
        <v/>
      </c>
      <c r="L735">
        <f>IF(OR($K735="",$K735="—"),"",IF($T735&lt;=60,IF($K735&lt;-3,"Magreza acentuada",IF($K735&lt;-2,"Magreza",IF($K735&lt;=1,"Eutrofia",IF($K735&lt;=2,"Risco de sobrepeso",IF($K735&lt;=3,"Sobrepeso","Obesidade"))))),IF($K735&lt;-3,"Magreza acentuada",IF($K735&lt;-2,"Magreza",IF($K735&lt;=1,"Eutrofia",IF($K735&lt;=2,"Sobrepeso",IF($K735&lt;=3,"Obesidade","Obesidade grave")))))))</f>
        <v/>
      </c>
      <c r="M735" s="12">
        <f>IF(OR($S735="",$V735="",$T735="",$T735&lt;0,$T735&gt;228,$AG735=""),"—",ROUND(IF($AG735=0,LN($V735/$AH735)/$AI735,((($V735/$AH735)^$AG735)-1)/($AG735*$AI735)),2))</f>
        <v/>
      </c>
      <c r="N735">
        <f>IF(OR($M735="",$M735="—"),"",IF($M735&lt;-3,"Muito baixa",IF($M735&lt;-2,"Baixa","Adequada")))</f>
        <v/>
      </c>
      <c r="O735" s="12">
        <f>IF(OR($S735="",$F735="",$T735="",$T735&lt;0,$T735&gt;120,$AJ735=""),"—",ROUND(IF(ABS($AM735)&lt;=3,$AM735,IF($AM735&gt;3,3+($F735-$AO735)/($AO735-$AN735),-3+($F735-$AQ735)/($AP735-$AQ735))),2))</f>
        <v/>
      </c>
      <c r="P735">
        <f>IF(OR($O735="",$O735="—"),"",IF($O735&lt;-3,"Muito baixo",IF($O735&lt;-2,"Baixo",IF($O735&lt;=2,"Adequado","Elevado"))))</f>
        <v/>
      </c>
      <c r="Q735" s="12">
        <f>IF(OR($S735="",$F735="",$T735="",$T735&lt;0,$T735&gt;60,$AR735=""),"—",ROUND(IF(ABS($AU735)&lt;=3,$AU735,IF($AU735&gt;3,3+($F735-$AW735)/($AW735-$AV735),-3+($F735-$AY735)/($AX735-$AY735))),2))</f>
        <v/>
      </c>
      <c r="R735">
        <f>IF(OR($Q735="",$Q735="—"),"",IF($Q735&lt;-3,"Magreza acentuada",IF($Q735&lt;-2,"Magreza",IF($Q735&lt;=1,"Eutrofia",IF($Q735&lt;=2,"Risco de sobrepeso",IF($Q735&lt;=3,"Sobrepeso","Obesidade"))))))</f>
        <v/>
      </c>
      <c r="S735">
        <f>IF($C735="","",IF(UPPER(LEFT($C735,1))="M",1,IF(UPPER(LEFT($C735,1))="F",2,"")))</f>
        <v/>
      </c>
      <c r="T735">
        <f>IF(OR($D735="",$E735=""),"",DATEDIF($D735,$E735,"m"))</f>
        <v/>
      </c>
      <c r="U735">
        <f>IF(OR($D735="",$E735=""),"",$E735-$D735)</f>
        <v/>
      </c>
      <c r="V735">
        <f>IF(OR($G735="",$T735=""),"",IF($T735&lt;24,IF(LEFT(LOWER($H735),4)="em p",$G735+0.7,$G735),IF(LEFT(LOWER($H735),4)="deit",$G735-0.7,$G735)))</f>
        <v/>
      </c>
      <c r="W735">
        <f>IF(OR($S735="",$T735=""),"",$S735*1000000+IF($T735&lt;=60,$U735,$T735))</f>
        <v/>
      </c>
      <c r="X735">
        <f>IF(OR($S735="",$V735="",$T735&gt;60,$T735=""),"",$S735*1000000+ROUND($V735*10,0))</f>
        <v/>
      </c>
      <c r="Y735">
        <f>IF($W735="","",IFERROR(INDEX(IF($T735&lt;=60,imc05_l,imc519_l),MATCH($W735,IF($T735&lt;=60,imc05_k,imc519_k),1)),""))</f>
        <v/>
      </c>
      <c r="Z735">
        <f>IF($W735="","",IFERROR(INDEX(IF($T735&lt;=60,imc05_m,imc519_m),MATCH($W735,IF($T735&lt;=60,imc05_k,imc519_k),1)),""))</f>
        <v/>
      </c>
      <c r="AA735">
        <f>IF($W735="","",IFERROR(INDEX(IF($T735&lt;=60,imc05_s,imc519_s),MATCH($W735,IF($T735&lt;=60,imc05_k,imc519_k),1)),""))</f>
        <v/>
      </c>
      <c r="AB735">
        <f>IF($Y735="","",IF($Y735=0,LN($J735/$Z735)/$AA735,((($J735/$Z735)^$Y735)-1)/($Y735*$AA735)))</f>
        <v/>
      </c>
      <c r="AC735">
        <f>IF($Y735="","",IF($Y735=0,$Z735*EXP($AA735*2),$Z735*(1+$Y735*$AA735*2)^(1/$Y735)))</f>
        <v/>
      </c>
      <c r="AD735">
        <f>IF($Y735="","",IF($Y735=0,$Z735*EXP($AA735*3),$Z735*(1+$Y735*$AA735*3)^(1/$Y735)))</f>
        <v/>
      </c>
      <c r="AE735">
        <f>IF($Y735="","",IF($Y735=0,$Z735*EXP($AA735*-2),$Z735*(1+$Y735*$AA735*-2)^(1/$Y735)))</f>
        <v/>
      </c>
      <c r="AF735">
        <f>IF($Y735="","",IF($Y735=0,$Z735*EXP($AA735*-3),$Z735*(1+$Y735*$AA735*-3)^(1/$Y735)))</f>
        <v/>
      </c>
      <c r="AG735">
        <f>IF($W735="","",IFERROR(INDEX(IF($T735&lt;=60,est05_l,est519_l),MATCH($W735,IF($T735&lt;=60,est05_k,est519_k),1)),""))</f>
        <v/>
      </c>
      <c r="AH735">
        <f>IF($W735="","",IFERROR(INDEX(IF($T735&lt;=60,est05_m,est519_m),MATCH($W735,IF($T735&lt;=60,est05_k,est519_k),1)),""))</f>
        <v/>
      </c>
      <c r="AI735">
        <f>IF($W735="","",IFERROR(INDEX(IF($T735&lt;=60,est05_s,est519_s),MATCH($W735,IF($T735&lt;=60,est05_k,est519_k),1)),""))</f>
        <v/>
      </c>
      <c r="AJ735">
        <f>IF($W735="","",IFERROR(INDEX(IF($T735&lt;=60,peso05_l,peso510_l),MATCH($W735,IF($T735&lt;=60,peso05_k,peso510_k),1)),""))</f>
        <v/>
      </c>
      <c r="AK735">
        <f>IF($W735="","",IFERROR(INDEX(IF($T735&lt;=60,peso05_m,peso510_m),MATCH($W735,IF($T735&lt;=60,peso05_k,peso510_k),1)),""))</f>
        <v/>
      </c>
      <c r="AL735">
        <f>IF($W735="","",IFERROR(INDEX(IF($T735&lt;=60,peso05_s,peso510_s),MATCH($W735,IF($T735&lt;=60,peso05_k,peso510_k),1)),""))</f>
        <v/>
      </c>
      <c r="AM735">
        <f>IF($AJ735="","",IF($AJ735=0,LN($F735/$AK735)/$AL735,((($F735/$AK735)^$AJ735)-1)/($AJ735*$AL735)))</f>
        <v/>
      </c>
      <c r="AN735">
        <f>IF($AJ735="","",IF($AJ735=0,$AK735*EXP($AL735*2),$AK735*(1+$AJ735*$AL735*2)^(1/$AJ735)))</f>
        <v/>
      </c>
      <c r="AO735">
        <f>IF($AJ735="","",IF($AJ735=0,$AK735*EXP($AL735*3),$AK735*(1+$AJ735*$AL735*3)^(1/$AJ735)))</f>
        <v/>
      </c>
      <c r="AP735">
        <f>IF($AJ735="","",IF($AJ735=0,$AK735*EXP($AL735*-2),$AK735*(1+$AJ735*$AL735*-2)^(1/$AJ735)))</f>
        <v/>
      </c>
      <c r="AQ735">
        <f>IF($AJ735="","",IF($AJ735=0,$AK735*EXP($AL735*-3),$AK735*(1+$AJ735*$AL735*-3)^(1/$AJ735)))</f>
        <v/>
      </c>
      <c r="AR735">
        <f>IF(OR($X735="",$T735&gt;60),"",IFERROR(INDEX(IF($T735&lt;24,pcomp_l,palt_l),MATCH($X735,IF($T735&lt;24,pcomp_k,palt_k),1)),""))</f>
        <v/>
      </c>
      <c r="AS735">
        <f>IF(OR($X735="",$T735&gt;60),"",IFERROR(INDEX(IF($T735&lt;24,pcomp_m,palt_m),MATCH($X735,IF($T735&lt;24,pcomp_k,palt_k),1)),""))</f>
        <v/>
      </c>
      <c r="AT735">
        <f>IF(OR($X735="",$T735&gt;60),"",IFERROR(INDEX(IF($T735&lt;24,pcomp_s,palt_s),MATCH($X735,IF($T735&lt;24,pcomp_k,palt_k),1)),""))</f>
        <v/>
      </c>
      <c r="AU735">
        <f>IF($AR735="","",IF($AR735=0,LN($F735/$AS735)/$AT735,((($F735/$AS735)^$AR735)-1)/($AR735*$AT735)))</f>
        <v/>
      </c>
      <c r="AV735">
        <f>IF($AR735="","",IF($AR735=0,$AS735*EXP($AT735*2),$AS735*(1+$AR735*$AT735*2)^(1/$AR735)))</f>
        <v/>
      </c>
      <c r="AW735">
        <f>IF($AR735="","",IF($AR735=0,$AS735*EXP($AT735*3),$AS735*(1+$AR735*$AT735*3)^(1/$AR735)))</f>
        <v/>
      </c>
      <c r="AX735">
        <f>IF($AR735="","",IF($AR735=0,$AS735*EXP($AT735*-2),$AS735*(1+$AR735*$AT735*-2)^(1/$AR735)))</f>
        <v/>
      </c>
      <c r="AY735">
        <f>IF($AR735="","",IF($AR735=0,$AS735*EXP($AT735*-3),$AS735*(1+$AR735*$AT735*-3)^(1/$AR735)))</f>
        <v/>
      </c>
      <c r="AZ735">
        <f>IF(OR($A735="",$A735&lt;&gt;Ficha!$C$4),"",COUNTIF($A$2:$A735,Ficha!$C$4))</f>
        <v/>
      </c>
    </row>
    <row r="736">
      <c r="A736" s="8">
        <f>IF(INDEX(Banco!$A:$A,ROW())="","",INDEX(Banco!$A:$A,ROW()))</f>
        <v/>
      </c>
      <c r="B736" s="8">
        <f>IF(INDEX(Banco!$B:$B,ROW())="","",INDEX(Banco!$B:$B,ROW()))</f>
        <v/>
      </c>
      <c r="C736" s="8">
        <f>IF(INDEX(Banco!$C:$C,ROW())="","",INDEX(Banco!$C:$C,ROW()))</f>
        <v/>
      </c>
      <c r="D736" s="9">
        <f>IF(INDEX(Banco!$D:$D,ROW())="","",INDEX(Banco!$D:$D,ROW()))</f>
        <v/>
      </c>
      <c r="E736" s="9">
        <f>IF(INDEX(Banco!$E:$E,ROW())="","",INDEX(Banco!$E:$E,ROW()))</f>
        <v/>
      </c>
      <c r="F736" s="10">
        <f>IF(INDEX(Banco!$F:$F,ROW())="","",INDEX(Banco!$F:$F,ROW()))</f>
        <v/>
      </c>
      <c r="G736" s="10">
        <f>IF(INDEX(Banco!$G:$G,ROW())="","",INDEX(Banco!$G:$G,ROW()))</f>
        <v/>
      </c>
      <c r="H736" s="8">
        <f>IF(INDEX(Banco!$H:$H,ROW())="","",INDEX(Banco!$H:$H,ROW()))</f>
        <v/>
      </c>
      <c r="I736">
        <f>IF($T736="","",INT($T736/12)&amp;"a "&amp;MOD($T736,12)&amp;"m")</f>
        <v/>
      </c>
      <c r="J736" s="11">
        <f>IF(OR($F736="",$G736=""),"",ROUND($F736/($G736/100)^2,2))</f>
        <v/>
      </c>
      <c r="K736" s="12">
        <f>IF(OR($S736="",$J736="",$T736="",$T736&lt;0,$T736&gt;228,$Y736=""),"—",ROUND(IF(ABS($AB736)&lt;=3,$AB736,IF($AB736&gt;3,3+($J736-$AD736)/($AD736-$AC736),-3+($J736-$AF736)/($AE736-$AF736))),2))</f>
        <v/>
      </c>
      <c r="L736">
        <f>IF(OR($K736="",$K736="—"),"",IF($T736&lt;=60,IF($K736&lt;-3,"Magreza acentuada",IF($K736&lt;-2,"Magreza",IF($K736&lt;=1,"Eutrofia",IF($K736&lt;=2,"Risco de sobrepeso",IF($K736&lt;=3,"Sobrepeso","Obesidade"))))),IF($K736&lt;-3,"Magreza acentuada",IF($K736&lt;-2,"Magreza",IF($K736&lt;=1,"Eutrofia",IF($K736&lt;=2,"Sobrepeso",IF($K736&lt;=3,"Obesidade","Obesidade grave")))))))</f>
        <v/>
      </c>
      <c r="M736" s="12">
        <f>IF(OR($S736="",$V736="",$T736="",$T736&lt;0,$T736&gt;228,$AG736=""),"—",ROUND(IF($AG736=0,LN($V736/$AH736)/$AI736,((($V736/$AH736)^$AG736)-1)/($AG736*$AI736)),2))</f>
        <v/>
      </c>
      <c r="N736">
        <f>IF(OR($M736="",$M736="—"),"",IF($M736&lt;-3,"Muito baixa",IF($M736&lt;-2,"Baixa","Adequada")))</f>
        <v/>
      </c>
      <c r="O736" s="12">
        <f>IF(OR($S736="",$F736="",$T736="",$T736&lt;0,$T736&gt;120,$AJ736=""),"—",ROUND(IF(ABS($AM736)&lt;=3,$AM736,IF($AM736&gt;3,3+($F736-$AO736)/($AO736-$AN736),-3+($F736-$AQ736)/($AP736-$AQ736))),2))</f>
        <v/>
      </c>
      <c r="P736">
        <f>IF(OR($O736="",$O736="—"),"",IF($O736&lt;-3,"Muito baixo",IF($O736&lt;-2,"Baixo",IF($O736&lt;=2,"Adequado","Elevado"))))</f>
        <v/>
      </c>
      <c r="Q736" s="12">
        <f>IF(OR($S736="",$F736="",$T736="",$T736&lt;0,$T736&gt;60,$AR736=""),"—",ROUND(IF(ABS($AU736)&lt;=3,$AU736,IF($AU736&gt;3,3+($F736-$AW736)/($AW736-$AV736),-3+($F736-$AY736)/($AX736-$AY736))),2))</f>
        <v/>
      </c>
      <c r="R736">
        <f>IF(OR($Q736="",$Q736="—"),"",IF($Q736&lt;-3,"Magreza acentuada",IF($Q736&lt;-2,"Magreza",IF($Q736&lt;=1,"Eutrofia",IF($Q736&lt;=2,"Risco de sobrepeso",IF($Q736&lt;=3,"Sobrepeso","Obesidade"))))))</f>
        <v/>
      </c>
      <c r="S736">
        <f>IF($C736="","",IF(UPPER(LEFT($C736,1))="M",1,IF(UPPER(LEFT($C736,1))="F",2,"")))</f>
        <v/>
      </c>
      <c r="T736">
        <f>IF(OR($D736="",$E736=""),"",DATEDIF($D736,$E736,"m"))</f>
        <v/>
      </c>
      <c r="U736">
        <f>IF(OR($D736="",$E736=""),"",$E736-$D736)</f>
        <v/>
      </c>
      <c r="V736">
        <f>IF(OR($G736="",$T736=""),"",IF($T736&lt;24,IF(LEFT(LOWER($H736),4)="em p",$G736+0.7,$G736),IF(LEFT(LOWER($H736),4)="deit",$G736-0.7,$G736)))</f>
        <v/>
      </c>
      <c r="W736">
        <f>IF(OR($S736="",$T736=""),"",$S736*1000000+IF($T736&lt;=60,$U736,$T736))</f>
        <v/>
      </c>
      <c r="X736">
        <f>IF(OR($S736="",$V736="",$T736&gt;60,$T736=""),"",$S736*1000000+ROUND($V736*10,0))</f>
        <v/>
      </c>
      <c r="Y736">
        <f>IF($W736="","",IFERROR(INDEX(IF($T736&lt;=60,imc05_l,imc519_l),MATCH($W736,IF($T736&lt;=60,imc05_k,imc519_k),1)),""))</f>
        <v/>
      </c>
      <c r="Z736">
        <f>IF($W736="","",IFERROR(INDEX(IF($T736&lt;=60,imc05_m,imc519_m),MATCH($W736,IF($T736&lt;=60,imc05_k,imc519_k),1)),""))</f>
        <v/>
      </c>
      <c r="AA736">
        <f>IF($W736="","",IFERROR(INDEX(IF($T736&lt;=60,imc05_s,imc519_s),MATCH($W736,IF($T736&lt;=60,imc05_k,imc519_k),1)),""))</f>
        <v/>
      </c>
      <c r="AB736">
        <f>IF($Y736="","",IF($Y736=0,LN($J736/$Z736)/$AA736,((($J736/$Z736)^$Y736)-1)/($Y736*$AA736)))</f>
        <v/>
      </c>
      <c r="AC736">
        <f>IF($Y736="","",IF($Y736=0,$Z736*EXP($AA736*2),$Z736*(1+$Y736*$AA736*2)^(1/$Y736)))</f>
        <v/>
      </c>
      <c r="AD736">
        <f>IF($Y736="","",IF($Y736=0,$Z736*EXP($AA736*3),$Z736*(1+$Y736*$AA736*3)^(1/$Y736)))</f>
        <v/>
      </c>
      <c r="AE736">
        <f>IF($Y736="","",IF($Y736=0,$Z736*EXP($AA736*-2),$Z736*(1+$Y736*$AA736*-2)^(1/$Y736)))</f>
        <v/>
      </c>
      <c r="AF736">
        <f>IF($Y736="","",IF($Y736=0,$Z736*EXP($AA736*-3),$Z736*(1+$Y736*$AA736*-3)^(1/$Y736)))</f>
        <v/>
      </c>
      <c r="AG736">
        <f>IF($W736="","",IFERROR(INDEX(IF($T736&lt;=60,est05_l,est519_l),MATCH($W736,IF($T736&lt;=60,est05_k,est519_k),1)),""))</f>
        <v/>
      </c>
      <c r="AH736">
        <f>IF($W736="","",IFERROR(INDEX(IF($T736&lt;=60,est05_m,est519_m),MATCH($W736,IF($T736&lt;=60,est05_k,est519_k),1)),""))</f>
        <v/>
      </c>
      <c r="AI736">
        <f>IF($W736="","",IFERROR(INDEX(IF($T736&lt;=60,est05_s,est519_s),MATCH($W736,IF($T736&lt;=60,est05_k,est519_k),1)),""))</f>
        <v/>
      </c>
      <c r="AJ736">
        <f>IF($W736="","",IFERROR(INDEX(IF($T736&lt;=60,peso05_l,peso510_l),MATCH($W736,IF($T736&lt;=60,peso05_k,peso510_k),1)),""))</f>
        <v/>
      </c>
      <c r="AK736">
        <f>IF($W736="","",IFERROR(INDEX(IF($T736&lt;=60,peso05_m,peso510_m),MATCH($W736,IF($T736&lt;=60,peso05_k,peso510_k),1)),""))</f>
        <v/>
      </c>
      <c r="AL736">
        <f>IF($W736="","",IFERROR(INDEX(IF($T736&lt;=60,peso05_s,peso510_s),MATCH($W736,IF($T736&lt;=60,peso05_k,peso510_k),1)),""))</f>
        <v/>
      </c>
      <c r="AM736">
        <f>IF($AJ736="","",IF($AJ736=0,LN($F736/$AK736)/$AL736,((($F736/$AK736)^$AJ736)-1)/($AJ736*$AL736)))</f>
        <v/>
      </c>
      <c r="AN736">
        <f>IF($AJ736="","",IF($AJ736=0,$AK736*EXP($AL736*2),$AK736*(1+$AJ736*$AL736*2)^(1/$AJ736)))</f>
        <v/>
      </c>
      <c r="AO736">
        <f>IF($AJ736="","",IF($AJ736=0,$AK736*EXP($AL736*3),$AK736*(1+$AJ736*$AL736*3)^(1/$AJ736)))</f>
        <v/>
      </c>
      <c r="AP736">
        <f>IF($AJ736="","",IF($AJ736=0,$AK736*EXP($AL736*-2),$AK736*(1+$AJ736*$AL736*-2)^(1/$AJ736)))</f>
        <v/>
      </c>
      <c r="AQ736">
        <f>IF($AJ736="","",IF($AJ736=0,$AK736*EXP($AL736*-3),$AK736*(1+$AJ736*$AL736*-3)^(1/$AJ736)))</f>
        <v/>
      </c>
      <c r="AR736">
        <f>IF(OR($X736="",$T736&gt;60),"",IFERROR(INDEX(IF($T736&lt;24,pcomp_l,palt_l),MATCH($X736,IF($T736&lt;24,pcomp_k,palt_k),1)),""))</f>
        <v/>
      </c>
      <c r="AS736">
        <f>IF(OR($X736="",$T736&gt;60),"",IFERROR(INDEX(IF($T736&lt;24,pcomp_m,palt_m),MATCH($X736,IF($T736&lt;24,pcomp_k,palt_k),1)),""))</f>
        <v/>
      </c>
      <c r="AT736">
        <f>IF(OR($X736="",$T736&gt;60),"",IFERROR(INDEX(IF($T736&lt;24,pcomp_s,palt_s),MATCH($X736,IF($T736&lt;24,pcomp_k,palt_k),1)),""))</f>
        <v/>
      </c>
      <c r="AU736">
        <f>IF($AR736="","",IF($AR736=0,LN($F736/$AS736)/$AT736,((($F736/$AS736)^$AR736)-1)/($AR736*$AT736)))</f>
        <v/>
      </c>
      <c r="AV736">
        <f>IF($AR736="","",IF($AR736=0,$AS736*EXP($AT736*2),$AS736*(1+$AR736*$AT736*2)^(1/$AR736)))</f>
        <v/>
      </c>
      <c r="AW736">
        <f>IF($AR736="","",IF($AR736=0,$AS736*EXP($AT736*3),$AS736*(1+$AR736*$AT736*3)^(1/$AR736)))</f>
        <v/>
      </c>
      <c r="AX736">
        <f>IF($AR736="","",IF($AR736=0,$AS736*EXP($AT736*-2),$AS736*(1+$AR736*$AT736*-2)^(1/$AR736)))</f>
        <v/>
      </c>
      <c r="AY736">
        <f>IF($AR736="","",IF($AR736=0,$AS736*EXP($AT736*-3),$AS736*(1+$AR736*$AT736*-3)^(1/$AR736)))</f>
        <v/>
      </c>
      <c r="AZ736">
        <f>IF(OR($A736="",$A736&lt;&gt;Ficha!$C$4),"",COUNTIF($A$2:$A736,Ficha!$C$4))</f>
        <v/>
      </c>
    </row>
    <row r="737">
      <c r="A737" s="8">
        <f>IF(INDEX(Banco!$A:$A,ROW())="","",INDEX(Banco!$A:$A,ROW()))</f>
        <v/>
      </c>
      <c r="B737" s="8">
        <f>IF(INDEX(Banco!$B:$B,ROW())="","",INDEX(Banco!$B:$B,ROW()))</f>
        <v/>
      </c>
      <c r="C737" s="8">
        <f>IF(INDEX(Banco!$C:$C,ROW())="","",INDEX(Banco!$C:$C,ROW()))</f>
        <v/>
      </c>
      <c r="D737" s="9">
        <f>IF(INDEX(Banco!$D:$D,ROW())="","",INDEX(Banco!$D:$D,ROW()))</f>
        <v/>
      </c>
      <c r="E737" s="9">
        <f>IF(INDEX(Banco!$E:$E,ROW())="","",INDEX(Banco!$E:$E,ROW()))</f>
        <v/>
      </c>
      <c r="F737" s="10">
        <f>IF(INDEX(Banco!$F:$F,ROW())="","",INDEX(Banco!$F:$F,ROW()))</f>
        <v/>
      </c>
      <c r="G737" s="10">
        <f>IF(INDEX(Banco!$G:$G,ROW())="","",INDEX(Banco!$G:$G,ROW()))</f>
        <v/>
      </c>
      <c r="H737" s="8">
        <f>IF(INDEX(Banco!$H:$H,ROW())="","",INDEX(Banco!$H:$H,ROW()))</f>
        <v/>
      </c>
      <c r="I737">
        <f>IF($T737="","",INT($T737/12)&amp;"a "&amp;MOD($T737,12)&amp;"m")</f>
        <v/>
      </c>
      <c r="J737" s="11">
        <f>IF(OR($F737="",$G737=""),"",ROUND($F737/($G737/100)^2,2))</f>
        <v/>
      </c>
      <c r="K737" s="12">
        <f>IF(OR($S737="",$J737="",$T737="",$T737&lt;0,$T737&gt;228,$Y737=""),"—",ROUND(IF(ABS($AB737)&lt;=3,$AB737,IF($AB737&gt;3,3+($J737-$AD737)/($AD737-$AC737),-3+($J737-$AF737)/($AE737-$AF737))),2))</f>
        <v/>
      </c>
      <c r="L737">
        <f>IF(OR($K737="",$K737="—"),"",IF($T737&lt;=60,IF($K737&lt;-3,"Magreza acentuada",IF($K737&lt;-2,"Magreza",IF($K737&lt;=1,"Eutrofia",IF($K737&lt;=2,"Risco de sobrepeso",IF($K737&lt;=3,"Sobrepeso","Obesidade"))))),IF($K737&lt;-3,"Magreza acentuada",IF($K737&lt;-2,"Magreza",IF($K737&lt;=1,"Eutrofia",IF($K737&lt;=2,"Sobrepeso",IF($K737&lt;=3,"Obesidade","Obesidade grave")))))))</f>
        <v/>
      </c>
      <c r="M737" s="12">
        <f>IF(OR($S737="",$V737="",$T737="",$T737&lt;0,$T737&gt;228,$AG737=""),"—",ROUND(IF($AG737=0,LN($V737/$AH737)/$AI737,((($V737/$AH737)^$AG737)-1)/($AG737*$AI737)),2))</f>
        <v/>
      </c>
      <c r="N737">
        <f>IF(OR($M737="",$M737="—"),"",IF($M737&lt;-3,"Muito baixa",IF($M737&lt;-2,"Baixa","Adequada")))</f>
        <v/>
      </c>
      <c r="O737" s="12">
        <f>IF(OR($S737="",$F737="",$T737="",$T737&lt;0,$T737&gt;120,$AJ737=""),"—",ROUND(IF(ABS($AM737)&lt;=3,$AM737,IF($AM737&gt;3,3+($F737-$AO737)/($AO737-$AN737),-3+($F737-$AQ737)/($AP737-$AQ737))),2))</f>
        <v/>
      </c>
      <c r="P737">
        <f>IF(OR($O737="",$O737="—"),"",IF($O737&lt;-3,"Muito baixo",IF($O737&lt;-2,"Baixo",IF($O737&lt;=2,"Adequado","Elevado"))))</f>
        <v/>
      </c>
      <c r="Q737" s="12">
        <f>IF(OR($S737="",$F737="",$T737="",$T737&lt;0,$T737&gt;60,$AR737=""),"—",ROUND(IF(ABS($AU737)&lt;=3,$AU737,IF($AU737&gt;3,3+($F737-$AW737)/($AW737-$AV737),-3+($F737-$AY737)/($AX737-$AY737))),2))</f>
        <v/>
      </c>
      <c r="R737">
        <f>IF(OR($Q737="",$Q737="—"),"",IF($Q737&lt;-3,"Magreza acentuada",IF($Q737&lt;-2,"Magreza",IF($Q737&lt;=1,"Eutrofia",IF($Q737&lt;=2,"Risco de sobrepeso",IF($Q737&lt;=3,"Sobrepeso","Obesidade"))))))</f>
        <v/>
      </c>
      <c r="S737">
        <f>IF($C737="","",IF(UPPER(LEFT($C737,1))="M",1,IF(UPPER(LEFT($C737,1))="F",2,"")))</f>
        <v/>
      </c>
      <c r="T737">
        <f>IF(OR($D737="",$E737=""),"",DATEDIF($D737,$E737,"m"))</f>
        <v/>
      </c>
      <c r="U737">
        <f>IF(OR($D737="",$E737=""),"",$E737-$D737)</f>
        <v/>
      </c>
      <c r="V737">
        <f>IF(OR($G737="",$T737=""),"",IF($T737&lt;24,IF(LEFT(LOWER($H737),4)="em p",$G737+0.7,$G737),IF(LEFT(LOWER($H737),4)="deit",$G737-0.7,$G737)))</f>
        <v/>
      </c>
      <c r="W737">
        <f>IF(OR($S737="",$T737=""),"",$S737*1000000+IF($T737&lt;=60,$U737,$T737))</f>
        <v/>
      </c>
      <c r="X737">
        <f>IF(OR($S737="",$V737="",$T737&gt;60,$T737=""),"",$S737*1000000+ROUND($V737*10,0))</f>
        <v/>
      </c>
      <c r="Y737">
        <f>IF($W737="","",IFERROR(INDEX(IF($T737&lt;=60,imc05_l,imc519_l),MATCH($W737,IF($T737&lt;=60,imc05_k,imc519_k),1)),""))</f>
        <v/>
      </c>
      <c r="Z737">
        <f>IF($W737="","",IFERROR(INDEX(IF($T737&lt;=60,imc05_m,imc519_m),MATCH($W737,IF($T737&lt;=60,imc05_k,imc519_k),1)),""))</f>
        <v/>
      </c>
      <c r="AA737">
        <f>IF($W737="","",IFERROR(INDEX(IF($T737&lt;=60,imc05_s,imc519_s),MATCH($W737,IF($T737&lt;=60,imc05_k,imc519_k),1)),""))</f>
        <v/>
      </c>
      <c r="AB737">
        <f>IF($Y737="","",IF($Y737=0,LN($J737/$Z737)/$AA737,((($J737/$Z737)^$Y737)-1)/($Y737*$AA737)))</f>
        <v/>
      </c>
      <c r="AC737">
        <f>IF($Y737="","",IF($Y737=0,$Z737*EXP($AA737*2),$Z737*(1+$Y737*$AA737*2)^(1/$Y737)))</f>
        <v/>
      </c>
      <c r="AD737">
        <f>IF($Y737="","",IF($Y737=0,$Z737*EXP($AA737*3),$Z737*(1+$Y737*$AA737*3)^(1/$Y737)))</f>
        <v/>
      </c>
      <c r="AE737">
        <f>IF($Y737="","",IF($Y737=0,$Z737*EXP($AA737*-2),$Z737*(1+$Y737*$AA737*-2)^(1/$Y737)))</f>
        <v/>
      </c>
      <c r="AF737">
        <f>IF($Y737="","",IF($Y737=0,$Z737*EXP($AA737*-3),$Z737*(1+$Y737*$AA737*-3)^(1/$Y737)))</f>
        <v/>
      </c>
      <c r="AG737">
        <f>IF($W737="","",IFERROR(INDEX(IF($T737&lt;=60,est05_l,est519_l),MATCH($W737,IF($T737&lt;=60,est05_k,est519_k),1)),""))</f>
        <v/>
      </c>
      <c r="AH737">
        <f>IF($W737="","",IFERROR(INDEX(IF($T737&lt;=60,est05_m,est519_m),MATCH($W737,IF($T737&lt;=60,est05_k,est519_k),1)),""))</f>
        <v/>
      </c>
      <c r="AI737">
        <f>IF($W737="","",IFERROR(INDEX(IF($T737&lt;=60,est05_s,est519_s),MATCH($W737,IF($T737&lt;=60,est05_k,est519_k),1)),""))</f>
        <v/>
      </c>
      <c r="AJ737">
        <f>IF($W737="","",IFERROR(INDEX(IF($T737&lt;=60,peso05_l,peso510_l),MATCH($W737,IF($T737&lt;=60,peso05_k,peso510_k),1)),""))</f>
        <v/>
      </c>
      <c r="AK737">
        <f>IF($W737="","",IFERROR(INDEX(IF($T737&lt;=60,peso05_m,peso510_m),MATCH($W737,IF($T737&lt;=60,peso05_k,peso510_k),1)),""))</f>
        <v/>
      </c>
      <c r="AL737">
        <f>IF($W737="","",IFERROR(INDEX(IF($T737&lt;=60,peso05_s,peso510_s),MATCH($W737,IF($T737&lt;=60,peso05_k,peso510_k),1)),""))</f>
        <v/>
      </c>
      <c r="AM737">
        <f>IF($AJ737="","",IF($AJ737=0,LN($F737/$AK737)/$AL737,((($F737/$AK737)^$AJ737)-1)/($AJ737*$AL737)))</f>
        <v/>
      </c>
      <c r="AN737">
        <f>IF($AJ737="","",IF($AJ737=0,$AK737*EXP($AL737*2),$AK737*(1+$AJ737*$AL737*2)^(1/$AJ737)))</f>
        <v/>
      </c>
      <c r="AO737">
        <f>IF($AJ737="","",IF($AJ737=0,$AK737*EXP($AL737*3),$AK737*(1+$AJ737*$AL737*3)^(1/$AJ737)))</f>
        <v/>
      </c>
      <c r="AP737">
        <f>IF($AJ737="","",IF($AJ737=0,$AK737*EXP($AL737*-2),$AK737*(1+$AJ737*$AL737*-2)^(1/$AJ737)))</f>
        <v/>
      </c>
      <c r="AQ737">
        <f>IF($AJ737="","",IF($AJ737=0,$AK737*EXP($AL737*-3),$AK737*(1+$AJ737*$AL737*-3)^(1/$AJ737)))</f>
        <v/>
      </c>
      <c r="AR737">
        <f>IF(OR($X737="",$T737&gt;60),"",IFERROR(INDEX(IF($T737&lt;24,pcomp_l,palt_l),MATCH($X737,IF($T737&lt;24,pcomp_k,palt_k),1)),""))</f>
        <v/>
      </c>
      <c r="AS737">
        <f>IF(OR($X737="",$T737&gt;60),"",IFERROR(INDEX(IF($T737&lt;24,pcomp_m,palt_m),MATCH($X737,IF($T737&lt;24,pcomp_k,palt_k),1)),""))</f>
        <v/>
      </c>
      <c r="AT737">
        <f>IF(OR($X737="",$T737&gt;60),"",IFERROR(INDEX(IF($T737&lt;24,pcomp_s,palt_s),MATCH($X737,IF($T737&lt;24,pcomp_k,palt_k),1)),""))</f>
        <v/>
      </c>
      <c r="AU737">
        <f>IF($AR737="","",IF($AR737=0,LN($F737/$AS737)/$AT737,((($F737/$AS737)^$AR737)-1)/($AR737*$AT737)))</f>
        <v/>
      </c>
      <c r="AV737">
        <f>IF($AR737="","",IF($AR737=0,$AS737*EXP($AT737*2),$AS737*(1+$AR737*$AT737*2)^(1/$AR737)))</f>
        <v/>
      </c>
      <c r="AW737">
        <f>IF($AR737="","",IF($AR737=0,$AS737*EXP($AT737*3),$AS737*(1+$AR737*$AT737*3)^(1/$AR737)))</f>
        <v/>
      </c>
      <c r="AX737">
        <f>IF($AR737="","",IF($AR737=0,$AS737*EXP($AT737*-2),$AS737*(1+$AR737*$AT737*-2)^(1/$AR737)))</f>
        <v/>
      </c>
      <c r="AY737">
        <f>IF($AR737="","",IF($AR737=0,$AS737*EXP($AT737*-3),$AS737*(1+$AR737*$AT737*-3)^(1/$AR737)))</f>
        <v/>
      </c>
      <c r="AZ737">
        <f>IF(OR($A737="",$A737&lt;&gt;Ficha!$C$4),"",COUNTIF($A$2:$A737,Ficha!$C$4))</f>
        <v/>
      </c>
    </row>
    <row r="738">
      <c r="A738" s="8">
        <f>IF(INDEX(Banco!$A:$A,ROW())="","",INDEX(Banco!$A:$A,ROW()))</f>
        <v/>
      </c>
      <c r="B738" s="8">
        <f>IF(INDEX(Banco!$B:$B,ROW())="","",INDEX(Banco!$B:$B,ROW()))</f>
        <v/>
      </c>
      <c r="C738" s="8">
        <f>IF(INDEX(Banco!$C:$C,ROW())="","",INDEX(Banco!$C:$C,ROW()))</f>
        <v/>
      </c>
      <c r="D738" s="9">
        <f>IF(INDEX(Banco!$D:$D,ROW())="","",INDEX(Banco!$D:$D,ROW()))</f>
        <v/>
      </c>
      <c r="E738" s="9">
        <f>IF(INDEX(Banco!$E:$E,ROW())="","",INDEX(Banco!$E:$E,ROW()))</f>
        <v/>
      </c>
      <c r="F738" s="10">
        <f>IF(INDEX(Banco!$F:$F,ROW())="","",INDEX(Banco!$F:$F,ROW()))</f>
        <v/>
      </c>
      <c r="G738" s="10">
        <f>IF(INDEX(Banco!$G:$G,ROW())="","",INDEX(Banco!$G:$G,ROW()))</f>
        <v/>
      </c>
      <c r="H738" s="8">
        <f>IF(INDEX(Banco!$H:$H,ROW())="","",INDEX(Banco!$H:$H,ROW()))</f>
        <v/>
      </c>
      <c r="I738">
        <f>IF($T738="","",INT($T738/12)&amp;"a "&amp;MOD($T738,12)&amp;"m")</f>
        <v/>
      </c>
      <c r="J738" s="11">
        <f>IF(OR($F738="",$G738=""),"",ROUND($F738/($G738/100)^2,2))</f>
        <v/>
      </c>
      <c r="K738" s="12">
        <f>IF(OR($S738="",$J738="",$T738="",$T738&lt;0,$T738&gt;228,$Y738=""),"—",ROUND(IF(ABS($AB738)&lt;=3,$AB738,IF($AB738&gt;3,3+($J738-$AD738)/($AD738-$AC738),-3+($J738-$AF738)/($AE738-$AF738))),2))</f>
        <v/>
      </c>
      <c r="L738">
        <f>IF(OR($K738="",$K738="—"),"",IF($T738&lt;=60,IF($K738&lt;-3,"Magreza acentuada",IF($K738&lt;-2,"Magreza",IF($K738&lt;=1,"Eutrofia",IF($K738&lt;=2,"Risco de sobrepeso",IF($K738&lt;=3,"Sobrepeso","Obesidade"))))),IF($K738&lt;-3,"Magreza acentuada",IF($K738&lt;-2,"Magreza",IF($K738&lt;=1,"Eutrofia",IF($K738&lt;=2,"Sobrepeso",IF($K738&lt;=3,"Obesidade","Obesidade grave")))))))</f>
        <v/>
      </c>
      <c r="M738" s="12">
        <f>IF(OR($S738="",$V738="",$T738="",$T738&lt;0,$T738&gt;228,$AG738=""),"—",ROUND(IF($AG738=0,LN($V738/$AH738)/$AI738,((($V738/$AH738)^$AG738)-1)/($AG738*$AI738)),2))</f>
        <v/>
      </c>
      <c r="N738">
        <f>IF(OR($M738="",$M738="—"),"",IF($M738&lt;-3,"Muito baixa",IF($M738&lt;-2,"Baixa","Adequada")))</f>
        <v/>
      </c>
      <c r="O738" s="12">
        <f>IF(OR($S738="",$F738="",$T738="",$T738&lt;0,$T738&gt;120,$AJ738=""),"—",ROUND(IF(ABS($AM738)&lt;=3,$AM738,IF($AM738&gt;3,3+($F738-$AO738)/($AO738-$AN738),-3+($F738-$AQ738)/($AP738-$AQ738))),2))</f>
        <v/>
      </c>
      <c r="P738">
        <f>IF(OR($O738="",$O738="—"),"",IF($O738&lt;-3,"Muito baixo",IF($O738&lt;-2,"Baixo",IF($O738&lt;=2,"Adequado","Elevado"))))</f>
        <v/>
      </c>
      <c r="Q738" s="12">
        <f>IF(OR($S738="",$F738="",$T738="",$T738&lt;0,$T738&gt;60,$AR738=""),"—",ROUND(IF(ABS($AU738)&lt;=3,$AU738,IF($AU738&gt;3,3+($F738-$AW738)/($AW738-$AV738),-3+($F738-$AY738)/($AX738-$AY738))),2))</f>
        <v/>
      </c>
      <c r="R738">
        <f>IF(OR($Q738="",$Q738="—"),"",IF($Q738&lt;-3,"Magreza acentuada",IF($Q738&lt;-2,"Magreza",IF($Q738&lt;=1,"Eutrofia",IF($Q738&lt;=2,"Risco de sobrepeso",IF($Q738&lt;=3,"Sobrepeso","Obesidade"))))))</f>
        <v/>
      </c>
      <c r="S738">
        <f>IF($C738="","",IF(UPPER(LEFT($C738,1))="M",1,IF(UPPER(LEFT($C738,1))="F",2,"")))</f>
        <v/>
      </c>
      <c r="T738">
        <f>IF(OR($D738="",$E738=""),"",DATEDIF($D738,$E738,"m"))</f>
        <v/>
      </c>
      <c r="U738">
        <f>IF(OR($D738="",$E738=""),"",$E738-$D738)</f>
        <v/>
      </c>
      <c r="V738">
        <f>IF(OR($G738="",$T738=""),"",IF($T738&lt;24,IF(LEFT(LOWER($H738),4)="em p",$G738+0.7,$G738),IF(LEFT(LOWER($H738),4)="deit",$G738-0.7,$G738)))</f>
        <v/>
      </c>
      <c r="W738">
        <f>IF(OR($S738="",$T738=""),"",$S738*1000000+IF($T738&lt;=60,$U738,$T738))</f>
        <v/>
      </c>
      <c r="X738">
        <f>IF(OR($S738="",$V738="",$T738&gt;60,$T738=""),"",$S738*1000000+ROUND($V738*10,0))</f>
        <v/>
      </c>
      <c r="Y738">
        <f>IF($W738="","",IFERROR(INDEX(IF($T738&lt;=60,imc05_l,imc519_l),MATCH($W738,IF($T738&lt;=60,imc05_k,imc519_k),1)),""))</f>
        <v/>
      </c>
      <c r="Z738">
        <f>IF($W738="","",IFERROR(INDEX(IF($T738&lt;=60,imc05_m,imc519_m),MATCH($W738,IF($T738&lt;=60,imc05_k,imc519_k),1)),""))</f>
        <v/>
      </c>
      <c r="AA738">
        <f>IF($W738="","",IFERROR(INDEX(IF($T738&lt;=60,imc05_s,imc519_s),MATCH($W738,IF($T738&lt;=60,imc05_k,imc519_k),1)),""))</f>
        <v/>
      </c>
      <c r="AB738">
        <f>IF($Y738="","",IF($Y738=0,LN($J738/$Z738)/$AA738,((($J738/$Z738)^$Y738)-1)/($Y738*$AA738)))</f>
        <v/>
      </c>
      <c r="AC738">
        <f>IF($Y738="","",IF($Y738=0,$Z738*EXP($AA738*2),$Z738*(1+$Y738*$AA738*2)^(1/$Y738)))</f>
        <v/>
      </c>
      <c r="AD738">
        <f>IF($Y738="","",IF($Y738=0,$Z738*EXP($AA738*3),$Z738*(1+$Y738*$AA738*3)^(1/$Y738)))</f>
        <v/>
      </c>
      <c r="AE738">
        <f>IF($Y738="","",IF($Y738=0,$Z738*EXP($AA738*-2),$Z738*(1+$Y738*$AA738*-2)^(1/$Y738)))</f>
        <v/>
      </c>
      <c r="AF738">
        <f>IF($Y738="","",IF($Y738=0,$Z738*EXP($AA738*-3),$Z738*(1+$Y738*$AA738*-3)^(1/$Y738)))</f>
        <v/>
      </c>
      <c r="AG738">
        <f>IF($W738="","",IFERROR(INDEX(IF($T738&lt;=60,est05_l,est519_l),MATCH($W738,IF($T738&lt;=60,est05_k,est519_k),1)),""))</f>
        <v/>
      </c>
      <c r="AH738">
        <f>IF($W738="","",IFERROR(INDEX(IF($T738&lt;=60,est05_m,est519_m),MATCH($W738,IF($T738&lt;=60,est05_k,est519_k),1)),""))</f>
        <v/>
      </c>
      <c r="AI738">
        <f>IF($W738="","",IFERROR(INDEX(IF($T738&lt;=60,est05_s,est519_s),MATCH($W738,IF($T738&lt;=60,est05_k,est519_k),1)),""))</f>
        <v/>
      </c>
      <c r="AJ738">
        <f>IF($W738="","",IFERROR(INDEX(IF($T738&lt;=60,peso05_l,peso510_l),MATCH($W738,IF($T738&lt;=60,peso05_k,peso510_k),1)),""))</f>
        <v/>
      </c>
      <c r="AK738">
        <f>IF($W738="","",IFERROR(INDEX(IF($T738&lt;=60,peso05_m,peso510_m),MATCH($W738,IF($T738&lt;=60,peso05_k,peso510_k),1)),""))</f>
        <v/>
      </c>
      <c r="AL738">
        <f>IF($W738="","",IFERROR(INDEX(IF($T738&lt;=60,peso05_s,peso510_s),MATCH($W738,IF($T738&lt;=60,peso05_k,peso510_k),1)),""))</f>
        <v/>
      </c>
      <c r="AM738">
        <f>IF($AJ738="","",IF($AJ738=0,LN($F738/$AK738)/$AL738,((($F738/$AK738)^$AJ738)-1)/($AJ738*$AL738)))</f>
        <v/>
      </c>
      <c r="AN738">
        <f>IF($AJ738="","",IF($AJ738=0,$AK738*EXP($AL738*2),$AK738*(1+$AJ738*$AL738*2)^(1/$AJ738)))</f>
        <v/>
      </c>
      <c r="AO738">
        <f>IF($AJ738="","",IF($AJ738=0,$AK738*EXP($AL738*3),$AK738*(1+$AJ738*$AL738*3)^(1/$AJ738)))</f>
        <v/>
      </c>
      <c r="AP738">
        <f>IF($AJ738="","",IF($AJ738=0,$AK738*EXP($AL738*-2),$AK738*(1+$AJ738*$AL738*-2)^(1/$AJ738)))</f>
        <v/>
      </c>
      <c r="AQ738">
        <f>IF($AJ738="","",IF($AJ738=0,$AK738*EXP($AL738*-3),$AK738*(1+$AJ738*$AL738*-3)^(1/$AJ738)))</f>
        <v/>
      </c>
      <c r="AR738">
        <f>IF(OR($X738="",$T738&gt;60),"",IFERROR(INDEX(IF($T738&lt;24,pcomp_l,palt_l),MATCH($X738,IF($T738&lt;24,pcomp_k,palt_k),1)),""))</f>
        <v/>
      </c>
      <c r="AS738">
        <f>IF(OR($X738="",$T738&gt;60),"",IFERROR(INDEX(IF($T738&lt;24,pcomp_m,palt_m),MATCH($X738,IF($T738&lt;24,pcomp_k,palt_k),1)),""))</f>
        <v/>
      </c>
      <c r="AT738">
        <f>IF(OR($X738="",$T738&gt;60),"",IFERROR(INDEX(IF($T738&lt;24,pcomp_s,palt_s),MATCH($X738,IF($T738&lt;24,pcomp_k,palt_k),1)),""))</f>
        <v/>
      </c>
      <c r="AU738">
        <f>IF($AR738="","",IF($AR738=0,LN($F738/$AS738)/$AT738,((($F738/$AS738)^$AR738)-1)/($AR738*$AT738)))</f>
        <v/>
      </c>
      <c r="AV738">
        <f>IF($AR738="","",IF($AR738=0,$AS738*EXP($AT738*2),$AS738*(1+$AR738*$AT738*2)^(1/$AR738)))</f>
        <v/>
      </c>
      <c r="AW738">
        <f>IF($AR738="","",IF($AR738=0,$AS738*EXP($AT738*3),$AS738*(1+$AR738*$AT738*3)^(1/$AR738)))</f>
        <v/>
      </c>
      <c r="AX738">
        <f>IF($AR738="","",IF($AR738=0,$AS738*EXP($AT738*-2),$AS738*(1+$AR738*$AT738*-2)^(1/$AR738)))</f>
        <v/>
      </c>
      <c r="AY738">
        <f>IF($AR738="","",IF($AR738=0,$AS738*EXP($AT738*-3),$AS738*(1+$AR738*$AT738*-3)^(1/$AR738)))</f>
        <v/>
      </c>
      <c r="AZ738">
        <f>IF(OR($A738="",$A738&lt;&gt;Ficha!$C$4),"",COUNTIF($A$2:$A738,Ficha!$C$4))</f>
        <v/>
      </c>
    </row>
    <row r="739">
      <c r="A739" s="8">
        <f>IF(INDEX(Banco!$A:$A,ROW())="","",INDEX(Banco!$A:$A,ROW()))</f>
        <v/>
      </c>
      <c r="B739" s="8">
        <f>IF(INDEX(Banco!$B:$B,ROW())="","",INDEX(Banco!$B:$B,ROW()))</f>
        <v/>
      </c>
      <c r="C739" s="8">
        <f>IF(INDEX(Banco!$C:$C,ROW())="","",INDEX(Banco!$C:$C,ROW()))</f>
        <v/>
      </c>
      <c r="D739" s="9">
        <f>IF(INDEX(Banco!$D:$D,ROW())="","",INDEX(Banco!$D:$D,ROW()))</f>
        <v/>
      </c>
      <c r="E739" s="9">
        <f>IF(INDEX(Banco!$E:$E,ROW())="","",INDEX(Banco!$E:$E,ROW()))</f>
        <v/>
      </c>
      <c r="F739" s="10">
        <f>IF(INDEX(Banco!$F:$F,ROW())="","",INDEX(Banco!$F:$F,ROW()))</f>
        <v/>
      </c>
      <c r="G739" s="10">
        <f>IF(INDEX(Banco!$G:$G,ROW())="","",INDEX(Banco!$G:$G,ROW()))</f>
        <v/>
      </c>
      <c r="H739" s="8">
        <f>IF(INDEX(Banco!$H:$H,ROW())="","",INDEX(Banco!$H:$H,ROW()))</f>
        <v/>
      </c>
      <c r="I739">
        <f>IF($T739="","",INT($T739/12)&amp;"a "&amp;MOD($T739,12)&amp;"m")</f>
        <v/>
      </c>
      <c r="J739" s="11">
        <f>IF(OR($F739="",$G739=""),"",ROUND($F739/($G739/100)^2,2))</f>
        <v/>
      </c>
      <c r="K739" s="12">
        <f>IF(OR($S739="",$J739="",$T739="",$T739&lt;0,$T739&gt;228,$Y739=""),"—",ROUND(IF(ABS($AB739)&lt;=3,$AB739,IF($AB739&gt;3,3+($J739-$AD739)/($AD739-$AC739),-3+($J739-$AF739)/($AE739-$AF739))),2))</f>
        <v/>
      </c>
      <c r="L739">
        <f>IF(OR($K739="",$K739="—"),"",IF($T739&lt;=60,IF($K739&lt;-3,"Magreza acentuada",IF($K739&lt;-2,"Magreza",IF($K739&lt;=1,"Eutrofia",IF($K739&lt;=2,"Risco de sobrepeso",IF($K739&lt;=3,"Sobrepeso","Obesidade"))))),IF($K739&lt;-3,"Magreza acentuada",IF($K739&lt;-2,"Magreza",IF($K739&lt;=1,"Eutrofia",IF($K739&lt;=2,"Sobrepeso",IF($K739&lt;=3,"Obesidade","Obesidade grave")))))))</f>
        <v/>
      </c>
      <c r="M739" s="12">
        <f>IF(OR($S739="",$V739="",$T739="",$T739&lt;0,$T739&gt;228,$AG739=""),"—",ROUND(IF($AG739=0,LN($V739/$AH739)/$AI739,((($V739/$AH739)^$AG739)-1)/($AG739*$AI739)),2))</f>
        <v/>
      </c>
      <c r="N739">
        <f>IF(OR($M739="",$M739="—"),"",IF($M739&lt;-3,"Muito baixa",IF($M739&lt;-2,"Baixa","Adequada")))</f>
        <v/>
      </c>
      <c r="O739" s="12">
        <f>IF(OR($S739="",$F739="",$T739="",$T739&lt;0,$T739&gt;120,$AJ739=""),"—",ROUND(IF(ABS($AM739)&lt;=3,$AM739,IF($AM739&gt;3,3+($F739-$AO739)/($AO739-$AN739),-3+($F739-$AQ739)/($AP739-$AQ739))),2))</f>
        <v/>
      </c>
      <c r="P739">
        <f>IF(OR($O739="",$O739="—"),"",IF($O739&lt;-3,"Muito baixo",IF($O739&lt;-2,"Baixo",IF($O739&lt;=2,"Adequado","Elevado"))))</f>
        <v/>
      </c>
      <c r="Q739" s="12">
        <f>IF(OR($S739="",$F739="",$T739="",$T739&lt;0,$T739&gt;60,$AR739=""),"—",ROUND(IF(ABS($AU739)&lt;=3,$AU739,IF($AU739&gt;3,3+($F739-$AW739)/($AW739-$AV739),-3+($F739-$AY739)/($AX739-$AY739))),2))</f>
        <v/>
      </c>
      <c r="R739">
        <f>IF(OR($Q739="",$Q739="—"),"",IF($Q739&lt;-3,"Magreza acentuada",IF($Q739&lt;-2,"Magreza",IF($Q739&lt;=1,"Eutrofia",IF($Q739&lt;=2,"Risco de sobrepeso",IF($Q739&lt;=3,"Sobrepeso","Obesidade"))))))</f>
        <v/>
      </c>
      <c r="S739">
        <f>IF($C739="","",IF(UPPER(LEFT($C739,1))="M",1,IF(UPPER(LEFT($C739,1))="F",2,"")))</f>
        <v/>
      </c>
      <c r="T739">
        <f>IF(OR($D739="",$E739=""),"",DATEDIF($D739,$E739,"m"))</f>
        <v/>
      </c>
      <c r="U739">
        <f>IF(OR($D739="",$E739=""),"",$E739-$D739)</f>
        <v/>
      </c>
      <c r="V739">
        <f>IF(OR($G739="",$T739=""),"",IF($T739&lt;24,IF(LEFT(LOWER($H739),4)="em p",$G739+0.7,$G739),IF(LEFT(LOWER($H739),4)="deit",$G739-0.7,$G739)))</f>
        <v/>
      </c>
      <c r="W739">
        <f>IF(OR($S739="",$T739=""),"",$S739*1000000+IF($T739&lt;=60,$U739,$T739))</f>
        <v/>
      </c>
      <c r="X739">
        <f>IF(OR($S739="",$V739="",$T739&gt;60,$T739=""),"",$S739*1000000+ROUND($V739*10,0))</f>
        <v/>
      </c>
      <c r="Y739">
        <f>IF($W739="","",IFERROR(INDEX(IF($T739&lt;=60,imc05_l,imc519_l),MATCH($W739,IF($T739&lt;=60,imc05_k,imc519_k),1)),""))</f>
        <v/>
      </c>
      <c r="Z739">
        <f>IF($W739="","",IFERROR(INDEX(IF($T739&lt;=60,imc05_m,imc519_m),MATCH($W739,IF($T739&lt;=60,imc05_k,imc519_k),1)),""))</f>
        <v/>
      </c>
      <c r="AA739">
        <f>IF($W739="","",IFERROR(INDEX(IF($T739&lt;=60,imc05_s,imc519_s),MATCH($W739,IF($T739&lt;=60,imc05_k,imc519_k),1)),""))</f>
        <v/>
      </c>
      <c r="AB739">
        <f>IF($Y739="","",IF($Y739=0,LN($J739/$Z739)/$AA739,((($J739/$Z739)^$Y739)-1)/($Y739*$AA739)))</f>
        <v/>
      </c>
      <c r="AC739">
        <f>IF($Y739="","",IF($Y739=0,$Z739*EXP($AA739*2),$Z739*(1+$Y739*$AA739*2)^(1/$Y739)))</f>
        <v/>
      </c>
      <c r="AD739">
        <f>IF($Y739="","",IF($Y739=0,$Z739*EXP($AA739*3),$Z739*(1+$Y739*$AA739*3)^(1/$Y739)))</f>
        <v/>
      </c>
      <c r="AE739">
        <f>IF($Y739="","",IF($Y739=0,$Z739*EXP($AA739*-2),$Z739*(1+$Y739*$AA739*-2)^(1/$Y739)))</f>
        <v/>
      </c>
      <c r="AF739">
        <f>IF($Y739="","",IF($Y739=0,$Z739*EXP($AA739*-3),$Z739*(1+$Y739*$AA739*-3)^(1/$Y739)))</f>
        <v/>
      </c>
      <c r="AG739">
        <f>IF($W739="","",IFERROR(INDEX(IF($T739&lt;=60,est05_l,est519_l),MATCH($W739,IF($T739&lt;=60,est05_k,est519_k),1)),""))</f>
        <v/>
      </c>
      <c r="AH739">
        <f>IF($W739="","",IFERROR(INDEX(IF($T739&lt;=60,est05_m,est519_m),MATCH($W739,IF($T739&lt;=60,est05_k,est519_k),1)),""))</f>
        <v/>
      </c>
      <c r="AI739">
        <f>IF($W739="","",IFERROR(INDEX(IF($T739&lt;=60,est05_s,est519_s),MATCH($W739,IF($T739&lt;=60,est05_k,est519_k),1)),""))</f>
        <v/>
      </c>
      <c r="AJ739">
        <f>IF($W739="","",IFERROR(INDEX(IF($T739&lt;=60,peso05_l,peso510_l),MATCH($W739,IF($T739&lt;=60,peso05_k,peso510_k),1)),""))</f>
        <v/>
      </c>
      <c r="AK739">
        <f>IF($W739="","",IFERROR(INDEX(IF($T739&lt;=60,peso05_m,peso510_m),MATCH($W739,IF($T739&lt;=60,peso05_k,peso510_k),1)),""))</f>
        <v/>
      </c>
      <c r="AL739">
        <f>IF($W739="","",IFERROR(INDEX(IF($T739&lt;=60,peso05_s,peso510_s),MATCH($W739,IF($T739&lt;=60,peso05_k,peso510_k),1)),""))</f>
        <v/>
      </c>
      <c r="AM739">
        <f>IF($AJ739="","",IF($AJ739=0,LN($F739/$AK739)/$AL739,((($F739/$AK739)^$AJ739)-1)/($AJ739*$AL739)))</f>
        <v/>
      </c>
      <c r="AN739">
        <f>IF($AJ739="","",IF($AJ739=0,$AK739*EXP($AL739*2),$AK739*(1+$AJ739*$AL739*2)^(1/$AJ739)))</f>
        <v/>
      </c>
      <c r="AO739">
        <f>IF($AJ739="","",IF($AJ739=0,$AK739*EXP($AL739*3),$AK739*(1+$AJ739*$AL739*3)^(1/$AJ739)))</f>
        <v/>
      </c>
      <c r="AP739">
        <f>IF($AJ739="","",IF($AJ739=0,$AK739*EXP($AL739*-2),$AK739*(1+$AJ739*$AL739*-2)^(1/$AJ739)))</f>
        <v/>
      </c>
      <c r="AQ739">
        <f>IF($AJ739="","",IF($AJ739=0,$AK739*EXP($AL739*-3),$AK739*(1+$AJ739*$AL739*-3)^(1/$AJ739)))</f>
        <v/>
      </c>
      <c r="AR739">
        <f>IF(OR($X739="",$T739&gt;60),"",IFERROR(INDEX(IF($T739&lt;24,pcomp_l,palt_l),MATCH($X739,IF($T739&lt;24,pcomp_k,palt_k),1)),""))</f>
        <v/>
      </c>
      <c r="AS739">
        <f>IF(OR($X739="",$T739&gt;60),"",IFERROR(INDEX(IF($T739&lt;24,pcomp_m,palt_m),MATCH($X739,IF($T739&lt;24,pcomp_k,palt_k),1)),""))</f>
        <v/>
      </c>
      <c r="AT739">
        <f>IF(OR($X739="",$T739&gt;60),"",IFERROR(INDEX(IF($T739&lt;24,pcomp_s,palt_s),MATCH($X739,IF($T739&lt;24,pcomp_k,palt_k),1)),""))</f>
        <v/>
      </c>
      <c r="AU739">
        <f>IF($AR739="","",IF($AR739=0,LN($F739/$AS739)/$AT739,((($F739/$AS739)^$AR739)-1)/($AR739*$AT739)))</f>
        <v/>
      </c>
      <c r="AV739">
        <f>IF($AR739="","",IF($AR739=0,$AS739*EXP($AT739*2),$AS739*(1+$AR739*$AT739*2)^(1/$AR739)))</f>
        <v/>
      </c>
      <c r="AW739">
        <f>IF($AR739="","",IF($AR739=0,$AS739*EXP($AT739*3),$AS739*(1+$AR739*$AT739*3)^(1/$AR739)))</f>
        <v/>
      </c>
      <c r="AX739">
        <f>IF($AR739="","",IF($AR739=0,$AS739*EXP($AT739*-2),$AS739*(1+$AR739*$AT739*-2)^(1/$AR739)))</f>
        <v/>
      </c>
      <c r="AY739">
        <f>IF($AR739="","",IF($AR739=0,$AS739*EXP($AT739*-3),$AS739*(1+$AR739*$AT739*-3)^(1/$AR739)))</f>
        <v/>
      </c>
      <c r="AZ739">
        <f>IF(OR($A739="",$A739&lt;&gt;Ficha!$C$4),"",COUNTIF($A$2:$A739,Ficha!$C$4))</f>
        <v/>
      </c>
    </row>
    <row r="740">
      <c r="A740" s="8">
        <f>IF(INDEX(Banco!$A:$A,ROW())="","",INDEX(Banco!$A:$A,ROW()))</f>
        <v/>
      </c>
      <c r="B740" s="8">
        <f>IF(INDEX(Banco!$B:$B,ROW())="","",INDEX(Banco!$B:$B,ROW()))</f>
        <v/>
      </c>
      <c r="C740" s="8">
        <f>IF(INDEX(Banco!$C:$C,ROW())="","",INDEX(Banco!$C:$C,ROW()))</f>
        <v/>
      </c>
      <c r="D740" s="9">
        <f>IF(INDEX(Banco!$D:$D,ROW())="","",INDEX(Banco!$D:$D,ROW()))</f>
        <v/>
      </c>
      <c r="E740" s="9">
        <f>IF(INDEX(Banco!$E:$E,ROW())="","",INDEX(Banco!$E:$E,ROW()))</f>
        <v/>
      </c>
      <c r="F740" s="10">
        <f>IF(INDEX(Banco!$F:$F,ROW())="","",INDEX(Banco!$F:$F,ROW()))</f>
        <v/>
      </c>
      <c r="G740" s="10">
        <f>IF(INDEX(Banco!$G:$G,ROW())="","",INDEX(Banco!$G:$G,ROW()))</f>
        <v/>
      </c>
      <c r="H740" s="8">
        <f>IF(INDEX(Banco!$H:$H,ROW())="","",INDEX(Banco!$H:$H,ROW()))</f>
        <v/>
      </c>
      <c r="I740">
        <f>IF($T740="","",INT($T740/12)&amp;"a "&amp;MOD($T740,12)&amp;"m")</f>
        <v/>
      </c>
      <c r="J740" s="11">
        <f>IF(OR($F740="",$G740=""),"",ROUND($F740/($G740/100)^2,2))</f>
        <v/>
      </c>
      <c r="K740" s="12">
        <f>IF(OR($S740="",$J740="",$T740="",$T740&lt;0,$T740&gt;228,$Y740=""),"—",ROUND(IF(ABS($AB740)&lt;=3,$AB740,IF($AB740&gt;3,3+($J740-$AD740)/($AD740-$AC740),-3+($J740-$AF740)/($AE740-$AF740))),2))</f>
        <v/>
      </c>
      <c r="L740">
        <f>IF(OR($K740="",$K740="—"),"",IF($T740&lt;=60,IF($K740&lt;-3,"Magreza acentuada",IF($K740&lt;-2,"Magreza",IF($K740&lt;=1,"Eutrofia",IF($K740&lt;=2,"Risco de sobrepeso",IF($K740&lt;=3,"Sobrepeso","Obesidade"))))),IF($K740&lt;-3,"Magreza acentuada",IF($K740&lt;-2,"Magreza",IF($K740&lt;=1,"Eutrofia",IF($K740&lt;=2,"Sobrepeso",IF($K740&lt;=3,"Obesidade","Obesidade grave")))))))</f>
        <v/>
      </c>
      <c r="M740" s="12">
        <f>IF(OR($S740="",$V740="",$T740="",$T740&lt;0,$T740&gt;228,$AG740=""),"—",ROUND(IF($AG740=0,LN($V740/$AH740)/$AI740,((($V740/$AH740)^$AG740)-1)/($AG740*$AI740)),2))</f>
        <v/>
      </c>
      <c r="N740">
        <f>IF(OR($M740="",$M740="—"),"",IF($M740&lt;-3,"Muito baixa",IF($M740&lt;-2,"Baixa","Adequada")))</f>
        <v/>
      </c>
      <c r="O740" s="12">
        <f>IF(OR($S740="",$F740="",$T740="",$T740&lt;0,$T740&gt;120,$AJ740=""),"—",ROUND(IF(ABS($AM740)&lt;=3,$AM740,IF($AM740&gt;3,3+($F740-$AO740)/($AO740-$AN740),-3+($F740-$AQ740)/($AP740-$AQ740))),2))</f>
        <v/>
      </c>
      <c r="P740">
        <f>IF(OR($O740="",$O740="—"),"",IF($O740&lt;-3,"Muito baixo",IF($O740&lt;-2,"Baixo",IF($O740&lt;=2,"Adequado","Elevado"))))</f>
        <v/>
      </c>
      <c r="Q740" s="12">
        <f>IF(OR($S740="",$F740="",$T740="",$T740&lt;0,$T740&gt;60,$AR740=""),"—",ROUND(IF(ABS($AU740)&lt;=3,$AU740,IF($AU740&gt;3,3+($F740-$AW740)/($AW740-$AV740),-3+($F740-$AY740)/($AX740-$AY740))),2))</f>
        <v/>
      </c>
      <c r="R740">
        <f>IF(OR($Q740="",$Q740="—"),"",IF($Q740&lt;-3,"Magreza acentuada",IF($Q740&lt;-2,"Magreza",IF($Q740&lt;=1,"Eutrofia",IF($Q740&lt;=2,"Risco de sobrepeso",IF($Q740&lt;=3,"Sobrepeso","Obesidade"))))))</f>
        <v/>
      </c>
      <c r="S740">
        <f>IF($C740="","",IF(UPPER(LEFT($C740,1))="M",1,IF(UPPER(LEFT($C740,1))="F",2,"")))</f>
        <v/>
      </c>
      <c r="T740">
        <f>IF(OR($D740="",$E740=""),"",DATEDIF($D740,$E740,"m"))</f>
        <v/>
      </c>
      <c r="U740">
        <f>IF(OR($D740="",$E740=""),"",$E740-$D740)</f>
        <v/>
      </c>
      <c r="V740">
        <f>IF(OR($G740="",$T740=""),"",IF($T740&lt;24,IF(LEFT(LOWER($H740),4)="em p",$G740+0.7,$G740),IF(LEFT(LOWER($H740),4)="deit",$G740-0.7,$G740)))</f>
        <v/>
      </c>
      <c r="W740">
        <f>IF(OR($S740="",$T740=""),"",$S740*1000000+IF($T740&lt;=60,$U740,$T740))</f>
        <v/>
      </c>
      <c r="X740">
        <f>IF(OR($S740="",$V740="",$T740&gt;60,$T740=""),"",$S740*1000000+ROUND($V740*10,0))</f>
        <v/>
      </c>
      <c r="Y740">
        <f>IF($W740="","",IFERROR(INDEX(IF($T740&lt;=60,imc05_l,imc519_l),MATCH($W740,IF($T740&lt;=60,imc05_k,imc519_k),1)),""))</f>
        <v/>
      </c>
      <c r="Z740">
        <f>IF($W740="","",IFERROR(INDEX(IF($T740&lt;=60,imc05_m,imc519_m),MATCH($W740,IF($T740&lt;=60,imc05_k,imc519_k),1)),""))</f>
        <v/>
      </c>
      <c r="AA740">
        <f>IF($W740="","",IFERROR(INDEX(IF($T740&lt;=60,imc05_s,imc519_s),MATCH($W740,IF($T740&lt;=60,imc05_k,imc519_k),1)),""))</f>
        <v/>
      </c>
      <c r="AB740">
        <f>IF($Y740="","",IF($Y740=0,LN($J740/$Z740)/$AA740,((($J740/$Z740)^$Y740)-1)/($Y740*$AA740)))</f>
        <v/>
      </c>
      <c r="AC740">
        <f>IF($Y740="","",IF($Y740=0,$Z740*EXP($AA740*2),$Z740*(1+$Y740*$AA740*2)^(1/$Y740)))</f>
        <v/>
      </c>
      <c r="AD740">
        <f>IF($Y740="","",IF($Y740=0,$Z740*EXP($AA740*3),$Z740*(1+$Y740*$AA740*3)^(1/$Y740)))</f>
        <v/>
      </c>
      <c r="AE740">
        <f>IF($Y740="","",IF($Y740=0,$Z740*EXP($AA740*-2),$Z740*(1+$Y740*$AA740*-2)^(1/$Y740)))</f>
        <v/>
      </c>
      <c r="AF740">
        <f>IF($Y740="","",IF($Y740=0,$Z740*EXP($AA740*-3),$Z740*(1+$Y740*$AA740*-3)^(1/$Y740)))</f>
        <v/>
      </c>
      <c r="AG740">
        <f>IF($W740="","",IFERROR(INDEX(IF($T740&lt;=60,est05_l,est519_l),MATCH($W740,IF($T740&lt;=60,est05_k,est519_k),1)),""))</f>
        <v/>
      </c>
      <c r="AH740">
        <f>IF($W740="","",IFERROR(INDEX(IF($T740&lt;=60,est05_m,est519_m),MATCH($W740,IF($T740&lt;=60,est05_k,est519_k),1)),""))</f>
        <v/>
      </c>
      <c r="AI740">
        <f>IF($W740="","",IFERROR(INDEX(IF($T740&lt;=60,est05_s,est519_s),MATCH($W740,IF($T740&lt;=60,est05_k,est519_k),1)),""))</f>
        <v/>
      </c>
      <c r="AJ740">
        <f>IF($W740="","",IFERROR(INDEX(IF($T740&lt;=60,peso05_l,peso510_l),MATCH($W740,IF($T740&lt;=60,peso05_k,peso510_k),1)),""))</f>
        <v/>
      </c>
      <c r="AK740">
        <f>IF($W740="","",IFERROR(INDEX(IF($T740&lt;=60,peso05_m,peso510_m),MATCH($W740,IF($T740&lt;=60,peso05_k,peso510_k),1)),""))</f>
        <v/>
      </c>
      <c r="AL740">
        <f>IF($W740="","",IFERROR(INDEX(IF($T740&lt;=60,peso05_s,peso510_s),MATCH($W740,IF($T740&lt;=60,peso05_k,peso510_k),1)),""))</f>
        <v/>
      </c>
      <c r="AM740">
        <f>IF($AJ740="","",IF($AJ740=0,LN($F740/$AK740)/$AL740,((($F740/$AK740)^$AJ740)-1)/($AJ740*$AL740)))</f>
        <v/>
      </c>
      <c r="AN740">
        <f>IF($AJ740="","",IF($AJ740=0,$AK740*EXP($AL740*2),$AK740*(1+$AJ740*$AL740*2)^(1/$AJ740)))</f>
        <v/>
      </c>
      <c r="AO740">
        <f>IF($AJ740="","",IF($AJ740=0,$AK740*EXP($AL740*3),$AK740*(1+$AJ740*$AL740*3)^(1/$AJ740)))</f>
        <v/>
      </c>
      <c r="AP740">
        <f>IF($AJ740="","",IF($AJ740=0,$AK740*EXP($AL740*-2),$AK740*(1+$AJ740*$AL740*-2)^(1/$AJ740)))</f>
        <v/>
      </c>
      <c r="AQ740">
        <f>IF($AJ740="","",IF($AJ740=0,$AK740*EXP($AL740*-3),$AK740*(1+$AJ740*$AL740*-3)^(1/$AJ740)))</f>
        <v/>
      </c>
      <c r="AR740">
        <f>IF(OR($X740="",$T740&gt;60),"",IFERROR(INDEX(IF($T740&lt;24,pcomp_l,palt_l),MATCH($X740,IF($T740&lt;24,pcomp_k,palt_k),1)),""))</f>
        <v/>
      </c>
      <c r="AS740">
        <f>IF(OR($X740="",$T740&gt;60),"",IFERROR(INDEX(IF($T740&lt;24,pcomp_m,palt_m),MATCH($X740,IF($T740&lt;24,pcomp_k,palt_k),1)),""))</f>
        <v/>
      </c>
      <c r="AT740">
        <f>IF(OR($X740="",$T740&gt;60),"",IFERROR(INDEX(IF($T740&lt;24,pcomp_s,palt_s),MATCH($X740,IF($T740&lt;24,pcomp_k,palt_k),1)),""))</f>
        <v/>
      </c>
      <c r="AU740">
        <f>IF($AR740="","",IF($AR740=0,LN($F740/$AS740)/$AT740,((($F740/$AS740)^$AR740)-1)/($AR740*$AT740)))</f>
        <v/>
      </c>
      <c r="AV740">
        <f>IF($AR740="","",IF($AR740=0,$AS740*EXP($AT740*2),$AS740*(1+$AR740*$AT740*2)^(1/$AR740)))</f>
        <v/>
      </c>
      <c r="AW740">
        <f>IF($AR740="","",IF($AR740=0,$AS740*EXP($AT740*3),$AS740*(1+$AR740*$AT740*3)^(1/$AR740)))</f>
        <v/>
      </c>
      <c r="AX740">
        <f>IF($AR740="","",IF($AR740=0,$AS740*EXP($AT740*-2),$AS740*(1+$AR740*$AT740*-2)^(1/$AR740)))</f>
        <v/>
      </c>
      <c r="AY740">
        <f>IF($AR740="","",IF($AR740=0,$AS740*EXP($AT740*-3),$AS740*(1+$AR740*$AT740*-3)^(1/$AR740)))</f>
        <v/>
      </c>
      <c r="AZ740">
        <f>IF(OR($A740="",$A740&lt;&gt;Ficha!$C$4),"",COUNTIF($A$2:$A740,Ficha!$C$4))</f>
        <v/>
      </c>
    </row>
    <row r="741">
      <c r="A741" s="8">
        <f>IF(INDEX(Banco!$A:$A,ROW())="","",INDEX(Banco!$A:$A,ROW()))</f>
        <v/>
      </c>
      <c r="B741" s="8">
        <f>IF(INDEX(Banco!$B:$B,ROW())="","",INDEX(Banco!$B:$B,ROW()))</f>
        <v/>
      </c>
      <c r="C741" s="8">
        <f>IF(INDEX(Banco!$C:$C,ROW())="","",INDEX(Banco!$C:$C,ROW()))</f>
        <v/>
      </c>
      <c r="D741" s="9">
        <f>IF(INDEX(Banco!$D:$D,ROW())="","",INDEX(Banco!$D:$D,ROW()))</f>
        <v/>
      </c>
      <c r="E741" s="9">
        <f>IF(INDEX(Banco!$E:$E,ROW())="","",INDEX(Banco!$E:$E,ROW()))</f>
        <v/>
      </c>
      <c r="F741" s="10">
        <f>IF(INDEX(Banco!$F:$F,ROW())="","",INDEX(Banco!$F:$F,ROW()))</f>
        <v/>
      </c>
      <c r="G741" s="10">
        <f>IF(INDEX(Banco!$G:$G,ROW())="","",INDEX(Banco!$G:$G,ROW()))</f>
        <v/>
      </c>
      <c r="H741" s="8">
        <f>IF(INDEX(Banco!$H:$H,ROW())="","",INDEX(Banco!$H:$H,ROW()))</f>
        <v/>
      </c>
      <c r="I741">
        <f>IF($T741="","",INT($T741/12)&amp;"a "&amp;MOD($T741,12)&amp;"m")</f>
        <v/>
      </c>
      <c r="J741" s="11">
        <f>IF(OR($F741="",$G741=""),"",ROUND($F741/($G741/100)^2,2))</f>
        <v/>
      </c>
      <c r="K741" s="12">
        <f>IF(OR($S741="",$J741="",$T741="",$T741&lt;0,$T741&gt;228,$Y741=""),"—",ROUND(IF(ABS($AB741)&lt;=3,$AB741,IF($AB741&gt;3,3+($J741-$AD741)/($AD741-$AC741),-3+($J741-$AF741)/($AE741-$AF741))),2))</f>
        <v/>
      </c>
      <c r="L741">
        <f>IF(OR($K741="",$K741="—"),"",IF($T741&lt;=60,IF($K741&lt;-3,"Magreza acentuada",IF($K741&lt;-2,"Magreza",IF($K741&lt;=1,"Eutrofia",IF($K741&lt;=2,"Risco de sobrepeso",IF($K741&lt;=3,"Sobrepeso","Obesidade"))))),IF($K741&lt;-3,"Magreza acentuada",IF($K741&lt;-2,"Magreza",IF($K741&lt;=1,"Eutrofia",IF($K741&lt;=2,"Sobrepeso",IF($K741&lt;=3,"Obesidade","Obesidade grave")))))))</f>
        <v/>
      </c>
      <c r="M741" s="12">
        <f>IF(OR($S741="",$V741="",$T741="",$T741&lt;0,$T741&gt;228,$AG741=""),"—",ROUND(IF($AG741=0,LN($V741/$AH741)/$AI741,((($V741/$AH741)^$AG741)-1)/($AG741*$AI741)),2))</f>
        <v/>
      </c>
      <c r="N741">
        <f>IF(OR($M741="",$M741="—"),"",IF($M741&lt;-3,"Muito baixa",IF($M741&lt;-2,"Baixa","Adequada")))</f>
        <v/>
      </c>
      <c r="O741" s="12">
        <f>IF(OR($S741="",$F741="",$T741="",$T741&lt;0,$T741&gt;120,$AJ741=""),"—",ROUND(IF(ABS($AM741)&lt;=3,$AM741,IF($AM741&gt;3,3+($F741-$AO741)/($AO741-$AN741),-3+($F741-$AQ741)/($AP741-$AQ741))),2))</f>
        <v/>
      </c>
      <c r="P741">
        <f>IF(OR($O741="",$O741="—"),"",IF($O741&lt;-3,"Muito baixo",IF($O741&lt;-2,"Baixo",IF($O741&lt;=2,"Adequado","Elevado"))))</f>
        <v/>
      </c>
      <c r="Q741" s="12">
        <f>IF(OR($S741="",$F741="",$T741="",$T741&lt;0,$T741&gt;60,$AR741=""),"—",ROUND(IF(ABS($AU741)&lt;=3,$AU741,IF($AU741&gt;3,3+($F741-$AW741)/($AW741-$AV741),-3+($F741-$AY741)/($AX741-$AY741))),2))</f>
        <v/>
      </c>
      <c r="R741">
        <f>IF(OR($Q741="",$Q741="—"),"",IF($Q741&lt;-3,"Magreza acentuada",IF($Q741&lt;-2,"Magreza",IF($Q741&lt;=1,"Eutrofia",IF($Q741&lt;=2,"Risco de sobrepeso",IF($Q741&lt;=3,"Sobrepeso","Obesidade"))))))</f>
        <v/>
      </c>
      <c r="S741">
        <f>IF($C741="","",IF(UPPER(LEFT($C741,1))="M",1,IF(UPPER(LEFT($C741,1))="F",2,"")))</f>
        <v/>
      </c>
      <c r="T741">
        <f>IF(OR($D741="",$E741=""),"",DATEDIF($D741,$E741,"m"))</f>
        <v/>
      </c>
      <c r="U741">
        <f>IF(OR($D741="",$E741=""),"",$E741-$D741)</f>
        <v/>
      </c>
      <c r="V741">
        <f>IF(OR($G741="",$T741=""),"",IF($T741&lt;24,IF(LEFT(LOWER($H741),4)="em p",$G741+0.7,$G741),IF(LEFT(LOWER($H741),4)="deit",$G741-0.7,$G741)))</f>
        <v/>
      </c>
      <c r="W741">
        <f>IF(OR($S741="",$T741=""),"",$S741*1000000+IF($T741&lt;=60,$U741,$T741))</f>
        <v/>
      </c>
      <c r="X741">
        <f>IF(OR($S741="",$V741="",$T741&gt;60,$T741=""),"",$S741*1000000+ROUND($V741*10,0))</f>
        <v/>
      </c>
      <c r="Y741">
        <f>IF($W741="","",IFERROR(INDEX(IF($T741&lt;=60,imc05_l,imc519_l),MATCH($W741,IF($T741&lt;=60,imc05_k,imc519_k),1)),""))</f>
        <v/>
      </c>
      <c r="Z741">
        <f>IF($W741="","",IFERROR(INDEX(IF($T741&lt;=60,imc05_m,imc519_m),MATCH($W741,IF($T741&lt;=60,imc05_k,imc519_k),1)),""))</f>
        <v/>
      </c>
      <c r="AA741">
        <f>IF($W741="","",IFERROR(INDEX(IF($T741&lt;=60,imc05_s,imc519_s),MATCH($W741,IF($T741&lt;=60,imc05_k,imc519_k),1)),""))</f>
        <v/>
      </c>
      <c r="AB741">
        <f>IF($Y741="","",IF($Y741=0,LN($J741/$Z741)/$AA741,((($J741/$Z741)^$Y741)-1)/($Y741*$AA741)))</f>
        <v/>
      </c>
      <c r="AC741">
        <f>IF($Y741="","",IF($Y741=0,$Z741*EXP($AA741*2),$Z741*(1+$Y741*$AA741*2)^(1/$Y741)))</f>
        <v/>
      </c>
      <c r="AD741">
        <f>IF($Y741="","",IF($Y741=0,$Z741*EXP($AA741*3),$Z741*(1+$Y741*$AA741*3)^(1/$Y741)))</f>
        <v/>
      </c>
      <c r="AE741">
        <f>IF($Y741="","",IF($Y741=0,$Z741*EXP($AA741*-2),$Z741*(1+$Y741*$AA741*-2)^(1/$Y741)))</f>
        <v/>
      </c>
      <c r="AF741">
        <f>IF($Y741="","",IF($Y741=0,$Z741*EXP($AA741*-3),$Z741*(1+$Y741*$AA741*-3)^(1/$Y741)))</f>
        <v/>
      </c>
      <c r="AG741">
        <f>IF($W741="","",IFERROR(INDEX(IF($T741&lt;=60,est05_l,est519_l),MATCH($W741,IF($T741&lt;=60,est05_k,est519_k),1)),""))</f>
        <v/>
      </c>
      <c r="AH741">
        <f>IF($W741="","",IFERROR(INDEX(IF($T741&lt;=60,est05_m,est519_m),MATCH($W741,IF($T741&lt;=60,est05_k,est519_k),1)),""))</f>
        <v/>
      </c>
      <c r="AI741">
        <f>IF($W741="","",IFERROR(INDEX(IF($T741&lt;=60,est05_s,est519_s),MATCH($W741,IF($T741&lt;=60,est05_k,est519_k),1)),""))</f>
        <v/>
      </c>
      <c r="AJ741">
        <f>IF($W741="","",IFERROR(INDEX(IF($T741&lt;=60,peso05_l,peso510_l),MATCH($W741,IF($T741&lt;=60,peso05_k,peso510_k),1)),""))</f>
        <v/>
      </c>
      <c r="AK741">
        <f>IF($W741="","",IFERROR(INDEX(IF($T741&lt;=60,peso05_m,peso510_m),MATCH($W741,IF($T741&lt;=60,peso05_k,peso510_k),1)),""))</f>
        <v/>
      </c>
      <c r="AL741">
        <f>IF($W741="","",IFERROR(INDEX(IF($T741&lt;=60,peso05_s,peso510_s),MATCH($W741,IF($T741&lt;=60,peso05_k,peso510_k),1)),""))</f>
        <v/>
      </c>
      <c r="AM741">
        <f>IF($AJ741="","",IF($AJ741=0,LN($F741/$AK741)/$AL741,((($F741/$AK741)^$AJ741)-1)/($AJ741*$AL741)))</f>
        <v/>
      </c>
      <c r="AN741">
        <f>IF($AJ741="","",IF($AJ741=0,$AK741*EXP($AL741*2),$AK741*(1+$AJ741*$AL741*2)^(1/$AJ741)))</f>
        <v/>
      </c>
      <c r="AO741">
        <f>IF($AJ741="","",IF($AJ741=0,$AK741*EXP($AL741*3),$AK741*(1+$AJ741*$AL741*3)^(1/$AJ741)))</f>
        <v/>
      </c>
      <c r="AP741">
        <f>IF($AJ741="","",IF($AJ741=0,$AK741*EXP($AL741*-2),$AK741*(1+$AJ741*$AL741*-2)^(1/$AJ741)))</f>
        <v/>
      </c>
      <c r="AQ741">
        <f>IF($AJ741="","",IF($AJ741=0,$AK741*EXP($AL741*-3),$AK741*(1+$AJ741*$AL741*-3)^(1/$AJ741)))</f>
        <v/>
      </c>
      <c r="AR741">
        <f>IF(OR($X741="",$T741&gt;60),"",IFERROR(INDEX(IF($T741&lt;24,pcomp_l,palt_l),MATCH($X741,IF($T741&lt;24,pcomp_k,palt_k),1)),""))</f>
        <v/>
      </c>
      <c r="AS741">
        <f>IF(OR($X741="",$T741&gt;60),"",IFERROR(INDEX(IF($T741&lt;24,pcomp_m,palt_m),MATCH($X741,IF($T741&lt;24,pcomp_k,palt_k),1)),""))</f>
        <v/>
      </c>
      <c r="AT741">
        <f>IF(OR($X741="",$T741&gt;60),"",IFERROR(INDEX(IF($T741&lt;24,pcomp_s,palt_s),MATCH($X741,IF($T741&lt;24,pcomp_k,palt_k),1)),""))</f>
        <v/>
      </c>
      <c r="AU741">
        <f>IF($AR741="","",IF($AR741=0,LN($F741/$AS741)/$AT741,((($F741/$AS741)^$AR741)-1)/($AR741*$AT741)))</f>
        <v/>
      </c>
      <c r="AV741">
        <f>IF($AR741="","",IF($AR741=0,$AS741*EXP($AT741*2),$AS741*(1+$AR741*$AT741*2)^(1/$AR741)))</f>
        <v/>
      </c>
      <c r="AW741">
        <f>IF($AR741="","",IF($AR741=0,$AS741*EXP($AT741*3),$AS741*(1+$AR741*$AT741*3)^(1/$AR741)))</f>
        <v/>
      </c>
      <c r="AX741">
        <f>IF($AR741="","",IF($AR741=0,$AS741*EXP($AT741*-2),$AS741*(1+$AR741*$AT741*-2)^(1/$AR741)))</f>
        <v/>
      </c>
      <c r="AY741">
        <f>IF($AR741="","",IF($AR741=0,$AS741*EXP($AT741*-3),$AS741*(1+$AR741*$AT741*-3)^(1/$AR741)))</f>
        <v/>
      </c>
      <c r="AZ741">
        <f>IF(OR($A741="",$A741&lt;&gt;Ficha!$C$4),"",COUNTIF($A$2:$A741,Ficha!$C$4))</f>
        <v/>
      </c>
    </row>
    <row r="742">
      <c r="A742" s="8">
        <f>IF(INDEX(Banco!$A:$A,ROW())="","",INDEX(Banco!$A:$A,ROW()))</f>
        <v/>
      </c>
      <c r="B742" s="8">
        <f>IF(INDEX(Banco!$B:$B,ROW())="","",INDEX(Banco!$B:$B,ROW()))</f>
        <v/>
      </c>
      <c r="C742" s="8">
        <f>IF(INDEX(Banco!$C:$C,ROW())="","",INDEX(Banco!$C:$C,ROW()))</f>
        <v/>
      </c>
      <c r="D742" s="9">
        <f>IF(INDEX(Banco!$D:$D,ROW())="","",INDEX(Banco!$D:$D,ROW()))</f>
        <v/>
      </c>
      <c r="E742" s="9">
        <f>IF(INDEX(Banco!$E:$E,ROW())="","",INDEX(Banco!$E:$E,ROW()))</f>
        <v/>
      </c>
      <c r="F742" s="10">
        <f>IF(INDEX(Banco!$F:$F,ROW())="","",INDEX(Banco!$F:$F,ROW()))</f>
        <v/>
      </c>
      <c r="G742" s="10">
        <f>IF(INDEX(Banco!$G:$G,ROW())="","",INDEX(Banco!$G:$G,ROW()))</f>
        <v/>
      </c>
      <c r="H742" s="8">
        <f>IF(INDEX(Banco!$H:$H,ROW())="","",INDEX(Banco!$H:$H,ROW()))</f>
        <v/>
      </c>
      <c r="I742">
        <f>IF($T742="","",INT($T742/12)&amp;"a "&amp;MOD($T742,12)&amp;"m")</f>
        <v/>
      </c>
      <c r="J742" s="11">
        <f>IF(OR($F742="",$G742=""),"",ROUND($F742/($G742/100)^2,2))</f>
        <v/>
      </c>
      <c r="K742" s="12">
        <f>IF(OR($S742="",$J742="",$T742="",$T742&lt;0,$T742&gt;228,$Y742=""),"—",ROUND(IF(ABS($AB742)&lt;=3,$AB742,IF($AB742&gt;3,3+($J742-$AD742)/($AD742-$AC742),-3+($J742-$AF742)/($AE742-$AF742))),2))</f>
        <v/>
      </c>
      <c r="L742">
        <f>IF(OR($K742="",$K742="—"),"",IF($T742&lt;=60,IF($K742&lt;-3,"Magreza acentuada",IF($K742&lt;-2,"Magreza",IF($K742&lt;=1,"Eutrofia",IF($K742&lt;=2,"Risco de sobrepeso",IF($K742&lt;=3,"Sobrepeso","Obesidade"))))),IF($K742&lt;-3,"Magreza acentuada",IF($K742&lt;-2,"Magreza",IF($K742&lt;=1,"Eutrofia",IF($K742&lt;=2,"Sobrepeso",IF($K742&lt;=3,"Obesidade","Obesidade grave")))))))</f>
        <v/>
      </c>
      <c r="M742" s="12">
        <f>IF(OR($S742="",$V742="",$T742="",$T742&lt;0,$T742&gt;228,$AG742=""),"—",ROUND(IF($AG742=0,LN($V742/$AH742)/$AI742,((($V742/$AH742)^$AG742)-1)/($AG742*$AI742)),2))</f>
        <v/>
      </c>
      <c r="N742">
        <f>IF(OR($M742="",$M742="—"),"",IF($M742&lt;-3,"Muito baixa",IF($M742&lt;-2,"Baixa","Adequada")))</f>
        <v/>
      </c>
      <c r="O742" s="12">
        <f>IF(OR($S742="",$F742="",$T742="",$T742&lt;0,$T742&gt;120,$AJ742=""),"—",ROUND(IF(ABS($AM742)&lt;=3,$AM742,IF($AM742&gt;3,3+($F742-$AO742)/($AO742-$AN742),-3+($F742-$AQ742)/($AP742-$AQ742))),2))</f>
        <v/>
      </c>
      <c r="P742">
        <f>IF(OR($O742="",$O742="—"),"",IF($O742&lt;-3,"Muito baixo",IF($O742&lt;-2,"Baixo",IF($O742&lt;=2,"Adequado","Elevado"))))</f>
        <v/>
      </c>
      <c r="Q742" s="12">
        <f>IF(OR($S742="",$F742="",$T742="",$T742&lt;0,$T742&gt;60,$AR742=""),"—",ROUND(IF(ABS($AU742)&lt;=3,$AU742,IF($AU742&gt;3,3+($F742-$AW742)/($AW742-$AV742),-3+($F742-$AY742)/($AX742-$AY742))),2))</f>
        <v/>
      </c>
      <c r="R742">
        <f>IF(OR($Q742="",$Q742="—"),"",IF($Q742&lt;-3,"Magreza acentuada",IF($Q742&lt;-2,"Magreza",IF($Q742&lt;=1,"Eutrofia",IF($Q742&lt;=2,"Risco de sobrepeso",IF($Q742&lt;=3,"Sobrepeso","Obesidade"))))))</f>
        <v/>
      </c>
      <c r="S742">
        <f>IF($C742="","",IF(UPPER(LEFT($C742,1))="M",1,IF(UPPER(LEFT($C742,1))="F",2,"")))</f>
        <v/>
      </c>
      <c r="T742">
        <f>IF(OR($D742="",$E742=""),"",DATEDIF($D742,$E742,"m"))</f>
        <v/>
      </c>
      <c r="U742">
        <f>IF(OR($D742="",$E742=""),"",$E742-$D742)</f>
        <v/>
      </c>
      <c r="V742">
        <f>IF(OR($G742="",$T742=""),"",IF($T742&lt;24,IF(LEFT(LOWER($H742),4)="em p",$G742+0.7,$G742),IF(LEFT(LOWER($H742),4)="deit",$G742-0.7,$G742)))</f>
        <v/>
      </c>
      <c r="W742">
        <f>IF(OR($S742="",$T742=""),"",$S742*1000000+IF($T742&lt;=60,$U742,$T742))</f>
        <v/>
      </c>
      <c r="X742">
        <f>IF(OR($S742="",$V742="",$T742&gt;60,$T742=""),"",$S742*1000000+ROUND($V742*10,0))</f>
        <v/>
      </c>
      <c r="Y742">
        <f>IF($W742="","",IFERROR(INDEX(IF($T742&lt;=60,imc05_l,imc519_l),MATCH($W742,IF($T742&lt;=60,imc05_k,imc519_k),1)),""))</f>
        <v/>
      </c>
      <c r="Z742">
        <f>IF($W742="","",IFERROR(INDEX(IF($T742&lt;=60,imc05_m,imc519_m),MATCH($W742,IF($T742&lt;=60,imc05_k,imc519_k),1)),""))</f>
        <v/>
      </c>
      <c r="AA742">
        <f>IF($W742="","",IFERROR(INDEX(IF($T742&lt;=60,imc05_s,imc519_s),MATCH($W742,IF($T742&lt;=60,imc05_k,imc519_k),1)),""))</f>
        <v/>
      </c>
      <c r="AB742">
        <f>IF($Y742="","",IF($Y742=0,LN($J742/$Z742)/$AA742,((($J742/$Z742)^$Y742)-1)/($Y742*$AA742)))</f>
        <v/>
      </c>
      <c r="AC742">
        <f>IF($Y742="","",IF($Y742=0,$Z742*EXP($AA742*2),$Z742*(1+$Y742*$AA742*2)^(1/$Y742)))</f>
        <v/>
      </c>
      <c r="AD742">
        <f>IF($Y742="","",IF($Y742=0,$Z742*EXP($AA742*3),$Z742*(1+$Y742*$AA742*3)^(1/$Y742)))</f>
        <v/>
      </c>
      <c r="AE742">
        <f>IF($Y742="","",IF($Y742=0,$Z742*EXP($AA742*-2),$Z742*(1+$Y742*$AA742*-2)^(1/$Y742)))</f>
        <v/>
      </c>
      <c r="AF742">
        <f>IF($Y742="","",IF($Y742=0,$Z742*EXP($AA742*-3),$Z742*(1+$Y742*$AA742*-3)^(1/$Y742)))</f>
        <v/>
      </c>
      <c r="AG742">
        <f>IF($W742="","",IFERROR(INDEX(IF($T742&lt;=60,est05_l,est519_l),MATCH($W742,IF($T742&lt;=60,est05_k,est519_k),1)),""))</f>
        <v/>
      </c>
      <c r="AH742">
        <f>IF($W742="","",IFERROR(INDEX(IF($T742&lt;=60,est05_m,est519_m),MATCH($W742,IF($T742&lt;=60,est05_k,est519_k),1)),""))</f>
        <v/>
      </c>
      <c r="AI742">
        <f>IF($W742="","",IFERROR(INDEX(IF($T742&lt;=60,est05_s,est519_s),MATCH($W742,IF($T742&lt;=60,est05_k,est519_k),1)),""))</f>
        <v/>
      </c>
      <c r="AJ742">
        <f>IF($W742="","",IFERROR(INDEX(IF($T742&lt;=60,peso05_l,peso510_l),MATCH($W742,IF($T742&lt;=60,peso05_k,peso510_k),1)),""))</f>
        <v/>
      </c>
      <c r="AK742">
        <f>IF($W742="","",IFERROR(INDEX(IF($T742&lt;=60,peso05_m,peso510_m),MATCH($W742,IF($T742&lt;=60,peso05_k,peso510_k),1)),""))</f>
        <v/>
      </c>
      <c r="AL742">
        <f>IF($W742="","",IFERROR(INDEX(IF($T742&lt;=60,peso05_s,peso510_s),MATCH($W742,IF($T742&lt;=60,peso05_k,peso510_k),1)),""))</f>
        <v/>
      </c>
      <c r="AM742">
        <f>IF($AJ742="","",IF($AJ742=0,LN($F742/$AK742)/$AL742,((($F742/$AK742)^$AJ742)-1)/($AJ742*$AL742)))</f>
        <v/>
      </c>
      <c r="AN742">
        <f>IF($AJ742="","",IF($AJ742=0,$AK742*EXP($AL742*2),$AK742*(1+$AJ742*$AL742*2)^(1/$AJ742)))</f>
        <v/>
      </c>
      <c r="AO742">
        <f>IF($AJ742="","",IF($AJ742=0,$AK742*EXP($AL742*3),$AK742*(1+$AJ742*$AL742*3)^(1/$AJ742)))</f>
        <v/>
      </c>
      <c r="AP742">
        <f>IF($AJ742="","",IF($AJ742=0,$AK742*EXP($AL742*-2),$AK742*(1+$AJ742*$AL742*-2)^(1/$AJ742)))</f>
        <v/>
      </c>
      <c r="AQ742">
        <f>IF($AJ742="","",IF($AJ742=0,$AK742*EXP($AL742*-3),$AK742*(1+$AJ742*$AL742*-3)^(1/$AJ742)))</f>
        <v/>
      </c>
      <c r="AR742">
        <f>IF(OR($X742="",$T742&gt;60),"",IFERROR(INDEX(IF($T742&lt;24,pcomp_l,palt_l),MATCH($X742,IF($T742&lt;24,pcomp_k,palt_k),1)),""))</f>
        <v/>
      </c>
      <c r="AS742">
        <f>IF(OR($X742="",$T742&gt;60),"",IFERROR(INDEX(IF($T742&lt;24,pcomp_m,palt_m),MATCH($X742,IF($T742&lt;24,pcomp_k,palt_k),1)),""))</f>
        <v/>
      </c>
      <c r="AT742">
        <f>IF(OR($X742="",$T742&gt;60),"",IFERROR(INDEX(IF($T742&lt;24,pcomp_s,palt_s),MATCH($X742,IF($T742&lt;24,pcomp_k,palt_k),1)),""))</f>
        <v/>
      </c>
      <c r="AU742">
        <f>IF($AR742="","",IF($AR742=0,LN($F742/$AS742)/$AT742,((($F742/$AS742)^$AR742)-1)/($AR742*$AT742)))</f>
        <v/>
      </c>
      <c r="AV742">
        <f>IF($AR742="","",IF($AR742=0,$AS742*EXP($AT742*2),$AS742*(1+$AR742*$AT742*2)^(1/$AR742)))</f>
        <v/>
      </c>
      <c r="AW742">
        <f>IF($AR742="","",IF($AR742=0,$AS742*EXP($AT742*3),$AS742*(1+$AR742*$AT742*3)^(1/$AR742)))</f>
        <v/>
      </c>
      <c r="AX742">
        <f>IF($AR742="","",IF($AR742=0,$AS742*EXP($AT742*-2),$AS742*(1+$AR742*$AT742*-2)^(1/$AR742)))</f>
        <v/>
      </c>
      <c r="AY742">
        <f>IF($AR742="","",IF($AR742=0,$AS742*EXP($AT742*-3),$AS742*(1+$AR742*$AT742*-3)^(1/$AR742)))</f>
        <v/>
      </c>
      <c r="AZ742">
        <f>IF(OR($A742="",$A742&lt;&gt;Ficha!$C$4),"",COUNTIF($A$2:$A742,Ficha!$C$4))</f>
        <v/>
      </c>
    </row>
    <row r="743">
      <c r="A743" s="8">
        <f>IF(INDEX(Banco!$A:$A,ROW())="","",INDEX(Banco!$A:$A,ROW()))</f>
        <v/>
      </c>
      <c r="B743" s="8">
        <f>IF(INDEX(Banco!$B:$B,ROW())="","",INDEX(Banco!$B:$B,ROW()))</f>
        <v/>
      </c>
      <c r="C743" s="8">
        <f>IF(INDEX(Banco!$C:$C,ROW())="","",INDEX(Banco!$C:$C,ROW()))</f>
        <v/>
      </c>
      <c r="D743" s="9">
        <f>IF(INDEX(Banco!$D:$D,ROW())="","",INDEX(Banco!$D:$D,ROW()))</f>
        <v/>
      </c>
      <c r="E743" s="9">
        <f>IF(INDEX(Banco!$E:$E,ROW())="","",INDEX(Banco!$E:$E,ROW()))</f>
        <v/>
      </c>
      <c r="F743" s="10">
        <f>IF(INDEX(Banco!$F:$F,ROW())="","",INDEX(Banco!$F:$F,ROW()))</f>
        <v/>
      </c>
      <c r="G743" s="10">
        <f>IF(INDEX(Banco!$G:$G,ROW())="","",INDEX(Banco!$G:$G,ROW()))</f>
        <v/>
      </c>
      <c r="H743" s="8">
        <f>IF(INDEX(Banco!$H:$H,ROW())="","",INDEX(Banco!$H:$H,ROW()))</f>
        <v/>
      </c>
      <c r="I743">
        <f>IF($T743="","",INT($T743/12)&amp;"a "&amp;MOD($T743,12)&amp;"m")</f>
        <v/>
      </c>
      <c r="J743" s="11">
        <f>IF(OR($F743="",$G743=""),"",ROUND($F743/($G743/100)^2,2))</f>
        <v/>
      </c>
      <c r="K743" s="12">
        <f>IF(OR($S743="",$J743="",$T743="",$T743&lt;0,$T743&gt;228,$Y743=""),"—",ROUND(IF(ABS($AB743)&lt;=3,$AB743,IF($AB743&gt;3,3+($J743-$AD743)/($AD743-$AC743),-3+($J743-$AF743)/($AE743-$AF743))),2))</f>
        <v/>
      </c>
      <c r="L743">
        <f>IF(OR($K743="",$K743="—"),"",IF($T743&lt;=60,IF($K743&lt;-3,"Magreza acentuada",IF($K743&lt;-2,"Magreza",IF($K743&lt;=1,"Eutrofia",IF($K743&lt;=2,"Risco de sobrepeso",IF($K743&lt;=3,"Sobrepeso","Obesidade"))))),IF($K743&lt;-3,"Magreza acentuada",IF($K743&lt;-2,"Magreza",IF($K743&lt;=1,"Eutrofia",IF($K743&lt;=2,"Sobrepeso",IF($K743&lt;=3,"Obesidade","Obesidade grave")))))))</f>
        <v/>
      </c>
      <c r="M743" s="12">
        <f>IF(OR($S743="",$V743="",$T743="",$T743&lt;0,$T743&gt;228,$AG743=""),"—",ROUND(IF($AG743=0,LN($V743/$AH743)/$AI743,((($V743/$AH743)^$AG743)-1)/($AG743*$AI743)),2))</f>
        <v/>
      </c>
      <c r="N743">
        <f>IF(OR($M743="",$M743="—"),"",IF($M743&lt;-3,"Muito baixa",IF($M743&lt;-2,"Baixa","Adequada")))</f>
        <v/>
      </c>
      <c r="O743" s="12">
        <f>IF(OR($S743="",$F743="",$T743="",$T743&lt;0,$T743&gt;120,$AJ743=""),"—",ROUND(IF(ABS($AM743)&lt;=3,$AM743,IF($AM743&gt;3,3+($F743-$AO743)/($AO743-$AN743),-3+($F743-$AQ743)/($AP743-$AQ743))),2))</f>
        <v/>
      </c>
      <c r="P743">
        <f>IF(OR($O743="",$O743="—"),"",IF($O743&lt;-3,"Muito baixo",IF($O743&lt;-2,"Baixo",IF($O743&lt;=2,"Adequado","Elevado"))))</f>
        <v/>
      </c>
      <c r="Q743" s="12">
        <f>IF(OR($S743="",$F743="",$T743="",$T743&lt;0,$T743&gt;60,$AR743=""),"—",ROUND(IF(ABS($AU743)&lt;=3,$AU743,IF($AU743&gt;3,3+($F743-$AW743)/($AW743-$AV743),-3+($F743-$AY743)/($AX743-$AY743))),2))</f>
        <v/>
      </c>
      <c r="R743">
        <f>IF(OR($Q743="",$Q743="—"),"",IF($Q743&lt;-3,"Magreza acentuada",IF($Q743&lt;-2,"Magreza",IF($Q743&lt;=1,"Eutrofia",IF($Q743&lt;=2,"Risco de sobrepeso",IF($Q743&lt;=3,"Sobrepeso","Obesidade"))))))</f>
        <v/>
      </c>
      <c r="S743">
        <f>IF($C743="","",IF(UPPER(LEFT($C743,1))="M",1,IF(UPPER(LEFT($C743,1))="F",2,"")))</f>
        <v/>
      </c>
      <c r="T743">
        <f>IF(OR($D743="",$E743=""),"",DATEDIF($D743,$E743,"m"))</f>
        <v/>
      </c>
      <c r="U743">
        <f>IF(OR($D743="",$E743=""),"",$E743-$D743)</f>
        <v/>
      </c>
      <c r="V743">
        <f>IF(OR($G743="",$T743=""),"",IF($T743&lt;24,IF(LEFT(LOWER($H743),4)="em p",$G743+0.7,$G743),IF(LEFT(LOWER($H743),4)="deit",$G743-0.7,$G743)))</f>
        <v/>
      </c>
      <c r="W743">
        <f>IF(OR($S743="",$T743=""),"",$S743*1000000+IF($T743&lt;=60,$U743,$T743))</f>
        <v/>
      </c>
      <c r="X743">
        <f>IF(OR($S743="",$V743="",$T743&gt;60,$T743=""),"",$S743*1000000+ROUND($V743*10,0))</f>
        <v/>
      </c>
      <c r="Y743">
        <f>IF($W743="","",IFERROR(INDEX(IF($T743&lt;=60,imc05_l,imc519_l),MATCH($W743,IF($T743&lt;=60,imc05_k,imc519_k),1)),""))</f>
        <v/>
      </c>
      <c r="Z743">
        <f>IF($W743="","",IFERROR(INDEX(IF($T743&lt;=60,imc05_m,imc519_m),MATCH($W743,IF($T743&lt;=60,imc05_k,imc519_k),1)),""))</f>
        <v/>
      </c>
      <c r="AA743">
        <f>IF($W743="","",IFERROR(INDEX(IF($T743&lt;=60,imc05_s,imc519_s),MATCH($W743,IF($T743&lt;=60,imc05_k,imc519_k),1)),""))</f>
        <v/>
      </c>
      <c r="AB743">
        <f>IF($Y743="","",IF($Y743=0,LN($J743/$Z743)/$AA743,((($J743/$Z743)^$Y743)-1)/($Y743*$AA743)))</f>
        <v/>
      </c>
      <c r="AC743">
        <f>IF($Y743="","",IF($Y743=0,$Z743*EXP($AA743*2),$Z743*(1+$Y743*$AA743*2)^(1/$Y743)))</f>
        <v/>
      </c>
      <c r="AD743">
        <f>IF($Y743="","",IF($Y743=0,$Z743*EXP($AA743*3),$Z743*(1+$Y743*$AA743*3)^(1/$Y743)))</f>
        <v/>
      </c>
      <c r="AE743">
        <f>IF($Y743="","",IF($Y743=0,$Z743*EXP($AA743*-2),$Z743*(1+$Y743*$AA743*-2)^(1/$Y743)))</f>
        <v/>
      </c>
      <c r="AF743">
        <f>IF($Y743="","",IF($Y743=0,$Z743*EXP($AA743*-3),$Z743*(1+$Y743*$AA743*-3)^(1/$Y743)))</f>
        <v/>
      </c>
      <c r="AG743">
        <f>IF($W743="","",IFERROR(INDEX(IF($T743&lt;=60,est05_l,est519_l),MATCH($W743,IF($T743&lt;=60,est05_k,est519_k),1)),""))</f>
        <v/>
      </c>
      <c r="AH743">
        <f>IF($W743="","",IFERROR(INDEX(IF($T743&lt;=60,est05_m,est519_m),MATCH($W743,IF($T743&lt;=60,est05_k,est519_k),1)),""))</f>
        <v/>
      </c>
      <c r="AI743">
        <f>IF($W743="","",IFERROR(INDEX(IF($T743&lt;=60,est05_s,est519_s),MATCH($W743,IF($T743&lt;=60,est05_k,est519_k),1)),""))</f>
        <v/>
      </c>
      <c r="AJ743">
        <f>IF($W743="","",IFERROR(INDEX(IF($T743&lt;=60,peso05_l,peso510_l),MATCH($W743,IF($T743&lt;=60,peso05_k,peso510_k),1)),""))</f>
        <v/>
      </c>
      <c r="AK743">
        <f>IF($W743="","",IFERROR(INDEX(IF($T743&lt;=60,peso05_m,peso510_m),MATCH($W743,IF($T743&lt;=60,peso05_k,peso510_k),1)),""))</f>
        <v/>
      </c>
      <c r="AL743">
        <f>IF($W743="","",IFERROR(INDEX(IF($T743&lt;=60,peso05_s,peso510_s),MATCH($W743,IF($T743&lt;=60,peso05_k,peso510_k),1)),""))</f>
        <v/>
      </c>
      <c r="AM743">
        <f>IF($AJ743="","",IF($AJ743=0,LN($F743/$AK743)/$AL743,((($F743/$AK743)^$AJ743)-1)/($AJ743*$AL743)))</f>
        <v/>
      </c>
      <c r="AN743">
        <f>IF($AJ743="","",IF($AJ743=0,$AK743*EXP($AL743*2),$AK743*(1+$AJ743*$AL743*2)^(1/$AJ743)))</f>
        <v/>
      </c>
      <c r="AO743">
        <f>IF($AJ743="","",IF($AJ743=0,$AK743*EXP($AL743*3),$AK743*(1+$AJ743*$AL743*3)^(1/$AJ743)))</f>
        <v/>
      </c>
      <c r="AP743">
        <f>IF($AJ743="","",IF($AJ743=0,$AK743*EXP($AL743*-2),$AK743*(1+$AJ743*$AL743*-2)^(1/$AJ743)))</f>
        <v/>
      </c>
      <c r="AQ743">
        <f>IF($AJ743="","",IF($AJ743=0,$AK743*EXP($AL743*-3),$AK743*(1+$AJ743*$AL743*-3)^(1/$AJ743)))</f>
        <v/>
      </c>
      <c r="AR743">
        <f>IF(OR($X743="",$T743&gt;60),"",IFERROR(INDEX(IF($T743&lt;24,pcomp_l,palt_l),MATCH($X743,IF($T743&lt;24,pcomp_k,palt_k),1)),""))</f>
        <v/>
      </c>
      <c r="AS743">
        <f>IF(OR($X743="",$T743&gt;60),"",IFERROR(INDEX(IF($T743&lt;24,pcomp_m,palt_m),MATCH($X743,IF($T743&lt;24,pcomp_k,palt_k),1)),""))</f>
        <v/>
      </c>
      <c r="AT743">
        <f>IF(OR($X743="",$T743&gt;60),"",IFERROR(INDEX(IF($T743&lt;24,pcomp_s,palt_s),MATCH($X743,IF($T743&lt;24,pcomp_k,palt_k),1)),""))</f>
        <v/>
      </c>
      <c r="AU743">
        <f>IF($AR743="","",IF($AR743=0,LN($F743/$AS743)/$AT743,((($F743/$AS743)^$AR743)-1)/($AR743*$AT743)))</f>
        <v/>
      </c>
      <c r="AV743">
        <f>IF($AR743="","",IF($AR743=0,$AS743*EXP($AT743*2),$AS743*(1+$AR743*$AT743*2)^(1/$AR743)))</f>
        <v/>
      </c>
      <c r="AW743">
        <f>IF($AR743="","",IF($AR743=0,$AS743*EXP($AT743*3),$AS743*(1+$AR743*$AT743*3)^(1/$AR743)))</f>
        <v/>
      </c>
      <c r="AX743">
        <f>IF($AR743="","",IF($AR743=0,$AS743*EXP($AT743*-2),$AS743*(1+$AR743*$AT743*-2)^(1/$AR743)))</f>
        <v/>
      </c>
      <c r="AY743">
        <f>IF($AR743="","",IF($AR743=0,$AS743*EXP($AT743*-3),$AS743*(1+$AR743*$AT743*-3)^(1/$AR743)))</f>
        <v/>
      </c>
      <c r="AZ743">
        <f>IF(OR($A743="",$A743&lt;&gt;Ficha!$C$4),"",COUNTIF($A$2:$A743,Ficha!$C$4))</f>
        <v/>
      </c>
    </row>
    <row r="744">
      <c r="A744" s="8">
        <f>IF(INDEX(Banco!$A:$A,ROW())="","",INDEX(Banco!$A:$A,ROW()))</f>
        <v/>
      </c>
      <c r="B744" s="8">
        <f>IF(INDEX(Banco!$B:$B,ROW())="","",INDEX(Banco!$B:$B,ROW()))</f>
        <v/>
      </c>
      <c r="C744" s="8">
        <f>IF(INDEX(Banco!$C:$C,ROW())="","",INDEX(Banco!$C:$C,ROW()))</f>
        <v/>
      </c>
      <c r="D744" s="9">
        <f>IF(INDEX(Banco!$D:$D,ROW())="","",INDEX(Banco!$D:$D,ROW()))</f>
        <v/>
      </c>
      <c r="E744" s="9">
        <f>IF(INDEX(Banco!$E:$E,ROW())="","",INDEX(Banco!$E:$E,ROW()))</f>
        <v/>
      </c>
      <c r="F744" s="10">
        <f>IF(INDEX(Banco!$F:$F,ROW())="","",INDEX(Banco!$F:$F,ROW()))</f>
        <v/>
      </c>
      <c r="G744" s="10">
        <f>IF(INDEX(Banco!$G:$G,ROW())="","",INDEX(Banco!$G:$G,ROW()))</f>
        <v/>
      </c>
      <c r="H744" s="8">
        <f>IF(INDEX(Banco!$H:$H,ROW())="","",INDEX(Banco!$H:$H,ROW()))</f>
        <v/>
      </c>
      <c r="I744">
        <f>IF($T744="","",INT($T744/12)&amp;"a "&amp;MOD($T744,12)&amp;"m")</f>
        <v/>
      </c>
      <c r="J744" s="11">
        <f>IF(OR($F744="",$G744=""),"",ROUND($F744/($G744/100)^2,2))</f>
        <v/>
      </c>
      <c r="K744" s="12">
        <f>IF(OR($S744="",$J744="",$T744="",$T744&lt;0,$T744&gt;228,$Y744=""),"—",ROUND(IF(ABS($AB744)&lt;=3,$AB744,IF($AB744&gt;3,3+($J744-$AD744)/($AD744-$AC744),-3+($J744-$AF744)/($AE744-$AF744))),2))</f>
        <v/>
      </c>
      <c r="L744">
        <f>IF(OR($K744="",$K744="—"),"",IF($T744&lt;=60,IF($K744&lt;-3,"Magreza acentuada",IF($K744&lt;-2,"Magreza",IF($K744&lt;=1,"Eutrofia",IF($K744&lt;=2,"Risco de sobrepeso",IF($K744&lt;=3,"Sobrepeso","Obesidade"))))),IF($K744&lt;-3,"Magreza acentuada",IF($K744&lt;-2,"Magreza",IF($K744&lt;=1,"Eutrofia",IF($K744&lt;=2,"Sobrepeso",IF($K744&lt;=3,"Obesidade","Obesidade grave")))))))</f>
        <v/>
      </c>
      <c r="M744" s="12">
        <f>IF(OR($S744="",$V744="",$T744="",$T744&lt;0,$T744&gt;228,$AG744=""),"—",ROUND(IF($AG744=0,LN($V744/$AH744)/$AI744,((($V744/$AH744)^$AG744)-1)/($AG744*$AI744)),2))</f>
        <v/>
      </c>
      <c r="N744">
        <f>IF(OR($M744="",$M744="—"),"",IF($M744&lt;-3,"Muito baixa",IF($M744&lt;-2,"Baixa","Adequada")))</f>
        <v/>
      </c>
      <c r="O744" s="12">
        <f>IF(OR($S744="",$F744="",$T744="",$T744&lt;0,$T744&gt;120,$AJ744=""),"—",ROUND(IF(ABS($AM744)&lt;=3,$AM744,IF($AM744&gt;3,3+($F744-$AO744)/($AO744-$AN744),-3+($F744-$AQ744)/($AP744-$AQ744))),2))</f>
        <v/>
      </c>
      <c r="P744">
        <f>IF(OR($O744="",$O744="—"),"",IF($O744&lt;-3,"Muito baixo",IF($O744&lt;-2,"Baixo",IF($O744&lt;=2,"Adequado","Elevado"))))</f>
        <v/>
      </c>
      <c r="Q744" s="12">
        <f>IF(OR($S744="",$F744="",$T744="",$T744&lt;0,$T744&gt;60,$AR744=""),"—",ROUND(IF(ABS($AU744)&lt;=3,$AU744,IF($AU744&gt;3,3+($F744-$AW744)/($AW744-$AV744),-3+($F744-$AY744)/($AX744-$AY744))),2))</f>
        <v/>
      </c>
      <c r="R744">
        <f>IF(OR($Q744="",$Q744="—"),"",IF($Q744&lt;-3,"Magreza acentuada",IF($Q744&lt;-2,"Magreza",IF($Q744&lt;=1,"Eutrofia",IF($Q744&lt;=2,"Risco de sobrepeso",IF($Q744&lt;=3,"Sobrepeso","Obesidade"))))))</f>
        <v/>
      </c>
      <c r="S744">
        <f>IF($C744="","",IF(UPPER(LEFT($C744,1))="M",1,IF(UPPER(LEFT($C744,1))="F",2,"")))</f>
        <v/>
      </c>
      <c r="T744">
        <f>IF(OR($D744="",$E744=""),"",DATEDIF($D744,$E744,"m"))</f>
        <v/>
      </c>
      <c r="U744">
        <f>IF(OR($D744="",$E744=""),"",$E744-$D744)</f>
        <v/>
      </c>
      <c r="V744">
        <f>IF(OR($G744="",$T744=""),"",IF($T744&lt;24,IF(LEFT(LOWER($H744),4)="em p",$G744+0.7,$G744),IF(LEFT(LOWER($H744),4)="deit",$G744-0.7,$G744)))</f>
        <v/>
      </c>
      <c r="W744">
        <f>IF(OR($S744="",$T744=""),"",$S744*1000000+IF($T744&lt;=60,$U744,$T744))</f>
        <v/>
      </c>
      <c r="X744">
        <f>IF(OR($S744="",$V744="",$T744&gt;60,$T744=""),"",$S744*1000000+ROUND($V744*10,0))</f>
        <v/>
      </c>
      <c r="Y744">
        <f>IF($W744="","",IFERROR(INDEX(IF($T744&lt;=60,imc05_l,imc519_l),MATCH($W744,IF($T744&lt;=60,imc05_k,imc519_k),1)),""))</f>
        <v/>
      </c>
      <c r="Z744">
        <f>IF($W744="","",IFERROR(INDEX(IF($T744&lt;=60,imc05_m,imc519_m),MATCH($W744,IF($T744&lt;=60,imc05_k,imc519_k),1)),""))</f>
        <v/>
      </c>
      <c r="AA744">
        <f>IF($W744="","",IFERROR(INDEX(IF($T744&lt;=60,imc05_s,imc519_s),MATCH($W744,IF($T744&lt;=60,imc05_k,imc519_k),1)),""))</f>
        <v/>
      </c>
      <c r="AB744">
        <f>IF($Y744="","",IF($Y744=0,LN($J744/$Z744)/$AA744,((($J744/$Z744)^$Y744)-1)/($Y744*$AA744)))</f>
        <v/>
      </c>
      <c r="AC744">
        <f>IF($Y744="","",IF($Y744=0,$Z744*EXP($AA744*2),$Z744*(1+$Y744*$AA744*2)^(1/$Y744)))</f>
        <v/>
      </c>
      <c r="AD744">
        <f>IF($Y744="","",IF($Y744=0,$Z744*EXP($AA744*3),$Z744*(1+$Y744*$AA744*3)^(1/$Y744)))</f>
        <v/>
      </c>
      <c r="AE744">
        <f>IF($Y744="","",IF($Y744=0,$Z744*EXP($AA744*-2),$Z744*(1+$Y744*$AA744*-2)^(1/$Y744)))</f>
        <v/>
      </c>
      <c r="AF744">
        <f>IF($Y744="","",IF($Y744=0,$Z744*EXP($AA744*-3),$Z744*(1+$Y744*$AA744*-3)^(1/$Y744)))</f>
        <v/>
      </c>
      <c r="AG744">
        <f>IF($W744="","",IFERROR(INDEX(IF($T744&lt;=60,est05_l,est519_l),MATCH($W744,IF($T744&lt;=60,est05_k,est519_k),1)),""))</f>
        <v/>
      </c>
      <c r="AH744">
        <f>IF($W744="","",IFERROR(INDEX(IF($T744&lt;=60,est05_m,est519_m),MATCH($W744,IF($T744&lt;=60,est05_k,est519_k),1)),""))</f>
        <v/>
      </c>
      <c r="AI744">
        <f>IF($W744="","",IFERROR(INDEX(IF($T744&lt;=60,est05_s,est519_s),MATCH($W744,IF($T744&lt;=60,est05_k,est519_k),1)),""))</f>
        <v/>
      </c>
      <c r="AJ744">
        <f>IF($W744="","",IFERROR(INDEX(IF($T744&lt;=60,peso05_l,peso510_l),MATCH($W744,IF($T744&lt;=60,peso05_k,peso510_k),1)),""))</f>
        <v/>
      </c>
      <c r="AK744">
        <f>IF($W744="","",IFERROR(INDEX(IF($T744&lt;=60,peso05_m,peso510_m),MATCH($W744,IF($T744&lt;=60,peso05_k,peso510_k),1)),""))</f>
        <v/>
      </c>
      <c r="AL744">
        <f>IF($W744="","",IFERROR(INDEX(IF($T744&lt;=60,peso05_s,peso510_s),MATCH($W744,IF($T744&lt;=60,peso05_k,peso510_k),1)),""))</f>
        <v/>
      </c>
      <c r="AM744">
        <f>IF($AJ744="","",IF($AJ744=0,LN($F744/$AK744)/$AL744,((($F744/$AK744)^$AJ744)-1)/($AJ744*$AL744)))</f>
        <v/>
      </c>
      <c r="AN744">
        <f>IF($AJ744="","",IF($AJ744=0,$AK744*EXP($AL744*2),$AK744*(1+$AJ744*$AL744*2)^(1/$AJ744)))</f>
        <v/>
      </c>
      <c r="AO744">
        <f>IF($AJ744="","",IF($AJ744=0,$AK744*EXP($AL744*3),$AK744*(1+$AJ744*$AL744*3)^(1/$AJ744)))</f>
        <v/>
      </c>
      <c r="AP744">
        <f>IF($AJ744="","",IF($AJ744=0,$AK744*EXP($AL744*-2),$AK744*(1+$AJ744*$AL744*-2)^(1/$AJ744)))</f>
        <v/>
      </c>
      <c r="AQ744">
        <f>IF($AJ744="","",IF($AJ744=0,$AK744*EXP($AL744*-3),$AK744*(1+$AJ744*$AL744*-3)^(1/$AJ744)))</f>
        <v/>
      </c>
      <c r="AR744">
        <f>IF(OR($X744="",$T744&gt;60),"",IFERROR(INDEX(IF($T744&lt;24,pcomp_l,palt_l),MATCH($X744,IF($T744&lt;24,pcomp_k,palt_k),1)),""))</f>
        <v/>
      </c>
      <c r="AS744">
        <f>IF(OR($X744="",$T744&gt;60),"",IFERROR(INDEX(IF($T744&lt;24,pcomp_m,palt_m),MATCH($X744,IF($T744&lt;24,pcomp_k,palt_k),1)),""))</f>
        <v/>
      </c>
      <c r="AT744">
        <f>IF(OR($X744="",$T744&gt;60),"",IFERROR(INDEX(IF($T744&lt;24,pcomp_s,palt_s),MATCH($X744,IF($T744&lt;24,pcomp_k,palt_k),1)),""))</f>
        <v/>
      </c>
      <c r="AU744">
        <f>IF($AR744="","",IF($AR744=0,LN($F744/$AS744)/$AT744,((($F744/$AS744)^$AR744)-1)/($AR744*$AT744)))</f>
        <v/>
      </c>
      <c r="AV744">
        <f>IF($AR744="","",IF($AR744=0,$AS744*EXP($AT744*2),$AS744*(1+$AR744*$AT744*2)^(1/$AR744)))</f>
        <v/>
      </c>
      <c r="AW744">
        <f>IF($AR744="","",IF($AR744=0,$AS744*EXP($AT744*3),$AS744*(1+$AR744*$AT744*3)^(1/$AR744)))</f>
        <v/>
      </c>
      <c r="AX744">
        <f>IF($AR744="","",IF($AR744=0,$AS744*EXP($AT744*-2),$AS744*(1+$AR744*$AT744*-2)^(1/$AR744)))</f>
        <v/>
      </c>
      <c r="AY744">
        <f>IF($AR744="","",IF($AR744=0,$AS744*EXP($AT744*-3),$AS744*(1+$AR744*$AT744*-3)^(1/$AR744)))</f>
        <v/>
      </c>
      <c r="AZ744">
        <f>IF(OR($A744="",$A744&lt;&gt;Ficha!$C$4),"",COUNTIF($A$2:$A744,Ficha!$C$4))</f>
        <v/>
      </c>
    </row>
    <row r="745">
      <c r="A745" s="8">
        <f>IF(INDEX(Banco!$A:$A,ROW())="","",INDEX(Banco!$A:$A,ROW()))</f>
        <v/>
      </c>
      <c r="B745" s="8">
        <f>IF(INDEX(Banco!$B:$B,ROW())="","",INDEX(Banco!$B:$B,ROW()))</f>
        <v/>
      </c>
      <c r="C745" s="8">
        <f>IF(INDEX(Banco!$C:$C,ROW())="","",INDEX(Banco!$C:$C,ROW()))</f>
        <v/>
      </c>
      <c r="D745" s="9">
        <f>IF(INDEX(Banco!$D:$D,ROW())="","",INDEX(Banco!$D:$D,ROW()))</f>
        <v/>
      </c>
      <c r="E745" s="9">
        <f>IF(INDEX(Banco!$E:$E,ROW())="","",INDEX(Banco!$E:$E,ROW()))</f>
        <v/>
      </c>
      <c r="F745" s="10">
        <f>IF(INDEX(Banco!$F:$F,ROW())="","",INDEX(Banco!$F:$F,ROW()))</f>
        <v/>
      </c>
      <c r="G745" s="10">
        <f>IF(INDEX(Banco!$G:$G,ROW())="","",INDEX(Banco!$G:$G,ROW()))</f>
        <v/>
      </c>
      <c r="H745" s="8">
        <f>IF(INDEX(Banco!$H:$H,ROW())="","",INDEX(Banco!$H:$H,ROW()))</f>
        <v/>
      </c>
      <c r="I745">
        <f>IF($T745="","",INT($T745/12)&amp;"a "&amp;MOD($T745,12)&amp;"m")</f>
        <v/>
      </c>
      <c r="J745" s="11">
        <f>IF(OR($F745="",$G745=""),"",ROUND($F745/($G745/100)^2,2))</f>
        <v/>
      </c>
      <c r="K745" s="12">
        <f>IF(OR($S745="",$J745="",$T745="",$T745&lt;0,$T745&gt;228,$Y745=""),"—",ROUND(IF(ABS($AB745)&lt;=3,$AB745,IF($AB745&gt;3,3+($J745-$AD745)/($AD745-$AC745),-3+($J745-$AF745)/($AE745-$AF745))),2))</f>
        <v/>
      </c>
      <c r="L745">
        <f>IF(OR($K745="",$K745="—"),"",IF($T745&lt;=60,IF($K745&lt;-3,"Magreza acentuada",IF($K745&lt;-2,"Magreza",IF($K745&lt;=1,"Eutrofia",IF($K745&lt;=2,"Risco de sobrepeso",IF($K745&lt;=3,"Sobrepeso","Obesidade"))))),IF($K745&lt;-3,"Magreza acentuada",IF($K745&lt;-2,"Magreza",IF($K745&lt;=1,"Eutrofia",IF($K745&lt;=2,"Sobrepeso",IF($K745&lt;=3,"Obesidade","Obesidade grave")))))))</f>
        <v/>
      </c>
      <c r="M745" s="12">
        <f>IF(OR($S745="",$V745="",$T745="",$T745&lt;0,$T745&gt;228,$AG745=""),"—",ROUND(IF($AG745=0,LN($V745/$AH745)/$AI745,((($V745/$AH745)^$AG745)-1)/($AG745*$AI745)),2))</f>
        <v/>
      </c>
      <c r="N745">
        <f>IF(OR($M745="",$M745="—"),"",IF($M745&lt;-3,"Muito baixa",IF($M745&lt;-2,"Baixa","Adequada")))</f>
        <v/>
      </c>
      <c r="O745" s="12">
        <f>IF(OR($S745="",$F745="",$T745="",$T745&lt;0,$T745&gt;120,$AJ745=""),"—",ROUND(IF(ABS($AM745)&lt;=3,$AM745,IF($AM745&gt;3,3+($F745-$AO745)/($AO745-$AN745),-3+($F745-$AQ745)/($AP745-$AQ745))),2))</f>
        <v/>
      </c>
      <c r="P745">
        <f>IF(OR($O745="",$O745="—"),"",IF($O745&lt;-3,"Muito baixo",IF($O745&lt;-2,"Baixo",IF($O745&lt;=2,"Adequado","Elevado"))))</f>
        <v/>
      </c>
      <c r="Q745" s="12">
        <f>IF(OR($S745="",$F745="",$T745="",$T745&lt;0,$T745&gt;60,$AR745=""),"—",ROUND(IF(ABS($AU745)&lt;=3,$AU745,IF($AU745&gt;3,3+($F745-$AW745)/($AW745-$AV745),-3+($F745-$AY745)/($AX745-$AY745))),2))</f>
        <v/>
      </c>
      <c r="R745">
        <f>IF(OR($Q745="",$Q745="—"),"",IF($Q745&lt;-3,"Magreza acentuada",IF($Q745&lt;-2,"Magreza",IF($Q745&lt;=1,"Eutrofia",IF($Q745&lt;=2,"Risco de sobrepeso",IF($Q745&lt;=3,"Sobrepeso","Obesidade"))))))</f>
        <v/>
      </c>
      <c r="S745">
        <f>IF($C745="","",IF(UPPER(LEFT($C745,1))="M",1,IF(UPPER(LEFT($C745,1))="F",2,"")))</f>
        <v/>
      </c>
      <c r="T745">
        <f>IF(OR($D745="",$E745=""),"",DATEDIF($D745,$E745,"m"))</f>
        <v/>
      </c>
      <c r="U745">
        <f>IF(OR($D745="",$E745=""),"",$E745-$D745)</f>
        <v/>
      </c>
      <c r="V745">
        <f>IF(OR($G745="",$T745=""),"",IF($T745&lt;24,IF(LEFT(LOWER($H745),4)="em p",$G745+0.7,$G745),IF(LEFT(LOWER($H745),4)="deit",$G745-0.7,$G745)))</f>
        <v/>
      </c>
      <c r="W745">
        <f>IF(OR($S745="",$T745=""),"",$S745*1000000+IF($T745&lt;=60,$U745,$T745))</f>
        <v/>
      </c>
      <c r="X745">
        <f>IF(OR($S745="",$V745="",$T745&gt;60,$T745=""),"",$S745*1000000+ROUND($V745*10,0))</f>
        <v/>
      </c>
      <c r="Y745">
        <f>IF($W745="","",IFERROR(INDEX(IF($T745&lt;=60,imc05_l,imc519_l),MATCH($W745,IF($T745&lt;=60,imc05_k,imc519_k),1)),""))</f>
        <v/>
      </c>
      <c r="Z745">
        <f>IF($W745="","",IFERROR(INDEX(IF($T745&lt;=60,imc05_m,imc519_m),MATCH($W745,IF($T745&lt;=60,imc05_k,imc519_k),1)),""))</f>
        <v/>
      </c>
      <c r="AA745">
        <f>IF($W745="","",IFERROR(INDEX(IF($T745&lt;=60,imc05_s,imc519_s),MATCH($W745,IF($T745&lt;=60,imc05_k,imc519_k),1)),""))</f>
        <v/>
      </c>
      <c r="AB745">
        <f>IF($Y745="","",IF($Y745=0,LN($J745/$Z745)/$AA745,((($J745/$Z745)^$Y745)-1)/($Y745*$AA745)))</f>
        <v/>
      </c>
      <c r="AC745">
        <f>IF($Y745="","",IF($Y745=0,$Z745*EXP($AA745*2),$Z745*(1+$Y745*$AA745*2)^(1/$Y745)))</f>
        <v/>
      </c>
      <c r="AD745">
        <f>IF($Y745="","",IF($Y745=0,$Z745*EXP($AA745*3),$Z745*(1+$Y745*$AA745*3)^(1/$Y745)))</f>
        <v/>
      </c>
      <c r="AE745">
        <f>IF($Y745="","",IF($Y745=0,$Z745*EXP($AA745*-2),$Z745*(1+$Y745*$AA745*-2)^(1/$Y745)))</f>
        <v/>
      </c>
      <c r="AF745">
        <f>IF($Y745="","",IF($Y745=0,$Z745*EXP($AA745*-3),$Z745*(1+$Y745*$AA745*-3)^(1/$Y745)))</f>
        <v/>
      </c>
      <c r="AG745">
        <f>IF($W745="","",IFERROR(INDEX(IF($T745&lt;=60,est05_l,est519_l),MATCH($W745,IF($T745&lt;=60,est05_k,est519_k),1)),""))</f>
        <v/>
      </c>
      <c r="AH745">
        <f>IF($W745="","",IFERROR(INDEX(IF($T745&lt;=60,est05_m,est519_m),MATCH($W745,IF($T745&lt;=60,est05_k,est519_k),1)),""))</f>
        <v/>
      </c>
      <c r="AI745">
        <f>IF($W745="","",IFERROR(INDEX(IF($T745&lt;=60,est05_s,est519_s),MATCH($W745,IF($T745&lt;=60,est05_k,est519_k),1)),""))</f>
        <v/>
      </c>
      <c r="AJ745">
        <f>IF($W745="","",IFERROR(INDEX(IF($T745&lt;=60,peso05_l,peso510_l),MATCH($W745,IF($T745&lt;=60,peso05_k,peso510_k),1)),""))</f>
        <v/>
      </c>
      <c r="AK745">
        <f>IF($W745="","",IFERROR(INDEX(IF($T745&lt;=60,peso05_m,peso510_m),MATCH($W745,IF($T745&lt;=60,peso05_k,peso510_k),1)),""))</f>
        <v/>
      </c>
      <c r="AL745">
        <f>IF($W745="","",IFERROR(INDEX(IF($T745&lt;=60,peso05_s,peso510_s),MATCH($W745,IF($T745&lt;=60,peso05_k,peso510_k),1)),""))</f>
        <v/>
      </c>
      <c r="AM745">
        <f>IF($AJ745="","",IF($AJ745=0,LN($F745/$AK745)/$AL745,((($F745/$AK745)^$AJ745)-1)/($AJ745*$AL745)))</f>
        <v/>
      </c>
      <c r="AN745">
        <f>IF($AJ745="","",IF($AJ745=0,$AK745*EXP($AL745*2),$AK745*(1+$AJ745*$AL745*2)^(1/$AJ745)))</f>
        <v/>
      </c>
      <c r="AO745">
        <f>IF($AJ745="","",IF($AJ745=0,$AK745*EXP($AL745*3),$AK745*(1+$AJ745*$AL745*3)^(1/$AJ745)))</f>
        <v/>
      </c>
      <c r="AP745">
        <f>IF($AJ745="","",IF($AJ745=0,$AK745*EXP($AL745*-2),$AK745*(1+$AJ745*$AL745*-2)^(1/$AJ745)))</f>
        <v/>
      </c>
      <c r="AQ745">
        <f>IF($AJ745="","",IF($AJ745=0,$AK745*EXP($AL745*-3),$AK745*(1+$AJ745*$AL745*-3)^(1/$AJ745)))</f>
        <v/>
      </c>
      <c r="AR745">
        <f>IF(OR($X745="",$T745&gt;60),"",IFERROR(INDEX(IF($T745&lt;24,pcomp_l,palt_l),MATCH($X745,IF($T745&lt;24,pcomp_k,palt_k),1)),""))</f>
        <v/>
      </c>
      <c r="AS745">
        <f>IF(OR($X745="",$T745&gt;60),"",IFERROR(INDEX(IF($T745&lt;24,pcomp_m,palt_m),MATCH($X745,IF($T745&lt;24,pcomp_k,palt_k),1)),""))</f>
        <v/>
      </c>
      <c r="AT745">
        <f>IF(OR($X745="",$T745&gt;60),"",IFERROR(INDEX(IF($T745&lt;24,pcomp_s,palt_s),MATCH($X745,IF($T745&lt;24,pcomp_k,palt_k),1)),""))</f>
        <v/>
      </c>
      <c r="AU745">
        <f>IF($AR745="","",IF($AR745=0,LN($F745/$AS745)/$AT745,((($F745/$AS745)^$AR745)-1)/($AR745*$AT745)))</f>
        <v/>
      </c>
      <c r="AV745">
        <f>IF($AR745="","",IF($AR745=0,$AS745*EXP($AT745*2),$AS745*(1+$AR745*$AT745*2)^(1/$AR745)))</f>
        <v/>
      </c>
      <c r="AW745">
        <f>IF($AR745="","",IF($AR745=0,$AS745*EXP($AT745*3),$AS745*(1+$AR745*$AT745*3)^(1/$AR745)))</f>
        <v/>
      </c>
      <c r="AX745">
        <f>IF($AR745="","",IF($AR745=0,$AS745*EXP($AT745*-2),$AS745*(1+$AR745*$AT745*-2)^(1/$AR745)))</f>
        <v/>
      </c>
      <c r="AY745">
        <f>IF($AR745="","",IF($AR745=0,$AS745*EXP($AT745*-3),$AS745*(1+$AR745*$AT745*-3)^(1/$AR745)))</f>
        <v/>
      </c>
      <c r="AZ745">
        <f>IF(OR($A745="",$A745&lt;&gt;Ficha!$C$4),"",COUNTIF($A$2:$A745,Ficha!$C$4))</f>
        <v/>
      </c>
    </row>
    <row r="746">
      <c r="A746" s="8">
        <f>IF(INDEX(Banco!$A:$A,ROW())="","",INDEX(Banco!$A:$A,ROW()))</f>
        <v/>
      </c>
      <c r="B746" s="8">
        <f>IF(INDEX(Banco!$B:$B,ROW())="","",INDEX(Banco!$B:$B,ROW()))</f>
        <v/>
      </c>
      <c r="C746" s="8">
        <f>IF(INDEX(Banco!$C:$C,ROW())="","",INDEX(Banco!$C:$C,ROW()))</f>
        <v/>
      </c>
      <c r="D746" s="9">
        <f>IF(INDEX(Banco!$D:$D,ROW())="","",INDEX(Banco!$D:$D,ROW()))</f>
        <v/>
      </c>
      <c r="E746" s="9">
        <f>IF(INDEX(Banco!$E:$E,ROW())="","",INDEX(Banco!$E:$E,ROW()))</f>
        <v/>
      </c>
      <c r="F746" s="10">
        <f>IF(INDEX(Banco!$F:$F,ROW())="","",INDEX(Banco!$F:$F,ROW()))</f>
        <v/>
      </c>
      <c r="G746" s="10">
        <f>IF(INDEX(Banco!$G:$G,ROW())="","",INDEX(Banco!$G:$G,ROW()))</f>
        <v/>
      </c>
      <c r="H746" s="8">
        <f>IF(INDEX(Banco!$H:$H,ROW())="","",INDEX(Banco!$H:$H,ROW()))</f>
        <v/>
      </c>
      <c r="I746">
        <f>IF($T746="","",INT($T746/12)&amp;"a "&amp;MOD($T746,12)&amp;"m")</f>
        <v/>
      </c>
      <c r="J746" s="11">
        <f>IF(OR($F746="",$G746=""),"",ROUND($F746/($G746/100)^2,2))</f>
        <v/>
      </c>
      <c r="K746" s="12">
        <f>IF(OR($S746="",$J746="",$T746="",$T746&lt;0,$T746&gt;228,$Y746=""),"—",ROUND(IF(ABS($AB746)&lt;=3,$AB746,IF($AB746&gt;3,3+($J746-$AD746)/($AD746-$AC746),-3+($J746-$AF746)/($AE746-$AF746))),2))</f>
        <v/>
      </c>
      <c r="L746">
        <f>IF(OR($K746="",$K746="—"),"",IF($T746&lt;=60,IF($K746&lt;-3,"Magreza acentuada",IF($K746&lt;-2,"Magreza",IF($K746&lt;=1,"Eutrofia",IF($K746&lt;=2,"Risco de sobrepeso",IF($K746&lt;=3,"Sobrepeso","Obesidade"))))),IF($K746&lt;-3,"Magreza acentuada",IF($K746&lt;-2,"Magreza",IF($K746&lt;=1,"Eutrofia",IF($K746&lt;=2,"Sobrepeso",IF($K746&lt;=3,"Obesidade","Obesidade grave")))))))</f>
        <v/>
      </c>
      <c r="M746" s="12">
        <f>IF(OR($S746="",$V746="",$T746="",$T746&lt;0,$T746&gt;228,$AG746=""),"—",ROUND(IF($AG746=0,LN($V746/$AH746)/$AI746,((($V746/$AH746)^$AG746)-1)/($AG746*$AI746)),2))</f>
        <v/>
      </c>
      <c r="N746">
        <f>IF(OR($M746="",$M746="—"),"",IF($M746&lt;-3,"Muito baixa",IF($M746&lt;-2,"Baixa","Adequada")))</f>
        <v/>
      </c>
      <c r="O746" s="12">
        <f>IF(OR($S746="",$F746="",$T746="",$T746&lt;0,$T746&gt;120,$AJ746=""),"—",ROUND(IF(ABS($AM746)&lt;=3,$AM746,IF($AM746&gt;3,3+($F746-$AO746)/($AO746-$AN746),-3+($F746-$AQ746)/($AP746-$AQ746))),2))</f>
        <v/>
      </c>
      <c r="P746">
        <f>IF(OR($O746="",$O746="—"),"",IF($O746&lt;-3,"Muito baixo",IF($O746&lt;-2,"Baixo",IF($O746&lt;=2,"Adequado","Elevado"))))</f>
        <v/>
      </c>
      <c r="Q746" s="12">
        <f>IF(OR($S746="",$F746="",$T746="",$T746&lt;0,$T746&gt;60,$AR746=""),"—",ROUND(IF(ABS($AU746)&lt;=3,$AU746,IF($AU746&gt;3,3+($F746-$AW746)/($AW746-$AV746),-3+($F746-$AY746)/($AX746-$AY746))),2))</f>
        <v/>
      </c>
      <c r="R746">
        <f>IF(OR($Q746="",$Q746="—"),"",IF($Q746&lt;-3,"Magreza acentuada",IF($Q746&lt;-2,"Magreza",IF($Q746&lt;=1,"Eutrofia",IF($Q746&lt;=2,"Risco de sobrepeso",IF($Q746&lt;=3,"Sobrepeso","Obesidade"))))))</f>
        <v/>
      </c>
      <c r="S746">
        <f>IF($C746="","",IF(UPPER(LEFT($C746,1))="M",1,IF(UPPER(LEFT($C746,1))="F",2,"")))</f>
        <v/>
      </c>
      <c r="T746">
        <f>IF(OR($D746="",$E746=""),"",DATEDIF($D746,$E746,"m"))</f>
        <v/>
      </c>
      <c r="U746">
        <f>IF(OR($D746="",$E746=""),"",$E746-$D746)</f>
        <v/>
      </c>
      <c r="V746">
        <f>IF(OR($G746="",$T746=""),"",IF($T746&lt;24,IF(LEFT(LOWER($H746),4)="em p",$G746+0.7,$G746),IF(LEFT(LOWER($H746),4)="deit",$G746-0.7,$G746)))</f>
        <v/>
      </c>
      <c r="W746">
        <f>IF(OR($S746="",$T746=""),"",$S746*1000000+IF($T746&lt;=60,$U746,$T746))</f>
        <v/>
      </c>
      <c r="X746">
        <f>IF(OR($S746="",$V746="",$T746&gt;60,$T746=""),"",$S746*1000000+ROUND($V746*10,0))</f>
        <v/>
      </c>
      <c r="Y746">
        <f>IF($W746="","",IFERROR(INDEX(IF($T746&lt;=60,imc05_l,imc519_l),MATCH($W746,IF($T746&lt;=60,imc05_k,imc519_k),1)),""))</f>
        <v/>
      </c>
      <c r="Z746">
        <f>IF($W746="","",IFERROR(INDEX(IF($T746&lt;=60,imc05_m,imc519_m),MATCH($W746,IF($T746&lt;=60,imc05_k,imc519_k),1)),""))</f>
        <v/>
      </c>
      <c r="AA746">
        <f>IF($W746="","",IFERROR(INDEX(IF($T746&lt;=60,imc05_s,imc519_s),MATCH($W746,IF($T746&lt;=60,imc05_k,imc519_k),1)),""))</f>
        <v/>
      </c>
      <c r="AB746">
        <f>IF($Y746="","",IF($Y746=0,LN($J746/$Z746)/$AA746,((($J746/$Z746)^$Y746)-1)/($Y746*$AA746)))</f>
        <v/>
      </c>
      <c r="AC746">
        <f>IF($Y746="","",IF($Y746=0,$Z746*EXP($AA746*2),$Z746*(1+$Y746*$AA746*2)^(1/$Y746)))</f>
        <v/>
      </c>
      <c r="AD746">
        <f>IF($Y746="","",IF($Y746=0,$Z746*EXP($AA746*3),$Z746*(1+$Y746*$AA746*3)^(1/$Y746)))</f>
        <v/>
      </c>
      <c r="AE746">
        <f>IF($Y746="","",IF($Y746=0,$Z746*EXP($AA746*-2),$Z746*(1+$Y746*$AA746*-2)^(1/$Y746)))</f>
        <v/>
      </c>
      <c r="AF746">
        <f>IF($Y746="","",IF($Y746=0,$Z746*EXP($AA746*-3),$Z746*(1+$Y746*$AA746*-3)^(1/$Y746)))</f>
        <v/>
      </c>
      <c r="AG746">
        <f>IF($W746="","",IFERROR(INDEX(IF($T746&lt;=60,est05_l,est519_l),MATCH($W746,IF($T746&lt;=60,est05_k,est519_k),1)),""))</f>
        <v/>
      </c>
      <c r="AH746">
        <f>IF($W746="","",IFERROR(INDEX(IF($T746&lt;=60,est05_m,est519_m),MATCH($W746,IF($T746&lt;=60,est05_k,est519_k),1)),""))</f>
        <v/>
      </c>
      <c r="AI746">
        <f>IF($W746="","",IFERROR(INDEX(IF($T746&lt;=60,est05_s,est519_s),MATCH($W746,IF($T746&lt;=60,est05_k,est519_k),1)),""))</f>
        <v/>
      </c>
      <c r="AJ746">
        <f>IF($W746="","",IFERROR(INDEX(IF($T746&lt;=60,peso05_l,peso510_l),MATCH($W746,IF($T746&lt;=60,peso05_k,peso510_k),1)),""))</f>
        <v/>
      </c>
      <c r="AK746">
        <f>IF($W746="","",IFERROR(INDEX(IF($T746&lt;=60,peso05_m,peso510_m),MATCH($W746,IF($T746&lt;=60,peso05_k,peso510_k),1)),""))</f>
        <v/>
      </c>
      <c r="AL746">
        <f>IF($W746="","",IFERROR(INDEX(IF($T746&lt;=60,peso05_s,peso510_s),MATCH($W746,IF($T746&lt;=60,peso05_k,peso510_k),1)),""))</f>
        <v/>
      </c>
      <c r="AM746">
        <f>IF($AJ746="","",IF($AJ746=0,LN($F746/$AK746)/$AL746,((($F746/$AK746)^$AJ746)-1)/($AJ746*$AL746)))</f>
        <v/>
      </c>
      <c r="AN746">
        <f>IF($AJ746="","",IF($AJ746=0,$AK746*EXP($AL746*2),$AK746*(1+$AJ746*$AL746*2)^(1/$AJ746)))</f>
        <v/>
      </c>
      <c r="AO746">
        <f>IF($AJ746="","",IF($AJ746=0,$AK746*EXP($AL746*3),$AK746*(1+$AJ746*$AL746*3)^(1/$AJ746)))</f>
        <v/>
      </c>
      <c r="AP746">
        <f>IF($AJ746="","",IF($AJ746=0,$AK746*EXP($AL746*-2),$AK746*(1+$AJ746*$AL746*-2)^(1/$AJ746)))</f>
        <v/>
      </c>
      <c r="AQ746">
        <f>IF($AJ746="","",IF($AJ746=0,$AK746*EXP($AL746*-3),$AK746*(1+$AJ746*$AL746*-3)^(1/$AJ746)))</f>
        <v/>
      </c>
      <c r="AR746">
        <f>IF(OR($X746="",$T746&gt;60),"",IFERROR(INDEX(IF($T746&lt;24,pcomp_l,palt_l),MATCH($X746,IF($T746&lt;24,pcomp_k,palt_k),1)),""))</f>
        <v/>
      </c>
      <c r="AS746">
        <f>IF(OR($X746="",$T746&gt;60),"",IFERROR(INDEX(IF($T746&lt;24,pcomp_m,palt_m),MATCH($X746,IF($T746&lt;24,pcomp_k,palt_k),1)),""))</f>
        <v/>
      </c>
      <c r="AT746">
        <f>IF(OR($X746="",$T746&gt;60),"",IFERROR(INDEX(IF($T746&lt;24,pcomp_s,palt_s),MATCH($X746,IF($T746&lt;24,pcomp_k,palt_k),1)),""))</f>
        <v/>
      </c>
      <c r="AU746">
        <f>IF($AR746="","",IF($AR746=0,LN($F746/$AS746)/$AT746,((($F746/$AS746)^$AR746)-1)/($AR746*$AT746)))</f>
        <v/>
      </c>
      <c r="AV746">
        <f>IF($AR746="","",IF($AR746=0,$AS746*EXP($AT746*2),$AS746*(1+$AR746*$AT746*2)^(1/$AR746)))</f>
        <v/>
      </c>
      <c r="AW746">
        <f>IF($AR746="","",IF($AR746=0,$AS746*EXP($AT746*3),$AS746*(1+$AR746*$AT746*3)^(1/$AR746)))</f>
        <v/>
      </c>
      <c r="AX746">
        <f>IF($AR746="","",IF($AR746=0,$AS746*EXP($AT746*-2),$AS746*(1+$AR746*$AT746*-2)^(1/$AR746)))</f>
        <v/>
      </c>
      <c r="AY746">
        <f>IF($AR746="","",IF($AR746=0,$AS746*EXP($AT746*-3),$AS746*(1+$AR746*$AT746*-3)^(1/$AR746)))</f>
        <v/>
      </c>
      <c r="AZ746">
        <f>IF(OR($A746="",$A746&lt;&gt;Ficha!$C$4),"",COUNTIF($A$2:$A746,Ficha!$C$4))</f>
        <v/>
      </c>
    </row>
    <row r="747">
      <c r="A747" s="8">
        <f>IF(INDEX(Banco!$A:$A,ROW())="","",INDEX(Banco!$A:$A,ROW()))</f>
        <v/>
      </c>
      <c r="B747" s="8">
        <f>IF(INDEX(Banco!$B:$B,ROW())="","",INDEX(Banco!$B:$B,ROW()))</f>
        <v/>
      </c>
      <c r="C747" s="8">
        <f>IF(INDEX(Banco!$C:$C,ROW())="","",INDEX(Banco!$C:$C,ROW()))</f>
        <v/>
      </c>
      <c r="D747" s="9">
        <f>IF(INDEX(Banco!$D:$D,ROW())="","",INDEX(Banco!$D:$D,ROW()))</f>
        <v/>
      </c>
      <c r="E747" s="9">
        <f>IF(INDEX(Banco!$E:$E,ROW())="","",INDEX(Banco!$E:$E,ROW()))</f>
        <v/>
      </c>
      <c r="F747" s="10">
        <f>IF(INDEX(Banco!$F:$F,ROW())="","",INDEX(Banco!$F:$F,ROW()))</f>
        <v/>
      </c>
      <c r="G747" s="10">
        <f>IF(INDEX(Banco!$G:$G,ROW())="","",INDEX(Banco!$G:$G,ROW()))</f>
        <v/>
      </c>
      <c r="H747" s="8">
        <f>IF(INDEX(Banco!$H:$H,ROW())="","",INDEX(Banco!$H:$H,ROW()))</f>
        <v/>
      </c>
      <c r="I747">
        <f>IF($T747="","",INT($T747/12)&amp;"a "&amp;MOD($T747,12)&amp;"m")</f>
        <v/>
      </c>
      <c r="J747" s="11">
        <f>IF(OR($F747="",$G747=""),"",ROUND($F747/($G747/100)^2,2))</f>
        <v/>
      </c>
      <c r="K747" s="12">
        <f>IF(OR($S747="",$J747="",$T747="",$T747&lt;0,$T747&gt;228,$Y747=""),"—",ROUND(IF(ABS($AB747)&lt;=3,$AB747,IF($AB747&gt;3,3+($J747-$AD747)/($AD747-$AC747),-3+($J747-$AF747)/($AE747-$AF747))),2))</f>
        <v/>
      </c>
      <c r="L747">
        <f>IF(OR($K747="",$K747="—"),"",IF($T747&lt;=60,IF($K747&lt;-3,"Magreza acentuada",IF($K747&lt;-2,"Magreza",IF($K747&lt;=1,"Eutrofia",IF($K747&lt;=2,"Risco de sobrepeso",IF($K747&lt;=3,"Sobrepeso","Obesidade"))))),IF($K747&lt;-3,"Magreza acentuada",IF($K747&lt;-2,"Magreza",IF($K747&lt;=1,"Eutrofia",IF($K747&lt;=2,"Sobrepeso",IF($K747&lt;=3,"Obesidade","Obesidade grave")))))))</f>
        <v/>
      </c>
      <c r="M747" s="12">
        <f>IF(OR($S747="",$V747="",$T747="",$T747&lt;0,$T747&gt;228,$AG747=""),"—",ROUND(IF($AG747=0,LN($V747/$AH747)/$AI747,((($V747/$AH747)^$AG747)-1)/($AG747*$AI747)),2))</f>
        <v/>
      </c>
      <c r="N747">
        <f>IF(OR($M747="",$M747="—"),"",IF($M747&lt;-3,"Muito baixa",IF($M747&lt;-2,"Baixa","Adequada")))</f>
        <v/>
      </c>
      <c r="O747" s="12">
        <f>IF(OR($S747="",$F747="",$T747="",$T747&lt;0,$T747&gt;120,$AJ747=""),"—",ROUND(IF(ABS($AM747)&lt;=3,$AM747,IF($AM747&gt;3,3+($F747-$AO747)/($AO747-$AN747),-3+($F747-$AQ747)/($AP747-$AQ747))),2))</f>
        <v/>
      </c>
      <c r="P747">
        <f>IF(OR($O747="",$O747="—"),"",IF($O747&lt;-3,"Muito baixo",IF($O747&lt;-2,"Baixo",IF($O747&lt;=2,"Adequado","Elevado"))))</f>
        <v/>
      </c>
      <c r="Q747" s="12">
        <f>IF(OR($S747="",$F747="",$T747="",$T747&lt;0,$T747&gt;60,$AR747=""),"—",ROUND(IF(ABS($AU747)&lt;=3,$AU747,IF($AU747&gt;3,3+($F747-$AW747)/($AW747-$AV747),-3+($F747-$AY747)/($AX747-$AY747))),2))</f>
        <v/>
      </c>
      <c r="R747">
        <f>IF(OR($Q747="",$Q747="—"),"",IF($Q747&lt;-3,"Magreza acentuada",IF($Q747&lt;-2,"Magreza",IF($Q747&lt;=1,"Eutrofia",IF($Q747&lt;=2,"Risco de sobrepeso",IF($Q747&lt;=3,"Sobrepeso","Obesidade"))))))</f>
        <v/>
      </c>
      <c r="S747">
        <f>IF($C747="","",IF(UPPER(LEFT($C747,1))="M",1,IF(UPPER(LEFT($C747,1))="F",2,"")))</f>
        <v/>
      </c>
      <c r="T747">
        <f>IF(OR($D747="",$E747=""),"",DATEDIF($D747,$E747,"m"))</f>
        <v/>
      </c>
      <c r="U747">
        <f>IF(OR($D747="",$E747=""),"",$E747-$D747)</f>
        <v/>
      </c>
      <c r="V747">
        <f>IF(OR($G747="",$T747=""),"",IF($T747&lt;24,IF(LEFT(LOWER($H747),4)="em p",$G747+0.7,$G747),IF(LEFT(LOWER($H747),4)="deit",$G747-0.7,$G747)))</f>
        <v/>
      </c>
      <c r="W747">
        <f>IF(OR($S747="",$T747=""),"",$S747*1000000+IF($T747&lt;=60,$U747,$T747))</f>
        <v/>
      </c>
      <c r="X747">
        <f>IF(OR($S747="",$V747="",$T747&gt;60,$T747=""),"",$S747*1000000+ROUND($V747*10,0))</f>
        <v/>
      </c>
      <c r="Y747">
        <f>IF($W747="","",IFERROR(INDEX(IF($T747&lt;=60,imc05_l,imc519_l),MATCH($W747,IF($T747&lt;=60,imc05_k,imc519_k),1)),""))</f>
        <v/>
      </c>
      <c r="Z747">
        <f>IF($W747="","",IFERROR(INDEX(IF($T747&lt;=60,imc05_m,imc519_m),MATCH($W747,IF($T747&lt;=60,imc05_k,imc519_k),1)),""))</f>
        <v/>
      </c>
      <c r="AA747">
        <f>IF($W747="","",IFERROR(INDEX(IF($T747&lt;=60,imc05_s,imc519_s),MATCH($W747,IF($T747&lt;=60,imc05_k,imc519_k),1)),""))</f>
        <v/>
      </c>
      <c r="AB747">
        <f>IF($Y747="","",IF($Y747=0,LN($J747/$Z747)/$AA747,((($J747/$Z747)^$Y747)-1)/($Y747*$AA747)))</f>
        <v/>
      </c>
      <c r="AC747">
        <f>IF($Y747="","",IF($Y747=0,$Z747*EXP($AA747*2),$Z747*(1+$Y747*$AA747*2)^(1/$Y747)))</f>
        <v/>
      </c>
      <c r="AD747">
        <f>IF($Y747="","",IF($Y747=0,$Z747*EXP($AA747*3),$Z747*(1+$Y747*$AA747*3)^(1/$Y747)))</f>
        <v/>
      </c>
      <c r="AE747">
        <f>IF($Y747="","",IF($Y747=0,$Z747*EXP($AA747*-2),$Z747*(1+$Y747*$AA747*-2)^(1/$Y747)))</f>
        <v/>
      </c>
      <c r="AF747">
        <f>IF($Y747="","",IF($Y747=0,$Z747*EXP($AA747*-3),$Z747*(1+$Y747*$AA747*-3)^(1/$Y747)))</f>
        <v/>
      </c>
      <c r="AG747">
        <f>IF($W747="","",IFERROR(INDEX(IF($T747&lt;=60,est05_l,est519_l),MATCH($W747,IF($T747&lt;=60,est05_k,est519_k),1)),""))</f>
        <v/>
      </c>
      <c r="AH747">
        <f>IF($W747="","",IFERROR(INDEX(IF($T747&lt;=60,est05_m,est519_m),MATCH($W747,IF($T747&lt;=60,est05_k,est519_k),1)),""))</f>
        <v/>
      </c>
      <c r="AI747">
        <f>IF($W747="","",IFERROR(INDEX(IF($T747&lt;=60,est05_s,est519_s),MATCH($W747,IF($T747&lt;=60,est05_k,est519_k),1)),""))</f>
        <v/>
      </c>
      <c r="AJ747">
        <f>IF($W747="","",IFERROR(INDEX(IF($T747&lt;=60,peso05_l,peso510_l),MATCH($W747,IF($T747&lt;=60,peso05_k,peso510_k),1)),""))</f>
        <v/>
      </c>
      <c r="AK747">
        <f>IF($W747="","",IFERROR(INDEX(IF($T747&lt;=60,peso05_m,peso510_m),MATCH($W747,IF($T747&lt;=60,peso05_k,peso510_k),1)),""))</f>
        <v/>
      </c>
      <c r="AL747">
        <f>IF($W747="","",IFERROR(INDEX(IF($T747&lt;=60,peso05_s,peso510_s),MATCH($W747,IF($T747&lt;=60,peso05_k,peso510_k),1)),""))</f>
        <v/>
      </c>
      <c r="AM747">
        <f>IF($AJ747="","",IF($AJ747=0,LN($F747/$AK747)/$AL747,((($F747/$AK747)^$AJ747)-1)/($AJ747*$AL747)))</f>
        <v/>
      </c>
      <c r="AN747">
        <f>IF($AJ747="","",IF($AJ747=0,$AK747*EXP($AL747*2),$AK747*(1+$AJ747*$AL747*2)^(1/$AJ747)))</f>
        <v/>
      </c>
      <c r="AO747">
        <f>IF($AJ747="","",IF($AJ747=0,$AK747*EXP($AL747*3),$AK747*(1+$AJ747*$AL747*3)^(1/$AJ747)))</f>
        <v/>
      </c>
      <c r="AP747">
        <f>IF($AJ747="","",IF($AJ747=0,$AK747*EXP($AL747*-2),$AK747*(1+$AJ747*$AL747*-2)^(1/$AJ747)))</f>
        <v/>
      </c>
      <c r="AQ747">
        <f>IF($AJ747="","",IF($AJ747=0,$AK747*EXP($AL747*-3),$AK747*(1+$AJ747*$AL747*-3)^(1/$AJ747)))</f>
        <v/>
      </c>
      <c r="AR747">
        <f>IF(OR($X747="",$T747&gt;60),"",IFERROR(INDEX(IF($T747&lt;24,pcomp_l,palt_l),MATCH($X747,IF($T747&lt;24,pcomp_k,palt_k),1)),""))</f>
        <v/>
      </c>
      <c r="AS747">
        <f>IF(OR($X747="",$T747&gt;60),"",IFERROR(INDEX(IF($T747&lt;24,pcomp_m,palt_m),MATCH($X747,IF($T747&lt;24,pcomp_k,palt_k),1)),""))</f>
        <v/>
      </c>
      <c r="AT747">
        <f>IF(OR($X747="",$T747&gt;60),"",IFERROR(INDEX(IF($T747&lt;24,pcomp_s,palt_s),MATCH($X747,IF($T747&lt;24,pcomp_k,palt_k),1)),""))</f>
        <v/>
      </c>
      <c r="AU747">
        <f>IF($AR747="","",IF($AR747=0,LN($F747/$AS747)/$AT747,((($F747/$AS747)^$AR747)-1)/($AR747*$AT747)))</f>
        <v/>
      </c>
      <c r="AV747">
        <f>IF($AR747="","",IF($AR747=0,$AS747*EXP($AT747*2),$AS747*(1+$AR747*$AT747*2)^(1/$AR747)))</f>
        <v/>
      </c>
      <c r="AW747">
        <f>IF($AR747="","",IF($AR747=0,$AS747*EXP($AT747*3),$AS747*(1+$AR747*$AT747*3)^(1/$AR747)))</f>
        <v/>
      </c>
      <c r="AX747">
        <f>IF($AR747="","",IF($AR747=0,$AS747*EXP($AT747*-2),$AS747*(1+$AR747*$AT747*-2)^(1/$AR747)))</f>
        <v/>
      </c>
      <c r="AY747">
        <f>IF($AR747="","",IF($AR747=0,$AS747*EXP($AT747*-3),$AS747*(1+$AR747*$AT747*-3)^(1/$AR747)))</f>
        <v/>
      </c>
      <c r="AZ747">
        <f>IF(OR($A747="",$A747&lt;&gt;Ficha!$C$4),"",COUNTIF($A$2:$A747,Ficha!$C$4))</f>
        <v/>
      </c>
    </row>
    <row r="748">
      <c r="A748" s="8">
        <f>IF(INDEX(Banco!$A:$A,ROW())="","",INDEX(Banco!$A:$A,ROW()))</f>
        <v/>
      </c>
      <c r="B748" s="8">
        <f>IF(INDEX(Banco!$B:$B,ROW())="","",INDEX(Banco!$B:$B,ROW()))</f>
        <v/>
      </c>
      <c r="C748" s="8">
        <f>IF(INDEX(Banco!$C:$C,ROW())="","",INDEX(Banco!$C:$C,ROW()))</f>
        <v/>
      </c>
      <c r="D748" s="9">
        <f>IF(INDEX(Banco!$D:$D,ROW())="","",INDEX(Banco!$D:$D,ROW()))</f>
        <v/>
      </c>
      <c r="E748" s="9">
        <f>IF(INDEX(Banco!$E:$E,ROW())="","",INDEX(Banco!$E:$E,ROW()))</f>
        <v/>
      </c>
      <c r="F748" s="10">
        <f>IF(INDEX(Banco!$F:$F,ROW())="","",INDEX(Banco!$F:$F,ROW()))</f>
        <v/>
      </c>
      <c r="G748" s="10">
        <f>IF(INDEX(Banco!$G:$G,ROW())="","",INDEX(Banco!$G:$G,ROW()))</f>
        <v/>
      </c>
      <c r="H748" s="8">
        <f>IF(INDEX(Banco!$H:$H,ROW())="","",INDEX(Banco!$H:$H,ROW()))</f>
        <v/>
      </c>
      <c r="I748">
        <f>IF($T748="","",INT($T748/12)&amp;"a "&amp;MOD($T748,12)&amp;"m")</f>
        <v/>
      </c>
      <c r="J748" s="11">
        <f>IF(OR($F748="",$G748=""),"",ROUND($F748/($G748/100)^2,2))</f>
        <v/>
      </c>
      <c r="K748" s="12">
        <f>IF(OR($S748="",$J748="",$T748="",$T748&lt;0,$T748&gt;228,$Y748=""),"—",ROUND(IF(ABS($AB748)&lt;=3,$AB748,IF($AB748&gt;3,3+($J748-$AD748)/($AD748-$AC748),-3+($J748-$AF748)/($AE748-$AF748))),2))</f>
        <v/>
      </c>
      <c r="L748">
        <f>IF(OR($K748="",$K748="—"),"",IF($T748&lt;=60,IF($K748&lt;-3,"Magreza acentuada",IF($K748&lt;-2,"Magreza",IF($K748&lt;=1,"Eutrofia",IF($K748&lt;=2,"Risco de sobrepeso",IF($K748&lt;=3,"Sobrepeso","Obesidade"))))),IF($K748&lt;-3,"Magreza acentuada",IF($K748&lt;-2,"Magreza",IF($K748&lt;=1,"Eutrofia",IF($K748&lt;=2,"Sobrepeso",IF($K748&lt;=3,"Obesidade","Obesidade grave")))))))</f>
        <v/>
      </c>
      <c r="M748" s="12">
        <f>IF(OR($S748="",$V748="",$T748="",$T748&lt;0,$T748&gt;228,$AG748=""),"—",ROUND(IF($AG748=0,LN($V748/$AH748)/$AI748,((($V748/$AH748)^$AG748)-1)/($AG748*$AI748)),2))</f>
        <v/>
      </c>
      <c r="N748">
        <f>IF(OR($M748="",$M748="—"),"",IF($M748&lt;-3,"Muito baixa",IF($M748&lt;-2,"Baixa","Adequada")))</f>
        <v/>
      </c>
      <c r="O748" s="12">
        <f>IF(OR($S748="",$F748="",$T748="",$T748&lt;0,$T748&gt;120,$AJ748=""),"—",ROUND(IF(ABS($AM748)&lt;=3,$AM748,IF($AM748&gt;3,3+($F748-$AO748)/($AO748-$AN748),-3+($F748-$AQ748)/($AP748-$AQ748))),2))</f>
        <v/>
      </c>
      <c r="P748">
        <f>IF(OR($O748="",$O748="—"),"",IF($O748&lt;-3,"Muito baixo",IF($O748&lt;-2,"Baixo",IF($O748&lt;=2,"Adequado","Elevado"))))</f>
        <v/>
      </c>
      <c r="Q748" s="12">
        <f>IF(OR($S748="",$F748="",$T748="",$T748&lt;0,$T748&gt;60,$AR748=""),"—",ROUND(IF(ABS($AU748)&lt;=3,$AU748,IF($AU748&gt;3,3+($F748-$AW748)/($AW748-$AV748),-3+($F748-$AY748)/($AX748-$AY748))),2))</f>
        <v/>
      </c>
      <c r="R748">
        <f>IF(OR($Q748="",$Q748="—"),"",IF($Q748&lt;-3,"Magreza acentuada",IF($Q748&lt;-2,"Magreza",IF($Q748&lt;=1,"Eutrofia",IF($Q748&lt;=2,"Risco de sobrepeso",IF($Q748&lt;=3,"Sobrepeso","Obesidade"))))))</f>
        <v/>
      </c>
      <c r="S748">
        <f>IF($C748="","",IF(UPPER(LEFT($C748,1))="M",1,IF(UPPER(LEFT($C748,1))="F",2,"")))</f>
        <v/>
      </c>
      <c r="T748">
        <f>IF(OR($D748="",$E748=""),"",DATEDIF($D748,$E748,"m"))</f>
        <v/>
      </c>
      <c r="U748">
        <f>IF(OR($D748="",$E748=""),"",$E748-$D748)</f>
        <v/>
      </c>
      <c r="V748">
        <f>IF(OR($G748="",$T748=""),"",IF($T748&lt;24,IF(LEFT(LOWER($H748),4)="em p",$G748+0.7,$G748),IF(LEFT(LOWER($H748),4)="deit",$G748-0.7,$G748)))</f>
        <v/>
      </c>
      <c r="W748">
        <f>IF(OR($S748="",$T748=""),"",$S748*1000000+IF($T748&lt;=60,$U748,$T748))</f>
        <v/>
      </c>
      <c r="X748">
        <f>IF(OR($S748="",$V748="",$T748&gt;60,$T748=""),"",$S748*1000000+ROUND($V748*10,0))</f>
        <v/>
      </c>
      <c r="Y748">
        <f>IF($W748="","",IFERROR(INDEX(IF($T748&lt;=60,imc05_l,imc519_l),MATCH($W748,IF($T748&lt;=60,imc05_k,imc519_k),1)),""))</f>
        <v/>
      </c>
      <c r="Z748">
        <f>IF($W748="","",IFERROR(INDEX(IF($T748&lt;=60,imc05_m,imc519_m),MATCH($W748,IF($T748&lt;=60,imc05_k,imc519_k),1)),""))</f>
        <v/>
      </c>
      <c r="AA748">
        <f>IF($W748="","",IFERROR(INDEX(IF($T748&lt;=60,imc05_s,imc519_s),MATCH($W748,IF($T748&lt;=60,imc05_k,imc519_k),1)),""))</f>
        <v/>
      </c>
      <c r="AB748">
        <f>IF($Y748="","",IF($Y748=0,LN($J748/$Z748)/$AA748,((($J748/$Z748)^$Y748)-1)/($Y748*$AA748)))</f>
        <v/>
      </c>
      <c r="AC748">
        <f>IF($Y748="","",IF($Y748=0,$Z748*EXP($AA748*2),$Z748*(1+$Y748*$AA748*2)^(1/$Y748)))</f>
        <v/>
      </c>
      <c r="AD748">
        <f>IF($Y748="","",IF($Y748=0,$Z748*EXP($AA748*3),$Z748*(1+$Y748*$AA748*3)^(1/$Y748)))</f>
        <v/>
      </c>
      <c r="AE748">
        <f>IF($Y748="","",IF($Y748=0,$Z748*EXP($AA748*-2),$Z748*(1+$Y748*$AA748*-2)^(1/$Y748)))</f>
        <v/>
      </c>
      <c r="AF748">
        <f>IF($Y748="","",IF($Y748=0,$Z748*EXP($AA748*-3),$Z748*(1+$Y748*$AA748*-3)^(1/$Y748)))</f>
        <v/>
      </c>
      <c r="AG748">
        <f>IF($W748="","",IFERROR(INDEX(IF($T748&lt;=60,est05_l,est519_l),MATCH($W748,IF($T748&lt;=60,est05_k,est519_k),1)),""))</f>
        <v/>
      </c>
      <c r="AH748">
        <f>IF($W748="","",IFERROR(INDEX(IF($T748&lt;=60,est05_m,est519_m),MATCH($W748,IF($T748&lt;=60,est05_k,est519_k),1)),""))</f>
        <v/>
      </c>
      <c r="AI748">
        <f>IF($W748="","",IFERROR(INDEX(IF($T748&lt;=60,est05_s,est519_s),MATCH($W748,IF($T748&lt;=60,est05_k,est519_k),1)),""))</f>
        <v/>
      </c>
      <c r="AJ748">
        <f>IF($W748="","",IFERROR(INDEX(IF($T748&lt;=60,peso05_l,peso510_l),MATCH($W748,IF($T748&lt;=60,peso05_k,peso510_k),1)),""))</f>
        <v/>
      </c>
      <c r="AK748">
        <f>IF($W748="","",IFERROR(INDEX(IF($T748&lt;=60,peso05_m,peso510_m),MATCH($W748,IF($T748&lt;=60,peso05_k,peso510_k),1)),""))</f>
        <v/>
      </c>
      <c r="AL748">
        <f>IF($W748="","",IFERROR(INDEX(IF($T748&lt;=60,peso05_s,peso510_s),MATCH($W748,IF($T748&lt;=60,peso05_k,peso510_k),1)),""))</f>
        <v/>
      </c>
      <c r="AM748">
        <f>IF($AJ748="","",IF($AJ748=0,LN($F748/$AK748)/$AL748,((($F748/$AK748)^$AJ748)-1)/($AJ748*$AL748)))</f>
        <v/>
      </c>
      <c r="AN748">
        <f>IF($AJ748="","",IF($AJ748=0,$AK748*EXP($AL748*2),$AK748*(1+$AJ748*$AL748*2)^(1/$AJ748)))</f>
        <v/>
      </c>
      <c r="AO748">
        <f>IF($AJ748="","",IF($AJ748=0,$AK748*EXP($AL748*3),$AK748*(1+$AJ748*$AL748*3)^(1/$AJ748)))</f>
        <v/>
      </c>
      <c r="AP748">
        <f>IF($AJ748="","",IF($AJ748=0,$AK748*EXP($AL748*-2),$AK748*(1+$AJ748*$AL748*-2)^(1/$AJ748)))</f>
        <v/>
      </c>
      <c r="AQ748">
        <f>IF($AJ748="","",IF($AJ748=0,$AK748*EXP($AL748*-3),$AK748*(1+$AJ748*$AL748*-3)^(1/$AJ748)))</f>
        <v/>
      </c>
      <c r="AR748">
        <f>IF(OR($X748="",$T748&gt;60),"",IFERROR(INDEX(IF($T748&lt;24,pcomp_l,palt_l),MATCH($X748,IF($T748&lt;24,pcomp_k,palt_k),1)),""))</f>
        <v/>
      </c>
      <c r="AS748">
        <f>IF(OR($X748="",$T748&gt;60),"",IFERROR(INDEX(IF($T748&lt;24,pcomp_m,palt_m),MATCH($X748,IF($T748&lt;24,pcomp_k,palt_k),1)),""))</f>
        <v/>
      </c>
      <c r="AT748">
        <f>IF(OR($X748="",$T748&gt;60),"",IFERROR(INDEX(IF($T748&lt;24,pcomp_s,palt_s),MATCH($X748,IF($T748&lt;24,pcomp_k,palt_k),1)),""))</f>
        <v/>
      </c>
      <c r="AU748">
        <f>IF($AR748="","",IF($AR748=0,LN($F748/$AS748)/$AT748,((($F748/$AS748)^$AR748)-1)/($AR748*$AT748)))</f>
        <v/>
      </c>
      <c r="AV748">
        <f>IF($AR748="","",IF($AR748=0,$AS748*EXP($AT748*2),$AS748*(1+$AR748*$AT748*2)^(1/$AR748)))</f>
        <v/>
      </c>
      <c r="AW748">
        <f>IF($AR748="","",IF($AR748=0,$AS748*EXP($AT748*3),$AS748*(1+$AR748*$AT748*3)^(1/$AR748)))</f>
        <v/>
      </c>
      <c r="AX748">
        <f>IF($AR748="","",IF($AR748=0,$AS748*EXP($AT748*-2),$AS748*(1+$AR748*$AT748*-2)^(1/$AR748)))</f>
        <v/>
      </c>
      <c r="AY748">
        <f>IF($AR748="","",IF($AR748=0,$AS748*EXP($AT748*-3),$AS748*(1+$AR748*$AT748*-3)^(1/$AR748)))</f>
        <v/>
      </c>
      <c r="AZ748">
        <f>IF(OR($A748="",$A748&lt;&gt;Ficha!$C$4),"",COUNTIF($A$2:$A748,Ficha!$C$4))</f>
        <v/>
      </c>
    </row>
    <row r="749">
      <c r="A749" s="8">
        <f>IF(INDEX(Banco!$A:$A,ROW())="","",INDEX(Banco!$A:$A,ROW()))</f>
        <v/>
      </c>
      <c r="B749" s="8">
        <f>IF(INDEX(Banco!$B:$B,ROW())="","",INDEX(Banco!$B:$B,ROW()))</f>
        <v/>
      </c>
      <c r="C749" s="8">
        <f>IF(INDEX(Banco!$C:$C,ROW())="","",INDEX(Banco!$C:$C,ROW()))</f>
        <v/>
      </c>
      <c r="D749" s="9">
        <f>IF(INDEX(Banco!$D:$D,ROW())="","",INDEX(Banco!$D:$D,ROW()))</f>
        <v/>
      </c>
      <c r="E749" s="9">
        <f>IF(INDEX(Banco!$E:$E,ROW())="","",INDEX(Banco!$E:$E,ROW()))</f>
        <v/>
      </c>
      <c r="F749" s="10">
        <f>IF(INDEX(Banco!$F:$F,ROW())="","",INDEX(Banco!$F:$F,ROW()))</f>
        <v/>
      </c>
      <c r="G749" s="10">
        <f>IF(INDEX(Banco!$G:$G,ROW())="","",INDEX(Banco!$G:$G,ROW()))</f>
        <v/>
      </c>
      <c r="H749" s="8">
        <f>IF(INDEX(Banco!$H:$H,ROW())="","",INDEX(Banco!$H:$H,ROW()))</f>
        <v/>
      </c>
      <c r="I749">
        <f>IF($T749="","",INT($T749/12)&amp;"a "&amp;MOD($T749,12)&amp;"m")</f>
        <v/>
      </c>
      <c r="J749" s="11">
        <f>IF(OR($F749="",$G749=""),"",ROUND($F749/($G749/100)^2,2))</f>
        <v/>
      </c>
      <c r="K749" s="12">
        <f>IF(OR($S749="",$J749="",$T749="",$T749&lt;0,$T749&gt;228,$Y749=""),"—",ROUND(IF(ABS($AB749)&lt;=3,$AB749,IF($AB749&gt;3,3+($J749-$AD749)/($AD749-$AC749),-3+($J749-$AF749)/($AE749-$AF749))),2))</f>
        <v/>
      </c>
      <c r="L749">
        <f>IF(OR($K749="",$K749="—"),"",IF($T749&lt;=60,IF($K749&lt;-3,"Magreza acentuada",IF($K749&lt;-2,"Magreza",IF($K749&lt;=1,"Eutrofia",IF($K749&lt;=2,"Risco de sobrepeso",IF($K749&lt;=3,"Sobrepeso","Obesidade"))))),IF($K749&lt;-3,"Magreza acentuada",IF($K749&lt;-2,"Magreza",IF($K749&lt;=1,"Eutrofia",IF($K749&lt;=2,"Sobrepeso",IF($K749&lt;=3,"Obesidade","Obesidade grave")))))))</f>
        <v/>
      </c>
      <c r="M749" s="12">
        <f>IF(OR($S749="",$V749="",$T749="",$T749&lt;0,$T749&gt;228,$AG749=""),"—",ROUND(IF($AG749=0,LN($V749/$AH749)/$AI749,((($V749/$AH749)^$AG749)-1)/($AG749*$AI749)),2))</f>
        <v/>
      </c>
      <c r="N749">
        <f>IF(OR($M749="",$M749="—"),"",IF($M749&lt;-3,"Muito baixa",IF($M749&lt;-2,"Baixa","Adequada")))</f>
        <v/>
      </c>
      <c r="O749" s="12">
        <f>IF(OR($S749="",$F749="",$T749="",$T749&lt;0,$T749&gt;120,$AJ749=""),"—",ROUND(IF(ABS($AM749)&lt;=3,$AM749,IF($AM749&gt;3,3+($F749-$AO749)/($AO749-$AN749),-3+($F749-$AQ749)/($AP749-$AQ749))),2))</f>
        <v/>
      </c>
      <c r="P749">
        <f>IF(OR($O749="",$O749="—"),"",IF($O749&lt;-3,"Muito baixo",IF($O749&lt;-2,"Baixo",IF($O749&lt;=2,"Adequado","Elevado"))))</f>
        <v/>
      </c>
      <c r="Q749" s="12">
        <f>IF(OR($S749="",$F749="",$T749="",$T749&lt;0,$T749&gt;60,$AR749=""),"—",ROUND(IF(ABS($AU749)&lt;=3,$AU749,IF($AU749&gt;3,3+($F749-$AW749)/($AW749-$AV749),-3+($F749-$AY749)/($AX749-$AY749))),2))</f>
        <v/>
      </c>
      <c r="R749">
        <f>IF(OR($Q749="",$Q749="—"),"",IF($Q749&lt;-3,"Magreza acentuada",IF($Q749&lt;-2,"Magreza",IF($Q749&lt;=1,"Eutrofia",IF($Q749&lt;=2,"Risco de sobrepeso",IF($Q749&lt;=3,"Sobrepeso","Obesidade"))))))</f>
        <v/>
      </c>
      <c r="S749">
        <f>IF($C749="","",IF(UPPER(LEFT($C749,1))="M",1,IF(UPPER(LEFT($C749,1))="F",2,"")))</f>
        <v/>
      </c>
      <c r="T749">
        <f>IF(OR($D749="",$E749=""),"",DATEDIF($D749,$E749,"m"))</f>
        <v/>
      </c>
      <c r="U749">
        <f>IF(OR($D749="",$E749=""),"",$E749-$D749)</f>
        <v/>
      </c>
      <c r="V749">
        <f>IF(OR($G749="",$T749=""),"",IF($T749&lt;24,IF(LEFT(LOWER($H749),4)="em p",$G749+0.7,$G749),IF(LEFT(LOWER($H749),4)="deit",$G749-0.7,$G749)))</f>
        <v/>
      </c>
      <c r="W749">
        <f>IF(OR($S749="",$T749=""),"",$S749*1000000+IF($T749&lt;=60,$U749,$T749))</f>
        <v/>
      </c>
      <c r="X749">
        <f>IF(OR($S749="",$V749="",$T749&gt;60,$T749=""),"",$S749*1000000+ROUND($V749*10,0))</f>
        <v/>
      </c>
      <c r="Y749">
        <f>IF($W749="","",IFERROR(INDEX(IF($T749&lt;=60,imc05_l,imc519_l),MATCH($W749,IF($T749&lt;=60,imc05_k,imc519_k),1)),""))</f>
        <v/>
      </c>
      <c r="Z749">
        <f>IF($W749="","",IFERROR(INDEX(IF($T749&lt;=60,imc05_m,imc519_m),MATCH($W749,IF($T749&lt;=60,imc05_k,imc519_k),1)),""))</f>
        <v/>
      </c>
      <c r="AA749">
        <f>IF($W749="","",IFERROR(INDEX(IF($T749&lt;=60,imc05_s,imc519_s),MATCH($W749,IF($T749&lt;=60,imc05_k,imc519_k),1)),""))</f>
        <v/>
      </c>
      <c r="AB749">
        <f>IF($Y749="","",IF($Y749=0,LN($J749/$Z749)/$AA749,((($J749/$Z749)^$Y749)-1)/($Y749*$AA749)))</f>
        <v/>
      </c>
      <c r="AC749">
        <f>IF($Y749="","",IF($Y749=0,$Z749*EXP($AA749*2),$Z749*(1+$Y749*$AA749*2)^(1/$Y749)))</f>
        <v/>
      </c>
      <c r="AD749">
        <f>IF($Y749="","",IF($Y749=0,$Z749*EXP($AA749*3),$Z749*(1+$Y749*$AA749*3)^(1/$Y749)))</f>
        <v/>
      </c>
      <c r="AE749">
        <f>IF($Y749="","",IF($Y749=0,$Z749*EXP($AA749*-2),$Z749*(1+$Y749*$AA749*-2)^(1/$Y749)))</f>
        <v/>
      </c>
      <c r="AF749">
        <f>IF($Y749="","",IF($Y749=0,$Z749*EXP($AA749*-3),$Z749*(1+$Y749*$AA749*-3)^(1/$Y749)))</f>
        <v/>
      </c>
      <c r="AG749">
        <f>IF($W749="","",IFERROR(INDEX(IF($T749&lt;=60,est05_l,est519_l),MATCH($W749,IF($T749&lt;=60,est05_k,est519_k),1)),""))</f>
        <v/>
      </c>
      <c r="AH749">
        <f>IF($W749="","",IFERROR(INDEX(IF($T749&lt;=60,est05_m,est519_m),MATCH($W749,IF($T749&lt;=60,est05_k,est519_k),1)),""))</f>
        <v/>
      </c>
      <c r="AI749">
        <f>IF($W749="","",IFERROR(INDEX(IF($T749&lt;=60,est05_s,est519_s),MATCH($W749,IF($T749&lt;=60,est05_k,est519_k),1)),""))</f>
        <v/>
      </c>
      <c r="AJ749">
        <f>IF($W749="","",IFERROR(INDEX(IF($T749&lt;=60,peso05_l,peso510_l),MATCH($W749,IF($T749&lt;=60,peso05_k,peso510_k),1)),""))</f>
        <v/>
      </c>
      <c r="AK749">
        <f>IF($W749="","",IFERROR(INDEX(IF($T749&lt;=60,peso05_m,peso510_m),MATCH($W749,IF($T749&lt;=60,peso05_k,peso510_k),1)),""))</f>
        <v/>
      </c>
      <c r="AL749">
        <f>IF($W749="","",IFERROR(INDEX(IF($T749&lt;=60,peso05_s,peso510_s),MATCH($W749,IF($T749&lt;=60,peso05_k,peso510_k),1)),""))</f>
        <v/>
      </c>
      <c r="AM749">
        <f>IF($AJ749="","",IF($AJ749=0,LN($F749/$AK749)/$AL749,((($F749/$AK749)^$AJ749)-1)/($AJ749*$AL749)))</f>
        <v/>
      </c>
      <c r="AN749">
        <f>IF($AJ749="","",IF($AJ749=0,$AK749*EXP($AL749*2),$AK749*(1+$AJ749*$AL749*2)^(1/$AJ749)))</f>
        <v/>
      </c>
      <c r="AO749">
        <f>IF($AJ749="","",IF($AJ749=0,$AK749*EXP($AL749*3),$AK749*(1+$AJ749*$AL749*3)^(1/$AJ749)))</f>
        <v/>
      </c>
      <c r="AP749">
        <f>IF($AJ749="","",IF($AJ749=0,$AK749*EXP($AL749*-2),$AK749*(1+$AJ749*$AL749*-2)^(1/$AJ749)))</f>
        <v/>
      </c>
      <c r="AQ749">
        <f>IF($AJ749="","",IF($AJ749=0,$AK749*EXP($AL749*-3),$AK749*(1+$AJ749*$AL749*-3)^(1/$AJ749)))</f>
        <v/>
      </c>
      <c r="AR749">
        <f>IF(OR($X749="",$T749&gt;60),"",IFERROR(INDEX(IF($T749&lt;24,pcomp_l,palt_l),MATCH($X749,IF($T749&lt;24,pcomp_k,palt_k),1)),""))</f>
        <v/>
      </c>
      <c r="AS749">
        <f>IF(OR($X749="",$T749&gt;60),"",IFERROR(INDEX(IF($T749&lt;24,pcomp_m,palt_m),MATCH($X749,IF($T749&lt;24,pcomp_k,palt_k),1)),""))</f>
        <v/>
      </c>
      <c r="AT749">
        <f>IF(OR($X749="",$T749&gt;60),"",IFERROR(INDEX(IF($T749&lt;24,pcomp_s,palt_s),MATCH($X749,IF($T749&lt;24,pcomp_k,palt_k),1)),""))</f>
        <v/>
      </c>
      <c r="AU749">
        <f>IF($AR749="","",IF($AR749=0,LN($F749/$AS749)/$AT749,((($F749/$AS749)^$AR749)-1)/($AR749*$AT749)))</f>
        <v/>
      </c>
      <c r="AV749">
        <f>IF($AR749="","",IF($AR749=0,$AS749*EXP($AT749*2),$AS749*(1+$AR749*$AT749*2)^(1/$AR749)))</f>
        <v/>
      </c>
      <c r="AW749">
        <f>IF($AR749="","",IF($AR749=0,$AS749*EXP($AT749*3),$AS749*(1+$AR749*$AT749*3)^(1/$AR749)))</f>
        <v/>
      </c>
      <c r="AX749">
        <f>IF($AR749="","",IF($AR749=0,$AS749*EXP($AT749*-2),$AS749*(1+$AR749*$AT749*-2)^(1/$AR749)))</f>
        <v/>
      </c>
      <c r="AY749">
        <f>IF($AR749="","",IF($AR749=0,$AS749*EXP($AT749*-3),$AS749*(1+$AR749*$AT749*-3)^(1/$AR749)))</f>
        <v/>
      </c>
      <c r="AZ749">
        <f>IF(OR($A749="",$A749&lt;&gt;Ficha!$C$4),"",COUNTIF($A$2:$A749,Ficha!$C$4))</f>
        <v/>
      </c>
    </row>
    <row r="750">
      <c r="A750" s="8">
        <f>IF(INDEX(Banco!$A:$A,ROW())="","",INDEX(Banco!$A:$A,ROW()))</f>
        <v/>
      </c>
      <c r="B750" s="8">
        <f>IF(INDEX(Banco!$B:$B,ROW())="","",INDEX(Banco!$B:$B,ROW()))</f>
        <v/>
      </c>
      <c r="C750" s="8">
        <f>IF(INDEX(Banco!$C:$C,ROW())="","",INDEX(Banco!$C:$C,ROW()))</f>
        <v/>
      </c>
      <c r="D750" s="9">
        <f>IF(INDEX(Banco!$D:$D,ROW())="","",INDEX(Banco!$D:$D,ROW()))</f>
        <v/>
      </c>
      <c r="E750" s="9">
        <f>IF(INDEX(Banco!$E:$E,ROW())="","",INDEX(Banco!$E:$E,ROW()))</f>
        <v/>
      </c>
      <c r="F750" s="10">
        <f>IF(INDEX(Banco!$F:$F,ROW())="","",INDEX(Banco!$F:$F,ROW()))</f>
        <v/>
      </c>
      <c r="G750" s="10">
        <f>IF(INDEX(Banco!$G:$G,ROW())="","",INDEX(Banco!$G:$G,ROW()))</f>
        <v/>
      </c>
      <c r="H750" s="8">
        <f>IF(INDEX(Banco!$H:$H,ROW())="","",INDEX(Banco!$H:$H,ROW()))</f>
        <v/>
      </c>
      <c r="I750">
        <f>IF($T750="","",INT($T750/12)&amp;"a "&amp;MOD($T750,12)&amp;"m")</f>
        <v/>
      </c>
      <c r="J750" s="11">
        <f>IF(OR($F750="",$G750=""),"",ROUND($F750/($G750/100)^2,2))</f>
        <v/>
      </c>
      <c r="K750" s="12">
        <f>IF(OR($S750="",$J750="",$T750="",$T750&lt;0,$T750&gt;228,$Y750=""),"—",ROUND(IF(ABS($AB750)&lt;=3,$AB750,IF($AB750&gt;3,3+($J750-$AD750)/($AD750-$AC750),-3+($J750-$AF750)/($AE750-$AF750))),2))</f>
        <v/>
      </c>
      <c r="L750">
        <f>IF(OR($K750="",$K750="—"),"",IF($T750&lt;=60,IF($K750&lt;-3,"Magreza acentuada",IF($K750&lt;-2,"Magreza",IF($K750&lt;=1,"Eutrofia",IF($K750&lt;=2,"Risco de sobrepeso",IF($K750&lt;=3,"Sobrepeso","Obesidade"))))),IF($K750&lt;-3,"Magreza acentuada",IF($K750&lt;-2,"Magreza",IF($K750&lt;=1,"Eutrofia",IF($K750&lt;=2,"Sobrepeso",IF($K750&lt;=3,"Obesidade","Obesidade grave")))))))</f>
        <v/>
      </c>
      <c r="M750" s="12">
        <f>IF(OR($S750="",$V750="",$T750="",$T750&lt;0,$T750&gt;228,$AG750=""),"—",ROUND(IF($AG750=0,LN($V750/$AH750)/$AI750,((($V750/$AH750)^$AG750)-1)/($AG750*$AI750)),2))</f>
        <v/>
      </c>
      <c r="N750">
        <f>IF(OR($M750="",$M750="—"),"",IF($M750&lt;-3,"Muito baixa",IF($M750&lt;-2,"Baixa","Adequada")))</f>
        <v/>
      </c>
      <c r="O750" s="12">
        <f>IF(OR($S750="",$F750="",$T750="",$T750&lt;0,$T750&gt;120,$AJ750=""),"—",ROUND(IF(ABS($AM750)&lt;=3,$AM750,IF($AM750&gt;3,3+($F750-$AO750)/($AO750-$AN750),-3+($F750-$AQ750)/($AP750-$AQ750))),2))</f>
        <v/>
      </c>
      <c r="P750">
        <f>IF(OR($O750="",$O750="—"),"",IF($O750&lt;-3,"Muito baixo",IF($O750&lt;-2,"Baixo",IF($O750&lt;=2,"Adequado","Elevado"))))</f>
        <v/>
      </c>
      <c r="Q750" s="12">
        <f>IF(OR($S750="",$F750="",$T750="",$T750&lt;0,$T750&gt;60,$AR750=""),"—",ROUND(IF(ABS($AU750)&lt;=3,$AU750,IF($AU750&gt;3,3+($F750-$AW750)/($AW750-$AV750),-3+($F750-$AY750)/($AX750-$AY750))),2))</f>
        <v/>
      </c>
      <c r="R750">
        <f>IF(OR($Q750="",$Q750="—"),"",IF($Q750&lt;-3,"Magreza acentuada",IF($Q750&lt;-2,"Magreza",IF($Q750&lt;=1,"Eutrofia",IF($Q750&lt;=2,"Risco de sobrepeso",IF($Q750&lt;=3,"Sobrepeso","Obesidade"))))))</f>
        <v/>
      </c>
      <c r="S750">
        <f>IF($C750="","",IF(UPPER(LEFT($C750,1))="M",1,IF(UPPER(LEFT($C750,1))="F",2,"")))</f>
        <v/>
      </c>
      <c r="T750">
        <f>IF(OR($D750="",$E750=""),"",DATEDIF($D750,$E750,"m"))</f>
        <v/>
      </c>
      <c r="U750">
        <f>IF(OR($D750="",$E750=""),"",$E750-$D750)</f>
        <v/>
      </c>
      <c r="V750">
        <f>IF(OR($G750="",$T750=""),"",IF($T750&lt;24,IF(LEFT(LOWER($H750),4)="em p",$G750+0.7,$G750),IF(LEFT(LOWER($H750),4)="deit",$G750-0.7,$G750)))</f>
        <v/>
      </c>
      <c r="W750">
        <f>IF(OR($S750="",$T750=""),"",$S750*1000000+IF($T750&lt;=60,$U750,$T750))</f>
        <v/>
      </c>
      <c r="X750">
        <f>IF(OR($S750="",$V750="",$T750&gt;60,$T750=""),"",$S750*1000000+ROUND($V750*10,0))</f>
        <v/>
      </c>
      <c r="Y750">
        <f>IF($W750="","",IFERROR(INDEX(IF($T750&lt;=60,imc05_l,imc519_l),MATCH($W750,IF($T750&lt;=60,imc05_k,imc519_k),1)),""))</f>
        <v/>
      </c>
      <c r="Z750">
        <f>IF($W750="","",IFERROR(INDEX(IF($T750&lt;=60,imc05_m,imc519_m),MATCH($W750,IF($T750&lt;=60,imc05_k,imc519_k),1)),""))</f>
        <v/>
      </c>
      <c r="AA750">
        <f>IF($W750="","",IFERROR(INDEX(IF($T750&lt;=60,imc05_s,imc519_s),MATCH($W750,IF($T750&lt;=60,imc05_k,imc519_k),1)),""))</f>
        <v/>
      </c>
      <c r="AB750">
        <f>IF($Y750="","",IF($Y750=0,LN($J750/$Z750)/$AA750,((($J750/$Z750)^$Y750)-1)/($Y750*$AA750)))</f>
        <v/>
      </c>
      <c r="AC750">
        <f>IF($Y750="","",IF($Y750=0,$Z750*EXP($AA750*2),$Z750*(1+$Y750*$AA750*2)^(1/$Y750)))</f>
        <v/>
      </c>
      <c r="AD750">
        <f>IF($Y750="","",IF($Y750=0,$Z750*EXP($AA750*3),$Z750*(1+$Y750*$AA750*3)^(1/$Y750)))</f>
        <v/>
      </c>
      <c r="AE750">
        <f>IF($Y750="","",IF($Y750=0,$Z750*EXP($AA750*-2),$Z750*(1+$Y750*$AA750*-2)^(1/$Y750)))</f>
        <v/>
      </c>
      <c r="AF750">
        <f>IF($Y750="","",IF($Y750=0,$Z750*EXP($AA750*-3),$Z750*(1+$Y750*$AA750*-3)^(1/$Y750)))</f>
        <v/>
      </c>
      <c r="AG750">
        <f>IF($W750="","",IFERROR(INDEX(IF($T750&lt;=60,est05_l,est519_l),MATCH($W750,IF($T750&lt;=60,est05_k,est519_k),1)),""))</f>
        <v/>
      </c>
      <c r="AH750">
        <f>IF($W750="","",IFERROR(INDEX(IF($T750&lt;=60,est05_m,est519_m),MATCH($W750,IF($T750&lt;=60,est05_k,est519_k),1)),""))</f>
        <v/>
      </c>
      <c r="AI750">
        <f>IF($W750="","",IFERROR(INDEX(IF($T750&lt;=60,est05_s,est519_s),MATCH($W750,IF($T750&lt;=60,est05_k,est519_k),1)),""))</f>
        <v/>
      </c>
      <c r="AJ750">
        <f>IF($W750="","",IFERROR(INDEX(IF($T750&lt;=60,peso05_l,peso510_l),MATCH($W750,IF($T750&lt;=60,peso05_k,peso510_k),1)),""))</f>
        <v/>
      </c>
      <c r="AK750">
        <f>IF($W750="","",IFERROR(INDEX(IF($T750&lt;=60,peso05_m,peso510_m),MATCH($W750,IF($T750&lt;=60,peso05_k,peso510_k),1)),""))</f>
        <v/>
      </c>
      <c r="AL750">
        <f>IF($W750="","",IFERROR(INDEX(IF($T750&lt;=60,peso05_s,peso510_s),MATCH($W750,IF($T750&lt;=60,peso05_k,peso510_k),1)),""))</f>
        <v/>
      </c>
      <c r="AM750">
        <f>IF($AJ750="","",IF($AJ750=0,LN($F750/$AK750)/$AL750,((($F750/$AK750)^$AJ750)-1)/($AJ750*$AL750)))</f>
        <v/>
      </c>
      <c r="AN750">
        <f>IF($AJ750="","",IF($AJ750=0,$AK750*EXP($AL750*2),$AK750*(1+$AJ750*$AL750*2)^(1/$AJ750)))</f>
        <v/>
      </c>
      <c r="AO750">
        <f>IF($AJ750="","",IF($AJ750=0,$AK750*EXP($AL750*3),$AK750*(1+$AJ750*$AL750*3)^(1/$AJ750)))</f>
        <v/>
      </c>
      <c r="AP750">
        <f>IF($AJ750="","",IF($AJ750=0,$AK750*EXP($AL750*-2),$AK750*(1+$AJ750*$AL750*-2)^(1/$AJ750)))</f>
        <v/>
      </c>
      <c r="AQ750">
        <f>IF($AJ750="","",IF($AJ750=0,$AK750*EXP($AL750*-3),$AK750*(1+$AJ750*$AL750*-3)^(1/$AJ750)))</f>
        <v/>
      </c>
      <c r="AR750">
        <f>IF(OR($X750="",$T750&gt;60),"",IFERROR(INDEX(IF($T750&lt;24,pcomp_l,palt_l),MATCH($X750,IF($T750&lt;24,pcomp_k,palt_k),1)),""))</f>
        <v/>
      </c>
      <c r="AS750">
        <f>IF(OR($X750="",$T750&gt;60),"",IFERROR(INDEX(IF($T750&lt;24,pcomp_m,palt_m),MATCH($X750,IF($T750&lt;24,pcomp_k,palt_k),1)),""))</f>
        <v/>
      </c>
      <c r="AT750">
        <f>IF(OR($X750="",$T750&gt;60),"",IFERROR(INDEX(IF($T750&lt;24,pcomp_s,palt_s),MATCH($X750,IF($T750&lt;24,pcomp_k,palt_k),1)),""))</f>
        <v/>
      </c>
      <c r="AU750">
        <f>IF($AR750="","",IF($AR750=0,LN($F750/$AS750)/$AT750,((($F750/$AS750)^$AR750)-1)/($AR750*$AT750)))</f>
        <v/>
      </c>
      <c r="AV750">
        <f>IF($AR750="","",IF($AR750=0,$AS750*EXP($AT750*2),$AS750*(1+$AR750*$AT750*2)^(1/$AR750)))</f>
        <v/>
      </c>
      <c r="AW750">
        <f>IF($AR750="","",IF($AR750=0,$AS750*EXP($AT750*3),$AS750*(1+$AR750*$AT750*3)^(1/$AR750)))</f>
        <v/>
      </c>
      <c r="AX750">
        <f>IF($AR750="","",IF($AR750=0,$AS750*EXP($AT750*-2),$AS750*(1+$AR750*$AT750*-2)^(1/$AR750)))</f>
        <v/>
      </c>
      <c r="AY750">
        <f>IF($AR750="","",IF($AR750=0,$AS750*EXP($AT750*-3),$AS750*(1+$AR750*$AT750*-3)^(1/$AR750)))</f>
        <v/>
      </c>
      <c r="AZ750">
        <f>IF(OR($A750="",$A750&lt;&gt;Ficha!$C$4),"",COUNTIF($A$2:$A750,Ficha!$C$4))</f>
        <v/>
      </c>
    </row>
    <row r="751">
      <c r="A751" s="8">
        <f>IF(INDEX(Banco!$A:$A,ROW())="","",INDEX(Banco!$A:$A,ROW()))</f>
        <v/>
      </c>
      <c r="B751" s="8">
        <f>IF(INDEX(Banco!$B:$B,ROW())="","",INDEX(Banco!$B:$B,ROW()))</f>
        <v/>
      </c>
      <c r="C751" s="8">
        <f>IF(INDEX(Banco!$C:$C,ROW())="","",INDEX(Banco!$C:$C,ROW()))</f>
        <v/>
      </c>
      <c r="D751" s="9">
        <f>IF(INDEX(Banco!$D:$D,ROW())="","",INDEX(Banco!$D:$D,ROW()))</f>
        <v/>
      </c>
      <c r="E751" s="9">
        <f>IF(INDEX(Banco!$E:$E,ROW())="","",INDEX(Banco!$E:$E,ROW()))</f>
        <v/>
      </c>
      <c r="F751" s="10">
        <f>IF(INDEX(Banco!$F:$F,ROW())="","",INDEX(Banco!$F:$F,ROW()))</f>
        <v/>
      </c>
      <c r="G751" s="10">
        <f>IF(INDEX(Banco!$G:$G,ROW())="","",INDEX(Banco!$G:$G,ROW()))</f>
        <v/>
      </c>
      <c r="H751" s="8">
        <f>IF(INDEX(Banco!$H:$H,ROW())="","",INDEX(Banco!$H:$H,ROW()))</f>
        <v/>
      </c>
      <c r="I751">
        <f>IF($T751="","",INT($T751/12)&amp;"a "&amp;MOD($T751,12)&amp;"m")</f>
        <v/>
      </c>
      <c r="J751" s="11">
        <f>IF(OR($F751="",$G751=""),"",ROUND($F751/($G751/100)^2,2))</f>
        <v/>
      </c>
      <c r="K751" s="12">
        <f>IF(OR($S751="",$J751="",$T751="",$T751&lt;0,$T751&gt;228,$Y751=""),"—",ROUND(IF(ABS($AB751)&lt;=3,$AB751,IF($AB751&gt;3,3+($J751-$AD751)/($AD751-$AC751),-3+($J751-$AF751)/($AE751-$AF751))),2))</f>
        <v/>
      </c>
      <c r="L751">
        <f>IF(OR($K751="",$K751="—"),"",IF($T751&lt;=60,IF($K751&lt;-3,"Magreza acentuada",IF($K751&lt;-2,"Magreza",IF($K751&lt;=1,"Eutrofia",IF($K751&lt;=2,"Risco de sobrepeso",IF($K751&lt;=3,"Sobrepeso","Obesidade"))))),IF($K751&lt;-3,"Magreza acentuada",IF($K751&lt;-2,"Magreza",IF($K751&lt;=1,"Eutrofia",IF($K751&lt;=2,"Sobrepeso",IF($K751&lt;=3,"Obesidade","Obesidade grave")))))))</f>
        <v/>
      </c>
      <c r="M751" s="12">
        <f>IF(OR($S751="",$V751="",$T751="",$T751&lt;0,$T751&gt;228,$AG751=""),"—",ROUND(IF($AG751=0,LN($V751/$AH751)/$AI751,((($V751/$AH751)^$AG751)-1)/($AG751*$AI751)),2))</f>
        <v/>
      </c>
      <c r="N751">
        <f>IF(OR($M751="",$M751="—"),"",IF($M751&lt;-3,"Muito baixa",IF($M751&lt;-2,"Baixa","Adequada")))</f>
        <v/>
      </c>
      <c r="O751" s="12">
        <f>IF(OR($S751="",$F751="",$T751="",$T751&lt;0,$T751&gt;120,$AJ751=""),"—",ROUND(IF(ABS($AM751)&lt;=3,$AM751,IF($AM751&gt;3,3+($F751-$AO751)/($AO751-$AN751),-3+($F751-$AQ751)/($AP751-$AQ751))),2))</f>
        <v/>
      </c>
      <c r="P751">
        <f>IF(OR($O751="",$O751="—"),"",IF($O751&lt;-3,"Muito baixo",IF($O751&lt;-2,"Baixo",IF($O751&lt;=2,"Adequado","Elevado"))))</f>
        <v/>
      </c>
      <c r="Q751" s="12">
        <f>IF(OR($S751="",$F751="",$T751="",$T751&lt;0,$T751&gt;60,$AR751=""),"—",ROUND(IF(ABS($AU751)&lt;=3,$AU751,IF($AU751&gt;3,3+($F751-$AW751)/($AW751-$AV751),-3+($F751-$AY751)/($AX751-$AY751))),2))</f>
        <v/>
      </c>
      <c r="R751">
        <f>IF(OR($Q751="",$Q751="—"),"",IF($Q751&lt;-3,"Magreza acentuada",IF($Q751&lt;-2,"Magreza",IF($Q751&lt;=1,"Eutrofia",IF($Q751&lt;=2,"Risco de sobrepeso",IF($Q751&lt;=3,"Sobrepeso","Obesidade"))))))</f>
        <v/>
      </c>
      <c r="S751">
        <f>IF($C751="","",IF(UPPER(LEFT($C751,1))="M",1,IF(UPPER(LEFT($C751,1))="F",2,"")))</f>
        <v/>
      </c>
      <c r="T751">
        <f>IF(OR($D751="",$E751=""),"",DATEDIF($D751,$E751,"m"))</f>
        <v/>
      </c>
      <c r="U751">
        <f>IF(OR($D751="",$E751=""),"",$E751-$D751)</f>
        <v/>
      </c>
      <c r="V751">
        <f>IF(OR($G751="",$T751=""),"",IF($T751&lt;24,IF(LEFT(LOWER($H751),4)="em p",$G751+0.7,$G751),IF(LEFT(LOWER($H751),4)="deit",$G751-0.7,$G751)))</f>
        <v/>
      </c>
      <c r="W751">
        <f>IF(OR($S751="",$T751=""),"",$S751*1000000+IF($T751&lt;=60,$U751,$T751))</f>
        <v/>
      </c>
      <c r="X751">
        <f>IF(OR($S751="",$V751="",$T751&gt;60,$T751=""),"",$S751*1000000+ROUND($V751*10,0))</f>
        <v/>
      </c>
      <c r="Y751">
        <f>IF($W751="","",IFERROR(INDEX(IF($T751&lt;=60,imc05_l,imc519_l),MATCH($W751,IF($T751&lt;=60,imc05_k,imc519_k),1)),""))</f>
        <v/>
      </c>
      <c r="Z751">
        <f>IF($W751="","",IFERROR(INDEX(IF($T751&lt;=60,imc05_m,imc519_m),MATCH($W751,IF($T751&lt;=60,imc05_k,imc519_k),1)),""))</f>
        <v/>
      </c>
      <c r="AA751">
        <f>IF($W751="","",IFERROR(INDEX(IF($T751&lt;=60,imc05_s,imc519_s),MATCH($W751,IF($T751&lt;=60,imc05_k,imc519_k),1)),""))</f>
        <v/>
      </c>
      <c r="AB751">
        <f>IF($Y751="","",IF($Y751=0,LN($J751/$Z751)/$AA751,((($J751/$Z751)^$Y751)-1)/($Y751*$AA751)))</f>
        <v/>
      </c>
      <c r="AC751">
        <f>IF($Y751="","",IF($Y751=0,$Z751*EXP($AA751*2),$Z751*(1+$Y751*$AA751*2)^(1/$Y751)))</f>
        <v/>
      </c>
      <c r="AD751">
        <f>IF($Y751="","",IF($Y751=0,$Z751*EXP($AA751*3),$Z751*(1+$Y751*$AA751*3)^(1/$Y751)))</f>
        <v/>
      </c>
      <c r="AE751">
        <f>IF($Y751="","",IF($Y751=0,$Z751*EXP($AA751*-2),$Z751*(1+$Y751*$AA751*-2)^(1/$Y751)))</f>
        <v/>
      </c>
      <c r="AF751">
        <f>IF($Y751="","",IF($Y751=0,$Z751*EXP($AA751*-3),$Z751*(1+$Y751*$AA751*-3)^(1/$Y751)))</f>
        <v/>
      </c>
      <c r="AG751">
        <f>IF($W751="","",IFERROR(INDEX(IF($T751&lt;=60,est05_l,est519_l),MATCH($W751,IF($T751&lt;=60,est05_k,est519_k),1)),""))</f>
        <v/>
      </c>
      <c r="AH751">
        <f>IF($W751="","",IFERROR(INDEX(IF($T751&lt;=60,est05_m,est519_m),MATCH($W751,IF($T751&lt;=60,est05_k,est519_k),1)),""))</f>
        <v/>
      </c>
      <c r="AI751">
        <f>IF($W751="","",IFERROR(INDEX(IF($T751&lt;=60,est05_s,est519_s),MATCH($W751,IF($T751&lt;=60,est05_k,est519_k),1)),""))</f>
        <v/>
      </c>
      <c r="AJ751">
        <f>IF($W751="","",IFERROR(INDEX(IF($T751&lt;=60,peso05_l,peso510_l),MATCH($W751,IF($T751&lt;=60,peso05_k,peso510_k),1)),""))</f>
        <v/>
      </c>
      <c r="AK751">
        <f>IF($W751="","",IFERROR(INDEX(IF($T751&lt;=60,peso05_m,peso510_m),MATCH($W751,IF($T751&lt;=60,peso05_k,peso510_k),1)),""))</f>
        <v/>
      </c>
      <c r="AL751">
        <f>IF($W751="","",IFERROR(INDEX(IF($T751&lt;=60,peso05_s,peso510_s),MATCH($W751,IF($T751&lt;=60,peso05_k,peso510_k),1)),""))</f>
        <v/>
      </c>
      <c r="AM751">
        <f>IF($AJ751="","",IF($AJ751=0,LN($F751/$AK751)/$AL751,((($F751/$AK751)^$AJ751)-1)/($AJ751*$AL751)))</f>
        <v/>
      </c>
      <c r="AN751">
        <f>IF($AJ751="","",IF($AJ751=0,$AK751*EXP($AL751*2),$AK751*(1+$AJ751*$AL751*2)^(1/$AJ751)))</f>
        <v/>
      </c>
      <c r="AO751">
        <f>IF($AJ751="","",IF($AJ751=0,$AK751*EXP($AL751*3),$AK751*(1+$AJ751*$AL751*3)^(1/$AJ751)))</f>
        <v/>
      </c>
      <c r="AP751">
        <f>IF($AJ751="","",IF($AJ751=0,$AK751*EXP($AL751*-2),$AK751*(1+$AJ751*$AL751*-2)^(1/$AJ751)))</f>
        <v/>
      </c>
      <c r="AQ751">
        <f>IF($AJ751="","",IF($AJ751=0,$AK751*EXP($AL751*-3),$AK751*(1+$AJ751*$AL751*-3)^(1/$AJ751)))</f>
        <v/>
      </c>
      <c r="AR751">
        <f>IF(OR($X751="",$T751&gt;60),"",IFERROR(INDEX(IF($T751&lt;24,pcomp_l,palt_l),MATCH($X751,IF($T751&lt;24,pcomp_k,palt_k),1)),""))</f>
        <v/>
      </c>
      <c r="AS751">
        <f>IF(OR($X751="",$T751&gt;60),"",IFERROR(INDEX(IF($T751&lt;24,pcomp_m,palt_m),MATCH($X751,IF($T751&lt;24,pcomp_k,palt_k),1)),""))</f>
        <v/>
      </c>
      <c r="AT751">
        <f>IF(OR($X751="",$T751&gt;60),"",IFERROR(INDEX(IF($T751&lt;24,pcomp_s,palt_s),MATCH($X751,IF($T751&lt;24,pcomp_k,palt_k),1)),""))</f>
        <v/>
      </c>
      <c r="AU751">
        <f>IF($AR751="","",IF($AR751=0,LN($F751/$AS751)/$AT751,((($F751/$AS751)^$AR751)-1)/($AR751*$AT751)))</f>
        <v/>
      </c>
      <c r="AV751">
        <f>IF($AR751="","",IF($AR751=0,$AS751*EXP($AT751*2),$AS751*(1+$AR751*$AT751*2)^(1/$AR751)))</f>
        <v/>
      </c>
      <c r="AW751">
        <f>IF($AR751="","",IF($AR751=0,$AS751*EXP($AT751*3),$AS751*(1+$AR751*$AT751*3)^(1/$AR751)))</f>
        <v/>
      </c>
      <c r="AX751">
        <f>IF($AR751="","",IF($AR751=0,$AS751*EXP($AT751*-2),$AS751*(1+$AR751*$AT751*-2)^(1/$AR751)))</f>
        <v/>
      </c>
      <c r="AY751">
        <f>IF($AR751="","",IF($AR751=0,$AS751*EXP($AT751*-3),$AS751*(1+$AR751*$AT751*-3)^(1/$AR751)))</f>
        <v/>
      </c>
      <c r="AZ751">
        <f>IF(OR($A751="",$A751&lt;&gt;Ficha!$C$4),"",COUNTIF($A$2:$A751,Ficha!$C$4))</f>
        <v/>
      </c>
    </row>
    <row r="752">
      <c r="A752" s="8">
        <f>IF(INDEX(Banco!$A:$A,ROW())="","",INDEX(Banco!$A:$A,ROW()))</f>
        <v/>
      </c>
      <c r="B752" s="8">
        <f>IF(INDEX(Banco!$B:$B,ROW())="","",INDEX(Banco!$B:$B,ROW()))</f>
        <v/>
      </c>
      <c r="C752" s="8">
        <f>IF(INDEX(Banco!$C:$C,ROW())="","",INDEX(Banco!$C:$C,ROW()))</f>
        <v/>
      </c>
      <c r="D752" s="9">
        <f>IF(INDEX(Banco!$D:$D,ROW())="","",INDEX(Banco!$D:$D,ROW()))</f>
        <v/>
      </c>
      <c r="E752" s="9">
        <f>IF(INDEX(Banco!$E:$E,ROW())="","",INDEX(Banco!$E:$E,ROW()))</f>
        <v/>
      </c>
      <c r="F752" s="10">
        <f>IF(INDEX(Banco!$F:$F,ROW())="","",INDEX(Banco!$F:$F,ROW()))</f>
        <v/>
      </c>
      <c r="G752" s="10">
        <f>IF(INDEX(Banco!$G:$G,ROW())="","",INDEX(Banco!$G:$G,ROW()))</f>
        <v/>
      </c>
      <c r="H752" s="8">
        <f>IF(INDEX(Banco!$H:$H,ROW())="","",INDEX(Banco!$H:$H,ROW()))</f>
        <v/>
      </c>
      <c r="I752">
        <f>IF($T752="","",INT($T752/12)&amp;"a "&amp;MOD($T752,12)&amp;"m")</f>
        <v/>
      </c>
      <c r="J752" s="11">
        <f>IF(OR($F752="",$G752=""),"",ROUND($F752/($G752/100)^2,2))</f>
        <v/>
      </c>
      <c r="K752" s="12">
        <f>IF(OR($S752="",$J752="",$T752="",$T752&lt;0,$T752&gt;228,$Y752=""),"—",ROUND(IF(ABS($AB752)&lt;=3,$AB752,IF($AB752&gt;3,3+($J752-$AD752)/($AD752-$AC752),-3+($J752-$AF752)/($AE752-$AF752))),2))</f>
        <v/>
      </c>
      <c r="L752">
        <f>IF(OR($K752="",$K752="—"),"",IF($T752&lt;=60,IF($K752&lt;-3,"Magreza acentuada",IF($K752&lt;-2,"Magreza",IF($K752&lt;=1,"Eutrofia",IF($K752&lt;=2,"Risco de sobrepeso",IF($K752&lt;=3,"Sobrepeso","Obesidade"))))),IF($K752&lt;-3,"Magreza acentuada",IF($K752&lt;-2,"Magreza",IF($K752&lt;=1,"Eutrofia",IF($K752&lt;=2,"Sobrepeso",IF($K752&lt;=3,"Obesidade","Obesidade grave")))))))</f>
        <v/>
      </c>
      <c r="M752" s="12">
        <f>IF(OR($S752="",$V752="",$T752="",$T752&lt;0,$T752&gt;228,$AG752=""),"—",ROUND(IF($AG752=0,LN($V752/$AH752)/$AI752,((($V752/$AH752)^$AG752)-1)/($AG752*$AI752)),2))</f>
        <v/>
      </c>
      <c r="N752">
        <f>IF(OR($M752="",$M752="—"),"",IF($M752&lt;-3,"Muito baixa",IF($M752&lt;-2,"Baixa","Adequada")))</f>
        <v/>
      </c>
      <c r="O752" s="12">
        <f>IF(OR($S752="",$F752="",$T752="",$T752&lt;0,$T752&gt;120,$AJ752=""),"—",ROUND(IF(ABS($AM752)&lt;=3,$AM752,IF($AM752&gt;3,3+($F752-$AO752)/($AO752-$AN752),-3+($F752-$AQ752)/($AP752-$AQ752))),2))</f>
        <v/>
      </c>
      <c r="P752">
        <f>IF(OR($O752="",$O752="—"),"",IF($O752&lt;-3,"Muito baixo",IF($O752&lt;-2,"Baixo",IF($O752&lt;=2,"Adequado","Elevado"))))</f>
        <v/>
      </c>
      <c r="Q752" s="12">
        <f>IF(OR($S752="",$F752="",$T752="",$T752&lt;0,$T752&gt;60,$AR752=""),"—",ROUND(IF(ABS($AU752)&lt;=3,$AU752,IF($AU752&gt;3,3+($F752-$AW752)/($AW752-$AV752),-3+($F752-$AY752)/($AX752-$AY752))),2))</f>
        <v/>
      </c>
      <c r="R752">
        <f>IF(OR($Q752="",$Q752="—"),"",IF($Q752&lt;-3,"Magreza acentuada",IF($Q752&lt;-2,"Magreza",IF($Q752&lt;=1,"Eutrofia",IF($Q752&lt;=2,"Risco de sobrepeso",IF($Q752&lt;=3,"Sobrepeso","Obesidade"))))))</f>
        <v/>
      </c>
      <c r="S752">
        <f>IF($C752="","",IF(UPPER(LEFT($C752,1))="M",1,IF(UPPER(LEFT($C752,1))="F",2,"")))</f>
        <v/>
      </c>
      <c r="T752">
        <f>IF(OR($D752="",$E752=""),"",DATEDIF($D752,$E752,"m"))</f>
        <v/>
      </c>
      <c r="U752">
        <f>IF(OR($D752="",$E752=""),"",$E752-$D752)</f>
        <v/>
      </c>
      <c r="V752">
        <f>IF(OR($G752="",$T752=""),"",IF($T752&lt;24,IF(LEFT(LOWER($H752),4)="em p",$G752+0.7,$G752),IF(LEFT(LOWER($H752),4)="deit",$G752-0.7,$G752)))</f>
        <v/>
      </c>
      <c r="W752">
        <f>IF(OR($S752="",$T752=""),"",$S752*1000000+IF($T752&lt;=60,$U752,$T752))</f>
        <v/>
      </c>
      <c r="X752">
        <f>IF(OR($S752="",$V752="",$T752&gt;60,$T752=""),"",$S752*1000000+ROUND($V752*10,0))</f>
        <v/>
      </c>
      <c r="Y752">
        <f>IF($W752="","",IFERROR(INDEX(IF($T752&lt;=60,imc05_l,imc519_l),MATCH($W752,IF($T752&lt;=60,imc05_k,imc519_k),1)),""))</f>
        <v/>
      </c>
      <c r="Z752">
        <f>IF($W752="","",IFERROR(INDEX(IF($T752&lt;=60,imc05_m,imc519_m),MATCH($W752,IF($T752&lt;=60,imc05_k,imc519_k),1)),""))</f>
        <v/>
      </c>
      <c r="AA752">
        <f>IF($W752="","",IFERROR(INDEX(IF($T752&lt;=60,imc05_s,imc519_s),MATCH($W752,IF($T752&lt;=60,imc05_k,imc519_k),1)),""))</f>
        <v/>
      </c>
      <c r="AB752">
        <f>IF($Y752="","",IF($Y752=0,LN($J752/$Z752)/$AA752,((($J752/$Z752)^$Y752)-1)/($Y752*$AA752)))</f>
        <v/>
      </c>
      <c r="AC752">
        <f>IF($Y752="","",IF($Y752=0,$Z752*EXP($AA752*2),$Z752*(1+$Y752*$AA752*2)^(1/$Y752)))</f>
        <v/>
      </c>
      <c r="AD752">
        <f>IF($Y752="","",IF($Y752=0,$Z752*EXP($AA752*3),$Z752*(1+$Y752*$AA752*3)^(1/$Y752)))</f>
        <v/>
      </c>
      <c r="AE752">
        <f>IF($Y752="","",IF($Y752=0,$Z752*EXP($AA752*-2),$Z752*(1+$Y752*$AA752*-2)^(1/$Y752)))</f>
        <v/>
      </c>
      <c r="AF752">
        <f>IF($Y752="","",IF($Y752=0,$Z752*EXP($AA752*-3),$Z752*(1+$Y752*$AA752*-3)^(1/$Y752)))</f>
        <v/>
      </c>
      <c r="AG752">
        <f>IF($W752="","",IFERROR(INDEX(IF($T752&lt;=60,est05_l,est519_l),MATCH($W752,IF($T752&lt;=60,est05_k,est519_k),1)),""))</f>
        <v/>
      </c>
      <c r="AH752">
        <f>IF($W752="","",IFERROR(INDEX(IF($T752&lt;=60,est05_m,est519_m),MATCH($W752,IF($T752&lt;=60,est05_k,est519_k),1)),""))</f>
        <v/>
      </c>
      <c r="AI752">
        <f>IF($W752="","",IFERROR(INDEX(IF($T752&lt;=60,est05_s,est519_s),MATCH($W752,IF($T752&lt;=60,est05_k,est519_k),1)),""))</f>
        <v/>
      </c>
      <c r="AJ752">
        <f>IF($W752="","",IFERROR(INDEX(IF($T752&lt;=60,peso05_l,peso510_l),MATCH($W752,IF($T752&lt;=60,peso05_k,peso510_k),1)),""))</f>
        <v/>
      </c>
      <c r="AK752">
        <f>IF($W752="","",IFERROR(INDEX(IF($T752&lt;=60,peso05_m,peso510_m),MATCH($W752,IF($T752&lt;=60,peso05_k,peso510_k),1)),""))</f>
        <v/>
      </c>
      <c r="AL752">
        <f>IF($W752="","",IFERROR(INDEX(IF($T752&lt;=60,peso05_s,peso510_s),MATCH($W752,IF($T752&lt;=60,peso05_k,peso510_k),1)),""))</f>
        <v/>
      </c>
      <c r="AM752">
        <f>IF($AJ752="","",IF($AJ752=0,LN($F752/$AK752)/$AL752,((($F752/$AK752)^$AJ752)-1)/($AJ752*$AL752)))</f>
        <v/>
      </c>
      <c r="AN752">
        <f>IF($AJ752="","",IF($AJ752=0,$AK752*EXP($AL752*2),$AK752*(1+$AJ752*$AL752*2)^(1/$AJ752)))</f>
        <v/>
      </c>
      <c r="AO752">
        <f>IF($AJ752="","",IF($AJ752=0,$AK752*EXP($AL752*3),$AK752*(1+$AJ752*$AL752*3)^(1/$AJ752)))</f>
        <v/>
      </c>
      <c r="AP752">
        <f>IF($AJ752="","",IF($AJ752=0,$AK752*EXP($AL752*-2),$AK752*(1+$AJ752*$AL752*-2)^(1/$AJ752)))</f>
        <v/>
      </c>
      <c r="AQ752">
        <f>IF($AJ752="","",IF($AJ752=0,$AK752*EXP($AL752*-3),$AK752*(1+$AJ752*$AL752*-3)^(1/$AJ752)))</f>
        <v/>
      </c>
      <c r="AR752">
        <f>IF(OR($X752="",$T752&gt;60),"",IFERROR(INDEX(IF($T752&lt;24,pcomp_l,palt_l),MATCH($X752,IF($T752&lt;24,pcomp_k,palt_k),1)),""))</f>
        <v/>
      </c>
      <c r="AS752">
        <f>IF(OR($X752="",$T752&gt;60),"",IFERROR(INDEX(IF($T752&lt;24,pcomp_m,palt_m),MATCH($X752,IF($T752&lt;24,pcomp_k,palt_k),1)),""))</f>
        <v/>
      </c>
      <c r="AT752">
        <f>IF(OR($X752="",$T752&gt;60),"",IFERROR(INDEX(IF($T752&lt;24,pcomp_s,palt_s),MATCH($X752,IF($T752&lt;24,pcomp_k,palt_k),1)),""))</f>
        <v/>
      </c>
      <c r="AU752">
        <f>IF($AR752="","",IF($AR752=0,LN($F752/$AS752)/$AT752,((($F752/$AS752)^$AR752)-1)/($AR752*$AT752)))</f>
        <v/>
      </c>
      <c r="AV752">
        <f>IF($AR752="","",IF($AR752=0,$AS752*EXP($AT752*2),$AS752*(1+$AR752*$AT752*2)^(1/$AR752)))</f>
        <v/>
      </c>
      <c r="AW752">
        <f>IF($AR752="","",IF($AR752=0,$AS752*EXP($AT752*3),$AS752*(1+$AR752*$AT752*3)^(1/$AR752)))</f>
        <v/>
      </c>
      <c r="AX752">
        <f>IF($AR752="","",IF($AR752=0,$AS752*EXP($AT752*-2),$AS752*(1+$AR752*$AT752*-2)^(1/$AR752)))</f>
        <v/>
      </c>
      <c r="AY752">
        <f>IF($AR752="","",IF($AR752=0,$AS752*EXP($AT752*-3),$AS752*(1+$AR752*$AT752*-3)^(1/$AR752)))</f>
        <v/>
      </c>
      <c r="AZ752">
        <f>IF(OR($A752="",$A752&lt;&gt;Ficha!$C$4),"",COUNTIF($A$2:$A752,Ficha!$C$4))</f>
        <v/>
      </c>
    </row>
    <row r="753">
      <c r="A753" s="8">
        <f>IF(INDEX(Banco!$A:$A,ROW())="","",INDEX(Banco!$A:$A,ROW()))</f>
        <v/>
      </c>
      <c r="B753" s="8">
        <f>IF(INDEX(Banco!$B:$B,ROW())="","",INDEX(Banco!$B:$B,ROW()))</f>
        <v/>
      </c>
      <c r="C753" s="8">
        <f>IF(INDEX(Banco!$C:$C,ROW())="","",INDEX(Banco!$C:$C,ROW()))</f>
        <v/>
      </c>
      <c r="D753" s="9">
        <f>IF(INDEX(Banco!$D:$D,ROW())="","",INDEX(Banco!$D:$D,ROW()))</f>
        <v/>
      </c>
      <c r="E753" s="9">
        <f>IF(INDEX(Banco!$E:$E,ROW())="","",INDEX(Banco!$E:$E,ROW()))</f>
        <v/>
      </c>
      <c r="F753" s="10">
        <f>IF(INDEX(Banco!$F:$F,ROW())="","",INDEX(Banco!$F:$F,ROW()))</f>
        <v/>
      </c>
      <c r="G753" s="10">
        <f>IF(INDEX(Banco!$G:$G,ROW())="","",INDEX(Banco!$G:$G,ROW()))</f>
        <v/>
      </c>
      <c r="H753" s="8">
        <f>IF(INDEX(Banco!$H:$H,ROW())="","",INDEX(Banco!$H:$H,ROW()))</f>
        <v/>
      </c>
      <c r="I753">
        <f>IF($T753="","",INT($T753/12)&amp;"a "&amp;MOD($T753,12)&amp;"m")</f>
        <v/>
      </c>
      <c r="J753" s="11">
        <f>IF(OR($F753="",$G753=""),"",ROUND($F753/($G753/100)^2,2))</f>
        <v/>
      </c>
      <c r="K753" s="12">
        <f>IF(OR($S753="",$J753="",$T753="",$T753&lt;0,$T753&gt;228,$Y753=""),"—",ROUND(IF(ABS($AB753)&lt;=3,$AB753,IF($AB753&gt;3,3+($J753-$AD753)/($AD753-$AC753),-3+($J753-$AF753)/($AE753-$AF753))),2))</f>
        <v/>
      </c>
      <c r="L753">
        <f>IF(OR($K753="",$K753="—"),"",IF($T753&lt;=60,IF($K753&lt;-3,"Magreza acentuada",IF($K753&lt;-2,"Magreza",IF($K753&lt;=1,"Eutrofia",IF($K753&lt;=2,"Risco de sobrepeso",IF($K753&lt;=3,"Sobrepeso","Obesidade"))))),IF($K753&lt;-3,"Magreza acentuada",IF($K753&lt;-2,"Magreza",IF($K753&lt;=1,"Eutrofia",IF($K753&lt;=2,"Sobrepeso",IF($K753&lt;=3,"Obesidade","Obesidade grave")))))))</f>
        <v/>
      </c>
      <c r="M753" s="12">
        <f>IF(OR($S753="",$V753="",$T753="",$T753&lt;0,$T753&gt;228,$AG753=""),"—",ROUND(IF($AG753=0,LN($V753/$AH753)/$AI753,((($V753/$AH753)^$AG753)-1)/($AG753*$AI753)),2))</f>
        <v/>
      </c>
      <c r="N753">
        <f>IF(OR($M753="",$M753="—"),"",IF($M753&lt;-3,"Muito baixa",IF($M753&lt;-2,"Baixa","Adequada")))</f>
        <v/>
      </c>
      <c r="O753" s="12">
        <f>IF(OR($S753="",$F753="",$T753="",$T753&lt;0,$T753&gt;120,$AJ753=""),"—",ROUND(IF(ABS($AM753)&lt;=3,$AM753,IF($AM753&gt;3,3+($F753-$AO753)/($AO753-$AN753),-3+($F753-$AQ753)/($AP753-$AQ753))),2))</f>
        <v/>
      </c>
      <c r="P753">
        <f>IF(OR($O753="",$O753="—"),"",IF($O753&lt;-3,"Muito baixo",IF($O753&lt;-2,"Baixo",IF($O753&lt;=2,"Adequado","Elevado"))))</f>
        <v/>
      </c>
      <c r="Q753" s="12">
        <f>IF(OR($S753="",$F753="",$T753="",$T753&lt;0,$T753&gt;60,$AR753=""),"—",ROUND(IF(ABS($AU753)&lt;=3,$AU753,IF($AU753&gt;3,3+($F753-$AW753)/($AW753-$AV753),-3+($F753-$AY753)/($AX753-$AY753))),2))</f>
        <v/>
      </c>
      <c r="R753">
        <f>IF(OR($Q753="",$Q753="—"),"",IF($Q753&lt;-3,"Magreza acentuada",IF($Q753&lt;-2,"Magreza",IF($Q753&lt;=1,"Eutrofia",IF($Q753&lt;=2,"Risco de sobrepeso",IF($Q753&lt;=3,"Sobrepeso","Obesidade"))))))</f>
        <v/>
      </c>
      <c r="S753">
        <f>IF($C753="","",IF(UPPER(LEFT($C753,1))="M",1,IF(UPPER(LEFT($C753,1))="F",2,"")))</f>
        <v/>
      </c>
      <c r="T753">
        <f>IF(OR($D753="",$E753=""),"",DATEDIF($D753,$E753,"m"))</f>
        <v/>
      </c>
      <c r="U753">
        <f>IF(OR($D753="",$E753=""),"",$E753-$D753)</f>
        <v/>
      </c>
      <c r="V753">
        <f>IF(OR($G753="",$T753=""),"",IF($T753&lt;24,IF(LEFT(LOWER($H753),4)="em p",$G753+0.7,$G753),IF(LEFT(LOWER($H753),4)="deit",$G753-0.7,$G753)))</f>
        <v/>
      </c>
      <c r="W753">
        <f>IF(OR($S753="",$T753=""),"",$S753*1000000+IF($T753&lt;=60,$U753,$T753))</f>
        <v/>
      </c>
      <c r="X753">
        <f>IF(OR($S753="",$V753="",$T753&gt;60,$T753=""),"",$S753*1000000+ROUND($V753*10,0))</f>
        <v/>
      </c>
      <c r="Y753">
        <f>IF($W753="","",IFERROR(INDEX(IF($T753&lt;=60,imc05_l,imc519_l),MATCH($W753,IF($T753&lt;=60,imc05_k,imc519_k),1)),""))</f>
        <v/>
      </c>
      <c r="Z753">
        <f>IF($W753="","",IFERROR(INDEX(IF($T753&lt;=60,imc05_m,imc519_m),MATCH($W753,IF($T753&lt;=60,imc05_k,imc519_k),1)),""))</f>
        <v/>
      </c>
      <c r="AA753">
        <f>IF($W753="","",IFERROR(INDEX(IF($T753&lt;=60,imc05_s,imc519_s),MATCH($W753,IF($T753&lt;=60,imc05_k,imc519_k),1)),""))</f>
        <v/>
      </c>
      <c r="AB753">
        <f>IF($Y753="","",IF($Y753=0,LN($J753/$Z753)/$AA753,((($J753/$Z753)^$Y753)-1)/($Y753*$AA753)))</f>
        <v/>
      </c>
      <c r="AC753">
        <f>IF($Y753="","",IF($Y753=0,$Z753*EXP($AA753*2),$Z753*(1+$Y753*$AA753*2)^(1/$Y753)))</f>
        <v/>
      </c>
      <c r="AD753">
        <f>IF($Y753="","",IF($Y753=0,$Z753*EXP($AA753*3),$Z753*(1+$Y753*$AA753*3)^(1/$Y753)))</f>
        <v/>
      </c>
      <c r="AE753">
        <f>IF($Y753="","",IF($Y753=0,$Z753*EXP($AA753*-2),$Z753*(1+$Y753*$AA753*-2)^(1/$Y753)))</f>
        <v/>
      </c>
      <c r="AF753">
        <f>IF($Y753="","",IF($Y753=0,$Z753*EXP($AA753*-3),$Z753*(1+$Y753*$AA753*-3)^(1/$Y753)))</f>
        <v/>
      </c>
      <c r="AG753">
        <f>IF($W753="","",IFERROR(INDEX(IF($T753&lt;=60,est05_l,est519_l),MATCH($W753,IF($T753&lt;=60,est05_k,est519_k),1)),""))</f>
        <v/>
      </c>
      <c r="AH753">
        <f>IF($W753="","",IFERROR(INDEX(IF($T753&lt;=60,est05_m,est519_m),MATCH($W753,IF($T753&lt;=60,est05_k,est519_k),1)),""))</f>
        <v/>
      </c>
      <c r="AI753">
        <f>IF($W753="","",IFERROR(INDEX(IF($T753&lt;=60,est05_s,est519_s),MATCH($W753,IF($T753&lt;=60,est05_k,est519_k),1)),""))</f>
        <v/>
      </c>
      <c r="AJ753">
        <f>IF($W753="","",IFERROR(INDEX(IF($T753&lt;=60,peso05_l,peso510_l),MATCH($W753,IF($T753&lt;=60,peso05_k,peso510_k),1)),""))</f>
        <v/>
      </c>
      <c r="AK753">
        <f>IF($W753="","",IFERROR(INDEX(IF($T753&lt;=60,peso05_m,peso510_m),MATCH($W753,IF($T753&lt;=60,peso05_k,peso510_k),1)),""))</f>
        <v/>
      </c>
      <c r="AL753">
        <f>IF($W753="","",IFERROR(INDEX(IF($T753&lt;=60,peso05_s,peso510_s),MATCH($W753,IF($T753&lt;=60,peso05_k,peso510_k),1)),""))</f>
        <v/>
      </c>
      <c r="AM753">
        <f>IF($AJ753="","",IF($AJ753=0,LN($F753/$AK753)/$AL753,((($F753/$AK753)^$AJ753)-1)/($AJ753*$AL753)))</f>
        <v/>
      </c>
      <c r="AN753">
        <f>IF($AJ753="","",IF($AJ753=0,$AK753*EXP($AL753*2),$AK753*(1+$AJ753*$AL753*2)^(1/$AJ753)))</f>
        <v/>
      </c>
      <c r="AO753">
        <f>IF($AJ753="","",IF($AJ753=0,$AK753*EXP($AL753*3),$AK753*(1+$AJ753*$AL753*3)^(1/$AJ753)))</f>
        <v/>
      </c>
      <c r="AP753">
        <f>IF($AJ753="","",IF($AJ753=0,$AK753*EXP($AL753*-2),$AK753*(1+$AJ753*$AL753*-2)^(1/$AJ753)))</f>
        <v/>
      </c>
      <c r="AQ753">
        <f>IF($AJ753="","",IF($AJ753=0,$AK753*EXP($AL753*-3),$AK753*(1+$AJ753*$AL753*-3)^(1/$AJ753)))</f>
        <v/>
      </c>
      <c r="AR753">
        <f>IF(OR($X753="",$T753&gt;60),"",IFERROR(INDEX(IF($T753&lt;24,pcomp_l,palt_l),MATCH($X753,IF($T753&lt;24,pcomp_k,palt_k),1)),""))</f>
        <v/>
      </c>
      <c r="AS753">
        <f>IF(OR($X753="",$T753&gt;60),"",IFERROR(INDEX(IF($T753&lt;24,pcomp_m,palt_m),MATCH($X753,IF($T753&lt;24,pcomp_k,palt_k),1)),""))</f>
        <v/>
      </c>
      <c r="AT753">
        <f>IF(OR($X753="",$T753&gt;60),"",IFERROR(INDEX(IF($T753&lt;24,pcomp_s,palt_s),MATCH($X753,IF($T753&lt;24,pcomp_k,palt_k),1)),""))</f>
        <v/>
      </c>
      <c r="AU753">
        <f>IF($AR753="","",IF($AR753=0,LN($F753/$AS753)/$AT753,((($F753/$AS753)^$AR753)-1)/($AR753*$AT753)))</f>
        <v/>
      </c>
      <c r="AV753">
        <f>IF($AR753="","",IF($AR753=0,$AS753*EXP($AT753*2),$AS753*(1+$AR753*$AT753*2)^(1/$AR753)))</f>
        <v/>
      </c>
      <c r="AW753">
        <f>IF($AR753="","",IF($AR753=0,$AS753*EXP($AT753*3),$AS753*(1+$AR753*$AT753*3)^(1/$AR753)))</f>
        <v/>
      </c>
      <c r="AX753">
        <f>IF($AR753="","",IF($AR753=0,$AS753*EXP($AT753*-2),$AS753*(1+$AR753*$AT753*-2)^(1/$AR753)))</f>
        <v/>
      </c>
      <c r="AY753">
        <f>IF($AR753="","",IF($AR753=0,$AS753*EXP($AT753*-3),$AS753*(1+$AR753*$AT753*-3)^(1/$AR753)))</f>
        <v/>
      </c>
      <c r="AZ753">
        <f>IF(OR($A753="",$A753&lt;&gt;Ficha!$C$4),"",COUNTIF($A$2:$A753,Ficha!$C$4))</f>
        <v/>
      </c>
    </row>
    <row r="754">
      <c r="A754" s="8">
        <f>IF(INDEX(Banco!$A:$A,ROW())="","",INDEX(Banco!$A:$A,ROW()))</f>
        <v/>
      </c>
      <c r="B754" s="8">
        <f>IF(INDEX(Banco!$B:$B,ROW())="","",INDEX(Banco!$B:$B,ROW()))</f>
        <v/>
      </c>
      <c r="C754" s="8">
        <f>IF(INDEX(Banco!$C:$C,ROW())="","",INDEX(Banco!$C:$C,ROW()))</f>
        <v/>
      </c>
      <c r="D754" s="9">
        <f>IF(INDEX(Banco!$D:$D,ROW())="","",INDEX(Banco!$D:$D,ROW()))</f>
        <v/>
      </c>
      <c r="E754" s="9">
        <f>IF(INDEX(Banco!$E:$E,ROW())="","",INDEX(Banco!$E:$E,ROW()))</f>
        <v/>
      </c>
      <c r="F754" s="10">
        <f>IF(INDEX(Banco!$F:$F,ROW())="","",INDEX(Banco!$F:$F,ROW()))</f>
        <v/>
      </c>
      <c r="G754" s="10">
        <f>IF(INDEX(Banco!$G:$G,ROW())="","",INDEX(Banco!$G:$G,ROW()))</f>
        <v/>
      </c>
      <c r="H754" s="8">
        <f>IF(INDEX(Banco!$H:$H,ROW())="","",INDEX(Banco!$H:$H,ROW()))</f>
        <v/>
      </c>
      <c r="I754">
        <f>IF($T754="","",INT($T754/12)&amp;"a "&amp;MOD($T754,12)&amp;"m")</f>
        <v/>
      </c>
      <c r="J754" s="11">
        <f>IF(OR($F754="",$G754=""),"",ROUND($F754/($G754/100)^2,2))</f>
        <v/>
      </c>
      <c r="K754" s="12">
        <f>IF(OR($S754="",$J754="",$T754="",$T754&lt;0,$T754&gt;228,$Y754=""),"—",ROUND(IF(ABS($AB754)&lt;=3,$AB754,IF($AB754&gt;3,3+($J754-$AD754)/($AD754-$AC754),-3+($J754-$AF754)/($AE754-$AF754))),2))</f>
        <v/>
      </c>
      <c r="L754">
        <f>IF(OR($K754="",$K754="—"),"",IF($T754&lt;=60,IF($K754&lt;-3,"Magreza acentuada",IF($K754&lt;-2,"Magreza",IF($K754&lt;=1,"Eutrofia",IF($K754&lt;=2,"Risco de sobrepeso",IF($K754&lt;=3,"Sobrepeso","Obesidade"))))),IF($K754&lt;-3,"Magreza acentuada",IF($K754&lt;-2,"Magreza",IF($K754&lt;=1,"Eutrofia",IF($K754&lt;=2,"Sobrepeso",IF($K754&lt;=3,"Obesidade","Obesidade grave")))))))</f>
        <v/>
      </c>
      <c r="M754" s="12">
        <f>IF(OR($S754="",$V754="",$T754="",$T754&lt;0,$T754&gt;228,$AG754=""),"—",ROUND(IF($AG754=0,LN($V754/$AH754)/$AI754,((($V754/$AH754)^$AG754)-1)/($AG754*$AI754)),2))</f>
        <v/>
      </c>
      <c r="N754">
        <f>IF(OR($M754="",$M754="—"),"",IF($M754&lt;-3,"Muito baixa",IF($M754&lt;-2,"Baixa","Adequada")))</f>
        <v/>
      </c>
      <c r="O754" s="12">
        <f>IF(OR($S754="",$F754="",$T754="",$T754&lt;0,$T754&gt;120,$AJ754=""),"—",ROUND(IF(ABS($AM754)&lt;=3,$AM754,IF($AM754&gt;3,3+($F754-$AO754)/($AO754-$AN754),-3+($F754-$AQ754)/($AP754-$AQ754))),2))</f>
        <v/>
      </c>
      <c r="P754">
        <f>IF(OR($O754="",$O754="—"),"",IF($O754&lt;-3,"Muito baixo",IF($O754&lt;-2,"Baixo",IF($O754&lt;=2,"Adequado","Elevado"))))</f>
        <v/>
      </c>
      <c r="Q754" s="12">
        <f>IF(OR($S754="",$F754="",$T754="",$T754&lt;0,$T754&gt;60,$AR754=""),"—",ROUND(IF(ABS($AU754)&lt;=3,$AU754,IF($AU754&gt;3,3+($F754-$AW754)/($AW754-$AV754),-3+($F754-$AY754)/($AX754-$AY754))),2))</f>
        <v/>
      </c>
      <c r="R754">
        <f>IF(OR($Q754="",$Q754="—"),"",IF($Q754&lt;-3,"Magreza acentuada",IF($Q754&lt;-2,"Magreza",IF($Q754&lt;=1,"Eutrofia",IF($Q754&lt;=2,"Risco de sobrepeso",IF($Q754&lt;=3,"Sobrepeso","Obesidade"))))))</f>
        <v/>
      </c>
      <c r="S754">
        <f>IF($C754="","",IF(UPPER(LEFT($C754,1))="M",1,IF(UPPER(LEFT($C754,1))="F",2,"")))</f>
        <v/>
      </c>
      <c r="T754">
        <f>IF(OR($D754="",$E754=""),"",DATEDIF($D754,$E754,"m"))</f>
        <v/>
      </c>
      <c r="U754">
        <f>IF(OR($D754="",$E754=""),"",$E754-$D754)</f>
        <v/>
      </c>
      <c r="V754">
        <f>IF(OR($G754="",$T754=""),"",IF($T754&lt;24,IF(LEFT(LOWER($H754),4)="em p",$G754+0.7,$G754),IF(LEFT(LOWER($H754),4)="deit",$G754-0.7,$G754)))</f>
        <v/>
      </c>
      <c r="W754">
        <f>IF(OR($S754="",$T754=""),"",$S754*1000000+IF($T754&lt;=60,$U754,$T754))</f>
        <v/>
      </c>
      <c r="X754">
        <f>IF(OR($S754="",$V754="",$T754&gt;60,$T754=""),"",$S754*1000000+ROUND($V754*10,0))</f>
        <v/>
      </c>
      <c r="Y754">
        <f>IF($W754="","",IFERROR(INDEX(IF($T754&lt;=60,imc05_l,imc519_l),MATCH($W754,IF($T754&lt;=60,imc05_k,imc519_k),1)),""))</f>
        <v/>
      </c>
      <c r="Z754">
        <f>IF($W754="","",IFERROR(INDEX(IF($T754&lt;=60,imc05_m,imc519_m),MATCH($W754,IF($T754&lt;=60,imc05_k,imc519_k),1)),""))</f>
        <v/>
      </c>
      <c r="AA754">
        <f>IF($W754="","",IFERROR(INDEX(IF($T754&lt;=60,imc05_s,imc519_s),MATCH($W754,IF($T754&lt;=60,imc05_k,imc519_k),1)),""))</f>
        <v/>
      </c>
      <c r="AB754">
        <f>IF($Y754="","",IF($Y754=0,LN($J754/$Z754)/$AA754,((($J754/$Z754)^$Y754)-1)/($Y754*$AA754)))</f>
        <v/>
      </c>
      <c r="AC754">
        <f>IF($Y754="","",IF($Y754=0,$Z754*EXP($AA754*2),$Z754*(1+$Y754*$AA754*2)^(1/$Y754)))</f>
        <v/>
      </c>
      <c r="AD754">
        <f>IF($Y754="","",IF($Y754=0,$Z754*EXP($AA754*3),$Z754*(1+$Y754*$AA754*3)^(1/$Y754)))</f>
        <v/>
      </c>
      <c r="AE754">
        <f>IF($Y754="","",IF($Y754=0,$Z754*EXP($AA754*-2),$Z754*(1+$Y754*$AA754*-2)^(1/$Y754)))</f>
        <v/>
      </c>
      <c r="AF754">
        <f>IF($Y754="","",IF($Y754=0,$Z754*EXP($AA754*-3),$Z754*(1+$Y754*$AA754*-3)^(1/$Y754)))</f>
        <v/>
      </c>
      <c r="AG754">
        <f>IF($W754="","",IFERROR(INDEX(IF($T754&lt;=60,est05_l,est519_l),MATCH($W754,IF($T754&lt;=60,est05_k,est519_k),1)),""))</f>
        <v/>
      </c>
      <c r="AH754">
        <f>IF($W754="","",IFERROR(INDEX(IF($T754&lt;=60,est05_m,est519_m),MATCH($W754,IF($T754&lt;=60,est05_k,est519_k),1)),""))</f>
        <v/>
      </c>
      <c r="AI754">
        <f>IF($W754="","",IFERROR(INDEX(IF($T754&lt;=60,est05_s,est519_s),MATCH($W754,IF($T754&lt;=60,est05_k,est519_k),1)),""))</f>
        <v/>
      </c>
      <c r="AJ754">
        <f>IF($W754="","",IFERROR(INDEX(IF($T754&lt;=60,peso05_l,peso510_l),MATCH($W754,IF($T754&lt;=60,peso05_k,peso510_k),1)),""))</f>
        <v/>
      </c>
      <c r="AK754">
        <f>IF($W754="","",IFERROR(INDEX(IF($T754&lt;=60,peso05_m,peso510_m),MATCH($W754,IF($T754&lt;=60,peso05_k,peso510_k),1)),""))</f>
        <v/>
      </c>
      <c r="AL754">
        <f>IF($W754="","",IFERROR(INDEX(IF($T754&lt;=60,peso05_s,peso510_s),MATCH($W754,IF($T754&lt;=60,peso05_k,peso510_k),1)),""))</f>
        <v/>
      </c>
      <c r="AM754">
        <f>IF($AJ754="","",IF($AJ754=0,LN($F754/$AK754)/$AL754,((($F754/$AK754)^$AJ754)-1)/($AJ754*$AL754)))</f>
        <v/>
      </c>
      <c r="AN754">
        <f>IF($AJ754="","",IF($AJ754=0,$AK754*EXP($AL754*2),$AK754*(1+$AJ754*$AL754*2)^(1/$AJ754)))</f>
        <v/>
      </c>
      <c r="AO754">
        <f>IF($AJ754="","",IF($AJ754=0,$AK754*EXP($AL754*3),$AK754*(1+$AJ754*$AL754*3)^(1/$AJ754)))</f>
        <v/>
      </c>
      <c r="AP754">
        <f>IF($AJ754="","",IF($AJ754=0,$AK754*EXP($AL754*-2),$AK754*(1+$AJ754*$AL754*-2)^(1/$AJ754)))</f>
        <v/>
      </c>
      <c r="AQ754">
        <f>IF($AJ754="","",IF($AJ754=0,$AK754*EXP($AL754*-3),$AK754*(1+$AJ754*$AL754*-3)^(1/$AJ754)))</f>
        <v/>
      </c>
      <c r="AR754">
        <f>IF(OR($X754="",$T754&gt;60),"",IFERROR(INDEX(IF($T754&lt;24,pcomp_l,palt_l),MATCH($X754,IF($T754&lt;24,pcomp_k,palt_k),1)),""))</f>
        <v/>
      </c>
      <c r="AS754">
        <f>IF(OR($X754="",$T754&gt;60),"",IFERROR(INDEX(IF($T754&lt;24,pcomp_m,palt_m),MATCH($X754,IF($T754&lt;24,pcomp_k,palt_k),1)),""))</f>
        <v/>
      </c>
      <c r="AT754">
        <f>IF(OR($X754="",$T754&gt;60),"",IFERROR(INDEX(IF($T754&lt;24,pcomp_s,palt_s),MATCH($X754,IF($T754&lt;24,pcomp_k,palt_k),1)),""))</f>
        <v/>
      </c>
      <c r="AU754">
        <f>IF($AR754="","",IF($AR754=0,LN($F754/$AS754)/$AT754,((($F754/$AS754)^$AR754)-1)/($AR754*$AT754)))</f>
        <v/>
      </c>
      <c r="AV754">
        <f>IF($AR754="","",IF($AR754=0,$AS754*EXP($AT754*2),$AS754*(1+$AR754*$AT754*2)^(1/$AR754)))</f>
        <v/>
      </c>
      <c r="AW754">
        <f>IF($AR754="","",IF($AR754=0,$AS754*EXP($AT754*3),$AS754*(1+$AR754*$AT754*3)^(1/$AR754)))</f>
        <v/>
      </c>
      <c r="AX754">
        <f>IF($AR754="","",IF($AR754=0,$AS754*EXP($AT754*-2),$AS754*(1+$AR754*$AT754*-2)^(1/$AR754)))</f>
        <v/>
      </c>
      <c r="AY754">
        <f>IF($AR754="","",IF($AR754=0,$AS754*EXP($AT754*-3),$AS754*(1+$AR754*$AT754*-3)^(1/$AR754)))</f>
        <v/>
      </c>
      <c r="AZ754">
        <f>IF(OR($A754="",$A754&lt;&gt;Ficha!$C$4),"",COUNTIF($A$2:$A754,Ficha!$C$4))</f>
        <v/>
      </c>
    </row>
    <row r="755">
      <c r="A755" s="8">
        <f>IF(INDEX(Banco!$A:$A,ROW())="","",INDEX(Banco!$A:$A,ROW()))</f>
        <v/>
      </c>
      <c r="B755" s="8">
        <f>IF(INDEX(Banco!$B:$B,ROW())="","",INDEX(Banco!$B:$B,ROW()))</f>
        <v/>
      </c>
      <c r="C755" s="8">
        <f>IF(INDEX(Banco!$C:$C,ROW())="","",INDEX(Banco!$C:$C,ROW()))</f>
        <v/>
      </c>
      <c r="D755" s="9">
        <f>IF(INDEX(Banco!$D:$D,ROW())="","",INDEX(Banco!$D:$D,ROW()))</f>
        <v/>
      </c>
      <c r="E755" s="9">
        <f>IF(INDEX(Banco!$E:$E,ROW())="","",INDEX(Banco!$E:$E,ROW()))</f>
        <v/>
      </c>
      <c r="F755" s="10">
        <f>IF(INDEX(Banco!$F:$F,ROW())="","",INDEX(Banco!$F:$F,ROW()))</f>
        <v/>
      </c>
      <c r="G755" s="10">
        <f>IF(INDEX(Banco!$G:$G,ROW())="","",INDEX(Banco!$G:$G,ROW()))</f>
        <v/>
      </c>
      <c r="H755" s="8">
        <f>IF(INDEX(Banco!$H:$H,ROW())="","",INDEX(Banco!$H:$H,ROW()))</f>
        <v/>
      </c>
      <c r="I755">
        <f>IF($T755="","",INT($T755/12)&amp;"a "&amp;MOD($T755,12)&amp;"m")</f>
        <v/>
      </c>
      <c r="J755" s="11">
        <f>IF(OR($F755="",$G755=""),"",ROUND($F755/($G755/100)^2,2))</f>
        <v/>
      </c>
      <c r="K755" s="12">
        <f>IF(OR($S755="",$J755="",$T755="",$T755&lt;0,$T755&gt;228,$Y755=""),"—",ROUND(IF(ABS($AB755)&lt;=3,$AB755,IF($AB755&gt;3,3+($J755-$AD755)/($AD755-$AC755),-3+($J755-$AF755)/($AE755-$AF755))),2))</f>
        <v/>
      </c>
      <c r="L755">
        <f>IF(OR($K755="",$K755="—"),"",IF($T755&lt;=60,IF($K755&lt;-3,"Magreza acentuada",IF($K755&lt;-2,"Magreza",IF($K755&lt;=1,"Eutrofia",IF($K755&lt;=2,"Risco de sobrepeso",IF($K755&lt;=3,"Sobrepeso","Obesidade"))))),IF($K755&lt;-3,"Magreza acentuada",IF($K755&lt;-2,"Magreza",IF($K755&lt;=1,"Eutrofia",IF($K755&lt;=2,"Sobrepeso",IF($K755&lt;=3,"Obesidade","Obesidade grave")))))))</f>
        <v/>
      </c>
      <c r="M755" s="12">
        <f>IF(OR($S755="",$V755="",$T755="",$T755&lt;0,$T755&gt;228,$AG755=""),"—",ROUND(IF($AG755=0,LN($V755/$AH755)/$AI755,((($V755/$AH755)^$AG755)-1)/($AG755*$AI755)),2))</f>
        <v/>
      </c>
      <c r="N755">
        <f>IF(OR($M755="",$M755="—"),"",IF($M755&lt;-3,"Muito baixa",IF($M755&lt;-2,"Baixa","Adequada")))</f>
        <v/>
      </c>
      <c r="O755" s="12">
        <f>IF(OR($S755="",$F755="",$T755="",$T755&lt;0,$T755&gt;120,$AJ755=""),"—",ROUND(IF(ABS($AM755)&lt;=3,$AM755,IF($AM755&gt;3,3+($F755-$AO755)/($AO755-$AN755),-3+($F755-$AQ755)/($AP755-$AQ755))),2))</f>
        <v/>
      </c>
      <c r="P755">
        <f>IF(OR($O755="",$O755="—"),"",IF($O755&lt;-3,"Muito baixo",IF($O755&lt;-2,"Baixo",IF($O755&lt;=2,"Adequado","Elevado"))))</f>
        <v/>
      </c>
      <c r="Q755" s="12">
        <f>IF(OR($S755="",$F755="",$T755="",$T755&lt;0,$T755&gt;60,$AR755=""),"—",ROUND(IF(ABS($AU755)&lt;=3,$AU755,IF($AU755&gt;3,3+($F755-$AW755)/($AW755-$AV755),-3+($F755-$AY755)/($AX755-$AY755))),2))</f>
        <v/>
      </c>
      <c r="R755">
        <f>IF(OR($Q755="",$Q755="—"),"",IF($Q755&lt;-3,"Magreza acentuada",IF($Q755&lt;-2,"Magreza",IF($Q755&lt;=1,"Eutrofia",IF($Q755&lt;=2,"Risco de sobrepeso",IF($Q755&lt;=3,"Sobrepeso","Obesidade"))))))</f>
        <v/>
      </c>
      <c r="S755">
        <f>IF($C755="","",IF(UPPER(LEFT($C755,1))="M",1,IF(UPPER(LEFT($C755,1))="F",2,"")))</f>
        <v/>
      </c>
      <c r="T755">
        <f>IF(OR($D755="",$E755=""),"",DATEDIF($D755,$E755,"m"))</f>
        <v/>
      </c>
      <c r="U755">
        <f>IF(OR($D755="",$E755=""),"",$E755-$D755)</f>
        <v/>
      </c>
      <c r="V755">
        <f>IF(OR($G755="",$T755=""),"",IF($T755&lt;24,IF(LEFT(LOWER($H755),4)="em p",$G755+0.7,$G755),IF(LEFT(LOWER($H755),4)="deit",$G755-0.7,$G755)))</f>
        <v/>
      </c>
      <c r="W755">
        <f>IF(OR($S755="",$T755=""),"",$S755*1000000+IF($T755&lt;=60,$U755,$T755))</f>
        <v/>
      </c>
      <c r="X755">
        <f>IF(OR($S755="",$V755="",$T755&gt;60,$T755=""),"",$S755*1000000+ROUND($V755*10,0))</f>
        <v/>
      </c>
      <c r="Y755">
        <f>IF($W755="","",IFERROR(INDEX(IF($T755&lt;=60,imc05_l,imc519_l),MATCH($W755,IF($T755&lt;=60,imc05_k,imc519_k),1)),""))</f>
        <v/>
      </c>
      <c r="Z755">
        <f>IF($W755="","",IFERROR(INDEX(IF($T755&lt;=60,imc05_m,imc519_m),MATCH($W755,IF($T755&lt;=60,imc05_k,imc519_k),1)),""))</f>
        <v/>
      </c>
      <c r="AA755">
        <f>IF($W755="","",IFERROR(INDEX(IF($T755&lt;=60,imc05_s,imc519_s),MATCH($W755,IF($T755&lt;=60,imc05_k,imc519_k),1)),""))</f>
        <v/>
      </c>
      <c r="AB755">
        <f>IF($Y755="","",IF($Y755=0,LN($J755/$Z755)/$AA755,((($J755/$Z755)^$Y755)-1)/($Y755*$AA755)))</f>
        <v/>
      </c>
      <c r="AC755">
        <f>IF($Y755="","",IF($Y755=0,$Z755*EXP($AA755*2),$Z755*(1+$Y755*$AA755*2)^(1/$Y755)))</f>
        <v/>
      </c>
      <c r="AD755">
        <f>IF($Y755="","",IF($Y755=0,$Z755*EXP($AA755*3),$Z755*(1+$Y755*$AA755*3)^(1/$Y755)))</f>
        <v/>
      </c>
      <c r="AE755">
        <f>IF($Y755="","",IF($Y755=0,$Z755*EXP($AA755*-2),$Z755*(1+$Y755*$AA755*-2)^(1/$Y755)))</f>
        <v/>
      </c>
      <c r="AF755">
        <f>IF($Y755="","",IF($Y755=0,$Z755*EXP($AA755*-3),$Z755*(1+$Y755*$AA755*-3)^(1/$Y755)))</f>
        <v/>
      </c>
      <c r="AG755">
        <f>IF($W755="","",IFERROR(INDEX(IF($T755&lt;=60,est05_l,est519_l),MATCH($W755,IF($T755&lt;=60,est05_k,est519_k),1)),""))</f>
        <v/>
      </c>
      <c r="AH755">
        <f>IF($W755="","",IFERROR(INDEX(IF($T755&lt;=60,est05_m,est519_m),MATCH($W755,IF($T755&lt;=60,est05_k,est519_k),1)),""))</f>
        <v/>
      </c>
      <c r="AI755">
        <f>IF($W755="","",IFERROR(INDEX(IF($T755&lt;=60,est05_s,est519_s),MATCH($W755,IF($T755&lt;=60,est05_k,est519_k),1)),""))</f>
        <v/>
      </c>
      <c r="AJ755">
        <f>IF($W755="","",IFERROR(INDEX(IF($T755&lt;=60,peso05_l,peso510_l),MATCH($W755,IF($T755&lt;=60,peso05_k,peso510_k),1)),""))</f>
        <v/>
      </c>
      <c r="AK755">
        <f>IF($W755="","",IFERROR(INDEX(IF($T755&lt;=60,peso05_m,peso510_m),MATCH($W755,IF($T755&lt;=60,peso05_k,peso510_k),1)),""))</f>
        <v/>
      </c>
      <c r="AL755">
        <f>IF($W755="","",IFERROR(INDEX(IF($T755&lt;=60,peso05_s,peso510_s),MATCH($W755,IF($T755&lt;=60,peso05_k,peso510_k),1)),""))</f>
        <v/>
      </c>
      <c r="AM755">
        <f>IF($AJ755="","",IF($AJ755=0,LN($F755/$AK755)/$AL755,((($F755/$AK755)^$AJ755)-1)/($AJ755*$AL755)))</f>
        <v/>
      </c>
      <c r="AN755">
        <f>IF($AJ755="","",IF($AJ755=0,$AK755*EXP($AL755*2),$AK755*(1+$AJ755*$AL755*2)^(1/$AJ755)))</f>
        <v/>
      </c>
      <c r="AO755">
        <f>IF($AJ755="","",IF($AJ755=0,$AK755*EXP($AL755*3),$AK755*(1+$AJ755*$AL755*3)^(1/$AJ755)))</f>
        <v/>
      </c>
      <c r="AP755">
        <f>IF($AJ755="","",IF($AJ755=0,$AK755*EXP($AL755*-2),$AK755*(1+$AJ755*$AL755*-2)^(1/$AJ755)))</f>
        <v/>
      </c>
      <c r="AQ755">
        <f>IF($AJ755="","",IF($AJ755=0,$AK755*EXP($AL755*-3),$AK755*(1+$AJ755*$AL755*-3)^(1/$AJ755)))</f>
        <v/>
      </c>
      <c r="AR755">
        <f>IF(OR($X755="",$T755&gt;60),"",IFERROR(INDEX(IF($T755&lt;24,pcomp_l,palt_l),MATCH($X755,IF($T755&lt;24,pcomp_k,palt_k),1)),""))</f>
        <v/>
      </c>
      <c r="AS755">
        <f>IF(OR($X755="",$T755&gt;60),"",IFERROR(INDEX(IF($T755&lt;24,pcomp_m,palt_m),MATCH($X755,IF($T755&lt;24,pcomp_k,palt_k),1)),""))</f>
        <v/>
      </c>
      <c r="AT755">
        <f>IF(OR($X755="",$T755&gt;60),"",IFERROR(INDEX(IF($T755&lt;24,pcomp_s,palt_s),MATCH($X755,IF($T755&lt;24,pcomp_k,palt_k),1)),""))</f>
        <v/>
      </c>
      <c r="AU755">
        <f>IF($AR755="","",IF($AR755=0,LN($F755/$AS755)/$AT755,((($F755/$AS755)^$AR755)-1)/($AR755*$AT755)))</f>
        <v/>
      </c>
      <c r="AV755">
        <f>IF($AR755="","",IF($AR755=0,$AS755*EXP($AT755*2),$AS755*(1+$AR755*$AT755*2)^(1/$AR755)))</f>
        <v/>
      </c>
      <c r="AW755">
        <f>IF($AR755="","",IF($AR755=0,$AS755*EXP($AT755*3),$AS755*(1+$AR755*$AT755*3)^(1/$AR755)))</f>
        <v/>
      </c>
      <c r="AX755">
        <f>IF($AR755="","",IF($AR755=0,$AS755*EXP($AT755*-2),$AS755*(1+$AR755*$AT755*-2)^(1/$AR755)))</f>
        <v/>
      </c>
      <c r="AY755">
        <f>IF($AR755="","",IF($AR755=0,$AS755*EXP($AT755*-3),$AS755*(1+$AR755*$AT755*-3)^(1/$AR755)))</f>
        <v/>
      </c>
      <c r="AZ755">
        <f>IF(OR($A755="",$A755&lt;&gt;Ficha!$C$4),"",COUNTIF($A$2:$A755,Ficha!$C$4))</f>
        <v/>
      </c>
    </row>
    <row r="756">
      <c r="A756" s="8">
        <f>IF(INDEX(Banco!$A:$A,ROW())="","",INDEX(Banco!$A:$A,ROW()))</f>
        <v/>
      </c>
      <c r="B756" s="8">
        <f>IF(INDEX(Banco!$B:$B,ROW())="","",INDEX(Banco!$B:$B,ROW()))</f>
        <v/>
      </c>
      <c r="C756" s="8">
        <f>IF(INDEX(Banco!$C:$C,ROW())="","",INDEX(Banco!$C:$C,ROW()))</f>
        <v/>
      </c>
      <c r="D756" s="9">
        <f>IF(INDEX(Banco!$D:$D,ROW())="","",INDEX(Banco!$D:$D,ROW()))</f>
        <v/>
      </c>
      <c r="E756" s="9">
        <f>IF(INDEX(Banco!$E:$E,ROW())="","",INDEX(Banco!$E:$E,ROW()))</f>
        <v/>
      </c>
      <c r="F756" s="10">
        <f>IF(INDEX(Banco!$F:$F,ROW())="","",INDEX(Banco!$F:$F,ROW()))</f>
        <v/>
      </c>
      <c r="G756" s="10">
        <f>IF(INDEX(Banco!$G:$G,ROW())="","",INDEX(Banco!$G:$G,ROW()))</f>
        <v/>
      </c>
      <c r="H756" s="8">
        <f>IF(INDEX(Banco!$H:$H,ROW())="","",INDEX(Banco!$H:$H,ROW()))</f>
        <v/>
      </c>
      <c r="I756">
        <f>IF($T756="","",INT($T756/12)&amp;"a "&amp;MOD($T756,12)&amp;"m")</f>
        <v/>
      </c>
      <c r="J756" s="11">
        <f>IF(OR($F756="",$G756=""),"",ROUND($F756/($G756/100)^2,2))</f>
        <v/>
      </c>
      <c r="K756" s="12">
        <f>IF(OR($S756="",$J756="",$T756="",$T756&lt;0,$T756&gt;228,$Y756=""),"—",ROUND(IF(ABS($AB756)&lt;=3,$AB756,IF($AB756&gt;3,3+($J756-$AD756)/($AD756-$AC756),-3+($J756-$AF756)/($AE756-$AF756))),2))</f>
        <v/>
      </c>
      <c r="L756">
        <f>IF(OR($K756="",$K756="—"),"",IF($T756&lt;=60,IF($K756&lt;-3,"Magreza acentuada",IF($K756&lt;-2,"Magreza",IF($K756&lt;=1,"Eutrofia",IF($K756&lt;=2,"Risco de sobrepeso",IF($K756&lt;=3,"Sobrepeso","Obesidade"))))),IF($K756&lt;-3,"Magreza acentuada",IF($K756&lt;-2,"Magreza",IF($K756&lt;=1,"Eutrofia",IF($K756&lt;=2,"Sobrepeso",IF($K756&lt;=3,"Obesidade","Obesidade grave")))))))</f>
        <v/>
      </c>
      <c r="M756" s="12">
        <f>IF(OR($S756="",$V756="",$T756="",$T756&lt;0,$T756&gt;228,$AG756=""),"—",ROUND(IF($AG756=0,LN($V756/$AH756)/$AI756,((($V756/$AH756)^$AG756)-1)/($AG756*$AI756)),2))</f>
        <v/>
      </c>
      <c r="N756">
        <f>IF(OR($M756="",$M756="—"),"",IF($M756&lt;-3,"Muito baixa",IF($M756&lt;-2,"Baixa","Adequada")))</f>
        <v/>
      </c>
      <c r="O756" s="12">
        <f>IF(OR($S756="",$F756="",$T756="",$T756&lt;0,$T756&gt;120,$AJ756=""),"—",ROUND(IF(ABS($AM756)&lt;=3,$AM756,IF($AM756&gt;3,3+($F756-$AO756)/($AO756-$AN756),-3+($F756-$AQ756)/($AP756-$AQ756))),2))</f>
        <v/>
      </c>
      <c r="P756">
        <f>IF(OR($O756="",$O756="—"),"",IF($O756&lt;-3,"Muito baixo",IF($O756&lt;-2,"Baixo",IF($O756&lt;=2,"Adequado","Elevado"))))</f>
        <v/>
      </c>
      <c r="Q756" s="12">
        <f>IF(OR($S756="",$F756="",$T756="",$T756&lt;0,$T756&gt;60,$AR756=""),"—",ROUND(IF(ABS($AU756)&lt;=3,$AU756,IF($AU756&gt;3,3+($F756-$AW756)/($AW756-$AV756),-3+($F756-$AY756)/($AX756-$AY756))),2))</f>
        <v/>
      </c>
      <c r="R756">
        <f>IF(OR($Q756="",$Q756="—"),"",IF($Q756&lt;-3,"Magreza acentuada",IF($Q756&lt;-2,"Magreza",IF($Q756&lt;=1,"Eutrofia",IF($Q756&lt;=2,"Risco de sobrepeso",IF($Q756&lt;=3,"Sobrepeso","Obesidade"))))))</f>
        <v/>
      </c>
      <c r="S756">
        <f>IF($C756="","",IF(UPPER(LEFT($C756,1))="M",1,IF(UPPER(LEFT($C756,1))="F",2,"")))</f>
        <v/>
      </c>
      <c r="T756">
        <f>IF(OR($D756="",$E756=""),"",DATEDIF($D756,$E756,"m"))</f>
        <v/>
      </c>
      <c r="U756">
        <f>IF(OR($D756="",$E756=""),"",$E756-$D756)</f>
        <v/>
      </c>
      <c r="V756">
        <f>IF(OR($G756="",$T756=""),"",IF($T756&lt;24,IF(LEFT(LOWER($H756),4)="em p",$G756+0.7,$G756),IF(LEFT(LOWER($H756),4)="deit",$G756-0.7,$G756)))</f>
        <v/>
      </c>
      <c r="W756">
        <f>IF(OR($S756="",$T756=""),"",$S756*1000000+IF($T756&lt;=60,$U756,$T756))</f>
        <v/>
      </c>
      <c r="X756">
        <f>IF(OR($S756="",$V756="",$T756&gt;60,$T756=""),"",$S756*1000000+ROUND($V756*10,0))</f>
        <v/>
      </c>
      <c r="Y756">
        <f>IF($W756="","",IFERROR(INDEX(IF($T756&lt;=60,imc05_l,imc519_l),MATCH($W756,IF($T756&lt;=60,imc05_k,imc519_k),1)),""))</f>
        <v/>
      </c>
      <c r="Z756">
        <f>IF($W756="","",IFERROR(INDEX(IF($T756&lt;=60,imc05_m,imc519_m),MATCH($W756,IF($T756&lt;=60,imc05_k,imc519_k),1)),""))</f>
        <v/>
      </c>
      <c r="AA756">
        <f>IF($W756="","",IFERROR(INDEX(IF($T756&lt;=60,imc05_s,imc519_s),MATCH($W756,IF($T756&lt;=60,imc05_k,imc519_k),1)),""))</f>
        <v/>
      </c>
      <c r="AB756">
        <f>IF($Y756="","",IF($Y756=0,LN($J756/$Z756)/$AA756,((($J756/$Z756)^$Y756)-1)/($Y756*$AA756)))</f>
        <v/>
      </c>
      <c r="AC756">
        <f>IF($Y756="","",IF($Y756=0,$Z756*EXP($AA756*2),$Z756*(1+$Y756*$AA756*2)^(1/$Y756)))</f>
        <v/>
      </c>
      <c r="AD756">
        <f>IF($Y756="","",IF($Y756=0,$Z756*EXP($AA756*3),$Z756*(1+$Y756*$AA756*3)^(1/$Y756)))</f>
        <v/>
      </c>
      <c r="AE756">
        <f>IF($Y756="","",IF($Y756=0,$Z756*EXP($AA756*-2),$Z756*(1+$Y756*$AA756*-2)^(1/$Y756)))</f>
        <v/>
      </c>
      <c r="AF756">
        <f>IF($Y756="","",IF($Y756=0,$Z756*EXP($AA756*-3),$Z756*(1+$Y756*$AA756*-3)^(1/$Y756)))</f>
        <v/>
      </c>
      <c r="AG756">
        <f>IF($W756="","",IFERROR(INDEX(IF($T756&lt;=60,est05_l,est519_l),MATCH($W756,IF($T756&lt;=60,est05_k,est519_k),1)),""))</f>
        <v/>
      </c>
      <c r="AH756">
        <f>IF($W756="","",IFERROR(INDEX(IF($T756&lt;=60,est05_m,est519_m),MATCH($W756,IF($T756&lt;=60,est05_k,est519_k),1)),""))</f>
        <v/>
      </c>
      <c r="AI756">
        <f>IF($W756="","",IFERROR(INDEX(IF($T756&lt;=60,est05_s,est519_s),MATCH($W756,IF($T756&lt;=60,est05_k,est519_k),1)),""))</f>
        <v/>
      </c>
      <c r="AJ756">
        <f>IF($W756="","",IFERROR(INDEX(IF($T756&lt;=60,peso05_l,peso510_l),MATCH($W756,IF($T756&lt;=60,peso05_k,peso510_k),1)),""))</f>
        <v/>
      </c>
      <c r="AK756">
        <f>IF($W756="","",IFERROR(INDEX(IF($T756&lt;=60,peso05_m,peso510_m),MATCH($W756,IF($T756&lt;=60,peso05_k,peso510_k),1)),""))</f>
        <v/>
      </c>
      <c r="AL756">
        <f>IF($W756="","",IFERROR(INDEX(IF($T756&lt;=60,peso05_s,peso510_s),MATCH($W756,IF($T756&lt;=60,peso05_k,peso510_k),1)),""))</f>
        <v/>
      </c>
      <c r="AM756">
        <f>IF($AJ756="","",IF($AJ756=0,LN($F756/$AK756)/$AL756,((($F756/$AK756)^$AJ756)-1)/($AJ756*$AL756)))</f>
        <v/>
      </c>
      <c r="AN756">
        <f>IF($AJ756="","",IF($AJ756=0,$AK756*EXP($AL756*2),$AK756*(1+$AJ756*$AL756*2)^(1/$AJ756)))</f>
        <v/>
      </c>
      <c r="AO756">
        <f>IF($AJ756="","",IF($AJ756=0,$AK756*EXP($AL756*3),$AK756*(1+$AJ756*$AL756*3)^(1/$AJ756)))</f>
        <v/>
      </c>
      <c r="AP756">
        <f>IF($AJ756="","",IF($AJ756=0,$AK756*EXP($AL756*-2),$AK756*(1+$AJ756*$AL756*-2)^(1/$AJ756)))</f>
        <v/>
      </c>
      <c r="AQ756">
        <f>IF($AJ756="","",IF($AJ756=0,$AK756*EXP($AL756*-3),$AK756*(1+$AJ756*$AL756*-3)^(1/$AJ756)))</f>
        <v/>
      </c>
      <c r="AR756">
        <f>IF(OR($X756="",$T756&gt;60),"",IFERROR(INDEX(IF($T756&lt;24,pcomp_l,palt_l),MATCH($X756,IF($T756&lt;24,pcomp_k,palt_k),1)),""))</f>
        <v/>
      </c>
      <c r="AS756">
        <f>IF(OR($X756="",$T756&gt;60),"",IFERROR(INDEX(IF($T756&lt;24,pcomp_m,palt_m),MATCH($X756,IF($T756&lt;24,pcomp_k,palt_k),1)),""))</f>
        <v/>
      </c>
      <c r="AT756">
        <f>IF(OR($X756="",$T756&gt;60),"",IFERROR(INDEX(IF($T756&lt;24,pcomp_s,palt_s),MATCH($X756,IF($T756&lt;24,pcomp_k,palt_k),1)),""))</f>
        <v/>
      </c>
      <c r="AU756">
        <f>IF($AR756="","",IF($AR756=0,LN($F756/$AS756)/$AT756,((($F756/$AS756)^$AR756)-1)/($AR756*$AT756)))</f>
        <v/>
      </c>
      <c r="AV756">
        <f>IF($AR756="","",IF($AR756=0,$AS756*EXP($AT756*2),$AS756*(1+$AR756*$AT756*2)^(1/$AR756)))</f>
        <v/>
      </c>
      <c r="AW756">
        <f>IF($AR756="","",IF($AR756=0,$AS756*EXP($AT756*3),$AS756*(1+$AR756*$AT756*3)^(1/$AR756)))</f>
        <v/>
      </c>
      <c r="AX756">
        <f>IF($AR756="","",IF($AR756=0,$AS756*EXP($AT756*-2),$AS756*(1+$AR756*$AT756*-2)^(1/$AR756)))</f>
        <v/>
      </c>
      <c r="AY756">
        <f>IF($AR756="","",IF($AR756=0,$AS756*EXP($AT756*-3),$AS756*(1+$AR756*$AT756*-3)^(1/$AR756)))</f>
        <v/>
      </c>
      <c r="AZ756">
        <f>IF(OR($A756="",$A756&lt;&gt;Ficha!$C$4),"",COUNTIF($A$2:$A756,Ficha!$C$4))</f>
        <v/>
      </c>
    </row>
    <row r="757">
      <c r="A757" s="8">
        <f>IF(INDEX(Banco!$A:$A,ROW())="","",INDEX(Banco!$A:$A,ROW()))</f>
        <v/>
      </c>
      <c r="B757" s="8">
        <f>IF(INDEX(Banco!$B:$B,ROW())="","",INDEX(Banco!$B:$B,ROW()))</f>
        <v/>
      </c>
      <c r="C757" s="8">
        <f>IF(INDEX(Banco!$C:$C,ROW())="","",INDEX(Banco!$C:$C,ROW()))</f>
        <v/>
      </c>
      <c r="D757" s="9">
        <f>IF(INDEX(Banco!$D:$D,ROW())="","",INDEX(Banco!$D:$D,ROW()))</f>
        <v/>
      </c>
      <c r="E757" s="9">
        <f>IF(INDEX(Banco!$E:$E,ROW())="","",INDEX(Banco!$E:$E,ROW()))</f>
        <v/>
      </c>
      <c r="F757" s="10">
        <f>IF(INDEX(Banco!$F:$F,ROW())="","",INDEX(Banco!$F:$F,ROW()))</f>
        <v/>
      </c>
      <c r="G757" s="10">
        <f>IF(INDEX(Banco!$G:$G,ROW())="","",INDEX(Banco!$G:$G,ROW()))</f>
        <v/>
      </c>
      <c r="H757" s="8">
        <f>IF(INDEX(Banco!$H:$H,ROW())="","",INDEX(Banco!$H:$H,ROW()))</f>
        <v/>
      </c>
      <c r="I757">
        <f>IF($T757="","",INT($T757/12)&amp;"a "&amp;MOD($T757,12)&amp;"m")</f>
        <v/>
      </c>
      <c r="J757" s="11">
        <f>IF(OR($F757="",$G757=""),"",ROUND($F757/($G757/100)^2,2))</f>
        <v/>
      </c>
      <c r="K757" s="12">
        <f>IF(OR($S757="",$J757="",$T757="",$T757&lt;0,$T757&gt;228,$Y757=""),"—",ROUND(IF(ABS($AB757)&lt;=3,$AB757,IF($AB757&gt;3,3+($J757-$AD757)/($AD757-$AC757),-3+($J757-$AF757)/($AE757-$AF757))),2))</f>
        <v/>
      </c>
      <c r="L757">
        <f>IF(OR($K757="",$K757="—"),"",IF($T757&lt;=60,IF($K757&lt;-3,"Magreza acentuada",IF($K757&lt;-2,"Magreza",IF($K757&lt;=1,"Eutrofia",IF($K757&lt;=2,"Risco de sobrepeso",IF($K757&lt;=3,"Sobrepeso","Obesidade"))))),IF($K757&lt;-3,"Magreza acentuada",IF($K757&lt;-2,"Magreza",IF($K757&lt;=1,"Eutrofia",IF($K757&lt;=2,"Sobrepeso",IF($K757&lt;=3,"Obesidade","Obesidade grave")))))))</f>
        <v/>
      </c>
      <c r="M757" s="12">
        <f>IF(OR($S757="",$V757="",$T757="",$T757&lt;0,$T757&gt;228,$AG757=""),"—",ROUND(IF($AG757=0,LN($V757/$AH757)/$AI757,((($V757/$AH757)^$AG757)-1)/($AG757*$AI757)),2))</f>
        <v/>
      </c>
      <c r="N757">
        <f>IF(OR($M757="",$M757="—"),"",IF($M757&lt;-3,"Muito baixa",IF($M757&lt;-2,"Baixa","Adequada")))</f>
        <v/>
      </c>
      <c r="O757" s="12">
        <f>IF(OR($S757="",$F757="",$T757="",$T757&lt;0,$T757&gt;120,$AJ757=""),"—",ROUND(IF(ABS($AM757)&lt;=3,$AM757,IF($AM757&gt;3,3+($F757-$AO757)/($AO757-$AN757),-3+($F757-$AQ757)/($AP757-$AQ757))),2))</f>
        <v/>
      </c>
      <c r="P757">
        <f>IF(OR($O757="",$O757="—"),"",IF($O757&lt;-3,"Muito baixo",IF($O757&lt;-2,"Baixo",IF($O757&lt;=2,"Adequado","Elevado"))))</f>
        <v/>
      </c>
      <c r="Q757" s="12">
        <f>IF(OR($S757="",$F757="",$T757="",$T757&lt;0,$T757&gt;60,$AR757=""),"—",ROUND(IF(ABS($AU757)&lt;=3,$AU757,IF($AU757&gt;3,3+($F757-$AW757)/($AW757-$AV757),-3+($F757-$AY757)/($AX757-$AY757))),2))</f>
        <v/>
      </c>
      <c r="R757">
        <f>IF(OR($Q757="",$Q757="—"),"",IF($Q757&lt;-3,"Magreza acentuada",IF($Q757&lt;-2,"Magreza",IF($Q757&lt;=1,"Eutrofia",IF($Q757&lt;=2,"Risco de sobrepeso",IF($Q757&lt;=3,"Sobrepeso","Obesidade"))))))</f>
        <v/>
      </c>
      <c r="S757">
        <f>IF($C757="","",IF(UPPER(LEFT($C757,1))="M",1,IF(UPPER(LEFT($C757,1))="F",2,"")))</f>
        <v/>
      </c>
      <c r="T757">
        <f>IF(OR($D757="",$E757=""),"",DATEDIF($D757,$E757,"m"))</f>
        <v/>
      </c>
      <c r="U757">
        <f>IF(OR($D757="",$E757=""),"",$E757-$D757)</f>
        <v/>
      </c>
      <c r="V757">
        <f>IF(OR($G757="",$T757=""),"",IF($T757&lt;24,IF(LEFT(LOWER($H757),4)="em p",$G757+0.7,$G757),IF(LEFT(LOWER($H757),4)="deit",$G757-0.7,$G757)))</f>
        <v/>
      </c>
      <c r="W757">
        <f>IF(OR($S757="",$T757=""),"",$S757*1000000+IF($T757&lt;=60,$U757,$T757))</f>
        <v/>
      </c>
      <c r="X757">
        <f>IF(OR($S757="",$V757="",$T757&gt;60,$T757=""),"",$S757*1000000+ROUND($V757*10,0))</f>
        <v/>
      </c>
      <c r="Y757">
        <f>IF($W757="","",IFERROR(INDEX(IF($T757&lt;=60,imc05_l,imc519_l),MATCH($W757,IF($T757&lt;=60,imc05_k,imc519_k),1)),""))</f>
        <v/>
      </c>
      <c r="Z757">
        <f>IF($W757="","",IFERROR(INDEX(IF($T757&lt;=60,imc05_m,imc519_m),MATCH($W757,IF($T757&lt;=60,imc05_k,imc519_k),1)),""))</f>
        <v/>
      </c>
      <c r="AA757">
        <f>IF($W757="","",IFERROR(INDEX(IF($T757&lt;=60,imc05_s,imc519_s),MATCH($W757,IF($T757&lt;=60,imc05_k,imc519_k),1)),""))</f>
        <v/>
      </c>
      <c r="AB757">
        <f>IF($Y757="","",IF($Y757=0,LN($J757/$Z757)/$AA757,((($J757/$Z757)^$Y757)-1)/($Y757*$AA757)))</f>
        <v/>
      </c>
      <c r="AC757">
        <f>IF($Y757="","",IF($Y757=0,$Z757*EXP($AA757*2),$Z757*(1+$Y757*$AA757*2)^(1/$Y757)))</f>
        <v/>
      </c>
      <c r="AD757">
        <f>IF($Y757="","",IF($Y757=0,$Z757*EXP($AA757*3),$Z757*(1+$Y757*$AA757*3)^(1/$Y757)))</f>
        <v/>
      </c>
      <c r="AE757">
        <f>IF($Y757="","",IF($Y757=0,$Z757*EXP($AA757*-2),$Z757*(1+$Y757*$AA757*-2)^(1/$Y757)))</f>
        <v/>
      </c>
      <c r="AF757">
        <f>IF($Y757="","",IF($Y757=0,$Z757*EXP($AA757*-3),$Z757*(1+$Y757*$AA757*-3)^(1/$Y757)))</f>
        <v/>
      </c>
      <c r="AG757">
        <f>IF($W757="","",IFERROR(INDEX(IF($T757&lt;=60,est05_l,est519_l),MATCH($W757,IF($T757&lt;=60,est05_k,est519_k),1)),""))</f>
        <v/>
      </c>
      <c r="AH757">
        <f>IF($W757="","",IFERROR(INDEX(IF($T757&lt;=60,est05_m,est519_m),MATCH($W757,IF($T757&lt;=60,est05_k,est519_k),1)),""))</f>
        <v/>
      </c>
      <c r="AI757">
        <f>IF($W757="","",IFERROR(INDEX(IF($T757&lt;=60,est05_s,est519_s),MATCH($W757,IF($T757&lt;=60,est05_k,est519_k),1)),""))</f>
        <v/>
      </c>
      <c r="AJ757">
        <f>IF($W757="","",IFERROR(INDEX(IF($T757&lt;=60,peso05_l,peso510_l),MATCH($W757,IF($T757&lt;=60,peso05_k,peso510_k),1)),""))</f>
        <v/>
      </c>
      <c r="AK757">
        <f>IF($W757="","",IFERROR(INDEX(IF($T757&lt;=60,peso05_m,peso510_m),MATCH($W757,IF($T757&lt;=60,peso05_k,peso510_k),1)),""))</f>
        <v/>
      </c>
      <c r="AL757">
        <f>IF($W757="","",IFERROR(INDEX(IF($T757&lt;=60,peso05_s,peso510_s),MATCH($W757,IF($T757&lt;=60,peso05_k,peso510_k),1)),""))</f>
        <v/>
      </c>
      <c r="AM757">
        <f>IF($AJ757="","",IF($AJ757=0,LN($F757/$AK757)/$AL757,((($F757/$AK757)^$AJ757)-1)/($AJ757*$AL757)))</f>
        <v/>
      </c>
      <c r="AN757">
        <f>IF($AJ757="","",IF($AJ757=0,$AK757*EXP($AL757*2),$AK757*(1+$AJ757*$AL757*2)^(1/$AJ757)))</f>
        <v/>
      </c>
      <c r="AO757">
        <f>IF($AJ757="","",IF($AJ757=0,$AK757*EXP($AL757*3),$AK757*(1+$AJ757*$AL757*3)^(1/$AJ757)))</f>
        <v/>
      </c>
      <c r="AP757">
        <f>IF($AJ757="","",IF($AJ757=0,$AK757*EXP($AL757*-2),$AK757*(1+$AJ757*$AL757*-2)^(1/$AJ757)))</f>
        <v/>
      </c>
      <c r="AQ757">
        <f>IF($AJ757="","",IF($AJ757=0,$AK757*EXP($AL757*-3),$AK757*(1+$AJ757*$AL757*-3)^(1/$AJ757)))</f>
        <v/>
      </c>
      <c r="AR757">
        <f>IF(OR($X757="",$T757&gt;60),"",IFERROR(INDEX(IF($T757&lt;24,pcomp_l,palt_l),MATCH($X757,IF($T757&lt;24,pcomp_k,palt_k),1)),""))</f>
        <v/>
      </c>
      <c r="AS757">
        <f>IF(OR($X757="",$T757&gt;60),"",IFERROR(INDEX(IF($T757&lt;24,pcomp_m,palt_m),MATCH($X757,IF($T757&lt;24,pcomp_k,palt_k),1)),""))</f>
        <v/>
      </c>
      <c r="AT757">
        <f>IF(OR($X757="",$T757&gt;60),"",IFERROR(INDEX(IF($T757&lt;24,pcomp_s,palt_s),MATCH($X757,IF($T757&lt;24,pcomp_k,palt_k),1)),""))</f>
        <v/>
      </c>
      <c r="AU757">
        <f>IF($AR757="","",IF($AR757=0,LN($F757/$AS757)/$AT757,((($F757/$AS757)^$AR757)-1)/($AR757*$AT757)))</f>
        <v/>
      </c>
      <c r="AV757">
        <f>IF($AR757="","",IF($AR757=0,$AS757*EXP($AT757*2),$AS757*(1+$AR757*$AT757*2)^(1/$AR757)))</f>
        <v/>
      </c>
      <c r="AW757">
        <f>IF($AR757="","",IF($AR757=0,$AS757*EXP($AT757*3),$AS757*(1+$AR757*$AT757*3)^(1/$AR757)))</f>
        <v/>
      </c>
      <c r="AX757">
        <f>IF($AR757="","",IF($AR757=0,$AS757*EXP($AT757*-2),$AS757*(1+$AR757*$AT757*-2)^(1/$AR757)))</f>
        <v/>
      </c>
      <c r="AY757">
        <f>IF($AR757="","",IF($AR757=0,$AS757*EXP($AT757*-3),$AS757*(1+$AR757*$AT757*-3)^(1/$AR757)))</f>
        <v/>
      </c>
      <c r="AZ757">
        <f>IF(OR($A757="",$A757&lt;&gt;Ficha!$C$4),"",COUNTIF($A$2:$A757,Ficha!$C$4))</f>
        <v/>
      </c>
    </row>
    <row r="758">
      <c r="A758" s="8">
        <f>IF(INDEX(Banco!$A:$A,ROW())="","",INDEX(Banco!$A:$A,ROW()))</f>
        <v/>
      </c>
      <c r="B758" s="8">
        <f>IF(INDEX(Banco!$B:$B,ROW())="","",INDEX(Banco!$B:$B,ROW()))</f>
        <v/>
      </c>
      <c r="C758" s="8">
        <f>IF(INDEX(Banco!$C:$C,ROW())="","",INDEX(Banco!$C:$C,ROW()))</f>
        <v/>
      </c>
      <c r="D758" s="9">
        <f>IF(INDEX(Banco!$D:$D,ROW())="","",INDEX(Banco!$D:$D,ROW()))</f>
        <v/>
      </c>
      <c r="E758" s="9">
        <f>IF(INDEX(Banco!$E:$E,ROW())="","",INDEX(Banco!$E:$E,ROW()))</f>
        <v/>
      </c>
      <c r="F758" s="10">
        <f>IF(INDEX(Banco!$F:$F,ROW())="","",INDEX(Banco!$F:$F,ROW()))</f>
        <v/>
      </c>
      <c r="G758" s="10">
        <f>IF(INDEX(Banco!$G:$G,ROW())="","",INDEX(Banco!$G:$G,ROW()))</f>
        <v/>
      </c>
      <c r="H758" s="8">
        <f>IF(INDEX(Banco!$H:$H,ROW())="","",INDEX(Banco!$H:$H,ROW()))</f>
        <v/>
      </c>
      <c r="I758">
        <f>IF($T758="","",INT($T758/12)&amp;"a "&amp;MOD($T758,12)&amp;"m")</f>
        <v/>
      </c>
      <c r="J758" s="11">
        <f>IF(OR($F758="",$G758=""),"",ROUND($F758/($G758/100)^2,2))</f>
        <v/>
      </c>
      <c r="K758" s="12">
        <f>IF(OR($S758="",$J758="",$T758="",$T758&lt;0,$T758&gt;228,$Y758=""),"—",ROUND(IF(ABS($AB758)&lt;=3,$AB758,IF($AB758&gt;3,3+($J758-$AD758)/($AD758-$AC758),-3+($J758-$AF758)/($AE758-$AF758))),2))</f>
        <v/>
      </c>
      <c r="L758">
        <f>IF(OR($K758="",$K758="—"),"",IF($T758&lt;=60,IF($K758&lt;-3,"Magreza acentuada",IF($K758&lt;-2,"Magreza",IF($K758&lt;=1,"Eutrofia",IF($K758&lt;=2,"Risco de sobrepeso",IF($K758&lt;=3,"Sobrepeso","Obesidade"))))),IF($K758&lt;-3,"Magreza acentuada",IF($K758&lt;-2,"Magreza",IF($K758&lt;=1,"Eutrofia",IF($K758&lt;=2,"Sobrepeso",IF($K758&lt;=3,"Obesidade","Obesidade grave")))))))</f>
        <v/>
      </c>
      <c r="M758" s="12">
        <f>IF(OR($S758="",$V758="",$T758="",$T758&lt;0,$T758&gt;228,$AG758=""),"—",ROUND(IF($AG758=0,LN($V758/$AH758)/$AI758,((($V758/$AH758)^$AG758)-1)/($AG758*$AI758)),2))</f>
        <v/>
      </c>
      <c r="N758">
        <f>IF(OR($M758="",$M758="—"),"",IF($M758&lt;-3,"Muito baixa",IF($M758&lt;-2,"Baixa","Adequada")))</f>
        <v/>
      </c>
      <c r="O758" s="12">
        <f>IF(OR($S758="",$F758="",$T758="",$T758&lt;0,$T758&gt;120,$AJ758=""),"—",ROUND(IF(ABS($AM758)&lt;=3,$AM758,IF($AM758&gt;3,3+($F758-$AO758)/($AO758-$AN758),-3+($F758-$AQ758)/($AP758-$AQ758))),2))</f>
        <v/>
      </c>
      <c r="P758">
        <f>IF(OR($O758="",$O758="—"),"",IF($O758&lt;-3,"Muito baixo",IF($O758&lt;-2,"Baixo",IF($O758&lt;=2,"Adequado","Elevado"))))</f>
        <v/>
      </c>
      <c r="Q758" s="12">
        <f>IF(OR($S758="",$F758="",$T758="",$T758&lt;0,$T758&gt;60,$AR758=""),"—",ROUND(IF(ABS($AU758)&lt;=3,$AU758,IF($AU758&gt;3,3+($F758-$AW758)/($AW758-$AV758),-3+($F758-$AY758)/($AX758-$AY758))),2))</f>
        <v/>
      </c>
      <c r="R758">
        <f>IF(OR($Q758="",$Q758="—"),"",IF($Q758&lt;-3,"Magreza acentuada",IF($Q758&lt;-2,"Magreza",IF($Q758&lt;=1,"Eutrofia",IF($Q758&lt;=2,"Risco de sobrepeso",IF($Q758&lt;=3,"Sobrepeso","Obesidade"))))))</f>
        <v/>
      </c>
      <c r="S758">
        <f>IF($C758="","",IF(UPPER(LEFT($C758,1))="M",1,IF(UPPER(LEFT($C758,1))="F",2,"")))</f>
        <v/>
      </c>
      <c r="T758">
        <f>IF(OR($D758="",$E758=""),"",DATEDIF($D758,$E758,"m"))</f>
        <v/>
      </c>
      <c r="U758">
        <f>IF(OR($D758="",$E758=""),"",$E758-$D758)</f>
        <v/>
      </c>
      <c r="V758">
        <f>IF(OR($G758="",$T758=""),"",IF($T758&lt;24,IF(LEFT(LOWER($H758),4)="em p",$G758+0.7,$G758),IF(LEFT(LOWER($H758),4)="deit",$G758-0.7,$G758)))</f>
        <v/>
      </c>
      <c r="W758">
        <f>IF(OR($S758="",$T758=""),"",$S758*1000000+IF($T758&lt;=60,$U758,$T758))</f>
        <v/>
      </c>
      <c r="X758">
        <f>IF(OR($S758="",$V758="",$T758&gt;60,$T758=""),"",$S758*1000000+ROUND($V758*10,0))</f>
        <v/>
      </c>
      <c r="Y758">
        <f>IF($W758="","",IFERROR(INDEX(IF($T758&lt;=60,imc05_l,imc519_l),MATCH($W758,IF($T758&lt;=60,imc05_k,imc519_k),1)),""))</f>
        <v/>
      </c>
      <c r="Z758">
        <f>IF($W758="","",IFERROR(INDEX(IF($T758&lt;=60,imc05_m,imc519_m),MATCH($W758,IF($T758&lt;=60,imc05_k,imc519_k),1)),""))</f>
        <v/>
      </c>
      <c r="AA758">
        <f>IF($W758="","",IFERROR(INDEX(IF($T758&lt;=60,imc05_s,imc519_s),MATCH($W758,IF($T758&lt;=60,imc05_k,imc519_k),1)),""))</f>
        <v/>
      </c>
      <c r="AB758">
        <f>IF($Y758="","",IF($Y758=0,LN($J758/$Z758)/$AA758,((($J758/$Z758)^$Y758)-1)/($Y758*$AA758)))</f>
        <v/>
      </c>
      <c r="AC758">
        <f>IF($Y758="","",IF($Y758=0,$Z758*EXP($AA758*2),$Z758*(1+$Y758*$AA758*2)^(1/$Y758)))</f>
        <v/>
      </c>
      <c r="AD758">
        <f>IF($Y758="","",IF($Y758=0,$Z758*EXP($AA758*3),$Z758*(1+$Y758*$AA758*3)^(1/$Y758)))</f>
        <v/>
      </c>
      <c r="AE758">
        <f>IF($Y758="","",IF($Y758=0,$Z758*EXP($AA758*-2),$Z758*(1+$Y758*$AA758*-2)^(1/$Y758)))</f>
        <v/>
      </c>
      <c r="AF758">
        <f>IF($Y758="","",IF($Y758=0,$Z758*EXP($AA758*-3),$Z758*(1+$Y758*$AA758*-3)^(1/$Y758)))</f>
        <v/>
      </c>
      <c r="AG758">
        <f>IF($W758="","",IFERROR(INDEX(IF($T758&lt;=60,est05_l,est519_l),MATCH($W758,IF($T758&lt;=60,est05_k,est519_k),1)),""))</f>
        <v/>
      </c>
      <c r="AH758">
        <f>IF($W758="","",IFERROR(INDEX(IF($T758&lt;=60,est05_m,est519_m),MATCH($W758,IF($T758&lt;=60,est05_k,est519_k),1)),""))</f>
        <v/>
      </c>
      <c r="AI758">
        <f>IF($W758="","",IFERROR(INDEX(IF($T758&lt;=60,est05_s,est519_s),MATCH($W758,IF($T758&lt;=60,est05_k,est519_k),1)),""))</f>
        <v/>
      </c>
      <c r="AJ758">
        <f>IF($W758="","",IFERROR(INDEX(IF($T758&lt;=60,peso05_l,peso510_l),MATCH($W758,IF($T758&lt;=60,peso05_k,peso510_k),1)),""))</f>
        <v/>
      </c>
      <c r="AK758">
        <f>IF($W758="","",IFERROR(INDEX(IF($T758&lt;=60,peso05_m,peso510_m),MATCH($W758,IF($T758&lt;=60,peso05_k,peso510_k),1)),""))</f>
        <v/>
      </c>
      <c r="AL758">
        <f>IF($W758="","",IFERROR(INDEX(IF($T758&lt;=60,peso05_s,peso510_s),MATCH($W758,IF($T758&lt;=60,peso05_k,peso510_k),1)),""))</f>
        <v/>
      </c>
      <c r="AM758">
        <f>IF($AJ758="","",IF($AJ758=0,LN($F758/$AK758)/$AL758,((($F758/$AK758)^$AJ758)-1)/($AJ758*$AL758)))</f>
        <v/>
      </c>
      <c r="AN758">
        <f>IF($AJ758="","",IF($AJ758=0,$AK758*EXP($AL758*2),$AK758*(1+$AJ758*$AL758*2)^(1/$AJ758)))</f>
        <v/>
      </c>
      <c r="AO758">
        <f>IF($AJ758="","",IF($AJ758=0,$AK758*EXP($AL758*3),$AK758*(1+$AJ758*$AL758*3)^(1/$AJ758)))</f>
        <v/>
      </c>
      <c r="AP758">
        <f>IF($AJ758="","",IF($AJ758=0,$AK758*EXP($AL758*-2),$AK758*(1+$AJ758*$AL758*-2)^(1/$AJ758)))</f>
        <v/>
      </c>
      <c r="AQ758">
        <f>IF($AJ758="","",IF($AJ758=0,$AK758*EXP($AL758*-3),$AK758*(1+$AJ758*$AL758*-3)^(1/$AJ758)))</f>
        <v/>
      </c>
      <c r="AR758">
        <f>IF(OR($X758="",$T758&gt;60),"",IFERROR(INDEX(IF($T758&lt;24,pcomp_l,palt_l),MATCH($X758,IF($T758&lt;24,pcomp_k,palt_k),1)),""))</f>
        <v/>
      </c>
      <c r="AS758">
        <f>IF(OR($X758="",$T758&gt;60),"",IFERROR(INDEX(IF($T758&lt;24,pcomp_m,palt_m),MATCH($X758,IF($T758&lt;24,pcomp_k,palt_k),1)),""))</f>
        <v/>
      </c>
      <c r="AT758">
        <f>IF(OR($X758="",$T758&gt;60),"",IFERROR(INDEX(IF($T758&lt;24,pcomp_s,palt_s),MATCH($X758,IF($T758&lt;24,pcomp_k,palt_k),1)),""))</f>
        <v/>
      </c>
      <c r="AU758">
        <f>IF($AR758="","",IF($AR758=0,LN($F758/$AS758)/$AT758,((($F758/$AS758)^$AR758)-1)/($AR758*$AT758)))</f>
        <v/>
      </c>
      <c r="AV758">
        <f>IF($AR758="","",IF($AR758=0,$AS758*EXP($AT758*2),$AS758*(1+$AR758*$AT758*2)^(1/$AR758)))</f>
        <v/>
      </c>
      <c r="AW758">
        <f>IF($AR758="","",IF($AR758=0,$AS758*EXP($AT758*3),$AS758*(1+$AR758*$AT758*3)^(1/$AR758)))</f>
        <v/>
      </c>
      <c r="AX758">
        <f>IF($AR758="","",IF($AR758=0,$AS758*EXP($AT758*-2),$AS758*(1+$AR758*$AT758*-2)^(1/$AR758)))</f>
        <v/>
      </c>
      <c r="AY758">
        <f>IF($AR758="","",IF($AR758=0,$AS758*EXP($AT758*-3),$AS758*(1+$AR758*$AT758*-3)^(1/$AR758)))</f>
        <v/>
      </c>
      <c r="AZ758">
        <f>IF(OR($A758="",$A758&lt;&gt;Ficha!$C$4),"",COUNTIF($A$2:$A758,Ficha!$C$4))</f>
        <v/>
      </c>
    </row>
    <row r="759">
      <c r="A759" s="8">
        <f>IF(INDEX(Banco!$A:$A,ROW())="","",INDEX(Banco!$A:$A,ROW()))</f>
        <v/>
      </c>
      <c r="B759" s="8">
        <f>IF(INDEX(Banco!$B:$B,ROW())="","",INDEX(Banco!$B:$B,ROW()))</f>
        <v/>
      </c>
      <c r="C759" s="8">
        <f>IF(INDEX(Banco!$C:$C,ROW())="","",INDEX(Banco!$C:$C,ROW()))</f>
        <v/>
      </c>
      <c r="D759" s="9">
        <f>IF(INDEX(Banco!$D:$D,ROW())="","",INDEX(Banco!$D:$D,ROW()))</f>
        <v/>
      </c>
      <c r="E759" s="9">
        <f>IF(INDEX(Banco!$E:$E,ROW())="","",INDEX(Banco!$E:$E,ROW()))</f>
        <v/>
      </c>
      <c r="F759" s="10">
        <f>IF(INDEX(Banco!$F:$F,ROW())="","",INDEX(Banco!$F:$F,ROW()))</f>
        <v/>
      </c>
      <c r="G759" s="10">
        <f>IF(INDEX(Banco!$G:$G,ROW())="","",INDEX(Banco!$G:$G,ROW()))</f>
        <v/>
      </c>
      <c r="H759" s="8">
        <f>IF(INDEX(Banco!$H:$H,ROW())="","",INDEX(Banco!$H:$H,ROW()))</f>
        <v/>
      </c>
      <c r="I759">
        <f>IF($T759="","",INT($T759/12)&amp;"a "&amp;MOD($T759,12)&amp;"m")</f>
        <v/>
      </c>
      <c r="J759" s="11">
        <f>IF(OR($F759="",$G759=""),"",ROUND($F759/($G759/100)^2,2))</f>
        <v/>
      </c>
      <c r="K759" s="12">
        <f>IF(OR($S759="",$J759="",$T759="",$T759&lt;0,$T759&gt;228,$Y759=""),"—",ROUND(IF(ABS($AB759)&lt;=3,$AB759,IF($AB759&gt;3,3+($J759-$AD759)/($AD759-$AC759),-3+($J759-$AF759)/($AE759-$AF759))),2))</f>
        <v/>
      </c>
      <c r="L759">
        <f>IF(OR($K759="",$K759="—"),"",IF($T759&lt;=60,IF($K759&lt;-3,"Magreza acentuada",IF($K759&lt;-2,"Magreza",IF($K759&lt;=1,"Eutrofia",IF($K759&lt;=2,"Risco de sobrepeso",IF($K759&lt;=3,"Sobrepeso","Obesidade"))))),IF($K759&lt;-3,"Magreza acentuada",IF($K759&lt;-2,"Magreza",IF($K759&lt;=1,"Eutrofia",IF($K759&lt;=2,"Sobrepeso",IF($K759&lt;=3,"Obesidade","Obesidade grave")))))))</f>
        <v/>
      </c>
      <c r="M759" s="12">
        <f>IF(OR($S759="",$V759="",$T759="",$T759&lt;0,$T759&gt;228,$AG759=""),"—",ROUND(IF($AG759=0,LN($V759/$AH759)/$AI759,((($V759/$AH759)^$AG759)-1)/($AG759*$AI759)),2))</f>
        <v/>
      </c>
      <c r="N759">
        <f>IF(OR($M759="",$M759="—"),"",IF($M759&lt;-3,"Muito baixa",IF($M759&lt;-2,"Baixa","Adequada")))</f>
        <v/>
      </c>
      <c r="O759" s="12">
        <f>IF(OR($S759="",$F759="",$T759="",$T759&lt;0,$T759&gt;120,$AJ759=""),"—",ROUND(IF(ABS($AM759)&lt;=3,$AM759,IF($AM759&gt;3,3+($F759-$AO759)/($AO759-$AN759),-3+($F759-$AQ759)/($AP759-$AQ759))),2))</f>
        <v/>
      </c>
      <c r="P759">
        <f>IF(OR($O759="",$O759="—"),"",IF($O759&lt;-3,"Muito baixo",IF($O759&lt;-2,"Baixo",IF($O759&lt;=2,"Adequado","Elevado"))))</f>
        <v/>
      </c>
      <c r="Q759" s="12">
        <f>IF(OR($S759="",$F759="",$T759="",$T759&lt;0,$T759&gt;60,$AR759=""),"—",ROUND(IF(ABS($AU759)&lt;=3,$AU759,IF($AU759&gt;3,3+($F759-$AW759)/($AW759-$AV759),-3+($F759-$AY759)/($AX759-$AY759))),2))</f>
        <v/>
      </c>
      <c r="R759">
        <f>IF(OR($Q759="",$Q759="—"),"",IF($Q759&lt;-3,"Magreza acentuada",IF($Q759&lt;-2,"Magreza",IF($Q759&lt;=1,"Eutrofia",IF($Q759&lt;=2,"Risco de sobrepeso",IF($Q759&lt;=3,"Sobrepeso","Obesidade"))))))</f>
        <v/>
      </c>
      <c r="S759">
        <f>IF($C759="","",IF(UPPER(LEFT($C759,1))="M",1,IF(UPPER(LEFT($C759,1))="F",2,"")))</f>
        <v/>
      </c>
      <c r="T759">
        <f>IF(OR($D759="",$E759=""),"",DATEDIF($D759,$E759,"m"))</f>
        <v/>
      </c>
      <c r="U759">
        <f>IF(OR($D759="",$E759=""),"",$E759-$D759)</f>
        <v/>
      </c>
      <c r="V759">
        <f>IF(OR($G759="",$T759=""),"",IF($T759&lt;24,IF(LEFT(LOWER($H759),4)="em p",$G759+0.7,$G759),IF(LEFT(LOWER($H759),4)="deit",$G759-0.7,$G759)))</f>
        <v/>
      </c>
      <c r="W759">
        <f>IF(OR($S759="",$T759=""),"",$S759*1000000+IF($T759&lt;=60,$U759,$T759))</f>
        <v/>
      </c>
      <c r="X759">
        <f>IF(OR($S759="",$V759="",$T759&gt;60,$T759=""),"",$S759*1000000+ROUND($V759*10,0))</f>
        <v/>
      </c>
      <c r="Y759">
        <f>IF($W759="","",IFERROR(INDEX(IF($T759&lt;=60,imc05_l,imc519_l),MATCH($W759,IF($T759&lt;=60,imc05_k,imc519_k),1)),""))</f>
        <v/>
      </c>
      <c r="Z759">
        <f>IF($W759="","",IFERROR(INDEX(IF($T759&lt;=60,imc05_m,imc519_m),MATCH($W759,IF($T759&lt;=60,imc05_k,imc519_k),1)),""))</f>
        <v/>
      </c>
      <c r="AA759">
        <f>IF($W759="","",IFERROR(INDEX(IF($T759&lt;=60,imc05_s,imc519_s),MATCH($W759,IF($T759&lt;=60,imc05_k,imc519_k),1)),""))</f>
        <v/>
      </c>
      <c r="AB759">
        <f>IF($Y759="","",IF($Y759=0,LN($J759/$Z759)/$AA759,((($J759/$Z759)^$Y759)-1)/($Y759*$AA759)))</f>
        <v/>
      </c>
      <c r="AC759">
        <f>IF($Y759="","",IF($Y759=0,$Z759*EXP($AA759*2),$Z759*(1+$Y759*$AA759*2)^(1/$Y759)))</f>
        <v/>
      </c>
      <c r="AD759">
        <f>IF($Y759="","",IF($Y759=0,$Z759*EXP($AA759*3),$Z759*(1+$Y759*$AA759*3)^(1/$Y759)))</f>
        <v/>
      </c>
      <c r="AE759">
        <f>IF($Y759="","",IF($Y759=0,$Z759*EXP($AA759*-2),$Z759*(1+$Y759*$AA759*-2)^(1/$Y759)))</f>
        <v/>
      </c>
      <c r="AF759">
        <f>IF($Y759="","",IF($Y759=0,$Z759*EXP($AA759*-3),$Z759*(1+$Y759*$AA759*-3)^(1/$Y759)))</f>
        <v/>
      </c>
      <c r="AG759">
        <f>IF($W759="","",IFERROR(INDEX(IF($T759&lt;=60,est05_l,est519_l),MATCH($W759,IF($T759&lt;=60,est05_k,est519_k),1)),""))</f>
        <v/>
      </c>
      <c r="AH759">
        <f>IF($W759="","",IFERROR(INDEX(IF($T759&lt;=60,est05_m,est519_m),MATCH($W759,IF($T759&lt;=60,est05_k,est519_k),1)),""))</f>
        <v/>
      </c>
      <c r="AI759">
        <f>IF($W759="","",IFERROR(INDEX(IF($T759&lt;=60,est05_s,est519_s),MATCH($W759,IF($T759&lt;=60,est05_k,est519_k),1)),""))</f>
        <v/>
      </c>
      <c r="AJ759">
        <f>IF($W759="","",IFERROR(INDEX(IF($T759&lt;=60,peso05_l,peso510_l),MATCH($W759,IF($T759&lt;=60,peso05_k,peso510_k),1)),""))</f>
        <v/>
      </c>
      <c r="AK759">
        <f>IF($W759="","",IFERROR(INDEX(IF($T759&lt;=60,peso05_m,peso510_m),MATCH($W759,IF($T759&lt;=60,peso05_k,peso510_k),1)),""))</f>
        <v/>
      </c>
      <c r="AL759">
        <f>IF($W759="","",IFERROR(INDEX(IF($T759&lt;=60,peso05_s,peso510_s),MATCH($W759,IF($T759&lt;=60,peso05_k,peso510_k),1)),""))</f>
        <v/>
      </c>
      <c r="AM759">
        <f>IF($AJ759="","",IF($AJ759=0,LN($F759/$AK759)/$AL759,((($F759/$AK759)^$AJ759)-1)/($AJ759*$AL759)))</f>
        <v/>
      </c>
      <c r="AN759">
        <f>IF($AJ759="","",IF($AJ759=0,$AK759*EXP($AL759*2),$AK759*(1+$AJ759*$AL759*2)^(1/$AJ759)))</f>
        <v/>
      </c>
      <c r="AO759">
        <f>IF($AJ759="","",IF($AJ759=0,$AK759*EXP($AL759*3),$AK759*(1+$AJ759*$AL759*3)^(1/$AJ759)))</f>
        <v/>
      </c>
      <c r="AP759">
        <f>IF($AJ759="","",IF($AJ759=0,$AK759*EXP($AL759*-2),$AK759*(1+$AJ759*$AL759*-2)^(1/$AJ759)))</f>
        <v/>
      </c>
      <c r="AQ759">
        <f>IF($AJ759="","",IF($AJ759=0,$AK759*EXP($AL759*-3),$AK759*(1+$AJ759*$AL759*-3)^(1/$AJ759)))</f>
        <v/>
      </c>
      <c r="AR759">
        <f>IF(OR($X759="",$T759&gt;60),"",IFERROR(INDEX(IF($T759&lt;24,pcomp_l,palt_l),MATCH($X759,IF($T759&lt;24,pcomp_k,palt_k),1)),""))</f>
        <v/>
      </c>
      <c r="AS759">
        <f>IF(OR($X759="",$T759&gt;60),"",IFERROR(INDEX(IF($T759&lt;24,pcomp_m,palt_m),MATCH($X759,IF($T759&lt;24,pcomp_k,palt_k),1)),""))</f>
        <v/>
      </c>
      <c r="AT759">
        <f>IF(OR($X759="",$T759&gt;60),"",IFERROR(INDEX(IF($T759&lt;24,pcomp_s,palt_s),MATCH($X759,IF($T759&lt;24,pcomp_k,palt_k),1)),""))</f>
        <v/>
      </c>
      <c r="AU759">
        <f>IF($AR759="","",IF($AR759=0,LN($F759/$AS759)/$AT759,((($F759/$AS759)^$AR759)-1)/($AR759*$AT759)))</f>
        <v/>
      </c>
      <c r="AV759">
        <f>IF($AR759="","",IF($AR759=0,$AS759*EXP($AT759*2),$AS759*(1+$AR759*$AT759*2)^(1/$AR759)))</f>
        <v/>
      </c>
      <c r="AW759">
        <f>IF($AR759="","",IF($AR759=0,$AS759*EXP($AT759*3),$AS759*(1+$AR759*$AT759*3)^(1/$AR759)))</f>
        <v/>
      </c>
      <c r="AX759">
        <f>IF($AR759="","",IF($AR759=0,$AS759*EXP($AT759*-2),$AS759*(1+$AR759*$AT759*-2)^(1/$AR759)))</f>
        <v/>
      </c>
      <c r="AY759">
        <f>IF($AR759="","",IF($AR759=0,$AS759*EXP($AT759*-3),$AS759*(1+$AR759*$AT759*-3)^(1/$AR759)))</f>
        <v/>
      </c>
      <c r="AZ759">
        <f>IF(OR($A759="",$A759&lt;&gt;Ficha!$C$4),"",COUNTIF($A$2:$A759,Ficha!$C$4))</f>
        <v/>
      </c>
    </row>
    <row r="760">
      <c r="A760" s="8">
        <f>IF(INDEX(Banco!$A:$A,ROW())="","",INDEX(Banco!$A:$A,ROW()))</f>
        <v/>
      </c>
      <c r="B760" s="8">
        <f>IF(INDEX(Banco!$B:$B,ROW())="","",INDEX(Banco!$B:$B,ROW()))</f>
        <v/>
      </c>
      <c r="C760" s="8">
        <f>IF(INDEX(Banco!$C:$C,ROW())="","",INDEX(Banco!$C:$C,ROW()))</f>
        <v/>
      </c>
      <c r="D760" s="9">
        <f>IF(INDEX(Banco!$D:$D,ROW())="","",INDEX(Banco!$D:$D,ROW()))</f>
        <v/>
      </c>
      <c r="E760" s="9">
        <f>IF(INDEX(Banco!$E:$E,ROW())="","",INDEX(Banco!$E:$E,ROW()))</f>
        <v/>
      </c>
      <c r="F760" s="10">
        <f>IF(INDEX(Banco!$F:$F,ROW())="","",INDEX(Banco!$F:$F,ROW()))</f>
        <v/>
      </c>
      <c r="G760" s="10">
        <f>IF(INDEX(Banco!$G:$G,ROW())="","",INDEX(Banco!$G:$G,ROW()))</f>
        <v/>
      </c>
      <c r="H760" s="8">
        <f>IF(INDEX(Banco!$H:$H,ROW())="","",INDEX(Banco!$H:$H,ROW()))</f>
        <v/>
      </c>
      <c r="I760">
        <f>IF($T760="","",INT($T760/12)&amp;"a "&amp;MOD($T760,12)&amp;"m")</f>
        <v/>
      </c>
      <c r="J760" s="11">
        <f>IF(OR($F760="",$G760=""),"",ROUND($F760/($G760/100)^2,2))</f>
        <v/>
      </c>
      <c r="K760" s="12">
        <f>IF(OR($S760="",$J760="",$T760="",$T760&lt;0,$T760&gt;228,$Y760=""),"—",ROUND(IF(ABS($AB760)&lt;=3,$AB760,IF($AB760&gt;3,3+($J760-$AD760)/($AD760-$AC760),-3+($J760-$AF760)/($AE760-$AF760))),2))</f>
        <v/>
      </c>
      <c r="L760">
        <f>IF(OR($K760="",$K760="—"),"",IF($T760&lt;=60,IF($K760&lt;-3,"Magreza acentuada",IF($K760&lt;-2,"Magreza",IF($K760&lt;=1,"Eutrofia",IF($K760&lt;=2,"Risco de sobrepeso",IF($K760&lt;=3,"Sobrepeso","Obesidade"))))),IF($K760&lt;-3,"Magreza acentuada",IF($K760&lt;-2,"Magreza",IF($K760&lt;=1,"Eutrofia",IF($K760&lt;=2,"Sobrepeso",IF($K760&lt;=3,"Obesidade","Obesidade grave")))))))</f>
        <v/>
      </c>
      <c r="M760" s="12">
        <f>IF(OR($S760="",$V760="",$T760="",$T760&lt;0,$T760&gt;228,$AG760=""),"—",ROUND(IF($AG760=0,LN($V760/$AH760)/$AI760,((($V760/$AH760)^$AG760)-1)/($AG760*$AI760)),2))</f>
        <v/>
      </c>
      <c r="N760">
        <f>IF(OR($M760="",$M760="—"),"",IF($M760&lt;-3,"Muito baixa",IF($M760&lt;-2,"Baixa","Adequada")))</f>
        <v/>
      </c>
      <c r="O760" s="12">
        <f>IF(OR($S760="",$F760="",$T760="",$T760&lt;0,$T760&gt;120,$AJ760=""),"—",ROUND(IF(ABS($AM760)&lt;=3,$AM760,IF($AM760&gt;3,3+($F760-$AO760)/($AO760-$AN760),-3+($F760-$AQ760)/($AP760-$AQ760))),2))</f>
        <v/>
      </c>
      <c r="P760">
        <f>IF(OR($O760="",$O760="—"),"",IF($O760&lt;-3,"Muito baixo",IF($O760&lt;-2,"Baixo",IF($O760&lt;=2,"Adequado","Elevado"))))</f>
        <v/>
      </c>
      <c r="Q760" s="12">
        <f>IF(OR($S760="",$F760="",$T760="",$T760&lt;0,$T760&gt;60,$AR760=""),"—",ROUND(IF(ABS($AU760)&lt;=3,$AU760,IF($AU760&gt;3,3+($F760-$AW760)/($AW760-$AV760),-3+($F760-$AY760)/($AX760-$AY760))),2))</f>
        <v/>
      </c>
      <c r="R760">
        <f>IF(OR($Q760="",$Q760="—"),"",IF($Q760&lt;-3,"Magreza acentuada",IF($Q760&lt;-2,"Magreza",IF($Q760&lt;=1,"Eutrofia",IF($Q760&lt;=2,"Risco de sobrepeso",IF($Q760&lt;=3,"Sobrepeso","Obesidade"))))))</f>
        <v/>
      </c>
      <c r="S760">
        <f>IF($C760="","",IF(UPPER(LEFT($C760,1))="M",1,IF(UPPER(LEFT($C760,1))="F",2,"")))</f>
        <v/>
      </c>
      <c r="T760">
        <f>IF(OR($D760="",$E760=""),"",DATEDIF($D760,$E760,"m"))</f>
        <v/>
      </c>
      <c r="U760">
        <f>IF(OR($D760="",$E760=""),"",$E760-$D760)</f>
        <v/>
      </c>
      <c r="V760">
        <f>IF(OR($G760="",$T760=""),"",IF($T760&lt;24,IF(LEFT(LOWER($H760),4)="em p",$G760+0.7,$G760),IF(LEFT(LOWER($H760),4)="deit",$G760-0.7,$G760)))</f>
        <v/>
      </c>
      <c r="W760">
        <f>IF(OR($S760="",$T760=""),"",$S760*1000000+IF($T760&lt;=60,$U760,$T760))</f>
        <v/>
      </c>
      <c r="X760">
        <f>IF(OR($S760="",$V760="",$T760&gt;60,$T760=""),"",$S760*1000000+ROUND($V760*10,0))</f>
        <v/>
      </c>
      <c r="Y760">
        <f>IF($W760="","",IFERROR(INDEX(IF($T760&lt;=60,imc05_l,imc519_l),MATCH($W760,IF($T760&lt;=60,imc05_k,imc519_k),1)),""))</f>
        <v/>
      </c>
      <c r="Z760">
        <f>IF($W760="","",IFERROR(INDEX(IF($T760&lt;=60,imc05_m,imc519_m),MATCH($W760,IF($T760&lt;=60,imc05_k,imc519_k),1)),""))</f>
        <v/>
      </c>
      <c r="AA760">
        <f>IF($W760="","",IFERROR(INDEX(IF($T760&lt;=60,imc05_s,imc519_s),MATCH($W760,IF($T760&lt;=60,imc05_k,imc519_k),1)),""))</f>
        <v/>
      </c>
      <c r="AB760">
        <f>IF($Y760="","",IF($Y760=0,LN($J760/$Z760)/$AA760,((($J760/$Z760)^$Y760)-1)/($Y760*$AA760)))</f>
        <v/>
      </c>
      <c r="AC760">
        <f>IF($Y760="","",IF($Y760=0,$Z760*EXP($AA760*2),$Z760*(1+$Y760*$AA760*2)^(1/$Y760)))</f>
        <v/>
      </c>
      <c r="AD760">
        <f>IF($Y760="","",IF($Y760=0,$Z760*EXP($AA760*3),$Z760*(1+$Y760*$AA760*3)^(1/$Y760)))</f>
        <v/>
      </c>
      <c r="AE760">
        <f>IF($Y760="","",IF($Y760=0,$Z760*EXP($AA760*-2),$Z760*(1+$Y760*$AA760*-2)^(1/$Y760)))</f>
        <v/>
      </c>
      <c r="AF760">
        <f>IF($Y760="","",IF($Y760=0,$Z760*EXP($AA760*-3),$Z760*(1+$Y760*$AA760*-3)^(1/$Y760)))</f>
        <v/>
      </c>
      <c r="AG760">
        <f>IF($W760="","",IFERROR(INDEX(IF($T760&lt;=60,est05_l,est519_l),MATCH($W760,IF($T760&lt;=60,est05_k,est519_k),1)),""))</f>
        <v/>
      </c>
      <c r="AH760">
        <f>IF($W760="","",IFERROR(INDEX(IF($T760&lt;=60,est05_m,est519_m),MATCH($W760,IF($T760&lt;=60,est05_k,est519_k),1)),""))</f>
        <v/>
      </c>
      <c r="AI760">
        <f>IF($W760="","",IFERROR(INDEX(IF($T760&lt;=60,est05_s,est519_s),MATCH($W760,IF($T760&lt;=60,est05_k,est519_k),1)),""))</f>
        <v/>
      </c>
      <c r="AJ760">
        <f>IF($W760="","",IFERROR(INDEX(IF($T760&lt;=60,peso05_l,peso510_l),MATCH($W760,IF($T760&lt;=60,peso05_k,peso510_k),1)),""))</f>
        <v/>
      </c>
      <c r="AK760">
        <f>IF($W760="","",IFERROR(INDEX(IF($T760&lt;=60,peso05_m,peso510_m),MATCH($W760,IF($T760&lt;=60,peso05_k,peso510_k),1)),""))</f>
        <v/>
      </c>
      <c r="AL760">
        <f>IF($W760="","",IFERROR(INDEX(IF($T760&lt;=60,peso05_s,peso510_s),MATCH($W760,IF($T760&lt;=60,peso05_k,peso510_k),1)),""))</f>
        <v/>
      </c>
      <c r="AM760">
        <f>IF($AJ760="","",IF($AJ760=0,LN($F760/$AK760)/$AL760,((($F760/$AK760)^$AJ760)-1)/($AJ760*$AL760)))</f>
        <v/>
      </c>
      <c r="AN760">
        <f>IF($AJ760="","",IF($AJ760=0,$AK760*EXP($AL760*2),$AK760*(1+$AJ760*$AL760*2)^(1/$AJ760)))</f>
        <v/>
      </c>
      <c r="AO760">
        <f>IF($AJ760="","",IF($AJ760=0,$AK760*EXP($AL760*3),$AK760*(1+$AJ760*$AL760*3)^(1/$AJ760)))</f>
        <v/>
      </c>
      <c r="AP760">
        <f>IF($AJ760="","",IF($AJ760=0,$AK760*EXP($AL760*-2),$AK760*(1+$AJ760*$AL760*-2)^(1/$AJ760)))</f>
        <v/>
      </c>
      <c r="AQ760">
        <f>IF($AJ760="","",IF($AJ760=0,$AK760*EXP($AL760*-3),$AK760*(1+$AJ760*$AL760*-3)^(1/$AJ760)))</f>
        <v/>
      </c>
      <c r="AR760">
        <f>IF(OR($X760="",$T760&gt;60),"",IFERROR(INDEX(IF($T760&lt;24,pcomp_l,palt_l),MATCH($X760,IF($T760&lt;24,pcomp_k,palt_k),1)),""))</f>
        <v/>
      </c>
      <c r="AS760">
        <f>IF(OR($X760="",$T760&gt;60),"",IFERROR(INDEX(IF($T760&lt;24,pcomp_m,palt_m),MATCH($X760,IF($T760&lt;24,pcomp_k,palt_k),1)),""))</f>
        <v/>
      </c>
      <c r="AT760">
        <f>IF(OR($X760="",$T760&gt;60),"",IFERROR(INDEX(IF($T760&lt;24,pcomp_s,palt_s),MATCH($X760,IF($T760&lt;24,pcomp_k,palt_k),1)),""))</f>
        <v/>
      </c>
      <c r="AU760">
        <f>IF($AR760="","",IF($AR760=0,LN($F760/$AS760)/$AT760,((($F760/$AS760)^$AR760)-1)/($AR760*$AT760)))</f>
        <v/>
      </c>
      <c r="AV760">
        <f>IF($AR760="","",IF($AR760=0,$AS760*EXP($AT760*2),$AS760*(1+$AR760*$AT760*2)^(1/$AR760)))</f>
        <v/>
      </c>
      <c r="AW760">
        <f>IF($AR760="","",IF($AR760=0,$AS760*EXP($AT760*3),$AS760*(1+$AR760*$AT760*3)^(1/$AR760)))</f>
        <v/>
      </c>
      <c r="AX760">
        <f>IF($AR760="","",IF($AR760=0,$AS760*EXP($AT760*-2),$AS760*(1+$AR760*$AT760*-2)^(1/$AR760)))</f>
        <v/>
      </c>
      <c r="AY760">
        <f>IF($AR760="","",IF($AR760=0,$AS760*EXP($AT760*-3),$AS760*(1+$AR760*$AT760*-3)^(1/$AR760)))</f>
        <v/>
      </c>
      <c r="AZ760">
        <f>IF(OR($A760="",$A760&lt;&gt;Ficha!$C$4),"",COUNTIF($A$2:$A760,Ficha!$C$4))</f>
        <v/>
      </c>
    </row>
    <row r="761">
      <c r="A761" s="8">
        <f>IF(INDEX(Banco!$A:$A,ROW())="","",INDEX(Banco!$A:$A,ROW()))</f>
        <v/>
      </c>
      <c r="B761" s="8">
        <f>IF(INDEX(Banco!$B:$B,ROW())="","",INDEX(Banco!$B:$B,ROW()))</f>
        <v/>
      </c>
      <c r="C761" s="8">
        <f>IF(INDEX(Banco!$C:$C,ROW())="","",INDEX(Banco!$C:$C,ROW()))</f>
        <v/>
      </c>
      <c r="D761" s="9">
        <f>IF(INDEX(Banco!$D:$D,ROW())="","",INDEX(Banco!$D:$D,ROW()))</f>
        <v/>
      </c>
      <c r="E761" s="9">
        <f>IF(INDEX(Banco!$E:$E,ROW())="","",INDEX(Banco!$E:$E,ROW()))</f>
        <v/>
      </c>
      <c r="F761" s="10">
        <f>IF(INDEX(Banco!$F:$F,ROW())="","",INDEX(Banco!$F:$F,ROW()))</f>
        <v/>
      </c>
      <c r="G761" s="10">
        <f>IF(INDEX(Banco!$G:$G,ROW())="","",INDEX(Banco!$G:$G,ROW()))</f>
        <v/>
      </c>
      <c r="H761" s="8">
        <f>IF(INDEX(Banco!$H:$H,ROW())="","",INDEX(Banco!$H:$H,ROW()))</f>
        <v/>
      </c>
      <c r="I761">
        <f>IF($T761="","",INT($T761/12)&amp;"a "&amp;MOD($T761,12)&amp;"m")</f>
        <v/>
      </c>
      <c r="J761" s="11">
        <f>IF(OR($F761="",$G761=""),"",ROUND($F761/($G761/100)^2,2))</f>
        <v/>
      </c>
      <c r="K761" s="12">
        <f>IF(OR($S761="",$J761="",$T761="",$T761&lt;0,$T761&gt;228,$Y761=""),"—",ROUND(IF(ABS($AB761)&lt;=3,$AB761,IF($AB761&gt;3,3+($J761-$AD761)/($AD761-$AC761),-3+($J761-$AF761)/($AE761-$AF761))),2))</f>
        <v/>
      </c>
      <c r="L761">
        <f>IF(OR($K761="",$K761="—"),"",IF($T761&lt;=60,IF($K761&lt;-3,"Magreza acentuada",IF($K761&lt;-2,"Magreza",IF($K761&lt;=1,"Eutrofia",IF($K761&lt;=2,"Risco de sobrepeso",IF($K761&lt;=3,"Sobrepeso","Obesidade"))))),IF($K761&lt;-3,"Magreza acentuada",IF($K761&lt;-2,"Magreza",IF($K761&lt;=1,"Eutrofia",IF($K761&lt;=2,"Sobrepeso",IF($K761&lt;=3,"Obesidade","Obesidade grave")))))))</f>
        <v/>
      </c>
      <c r="M761" s="12">
        <f>IF(OR($S761="",$V761="",$T761="",$T761&lt;0,$T761&gt;228,$AG761=""),"—",ROUND(IF($AG761=0,LN($V761/$AH761)/$AI761,((($V761/$AH761)^$AG761)-1)/($AG761*$AI761)),2))</f>
        <v/>
      </c>
      <c r="N761">
        <f>IF(OR($M761="",$M761="—"),"",IF($M761&lt;-3,"Muito baixa",IF($M761&lt;-2,"Baixa","Adequada")))</f>
        <v/>
      </c>
      <c r="O761" s="12">
        <f>IF(OR($S761="",$F761="",$T761="",$T761&lt;0,$T761&gt;120,$AJ761=""),"—",ROUND(IF(ABS($AM761)&lt;=3,$AM761,IF($AM761&gt;3,3+($F761-$AO761)/($AO761-$AN761),-3+($F761-$AQ761)/($AP761-$AQ761))),2))</f>
        <v/>
      </c>
      <c r="P761">
        <f>IF(OR($O761="",$O761="—"),"",IF($O761&lt;-3,"Muito baixo",IF($O761&lt;-2,"Baixo",IF($O761&lt;=2,"Adequado","Elevado"))))</f>
        <v/>
      </c>
      <c r="Q761" s="12">
        <f>IF(OR($S761="",$F761="",$T761="",$T761&lt;0,$T761&gt;60,$AR761=""),"—",ROUND(IF(ABS($AU761)&lt;=3,$AU761,IF($AU761&gt;3,3+($F761-$AW761)/($AW761-$AV761),-3+($F761-$AY761)/($AX761-$AY761))),2))</f>
        <v/>
      </c>
      <c r="R761">
        <f>IF(OR($Q761="",$Q761="—"),"",IF($Q761&lt;-3,"Magreza acentuada",IF($Q761&lt;-2,"Magreza",IF($Q761&lt;=1,"Eutrofia",IF($Q761&lt;=2,"Risco de sobrepeso",IF($Q761&lt;=3,"Sobrepeso","Obesidade"))))))</f>
        <v/>
      </c>
      <c r="S761">
        <f>IF($C761="","",IF(UPPER(LEFT($C761,1))="M",1,IF(UPPER(LEFT($C761,1))="F",2,"")))</f>
        <v/>
      </c>
      <c r="T761">
        <f>IF(OR($D761="",$E761=""),"",DATEDIF($D761,$E761,"m"))</f>
        <v/>
      </c>
      <c r="U761">
        <f>IF(OR($D761="",$E761=""),"",$E761-$D761)</f>
        <v/>
      </c>
      <c r="V761">
        <f>IF(OR($G761="",$T761=""),"",IF($T761&lt;24,IF(LEFT(LOWER($H761),4)="em p",$G761+0.7,$G761),IF(LEFT(LOWER($H761),4)="deit",$G761-0.7,$G761)))</f>
        <v/>
      </c>
      <c r="W761">
        <f>IF(OR($S761="",$T761=""),"",$S761*1000000+IF($T761&lt;=60,$U761,$T761))</f>
        <v/>
      </c>
      <c r="X761">
        <f>IF(OR($S761="",$V761="",$T761&gt;60,$T761=""),"",$S761*1000000+ROUND($V761*10,0))</f>
        <v/>
      </c>
      <c r="Y761">
        <f>IF($W761="","",IFERROR(INDEX(IF($T761&lt;=60,imc05_l,imc519_l),MATCH($W761,IF($T761&lt;=60,imc05_k,imc519_k),1)),""))</f>
        <v/>
      </c>
      <c r="Z761">
        <f>IF($W761="","",IFERROR(INDEX(IF($T761&lt;=60,imc05_m,imc519_m),MATCH($W761,IF($T761&lt;=60,imc05_k,imc519_k),1)),""))</f>
        <v/>
      </c>
      <c r="AA761">
        <f>IF($W761="","",IFERROR(INDEX(IF($T761&lt;=60,imc05_s,imc519_s),MATCH($W761,IF($T761&lt;=60,imc05_k,imc519_k),1)),""))</f>
        <v/>
      </c>
      <c r="AB761">
        <f>IF($Y761="","",IF($Y761=0,LN($J761/$Z761)/$AA761,((($J761/$Z761)^$Y761)-1)/($Y761*$AA761)))</f>
        <v/>
      </c>
      <c r="AC761">
        <f>IF($Y761="","",IF($Y761=0,$Z761*EXP($AA761*2),$Z761*(1+$Y761*$AA761*2)^(1/$Y761)))</f>
        <v/>
      </c>
      <c r="AD761">
        <f>IF($Y761="","",IF($Y761=0,$Z761*EXP($AA761*3),$Z761*(1+$Y761*$AA761*3)^(1/$Y761)))</f>
        <v/>
      </c>
      <c r="AE761">
        <f>IF($Y761="","",IF($Y761=0,$Z761*EXP($AA761*-2),$Z761*(1+$Y761*$AA761*-2)^(1/$Y761)))</f>
        <v/>
      </c>
      <c r="AF761">
        <f>IF($Y761="","",IF($Y761=0,$Z761*EXP($AA761*-3),$Z761*(1+$Y761*$AA761*-3)^(1/$Y761)))</f>
        <v/>
      </c>
      <c r="AG761">
        <f>IF($W761="","",IFERROR(INDEX(IF($T761&lt;=60,est05_l,est519_l),MATCH($W761,IF($T761&lt;=60,est05_k,est519_k),1)),""))</f>
        <v/>
      </c>
      <c r="AH761">
        <f>IF($W761="","",IFERROR(INDEX(IF($T761&lt;=60,est05_m,est519_m),MATCH($W761,IF($T761&lt;=60,est05_k,est519_k),1)),""))</f>
        <v/>
      </c>
      <c r="AI761">
        <f>IF($W761="","",IFERROR(INDEX(IF($T761&lt;=60,est05_s,est519_s),MATCH($W761,IF($T761&lt;=60,est05_k,est519_k),1)),""))</f>
        <v/>
      </c>
      <c r="AJ761">
        <f>IF($W761="","",IFERROR(INDEX(IF($T761&lt;=60,peso05_l,peso510_l),MATCH($W761,IF($T761&lt;=60,peso05_k,peso510_k),1)),""))</f>
        <v/>
      </c>
      <c r="AK761">
        <f>IF($W761="","",IFERROR(INDEX(IF($T761&lt;=60,peso05_m,peso510_m),MATCH($W761,IF($T761&lt;=60,peso05_k,peso510_k),1)),""))</f>
        <v/>
      </c>
      <c r="AL761">
        <f>IF($W761="","",IFERROR(INDEX(IF($T761&lt;=60,peso05_s,peso510_s),MATCH($W761,IF($T761&lt;=60,peso05_k,peso510_k),1)),""))</f>
        <v/>
      </c>
      <c r="AM761">
        <f>IF($AJ761="","",IF($AJ761=0,LN($F761/$AK761)/$AL761,((($F761/$AK761)^$AJ761)-1)/($AJ761*$AL761)))</f>
        <v/>
      </c>
      <c r="AN761">
        <f>IF($AJ761="","",IF($AJ761=0,$AK761*EXP($AL761*2),$AK761*(1+$AJ761*$AL761*2)^(1/$AJ761)))</f>
        <v/>
      </c>
      <c r="AO761">
        <f>IF($AJ761="","",IF($AJ761=0,$AK761*EXP($AL761*3),$AK761*(1+$AJ761*$AL761*3)^(1/$AJ761)))</f>
        <v/>
      </c>
      <c r="AP761">
        <f>IF($AJ761="","",IF($AJ761=0,$AK761*EXP($AL761*-2),$AK761*(1+$AJ761*$AL761*-2)^(1/$AJ761)))</f>
        <v/>
      </c>
      <c r="AQ761">
        <f>IF($AJ761="","",IF($AJ761=0,$AK761*EXP($AL761*-3),$AK761*(1+$AJ761*$AL761*-3)^(1/$AJ761)))</f>
        <v/>
      </c>
      <c r="AR761">
        <f>IF(OR($X761="",$T761&gt;60),"",IFERROR(INDEX(IF($T761&lt;24,pcomp_l,palt_l),MATCH($X761,IF($T761&lt;24,pcomp_k,palt_k),1)),""))</f>
        <v/>
      </c>
      <c r="AS761">
        <f>IF(OR($X761="",$T761&gt;60),"",IFERROR(INDEX(IF($T761&lt;24,pcomp_m,palt_m),MATCH($X761,IF($T761&lt;24,pcomp_k,palt_k),1)),""))</f>
        <v/>
      </c>
      <c r="AT761">
        <f>IF(OR($X761="",$T761&gt;60),"",IFERROR(INDEX(IF($T761&lt;24,pcomp_s,palt_s),MATCH($X761,IF($T761&lt;24,pcomp_k,palt_k),1)),""))</f>
        <v/>
      </c>
      <c r="AU761">
        <f>IF($AR761="","",IF($AR761=0,LN($F761/$AS761)/$AT761,((($F761/$AS761)^$AR761)-1)/($AR761*$AT761)))</f>
        <v/>
      </c>
      <c r="AV761">
        <f>IF($AR761="","",IF($AR761=0,$AS761*EXP($AT761*2),$AS761*(1+$AR761*$AT761*2)^(1/$AR761)))</f>
        <v/>
      </c>
      <c r="AW761">
        <f>IF($AR761="","",IF($AR761=0,$AS761*EXP($AT761*3),$AS761*(1+$AR761*$AT761*3)^(1/$AR761)))</f>
        <v/>
      </c>
      <c r="AX761">
        <f>IF($AR761="","",IF($AR761=0,$AS761*EXP($AT761*-2),$AS761*(1+$AR761*$AT761*-2)^(1/$AR761)))</f>
        <v/>
      </c>
      <c r="AY761">
        <f>IF($AR761="","",IF($AR761=0,$AS761*EXP($AT761*-3),$AS761*(1+$AR761*$AT761*-3)^(1/$AR761)))</f>
        <v/>
      </c>
      <c r="AZ761">
        <f>IF(OR($A761="",$A761&lt;&gt;Ficha!$C$4),"",COUNTIF($A$2:$A761,Ficha!$C$4))</f>
        <v/>
      </c>
    </row>
    <row r="762">
      <c r="A762" s="8">
        <f>IF(INDEX(Banco!$A:$A,ROW())="","",INDEX(Banco!$A:$A,ROW()))</f>
        <v/>
      </c>
      <c r="B762" s="8">
        <f>IF(INDEX(Banco!$B:$B,ROW())="","",INDEX(Banco!$B:$B,ROW()))</f>
        <v/>
      </c>
      <c r="C762" s="8">
        <f>IF(INDEX(Banco!$C:$C,ROW())="","",INDEX(Banco!$C:$C,ROW()))</f>
        <v/>
      </c>
      <c r="D762" s="9">
        <f>IF(INDEX(Banco!$D:$D,ROW())="","",INDEX(Banco!$D:$D,ROW()))</f>
        <v/>
      </c>
      <c r="E762" s="9">
        <f>IF(INDEX(Banco!$E:$E,ROW())="","",INDEX(Banco!$E:$E,ROW()))</f>
        <v/>
      </c>
      <c r="F762" s="10">
        <f>IF(INDEX(Banco!$F:$F,ROW())="","",INDEX(Banco!$F:$F,ROW()))</f>
        <v/>
      </c>
      <c r="G762" s="10">
        <f>IF(INDEX(Banco!$G:$G,ROW())="","",INDEX(Banco!$G:$G,ROW()))</f>
        <v/>
      </c>
      <c r="H762" s="8">
        <f>IF(INDEX(Banco!$H:$H,ROW())="","",INDEX(Banco!$H:$H,ROW()))</f>
        <v/>
      </c>
      <c r="I762">
        <f>IF($T762="","",INT($T762/12)&amp;"a "&amp;MOD($T762,12)&amp;"m")</f>
        <v/>
      </c>
      <c r="J762" s="11">
        <f>IF(OR($F762="",$G762=""),"",ROUND($F762/($G762/100)^2,2))</f>
        <v/>
      </c>
      <c r="K762" s="12">
        <f>IF(OR($S762="",$J762="",$T762="",$T762&lt;0,$T762&gt;228,$Y762=""),"—",ROUND(IF(ABS($AB762)&lt;=3,$AB762,IF($AB762&gt;3,3+($J762-$AD762)/($AD762-$AC762),-3+($J762-$AF762)/($AE762-$AF762))),2))</f>
        <v/>
      </c>
      <c r="L762">
        <f>IF(OR($K762="",$K762="—"),"",IF($T762&lt;=60,IF($K762&lt;-3,"Magreza acentuada",IF($K762&lt;-2,"Magreza",IF($K762&lt;=1,"Eutrofia",IF($K762&lt;=2,"Risco de sobrepeso",IF($K762&lt;=3,"Sobrepeso","Obesidade"))))),IF($K762&lt;-3,"Magreza acentuada",IF($K762&lt;-2,"Magreza",IF($K762&lt;=1,"Eutrofia",IF($K762&lt;=2,"Sobrepeso",IF($K762&lt;=3,"Obesidade","Obesidade grave")))))))</f>
        <v/>
      </c>
      <c r="M762" s="12">
        <f>IF(OR($S762="",$V762="",$T762="",$T762&lt;0,$T762&gt;228,$AG762=""),"—",ROUND(IF($AG762=0,LN($V762/$AH762)/$AI762,((($V762/$AH762)^$AG762)-1)/($AG762*$AI762)),2))</f>
        <v/>
      </c>
      <c r="N762">
        <f>IF(OR($M762="",$M762="—"),"",IF($M762&lt;-3,"Muito baixa",IF($M762&lt;-2,"Baixa","Adequada")))</f>
        <v/>
      </c>
      <c r="O762" s="12">
        <f>IF(OR($S762="",$F762="",$T762="",$T762&lt;0,$T762&gt;120,$AJ762=""),"—",ROUND(IF(ABS($AM762)&lt;=3,$AM762,IF($AM762&gt;3,3+($F762-$AO762)/($AO762-$AN762),-3+($F762-$AQ762)/($AP762-$AQ762))),2))</f>
        <v/>
      </c>
      <c r="P762">
        <f>IF(OR($O762="",$O762="—"),"",IF($O762&lt;-3,"Muito baixo",IF($O762&lt;-2,"Baixo",IF($O762&lt;=2,"Adequado","Elevado"))))</f>
        <v/>
      </c>
      <c r="Q762" s="12">
        <f>IF(OR($S762="",$F762="",$T762="",$T762&lt;0,$T762&gt;60,$AR762=""),"—",ROUND(IF(ABS($AU762)&lt;=3,$AU762,IF($AU762&gt;3,3+($F762-$AW762)/($AW762-$AV762),-3+($F762-$AY762)/($AX762-$AY762))),2))</f>
        <v/>
      </c>
      <c r="R762">
        <f>IF(OR($Q762="",$Q762="—"),"",IF($Q762&lt;-3,"Magreza acentuada",IF($Q762&lt;-2,"Magreza",IF($Q762&lt;=1,"Eutrofia",IF($Q762&lt;=2,"Risco de sobrepeso",IF($Q762&lt;=3,"Sobrepeso","Obesidade"))))))</f>
        <v/>
      </c>
      <c r="S762">
        <f>IF($C762="","",IF(UPPER(LEFT($C762,1))="M",1,IF(UPPER(LEFT($C762,1))="F",2,"")))</f>
        <v/>
      </c>
      <c r="T762">
        <f>IF(OR($D762="",$E762=""),"",DATEDIF($D762,$E762,"m"))</f>
        <v/>
      </c>
      <c r="U762">
        <f>IF(OR($D762="",$E762=""),"",$E762-$D762)</f>
        <v/>
      </c>
      <c r="V762">
        <f>IF(OR($G762="",$T762=""),"",IF($T762&lt;24,IF(LEFT(LOWER($H762),4)="em p",$G762+0.7,$G762),IF(LEFT(LOWER($H762),4)="deit",$G762-0.7,$G762)))</f>
        <v/>
      </c>
      <c r="W762">
        <f>IF(OR($S762="",$T762=""),"",$S762*1000000+IF($T762&lt;=60,$U762,$T762))</f>
        <v/>
      </c>
      <c r="X762">
        <f>IF(OR($S762="",$V762="",$T762&gt;60,$T762=""),"",$S762*1000000+ROUND($V762*10,0))</f>
        <v/>
      </c>
      <c r="Y762">
        <f>IF($W762="","",IFERROR(INDEX(IF($T762&lt;=60,imc05_l,imc519_l),MATCH($W762,IF($T762&lt;=60,imc05_k,imc519_k),1)),""))</f>
        <v/>
      </c>
      <c r="Z762">
        <f>IF($W762="","",IFERROR(INDEX(IF($T762&lt;=60,imc05_m,imc519_m),MATCH($W762,IF($T762&lt;=60,imc05_k,imc519_k),1)),""))</f>
        <v/>
      </c>
      <c r="AA762">
        <f>IF($W762="","",IFERROR(INDEX(IF($T762&lt;=60,imc05_s,imc519_s),MATCH($W762,IF($T762&lt;=60,imc05_k,imc519_k),1)),""))</f>
        <v/>
      </c>
      <c r="AB762">
        <f>IF($Y762="","",IF($Y762=0,LN($J762/$Z762)/$AA762,((($J762/$Z762)^$Y762)-1)/($Y762*$AA762)))</f>
        <v/>
      </c>
      <c r="AC762">
        <f>IF($Y762="","",IF($Y762=0,$Z762*EXP($AA762*2),$Z762*(1+$Y762*$AA762*2)^(1/$Y762)))</f>
        <v/>
      </c>
      <c r="AD762">
        <f>IF($Y762="","",IF($Y762=0,$Z762*EXP($AA762*3),$Z762*(1+$Y762*$AA762*3)^(1/$Y762)))</f>
        <v/>
      </c>
      <c r="AE762">
        <f>IF($Y762="","",IF($Y762=0,$Z762*EXP($AA762*-2),$Z762*(1+$Y762*$AA762*-2)^(1/$Y762)))</f>
        <v/>
      </c>
      <c r="AF762">
        <f>IF($Y762="","",IF($Y762=0,$Z762*EXP($AA762*-3),$Z762*(1+$Y762*$AA762*-3)^(1/$Y762)))</f>
        <v/>
      </c>
      <c r="AG762">
        <f>IF($W762="","",IFERROR(INDEX(IF($T762&lt;=60,est05_l,est519_l),MATCH($W762,IF($T762&lt;=60,est05_k,est519_k),1)),""))</f>
        <v/>
      </c>
      <c r="AH762">
        <f>IF($W762="","",IFERROR(INDEX(IF($T762&lt;=60,est05_m,est519_m),MATCH($W762,IF($T762&lt;=60,est05_k,est519_k),1)),""))</f>
        <v/>
      </c>
      <c r="AI762">
        <f>IF($W762="","",IFERROR(INDEX(IF($T762&lt;=60,est05_s,est519_s),MATCH($W762,IF($T762&lt;=60,est05_k,est519_k),1)),""))</f>
        <v/>
      </c>
      <c r="AJ762">
        <f>IF($W762="","",IFERROR(INDEX(IF($T762&lt;=60,peso05_l,peso510_l),MATCH($W762,IF($T762&lt;=60,peso05_k,peso510_k),1)),""))</f>
        <v/>
      </c>
      <c r="AK762">
        <f>IF($W762="","",IFERROR(INDEX(IF($T762&lt;=60,peso05_m,peso510_m),MATCH($W762,IF($T762&lt;=60,peso05_k,peso510_k),1)),""))</f>
        <v/>
      </c>
      <c r="AL762">
        <f>IF($W762="","",IFERROR(INDEX(IF($T762&lt;=60,peso05_s,peso510_s),MATCH($W762,IF($T762&lt;=60,peso05_k,peso510_k),1)),""))</f>
        <v/>
      </c>
      <c r="AM762">
        <f>IF($AJ762="","",IF($AJ762=0,LN($F762/$AK762)/$AL762,((($F762/$AK762)^$AJ762)-1)/($AJ762*$AL762)))</f>
        <v/>
      </c>
      <c r="AN762">
        <f>IF($AJ762="","",IF($AJ762=0,$AK762*EXP($AL762*2),$AK762*(1+$AJ762*$AL762*2)^(1/$AJ762)))</f>
        <v/>
      </c>
      <c r="AO762">
        <f>IF($AJ762="","",IF($AJ762=0,$AK762*EXP($AL762*3),$AK762*(1+$AJ762*$AL762*3)^(1/$AJ762)))</f>
        <v/>
      </c>
      <c r="AP762">
        <f>IF($AJ762="","",IF($AJ762=0,$AK762*EXP($AL762*-2),$AK762*(1+$AJ762*$AL762*-2)^(1/$AJ762)))</f>
        <v/>
      </c>
      <c r="AQ762">
        <f>IF($AJ762="","",IF($AJ762=0,$AK762*EXP($AL762*-3),$AK762*(1+$AJ762*$AL762*-3)^(1/$AJ762)))</f>
        <v/>
      </c>
      <c r="AR762">
        <f>IF(OR($X762="",$T762&gt;60),"",IFERROR(INDEX(IF($T762&lt;24,pcomp_l,palt_l),MATCH($X762,IF($T762&lt;24,pcomp_k,palt_k),1)),""))</f>
        <v/>
      </c>
      <c r="AS762">
        <f>IF(OR($X762="",$T762&gt;60),"",IFERROR(INDEX(IF($T762&lt;24,pcomp_m,palt_m),MATCH($X762,IF($T762&lt;24,pcomp_k,palt_k),1)),""))</f>
        <v/>
      </c>
      <c r="AT762">
        <f>IF(OR($X762="",$T762&gt;60),"",IFERROR(INDEX(IF($T762&lt;24,pcomp_s,palt_s),MATCH($X762,IF($T762&lt;24,pcomp_k,palt_k),1)),""))</f>
        <v/>
      </c>
      <c r="AU762">
        <f>IF($AR762="","",IF($AR762=0,LN($F762/$AS762)/$AT762,((($F762/$AS762)^$AR762)-1)/($AR762*$AT762)))</f>
        <v/>
      </c>
      <c r="AV762">
        <f>IF($AR762="","",IF($AR762=0,$AS762*EXP($AT762*2),$AS762*(1+$AR762*$AT762*2)^(1/$AR762)))</f>
        <v/>
      </c>
      <c r="AW762">
        <f>IF($AR762="","",IF($AR762=0,$AS762*EXP($AT762*3),$AS762*(1+$AR762*$AT762*3)^(1/$AR762)))</f>
        <v/>
      </c>
      <c r="AX762">
        <f>IF($AR762="","",IF($AR762=0,$AS762*EXP($AT762*-2),$AS762*(1+$AR762*$AT762*-2)^(1/$AR762)))</f>
        <v/>
      </c>
      <c r="AY762">
        <f>IF($AR762="","",IF($AR762=0,$AS762*EXP($AT762*-3),$AS762*(1+$AR762*$AT762*-3)^(1/$AR762)))</f>
        <v/>
      </c>
      <c r="AZ762">
        <f>IF(OR($A762="",$A762&lt;&gt;Ficha!$C$4),"",COUNTIF($A$2:$A762,Ficha!$C$4))</f>
        <v/>
      </c>
    </row>
    <row r="763">
      <c r="A763" s="8">
        <f>IF(INDEX(Banco!$A:$A,ROW())="","",INDEX(Banco!$A:$A,ROW()))</f>
        <v/>
      </c>
      <c r="B763" s="8">
        <f>IF(INDEX(Banco!$B:$B,ROW())="","",INDEX(Banco!$B:$B,ROW()))</f>
        <v/>
      </c>
      <c r="C763" s="8">
        <f>IF(INDEX(Banco!$C:$C,ROW())="","",INDEX(Banco!$C:$C,ROW()))</f>
        <v/>
      </c>
      <c r="D763" s="9">
        <f>IF(INDEX(Banco!$D:$D,ROW())="","",INDEX(Banco!$D:$D,ROW()))</f>
        <v/>
      </c>
      <c r="E763" s="9">
        <f>IF(INDEX(Banco!$E:$E,ROW())="","",INDEX(Banco!$E:$E,ROW()))</f>
        <v/>
      </c>
      <c r="F763" s="10">
        <f>IF(INDEX(Banco!$F:$F,ROW())="","",INDEX(Banco!$F:$F,ROW()))</f>
        <v/>
      </c>
      <c r="G763" s="10">
        <f>IF(INDEX(Banco!$G:$G,ROW())="","",INDEX(Banco!$G:$G,ROW()))</f>
        <v/>
      </c>
      <c r="H763" s="8">
        <f>IF(INDEX(Banco!$H:$H,ROW())="","",INDEX(Banco!$H:$H,ROW()))</f>
        <v/>
      </c>
      <c r="I763">
        <f>IF($T763="","",INT($T763/12)&amp;"a "&amp;MOD($T763,12)&amp;"m")</f>
        <v/>
      </c>
      <c r="J763" s="11">
        <f>IF(OR($F763="",$G763=""),"",ROUND($F763/($G763/100)^2,2))</f>
        <v/>
      </c>
      <c r="K763" s="12">
        <f>IF(OR($S763="",$J763="",$T763="",$T763&lt;0,$T763&gt;228,$Y763=""),"—",ROUND(IF(ABS($AB763)&lt;=3,$AB763,IF($AB763&gt;3,3+($J763-$AD763)/($AD763-$AC763),-3+($J763-$AF763)/($AE763-$AF763))),2))</f>
        <v/>
      </c>
      <c r="L763">
        <f>IF(OR($K763="",$K763="—"),"",IF($T763&lt;=60,IF($K763&lt;-3,"Magreza acentuada",IF($K763&lt;-2,"Magreza",IF($K763&lt;=1,"Eutrofia",IF($K763&lt;=2,"Risco de sobrepeso",IF($K763&lt;=3,"Sobrepeso","Obesidade"))))),IF($K763&lt;-3,"Magreza acentuada",IF($K763&lt;-2,"Magreza",IF($K763&lt;=1,"Eutrofia",IF($K763&lt;=2,"Sobrepeso",IF($K763&lt;=3,"Obesidade","Obesidade grave")))))))</f>
        <v/>
      </c>
      <c r="M763" s="12">
        <f>IF(OR($S763="",$V763="",$T763="",$T763&lt;0,$T763&gt;228,$AG763=""),"—",ROUND(IF($AG763=0,LN($V763/$AH763)/$AI763,((($V763/$AH763)^$AG763)-1)/($AG763*$AI763)),2))</f>
        <v/>
      </c>
      <c r="N763">
        <f>IF(OR($M763="",$M763="—"),"",IF($M763&lt;-3,"Muito baixa",IF($M763&lt;-2,"Baixa","Adequada")))</f>
        <v/>
      </c>
      <c r="O763" s="12">
        <f>IF(OR($S763="",$F763="",$T763="",$T763&lt;0,$T763&gt;120,$AJ763=""),"—",ROUND(IF(ABS($AM763)&lt;=3,$AM763,IF($AM763&gt;3,3+($F763-$AO763)/($AO763-$AN763),-3+($F763-$AQ763)/($AP763-$AQ763))),2))</f>
        <v/>
      </c>
      <c r="P763">
        <f>IF(OR($O763="",$O763="—"),"",IF($O763&lt;-3,"Muito baixo",IF($O763&lt;-2,"Baixo",IF($O763&lt;=2,"Adequado","Elevado"))))</f>
        <v/>
      </c>
      <c r="Q763" s="12">
        <f>IF(OR($S763="",$F763="",$T763="",$T763&lt;0,$T763&gt;60,$AR763=""),"—",ROUND(IF(ABS($AU763)&lt;=3,$AU763,IF($AU763&gt;3,3+($F763-$AW763)/($AW763-$AV763),-3+($F763-$AY763)/($AX763-$AY763))),2))</f>
        <v/>
      </c>
      <c r="R763">
        <f>IF(OR($Q763="",$Q763="—"),"",IF($Q763&lt;-3,"Magreza acentuada",IF($Q763&lt;-2,"Magreza",IF($Q763&lt;=1,"Eutrofia",IF($Q763&lt;=2,"Risco de sobrepeso",IF($Q763&lt;=3,"Sobrepeso","Obesidade"))))))</f>
        <v/>
      </c>
      <c r="S763">
        <f>IF($C763="","",IF(UPPER(LEFT($C763,1))="M",1,IF(UPPER(LEFT($C763,1))="F",2,"")))</f>
        <v/>
      </c>
      <c r="T763">
        <f>IF(OR($D763="",$E763=""),"",DATEDIF($D763,$E763,"m"))</f>
        <v/>
      </c>
      <c r="U763">
        <f>IF(OR($D763="",$E763=""),"",$E763-$D763)</f>
        <v/>
      </c>
      <c r="V763">
        <f>IF(OR($G763="",$T763=""),"",IF($T763&lt;24,IF(LEFT(LOWER($H763),4)="em p",$G763+0.7,$G763),IF(LEFT(LOWER($H763),4)="deit",$G763-0.7,$G763)))</f>
        <v/>
      </c>
      <c r="W763">
        <f>IF(OR($S763="",$T763=""),"",$S763*1000000+IF($T763&lt;=60,$U763,$T763))</f>
        <v/>
      </c>
      <c r="X763">
        <f>IF(OR($S763="",$V763="",$T763&gt;60,$T763=""),"",$S763*1000000+ROUND($V763*10,0))</f>
        <v/>
      </c>
      <c r="Y763">
        <f>IF($W763="","",IFERROR(INDEX(IF($T763&lt;=60,imc05_l,imc519_l),MATCH($W763,IF($T763&lt;=60,imc05_k,imc519_k),1)),""))</f>
        <v/>
      </c>
      <c r="Z763">
        <f>IF($W763="","",IFERROR(INDEX(IF($T763&lt;=60,imc05_m,imc519_m),MATCH($W763,IF($T763&lt;=60,imc05_k,imc519_k),1)),""))</f>
        <v/>
      </c>
      <c r="AA763">
        <f>IF($W763="","",IFERROR(INDEX(IF($T763&lt;=60,imc05_s,imc519_s),MATCH($W763,IF($T763&lt;=60,imc05_k,imc519_k),1)),""))</f>
        <v/>
      </c>
      <c r="AB763">
        <f>IF($Y763="","",IF($Y763=0,LN($J763/$Z763)/$AA763,((($J763/$Z763)^$Y763)-1)/($Y763*$AA763)))</f>
        <v/>
      </c>
      <c r="AC763">
        <f>IF($Y763="","",IF($Y763=0,$Z763*EXP($AA763*2),$Z763*(1+$Y763*$AA763*2)^(1/$Y763)))</f>
        <v/>
      </c>
      <c r="AD763">
        <f>IF($Y763="","",IF($Y763=0,$Z763*EXP($AA763*3),$Z763*(1+$Y763*$AA763*3)^(1/$Y763)))</f>
        <v/>
      </c>
      <c r="AE763">
        <f>IF($Y763="","",IF($Y763=0,$Z763*EXP($AA763*-2),$Z763*(1+$Y763*$AA763*-2)^(1/$Y763)))</f>
        <v/>
      </c>
      <c r="AF763">
        <f>IF($Y763="","",IF($Y763=0,$Z763*EXP($AA763*-3),$Z763*(1+$Y763*$AA763*-3)^(1/$Y763)))</f>
        <v/>
      </c>
      <c r="AG763">
        <f>IF($W763="","",IFERROR(INDEX(IF($T763&lt;=60,est05_l,est519_l),MATCH($W763,IF($T763&lt;=60,est05_k,est519_k),1)),""))</f>
        <v/>
      </c>
      <c r="AH763">
        <f>IF($W763="","",IFERROR(INDEX(IF($T763&lt;=60,est05_m,est519_m),MATCH($W763,IF($T763&lt;=60,est05_k,est519_k),1)),""))</f>
        <v/>
      </c>
      <c r="AI763">
        <f>IF($W763="","",IFERROR(INDEX(IF($T763&lt;=60,est05_s,est519_s),MATCH($W763,IF($T763&lt;=60,est05_k,est519_k),1)),""))</f>
        <v/>
      </c>
      <c r="AJ763">
        <f>IF($W763="","",IFERROR(INDEX(IF($T763&lt;=60,peso05_l,peso510_l),MATCH($W763,IF($T763&lt;=60,peso05_k,peso510_k),1)),""))</f>
        <v/>
      </c>
      <c r="AK763">
        <f>IF($W763="","",IFERROR(INDEX(IF($T763&lt;=60,peso05_m,peso510_m),MATCH($W763,IF($T763&lt;=60,peso05_k,peso510_k),1)),""))</f>
        <v/>
      </c>
      <c r="AL763">
        <f>IF($W763="","",IFERROR(INDEX(IF($T763&lt;=60,peso05_s,peso510_s),MATCH($W763,IF($T763&lt;=60,peso05_k,peso510_k),1)),""))</f>
        <v/>
      </c>
      <c r="AM763">
        <f>IF($AJ763="","",IF($AJ763=0,LN($F763/$AK763)/$AL763,((($F763/$AK763)^$AJ763)-1)/($AJ763*$AL763)))</f>
        <v/>
      </c>
      <c r="AN763">
        <f>IF($AJ763="","",IF($AJ763=0,$AK763*EXP($AL763*2),$AK763*(1+$AJ763*$AL763*2)^(1/$AJ763)))</f>
        <v/>
      </c>
      <c r="AO763">
        <f>IF($AJ763="","",IF($AJ763=0,$AK763*EXP($AL763*3),$AK763*(1+$AJ763*$AL763*3)^(1/$AJ763)))</f>
        <v/>
      </c>
      <c r="AP763">
        <f>IF($AJ763="","",IF($AJ763=0,$AK763*EXP($AL763*-2),$AK763*(1+$AJ763*$AL763*-2)^(1/$AJ763)))</f>
        <v/>
      </c>
      <c r="AQ763">
        <f>IF($AJ763="","",IF($AJ763=0,$AK763*EXP($AL763*-3),$AK763*(1+$AJ763*$AL763*-3)^(1/$AJ763)))</f>
        <v/>
      </c>
      <c r="AR763">
        <f>IF(OR($X763="",$T763&gt;60),"",IFERROR(INDEX(IF($T763&lt;24,pcomp_l,palt_l),MATCH($X763,IF($T763&lt;24,pcomp_k,palt_k),1)),""))</f>
        <v/>
      </c>
      <c r="AS763">
        <f>IF(OR($X763="",$T763&gt;60),"",IFERROR(INDEX(IF($T763&lt;24,pcomp_m,palt_m),MATCH($X763,IF($T763&lt;24,pcomp_k,palt_k),1)),""))</f>
        <v/>
      </c>
      <c r="AT763">
        <f>IF(OR($X763="",$T763&gt;60),"",IFERROR(INDEX(IF($T763&lt;24,pcomp_s,palt_s),MATCH($X763,IF($T763&lt;24,pcomp_k,palt_k),1)),""))</f>
        <v/>
      </c>
      <c r="AU763">
        <f>IF($AR763="","",IF($AR763=0,LN($F763/$AS763)/$AT763,((($F763/$AS763)^$AR763)-1)/($AR763*$AT763)))</f>
        <v/>
      </c>
      <c r="AV763">
        <f>IF($AR763="","",IF($AR763=0,$AS763*EXP($AT763*2),$AS763*(1+$AR763*$AT763*2)^(1/$AR763)))</f>
        <v/>
      </c>
      <c r="AW763">
        <f>IF($AR763="","",IF($AR763=0,$AS763*EXP($AT763*3),$AS763*(1+$AR763*$AT763*3)^(1/$AR763)))</f>
        <v/>
      </c>
      <c r="AX763">
        <f>IF($AR763="","",IF($AR763=0,$AS763*EXP($AT763*-2),$AS763*(1+$AR763*$AT763*-2)^(1/$AR763)))</f>
        <v/>
      </c>
      <c r="AY763">
        <f>IF($AR763="","",IF($AR763=0,$AS763*EXP($AT763*-3),$AS763*(1+$AR763*$AT763*-3)^(1/$AR763)))</f>
        <v/>
      </c>
      <c r="AZ763">
        <f>IF(OR($A763="",$A763&lt;&gt;Ficha!$C$4),"",COUNTIF($A$2:$A763,Ficha!$C$4))</f>
        <v/>
      </c>
    </row>
    <row r="764">
      <c r="A764" s="8">
        <f>IF(INDEX(Banco!$A:$A,ROW())="","",INDEX(Banco!$A:$A,ROW()))</f>
        <v/>
      </c>
      <c r="B764" s="8">
        <f>IF(INDEX(Banco!$B:$B,ROW())="","",INDEX(Banco!$B:$B,ROW()))</f>
        <v/>
      </c>
      <c r="C764" s="8">
        <f>IF(INDEX(Banco!$C:$C,ROW())="","",INDEX(Banco!$C:$C,ROW()))</f>
        <v/>
      </c>
      <c r="D764" s="9">
        <f>IF(INDEX(Banco!$D:$D,ROW())="","",INDEX(Banco!$D:$D,ROW()))</f>
        <v/>
      </c>
      <c r="E764" s="9">
        <f>IF(INDEX(Banco!$E:$E,ROW())="","",INDEX(Banco!$E:$E,ROW()))</f>
        <v/>
      </c>
      <c r="F764" s="10">
        <f>IF(INDEX(Banco!$F:$F,ROW())="","",INDEX(Banco!$F:$F,ROW()))</f>
        <v/>
      </c>
      <c r="G764" s="10">
        <f>IF(INDEX(Banco!$G:$G,ROW())="","",INDEX(Banco!$G:$G,ROW()))</f>
        <v/>
      </c>
      <c r="H764" s="8">
        <f>IF(INDEX(Banco!$H:$H,ROW())="","",INDEX(Banco!$H:$H,ROW()))</f>
        <v/>
      </c>
      <c r="I764">
        <f>IF($T764="","",INT($T764/12)&amp;"a "&amp;MOD($T764,12)&amp;"m")</f>
        <v/>
      </c>
      <c r="J764" s="11">
        <f>IF(OR($F764="",$G764=""),"",ROUND($F764/($G764/100)^2,2))</f>
        <v/>
      </c>
      <c r="K764" s="12">
        <f>IF(OR($S764="",$J764="",$T764="",$T764&lt;0,$T764&gt;228,$Y764=""),"—",ROUND(IF(ABS($AB764)&lt;=3,$AB764,IF($AB764&gt;3,3+($J764-$AD764)/($AD764-$AC764),-3+($J764-$AF764)/($AE764-$AF764))),2))</f>
        <v/>
      </c>
      <c r="L764">
        <f>IF(OR($K764="",$K764="—"),"",IF($T764&lt;=60,IF($K764&lt;-3,"Magreza acentuada",IF($K764&lt;-2,"Magreza",IF($K764&lt;=1,"Eutrofia",IF($K764&lt;=2,"Risco de sobrepeso",IF($K764&lt;=3,"Sobrepeso","Obesidade"))))),IF($K764&lt;-3,"Magreza acentuada",IF($K764&lt;-2,"Magreza",IF($K764&lt;=1,"Eutrofia",IF($K764&lt;=2,"Sobrepeso",IF($K764&lt;=3,"Obesidade","Obesidade grave")))))))</f>
        <v/>
      </c>
      <c r="M764" s="12">
        <f>IF(OR($S764="",$V764="",$T764="",$T764&lt;0,$T764&gt;228,$AG764=""),"—",ROUND(IF($AG764=0,LN($V764/$AH764)/$AI764,((($V764/$AH764)^$AG764)-1)/($AG764*$AI764)),2))</f>
        <v/>
      </c>
      <c r="N764">
        <f>IF(OR($M764="",$M764="—"),"",IF($M764&lt;-3,"Muito baixa",IF($M764&lt;-2,"Baixa","Adequada")))</f>
        <v/>
      </c>
      <c r="O764" s="12">
        <f>IF(OR($S764="",$F764="",$T764="",$T764&lt;0,$T764&gt;120,$AJ764=""),"—",ROUND(IF(ABS($AM764)&lt;=3,$AM764,IF($AM764&gt;3,3+($F764-$AO764)/($AO764-$AN764),-3+($F764-$AQ764)/($AP764-$AQ764))),2))</f>
        <v/>
      </c>
      <c r="P764">
        <f>IF(OR($O764="",$O764="—"),"",IF($O764&lt;-3,"Muito baixo",IF($O764&lt;-2,"Baixo",IF($O764&lt;=2,"Adequado","Elevado"))))</f>
        <v/>
      </c>
      <c r="Q764" s="12">
        <f>IF(OR($S764="",$F764="",$T764="",$T764&lt;0,$T764&gt;60,$AR764=""),"—",ROUND(IF(ABS($AU764)&lt;=3,$AU764,IF($AU764&gt;3,3+($F764-$AW764)/($AW764-$AV764),-3+($F764-$AY764)/($AX764-$AY764))),2))</f>
        <v/>
      </c>
      <c r="R764">
        <f>IF(OR($Q764="",$Q764="—"),"",IF($Q764&lt;-3,"Magreza acentuada",IF($Q764&lt;-2,"Magreza",IF($Q764&lt;=1,"Eutrofia",IF($Q764&lt;=2,"Risco de sobrepeso",IF($Q764&lt;=3,"Sobrepeso","Obesidade"))))))</f>
        <v/>
      </c>
      <c r="S764">
        <f>IF($C764="","",IF(UPPER(LEFT($C764,1))="M",1,IF(UPPER(LEFT($C764,1))="F",2,"")))</f>
        <v/>
      </c>
      <c r="T764">
        <f>IF(OR($D764="",$E764=""),"",DATEDIF($D764,$E764,"m"))</f>
        <v/>
      </c>
      <c r="U764">
        <f>IF(OR($D764="",$E764=""),"",$E764-$D764)</f>
        <v/>
      </c>
      <c r="V764">
        <f>IF(OR($G764="",$T764=""),"",IF($T764&lt;24,IF(LEFT(LOWER($H764),4)="em p",$G764+0.7,$G764),IF(LEFT(LOWER($H764),4)="deit",$G764-0.7,$G764)))</f>
        <v/>
      </c>
      <c r="W764">
        <f>IF(OR($S764="",$T764=""),"",$S764*1000000+IF($T764&lt;=60,$U764,$T764))</f>
        <v/>
      </c>
      <c r="X764">
        <f>IF(OR($S764="",$V764="",$T764&gt;60,$T764=""),"",$S764*1000000+ROUND($V764*10,0))</f>
        <v/>
      </c>
      <c r="Y764">
        <f>IF($W764="","",IFERROR(INDEX(IF($T764&lt;=60,imc05_l,imc519_l),MATCH($W764,IF($T764&lt;=60,imc05_k,imc519_k),1)),""))</f>
        <v/>
      </c>
      <c r="Z764">
        <f>IF($W764="","",IFERROR(INDEX(IF($T764&lt;=60,imc05_m,imc519_m),MATCH($W764,IF($T764&lt;=60,imc05_k,imc519_k),1)),""))</f>
        <v/>
      </c>
      <c r="AA764">
        <f>IF($W764="","",IFERROR(INDEX(IF($T764&lt;=60,imc05_s,imc519_s),MATCH($W764,IF($T764&lt;=60,imc05_k,imc519_k),1)),""))</f>
        <v/>
      </c>
      <c r="AB764">
        <f>IF($Y764="","",IF($Y764=0,LN($J764/$Z764)/$AA764,((($J764/$Z764)^$Y764)-1)/($Y764*$AA764)))</f>
        <v/>
      </c>
      <c r="AC764">
        <f>IF($Y764="","",IF($Y764=0,$Z764*EXP($AA764*2),$Z764*(1+$Y764*$AA764*2)^(1/$Y764)))</f>
        <v/>
      </c>
      <c r="AD764">
        <f>IF($Y764="","",IF($Y764=0,$Z764*EXP($AA764*3),$Z764*(1+$Y764*$AA764*3)^(1/$Y764)))</f>
        <v/>
      </c>
      <c r="AE764">
        <f>IF($Y764="","",IF($Y764=0,$Z764*EXP($AA764*-2),$Z764*(1+$Y764*$AA764*-2)^(1/$Y764)))</f>
        <v/>
      </c>
      <c r="AF764">
        <f>IF($Y764="","",IF($Y764=0,$Z764*EXP($AA764*-3),$Z764*(1+$Y764*$AA764*-3)^(1/$Y764)))</f>
        <v/>
      </c>
      <c r="AG764">
        <f>IF($W764="","",IFERROR(INDEX(IF($T764&lt;=60,est05_l,est519_l),MATCH($W764,IF($T764&lt;=60,est05_k,est519_k),1)),""))</f>
        <v/>
      </c>
      <c r="AH764">
        <f>IF($W764="","",IFERROR(INDEX(IF($T764&lt;=60,est05_m,est519_m),MATCH($W764,IF($T764&lt;=60,est05_k,est519_k),1)),""))</f>
        <v/>
      </c>
      <c r="AI764">
        <f>IF($W764="","",IFERROR(INDEX(IF($T764&lt;=60,est05_s,est519_s),MATCH($W764,IF($T764&lt;=60,est05_k,est519_k),1)),""))</f>
        <v/>
      </c>
      <c r="AJ764">
        <f>IF($W764="","",IFERROR(INDEX(IF($T764&lt;=60,peso05_l,peso510_l),MATCH($W764,IF($T764&lt;=60,peso05_k,peso510_k),1)),""))</f>
        <v/>
      </c>
      <c r="AK764">
        <f>IF($W764="","",IFERROR(INDEX(IF($T764&lt;=60,peso05_m,peso510_m),MATCH($W764,IF($T764&lt;=60,peso05_k,peso510_k),1)),""))</f>
        <v/>
      </c>
      <c r="AL764">
        <f>IF($W764="","",IFERROR(INDEX(IF($T764&lt;=60,peso05_s,peso510_s),MATCH($W764,IF($T764&lt;=60,peso05_k,peso510_k),1)),""))</f>
        <v/>
      </c>
      <c r="AM764">
        <f>IF($AJ764="","",IF($AJ764=0,LN($F764/$AK764)/$AL764,((($F764/$AK764)^$AJ764)-1)/($AJ764*$AL764)))</f>
        <v/>
      </c>
      <c r="AN764">
        <f>IF($AJ764="","",IF($AJ764=0,$AK764*EXP($AL764*2),$AK764*(1+$AJ764*$AL764*2)^(1/$AJ764)))</f>
        <v/>
      </c>
      <c r="AO764">
        <f>IF($AJ764="","",IF($AJ764=0,$AK764*EXP($AL764*3),$AK764*(1+$AJ764*$AL764*3)^(1/$AJ764)))</f>
        <v/>
      </c>
      <c r="AP764">
        <f>IF($AJ764="","",IF($AJ764=0,$AK764*EXP($AL764*-2),$AK764*(1+$AJ764*$AL764*-2)^(1/$AJ764)))</f>
        <v/>
      </c>
      <c r="AQ764">
        <f>IF($AJ764="","",IF($AJ764=0,$AK764*EXP($AL764*-3),$AK764*(1+$AJ764*$AL764*-3)^(1/$AJ764)))</f>
        <v/>
      </c>
      <c r="AR764">
        <f>IF(OR($X764="",$T764&gt;60),"",IFERROR(INDEX(IF($T764&lt;24,pcomp_l,palt_l),MATCH($X764,IF($T764&lt;24,pcomp_k,palt_k),1)),""))</f>
        <v/>
      </c>
      <c r="AS764">
        <f>IF(OR($X764="",$T764&gt;60),"",IFERROR(INDEX(IF($T764&lt;24,pcomp_m,palt_m),MATCH($X764,IF($T764&lt;24,pcomp_k,palt_k),1)),""))</f>
        <v/>
      </c>
      <c r="AT764">
        <f>IF(OR($X764="",$T764&gt;60),"",IFERROR(INDEX(IF($T764&lt;24,pcomp_s,palt_s),MATCH($X764,IF($T764&lt;24,pcomp_k,palt_k),1)),""))</f>
        <v/>
      </c>
      <c r="AU764">
        <f>IF($AR764="","",IF($AR764=0,LN($F764/$AS764)/$AT764,((($F764/$AS764)^$AR764)-1)/($AR764*$AT764)))</f>
        <v/>
      </c>
      <c r="AV764">
        <f>IF($AR764="","",IF($AR764=0,$AS764*EXP($AT764*2),$AS764*(1+$AR764*$AT764*2)^(1/$AR764)))</f>
        <v/>
      </c>
      <c r="AW764">
        <f>IF($AR764="","",IF($AR764=0,$AS764*EXP($AT764*3),$AS764*(1+$AR764*$AT764*3)^(1/$AR764)))</f>
        <v/>
      </c>
      <c r="AX764">
        <f>IF($AR764="","",IF($AR764=0,$AS764*EXP($AT764*-2),$AS764*(1+$AR764*$AT764*-2)^(1/$AR764)))</f>
        <v/>
      </c>
      <c r="AY764">
        <f>IF($AR764="","",IF($AR764=0,$AS764*EXP($AT764*-3),$AS764*(1+$AR764*$AT764*-3)^(1/$AR764)))</f>
        <v/>
      </c>
      <c r="AZ764">
        <f>IF(OR($A764="",$A764&lt;&gt;Ficha!$C$4),"",COUNTIF($A$2:$A764,Ficha!$C$4))</f>
        <v/>
      </c>
    </row>
    <row r="765">
      <c r="A765" s="8">
        <f>IF(INDEX(Banco!$A:$A,ROW())="","",INDEX(Banco!$A:$A,ROW()))</f>
        <v/>
      </c>
      <c r="B765" s="8">
        <f>IF(INDEX(Banco!$B:$B,ROW())="","",INDEX(Banco!$B:$B,ROW()))</f>
        <v/>
      </c>
      <c r="C765" s="8">
        <f>IF(INDEX(Banco!$C:$C,ROW())="","",INDEX(Banco!$C:$C,ROW()))</f>
        <v/>
      </c>
      <c r="D765" s="9">
        <f>IF(INDEX(Banco!$D:$D,ROW())="","",INDEX(Banco!$D:$D,ROW()))</f>
        <v/>
      </c>
      <c r="E765" s="9">
        <f>IF(INDEX(Banco!$E:$E,ROW())="","",INDEX(Banco!$E:$E,ROW()))</f>
        <v/>
      </c>
      <c r="F765" s="10">
        <f>IF(INDEX(Banco!$F:$F,ROW())="","",INDEX(Banco!$F:$F,ROW()))</f>
        <v/>
      </c>
      <c r="G765" s="10">
        <f>IF(INDEX(Banco!$G:$G,ROW())="","",INDEX(Banco!$G:$G,ROW()))</f>
        <v/>
      </c>
      <c r="H765" s="8">
        <f>IF(INDEX(Banco!$H:$H,ROW())="","",INDEX(Banco!$H:$H,ROW()))</f>
        <v/>
      </c>
      <c r="I765">
        <f>IF($T765="","",INT($T765/12)&amp;"a "&amp;MOD($T765,12)&amp;"m")</f>
        <v/>
      </c>
      <c r="J765" s="11">
        <f>IF(OR($F765="",$G765=""),"",ROUND($F765/($G765/100)^2,2))</f>
        <v/>
      </c>
      <c r="K765" s="12">
        <f>IF(OR($S765="",$J765="",$T765="",$T765&lt;0,$T765&gt;228,$Y765=""),"—",ROUND(IF(ABS($AB765)&lt;=3,$AB765,IF($AB765&gt;3,3+($J765-$AD765)/($AD765-$AC765),-3+($J765-$AF765)/($AE765-$AF765))),2))</f>
        <v/>
      </c>
      <c r="L765">
        <f>IF(OR($K765="",$K765="—"),"",IF($T765&lt;=60,IF($K765&lt;-3,"Magreza acentuada",IF($K765&lt;-2,"Magreza",IF($K765&lt;=1,"Eutrofia",IF($K765&lt;=2,"Risco de sobrepeso",IF($K765&lt;=3,"Sobrepeso","Obesidade"))))),IF($K765&lt;-3,"Magreza acentuada",IF($K765&lt;-2,"Magreza",IF($K765&lt;=1,"Eutrofia",IF($K765&lt;=2,"Sobrepeso",IF($K765&lt;=3,"Obesidade","Obesidade grave")))))))</f>
        <v/>
      </c>
      <c r="M765" s="12">
        <f>IF(OR($S765="",$V765="",$T765="",$T765&lt;0,$T765&gt;228,$AG765=""),"—",ROUND(IF($AG765=0,LN($V765/$AH765)/$AI765,((($V765/$AH765)^$AG765)-1)/($AG765*$AI765)),2))</f>
        <v/>
      </c>
      <c r="N765">
        <f>IF(OR($M765="",$M765="—"),"",IF($M765&lt;-3,"Muito baixa",IF($M765&lt;-2,"Baixa","Adequada")))</f>
        <v/>
      </c>
      <c r="O765" s="12">
        <f>IF(OR($S765="",$F765="",$T765="",$T765&lt;0,$T765&gt;120,$AJ765=""),"—",ROUND(IF(ABS($AM765)&lt;=3,$AM765,IF($AM765&gt;3,3+($F765-$AO765)/($AO765-$AN765),-3+($F765-$AQ765)/($AP765-$AQ765))),2))</f>
        <v/>
      </c>
      <c r="P765">
        <f>IF(OR($O765="",$O765="—"),"",IF($O765&lt;-3,"Muito baixo",IF($O765&lt;-2,"Baixo",IF($O765&lt;=2,"Adequado","Elevado"))))</f>
        <v/>
      </c>
      <c r="Q765" s="12">
        <f>IF(OR($S765="",$F765="",$T765="",$T765&lt;0,$T765&gt;60,$AR765=""),"—",ROUND(IF(ABS($AU765)&lt;=3,$AU765,IF($AU765&gt;3,3+($F765-$AW765)/($AW765-$AV765),-3+($F765-$AY765)/($AX765-$AY765))),2))</f>
        <v/>
      </c>
      <c r="R765">
        <f>IF(OR($Q765="",$Q765="—"),"",IF($Q765&lt;-3,"Magreza acentuada",IF($Q765&lt;-2,"Magreza",IF($Q765&lt;=1,"Eutrofia",IF($Q765&lt;=2,"Risco de sobrepeso",IF($Q765&lt;=3,"Sobrepeso","Obesidade"))))))</f>
        <v/>
      </c>
      <c r="S765">
        <f>IF($C765="","",IF(UPPER(LEFT($C765,1))="M",1,IF(UPPER(LEFT($C765,1))="F",2,"")))</f>
        <v/>
      </c>
      <c r="T765">
        <f>IF(OR($D765="",$E765=""),"",DATEDIF($D765,$E765,"m"))</f>
        <v/>
      </c>
      <c r="U765">
        <f>IF(OR($D765="",$E765=""),"",$E765-$D765)</f>
        <v/>
      </c>
      <c r="V765">
        <f>IF(OR($G765="",$T765=""),"",IF($T765&lt;24,IF(LEFT(LOWER($H765),4)="em p",$G765+0.7,$G765),IF(LEFT(LOWER($H765),4)="deit",$G765-0.7,$G765)))</f>
        <v/>
      </c>
      <c r="W765">
        <f>IF(OR($S765="",$T765=""),"",$S765*1000000+IF($T765&lt;=60,$U765,$T765))</f>
        <v/>
      </c>
      <c r="X765">
        <f>IF(OR($S765="",$V765="",$T765&gt;60,$T765=""),"",$S765*1000000+ROUND($V765*10,0))</f>
        <v/>
      </c>
      <c r="Y765">
        <f>IF($W765="","",IFERROR(INDEX(IF($T765&lt;=60,imc05_l,imc519_l),MATCH($W765,IF($T765&lt;=60,imc05_k,imc519_k),1)),""))</f>
        <v/>
      </c>
      <c r="Z765">
        <f>IF($W765="","",IFERROR(INDEX(IF($T765&lt;=60,imc05_m,imc519_m),MATCH($W765,IF($T765&lt;=60,imc05_k,imc519_k),1)),""))</f>
        <v/>
      </c>
      <c r="AA765">
        <f>IF($W765="","",IFERROR(INDEX(IF($T765&lt;=60,imc05_s,imc519_s),MATCH($W765,IF($T765&lt;=60,imc05_k,imc519_k),1)),""))</f>
        <v/>
      </c>
      <c r="AB765">
        <f>IF($Y765="","",IF($Y765=0,LN($J765/$Z765)/$AA765,((($J765/$Z765)^$Y765)-1)/($Y765*$AA765)))</f>
        <v/>
      </c>
      <c r="AC765">
        <f>IF($Y765="","",IF($Y765=0,$Z765*EXP($AA765*2),$Z765*(1+$Y765*$AA765*2)^(1/$Y765)))</f>
        <v/>
      </c>
      <c r="AD765">
        <f>IF($Y765="","",IF($Y765=0,$Z765*EXP($AA765*3),$Z765*(1+$Y765*$AA765*3)^(1/$Y765)))</f>
        <v/>
      </c>
      <c r="AE765">
        <f>IF($Y765="","",IF($Y765=0,$Z765*EXP($AA765*-2),$Z765*(1+$Y765*$AA765*-2)^(1/$Y765)))</f>
        <v/>
      </c>
      <c r="AF765">
        <f>IF($Y765="","",IF($Y765=0,$Z765*EXP($AA765*-3),$Z765*(1+$Y765*$AA765*-3)^(1/$Y765)))</f>
        <v/>
      </c>
      <c r="AG765">
        <f>IF($W765="","",IFERROR(INDEX(IF($T765&lt;=60,est05_l,est519_l),MATCH($W765,IF($T765&lt;=60,est05_k,est519_k),1)),""))</f>
        <v/>
      </c>
      <c r="AH765">
        <f>IF($W765="","",IFERROR(INDEX(IF($T765&lt;=60,est05_m,est519_m),MATCH($W765,IF($T765&lt;=60,est05_k,est519_k),1)),""))</f>
        <v/>
      </c>
      <c r="AI765">
        <f>IF($W765="","",IFERROR(INDEX(IF($T765&lt;=60,est05_s,est519_s),MATCH($W765,IF($T765&lt;=60,est05_k,est519_k),1)),""))</f>
        <v/>
      </c>
      <c r="AJ765">
        <f>IF($W765="","",IFERROR(INDEX(IF($T765&lt;=60,peso05_l,peso510_l),MATCH($W765,IF($T765&lt;=60,peso05_k,peso510_k),1)),""))</f>
        <v/>
      </c>
      <c r="AK765">
        <f>IF($W765="","",IFERROR(INDEX(IF($T765&lt;=60,peso05_m,peso510_m),MATCH($W765,IF($T765&lt;=60,peso05_k,peso510_k),1)),""))</f>
        <v/>
      </c>
      <c r="AL765">
        <f>IF($W765="","",IFERROR(INDEX(IF($T765&lt;=60,peso05_s,peso510_s),MATCH($W765,IF($T765&lt;=60,peso05_k,peso510_k),1)),""))</f>
        <v/>
      </c>
      <c r="AM765">
        <f>IF($AJ765="","",IF($AJ765=0,LN($F765/$AK765)/$AL765,((($F765/$AK765)^$AJ765)-1)/($AJ765*$AL765)))</f>
        <v/>
      </c>
      <c r="AN765">
        <f>IF($AJ765="","",IF($AJ765=0,$AK765*EXP($AL765*2),$AK765*(1+$AJ765*$AL765*2)^(1/$AJ765)))</f>
        <v/>
      </c>
      <c r="AO765">
        <f>IF($AJ765="","",IF($AJ765=0,$AK765*EXP($AL765*3),$AK765*(1+$AJ765*$AL765*3)^(1/$AJ765)))</f>
        <v/>
      </c>
      <c r="AP765">
        <f>IF($AJ765="","",IF($AJ765=0,$AK765*EXP($AL765*-2),$AK765*(1+$AJ765*$AL765*-2)^(1/$AJ765)))</f>
        <v/>
      </c>
      <c r="AQ765">
        <f>IF($AJ765="","",IF($AJ765=0,$AK765*EXP($AL765*-3),$AK765*(1+$AJ765*$AL765*-3)^(1/$AJ765)))</f>
        <v/>
      </c>
      <c r="AR765">
        <f>IF(OR($X765="",$T765&gt;60),"",IFERROR(INDEX(IF($T765&lt;24,pcomp_l,palt_l),MATCH($X765,IF($T765&lt;24,pcomp_k,palt_k),1)),""))</f>
        <v/>
      </c>
      <c r="AS765">
        <f>IF(OR($X765="",$T765&gt;60),"",IFERROR(INDEX(IF($T765&lt;24,pcomp_m,palt_m),MATCH($X765,IF($T765&lt;24,pcomp_k,palt_k),1)),""))</f>
        <v/>
      </c>
      <c r="AT765">
        <f>IF(OR($X765="",$T765&gt;60),"",IFERROR(INDEX(IF($T765&lt;24,pcomp_s,palt_s),MATCH($X765,IF($T765&lt;24,pcomp_k,palt_k),1)),""))</f>
        <v/>
      </c>
      <c r="AU765">
        <f>IF($AR765="","",IF($AR765=0,LN($F765/$AS765)/$AT765,((($F765/$AS765)^$AR765)-1)/($AR765*$AT765)))</f>
        <v/>
      </c>
      <c r="AV765">
        <f>IF($AR765="","",IF($AR765=0,$AS765*EXP($AT765*2),$AS765*(1+$AR765*$AT765*2)^(1/$AR765)))</f>
        <v/>
      </c>
      <c r="AW765">
        <f>IF($AR765="","",IF($AR765=0,$AS765*EXP($AT765*3),$AS765*(1+$AR765*$AT765*3)^(1/$AR765)))</f>
        <v/>
      </c>
      <c r="AX765">
        <f>IF($AR765="","",IF($AR765=0,$AS765*EXP($AT765*-2),$AS765*(1+$AR765*$AT765*-2)^(1/$AR765)))</f>
        <v/>
      </c>
      <c r="AY765">
        <f>IF($AR765="","",IF($AR765=0,$AS765*EXP($AT765*-3),$AS765*(1+$AR765*$AT765*-3)^(1/$AR765)))</f>
        <v/>
      </c>
      <c r="AZ765">
        <f>IF(OR($A765="",$A765&lt;&gt;Ficha!$C$4),"",COUNTIF($A$2:$A765,Ficha!$C$4))</f>
        <v/>
      </c>
    </row>
    <row r="766">
      <c r="A766" s="8">
        <f>IF(INDEX(Banco!$A:$A,ROW())="","",INDEX(Banco!$A:$A,ROW()))</f>
        <v/>
      </c>
      <c r="B766" s="8">
        <f>IF(INDEX(Banco!$B:$B,ROW())="","",INDEX(Banco!$B:$B,ROW()))</f>
        <v/>
      </c>
      <c r="C766" s="8">
        <f>IF(INDEX(Banco!$C:$C,ROW())="","",INDEX(Banco!$C:$C,ROW()))</f>
        <v/>
      </c>
      <c r="D766" s="9">
        <f>IF(INDEX(Banco!$D:$D,ROW())="","",INDEX(Banco!$D:$D,ROW()))</f>
        <v/>
      </c>
      <c r="E766" s="9">
        <f>IF(INDEX(Banco!$E:$E,ROW())="","",INDEX(Banco!$E:$E,ROW()))</f>
        <v/>
      </c>
      <c r="F766" s="10">
        <f>IF(INDEX(Banco!$F:$F,ROW())="","",INDEX(Banco!$F:$F,ROW()))</f>
        <v/>
      </c>
      <c r="G766" s="10">
        <f>IF(INDEX(Banco!$G:$G,ROW())="","",INDEX(Banco!$G:$G,ROW()))</f>
        <v/>
      </c>
      <c r="H766" s="8">
        <f>IF(INDEX(Banco!$H:$H,ROW())="","",INDEX(Banco!$H:$H,ROW()))</f>
        <v/>
      </c>
      <c r="I766">
        <f>IF($T766="","",INT($T766/12)&amp;"a "&amp;MOD($T766,12)&amp;"m")</f>
        <v/>
      </c>
      <c r="J766" s="11">
        <f>IF(OR($F766="",$G766=""),"",ROUND($F766/($G766/100)^2,2))</f>
        <v/>
      </c>
      <c r="K766" s="12">
        <f>IF(OR($S766="",$J766="",$T766="",$T766&lt;0,$T766&gt;228,$Y766=""),"—",ROUND(IF(ABS($AB766)&lt;=3,$AB766,IF($AB766&gt;3,3+($J766-$AD766)/($AD766-$AC766),-3+($J766-$AF766)/($AE766-$AF766))),2))</f>
        <v/>
      </c>
      <c r="L766">
        <f>IF(OR($K766="",$K766="—"),"",IF($T766&lt;=60,IF($K766&lt;-3,"Magreza acentuada",IF($K766&lt;-2,"Magreza",IF($K766&lt;=1,"Eutrofia",IF($K766&lt;=2,"Risco de sobrepeso",IF($K766&lt;=3,"Sobrepeso","Obesidade"))))),IF($K766&lt;-3,"Magreza acentuada",IF($K766&lt;-2,"Magreza",IF($K766&lt;=1,"Eutrofia",IF($K766&lt;=2,"Sobrepeso",IF($K766&lt;=3,"Obesidade","Obesidade grave")))))))</f>
        <v/>
      </c>
      <c r="M766" s="12">
        <f>IF(OR($S766="",$V766="",$T766="",$T766&lt;0,$T766&gt;228,$AG766=""),"—",ROUND(IF($AG766=0,LN($V766/$AH766)/$AI766,((($V766/$AH766)^$AG766)-1)/($AG766*$AI766)),2))</f>
        <v/>
      </c>
      <c r="N766">
        <f>IF(OR($M766="",$M766="—"),"",IF($M766&lt;-3,"Muito baixa",IF($M766&lt;-2,"Baixa","Adequada")))</f>
        <v/>
      </c>
      <c r="O766" s="12">
        <f>IF(OR($S766="",$F766="",$T766="",$T766&lt;0,$T766&gt;120,$AJ766=""),"—",ROUND(IF(ABS($AM766)&lt;=3,$AM766,IF($AM766&gt;3,3+($F766-$AO766)/($AO766-$AN766),-3+($F766-$AQ766)/($AP766-$AQ766))),2))</f>
        <v/>
      </c>
      <c r="P766">
        <f>IF(OR($O766="",$O766="—"),"",IF($O766&lt;-3,"Muito baixo",IF($O766&lt;-2,"Baixo",IF($O766&lt;=2,"Adequado","Elevado"))))</f>
        <v/>
      </c>
      <c r="Q766" s="12">
        <f>IF(OR($S766="",$F766="",$T766="",$T766&lt;0,$T766&gt;60,$AR766=""),"—",ROUND(IF(ABS($AU766)&lt;=3,$AU766,IF($AU766&gt;3,3+($F766-$AW766)/($AW766-$AV766),-3+($F766-$AY766)/($AX766-$AY766))),2))</f>
        <v/>
      </c>
      <c r="R766">
        <f>IF(OR($Q766="",$Q766="—"),"",IF($Q766&lt;-3,"Magreza acentuada",IF($Q766&lt;-2,"Magreza",IF($Q766&lt;=1,"Eutrofia",IF($Q766&lt;=2,"Risco de sobrepeso",IF($Q766&lt;=3,"Sobrepeso","Obesidade"))))))</f>
        <v/>
      </c>
      <c r="S766">
        <f>IF($C766="","",IF(UPPER(LEFT($C766,1))="M",1,IF(UPPER(LEFT($C766,1))="F",2,"")))</f>
        <v/>
      </c>
      <c r="T766">
        <f>IF(OR($D766="",$E766=""),"",DATEDIF($D766,$E766,"m"))</f>
        <v/>
      </c>
      <c r="U766">
        <f>IF(OR($D766="",$E766=""),"",$E766-$D766)</f>
        <v/>
      </c>
      <c r="V766">
        <f>IF(OR($G766="",$T766=""),"",IF($T766&lt;24,IF(LEFT(LOWER($H766),4)="em p",$G766+0.7,$G766),IF(LEFT(LOWER($H766),4)="deit",$G766-0.7,$G766)))</f>
        <v/>
      </c>
      <c r="W766">
        <f>IF(OR($S766="",$T766=""),"",$S766*1000000+IF($T766&lt;=60,$U766,$T766))</f>
        <v/>
      </c>
      <c r="X766">
        <f>IF(OR($S766="",$V766="",$T766&gt;60,$T766=""),"",$S766*1000000+ROUND($V766*10,0))</f>
        <v/>
      </c>
      <c r="Y766">
        <f>IF($W766="","",IFERROR(INDEX(IF($T766&lt;=60,imc05_l,imc519_l),MATCH($W766,IF($T766&lt;=60,imc05_k,imc519_k),1)),""))</f>
        <v/>
      </c>
      <c r="Z766">
        <f>IF($W766="","",IFERROR(INDEX(IF($T766&lt;=60,imc05_m,imc519_m),MATCH($W766,IF($T766&lt;=60,imc05_k,imc519_k),1)),""))</f>
        <v/>
      </c>
      <c r="AA766">
        <f>IF($W766="","",IFERROR(INDEX(IF($T766&lt;=60,imc05_s,imc519_s),MATCH($W766,IF($T766&lt;=60,imc05_k,imc519_k),1)),""))</f>
        <v/>
      </c>
      <c r="AB766">
        <f>IF($Y766="","",IF($Y766=0,LN($J766/$Z766)/$AA766,((($J766/$Z766)^$Y766)-1)/($Y766*$AA766)))</f>
        <v/>
      </c>
      <c r="AC766">
        <f>IF($Y766="","",IF($Y766=0,$Z766*EXP($AA766*2),$Z766*(1+$Y766*$AA766*2)^(1/$Y766)))</f>
        <v/>
      </c>
      <c r="AD766">
        <f>IF($Y766="","",IF($Y766=0,$Z766*EXP($AA766*3),$Z766*(1+$Y766*$AA766*3)^(1/$Y766)))</f>
        <v/>
      </c>
      <c r="AE766">
        <f>IF($Y766="","",IF($Y766=0,$Z766*EXP($AA766*-2),$Z766*(1+$Y766*$AA766*-2)^(1/$Y766)))</f>
        <v/>
      </c>
      <c r="AF766">
        <f>IF($Y766="","",IF($Y766=0,$Z766*EXP($AA766*-3),$Z766*(1+$Y766*$AA766*-3)^(1/$Y766)))</f>
        <v/>
      </c>
      <c r="AG766">
        <f>IF($W766="","",IFERROR(INDEX(IF($T766&lt;=60,est05_l,est519_l),MATCH($W766,IF($T766&lt;=60,est05_k,est519_k),1)),""))</f>
        <v/>
      </c>
      <c r="AH766">
        <f>IF($W766="","",IFERROR(INDEX(IF($T766&lt;=60,est05_m,est519_m),MATCH($W766,IF($T766&lt;=60,est05_k,est519_k),1)),""))</f>
        <v/>
      </c>
      <c r="AI766">
        <f>IF($W766="","",IFERROR(INDEX(IF($T766&lt;=60,est05_s,est519_s),MATCH($W766,IF($T766&lt;=60,est05_k,est519_k),1)),""))</f>
        <v/>
      </c>
      <c r="AJ766">
        <f>IF($W766="","",IFERROR(INDEX(IF($T766&lt;=60,peso05_l,peso510_l),MATCH($W766,IF($T766&lt;=60,peso05_k,peso510_k),1)),""))</f>
        <v/>
      </c>
      <c r="AK766">
        <f>IF($W766="","",IFERROR(INDEX(IF($T766&lt;=60,peso05_m,peso510_m),MATCH($W766,IF($T766&lt;=60,peso05_k,peso510_k),1)),""))</f>
        <v/>
      </c>
      <c r="AL766">
        <f>IF($W766="","",IFERROR(INDEX(IF($T766&lt;=60,peso05_s,peso510_s),MATCH($W766,IF($T766&lt;=60,peso05_k,peso510_k),1)),""))</f>
        <v/>
      </c>
      <c r="AM766">
        <f>IF($AJ766="","",IF($AJ766=0,LN($F766/$AK766)/$AL766,((($F766/$AK766)^$AJ766)-1)/($AJ766*$AL766)))</f>
        <v/>
      </c>
      <c r="AN766">
        <f>IF($AJ766="","",IF($AJ766=0,$AK766*EXP($AL766*2),$AK766*(1+$AJ766*$AL766*2)^(1/$AJ766)))</f>
        <v/>
      </c>
      <c r="AO766">
        <f>IF($AJ766="","",IF($AJ766=0,$AK766*EXP($AL766*3),$AK766*(1+$AJ766*$AL766*3)^(1/$AJ766)))</f>
        <v/>
      </c>
      <c r="AP766">
        <f>IF($AJ766="","",IF($AJ766=0,$AK766*EXP($AL766*-2),$AK766*(1+$AJ766*$AL766*-2)^(1/$AJ766)))</f>
        <v/>
      </c>
      <c r="AQ766">
        <f>IF($AJ766="","",IF($AJ766=0,$AK766*EXP($AL766*-3),$AK766*(1+$AJ766*$AL766*-3)^(1/$AJ766)))</f>
        <v/>
      </c>
      <c r="AR766">
        <f>IF(OR($X766="",$T766&gt;60),"",IFERROR(INDEX(IF($T766&lt;24,pcomp_l,palt_l),MATCH($X766,IF($T766&lt;24,pcomp_k,palt_k),1)),""))</f>
        <v/>
      </c>
      <c r="AS766">
        <f>IF(OR($X766="",$T766&gt;60),"",IFERROR(INDEX(IF($T766&lt;24,pcomp_m,palt_m),MATCH($X766,IF($T766&lt;24,pcomp_k,palt_k),1)),""))</f>
        <v/>
      </c>
      <c r="AT766">
        <f>IF(OR($X766="",$T766&gt;60),"",IFERROR(INDEX(IF($T766&lt;24,pcomp_s,palt_s),MATCH($X766,IF($T766&lt;24,pcomp_k,palt_k),1)),""))</f>
        <v/>
      </c>
      <c r="AU766">
        <f>IF($AR766="","",IF($AR766=0,LN($F766/$AS766)/$AT766,((($F766/$AS766)^$AR766)-1)/($AR766*$AT766)))</f>
        <v/>
      </c>
      <c r="AV766">
        <f>IF($AR766="","",IF($AR766=0,$AS766*EXP($AT766*2),$AS766*(1+$AR766*$AT766*2)^(1/$AR766)))</f>
        <v/>
      </c>
      <c r="AW766">
        <f>IF($AR766="","",IF($AR766=0,$AS766*EXP($AT766*3),$AS766*(1+$AR766*$AT766*3)^(1/$AR766)))</f>
        <v/>
      </c>
      <c r="AX766">
        <f>IF($AR766="","",IF($AR766=0,$AS766*EXP($AT766*-2),$AS766*(1+$AR766*$AT766*-2)^(1/$AR766)))</f>
        <v/>
      </c>
      <c r="AY766">
        <f>IF($AR766="","",IF($AR766=0,$AS766*EXP($AT766*-3),$AS766*(1+$AR766*$AT766*-3)^(1/$AR766)))</f>
        <v/>
      </c>
      <c r="AZ766">
        <f>IF(OR($A766="",$A766&lt;&gt;Ficha!$C$4),"",COUNTIF($A$2:$A766,Ficha!$C$4))</f>
        <v/>
      </c>
    </row>
    <row r="767">
      <c r="A767" s="8">
        <f>IF(INDEX(Banco!$A:$A,ROW())="","",INDEX(Banco!$A:$A,ROW()))</f>
        <v/>
      </c>
      <c r="B767" s="8">
        <f>IF(INDEX(Banco!$B:$B,ROW())="","",INDEX(Banco!$B:$B,ROW()))</f>
        <v/>
      </c>
      <c r="C767" s="8">
        <f>IF(INDEX(Banco!$C:$C,ROW())="","",INDEX(Banco!$C:$C,ROW()))</f>
        <v/>
      </c>
      <c r="D767" s="9">
        <f>IF(INDEX(Banco!$D:$D,ROW())="","",INDEX(Banco!$D:$D,ROW()))</f>
        <v/>
      </c>
      <c r="E767" s="9">
        <f>IF(INDEX(Banco!$E:$E,ROW())="","",INDEX(Banco!$E:$E,ROW()))</f>
        <v/>
      </c>
      <c r="F767" s="10">
        <f>IF(INDEX(Banco!$F:$F,ROW())="","",INDEX(Banco!$F:$F,ROW()))</f>
        <v/>
      </c>
      <c r="G767" s="10">
        <f>IF(INDEX(Banco!$G:$G,ROW())="","",INDEX(Banco!$G:$G,ROW()))</f>
        <v/>
      </c>
      <c r="H767" s="8">
        <f>IF(INDEX(Banco!$H:$H,ROW())="","",INDEX(Banco!$H:$H,ROW()))</f>
        <v/>
      </c>
      <c r="I767">
        <f>IF($T767="","",INT($T767/12)&amp;"a "&amp;MOD($T767,12)&amp;"m")</f>
        <v/>
      </c>
      <c r="J767" s="11">
        <f>IF(OR($F767="",$G767=""),"",ROUND($F767/($G767/100)^2,2))</f>
        <v/>
      </c>
      <c r="K767" s="12">
        <f>IF(OR($S767="",$J767="",$T767="",$T767&lt;0,$T767&gt;228,$Y767=""),"—",ROUND(IF(ABS($AB767)&lt;=3,$AB767,IF($AB767&gt;3,3+($J767-$AD767)/($AD767-$AC767),-3+($J767-$AF767)/($AE767-$AF767))),2))</f>
        <v/>
      </c>
      <c r="L767">
        <f>IF(OR($K767="",$K767="—"),"",IF($T767&lt;=60,IF($K767&lt;-3,"Magreza acentuada",IF($K767&lt;-2,"Magreza",IF($K767&lt;=1,"Eutrofia",IF($K767&lt;=2,"Risco de sobrepeso",IF($K767&lt;=3,"Sobrepeso","Obesidade"))))),IF($K767&lt;-3,"Magreza acentuada",IF($K767&lt;-2,"Magreza",IF($K767&lt;=1,"Eutrofia",IF($K767&lt;=2,"Sobrepeso",IF($K767&lt;=3,"Obesidade","Obesidade grave")))))))</f>
        <v/>
      </c>
      <c r="M767" s="12">
        <f>IF(OR($S767="",$V767="",$T767="",$T767&lt;0,$T767&gt;228,$AG767=""),"—",ROUND(IF($AG767=0,LN($V767/$AH767)/$AI767,((($V767/$AH767)^$AG767)-1)/($AG767*$AI767)),2))</f>
        <v/>
      </c>
      <c r="N767">
        <f>IF(OR($M767="",$M767="—"),"",IF($M767&lt;-3,"Muito baixa",IF($M767&lt;-2,"Baixa","Adequada")))</f>
        <v/>
      </c>
      <c r="O767" s="12">
        <f>IF(OR($S767="",$F767="",$T767="",$T767&lt;0,$T767&gt;120,$AJ767=""),"—",ROUND(IF(ABS($AM767)&lt;=3,$AM767,IF($AM767&gt;3,3+($F767-$AO767)/($AO767-$AN767),-3+($F767-$AQ767)/($AP767-$AQ767))),2))</f>
        <v/>
      </c>
      <c r="P767">
        <f>IF(OR($O767="",$O767="—"),"",IF($O767&lt;-3,"Muito baixo",IF($O767&lt;-2,"Baixo",IF($O767&lt;=2,"Adequado","Elevado"))))</f>
        <v/>
      </c>
      <c r="Q767" s="12">
        <f>IF(OR($S767="",$F767="",$T767="",$T767&lt;0,$T767&gt;60,$AR767=""),"—",ROUND(IF(ABS($AU767)&lt;=3,$AU767,IF($AU767&gt;3,3+($F767-$AW767)/($AW767-$AV767),-3+($F767-$AY767)/($AX767-$AY767))),2))</f>
        <v/>
      </c>
      <c r="R767">
        <f>IF(OR($Q767="",$Q767="—"),"",IF($Q767&lt;-3,"Magreza acentuada",IF($Q767&lt;-2,"Magreza",IF($Q767&lt;=1,"Eutrofia",IF($Q767&lt;=2,"Risco de sobrepeso",IF($Q767&lt;=3,"Sobrepeso","Obesidade"))))))</f>
        <v/>
      </c>
      <c r="S767">
        <f>IF($C767="","",IF(UPPER(LEFT($C767,1))="M",1,IF(UPPER(LEFT($C767,1))="F",2,"")))</f>
        <v/>
      </c>
      <c r="T767">
        <f>IF(OR($D767="",$E767=""),"",DATEDIF($D767,$E767,"m"))</f>
        <v/>
      </c>
      <c r="U767">
        <f>IF(OR($D767="",$E767=""),"",$E767-$D767)</f>
        <v/>
      </c>
      <c r="V767">
        <f>IF(OR($G767="",$T767=""),"",IF($T767&lt;24,IF(LEFT(LOWER($H767),4)="em p",$G767+0.7,$G767),IF(LEFT(LOWER($H767),4)="deit",$G767-0.7,$G767)))</f>
        <v/>
      </c>
      <c r="W767">
        <f>IF(OR($S767="",$T767=""),"",$S767*1000000+IF($T767&lt;=60,$U767,$T767))</f>
        <v/>
      </c>
      <c r="X767">
        <f>IF(OR($S767="",$V767="",$T767&gt;60,$T767=""),"",$S767*1000000+ROUND($V767*10,0))</f>
        <v/>
      </c>
      <c r="Y767">
        <f>IF($W767="","",IFERROR(INDEX(IF($T767&lt;=60,imc05_l,imc519_l),MATCH($W767,IF($T767&lt;=60,imc05_k,imc519_k),1)),""))</f>
        <v/>
      </c>
      <c r="Z767">
        <f>IF($W767="","",IFERROR(INDEX(IF($T767&lt;=60,imc05_m,imc519_m),MATCH($W767,IF($T767&lt;=60,imc05_k,imc519_k),1)),""))</f>
        <v/>
      </c>
      <c r="AA767">
        <f>IF($W767="","",IFERROR(INDEX(IF($T767&lt;=60,imc05_s,imc519_s),MATCH($W767,IF($T767&lt;=60,imc05_k,imc519_k),1)),""))</f>
        <v/>
      </c>
      <c r="AB767">
        <f>IF($Y767="","",IF($Y767=0,LN($J767/$Z767)/$AA767,((($J767/$Z767)^$Y767)-1)/($Y767*$AA767)))</f>
        <v/>
      </c>
      <c r="AC767">
        <f>IF($Y767="","",IF($Y767=0,$Z767*EXP($AA767*2),$Z767*(1+$Y767*$AA767*2)^(1/$Y767)))</f>
        <v/>
      </c>
      <c r="AD767">
        <f>IF($Y767="","",IF($Y767=0,$Z767*EXP($AA767*3),$Z767*(1+$Y767*$AA767*3)^(1/$Y767)))</f>
        <v/>
      </c>
      <c r="AE767">
        <f>IF($Y767="","",IF($Y767=0,$Z767*EXP($AA767*-2),$Z767*(1+$Y767*$AA767*-2)^(1/$Y767)))</f>
        <v/>
      </c>
      <c r="AF767">
        <f>IF($Y767="","",IF($Y767=0,$Z767*EXP($AA767*-3),$Z767*(1+$Y767*$AA767*-3)^(1/$Y767)))</f>
        <v/>
      </c>
      <c r="AG767">
        <f>IF($W767="","",IFERROR(INDEX(IF($T767&lt;=60,est05_l,est519_l),MATCH($W767,IF($T767&lt;=60,est05_k,est519_k),1)),""))</f>
        <v/>
      </c>
      <c r="AH767">
        <f>IF($W767="","",IFERROR(INDEX(IF($T767&lt;=60,est05_m,est519_m),MATCH($W767,IF($T767&lt;=60,est05_k,est519_k),1)),""))</f>
        <v/>
      </c>
      <c r="AI767">
        <f>IF($W767="","",IFERROR(INDEX(IF($T767&lt;=60,est05_s,est519_s),MATCH($W767,IF($T767&lt;=60,est05_k,est519_k),1)),""))</f>
        <v/>
      </c>
      <c r="AJ767">
        <f>IF($W767="","",IFERROR(INDEX(IF($T767&lt;=60,peso05_l,peso510_l),MATCH($W767,IF($T767&lt;=60,peso05_k,peso510_k),1)),""))</f>
        <v/>
      </c>
      <c r="AK767">
        <f>IF($W767="","",IFERROR(INDEX(IF($T767&lt;=60,peso05_m,peso510_m),MATCH($W767,IF($T767&lt;=60,peso05_k,peso510_k),1)),""))</f>
        <v/>
      </c>
      <c r="AL767">
        <f>IF($W767="","",IFERROR(INDEX(IF($T767&lt;=60,peso05_s,peso510_s),MATCH($W767,IF($T767&lt;=60,peso05_k,peso510_k),1)),""))</f>
        <v/>
      </c>
      <c r="AM767">
        <f>IF($AJ767="","",IF($AJ767=0,LN($F767/$AK767)/$AL767,((($F767/$AK767)^$AJ767)-1)/($AJ767*$AL767)))</f>
        <v/>
      </c>
      <c r="AN767">
        <f>IF($AJ767="","",IF($AJ767=0,$AK767*EXP($AL767*2),$AK767*(1+$AJ767*$AL767*2)^(1/$AJ767)))</f>
        <v/>
      </c>
      <c r="AO767">
        <f>IF($AJ767="","",IF($AJ767=0,$AK767*EXP($AL767*3),$AK767*(1+$AJ767*$AL767*3)^(1/$AJ767)))</f>
        <v/>
      </c>
      <c r="AP767">
        <f>IF($AJ767="","",IF($AJ767=0,$AK767*EXP($AL767*-2),$AK767*(1+$AJ767*$AL767*-2)^(1/$AJ767)))</f>
        <v/>
      </c>
      <c r="AQ767">
        <f>IF($AJ767="","",IF($AJ767=0,$AK767*EXP($AL767*-3),$AK767*(1+$AJ767*$AL767*-3)^(1/$AJ767)))</f>
        <v/>
      </c>
      <c r="AR767">
        <f>IF(OR($X767="",$T767&gt;60),"",IFERROR(INDEX(IF($T767&lt;24,pcomp_l,palt_l),MATCH($X767,IF($T767&lt;24,pcomp_k,palt_k),1)),""))</f>
        <v/>
      </c>
      <c r="AS767">
        <f>IF(OR($X767="",$T767&gt;60),"",IFERROR(INDEX(IF($T767&lt;24,pcomp_m,palt_m),MATCH($X767,IF($T767&lt;24,pcomp_k,palt_k),1)),""))</f>
        <v/>
      </c>
      <c r="AT767">
        <f>IF(OR($X767="",$T767&gt;60),"",IFERROR(INDEX(IF($T767&lt;24,pcomp_s,palt_s),MATCH($X767,IF($T767&lt;24,pcomp_k,palt_k),1)),""))</f>
        <v/>
      </c>
      <c r="AU767">
        <f>IF($AR767="","",IF($AR767=0,LN($F767/$AS767)/$AT767,((($F767/$AS767)^$AR767)-1)/($AR767*$AT767)))</f>
        <v/>
      </c>
      <c r="AV767">
        <f>IF($AR767="","",IF($AR767=0,$AS767*EXP($AT767*2),$AS767*(1+$AR767*$AT767*2)^(1/$AR767)))</f>
        <v/>
      </c>
      <c r="AW767">
        <f>IF($AR767="","",IF($AR767=0,$AS767*EXP($AT767*3),$AS767*(1+$AR767*$AT767*3)^(1/$AR767)))</f>
        <v/>
      </c>
      <c r="AX767">
        <f>IF($AR767="","",IF($AR767=0,$AS767*EXP($AT767*-2),$AS767*(1+$AR767*$AT767*-2)^(1/$AR767)))</f>
        <v/>
      </c>
      <c r="AY767">
        <f>IF($AR767="","",IF($AR767=0,$AS767*EXP($AT767*-3),$AS767*(1+$AR767*$AT767*-3)^(1/$AR767)))</f>
        <v/>
      </c>
      <c r="AZ767">
        <f>IF(OR($A767="",$A767&lt;&gt;Ficha!$C$4),"",COUNTIF($A$2:$A767,Ficha!$C$4))</f>
        <v/>
      </c>
    </row>
    <row r="768">
      <c r="A768" s="8">
        <f>IF(INDEX(Banco!$A:$A,ROW())="","",INDEX(Banco!$A:$A,ROW()))</f>
        <v/>
      </c>
      <c r="B768" s="8">
        <f>IF(INDEX(Banco!$B:$B,ROW())="","",INDEX(Banco!$B:$B,ROW()))</f>
        <v/>
      </c>
      <c r="C768" s="8">
        <f>IF(INDEX(Banco!$C:$C,ROW())="","",INDEX(Banco!$C:$C,ROW()))</f>
        <v/>
      </c>
      <c r="D768" s="9">
        <f>IF(INDEX(Banco!$D:$D,ROW())="","",INDEX(Banco!$D:$D,ROW()))</f>
        <v/>
      </c>
      <c r="E768" s="9">
        <f>IF(INDEX(Banco!$E:$E,ROW())="","",INDEX(Banco!$E:$E,ROW()))</f>
        <v/>
      </c>
      <c r="F768" s="10">
        <f>IF(INDEX(Banco!$F:$F,ROW())="","",INDEX(Banco!$F:$F,ROW()))</f>
        <v/>
      </c>
      <c r="G768" s="10">
        <f>IF(INDEX(Banco!$G:$G,ROW())="","",INDEX(Banco!$G:$G,ROW()))</f>
        <v/>
      </c>
      <c r="H768" s="8">
        <f>IF(INDEX(Banco!$H:$H,ROW())="","",INDEX(Banco!$H:$H,ROW()))</f>
        <v/>
      </c>
      <c r="I768">
        <f>IF($T768="","",INT($T768/12)&amp;"a "&amp;MOD($T768,12)&amp;"m")</f>
        <v/>
      </c>
      <c r="J768" s="11">
        <f>IF(OR($F768="",$G768=""),"",ROUND($F768/($G768/100)^2,2))</f>
        <v/>
      </c>
      <c r="K768" s="12">
        <f>IF(OR($S768="",$J768="",$T768="",$T768&lt;0,$T768&gt;228,$Y768=""),"—",ROUND(IF(ABS($AB768)&lt;=3,$AB768,IF($AB768&gt;3,3+($J768-$AD768)/($AD768-$AC768),-3+($J768-$AF768)/($AE768-$AF768))),2))</f>
        <v/>
      </c>
      <c r="L768">
        <f>IF(OR($K768="",$K768="—"),"",IF($T768&lt;=60,IF($K768&lt;-3,"Magreza acentuada",IF($K768&lt;-2,"Magreza",IF($K768&lt;=1,"Eutrofia",IF($K768&lt;=2,"Risco de sobrepeso",IF($K768&lt;=3,"Sobrepeso","Obesidade"))))),IF($K768&lt;-3,"Magreza acentuada",IF($K768&lt;-2,"Magreza",IF($K768&lt;=1,"Eutrofia",IF($K768&lt;=2,"Sobrepeso",IF($K768&lt;=3,"Obesidade","Obesidade grave")))))))</f>
        <v/>
      </c>
      <c r="M768" s="12">
        <f>IF(OR($S768="",$V768="",$T768="",$T768&lt;0,$T768&gt;228,$AG768=""),"—",ROUND(IF($AG768=0,LN($V768/$AH768)/$AI768,((($V768/$AH768)^$AG768)-1)/($AG768*$AI768)),2))</f>
        <v/>
      </c>
      <c r="N768">
        <f>IF(OR($M768="",$M768="—"),"",IF($M768&lt;-3,"Muito baixa",IF($M768&lt;-2,"Baixa","Adequada")))</f>
        <v/>
      </c>
      <c r="O768" s="12">
        <f>IF(OR($S768="",$F768="",$T768="",$T768&lt;0,$T768&gt;120,$AJ768=""),"—",ROUND(IF(ABS($AM768)&lt;=3,$AM768,IF($AM768&gt;3,3+($F768-$AO768)/($AO768-$AN768),-3+($F768-$AQ768)/($AP768-$AQ768))),2))</f>
        <v/>
      </c>
      <c r="P768">
        <f>IF(OR($O768="",$O768="—"),"",IF($O768&lt;-3,"Muito baixo",IF($O768&lt;-2,"Baixo",IF($O768&lt;=2,"Adequado","Elevado"))))</f>
        <v/>
      </c>
      <c r="Q768" s="12">
        <f>IF(OR($S768="",$F768="",$T768="",$T768&lt;0,$T768&gt;60,$AR768=""),"—",ROUND(IF(ABS($AU768)&lt;=3,$AU768,IF($AU768&gt;3,3+($F768-$AW768)/($AW768-$AV768),-3+($F768-$AY768)/($AX768-$AY768))),2))</f>
        <v/>
      </c>
      <c r="R768">
        <f>IF(OR($Q768="",$Q768="—"),"",IF($Q768&lt;-3,"Magreza acentuada",IF($Q768&lt;-2,"Magreza",IF($Q768&lt;=1,"Eutrofia",IF($Q768&lt;=2,"Risco de sobrepeso",IF($Q768&lt;=3,"Sobrepeso","Obesidade"))))))</f>
        <v/>
      </c>
      <c r="S768">
        <f>IF($C768="","",IF(UPPER(LEFT($C768,1))="M",1,IF(UPPER(LEFT($C768,1))="F",2,"")))</f>
        <v/>
      </c>
      <c r="T768">
        <f>IF(OR($D768="",$E768=""),"",DATEDIF($D768,$E768,"m"))</f>
        <v/>
      </c>
      <c r="U768">
        <f>IF(OR($D768="",$E768=""),"",$E768-$D768)</f>
        <v/>
      </c>
      <c r="V768">
        <f>IF(OR($G768="",$T768=""),"",IF($T768&lt;24,IF(LEFT(LOWER($H768),4)="em p",$G768+0.7,$G768),IF(LEFT(LOWER($H768),4)="deit",$G768-0.7,$G768)))</f>
        <v/>
      </c>
      <c r="W768">
        <f>IF(OR($S768="",$T768=""),"",$S768*1000000+IF($T768&lt;=60,$U768,$T768))</f>
        <v/>
      </c>
      <c r="X768">
        <f>IF(OR($S768="",$V768="",$T768&gt;60,$T768=""),"",$S768*1000000+ROUND($V768*10,0))</f>
        <v/>
      </c>
      <c r="Y768">
        <f>IF($W768="","",IFERROR(INDEX(IF($T768&lt;=60,imc05_l,imc519_l),MATCH($W768,IF($T768&lt;=60,imc05_k,imc519_k),1)),""))</f>
        <v/>
      </c>
      <c r="Z768">
        <f>IF($W768="","",IFERROR(INDEX(IF($T768&lt;=60,imc05_m,imc519_m),MATCH($W768,IF($T768&lt;=60,imc05_k,imc519_k),1)),""))</f>
        <v/>
      </c>
      <c r="AA768">
        <f>IF($W768="","",IFERROR(INDEX(IF($T768&lt;=60,imc05_s,imc519_s),MATCH($W768,IF($T768&lt;=60,imc05_k,imc519_k),1)),""))</f>
        <v/>
      </c>
      <c r="AB768">
        <f>IF($Y768="","",IF($Y768=0,LN($J768/$Z768)/$AA768,((($J768/$Z768)^$Y768)-1)/($Y768*$AA768)))</f>
        <v/>
      </c>
      <c r="AC768">
        <f>IF($Y768="","",IF($Y768=0,$Z768*EXP($AA768*2),$Z768*(1+$Y768*$AA768*2)^(1/$Y768)))</f>
        <v/>
      </c>
      <c r="AD768">
        <f>IF($Y768="","",IF($Y768=0,$Z768*EXP($AA768*3),$Z768*(1+$Y768*$AA768*3)^(1/$Y768)))</f>
        <v/>
      </c>
      <c r="AE768">
        <f>IF($Y768="","",IF($Y768=0,$Z768*EXP($AA768*-2),$Z768*(1+$Y768*$AA768*-2)^(1/$Y768)))</f>
        <v/>
      </c>
      <c r="AF768">
        <f>IF($Y768="","",IF($Y768=0,$Z768*EXP($AA768*-3),$Z768*(1+$Y768*$AA768*-3)^(1/$Y768)))</f>
        <v/>
      </c>
      <c r="AG768">
        <f>IF($W768="","",IFERROR(INDEX(IF($T768&lt;=60,est05_l,est519_l),MATCH($W768,IF($T768&lt;=60,est05_k,est519_k),1)),""))</f>
        <v/>
      </c>
      <c r="AH768">
        <f>IF($W768="","",IFERROR(INDEX(IF($T768&lt;=60,est05_m,est519_m),MATCH($W768,IF($T768&lt;=60,est05_k,est519_k),1)),""))</f>
        <v/>
      </c>
      <c r="AI768">
        <f>IF($W768="","",IFERROR(INDEX(IF($T768&lt;=60,est05_s,est519_s),MATCH($W768,IF($T768&lt;=60,est05_k,est519_k),1)),""))</f>
        <v/>
      </c>
      <c r="AJ768">
        <f>IF($W768="","",IFERROR(INDEX(IF($T768&lt;=60,peso05_l,peso510_l),MATCH($W768,IF($T768&lt;=60,peso05_k,peso510_k),1)),""))</f>
        <v/>
      </c>
      <c r="AK768">
        <f>IF($W768="","",IFERROR(INDEX(IF($T768&lt;=60,peso05_m,peso510_m),MATCH($W768,IF($T768&lt;=60,peso05_k,peso510_k),1)),""))</f>
        <v/>
      </c>
      <c r="AL768">
        <f>IF($W768="","",IFERROR(INDEX(IF($T768&lt;=60,peso05_s,peso510_s),MATCH($W768,IF($T768&lt;=60,peso05_k,peso510_k),1)),""))</f>
        <v/>
      </c>
      <c r="AM768">
        <f>IF($AJ768="","",IF($AJ768=0,LN($F768/$AK768)/$AL768,((($F768/$AK768)^$AJ768)-1)/($AJ768*$AL768)))</f>
        <v/>
      </c>
      <c r="AN768">
        <f>IF($AJ768="","",IF($AJ768=0,$AK768*EXP($AL768*2),$AK768*(1+$AJ768*$AL768*2)^(1/$AJ768)))</f>
        <v/>
      </c>
      <c r="AO768">
        <f>IF($AJ768="","",IF($AJ768=0,$AK768*EXP($AL768*3),$AK768*(1+$AJ768*$AL768*3)^(1/$AJ768)))</f>
        <v/>
      </c>
      <c r="AP768">
        <f>IF($AJ768="","",IF($AJ768=0,$AK768*EXP($AL768*-2),$AK768*(1+$AJ768*$AL768*-2)^(1/$AJ768)))</f>
        <v/>
      </c>
      <c r="AQ768">
        <f>IF($AJ768="","",IF($AJ768=0,$AK768*EXP($AL768*-3),$AK768*(1+$AJ768*$AL768*-3)^(1/$AJ768)))</f>
        <v/>
      </c>
      <c r="AR768">
        <f>IF(OR($X768="",$T768&gt;60),"",IFERROR(INDEX(IF($T768&lt;24,pcomp_l,palt_l),MATCH($X768,IF($T768&lt;24,pcomp_k,palt_k),1)),""))</f>
        <v/>
      </c>
      <c r="AS768">
        <f>IF(OR($X768="",$T768&gt;60),"",IFERROR(INDEX(IF($T768&lt;24,pcomp_m,palt_m),MATCH($X768,IF($T768&lt;24,pcomp_k,palt_k),1)),""))</f>
        <v/>
      </c>
      <c r="AT768">
        <f>IF(OR($X768="",$T768&gt;60),"",IFERROR(INDEX(IF($T768&lt;24,pcomp_s,palt_s),MATCH($X768,IF($T768&lt;24,pcomp_k,palt_k),1)),""))</f>
        <v/>
      </c>
      <c r="AU768">
        <f>IF($AR768="","",IF($AR768=0,LN($F768/$AS768)/$AT768,((($F768/$AS768)^$AR768)-1)/($AR768*$AT768)))</f>
        <v/>
      </c>
      <c r="AV768">
        <f>IF($AR768="","",IF($AR768=0,$AS768*EXP($AT768*2),$AS768*(1+$AR768*$AT768*2)^(1/$AR768)))</f>
        <v/>
      </c>
      <c r="AW768">
        <f>IF($AR768="","",IF($AR768=0,$AS768*EXP($AT768*3),$AS768*(1+$AR768*$AT768*3)^(1/$AR768)))</f>
        <v/>
      </c>
      <c r="AX768">
        <f>IF($AR768="","",IF($AR768=0,$AS768*EXP($AT768*-2),$AS768*(1+$AR768*$AT768*-2)^(1/$AR768)))</f>
        <v/>
      </c>
      <c r="AY768">
        <f>IF($AR768="","",IF($AR768=0,$AS768*EXP($AT768*-3),$AS768*(1+$AR768*$AT768*-3)^(1/$AR768)))</f>
        <v/>
      </c>
      <c r="AZ768">
        <f>IF(OR($A768="",$A768&lt;&gt;Ficha!$C$4),"",COUNTIF($A$2:$A768,Ficha!$C$4))</f>
        <v/>
      </c>
    </row>
    <row r="769">
      <c r="A769" s="8">
        <f>IF(INDEX(Banco!$A:$A,ROW())="","",INDEX(Banco!$A:$A,ROW()))</f>
        <v/>
      </c>
      <c r="B769" s="8">
        <f>IF(INDEX(Banco!$B:$B,ROW())="","",INDEX(Banco!$B:$B,ROW()))</f>
        <v/>
      </c>
      <c r="C769" s="8">
        <f>IF(INDEX(Banco!$C:$C,ROW())="","",INDEX(Banco!$C:$C,ROW()))</f>
        <v/>
      </c>
      <c r="D769" s="9">
        <f>IF(INDEX(Banco!$D:$D,ROW())="","",INDEX(Banco!$D:$D,ROW()))</f>
        <v/>
      </c>
      <c r="E769" s="9">
        <f>IF(INDEX(Banco!$E:$E,ROW())="","",INDEX(Banco!$E:$E,ROW()))</f>
        <v/>
      </c>
      <c r="F769" s="10">
        <f>IF(INDEX(Banco!$F:$F,ROW())="","",INDEX(Banco!$F:$F,ROW()))</f>
        <v/>
      </c>
      <c r="G769" s="10">
        <f>IF(INDEX(Banco!$G:$G,ROW())="","",INDEX(Banco!$G:$G,ROW()))</f>
        <v/>
      </c>
      <c r="H769" s="8">
        <f>IF(INDEX(Banco!$H:$H,ROW())="","",INDEX(Banco!$H:$H,ROW()))</f>
        <v/>
      </c>
      <c r="I769">
        <f>IF($T769="","",INT($T769/12)&amp;"a "&amp;MOD($T769,12)&amp;"m")</f>
        <v/>
      </c>
      <c r="J769" s="11">
        <f>IF(OR($F769="",$G769=""),"",ROUND($F769/($G769/100)^2,2))</f>
        <v/>
      </c>
      <c r="K769" s="12">
        <f>IF(OR($S769="",$J769="",$T769="",$T769&lt;0,$T769&gt;228,$Y769=""),"—",ROUND(IF(ABS($AB769)&lt;=3,$AB769,IF($AB769&gt;3,3+($J769-$AD769)/($AD769-$AC769),-3+($J769-$AF769)/($AE769-$AF769))),2))</f>
        <v/>
      </c>
      <c r="L769">
        <f>IF(OR($K769="",$K769="—"),"",IF($T769&lt;=60,IF($K769&lt;-3,"Magreza acentuada",IF($K769&lt;-2,"Magreza",IF($K769&lt;=1,"Eutrofia",IF($K769&lt;=2,"Risco de sobrepeso",IF($K769&lt;=3,"Sobrepeso","Obesidade"))))),IF($K769&lt;-3,"Magreza acentuada",IF($K769&lt;-2,"Magreza",IF($K769&lt;=1,"Eutrofia",IF($K769&lt;=2,"Sobrepeso",IF($K769&lt;=3,"Obesidade","Obesidade grave")))))))</f>
        <v/>
      </c>
      <c r="M769" s="12">
        <f>IF(OR($S769="",$V769="",$T769="",$T769&lt;0,$T769&gt;228,$AG769=""),"—",ROUND(IF($AG769=0,LN($V769/$AH769)/$AI769,((($V769/$AH769)^$AG769)-1)/($AG769*$AI769)),2))</f>
        <v/>
      </c>
      <c r="N769">
        <f>IF(OR($M769="",$M769="—"),"",IF($M769&lt;-3,"Muito baixa",IF($M769&lt;-2,"Baixa","Adequada")))</f>
        <v/>
      </c>
      <c r="O769" s="12">
        <f>IF(OR($S769="",$F769="",$T769="",$T769&lt;0,$T769&gt;120,$AJ769=""),"—",ROUND(IF(ABS($AM769)&lt;=3,$AM769,IF($AM769&gt;3,3+($F769-$AO769)/($AO769-$AN769),-3+($F769-$AQ769)/($AP769-$AQ769))),2))</f>
        <v/>
      </c>
      <c r="P769">
        <f>IF(OR($O769="",$O769="—"),"",IF($O769&lt;-3,"Muito baixo",IF($O769&lt;-2,"Baixo",IF($O769&lt;=2,"Adequado","Elevado"))))</f>
        <v/>
      </c>
      <c r="Q769" s="12">
        <f>IF(OR($S769="",$F769="",$T769="",$T769&lt;0,$T769&gt;60,$AR769=""),"—",ROUND(IF(ABS($AU769)&lt;=3,$AU769,IF($AU769&gt;3,3+($F769-$AW769)/($AW769-$AV769),-3+($F769-$AY769)/($AX769-$AY769))),2))</f>
        <v/>
      </c>
      <c r="R769">
        <f>IF(OR($Q769="",$Q769="—"),"",IF($Q769&lt;-3,"Magreza acentuada",IF($Q769&lt;-2,"Magreza",IF($Q769&lt;=1,"Eutrofia",IF($Q769&lt;=2,"Risco de sobrepeso",IF($Q769&lt;=3,"Sobrepeso","Obesidade"))))))</f>
        <v/>
      </c>
      <c r="S769">
        <f>IF($C769="","",IF(UPPER(LEFT($C769,1))="M",1,IF(UPPER(LEFT($C769,1))="F",2,"")))</f>
        <v/>
      </c>
      <c r="T769">
        <f>IF(OR($D769="",$E769=""),"",DATEDIF($D769,$E769,"m"))</f>
        <v/>
      </c>
      <c r="U769">
        <f>IF(OR($D769="",$E769=""),"",$E769-$D769)</f>
        <v/>
      </c>
      <c r="V769">
        <f>IF(OR($G769="",$T769=""),"",IF($T769&lt;24,IF(LEFT(LOWER($H769),4)="em p",$G769+0.7,$G769),IF(LEFT(LOWER($H769),4)="deit",$G769-0.7,$G769)))</f>
        <v/>
      </c>
      <c r="W769">
        <f>IF(OR($S769="",$T769=""),"",$S769*1000000+IF($T769&lt;=60,$U769,$T769))</f>
        <v/>
      </c>
      <c r="X769">
        <f>IF(OR($S769="",$V769="",$T769&gt;60,$T769=""),"",$S769*1000000+ROUND($V769*10,0))</f>
        <v/>
      </c>
      <c r="Y769">
        <f>IF($W769="","",IFERROR(INDEX(IF($T769&lt;=60,imc05_l,imc519_l),MATCH($W769,IF($T769&lt;=60,imc05_k,imc519_k),1)),""))</f>
        <v/>
      </c>
      <c r="Z769">
        <f>IF($W769="","",IFERROR(INDEX(IF($T769&lt;=60,imc05_m,imc519_m),MATCH($W769,IF($T769&lt;=60,imc05_k,imc519_k),1)),""))</f>
        <v/>
      </c>
      <c r="AA769">
        <f>IF($W769="","",IFERROR(INDEX(IF($T769&lt;=60,imc05_s,imc519_s),MATCH($W769,IF($T769&lt;=60,imc05_k,imc519_k),1)),""))</f>
        <v/>
      </c>
      <c r="AB769">
        <f>IF($Y769="","",IF($Y769=0,LN($J769/$Z769)/$AA769,((($J769/$Z769)^$Y769)-1)/($Y769*$AA769)))</f>
        <v/>
      </c>
      <c r="AC769">
        <f>IF($Y769="","",IF($Y769=0,$Z769*EXP($AA769*2),$Z769*(1+$Y769*$AA769*2)^(1/$Y769)))</f>
        <v/>
      </c>
      <c r="AD769">
        <f>IF($Y769="","",IF($Y769=0,$Z769*EXP($AA769*3),$Z769*(1+$Y769*$AA769*3)^(1/$Y769)))</f>
        <v/>
      </c>
      <c r="AE769">
        <f>IF($Y769="","",IF($Y769=0,$Z769*EXP($AA769*-2),$Z769*(1+$Y769*$AA769*-2)^(1/$Y769)))</f>
        <v/>
      </c>
      <c r="AF769">
        <f>IF($Y769="","",IF($Y769=0,$Z769*EXP($AA769*-3),$Z769*(1+$Y769*$AA769*-3)^(1/$Y769)))</f>
        <v/>
      </c>
      <c r="AG769">
        <f>IF($W769="","",IFERROR(INDEX(IF($T769&lt;=60,est05_l,est519_l),MATCH($W769,IF($T769&lt;=60,est05_k,est519_k),1)),""))</f>
        <v/>
      </c>
      <c r="AH769">
        <f>IF($W769="","",IFERROR(INDEX(IF($T769&lt;=60,est05_m,est519_m),MATCH($W769,IF($T769&lt;=60,est05_k,est519_k),1)),""))</f>
        <v/>
      </c>
      <c r="AI769">
        <f>IF($W769="","",IFERROR(INDEX(IF($T769&lt;=60,est05_s,est519_s),MATCH($W769,IF($T769&lt;=60,est05_k,est519_k),1)),""))</f>
        <v/>
      </c>
      <c r="AJ769">
        <f>IF($W769="","",IFERROR(INDEX(IF($T769&lt;=60,peso05_l,peso510_l),MATCH($W769,IF($T769&lt;=60,peso05_k,peso510_k),1)),""))</f>
        <v/>
      </c>
      <c r="AK769">
        <f>IF($W769="","",IFERROR(INDEX(IF($T769&lt;=60,peso05_m,peso510_m),MATCH($W769,IF($T769&lt;=60,peso05_k,peso510_k),1)),""))</f>
        <v/>
      </c>
      <c r="AL769">
        <f>IF($W769="","",IFERROR(INDEX(IF($T769&lt;=60,peso05_s,peso510_s),MATCH($W769,IF($T769&lt;=60,peso05_k,peso510_k),1)),""))</f>
        <v/>
      </c>
      <c r="AM769">
        <f>IF($AJ769="","",IF($AJ769=0,LN($F769/$AK769)/$AL769,((($F769/$AK769)^$AJ769)-1)/($AJ769*$AL769)))</f>
        <v/>
      </c>
      <c r="AN769">
        <f>IF($AJ769="","",IF($AJ769=0,$AK769*EXP($AL769*2),$AK769*(1+$AJ769*$AL769*2)^(1/$AJ769)))</f>
        <v/>
      </c>
      <c r="AO769">
        <f>IF($AJ769="","",IF($AJ769=0,$AK769*EXP($AL769*3),$AK769*(1+$AJ769*$AL769*3)^(1/$AJ769)))</f>
        <v/>
      </c>
      <c r="AP769">
        <f>IF($AJ769="","",IF($AJ769=0,$AK769*EXP($AL769*-2),$AK769*(1+$AJ769*$AL769*-2)^(1/$AJ769)))</f>
        <v/>
      </c>
      <c r="AQ769">
        <f>IF($AJ769="","",IF($AJ769=0,$AK769*EXP($AL769*-3),$AK769*(1+$AJ769*$AL769*-3)^(1/$AJ769)))</f>
        <v/>
      </c>
      <c r="AR769">
        <f>IF(OR($X769="",$T769&gt;60),"",IFERROR(INDEX(IF($T769&lt;24,pcomp_l,palt_l),MATCH($X769,IF($T769&lt;24,pcomp_k,palt_k),1)),""))</f>
        <v/>
      </c>
      <c r="AS769">
        <f>IF(OR($X769="",$T769&gt;60),"",IFERROR(INDEX(IF($T769&lt;24,pcomp_m,palt_m),MATCH($X769,IF($T769&lt;24,pcomp_k,palt_k),1)),""))</f>
        <v/>
      </c>
      <c r="AT769">
        <f>IF(OR($X769="",$T769&gt;60),"",IFERROR(INDEX(IF($T769&lt;24,pcomp_s,palt_s),MATCH($X769,IF($T769&lt;24,pcomp_k,palt_k),1)),""))</f>
        <v/>
      </c>
      <c r="AU769">
        <f>IF($AR769="","",IF($AR769=0,LN($F769/$AS769)/$AT769,((($F769/$AS769)^$AR769)-1)/($AR769*$AT769)))</f>
        <v/>
      </c>
      <c r="AV769">
        <f>IF($AR769="","",IF($AR769=0,$AS769*EXP($AT769*2),$AS769*(1+$AR769*$AT769*2)^(1/$AR769)))</f>
        <v/>
      </c>
      <c r="AW769">
        <f>IF($AR769="","",IF($AR769=0,$AS769*EXP($AT769*3),$AS769*(1+$AR769*$AT769*3)^(1/$AR769)))</f>
        <v/>
      </c>
      <c r="AX769">
        <f>IF($AR769="","",IF($AR769=0,$AS769*EXP($AT769*-2),$AS769*(1+$AR769*$AT769*-2)^(1/$AR769)))</f>
        <v/>
      </c>
      <c r="AY769">
        <f>IF($AR769="","",IF($AR769=0,$AS769*EXP($AT769*-3),$AS769*(1+$AR769*$AT769*-3)^(1/$AR769)))</f>
        <v/>
      </c>
      <c r="AZ769">
        <f>IF(OR($A769="",$A769&lt;&gt;Ficha!$C$4),"",COUNTIF($A$2:$A769,Ficha!$C$4))</f>
        <v/>
      </c>
    </row>
    <row r="770">
      <c r="A770" s="8">
        <f>IF(INDEX(Banco!$A:$A,ROW())="","",INDEX(Banco!$A:$A,ROW()))</f>
        <v/>
      </c>
      <c r="B770" s="8">
        <f>IF(INDEX(Banco!$B:$B,ROW())="","",INDEX(Banco!$B:$B,ROW()))</f>
        <v/>
      </c>
      <c r="C770" s="8">
        <f>IF(INDEX(Banco!$C:$C,ROW())="","",INDEX(Banco!$C:$C,ROW()))</f>
        <v/>
      </c>
      <c r="D770" s="9">
        <f>IF(INDEX(Banco!$D:$D,ROW())="","",INDEX(Banco!$D:$D,ROW()))</f>
        <v/>
      </c>
      <c r="E770" s="9">
        <f>IF(INDEX(Banco!$E:$E,ROW())="","",INDEX(Banco!$E:$E,ROW()))</f>
        <v/>
      </c>
      <c r="F770" s="10">
        <f>IF(INDEX(Banco!$F:$F,ROW())="","",INDEX(Banco!$F:$F,ROW()))</f>
        <v/>
      </c>
      <c r="G770" s="10">
        <f>IF(INDEX(Banco!$G:$G,ROW())="","",INDEX(Banco!$G:$G,ROW()))</f>
        <v/>
      </c>
      <c r="H770" s="8">
        <f>IF(INDEX(Banco!$H:$H,ROW())="","",INDEX(Banco!$H:$H,ROW()))</f>
        <v/>
      </c>
      <c r="I770">
        <f>IF($T770="","",INT($T770/12)&amp;"a "&amp;MOD($T770,12)&amp;"m")</f>
        <v/>
      </c>
      <c r="J770" s="11">
        <f>IF(OR($F770="",$G770=""),"",ROUND($F770/($G770/100)^2,2))</f>
        <v/>
      </c>
      <c r="K770" s="12">
        <f>IF(OR($S770="",$J770="",$T770="",$T770&lt;0,$T770&gt;228,$Y770=""),"—",ROUND(IF(ABS($AB770)&lt;=3,$AB770,IF($AB770&gt;3,3+($J770-$AD770)/($AD770-$AC770),-3+($J770-$AF770)/($AE770-$AF770))),2))</f>
        <v/>
      </c>
      <c r="L770">
        <f>IF(OR($K770="",$K770="—"),"",IF($T770&lt;=60,IF($K770&lt;-3,"Magreza acentuada",IF($K770&lt;-2,"Magreza",IF($K770&lt;=1,"Eutrofia",IF($K770&lt;=2,"Risco de sobrepeso",IF($K770&lt;=3,"Sobrepeso","Obesidade"))))),IF($K770&lt;-3,"Magreza acentuada",IF($K770&lt;-2,"Magreza",IF($K770&lt;=1,"Eutrofia",IF($K770&lt;=2,"Sobrepeso",IF($K770&lt;=3,"Obesidade","Obesidade grave")))))))</f>
        <v/>
      </c>
      <c r="M770" s="12">
        <f>IF(OR($S770="",$V770="",$T770="",$T770&lt;0,$T770&gt;228,$AG770=""),"—",ROUND(IF($AG770=0,LN($V770/$AH770)/$AI770,((($V770/$AH770)^$AG770)-1)/($AG770*$AI770)),2))</f>
        <v/>
      </c>
      <c r="N770">
        <f>IF(OR($M770="",$M770="—"),"",IF($M770&lt;-3,"Muito baixa",IF($M770&lt;-2,"Baixa","Adequada")))</f>
        <v/>
      </c>
      <c r="O770" s="12">
        <f>IF(OR($S770="",$F770="",$T770="",$T770&lt;0,$T770&gt;120,$AJ770=""),"—",ROUND(IF(ABS($AM770)&lt;=3,$AM770,IF($AM770&gt;3,3+($F770-$AO770)/($AO770-$AN770),-3+($F770-$AQ770)/($AP770-$AQ770))),2))</f>
        <v/>
      </c>
      <c r="P770">
        <f>IF(OR($O770="",$O770="—"),"",IF($O770&lt;-3,"Muito baixo",IF($O770&lt;-2,"Baixo",IF($O770&lt;=2,"Adequado","Elevado"))))</f>
        <v/>
      </c>
      <c r="Q770" s="12">
        <f>IF(OR($S770="",$F770="",$T770="",$T770&lt;0,$T770&gt;60,$AR770=""),"—",ROUND(IF(ABS($AU770)&lt;=3,$AU770,IF($AU770&gt;3,3+($F770-$AW770)/($AW770-$AV770),-3+($F770-$AY770)/($AX770-$AY770))),2))</f>
        <v/>
      </c>
      <c r="R770">
        <f>IF(OR($Q770="",$Q770="—"),"",IF($Q770&lt;-3,"Magreza acentuada",IF($Q770&lt;-2,"Magreza",IF($Q770&lt;=1,"Eutrofia",IF($Q770&lt;=2,"Risco de sobrepeso",IF($Q770&lt;=3,"Sobrepeso","Obesidade"))))))</f>
        <v/>
      </c>
      <c r="S770">
        <f>IF($C770="","",IF(UPPER(LEFT($C770,1))="M",1,IF(UPPER(LEFT($C770,1))="F",2,"")))</f>
        <v/>
      </c>
      <c r="T770">
        <f>IF(OR($D770="",$E770=""),"",DATEDIF($D770,$E770,"m"))</f>
        <v/>
      </c>
      <c r="U770">
        <f>IF(OR($D770="",$E770=""),"",$E770-$D770)</f>
        <v/>
      </c>
      <c r="V770">
        <f>IF(OR($G770="",$T770=""),"",IF($T770&lt;24,IF(LEFT(LOWER($H770),4)="em p",$G770+0.7,$G770),IF(LEFT(LOWER($H770),4)="deit",$G770-0.7,$G770)))</f>
        <v/>
      </c>
      <c r="W770">
        <f>IF(OR($S770="",$T770=""),"",$S770*1000000+IF($T770&lt;=60,$U770,$T770))</f>
        <v/>
      </c>
      <c r="X770">
        <f>IF(OR($S770="",$V770="",$T770&gt;60,$T770=""),"",$S770*1000000+ROUND($V770*10,0))</f>
        <v/>
      </c>
      <c r="Y770">
        <f>IF($W770="","",IFERROR(INDEX(IF($T770&lt;=60,imc05_l,imc519_l),MATCH($W770,IF($T770&lt;=60,imc05_k,imc519_k),1)),""))</f>
        <v/>
      </c>
      <c r="Z770">
        <f>IF($W770="","",IFERROR(INDEX(IF($T770&lt;=60,imc05_m,imc519_m),MATCH($W770,IF($T770&lt;=60,imc05_k,imc519_k),1)),""))</f>
        <v/>
      </c>
      <c r="AA770">
        <f>IF($W770="","",IFERROR(INDEX(IF($T770&lt;=60,imc05_s,imc519_s),MATCH($W770,IF($T770&lt;=60,imc05_k,imc519_k),1)),""))</f>
        <v/>
      </c>
      <c r="AB770">
        <f>IF($Y770="","",IF($Y770=0,LN($J770/$Z770)/$AA770,((($J770/$Z770)^$Y770)-1)/($Y770*$AA770)))</f>
        <v/>
      </c>
      <c r="AC770">
        <f>IF($Y770="","",IF($Y770=0,$Z770*EXP($AA770*2),$Z770*(1+$Y770*$AA770*2)^(1/$Y770)))</f>
        <v/>
      </c>
      <c r="AD770">
        <f>IF($Y770="","",IF($Y770=0,$Z770*EXP($AA770*3),$Z770*(1+$Y770*$AA770*3)^(1/$Y770)))</f>
        <v/>
      </c>
      <c r="AE770">
        <f>IF($Y770="","",IF($Y770=0,$Z770*EXP($AA770*-2),$Z770*(1+$Y770*$AA770*-2)^(1/$Y770)))</f>
        <v/>
      </c>
      <c r="AF770">
        <f>IF($Y770="","",IF($Y770=0,$Z770*EXP($AA770*-3),$Z770*(1+$Y770*$AA770*-3)^(1/$Y770)))</f>
        <v/>
      </c>
      <c r="AG770">
        <f>IF($W770="","",IFERROR(INDEX(IF($T770&lt;=60,est05_l,est519_l),MATCH($W770,IF($T770&lt;=60,est05_k,est519_k),1)),""))</f>
        <v/>
      </c>
      <c r="AH770">
        <f>IF($W770="","",IFERROR(INDEX(IF($T770&lt;=60,est05_m,est519_m),MATCH($W770,IF($T770&lt;=60,est05_k,est519_k),1)),""))</f>
        <v/>
      </c>
      <c r="AI770">
        <f>IF($W770="","",IFERROR(INDEX(IF($T770&lt;=60,est05_s,est519_s),MATCH($W770,IF($T770&lt;=60,est05_k,est519_k),1)),""))</f>
        <v/>
      </c>
      <c r="AJ770">
        <f>IF($W770="","",IFERROR(INDEX(IF($T770&lt;=60,peso05_l,peso510_l),MATCH($W770,IF($T770&lt;=60,peso05_k,peso510_k),1)),""))</f>
        <v/>
      </c>
      <c r="AK770">
        <f>IF($W770="","",IFERROR(INDEX(IF($T770&lt;=60,peso05_m,peso510_m),MATCH($W770,IF($T770&lt;=60,peso05_k,peso510_k),1)),""))</f>
        <v/>
      </c>
      <c r="AL770">
        <f>IF($W770="","",IFERROR(INDEX(IF($T770&lt;=60,peso05_s,peso510_s),MATCH($W770,IF($T770&lt;=60,peso05_k,peso510_k),1)),""))</f>
        <v/>
      </c>
      <c r="AM770">
        <f>IF($AJ770="","",IF($AJ770=0,LN($F770/$AK770)/$AL770,((($F770/$AK770)^$AJ770)-1)/($AJ770*$AL770)))</f>
        <v/>
      </c>
      <c r="AN770">
        <f>IF($AJ770="","",IF($AJ770=0,$AK770*EXP($AL770*2),$AK770*(1+$AJ770*$AL770*2)^(1/$AJ770)))</f>
        <v/>
      </c>
      <c r="AO770">
        <f>IF($AJ770="","",IF($AJ770=0,$AK770*EXP($AL770*3),$AK770*(1+$AJ770*$AL770*3)^(1/$AJ770)))</f>
        <v/>
      </c>
      <c r="AP770">
        <f>IF($AJ770="","",IF($AJ770=0,$AK770*EXP($AL770*-2),$AK770*(1+$AJ770*$AL770*-2)^(1/$AJ770)))</f>
        <v/>
      </c>
      <c r="AQ770">
        <f>IF($AJ770="","",IF($AJ770=0,$AK770*EXP($AL770*-3),$AK770*(1+$AJ770*$AL770*-3)^(1/$AJ770)))</f>
        <v/>
      </c>
      <c r="AR770">
        <f>IF(OR($X770="",$T770&gt;60),"",IFERROR(INDEX(IF($T770&lt;24,pcomp_l,palt_l),MATCH($X770,IF($T770&lt;24,pcomp_k,palt_k),1)),""))</f>
        <v/>
      </c>
      <c r="AS770">
        <f>IF(OR($X770="",$T770&gt;60),"",IFERROR(INDEX(IF($T770&lt;24,pcomp_m,palt_m),MATCH($X770,IF($T770&lt;24,pcomp_k,palt_k),1)),""))</f>
        <v/>
      </c>
      <c r="AT770">
        <f>IF(OR($X770="",$T770&gt;60),"",IFERROR(INDEX(IF($T770&lt;24,pcomp_s,palt_s),MATCH($X770,IF($T770&lt;24,pcomp_k,palt_k),1)),""))</f>
        <v/>
      </c>
      <c r="AU770">
        <f>IF($AR770="","",IF($AR770=0,LN($F770/$AS770)/$AT770,((($F770/$AS770)^$AR770)-1)/($AR770*$AT770)))</f>
        <v/>
      </c>
      <c r="AV770">
        <f>IF($AR770="","",IF($AR770=0,$AS770*EXP($AT770*2),$AS770*(1+$AR770*$AT770*2)^(1/$AR770)))</f>
        <v/>
      </c>
      <c r="AW770">
        <f>IF($AR770="","",IF($AR770=0,$AS770*EXP($AT770*3),$AS770*(1+$AR770*$AT770*3)^(1/$AR770)))</f>
        <v/>
      </c>
      <c r="AX770">
        <f>IF($AR770="","",IF($AR770=0,$AS770*EXP($AT770*-2),$AS770*(1+$AR770*$AT770*-2)^(1/$AR770)))</f>
        <v/>
      </c>
      <c r="AY770">
        <f>IF($AR770="","",IF($AR770=0,$AS770*EXP($AT770*-3),$AS770*(1+$AR770*$AT770*-3)^(1/$AR770)))</f>
        <v/>
      </c>
      <c r="AZ770">
        <f>IF(OR($A770="",$A770&lt;&gt;Ficha!$C$4),"",COUNTIF($A$2:$A770,Ficha!$C$4))</f>
        <v/>
      </c>
    </row>
    <row r="771">
      <c r="A771" s="8">
        <f>IF(INDEX(Banco!$A:$A,ROW())="","",INDEX(Banco!$A:$A,ROW()))</f>
        <v/>
      </c>
      <c r="B771" s="8">
        <f>IF(INDEX(Banco!$B:$B,ROW())="","",INDEX(Banco!$B:$B,ROW()))</f>
        <v/>
      </c>
      <c r="C771" s="8">
        <f>IF(INDEX(Banco!$C:$C,ROW())="","",INDEX(Banco!$C:$C,ROW()))</f>
        <v/>
      </c>
      <c r="D771" s="9">
        <f>IF(INDEX(Banco!$D:$D,ROW())="","",INDEX(Banco!$D:$D,ROW()))</f>
        <v/>
      </c>
      <c r="E771" s="9">
        <f>IF(INDEX(Banco!$E:$E,ROW())="","",INDEX(Banco!$E:$E,ROW()))</f>
        <v/>
      </c>
      <c r="F771" s="10">
        <f>IF(INDEX(Banco!$F:$F,ROW())="","",INDEX(Banco!$F:$F,ROW()))</f>
        <v/>
      </c>
      <c r="G771" s="10">
        <f>IF(INDEX(Banco!$G:$G,ROW())="","",INDEX(Banco!$G:$G,ROW()))</f>
        <v/>
      </c>
      <c r="H771" s="8">
        <f>IF(INDEX(Banco!$H:$H,ROW())="","",INDEX(Banco!$H:$H,ROW()))</f>
        <v/>
      </c>
      <c r="I771">
        <f>IF($T771="","",INT($T771/12)&amp;"a "&amp;MOD($T771,12)&amp;"m")</f>
        <v/>
      </c>
      <c r="J771" s="11">
        <f>IF(OR($F771="",$G771=""),"",ROUND($F771/($G771/100)^2,2))</f>
        <v/>
      </c>
      <c r="K771" s="12">
        <f>IF(OR($S771="",$J771="",$T771="",$T771&lt;0,$T771&gt;228,$Y771=""),"—",ROUND(IF(ABS($AB771)&lt;=3,$AB771,IF($AB771&gt;3,3+($J771-$AD771)/($AD771-$AC771),-3+($J771-$AF771)/($AE771-$AF771))),2))</f>
        <v/>
      </c>
      <c r="L771">
        <f>IF(OR($K771="",$K771="—"),"",IF($T771&lt;=60,IF($K771&lt;-3,"Magreza acentuada",IF($K771&lt;-2,"Magreza",IF($K771&lt;=1,"Eutrofia",IF($K771&lt;=2,"Risco de sobrepeso",IF($K771&lt;=3,"Sobrepeso","Obesidade"))))),IF($K771&lt;-3,"Magreza acentuada",IF($K771&lt;-2,"Magreza",IF($K771&lt;=1,"Eutrofia",IF($K771&lt;=2,"Sobrepeso",IF($K771&lt;=3,"Obesidade","Obesidade grave")))))))</f>
        <v/>
      </c>
      <c r="M771" s="12">
        <f>IF(OR($S771="",$V771="",$T771="",$T771&lt;0,$T771&gt;228,$AG771=""),"—",ROUND(IF($AG771=0,LN($V771/$AH771)/$AI771,((($V771/$AH771)^$AG771)-1)/($AG771*$AI771)),2))</f>
        <v/>
      </c>
      <c r="N771">
        <f>IF(OR($M771="",$M771="—"),"",IF($M771&lt;-3,"Muito baixa",IF($M771&lt;-2,"Baixa","Adequada")))</f>
        <v/>
      </c>
      <c r="O771" s="12">
        <f>IF(OR($S771="",$F771="",$T771="",$T771&lt;0,$T771&gt;120,$AJ771=""),"—",ROUND(IF(ABS($AM771)&lt;=3,$AM771,IF($AM771&gt;3,3+($F771-$AO771)/($AO771-$AN771),-3+($F771-$AQ771)/($AP771-$AQ771))),2))</f>
        <v/>
      </c>
      <c r="P771">
        <f>IF(OR($O771="",$O771="—"),"",IF($O771&lt;-3,"Muito baixo",IF($O771&lt;-2,"Baixo",IF($O771&lt;=2,"Adequado","Elevado"))))</f>
        <v/>
      </c>
      <c r="Q771" s="12">
        <f>IF(OR($S771="",$F771="",$T771="",$T771&lt;0,$T771&gt;60,$AR771=""),"—",ROUND(IF(ABS($AU771)&lt;=3,$AU771,IF($AU771&gt;3,3+($F771-$AW771)/($AW771-$AV771),-3+($F771-$AY771)/($AX771-$AY771))),2))</f>
        <v/>
      </c>
      <c r="R771">
        <f>IF(OR($Q771="",$Q771="—"),"",IF($Q771&lt;-3,"Magreza acentuada",IF($Q771&lt;-2,"Magreza",IF($Q771&lt;=1,"Eutrofia",IF($Q771&lt;=2,"Risco de sobrepeso",IF($Q771&lt;=3,"Sobrepeso","Obesidade"))))))</f>
        <v/>
      </c>
      <c r="S771">
        <f>IF($C771="","",IF(UPPER(LEFT($C771,1))="M",1,IF(UPPER(LEFT($C771,1))="F",2,"")))</f>
        <v/>
      </c>
      <c r="T771">
        <f>IF(OR($D771="",$E771=""),"",DATEDIF($D771,$E771,"m"))</f>
        <v/>
      </c>
      <c r="U771">
        <f>IF(OR($D771="",$E771=""),"",$E771-$D771)</f>
        <v/>
      </c>
      <c r="V771">
        <f>IF(OR($G771="",$T771=""),"",IF($T771&lt;24,IF(LEFT(LOWER($H771),4)="em p",$G771+0.7,$G771),IF(LEFT(LOWER($H771),4)="deit",$G771-0.7,$G771)))</f>
        <v/>
      </c>
      <c r="W771">
        <f>IF(OR($S771="",$T771=""),"",$S771*1000000+IF($T771&lt;=60,$U771,$T771))</f>
        <v/>
      </c>
      <c r="X771">
        <f>IF(OR($S771="",$V771="",$T771&gt;60,$T771=""),"",$S771*1000000+ROUND($V771*10,0))</f>
        <v/>
      </c>
      <c r="Y771">
        <f>IF($W771="","",IFERROR(INDEX(IF($T771&lt;=60,imc05_l,imc519_l),MATCH($W771,IF($T771&lt;=60,imc05_k,imc519_k),1)),""))</f>
        <v/>
      </c>
      <c r="Z771">
        <f>IF($W771="","",IFERROR(INDEX(IF($T771&lt;=60,imc05_m,imc519_m),MATCH($W771,IF($T771&lt;=60,imc05_k,imc519_k),1)),""))</f>
        <v/>
      </c>
      <c r="AA771">
        <f>IF($W771="","",IFERROR(INDEX(IF($T771&lt;=60,imc05_s,imc519_s),MATCH($W771,IF($T771&lt;=60,imc05_k,imc519_k),1)),""))</f>
        <v/>
      </c>
      <c r="AB771">
        <f>IF($Y771="","",IF($Y771=0,LN($J771/$Z771)/$AA771,((($J771/$Z771)^$Y771)-1)/($Y771*$AA771)))</f>
        <v/>
      </c>
      <c r="AC771">
        <f>IF($Y771="","",IF($Y771=0,$Z771*EXP($AA771*2),$Z771*(1+$Y771*$AA771*2)^(1/$Y771)))</f>
        <v/>
      </c>
      <c r="AD771">
        <f>IF($Y771="","",IF($Y771=0,$Z771*EXP($AA771*3),$Z771*(1+$Y771*$AA771*3)^(1/$Y771)))</f>
        <v/>
      </c>
      <c r="AE771">
        <f>IF($Y771="","",IF($Y771=0,$Z771*EXP($AA771*-2),$Z771*(1+$Y771*$AA771*-2)^(1/$Y771)))</f>
        <v/>
      </c>
      <c r="AF771">
        <f>IF($Y771="","",IF($Y771=0,$Z771*EXP($AA771*-3),$Z771*(1+$Y771*$AA771*-3)^(1/$Y771)))</f>
        <v/>
      </c>
      <c r="AG771">
        <f>IF($W771="","",IFERROR(INDEX(IF($T771&lt;=60,est05_l,est519_l),MATCH($W771,IF($T771&lt;=60,est05_k,est519_k),1)),""))</f>
        <v/>
      </c>
      <c r="AH771">
        <f>IF($W771="","",IFERROR(INDEX(IF($T771&lt;=60,est05_m,est519_m),MATCH($W771,IF($T771&lt;=60,est05_k,est519_k),1)),""))</f>
        <v/>
      </c>
      <c r="AI771">
        <f>IF($W771="","",IFERROR(INDEX(IF($T771&lt;=60,est05_s,est519_s),MATCH($W771,IF($T771&lt;=60,est05_k,est519_k),1)),""))</f>
        <v/>
      </c>
      <c r="AJ771">
        <f>IF($W771="","",IFERROR(INDEX(IF($T771&lt;=60,peso05_l,peso510_l),MATCH($W771,IF($T771&lt;=60,peso05_k,peso510_k),1)),""))</f>
        <v/>
      </c>
      <c r="AK771">
        <f>IF($W771="","",IFERROR(INDEX(IF($T771&lt;=60,peso05_m,peso510_m),MATCH($W771,IF($T771&lt;=60,peso05_k,peso510_k),1)),""))</f>
        <v/>
      </c>
      <c r="AL771">
        <f>IF($W771="","",IFERROR(INDEX(IF($T771&lt;=60,peso05_s,peso510_s),MATCH($W771,IF($T771&lt;=60,peso05_k,peso510_k),1)),""))</f>
        <v/>
      </c>
      <c r="AM771">
        <f>IF($AJ771="","",IF($AJ771=0,LN($F771/$AK771)/$AL771,((($F771/$AK771)^$AJ771)-1)/($AJ771*$AL771)))</f>
        <v/>
      </c>
      <c r="AN771">
        <f>IF($AJ771="","",IF($AJ771=0,$AK771*EXP($AL771*2),$AK771*(1+$AJ771*$AL771*2)^(1/$AJ771)))</f>
        <v/>
      </c>
      <c r="AO771">
        <f>IF($AJ771="","",IF($AJ771=0,$AK771*EXP($AL771*3),$AK771*(1+$AJ771*$AL771*3)^(1/$AJ771)))</f>
        <v/>
      </c>
      <c r="AP771">
        <f>IF($AJ771="","",IF($AJ771=0,$AK771*EXP($AL771*-2),$AK771*(1+$AJ771*$AL771*-2)^(1/$AJ771)))</f>
        <v/>
      </c>
      <c r="AQ771">
        <f>IF($AJ771="","",IF($AJ771=0,$AK771*EXP($AL771*-3),$AK771*(1+$AJ771*$AL771*-3)^(1/$AJ771)))</f>
        <v/>
      </c>
      <c r="AR771">
        <f>IF(OR($X771="",$T771&gt;60),"",IFERROR(INDEX(IF($T771&lt;24,pcomp_l,palt_l),MATCH($X771,IF($T771&lt;24,pcomp_k,palt_k),1)),""))</f>
        <v/>
      </c>
      <c r="AS771">
        <f>IF(OR($X771="",$T771&gt;60),"",IFERROR(INDEX(IF($T771&lt;24,pcomp_m,palt_m),MATCH($X771,IF($T771&lt;24,pcomp_k,palt_k),1)),""))</f>
        <v/>
      </c>
      <c r="AT771">
        <f>IF(OR($X771="",$T771&gt;60),"",IFERROR(INDEX(IF($T771&lt;24,pcomp_s,palt_s),MATCH($X771,IF($T771&lt;24,pcomp_k,palt_k),1)),""))</f>
        <v/>
      </c>
      <c r="AU771">
        <f>IF($AR771="","",IF($AR771=0,LN($F771/$AS771)/$AT771,((($F771/$AS771)^$AR771)-1)/($AR771*$AT771)))</f>
        <v/>
      </c>
      <c r="AV771">
        <f>IF($AR771="","",IF($AR771=0,$AS771*EXP($AT771*2),$AS771*(1+$AR771*$AT771*2)^(1/$AR771)))</f>
        <v/>
      </c>
      <c r="AW771">
        <f>IF($AR771="","",IF($AR771=0,$AS771*EXP($AT771*3),$AS771*(1+$AR771*$AT771*3)^(1/$AR771)))</f>
        <v/>
      </c>
      <c r="AX771">
        <f>IF($AR771="","",IF($AR771=0,$AS771*EXP($AT771*-2),$AS771*(1+$AR771*$AT771*-2)^(1/$AR771)))</f>
        <v/>
      </c>
      <c r="AY771">
        <f>IF($AR771="","",IF($AR771=0,$AS771*EXP($AT771*-3),$AS771*(1+$AR771*$AT771*-3)^(1/$AR771)))</f>
        <v/>
      </c>
      <c r="AZ771">
        <f>IF(OR($A771="",$A771&lt;&gt;Ficha!$C$4),"",COUNTIF($A$2:$A771,Ficha!$C$4))</f>
        <v/>
      </c>
    </row>
    <row r="772">
      <c r="A772" s="8">
        <f>IF(INDEX(Banco!$A:$A,ROW())="","",INDEX(Banco!$A:$A,ROW()))</f>
        <v/>
      </c>
      <c r="B772" s="8">
        <f>IF(INDEX(Banco!$B:$B,ROW())="","",INDEX(Banco!$B:$B,ROW()))</f>
        <v/>
      </c>
      <c r="C772" s="8">
        <f>IF(INDEX(Banco!$C:$C,ROW())="","",INDEX(Banco!$C:$C,ROW()))</f>
        <v/>
      </c>
      <c r="D772" s="9">
        <f>IF(INDEX(Banco!$D:$D,ROW())="","",INDEX(Banco!$D:$D,ROW()))</f>
        <v/>
      </c>
      <c r="E772" s="9">
        <f>IF(INDEX(Banco!$E:$E,ROW())="","",INDEX(Banco!$E:$E,ROW()))</f>
        <v/>
      </c>
      <c r="F772" s="10">
        <f>IF(INDEX(Banco!$F:$F,ROW())="","",INDEX(Banco!$F:$F,ROW()))</f>
        <v/>
      </c>
      <c r="G772" s="10">
        <f>IF(INDEX(Banco!$G:$G,ROW())="","",INDEX(Banco!$G:$G,ROW()))</f>
        <v/>
      </c>
      <c r="H772" s="8">
        <f>IF(INDEX(Banco!$H:$H,ROW())="","",INDEX(Banco!$H:$H,ROW()))</f>
        <v/>
      </c>
      <c r="I772">
        <f>IF($T772="","",INT($T772/12)&amp;"a "&amp;MOD($T772,12)&amp;"m")</f>
        <v/>
      </c>
      <c r="J772" s="11">
        <f>IF(OR($F772="",$G772=""),"",ROUND($F772/($G772/100)^2,2))</f>
        <v/>
      </c>
      <c r="K772" s="12">
        <f>IF(OR($S772="",$J772="",$T772="",$T772&lt;0,$T772&gt;228,$Y772=""),"—",ROUND(IF(ABS($AB772)&lt;=3,$AB772,IF($AB772&gt;3,3+($J772-$AD772)/($AD772-$AC772),-3+($J772-$AF772)/($AE772-$AF772))),2))</f>
        <v/>
      </c>
      <c r="L772">
        <f>IF(OR($K772="",$K772="—"),"",IF($T772&lt;=60,IF($K772&lt;-3,"Magreza acentuada",IF($K772&lt;-2,"Magreza",IF($K772&lt;=1,"Eutrofia",IF($K772&lt;=2,"Risco de sobrepeso",IF($K772&lt;=3,"Sobrepeso","Obesidade"))))),IF($K772&lt;-3,"Magreza acentuada",IF($K772&lt;-2,"Magreza",IF($K772&lt;=1,"Eutrofia",IF($K772&lt;=2,"Sobrepeso",IF($K772&lt;=3,"Obesidade","Obesidade grave")))))))</f>
        <v/>
      </c>
      <c r="M772" s="12">
        <f>IF(OR($S772="",$V772="",$T772="",$T772&lt;0,$T772&gt;228,$AG772=""),"—",ROUND(IF($AG772=0,LN($V772/$AH772)/$AI772,((($V772/$AH772)^$AG772)-1)/($AG772*$AI772)),2))</f>
        <v/>
      </c>
      <c r="N772">
        <f>IF(OR($M772="",$M772="—"),"",IF($M772&lt;-3,"Muito baixa",IF($M772&lt;-2,"Baixa","Adequada")))</f>
        <v/>
      </c>
      <c r="O772" s="12">
        <f>IF(OR($S772="",$F772="",$T772="",$T772&lt;0,$T772&gt;120,$AJ772=""),"—",ROUND(IF(ABS($AM772)&lt;=3,$AM772,IF($AM772&gt;3,3+($F772-$AO772)/($AO772-$AN772),-3+($F772-$AQ772)/($AP772-$AQ772))),2))</f>
        <v/>
      </c>
      <c r="P772">
        <f>IF(OR($O772="",$O772="—"),"",IF($O772&lt;-3,"Muito baixo",IF($O772&lt;-2,"Baixo",IF($O772&lt;=2,"Adequado","Elevado"))))</f>
        <v/>
      </c>
      <c r="Q772" s="12">
        <f>IF(OR($S772="",$F772="",$T772="",$T772&lt;0,$T772&gt;60,$AR772=""),"—",ROUND(IF(ABS($AU772)&lt;=3,$AU772,IF($AU772&gt;3,3+($F772-$AW772)/($AW772-$AV772),-3+($F772-$AY772)/($AX772-$AY772))),2))</f>
        <v/>
      </c>
      <c r="R772">
        <f>IF(OR($Q772="",$Q772="—"),"",IF($Q772&lt;-3,"Magreza acentuada",IF($Q772&lt;-2,"Magreza",IF($Q772&lt;=1,"Eutrofia",IF($Q772&lt;=2,"Risco de sobrepeso",IF($Q772&lt;=3,"Sobrepeso","Obesidade"))))))</f>
        <v/>
      </c>
      <c r="S772">
        <f>IF($C772="","",IF(UPPER(LEFT($C772,1))="M",1,IF(UPPER(LEFT($C772,1))="F",2,"")))</f>
        <v/>
      </c>
      <c r="T772">
        <f>IF(OR($D772="",$E772=""),"",DATEDIF($D772,$E772,"m"))</f>
        <v/>
      </c>
      <c r="U772">
        <f>IF(OR($D772="",$E772=""),"",$E772-$D772)</f>
        <v/>
      </c>
      <c r="V772">
        <f>IF(OR($G772="",$T772=""),"",IF($T772&lt;24,IF(LEFT(LOWER($H772),4)="em p",$G772+0.7,$G772),IF(LEFT(LOWER($H772),4)="deit",$G772-0.7,$G772)))</f>
        <v/>
      </c>
      <c r="W772">
        <f>IF(OR($S772="",$T772=""),"",$S772*1000000+IF($T772&lt;=60,$U772,$T772))</f>
        <v/>
      </c>
      <c r="X772">
        <f>IF(OR($S772="",$V772="",$T772&gt;60,$T772=""),"",$S772*1000000+ROUND($V772*10,0))</f>
        <v/>
      </c>
      <c r="Y772">
        <f>IF($W772="","",IFERROR(INDEX(IF($T772&lt;=60,imc05_l,imc519_l),MATCH($W772,IF($T772&lt;=60,imc05_k,imc519_k),1)),""))</f>
        <v/>
      </c>
      <c r="Z772">
        <f>IF($W772="","",IFERROR(INDEX(IF($T772&lt;=60,imc05_m,imc519_m),MATCH($W772,IF($T772&lt;=60,imc05_k,imc519_k),1)),""))</f>
        <v/>
      </c>
      <c r="AA772">
        <f>IF($W772="","",IFERROR(INDEX(IF($T772&lt;=60,imc05_s,imc519_s),MATCH($W772,IF($T772&lt;=60,imc05_k,imc519_k),1)),""))</f>
        <v/>
      </c>
      <c r="AB772">
        <f>IF($Y772="","",IF($Y772=0,LN($J772/$Z772)/$AA772,((($J772/$Z772)^$Y772)-1)/($Y772*$AA772)))</f>
        <v/>
      </c>
      <c r="AC772">
        <f>IF($Y772="","",IF($Y772=0,$Z772*EXP($AA772*2),$Z772*(1+$Y772*$AA772*2)^(1/$Y772)))</f>
        <v/>
      </c>
      <c r="AD772">
        <f>IF($Y772="","",IF($Y772=0,$Z772*EXP($AA772*3),$Z772*(1+$Y772*$AA772*3)^(1/$Y772)))</f>
        <v/>
      </c>
      <c r="AE772">
        <f>IF($Y772="","",IF($Y772=0,$Z772*EXP($AA772*-2),$Z772*(1+$Y772*$AA772*-2)^(1/$Y772)))</f>
        <v/>
      </c>
      <c r="AF772">
        <f>IF($Y772="","",IF($Y772=0,$Z772*EXP($AA772*-3),$Z772*(1+$Y772*$AA772*-3)^(1/$Y772)))</f>
        <v/>
      </c>
      <c r="AG772">
        <f>IF($W772="","",IFERROR(INDEX(IF($T772&lt;=60,est05_l,est519_l),MATCH($W772,IF($T772&lt;=60,est05_k,est519_k),1)),""))</f>
        <v/>
      </c>
      <c r="AH772">
        <f>IF($W772="","",IFERROR(INDEX(IF($T772&lt;=60,est05_m,est519_m),MATCH($W772,IF($T772&lt;=60,est05_k,est519_k),1)),""))</f>
        <v/>
      </c>
      <c r="AI772">
        <f>IF($W772="","",IFERROR(INDEX(IF($T772&lt;=60,est05_s,est519_s),MATCH($W772,IF($T772&lt;=60,est05_k,est519_k),1)),""))</f>
        <v/>
      </c>
      <c r="AJ772">
        <f>IF($W772="","",IFERROR(INDEX(IF($T772&lt;=60,peso05_l,peso510_l),MATCH($W772,IF($T772&lt;=60,peso05_k,peso510_k),1)),""))</f>
        <v/>
      </c>
      <c r="AK772">
        <f>IF($W772="","",IFERROR(INDEX(IF($T772&lt;=60,peso05_m,peso510_m),MATCH($W772,IF($T772&lt;=60,peso05_k,peso510_k),1)),""))</f>
        <v/>
      </c>
      <c r="AL772">
        <f>IF($W772="","",IFERROR(INDEX(IF($T772&lt;=60,peso05_s,peso510_s),MATCH($W772,IF($T772&lt;=60,peso05_k,peso510_k),1)),""))</f>
        <v/>
      </c>
      <c r="AM772">
        <f>IF($AJ772="","",IF($AJ772=0,LN($F772/$AK772)/$AL772,((($F772/$AK772)^$AJ772)-1)/($AJ772*$AL772)))</f>
        <v/>
      </c>
      <c r="AN772">
        <f>IF($AJ772="","",IF($AJ772=0,$AK772*EXP($AL772*2),$AK772*(1+$AJ772*$AL772*2)^(1/$AJ772)))</f>
        <v/>
      </c>
      <c r="AO772">
        <f>IF($AJ772="","",IF($AJ772=0,$AK772*EXP($AL772*3),$AK772*(1+$AJ772*$AL772*3)^(1/$AJ772)))</f>
        <v/>
      </c>
      <c r="AP772">
        <f>IF($AJ772="","",IF($AJ772=0,$AK772*EXP($AL772*-2),$AK772*(1+$AJ772*$AL772*-2)^(1/$AJ772)))</f>
        <v/>
      </c>
      <c r="AQ772">
        <f>IF($AJ772="","",IF($AJ772=0,$AK772*EXP($AL772*-3),$AK772*(1+$AJ772*$AL772*-3)^(1/$AJ772)))</f>
        <v/>
      </c>
      <c r="AR772">
        <f>IF(OR($X772="",$T772&gt;60),"",IFERROR(INDEX(IF($T772&lt;24,pcomp_l,palt_l),MATCH($X772,IF($T772&lt;24,pcomp_k,palt_k),1)),""))</f>
        <v/>
      </c>
      <c r="AS772">
        <f>IF(OR($X772="",$T772&gt;60),"",IFERROR(INDEX(IF($T772&lt;24,pcomp_m,palt_m),MATCH($X772,IF($T772&lt;24,pcomp_k,palt_k),1)),""))</f>
        <v/>
      </c>
      <c r="AT772">
        <f>IF(OR($X772="",$T772&gt;60),"",IFERROR(INDEX(IF($T772&lt;24,pcomp_s,palt_s),MATCH($X772,IF($T772&lt;24,pcomp_k,palt_k),1)),""))</f>
        <v/>
      </c>
      <c r="AU772">
        <f>IF($AR772="","",IF($AR772=0,LN($F772/$AS772)/$AT772,((($F772/$AS772)^$AR772)-1)/($AR772*$AT772)))</f>
        <v/>
      </c>
      <c r="AV772">
        <f>IF($AR772="","",IF($AR772=0,$AS772*EXP($AT772*2),$AS772*(1+$AR772*$AT772*2)^(1/$AR772)))</f>
        <v/>
      </c>
      <c r="AW772">
        <f>IF($AR772="","",IF($AR772=0,$AS772*EXP($AT772*3),$AS772*(1+$AR772*$AT772*3)^(1/$AR772)))</f>
        <v/>
      </c>
      <c r="AX772">
        <f>IF($AR772="","",IF($AR772=0,$AS772*EXP($AT772*-2),$AS772*(1+$AR772*$AT772*-2)^(1/$AR772)))</f>
        <v/>
      </c>
      <c r="AY772">
        <f>IF($AR772="","",IF($AR772=0,$AS772*EXP($AT772*-3),$AS772*(1+$AR772*$AT772*-3)^(1/$AR772)))</f>
        <v/>
      </c>
      <c r="AZ772">
        <f>IF(OR($A772="",$A772&lt;&gt;Ficha!$C$4),"",COUNTIF($A$2:$A772,Ficha!$C$4))</f>
        <v/>
      </c>
    </row>
    <row r="773">
      <c r="A773" s="8">
        <f>IF(INDEX(Banco!$A:$A,ROW())="","",INDEX(Banco!$A:$A,ROW()))</f>
        <v/>
      </c>
      <c r="B773" s="8">
        <f>IF(INDEX(Banco!$B:$B,ROW())="","",INDEX(Banco!$B:$B,ROW()))</f>
        <v/>
      </c>
      <c r="C773" s="8">
        <f>IF(INDEX(Banco!$C:$C,ROW())="","",INDEX(Banco!$C:$C,ROW()))</f>
        <v/>
      </c>
      <c r="D773" s="9">
        <f>IF(INDEX(Banco!$D:$D,ROW())="","",INDEX(Banco!$D:$D,ROW()))</f>
        <v/>
      </c>
      <c r="E773" s="9">
        <f>IF(INDEX(Banco!$E:$E,ROW())="","",INDEX(Banco!$E:$E,ROW()))</f>
        <v/>
      </c>
      <c r="F773" s="10">
        <f>IF(INDEX(Banco!$F:$F,ROW())="","",INDEX(Banco!$F:$F,ROW()))</f>
        <v/>
      </c>
      <c r="G773" s="10">
        <f>IF(INDEX(Banco!$G:$G,ROW())="","",INDEX(Banco!$G:$G,ROW()))</f>
        <v/>
      </c>
      <c r="H773" s="8">
        <f>IF(INDEX(Banco!$H:$H,ROW())="","",INDEX(Banco!$H:$H,ROW()))</f>
        <v/>
      </c>
      <c r="I773">
        <f>IF($T773="","",INT($T773/12)&amp;"a "&amp;MOD($T773,12)&amp;"m")</f>
        <v/>
      </c>
      <c r="J773" s="11">
        <f>IF(OR($F773="",$G773=""),"",ROUND($F773/($G773/100)^2,2))</f>
        <v/>
      </c>
      <c r="K773" s="12">
        <f>IF(OR($S773="",$J773="",$T773="",$T773&lt;0,$T773&gt;228,$Y773=""),"—",ROUND(IF(ABS($AB773)&lt;=3,$AB773,IF($AB773&gt;3,3+($J773-$AD773)/($AD773-$AC773),-3+($J773-$AF773)/($AE773-$AF773))),2))</f>
        <v/>
      </c>
      <c r="L773">
        <f>IF(OR($K773="",$K773="—"),"",IF($T773&lt;=60,IF($K773&lt;-3,"Magreza acentuada",IF($K773&lt;-2,"Magreza",IF($K773&lt;=1,"Eutrofia",IF($K773&lt;=2,"Risco de sobrepeso",IF($K773&lt;=3,"Sobrepeso","Obesidade"))))),IF($K773&lt;-3,"Magreza acentuada",IF($K773&lt;-2,"Magreza",IF($K773&lt;=1,"Eutrofia",IF($K773&lt;=2,"Sobrepeso",IF($K773&lt;=3,"Obesidade","Obesidade grave")))))))</f>
        <v/>
      </c>
      <c r="M773" s="12">
        <f>IF(OR($S773="",$V773="",$T773="",$T773&lt;0,$T773&gt;228,$AG773=""),"—",ROUND(IF($AG773=0,LN($V773/$AH773)/$AI773,((($V773/$AH773)^$AG773)-1)/($AG773*$AI773)),2))</f>
        <v/>
      </c>
      <c r="N773">
        <f>IF(OR($M773="",$M773="—"),"",IF($M773&lt;-3,"Muito baixa",IF($M773&lt;-2,"Baixa","Adequada")))</f>
        <v/>
      </c>
      <c r="O773" s="12">
        <f>IF(OR($S773="",$F773="",$T773="",$T773&lt;0,$T773&gt;120,$AJ773=""),"—",ROUND(IF(ABS($AM773)&lt;=3,$AM773,IF($AM773&gt;3,3+($F773-$AO773)/($AO773-$AN773),-3+($F773-$AQ773)/($AP773-$AQ773))),2))</f>
        <v/>
      </c>
      <c r="P773">
        <f>IF(OR($O773="",$O773="—"),"",IF($O773&lt;-3,"Muito baixo",IF($O773&lt;-2,"Baixo",IF($O773&lt;=2,"Adequado","Elevado"))))</f>
        <v/>
      </c>
      <c r="Q773" s="12">
        <f>IF(OR($S773="",$F773="",$T773="",$T773&lt;0,$T773&gt;60,$AR773=""),"—",ROUND(IF(ABS($AU773)&lt;=3,$AU773,IF($AU773&gt;3,3+($F773-$AW773)/($AW773-$AV773),-3+($F773-$AY773)/($AX773-$AY773))),2))</f>
        <v/>
      </c>
      <c r="R773">
        <f>IF(OR($Q773="",$Q773="—"),"",IF($Q773&lt;-3,"Magreza acentuada",IF($Q773&lt;-2,"Magreza",IF($Q773&lt;=1,"Eutrofia",IF($Q773&lt;=2,"Risco de sobrepeso",IF($Q773&lt;=3,"Sobrepeso","Obesidade"))))))</f>
        <v/>
      </c>
      <c r="S773">
        <f>IF($C773="","",IF(UPPER(LEFT($C773,1))="M",1,IF(UPPER(LEFT($C773,1))="F",2,"")))</f>
        <v/>
      </c>
      <c r="T773">
        <f>IF(OR($D773="",$E773=""),"",DATEDIF($D773,$E773,"m"))</f>
        <v/>
      </c>
      <c r="U773">
        <f>IF(OR($D773="",$E773=""),"",$E773-$D773)</f>
        <v/>
      </c>
      <c r="V773">
        <f>IF(OR($G773="",$T773=""),"",IF($T773&lt;24,IF(LEFT(LOWER($H773),4)="em p",$G773+0.7,$G773),IF(LEFT(LOWER($H773),4)="deit",$G773-0.7,$G773)))</f>
        <v/>
      </c>
      <c r="W773">
        <f>IF(OR($S773="",$T773=""),"",$S773*1000000+IF($T773&lt;=60,$U773,$T773))</f>
        <v/>
      </c>
      <c r="X773">
        <f>IF(OR($S773="",$V773="",$T773&gt;60,$T773=""),"",$S773*1000000+ROUND($V773*10,0))</f>
        <v/>
      </c>
      <c r="Y773">
        <f>IF($W773="","",IFERROR(INDEX(IF($T773&lt;=60,imc05_l,imc519_l),MATCH($W773,IF($T773&lt;=60,imc05_k,imc519_k),1)),""))</f>
        <v/>
      </c>
      <c r="Z773">
        <f>IF($W773="","",IFERROR(INDEX(IF($T773&lt;=60,imc05_m,imc519_m),MATCH($W773,IF($T773&lt;=60,imc05_k,imc519_k),1)),""))</f>
        <v/>
      </c>
      <c r="AA773">
        <f>IF($W773="","",IFERROR(INDEX(IF($T773&lt;=60,imc05_s,imc519_s),MATCH($W773,IF($T773&lt;=60,imc05_k,imc519_k),1)),""))</f>
        <v/>
      </c>
      <c r="AB773">
        <f>IF($Y773="","",IF($Y773=0,LN($J773/$Z773)/$AA773,((($J773/$Z773)^$Y773)-1)/($Y773*$AA773)))</f>
        <v/>
      </c>
      <c r="AC773">
        <f>IF($Y773="","",IF($Y773=0,$Z773*EXP($AA773*2),$Z773*(1+$Y773*$AA773*2)^(1/$Y773)))</f>
        <v/>
      </c>
      <c r="AD773">
        <f>IF($Y773="","",IF($Y773=0,$Z773*EXP($AA773*3),$Z773*(1+$Y773*$AA773*3)^(1/$Y773)))</f>
        <v/>
      </c>
      <c r="AE773">
        <f>IF($Y773="","",IF($Y773=0,$Z773*EXP($AA773*-2),$Z773*(1+$Y773*$AA773*-2)^(1/$Y773)))</f>
        <v/>
      </c>
      <c r="AF773">
        <f>IF($Y773="","",IF($Y773=0,$Z773*EXP($AA773*-3),$Z773*(1+$Y773*$AA773*-3)^(1/$Y773)))</f>
        <v/>
      </c>
      <c r="AG773">
        <f>IF($W773="","",IFERROR(INDEX(IF($T773&lt;=60,est05_l,est519_l),MATCH($W773,IF($T773&lt;=60,est05_k,est519_k),1)),""))</f>
        <v/>
      </c>
      <c r="AH773">
        <f>IF($W773="","",IFERROR(INDEX(IF($T773&lt;=60,est05_m,est519_m),MATCH($W773,IF($T773&lt;=60,est05_k,est519_k),1)),""))</f>
        <v/>
      </c>
      <c r="AI773">
        <f>IF($W773="","",IFERROR(INDEX(IF($T773&lt;=60,est05_s,est519_s),MATCH($W773,IF($T773&lt;=60,est05_k,est519_k),1)),""))</f>
        <v/>
      </c>
      <c r="AJ773">
        <f>IF($W773="","",IFERROR(INDEX(IF($T773&lt;=60,peso05_l,peso510_l),MATCH($W773,IF($T773&lt;=60,peso05_k,peso510_k),1)),""))</f>
        <v/>
      </c>
      <c r="AK773">
        <f>IF($W773="","",IFERROR(INDEX(IF($T773&lt;=60,peso05_m,peso510_m),MATCH($W773,IF($T773&lt;=60,peso05_k,peso510_k),1)),""))</f>
        <v/>
      </c>
      <c r="AL773">
        <f>IF($W773="","",IFERROR(INDEX(IF($T773&lt;=60,peso05_s,peso510_s),MATCH($W773,IF($T773&lt;=60,peso05_k,peso510_k),1)),""))</f>
        <v/>
      </c>
      <c r="AM773">
        <f>IF($AJ773="","",IF($AJ773=0,LN($F773/$AK773)/$AL773,((($F773/$AK773)^$AJ773)-1)/($AJ773*$AL773)))</f>
        <v/>
      </c>
      <c r="AN773">
        <f>IF($AJ773="","",IF($AJ773=0,$AK773*EXP($AL773*2),$AK773*(1+$AJ773*$AL773*2)^(1/$AJ773)))</f>
        <v/>
      </c>
      <c r="AO773">
        <f>IF($AJ773="","",IF($AJ773=0,$AK773*EXP($AL773*3),$AK773*(1+$AJ773*$AL773*3)^(1/$AJ773)))</f>
        <v/>
      </c>
      <c r="AP773">
        <f>IF($AJ773="","",IF($AJ773=0,$AK773*EXP($AL773*-2),$AK773*(1+$AJ773*$AL773*-2)^(1/$AJ773)))</f>
        <v/>
      </c>
      <c r="AQ773">
        <f>IF($AJ773="","",IF($AJ773=0,$AK773*EXP($AL773*-3),$AK773*(1+$AJ773*$AL773*-3)^(1/$AJ773)))</f>
        <v/>
      </c>
      <c r="AR773">
        <f>IF(OR($X773="",$T773&gt;60),"",IFERROR(INDEX(IF($T773&lt;24,pcomp_l,palt_l),MATCH($X773,IF($T773&lt;24,pcomp_k,palt_k),1)),""))</f>
        <v/>
      </c>
      <c r="AS773">
        <f>IF(OR($X773="",$T773&gt;60),"",IFERROR(INDEX(IF($T773&lt;24,pcomp_m,palt_m),MATCH($X773,IF($T773&lt;24,pcomp_k,palt_k),1)),""))</f>
        <v/>
      </c>
      <c r="AT773">
        <f>IF(OR($X773="",$T773&gt;60),"",IFERROR(INDEX(IF($T773&lt;24,pcomp_s,palt_s),MATCH($X773,IF($T773&lt;24,pcomp_k,palt_k),1)),""))</f>
        <v/>
      </c>
      <c r="AU773">
        <f>IF($AR773="","",IF($AR773=0,LN($F773/$AS773)/$AT773,((($F773/$AS773)^$AR773)-1)/($AR773*$AT773)))</f>
        <v/>
      </c>
      <c r="AV773">
        <f>IF($AR773="","",IF($AR773=0,$AS773*EXP($AT773*2),$AS773*(1+$AR773*$AT773*2)^(1/$AR773)))</f>
        <v/>
      </c>
      <c r="AW773">
        <f>IF($AR773="","",IF($AR773=0,$AS773*EXP($AT773*3),$AS773*(1+$AR773*$AT773*3)^(1/$AR773)))</f>
        <v/>
      </c>
      <c r="AX773">
        <f>IF($AR773="","",IF($AR773=0,$AS773*EXP($AT773*-2),$AS773*(1+$AR773*$AT773*-2)^(1/$AR773)))</f>
        <v/>
      </c>
      <c r="AY773">
        <f>IF($AR773="","",IF($AR773=0,$AS773*EXP($AT773*-3),$AS773*(1+$AR773*$AT773*-3)^(1/$AR773)))</f>
        <v/>
      </c>
      <c r="AZ773">
        <f>IF(OR($A773="",$A773&lt;&gt;Ficha!$C$4),"",COUNTIF($A$2:$A773,Ficha!$C$4))</f>
        <v/>
      </c>
    </row>
    <row r="774">
      <c r="A774" s="8">
        <f>IF(INDEX(Banco!$A:$A,ROW())="","",INDEX(Banco!$A:$A,ROW()))</f>
        <v/>
      </c>
      <c r="B774" s="8">
        <f>IF(INDEX(Banco!$B:$B,ROW())="","",INDEX(Banco!$B:$B,ROW()))</f>
        <v/>
      </c>
      <c r="C774" s="8">
        <f>IF(INDEX(Banco!$C:$C,ROW())="","",INDEX(Banco!$C:$C,ROW()))</f>
        <v/>
      </c>
      <c r="D774" s="9">
        <f>IF(INDEX(Banco!$D:$D,ROW())="","",INDEX(Banco!$D:$D,ROW()))</f>
        <v/>
      </c>
      <c r="E774" s="9">
        <f>IF(INDEX(Banco!$E:$E,ROW())="","",INDEX(Banco!$E:$E,ROW()))</f>
        <v/>
      </c>
      <c r="F774" s="10">
        <f>IF(INDEX(Banco!$F:$F,ROW())="","",INDEX(Banco!$F:$F,ROW()))</f>
        <v/>
      </c>
      <c r="G774" s="10">
        <f>IF(INDEX(Banco!$G:$G,ROW())="","",INDEX(Banco!$G:$G,ROW()))</f>
        <v/>
      </c>
      <c r="H774" s="8">
        <f>IF(INDEX(Banco!$H:$H,ROW())="","",INDEX(Banco!$H:$H,ROW()))</f>
        <v/>
      </c>
      <c r="I774">
        <f>IF($T774="","",INT($T774/12)&amp;"a "&amp;MOD($T774,12)&amp;"m")</f>
        <v/>
      </c>
      <c r="J774" s="11">
        <f>IF(OR($F774="",$G774=""),"",ROUND($F774/($G774/100)^2,2))</f>
        <v/>
      </c>
      <c r="K774" s="12">
        <f>IF(OR($S774="",$J774="",$T774="",$T774&lt;0,$T774&gt;228,$Y774=""),"—",ROUND(IF(ABS($AB774)&lt;=3,$AB774,IF($AB774&gt;3,3+($J774-$AD774)/($AD774-$AC774),-3+($J774-$AF774)/($AE774-$AF774))),2))</f>
        <v/>
      </c>
      <c r="L774">
        <f>IF(OR($K774="",$K774="—"),"",IF($T774&lt;=60,IF($K774&lt;-3,"Magreza acentuada",IF($K774&lt;-2,"Magreza",IF($K774&lt;=1,"Eutrofia",IF($K774&lt;=2,"Risco de sobrepeso",IF($K774&lt;=3,"Sobrepeso","Obesidade"))))),IF($K774&lt;-3,"Magreza acentuada",IF($K774&lt;-2,"Magreza",IF($K774&lt;=1,"Eutrofia",IF($K774&lt;=2,"Sobrepeso",IF($K774&lt;=3,"Obesidade","Obesidade grave")))))))</f>
        <v/>
      </c>
      <c r="M774" s="12">
        <f>IF(OR($S774="",$V774="",$T774="",$T774&lt;0,$T774&gt;228,$AG774=""),"—",ROUND(IF($AG774=0,LN($V774/$AH774)/$AI774,((($V774/$AH774)^$AG774)-1)/($AG774*$AI774)),2))</f>
        <v/>
      </c>
      <c r="N774">
        <f>IF(OR($M774="",$M774="—"),"",IF($M774&lt;-3,"Muito baixa",IF($M774&lt;-2,"Baixa","Adequada")))</f>
        <v/>
      </c>
      <c r="O774" s="12">
        <f>IF(OR($S774="",$F774="",$T774="",$T774&lt;0,$T774&gt;120,$AJ774=""),"—",ROUND(IF(ABS($AM774)&lt;=3,$AM774,IF($AM774&gt;3,3+($F774-$AO774)/($AO774-$AN774),-3+($F774-$AQ774)/($AP774-$AQ774))),2))</f>
        <v/>
      </c>
      <c r="P774">
        <f>IF(OR($O774="",$O774="—"),"",IF($O774&lt;-3,"Muito baixo",IF($O774&lt;-2,"Baixo",IF($O774&lt;=2,"Adequado","Elevado"))))</f>
        <v/>
      </c>
      <c r="Q774" s="12">
        <f>IF(OR($S774="",$F774="",$T774="",$T774&lt;0,$T774&gt;60,$AR774=""),"—",ROUND(IF(ABS($AU774)&lt;=3,$AU774,IF($AU774&gt;3,3+($F774-$AW774)/($AW774-$AV774),-3+($F774-$AY774)/($AX774-$AY774))),2))</f>
        <v/>
      </c>
      <c r="R774">
        <f>IF(OR($Q774="",$Q774="—"),"",IF($Q774&lt;-3,"Magreza acentuada",IF($Q774&lt;-2,"Magreza",IF($Q774&lt;=1,"Eutrofia",IF($Q774&lt;=2,"Risco de sobrepeso",IF($Q774&lt;=3,"Sobrepeso","Obesidade"))))))</f>
        <v/>
      </c>
      <c r="S774">
        <f>IF($C774="","",IF(UPPER(LEFT($C774,1))="M",1,IF(UPPER(LEFT($C774,1))="F",2,"")))</f>
        <v/>
      </c>
      <c r="T774">
        <f>IF(OR($D774="",$E774=""),"",DATEDIF($D774,$E774,"m"))</f>
        <v/>
      </c>
      <c r="U774">
        <f>IF(OR($D774="",$E774=""),"",$E774-$D774)</f>
        <v/>
      </c>
      <c r="V774">
        <f>IF(OR($G774="",$T774=""),"",IF($T774&lt;24,IF(LEFT(LOWER($H774),4)="em p",$G774+0.7,$G774),IF(LEFT(LOWER($H774),4)="deit",$G774-0.7,$G774)))</f>
        <v/>
      </c>
      <c r="W774">
        <f>IF(OR($S774="",$T774=""),"",$S774*1000000+IF($T774&lt;=60,$U774,$T774))</f>
        <v/>
      </c>
      <c r="X774">
        <f>IF(OR($S774="",$V774="",$T774&gt;60,$T774=""),"",$S774*1000000+ROUND($V774*10,0))</f>
        <v/>
      </c>
      <c r="Y774">
        <f>IF($W774="","",IFERROR(INDEX(IF($T774&lt;=60,imc05_l,imc519_l),MATCH($W774,IF($T774&lt;=60,imc05_k,imc519_k),1)),""))</f>
        <v/>
      </c>
      <c r="Z774">
        <f>IF($W774="","",IFERROR(INDEX(IF($T774&lt;=60,imc05_m,imc519_m),MATCH($W774,IF($T774&lt;=60,imc05_k,imc519_k),1)),""))</f>
        <v/>
      </c>
      <c r="AA774">
        <f>IF($W774="","",IFERROR(INDEX(IF($T774&lt;=60,imc05_s,imc519_s),MATCH($W774,IF($T774&lt;=60,imc05_k,imc519_k),1)),""))</f>
        <v/>
      </c>
      <c r="AB774">
        <f>IF($Y774="","",IF($Y774=0,LN($J774/$Z774)/$AA774,((($J774/$Z774)^$Y774)-1)/($Y774*$AA774)))</f>
        <v/>
      </c>
      <c r="AC774">
        <f>IF($Y774="","",IF($Y774=0,$Z774*EXP($AA774*2),$Z774*(1+$Y774*$AA774*2)^(1/$Y774)))</f>
        <v/>
      </c>
      <c r="AD774">
        <f>IF($Y774="","",IF($Y774=0,$Z774*EXP($AA774*3),$Z774*(1+$Y774*$AA774*3)^(1/$Y774)))</f>
        <v/>
      </c>
      <c r="AE774">
        <f>IF($Y774="","",IF($Y774=0,$Z774*EXP($AA774*-2),$Z774*(1+$Y774*$AA774*-2)^(1/$Y774)))</f>
        <v/>
      </c>
      <c r="AF774">
        <f>IF($Y774="","",IF($Y774=0,$Z774*EXP($AA774*-3),$Z774*(1+$Y774*$AA774*-3)^(1/$Y774)))</f>
        <v/>
      </c>
      <c r="AG774">
        <f>IF($W774="","",IFERROR(INDEX(IF($T774&lt;=60,est05_l,est519_l),MATCH($W774,IF($T774&lt;=60,est05_k,est519_k),1)),""))</f>
        <v/>
      </c>
      <c r="AH774">
        <f>IF($W774="","",IFERROR(INDEX(IF($T774&lt;=60,est05_m,est519_m),MATCH($W774,IF($T774&lt;=60,est05_k,est519_k),1)),""))</f>
        <v/>
      </c>
      <c r="AI774">
        <f>IF($W774="","",IFERROR(INDEX(IF($T774&lt;=60,est05_s,est519_s),MATCH($W774,IF($T774&lt;=60,est05_k,est519_k),1)),""))</f>
        <v/>
      </c>
      <c r="AJ774">
        <f>IF($W774="","",IFERROR(INDEX(IF($T774&lt;=60,peso05_l,peso510_l),MATCH($W774,IF($T774&lt;=60,peso05_k,peso510_k),1)),""))</f>
        <v/>
      </c>
      <c r="AK774">
        <f>IF($W774="","",IFERROR(INDEX(IF($T774&lt;=60,peso05_m,peso510_m),MATCH($W774,IF($T774&lt;=60,peso05_k,peso510_k),1)),""))</f>
        <v/>
      </c>
      <c r="AL774">
        <f>IF($W774="","",IFERROR(INDEX(IF($T774&lt;=60,peso05_s,peso510_s),MATCH($W774,IF($T774&lt;=60,peso05_k,peso510_k),1)),""))</f>
        <v/>
      </c>
      <c r="AM774">
        <f>IF($AJ774="","",IF($AJ774=0,LN($F774/$AK774)/$AL774,((($F774/$AK774)^$AJ774)-1)/($AJ774*$AL774)))</f>
        <v/>
      </c>
      <c r="AN774">
        <f>IF($AJ774="","",IF($AJ774=0,$AK774*EXP($AL774*2),$AK774*(1+$AJ774*$AL774*2)^(1/$AJ774)))</f>
        <v/>
      </c>
      <c r="AO774">
        <f>IF($AJ774="","",IF($AJ774=0,$AK774*EXP($AL774*3),$AK774*(1+$AJ774*$AL774*3)^(1/$AJ774)))</f>
        <v/>
      </c>
      <c r="AP774">
        <f>IF($AJ774="","",IF($AJ774=0,$AK774*EXP($AL774*-2),$AK774*(1+$AJ774*$AL774*-2)^(1/$AJ774)))</f>
        <v/>
      </c>
      <c r="AQ774">
        <f>IF($AJ774="","",IF($AJ774=0,$AK774*EXP($AL774*-3),$AK774*(1+$AJ774*$AL774*-3)^(1/$AJ774)))</f>
        <v/>
      </c>
      <c r="AR774">
        <f>IF(OR($X774="",$T774&gt;60),"",IFERROR(INDEX(IF($T774&lt;24,pcomp_l,palt_l),MATCH($X774,IF($T774&lt;24,pcomp_k,palt_k),1)),""))</f>
        <v/>
      </c>
      <c r="AS774">
        <f>IF(OR($X774="",$T774&gt;60),"",IFERROR(INDEX(IF($T774&lt;24,pcomp_m,palt_m),MATCH($X774,IF($T774&lt;24,pcomp_k,palt_k),1)),""))</f>
        <v/>
      </c>
      <c r="AT774">
        <f>IF(OR($X774="",$T774&gt;60),"",IFERROR(INDEX(IF($T774&lt;24,pcomp_s,palt_s),MATCH($X774,IF($T774&lt;24,pcomp_k,palt_k),1)),""))</f>
        <v/>
      </c>
      <c r="AU774">
        <f>IF($AR774="","",IF($AR774=0,LN($F774/$AS774)/$AT774,((($F774/$AS774)^$AR774)-1)/($AR774*$AT774)))</f>
        <v/>
      </c>
      <c r="AV774">
        <f>IF($AR774="","",IF($AR774=0,$AS774*EXP($AT774*2),$AS774*(1+$AR774*$AT774*2)^(1/$AR774)))</f>
        <v/>
      </c>
      <c r="AW774">
        <f>IF($AR774="","",IF($AR774=0,$AS774*EXP($AT774*3),$AS774*(1+$AR774*$AT774*3)^(1/$AR774)))</f>
        <v/>
      </c>
      <c r="AX774">
        <f>IF($AR774="","",IF($AR774=0,$AS774*EXP($AT774*-2),$AS774*(1+$AR774*$AT774*-2)^(1/$AR774)))</f>
        <v/>
      </c>
      <c r="AY774">
        <f>IF($AR774="","",IF($AR774=0,$AS774*EXP($AT774*-3),$AS774*(1+$AR774*$AT774*-3)^(1/$AR774)))</f>
        <v/>
      </c>
      <c r="AZ774">
        <f>IF(OR($A774="",$A774&lt;&gt;Ficha!$C$4),"",COUNTIF($A$2:$A774,Ficha!$C$4))</f>
        <v/>
      </c>
    </row>
    <row r="775">
      <c r="A775" s="8">
        <f>IF(INDEX(Banco!$A:$A,ROW())="","",INDEX(Banco!$A:$A,ROW()))</f>
        <v/>
      </c>
      <c r="B775" s="8">
        <f>IF(INDEX(Banco!$B:$B,ROW())="","",INDEX(Banco!$B:$B,ROW()))</f>
        <v/>
      </c>
      <c r="C775" s="8">
        <f>IF(INDEX(Banco!$C:$C,ROW())="","",INDEX(Banco!$C:$C,ROW()))</f>
        <v/>
      </c>
      <c r="D775" s="9">
        <f>IF(INDEX(Banco!$D:$D,ROW())="","",INDEX(Banco!$D:$D,ROW()))</f>
        <v/>
      </c>
      <c r="E775" s="9">
        <f>IF(INDEX(Banco!$E:$E,ROW())="","",INDEX(Banco!$E:$E,ROW()))</f>
        <v/>
      </c>
      <c r="F775" s="10">
        <f>IF(INDEX(Banco!$F:$F,ROW())="","",INDEX(Banco!$F:$F,ROW()))</f>
        <v/>
      </c>
      <c r="G775" s="10">
        <f>IF(INDEX(Banco!$G:$G,ROW())="","",INDEX(Banco!$G:$G,ROW()))</f>
        <v/>
      </c>
      <c r="H775" s="8">
        <f>IF(INDEX(Banco!$H:$H,ROW())="","",INDEX(Banco!$H:$H,ROW()))</f>
        <v/>
      </c>
      <c r="I775">
        <f>IF($T775="","",INT($T775/12)&amp;"a "&amp;MOD($T775,12)&amp;"m")</f>
        <v/>
      </c>
      <c r="J775" s="11">
        <f>IF(OR($F775="",$G775=""),"",ROUND($F775/($G775/100)^2,2))</f>
        <v/>
      </c>
      <c r="K775" s="12">
        <f>IF(OR($S775="",$J775="",$T775="",$T775&lt;0,$T775&gt;228,$Y775=""),"—",ROUND(IF(ABS($AB775)&lt;=3,$AB775,IF($AB775&gt;3,3+($J775-$AD775)/($AD775-$AC775),-3+($J775-$AF775)/($AE775-$AF775))),2))</f>
        <v/>
      </c>
      <c r="L775">
        <f>IF(OR($K775="",$K775="—"),"",IF($T775&lt;=60,IF($K775&lt;-3,"Magreza acentuada",IF($K775&lt;-2,"Magreza",IF($K775&lt;=1,"Eutrofia",IF($K775&lt;=2,"Risco de sobrepeso",IF($K775&lt;=3,"Sobrepeso","Obesidade"))))),IF($K775&lt;-3,"Magreza acentuada",IF($K775&lt;-2,"Magreza",IF($K775&lt;=1,"Eutrofia",IF($K775&lt;=2,"Sobrepeso",IF($K775&lt;=3,"Obesidade","Obesidade grave")))))))</f>
        <v/>
      </c>
      <c r="M775" s="12">
        <f>IF(OR($S775="",$V775="",$T775="",$T775&lt;0,$T775&gt;228,$AG775=""),"—",ROUND(IF($AG775=0,LN($V775/$AH775)/$AI775,((($V775/$AH775)^$AG775)-1)/($AG775*$AI775)),2))</f>
        <v/>
      </c>
      <c r="N775">
        <f>IF(OR($M775="",$M775="—"),"",IF($M775&lt;-3,"Muito baixa",IF($M775&lt;-2,"Baixa","Adequada")))</f>
        <v/>
      </c>
      <c r="O775" s="12">
        <f>IF(OR($S775="",$F775="",$T775="",$T775&lt;0,$T775&gt;120,$AJ775=""),"—",ROUND(IF(ABS($AM775)&lt;=3,$AM775,IF($AM775&gt;3,3+($F775-$AO775)/($AO775-$AN775),-3+($F775-$AQ775)/($AP775-$AQ775))),2))</f>
        <v/>
      </c>
      <c r="P775">
        <f>IF(OR($O775="",$O775="—"),"",IF($O775&lt;-3,"Muito baixo",IF($O775&lt;-2,"Baixo",IF($O775&lt;=2,"Adequado","Elevado"))))</f>
        <v/>
      </c>
      <c r="Q775" s="12">
        <f>IF(OR($S775="",$F775="",$T775="",$T775&lt;0,$T775&gt;60,$AR775=""),"—",ROUND(IF(ABS($AU775)&lt;=3,$AU775,IF($AU775&gt;3,3+($F775-$AW775)/($AW775-$AV775),-3+($F775-$AY775)/($AX775-$AY775))),2))</f>
        <v/>
      </c>
      <c r="R775">
        <f>IF(OR($Q775="",$Q775="—"),"",IF($Q775&lt;-3,"Magreza acentuada",IF($Q775&lt;-2,"Magreza",IF($Q775&lt;=1,"Eutrofia",IF($Q775&lt;=2,"Risco de sobrepeso",IF($Q775&lt;=3,"Sobrepeso","Obesidade"))))))</f>
        <v/>
      </c>
      <c r="S775">
        <f>IF($C775="","",IF(UPPER(LEFT($C775,1))="M",1,IF(UPPER(LEFT($C775,1))="F",2,"")))</f>
        <v/>
      </c>
      <c r="T775">
        <f>IF(OR($D775="",$E775=""),"",DATEDIF($D775,$E775,"m"))</f>
        <v/>
      </c>
      <c r="U775">
        <f>IF(OR($D775="",$E775=""),"",$E775-$D775)</f>
        <v/>
      </c>
      <c r="V775">
        <f>IF(OR($G775="",$T775=""),"",IF($T775&lt;24,IF(LEFT(LOWER($H775),4)="em p",$G775+0.7,$G775),IF(LEFT(LOWER($H775),4)="deit",$G775-0.7,$G775)))</f>
        <v/>
      </c>
      <c r="W775">
        <f>IF(OR($S775="",$T775=""),"",$S775*1000000+IF($T775&lt;=60,$U775,$T775))</f>
        <v/>
      </c>
      <c r="X775">
        <f>IF(OR($S775="",$V775="",$T775&gt;60,$T775=""),"",$S775*1000000+ROUND($V775*10,0))</f>
        <v/>
      </c>
      <c r="Y775">
        <f>IF($W775="","",IFERROR(INDEX(IF($T775&lt;=60,imc05_l,imc519_l),MATCH($W775,IF($T775&lt;=60,imc05_k,imc519_k),1)),""))</f>
        <v/>
      </c>
      <c r="Z775">
        <f>IF($W775="","",IFERROR(INDEX(IF($T775&lt;=60,imc05_m,imc519_m),MATCH($W775,IF($T775&lt;=60,imc05_k,imc519_k),1)),""))</f>
        <v/>
      </c>
      <c r="AA775">
        <f>IF($W775="","",IFERROR(INDEX(IF($T775&lt;=60,imc05_s,imc519_s),MATCH($W775,IF($T775&lt;=60,imc05_k,imc519_k),1)),""))</f>
        <v/>
      </c>
      <c r="AB775">
        <f>IF($Y775="","",IF($Y775=0,LN($J775/$Z775)/$AA775,((($J775/$Z775)^$Y775)-1)/($Y775*$AA775)))</f>
        <v/>
      </c>
      <c r="AC775">
        <f>IF($Y775="","",IF($Y775=0,$Z775*EXP($AA775*2),$Z775*(1+$Y775*$AA775*2)^(1/$Y775)))</f>
        <v/>
      </c>
      <c r="AD775">
        <f>IF($Y775="","",IF($Y775=0,$Z775*EXP($AA775*3),$Z775*(1+$Y775*$AA775*3)^(1/$Y775)))</f>
        <v/>
      </c>
      <c r="AE775">
        <f>IF($Y775="","",IF($Y775=0,$Z775*EXP($AA775*-2),$Z775*(1+$Y775*$AA775*-2)^(1/$Y775)))</f>
        <v/>
      </c>
      <c r="AF775">
        <f>IF($Y775="","",IF($Y775=0,$Z775*EXP($AA775*-3),$Z775*(1+$Y775*$AA775*-3)^(1/$Y775)))</f>
        <v/>
      </c>
      <c r="AG775">
        <f>IF($W775="","",IFERROR(INDEX(IF($T775&lt;=60,est05_l,est519_l),MATCH($W775,IF($T775&lt;=60,est05_k,est519_k),1)),""))</f>
        <v/>
      </c>
      <c r="AH775">
        <f>IF($W775="","",IFERROR(INDEX(IF($T775&lt;=60,est05_m,est519_m),MATCH($W775,IF($T775&lt;=60,est05_k,est519_k),1)),""))</f>
        <v/>
      </c>
      <c r="AI775">
        <f>IF($W775="","",IFERROR(INDEX(IF($T775&lt;=60,est05_s,est519_s),MATCH($W775,IF($T775&lt;=60,est05_k,est519_k),1)),""))</f>
        <v/>
      </c>
      <c r="AJ775">
        <f>IF($W775="","",IFERROR(INDEX(IF($T775&lt;=60,peso05_l,peso510_l),MATCH($W775,IF($T775&lt;=60,peso05_k,peso510_k),1)),""))</f>
        <v/>
      </c>
      <c r="AK775">
        <f>IF($W775="","",IFERROR(INDEX(IF($T775&lt;=60,peso05_m,peso510_m),MATCH($W775,IF($T775&lt;=60,peso05_k,peso510_k),1)),""))</f>
        <v/>
      </c>
      <c r="AL775">
        <f>IF($W775="","",IFERROR(INDEX(IF($T775&lt;=60,peso05_s,peso510_s),MATCH($W775,IF($T775&lt;=60,peso05_k,peso510_k),1)),""))</f>
        <v/>
      </c>
      <c r="AM775">
        <f>IF($AJ775="","",IF($AJ775=0,LN($F775/$AK775)/$AL775,((($F775/$AK775)^$AJ775)-1)/($AJ775*$AL775)))</f>
        <v/>
      </c>
      <c r="AN775">
        <f>IF($AJ775="","",IF($AJ775=0,$AK775*EXP($AL775*2),$AK775*(1+$AJ775*$AL775*2)^(1/$AJ775)))</f>
        <v/>
      </c>
      <c r="AO775">
        <f>IF($AJ775="","",IF($AJ775=0,$AK775*EXP($AL775*3),$AK775*(1+$AJ775*$AL775*3)^(1/$AJ775)))</f>
        <v/>
      </c>
      <c r="AP775">
        <f>IF($AJ775="","",IF($AJ775=0,$AK775*EXP($AL775*-2),$AK775*(1+$AJ775*$AL775*-2)^(1/$AJ775)))</f>
        <v/>
      </c>
      <c r="AQ775">
        <f>IF($AJ775="","",IF($AJ775=0,$AK775*EXP($AL775*-3),$AK775*(1+$AJ775*$AL775*-3)^(1/$AJ775)))</f>
        <v/>
      </c>
      <c r="AR775">
        <f>IF(OR($X775="",$T775&gt;60),"",IFERROR(INDEX(IF($T775&lt;24,pcomp_l,palt_l),MATCH($X775,IF($T775&lt;24,pcomp_k,palt_k),1)),""))</f>
        <v/>
      </c>
      <c r="AS775">
        <f>IF(OR($X775="",$T775&gt;60),"",IFERROR(INDEX(IF($T775&lt;24,pcomp_m,palt_m),MATCH($X775,IF($T775&lt;24,pcomp_k,palt_k),1)),""))</f>
        <v/>
      </c>
      <c r="AT775">
        <f>IF(OR($X775="",$T775&gt;60),"",IFERROR(INDEX(IF($T775&lt;24,pcomp_s,palt_s),MATCH($X775,IF($T775&lt;24,pcomp_k,palt_k),1)),""))</f>
        <v/>
      </c>
      <c r="AU775">
        <f>IF($AR775="","",IF($AR775=0,LN($F775/$AS775)/$AT775,((($F775/$AS775)^$AR775)-1)/($AR775*$AT775)))</f>
        <v/>
      </c>
      <c r="AV775">
        <f>IF($AR775="","",IF($AR775=0,$AS775*EXP($AT775*2),$AS775*(1+$AR775*$AT775*2)^(1/$AR775)))</f>
        <v/>
      </c>
      <c r="AW775">
        <f>IF($AR775="","",IF($AR775=0,$AS775*EXP($AT775*3),$AS775*(1+$AR775*$AT775*3)^(1/$AR775)))</f>
        <v/>
      </c>
      <c r="AX775">
        <f>IF($AR775="","",IF($AR775=0,$AS775*EXP($AT775*-2),$AS775*(1+$AR775*$AT775*-2)^(1/$AR775)))</f>
        <v/>
      </c>
      <c r="AY775">
        <f>IF($AR775="","",IF($AR775=0,$AS775*EXP($AT775*-3),$AS775*(1+$AR775*$AT775*-3)^(1/$AR775)))</f>
        <v/>
      </c>
      <c r="AZ775">
        <f>IF(OR($A775="",$A775&lt;&gt;Ficha!$C$4),"",COUNTIF($A$2:$A775,Ficha!$C$4))</f>
        <v/>
      </c>
    </row>
    <row r="776">
      <c r="A776" s="8">
        <f>IF(INDEX(Banco!$A:$A,ROW())="","",INDEX(Banco!$A:$A,ROW()))</f>
        <v/>
      </c>
      <c r="B776" s="8">
        <f>IF(INDEX(Banco!$B:$B,ROW())="","",INDEX(Banco!$B:$B,ROW()))</f>
        <v/>
      </c>
      <c r="C776" s="8">
        <f>IF(INDEX(Banco!$C:$C,ROW())="","",INDEX(Banco!$C:$C,ROW()))</f>
        <v/>
      </c>
      <c r="D776" s="9">
        <f>IF(INDEX(Banco!$D:$D,ROW())="","",INDEX(Banco!$D:$D,ROW()))</f>
        <v/>
      </c>
      <c r="E776" s="9">
        <f>IF(INDEX(Banco!$E:$E,ROW())="","",INDEX(Banco!$E:$E,ROW()))</f>
        <v/>
      </c>
      <c r="F776" s="10">
        <f>IF(INDEX(Banco!$F:$F,ROW())="","",INDEX(Banco!$F:$F,ROW()))</f>
        <v/>
      </c>
      <c r="G776" s="10">
        <f>IF(INDEX(Banco!$G:$G,ROW())="","",INDEX(Banco!$G:$G,ROW()))</f>
        <v/>
      </c>
      <c r="H776" s="8">
        <f>IF(INDEX(Banco!$H:$H,ROW())="","",INDEX(Banco!$H:$H,ROW()))</f>
        <v/>
      </c>
      <c r="I776">
        <f>IF($T776="","",INT($T776/12)&amp;"a "&amp;MOD($T776,12)&amp;"m")</f>
        <v/>
      </c>
      <c r="J776" s="11">
        <f>IF(OR($F776="",$G776=""),"",ROUND($F776/($G776/100)^2,2))</f>
        <v/>
      </c>
      <c r="K776" s="12">
        <f>IF(OR($S776="",$J776="",$T776="",$T776&lt;0,$T776&gt;228,$Y776=""),"—",ROUND(IF(ABS($AB776)&lt;=3,$AB776,IF($AB776&gt;3,3+($J776-$AD776)/($AD776-$AC776),-3+($J776-$AF776)/($AE776-$AF776))),2))</f>
        <v/>
      </c>
      <c r="L776">
        <f>IF(OR($K776="",$K776="—"),"",IF($T776&lt;=60,IF($K776&lt;-3,"Magreza acentuada",IF($K776&lt;-2,"Magreza",IF($K776&lt;=1,"Eutrofia",IF($K776&lt;=2,"Risco de sobrepeso",IF($K776&lt;=3,"Sobrepeso","Obesidade"))))),IF($K776&lt;-3,"Magreza acentuada",IF($K776&lt;-2,"Magreza",IF($K776&lt;=1,"Eutrofia",IF($K776&lt;=2,"Sobrepeso",IF($K776&lt;=3,"Obesidade","Obesidade grave")))))))</f>
        <v/>
      </c>
      <c r="M776" s="12">
        <f>IF(OR($S776="",$V776="",$T776="",$T776&lt;0,$T776&gt;228,$AG776=""),"—",ROUND(IF($AG776=0,LN($V776/$AH776)/$AI776,((($V776/$AH776)^$AG776)-1)/($AG776*$AI776)),2))</f>
        <v/>
      </c>
      <c r="N776">
        <f>IF(OR($M776="",$M776="—"),"",IF($M776&lt;-3,"Muito baixa",IF($M776&lt;-2,"Baixa","Adequada")))</f>
        <v/>
      </c>
      <c r="O776" s="12">
        <f>IF(OR($S776="",$F776="",$T776="",$T776&lt;0,$T776&gt;120,$AJ776=""),"—",ROUND(IF(ABS($AM776)&lt;=3,$AM776,IF($AM776&gt;3,3+($F776-$AO776)/($AO776-$AN776),-3+($F776-$AQ776)/($AP776-$AQ776))),2))</f>
        <v/>
      </c>
      <c r="P776">
        <f>IF(OR($O776="",$O776="—"),"",IF($O776&lt;-3,"Muito baixo",IF($O776&lt;-2,"Baixo",IF($O776&lt;=2,"Adequado","Elevado"))))</f>
        <v/>
      </c>
      <c r="Q776" s="12">
        <f>IF(OR($S776="",$F776="",$T776="",$T776&lt;0,$T776&gt;60,$AR776=""),"—",ROUND(IF(ABS($AU776)&lt;=3,$AU776,IF($AU776&gt;3,3+($F776-$AW776)/($AW776-$AV776),-3+($F776-$AY776)/($AX776-$AY776))),2))</f>
        <v/>
      </c>
      <c r="R776">
        <f>IF(OR($Q776="",$Q776="—"),"",IF($Q776&lt;-3,"Magreza acentuada",IF($Q776&lt;-2,"Magreza",IF($Q776&lt;=1,"Eutrofia",IF($Q776&lt;=2,"Risco de sobrepeso",IF($Q776&lt;=3,"Sobrepeso","Obesidade"))))))</f>
        <v/>
      </c>
      <c r="S776">
        <f>IF($C776="","",IF(UPPER(LEFT($C776,1))="M",1,IF(UPPER(LEFT($C776,1))="F",2,"")))</f>
        <v/>
      </c>
      <c r="T776">
        <f>IF(OR($D776="",$E776=""),"",DATEDIF($D776,$E776,"m"))</f>
        <v/>
      </c>
      <c r="U776">
        <f>IF(OR($D776="",$E776=""),"",$E776-$D776)</f>
        <v/>
      </c>
      <c r="V776">
        <f>IF(OR($G776="",$T776=""),"",IF($T776&lt;24,IF(LEFT(LOWER($H776),4)="em p",$G776+0.7,$G776),IF(LEFT(LOWER($H776),4)="deit",$G776-0.7,$G776)))</f>
        <v/>
      </c>
      <c r="W776">
        <f>IF(OR($S776="",$T776=""),"",$S776*1000000+IF($T776&lt;=60,$U776,$T776))</f>
        <v/>
      </c>
      <c r="X776">
        <f>IF(OR($S776="",$V776="",$T776&gt;60,$T776=""),"",$S776*1000000+ROUND($V776*10,0))</f>
        <v/>
      </c>
      <c r="Y776">
        <f>IF($W776="","",IFERROR(INDEX(IF($T776&lt;=60,imc05_l,imc519_l),MATCH($W776,IF($T776&lt;=60,imc05_k,imc519_k),1)),""))</f>
        <v/>
      </c>
      <c r="Z776">
        <f>IF($W776="","",IFERROR(INDEX(IF($T776&lt;=60,imc05_m,imc519_m),MATCH($W776,IF($T776&lt;=60,imc05_k,imc519_k),1)),""))</f>
        <v/>
      </c>
      <c r="AA776">
        <f>IF($W776="","",IFERROR(INDEX(IF($T776&lt;=60,imc05_s,imc519_s),MATCH($W776,IF($T776&lt;=60,imc05_k,imc519_k),1)),""))</f>
        <v/>
      </c>
      <c r="AB776">
        <f>IF($Y776="","",IF($Y776=0,LN($J776/$Z776)/$AA776,((($J776/$Z776)^$Y776)-1)/($Y776*$AA776)))</f>
        <v/>
      </c>
      <c r="AC776">
        <f>IF($Y776="","",IF($Y776=0,$Z776*EXP($AA776*2),$Z776*(1+$Y776*$AA776*2)^(1/$Y776)))</f>
        <v/>
      </c>
      <c r="AD776">
        <f>IF($Y776="","",IF($Y776=0,$Z776*EXP($AA776*3),$Z776*(1+$Y776*$AA776*3)^(1/$Y776)))</f>
        <v/>
      </c>
      <c r="AE776">
        <f>IF($Y776="","",IF($Y776=0,$Z776*EXP($AA776*-2),$Z776*(1+$Y776*$AA776*-2)^(1/$Y776)))</f>
        <v/>
      </c>
      <c r="AF776">
        <f>IF($Y776="","",IF($Y776=0,$Z776*EXP($AA776*-3),$Z776*(1+$Y776*$AA776*-3)^(1/$Y776)))</f>
        <v/>
      </c>
      <c r="AG776">
        <f>IF($W776="","",IFERROR(INDEX(IF($T776&lt;=60,est05_l,est519_l),MATCH($W776,IF($T776&lt;=60,est05_k,est519_k),1)),""))</f>
        <v/>
      </c>
      <c r="AH776">
        <f>IF($W776="","",IFERROR(INDEX(IF($T776&lt;=60,est05_m,est519_m),MATCH($W776,IF($T776&lt;=60,est05_k,est519_k),1)),""))</f>
        <v/>
      </c>
      <c r="AI776">
        <f>IF($W776="","",IFERROR(INDEX(IF($T776&lt;=60,est05_s,est519_s),MATCH($W776,IF($T776&lt;=60,est05_k,est519_k),1)),""))</f>
        <v/>
      </c>
      <c r="AJ776">
        <f>IF($W776="","",IFERROR(INDEX(IF($T776&lt;=60,peso05_l,peso510_l),MATCH($W776,IF($T776&lt;=60,peso05_k,peso510_k),1)),""))</f>
        <v/>
      </c>
      <c r="AK776">
        <f>IF($W776="","",IFERROR(INDEX(IF($T776&lt;=60,peso05_m,peso510_m),MATCH($W776,IF($T776&lt;=60,peso05_k,peso510_k),1)),""))</f>
        <v/>
      </c>
      <c r="AL776">
        <f>IF($W776="","",IFERROR(INDEX(IF($T776&lt;=60,peso05_s,peso510_s),MATCH($W776,IF($T776&lt;=60,peso05_k,peso510_k),1)),""))</f>
        <v/>
      </c>
      <c r="AM776">
        <f>IF($AJ776="","",IF($AJ776=0,LN($F776/$AK776)/$AL776,((($F776/$AK776)^$AJ776)-1)/($AJ776*$AL776)))</f>
        <v/>
      </c>
      <c r="AN776">
        <f>IF($AJ776="","",IF($AJ776=0,$AK776*EXP($AL776*2),$AK776*(1+$AJ776*$AL776*2)^(1/$AJ776)))</f>
        <v/>
      </c>
      <c r="AO776">
        <f>IF($AJ776="","",IF($AJ776=0,$AK776*EXP($AL776*3),$AK776*(1+$AJ776*$AL776*3)^(1/$AJ776)))</f>
        <v/>
      </c>
      <c r="AP776">
        <f>IF($AJ776="","",IF($AJ776=0,$AK776*EXP($AL776*-2),$AK776*(1+$AJ776*$AL776*-2)^(1/$AJ776)))</f>
        <v/>
      </c>
      <c r="AQ776">
        <f>IF($AJ776="","",IF($AJ776=0,$AK776*EXP($AL776*-3),$AK776*(1+$AJ776*$AL776*-3)^(1/$AJ776)))</f>
        <v/>
      </c>
      <c r="AR776">
        <f>IF(OR($X776="",$T776&gt;60),"",IFERROR(INDEX(IF($T776&lt;24,pcomp_l,palt_l),MATCH($X776,IF($T776&lt;24,pcomp_k,palt_k),1)),""))</f>
        <v/>
      </c>
      <c r="AS776">
        <f>IF(OR($X776="",$T776&gt;60),"",IFERROR(INDEX(IF($T776&lt;24,pcomp_m,palt_m),MATCH($X776,IF($T776&lt;24,pcomp_k,palt_k),1)),""))</f>
        <v/>
      </c>
      <c r="AT776">
        <f>IF(OR($X776="",$T776&gt;60),"",IFERROR(INDEX(IF($T776&lt;24,pcomp_s,palt_s),MATCH($X776,IF($T776&lt;24,pcomp_k,palt_k),1)),""))</f>
        <v/>
      </c>
      <c r="AU776">
        <f>IF($AR776="","",IF($AR776=0,LN($F776/$AS776)/$AT776,((($F776/$AS776)^$AR776)-1)/($AR776*$AT776)))</f>
        <v/>
      </c>
      <c r="AV776">
        <f>IF($AR776="","",IF($AR776=0,$AS776*EXP($AT776*2),$AS776*(1+$AR776*$AT776*2)^(1/$AR776)))</f>
        <v/>
      </c>
      <c r="AW776">
        <f>IF($AR776="","",IF($AR776=0,$AS776*EXP($AT776*3),$AS776*(1+$AR776*$AT776*3)^(1/$AR776)))</f>
        <v/>
      </c>
      <c r="AX776">
        <f>IF($AR776="","",IF($AR776=0,$AS776*EXP($AT776*-2),$AS776*(1+$AR776*$AT776*-2)^(1/$AR776)))</f>
        <v/>
      </c>
      <c r="AY776">
        <f>IF($AR776="","",IF($AR776=0,$AS776*EXP($AT776*-3),$AS776*(1+$AR776*$AT776*-3)^(1/$AR776)))</f>
        <v/>
      </c>
      <c r="AZ776">
        <f>IF(OR($A776="",$A776&lt;&gt;Ficha!$C$4),"",COUNTIF($A$2:$A776,Ficha!$C$4))</f>
        <v/>
      </c>
    </row>
    <row r="777">
      <c r="A777" s="8">
        <f>IF(INDEX(Banco!$A:$A,ROW())="","",INDEX(Banco!$A:$A,ROW()))</f>
        <v/>
      </c>
      <c r="B777" s="8">
        <f>IF(INDEX(Banco!$B:$B,ROW())="","",INDEX(Banco!$B:$B,ROW()))</f>
        <v/>
      </c>
      <c r="C777" s="8">
        <f>IF(INDEX(Banco!$C:$C,ROW())="","",INDEX(Banco!$C:$C,ROW()))</f>
        <v/>
      </c>
      <c r="D777" s="9">
        <f>IF(INDEX(Banco!$D:$D,ROW())="","",INDEX(Banco!$D:$D,ROW()))</f>
        <v/>
      </c>
      <c r="E777" s="9">
        <f>IF(INDEX(Banco!$E:$E,ROW())="","",INDEX(Banco!$E:$E,ROW()))</f>
        <v/>
      </c>
      <c r="F777" s="10">
        <f>IF(INDEX(Banco!$F:$F,ROW())="","",INDEX(Banco!$F:$F,ROW()))</f>
        <v/>
      </c>
      <c r="G777" s="10">
        <f>IF(INDEX(Banco!$G:$G,ROW())="","",INDEX(Banco!$G:$G,ROW()))</f>
        <v/>
      </c>
      <c r="H777" s="8">
        <f>IF(INDEX(Banco!$H:$H,ROW())="","",INDEX(Banco!$H:$H,ROW()))</f>
        <v/>
      </c>
      <c r="I777">
        <f>IF($T777="","",INT($T777/12)&amp;"a "&amp;MOD($T777,12)&amp;"m")</f>
        <v/>
      </c>
      <c r="J777" s="11">
        <f>IF(OR($F777="",$G777=""),"",ROUND($F777/($G777/100)^2,2))</f>
        <v/>
      </c>
      <c r="K777" s="12">
        <f>IF(OR($S777="",$J777="",$T777="",$T777&lt;0,$T777&gt;228,$Y777=""),"—",ROUND(IF(ABS($AB777)&lt;=3,$AB777,IF($AB777&gt;3,3+($J777-$AD777)/($AD777-$AC777),-3+($J777-$AF777)/($AE777-$AF777))),2))</f>
        <v/>
      </c>
      <c r="L777">
        <f>IF(OR($K777="",$K777="—"),"",IF($T777&lt;=60,IF($K777&lt;-3,"Magreza acentuada",IF($K777&lt;-2,"Magreza",IF($K777&lt;=1,"Eutrofia",IF($K777&lt;=2,"Risco de sobrepeso",IF($K777&lt;=3,"Sobrepeso","Obesidade"))))),IF($K777&lt;-3,"Magreza acentuada",IF($K777&lt;-2,"Magreza",IF($K777&lt;=1,"Eutrofia",IF($K777&lt;=2,"Sobrepeso",IF($K777&lt;=3,"Obesidade","Obesidade grave")))))))</f>
        <v/>
      </c>
      <c r="M777" s="12">
        <f>IF(OR($S777="",$V777="",$T777="",$T777&lt;0,$T777&gt;228,$AG777=""),"—",ROUND(IF($AG777=0,LN($V777/$AH777)/$AI777,((($V777/$AH777)^$AG777)-1)/($AG777*$AI777)),2))</f>
        <v/>
      </c>
      <c r="N777">
        <f>IF(OR($M777="",$M777="—"),"",IF($M777&lt;-3,"Muito baixa",IF($M777&lt;-2,"Baixa","Adequada")))</f>
        <v/>
      </c>
      <c r="O777" s="12">
        <f>IF(OR($S777="",$F777="",$T777="",$T777&lt;0,$T777&gt;120,$AJ777=""),"—",ROUND(IF(ABS($AM777)&lt;=3,$AM777,IF($AM777&gt;3,3+($F777-$AO777)/($AO777-$AN777),-3+($F777-$AQ777)/($AP777-$AQ777))),2))</f>
        <v/>
      </c>
      <c r="P777">
        <f>IF(OR($O777="",$O777="—"),"",IF($O777&lt;-3,"Muito baixo",IF($O777&lt;-2,"Baixo",IF($O777&lt;=2,"Adequado","Elevado"))))</f>
        <v/>
      </c>
      <c r="Q777" s="12">
        <f>IF(OR($S777="",$F777="",$T777="",$T777&lt;0,$T777&gt;60,$AR777=""),"—",ROUND(IF(ABS($AU777)&lt;=3,$AU777,IF($AU777&gt;3,3+($F777-$AW777)/($AW777-$AV777),-3+($F777-$AY777)/($AX777-$AY777))),2))</f>
        <v/>
      </c>
      <c r="R777">
        <f>IF(OR($Q777="",$Q777="—"),"",IF($Q777&lt;-3,"Magreza acentuada",IF($Q777&lt;-2,"Magreza",IF($Q777&lt;=1,"Eutrofia",IF($Q777&lt;=2,"Risco de sobrepeso",IF($Q777&lt;=3,"Sobrepeso","Obesidade"))))))</f>
        <v/>
      </c>
      <c r="S777">
        <f>IF($C777="","",IF(UPPER(LEFT($C777,1))="M",1,IF(UPPER(LEFT($C777,1))="F",2,"")))</f>
        <v/>
      </c>
      <c r="T777">
        <f>IF(OR($D777="",$E777=""),"",DATEDIF($D777,$E777,"m"))</f>
        <v/>
      </c>
      <c r="U777">
        <f>IF(OR($D777="",$E777=""),"",$E777-$D777)</f>
        <v/>
      </c>
      <c r="V777">
        <f>IF(OR($G777="",$T777=""),"",IF($T777&lt;24,IF(LEFT(LOWER($H777),4)="em p",$G777+0.7,$G777),IF(LEFT(LOWER($H777),4)="deit",$G777-0.7,$G777)))</f>
        <v/>
      </c>
      <c r="W777">
        <f>IF(OR($S777="",$T777=""),"",$S777*1000000+IF($T777&lt;=60,$U777,$T777))</f>
        <v/>
      </c>
      <c r="X777">
        <f>IF(OR($S777="",$V777="",$T777&gt;60,$T777=""),"",$S777*1000000+ROUND($V777*10,0))</f>
        <v/>
      </c>
      <c r="Y777">
        <f>IF($W777="","",IFERROR(INDEX(IF($T777&lt;=60,imc05_l,imc519_l),MATCH($W777,IF($T777&lt;=60,imc05_k,imc519_k),1)),""))</f>
        <v/>
      </c>
      <c r="Z777">
        <f>IF($W777="","",IFERROR(INDEX(IF($T777&lt;=60,imc05_m,imc519_m),MATCH($W777,IF($T777&lt;=60,imc05_k,imc519_k),1)),""))</f>
        <v/>
      </c>
      <c r="AA777">
        <f>IF($W777="","",IFERROR(INDEX(IF($T777&lt;=60,imc05_s,imc519_s),MATCH($W777,IF($T777&lt;=60,imc05_k,imc519_k),1)),""))</f>
        <v/>
      </c>
      <c r="AB777">
        <f>IF($Y777="","",IF($Y777=0,LN($J777/$Z777)/$AA777,((($J777/$Z777)^$Y777)-1)/($Y777*$AA777)))</f>
        <v/>
      </c>
      <c r="AC777">
        <f>IF($Y777="","",IF($Y777=0,$Z777*EXP($AA777*2),$Z777*(1+$Y777*$AA777*2)^(1/$Y777)))</f>
        <v/>
      </c>
      <c r="AD777">
        <f>IF($Y777="","",IF($Y777=0,$Z777*EXP($AA777*3),$Z777*(1+$Y777*$AA777*3)^(1/$Y777)))</f>
        <v/>
      </c>
      <c r="AE777">
        <f>IF($Y777="","",IF($Y777=0,$Z777*EXP($AA777*-2),$Z777*(1+$Y777*$AA777*-2)^(1/$Y777)))</f>
        <v/>
      </c>
      <c r="AF777">
        <f>IF($Y777="","",IF($Y777=0,$Z777*EXP($AA777*-3),$Z777*(1+$Y777*$AA777*-3)^(1/$Y777)))</f>
        <v/>
      </c>
      <c r="AG777">
        <f>IF($W777="","",IFERROR(INDEX(IF($T777&lt;=60,est05_l,est519_l),MATCH($W777,IF($T777&lt;=60,est05_k,est519_k),1)),""))</f>
        <v/>
      </c>
      <c r="AH777">
        <f>IF($W777="","",IFERROR(INDEX(IF($T777&lt;=60,est05_m,est519_m),MATCH($W777,IF($T777&lt;=60,est05_k,est519_k),1)),""))</f>
        <v/>
      </c>
      <c r="AI777">
        <f>IF($W777="","",IFERROR(INDEX(IF($T777&lt;=60,est05_s,est519_s),MATCH($W777,IF($T777&lt;=60,est05_k,est519_k),1)),""))</f>
        <v/>
      </c>
      <c r="AJ777">
        <f>IF($W777="","",IFERROR(INDEX(IF($T777&lt;=60,peso05_l,peso510_l),MATCH($W777,IF($T777&lt;=60,peso05_k,peso510_k),1)),""))</f>
        <v/>
      </c>
      <c r="AK777">
        <f>IF($W777="","",IFERROR(INDEX(IF($T777&lt;=60,peso05_m,peso510_m),MATCH($W777,IF($T777&lt;=60,peso05_k,peso510_k),1)),""))</f>
        <v/>
      </c>
      <c r="AL777">
        <f>IF($W777="","",IFERROR(INDEX(IF($T777&lt;=60,peso05_s,peso510_s),MATCH($W777,IF($T777&lt;=60,peso05_k,peso510_k),1)),""))</f>
        <v/>
      </c>
      <c r="AM777">
        <f>IF($AJ777="","",IF($AJ777=0,LN($F777/$AK777)/$AL777,((($F777/$AK777)^$AJ777)-1)/($AJ777*$AL777)))</f>
        <v/>
      </c>
      <c r="AN777">
        <f>IF($AJ777="","",IF($AJ777=0,$AK777*EXP($AL777*2),$AK777*(1+$AJ777*$AL777*2)^(1/$AJ777)))</f>
        <v/>
      </c>
      <c r="AO777">
        <f>IF($AJ777="","",IF($AJ777=0,$AK777*EXP($AL777*3),$AK777*(1+$AJ777*$AL777*3)^(1/$AJ777)))</f>
        <v/>
      </c>
      <c r="AP777">
        <f>IF($AJ777="","",IF($AJ777=0,$AK777*EXP($AL777*-2),$AK777*(1+$AJ777*$AL777*-2)^(1/$AJ777)))</f>
        <v/>
      </c>
      <c r="AQ777">
        <f>IF($AJ777="","",IF($AJ777=0,$AK777*EXP($AL777*-3),$AK777*(1+$AJ777*$AL777*-3)^(1/$AJ777)))</f>
        <v/>
      </c>
      <c r="AR777">
        <f>IF(OR($X777="",$T777&gt;60),"",IFERROR(INDEX(IF($T777&lt;24,pcomp_l,palt_l),MATCH($X777,IF($T777&lt;24,pcomp_k,palt_k),1)),""))</f>
        <v/>
      </c>
      <c r="AS777">
        <f>IF(OR($X777="",$T777&gt;60),"",IFERROR(INDEX(IF($T777&lt;24,pcomp_m,palt_m),MATCH($X777,IF($T777&lt;24,pcomp_k,palt_k),1)),""))</f>
        <v/>
      </c>
      <c r="AT777">
        <f>IF(OR($X777="",$T777&gt;60),"",IFERROR(INDEX(IF($T777&lt;24,pcomp_s,palt_s),MATCH($X777,IF($T777&lt;24,pcomp_k,palt_k),1)),""))</f>
        <v/>
      </c>
      <c r="AU777">
        <f>IF($AR777="","",IF($AR777=0,LN($F777/$AS777)/$AT777,((($F777/$AS777)^$AR777)-1)/($AR777*$AT777)))</f>
        <v/>
      </c>
      <c r="AV777">
        <f>IF($AR777="","",IF($AR777=0,$AS777*EXP($AT777*2),$AS777*(1+$AR777*$AT777*2)^(1/$AR777)))</f>
        <v/>
      </c>
      <c r="AW777">
        <f>IF($AR777="","",IF($AR777=0,$AS777*EXP($AT777*3),$AS777*(1+$AR777*$AT777*3)^(1/$AR777)))</f>
        <v/>
      </c>
      <c r="AX777">
        <f>IF($AR777="","",IF($AR777=0,$AS777*EXP($AT777*-2),$AS777*(1+$AR777*$AT777*-2)^(1/$AR777)))</f>
        <v/>
      </c>
      <c r="AY777">
        <f>IF($AR777="","",IF($AR777=0,$AS777*EXP($AT777*-3),$AS777*(1+$AR777*$AT777*-3)^(1/$AR777)))</f>
        <v/>
      </c>
      <c r="AZ777">
        <f>IF(OR($A777="",$A777&lt;&gt;Ficha!$C$4),"",COUNTIF($A$2:$A777,Ficha!$C$4))</f>
        <v/>
      </c>
    </row>
    <row r="778">
      <c r="A778" s="8">
        <f>IF(INDEX(Banco!$A:$A,ROW())="","",INDEX(Banco!$A:$A,ROW()))</f>
        <v/>
      </c>
      <c r="B778" s="8">
        <f>IF(INDEX(Banco!$B:$B,ROW())="","",INDEX(Banco!$B:$B,ROW()))</f>
        <v/>
      </c>
      <c r="C778" s="8">
        <f>IF(INDEX(Banco!$C:$C,ROW())="","",INDEX(Banco!$C:$C,ROW()))</f>
        <v/>
      </c>
      <c r="D778" s="9">
        <f>IF(INDEX(Banco!$D:$D,ROW())="","",INDEX(Banco!$D:$D,ROW()))</f>
        <v/>
      </c>
      <c r="E778" s="9">
        <f>IF(INDEX(Banco!$E:$E,ROW())="","",INDEX(Banco!$E:$E,ROW()))</f>
        <v/>
      </c>
      <c r="F778" s="10">
        <f>IF(INDEX(Banco!$F:$F,ROW())="","",INDEX(Banco!$F:$F,ROW()))</f>
        <v/>
      </c>
      <c r="G778" s="10">
        <f>IF(INDEX(Banco!$G:$G,ROW())="","",INDEX(Banco!$G:$G,ROW()))</f>
        <v/>
      </c>
      <c r="H778" s="8">
        <f>IF(INDEX(Banco!$H:$H,ROW())="","",INDEX(Banco!$H:$H,ROW()))</f>
        <v/>
      </c>
      <c r="I778">
        <f>IF($T778="","",INT($T778/12)&amp;"a "&amp;MOD($T778,12)&amp;"m")</f>
        <v/>
      </c>
      <c r="J778" s="11">
        <f>IF(OR($F778="",$G778=""),"",ROUND($F778/($G778/100)^2,2))</f>
        <v/>
      </c>
      <c r="K778" s="12">
        <f>IF(OR($S778="",$J778="",$T778="",$T778&lt;0,$T778&gt;228,$Y778=""),"—",ROUND(IF(ABS($AB778)&lt;=3,$AB778,IF($AB778&gt;3,3+($J778-$AD778)/($AD778-$AC778),-3+($J778-$AF778)/($AE778-$AF778))),2))</f>
        <v/>
      </c>
      <c r="L778">
        <f>IF(OR($K778="",$K778="—"),"",IF($T778&lt;=60,IF($K778&lt;-3,"Magreza acentuada",IF($K778&lt;-2,"Magreza",IF($K778&lt;=1,"Eutrofia",IF($K778&lt;=2,"Risco de sobrepeso",IF($K778&lt;=3,"Sobrepeso","Obesidade"))))),IF($K778&lt;-3,"Magreza acentuada",IF($K778&lt;-2,"Magreza",IF($K778&lt;=1,"Eutrofia",IF($K778&lt;=2,"Sobrepeso",IF($K778&lt;=3,"Obesidade","Obesidade grave")))))))</f>
        <v/>
      </c>
      <c r="M778" s="12">
        <f>IF(OR($S778="",$V778="",$T778="",$T778&lt;0,$T778&gt;228,$AG778=""),"—",ROUND(IF($AG778=0,LN($V778/$AH778)/$AI778,((($V778/$AH778)^$AG778)-1)/($AG778*$AI778)),2))</f>
        <v/>
      </c>
      <c r="N778">
        <f>IF(OR($M778="",$M778="—"),"",IF($M778&lt;-3,"Muito baixa",IF($M778&lt;-2,"Baixa","Adequada")))</f>
        <v/>
      </c>
      <c r="O778" s="12">
        <f>IF(OR($S778="",$F778="",$T778="",$T778&lt;0,$T778&gt;120,$AJ778=""),"—",ROUND(IF(ABS($AM778)&lt;=3,$AM778,IF($AM778&gt;3,3+($F778-$AO778)/($AO778-$AN778),-3+($F778-$AQ778)/($AP778-$AQ778))),2))</f>
        <v/>
      </c>
      <c r="P778">
        <f>IF(OR($O778="",$O778="—"),"",IF($O778&lt;-3,"Muito baixo",IF($O778&lt;-2,"Baixo",IF($O778&lt;=2,"Adequado","Elevado"))))</f>
        <v/>
      </c>
      <c r="Q778" s="12">
        <f>IF(OR($S778="",$F778="",$T778="",$T778&lt;0,$T778&gt;60,$AR778=""),"—",ROUND(IF(ABS($AU778)&lt;=3,$AU778,IF($AU778&gt;3,3+($F778-$AW778)/($AW778-$AV778),-3+($F778-$AY778)/($AX778-$AY778))),2))</f>
        <v/>
      </c>
      <c r="R778">
        <f>IF(OR($Q778="",$Q778="—"),"",IF($Q778&lt;-3,"Magreza acentuada",IF($Q778&lt;-2,"Magreza",IF($Q778&lt;=1,"Eutrofia",IF($Q778&lt;=2,"Risco de sobrepeso",IF($Q778&lt;=3,"Sobrepeso","Obesidade"))))))</f>
        <v/>
      </c>
      <c r="S778">
        <f>IF($C778="","",IF(UPPER(LEFT($C778,1))="M",1,IF(UPPER(LEFT($C778,1))="F",2,"")))</f>
        <v/>
      </c>
      <c r="T778">
        <f>IF(OR($D778="",$E778=""),"",DATEDIF($D778,$E778,"m"))</f>
        <v/>
      </c>
      <c r="U778">
        <f>IF(OR($D778="",$E778=""),"",$E778-$D778)</f>
        <v/>
      </c>
      <c r="V778">
        <f>IF(OR($G778="",$T778=""),"",IF($T778&lt;24,IF(LEFT(LOWER($H778),4)="em p",$G778+0.7,$G778),IF(LEFT(LOWER($H778),4)="deit",$G778-0.7,$G778)))</f>
        <v/>
      </c>
      <c r="W778">
        <f>IF(OR($S778="",$T778=""),"",$S778*1000000+IF($T778&lt;=60,$U778,$T778))</f>
        <v/>
      </c>
      <c r="X778">
        <f>IF(OR($S778="",$V778="",$T778&gt;60,$T778=""),"",$S778*1000000+ROUND($V778*10,0))</f>
        <v/>
      </c>
      <c r="Y778">
        <f>IF($W778="","",IFERROR(INDEX(IF($T778&lt;=60,imc05_l,imc519_l),MATCH($W778,IF($T778&lt;=60,imc05_k,imc519_k),1)),""))</f>
        <v/>
      </c>
      <c r="Z778">
        <f>IF($W778="","",IFERROR(INDEX(IF($T778&lt;=60,imc05_m,imc519_m),MATCH($W778,IF($T778&lt;=60,imc05_k,imc519_k),1)),""))</f>
        <v/>
      </c>
      <c r="AA778">
        <f>IF($W778="","",IFERROR(INDEX(IF($T778&lt;=60,imc05_s,imc519_s),MATCH($W778,IF($T778&lt;=60,imc05_k,imc519_k),1)),""))</f>
        <v/>
      </c>
      <c r="AB778">
        <f>IF($Y778="","",IF($Y778=0,LN($J778/$Z778)/$AA778,((($J778/$Z778)^$Y778)-1)/($Y778*$AA778)))</f>
        <v/>
      </c>
      <c r="AC778">
        <f>IF($Y778="","",IF($Y778=0,$Z778*EXP($AA778*2),$Z778*(1+$Y778*$AA778*2)^(1/$Y778)))</f>
        <v/>
      </c>
      <c r="AD778">
        <f>IF($Y778="","",IF($Y778=0,$Z778*EXP($AA778*3),$Z778*(1+$Y778*$AA778*3)^(1/$Y778)))</f>
        <v/>
      </c>
      <c r="AE778">
        <f>IF($Y778="","",IF($Y778=0,$Z778*EXP($AA778*-2),$Z778*(1+$Y778*$AA778*-2)^(1/$Y778)))</f>
        <v/>
      </c>
      <c r="AF778">
        <f>IF($Y778="","",IF($Y778=0,$Z778*EXP($AA778*-3),$Z778*(1+$Y778*$AA778*-3)^(1/$Y778)))</f>
        <v/>
      </c>
      <c r="AG778">
        <f>IF($W778="","",IFERROR(INDEX(IF($T778&lt;=60,est05_l,est519_l),MATCH($W778,IF($T778&lt;=60,est05_k,est519_k),1)),""))</f>
        <v/>
      </c>
      <c r="AH778">
        <f>IF($W778="","",IFERROR(INDEX(IF($T778&lt;=60,est05_m,est519_m),MATCH($W778,IF($T778&lt;=60,est05_k,est519_k),1)),""))</f>
        <v/>
      </c>
      <c r="AI778">
        <f>IF($W778="","",IFERROR(INDEX(IF($T778&lt;=60,est05_s,est519_s),MATCH($W778,IF($T778&lt;=60,est05_k,est519_k),1)),""))</f>
        <v/>
      </c>
      <c r="AJ778">
        <f>IF($W778="","",IFERROR(INDEX(IF($T778&lt;=60,peso05_l,peso510_l),MATCH($W778,IF($T778&lt;=60,peso05_k,peso510_k),1)),""))</f>
        <v/>
      </c>
      <c r="AK778">
        <f>IF($W778="","",IFERROR(INDEX(IF($T778&lt;=60,peso05_m,peso510_m),MATCH($W778,IF($T778&lt;=60,peso05_k,peso510_k),1)),""))</f>
        <v/>
      </c>
      <c r="AL778">
        <f>IF($W778="","",IFERROR(INDEX(IF($T778&lt;=60,peso05_s,peso510_s),MATCH($W778,IF($T778&lt;=60,peso05_k,peso510_k),1)),""))</f>
        <v/>
      </c>
      <c r="AM778">
        <f>IF($AJ778="","",IF($AJ778=0,LN($F778/$AK778)/$AL778,((($F778/$AK778)^$AJ778)-1)/($AJ778*$AL778)))</f>
        <v/>
      </c>
      <c r="AN778">
        <f>IF($AJ778="","",IF($AJ778=0,$AK778*EXP($AL778*2),$AK778*(1+$AJ778*$AL778*2)^(1/$AJ778)))</f>
        <v/>
      </c>
      <c r="AO778">
        <f>IF($AJ778="","",IF($AJ778=0,$AK778*EXP($AL778*3),$AK778*(1+$AJ778*$AL778*3)^(1/$AJ778)))</f>
        <v/>
      </c>
      <c r="AP778">
        <f>IF($AJ778="","",IF($AJ778=0,$AK778*EXP($AL778*-2),$AK778*(1+$AJ778*$AL778*-2)^(1/$AJ778)))</f>
        <v/>
      </c>
      <c r="AQ778">
        <f>IF($AJ778="","",IF($AJ778=0,$AK778*EXP($AL778*-3),$AK778*(1+$AJ778*$AL778*-3)^(1/$AJ778)))</f>
        <v/>
      </c>
      <c r="AR778">
        <f>IF(OR($X778="",$T778&gt;60),"",IFERROR(INDEX(IF($T778&lt;24,pcomp_l,palt_l),MATCH($X778,IF($T778&lt;24,pcomp_k,palt_k),1)),""))</f>
        <v/>
      </c>
      <c r="AS778">
        <f>IF(OR($X778="",$T778&gt;60),"",IFERROR(INDEX(IF($T778&lt;24,pcomp_m,palt_m),MATCH($X778,IF($T778&lt;24,pcomp_k,palt_k),1)),""))</f>
        <v/>
      </c>
      <c r="AT778">
        <f>IF(OR($X778="",$T778&gt;60),"",IFERROR(INDEX(IF($T778&lt;24,pcomp_s,palt_s),MATCH($X778,IF($T778&lt;24,pcomp_k,palt_k),1)),""))</f>
        <v/>
      </c>
      <c r="AU778">
        <f>IF($AR778="","",IF($AR778=0,LN($F778/$AS778)/$AT778,((($F778/$AS778)^$AR778)-1)/($AR778*$AT778)))</f>
        <v/>
      </c>
      <c r="AV778">
        <f>IF($AR778="","",IF($AR778=0,$AS778*EXP($AT778*2),$AS778*(1+$AR778*$AT778*2)^(1/$AR778)))</f>
        <v/>
      </c>
      <c r="AW778">
        <f>IF($AR778="","",IF($AR778=0,$AS778*EXP($AT778*3),$AS778*(1+$AR778*$AT778*3)^(1/$AR778)))</f>
        <v/>
      </c>
      <c r="AX778">
        <f>IF($AR778="","",IF($AR778=0,$AS778*EXP($AT778*-2),$AS778*(1+$AR778*$AT778*-2)^(1/$AR778)))</f>
        <v/>
      </c>
      <c r="AY778">
        <f>IF($AR778="","",IF($AR778=0,$AS778*EXP($AT778*-3),$AS778*(1+$AR778*$AT778*-3)^(1/$AR778)))</f>
        <v/>
      </c>
      <c r="AZ778">
        <f>IF(OR($A778="",$A778&lt;&gt;Ficha!$C$4),"",COUNTIF($A$2:$A778,Ficha!$C$4))</f>
        <v/>
      </c>
    </row>
    <row r="779">
      <c r="A779" s="8">
        <f>IF(INDEX(Banco!$A:$A,ROW())="","",INDEX(Banco!$A:$A,ROW()))</f>
        <v/>
      </c>
      <c r="B779" s="8">
        <f>IF(INDEX(Banco!$B:$B,ROW())="","",INDEX(Banco!$B:$B,ROW()))</f>
        <v/>
      </c>
      <c r="C779" s="8">
        <f>IF(INDEX(Banco!$C:$C,ROW())="","",INDEX(Banco!$C:$C,ROW()))</f>
        <v/>
      </c>
      <c r="D779" s="9">
        <f>IF(INDEX(Banco!$D:$D,ROW())="","",INDEX(Banco!$D:$D,ROW()))</f>
        <v/>
      </c>
      <c r="E779" s="9">
        <f>IF(INDEX(Banco!$E:$E,ROW())="","",INDEX(Banco!$E:$E,ROW()))</f>
        <v/>
      </c>
      <c r="F779" s="10">
        <f>IF(INDEX(Banco!$F:$F,ROW())="","",INDEX(Banco!$F:$F,ROW()))</f>
        <v/>
      </c>
      <c r="G779" s="10">
        <f>IF(INDEX(Banco!$G:$G,ROW())="","",INDEX(Banco!$G:$G,ROW()))</f>
        <v/>
      </c>
      <c r="H779" s="8">
        <f>IF(INDEX(Banco!$H:$H,ROW())="","",INDEX(Banco!$H:$H,ROW()))</f>
        <v/>
      </c>
      <c r="I779">
        <f>IF($T779="","",INT($T779/12)&amp;"a "&amp;MOD($T779,12)&amp;"m")</f>
        <v/>
      </c>
      <c r="J779" s="11">
        <f>IF(OR($F779="",$G779=""),"",ROUND($F779/($G779/100)^2,2))</f>
        <v/>
      </c>
      <c r="K779" s="12">
        <f>IF(OR($S779="",$J779="",$T779="",$T779&lt;0,$T779&gt;228,$Y779=""),"—",ROUND(IF(ABS($AB779)&lt;=3,$AB779,IF($AB779&gt;3,3+($J779-$AD779)/($AD779-$AC779),-3+($J779-$AF779)/($AE779-$AF779))),2))</f>
        <v/>
      </c>
      <c r="L779">
        <f>IF(OR($K779="",$K779="—"),"",IF($T779&lt;=60,IF($K779&lt;-3,"Magreza acentuada",IF($K779&lt;-2,"Magreza",IF($K779&lt;=1,"Eutrofia",IF($K779&lt;=2,"Risco de sobrepeso",IF($K779&lt;=3,"Sobrepeso","Obesidade"))))),IF($K779&lt;-3,"Magreza acentuada",IF($K779&lt;-2,"Magreza",IF($K779&lt;=1,"Eutrofia",IF($K779&lt;=2,"Sobrepeso",IF($K779&lt;=3,"Obesidade","Obesidade grave")))))))</f>
        <v/>
      </c>
      <c r="M779" s="12">
        <f>IF(OR($S779="",$V779="",$T779="",$T779&lt;0,$T779&gt;228,$AG779=""),"—",ROUND(IF($AG779=0,LN($V779/$AH779)/$AI779,((($V779/$AH779)^$AG779)-1)/($AG779*$AI779)),2))</f>
        <v/>
      </c>
      <c r="N779">
        <f>IF(OR($M779="",$M779="—"),"",IF($M779&lt;-3,"Muito baixa",IF($M779&lt;-2,"Baixa","Adequada")))</f>
        <v/>
      </c>
      <c r="O779" s="12">
        <f>IF(OR($S779="",$F779="",$T779="",$T779&lt;0,$T779&gt;120,$AJ779=""),"—",ROUND(IF(ABS($AM779)&lt;=3,$AM779,IF($AM779&gt;3,3+($F779-$AO779)/($AO779-$AN779),-3+($F779-$AQ779)/($AP779-$AQ779))),2))</f>
        <v/>
      </c>
      <c r="P779">
        <f>IF(OR($O779="",$O779="—"),"",IF($O779&lt;-3,"Muito baixo",IF($O779&lt;-2,"Baixo",IF($O779&lt;=2,"Adequado","Elevado"))))</f>
        <v/>
      </c>
      <c r="Q779" s="12">
        <f>IF(OR($S779="",$F779="",$T779="",$T779&lt;0,$T779&gt;60,$AR779=""),"—",ROUND(IF(ABS($AU779)&lt;=3,$AU779,IF($AU779&gt;3,3+($F779-$AW779)/($AW779-$AV779),-3+($F779-$AY779)/($AX779-$AY779))),2))</f>
        <v/>
      </c>
      <c r="R779">
        <f>IF(OR($Q779="",$Q779="—"),"",IF($Q779&lt;-3,"Magreza acentuada",IF($Q779&lt;-2,"Magreza",IF($Q779&lt;=1,"Eutrofia",IF($Q779&lt;=2,"Risco de sobrepeso",IF($Q779&lt;=3,"Sobrepeso","Obesidade"))))))</f>
        <v/>
      </c>
      <c r="S779">
        <f>IF($C779="","",IF(UPPER(LEFT($C779,1))="M",1,IF(UPPER(LEFT($C779,1))="F",2,"")))</f>
        <v/>
      </c>
      <c r="T779">
        <f>IF(OR($D779="",$E779=""),"",DATEDIF($D779,$E779,"m"))</f>
        <v/>
      </c>
      <c r="U779">
        <f>IF(OR($D779="",$E779=""),"",$E779-$D779)</f>
        <v/>
      </c>
      <c r="V779">
        <f>IF(OR($G779="",$T779=""),"",IF($T779&lt;24,IF(LEFT(LOWER($H779),4)="em p",$G779+0.7,$G779),IF(LEFT(LOWER($H779),4)="deit",$G779-0.7,$G779)))</f>
        <v/>
      </c>
      <c r="W779">
        <f>IF(OR($S779="",$T779=""),"",$S779*1000000+IF($T779&lt;=60,$U779,$T779))</f>
        <v/>
      </c>
      <c r="X779">
        <f>IF(OR($S779="",$V779="",$T779&gt;60,$T779=""),"",$S779*1000000+ROUND($V779*10,0))</f>
        <v/>
      </c>
      <c r="Y779">
        <f>IF($W779="","",IFERROR(INDEX(IF($T779&lt;=60,imc05_l,imc519_l),MATCH($W779,IF($T779&lt;=60,imc05_k,imc519_k),1)),""))</f>
        <v/>
      </c>
      <c r="Z779">
        <f>IF($W779="","",IFERROR(INDEX(IF($T779&lt;=60,imc05_m,imc519_m),MATCH($W779,IF($T779&lt;=60,imc05_k,imc519_k),1)),""))</f>
        <v/>
      </c>
      <c r="AA779">
        <f>IF($W779="","",IFERROR(INDEX(IF($T779&lt;=60,imc05_s,imc519_s),MATCH($W779,IF($T779&lt;=60,imc05_k,imc519_k),1)),""))</f>
        <v/>
      </c>
      <c r="AB779">
        <f>IF($Y779="","",IF($Y779=0,LN($J779/$Z779)/$AA779,((($J779/$Z779)^$Y779)-1)/($Y779*$AA779)))</f>
        <v/>
      </c>
      <c r="AC779">
        <f>IF($Y779="","",IF($Y779=0,$Z779*EXP($AA779*2),$Z779*(1+$Y779*$AA779*2)^(1/$Y779)))</f>
        <v/>
      </c>
      <c r="AD779">
        <f>IF($Y779="","",IF($Y779=0,$Z779*EXP($AA779*3),$Z779*(1+$Y779*$AA779*3)^(1/$Y779)))</f>
        <v/>
      </c>
      <c r="AE779">
        <f>IF($Y779="","",IF($Y779=0,$Z779*EXP($AA779*-2),$Z779*(1+$Y779*$AA779*-2)^(1/$Y779)))</f>
        <v/>
      </c>
      <c r="AF779">
        <f>IF($Y779="","",IF($Y779=0,$Z779*EXP($AA779*-3),$Z779*(1+$Y779*$AA779*-3)^(1/$Y779)))</f>
        <v/>
      </c>
      <c r="AG779">
        <f>IF($W779="","",IFERROR(INDEX(IF($T779&lt;=60,est05_l,est519_l),MATCH($W779,IF($T779&lt;=60,est05_k,est519_k),1)),""))</f>
        <v/>
      </c>
      <c r="AH779">
        <f>IF($W779="","",IFERROR(INDEX(IF($T779&lt;=60,est05_m,est519_m),MATCH($W779,IF($T779&lt;=60,est05_k,est519_k),1)),""))</f>
        <v/>
      </c>
      <c r="AI779">
        <f>IF($W779="","",IFERROR(INDEX(IF($T779&lt;=60,est05_s,est519_s),MATCH($W779,IF($T779&lt;=60,est05_k,est519_k),1)),""))</f>
        <v/>
      </c>
      <c r="AJ779">
        <f>IF($W779="","",IFERROR(INDEX(IF($T779&lt;=60,peso05_l,peso510_l),MATCH($W779,IF($T779&lt;=60,peso05_k,peso510_k),1)),""))</f>
        <v/>
      </c>
      <c r="AK779">
        <f>IF($W779="","",IFERROR(INDEX(IF($T779&lt;=60,peso05_m,peso510_m),MATCH($W779,IF($T779&lt;=60,peso05_k,peso510_k),1)),""))</f>
        <v/>
      </c>
      <c r="AL779">
        <f>IF($W779="","",IFERROR(INDEX(IF($T779&lt;=60,peso05_s,peso510_s),MATCH($W779,IF($T779&lt;=60,peso05_k,peso510_k),1)),""))</f>
        <v/>
      </c>
      <c r="AM779">
        <f>IF($AJ779="","",IF($AJ779=0,LN($F779/$AK779)/$AL779,((($F779/$AK779)^$AJ779)-1)/($AJ779*$AL779)))</f>
        <v/>
      </c>
      <c r="AN779">
        <f>IF($AJ779="","",IF($AJ779=0,$AK779*EXP($AL779*2),$AK779*(1+$AJ779*$AL779*2)^(1/$AJ779)))</f>
        <v/>
      </c>
      <c r="AO779">
        <f>IF($AJ779="","",IF($AJ779=0,$AK779*EXP($AL779*3),$AK779*(1+$AJ779*$AL779*3)^(1/$AJ779)))</f>
        <v/>
      </c>
      <c r="AP779">
        <f>IF($AJ779="","",IF($AJ779=0,$AK779*EXP($AL779*-2),$AK779*(1+$AJ779*$AL779*-2)^(1/$AJ779)))</f>
        <v/>
      </c>
      <c r="AQ779">
        <f>IF($AJ779="","",IF($AJ779=0,$AK779*EXP($AL779*-3),$AK779*(1+$AJ779*$AL779*-3)^(1/$AJ779)))</f>
        <v/>
      </c>
      <c r="AR779">
        <f>IF(OR($X779="",$T779&gt;60),"",IFERROR(INDEX(IF($T779&lt;24,pcomp_l,palt_l),MATCH($X779,IF($T779&lt;24,pcomp_k,palt_k),1)),""))</f>
        <v/>
      </c>
      <c r="AS779">
        <f>IF(OR($X779="",$T779&gt;60),"",IFERROR(INDEX(IF($T779&lt;24,pcomp_m,palt_m),MATCH($X779,IF($T779&lt;24,pcomp_k,palt_k),1)),""))</f>
        <v/>
      </c>
      <c r="AT779">
        <f>IF(OR($X779="",$T779&gt;60),"",IFERROR(INDEX(IF($T779&lt;24,pcomp_s,palt_s),MATCH($X779,IF($T779&lt;24,pcomp_k,palt_k),1)),""))</f>
        <v/>
      </c>
      <c r="AU779">
        <f>IF($AR779="","",IF($AR779=0,LN($F779/$AS779)/$AT779,((($F779/$AS779)^$AR779)-1)/($AR779*$AT779)))</f>
        <v/>
      </c>
      <c r="AV779">
        <f>IF($AR779="","",IF($AR779=0,$AS779*EXP($AT779*2),$AS779*(1+$AR779*$AT779*2)^(1/$AR779)))</f>
        <v/>
      </c>
      <c r="AW779">
        <f>IF($AR779="","",IF($AR779=0,$AS779*EXP($AT779*3),$AS779*(1+$AR779*$AT779*3)^(1/$AR779)))</f>
        <v/>
      </c>
      <c r="AX779">
        <f>IF($AR779="","",IF($AR779=0,$AS779*EXP($AT779*-2),$AS779*(1+$AR779*$AT779*-2)^(1/$AR779)))</f>
        <v/>
      </c>
      <c r="AY779">
        <f>IF($AR779="","",IF($AR779=0,$AS779*EXP($AT779*-3),$AS779*(1+$AR779*$AT779*-3)^(1/$AR779)))</f>
        <v/>
      </c>
      <c r="AZ779">
        <f>IF(OR($A779="",$A779&lt;&gt;Ficha!$C$4),"",COUNTIF($A$2:$A779,Ficha!$C$4))</f>
        <v/>
      </c>
    </row>
    <row r="780">
      <c r="A780" s="8">
        <f>IF(INDEX(Banco!$A:$A,ROW())="","",INDEX(Banco!$A:$A,ROW()))</f>
        <v/>
      </c>
      <c r="B780" s="8">
        <f>IF(INDEX(Banco!$B:$B,ROW())="","",INDEX(Banco!$B:$B,ROW()))</f>
        <v/>
      </c>
      <c r="C780" s="8">
        <f>IF(INDEX(Banco!$C:$C,ROW())="","",INDEX(Banco!$C:$C,ROW()))</f>
        <v/>
      </c>
      <c r="D780" s="9">
        <f>IF(INDEX(Banco!$D:$D,ROW())="","",INDEX(Banco!$D:$D,ROW()))</f>
        <v/>
      </c>
      <c r="E780" s="9">
        <f>IF(INDEX(Banco!$E:$E,ROW())="","",INDEX(Banco!$E:$E,ROW()))</f>
        <v/>
      </c>
      <c r="F780" s="10">
        <f>IF(INDEX(Banco!$F:$F,ROW())="","",INDEX(Banco!$F:$F,ROW()))</f>
        <v/>
      </c>
      <c r="G780" s="10">
        <f>IF(INDEX(Banco!$G:$G,ROW())="","",INDEX(Banco!$G:$G,ROW()))</f>
        <v/>
      </c>
      <c r="H780" s="8">
        <f>IF(INDEX(Banco!$H:$H,ROW())="","",INDEX(Banco!$H:$H,ROW()))</f>
        <v/>
      </c>
      <c r="I780">
        <f>IF($T780="","",INT($T780/12)&amp;"a "&amp;MOD($T780,12)&amp;"m")</f>
        <v/>
      </c>
      <c r="J780" s="11">
        <f>IF(OR($F780="",$G780=""),"",ROUND($F780/($G780/100)^2,2))</f>
        <v/>
      </c>
      <c r="K780" s="12">
        <f>IF(OR($S780="",$J780="",$T780="",$T780&lt;0,$T780&gt;228,$Y780=""),"—",ROUND(IF(ABS($AB780)&lt;=3,$AB780,IF($AB780&gt;3,3+($J780-$AD780)/($AD780-$AC780),-3+($J780-$AF780)/($AE780-$AF780))),2))</f>
        <v/>
      </c>
      <c r="L780">
        <f>IF(OR($K780="",$K780="—"),"",IF($T780&lt;=60,IF($K780&lt;-3,"Magreza acentuada",IF($K780&lt;-2,"Magreza",IF($K780&lt;=1,"Eutrofia",IF($K780&lt;=2,"Risco de sobrepeso",IF($K780&lt;=3,"Sobrepeso","Obesidade"))))),IF($K780&lt;-3,"Magreza acentuada",IF($K780&lt;-2,"Magreza",IF($K780&lt;=1,"Eutrofia",IF($K780&lt;=2,"Sobrepeso",IF($K780&lt;=3,"Obesidade","Obesidade grave")))))))</f>
        <v/>
      </c>
      <c r="M780" s="12">
        <f>IF(OR($S780="",$V780="",$T780="",$T780&lt;0,$T780&gt;228,$AG780=""),"—",ROUND(IF($AG780=0,LN($V780/$AH780)/$AI780,((($V780/$AH780)^$AG780)-1)/($AG780*$AI780)),2))</f>
        <v/>
      </c>
      <c r="N780">
        <f>IF(OR($M780="",$M780="—"),"",IF($M780&lt;-3,"Muito baixa",IF($M780&lt;-2,"Baixa","Adequada")))</f>
        <v/>
      </c>
      <c r="O780" s="12">
        <f>IF(OR($S780="",$F780="",$T780="",$T780&lt;0,$T780&gt;120,$AJ780=""),"—",ROUND(IF(ABS($AM780)&lt;=3,$AM780,IF($AM780&gt;3,3+($F780-$AO780)/($AO780-$AN780),-3+($F780-$AQ780)/($AP780-$AQ780))),2))</f>
        <v/>
      </c>
      <c r="P780">
        <f>IF(OR($O780="",$O780="—"),"",IF($O780&lt;-3,"Muito baixo",IF($O780&lt;-2,"Baixo",IF($O780&lt;=2,"Adequado","Elevado"))))</f>
        <v/>
      </c>
      <c r="Q780" s="12">
        <f>IF(OR($S780="",$F780="",$T780="",$T780&lt;0,$T780&gt;60,$AR780=""),"—",ROUND(IF(ABS($AU780)&lt;=3,$AU780,IF($AU780&gt;3,3+($F780-$AW780)/($AW780-$AV780),-3+($F780-$AY780)/($AX780-$AY780))),2))</f>
        <v/>
      </c>
      <c r="R780">
        <f>IF(OR($Q780="",$Q780="—"),"",IF($Q780&lt;-3,"Magreza acentuada",IF($Q780&lt;-2,"Magreza",IF($Q780&lt;=1,"Eutrofia",IF($Q780&lt;=2,"Risco de sobrepeso",IF($Q780&lt;=3,"Sobrepeso","Obesidade"))))))</f>
        <v/>
      </c>
      <c r="S780">
        <f>IF($C780="","",IF(UPPER(LEFT($C780,1))="M",1,IF(UPPER(LEFT($C780,1))="F",2,"")))</f>
        <v/>
      </c>
      <c r="T780">
        <f>IF(OR($D780="",$E780=""),"",DATEDIF($D780,$E780,"m"))</f>
        <v/>
      </c>
      <c r="U780">
        <f>IF(OR($D780="",$E780=""),"",$E780-$D780)</f>
        <v/>
      </c>
      <c r="V780">
        <f>IF(OR($G780="",$T780=""),"",IF($T780&lt;24,IF(LEFT(LOWER($H780),4)="em p",$G780+0.7,$G780),IF(LEFT(LOWER($H780),4)="deit",$G780-0.7,$G780)))</f>
        <v/>
      </c>
      <c r="W780">
        <f>IF(OR($S780="",$T780=""),"",$S780*1000000+IF($T780&lt;=60,$U780,$T780))</f>
        <v/>
      </c>
      <c r="X780">
        <f>IF(OR($S780="",$V780="",$T780&gt;60,$T780=""),"",$S780*1000000+ROUND($V780*10,0))</f>
        <v/>
      </c>
      <c r="Y780">
        <f>IF($W780="","",IFERROR(INDEX(IF($T780&lt;=60,imc05_l,imc519_l),MATCH($W780,IF($T780&lt;=60,imc05_k,imc519_k),1)),""))</f>
        <v/>
      </c>
      <c r="Z780">
        <f>IF($W780="","",IFERROR(INDEX(IF($T780&lt;=60,imc05_m,imc519_m),MATCH($W780,IF($T780&lt;=60,imc05_k,imc519_k),1)),""))</f>
        <v/>
      </c>
      <c r="AA780">
        <f>IF($W780="","",IFERROR(INDEX(IF($T780&lt;=60,imc05_s,imc519_s),MATCH($W780,IF($T780&lt;=60,imc05_k,imc519_k),1)),""))</f>
        <v/>
      </c>
      <c r="AB780">
        <f>IF($Y780="","",IF($Y780=0,LN($J780/$Z780)/$AA780,((($J780/$Z780)^$Y780)-1)/($Y780*$AA780)))</f>
        <v/>
      </c>
      <c r="AC780">
        <f>IF($Y780="","",IF($Y780=0,$Z780*EXP($AA780*2),$Z780*(1+$Y780*$AA780*2)^(1/$Y780)))</f>
        <v/>
      </c>
      <c r="AD780">
        <f>IF($Y780="","",IF($Y780=0,$Z780*EXP($AA780*3),$Z780*(1+$Y780*$AA780*3)^(1/$Y780)))</f>
        <v/>
      </c>
      <c r="AE780">
        <f>IF($Y780="","",IF($Y780=0,$Z780*EXP($AA780*-2),$Z780*(1+$Y780*$AA780*-2)^(1/$Y780)))</f>
        <v/>
      </c>
      <c r="AF780">
        <f>IF($Y780="","",IF($Y780=0,$Z780*EXP($AA780*-3),$Z780*(1+$Y780*$AA780*-3)^(1/$Y780)))</f>
        <v/>
      </c>
      <c r="AG780">
        <f>IF($W780="","",IFERROR(INDEX(IF($T780&lt;=60,est05_l,est519_l),MATCH($W780,IF($T780&lt;=60,est05_k,est519_k),1)),""))</f>
        <v/>
      </c>
      <c r="AH780">
        <f>IF($W780="","",IFERROR(INDEX(IF($T780&lt;=60,est05_m,est519_m),MATCH($W780,IF($T780&lt;=60,est05_k,est519_k),1)),""))</f>
        <v/>
      </c>
      <c r="AI780">
        <f>IF($W780="","",IFERROR(INDEX(IF($T780&lt;=60,est05_s,est519_s),MATCH($W780,IF($T780&lt;=60,est05_k,est519_k),1)),""))</f>
        <v/>
      </c>
      <c r="AJ780">
        <f>IF($W780="","",IFERROR(INDEX(IF($T780&lt;=60,peso05_l,peso510_l),MATCH($W780,IF($T780&lt;=60,peso05_k,peso510_k),1)),""))</f>
        <v/>
      </c>
      <c r="AK780">
        <f>IF($W780="","",IFERROR(INDEX(IF($T780&lt;=60,peso05_m,peso510_m),MATCH($W780,IF($T780&lt;=60,peso05_k,peso510_k),1)),""))</f>
        <v/>
      </c>
      <c r="AL780">
        <f>IF($W780="","",IFERROR(INDEX(IF($T780&lt;=60,peso05_s,peso510_s),MATCH($W780,IF($T780&lt;=60,peso05_k,peso510_k),1)),""))</f>
        <v/>
      </c>
      <c r="AM780">
        <f>IF($AJ780="","",IF($AJ780=0,LN($F780/$AK780)/$AL780,((($F780/$AK780)^$AJ780)-1)/($AJ780*$AL780)))</f>
        <v/>
      </c>
      <c r="AN780">
        <f>IF($AJ780="","",IF($AJ780=0,$AK780*EXP($AL780*2),$AK780*(1+$AJ780*$AL780*2)^(1/$AJ780)))</f>
        <v/>
      </c>
      <c r="AO780">
        <f>IF($AJ780="","",IF($AJ780=0,$AK780*EXP($AL780*3),$AK780*(1+$AJ780*$AL780*3)^(1/$AJ780)))</f>
        <v/>
      </c>
      <c r="AP780">
        <f>IF($AJ780="","",IF($AJ780=0,$AK780*EXP($AL780*-2),$AK780*(1+$AJ780*$AL780*-2)^(1/$AJ780)))</f>
        <v/>
      </c>
      <c r="AQ780">
        <f>IF($AJ780="","",IF($AJ780=0,$AK780*EXP($AL780*-3),$AK780*(1+$AJ780*$AL780*-3)^(1/$AJ780)))</f>
        <v/>
      </c>
      <c r="AR780">
        <f>IF(OR($X780="",$T780&gt;60),"",IFERROR(INDEX(IF($T780&lt;24,pcomp_l,palt_l),MATCH($X780,IF($T780&lt;24,pcomp_k,palt_k),1)),""))</f>
        <v/>
      </c>
      <c r="AS780">
        <f>IF(OR($X780="",$T780&gt;60),"",IFERROR(INDEX(IF($T780&lt;24,pcomp_m,palt_m),MATCH($X780,IF($T780&lt;24,pcomp_k,palt_k),1)),""))</f>
        <v/>
      </c>
      <c r="AT780">
        <f>IF(OR($X780="",$T780&gt;60),"",IFERROR(INDEX(IF($T780&lt;24,pcomp_s,palt_s),MATCH($X780,IF($T780&lt;24,pcomp_k,palt_k),1)),""))</f>
        <v/>
      </c>
      <c r="AU780">
        <f>IF($AR780="","",IF($AR780=0,LN($F780/$AS780)/$AT780,((($F780/$AS780)^$AR780)-1)/($AR780*$AT780)))</f>
        <v/>
      </c>
      <c r="AV780">
        <f>IF($AR780="","",IF($AR780=0,$AS780*EXP($AT780*2),$AS780*(1+$AR780*$AT780*2)^(1/$AR780)))</f>
        <v/>
      </c>
      <c r="AW780">
        <f>IF($AR780="","",IF($AR780=0,$AS780*EXP($AT780*3),$AS780*(1+$AR780*$AT780*3)^(1/$AR780)))</f>
        <v/>
      </c>
      <c r="AX780">
        <f>IF($AR780="","",IF($AR780=0,$AS780*EXP($AT780*-2),$AS780*(1+$AR780*$AT780*-2)^(1/$AR780)))</f>
        <v/>
      </c>
      <c r="AY780">
        <f>IF($AR780="","",IF($AR780=0,$AS780*EXP($AT780*-3),$AS780*(1+$AR780*$AT780*-3)^(1/$AR780)))</f>
        <v/>
      </c>
      <c r="AZ780">
        <f>IF(OR($A780="",$A780&lt;&gt;Ficha!$C$4),"",COUNTIF($A$2:$A780,Ficha!$C$4))</f>
        <v/>
      </c>
    </row>
    <row r="781">
      <c r="A781" s="8">
        <f>IF(INDEX(Banco!$A:$A,ROW())="","",INDEX(Banco!$A:$A,ROW()))</f>
        <v/>
      </c>
      <c r="B781" s="8">
        <f>IF(INDEX(Banco!$B:$B,ROW())="","",INDEX(Banco!$B:$B,ROW()))</f>
        <v/>
      </c>
      <c r="C781" s="8">
        <f>IF(INDEX(Banco!$C:$C,ROW())="","",INDEX(Banco!$C:$C,ROW()))</f>
        <v/>
      </c>
      <c r="D781" s="9">
        <f>IF(INDEX(Banco!$D:$D,ROW())="","",INDEX(Banco!$D:$D,ROW()))</f>
        <v/>
      </c>
      <c r="E781" s="9">
        <f>IF(INDEX(Banco!$E:$E,ROW())="","",INDEX(Banco!$E:$E,ROW()))</f>
        <v/>
      </c>
      <c r="F781" s="10">
        <f>IF(INDEX(Banco!$F:$F,ROW())="","",INDEX(Banco!$F:$F,ROW()))</f>
        <v/>
      </c>
      <c r="G781" s="10">
        <f>IF(INDEX(Banco!$G:$G,ROW())="","",INDEX(Banco!$G:$G,ROW()))</f>
        <v/>
      </c>
      <c r="H781" s="8">
        <f>IF(INDEX(Banco!$H:$H,ROW())="","",INDEX(Banco!$H:$H,ROW()))</f>
        <v/>
      </c>
      <c r="I781">
        <f>IF($T781="","",INT($T781/12)&amp;"a "&amp;MOD($T781,12)&amp;"m")</f>
        <v/>
      </c>
      <c r="J781" s="11">
        <f>IF(OR($F781="",$G781=""),"",ROUND($F781/($G781/100)^2,2))</f>
        <v/>
      </c>
      <c r="K781" s="12">
        <f>IF(OR($S781="",$J781="",$T781="",$T781&lt;0,$T781&gt;228,$Y781=""),"—",ROUND(IF(ABS($AB781)&lt;=3,$AB781,IF($AB781&gt;3,3+($J781-$AD781)/($AD781-$AC781),-3+($J781-$AF781)/($AE781-$AF781))),2))</f>
        <v/>
      </c>
      <c r="L781">
        <f>IF(OR($K781="",$K781="—"),"",IF($T781&lt;=60,IF($K781&lt;-3,"Magreza acentuada",IF($K781&lt;-2,"Magreza",IF($K781&lt;=1,"Eutrofia",IF($K781&lt;=2,"Risco de sobrepeso",IF($K781&lt;=3,"Sobrepeso","Obesidade"))))),IF($K781&lt;-3,"Magreza acentuada",IF($K781&lt;-2,"Magreza",IF($K781&lt;=1,"Eutrofia",IF($K781&lt;=2,"Sobrepeso",IF($K781&lt;=3,"Obesidade","Obesidade grave")))))))</f>
        <v/>
      </c>
      <c r="M781" s="12">
        <f>IF(OR($S781="",$V781="",$T781="",$T781&lt;0,$T781&gt;228,$AG781=""),"—",ROUND(IF($AG781=0,LN($V781/$AH781)/$AI781,((($V781/$AH781)^$AG781)-1)/($AG781*$AI781)),2))</f>
        <v/>
      </c>
      <c r="N781">
        <f>IF(OR($M781="",$M781="—"),"",IF($M781&lt;-3,"Muito baixa",IF($M781&lt;-2,"Baixa","Adequada")))</f>
        <v/>
      </c>
      <c r="O781" s="12">
        <f>IF(OR($S781="",$F781="",$T781="",$T781&lt;0,$T781&gt;120,$AJ781=""),"—",ROUND(IF(ABS($AM781)&lt;=3,$AM781,IF($AM781&gt;3,3+($F781-$AO781)/($AO781-$AN781),-3+($F781-$AQ781)/($AP781-$AQ781))),2))</f>
        <v/>
      </c>
      <c r="P781">
        <f>IF(OR($O781="",$O781="—"),"",IF($O781&lt;-3,"Muito baixo",IF($O781&lt;-2,"Baixo",IF($O781&lt;=2,"Adequado","Elevado"))))</f>
        <v/>
      </c>
      <c r="Q781" s="12">
        <f>IF(OR($S781="",$F781="",$T781="",$T781&lt;0,$T781&gt;60,$AR781=""),"—",ROUND(IF(ABS($AU781)&lt;=3,$AU781,IF($AU781&gt;3,3+($F781-$AW781)/($AW781-$AV781),-3+($F781-$AY781)/($AX781-$AY781))),2))</f>
        <v/>
      </c>
      <c r="R781">
        <f>IF(OR($Q781="",$Q781="—"),"",IF($Q781&lt;-3,"Magreza acentuada",IF($Q781&lt;-2,"Magreza",IF($Q781&lt;=1,"Eutrofia",IF($Q781&lt;=2,"Risco de sobrepeso",IF($Q781&lt;=3,"Sobrepeso","Obesidade"))))))</f>
        <v/>
      </c>
      <c r="S781">
        <f>IF($C781="","",IF(UPPER(LEFT($C781,1))="M",1,IF(UPPER(LEFT($C781,1))="F",2,"")))</f>
        <v/>
      </c>
      <c r="T781">
        <f>IF(OR($D781="",$E781=""),"",DATEDIF($D781,$E781,"m"))</f>
        <v/>
      </c>
      <c r="U781">
        <f>IF(OR($D781="",$E781=""),"",$E781-$D781)</f>
        <v/>
      </c>
      <c r="V781">
        <f>IF(OR($G781="",$T781=""),"",IF($T781&lt;24,IF(LEFT(LOWER($H781),4)="em p",$G781+0.7,$G781),IF(LEFT(LOWER($H781),4)="deit",$G781-0.7,$G781)))</f>
        <v/>
      </c>
      <c r="W781">
        <f>IF(OR($S781="",$T781=""),"",$S781*1000000+IF($T781&lt;=60,$U781,$T781))</f>
        <v/>
      </c>
      <c r="X781">
        <f>IF(OR($S781="",$V781="",$T781&gt;60,$T781=""),"",$S781*1000000+ROUND($V781*10,0))</f>
        <v/>
      </c>
      <c r="Y781">
        <f>IF($W781="","",IFERROR(INDEX(IF($T781&lt;=60,imc05_l,imc519_l),MATCH($W781,IF($T781&lt;=60,imc05_k,imc519_k),1)),""))</f>
        <v/>
      </c>
      <c r="Z781">
        <f>IF($W781="","",IFERROR(INDEX(IF($T781&lt;=60,imc05_m,imc519_m),MATCH($W781,IF($T781&lt;=60,imc05_k,imc519_k),1)),""))</f>
        <v/>
      </c>
      <c r="AA781">
        <f>IF($W781="","",IFERROR(INDEX(IF($T781&lt;=60,imc05_s,imc519_s),MATCH($W781,IF($T781&lt;=60,imc05_k,imc519_k),1)),""))</f>
        <v/>
      </c>
      <c r="AB781">
        <f>IF($Y781="","",IF($Y781=0,LN($J781/$Z781)/$AA781,((($J781/$Z781)^$Y781)-1)/($Y781*$AA781)))</f>
        <v/>
      </c>
      <c r="AC781">
        <f>IF($Y781="","",IF($Y781=0,$Z781*EXP($AA781*2),$Z781*(1+$Y781*$AA781*2)^(1/$Y781)))</f>
        <v/>
      </c>
      <c r="AD781">
        <f>IF($Y781="","",IF($Y781=0,$Z781*EXP($AA781*3),$Z781*(1+$Y781*$AA781*3)^(1/$Y781)))</f>
        <v/>
      </c>
      <c r="AE781">
        <f>IF($Y781="","",IF($Y781=0,$Z781*EXP($AA781*-2),$Z781*(1+$Y781*$AA781*-2)^(1/$Y781)))</f>
        <v/>
      </c>
      <c r="AF781">
        <f>IF($Y781="","",IF($Y781=0,$Z781*EXP($AA781*-3),$Z781*(1+$Y781*$AA781*-3)^(1/$Y781)))</f>
        <v/>
      </c>
      <c r="AG781">
        <f>IF($W781="","",IFERROR(INDEX(IF($T781&lt;=60,est05_l,est519_l),MATCH($W781,IF($T781&lt;=60,est05_k,est519_k),1)),""))</f>
        <v/>
      </c>
      <c r="AH781">
        <f>IF($W781="","",IFERROR(INDEX(IF($T781&lt;=60,est05_m,est519_m),MATCH($W781,IF($T781&lt;=60,est05_k,est519_k),1)),""))</f>
        <v/>
      </c>
      <c r="AI781">
        <f>IF($W781="","",IFERROR(INDEX(IF($T781&lt;=60,est05_s,est519_s),MATCH($W781,IF($T781&lt;=60,est05_k,est519_k),1)),""))</f>
        <v/>
      </c>
      <c r="AJ781">
        <f>IF($W781="","",IFERROR(INDEX(IF($T781&lt;=60,peso05_l,peso510_l),MATCH($W781,IF($T781&lt;=60,peso05_k,peso510_k),1)),""))</f>
        <v/>
      </c>
      <c r="AK781">
        <f>IF($W781="","",IFERROR(INDEX(IF($T781&lt;=60,peso05_m,peso510_m),MATCH($W781,IF($T781&lt;=60,peso05_k,peso510_k),1)),""))</f>
        <v/>
      </c>
      <c r="AL781">
        <f>IF($W781="","",IFERROR(INDEX(IF($T781&lt;=60,peso05_s,peso510_s),MATCH($W781,IF($T781&lt;=60,peso05_k,peso510_k),1)),""))</f>
        <v/>
      </c>
      <c r="AM781">
        <f>IF($AJ781="","",IF($AJ781=0,LN($F781/$AK781)/$AL781,((($F781/$AK781)^$AJ781)-1)/($AJ781*$AL781)))</f>
        <v/>
      </c>
      <c r="AN781">
        <f>IF($AJ781="","",IF($AJ781=0,$AK781*EXP($AL781*2),$AK781*(1+$AJ781*$AL781*2)^(1/$AJ781)))</f>
        <v/>
      </c>
      <c r="AO781">
        <f>IF($AJ781="","",IF($AJ781=0,$AK781*EXP($AL781*3),$AK781*(1+$AJ781*$AL781*3)^(1/$AJ781)))</f>
        <v/>
      </c>
      <c r="AP781">
        <f>IF($AJ781="","",IF($AJ781=0,$AK781*EXP($AL781*-2),$AK781*(1+$AJ781*$AL781*-2)^(1/$AJ781)))</f>
        <v/>
      </c>
      <c r="AQ781">
        <f>IF($AJ781="","",IF($AJ781=0,$AK781*EXP($AL781*-3),$AK781*(1+$AJ781*$AL781*-3)^(1/$AJ781)))</f>
        <v/>
      </c>
      <c r="AR781">
        <f>IF(OR($X781="",$T781&gt;60),"",IFERROR(INDEX(IF($T781&lt;24,pcomp_l,palt_l),MATCH($X781,IF($T781&lt;24,pcomp_k,palt_k),1)),""))</f>
        <v/>
      </c>
      <c r="AS781">
        <f>IF(OR($X781="",$T781&gt;60),"",IFERROR(INDEX(IF($T781&lt;24,pcomp_m,palt_m),MATCH($X781,IF($T781&lt;24,pcomp_k,palt_k),1)),""))</f>
        <v/>
      </c>
      <c r="AT781">
        <f>IF(OR($X781="",$T781&gt;60),"",IFERROR(INDEX(IF($T781&lt;24,pcomp_s,palt_s),MATCH($X781,IF($T781&lt;24,pcomp_k,palt_k),1)),""))</f>
        <v/>
      </c>
      <c r="AU781">
        <f>IF($AR781="","",IF($AR781=0,LN($F781/$AS781)/$AT781,((($F781/$AS781)^$AR781)-1)/($AR781*$AT781)))</f>
        <v/>
      </c>
      <c r="AV781">
        <f>IF($AR781="","",IF($AR781=0,$AS781*EXP($AT781*2),$AS781*(1+$AR781*$AT781*2)^(1/$AR781)))</f>
        <v/>
      </c>
      <c r="AW781">
        <f>IF($AR781="","",IF($AR781=0,$AS781*EXP($AT781*3),$AS781*(1+$AR781*$AT781*3)^(1/$AR781)))</f>
        <v/>
      </c>
      <c r="AX781">
        <f>IF($AR781="","",IF($AR781=0,$AS781*EXP($AT781*-2),$AS781*(1+$AR781*$AT781*-2)^(1/$AR781)))</f>
        <v/>
      </c>
      <c r="AY781">
        <f>IF($AR781="","",IF($AR781=0,$AS781*EXP($AT781*-3),$AS781*(1+$AR781*$AT781*-3)^(1/$AR781)))</f>
        <v/>
      </c>
      <c r="AZ781">
        <f>IF(OR($A781="",$A781&lt;&gt;Ficha!$C$4),"",COUNTIF($A$2:$A781,Ficha!$C$4))</f>
        <v/>
      </c>
    </row>
    <row r="782">
      <c r="A782" s="8">
        <f>IF(INDEX(Banco!$A:$A,ROW())="","",INDEX(Banco!$A:$A,ROW()))</f>
        <v/>
      </c>
      <c r="B782" s="8">
        <f>IF(INDEX(Banco!$B:$B,ROW())="","",INDEX(Banco!$B:$B,ROW()))</f>
        <v/>
      </c>
      <c r="C782" s="8">
        <f>IF(INDEX(Banco!$C:$C,ROW())="","",INDEX(Banco!$C:$C,ROW()))</f>
        <v/>
      </c>
      <c r="D782" s="9">
        <f>IF(INDEX(Banco!$D:$D,ROW())="","",INDEX(Banco!$D:$D,ROW()))</f>
        <v/>
      </c>
      <c r="E782" s="9">
        <f>IF(INDEX(Banco!$E:$E,ROW())="","",INDEX(Banco!$E:$E,ROW()))</f>
        <v/>
      </c>
      <c r="F782" s="10">
        <f>IF(INDEX(Banco!$F:$F,ROW())="","",INDEX(Banco!$F:$F,ROW()))</f>
        <v/>
      </c>
      <c r="G782" s="10">
        <f>IF(INDEX(Banco!$G:$G,ROW())="","",INDEX(Banco!$G:$G,ROW()))</f>
        <v/>
      </c>
      <c r="H782" s="8">
        <f>IF(INDEX(Banco!$H:$H,ROW())="","",INDEX(Banco!$H:$H,ROW()))</f>
        <v/>
      </c>
      <c r="I782">
        <f>IF($T782="","",INT($T782/12)&amp;"a "&amp;MOD($T782,12)&amp;"m")</f>
        <v/>
      </c>
      <c r="J782" s="11">
        <f>IF(OR($F782="",$G782=""),"",ROUND($F782/($G782/100)^2,2))</f>
        <v/>
      </c>
      <c r="K782" s="12">
        <f>IF(OR($S782="",$J782="",$T782="",$T782&lt;0,$T782&gt;228,$Y782=""),"—",ROUND(IF(ABS($AB782)&lt;=3,$AB782,IF($AB782&gt;3,3+($J782-$AD782)/($AD782-$AC782),-3+($J782-$AF782)/($AE782-$AF782))),2))</f>
        <v/>
      </c>
      <c r="L782">
        <f>IF(OR($K782="",$K782="—"),"",IF($T782&lt;=60,IF($K782&lt;-3,"Magreza acentuada",IF($K782&lt;-2,"Magreza",IF($K782&lt;=1,"Eutrofia",IF($K782&lt;=2,"Risco de sobrepeso",IF($K782&lt;=3,"Sobrepeso","Obesidade"))))),IF($K782&lt;-3,"Magreza acentuada",IF($K782&lt;-2,"Magreza",IF($K782&lt;=1,"Eutrofia",IF($K782&lt;=2,"Sobrepeso",IF($K782&lt;=3,"Obesidade","Obesidade grave")))))))</f>
        <v/>
      </c>
      <c r="M782" s="12">
        <f>IF(OR($S782="",$V782="",$T782="",$T782&lt;0,$T782&gt;228,$AG782=""),"—",ROUND(IF($AG782=0,LN($V782/$AH782)/$AI782,((($V782/$AH782)^$AG782)-1)/($AG782*$AI782)),2))</f>
        <v/>
      </c>
      <c r="N782">
        <f>IF(OR($M782="",$M782="—"),"",IF($M782&lt;-3,"Muito baixa",IF($M782&lt;-2,"Baixa","Adequada")))</f>
        <v/>
      </c>
      <c r="O782" s="12">
        <f>IF(OR($S782="",$F782="",$T782="",$T782&lt;0,$T782&gt;120,$AJ782=""),"—",ROUND(IF(ABS($AM782)&lt;=3,$AM782,IF($AM782&gt;3,3+($F782-$AO782)/($AO782-$AN782),-3+($F782-$AQ782)/($AP782-$AQ782))),2))</f>
        <v/>
      </c>
      <c r="P782">
        <f>IF(OR($O782="",$O782="—"),"",IF($O782&lt;-3,"Muito baixo",IF($O782&lt;-2,"Baixo",IF($O782&lt;=2,"Adequado","Elevado"))))</f>
        <v/>
      </c>
      <c r="Q782" s="12">
        <f>IF(OR($S782="",$F782="",$T782="",$T782&lt;0,$T782&gt;60,$AR782=""),"—",ROUND(IF(ABS($AU782)&lt;=3,$AU782,IF($AU782&gt;3,3+($F782-$AW782)/($AW782-$AV782),-3+($F782-$AY782)/($AX782-$AY782))),2))</f>
        <v/>
      </c>
      <c r="R782">
        <f>IF(OR($Q782="",$Q782="—"),"",IF($Q782&lt;-3,"Magreza acentuada",IF($Q782&lt;-2,"Magreza",IF($Q782&lt;=1,"Eutrofia",IF($Q782&lt;=2,"Risco de sobrepeso",IF($Q782&lt;=3,"Sobrepeso","Obesidade"))))))</f>
        <v/>
      </c>
      <c r="S782">
        <f>IF($C782="","",IF(UPPER(LEFT($C782,1))="M",1,IF(UPPER(LEFT($C782,1))="F",2,"")))</f>
        <v/>
      </c>
      <c r="T782">
        <f>IF(OR($D782="",$E782=""),"",DATEDIF($D782,$E782,"m"))</f>
        <v/>
      </c>
      <c r="U782">
        <f>IF(OR($D782="",$E782=""),"",$E782-$D782)</f>
        <v/>
      </c>
      <c r="V782">
        <f>IF(OR($G782="",$T782=""),"",IF($T782&lt;24,IF(LEFT(LOWER($H782),4)="em p",$G782+0.7,$G782),IF(LEFT(LOWER($H782),4)="deit",$G782-0.7,$G782)))</f>
        <v/>
      </c>
      <c r="W782">
        <f>IF(OR($S782="",$T782=""),"",$S782*1000000+IF($T782&lt;=60,$U782,$T782))</f>
        <v/>
      </c>
      <c r="X782">
        <f>IF(OR($S782="",$V782="",$T782&gt;60,$T782=""),"",$S782*1000000+ROUND($V782*10,0))</f>
        <v/>
      </c>
      <c r="Y782">
        <f>IF($W782="","",IFERROR(INDEX(IF($T782&lt;=60,imc05_l,imc519_l),MATCH($W782,IF($T782&lt;=60,imc05_k,imc519_k),1)),""))</f>
        <v/>
      </c>
      <c r="Z782">
        <f>IF($W782="","",IFERROR(INDEX(IF($T782&lt;=60,imc05_m,imc519_m),MATCH($W782,IF($T782&lt;=60,imc05_k,imc519_k),1)),""))</f>
        <v/>
      </c>
      <c r="AA782">
        <f>IF($W782="","",IFERROR(INDEX(IF($T782&lt;=60,imc05_s,imc519_s),MATCH($W782,IF($T782&lt;=60,imc05_k,imc519_k),1)),""))</f>
        <v/>
      </c>
      <c r="AB782">
        <f>IF($Y782="","",IF($Y782=0,LN($J782/$Z782)/$AA782,((($J782/$Z782)^$Y782)-1)/($Y782*$AA782)))</f>
        <v/>
      </c>
      <c r="AC782">
        <f>IF($Y782="","",IF($Y782=0,$Z782*EXP($AA782*2),$Z782*(1+$Y782*$AA782*2)^(1/$Y782)))</f>
        <v/>
      </c>
      <c r="AD782">
        <f>IF($Y782="","",IF($Y782=0,$Z782*EXP($AA782*3),$Z782*(1+$Y782*$AA782*3)^(1/$Y782)))</f>
        <v/>
      </c>
      <c r="AE782">
        <f>IF($Y782="","",IF($Y782=0,$Z782*EXP($AA782*-2),$Z782*(1+$Y782*$AA782*-2)^(1/$Y782)))</f>
        <v/>
      </c>
      <c r="AF782">
        <f>IF($Y782="","",IF($Y782=0,$Z782*EXP($AA782*-3),$Z782*(1+$Y782*$AA782*-3)^(1/$Y782)))</f>
        <v/>
      </c>
      <c r="AG782">
        <f>IF($W782="","",IFERROR(INDEX(IF($T782&lt;=60,est05_l,est519_l),MATCH($W782,IF($T782&lt;=60,est05_k,est519_k),1)),""))</f>
        <v/>
      </c>
      <c r="AH782">
        <f>IF($W782="","",IFERROR(INDEX(IF($T782&lt;=60,est05_m,est519_m),MATCH($W782,IF($T782&lt;=60,est05_k,est519_k),1)),""))</f>
        <v/>
      </c>
      <c r="AI782">
        <f>IF($W782="","",IFERROR(INDEX(IF($T782&lt;=60,est05_s,est519_s),MATCH($W782,IF($T782&lt;=60,est05_k,est519_k),1)),""))</f>
        <v/>
      </c>
      <c r="AJ782">
        <f>IF($W782="","",IFERROR(INDEX(IF($T782&lt;=60,peso05_l,peso510_l),MATCH($W782,IF($T782&lt;=60,peso05_k,peso510_k),1)),""))</f>
        <v/>
      </c>
      <c r="AK782">
        <f>IF($W782="","",IFERROR(INDEX(IF($T782&lt;=60,peso05_m,peso510_m),MATCH($W782,IF($T782&lt;=60,peso05_k,peso510_k),1)),""))</f>
        <v/>
      </c>
      <c r="AL782">
        <f>IF($W782="","",IFERROR(INDEX(IF($T782&lt;=60,peso05_s,peso510_s),MATCH($W782,IF($T782&lt;=60,peso05_k,peso510_k),1)),""))</f>
        <v/>
      </c>
      <c r="AM782">
        <f>IF($AJ782="","",IF($AJ782=0,LN($F782/$AK782)/$AL782,((($F782/$AK782)^$AJ782)-1)/($AJ782*$AL782)))</f>
        <v/>
      </c>
      <c r="AN782">
        <f>IF($AJ782="","",IF($AJ782=0,$AK782*EXP($AL782*2),$AK782*(1+$AJ782*$AL782*2)^(1/$AJ782)))</f>
        <v/>
      </c>
      <c r="AO782">
        <f>IF($AJ782="","",IF($AJ782=0,$AK782*EXP($AL782*3),$AK782*(1+$AJ782*$AL782*3)^(1/$AJ782)))</f>
        <v/>
      </c>
      <c r="AP782">
        <f>IF($AJ782="","",IF($AJ782=0,$AK782*EXP($AL782*-2),$AK782*(1+$AJ782*$AL782*-2)^(1/$AJ782)))</f>
        <v/>
      </c>
      <c r="AQ782">
        <f>IF($AJ782="","",IF($AJ782=0,$AK782*EXP($AL782*-3),$AK782*(1+$AJ782*$AL782*-3)^(1/$AJ782)))</f>
        <v/>
      </c>
      <c r="AR782">
        <f>IF(OR($X782="",$T782&gt;60),"",IFERROR(INDEX(IF($T782&lt;24,pcomp_l,palt_l),MATCH($X782,IF($T782&lt;24,pcomp_k,palt_k),1)),""))</f>
        <v/>
      </c>
      <c r="AS782">
        <f>IF(OR($X782="",$T782&gt;60),"",IFERROR(INDEX(IF($T782&lt;24,pcomp_m,palt_m),MATCH($X782,IF($T782&lt;24,pcomp_k,palt_k),1)),""))</f>
        <v/>
      </c>
      <c r="AT782">
        <f>IF(OR($X782="",$T782&gt;60),"",IFERROR(INDEX(IF($T782&lt;24,pcomp_s,palt_s),MATCH($X782,IF($T782&lt;24,pcomp_k,palt_k),1)),""))</f>
        <v/>
      </c>
      <c r="AU782">
        <f>IF($AR782="","",IF($AR782=0,LN($F782/$AS782)/$AT782,((($F782/$AS782)^$AR782)-1)/($AR782*$AT782)))</f>
        <v/>
      </c>
      <c r="AV782">
        <f>IF($AR782="","",IF($AR782=0,$AS782*EXP($AT782*2),$AS782*(1+$AR782*$AT782*2)^(1/$AR782)))</f>
        <v/>
      </c>
      <c r="AW782">
        <f>IF($AR782="","",IF($AR782=0,$AS782*EXP($AT782*3),$AS782*(1+$AR782*$AT782*3)^(1/$AR782)))</f>
        <v/>
      </c>
      <c r="AX782">
        <f>IF($AR782="","",IF($AR782=0,$AS782*EXP($AT782*-2),$AS782*(1+$AR782*$AT782*-2)^(1/$AR782)))</f>
        <v/>
      </c>
      <c r="AY782">
        <f>IF($AR782="","",IF($AR782=0,$AS782*EXP($AT782*-3),$AS782*(1+$AR782*$AT782*-3)^(1/$AR782)))</f>
        <v/>
      </c>
      <c r="AZ782">
        <f>IF(OR($A782="",$A782&lt;&gt;Ficha!$C$4),"",COUNTIF($A$2:$A782,Ficha!$C$4))</f>
        <v/>
      </c>
    </row>
    <row r="783">
      <c r="A783" s="8">
        <f>IF(INDEX(Banco!$A:$A,ROW())="","",INDEX(Banco!$A:$A,ROW()))</f>
        <v/>
      </c>
      <c r="B783" s="8">
        <f>IF(INDEX(Banco!$B:$B,ROW())="","",INDEX(Banco!$B:$B,ROW()))</f>
        <v/>
      </c>
      <c r="C783" s="8">
        <f>IF(INDEX(Banco!$C:$C,ROW())="","",INDEX(Banco!$C:$C,ROW()))</f>
        <v/>
      </c>
      <c r="D783" s="9">
        <f>IF(INDEX(Banco!$D:$D,ROW())="","",INDEX(Banco!$D:$D,ROW()))</f>
        <v/>
      </c>
      <c r="E783" s="9">
        <f>IF(INDEX(Banco!$E:$E,ROW())="","",INDEX(Banco!$E:$E,ROW()))</f>
        <v/>
      </c>
      <c r="F783" s="10">
        <f>IF(INDEX(Banco!$F:$F,ROW())="","",INDEX(Banco!$F:$F,ROW()))</f>
        <v/>
      </c>
      <c r="G783" s="10">
        <f>IF(INDEX(Banco!$G:$G,ROW())="","",INDEX(Banco!$G:$G,ROW()))</f>
        <v/>
      </c>
      <c r="H783" s="8">
        <f>IF(INDEX(Banco!$H:$H,ROW())="","",INDEX(Banco!$H:$H,ROW()))</f>
        <v/>
      </c>
      <c r="I783">
        <f>IF($T783="","",INT($T783/12)&amp;"a "&amp;MOD($T783,12)&amp;"m")</f>
        <v/>
      </c>
      <c r="J783" s="11">
        <f>IF(OR($F783="",$G783=""),"",ROUND($F783/($G783/100)^2,2))</f>
        <v/>
      </c>
      <c r="K783" s="12">
        <f>IF(OR($S783="",$J783="",$T783="",$T783&lt;0,$T783&gt;228,$Y783=""),"—",ROUND(IF(ABS($AB783)&lt;=3,$AB783,IF($AB783&gt;3,3+($J783-$AD783)/($AD783-$AC783),-3+($J783-$AF783)/($AE783-$AF783))),2))</f>
        <v/>
      </c>
      <c r="L783">
        <f>IF(OR($K783="",$K783="—"),"",IF($T783&lt;=60,IF($K783&lt;-3,"Magreza acentuada",IF($K783&lt;-2,"Magreza",IF($K783&lt;=1,"Eutrofia",IF($K783&lt;=2,"Risco de sobrepeso",IF($K783&lt;=3,"Sobrepeso","Obesidade"))))),IF($K783&lt;-3,"Magreza acentuada",IF($K783&lt;-2,"Magreza",IF($K783&lt;=1,"Eutrofia",IF($K783&lt;=2,"Sobrepeso",IF($K783&lt;=3,"Obesidade","Obesidade grave")))))))</f>
        <v/>
      </c>
      <c r="M783" s="12">
        <f>IF(OR($S783="",$V783="",$T783="",$T783&lt;0,$T783&gt;228,$AG783=""),"—",ROUND(IF($AG783=0,LN($V783/$AH783)/$AI783,((($V783/$AH783)^$AG783)-1)/($AG783*$AI783)),2))</f>
        <v/>
      </c>
      <c r="N783">
        <f>IF(OR($M783="",$M783="—"),"",IF($M783&lt;-3,"Muito baixa",IF($M783&lt;-2,"Baixa","Adequada")))</f>
        <v/>
      </c>
      <c r="O783" s="12">
        <f>IF(OR($S783="",$F783="",$T783="",$T783&lt;0,$T783&gt;120,$AJ783=""),"—",ROUND(IF(ABS($AM783)&lt;=3,$AM783,IF($AM783&gt;3,3+($F783-$AO783)/($AO783-$AN783),-3+($F783-$AQ783)/($AP783-$AQ783))),2))</f>
        <v/>
      </c>
      <c r="P783">
        <f>IF(OR($O783="",$O783="—"),"",IF($O783&lt;-3,"Muito baixo",IF($O783&lt;-2,"Baixo",IF($O783&lt;=2,"Adequado","Elevado"))))</f>
        <v/>
      </c>
      <c r="Q783" s="12">
        <f>IF(OR($S783="",$F783="",$T783="",$T783&lt;0,$T783&gt;60,$AR783=""),"—",ROUND(IF(ABS($AU783)&lt;=3,$AU783,IF($AU783&gt;3,3+($F783-$AW783)/($AW783-$AV783),-3+($F783-$AY783)/($AX783-$AY783))),2))</f>
        <v/>
      </c>
      <c r="R783">
        <f>IF(OR($Q783="",$Q783="—"),"",IF($Q783&lt;-3,"Magreza acentuada",IF($Q783&lt;-2,"Magreza",IF($Q783&lt;=1,"Eutrofia",IF($Q783&lt;=2,"Risco de sobrepeso",IF($Q783&lt;=3,"Sobrepeso","Obesidade"))))))</f>
        <v/>
      </c>
      <c r="S783">
        <f>IF($C783="","",IF(UPPER(LEFT($C783,1))="M",1,IF(UPPER(LEFT($C783,1))="F",2,"")))</f>
        <v/>
      </c>
      <c r="T783">
        <f>IF(OR($D783="",$E783=""),"",DATEDIF($D783,$E783,"m"))</f>
        <v/>
      </c>
      <c r="U783">
        <f>IF(OR($D783="",$E783=""),"",$E783-$D783)</f>
        <v/>
      </c>
      <c r="V783">
        <f>IF(OR($G783="",$T783=""),"",IF($T783&lt;24,IF(LEFT(LOWER($H783),4)="em p",$G783+0.7,$G783),IF(LEFT(LOWER($H783),4)="deit",$G783-0.7,$G783)))</f>
        <v/>
      </c>
      <c r="W783">
        <f>IF(OR($S783="",$T783=""),"",$S783*1000000+IF($T783&lt;=60,$U783,$T783))</f>
        <v/>
      </c>
      <c r="X783">
        <f>IF(OR($S783="",$V783="",$T783&gt;60,$T783=""),"",$S783*1000000+ROUND($V783*10,0))</f>
        <v/>
      </c>
      <c r="Y783">
        <f>IF($W783="","",IFERROR(INDEX(IF($T783&lt;=60,imc05_l,imc519_l),MATCH($W783,IF($T783&lt;=60,imc05_k,imc519_k),1)),""))</f>
        <v/>
      </c>
      <c r="Z783">
        <f>IF($W783="","",IFERROR(INDEX(IF($T783&lt;=60,imc05_m,imc519_m),MATCH($W783,IF($T783&lt;=60,imc05_k,imc519_k),1)),""))</f>
        <v/>
      </c>
      <c r="AA783">
        <f>IF($W783="","",IFERROR(INDEX(IF($T783&lt;=60,imc05_s,imc519_s),MATCH($W783,IF($T783&lt;=60,imc05_k,imc519_k),1)),""))</f>
        <v/>
      </c>
      <c r="AB783">
        <f>IF($Y783="","",IF($Y783=0,LN($J783/$Z783)/$AA783,((($J783/$Z783)^$Y783)-1)/($Y783*$AA783)))</f>
        <v/>
      </c>
      <c r="AC783">
        <f>IF($Y783="","",IF($Y783=0,$Z783*EXP($AA783*2),$Z783*(1+$Y783*$AA783*2)^(1/$Y783)))</f>
        <v/>
      </c>
      <c r="AD783">
        <f>IF($Y783="","",IF($Y783=0,$Z783*EXP($AA783*3),$Z783*(1+$Y783*$AA783*3)^(1/$Y783)))</f>
        <v/>
      </c>
      <c r="AE783">
        <f>IF($Y783="","",IF($Y783=0,$Z783*EXP($AA783*-2),$Z783*(1+$Y783*$AA783*-2)^(1/$Y783)))</f>
        <v/>
      </c>
      <c r="AF783">
        <f>IF($Y783="","",IF($Y783=0,$Z783*EXP($AA783*-3),$Z783*(1+$Y783*$AA783*-3)^(1/$Y783)))</f>
        <v/>
      </c>
      <c r="AG783">
        <f>IF($W783="","",IFERROR(INDEX(IF($T783&lt;=60,est05_l,est519_l),MATCH($W783,IF($T783&lt;=60,est05_k,est519_k),1)),""))</f>
        <v/>
      </c>
      <c r="AH783">
        <f>IF($W783="","",IFERROR(INDEX(IF($T783&lt;=60,est05_m,est519_m),MATCH($W783,IF($T783&lt;=60,est05_k,est519_k),1)),""))</f>
        <v/>
      </c>
      <c r="AI783">
        <f>IF($W783="","",IFERROR(INDEX(IF($T783&lt;=60,est05_s,est519_s),MATCH($W783,IF($T783&lt;=60,est05_k,est519_k),1)),""))</f>
        <v/>
      </c>
      <c r="AJ783">
        <f>IF($W783="","",IFERROR(INDEX(IF($T783&lt;=60,peso05_l,peso510_l),MATCH($W783,IF($T783&lt;=60,peso05_k,peso510_k),1)),""))</f>
        <v/>
      </c>
      <c r="AK783">
        <f>IF($W783="","",IFERROR(INDEX(IF($T783&lt;=60,peso05_m,peso510_m),MATCH($W783,IF($T783&lt;=60,peso05_k,peso510_k),1)),""))</f>
        <v/>
      </c>
      <c r="AL783">
        <f>IF($W783="","",IFERROR(INDEX(IF($T783&lt;=60,peso05_s,peso510_s),MATCH($W783,IF($T783&lt;=60,peso05_k,peso510_k),1)),""))</f>
        <v/>
      </c>
      <c r="AM783">
        <f>IF($AJ783="","",IF($AJ783=0,LN($F783/$AK783)/$AL783,((($F783/$AK783)^$AJ783)-1)/($AJ783*$AL783)))</f>
        <v/>
      </c>
      <c r="AN783">
        <f>IF($AJ783="","",IF($AJ783=0,$AK783*EXP($AL783*2),$AK783*(1+$AJ783*$AL783*2)^(1/$AJ783)))</f>
        <v/>
      </c>
      <c r="AO783">
        <f>IF($AJ783="","",IF($AJ783=0,$AK783*EXP($AL783*3),$AK783*(1+$AJ783*$AL783*3)^(1/$AJ783)))</f>
        <v/>
      </c>
      <c r="AP783">
        <f>IF($AJ783="","",IF($AJ783=0,$AK783*EXP($AL783*-2),$AK783*(1+$AJ783*$AL783*-2)^(1/$AJ783)))</f>
        <v/>
      </c>
      <c r="AQ783">
        <f>IF($AJ783="","",IF($AJ783=0,$AK783*EXP($AL783*-3),$AK783*(1+$AJ783*$AL783*-3)^(1/$AJ783)))</f>
        <v/>
      </c>
      <c r="AR783">
        <f>IF(OR($X783="",$T783&gt;60),"",IFERROR(INDEX(IF($T783&lt;24,pcomp_l,palt_l),MATCH($X783,IF($T783&lt;24,pcomp_k,palt_k),1)),""))</f>
        <v/>
      </c>
      <c r="AS783">
        <f>IF(OR($X783="",$T783&gt;60),"",IFERROR(INDEX(IF($T783&lt;24,pcomp_m,palt_m),MATCH($X783,IF($T783&lt;24,pcomp_k,palt_k),1)),""))</f>
        <v/>
      </c>
      <c r="AT783">
        <f>IF(OR($X783="",$T783&gt;60),"",IFERROR(INDEX(IF($T783&lt;24,pcomp_s,palt_s),MATCH($X783,IF($T783&lt;24,pcomp_k,palt_k),1)),""))</f>
        <v/>
      </c>
      <c r="AU783">
        <f>IF($AR783="","",IF($AR783=0,LN($F783/$AS783)/$AT783,((($F783/$AS783)^$AR783)-1)/($AR783*$AT783)))</f>
        <v/>
      </c>
      <c r="AV783">
        <f>IF($AR783="","",IF($AR783=0,$AS783*EXP($AT783*2),$AS783*(1+$AR783*$AT783*2)^(1/$AR783)))</f>
        <v/>
      </c>
      <c r="AW783">
        <f>IF($AR783="","",IF($AR783=0,$AS783*EXP($AT783*3),$AS783*(1+$AR783*$AT783*3)^(1/$AR783)))</f>
        <v/>
      </c>
      <c r="AX783">
        <f>IF($AR783="","",IF($AR783=0,$AS783*EXP($AT783*-2),$AS783*(1+$AR783*$AT783*-2)^(1/$AR783)))</f>
        <v/>
      </c>
      <c r="AY783">
        <f>IF($AR783="","",IF($AR783=0,$AS783*EXP($AT783*-3),$AS783*(1+$AR783*$AT783*-3)^(1/$AR783)))</f>
        <v/>
      </c>
      <c r="AZ783">
        <f>IF(OR($A783="",$A783&lt;&gt;Ficha!$C$4),"",COUNTIF($A$2:$A783,Ficha!$C$4))</f>
        <v/>
      </c>
    </row>
    <row r="784">
      <c r="A784" s="8">
        <f>IF(INDEX(Banco!$A:$A,ROW())="","",INDEX(Banco!$A:$A,ROW()))</f>
        <v/>
      </c>
      <c r="B784" s="8">
        <f>IF(INDEX(Banco!$B:$B,ROW())="","",INDEX(Banco!$B:$B,ROW()))</f>
        <v/>
      </c>
      <c r="C784" s="8">
        <f>IF(INDEX(Banco!$C:$C,ROW())="","",INDEX(Banco!$C:$C,ROW()))</f>
        <v/>
      </c>
      <c r="D784" s="9">
        <f>IF(INDEX(Banco!$D:$D,ROW())="","",INDEX(Banco!$D:$D,ROW()))</f>
        <v/>
      </c>
      <c r="E784" s="9">
        <f>IF(INDEX(Banco!$E:$E,ROW())="","",INDEX(Banco!$E:$E,ROW()))</f>
        <v/>
      </c>
      <c r="F784" s="10">
        <f>IF(INDEX(Banco!$F:$F,ROW())="","",INDEX(Banco!$F:$F,ROW()))</f>
        <v/>
      </c>
      <c r="G784" s="10">
        <f>IF(INDEX(Banco!$G:$G,ROW())="","",INDEX(Banco!$G:$G,ROW()))</f>
        <v/>
      </c>
      <c r="H784" s="8">
        <f>IF(INDEX(Banco!$H:$H,ROW())="","",INDEX(Banco!$H:$H,ROW()))</f>
        <v/>
      </c>
      <c r="I784">
        <f>IF($T784="","",INT($T784/12)&amp;"a "&amp;MOD($T784,12)&amp;"m")</f>
        <v/>
      </c>
      <c r="J784" s="11">
        <f>IF(OR($F784="",$G784=""),"",ROUND($F784/($G784/100)^2,2))</f>
        <v/>
      </c>
      <c r="K784" s="12">
        <f>IF(OR($S784="",$J784="",$T784="",$T784&lt;0,$T784&gt;228,$Y784=""),"—",ROUND(IF(ABS($AB784)&lt;=3,$AB784,IF($AB784&gt;3,3+($J784-$AD784)/($AD784-$AC784),-3+($J784-$AF784)/($AE784-$AF784))),2))</f>
        <v/>
      </c>
      <c r="L784">
        <f>IF(OR($K784="",$K784="—"),"",IF($T784&lt;=60,IF($K784&lt;-3,"Magreza acentuada",IF($K784&lt;-2,"Magreza",IF($K784&lt;=1,"Eutrofia",IF($K784&lt;=2,"Risco de sobrepeso",IF($K784&lt;=3,"Sobrepeso","Obesidade"))))),IF($K784&lt;-3,"Magreza acentuada",IF($K784&lt;-2,"Magreza",IF($K784&lt;=1,"Eutrofia",IF($K784&lt;=2,"Sobrepeso",IF($K784&lt;=3,"Obesidade","Obesidade grave")))))))</f>
        <v/>
      </c>
      <c r="M784" s="12">
        <f>IF(OR($S784="",$V784="",$T784="",$T784&lt;0,$T784&gt;228,$AG784=""),"—",ROUND(IF($AG784=0,LN($V784/$AH784)/$AI784,((($V784/$AH784)^$AG784)-1)/($AG784*$AI784)),2))</f>
        <v/>
      </c>
      <c r="N784">
        <f>IF(OR($M784="",$M784="—"),"",IF($M784&lt;-3,"Muito baixa",IF($M784&lt;-2,"Baixa","Adequada")))</f>
        <v/>
      </c>
      <c r="O784" s="12">
        <f>IF(OR($S784="",$F784="",$T784="",$T784&lt;0,$T784&gt;120,$AJ784=""),"—",ROUND(IF(ABS($AM784)&lt;=3,$AM784,IF($AM784&gt;3,3+($F784-$AO784)/($AO784-$AN784),-3+($F784-$AQ784)/($AP784-$AQ784))),2))</f>
        <v/>
      </c>
      <c r="P784">
        <f>IF(OR($O784="",$O784="—"),"",IF($O784&lt;-3,"Muito baixo",IF($O784&lt;-2,"Baixo",IF($O784&lt;=2,"Adequado","Elevado"))))</f>
        <v/>
      </c>
      <c r="Q784" s="12">
        <f>IF(OR($S784="",$F784="",$T784="",$T784&lt;0,$T784&gt;60,$AR784=""),"—",ROUND(IF(ABS($AU784)&lt;=3,$AU784,IF($AU784&gt;3,3+($F784-$AW784)/($AW784-$AV784),-3+($F784-$AY784)/($AX784-$AY784))),2))</f>
        <v/>
      </c>
      <c r="R784">
        <f>IF(OR($Q784="",$Q784="—"),"",IF($Q784&lt;-3,"Magreza acentuada",IF($Q784&lt;-2,"Magreza",IF($Q784&lt;=1,"Eutrofia",IF($Q784&lt;=2,"Risco de sobrepeso",IF($Q784&lt;=3,"Sobrepeso","Obesidade"))))))</f>
        <v/>
      </c>
      <c r="S784">
        <f>IF($C784="","",IF(UPPER(LEFT($C784,1))="M",1,IF(UPPER(LEFT($C784,1))="F",2,"")))</f>
        <v/>
      </c>
      <c r="T784">
        <f>IF(OR($D784="",$E784=""),"",DATEDIF($D784,$E784,"m"))</f>
        <v/>
      </c>
      <c r="U784">
        <f>IF(OR($D784="",$E784=""),"",$E784-$D784)</f>
        <v/>
      </c>
      <c r="V784">
        <f>IF(OR($G784="",$T784=""),"",IF($T784&lt;24,IF(LEFT(LOWER($H784),4)="em p",$G784+0.7,$G784),IF(LEFT(LOWER($H784),4)="deit",$G784-0.7,$G784)))</f>
        <v/>
      </c>
      <c r="W784">
        <f>IF(OR($S784="",$T784=""),"",$S784*1000000+IF($T784&lt;=60,$U784,$T784))</f>
        <v/>
      </c>
      <c r="X784">
        <f>IF(OR($S784="",$V784="",$T784&gt;60,$T784=""),"",$S784*1000000+ROUND($V784*10,0))</f>
        <v/>
      </c>
      <c r="Y784">
        <f>IF($W784="","",IFERROR(INDEX(IF($T784&lt;=60,imc05_l,imc519_l),MATCH($W784,IF($T784&lt;=60,imc05_k,imc519_k),1)),""))</f>
        <v/>
      </c>
      <c r="Z784">
        <f>IF($W784="","",IFERROR(INDEX(IF($T784&lt;=60,imc05_m,imc519_m),MATCH($W784,IF($T784&lt;=60,imc05_k,imc519_k),1)),""))</f>
        <v/>
      </c>
      <c r="AA784">
        <f>IF($W784="","",IFERROR(INDEX(IF($T784&lt;=60,imc05_s,imc519_s),MATCH($W784,IF($T784&lt;=60,imc05_k,imc519_k),1)),""))</f>
        <v/>
      </c>
      <c r="AB784">
        <f>IF($Y784="","",IF($Y784=0,LN($J784/$Z784)/$AA784,((($J784/$Z784)^$Y784)-1)/($Y784*$AA784)))</f>
        <v/>
      </c>
      <c r="AC784">
        <f>IF($Y784="","",IF($Y784=0,$Z784*EXP($AA784*2),$Z784*(1+$Y784*$AA784*2)^(1/$Y784)))</f>
        <v/>
      </c>
      <c r="AD784">
        <f>IF($Y784="","",IF($Y784=0,$Z784*EXP($AA784*3),$Z784*(1+$Y784*$AA784*3)^(1/$Y784)))</f>
        <v/>
      </c>
      <c r="AE784">
        <f>IF($Y784="","",IF($Y784=0,$Z784*EXP($AA784*-2),$Z784*(1+$Y784*$AA784*-2)^(1/$Y784)))</f>
        <v/>
      </c>
      <c r="AF784">
        <f>IF($Y784="","",IF($Y784=0,$Z784*EXP($AA784*-3),$Z784*(1+$Y784*$AA784*-3)^(1/$Y784)))</f>
        <v/>
      </c>
      <c r="AG784">
        <f>IF($W784="","",IFERROR(INDEX(IF($T784&lt;=60,est05_l,est519_l),MATCH($W784,IF($T784&lt;=60,est05_k,est519_k),1)),""))</f>
        <v/>
      </c>
      <c r="AH784">
        <f>IF($W784="","",IFERROR(INDEX(IF($T784&lt;=60,est05_m,est519_m),MATCH($W784,IF($T784&lt;=60,est05_k,est519_k),1)),""))</f>
        <v/>
      </c>
      <c r="AI784">
        <f>IF($W784="","",IFERROR(INDEX(IF($T784&lt;=60,est05_s,est519_s),MATCH($W784,IF($T784&lt;=60,est05_k,est519_k),1)),""))</f>
        <v/>
      </c>
      <c r="AJ784">
        <f>IF($W784="","",IFERROR(INDEX(IF($T784&lt;=60,peso05_l,peso510_l),MATCH($W784,IF($T784&lt;=60,peso05_k,peso510_k),1)),""))</f>
        <v/>
      </c>
      <c r="AK784">
        <f>IF($W784="","",IFERROR(INDEX(IF($T784&lt;=60,peso05_m,peso510_m),MATCH($W784,IF($T784&lt;=60,peso05_k,peso510_k),1)),""))</f>
        <v/>
      </c>
      <c r="AL784">
        <f>IF($W784="","",IFERROR(INDEX(IF($T784&lt;=60,peso05_s,peso510_s),MATCH($W784,IF($T784&lt;=60,peso05_k,peso510_k),1)),""))</f>
        <v/>
      </c>
      <c r="AM784">
        <f>IF($AJ784="","",IF($AJ784=0,LN($F784/$AK784)/$AL784,((($F784/$AK784)^$AJ784)-1)/($AJ784*$AL784)))</f>
        <v/>
      </c>
      <c r="AN784">
        <f>IF($AJ784="","",IF($AJ784=0,$AK784*EXP($AL784*2),$AK784*(1+$AJ784*$AL784*2)^(1/$AJ784)))</f>
        <v/>
      </c>
      <c r="AO784">
        <f>IF($AJ784="","",IF($AJ784=0,$AK784*EXP($AL784*3),$AK784*(1+$AJ784*$AL784*3)^(1/$AJ784)))</f>
        <v/>
      </c>
      <c r="AP784">
        <f>IF($AJ784="","",IF($AJ784=0,$AK784*EXP($AL784*-2),$AK784*(1+$AJ784*$AL784*-2)^(1/$AJ784)))</f>
        <v/>
      </c>
      <c r="AQ784">
        <f>IF($AJ784="","",IF($AJ784=0,$AK784*EXP($AL784*-3),$AK784*(1+$AJ784*$AL784*-3)^(1/$AJ784)))</f>
        <v/>
      </c>
      <c r="AR784">
        <f>IF(OR($X784="",$T784&gt;60),"",IFERROR(INDEX(IF($T784&lt;24,pcomp_l,palt_l),MATCH($X784,IF($T784&lt;24,pcomp_k,palt_k),1)),""))</f>
        <v/>
      </c>
      <c r="AS784">
        <f>IF(OR($X784="",$T784&gt;60),"",IFERROR(INDEX(IF($T784&lt;24,pcomp_m,palt_m),MATCH($X784,IF($T784&lt;24,pcomp_k,palt_k),1)),""))</f>
        <v/>
      </c>
      <c r="AT784">
        <f>IF(OR($X784="",$T784&gt;60),"",IFERROR(INDEX(IF($T784&lt;24,pcomp_s,palt_s),MATCH($X784,IF($T784&lt;24,pcomp_k,palt_k),1)),""))</f>
        <v/>
      </c>
      <c r="AU784">
        <f>IF($AR784="","",IF($AR784=0,LN($F784/$AS784)/$AT784,((($F784/$AS784)^$AR784)-1)/($AR784*$AT784)))</f>
        <v/>
      </c>
      <c r="AV784">
        <f>IF($AR784="","",IF($AR784=0,$AS784*EXP($AT784*2),$AS784*(1+$AR784*$AT784*2)^(1/$AR784)))</f>
        <v/>
      </c>
      <c r="AW784">
        <f>IF($AR784="","",IF($AR784=0,$AS784*EXP($AT784*3),$AS784*(1+$AR784*$AT784*3)^(1/$AR784)))</f>
        <v/>
      </c>
      <c r="AX784">
        <f>IF($AR784="","",IF($AR784=0,$AS784*EXP($AT784*-2),$AS784*(1+$AR784*$AT784*-2)^(1/$AR784)))</f>
        <v/>
      </c>
      <c r="AY784">
        <f>IF($AR784="","",IF($AR784=0,$AS784*EXP($AT784*-3),$AS784*(1+$AR784*$AT784*-3)^(1/$AR784)))</f>
        <v/>
      </c>
      <c r="AZ784">
        <f>IF(OR($A784="",$A784&lt;&gt;Ficha!$C$4),"",COUNTIF($A$2:$A784,Ficha!$C$4))</f>
        <v/>
      </c>
    </row>
    <row r="785">
      <c r="A785" s="8">
        <f>IF(INDEX(Banco!$A:$A,ROW())="","",INDEX(Banco!$A:$A,ROW()))</f>
        <v/>
      </c>
      <c r="B785" s="8">
        <f>IF(INDEX(Banco!$B:$B,ROW())="","",INDEX(Banco!$B:$B,ROW()))</f>
        <v/>
      </c>
      <c r="C785" s="8">
        <f>IF(INDEX(Banco!$C:$C,ROW())="","",INDEX(Banco!$C:$C,ROW()))</f>
        <v/>
      </c>
      <c r="D785" s="9">
        <f>IF(INDEX(Banco!$D:$D,ROW())="","",INDEX(Banco!$D:$D,ROW()))</f>
        <v/>
      </c>
      <c r="E785" s="9">
        <f>IF(INDEX(Banco!$E:$E,ROW())="","",INDEX(Banco!$E:$E,ROW()))</f>
        <v/>
      </c>
      <c r="F785" s="10">
        <f>IF(INDEX(Banco!$F:$F,ROW())="","",INDEX(Banco!$F:$F,ROW()))</f>
        <v/>
      </c>
      <c r="G785" s="10">
        <f>IF(INDEX(Banco!$G:$G,ROW())="","",INDEX(Banco!$G:$G,ROW()))</f>
        <v/>
      </c>
      <c r="H785" s="8">
        <f>IF(INDEX(Banco!$H:$H,ROW())="","",INDEX(Banco!$H:$H,ROW()))</f>
        <v/>
      </c>
      <c r="I785">
        <f>IF($T785="","",INT($T785/12)&amp;"a "&amp;MOD($T785,12)&amp;"m")</f>
        <v/>
      </c>
      <c r="J785" s="11">
        <f>IF(OR($F785="",$G785=""),"",ROUND($F785/($G785/100)^2,2))</f>
        <v/>
      </c>
      <c r="K785" s="12">
        <f>IF(OR($S785="",$J785="",$T785="",$T785&lt;0,$T785&gt;228,$Y785=""),"—",ROUND(IF(ABS($AB785)&lt;=3,$AB785,IF($AB785&gt;3,3+($J785-$AD785)/($AD785-$AC785),-3+($J785-$AF785)/($AE785-$AF785))),2))</f>
        <v/>
      </c>
      <c r="L785">
        <f>IF(OR($K785="",$K785="—"),"",IF($T785&lt;=60,IF($K785&lt;-3,"Magreza acentuada",IF($K785&lt;-2,"Magreza",IF($K785&lt;=1,"Eutrofia",IF($K785&lt;=2,"Risco de sobrepeso",IF($K785&lt;=3,"Sobrepeso","Obesidade"))))),IF($K785&lt;-3,"Magreza acentuada",IF($K785&lt;-2,"Magreza",IF($K785&lt;=1,"Eutrofia",IF($K785&lt;=2,"Sobrepeso",IF($K785&lt;=3,"Obesidade","Obesidade grave")))))))</f>
        <v/>
      </c>
      <c r="M785" s="12">
        <f>IF(OR($S785="",$V785="",$T785="",$T785&lt;0,$T785&gt;228,$AG785=""),"—",ROUND(IF($AG785=0,LN($V785/$AH785)/$AI785,((($V785/$AH785)^$AG785)-1)/($AG785*$AI785)),2))</f>
        <v/>
      </c>
      <c r="N785">
        <f>IF(OR($M785="",$M785="—"),"",IF($M785&lt;-3,"Muito baixa",IF($M785&lt;-2,"Baixa","Adequada")))</f>
        <v/>
      </c>
      <c r="O785" s="12">
        <f>IF(OR($S785="",$F785="",$T785="",$T785&lt;0,$T785&gt;120,$AJ785=""),"—",ROUND(IF(ABS($AM785)&lt;=3,$AM785,IF($AM785&gt;3,3+($F785-$AO785)/($AO785-$AN785),-3+($F785-$AQ785)/($AP785-$AQ785))),2))</f>
        <v/>
      </c>
      <c r="P785">
        <f>IF(OR($O785="",$O785="—"),"",IF($O785&lt;-3,"Muito baixo",IF($O785&lt;-2,"Baixo",IF($O785&lt;=2,"Adequado","Elevado"))))</f>
        <v/>
      </c>
      <c r="Q785" s="12">
        <f>IF(OR($S785="",$F785="",$T785="",$T785&lt;0,$T785&gt;60,$AR785=""),"—",ROUND(IF(ABS($AU785)&lt;=3,$AU785,IF($AU785&gt;3,3+($F785-$AW785)/($AW785-$AV785),-3+($F785-$AY785)/($AX785-$AY785))),2))</f>
        <v/>
      </c>
      <c r="R785">
        <f>IF(OR($Q785="",$Q785="—"),"",IF($Q785&lt;-3,"Magreza acentuada",IF($Q785&lt;-2,"Magreza",IF($Q785&lt;=1,"Eutrofia",IF($Q785&lt;=2,"Risco de sobrepeso",IF($Q785&lt;=3,"Sobrepeso","Obesidade"))))))</f>
        <v/>
      </c>
      <c r="S785">
        <f>IF($C785="","",IF(UPPER(LEFT($C785,1))="M",1,IF(UPPER(LEFT($C785,1))="F",2,"")))</f>
        <v/>
      </c>
      <c r="T785">
        <f>IF(OR($D785="",$E785=""),"",DATEDIF($D785,$E785,"m"))</f>
        <v/>
      </c>
      <c r="U785">
        <f>IF(OR($D785="",$E785=""),"",$E785-$D785)</f>
        <v/>
      </c>
      <c r="V785">
        <f>IF(OR($G785="",$T785=""),"",IF($T785&lt;24,IF(LEFT(LOWER($H785),4)="em p",$G785+0.7,$G785),IF(LEFT(LOWER($H785),4)="deit",$G785-0.7,$G785)))</f>
        <v/>
      </c>
      <c r="W785">
        <f>IF(OR($S785="",$T785=""),"",$S785*1000000+IF($T785&lt;=60,$U785,$T785))</f>
        <v/>
      </c>
      <c r="X785">
        <f>IF(OR($S785="",$V785="",$T785&gt;60,$T785=""),"",$S785*1000000+ROUND($V785*10,0))</f>
        <v/>
      </c>
      <c r="Y785">
        <f>IF($W785="","",IFERROR(INDEX(IF($T785&lt;=60,imc05_l,imc519_l),MATCH($W785,IF($T785&lt;=60,imc05_k,imc519_k),1)),""))</f>
        <v/>
      </c>
      <c r="Z785">
        <f>IF($W785="","",IFERROR(INDEX(IF($T785&lt;=60,imc05_m,imc519_m),MATCH($W785,IF($T785&lt;=60,imc05_k,imc519_k),1)),""))</f>
        <v/>
      </c>
      <c r="AA785">
        <f>IF($W785="","",IFERROR(INDEX(IF($T785&lt;=60,imc05_s,imc519_s),MATCH($W785,IF($T785&lt;=60,imc05_k,imc519_k),1)),""))</f>
        <v/>
      </c>
      <c r="AB785">
        <f>IF($Y785="","",IF($Y785=0,LN($J785/$Z785)/$AA785,((($J785/$Z785)^$Y785)-1)/($Y785*$AA785)))</f>
        <v/>
      </c>
      <c r="AC785">
        <f>IF($Y785="","",IF($Y785=0,$Z785*EXP($AA785*2),$Z785*(1+$Y785*$AA785*2)^(1/$Y785)))</f>
        <v/>
      </c>
      <c r="AD785">
        <f>IF($Y785="","",IF($Y785=0,$Z785*EXP($AA785*3),$Z785*(1+$Y785*$AA785*3)^(1/$Y785)))</f>
        <v/>
      </c>
      <c r="AE785">
        <f>IF($Y785="","",IF($Y785=0,$Z785*EXP($AA785*-2),$Z785*(1+$Y785*$AA785*-2)^(1/$Y785)))</f>
        <v/>
      </c>
      <c r="AF785">
        <f>IF($Y785="","",IF($Y785=0,$Z785*EXP($AA785*-3),$Z785*(1+$Y785*$AA785*-3)^(1/$Y785)))</f>
        <v/>
      </c>
      <c r="AG785">
        <f>IF($W785="","",IFERROR(INDEX(IF($T785&lt;=60,est05_l,est519_l),MATCH($W785,IF($T785&lt;=60,est05_k,est519_k),1)),""))</f>
        <v/>
      </c>
      <c r="AH785">
        <f>IF($W785="","",IFERROR(INDEX(IF($T785&lt;=60,est05_m,est519_m),MATCH($W785,IF($T785&lt;=60,est05_k,est519_k),1)),""))</f>
        <v/>
      </c>
      <c r="AI785">
        <f>IF($W785="","",IFERROR(INDEX(IF($T785&lt;=60,est05_s,est519_s),MATCH($W785,IF($T785&lt;=60,est05_k,est519_k),1)),""))</f>
        <v/>
      </c>
      <c r="AJ785">
        <f>IF($W785="","",IFERROR(INDEX(IF($T785&lt;=60,peso05_l,peso510_l),MATCH($W785,IF($T785&lt;=60,peso05_k,peso510_k),1)),""))</f>
        <v/>
      </c>
      <c r="AK785">
        <f>IF($W785="","",IFERROR(INDEX(IF($T785&lt;=60,peso05_m,peso510_m),MATCH($W785,IF($T785&lt;=60,peso05_k,peso510_k),1)),""))</f>
        <v/>
      </c>
      <c r="AL785">
        <f>IF($W785="","",IFERROR(INDEX(IF($T785&lt;=60,peso05_s,peso510_s),MATCH($W785,IF($T785&lt;=60,peso05_k,peso510_k),1)),""))</f>
        <v/>
      </c>
      <c r="AM785">
        <f>IF($AJ785="","",IF($AJ785=0,LN($F785/$AK785)/$AL785,((($F785/$AK785)^$AJ785)-1)/($AJ785*$AL785)))</f>
        <v/>
      </c>
      <c r="AN785">
        <f>IF($AJ785="","",IF($AJ785=0,$AK785*EXP($AL785*2),$AK785*(1+$AJ785*$AL785*2)^(1/$AJ785)))</f>
        <v/>
      </c>
      <c r="AO785">
        <f>IF($AJ785="","",IF($AJ785=0,$AK785*EXP($AL785*3),$AK785*(1+$AJ785*$AL785*3)^(1/$AJ785)))</f>
        <v/>
      </c>
      <c r="AP785">
        <f>IF($AJ785="","",IF($AJ785=0,$AK785*EXP($AL785*-2),$AK785*(1+$AJ785*$AL785*-2)^(1/$AJ785)))</f>
        <v/>
      </c>
      <c r="AQ785">
        <f>IF($AJ785="","",IF($AJ785=0,$AK785*EXP($AL785*-3),$AK785*(1+$AJ785*$AL785*-3)^(1/$AJ785)))</f>
        <v/>
      </c>
      <c r="AR785">
        <f>IF(OR($X785="",$T785&gt;60),"",IFERROR(INDEX(IF($T785&lt;24,pcomp_l,palt_l),MATCH($X785,IF($T785&lt;24,pcomp_k,palt_k),1)),""))</f>
        <v/>
      </c>
      <c r="AS785">
        <f>IF(OR($X785="",$T785&gt;60),"",IFERROR(INDEX(IF($T785&lt;24,pcomp_m,palt_m),MATCH($X785,IF($T785&lt;24,pcomp_k,palt_k),1)),""))</f>
        <v/>
      </c>
      <c r="AT785">
        <f>IF(OR($X785="",$T785&gt;60),"",IFERROR(INDEX(IF($T785&lt;24,pcomp_s,palt_s),MATCH($X785,IF($T785&lt;24,pcomp_k,palt_k),1)),""))</f>
        <v/>
      </c>
      <c r="AU785">
        <f>IF($AR785="","",IF($AR785=0,LN($F785/$AS785)/$AT785,((($F785/$AS785)^$AR785)-1)/($AR785*$AT785)))</f>
        <v/>
      </c>
      <c r="AV785">
        <f>IF($AR785="","",IF($AR785=0,$AS785*EXP($AT785*2),$AS785*(1+$AR785*$AT785*2)^(1/$AR785)))</f>
        <v/>
      </c>
      <c r="AW785">
        <f>IF($AR785="","",IF($AR785=0,$AS785*EXP($AT785*3),$AS785*(1+$AR785*$AT785*3)^(1/$AR785)))</f>
        <v/>
      </c>
      <c r="AX785">
        <f>IF($AR785="","",IF($AR785=0,$AS785*EXP($AT785*-2),$AS785*(1+$AR785*$AT785*-2)^(1/$AR785)))</f>
        <v/>
      </c>
      <c r="AY785">
        <f>IF($AR785="","",IF($AR785=0,$AS785*EXP($AT785*-3),$AS785*(1+$AR785*$AT785*-3)^(1/$AR785)))</f>
        <v/>
      </c>
      <c r="AZ785">
        <f>IF(OR($A785="",$A785&lt;&gt;Ficha!$C$4),"",COUNTIF($A$2:$A785,Ficha!$C$4))</f>
        <v/>
      </c>
    </row>
    <row r="786">
      <c r="A786" s="8">
        <f>IF(INDEX(Banco!$A:$A,ROW())="","",INDEX(Banco!$A:$A,ROW()))</f>
        <v/>
      </c>
      <c r="B786" s="8">
        <f>IF(INDEX(Banco!$B:$B,ROW())="","",INDEX(Banco!$B:$B,ROW()))</f>
        <v/>
      </c>
      <c r="C786" s="8">
        <f>IF(INDEX(Banco!$C:$C,ROW())="","",INDEX(Banco!$C:$C,ROW()))</f>
        <v/>
      </c>
      <c r="D786" s="9">
        <f>IF(INDEX(Banco!$D:$D,ROW())="","",INDEX(Banco!$D:$D,ROW()))</f>
        <v/>
      </c>
      <c r="E786" s="9">
        <f>IF(INDEX(Banco!$E:$E,ROW())="","",INDEX(Banco!$E:$E,ROW()))</f>
        <v/>
      </c>
      <c r="F786" s="10">
        <f>IF(INDEX(Banco!$F:$F,ROW())="","",INDEX(Banco!$F:$F,ROW()))</f>
        <v/>
      </c>
      <c r="G786" s="10">
        <f>IF(INDEX(Banco!$G:$G,ROW())="","",INDEX(Banco!$G:$G,ROW()))</f>
        <v/>
      </c>
      <c r="H786" s="8">
        <f>IF(INDEX(Banco!$H:$H,ROW())="","",INDEX(Banco!$H:$H,ROW()))</f>
        <v/>
      </c>
      <c r="I786">
        <f>IF($T786="","",INT($T786/12)&amp;"a "&amp;MOD($T786,12)&amp;"m")</f>
        <v/>
      </c>
      <c r="J786" s="11">
        <f>IF(OR($F786="",$G786=""),"",ROUND($F786/($G786/100)^2,2))</f>
        <v/>
      </c>
      <c r="K786" s="12">
        <f>IF(OR($S786="",$J786="",$T786="",$T786&lt;0,$T786&gt;228,$Y786=""),"—",ROUND(IF(ABS($AB786)&lt;=3,$AB786,IF($AB786&gt;3,3+($J786-$AD786)/($AD786-$AC786),-3+($J786-$AF786)/($AE786-$AF786))),2))</f>
        <v/>
      </c>
      <c r="L786">
        <f>IF(OR($K786="",$K786="—"),"",IF($T786&lt;=60,IF($K786&lt;-3,"Magreza acentuada",IF($K786&lt;-2,"Magreza",IF($K786&lt;=1,"Eutrofia",IF($K786&lt;=2,"Risco de sobrepeso",IF($K786&lt;=3,"Sobrepeso","Obesidade"))))),IF($K786&lt;-3,"Magreza acentuada",IF($K786&lt;-2,"Magreza",IF($K786&lt;=1,"Eutrofia",IF($K786&lt;=2,"Sobrepeso",IF($K786&lt;=3,"Obesidade","Obesidade grave")))))))</f>
        <v/>
      </c>
      <c r="M786" s="12">
        <f>IF(OR($S786="",$V786="",$T786="",$T786&lt;0,$T786&gt;228,$AG786=""),"—",ROUND(IF($AG786=0,LN($V786/$AH786)/$AI786,((($V786/$AH786)^$AG786)-1)/($AG786*$AI786)),2))</f>
        <v/>
      </c>
      <c r="N786">
        <f>IF(OR($M786="",$M786="—"),"",IF($M786&lt;-3,"Muito baixa",IF($M786&lt;-2,"Baixa","Adequada")))</f>
        <v/>
      </c>
      <c r="O786" s="12">
        <f>IF(OR($S786="",$F786="",$T786="",$T786&lt;0,$T786&gt;120,$AJ786=""),"—",ROUND(IF(ABS($AM786)&lt;=3,$AM786,IF($AM786&gt;3,3+($F786-$AO786)/($AO786-$AN786),-3+($F786-$AQ786)/($AP786-$AQ786))),2))</f>
        <v/>
      </c>
      <c r="P786">
        <f>IF(OR($O786="",$O786="—"),"",IF($O786&lt;-3,"Muito baixo",IF($O786&lt;-2,"Baixo",IF($O786&lt;=2,"Adequado","Elevado"))))</f>
        <v/>
      </c>
      <c r="Q786" s="12">
        <f>IF(OR($S786="",$F786="",$T786="",$T786&lt;0,$T786&gt;60,$AR786=""),"—",ROUND(IF(ABS($AU786)&lt;=3,$AU786,IF($AU786&gt;3,3+($F786-$AW786)/($AW786-$AV786),-3+($F786-$AY786)/($AX786-$AY786))),2))</f>
        <v/>
      </c>
      <c r="R786">
        <f>IF(OR($Q786="",$Q786="—"),"",IF($Q786&lt;-3,"Magreza acentuada",IF($Q786&lt;-2,"Magreza",IF($Q786&lt;=1,"Eutrofia",IF($Q786&lt;=2,"Risco de sobrepeso",IF($Q786&lt;=3,"Sobrepeso","Obesidade"))))))</f>
        <v/>
      </c>
      <c r="S786">
        <f>IF($C786="","",IF(UPPER(LEFT($C786,1))="M",1,IF(UPPER(LEFT($C786,1))="F",2,"")))</f>
        <v/>
      </c>
      <c r="T786">
        <f>IF(OR($D786="",$E786=""),"",DATEDIF($D786,$E786,"m"))</f>
        <v/>
      </c>
      <c r="U786">
        <f>IF(OR($D786="",$E786=""),"",$E786-$D786)</f>
        <v/>
      </c>
      <c r="V786">
        <f>IF(OR($G786="",$T786=""),"",IF($T786&lt;24,IF(LEFT(LOWER($H786),4)="em p",$G786+0.7,$G786),IF(LEFT(LOWER($H786),4)="deit",$G786-0.7,$G786)))</f>
        <v/>
      </c>
      <c r="W786">
        <f>IF(OR($S786="",$T786=""),"",$S786*1000000+IF($T786&lt;=60,$U786,$T786))</f>
        <v/>
      </c>
      <c r="X786">
        <f>IF(OR($S786="",$V786="",$T786&gt;60,$T786=""),"",$S786*1000000+ROUND($V786*10,0))</f>
        <v/>
      </c>
      <c r="Y786">
        <f>IF($W786="","",IFERROR(INDEX(IF($T786&lt;=60,imc05_l,imc519_l),MATCH($W786,IF($T786&lt;=60,imc05_k,imc519_k),1)),""))</f>
        <v/>
      </c>
      <c r="Z786">
        <f>IF($W786="","",IFERROR(INDEX(IF($T786&lt;=60,imc05_m,imc519_m),MATCH($W786,IF($T786&lt;=60,imc05_k,imc519_k),1)),""))</f>
        <v/>
      </c>
      <c r="AA786">
        <f>IF($W786="","",IFERROR(INDEX(IF($T786&lt;=60,imc05_s,imc519_s),MATCH($W786,IF($T786&lt;=60,imc05_k,imc519_k),1)),""))</f>
        <v/>
      </c>
      <c r="AB786">
        <f>IF($Y786="","",IF($Y786=0,LN($J786/$Z786)/$AA786,((($J786/$Z786)^$Y786)-1)/($Y786*$AA786)))</f>
        <v/>
      </c>
      <c r="AC786">
        <f>IF($Y786="","",IF($Y786=0,$Z786*EXP($AA786*2),$Z786*(1+$Y786*$AA786*2)^(1/$Y786)))</f>
        <v/>
      </c>
      <c r="AD786">
        <f>IF($Y786="","",IF($Y786=0,$Z786*EXP($AA786*3),$Z786*(1+$Y786*$AA786*3)^(1/$Y786)))</f>
        <v/>
      </c>
      <c r="AE786">
        <f>IF($Y786="","",IF($Y786=0,$Z786*EXP($AA786*-2),$Z786*(1+$Y786*$AA786*-2)^(1/$Y786)))</f>
        <v/>
      </c>
      <c r="AF786">
        <f>IF($Y786="","",IF($Y786=0,$Z786*EXP($AA786*-3),$Z786*(1+$Y786*$AA786*-3)^(1/$Y786)))</f>
        <v/>
      </c>
      <c r="AG786">
        <f>IF($W786="","",IFERROR(INDEX(IF($T786&lt;=60,est05_l,est519_l),MATCH($W786,IF($T786&lt;=60,est05_k,est519_k),1)),""))</f>
        <v/>
      </c>
      <c r="AH786">
        <f>IF($W786="","",IFERROR(INDEX(IF($T786&lt;=60,est05_m,est519_m),MATCH($W786,IF($T786&lt;=60,est05_k,est519_k),1)),""))</f>
        <v/>
      </c>
      <c r="AI786">
        <f>IF($W786="","",IFERROR(INDEX(IF($T786&lt;=60,est05_s,est519_s),MATCH($W786,IF($T786&lt;=60,est05_k,est519_k),1)),""))</f>
        <v/>
      </c>
      <c r="AJ786">
        <f>IF($W786="","",IFERROR(INDEX(IF($T786&lt;=60,peso05_l,peso510_l),MATCH($W786,IF($T786&lt;=60,peso05_k,peso510_k),1)),""))</f>
        <v/>
      </c>
      <c r="AK786">
        <f>IF($W786="","",IFERROR(INDEX(IF($T786&lt;=60,peso05_m,peso510_m),MATCH($W786,IF($T786&lt;=60,peso05_k,peso510_k),1)),""))</f>
        <v/>
      </c>
      <c r="AL786">
        <f>IF($W786="","",IFERROR(INDEX(IF($T786&lt;=60,peso05_s,peso510_s),MATCH($W786,IF($T786&lt;=60,peso05_k,peso510_k),1)),""))</f>
        <v/>
      </c>
      <c r="AM786">
        <f>IF($AJ786="","",IF($AJ786=0,LN($F786/$AK786)/$AL786,((($F786/$AK786)^$AJ786)-1)/($AJ786*$AL786)))</f>
        <v/>
      </c>
      <c r="AN786">
        <f>IF($AJ786="","",IF($AJ786=0,$AK786*EXP($AL786*2),$AK786*(1+$AJ786*$AL786*2)^(1/$AJ786)))</f>
        <v/>
      </c>
      <c r="AO786">
        <f>IF($AJ786="","",IF($AJ786=0,$AK786*EXP($AL786*3),$AK786*(1+$AJ786*$AL786*3)^(1/$AJ786)))</f>
        <v/>
      </c>
      <c r="AP786">
        <f>IF($AJ786="","",IF($AJ786=0,$AK786*EXP($AL786*-2),$AK786*(1+$AJ786*$AL786*-2)^(1/$AJ786)))</f>
        <v/>
      </c>
      <c r="AQ786">
        <f>IF($AJ786="","",IF($AJ786=0,$AK786*EXP($AL786*-3),$AK786*(1+$AJ786*$AL786*-3)^(1/$AJ786)))</f>
        <v/>
      </c>
      <c r="AR786">
        <f>IF(OR($X786="",$T786&gt;60),"",IFERROR(INDEX(IF($T786&lt;24,pcomp_l,palt_l),MATCH($X786,IF($T786&lt;24,pcomp_k,palt_k),1)),""))</f>
        <v/>
      </c>
      <c r="AS786">
        <f>IF(OR($X786="",$T786&gt;60),"",IFERROR(INDEX(IF($T786&lt;24,pcomp_m,palt_m),MATCH($X786,IF($T786&lt;24,pcomp_k,palt_k),1)),""))</f>
        <v/>
      </c>
      <c r="AT786">
        <f>IF(OR($X786="",$T786&gt;60),"",IFERROR(INDEX(IF($T786&lt;24,pcomp_s,palt_s),MATCH($X786,IF($T786&lt;24,pcomp_k,palt_k),1)),""))</f>
        <v/>
      </c>
      <c r="AU786">
        <f>IF($AR786="","",IF($AR786=0,LN($F786/$AS786)/$AT786,((($F786/$AS786)^$AR786)-1)/($AR786*$AT786)))</f>
        <v/>
      </c>
      <c r="AV786">
        <f>IF($AR786="","",IF($AR786=0,$AS786*EXP($AT786*2),$AS786*(1+$AR786*$AT786*2)^(1/$AR786)))</f>
        <v/>
      </c>
      <c r="AW786">
        <f>IF($AR786="","",IF($AR786=0,$AS786*EXP($AT786*3),$AS786*(1+$AR786*$AT786*3)^(1/$AR786)))</f>
        <v/>
      </c>
      <c r="AX786">
        <f>IF($AR786="","",IF($AR786=0,$AS786*EXP($AT786*-2),$AS786*(1+$AR786*$AT786*-2)^(1/$AR786)))</f>
        <v/>
      </c>
      <c r="AY786">
        <f>IF($AR786="","",IF($AR786=0,$AS786*EXP($AT786*-3),$AS786*(1+$AR786*$AT786*-3)^(1/$AR786)))</f>
        <v/>
      </c>
      <c r="AZ786">
        <f>IF(OR($A786="",$A786&lt;&gt;Ficha!$C$4),"",COUNTIF($A$2:$A786,Ficha!$C$4))</f>
        <v/>
      </c>
    </row>
    <row r="787">
      <c r="A787" s="8">
        <f>IF(INDEX(Banco!$A:$A,ROW())="","",INDEX(Banco!$A:$A,ROW()))</f>
        <v/>
      </c>
      <c r="B787" s="8">
        <f>IF(INDEX(Banco!$B:$B,ROW())="","",INDEX(Banco!$B:$B,ROW()))</f>
        <v/>
      </c>
      <c r="C787" s="8">
        <f>IF(INDEX(Banco!$C:$C,ROW())="","",INDEX(Banco!$C:$C,ROW()))</f>
        <v/>
      </c>
      <c r="D787" s="9">
        <f>IF(INDEX(Banco!$D:$D,ROW())="","",INDEX(Banco!$D:$D,ROW()))</f>
        <v/>
      </c>
      <c r="E787" s="9">
        <f>IF(INDEX(Banco!$E:$E,ROW())="","",INDEX(Banco!$E:$E,ROW()))</f>
        <v/>
      </c>
      <c r="F787" s="10">
        <f>IF(INDEX(Banco!$F:$F,ROW())="","",INDEX(Banco!$F:$F,ROW()))</f>
        <v/>
      </c>
      <c r="G787" s="10">
        <f>IF(INDEX(Banco!$G:$G,ROW())="","",INDEX(Banco!$G:$G,ROW()))</f>
        <v/>
      </c>
      <c r="H787" s="8">
        <f>IF(INDEX(Banco!$H:$H,ROW())="","",INDEX(Banco!$H:$H,ROW()))</f>
        <v/>
      </c>
      <c r="I787">
        <f>IF($T787="","",INT($T787/12)&amp;"a "&amp;MOD($T787,12)&amp;"m")</f>
        <v/>
      </c>
      <c r="J787" s="11">
        <f>IF(OR($F787="",$G787=""),"",ROUND($F787/($G787/100)^2,2))</f>
        <v/>
      </c>
      <c r="K787" s="12">
        <f>IF(OR($S787="",$J787="",$T787="",$T787&lt;0,$T787&gt;228,$Y787=""),"—",ROUND(IF(ABS($AB787)&lt;=3,$AB787,IF($AB787&gt;3,3+($J787-$AD787)/($AD787-$AC787),-3+($J787-$AF787)/($AE787-$AF787))),2))</f>
        <v/>
      </c>
      <c r="L787">
        <f>IF(OR($K787="",$K787="—"),"",IF($T787&lt;=60,IF($K787&lt;-3,"Magreza acentuada",IF($K787&lt;-2,"Magreza",IF($K787&lt;=1,"Eutrofia",IF($K787&lt;=2,"Risco de sobrepeso",IF($K787&lt;=3,"Sobrepeso","Obesidade"))))),IF($K787&lt;-3,"Magreza acentuada",IF($K787&lt;-2,"Magreza",IF($K787&lt;=1,"Eutrofia",IF($K787&lt;=2,"Sobrepeso",IF($K787&lt;=3,"Obesidade","Obesidade grave")))))))</f>
        <v/>
      </c>
      <c r="M787" s="12">
        <f>IF(OR($S787="",$V787="",$T787="",$T787&lt;0,$T787&gt;228,$AG787=""),"—",ROUND(IF($AG787=0,LN($V787/$AH787)/$AI787,((($V787/$AH787)^$AG787)-1)/($AG787*$AI787)),2))</f>
        <v/>
      </c>
      <c r="N787">
        <f>IF(OR($M787="",$M787="—"),"",IF($M787&lt;-3,"Muito baixa",IF($M787&lt;-2,"Baixa","Adequada")))</f>
        <v/>
      </c>
      <c r="O787" s="12">
        <f>IF(OR($S787="",$F787="",$T787="",$T787&lt;0,$T787&gt;120,$AJ787=""),"—",ROUND(IF(ABS($AM787)&lt;=3,$AM787,IF($AM787&gt;3,3+($F787-$AO787)/($AO787-$AN787),-3+($F787-$AQ787)/($AP787-$AQ787))),2))</f>
        <v/>
      </c>
      <c r="P787">
        <f>IF(OR($O787="",$O787="—"),"",IF($O787&lt;-3,"Muito baixo",IF($O787&lt;-2,"Baixo",IF($O787&lt;=2,"Adequado","Elevado"))))</f>
        <v/>
      </c>
      <c r="Q787" s="12">
        <f>IF(OR($S787="",$F787="",$T787="",$T787&lt;0,$T787&gt;60,$AR787=""),"—",ROUND(IF(ABS($AU787)&lt;=3,$AU787,IF($AU787&gt;3,3+($F787-$AW787)/($AW787-$AV787),-3+($F787-$AY787)/($AX787-$AY787))),2))</f>
        <v/>
      </c>
      <c r="R787">
        <f>IF(OR($Q787="",$Q787="—"),"",IF($Q787&lt;-3,"Magreza acentuada",IF($Q787&lt;-2,"Magreza",IF($Q787&lt;=1,"Eutrofia",IF($Q787&lt;=2,"Risco de sobrepeso",IF($Q787&lt;=3,"Sobrepeso","Obesidade"))))))</f>
        <v/>
      </c>
      <c r="S787">
        <f>IF($C787="","",IF(UPPER(LEFT($C787,1))="M",1,IF(UPPER(LEFT($C787,1))="F",2,"")))</f>
        <v/>
      </c>
      <c r="T787">
        <f>IF(OR($D787="",$E787=""),"",DATEDIF($D787,$E787,"m"))</f>
        <v/>
      </c>
      <c r="U787">
        <f>IF(OR($D787="",$E787=""),"",$E787-$D787)</f>
        <v/>
      </c>
      <c r="V787">
        <f>IF(OR($G787="",$T787=""),"",IF($T787&lt;24,IF(LEFT(LOWER($H787),4)="em p",$G787+0.7,$G787),IF(LEFT(LOWER($H787),4)="deit",$G787-0.7,$G787)))</f>
        <v/>
      </c>
      <c r="W787">
        <f>IF(OR($S787="",$T787=""),"",$S787*1000000+IF($T787&lt;=60,$U787,$T787))</f>
        <v/>
      </c>
      <c r="X787">
        <f>IF(OR($S787="",$V787="",$T787&gt;60,$T787=""),"",$S787*1000000+ROUND($V787*10,0))</f>
        <v/>
      </c>
      <c r="Y787">
        <f>IF($W787="","",IFERROR(INDEX(IF($T787&lt;=60,imc05_l,imc519_l),MATCH($W787,IF($T787&lt;=60,imc05_k,imc519_k),1)),""))</f>
        <v/>
      </c>
      <c r="Z787">
        <f>IF($W787="","",IFERROR(INDEX(IF($T787&lt;=60,imc05_m,imc519_m),MATCH($W787,IF($T787&lt;=60,imc05_k,imc519_k),1)),""))</f>
        <v/>
      </c>
      <c r="AA787">
        <f>IF($W787="","",IFERROR(INDEX(IF($T787&lt;=60,imc05_s,imc519_s),MATCH($W787,IF($T787&lt;=60,imc05_k,imc519_k),1)),""))</f>
        <v/>
      </c>
      <c r="AB787">
        <f>IF($Y787="","",IF($Y787=0,LN($J787/$Z787)/$AA787,((($J787/$Z787)^$Y787)-1)/($Y787*$AA787)))</f>
        <v/>
      </c>
      <c r="AC787">
        <f>IF($Y787="","",IF($Y787=0,$Z787*EXP($AA787*2),$Z787*(1+$Y787*$AA787*2)^(1/$Y787)))</f>
        <v/>
      </c>
      <c r="AD787">
        <f>IF($Y787="","",IF($Y787=0,$Z787*EXP($AA787*3),$Z787*(1+$Y787*$AA787*3)^(1/$Y787)))</f>
        <v/>
      </c>
      <c r="AE787">
        <f>IF($Y787="","",IF($Y787=0,$Z787*EXP($AA787*-2),$Z787*(1+$Y787*$AA787*-2)^(1/$Y787)))</f>
        <v/>
      </c>
      <c r="AF787">
        <f>IF($Y787="","",IF($Y787=0,$Z787*EXP($AA787*-3),$Z787*(1+$Y787*$AA787*-3)^(1/$Y787)))</f>
        <v/>
      </c>
      <c r="AG787">
        <f>IF($W787="","",IFERROR(INDEX(IF($T787&lt;=60,est05_l,est519_l),MATCH($W787,IF($T787&lt;=60,est05_k,est519_k),1)),""))</f>
        <v/>
      </c>
      <c r="AH787">
        <f>IF($W787="","",IFERROR(INDEX(IF($T787&lt;=60,est05_m,est519_m),MATCH($W787,IF($T787&lt;=60,est05_k,est519_k),1)),""))</f>
        <v/>
      </c>
      <c r="AI787">
        <f>IF($W787="","",IFERROR(INDEX(IF($T787&lt;=60,est05_s,est519_s),MATCH($W787,IF($T787&lt;=60,est05_k,est519_k),1)),""))</f>
        <v/>
      </c>
      <c r="AJ787">
        <f>IF($W787="","",IFERROR(INDEX(IF($T787&lt;=60,peso05_l,peso510_l),MATCH($W787,IF($T787&lt;=60,peso05_k,peso510_k),1)),""))</f>
        <v/>
      </c>
      <c r="AK787">
        <f>IF($W787="","",IFERROR(INDEX(IF($T787&lt;=60,peso05_m,peso510_m),MATCH($W787,IF($T787&lt;=60,peso05_k,peso510_k),1)),""))</f>
        <v/>
      </c>
      <c r="AL787">
        <f>IF($W787="","",IFERROR(INDEX(IF($T787&lt;=60,peso05_s,peso510_s),MATCH($W787,IF($T787&lt;=60,peso05_k,peso510_k),1)),""))</f>
        <v/>
      </c>
      <c r="AM787">
        <f>IF($AJ787="","",IF($AJ787=0,LN($F787/$AK787)/$AL787,((($F787/$AK787)^$AJ787)-1)/($AJ787*$AL787)))</f>
        <v/>
      </c>
      <c r="AN787">
        <f>IF($AJ787="","",IF($AJ787=0,$AK787*EXP($AL787*2),$AK787*(1+$AJ787*$AL787*2)^(1/$AJ787)))</f>
        <v/>
      </c>
      <c r="AO787">
        <f>IF($AJ787="","",IF($AJ787=0,$AK787*EXP($AL787*3),$AK787*(1+$AJ787*$AL787*3)^(1/$AJ787)))</f>
        <v/>
      </c>
      <c r="AP787">
        <f>IF($AJ787="","",IF($AJ787=0,$AK787*EXP($AL787*-2),$AK787*(1+$AJ787*$AL787*-2)^(1/$AJ787)))</f>
        <v/>
      </c>
      <c r="AQ787">
        <f>IF($AJ787="","",IF($AJ787=0,$AK787*EXP($AL787*-3),$AK787*(1+$AJ787*$AL787*-3)^(1/$AJ787)))</f>
        <v/>
      </c>
      <c r="AR787">
        <f>IF(OR($X787="",$T787&gt;60),"",IFERROR(INDEX(IF($T787&lt;24,pcomp_l,palt_l),MATCH($X787,IF($T787&lt;24,pcomp_k,palt_k),1)),""))</f>
        <v/>
      </c>
      <c r="AS787">
        <f>IF(OR($X787="",$T787&gt;60),"",IFERROR(INDEX(IF($T787&lt;24,pcomp_m,palt_m),MATCH($X787,IF($T787&lt;24,pcomp_k,palt_k),1)),""))</f>
        <v/>
      </c>
      <c r="AT787">
        <f>IF(OR($X787="",$T787&gt;60),"",IFERROR(INDEX(IF($T787&lt;24,pcomp_s,palt_s),MATCH($X787,IF($T787&lt;24,pcomp_k,palt_k),1)),""))</f>
        <v/>
      </c>
      <c r="AU787">
        <f>IF($AR787="","",IF($AR787=0,LN($F787/$AS787)/$AT787,((($F787/$AS787)^$AR787)-1)/($AR787*$AT787)))</f>
        <v/>
      </c>
      <c r="AV787">
        <f>IF($AR787="","",IF($AR787=0,$AS787*EXP($AT787*2),$AS787*(1+$AR787*$AT787*2)^(1/$AR787)))</f>
        <v/>
      </c>
      <c r="AW787">
        <f>IF($AR787="","",IF($AR787=0,$AS787*EXP($AT787*3),$AS787*(1+$AR787*$AT787*3)^(1/$AR787)))</f>
        <v/>
      </c>
      <c r="AX787">
        <f>IF($AR787="","",IF($AR787=0,$AS787*EXP($AT787*-2),$AS787*(1+$AR787*$AT787*-2)^(1/$AR787)))</f>
        <v/>
      </c>
      <c r="AY787">
        <f>IF($AR787="","",IF($AR787=0,$AS787*EXP($AT787*-3),$AS787*(1+$AR787*$AT787*-3)^(1/$AR787)))</f>
        <v/>
      </c>
      <c r="AZ787">
        <f>IF(OR($A787="",$A787&lt;&gt;Ficha!$C$4),"",COUNTIF($A$2:$A787,Ficha!$C$4))</f>
        <v/>
      </c>
    </row>
    <row r="788">
      <c r="A788" s="8">
        <f>IF(INDEX(Banco!$A:$A,ROW())="","",INDEX(Banco!$A:$A,ROW()))</f>
        <v/>
      </c>
      <c r="B788" s="8">
        <f>IF(INDEX(Banco!$B:$B,ROW())="","",INDEX(Banco!$B:$B,ROW()))</f>
        <v/>
      </c>
      <c r="C788" s="8">
        <f>IF(INDEX(Banco!$C:$C,ROW())="","",INDEX(Banco!$C:$C,ROW()))</f>
        <v/>
      </c>
      <c r="D788" s="9">
        <f>IF(INDEX(Banco!$D:$D,ROW())="","",INDEX(Banco!$D:$D,ROW()))</f>
        <v/>
      </c>
      <c r="E788" s="9">
        <f>IF(INDEX(Banco!$E:$E,ROW())="","",INDEX(Banco!$E:$E,ROW()))</f>
        <v/>
      </c>
      <c r="F788" s="10">
        <f>IF(INDEX(Banco!$F:$F,ROW())="","",INDEX(Banco!$F:$F,ROW()))</f>
        <v/>
      </c>
      <c r="G788" s="10">
        <f>IF(INDEX(Banco!$G:$G,ROW())="","",INDEX(Banco!$G:$G,ROW()))</f>
        <v/>
      </c>
      <c r="H788" s="8">
        <f>IF(INDEX(Banco!$H:$H,ROW())="","",INDEX(Banco!$H:$H,ROW()))</f>
        <v/>
      </c>
      <c r="I788">
        <f>IF($T788="","",INT($T788/12)&amp;"a "&amp;MOD($T788,12)&amp;"m")</f>
        <v/>
      </c>
      <c r="J788" s="11">
        <f>IF(OR($F788="",$G788=""),"",ROUND($F788/($G788/100)^2,2))</f>
        <v/>
      </c>
      <c r="K788" s="12">
        <f>IF(OR($S788="",$J788="",$T788="",$T788&lt;0,$T788&gt;228,$Y788=""),"—",ROUND(IF(ABS($AB788)&lt;=3,$AB788,IF($AB788&gt;3,3+($J788-$AD788)/($AD788-$AC788),-3+($J788-$AF788)/($AE788-$AF788))),2))</f>
        <v/>
      </c>
      <c r="L788">
        <f>IF(OR($K788="",$K788="—"),"",IF($T788&lt;=60,IF($K788&lt;-3,"Magreza acentuada",IF($K788&lt;-2,"Magreza",IF($K788&lt;=1,"Eutrofia",IF($K788&lt;=2,"Risco de sobrepeso",IF($K788&lt;=3,"Sobrepeso","Obesidade"))))),IF($K788&lt;-3,"Magreza acentuada",IF($K788&lt;-2,"Magreza",IF($K788&lt;=1,"Eutrofia",IF($K788&lt;=2,"Sobrepeso",IF($K788&lt;=3,"Obesidade","Obesidade grave")))))))</f>
        <v/>
      </c>
      <c r="M788" s="12">
        <f>IF(OR($S788="",$V788="",$T788="",$T788&lt;0,$T788&gt;228,$AG788=""),"—",ROUND(IF($AG788=0,LN($V788/$AH788)/$AI788,((($V788/$AH788)^$AG788)-1)/($AG788*$AI788)),2))</f>
        <v/>
      </c>
      <c r="N788">
        <f>IF(OR($M788="",$M788="—"),"",IF($M788&lt;-3,"Muito baixa",IF($M788&lt;-2,"Baixa","Adequada")))</f>
        <v/>
      </c>
      <c r="O788" s="12">
        <f>IF(OR($S788="",$F788="",$T788="",$T788&lt;0,$T788&gt;120,$AJ788=""),"—",ROUND(IF(ABS($AM788)&lt;=3,$AM788,IF($AM788&gt;3,3+($F788-$AO788)/($AO788-$AN788),-3+($F788-$AQ788)/($AP788-$AQ788))),2))</f>
        <v/>
      </c>
      <c r="P788">
        <f>IF(OR($O788="",$O788="—"),"",IF($O788&lt;-3,"Muito baixo",IF($O788&lt;-2,"Baixo",IF($O788&lt;=2,"Adequado","Elevado"))))</f>
        <v/>
      </c>
      <c r="Q788" s="12">
        <f>IF(OR($S788="",$F788="",$T788="",$T788&lt;0,$T788&gt;60,$AR788=""),"—",ROUND(IF(ABS($AU788)&lt;=3,$AU788,IF($AU788&gt;3,3+($F788-$AW788)/($AW788-$AV788),-3+($F788-$AY788)/($AX788-$AY788))),2))</f>
        <v/>
      </c>
      <c r="R788">
        <f>IF(OR($Q788="",$Q788="—"),"",IF($Q788&lt;-3,"Magreza acentuada",IF($Q788&lt;-2,"Magreza",IF($Q788&lt;=1,"Eutrofia",IF($Q788&lt;=2,"Risco de sobrepeso",IF($Q788&lt;=3,"Sobrepeso","Obesidade"))))))</f>
        <v/>
      </c>
      <c r="S788">
        <f>IF($C788="","",IF(UPPER(LEFT($C788,1))="M",1,IF(UPPER(LEFT($C788,1))="F",2,"")))</f>
        <v/>
      </c>
      <c r="T788">
        <f>IF(OR($D788="",$E788=""),"",DATEDIF($D788,$E788,"m"))</f>
        <v/>
      </c>
      <c r="U788">
        <f>IF(OR($D788="",$E788=""),"",$E788-$D788)</f>
        <v/>
      </c>
      <c r="V788">
        <f>IF(OR($G788="",$T788=""),"",IF($T788&lt;24,IF(LEFT(LOWER($H788),4)="em p",$G788+0.7,$G788),IF(LEFT(LOWER($H788),4)="deit",$G788-0.7,$G788)))</f>
        <v/>
      </c>
      <c r="W788">
        <f>IF(OR($S788="",$T788=""),"",$S788*1000000+IF($T788&lt;=60,$U788,$T788))</f>
        <v/>
      </c>
      <c r="X788">
        <f>IF(OR($S788="",$V788="",$T788&gt;60,$T788=""),"",$S788*1000000+ROUND($V788*10,0))</f>
        <v/>
      </c>
      <c r="Y788">
        <f>IF($W788="","",IFERROR(INDEX(IF($T788&lt;=60,imc05_l,imc519_l),MATCH($W788,IF($T788&lt;=60,imc05_k,imc519_k),1)),""))</f>
        <v/>
      </c>
      <c r="Z788">
        <f>IF($W788="","",IFERROR(INDEX(IF($T788&lt;=60,imc05_m,imc519_m),MATCH($W788,IF($T788&lt;=60,imc05_k,imc519_k),1)),""))</f>
        <v/>
      </c>
      <c r="AA788">
        <f>IF($W788="","",IFERROR(INDEX(IF($T788&lt;=60,imc05_s,imc519_s),MATCH($W788,IF($T788&lt;=60,imc05_k,imc519_k),1)),""))</f>
        <v/>
      </c>
      <c r="AB788">
        <f>IF($Y788="","",IF($Y788=0,LN($J788/$Z788)/$AA788,((($J788/$Z788)^$Y788)-1)/($Y788*$AA788)))</f>
        <v/>
      </c>
      <c r="AC788">
        <f>IF($Y788="","",IF($Y788=0,$Z788*EXP($AA788*2),$Z788*(1+$Y788*$AA788*2)^(1/$Y788)))</f>
        <v/>
      </c>
      <c r="AD788">
        <f>IF($Y788="","",IF($Y788=0,$Z788*EXP($AA788*3),$Z788*(1+$Y788*$AA788*3)^(1/$Y788)))</f>
        <v/>
      </c>
      <c r="AE788">
        <f>IF($Y788="","",IF($Y788=0,$Z788*EXP($AA788*-2),$Z788*(1+$Y788*$AA788*-2)^(1/$Y788)))</f>
        <v/>
      </c>
      <c r="AF788">
        <f>IF($Y788="","",IF($Y788=0,$Z788*EXP($AA788*-3),$Z788*(1+$Y788*$AA788*-3)^(1/$Y788)))</f>
        <v/>
      </c>
      <c r="AG788">
        <f>IF($W788="","",IFERROR(INDEX(IF($T788&lt;=60,est05_l,est519_l),MATCH($W788,IF($T788&lt;=60,est05_k,est519_k),1)),""))</f>
        <v/>
      </c>
      <c r="AH788">
        <f>IF($W788="","",IFERROR(INDEX(IF($T788&lt;=60,est05_m,est519_m),MATCH($W788,IF($T788&lt;=60,est05_k,est519_k),1)),""))</f>
        <v/>
      </c>
      <c r="AI788">
        <f>IF($W788="","",IFERROR(INDEX(IF($T788&lt;=60,est05_s,est519_s),MATCH($W788,IF($T788&lt;=60,est05_k,est519_k),1)),""))</f>
        <v/>
      </c>
      <c r="AJ788">
        <f>IF($W788="","",IFERROR(INDEX(IF($T788&lt;=60,peso05_l,peso510_l),MATCH($W788,IF($T788&lt;=60,peso05_k,peso510_k),1)),""))</f>
        <v/>
      </c>
      <c r="AK788">
        <f>IF($W788="","",IFERROR(INDEX(IF($T788&lt;=60,peso05_m,peso510_m),MATCH($W788,IF($T788&lt;=60,peso05_k,peso510_k),1)),""))</f>
        <v/>
      </c>
      <c r="AL788">
        <f>IF($W788="","",IFERROR(INDEX(IF($T788&lt;=60,peso05_s,peso510_s),MATCH($W788,IF($T788&lt;=60,peso05_k,peso510_k),1)),""))</f>
        <v/>
      </c>
      <c r="AM788">
        <f>IF($AJ788="","",IF($AJ788=0,LN($F788/$AK788)/$AL788,((($F788/$AK788)^$AJ788)-1)/($AJ788*$AL788)))</f>
        <v/>
      </c>
      <c r="AN788">
        <f>IF($AJ788="","",IF($AJ788=0,$AK788*EXP($AL788*2),$AK788*(1+$AJ788*$AL788*2)^(1/$AJ788)))</f>
        <v/>
      </c>
      <c r="AO788">
        <f>IF($AJ788="","",IF($AJ788=0,$AK788*EXP($AL788*3),$AK788*(1+$AJ788*$AL788*3)^(1/$AJ788)))</f>
        <v/>
      </c>
      <c r="AP788">
        <f>IF($AJ788="","",IF($AJ788=0,$AK788*EXP($AL788*-2),$AK788*(1+$AJ788*$AL788*-2)^(1/$AJ788)))</f>
        <v/>
      </c>
      <c r="AQ788">
        <f>IF($AJ788="","",IF($AJ788=0,$AK788*EXP($AL788*-3),$AK788*(1+$AJ788*$AL788*-3)^(1/$AJ788)))</f>
        <v/>
      </c>
      <c r="AR788">
        <f>IF(OR($X788="",$T788&gt;60),"",IFERROR(INDEX(IF($T788&lt;24,pcomp_l,palt_l),MATCH($X788,IF($T788&lt;24,pcomp_k,palt_k),1)),""))</f>
        <v/>
      </c>
      <c r="AS788">
        <f>IF(OR($X788="",$T788&gt;60),"",IFERROR(INDEX(IF($T788&lt;24,pcomp_m,palt_m),MATCH($X788,IF($T788&lt;24,pcomp_k,palt_k),1)),""))</f>
        <v/>
      </c>
      <c r="AT788">
        <f>IF(OR($X788="",$T788&gt;60),"",IFERROR(INDEX(IF($T788&lt;24,pcomp_s,palt_s),MATCH($X788,IF($T788&lt;24,pcomp_k,palt_k),1)),""))</f>
        <v/>
      </c>
      <c r="AU788">
        <f>IF($AR788="","",IF($AR788=0,LN($F788/$AS788)/$AT788,((($F788/$AS788)^$AR788)-1)/($AR788*$AT788)))</f>
        <v/>
      </c>
      <c r="AV788">
        <f>IF($AR788="","",IF($AR788=0,$AS788*EXP($AT788*2),$AS788*(1+$AR788*$AT788*2)^(1/$AR788)))</f>
        <v/>
      </c>
      <c r="AW788">
        <f>IF($AR788="","",IF($AR788=0,$AS788*EXP($AT788*3),$AS788*(1+$AR788*$AT788*3)^(1/$AR788)))</f>
        <v/>
      </c>
      <c r="AX788">
        <f>IF($AR788="","",IF($AR788=0,$AS788*EXP($AT788*-2),$AS788*(1+$AR788*$AT788*-2)^(1/$AR788)))</f>
        <v/>
      </c>
      <c r="AY788">
        <f>IF($AR788="","",IF($AR788=0,$AS788*EXP($AT788*-3),$AS788*(1+$AR788*$AT788*-3)^(1/$AR788)))</f>
        <v/>
      </c>
      <c r="AZ788">
        <f>IF(OR($A788="",$A788&lt;&gt;Ficha!$C$4),"",COUNTIF($A$2:$A788,Ficha!$C$4))</f>
        <v/>
      </c>
    </row>
    <row r="789">
      <c r="A789" s="8">
        <f>IF(INDEX(Banco!$A:$A,ROW())="","",INDEX(Banco!$A:$A,ROW()))</f>
        <v/>
      </c>
      <c r="B789" s="8">
        <f>IF(INDEX(Banco!$B:$B,ROW())="","",INDEX(Banco!$B:$B,ROW()))</f>
        <v/>
      </c>
      <c r="C789" s="8">
        <f>IF(INDEX(Banco!$C:$C,ROW())="","",INDEX(Banco!$C:$C,ROW()))</f>
        <v/>
      </c>
      <c r="D789" s="9">
        <f>IF(INDEX(Banco!$D:$D,ROW())="","",INDEX(Banco!$D:$D,ROW()))</f>
        <v/>
      </c>
      <c r="E789" s="9">
        <f>IF(INDEX(Banco!$E:$E,ROW())="","",INDEX(Banco!$E:$E,ROW()))</f>
        <v/>
      </c>
      <c r="F789" s="10">
        <f>IF(INDEX(Banco!$F:$F,ROW())="","",INDEX(Banco!$F:$F,ROW()))</f>
        <v/>
      </c>
      <c r="G789" s="10">
        <f>IF(INDEX(Banco!$G:$G,ROW())="","",INDEX(Banco!$G:$G,ROW()))</f>
        <v/>
      </c>
      <c r="H789" s="8">
        <f>IF(INDEX(Banco!$H:$H,ROW())="","",INDEX(Banco!$H:$H,ROW()))</f>
        <v/>
      </c>
      <c r="I789">
        <f>IF($T789="","",INT($T789/12)&amp;"a "&amp;MOD($T789,12)&amp;"m")</f>
        <v/>
      </c>
      <c r="J789" s="11">
        <f>IF(OR($F789="",$G789=""),"",ROUND($F789/($G789/100)^2,2))</f>
        <v/>
      </c>
      <c r="K789" s="12">
        <f>IF(OR($S789="",$J789="",$T789="",$T789&lt;0,$T789&gt;228,$Y789=""),"—",ROUND(IF(ABS($AB789)&lt;=3,$AB789,IF($AB789&gt;3,3+($J789-$AD789)/($AD789-$AC789),-3+($J789-$AF789)/($AE789-$AF789))),2))</f>
        <v/>
      </c>
      <c r="L789">
        <f>IF(OR($K789="",$K789="—"),"",IF($T789&lt;=60,IF($K789&lt;-3,"Magreza acentuada",IF($K789&lt;-2,"Magreza",IF($K789&lt;=1,"Eutrofia",IF($K789&lt;=2,"Risco de sobrepeso",IF($K789&lt;=3,"Sobrepeso","Obesidade"))))),IF($K789&lt;-3,"Magreza acentuada",IF($K789&lt;-2,"Magreza",IF($K789&lt;=1,"Eutrofia",IF($K789&lt;=2,"Sobrepeso",IF($K789&lt;=3,"Obesidade","Obesidade grave")))))))</f>
        <v/>
      </c>
      <c r="M789" s="12">
        <f>IF(OR($S789="",$V789="",$T789="",$T789&lt;0,$T789&gt;228,$AG789=""),"—",ROUND(IF($AG789=0,LN($V789/$AH789)/$AI789,((($V789/$AH789)^$AG789)-1)/($AG789*$AI789)),2))</f>
        <v/>
      </c>
      <c r="N789">
        <f>IF(OR($M789="",$M789="—"),"",IF($M789&lt;-3,"Muito baixa",IF($M789&lt;-2,"Baixa","Adequada")))</f>
        <v/>
      </c>
      <c r="O789" s="12">
        <f>IF(OR($S789="",$F789="",$T789="",$T789&lt;0,$T789&gt;120,$AJ789=""),"—",ROUND(IF(ABS($AM789)&lt;=3,$AM789,IF($AM789&gt;3,3+($F789-$AO789)/($AO789-$AN789),-3+($F789-$AQ789)/($AP789-$AQ789))),2))</f>
        <v/>
      </c>
      <c r="P789">
        <f>IF(OR($O789="",$O789="—"),"",IF($O789&lt;-3,"Muito baixo",IF($O789&lt;-2,"Baixo",IF($O789&lt;=2,"Adequado","Elevado"))))</f>
        <v/>
      </c>
      <c r="Q789" s="12">
        <f>IF(OR($S789="",$F789="",$T789="",$T789&lt;0,$T789&gt;60,$AR789=""),"—",ROUND(IF(ABS($AU789)&lt;=3,$AU789,IF($AU789&gt;3,3+($F789-$AW789)/($AW789-$AV789),-3+($F789-$AY789)/($AX789-$AY789))),2))</f>
        <v/>
      </c>
      <c r="R789">
        <f>IF(OR($Q789="",$Q789="—"),"",IF($Q789&lt;-3,"Magreza acentuada",IF($Q789&lt;-2,"Magreza",IF($Q789&lt;=1,"Eutrofia",IF($Q789&lt;=2,"Risco de sobrepeso",IF($Q789&lt;=3,"Sobrepeso","Obesidade"))))))</f>
        <v/>
      </c>
      <c r="S789">
        <f>IF($C789="","",IF(UPPER(LEFT($C789,1))="M",1,IF(UPPER(LEFT($C789,1))="F",2,"")))</f>
        <v/>
      </c>
      <c r="T789">
        <f>IF(OR($D789="",$E789=""),"",DATEDIF($D789,$E789,"m"))</f>
        <v/>
      </c>
      <c r="U789">
        <f>IF(OR($D789="",$E789=""),"",$E789-$D789)</f>
        <v/>
      </c>
      <c r="V789">
        <f>IF(OR($G789="",$T789=""),"",IF($T789&lt;24,IF(LEFT(LOWER($H789),4)="em p",$G789+0.7,$G789),IF(LEFT(LOWER($H789),4)="deit",$G789-0.7,$G789)))</f>
        <v/>
      </c>
      <c r="W789">
        <f>IF(OR($S789="",$T789=""),"",$S789*1000000+IF($T789&lt;=60,$U789,$T789))</f>
        <v/>
      </c>
      <c r="X789">
        <f>IF(OR($S789="",$V789="",$T789&gt;60,$T789=""),"",$S789*1000000+ROUND($V789*10,0))</f>
        <v/>
      </c>
      <c r="Y789">
        <f>IF($W789="","",IFERROR(INDEX(IF($T789&lt;=60,imc05_l,imc519_l),MATCH($W789,IF($T789&lt;=60,imc05_k,imc519_k),1)),""))</f>
        <v/>
      </c>
      <c r="Z789">
        <f>IF($W789="","",IFERROR(INDEX(IF($T789&lt;=60,imc05_m,imc519_m),MATCH($W789,IF($T789&lt;=60,imc05_k,imc519_k),1)),""))</f>
        <v/>
      </c>
      <c r="AA789">
        <f>IF($W789="","",IFERROR(INDEX(IF($T789&lt;=60,imc05_s,imc519_s),MATCH($W789,IF($T789&lt;=60,imc05_k,imc519_k),1)),""))</f>
        <v/>
      </c>
      <c r="AB789">
        <f>IF($Y789="","",IF($Y789=0,LN($J789/$Z789)/$AA789,((($J789/$Z789)^$Y789)-1)/($Y789*$AA789)))</f>
        <v/>
      </c>
      <c r="AC789">
        <f>IF($Y789="","",IF($Y789=0,$Z789*EXP($AA789*2),$Z789*(1+$Y789*$AA789*2)^(1/$Y789)))</f>
        <v/>
      </c>
      <c r="AD789">
        <f>IF($Y789="","",IF($Y789=0,$Z789*EXP($AA789*3),$Z789*(1+$Y789*$AA789*3)^(1/$Y789)))</f>
        <v/>
      </c>
      <c r="AE789">
        <f>IF($Y789="","",IF($Y789=0,$Z789*EXP($AA789*-2),$Z789*(1+$Y789*$AA789*-2)^(1/$Y789)))</f>
        <v/>
      </c>
      <c r="AF789">
        <f>IF($Y789="","",IF($Y789=0,$Z789*EXP($AA789*-3),$Z789*(1+$Y789*$AA789*-3)^(1/$Y789)))</f>
        <v/>
      </c>
      <c r="AG789">
        <f>IF($W789="","",IFERROR(INDEX(IF($T789&lt;=60,est05_l,est519_l),MATCH($W789,IF($T789&lt;=60,est05_k,est519_k),1)),""))</f>
        <v/>
      </c>
      <c r="AH789">
        <f>IF($W789="","",IFERROR(INDEX(IF($T789&lt;=60,est05_m,est519_m),MATCH($W789,IF($T789&lt;=60,est05_k,est519_k),1)),""))</f>
        <v/>
      </c>
      <c r="AI789">
        <f>IF($W789="","",IFERROR(INDEX(IF($T789&lt;=60,est05_s,est519_s),MATCH($W789,IF($T789&lt;=60,est05_k,est519_k),1)),""))</f>
        <v/>
      </c>
      <c r="AJ789">
        <f>IF($W789="","",IFERROR(INDEX(IF($T789&lt;=60,peso05_l,peso510_l),MATCH($W789,IF($T789&lt;=60,peso05_k,peso510_k),1)),""))</f>
        <v/>
      </c>
      <c r="AK789">
        <f>IF($W789="","",IFERROR(INDEX(IF($T789&lt;=60,peso05_m,peso510_m),MATCH($W789,IF($T789&lt;=60,peso05_k,peso510_k),1)),""))</f>
        <v/>
      </c>
      <c r="AL789">
        <f>IF($W789="","",IFERROR(INDEX(IF($T789&lt;=60,peso05_s,peso510_s),MATCH($W789,IF($T789&lt;=60,peso05_k,peso510_k),1)),""))</f>
        <v/>
      </c>
      <c r="AM789">
        <f>IF($AJ789="","",IF($AJ789=0,LN($F789/$AK789)/$AL789,((($F789/$AK789)^$AJ789)-1)/($AJ789*$AL789)))</f>
        <v/>
      </c>
      <c r="AN789">
        <f>IF($AJ789="","",IF($AJ789=0,$AK789*EXP($AL789*2),$AK789*(1+$AJ789*$AL789*2)^(1/$AJ789)))</f>
        <v/>
      </c>
      <c r="AO789">
        <f>IF($AJ789="","",IF($AJ789=0,$AK789*EXP($AL789*3),$AK789*(1+$AJ789*$AL789*3)^(1/$AJ789)))</f>
        <v/>
      </c>
      <c r="AP789">
        <f>IF($AJ789="","",IF($AJ789=0,$AK789*EXP($AL789*-2),$AK789*(1+$AJ789*$AL789*-2)^(1/$AJ789)))</f>
        <v/>
      </c>
      <c r="AQ789">
        <f>IF($AJ789="","",IF($AJ789=0,$AK789*EXP($AL789*-3),$AK789*(1+$AJ789*$AL789*-3)^(1/$AJ789)))</f>
        <v/>
      </c>
      <c r="AR789">
        <f>IF(OR($X789="",$T789&gt;60),"",IFERROR(INDEX(IF($T789&lt;24,pcomp_l,palt_l),MATCH($X789,IF($T789&lt;24,pcomp_k,palt_k),1)),""))</f>
        <v/>
      </c>
      <c r="AS789">
        <f>IF(OR($X789="",$T789&gt;60),"",IFERROR(INDEX(IF($T789&lt;24,pcomp_m,palt_m),MATCH($X789,IF($T789&lt;24,pcomp_k,palt_k),1)),""))</f>
        <v/>
      </c>
      <c r="AT789">
        <f>IF(OR($X789="",$T789&gt;60),"",IFERROR(INDEX(IF($T789&lt;24,pcomp_s,palt_s),MATCH($X789,IF($T789&lt;24,pcomp_k,palt_k),1)),""))</f>
        <v/>
      </c>
      <c r="AU789">
        <f>IF($AR789="","",IF($AR789=0,LN($F789/$AS789)/$AT789,((($F789/$AS789)^$AR789)-1)/($AR789*$AT789)))</f>
        <v/>
      </c>
      <c r="AV789">
        <f>IF($AR789="","",IF($AR789=0,$AS789*EXP($AT789*2),$AS789*(1+$AR789*$AT789*2)^(1/$AR789)))</f>
        <v/>
      </c>
      <c r="AW789">
        <f>IF($AR789="","",IF($AR789=0,$AS789*EXP($AT789*3),$AS789*(1+$AR789*$AT789*3)^(1/$AR789)))</f>
        <v/>
      </c>
      <c r="AX789">
        <f>IF($AR789="","",IF($AR789=0,$AS789*EXP($AT789*-2),$AS789*(1+$AR789*$AT789*-2)^(1/$AR789)))</f>
        <v/>
      </c>
      <c r="AY789">
        <f>IF($AR789="","",IF($AR789=0,$AS789*EXP($AT789*-3),$AS789*(1+$AR789*$AT789*-3)^(1/$AR789)))</f>
        <v/>
      </c>
      <c r="AZ789">
        <f>IF(OR($A789="",$A789&lt;&gt;Ficha!$C$4),"",COUNTIF($A$2:$A789,Ficha!$C$4))</f>
        <v/>
      </c>
    </row>
    <row r="790">
      <c r="A790" s="8">
        <f>IF(INDEX(Banco!$A:$A,ROW())="","",INDEX(Banco!$A:$A,ROW()))</f>
        <v/>
      </c>
      <c r="B790" s="8">
        <f>IF(INDEX(Banco!$B:$B,ROW())="","",INDEX(Banco!$B:$B,ROW()))</f>
        <v/>
      </c>
      <c r="C790" s="8">
        <f>IF(INDEX(Banco!$C:$C,ROW())="","",INDEX(Banco!$C:$C,ROW()))</f>
        <v/>
      </c>
      <c r="D790" s="9">
        <f>IF(INDEX(Banco!$D:$D,ROW())="","",INDEX(Banco!$D:$D,ROW()))</f>
        <v/>
      </c>
      <c r="E790" s="9">
        <f>IF(INDEX(Banco!$E:$E,ROW())="","",INDEX(Banco!$E:$E,ROW()))</f>
        <v/>
      </c>
      <c r="F790" s="10">
        <f>IF(INDEX(Banco!$F:$F,ROW())="","",INDEX(Banco!$F:$F,ROW()))</f>
        <v/>
      </c>
      <c r="G790" s="10">
        <f>IF(INDEX(Banco!$G:$G,ROW())="","",INDEX(Banco!$G:$G,ROW()))</f>
        <v/>
      </c>
      <c r="H790" s="8">
        <f>IF(INDEX(Banco!$H:$H,ROW())="","",INDEX(Banco!$H:$H,ROW()))</f>
        <v/>
      </c>
      <c r="I790">
        <f>IF($T790="","",INT($T790/12)&amp;"a "&amp;MOD($T790,12)&amp;"m")</f>
        <v/>
      </c>
      <c r="J790" s="11">
        <f>IF(OR($F790="",$G790=""),"",ROUND($F790/($G790/100)^2,2))</f>
        <v/>
      </c>
      <c r="K790" s="12">
        <f>IF(OR($S790="",$J790="",$T790="",$T790&lt;0,$T790&gt;228,$Y790=""),"—",ROUND(IF(ABS($AB790)&lt;=3,$AB790,IF($AB790&gt;3,3+($J790-$AD790)/($AD790-$AC790),-3+($J790-$AF790)/($AE790-$AF790))),2))</f>
        <v/>
      </c>
      <c r="L790">
        <f>IF(OR($K790="",$K790="—"),"",IF($T790&lt;=60,IF($K790&lt;-3,"Magreza acentuada",IF($K790&lt;-2,"Magreza",IF($K790&lt;=1,"Eutrofia",IF($K790&lt;=2,"Risco de sobrepeso",IF($K790&lt;=3,"Sobrepeso","Obesidade"))))),IF($K790&lt;-3,"Magreza acentuada",IF($K790&lt;-2,"Magreza",IF($K790&lt;=1,"Eutrofia",IF($K790&lt;=2,"Sobrepeso",IF($K790&lt;=3,"Obesidade","Obesidade grave")))))))</f>
        <v/>
      </c>
      <c r="M790" s="12">
        <f>IF(OR($S790="",$V790="",$T790="",$T790&lt;0,$T790&gt;228,$AG790=""),"—",ROUND(IF($AG790=0,LN($V790/$AH790)/$AI790,((($V790/$AH790)^$AG790)-1)/($AG790*$AI790)),2))</f>
        <v/>
      </c>
      <c r="N790">
        <f>IF(OR($M790="",$M790="—"),"",IF($M790&lt;-3,"Muito baixa",IF($M790&lt;-2,"Baixa","Adequada")))</f>
        <v/>
      </c>
      <c r="O790" s="12">
        <f>IF(OR($S790="",$F790="",$T790="",$T790&lt;0,$T790&gt;120,$AJ790=""),"—",ROUND(IF(ABS($AM790)&lt;=3,$AM790,IF($AM790&gt;3,3+($F790-$AO790)/($AO790-$AN790),-3+($F790-$AQ790)/($AP790-$AQ790))),2))</f>
        <v/>
      </c>
      <c r="P790">
        <f>IF(OR($O790="",$O790="—"),"",IF($O790&lt;-3,"Muito baixo",IF($O790&lt;-2,"Baixo",IF($O790&lt;=2,"Adequado","Elevado"))))</f>
        <v/>
      </c>
      <c r="Q790" s="12">
        <f>IF(OR($S790="",$F790="",$T790="",$T790&lt;0,$T790&gt;60,$AR790=""),"—",ROUND(IF(ABS($AU790)&lt;=3,$AU790,IF($AU790&gt;3,3+($F790-$AW790)/($AW790-$AV790),-3+($F790-$AY790)/($AX790-$AY790))),2))</f>
        <v/>
      </c>
      <c r="R790">
        <f>IF(OR($Q790="",$Q790="—"),"",IF($Q790&lt;-3,"Magreza acentuada",IF($Q790&lt;-2,"Magreza",IF($Q790&lt;=1,"Eutrofia",IF($Q790&lt;=2,"Risco de sobrepeso",IF($Q790&lt;=3,"Sobrepeso","Obesidade"))))))</f>
        <v/>
      </c>
      <c r="S790">
        <f>IF($C790="","",IF(UPPER(LEFT($C790,1))="M",1,IF(UPPER(LEFT($C790,1))="F",2,"")))</f>
        <v/>
      </c>
      <c r="T790">
        <f>IF(OR($D790="",$E790=""),"",DATEDIF($D790,$E790,"m"))</f>
        <v/>
      </c>
      <c r="U790">
        <f>IF(OR($D790="",$E790=""),"",$E790-$D790)</f>
        <v/>
      </c>
      <c r="V790">
        <f>IF(OR($G790="",$T790=""),"",IF($T790&lt;24,IF(LEFT(LOWER($H790),4)="em p",$G790+0.7,$G790),IF(LEFT(LOWER($H790),4)="deit",$G790-0.7,$G790)))</f>
        <v/>
      </c>
      <c r="W790">
        <f>IF(OR($S790="",$T790=""),"",$S790*1000000+IF($T790&lt;=60,$U790,$T790))</f>
        <v/>
      </c>
      <c r="X790">
        <f>IF(OR($S790="",$V790="",$T790&gt;60,$T790=""),"",$S790*1000000+ROUND($V790*10,0))</f>
        <v/>
      </c>
      <c r="Y790">
        <f>IF($W790="","",IFERROR(INDEX(IF($T790&lt;=60,imc05_l,imc519_l),MATCH($W790,IF($T790&lt;=60,imc05_k,imc519_k),1)),""))</f>
        <v/>
      </c>
      <c r="Z790">
        <f>IF($W790="","",IFERROR(INDEX(IF($T790&lt;=60,imc05_m,imc519_m),MATCH($W790,IF($T790&lt;=60,imc05_k,imc519_k),1)),""))</f>
        <v/>
      </c>
      <c r="AA790">
        <f>IF($W790="","",IFERROR(INDEX(IF($T790&lt;=60,imc05_s,imc519_s),MATCH($W790,IF($T790&lt;=60,imc05_k,imc519_k),1)),""))</f>
        <v/>
      </c>
      <c r="AB790">
        <f>IF($Y790="","",IF($Y790=0,LN($J790/$Z790)/$AA790,((($J790/$Z790)^$Y790)-1)/($Y790*$AA790)))</f>
        <v/>
      </c>
      <c r="AC790">
        <f>IF($Y790="","",IF($Y790=0,$Z790*EXP($AA790*2),$Z790*(1+$Y790*$AA790*2)^(1/$Y790)))</f>
        <v/>
      </c>
      <c r="AD790">
        <f>IF($Y790="","",IF($Y790=0,$Z790*EXP($AA790*3),$Z790*(1+$Y790*$AA790*3)^(1/$Y790)))</f>
        <v/>
      </c>
      <c r="AE790">
        <f>IF($Y790="","",IF($Y790=0,$Z790*EXP($AA790*-2),$Z790*(1+$Y790*$AA790*-2)^(1/$Y790)))</f>
        <v/>
      </c>
      <c r="AF790">
        <f>IF($Y790="","",IF($Y790=0,$Z790*EXP($AA790*-3),$Z790*(1+$Y790*$AA790*-3)^(1/$Y790)))</f>
        <v/>
      </c>
      <c r="AG790">
        <f>IF($W790="","",IFERROR(INDEX(IF($T790&lt;=60,est05_l,est519_l),MATCH($W790,IF($T790&lt;=60,est05_k,est519_k),1)),""))</f>
        <v/>
      </c>
      <c r="AH790">
        <f>IF($W790="","",IFERROR(INDEX(IF($T790&lt;=60,est05_m,est519_m),MATCH($W790,IF($T790&lt;=60,est05_k,est519_k),1)),""))</f>
        <v/>
      </c>
      <c r="AI790">
        <f>IF($W790="","",IFERROR(INDEX(IF($T790&lt;=60,est05_s,est519_s),MATCH($W790,IF($T790&lt;=60,est05_k,est519_k),1)),""))</f>
        <v/>
      </c>
      <c r="AJ790">
        <f>IF($W790="","",IFERROR(INDEX(IF($T790&lt;=60,peso05_l,peso510_l),MATCH($W790,IF($T790&lt;=60,peso05_k,peso510_k),1)),""))</f>
        <v/>
      </c>
      <c r="AK790">
        <f>IF($W790="","",IFERROR(INDEX(IF($T790&lt;=60,peso05_m,peso510_m),MATCH($W790,IF($T790&lt;=60,peso05_k,peso510_k),1)),""))</f>
        <v/>
      </c>
      <c r="AL790">
        <f>IF($W790="","",IFERROR(INDEX(IF($T790&lt;=60,peso05_s,peso510_s),MATCH($W790,IF($T790&lt;=60,peso05_k,peso510_k),1)),""))</f>
        <v/>
      </c>
      <c r="AM790">
        <f>IF($AJ790="","",IF($AJ790=0,LN($F790/$AK790)/$AL790,((($F790/$AK790)^$AJ790)-1)/($AJ790*$AL790)))</f>
        <v/>
      </c>
      <c r="AN790">
        <f>IF($AJ790="","",IF($AJ790=0,$AK790*EXP($AL790*2),$AK790*(1+$AJ790*$AL790*2)^(1/$AJ790)))</f>
        <v/>
      </c>
      <c r="AO790">
        <f>IF($AJ790="","",IF($AJ790=0,$AK790*EXP($AL790*3),$AK790*(1+$AJ790*$AL790*3)^(1/$AJ790)))</f>
        <v/>
      </c>
      <c r="AP790">
        <f>IF($AJ790="","",IF($AJ790=0,$AK790*EXP($AL790*-2),$AK790*(1+$AJ790*$AL790*-2)^(1/$AJ790)))</f>
        <v/>
      </c>
      <c r="AQ790">
        <f>IF($AJ790="","",IF($AJ790=0,$AK790*EXP($AL790*-3),$AK790*(1+$AJ790*$AL790*-3)^(1/$AJ790)))</f>
        <v/>
      </c>
      <c r="AR790">
        <f>IF(OR($X790="",$T790&gt;60),"",IFERROR(INDEX(IF($T790&lt;24,pcomp_l,palt_l),MATCH($X790,IF($T790&lt;24,pcomp_k,palt_k),1)),""))</f>
        <v/>
      </c>
      <c r="AS790">
        <f>IF(OR($X790="",$T790&gt;60),"",IFERROR(INDEX(IF($T790&lt;24,pcomp_m,palt_m),MATCH($X790,IF($T790&lt;24,pcomp_k,palt_k),1)),""))</f>
        <v/>
      </c>
      <c r="AT790">
        <f>IF(OR($X790="",$T790&gt;60),"",IFERROR(INDEX(IF($T790&lt;24,pcomp_s,palt_s),MATCH($X790,IF($T790&lt;24,pcomp_k,palt_k),1)),""))</f>
        <v/>
      </c>
      <c r="AU790">
        <f>IF($AR790="","",IF($AR790=0,LN($F790/$AS790)/$AT790,((($F790/$AS790)^$AR790)-1)/($AR790*$AT790)))</f>
        <v/>
      </c>
      <c r="AV790">
        <f>IF($AR790="","",IF($AR790=0,$AS790*EXP($AT790*2),$AS790*(1+$AR790*$AT790*2)^(1/$AR790)))</f>
        <v/>
      </c>
      <c r="AW790">
        <f>IF($AR790="","",IF($AR790=0,$AS790*EXP($AT790*3),$AS790*(1+$AR790*$AT790*3)^(1/$AR790)))</f>
        <v/>
      </c>
      <c r="AX790">
        <f>IF($AR790="","",IF($AR790=0,$AS790*EXP($AT790*-2),$AS790*(1+$AR790*$AT790*-2)^(1/$AR790)))</f>
        <v/>
      </c>
      <c r="AY790">
        <f>IF($AR790="","",IF($AR790=0,$AS790*EXP($AT790*-3),$AS790*(1+$AR790*$AT790*-3)^(1/$AR790)))</f>
        <v/>
      </c>
      <c r="AZ790">
        <f>IF(OR($A790="",$A790&lt;&gt;Ficha!$C$4),"",COUNTIF($A$2:$A790,Ficha!$C$4))</f>
        <v/>
      </c>
    </row>
    <row r="791">
      <c r="A791" s="8">
        <f>IF(INDEX(Banco!$A:$A,ROW())="","",INDEX(Banco!$A:$A,ROW()))</f>
        <v/>
      </c>
      <c r="B791" s="8">
        <f>IF(INDEX(Banco!$B:$B,ROW())="","",INDEX(Banco!$B:$B,ROW()))</f>
        <v/>
      </c>
      <c r="C791" s="8">
        <f>IF(INDEX(Banco!$C:$C,ROW())="","",INDEX(Banco!$C:$C,ROW()))</f>
        <v/>
      </c>
      <c r="D791" s="9">
        <f>IF(INDEX(Banco!$D:$D,ROW())="","",INDEX(Banco!$D:$D,ROW()))</f>
        <v/>
      </c>
      <c r="E791" s="9">
        <f>IF(INDEX(Banco!$E:$E,ROW())="","",INDEX(Banco!$E:$E,ROW()))</f>
        <v/>
      </c>
      <c r="F791" s="10">
        <f>IF(INDEX(Banco!$F:$F,ROW())="","",INDEX(Banco!$F:$F,ROW()))</f>
        <v/>
      </c>
      <c r="G791" s="10">
        <f>IF(INDEX(Banco!$G:$G,ROW())="","",INDEX(Banco!$G:$G,ROW()))</f>
        <v/>
      </c>
      <c r="H791" s="8">
        <f>IF(INDEX(Banco!$H:$H,ROW())="","",INDEX(Banco!$H:$H,ROW()))</f>
        <v/>
      </c>
      <c r="I791">
        <f>IF($T791="","",INT($T791/12)&amp;"a "&amp;MOD($T791,12)&amp;"m")</f>
        <v/>
      </c>
      <c r="J791" s="11">
        <f>IF(OR($F791="",$G791=""),"",ROUND($F791/($G791/100)^2,2))</f>
        <v/>
      </c>
      <c r="K791" s="12">
        <f>IF(OR($S791="",$J791="",$T791="",$T791&lt;0,$T791&gt;228,$Y791=""),"—",ROUND(IF(ABS($AB791)&lt;=3,$AB791,IF($AB791&gt;3,3+($J791-$AD791)/($AD791-$AC791),-3+($J791-$AF791)/($AE791-$AF791))),2))</f>
        <v/>
      </c>
      <c r="L791">
        <f>IF(OR($K791="",$K791="—"),"",IF($T791&lt;=60,IF($K791&lt;-3,"Magreza acentuada",IF($K791&lt;-2,"Magreza",IF($K791&lt;=1,"Eutrofia",IF($K791&lt;=2,"Risco de sobrepeso",IF($K791&lt;=3,"Sobrepeso","Obesidade"))))),IF($K791&lt;-3,"Magreza acentuada",IF($K791&lt;-2,"Magreza",IF($K791&lt;=1,"Eutrofia",IF($K791&lt;=2,"Sobrepeso",IF($K791&lt;=3,"Obesidade","Obesidade grave")))))))</f>
        <v/>
      </c>
      <c r="M791" s="12">
        <f>IF(OR($S791="",$V791="",$T791="",$T791&lt;0,$T791&gt;228,$AG791=""),"—",ROUND(IF($AG791=0,LN($V791/$AH791)/$AI791,((($V791/$AH791)^$AG791)-1)/($AG791*$AI791)),2))</f>
        <v/>
      </c>
      <c r="N791">
        <f>IF(OR($M791="",$M791="—"),"",IF($M791&lt;-3,"Muito baixa",IF($M791&lt;-2,"Baixa","Adequada")))</f>
        <v/>
      </c>
      <c r="O791" s="12">
        <f>IF(OR($S791="",$F791="",$T791="",$T791&lt;0,$T791&gt;120,$AJ791=""),"—",ROUND(IF(ABS($AM791)&lt;=3,$AM791,IF($AM791&gt;3,3+($F791-$AO791)/($AO791-$AN791),-3+($F791-$AQ791)/($AP791-$AQ791))),2))</f>
        <v/>
      </c>
      <c r="P791">
        <f>IF(OR($O791="",$O791="—"),"",IF($O791&lt;-3,"Muito baixo",IF($O791&lt;-2,"Baixo",IF($O791&lt;=2,"Adequado","Elevado"))))</f>
        <v/>
      </c>
      <c r="Q791" s="12">
        <f>IF(OR($S791="",$F791="",$T791="",$T791&lt;0,$T791&gt;60,$AR791=""),"—",ROUND(IF(ABS($AU791)&lt;=3,$AU791,IF($AU791&gt;3,3+($F791-$AW791)/($AW791-$AV791),-3+($F791-$AY791)/($AX791-$AY791))),2))</f>
        <v/>
      </c>
      <c r="R791">
        <f>IF(OR($Q791="",$Q791="—"),"",IF($Q791&lt;-3,"Magreza acentuada",IF($Q791&lt;-2,"Magreza",IF($Q791&lt;=1,"Eutrofia",IF($Q791&lt;=2,"Risco de sobrepeso",IF($Q791&lt;=3,"Sobrepeso","Obesidade"))))))</f>
        <v/>
      </c>
      <c r="S791">
        <f>IF($C791="","",IF(UPPER(LEFT($C791,1))="M",1,IF(UPPER(LEFT($C791,1))="F",2,"")))</f>
        <v/>
      </c>
      <c r="T791">
        <f>IF(OR($D791="",$E791=""),"",DATEDIF($D791,$E791,"m"))</f>
        <v/>
      </c>
      <c r="U791">
        <f>IF(OR($D791="",$E791=""),"",$E791-$D791)</f>
        <v/>
      </c>
      <c r="V791">
        <f>IF(OR($G791="",$T791=""),"",IF($T791&lt;24,IF(LEFT(LOWER($H791),4)="em p",$G791+0.7,$G791),IF(LEFT(LOWER($H791),4)="deit",$G791-0.7,$G791)))</f>
        <v/>
      </c>
      <c r="W791">
        <f>IF(OR($S791="",$T791=""),"",$S791*1000000+IF($T791&lt;=60,$U791,$T791))</f>
        <v/>
      </c>
      <c r="X791">
        <f>IF(OR($S791="",$V791="",$T791&gt;60,$T791=""),"",$S791*1000000+ROUND($V791*10,0))</f>
        <v/>
      </c>
      <c r="Y791">
        <f>IF($W791="","",IFERROR(INDEX(IF($T791&lt;=60,imc05_l,imc519_l),MATCH($W791,IF($T791&lt;=60,imc05_k,imc519_k),1)),""))</f>
        <v/>
      </c>
      <c r="Z791">
        <f>IF($W791="","",IFERROR(INDEX(IF($T791&lt;=60,imc05_m,imc519_m),MATCH($W791,IF($T791&lt;=60,imc05_k,imc519_k),1)),""))</f>
        <v/>
      </c>
      <c r="AA791">
        <f>IF($W791="","",IFERROR(INDEX(IF($T791&lt;=60,imc05_s,imc519_s),MATCH($W791,IF($T791&lt;=60,imc05_k,imc519_k),1)),""))</f>
        <v/>
      </c>
      <c r="AB791">
        <f>IF($Y791="","",IF($Y791=0,LN($J791/$Z791)/$AA791,((($J791/$Z791)^$Y791)-1)/($Y791*$AA791)))</f>
        <v/>
      </c>
      <c r="AC791">
        <f>IF($Y791="","",IF($Y791=0,$Z791*EXP($AA791*2),$Z791*(1+$Y791*$AA791*2)^(1/$Y791)))</f>
        <v/>
      </c>
      <c r="AD791">
        <f>IF($Y791="","",IF($Y791=0,$Z791*EXP($AA791*3),$Z791*(1+$Y791*$AA791*3)^(1/$Y791)))</f>
        <v/>
      </c>
      <c r="AE791">
        <f>IF($Y791="","",IF($Y791=0,$Z791*EXP($AA791*-2),$Z791*(1+$Y791*$AA791*-2)^(1/$Y791)))</f>
        <v/>
      </c>
      <c r="AF791">
        <f>IF($Y791="","",IF($Y791=0,$Z791*EXP($AA791*-3),$Z791*(1+$Y791*$AA791*-3)^(1/$Y791)))</f>
        <v/>
      </c>
      <c r="AG791">
        <f>IF($W791="","",IFERROR(INDEX(IF($T791&lt;=60,est05_l,est519_l),MATCH($W791,IF($T791&lt;=60,est05_k,est519_k),1)),""))</f>
        <v/>
      </c>
      <c r="AH791">
        <f>IF($W791="","",IFERROR(INDEX(IF($T791&lt;=60,est05_m,est519_m),MATCH($W791,IF($T791&lt;=60,est05_k,est519_k),1)),""))</f>
        <v/>
      </c>
      <c r="AI791">
        <f>IF($W791="","",IFERROR(INDEX(IF($T791&lt;=60,est05_s,est519_s),MATCH($W791,IF($T791&lt;=60,est05_k,est519_k),1)),""))</f>
        <v/>
      </c>
      <c r="AJ791">
        <f>IF($W791="","",IFERROR(INDEX(IF($T791&lt;=60,peso05_l,peso510_l),MATCH($W791,IF($T791&lt;=60,peso05_k,peso510_k),1)),""))</f>
        <v/>
      </c>
      <c r="AK791">
        <f>IF($W791="","",IFERROR(INDEX(IF($T791&lt;=60,peso05_m,peso510_m),MATCH($W791,IF($T791&lt;=60,peso05_k,peso510_k),1)),""))</f>
        <v/>
      </c>
      <c r="AL791">
        <f>IF($W791="","",IFERROR(INDEX(IF($T791&lt;=60,peso05_s,peso510_s),MATCH($W791,IF($T791&lt;=60,peso05_k,peso510_k),1)),""))</f>
        <v/>
      </c>
      <c r="AM791">
        <f>IF($AJ791="","",IF($AJ791=0,LN($F791/$AK791)/$AL791,((($F791/$AK791)^$AJ791)-1)/($AJ791*$AL791)))</f>
        <v/>
      </c>
      <c r="AN791">
        <f>IF($AJ791="","",IF($AJ791=0,$AK791*EXP($AL791*2),$AK791*(1+$AJ791*$AL791*2)^(1/$AJ791)))</f>
        <v/>
      </c>
      <c r="AO791">
        <f>IF($AJ791="","",IF($AJ791=0,$AK791*EXP($AL791*3),$AK791*(1+$AJ791*$AL791*3)^(1/$AJ791)))</f>
        <v/>
      </c>
      <c r="AP791">
        <f>IF($AJ791="","",IF($AJ791=0,$AK791*EXP($AL791*-2),$AK791*(1+$AJ791*$AL791*-2)^(1/$AJ791)))</f>
        <v/>
      </c>
      <c r="AQ791">
        <f>IF($AJ791="","",IF($AJ791=0,$AK791*EXP($AL791*-3),$AK791*(1+$AJ791*$AL791*-3)^(1/$AJ791)))</f>
        <v/>
      </c>
      <c r="AR791">
        <f>IF(OR($X791="",$T791&gt;60),"",IFERROR(INDEX(IF($T791&lt;24,pcomp_l,palt_l),MATCH($X791,IF($T791&lt;24,pcomp_k,palt_k),1)),""))</f>
        <v/>
      </c>
      <c r="AS791">
        <f>IF(OR($X791="",$T791&gt;60),"",IFERROR(INDEX(IF($T791&lt;24,pcomp_m,palt_m),MATCH($X791,IF($T791&lt;24,pcomp_k,palt_k),1)),""))</f>
        <v/>
      </c>
      <c r="AT791">
        <f>IF(OR($X791="",$T791&gt;60),"",IFERROR(INDEX(IF($T791&lt;24,pcomp_s,palt_s),MATCH($X791,IF($T791&lt;24,pcomp_k,palt_k),1)),""))</f>
        <v/>
      </c>
      <c r="AU791">
        <f>IF($AR791="","",IF($AR791=0,LN($F791/$AS791)/$AT791,((($F791/$AS791)^$AR791)-1)/($AR791*$AT791)))</f>
        <v/>
      </c>
      <c r="AV791">
        <f>IF($AR791="","",IF($AR791=0,$AS791*EXP($AT791*2),$AS791*(1+$AR791*$AT791*2)^(1/$AR791)))</f>
        <v/>
      </c>
      <c r="AW791">
        <f>IF($AR791="","",IF($AR791=0,$AS791*EXP($AT791*3),$AS791*(1+$AR791*$AT791*3)^(1/$AR791)))</f>
        <v/>
      </c>
      <c r="AX791">
        <f>IF($AR791="","",IF($AR791=0,$AS791*EXP($AT791*-2),$AS791*(1+$AR791*$AT791*-2)^(1/$AR791)))</f>
        <v/>
      </c>
      <c r="AY791">
        <f>IF($AR791="","",IF($AR791=0,$AS791*EXP($AT791*-3),$AS791*(1+$AR791*$AT791*-3)^(1/$AR791)))</f>
        <v/>
      </c>
      <c r="AZ791">
        <f>IF(OR($A791="",$A791&lt;&gt;Ficha!$C$4),"",COUNTIF($A$2:$A791,Ficha!$C$4))</f>
        <v/>
      </c>
    </row>
    <row r="792">
      <c r="A792" s="8">
        <f>IF(INDEX(Banco!$A:$A,ROW())="","",INDEX(Banco!$A:$A,ROW()))</f>
        <v/>
      </c>
      <c r="B792" s="8">
        <f>IF(INDEX(Banco!$B:$B,ROW())="","",INDEX(Banco!$B:$B,ROW()))</f>
        <v/>
      </c>
      <c r="C792" s="8">
        <f>IF(INDEX(Banco!$C:$C,ROW())="","",INDEX(Banco!$C:$C,ROW()))</f>
        <v/>
      </c>
      <c r="D792" s="9">
        <f>IF(INDEX(Banco!$D:$D,ROW())="","",INDEX(Banco!$D:$D,ROW()))</f>
        <v/>
      </c>
      <c r="E792" s="9">
        <f>IF(INDEX(Banco!$E:$E,ROW())="","",INDEX(Banco!$E:$E,ROW()))</f>
        <v/>
      </c>
      <c r="F792" s="10">
        <f>IF(INDEX(Banco!$F:$F,ROW())="","",INDEX(Banco!$F:$F,ROW()))</f>
        <v/>
      </c>
      <c r="G792" s="10">
        <f>IF(INDEX(Banco!$G:$G,ROW())="","",INDEX(Banco!$G:$G,ROW()))</f>
        <v/>
      </c>
      <c r="H792" s="8">
        <f>IF(INDEX(Banco!$H:$H,ROW())="","",INDEX(Banco!$H:$H,ROW()))</f>
        <v/>
      </c>
      <c r="I792">
        <f>IF($T792="","",INT($T792/12)&amp;"a "&amp;MOD($T792,12)&amp;"m")</f>
        <v/>
      </c>
      <c r="J792" s="11">
        <f>IF(OR($F792="",$G792=""),"",ROUND($F792/($G792/100)^2,2))</f>
        <v/>
      </c>
      <c r="K792" s="12">
        <f>IF(OR($S792="",$J792="",$T792="",$T792&lt;0,$T792&gt;228,$Y792=""),"—",ROUND(IF(ABS($AB792)&lt;=3,$AB792,IF($AB792&gt;3,3+($J792-$AD792)/($AD792-$AC792),-3+($J792-$AF792)/($AE792-$AF792))),2))</f>
        <v/>
      </c>
      <c r="L792">
        <f>IF(OR($K792="",$K792="—"),"",IF($T792&lt;=60,IF($K792&lt;-3,"Magreza acentuada",IF($K792&lt;-2,"Magreza",IF($K792&lt;=1,"Eutrofia",IF($K792&lt;=2,"Risco de sobrepeso",IF($K792&lt;=3,"Sobrepeso","Obesidade"))))),IF($K792&lt;-3,"Magreza acentuada",IF($K792&lt;-2,"Magreza",IF($K792&lt;=1,"Eutrofia",IF($K792&lt;=2,"Sobrepeso",IF($K792&lt;=3,"Obesidade","Obesidade grave")))))))</f>
        <v/>
      </c>
      <c r="M792" s="12">
        <f>IF(OR($S792="",$V792="",$T792="",$T792&lt;0,$T792&gt;228,$AG792=""),"—",ROUND(IF($AG792=0,LN($V792/$AH792)/$AI792,((($V792/$AH792)^$AG792)-1)/($AG792*$AI792)),2))</f>
        <v/>
      </c>
      <c r="N792">
        <f>IF(OR($M792="",$M792="—"),"",IF($M792&lt;-3,"Muito baixa",IF($M792&lt;-2,"Baixa","Adequada")))</f>
        <v/>
      </c>
      <c r="O792" s="12">
        <f>IF(OR($S792="",$F792="",$T792="",$T792&lt;0,$T792&gt;120,$AJ792=""),"—",ROUND(IF(ABS($AM792)&lt;=3,$AM792,IF($AM792&gt;3,3+($F792-$AO792)/($AO792-$AN792),-3+($F792-$AQ792)/($AP792-$AQ792))),2))</f>
        <v/>
      </c>
      <c r="P792">
        <f>IF(OR($O792="",$O792="—"),"",IF($O792&lt;-3,"Muito baixo",IF($O792&lt;-2,"Baixo",IF($O792&lt;=2,"Adequado","Elevado"))))</f>
        <v/>
      </c>
      <c r="Q792" s="12">
        <f>IF(OR($S792="",$F792="",$T792="",$T792&lt;0,$T792&gt;60,$AR792=""),"—",ROUND(IF(ABS($AU792)&lt;=3,$AU792,IF($AU792&gt;3,3+($F792-$AW792)/($AW792-$AV792),-3+($F792-$AY792)/($AX792-$AY792))),2))</f>
        <v/>
      </c>
      <c r="R792">
        <f>IF(OR($Q792="",$Q792="—"),"",IF($Q792&lt;-3,"Magreza acentuada",IF($Q792&lt;-2,"Magreza",IF($Q792&lt;=1,"Eutrofia",IF($Q792&lt;=2,"Risco de sobrepeso",IF($Q792&lt;=3,"Sobrepeso","Obesidade"))))))</f>
        <v/>
      </c>
      <c r="S792">
        <f>IF($C792="","",IF(UPPER(LEFT($C792,1))="M",1,IF(UPPER(LEFT($C792,1))="F",2,"")))</f>
        <v/>
      </c>
      <c r="T792">
        <f>IF(OR($D792="",$E792=""),"",DATEDIF($D792,$E792,"m"))</f>
        <v/>
      </c>
      <c r="U792">
        <f>IF(OR($D792="",$E792=""),"",$E792-$D792)</f>
        <v/>
      </c>
      <c r="V792">
        <f>IF(OR($G792="",$T792=""),"",IF($T792&lt;24,IF(LEFT(LOWER($H792),4)="em p",$G792+0.7,$G792),IF(LEFT(LOWER($H792),4)="deit",$G792-0.7,$G792)))</f>
        <v/>
      </c>
      <c r="W792">
        <f>IF(OR($S792="",$T792=""),"",$S792*1000000+IF($T792&lt;=60,$U792,$T792))</f>
        <v/>
      </c>
      <c r="X792">
        <f>IF(OR($S792="",$V792="",$T792&gt;60,$T792=""),"",$S792*1000000+ROUND($V792*10,0))</f>
        <v/>
      </c>
      <c r="Y792">
        <f>IF($W792="","",IFERROR(INDEX(IF($T792&lt;=60,imc05_l,imc519_l),MATCH($W792,IF($T792&lt;=60,imc05_k,imc519_k),1)),""))</f>
        <v/>
      </c>
      <c r="Z792">
        <f>IF($W792="","",IFERROR(INDEX(IF($T792&lt;=60,imc05_m,imc519_m),MATCH($W792,IF($T792&lt;=60,imc05_k,imc519_k),1)),""))</f>
        <v/>
      </c>
      <c r="AA792">
        <f>IF($W792="","",IFERROR(INDEX(IF($T792&lt;=60,imc05_s,imc519_s),MATCH($W792,IF($T792&lt;=60,imc05_k,imc519_k),1)),""))</f>
        <v/>
      </c>
      <c r="AB792">
        <f>IF($Y792="","",IF($Y792=0,LN($J792/$Z792)/$AA792,((($J792/$Z792)^$Y792)-1)/($Y792*$AA792)))</f>
        <v/>
      </c>
      <c r="AC792">
        <f>IF($Y792="","",IF($Y792=0,$Z792*EXP($AA792*2),$Z792*(1+$Y792*$AA792*2)^(1/$Y792)))</f>
        <v/>
      </c>
      <c r="AD792">
        <f>IF($Y792="","",IF($Y792=0,$Z792*EXP($AA792*3),$Z792*(1+$Y792*$AA792*3)^(1/$Y792)))</f>
        <v/>
      </c>
      <c r="AE792">
        <f>IF($Y792="","",IF($Y792=0,$Z792*EXP($AA792*-2),$Z792*(1+$Y792*$AA792*-2)^(1/$Y792)))</f>
        <v/>
      </c>
      <c r="AF792">
        <f>IF($Y792="","",IF($Y792=0,$Z792*EXP($AA792*-3),$Z792*(1+$Y792*$AA792*-3)^(1/$Y792)))</f>
        <v/>
      </c>
      <c r="AG792">
        <f>IF($W792="","",IFERROR(INDEX(IF($T792&lt;=60,est05_l,est519_l),MATCH($W792,IF($T792&lt;=60,est05_k,est519_k),1)),""))</f>
        <v/>
      </c>
      <c r="AH792">
        <f>IF($W792="","",IFERROR(INDEX(IF($T792&lt;=60,est05_m,est519_m),MATCH($W792,IF($T792&lt;=60,est05_k,est519_k),1)),""))</f>
        <v/>
      </c>
      <c r="AI792">
        <f>IF($W792="","",IFERROR(INDEX(IF($T792&lt;=60,est05_s,est519_s),MATCH($W792,IF($T792&lt;=60,est05_k,est519_k),1)),""))</f>
        <v/>
      </c>
      <c r="AJ792">
        <f>IF($W792="","",IFERROR(INDEX(IF($T792&lt;=60,peso05_l,peso510_l),MATCH($W792,IF($T792&lt;=60,peso05_k,peso510_k),1)),""))</f>
        <v/>
      </c>
      <c r="AK792">
        <f>IF($W792="","",IFERROR(INDEX(IF($T792&lt;=60,peso05_m,peso510_m),MATCH($W792,IF($T792&lt;=60,peso05_k,peso510_k),1)),""))</f>
        <v/>
      </c>
      <c r="AL792">
        <f>IF($W792="","",IFERROR(INDEX(IF($T792&lt;=60,peso05_s,peso510_s),MATCH($W792,IF($T792&lt;=60,peso05_k,peso510_k),1)),""))</f>
        <v/>
      </c>
      <c r="AM792">
        <f>IF($AJ792="","",IF($AJ792=0,LN($F792/$AK792)/$AL792,((($F792/$AK792)^$AJ792)-1)/($AJ792*$AL792)))</f>
        <v/>
      </c>
      <c r="AN792">
        <f>IF($AJ792="","",IF($AJ792=0,$AK792*EXP($AL792*2),$AK792*(1+$AJ792*$AL792*2)^(1/$AJ792)))</f>
        <v/>
      </c>
      <c r="AO792">
        <f>IF($AJ792="","",IF($AJ792=0,$AK792*EXP($AL792*3),$AK792*(1+$AJ792*$AL792*3)^(1/$AJ792)))</f>
        <v/>
      </c>
      <c r="AP792">
        <f>IF($AJ792="","",IF($AJ792=0,$AK792*EXP($AL792*-2),$AK792*(1+$AJ792*$AL792*-2)^(1/$AJ792)))</f>
        <v/>
      </c>
      <c r="AQ792">
        <f>IF($AJ792="","",IF($AJ792=0,$AK792*EXP($AL792*-3),$AK792*(1+$AJ792*$AL792*-3)^(1/$AJ792)))</f>
        <v/>
      </c>
      <c r="AR792">
        <f>IF(OR($X792="",$T792&gt;60),"",IFERROR(INDEX(IF($T792&lt;24,pcomp_l,palt_l),MATCH($X792,IF($T792&lt;24,pcomp_k,palt_k),1)),""))</f>
        <v/>
      </c>
      <c r="AS792">
        <f>IF(OR($X792="",$T792&gt;60),"",IFERROR(INDEX(IF($T792&lt;24,pcomp_m,palt_m),MATCH($X792,IF($T792&lt;24,pcomp_k,palt_k),1)),""))</f>
        <v/>
      </c>
      <c r="AT792">
        <f>IF(OR($X792="",$T792&gt;60),"",IFERROR(INDEX(IF($T792&lt;24,pcomp_s,palt_s),MATCH($X792,IF($T792&lt;24,pcomp_k,palt_k),1)),""))</f>
        <v/>
      </c>
      <c r="AU792">
        <f>IF($AR792="","",IF($AR792=0,LN($F792/$AS792)/$AT792,((($F792/$AS792)^$AR792)-1)/($AR792*$AT792)))</f>
        <v/>
      </c>
      <c r="AV792">
        <f>IF($AR792="","",IF($AR792=0,$AS792*EXP($AT792*2),$AS792*(1+$AR792*$AT792*2)^(1/$AR792)))</f>
        <v/>
      </c>
      <c r="AW792">
        <f>IF($AR792="","",IF($AR792=0,$AS792*EXP($AT792*3),$AS792*(1+$AR792*$AT792*3)^(1/$AR792)))</f>
        <v/>
      </c>
      <c r="AX792">
        <f>IF($AR792="","",IF($AR792=0,$AS792*EXP($AT792*-2),$AS792*(1+$AR792*$AT792*-2)^(1/$AR792)))</f>
        <v/>
      </c>
      <c r="AY792">
        <f>IF($AR792="","",IF($AR792=0,$AS792*EXP($AT792*-3),$AS792*(1+$AR792*$AT792*-3)^(1/$AR792)))</f>
        <v/>
      </c>
      <c r="AZ792">
        <f>IF(OR($A792="",$A792&lt;&gt;Ficha!$C$4),"",COUNTIF($A$2:$A792,Ficha!$C$4))</f>
        <v/>
      </c>
    </row>
    <row r="793">
      <c r="A793" s="8">
        <f>IF(INDEX(Banco!$A:$A,ROW())="","",INDEX(Banco!$A:$A,ROW()))</f>
        <v/>
      </c>
      <c r="B793" s="8">
        <f>IF(INDEX(Banco!$B:$B,ROW())="","",INDEX(Banco!$B:$B,ROW()))</f>
        <v/>
      </c>
      <c r="C793" s="8">
        <f>IF(INDEX(Banco!$C:$C,ROW())="","",INDEX(Banco!$C:$C,ROW()))</f>
        <v/>
      </c>
      <c r="D793" s="9">
        <f>IF(INDEX(Banco!$D:$D,ROW())="","",INDEX(Banco!$D:$D,ROW()))</f>
        <v/>
      </c>
      <c r="E793" s="9">
        <f>IF(INDEX(Banco!$E:$E,ROW())="","",INDEX(Banco!$E:$E,ROW()))</f>
        <v/>
      </c>
      <c r="F793" s="10">
        <f>IF(INDEX(Banco!$F:$F,ROW())="","",INDEX(Banco!$F:$F,ROW()))</f>
        <v/>
      </c>
      <c r="G793" s="10">
        <f>IF(INDEX(Banco!$G:$G,ROW())="","",INDEX(Banco!$G:$G,ROW()))</f>
        <v/>
      </c>
      <c r="H793" s="8">
        <f>IF(INDEX(Banco!$H:$H,ROW())="","",INDEX(Banco!$H:$H,ROW()))</f>
        <v/>
      </c>
      <c r="I793">
        <f>IF($T793="","",INT($T793/12)&amp;"a "&amp;MOD($T793,12)&amp;"m")</f>
        <v/>
      </c>
      <c r="J793" s="11">
        <f>IF(OR($F793="",$G793=""),"",ROUND($F793/($G793/100)^2,2))</f>
        <v/>
      </c>
      <c r="K793" s="12">
        <f>IF(OR($S793="",$J793="",$T793="",$T793&lt;0,$T793&gt;228,$Y793=""),"—",ROUND(IF(ABS($AB793)&lt;=3,$AB793,IF($AB793&gt;3,3+($J793-$AD793)/($AD793-$AC793),-3+($J793-$AF793)/($AE793-$AF793))),2))</f>
        <v/>
      </c>
      <c r="L793">
        <f>IF(OR($K793="",$K793="—"),"",IF($T793&lt;=60,IF($K793&lt;-3,"Magreza acentuada",IF($K793&lt;-2,"Magreza",IF($K793&lt;=1,"Eutrofia",IF($K793&lt;=2,"Risco de sobrepeso",IF($K793&lt;=3,"Sobrepeso","Obesidade"))))),IF($K793&lt;-3,"Magreza acentuada",IF($K793&lt;-2,"Magreza",IF($K793&lt;=1,"Eutrofia",IF($K793&lt;=2,"Sobrepeso",IF($K793&lt;=3,"Obesidade","Obesidade grave")))))))</f>
        <v/>
      </c>
      <c r="M793" s="12">
        <f>IF(OR($S793="",$V793="",$T793="",$T793&lt;0,$T793&gt;228,$AG793=""),"—",ROUND(IF($AG793=0,LN($V793/$AH793)/$AI793,((($V793/$AH793)^$AG793)-1)/($AG793*$AI793)),2))</f>
        <v/>
      </c>
      <c r="N793">
        <f>IF(OR($M793="",$M793="—"),"",IF($M793&lt;-3,"Muito baixa",IF($M793&lt;-2,"Baixa","Adequada")))</f>
        <v/>
      </c>
      <c r="O793" s="12">
        <f>IF(OR($S793="",$F793="",$T793="",$T793&lt;0,$T793&gt;120,$AJ793=""),"—",ROUND(IF(ABS($AM793)&lt;=3,$AM793,IF($AM793&gt;3,3+($F793-$AO793)/($AO793-$AN793),-3+($F793-$AQ793)/($AP793-$AQ793))),2))</f>
        <v/>
      </c>
      <c r="P793">
        <f>IF(OR($O793="",$O793="—"),"",IF($O793&lt;-3,"Muito baixo",IF($O793&lt;-2,"Baixo",IF($O793&lt;=2,"Adequado","Elevado"))))</f>
        <v/>
      </c>
      <c r="Q793" s="12">
        <f>IF(OR($S793="",$F793="",$T793="",$T793&lt;0,$T793&gt;60,$AR793=""),"—",ROUND(IF(ABS($AU793)&lt;=3,$AU793,IF($AU793&gt;3,3+($F793-$AW793)/($AW793-$AV793),-3+($F793-$AY793)/($AX793-$AY793))),2))</f>
        <v/>
      </c>
      <c r="R793">
        <f>IF(OR($Q793="",$Q793="—"),"",IF($Q793&lt;-3,"Magreza acentuada",IF($Q793&lt;-2,"Magreza",IF($Q793&lt;=1,"Eutrofia",IF($Q793&lt;=2,"Risco de sobrepeso",IF($Q793&lt;=3,"Sobrepeso","Obesidade"))))))</f>
        <v/>
      </c>
      <c r="S793">
        <f>IF($C793="","",IF(UPPER(LEFT($C793,1))="M",1,IF(UPPER(LEFT($C793,1))="F",2,"")))</f>
        <v/>
      </c>
      <c r="T793">
        <f>IF(OR($D793="",$E793=""),"",DATEDIF($D793,$E793,"m"))</f>
        <v/>
      </c>
      <c r="U793">
        <f>IF(OR($D793="",$E793=""),"",$E793-$D793)</f>
        <v/>
      </c>
      <c r="V793">
        <f>IF(OR($G793="",$T793=""),"",IF($T793&lt;24,IF(LEFT(LOWER($H793),4)="em p",$G793+0.7,$G793),IF(LEFT(LOWER($H793),4)="deit",$G793-0.7,$G793)))</f>
        <v/>
      </c>
      <c r="W793">
        <f>IF(OR($S793="",$T793=""),"",$S793*1000000+IF($T793&lt;=60,$U793,$T793))</f>
        <v/>
      </c>
      <c r="X793">
        <f>IF(OR($S793="",$V793="",$T793&gt;60,$T793=""),"",$S793*1000000+ROUND($V793*10,0))</f>
        <v/>
      </c>
      <c r="Y793">
        <f>IF($W793="","",IFERROR(INDEX(IF($T793&lt;=60,imc05_l,imc519_l),MATCH($W793,IF($T793&lt;=60,imc05_k,imc519_k),1)),""))</f>
        <v/>
      </c>
      <c r="Z793">
        <f>IF($W793="","",IFERROR(INDEX(IF($T793&lt;=60,imc05_m,imc519_m),MATCH($W793,IF($T793&lt;=60,imc05_k,imc519_k),1)),""))</f>
        <v/>
      </c>
      <c r="AA793">
        <f>IF($W793="","",IFERROR(INDEX(IF($T793&lt;=60,imc05_s,imc519_s),MATCH($W793,IF($T793&lt;=60,imc05_k,imc519_k),1)),""))</f>
        <v/>
      </c>
      <c r="AB793">
        <f>IF($Y793="","",IF($Y793=0,LN($J793/$Z793)/$AA793,((($J793/$Z793)^$Y793)-1)/($Y793*$AA793)))</f>
        <v/>
      </c>
      <c r="AC793">
        <f>IF($Y793="","",IF($Y793=0,$Z793*EXP($AA793*2),$Z793*(1+$Y793*$AA793*2)^(1/$Y793)))</f>
        <v/>
      </c>
      <c r="AD793">
        <f>IF($Y793="","",IF($Y793=0,$Z793*EXP($AA793*3),$Z793*(1+$Y793*$AA793*3)^(1/$Y793)))</f>
        <v/>
      </c>
      <c r="AE793">
        <f>IF($Y793="","",IF($Y793=0,$Z793*EXP($AA793*-2),$Z793*(1+$Y793*$AA793*-2)^(1/$Y793)))</f>
        <v/>
      </c>
      <c r="AF793">
        <f>IF($Y793="","",IF($Y793=0,$Z793*EXP($AA793*-3),$Z793*(1+$Y793*$AA793*-3)^(1/$Y793)))</f>
        <v/>
      </c>
      <c r="AG793">
        <f>IF($W793="","",IFERROR(INDEX(IF($T793&lt;=60,est05_l,est519_l),MATCH($W793,IF($T793&lt;=60,est05_k,est519_k),1)),""))</f>
        <v/>
      </c>
      <c r="AH793">
        <f>IF($W793="","",IFERROR(INDEX(IF($T793&lt;=60,est05_m,est519_m),MATCH($W793,IF($T793&lt;=60,est05_k,est519_k),1)),""))</f>
        <v/>
      </c>
      <c r="AI793">
        <f>IF($W793="","",IFERROR(INDEX(IF($T793&lt;=60,est05_s,est519_s),MATCH($W793,IF($T793&lt;=60,est05_k,est519_k),1)),""))</f>
        <v/>
      </c>
      <c r="AJ793">
        <f>IF($W793="","",IFERROR(INDEX(IF($T793&lt;=60,peso05_l,peso510_l),MATCH($W793,IF($T793&lt;=60,peso05_k,peso510_k),1)),""))</f>
        <v/>
      </c>
      <c r="AK793">
        <f>IF($W793="","",IFERROR(INDEX(IF($T793&lt;=60,peso05_m,peso510_m),MATCH($W793,IF($T793&lt;=60,peso05_k,peso510_k),1)),""))</f>
        <v/>
      </c>
      <c r="AL793">
        <f>IF($W793="","",IFERROR(INDEX(IF($T793&lt;=60,peso05_s,peso510_s),MATCH($W793,IF($T793&lt;=60,peso05_k,peso510_k),1)),""))</f>
        <v/>
      </c>
      <c r="AM793">
        <f>IF($AJ793="","",IF($AJ793=0,LN($F793/$AK793)/$AL793,((($F793/$AK793)^$AJ793)-1)/($AJ793*$AL793)))</f>
        <v/>
      </c>
      <c r="AN793">
        <f>IF($AJ793="","",IF($AJ793=0,$AK793*EXP($AL793*2),$AK793*(1+$AJ793*$AL793*2)^(1/$AJ793)))</f>
        <v/>
      </c>
      <c r="AO793">
        <f>IF($AJ793="","",IF($AJ793=0,$AK793*EXP($AL793*3),$AK793*(1+$AJ793*$AL793*3)^(1/$AJ793)))</f>
        <v/>
      </c>
      <c r="AP793">
        <f>IF($AJ793="","",IF($AJ793=0,$AK793*EXP($AL793*-2),$AK793*(1+$AJ793*$AL793*-2)^(1/$AJ793)))</f>
        <v/>
      </c>
      <c r="AQ793">
        <f>IF($AJ793="","",IF($AJ793=0,$AK793*EXP($AL793*-3),$AK793*(1+$AJ793*$AL793*-3)^(1/$AJ793)))</f>
        <v/>
      </c>
      <c r="AR793">
        <f>IF(OR($X793="",$T793&gt;60),"",IFERROR(INDEX(IF($T793&lt;24,pcomp_l,palt_l),MATCH($X793,IF($T793&lt;24,pcomp_k,palt_k),1)),""))</f>
        <v/>
      </c>
      <c r="AS793">
        <f>IF(OR($X793="",$T793&gt;60),"",IFERROR(INDEX(IF($T793&lt;24,pcomp_m,palt_m),MATCH($X793,IF($T793&lt;24,pcomp_k,palt_k),1)),""))</f>
        <v/>
      </c>
      <c r="AT793">
        <f>IF(OR($X793="",$T793&gt;60),"",IFERROR(INDEX(IF($T793&lt;24,pcomp_s,palt_s),MATCH($X793,IF($T793&lt;24,pcomp_k,palt_k),1)),""))</f>
        <v/>
      </c>
      <c r="AU793">
        <f>IF($AR793="","",IF($AR793=0,LN($F793/$AS793)/$AT793,((($F793/$AS793)^$AR793)-1)/($AR793*$AT793)))</f>
        <v/>
      </c>
      <c r="AV793">
        <f>IF($AR793="","",IF($AR793=0,$AS793*EXP($AT793*2),$AS793*(1+$AR793*$AT793*2)^(1/$AR793)))</f>
        <v/>
      </c>
      <c r="AW793">
        <f>IF($AR793="","",IF($AR793=0,$AS793*EXP($AT793*3),$AS793*(1+$AR793*$AT793*3)^(1/$AR793)))</f>
        <v/>
      </c>
      <c r="AX793">
        <f>IF($AR793="","",IF($AR793=0,$AS793*EXP($AT793*-2),$AS793*(1+$AR793*$AT793*-2)^(1/$AR793)))</f>
        <v/>
      </c>
      <c r="AY793">
        <f>IF($AR793="","",IF($AR793=0,$AS793*EXP($AT793*-3),$AS793*(1+$AR793*$AT793*-3)^(1/$AR793)))</f>
        <v/>
      </c>
      <c r="AZ793">
        <f>IF(OR($A793="",$A793&lt;&gt;Ficha!$C$4),"",COUNTIF($A$2:$A793,Ficha!$C$4))</f>
        <v/>
      </c>
    </row>
    <row r="794">
      <c r="A794" s="8">
        <f>IF(INDEX(Banco!$A:$A,ROW())="","",INDEX(Banco!$A:$A,ROW()))</f>
        <v/>
      </c>
      <c r="B794" s="8">
        <f>IF(INDEX(Banco!$B:$B,ROW())="","",INDEX(Banco!$B:$B,ROW()))</f>
        <v/>
      </c>
      <c r="C794" s="8">
        <f>IF(INDEX(Banco!$C:$C,ROW())="","",INDEX(Banco!$C:$C,ROW()))</f>
        <v/>
      </c>
      <c r="D794" s="9">
        <f>IF(INDEX(Banco!$D:$D,ROW())="","",INDEX(Banco!$D:$D,ROW()))</f>
        <v/>
      </c>
      <c r="E794" s="9">
        <f>IF(INDEX(Banco!$E:$E,ROW())="","",INDEX(Banco!$E:$E,ROW()))</f>
        <v/>
      </c>
      <c r="F794" s="10">
        <f>IF(INDEX(Banco!$F:$F,ROW())="","",INDEX(Banco!$F:$F,ROW()))</f>
        <v/>
      </c>
      <c r="G794" s="10">
        <f>IF(INDEX(Banco!$G:$G,ROW())="","",INDEX(Banco!$G:$G,ROW()))</f>
        <v/>
      </c>
      <c r="H794" s="8">
        <f>IF(INDEX(Banco!$H:$H,ROW())="","",INDEX(Banco!$H:$H,ROW()))</f>
        <v/>
      </c>
      <c r="I794">
        <f>IF($T794="","",INT($T794/12)&amp;"a "&amp;MOD($T794,12)&amp;"m")</f>
        <v/>
      </c>
      <c r="J794" s="11">
        <f>IF(OR($F794="",$G794=""),"",ROUND($F794/($G794/100)^2,2))</f>
        <v/>
      </c>
      <c r="K794" s="12">
        <f>IF(OR($S794="",$J794="",$T794="",$T794&lt;0,$T794&gt;228,$Y794=""),"—",ROUND(IF(ABS($AB794)&lt;=3,$AB794,IF($AB794&gt;3,3+($J794-$AD794)/($AD794-$AC794),-3+($J794-$AF794)/($AE794-$AF794))),2))</f>
        <v/>
      </c>
      <c r="L794">
        <f>IF(OR($K794="",$K794="—"),"",IF($T794&lt;=60,IF($K794&lt;-3,"Magreza acentuada",IF($K794&lt;-2,"Magreza",IF($K794&lt;=1,"Eutrofia",IF($K794&lt;=2,"Risco de sobrepeso",IF($K794&lt;=3,"Sobrepeso","Obesidade"))))),IF($K794&lt;-3,"Magreza acentuada",IF($K794&lt;-2,"Magreza",IF($K794&lt;=1,"Eutrofia",IF($K794&lt;=2,"Sobrepeso",IF($K794&lt;=3,"Obesidade","Obesidade grave")))))))</f>
        <v/>
      </c>
      <c r="M794" s="12">
        <f>IF(OR($S794="",$V794="",$T794="",$T794&lt;0,$T794&gt;228,$AG794=""),"—",ROUND(IF($AG794=0,LN($V794/$AH794)/$AI794,((($V794/$AH794)^$AG794)-1)/($AG794*$AI794)),2))</f>
        <v/>
      </c>
      <c r="N794">
        <f>IF(OR($M794="",$M794="—"),"",IF($M794&lt;-3,"Muito baixa",IF($M794&lt;-2,"Baixa","Adequada")))</f>
        <v/>
      </c>
      <c r="O794" s="12">
        <f>IF(OR($S794="",$F794="",$T794="",$T794&lt;0,$T794&gt;120,$AJ794=""),"—",ROUND(IF(ABS($AM794)&lt;=3,$AM794,IF($AM794&gt;3,3+($F794-$AO794)/($AO794-$AN794),-3+($F794-$AQ794)/($AP794-$AQ794))),2))</f>
        <v/>
      </c>
      <c r="P794">
        <f>IF(OR($O794="",$O794="—"),"",IF($O794&lt;-3,"Muito baixo",IF($O794&lt;-2,"Baixo",IF($O794&lt;=2,"Adequado","Elevado"))))</f>
        <v/>
      </c>
      <c r="Q794" s="12">
        <f>IF(OR($S794="",$F794="",$T794="",$T794&lt;0,$T794&gt;60,$AR794=""),"—",ROUND(IF(ABS($AU794)&lt;=3,$AU794,IF($AU794&gt;3,3+($F794-$AW794)/($AW794-$AV794),-3+($F794-$AY794)/($AX794-$AY794))),2))</f>
        <v/>
      </c>
      <c r="R794">
        <f>IF(OR($Q794="",$Q794="—"),"",IF($Q794&lt;-3,"Magreza acentuada",IF($Q794&lt;-2,"Magreza",IF($Q794&lt;=1,"Eutrofia",IF($Q794&lt;=2,"Risco de sobrepeso",IF($Q794&lt;=3,"Sobrepeso","Obesidade"))))))</f>
        <v/>
      </c>
      <c r="S794">
        <f>IF($C794="","",IF(UPPER(LEFT($C794,1))="M",1,IF(UPPER(LEFT($C794,1))="F",2,"")))</f>
        <v/>
      </c>
      <c r="T794">
        <f>IF(OR($D794="",$E794=""),"",DATEDIF($D794,$E794,"m"))</f>
        <v/>
      </c>
      <c r="U794">
        <f>IF(OR($D794="",$E794=""),"",$E794-$D794)</f>
        <v/>
      </c>
      <c r="V794">
        <f>IF(OR($G794="",$T794=""),"",IF($T794&lt;24,IF(LEFT(LOWER($H794),4)="em p",$G794+0.7,$G794),IF(LEFT(LOWER($H794),4)="deit",$G794-0.7,$G794)))</f>
        <v/>
      </c>
      <c r="W794">
        <f>IF(OR($S794="",$T794=""),"",$S794*1000000+IF($T794&lt;=60,$U794,$T794))</f>
        <v/>
      </c>
      <c r="X794">
        <f>IF(OR($S794="",$V794="",$T794&gt;60,$T794=""),"",$S794*1000000+ROUND($V794*10,0))</f>
        <v/>
      </c>
      <c r="Y794">
        <f>IF($W794="","",IFERROR(INDEX(IF($T794&lt;=60,imc05_l,imc519_l),MATCH($W794,IF($T794&lt;=60,imc05_k,imc519_k),1)),""))</f>
        <v/>
      </c>
      <c r="Z794">
        <f>IF($W794="","",IFERROR(INDEX(IF($T794&lt;=60,imc05_m,imc519_m),MATCH($W794,IF($T794&lt;=60,imc05_k,imc519_k),1)),""))</f>
        <v/>
      </c>
      <c r="AA794">
        <f>IF($W794="","",IFERROR(INDEX(IF($T794&lt;=60,imc05_s,imc519_s),MATCH($W794,IF($T794&lt;=60,imc05_k,imc519_k),1)),""))</f>
        <v/>
      </c>
      <c r="AB794">
        <f>IF($Y794="","",IF($Y794=0,LN($J794/$Z794)/$AA794,((($J794/$Z794)^$Y794)-1)/($Y794*$AA794)))</f>
        <v/>
      </c>
      <c r="AC794">
        <f>IF($Y794="","",IF($Y794=0,$Z794*EXP($AA794*2),$Z794*(1+$Y794*$AA794*2)^(1/$Y794)))</f>
        <v/>
      </c>
      <c r="AD794">
        <f>IF($Y794="","",IF($Y794=0,$Z794*EXP($AA794*3),$Z794*(1+$Y794*$AA794*3)^(1/$Y794)))</f>
        <v/>
      </c>
      <c r="AE794">
        <f>IF($Y794="","",IF($Y794=0,$Z794*EXP($AA794*-2),$Z794*(1+$Y794*$AA794*-2)^(1/$Y794)))</f>
        <v/>
      </c>
      <c r="AF794">
        <f>IF($Y794="","",IF($Y794=0,$Z794*EXP($AA794*-3),$Z794*(1+$Y794*$AA794*-3)^(1/$Y794)))</f>
        <v/>
      </c>
      <c r="AG794">
        <f>IF($W794="","",IFERROR(INDEX(IF($T794&lt;=60,est05_l,est519_l),MATCH($W794,IF($T794&lt;=60,est05_k,est519_k),1)),""))</f>
        <v/>
      </c>
      <c r="AH794">
        <f>IF($W794="","",IFERROR(INDEX(IF($T794&lt;=60,est05_m,est519_m),MATCH($W794,IF($T794&lt;=60,est05_k,est519_k),1)),""))</f>
        <v/>
      </c>
      <c r="AI794">
        <f>IF($W794="","",IFERROR(INDEX(IF($T794&lt;=60,est05_s,est519_s),MATCH($W794,IF($T794&lt;=60,est05_k,est519_k),1)),""))</f>
        <v/>
      </c>
      <c r="AJ794">
        <f>IF($W794="","",IFERROR(INDEX(IF($T794&lt;=60,peso05_l,peso510_l),MATCH($W794,IF($T794&lt;=60,peso05_k,peso510_k),1)),""))</f>
        <v/>
      </c>
      <c r="AK794">
        <f>IF($W794="","",IFERROR(INDEX(IF($T794&lt;=60,peso05_m,peso510_m),MATCH($W794,IF($T794&lt;=60,peso05_k,peso510_k),1)),""))</f>
        <v/>
      </c>
      <c r="AL794">
        <f>IF($W794="","",IFERROR(INDEX(IF($T794&lt;=60,peso05_s,peso510_s),MATCH($W794,IF($T794&lt;=60,peso05_k,peso510_k),1)),""))</f>
        <v/>
      </c>
      <c r="AM794">
        <f>IF($AJ794="","",IF($AJ794=0,LN($F794/$AK794)/$AL794,((($F794/$AK794)^$AJ794)-1)/($AJ794*$AL794)))</f>
        <v/>
      </c>
      <c r="AN794">
        <f>IF($AJ794="","",IF($AJ794=0,$AK794*EXP($AL794*2),$AK794*(1+$AJ794*$AL794*2)^(1/$AJ794)))</f>
        <v/>
      </c>
      <c r="AO794">
        <f>IF($AJ794="","",IF($AJ794=0,$AK794*EXP($AL794*3),$AK794*(1+$AJ794*$AL794*3)^(1/$AJ794)))</f>
        <v/>
      </c>
      <c r="AP794">
        <f>IF($AJ794="","",IF($AJ794=0,$AK794*EXP($AL794*-2),$AK794*(1+$AJ794*$AL794*-2)^(1/$AJ794)))</f>
        <v/>
      </c>
      <c r="AQ794">
        <f>IF($AJ794="","",IF($AJ794=0,$AK794*EXP($AL794*-3),$AK794*(1+$AJ794*$AL794*-3)^(1/$AJ794)))</f>
        <v/>
      </c>
      <c r="AR794">
        <f>IF(OR($X794="",$T794&gt;60),"",IFERROR(INDEX(IF($T794&lt;24,pcomp_l,palt_l),MATCH($X794,IF($T794&lt;24,pcomp_k,palt_k),1)),""))</f>
        <v/>
      </c>
      <c r="AS794">
        <f>IF(OR($X794="",$T794&gt;60),"",IFERROR(INDEX(IF($T794&lt;24,pcomp_m,palt_m),MATCH($X794,IF($T794&lt;24,pcomp_k,palt_k),1)),""))</f>
        <v/>
      </c>
      <c r="AT794">
        <f>IF(OR($X794="",$T794&gt;60),"",IFERROR(INDEX(IF($T794&lt;24,pcomp_s,palt_s),MATCH($X794,IF($T794&lt;24,pcomp_k,palt_k),1)),""))</f>
        <v/>
      </c>
      <c r="AU794">
        <f>IF($AR794="","",IF($AR794=0,LN($F794/$AS794)/$AT794,((($F794/$AS794)^$AR794)-1)/($AR794*$AT794)))</f>
        <v/>
      </c>
      <c r="AV794">
        <f>IF($AR794="","",IF($AR794=0,$AS794*EXP($AT794*2),$AS794*(1+$AR794*$AT794*2)^(1/$AR794)))</f>
        <v/>
      </c>
      <c r="AW794">
        <f>IF($AR794="","",IF($AR794=0,$AS794*EXP($AT794*3),$AS794*(1+$AR794*$AT794*3)^(1/$AR794)))</f>
        <v/>
      </c>
      <c r="AX794">
        <f>IF($AR794="","",IF($AR794=0,$AS794*EXP($AT794*-2),$AS794*(1+$AR794*$AT794*-2)^(1/$AR794)))</f>
        <v/>
      </c>
      <c r="AY794">
        <f>IF($AR794="","",IF($AR794=0,$AS794*EXP($AT794*-3),$AS794*(1+$AR794*$AT794*-3)^(1/$AR794)))</f>
        <v/>
      </c>
      <c r="AZ794">
        <f>IF(OR($A794="",$A794&lt;&gt;Ficha!$C$4),"",COUNTIF($A$2:$A794,Ficha!$C$4))</f>
        <v/>
      </c>
    </row>
    <row r="795">
      <c r="A795" s="8">
        <f>IF(INDEX(Banco!$A:$A,ROW())="","",INDEX(Banco!$A:$A,ROW()))</f>
        <v/>
      </c>
      <c r="B795" s="8">
        <f>IF(INDEX(Banco!$B:$B,ROW())="","",INDEX(Banco!$B:$B,ROW()))</f>
        <v/>
      </c>
      <c r="C795" s="8">
        <f>IF(INDEX(Banco!$C:$C,ROW())="","",INDEX(Banco!$C:$C,ROW()))</f>
        <v/>
      </c>
      <c r="D795" s="9">
        <f>IF(INDEX(Banco!$D:$D,ROW())="","",INDEX(Banco!$D:$D,ROW()))</f>
        <v/>
      </c>
      <c r="E795" s="9">
        <f>IF(INDEX(Banco!$E:$E,ROW())="","",INDEX(Banco!$E:$E,ROW()))</f>
        <v/>
      </c>
      <c r="F795" s="10">
        <f>IF(INDEX(Banco!$F:$F,ROW())="","",INDEX(Banco!$F:$F,ROW()))</f>
        <v/>
      </c>
      <c r="G795" s="10">
        <f>IF(INDEX(Banco!$G:$G,ROW())="","",INDEX(Banco!$G:$G,ROW()))</f>
        <v/>
      </c>
      <c r="H795" s="8">
        <f>IF(INDEX(Banco!$H:$H,ROW())="","",INDEX(Banco!$H:$H,ROW()))</f>
        <v/>
      </c>
      <c r="I795">
        <f>IF($T795="","",INT($T795/12)&amp;"a "&amp;MOD($T795,12)&amp;"m")</f>
        <v/>
      </c>
      <c r="J795" s="11">
        <f>IF(OR($F795="",$G795=""),"",ROUND($F795/($G795/100)^2,2))</f>
        <v/>
      </c>
      <c r="K795" s="12">
        <f>IF(OR($S795="",$J795="",$T795="",$T795&lt;0,$T795&gt;228,$Y795=""),"—",ROUND(IF(ABS($AB795)&lt;=3,$AB795,IF($AB795&gt;3,3+($J795-$AD795)/($AD795-$AC795),-3+($J795-$AF795)/($AE795-$AF795))),2))</f>
        <v/>
      </c>
      <c r="L795">
        <f>IF(OR($K795="",$K795="—"),"",IF($T795&lt;=60,IF($K795&lt;-3,"Magreza acentuada",IF($K795&lt;-2,"Magreza",IF($K795&lt;=1,"Eutrofia",IF($K795&lt;=2,"Risco de sobrepeso",IF($K795&lt;=3,"Sobrepeso","Obesidade"))))),IF($K795&lt;-3,"Magreza acentuada",IF($K795&lt;-2,"Magreza",IF($K795&lt;=1,"Eutrofia",IF($K795&lt;=2,"Sobrepeso",IF($K795&lt;=3,"Obesidade","Obesidade grave")))))))</f>
        <v/>
      </c>
      <c r="M795" s="12">
        <f>IF(OR($S795="",$V795="",$T795="",$T795&lt;0,$T795&gt;228,$AG795=""),"—",ROUND(IF($AG795=0,LN($V795/$AH795)/$AI795,((($V795/$AH795)^$AG795)-1)/($AG795*$AI795)),2))</f>
        <v/>
      </c>
      <c r="N795">
        <f>IF(OR($M795="",$M795="—"),"",IF($M795&lt;-3,"Muito baixa",IF($M795&lt;-2,"Baixa","Adequada")))</f>
        <v/>
      </c>
      <c r="O795" s="12">
        <f>IF(OR($S795="",$F795="",$T795="",$T795&lt;0,$T795&gt;120,$AJ795=""),"—",ROUND(IF(ABS($AM795)&lt;=3,$AM795,IF($AM795&gt;3,3+($F795-$AO795)/($AO795-$AN795),-3+($F795-$AQ795)/($AP795-$AQ795))),2))</f>
        <v/>
      </c>
      <c r="P795">
        <f>IF(OR($O795="",$O795="—"),"",IF($O795&lt;-3,"Muito baixo",IF($O795&lt;-2,"Baixo",IF($O795&lt;=2,"Adequado","Elevado"))))</f>
        <v/>
      </c>
      <c r="Q795" s="12">
        <f>IF(OR($S795="",$F795="",$T795="",$T795&lt;0,$T795&gt;60,$AR795=""),"—",ROUND(IF(ABS($AU795)&lt;=3,$AU795,IF($AU795&gt;3,3+($F795-$AW795)/($AW795-$AV795),-3+($F795-$AY795)/($AX795-$AY795))),2))</f>
        <v/>
      </c>
      <c r="R795">
        <f>IF(OR($Q795="",$Q795="—"),"",IF($Q795&lt;-3,"Magreza acentuada",IF($Q795&lt;-2,"Magreza",IF($Q795&lt;=1,"Eutrofia",IF($Q795&lt;=2,"Risco de sobrepeso",IF($Q795&lt;=3,"Sobrepeso","Obesidade"))))))</f>
        <v/>
      </c>
      <c r="S795">
        <f>IF($C795="","",IF(UPPER(LEFT($C795,1))="M",1,IF(UPPER(LEFT($C795,1))="F",2,"")))</f>
        <v/>
      </c>
      <c r="T795">
        <f>IF(OR($D795="",$E795=""),"",DATEDIF($D795,$E795,"m"))</f>
        <v/>
      </c>
      <c r="U795">
        <f>IF(OR($D795="",$E795=""),"",$E795-$D795)</f>
        <v/>
      </c>
      <c r="V795">
        <f>IF(OR($G795="",$T795=""),"",IF($T795&lt;24,IF(LEFT(LOWER($H795),4)="em p",$G795+0.7,$G795),IF(LEFT(LOWER($H795),4)="deit",$G795-0.7,$G795)))</f>
        <v/>
      </c>
      <c r="W795">
        <f>IF(OR($S795="",$T795=""),"",$S795*1000000+IF($T795&lt;=60,$U795,$T795))</f>
        <v/>
      </c>
      <c r="X795">
        <f>IF(OR($S795="",$V795="",$T795&gt;60,$T795=""),"",$S795*1000000+ROUND($V795*10,0))</f>
        <v/>
      </c>
      <c r="Y795">
        <f>IF($W795="","",IFERROR(INDEX(IF($T795&lt;=60,imc05_l,imc519_l),MATCH($W795,IF($T795&lt;=60,imc05_k,imc519_k),1)),""))</f>
        <v/>
      </c>
      <c r="Z795">
        <f>IF($W795="","",IFERROR(INDEX(IF($T795&lt;=60,imc05_m,imc519_m),MATCH($W795,IF($T795&lt;=60,imc05_k,imc519_k),1)),""))</f>
        <v/>
      </c>
      <c r="AA795">
        <f>IF($W795="","",IFERROR(INDEX(IF($T795&lt;=60,imc05_s,imc519_s),MATCH($W795,IF($T795&lt;=60,imc05_k,imc519_k),1)),""))</f>
        <v/>
      </c>
      <c r="AB795">
        <f>IF($Y795="","",IF($Y795=0,LN($J795/$Z795)/$AA795,((($J795/$Z795)^$Y795)-1)/($Y795*$AA795)))</f>
        <v/>
      </c>
      <c r="AC795">
        <f>IF($Y795="","",IF($Y795=0,$Z795*EXP($AA795*2),$Z795*(1+$Y795*$AA795*2)^(1/$Y795)))</f>
        <v/>
      </c>
      <c r="AD795">
        <f>IF($Y795="","",IF($Y795=0,$Z795*EXP($AA795*3),$Z795*(1+$Y795*$AA795*3)^(1/$Y795)))</f>
        <v/>
      </c>
      <c r="AE795">
        <f>IF($Y795="","",IF($Y795=0,$Z795*EXP($AA795*-2),$Z795*(1+$Y795*$AA795*-2)^(1/$Y795)))</f>
        <v/>
      </c>
      <c r="AF795">
        <f>IF($Y795="","",IF($Y795=0,$Z795*EXP($AA795*-3),$Z795*(1+$Y795*$AA795*-3)^(1/$Y795)))</f>
        <v/>
      </c>
      <c r="AG795">
        <f>IF($W795="","",IFERROR(INDEX(IF($T795&lt;=60,est05_l,est519_l),MATCH($W795,IF($T795&lt;=60,est05_k,est519_k),1)),""))</f>
        <v/>
      </c>
      <c r="AH795">
        <f>IF($W795="","",IFERROR(INDEX(IF($T795&lt;=60,est05_m,est519_m),MATCH($W795,IF($T795&lt;=60,est05_k,est519_k),1)),""))</f>
        <v/>
      </c>
      <c r="AI795">
        <f>IF($W795="","",IFERROR(INDEX(IF($T795&lt;=60,est05_s,est519_s),MATCH($W795,IF($T795&lt;=60,est05_k,est519_k),1)),""))</f>
        <v/>
      </c>
      <c r="AJ795">
        <f>IF($W795="","",IFERROR(INDEX(IF($T795&lt;=60,peso05_l,peso510_l),MATCH($W795,IF($T795&lt;=60,peso05_k,peso510_k),1)),""))</f>
        <v/>
      </c>
      <c r="AK795">
        <f>IF($W795="","",IFERROR(INDEX(IF($T795&lt;=60,peso05_m,peso510_m),MATCH($W795,IF($T795&lt;=60,peso05_k,peso510_k),1)),""))</f>
        <v/>
      </c>
      <c r="AL795">
        <f>IF($W795="","",IFERROR(INDEX(IF($T795&lt;=60,peso05_s,peso510_s),MATCH($W795,IF($T795&lt;=60,peso05_k,peso510_k),1)),""))</f>
        <v/>
      </c>
      <c r="AM795">
        <f>IF($AJ795="","",IF($AJ795=0,LN($F795/$AK795)/$AL795,((($F795/$AK795)^$AJ795)-1)/($AJ795*$AL795)))</f>
        <v/>
      </c>
      <c r="AN795">
        <f>IF($AJ795="","",IF($AJ795=0,$AK795*EXP($AL795*2),$AK795*(1+$AJ795*$AL795*2)^(1/$AJ795)))</f>
        <v/>
      </c>
      <c r="AO795">
        <f>IF($AJ795="","",IF($AJ795=0,$AK795*EXP($AL795*3),$AK795*(1+$AJ795*$AL795*3)^(1/$AJ795)))</f>
        <v/>
      </c>
      <c r="AP795">
        <f>IF($AJ795="","",IF($AJ795=0,$AK795*EXP($AL795*-2),$AK795*(1+$AJ795*$AL795*-2)^(1/$AJ795)))</f>
        <v/>
      </c>
      <c r="AQ795">
        <f>IF($AJ795="","",IF($AJ795=0,$AK795*EXP($AL795*-3),$AK795*(1+$AJ795*$AL795*-3)^(1/$AJ795)))</f>
        <v/>
      </c>
      <c r="AR795">
        <f>IF(OR($X795="",$T795&gt;60),"",IFERROR(INDEX(IF($T795&lt;24,pcomp_l,palt_l),MATCH($X795,IF($T795&lt;24,pcomp_k,palt_k),1)),""))</f>
        <v/>
      </c>
      <c r="AS795">
        <f>IF(OR($X795="",$T795&gt;60),"",IFERROR(INDEX(IF($T795&lt;24,pcomp_m,palt_m),MATCH($X795,IF($T795&lt;24,pcomp_k,palt_k),1)),""))</f>
        <v/>
      </c>
      <c r="AT795">
        <f>IF(OR($X795="",$T795&gt;60),"",IFERROR(INDEX(IF($T795&lt;24,pcomp_s,palt_s),MATCH($X795,IF($T795&lt;24,pcomp_k,palt_k),1)),""))</f>
        <v/>
      </c>
      <c r="AU795">
        <f>IF($AR795="","",IF($AR795=0,LN($F795/$AS795)/$AT795,((($F795/$AS795)^$AR795)-1)/($AR795*$AT795)))</f>
        <v/>
      </c>
      <c r="AV795">
        <f>IF($AR795="","",IF($AR795=0,$AS795*EXP($AT795*2),$AS795*(1+$AR795*$AT795*2)^(1/$AR795)))</f>
        <v/>
      </c>
      <c r="AW795">
        <f>IF($AR795="","",IF($AR795=0,$AS795*EXP($AT795*3),$AS795*(1+$AR795*$AT795*3)^(1/$AR795)))</f>
        <v/>
      </c>
      <c r="AX795">
        <f>IF($AR795="","",IF($AR795=0,$AS795*EXP($AT795*-2),$AS795*(1+$AR795*$AT795*-2)^(1/$AR795)))</f>
        <v/>
      </c>
      <c r="AY795">
        <f>IF($AR795="","",IF($AR795=0,$AS795*EXP($AT795*-3),$AS795*(1+$AR795*$AT795*-3)^(1/$AR795)))</f>
        <v/>
      </c>
      <c r="AZ795">
        <f>IF(OR($A795="",$A795&lt;&gt;Ficha!$C$4),"",COUNTIF($A$2:$A795,Ficha!$C$4))</f>
        <v/>
      </c>
    </row>
    <row r="796">
      <c r="A796" s="8">
        <f>IF(INDEX(Banco!$A:$A,ROW())="","",INDEX(Banco!$A:$A,ROW()))</f>
        <v/>
      </c>
      <c r="B796" s="8">
        <f>IF(INDEX(Banco!$B:$B,ROW())="","",INDEX(Banco!$B:$B,ROW()))</f>
        <v/>
      </c>
      <c r="C796" s="8">
        <f>IF(INDEX(Banco!$C:$C,ROW())="","",INDEX(Banco!$C:$C,ROW()))</f>
        <v/>
      </c>
      <c r="D796" s="9">
        <f>IF(INDEX(Banco!$D:$D,ROW())="","",INDEX(Banco!$D:$D,ROW()))</f>
        <v/>
      </c>
      <c r="E796" s="9">
        <f>IF(INDEX(Banco!$E:$E,ROW())="","",INDEX(Banco!$E:$E,ROW()))</f>
        <v/>
      </c>
      <c r="F796" s="10">
        <f>IF(INDEX(Banco!$F:$F,ROW())="","",INDEX(Banco!$F:$F,ROW()))</f>
        <v/>
      </c>
      <c r="G796" s="10">
        <f>IF(INDEX(Banco!$G:$G,ROW())="","",INDEX(Banco!$G:$G,ROW()))</f>
        <v/>
      </c>
      <c r="H796" s="8">
        <f>IF(INDEX(Banco!$H:$H,ROW())="","",INDEX(Banco!$H:$H,ROW()))</f>
        <v/>
      </c>
      <c r="I796">
        <f>IF($T796="","",INT($T796/12)&amp;"a "&amp;MOD($T796,12)&amp;"m")</f>
        <v/>
      </c>
      <c r="J796" s="11">
        <f>IF(OR($F796="",$G796=""),"",ROUND($F796/($G796/100)^2,2))</f>
        <v/>
      </c>
      <c r="K796" s="12">
        <f>IF(OR($S796="",$J796="",$T796="",$T796&lt;0,$T796&gt;228,$Y796=""),"—",ROUND(IF(ABS($AB796)&lt;=3,$AB796,IF($AB796&gt;3,3+($J796-$AD796)/($AD796-$AC796),-3+($J796-$AF796)/($AE796-$AF796))),2))</f>
        <v/>
      </c>
      <c r="L796">
        <f>IF(OR($K796="",$K796="—"),"",IF($T796&lt;=60,IF($K796&lt;-3,"Magreza acentuada",IF($K796&lt;-2,"Magreza",IF($K796&lt;=1,"Eutrofia",IF($K796&lt;=2,"Risco de sobrepeso",IF($K796&lt;=3,"Sobrepeso","Obesidade"))))),IF($K796&lt;-3,"Magreza acentuada",IF($K796&lt;-2,"Magreza",IF($K796&lt;=1,"Eutrofia",IF($K796&lt;=2,"Sobrepeso",IF($K796&lt;=3,"Obesidade","Obesidade grave")))))))</f>
        <v/>
      </c>
      <c r="M796" s="12">
        <f>IF(OR($S796="",$V796="",$T796="",$T796&lt;0,$T796&gt;228,$AG796=""),"—",ROUND(IF($AG796=0,LN($V796/$AH796)/$AI796,((($V796/$AH796)^$AG796)-1)/($AG796*$AI796)),2))</f>
        <v/>
      </c>
      <c r="N796">
        <f>IF(OR($M796="",$M796="—"),"",IF($M796&lt;-3,"Muito baixa",IF($M796&lt;-2,"Baixa","Adequada")))</f>
        <v/>
      </c>
      <c r="O796" s="12">
        <f>IF(OR($S796="",$F796="",$T796="",$T796&lt;0,$T796&gt;120,$AJ796=""),"—",ROUND(IF(ABS($AM796)&lt;=3,$AM796,IF($AM796&gt;3,3+($F796-$AO796)/($AO796-$AN796),-3+($F796-$AQ796)/($AP796-$AQ796))),2))</f>
        <v/>
      </c>
      <c r="P796">
        <f>IF(OR($O796="",$O796="—"),"",IF($O796&lt;-3,"Muito baixo",IF($O796&lt;-2,"Baixo",IF($O796&lt;=2,"Adequado","Elevado"))))</f>
        <v/>
      </c>
      <c r="Q796" s="12">
        <f>IF(OR($S796="",$F796="",$T796="",$T796&lt;0,$T796&gt;60,$AR796=""),"—",ROUND(IF(ABS($AU796)&lt;=3,$AU796,IF($AU796&gt;3,3+($F796-$AW796)/($AW796-$AV796),-3+($F796-$AY796)/($AX796-$AY796))),2))</f>
        <v/>
      </c>
      <c r="R796">
        <f>IF(OR($Q796="",$Q796="—"),"",IF($Q796&lt;-3,"Magreza acentuada",IF($Q796&lt;-2,"Magreza",IF($Q796&lt;=1,"Eutrofia",IF($Q796&lt;=2,"Risco de sobrepeso",IF($Q796&lt;=3,"Sobrepeso","Obesidade"))))))</f>
        <v/>
      </c>
      <c r="S796">
        <f>IF($C796="","",IF(UPPER(LEFT($C796,1))="M",1,IF(UPPER(LEFT($C796,1))="F",2,"")))</f>
        <v/>
      </c>
      <c r="T796">
        <f>IF(OR($D796="",$E796=""),"",DATEDIF($D796,$E796,"m"))</f>
        <v/>
      </c>
      <c r="U796">
        <f>IF(OR($D796="",$E796=""),"",$E796-$D796)</f>
        <v/>
      </c>
      <c r="V796">
        <f>IF(OR($G796="",$T796=""),"",IF($T796&lt;24,IF(LEFT(LOWER($H796),4)="em p",$G796+0.7,$G796),IF(LEFT(LOWER($H796),4)="deit",$G796-0.7,$G796)))</f>
        <v/>
      </c>
      <c r="W796">
        <f>IF(OR($S796="",$T796=""),"",$S796*1000000+IF($T796&lt;=60,$U796,$T796))</f>
        <v/>
      </c>
      <c r="X796">
        <f>IF(OR($S796="",$V796="",$T796&gt;60,$T796=""),"",$S796*1000000+ROUND($V796*10,0))</f>
        <v/>
      </c>
      <c r="Y796">
        <f>IF($W796="","",IFERROR(INDEX(IF($T796&lt;=60,imc05_l,imc519_l),MATCH($W796,IF($T796&lt;=60,imc05_k,imc519_k),1)),""))</f>
        <v/>
      </c>
      <c r="Z796">
        <f>IF($W796="","",IFERROR(INDEX(IF($T796&lt;=60,imc05_m,imc519_m),MATCH($W796,IF($T796&lt;=60,imc05_k,imc519_k),1)),""))</f>
        <v/>
      </c>
      <c r="AA796">
        <f>IF($W796="","",IFERROR(INDEX(IF($T796&lt;=60,imc05_s,imc519_s),MATCH($W796,IF($T796&lt;=60,imc05_k,imc519_k),1)),""))</f>
        <v/>
      </c>
      <c r="AB796">
        <f>IF($Y796="","",IF($Y796=0,LN($J796/$Z796)/$AA796,((($J796/$Z796)^$Y796)-1)/($Y796*$AA796)))</f>
        <v/>
      </c>
      <c r="AC796">
        <f>IF($Y796="","",IF($Y796=0,$Z796*EXP($AA796*2),$Z796*(1+$Y796*$AA796*2)^(1/$Y796)))</f>
        <v/>
      </c>
      <c r="AD796">
        <f>IF($Y796="","",IF($Y796=0,$Z796*EXP($AA796*3),$Z796*(1+$Y796*$AA796*3)^(1/$Y796)))</f>
        <v/>
      </c>
      <c r="AE796">
        <f>IF($Y796="","",IF($Y796=0,$Z796*EXP($AA796*-2),$Z796*(1+$Y796*$AA796*-2)^(1/$Y796)))</f>
        <v/>
      </c>
      <c r="AF796">
        <f>IF($Y796="","",IF($Y796=0,$Z796*EXP($AA796*-3),$Z796*(1+$Y796*$AA796*-3)^(1/$Y796)))</f>
        <v/>
      </c>
      <c r="AG796">
        <f>IF($W796="","",IFERROR(INDEX(IF($T796&lt;=60,est05_l,est519_l),MATCH($W796,IF($T796&lt;=60,est05_k,est519_k),1)),""))</f>
        <v/>
      </c>
      <c r="AH796">
        <f>IF($W796="","",IFERROR(INDEX(IF($T796&lt;=60,est05_m,est519_m),MATCH($W796,IF($T796&lt;=60,est05_k,est519_k),1)),""))</f>
        <v/>
      </c>
      <c r="AI796">
        <f>IF($W796="","",IFERROR(INDEX(IF($T796&lt;=60,est05_s,est519_s),MATCH($W796,IF($T796&lt;=60,est05_k,est519_k),1)),""))</f>
        <v/>
      </c>
      <c r="AJ796">
        <f>IF($W796="","",IFERROR(INDEX(IF($T796&lt;=60,peso05_l,peso510_l),MATCH($W796,IF($T796&lt;=60,peso05_k,peso510_k),1)),""))</f>
        <v/>
      </c>
      <c r="AK796">
        <f>IF($W796="","",IFERROR(INDEX(IF($T796&lt;=60,peso05_m,peso510_m),MATCH($W796,IF($T796&lt;=60,peso05_k,peso510_k),1)),""))</f>
        <v/>
      </c>
      <c r="AL796">
        <f>IF($W796="","",IFERROR(INDEX(IF($T796&lt;=60,peso05_s,peso510_s),MATCH($W796,IF($T796&lt;=60,peso05_k,peso510_k),1)),""))</f>
        <v/>
      </c>
      <c r="AM796">
        <f>IF($AJ796="","",IF($AJ796=0,LN($F796/$AK796)/$AL796,((($F796/$AK796)^$AJ796)-1)/($AJ796*$AL796)))</f>
        <v/>
      </c>
      <c r="AN796">
        <f>IF($AJ796="","",IF($AJ796=0,$AK796*EXP($AL796*2),$AK796*(1+$AJ796*$AL796*2)^(1/$AJ796)))</f>
        <v/>
      </c>
      <c r="AO796">
        <f>IF($AJ796="","",IF($AJ796=0,$AK796*EXP($AL796*3),$AK796*(1+$AJ796*$AL796*3)^(1/$AJ796)))</f>
        <v/>
      </c>
      <c r="AP796">
        <f>IF($AJ796="","",IF($AJ796=0,$AK796*EXP($AL796*-2),$AK796*(1+$AJ796*$AL796*-2)^(1/$AJ796)))</f>
        <v/>
      </c>
      <c r="AQ796">
        <f>IF($AJ796="","",IF($AJ796=0,$AK796*EXP($AL796*-3),$AK796*(1+$AJ796*$AL796*-3)^(1/$AJ796)))</f>
        <v/>
      </c>
      <c r="AR796">
        <f>IF(OR($X796="",$T796&gt;60),"",IFERROR(INDEX(IF($T796&lt;24,pcomp_l,palt_l),MATCH($X796,IF($T796&lt;24,pcomp_k,palt_k),1)),""))</f>
        <v/>
      </c>
      <c r="AS796">
        <f>IF(OR($X796="",$T796&gt;60),"",IFERROR(INDEX(IF($T796&lt;24,pcomp_m,palt_m),MATCH($X796,IF($T796&lt;24,pcomp_k,palt_k),1)),""))</f>
        <v/>
      </c>
      <c r="AT796">
        <f>IF(OR($X796="",$T796&gt;60),"",IFERROR(INDEX(IF($T796&lt;24,pcomp_s,palt_s),MATCH($X796,IF($T796&lt;24,pcomp_k,palt_k),1)),""))</f>
        <v/>
      </c>
      <c r="AU796">
        <f>IF($AR796="","",IF($AR796=0,LN($F796/$AS796)/$AT796,((($F796/$AS796)^$AR796)-1)/($AR796*$AT796)))</f>
        <v/>
      </c>
      <c r="AV796">
        <f>IF($AR796="","",IF($AR796=0,$AS796*EXP($AT796*2),$AS796*(1+$AR796*$AT796*2)^(1/$AR796)))</f>
        <v/>
      </c>
      <c r="AW796">
        <f>IF($AR796="","",IF($AR796=0,$AS796*EXP($AT796*3),$AS796*(1+$AR796*$AT796*3)^(1/$AR796)))</f>
        <v/>
      </c>
      <c r="AX796">
        <f>IF($AR796="","",IF($AR796=0,$AS796*EXP($AT796*-2),$AS796*(1+$AR796*$AT796*-2)^(1/$AR796)))</f>
        <v/>
      </c>
      <c r="AY796">
        <f>IF($AR796="","",IF($AR796=0,$AS796*EXP($AT796*-3),$AS796*(1+$AR796*$AT796*-3)^(1/$AR796)))</f>
        <v/>
      </c>
      <c r="AZ796">
        <f>IF(OR($A796="",$A796&lt;&gt;Ficha!$C$4),"",COUNTIF($A$2:$A796,Ficha!$C$4))</f>
        <v/>
      </c>
    </row>
    <row r="797">
      <c r="A797" s="8">
        <f>IF(INDEX(Banco!$A:$A,ROW())="","",INDEX(Banco!$A:$A,ROW()))</f>
        <v/>
      </c>
      <c r="B797" s="8">
        <f>IF(INDEX(Banco!$B:$B,ROW())="","",INDEX(Banco!$B:$B,ROW()))</f>
        <v/>
      </c>
      <c r="C797" s="8">
        <f>IF(INDEX(Banco!$C:$C,ROW())="","",INDEX(Banco!$C:$C,ROW()))</f>
        <v/>
      </c>
      <c r="D797" s="9">
        <f>IF(INDEX(Banco!$D:$D,ROW())="","",INDEX(Banco!$D:$D,ROW()))</f>
        <v/>
      </c>
      <c r="E797" s="9">
        <f>IF(INDEX(Banco!$E:$E,ROW())="","",INDEX(Banco!$E:$E,ROW()))</f>
        <v/>
      </c>
      <c r="F797" s="10">
        <f>IF(INDEX(Banco!$F:$F,ROW())="","",INDEX(Banco!$F:$F,ROW()))</f>
        <v/>
      </c>
      <c r="G797" s="10">
        <f>IF(INDEX(Banco!$G:$G,ROW())="","",INDEX(Banco!$G:$G,ROW()))</f>
        <v/>
      </c>
      <c r="H797" s="8">
        <f>IF(INDEX(Banco!$H:$H,ROW())="","",INDEX(Banco!$H:$H,ROW()))</f>
        <v/>
      </c>
      <c r="I797">
        <f>IF($T797="","",INT($T797/12)&amp;"a "&amp;MOD($T797,12)&amp;"m")</f>
        <v/>
      </c>
      <c r="J797" s="11">
        <f>IF(OR($F797="",$G797=""),"",ROUND($F797/($G797/100)^2,2))</f>
        <v/>
      </c>
      <c r="K797" s="12">
        <f>IF(OR($S797="",$J797="",$T797="",$T797&lt;0,$T797&gt;228,$Y797=""),"—",ROUND(IF(ABS($AB797)&lt;=3,$AB797,IF($AB797&gt;3,3+($J797-$AD797)/($AD797-$AC797),-3+($J797-$AF797)/($AE797-$AF797))),2))</f>
        <v/>
      </c>
      <c r="L797">
        <f>IF(OR($K797="",$K797="—"),"",IF($T797&lt;=60,IF($K797&lt;-3,"Magreza acentuada",IF($K797&lt;-2,"Magreza",IF($K797&lt;=1,"Eutrofia",IF($K797&lt;=2,"Risco de sobrepeso",IF($K797&lt;=3,"Sobrepeso","Obesidade"))))),IF($K797&lt;-3,"Magreza acentuada",IF($K797&lt;-2,"Magreza",IF($K797&lt;=1,"Eutrofia",IF($K797&lt;=2,"Sobrepeso",IF($K797&lt;=3,"Obesidade","Obesidade grave")))))))</f>
        <v/>
      </c>
      <c r="M797" s="12">
        <f>IF(OR($S797="",$V797="",$T797="",$T797&lt;0,$T797&gt;228,$AG797=""),"—",ROUND(IF($AG797=0,LN($V797/$AH797)/$AI797,((($V797/$AH797)^$AG797)-1)/($AG797*$AI797)),2))</f>
        <v/>
      </c>
      <c r="N797">
        <f>IF(OR($M797="",$M797="—"),"",IF($M797&lt;-3,"Muito baixa",IF($M797&lt;-2,"Baixa","Adequada")))</f>
        <v/>
      </c>
      <c r="O797" s="12">
        <f>IF(OR($S797="",$F797="",$T797="",$T797&lt;0,$T797&gt;120,$AJ797=""),"—",ROUND(IF(ABS($AM797)&lt;=3,$AM797,IF($AM797&gt;3,3+($F797-$AO797)/($AO797-$AN797),-3+($F797-$AQ797)/($AP797-$AQ797))),2))</f>
        <v/>
      </c>
      <c r="P797">
        <f>IF(OR($O797="",$O797="—"),"",IF($O797&lt;-3,"Muito baixo",IF($O797&lt;-2,"Baixo",IF($O797&lt;=2,"Adequado","Elevado"))))</f>
        <v/>
      </c>
      <c r="Q797" s="12">
        <f>IF(OR($S797="",$F797="",$T797="",$T797&lt;0,$T797&gt;60,$AR797=""),"—",ROUND(IF(ABS($AU797)&lt;=3,$AU797,IF($AU797&gt;3,3+($F797-$AW797)/($AW797-$AV797),-3+($F797-$AY797)/($AX797-$AY797))),2))</f>
        <v/>
      </c>
      <c r="R797">
        <f>IF(OR($Q797="",$Q797="—"),"",IF($Q797&lt;-3,"Magreza acentuada",IF($Q797&lt;-2,"Magreza",IF($Q797&lt;=1,"Eutrofia",IF($Q797&lt;=2,"Risco de sobrepeso",IF($Q797&lt;=3,"Sobrepeso","Obesidade"))))))</f>
        <v/>
      </c>
      <c r="S797">
        <f>IF($C797="","",IF(UPPER(LEFT($C797,1))="M",1,IF(UPPER(LEFT($C797,1))="F",2,"")))</f>
        <v/>
      </c>
      <c r="T797">
        <f>IF(OR($D797="",$E797=""),"",DATEDIF($D797,$E797,"m"))</f>
        <v/>
      </c>
      <c r="U797">
        <f>IF(OR($D797="",$E797=""),"",$E797-$D797)</f>
        <v/>
      </c>
      <c r="V797">
        <f>IF(OR($G797="",$T797=""),"",IF($T797&lt;24,IF(LEFT(LOWER($H797),4)="em p",$G797+0.7,$G797),IF(LEFT(LOWER($H797),4)="deit",$G797-0.7,$G797)))</f>
        <v/>
      </c>
      <c r="W797">
        <f>IF(OR($S797="",$T797=""),"",$S797*1000000+IF($T797&lt;=60,$U797,$T797))</f>
        <v/>
      </c>
      <c r="X797">
        <f>IF(OR($S797="",$V797="",$T797&gt;60,$T797=""),"",$S797*1000000+ROUND($V797*10,0))</f>
        <v/>
      </c>
      <c r="Y797">
        <f>IF($W797="","",IFERROR(INDEX(IF($T797&lt;=60,imc05_l,imc519_l),MATCH($W797,IF($T797&lt;=60,imc05_k,imc519_k),1)),""))</f>
        <v/>
      </c>
      <c r="Z797">
        <f>IF($W797="","",IFERROR(INDEX(IF($T797&lt;=60,imc05_m,imc519_m),MATCH($W797,IF($T797&lt;=60,imc05_k,imc519_k),1)),""))</f>
        <v/>
      </c>
      <c r="AA797">
        <f>IF($W797="","",IFERROR(INDEX(IF($T797&lt;=60,imc05_s,imc519_s),MATCH($W797,IF($T797&lt;=60,imc05_k,imc519_k),1)),""))</f>
        <v/>
      </c>
      <c r="AB797">
        <f>IF($Y797="","",IF($Y797=0,LN($J797/$Z797)/$AA797,((($J797/$Z797)^$Y797)-1)/($Y797*$AA797)))</f>
        <v/>
      </c>
      <c r="AC797">
        <f>IF($Y797="","",IF($Y797=0,$Z797*EXP($AA797*2),$Z797*(1+$Y797*$AA797*2)^(1/$Y797)))</f>
        <v/>
      </c>
      <c r="AD797">
        <f>IF($Y797="","",IF($Y797=0,$Z797*EXP($AA797*3),$Z797*(1+$Y797*$AA797*3)^(1/$Y797)))</f>
        <v/>
      </c>
      <c r="AE797">
        <f>IF($Y797="","",IF($Y797=0,$Z797*EXP($AA797*-2),$Z797*(1+$Y797*$AA797*-2)^(1/$Y797)))</f>
        <v/>
      </c>
      <c r="AF797">
        <f>IF($Y797="","",IF($Y797=0,$Z797*EXP($AA797*-3),$Z797*(1+$Y797*$AA797*-3)^(1/$Y797)))</f>
        <v/>
      </c>
      <c r="AG797">
        <f>IF($W797="","",IFERROR(INDEX(IF($T797&lt;=60,est05_l,est519_l),MATCH($W797,IF($T797&lt;=60,est05_k,est519_k),1)),""))</f>
        <v/>
      </c>
      <c r="AH797">
        <f>IF($W797="","",IFERROR(INDEX(IF($T797&lt;=60,est05_m,est519_m),MATCH($W797,IF($T797&lt;=60,est05_k,est519_k),1)),""))</f>
        <v/>
      </c>
      <c r="AI797">
        <f>IF($W797="","",IFERROR(INDEX(IF($T797&lt;=60,est05_s,est519_s),MATCH($W797,IF($T797&lt;=60,est05_k,est519_k),1)),""))</f>
        <v/>
      </c>
      <c r="AJ797">
        <f>IF($W797="","",IFERROR(INDEX(IF($T797&lt;=60,peso05_l,peso510_l),MATCH($W797,IF($T797&lt;=60,peso05_k,peso510_k),1)),""))</f>
        <v/>
      </c>
      <c r="AK797">
        <f>IF($W797="","",IFERROR(INDEX(IF($T797&lt;=60,peso05_m,peso510_m),MATCH($W797,IF($T797&lt;=60,peso05_k,peso510_k),1)),""))</f>
        <v/>
      </c>
      <c r="AL797">
        <f>IF($W797="","",IFERROR(INDEX(IF($T797&lt;=60,peso05_s,peso510_s),MATCH($W797,IF($T797&lt;=60,peso05_k,peso510_k),1)),""))</f>
        <v/>
      </c>
      <c r="AM797">
        <f>IF($AJ797="","",IF($AJ797=0,LN($F797/$AK797)/$AL797,((($F797/$AK797)^$AJ797)-1)/($AJ797*$AL797)))</f>
        <v/>
      </c>
      <c r="AN797">
        <f>IF($AJ797="","",IF($AJ797=0,$AK797*EXP($AL797*2),$AK797*(1+$AJ797*$AL797*2)^(1/$AJ797)))</f>
        <v/>
      </c>
      <c r="AO797">
        <f>IF($AJ797="","",IF($AJ797=0,$AK797*EXP($AL797*3),$AK797*(1+$AJ797*$AL797*3)^(1/$AJ797)))</f>
        <v/>
      </c>
      <c r="AP797">
        <f>IF($AJ797="","",IF($AJ797=0,$AK797*EXP($AL797*-2),$AK797*(1+$AJ797*$AL797*-2)^(1/$AJ797)))</f>
        <v/>
      </c>
      <c r="AQ797">
        <f>IF($AJ797="","",IF($AJ797=0,$AK797*EXP($AL797*-3),$AK797*(1+$AJ797*$AL797*-3)^(1/$AJ797)))</f>
        <v/>
      </c>
      <c r="AR797">
        <f>IF(OR($X797="",$T797&gt;60),"",IFERROR(INDEX(IF($T797&lt;24,pcomp_l,palt_l),MATCH($X797,IF($T797&lt;24,pcomp_k,palt_k),1)),""))</f>
        <v/>
      </c>
      <c r="AS797">
        <f>IF(OR($X797="",$T797&gt;60),"",IFERROR(INDEX(IF($T797&lt;24,pcomp_m,palt_m),MATCH($X797,IF($T797&lt;24,pcomp_k,palt_k),1)),""))</f>
        <v/>
      </c>
      <c r="AT797">
        <f>IF(OR($X797="",$T797&gt;60),"",IFERROR(INDEX(IF($T797&lt;24,pcomp_s,palt_s),MATCH($X797,IF($T797&lt;24,pcomp_k,palt_k),1)),""))</f>
        <v/>
      </c>
      <c r="AU797">
        <f>IF($AR797="","",IF($AR797=0,LN($F797/$AS797)/$AT797,((($F797/$AS797)^$AR797)-1)/($AR797*$AT797)))</f>
        <v/>
      </c>
      <c r="AV797">
        <f>IF($AR797="","",IF($AR797=0,$AS797*EXP($AT797*2),$AS797*(1+$AR797*$AT797*2)^(1/$AR797)))</f>
        <v/>
      </c>
      <c r="AW797">
        <f>IF($AR797="","",IF($AR797=0,$AS797*EXP($AT797*3),$AS797*(1+$AR797*$AT797*3)^(1/$AR797)))</f>
        <v/>
      </c>
      <c r="AX797">
        <f>IF($AR797="","",IF($AR797=0,$AS797*EXP($AT797*-2),$AS797*(1+$AR797*$AT797*-2)^(1/$AR797)))</f>
        <v/>
      </c>
      <c r="AY797">
        <f>IF($AR797="","",IF($AR797=0,$AS797*EXP($AT797*-3),$AS797*(1+$AR797*$AT797*-3)^(1/$AR797)))</f>
        <v/>
      </c>
      <c r="AZ797">
        <f>IF(OR($A797="",$A797&lt;&gt;Ficha!$C$4),"",COUNTIF($A$2:$A797,Ficha!$C$4))</f>
        <v/>
      </c>
    </row>
    <row r="798">
      <c r="A798" s="8">
        <f>IF(INDEX(Banco!$A:$A,ROW())="","",INDEX(Banco!$A:$A,ROW()))</f>
        <v/>
      </c>
      <c r="B798" s="8">
        <f>IF(INDEX(Banco!$B:$B,ROW())="","",INDEX(Banco!$B:$B,ROW()))</f>
        <v/>
      </c>
      <c r="C798" s="8">
        <f>IF(INDEX(Banco!$C:$C,ROW())="","",INDEX(Banco!$C:$C,ROW()))</f>
        <v/>
      </c>
      <c r="D798" s="9">
        <f>IF(INDEX(Banco!$D:$D,ROW())="","",INDEX(Banco!$D:$D,ROW()))</f>
        <v/>
      </c>
      <c r="E798" s="9">
        <f>IF(INDEX(Banco!$E:$E,ROW())="","",INDEX(Banco!$E:$E,ROW()))</f>
        <v/>
      </c>
      <c r="F798" s="10">
        <f>IF(INDEX(Banco!$F:$F,ROW())="","",INDEX(Banco!$F:$F,ROW()))</f>
        <v/>
      </c>
      <c r="G798" s="10">
        <f>IF(INDEX(Banco!$G:$G,ROW())="","",INDEX(Banco!$G:$G,ROW()))</f>
        <v/>
      </c>
      <c r="H798" s="8">
        <f>IF(INDEX(Banco!$H:$H,ROW())="","",INDEX(Banco!$H:$H,ROW()))</f>
        <v/>
      </c>
      <c r="I798">
        <f>IF($T798="","",INT($T798/12)&amp;"a "&amp;MOD($T798,12)&amp;"m")</f>
        <v/>
      </c>
      <c r="J798" s="11">
        <f>IF(OR($F798="",$G798=""),"",ROUND($F798/($G798/100)^2,2))</f>
        <v/>
      </c>
      <c r="K798" s="12">
        <f>IF(OR($S798="",$J798="",$T798="",$T798&lt;0,$T798&gt;228,$Y798=""),"—",ROUND(IF(ABS($AB798)&lt;=3,$AB798,IF($AB798&gt;3,3+($J798-$AD798)/($AD798-$AC798),-3+($J798-$AF798)/($AE798-$AF798))),2))</f>
        <v/>
      </c>
      <c r="L798">
        <f>IF(OR($K798="",$K798="—"),"",IF($T798&lt;=60,IF($K798&lt;-3,"Magreza acentuada",IF($K798&lt;-2,"Magreza",IF($K798&lt;=1,"Eutrofia",IF($K798&lt;=2,"Risco de sobrepeso",IF($K798&lt;=3,"Sobrepeso","Obesidade"))))),IF($K798&lt;-3,"Magreza acentuada",IF($K798&lt;-2,"Magreza",IF($K798&lt;=1,"Eutrofia",IF($K798&lt;=2,"Sobrepeso",IF($K798&lt;=3,"Obesidade","Obesidade grave")))))))</f>
        <v/>
      </c>
      <c r="M798" s="12">
        <f>IF(OR($S798="",$V798="",$T798="",$T798&lt;0,$T798&gt;228,$AG798=""),"—",ROUND(IF($AG798=0,LN($V798/$AH798)/$AI798,((($V798/$AH798)^$AG798)-1)/($AG798*$AI798)),2))</f>
        <v/>
      </c>
      <c r="N798">
        <f>IF(OR($M798="",$M798="—"),"",IF($M798&lt;-3,"Muito baixa",IF($M798&lt;-2,"Baixa","Adequada")))</f>
        <v/>
      </c>
      <c r="O798" s="12">
        <f>IF(OR($S798="",$F798="",$T798="",$T798&lt;0,$T798&gt;120,$AJ798=""),"—",ROUND(IF(ABS($AM798)&lt;=3,$AM798,IF($AM798&gt;3,3+($F798-$AO798)/($AO798-$AN798),-3+($F798-$AQ798)/($AP798-$AQ798))),2))</f>
        <v/>
      </c>
      <c r="P798">
        <f>IF(OR($O798="",$O798="—"),"",IF($O798&lt;-3,"Muito baixo",IF($O798&lt;-2,"Baixo",IF($O798&lt;=2,"Adequado","Elevado"))))</f>
        <v/>
      </c>
      <c r="Q798" s="12">
        <f>IF(OR($S798="",$F798="",$T798="",$T798&lt;0,$T798&gt;60,$AR798=""),"—",ROUND(IF(ABS($AU798)&lt;=3,$AU798,IF($AU798&gt;3,3+($F798-$AW798)/($AW798-$AV798),-3+($F798-$AY798)/($AX798-$AY798))),2))</f>
        <v/>
      </c>
      <c r="R798">
        <f>IF(OR($Q798="",$Q798="—"),"",IF($Q798&lt;-3,"Magreza acentuada",IF($Q798&lt;-2,"Magreza",IF($Q798&lt;=1,"Eutrofia",IF($Q798&lt;=2,"Risco de sobrepeso",IF($Q798&lt;=3,"Sobrepeso","Obesidade"))))))</f>
        <v/>
      </c>
      <c r="S798">
        <f>IF($C798="","",IF(UPPER(LEFT($C798,1))="M",1,IF(UPPER(LEFT($C798,1))="F",2,"")))</f>
        <v/>
      </c>
      <c r="T798">
        <f>IF(OR($D798="",$E798=""),"",DATEDIF($D798,$E798,"m"))</f>
        <v/>
      </c>
      <c r="U798">
        <f>IF(OR($D798="",$E798=""),"",$E798-$D798)</f>
        <v/>
      </c>
      <c r="V798">
        <f>IF(OR($G798="",$T798=""),"",IF($T798&lt;24,IF(LEFT(LOWER($H798),4)="em p",$G798+0.7,$G798),IF(LEFT(LOWER($H798),4)="deit",$G798-0.7,$G798)))</f>
        <v/>
      </c>
      <c r="W798">
        <f>IF(OR($S798="",$T798=""),"",$S798*1000000+IF($T798&lt;=60,$U798,$T798))</f>
        <v/>
      </c>
      <c r="X798">
        <f>IF(OR($S798="",$V798="",$T798&gt;60,$T798=""),"",$S798*1000000+ROUND($V798*10,0))</f>
        <v/>
      </c>
      <c r="Y798">
        <f>IF($W798="","",IFERROR(INDEX(IF($T798&lt;=60,imc05_l,imc519_l),MATCH($W798,IF($T798&lt;=60,imc05_k,imc519_k),1)),""))</f>
        <v/>
      </c>
      <c r="Z798">
        <f>IF($W798="","",IFERROR(INDEX(IF($T798&lt;=60,imc05_m,imc519_m),MATCH($W798,IF($T798&lt;=60,imc05_k,imc519_k),1)),""))</f>
        <v/>
      </c>
      <c r="AA798">
        <f>IF($W798="","",IFERROR(INDEX(IF($T798&lt;=60,imc05_s,imc519_s),MATCH($W798,IF($T798&lt;=60,imc05_k,imc519_k),1)),""))</f>
        <v/>
      </c>
      <c r="AB798">
        <f>IF($Y798="","",IF($Y798=0,LN($J798/$Z798)/$AA798,((($J798/$Z798)^$Y798)-1)/($Y798*$AA798)))</f>
        <v/>
      </c>
      <c r="AC798">
        <f>IF($Y798="","",IF($Y798=0,$Z798*EXP($AA798*2),$Z798*(1+$Y798*$AA798*2)^(1/$Y798)))</f>
        <v/>
      </c>
      <c r="AD798">
        <f>IF($Y798="","",IF($Y798=0,$Z798*EXP($AA798*3),$Z798*(1+$Y798*$AA798*3)^(1/$Y798)))</f>
        <v/>
      </c>
      <c r="AE798">
        <f>IF($Y798="","",IF($Y798=0,$Z798*EXP($AA798*-2),$Z798*(1+$Y798*$AA798*-2)^(1/$Y798)))</f>
        <v/>
      </c>
      <c r="AF798">
        <f>IF($Y798="","",IF($Y798=0,$Z798*EXP($AA798*-3),$Z798*(1+$Y798*$AA798*-3)^(1/$Y798)))</f>
        <v/>
      </c>
      <c r="AG798">
        <f>IF($W798="","",IFERROR(INDEX(IF($T798&lt;=60,est05_l,est519_l),MATCH($W798,IF($T798&lt;=60,est05_k,est519_k),1)),""))</f>
        <v/>
      </c>
      <c r="AH798">
        <f>IF($W798="","",IFERROR(INDEX(IF($T798&lt;=60,est05_m,est519_m),MATCH($W798,IF($T798&lt;=60,est05_k,est519_k),1)),""))</f>
        <v/>
      </c>
      <c r="AI798">
        <f>IF($W798="","",IFERROR(INDEX(IF($T798&lt;=60,est05_s,est519_s),MATCH($W798,IF($T798&lt;=60,est05_k,est519_k),1)),""))</f>
        <v/>
      </c>
      <c r="AJ798">
        <f>IF($W798="","",IFERROR(INDEX(IF($T798&lt;=60,peso05_l,peso510_l),MATCH($W798,IF($T798&lt;=60,peso05_k,peso510_k),1)),""))</f>
        <v/>
      </c>
      <c r="AK798">
        <f>IF($W798="","",IFERROR(INDEX(IF($T798&lt;=60,peso05_m,peso510_m),MATCH($W798,IF($T798&lt;=60,peso05_k,peso510_k),1)),""))</f>
        <v/>
      </c>
      <c r="AL798">
        <f>IF($W798="","",IFERROR(INDEX(IF($T798&lt;=60,peso05_s,peso510_s),MATCH($W798,IF($T798&lt;=60,peso05_k,peso510_k),1)),""))</f>
        <v/>
      </c>
      <c r="AM798">
        <f>IF($AJ798="","",IF($AJ798=0,LN($F798/$AK798)/$AL798,((($F798/$AK798)^$AJ798)-1)/($AJ798*$AL798)))</f>
        <v/>
      </c>
      <c r="AN798">
        <f>IF($AJ798="","",IF($AJ798=0,$AK798*EXP($AL798*2),$AK798*(1+$AJ798*$AL798*2)^(1/$AJ798)))</f>
        <v/>
      </c>
      <c r="AO798">
        <f>IF($AJ798="","",IF($AJ798=0,$AK798*EXP($AL798*3),$AK798*(1+$AJ798*$AL798*3)^(1/$AJ798)))</f>
        <v/>
      </c>
      <c r="AP798">
        <f>IF($AJ798="","",IF($AJ798=0,$AK798*EXP($AL798*-2),$AK798*(1+$AJ798*$AL798*-2)^(1/$AJ798)))</f>
        <v/>
      </c>
      <c r="AQ798">
        <f>IF($AJ798="","",IF($AJ798=0,$AK798*EXP($AL798*-3),$AK798*(1+$AJ798*$AL798*-3)^(1/$AJ798)))</f>
        <v/>
      </c>
      <c r="AR798">
        <f>IF(OR($X798="",$T798&gt;60),"",IFERROR(INDEX(IF($T798&lt;24,pcomp_l,palt_l),MATCH($X798,IF($T798&lt;24,pcomp_k,palt_k),1)),""))</f>
        <v/>
      </c>
      <c r="AS798">
        <f>IF(OR($X798="",$T798&gt;60),"",IFERROR(INDEX(IF($T798&lt;24,pcomp_m,palt_m),MATCH($X798,IF($T798&lt;24,pcomp_k,palt_k),1)),""))</f>
        <v/>
      </c>
      <c r="AT798">
        <f>IF(OR($X798="",$T798&gt;60),"",IFERROR(INDEX(IF($T798&lt;24,pcomp_s,palt_s),MATCH($X798,IF($T798&lt;24,pcomp_k,palt_k),1)),""))</f>
        <v/>
      </c>
      <c r="AU798">
        <f>IF($AR798="","",IF($AR798=0,LN($F798/$AS798)/$AT798,((($F798/$AS798)^$AR798)-1)/($AR798*$AT798)))</f>
        <v/>
      </c>
      <c r="AV798">
        <f>IF($AR798="","",IF($AR798=0,$AS798*EXP($AT798*2),$AS798*(1+$AR798*$AT798*2)^(1/$AR798)))</f>
        <v/>
      </c>
      <c r="AW798">
        <f>IF($AR798="","",IF($AR798=0,$AS798*EXP($AT798*3),$AS798*(1+$AR798*$AT798*3)^(1/$AR798)))</f>
        <v/>
      </c>
      <c r="AX798">
        <f>IF($AR798="","",IF($AR798=0,$AS798*EXP($AT798*-2),$AS798*(1+$AR798*$AT798*-2)^(1/$AR798)))</f>
        <v/>
      </c>
      <c r="AY798">
        <f>IF($AR798="","",IF($AR798=0,$AS798*EXP($AT798*-3),$AS798*(1+$AR798*$AT798*-3)^(1/$AR798)))</f>
        <v/>
      </c>
      <c r="AZ798">
        <f>IF(OR($A798="",$A798&lt;&gt;Ficha!$C$4),"",COUNTIF($A$2:$A798,Ficha!$C$4))</f>
        <v/>
      </c>
    </row>
    <row r="799">
      <c r="A799" s="8">
        <f>IF(INDEX(Banco!$A:$A,ROW())="","",INDEX(Banco!$A:$A,ROW()))</f>
        <v/>
      </c>
      <c r="B799" s="8">
        <f>IF(INDEX(Banco!$B:$B,ROW())="","",INDEX(Banco!$B:$B,ROW()))</f>
        <v/>
      </c>
      <c r="C799" s="8">
        <f>IF(INDEX(Banco!$C:$C,ROW())="","",INDEX(Banco!$C:$C,ROW()))</f>
        <v/>
      </c>
      <c r="D799" s="9">
        <f>IF(INDEX(Banco!$D:$D,ROW())="","",INDEX(Banco!$D:$D,ROW()))</f>
        <v/>
      </c>
      <c r="E799" s="9">
        <f>IF(INDEX(Banco!$E:$E,ROW())="","",INDEX(Banco!$E:$E,ROW()))</f>
        <v/>
      </c>
      <c r="F799" s="10">
        <f>IF(INDEX(Banco!$F:$F,ROW())="","",INDEX(Banco!$F:$F,ROW()))</f>
        <v/>
      </c>
      <c r="G799" s="10">
        <f>IF(INDEX(Banco!$G:$G,ROW())="","",INDEX(Banco!$G:$G,ROW()))</f>
        <v/>
      </c>
      <c r="H799" s="8">
        <f>IF(INDEX(Banco!$H:$H,ROW())="","",INDEX(Banco!$H:$H,ROW()))</f>
        <v/>
      </c>
      <c r="I799">
        <f>IF($T799="","",INT($T799/12)&amp;"a "&amp;MOD($T799,12)&amp;"m")</f>
        <v/>
      </c>
      <c r="J799" s="11">
        <f>IF(OR($F799="",$G799=""),"",ROUND($F799/($G799/100)^2,2))</f>
        <v/>
      </c>
      <c r="K799" s="12">
        <f>IF(OR($S799="",$J799="",$T799="",$T799&lt;0,$T799&gt;228,$Y799=""),"—",ROUND(IF(ABS($AB799)&lt;=3,$AB799,IF($AB799&gt;3,3+($J799-$AD799)/($AD799-$AC799),-3+($J799-$AF799)/($AE799-$AF799))),2))</f>
        <v/>
      </c>
      <c r="L799">
        <f>IF(OR($K799="",$K799="—"),"",IF($T799&lt;=60,IF($K799&lt;-3,"Magreza acentuada",IF($K799&lt;-2,"Magreza",IF($K799&lt;=1,"Eutrofia",IF($K799&lt;=2,"Risco de sobrepeso",IF($K799&lt;=3,"Sobrepeso","Obesidade"))))),IF($K799&lt;-3,"Magreza acentuada",IF($K799&lt;-2,"Magreza",IF($K799&lt;=1,"Eutrofia",IF($K799&lt;=2,"Sobrepeso",IF($K799&lt;=3,"Obesidade","Obesidade grave")))))))</f>
        <v/>
      </c>
      <c r="M799" s="12">
        <f>IF(OR($S799="",$V799="",$T799="",$T799&lt;0,$T799&gt;228,$AG799=""),"—",ROUND(IF($AG799=0,LN($V799/$AH799)/$AI799,((($V799/$AH799)^$AG799)-1)/($AG799*$AI799)),2))</f>
        <v/>
      </c>
      <c r="N799">
        <f>IF(OR($M799="",$M799="—"),"",IF($M799&lt;-3,"Muito baixa",IF($M799&lt;-2,"Baixa","Adequada")))</f>
        <v/>
      </c>
      <c r="O799" s="12">
        <f>IF(OR($S799="",$F799="",$T799="",$T799&lt;0,$T799&gt;120,$AJ799=""),"—",ROUND(IF(ABS($AM799)&lt;=3,$AM799,IF($AM799&gt;3,3+($F799-$AO799)/($AO799-$AN799),-3+($F799-$AQ799)/($AP799-$AQ799))),2))</f>
        <v/>
      </c>
      <c r="P799">
        <f>IF(OR($O799="",$O799="—"),"",IF($O799&lt;-3,"Muito baixo",IF($O799&lt;-2,"Baixo",IF($O799&lt;=2,"Adequado","Elevado"))))</f>
        <v/>
      </c>
      <c r="Q799" s="12">
        <f>IF(OR($S799="",$F799="",$T799="",$T799&lt;0,$T799&gt;60,$AR799=""),"—",ROUND(IF(ABS($AU799)&lt;=3,$AU799,IF($AU799&gt;3,3+($F799-$AW799)/($AW799-$AV799),-3+($F799-$AY799)/($AX799-$AY799))),2))</f>
        <v/>
      </c>
      <c r="R799">
        <f>IF(OR($Q799="",$Q799="—"),"",IF($Q799&lt;-3,"Magreza acentuada",IF($Q799&lt;-2,"Magreza",IF($Q799&lt;=1,"Eutrofia",IF($Q799&lt;=2,"Risco de sobrepeso",IF($Q799&lt;=3,"Sobrepeso","Obesidade"))))))</f>
        <v/>
      </c>
      <c r="S799">
        <f>IF($C799="","",IF(UPPER(LEFT($C799,1))="M",1,IF(UPPER(LEFT($C799,1))="F",2,"")))</f>
        <v/>
      </c>
      <c r="T799">
        <f>IF(OR($D799="",$E799=""),"",DATEDIF($D799,$E799,"m"))</f>
        <v/>
      </c>
      <c r="U799">
        <f>IF(OR($D799="",$E799=""),"",$E799-$D799)</f>
        <v/>
      </c>
      <c r="V799">
        <f>IF(OR($G799="",$T799=""),"",IF($T799&lt;24,IF(LEFT(LOWER($H799),4)="em p",$G799+0.7,$G799),IF(LEFT(LOWER($H799),4)="deit",$G799-0.7,$G799)))</f>
        <v/>
      </c>
      <c r="W799">
        <f>IF(OR($S799="",$T799=""),"",$S799*1000000+IF($T799&lt;=60,$U799,$T799))</f>
        <v/>
      </c>
      <c r="X799">
        <f>IF(OR($S799="",$V799="",$T799&gt;60,$T799=""),"",$S799*1000000+ROUND($V799*10,0))</f>
        <v/>
      </c>
      <c r="Y799">
        <f>IF($W799="","",IFERROR(INDEX(IF($T799&lt;=60,imc05_l,imc519_l),MATCH($W799,IF($T799&lt;=60,imc05_k,imc519_k),1)),""))</f>
        <v/>
      </c>
      <c r="Z799">
        <f>IF($W799="","",IFERROR(INDEX(IF($T799&lt;=60,imc05_m,imc519_m),MATCH($W799,IF($T799&lt;=60,imc05_k,imc519_k),1)),""))</f>
        <v/>
      </c>
      <c r="AA799">
        <f>IF($W799="","",IFERROR(INDEX(IF($T799&lt;=60,imc05_s,imc519_s),MATCH($W799,IF($T799&lt;=60,imc05_k,imc519_k),1)),""))</f>
        <v/>
      </c>
      <c r="AB799">
        <f>IF($Y799="","",IF($Y799=0,LN($J799/$Z799)/$AA799,((($J799/$Z799)^$Y799)-1)/($Y799*$AA799)))</f>
        <v/>
      </c>
      <c r="AC799">
        <f>IF($Y799="","",IF($Y799=0,$Z799*EXP($AA799*2),$Z799*(1+$Y799*$AA799*2)^(1/$Y799)))</f>
        <v/>
      </c>
      <c r="AD799">
        <f>IF($Y799="","",IF($Y799=0,$Z799*EXP($AA799*3),$Z799*(1+$Y799*$AA799*3)^(1/$Y799)))</f>
        <v/>
      </c>
      <c r="AE799">
        <f>IF($Y799="","",IF($Y799=0,$Z799*EXP($AA799*-2),$Z799*(1+$Y799*$AA799*-2)^(1/$Y799)))</f>
        <v/>
      </c>
      <c r="AF799">
        <f>IF($Y799="","",IF($Y799=0,$Z799*EXP($AA799*-3),$Z799*(1+$Y799*$AA799*-3)^(1/$Y799)))</f>
        <v/>
      </c>
      <c r="AG799">
        <f>IF($W799="","",IFERROR(INDEX(IF($T799&lt;=60,est05_l,est519_l),MATCH($W799,IF($T799&lt;=60,est05_k,est519_k),1)),""))</f>
        <v/>
      </c>
      <c r="AH799">
        <f>IF($W799="","",IFERROR(INDEX(IF($T799&lt;=60,est05_m,est519_m),MATCH($W799,IF($T799&lt;=60,est05_k,est519_k),1)),""))</f>
        <v/>
      </c>
      <c r="AI799">
        <f>IF($W799="","",IFERROR(INDEX(IF($T799&lt;=60,est05_s,est519_s),MATCH($W799,IF($T799&lt;=60,est05_k,est519_k),1)),""))</f>
        <v/>
      </c>
      <c r="AJ799">
        <f>IF($W799="","",IFERROR(INDEX(IF($T799&lt;=60,peso05_l,peso510_l),MATCH($W799,IF($T799&lt;=60,peso05_k,peso510_k),1)),""))</f>
        <v/>
      </c>
      <c r="AK799">
        <f>IF($W799="","",IFERROR(INDEX(IF($T799&lt;=60,peso05_m,peso510_m),MATCH($W799,IF($T799&lt;=60,peso05_k,peso510_k),1)),""))</f>
        <v/>
      </c>
      <c r="AL799">
        <f>IF($W799="","",IFERROR(INDEX(IF($T799&lt;=60,peso05_s,peso510_s),MATCH($W799,IF($T799&lt;=60,peso05_k,peso510_k),1)),""))</f>
        <v/>
      </c>
      <c r="AM799">
        <f>IF($AJ799="","",IF($AJ799=0,LN($F799/$AK799)/$AL799,((($F799/$AK799)^$AJ799)-1)/($AJ799*$AL799)))</f>
        <v/>
      </c>
      <c r="AN799">
        <f>IF($AJ799="","",IF($AJ799=0,$AK799*EXP($AL799*2),$AK799*(1+$AJ799*$AL799*2)^(1/$AJ799)))</f>
        <v/>
      </c>
      <c r="AO799">
        <f>IF($AJ799="","",IF($AJ799=0,$AK799*EXP($AL799*3),$AK799*(1+$AJ799*$AL799*3)^(1/$AJ799)))</f>
        <v/>
      </c>
      <c r="AP799">
        <f>IF($AJ799="","",IF($AJ799=0,$AK799*EXP($AL799*-2),$AK799*(1+$AJ799*$AL799*-2)^(1/$AJ799)))</f>
        <v/>
      </c>
      <c r="AQ799">
        <f>IF($AJ799="","",IF($AJ799=0,$AK799*EXP($AL799*-3),$AK799*(1+$AJ799*$AL799*-3)^(1/$AJ799)))</f>
        <v/>
      </c>
      <c r="AR799">
        <f>IF(OR($X799="",$T799&gt;60),"",IFERROR(INDEX(IF($T799&lt;24,pcomp_l,palt_l),MATCH($X799,IF($T799&lt;24,pcomp_k,palt_k),1)),""))</f>
        <v/>
      </c>
      <c r="AS799">
        <f>IF(OR($X799="",$T799&gt;60),"",IFERROR(INDEX(IF($T799&lt;24,pcomp_m,palt_m),MATCH($X799,IF($T799&lt;24,pcomp_k,palt_k),1)),""))</f>
        <v/>
      </c>
      <c r="AT799">
        <f>IF(OR($X799="",$T799&gt;60),"",IFERROR(INDEX(IF($T799&lt;24,pcomp_s,palt_s),MATCH($X799,IF($T799&lt;24,pcomp_k,palt_k),1)),""))</f>
        <v/>
      </c>
      <c r="AU799">
        <f>IF($AR799="","",IF($AR799=0,LN($F799/$AS799)/$AT799,((($F799/$AS799)^$AR799)-1)/($AR799*$AT799)))</f>
        <v/>
      </c>
      <c r="AV799">
        <f>IF($AR799="","",IF($AR799=0,$AS799*EXP($AT799*2),$AS799*(1+$AR799*$AT799*2)^(1/$AR799)))</f>
        <v/>
      </c>
      <c r="AW799">
        <f>IF($AR799="","",IF($AR799=0,$AS799*EXP($AT799*3),$AS799*(1+$AR799*$AT799*3)^(1/$AR799)))</f>
        <v/>
      </c>
      <c r="AX799">
        <f>IF($AR799="","",IF($AR799=0,$AS799*EXP($AT799*-2),$AS799*(1+$AR799*$AT799*-2)^(1/$AR799)))</f>
        <v/>
      </c>
      <c r="AY799">
        <f>IF($AR799="","",IF($AR799=0,$AS799*EXP($AT799*-3),$AS799*(1+$AR799*$AT799*-3)^(1/$AR799)))</f>
        <v/>
      </c>
      <c r="AZ799">
        <f>IF(OR($A799="",$A799&lt;&gt;Ficha!$C$4),"",COUNTIF($A$2:$A799,Ficha!$C$4))</f>
        <v/>
      </c>
    </row>
    <row r="800">
      <c r="A800" s="8">
        <f>IF(INDEX(Banco!$A:$A,ROW())="","",INDEX(Banco!$A:$A,ROW()))</f>
        <v/>
      </c>
      <c r="B800" s="8">
        <f>IF(INDEX(Banco!$B:$B,ROW())="","",INDEX(Banco!$B:$B,ROW()))</f>
        <v/>
      </c>
      <c r="C800" s="8">
        <f>IF(INDEX(Banco!$C:$C,ROW())="","",INDEX(Banco!$C:$C,ROW()))</f>
        <v/>
      </c>
      <c r="D800" s="9">
        <f>IF(INDEX(Banco!$D:$D,ROW())="","",INDEX(Banco!$D:$D,ROW()))</f>
        <v/>
      </c>
      <c r="E800" s="9">
        <f>IF(INDEX(Banco!$E:$E,ROW())="","",INDEX(Banco!$E:$E,ROW()))</f>
        <v/>
      </c>
      <c r="F800" s="10">
        <f>IF(INDEX(Banco!$F:$F,ROW())="","",INDEX(Banco!$F:$F,ROW()))</f>
        <v/>
      </c>
      <c r="G800" s="10">
        <f>IF(INDEX(Banco!$G:$G,ROW())="","",INDEX(Banco!$G:$G,ROW()))</f>
        <v/>
      </c>
      <c r="H800" s="8">
        <f>IF(INDEX(Banco!$H:$H,ROW())="","",INDEX(Banco!$H:$H,ROW()))</f>
        <v/>
      </c>
      <c r="I800">
        <f>IF($T800="","",INT($T800/12)&amp;"a "&amp;MOD($T800,12)&amp;"m")</f>
        <v/>
      </c>
      <c r="J800" s="11">
        <f>IF(OR($F800="",$G800=""),"",ROUND($F800/($G800/100)^2,2))</f>
        <v/>
      </c>
      <c r="K800" s="12">
        <f>IF(OR($S800="",$J800="",$T800="",$T800&lt;0,$T800&gt;228,$Y800=""),"—",ROUND(IF(ABS($AB800)&lt;=3,$AB800,IF($AB800&gt;3,3+($J800-$AD800)/($AD800-$AC800),-3+($J800-$AF800)/($AE800-$AF800))),2))</f>
        <v/>
      </c>
      <c r="L800">
        <f>IF(OR($K800="",$K800="—"),"",IF($T800&lt;=60,IF($K800&lt;-3,"Magreza acentuada",IF($K800&lt;-2,"Magreza",IF($K800&lt;=1,"Eutrofia",IF($K800&lt;=2,"Risco de sobrepeso",IF($K800&lt;=3,"Sobrepeso","Obesidade"))))),IF($K800&lt;-3,"Magreza acentuada",IF($K800&lt;-2,"Magreza",IF($K800&lt;=1,"Eutrofia",IF($K800&lt;=2,"Sobrepeso",IF($K800&lt;=3,"Obesidade","Obesidade grave")))))))</f>
        <v/>
      </c>
      <c r="M800" s="12">
        <f>IF(OR($S800="",$V800="",$T800="",$T800&lt;0,$T800&gt;228,$AG800=""),"—",ROUND(IF($AG800=0,LN($V800/$AH800)/$AI800,((($V800/$AH800)^$AG800)-1)/($AG800*$AI800)),2))</f>
        <v/>
      </c>
      <c r="N800">
        <f>IF(OR($M800="",$M800="—"),"",IF($M800&lt;-3,"Muito baixa",IF($M800&lt;-2,"Baixa","Adequada")))</f>
        <v/>
      </c>
      <c r="O800" s="12">
        <f>IF(OR($S800="",$F800="",$T800="",$T800&lt;0,$T800&gt;120,$AJ800=""),"—",ROUND(IF(ABS($AM800)&lt;=3,$AM800,IF($AM800&gt;3,3+($F800-$AO800)/($AO800-$AN800),-3+($F800-$AQ800)/($AP800-$AQ800))),2))</f>
        <v/>
      </c>
      <c r="P800">
        <f>IF(OR($O800="",$O800="—"),"",IF($O800&lt;-3,"Muito baixo",IF($O800&lt;-2,"Baixo",IF($O800&lt;=2,"Adequado","Elevado"))))</f>
        <v/>
      </c>
      <c r="Q800" s="12">
        <f>IF(OR($S800="",$F800="",$T800="",$T800&lt;0,$T800&gt;60,$AR800=""),"—",ROUND(IF(ABS($AU800)&lt;=3,$AU800,IF($AU800&gt;3,3+($F800-$AW800)/($AW800-$AV800),-3+($F800-$AY800)/($AX800-$AY800))),2))</f>
        <v/>
      </c>
      <c r="R800">
        <f>IF(OR($Q800="",$Q800="—"),"",IF($Q800&lt;-3,"Magreza acentuada",IF($Q800&lt;-2,"Magreza",IF($Q800&lt;=1,"Eutrofia",IF($Q800&lt;=2,"Risco de sobrepeso",IF($Q800&lt;=3,"Sobrepeso","Obesidade"))))))</f>
        <v/>
      </c>
      <c r="S800">
        <f>IF($C800="","",IF(UPPER(LEFT($C800,1))="M",1,IF(UPPER(LEFT($C800,1))="F",2,"")))</f>
        <v/>
      </c>
      <c r="T800">
        <f>IF(OR($D800="",$E800=""),"",DATEDIF($D800,$E800,"m"))</f>
        <v/>
      </c>
      <c r="U800">
        <f>IF(OR($D800="",$E800=""),"",$E800-$D800)</f>
        <v/>
      </c>
      <c r="V800">
        <f>IF(OR($G800="",$T800=""),"",IF($T800&lt;24,IF(LEFT(LOWER($H800),4)="em p",$G800+0.7,$G800),IF(LEFT(LOWER($H800),4)="deit",$G800-0.7,$G800)))</f>
        <v/>
      </c>
      <c r="W800">
        <f>IF(OR($S800="",$T800=""),"",$S800*1000000+IF($T800&lt;=60,$U800,$T800))</f>
        <v/>
      </c>
      <c r="X800">
        <f>IF(OR($S800="",$V800="",$T800&gt;60,$T800=""),"",$S800*1000000+ROUND($V800*10,0))</f>
        <v/>
      </c>
      <c r="Y800">
        <f>IF($W800="","",IFERROR(INDEX(IF($T800&lt;=60,imc05_l,imc519_l),MATCH($W800,IF($T800&lt;=60,imc05_k,imc519_k),1)),""))</f>
        <v/>
      </c>
      <c r="Z800">
        <f>IF($W800="","",IFERROR(INDEX(IF($T800&lt;=60,imc05_m,imc519_m),MATCH($W800,IF($T800&lt;=60,imc05_k,imc519_k),1)),""))</f>
        <v/>
      </c>
      <c r="AA800">
        <f>IF($W800="","",IFERROR(INDEX(IF($T800&lt;=60,imc05_s,imc519_s),MATCH($W800,IF($T800&lt;=60,imc05_k,imc519_k),1)),""))</f>
        <v/>
      </c>
      <c r="AB800">
        <f>IF($Y800="","",IF($Y800=0,LN($J800/$Z800)/$AA800,((($J800/$Z800)^$Y800)-1)/($Y800*$AA800)))</f>
        <v/>
      </c>
      <c r="AC800">
        <f>IF($Y800="","",IF($Y800=0,$Z800*EXP($AA800*2),$Z800*(1+$Y800*$AA800*2)^(1/$Y800)))</f>
        <v/>
      </c>
      <c r="AD800">
        <f>IF($Y800="","",IF($Y800=0,$Z800*EXP($AA800*3),$Z800*(1+$Y800*$AA800*3)^(1/$Y800)))</f>
        <v/>
      </c>
      <c r="AE800">
        <f>IF($Y800="","",IF($Y800=0,$Z800*EXP($AA800*-2),$Z800*(1+$Y800*$AA800*-2)^(1/$Y800)))</f>
        <v/>
      </c>
      <c r="AF800">
        <f>IF($Y800="","",IF($Y800=0,$Z800*EXP($AA800*-3),$Z800*(1+$Y800*$AA800*-3)^(1/$Y800)))</f>
        <v/>
      </c>
      <c r="AG800">
        <f>IF($W800="","",IFERROR(INDEX(IF($T800&lt;=60,est05_l,est519_l),MATCH($W800,IF($T800&lt;=60,est05_k,est519_k),1)),""))</f>
        <v/>
      </c>
      <c r="AH800">
        <f>IF($W800="","",IFERROR(INDEX(IF($T800&lt;=60,est05_m,est519_m),MATCH($W800,IF($T800&lt;=60,est05_k,est519_k),1)),""))</f>
        <v/>
      </c>
      <c r="AI800">
        <f>IF($W800="","",IFERROR(INDEX(IF($T800&lt;=60,est05_s,est519_s),MATCH($W800,IF($T800&lt;=60,est05_k,est519_k),1)),""))</f>
        <v/>
      </c>
      <c r="AJ800">
        <f>IF($W800="","",IFERROR(INDEX(IF($T800&lt;=60,peso05_l,peso510_l),MATCH($W800,IF($T800&lt;=60,peso05_k,peso510_k),1)),""))</f>
        <v/>
      </c>
      <c r="AK800">
        <f>IF($W800="","",IFERROR(INDEX(IF($T800&lt;=60,peso05_m,peso510_m),MATCH($W800,IF($T800&lt;=60,peso05_k,peso510_k),1)),""))</f>
        <v/>
      </c>
      <c r="AL800">
        <f>IF($W800="","",IFERROR(INDEX(IF($T800&lt;=60,peso05_s,peso510_s),MATCH($W800,IF($T800&lt;=60,peso05_k,peso510_k),1)),""))</f>
        <v/>
      </c>
      <c r="AM800">
        <f>IF($AJ800="","",IF($AJ800=0,LN($F800/$AK800)/$AL800,((($F800/$AK800)^$AJ800)-1)/($AJ800*$AL800)))</f>
        <v/>
      </c>
      <c r="AN800">
        <f>IF($AJ800="","",IF($AJ800=0,$AK800*EXP($AL800*2),$AK800*(1+$AJ800*$AL800*2)^(1/$AJ800)))</f>
        <v/>
      </c>
      <c r="AO800">
        <f>IF($AJ800="","",IF($AJ800=0,$AK800*EXP($AL800*3),$AK800*(1+$AJ800*$AL800*3)^(1/$AJ800)))</f>
        <v/>
      </c>
      <c r="AP800">
        <f>IF($AJ800="","",IF($AJ800=0,$AK800*EXP($AL800*-2),$AK800*(1+$AJ800*$AL800*-2)^(1/$AJ800)))</f>
        <v/>
      </c>
      <c r="AQ800">
        <f>IF($AJ800="","",IF($AJ800=0,$AK800*EXP($AL800*-3),$AK800*(1+$AJ800*$AL800*-3)^(1/$AJ800)))</f>
        <v/>
      </c>
      <c r="AR800">
        <f>IF(OR($X800="",$T800&gt;60),"",IFERROR(INDEX(IF($T800&lt;24,pcomp_l,palt_l),MATCH($X800,IF($T800&lt;24,pcomp_k,palt_k),1)),""))</f>
        <v/>
      </c>
      <c r="AS800">
        <f>IF(OR($X800="",$T800&gt;60),"",IFERROR(INDEX(IF($T800&lt;24,pcomp_m,palt_m),MATCH($X800,IF($T800&lt;24,pcomp_k,palt_k),1)),""))</f>
        <v/>
      </c>
      <c r="AT800">
        <f>IF(OR($X800="",$T800&gt;60),"",IFERROR(INDEX(IF($T800&lt;24,pcomp_s,palt_s),MATCH($X800,IF($T800&lt;24,pcomp_k,palt_k),1)),""))</f>
        <v/>
      </c>
      <c r="AU800">
        <f>IF($AR800="","",IF($AR800=0,LN($F800/$AS800)/$AT800,((($F800/$AS800)^$AR800)-1)/($AR800*$AT800)))</f>
        <v/>
      </c>
      <c r="AV800">
        <f>IF($AR800="","",IF($AR800=0,$AS800*EXP($AT800*2),$AS800*(1+$AR800*$AT800*2)^(1/$AR800)))</f>
        <v/>
      </c>
      <c r="AW800">
        <f>IF($AR800="","",IF($AR800=0,$AS800*EXP($AT800*3),$AS800*(1+$AR800*$AT800*3)^(1/$AR800)))</f>
        <v/>
      </c>
      <c r="AX800">
        <f>IF($AR800="","",IF($AR800=0,$AS800*EXP($AT800*-2),$AS800*(1+$AR800*$AT800*-2)^(1/$AR800)))</f>
        <v/>
      </c>
      <c r="AY800">
        <f>IF($AR800="","",IF($AR800=0,$AS800*EXP($AT800*-3),$AS800*(1+$AR800*$AT800*-3)^(1/$AR800)))</f>
        <v/>
      </c>
      <c r="AZ800">
        <f>IF(OR($A800="",$A800&lt;&gt;Ficha!$C$4),"",COUNTIF($A$2:$A800,Ficha!$C$4))</f>
        <v/>
      </c>
    </row>
    <row r="801">
      <c r="A801" s="8">
        <f>IF(INDEX(Banco!$A:$A,ROW())="","",INDEX(Banco!$A:$A,ROW()))</f>
        <v/>
      </c>
      <c r="B801" s="8">
        <f>IF(INDEX(Banco!$B:$B,ROW())="","",INDEX(Banco!$B:$B,ROW()))</f>
        <v/>
      </c>
      <c r="C801" s="8">
        <f>IF(INDEX(Banco!$C:$C,ROW())="","",INDEX(Banco!$C:$C,ROW()))</f>
        <v/>
      </c>
      <c r="D801" s="9">
        <f>IF(INDEX(Banco!$D:$D,ROW())="","",INDEX(Banco!$D:$D,ROW()))</f>
        <v/>
      </c>
      <c r="E801" s="9">
        <f>IF(INDEX(Banco!$E:$E,ROW())="","",INDEX(Banco!$E:$E,ROW()))</f>
        <v/>
      </c>
      <c r="F801" s="10">
        <f>IF(INDEX(Banco!$F:$F,ROW())="","",INDEX(Banco!$F:$F,ROW()))</f>
        <v/>
      </c>
      <c r="G801" s="10">
        <f>IF(INDEX(Banco!$G:$G,ROW())="","",INDEX(Banco!$G:$G,ROW()))</f>
        <v/>
      </c>
      <c r="H801" s="8">
        <f>IF(INDEX(Banco!$H:$H,ROW())="","",INDEX(Banco!$H:$H,ROW()))</f>
        <v/>
      </c>
      <c r="I801">
        <f>IF($T801="","",INT($T801/12)&amp;"a "&amp;MOD($T801,12)&amp;"m")</f>
        <v/>
      </c>
      <c r="J801" s="11">
        <f>IF(OR($F801="",$G801=""),"",ROUND($F801/($G801/100)^2,2))</f>
        <v/>
      </c>
      <c r="K801" s="12">
        <f>IF(OR($S801="",$J801="",$T801="",$T801&lt;0,$T801&gt;228,$Y801=""),"—",ROUND(IF(ABS($AB801)&lt;=3,$AB801,IF($AB801&gt;3,3+($J801-$AD801)/($AD801-$AC801),-3+($J801-$AF801)/($AE801-$AF801))),2))</f>
        <v/>
      </c>
      <c r="L801">
        <f>IF(OR($K801="",$K801="—"),"",IF($T801&lt;=60,IF($K801&lt;-3,"Magreza acentuada",IF($K801&lt;-2,"Magreza",IF($K801&lt;=1,"Eutrofia",IF($K801&lt;=2,"Risco de sobrepeso",IF($K801&lt;=3,"Sobrepeso","Obesidade"))))),IF($K801&lt;-3,"Magreza acentuada",IF($K801&lt;-2,"Magreza",IF($K801&lt;=1,"Eutrofia",IF($K801&lt;=2,"Sobrepeso",IF($K801&lt;=3,"Obesidade","Obesidade grave")))))))</f>
        <v/>
      </c>
      <c r="M801" s="12">
        <f>IF(OR($S801="",$V801="",$T801="",$T801&lt;0,$T801&gt;228,$AG801=""),"—",ROUND(IF($AG801=0,LN($V801/$AH801)/$AI801,((($V801/$AH801)^$AG801)-1)/($AG801*$AI801)),2))</f>
        <v/>
      </c>
      <c r="N801">
        <f>IF(OR($M801="",$M801="—"),"",IF($M801&lt;-3,"Muito baixa",IF($M801&lt;-2,"Baixa","Adequada")))</f>
        <v/>
      </c>
      <c r="O801" s="12">
        <f>IF(OR($S801="",$F801="",$T801="",$T801&lt;0,$T801&gt;120,$AJ801=""),"—",ROUND(IF(ABS($AM801)&lt;=3,$AM801,IF($AM801&gt;3,3+($F801-$AO801)/($AO801-$AN801),-3+($F801-$AQ801)/($AP801-$AQ801))),2))</f>
        <v/>
      </c>
      <c r="P801">
        <f>IF(OR($O801="",$O801="—"),"",IF($O801&lt;-3,"Muito baixo",IF($O801&lt;-2,"Baixo",IF($O801&lt;=2,"Adequado","Elevado"))))</f>
        <v/>
      </c>
      <c r="Q801" s="12">
        <f>IF(OR($S801="",$F801="",$T801="",$T801&lt;0,$T801&gt;60,$AR801=""),"—",ROUND(IF(ABS($AU801)&lt;=3,$AU801,IF($AU801&gt;3,3+($F801-$AW801)/($AW801-$AV801),-3+($F801-$AY801)/($AX801-$AY801))),2))</f>
        <v/>
      </c>
      <c r="R801">
        <f>IF(OR($Q801="",$Q801="—"),"",IF($Q801&lt;-3,"Magreza acentuada",IF($Q801&lt;-2,"Magreza",IF($Q801&lt;=1,"Eutrofia",IF($Q801&lt;=2,"Risco de sobrepeso",IF($Q801&lt;=3,"Sobrepeso","Obesidade"))))))</f>
        <v/>
      </c>
      <c r="S801">
        <f>IF($C801="","",IF(UPPER(LEFT($C801,1))="M",1,IF(UPPER(LEFT($C801,1))="F",2,"")))</f>
        <v/>
      </c>
      <c r="T801">
        <f>IF(OR($D801="",$E801=""),"",DATEDIF($D801,$E801,"m"))</f>
        <v/>
      </c>
      <c r="U801">
        <f>IF(OR($D801="",$E801=""),"",$E801-$D801)</f>
        <v/>
      </c>
      <c r="V801">
        <f>IF(OR($G801="",$T801=""),"",IF($T801&lt;24,IF(LEFT(LOWER($H801),4)="em p",$G801+0.7,$G801),IF(LEFT(LOWER($H801),4)="deit",$G801-0.7,$G801)))</f>
        <v/>
      </c>
      <c r="W801">
        <f>IF(OR($S801="",$T801=""),"",$S801*1000000+IF($T801&lt;=60,$U801,$T801))</f>
        <v/>
      </c>
      <c r="X801">
        <f>IF(OR($S801="",$V801="",$T801&gt;60,$T801=""),"",$S801*1000000+ROUND($V801*10,0))</f>
        <v/>
      </c>
      <c r="Y801">
        <f>IF($W801="","",IFERROR(INDEX(IF($T801&lt;=60,imc05_l,imc519_l),MATCH($W801,IF($T801&lt;=60,imc05_k,imc519_k),1)),""))</f>
        <v/>
      </c>
      <c r="Z801">
        <f>IF($W801="","",IFERROR(INDEX(IF($T801&lt;=60,imc05_m,imc519_m),MATCH($W801,IF($T801&lt;=60,imc05_k,imc519_k),1)),""))</f>
        <v/>
      </c>
      <c r="AA801">
        <f>IF($W801="","",IFERROR(INDEX(IF($T801&lt;=60,imc05_s,imc519_s),MATCH($W801,IF($T801&lt;=60,imc05_k,imc519_k),1)),""))</f>
        <v/>
      </c>
      <c r="AB801">
        <f>IF($Y801="","",IF($Y801=0,LN($J801/$Z801)/$AA801,((($J801/$Z801)^$Y801)-1)/($Y801*$AA801)))</f>
        <v/>
      </c>
      <c r="AC801">
        <f>IF($Y801="","",IF($Y801=0,$Z801*EXP($AA801*2),$Z801*(1+$Y801*$AA801*2)^(1/$Y801)))</f>
        <v/>
      </c>
      <c r="AD801">
        <f>IF($Y801="","",IF($Y801=0,$Z801*EXP($AA801*3),$Z801*(1+$Y801*$AA801*3)^(1/$Y801)))</f>
        <v/>
      </c>
      <c r="AE801">
        <f>IF($Y801="","",IF($Y801=0,$Z801*EXP($AA801*-2),$Z801*(1+$Y801*$AA801*-2)^(1/$Y801)))</f>
        <v/>
      </c>
      <c r="AF801">
        <f>IF($Y801="","",IF($Y801=0,$Z801*EXP($AA801*-3),$Z801*(1+$Y801*$AA801*-3)^(1/$Y801)))</f>
        <v/>
      </c>
      <c r="AG801">
        <f>IF($W801="","",IFERROR(INDEX(IF($T801&lt;=60,est05_l,est519_l),MATCH($W801,IF($T801&lt;=60,est05_k,est519_k),1)),""))</f>
        <v/>
      </c>
      <c r="AH801">
        <f>IF($W801="","",IFERROR(INDEX(IF($T801&lt;=60,est05_m,est519_m),MATCH($W801,IF($T801&lt;=60,est05_k,est519_k),1)),""))</f>
        <v/>
      </c>
      <c r="AI801">
        <f>IF($W801="","",IFERROR(INDEX(IF($T801&lt;=60,est05_s,est519_s),MATCH($W801,IF($T801&lt;=60,est05_k,est519_k),1)),""))</f>
        <v/>
      </c>
      <c r="AJ801">
        <f>IF($W801="","",IFERROR(INDEX(IF($T801&lt;=60,peso05_l,peso510_l),MATCH($W801,IF($T801&lt;=60,peso05_k,peso510_k),1)),""))</f>
        <v/>
      </c>
      <c r="AK801">
        <f>IF($W801="","",IFERROR(INDEX(IF($T801&lt;=60,peso05_m,peso510_m),MATCH($W801,IF($T801&lt;=60,peso05_k,peso510_k),1)),""))</f>
        <v/>
      </c>
      <c r="AL801">
        <f>IF($W801="","",IFERROR(INDEX(IF($T801&lt;=60,peso05_s,peso510_s),MATCH($W801,IF($T801&lt;=60,peso05_k,peso510_k),1)),""))</f>
        <v/>
      </c>
      <c r="AM801">
        <f>IF($AJ801="","",IF($AJ801=0,LN($F801/$AK801)/$AL801,((($F801/$AK801)^$AJ801)-1)/($AJ801*$AL801)))</f>
        <v/>
      </c>
      <c r="AN801">
        <f>IF($AJ801="","",IF($AJ801=0,$AK801*EXP($AL801*2),$AK801*(1+$AJ801*$AL801*2)^(1/$AJ801)))</f>
        <v/>
      </c>
      <c r="AO801">
        <f>IF($AJ801="","",IF($AJ801=0,$AK801*EXP($AL801*3),$AK801*(1+$AJ801*$AL801*3)^(1/$AJ801)))</f>
        <v/>
      </c>
      <c r="AP801">
        <f>IF($AJ801="","",IF($AJ801=0,$AK801*EXP($AL801*-2),$AK801*(1+$AJ801*$AL801*-2)^(1/$AJ801)))</f>
        <v/>
      </c>
      <c r="AQ801">
        <f>IF($AJ801="","",IF($AJ801=0,$AK801*EXP($AL801*-3),$AK801*(1+$AJ801*$AL801*-3)^(1/$AJ801)))</f>
        <v/>
      </c>
      <c r="AR801">
        <f>IF(OR($X801="",$T801&gt;60),"",IFERROR(INDEX(IF($T801&lt;24,pcomp_l,palt_l),MATCH($X801,IF($T801&lt;24,pcomp_k,palt_k),1)),""))</f>
        <v/>
      </c>
      <c r="AS801">
        <f>IF(OR($X801="",$T801&gt;60),"",IFERROR(INDEX(IF($T801&lt;24,pcomp_m,palt_m),MATCH($X801,IF($T801&lt;24,pcomp_k,palt_k),1)),""))</f>
        <v/>
      </c>
      <c r="AT801">
        <f>IF(OR($X801="",$T801&gt;60),"",IFERROR(INDEX(IF($T801&lt;24,pcomp_s,palt_s),MATCH($X801,IF($T801&lt;24,pcomp_k,palt_k),1)),""))</f>
        <v/>
      </c>
      <c r="AU801">
        <f>IF($AR801="","",IF($AR801=0,LN($F801/$AS801)/$AT801,((($F801/$AS801)^$AR801)-1)/($AR801*$AT801)))</f>
        <v/>
      </c>
      <c r="AV801">
        <f>IF($AR801="","",IF($AR801=0,$AS801*EXP($AT801*2),$AS801*(1+$AR801*$AT801*2)^(1/$AR801)))</f>
        <v/>
      </c>
      <c r="AW801">
        <f>IF($AR801="","",IF($AR801=0,$AS801*EXP($AT801*3),$AS801*(1+$AR801*$AT801*3)^(1/$AR801)))</f>
        <v/>
      </c>
      <c r="AX801">
        <f>IF($AR801="","",IF($AR801=0,$AS801*EXP($AT801*-2),$AS801*(1+$AR801*$AT801*-2)^(1/$AR801)))</f>
        <v/>
      </c>
      <c r="AY801">
        <f>IF($AR801="","",IF($AR801=0,$AS801*EXP($AT801*-3),$AS801*(1+$AR801*$AT801*-3)^(1/$AR801)))</f>
        <v/>
      </c>
      <c r="AZ801">
        <f>IF(OR($A801="",$A801&lt;&gt;Ficha!$C$4),"",COUNTIF($A$2:$A801,Ficha!$C$4))</f>
        <v/>
      </c>
    </row>
    <row r="802">
      <c r="A802" s="8">
        <f>IF(INDEX(Banco!$A:$A,ROW())="","",INDEX(Banco!$A:$A,ROW()))</f>
        <v/>
      </c>
      <c r="B802" s="8">
        <f>IF(INDEX(Banco!$B:$B,ROW())="","",INDEX(Banco!$B:$B,ROW()))</f>
        <v/>
      </c>
      <c r="C802" s="8">
        <f>IF(INDEX(Banco!$C:$C,ROW())="","",INDEX(Banco!$C:$C,ROW()))</f>
        <v/>
      </c>
      <c r="D802" s="9">
        <f>IF(INDEX(Banco!$D:$D,ROW())="","",INDEX(Banco!$D:$D,ROW()))</f>
        <v/>
      </c>
      <c r="E802" s="9">
        <f>IF(INDEX(Banco!$E:$E,ROW())="","",INDEX(Banco!$E:$E,ROW()))</f>
        <v/>
      </c>
      <c r="F802" s="10">
        <f>IF(INDEX(Banco!$F:$F,ROW())="","",INDEX(Banco!$F:$F,ROW()))</f>
        <v/>
      </c>
      <c r="G802" s="10">
        <f>IF(INDEX(Banco!$G:$G,ROW())="","",INDEX(Banco!$G:$G,ROW()))</f>
        <v/>
      </c>
      <c r="H802" s="8">
        <f>IF(INDEX(Banco!$H:$H,ROW())="","",INDEX(Banco!$H:$H,ROW()))</f>
        <v/>
      </c>
      <c r="I802">
        <f>IF($T802="","",INT($T802/12)&amp;"a "&amp;MOD($T802,12)&amp;"m")</f>
        <v/>
      </c>
      <c r="J802" s="11">
        <f>IF(OR($F802="",$G802=""),"",ROUND($F802/($G802/100)^2,2))</f>
        <v/>
      </c>
      <c r="K802" s="12">
        <f>IF(OR($S802="",$J802="",$T802="",$T802&lt;0,$T802&gt;228,$Y802=""),"—",ROUND(IF(ABS($AB802)&lt;=3,$AB802,IF($AB802&gt;3,3+($J802-$AD802)/($AD802-$AC802),-3+($J802-$AF802)/($AE802-$AF802))),2))</f>
        <v/>
      </c>
      <c r="L802">
        <f>IF(OR($K802="",$K802="—"),"",IF($T802&lt;=60,IF($K802&lt;-3,"Magreza acentuada",IF($K802&lt;-2,"Magreza",IF($K802&lt;=1,"Eutrofia",IF($K802&lt;=2,"Risco de sobrepeso",IF($K802&lt;=3,"Sobrepeso","Obesidade"))))),IF($K802&lt;-3,"Magreza acentuada",IF($K802&lt;-2,"Magreza",IF($K802&lt;=1,"Eutrofia",IF($K802&lt;=2,"Sobrepeso",IF($K802&lt;=3,"Obesidade","Obesidade grave")))))))</f>
        <v/>
      </c>
      <c r="M802" s="12">
        <f>IF(OR($S802="",$V802="",$T802="",$T802&lt;0,$T802&gt;228,$AG802=""),"—",ROUND(IF($AG802=0,LN($V802/$AH802)/$AI802,((($V802/$AH802)^$AG802)-1)/($AG802*$AI802)),2))</f>
        <v/>
      </c>
      <c r="N802">
        <f>IF(OR($M802="",$M802="—"),"",IF($M802&lt;-3,"Muito baixa",IF($M802&lt;-2,"Baixa","Adequada")))</f>
        <v/>
      </c>
      <c r="O802" s="12">
        <f>IF(OR($S802="",$F802="",$T802="",$T802&lt;0,$T802&gt;120,$AJ802=""),"—",ROUND(IF(ABS($AM802)&lt;=3,$AM802,IF($AM802&gt;3,3+($F802-$AO802)/($AO802-$AN802),-3+($F802-$AQ802)/($AP802-$AQ802))),2))</f>
        <v/>
      </c>
      <c r="P802">
        <f>IF(OR($O802="",$O802="—"),"",IF($O802&lt;-3,"Muito baixo",IF($O802&lt;-2,"Baixo",IF($O802&lt;=2,"Adequado","Elevado"))))</f>
        <v/>
      </c>
      <c r="Q802" s="12">
        <f>IF(OR($S802="",$F802="",$T802="",$T802&lt;0,$T802&gt;60,$AR802=""),"—",ROUND(IF(ABS($AU802)&lt;=3,$AU802,IF($AU802&gt;3,3+($F802-$AW802)/($AW802-$AV802),-3+($F802-$AY802)/($AX802-$AY802))),2))</f>
        <v/>
      </c>
      <c r="R802">
        <f>IF(OR($Q802="",$Q802="—"),"",IF($Q802&lt;-3,"Magreza acentuada",IF($Q802&lt;-2,"Magreza",IF($Q802&lt;=1,"Eutrofia",IF($Q802&lt;=2,"Risco de sobrepeso",IF($Q802&lt;=3,"Sobrepeso","Obesidade"))))))</f>
        <v/>
      </c>
      <c r="S802">
        <f>IF($C802="","",IF(UPPER(LEFT($C802,1))="M",1,IF(UPPER(LEFT($C802,1))="F",2,"")))</f>
        <v/>
      </c>
      <c r="T802">
        <f>IF(OR($D802="",$E802=""),"",DATEDIF($D802,$E802,"m"))</f>
        <v/>
      </c>
      <c r="U802">
        <f>IF(OR($D802="",$E802=""),"",$E802-$D802)</f>
        <v/>
      </c>
      <c r="V802">
        <f>IF(OR($G802="",$T802=""),"",IF($T802&lt;24,IF(LEFT(LOWER($H802),4)="em p",$G802+0.7,$G802),IF(LEFT(LOWER($H802),4)="deit",$G802-0.7,$G802)))</f>
        <v/>
      </c>
      <c r="W802">
        <f>IF(OR($S802="",$T802=""),"",$S802*1000000+IF($T802&lt;=60,$U802,$T802))</f>
        <v/>
      </c>
      <c r="X802">
        <f>IF(OR($S802="",$V802="",$T802&gt;60,$T802=""),"",$S802*1000000+ROUND($V802*10,0))</f>
        <v/>
      </c>
      <c r="Y802">
        <f>IF($W802="","",IFERROR(INDEX(IF($T802&lt;=60,imc05_l,imc519_l),MATCH($W802,IF($T802&lt;=60,imc05_k,imc519_k),1)),""))</f>
        <v/>
      </c>
      <c r="Z802">
        <f>IF($W802="","",IFERROR(INDEX(IF($T802&lt;=60,imc05_m,imc519_m),MATCH($W802,IF($T802&lt;=60,imc05_k,imc519_k),1)),""))</f>
        <v/>
      </c>
      <c r="AA802">
        <f>IF($W802="","",IFERROR(INDEX(IF($T802&lt;=60,imc05_s,imc519_s),MATCH($W802,IF($T802&lt;=60,imc05_k,imc519_k),1)),""))</f>
        <v/>
      </c>
      <c r="AB802">
        <f>IF($Y802="","",IF($Y802=0,LN($J802/$Z802)/$AA802,((($J802/$Z802)^$Y802)-1)/($Y802*$AA802)))</f>
        <v/>
      </c>
      <c r="AC802">
        <f>IF($Y802="","",IF($Y802=0,$Z802*EXP($AA802*2),$Z802*(1+$Y802*$AA802*2)^(1/$Y802)))</f>
        <v/>
      </c>
      <c r="AD802">
        <f>IF($Y802="","",IF($Y802=0,$Z802*EXP($AA802*3),$Z802*(1+$Y802*$AA802*3)^(1/$Y802)))</f>
        <v/>
      </c>
      <c r="AE802">
        <f>IF($Y802="","",IF($Y802=0,$Z802*EXP($AA802*-2),$Z802*(1+$Y802*$AA802*-2)^(1/$Y802)))</f>
        <v/>
      </c>
      <c r="AF802">
        <f>IF($Y802="","",IF($Y802=0,$Z802*EXP($AA802*-3),$Z802*(1+$Y802*$AA802*-3)^(1/$Y802)))</f>
        <v/>
      </c>
      <c r="AG802">
        <f>IF($W802="","",IFERROR(INDEX(IF($T802&lt;=60,est05_l,est519_l),MATCH($W802,IF($T802&lt;=60,est05_k,est519_k),1)),""))</f>
        <v/>
      </c>
      <c r="AH802">
        <f>IF($W802="","",IFERROR(INDEX(IF($T802&lt;=60,est05_m,est519_m),MATCH($W802,IF($T802&lt;=60,est05_k,est519_k),1)),""))</f>
        <v/>
      </c>
      <c r="AI802">
        <f>IF($W802="","",IFERROR(INDEX(IF($T802&lt;=60,est05_s,est519_s),MATCH($W802,IF($T802&lt;=60,est05_k,est519_k),1)),""))</f>
        <v/>
      </c>
      <c r="AJ802">
        <f>IF($W802="","",IFERROR(INDEX(IF($T802&lt;=60,peso05_l,peso510_l),MATCH($W802,IF($T802&lt;=60,peso05_k,peso510_k),1)),""))</f>
        <v/>
      </c>
      <c r="AK802">
        <f>IF($W802="","",IFERROR(INDEX(IF($T802&lt;=60,peso05_m,peso510_m),MATCH($W802,IF($T802&lt;=60,peso05_k,peso510_k),1)),""))</f>
        <v/>
      </c>
      <c r="AL802">
        <f>IF($W802="","",IFERROR(INDEX(IF($T802&lt;=60,peso05_s,peso510_s),MATCH($W802,IF($T802&lt;=60,peso05_k,peso510_k),1)),""))</f>
        <v/>
      </c>
      <c r="AM802">
        <f>IF($AJ802="","",IF($AJ802=0,LN($F802/$AK802)/$AL802,((($F802/$AK802)^$AJ802)-1)/($AJ802*$AL802)))</f>
        <v/>
      </c>
      <c r="AN802">
        <f>IF($AJ802="","",IF($AJ802=0,$AK802*EXP($AL802*2),$AK802*(1+$AJ802*$AL802*2)^(1/$AJ802)))</f>
        <v/>
      </c>
      <c r="AO802">
        <f>IF($AJ802="","",IF($AJ802=0,$AK802*EXP($AL802*3),$AK802*(1+$AJ802*$AL802*3)^(1/$AJ802)))</f>
        <v/>
      </c>
      <c r="AP802">
        <f>IF($AJ802="","",IF($AJ802=0,$AK802*EXP($AL802*-2),$AK802*(1+$AJ802*$AL802*-2)^(1/$AJ802)))</f>
        <v/>
      </c>
      <c r="AQ802">
        <f>IF($AJ802="","",IF($AJ802=0,$AK802*EXP($AL802*-3),$AK802*(1+$AJ802*$AL802*-3)^(1/$AJ802)))</f>
        <v/>
      </c>
      <c r="AR802">
        <f>IF(OR($X802="",$T802&gt;60),"",IFERROR(INDEX(IF($T802&lt;24,pcomp_l,palt_l),MATCH($X802,IF($T802&lt;24,pcomp_k,palt_k),1)),""))</f>
        <v/>
      </c>
      <c r="AS802">
        <f>IF(OR($X802="",$T802&gt;60),"",IFERROR(INDEX(IF($T802&lt;24,pcomp_m,palt_m),MATCH($X802,IF($T802&lt;24,pcomp_k,palt_k),1)),""))</f>
        <v/>
      </c>
      <c r="AT802">
        <f>IF(OR($X802="",$T802&gt;60),"",IFERROR(INDEX(IF($T802&lt;24,pcomp_s,palt_s),MATCH($X802,IF($T802&lt;24,pcomp_k,palt_k),1)),""))</f>
        <v/>
      </c>
      <c r="AU802">
        <f>IF($AR802="","",IF($AR802=0,LN($F802/$AS802)/$AT802,((($F802/$AS802)^$AR802)-1)/($AR802*$AT802)))</f>
        <v/>
      </c>
      <c r="AV802">
        <f>IF($AR802="","",IF($AR802=0,$AS802*EXP($AT802*2),$AS802*(1+$AR802*$AT802*2)^(1/$AR802)))</f>
        <v/>
      </c>
      <c r="AW802">
        <f>IF($AR802="","",IF($AR802=0,$AS802*EXP($AT802*3),$AS802*(1+$AR802*$AT802*3)^(1/$AR802)))</f>
        <v/>
      </c>
      <c r="AX802">
        <f>IF($AR802="","",IF($AR802=0,$AS802*EXP($AT802*-2),$AS802*(1+$AR802*$AT802*-2)^(1/$AR802)))</f>
        <v/>
      </c>
      <c r="AY802">
        <f>IF($AR802="","",IF($AR802=0,$AS802*EXP($AT802*-3),$AS802*(1+$AR802*$AT802*-3)^(1/$AR802)))</f>
        <v/>
      </c>
      <c r="AZ802">
        <f>IF(OR($A802="",$A802&lt;&gt;Ficha!$C$4),"",COUNTIF($A$2:$A802,Ficha!$C$4))</f>
        <v/>
      </c>
    </row>
    <row r="803">
      <c r="A803" s="8">
        <f>IF(INDEX(Banco!$A:$A,ROW())="","",INDEX(Banco!$A:$A,ROW()))</f>
        <v/>
      </c>
      <c r="B803" s="8">
        <f>IF(INDEX(Banco!$B:$B,ROW())="","",INDEX(Banco!$B:$B,ROW()))</f>
        <v/>
      </c>
      <c r="C803" s="8">
        <f>IF(INDEX(Banco!$C:$C,ROW())="","",INDEX(Banco!$C:$C,ROW()))</f>
        <v/>
      </c>
      <c r="D803" s="9">
        <f>IF(INDEX(Banco!$D:$D,ROW())="","",INDEX(Banco!$D:$D,ROW()))</f>
        <v/>
      </c>
      <c r="E803" s="9">
        <f>IF(INDEX(Banco!$E:$E,ROW())="","",INDEX(Banco!$E:$E,ROW()))</f>
        <v/>
      </c>
      <c r="F803" s="10">
        <f>IF(INDEX(Banco!$F:$F,ROW())="","",INDEX(Banco!$F:$F,ROW()))</f>
        <v/>
      </c>
      <c r="G803" s="10">
        <f>IF(INDEX(Banco!$G:$G,ROW())="","",INDEX(Banco!$G:$G,ROW()))</f>
        <v/>
      </c>
      <c r="H803" s="8">
        <f>IF(INDEX(Banco!$H:$H,ROW())="","",INDEX(Banco!$H:$H,ROW()))</f>
        <v/>
      </c>
      <c r="I803">
        <f>IF($T803="","",INT($T803/12)&amp;"a "&amp;MOD($T803,12)&amp;"m")</f>
        <v/>
      </c>
      <c r="J803" s="11">
        <f>IF(OR($F803="",$G803=""),"",ROUND($F803/($G803/100)^2,2))</f>
        <v/>
      </c>
      <c r="K803" s="12">
        <f>IF(OR($S803="",$J803="",$T803="",$T803&lt;0,$T803&gt;228,$Y803=""),"—",ROUND(IF(ABS($AB803)&lt;=3,$AB803,IF($AB803&gt;3,3+($J803-$AD803)/($AD803-$AC803),-3+($J803-$AF803)/($AE803-$AF803))),2))</f>
        <v/>
      </c>
      <c r="L803">
        <f>IF(OR($K803="",$K803="—"),"",IF($T803&lt;=60,IF($K803&lt;-3,"Magreza acentuada",IF($K803&lt;-2,"Magreza",IF($K803&lt;=1,"Eutrofia",IF($K803&lt;=2,"Risco de sobrepeso",IF($K803&lt;=3,"Sobrepeso","Obesidade"))))),IF($K803&lt;-3,"Magreza acentuada",IF($K803&lt;-2,"Magreza",IF($K803&lt;=1,"Eutrofia",IF($K803&lt;=2,"Sobrepeso",IF($K803&lt;=3,"Obesidade","Obesidade grave")))))))</f>
        <v/>
      </c>
      <c r="M803" s="12">
        <f>IF(OR($S803="",$V803="",$T803="",$T803&lt;0,$T803&gt;228,$AG803=""),"—",ROUND(IF($AG803=0,LN($V803/$AH803)/$AI803,((($V803/$AH803)^$AG803)-1)/($AG803*$AI803)),2))</f>
        <v/>
      </c>
      <c r="N803">
        <f>IF(OR($M803="",$M803="—"),"",IF($M803&lt;-3,"Muito baixa",IF($M803&lt;-2,"Baixa","Adequada")))</f>
        <v/>
      </c>
      <c r="O803" s="12">
        <f>IF(OR($S803="",$F803="",$T803="",$T803&lt;0,$T803&gt;120,$AJ803=""),"—",ROUND(IF(ABS($AM803)&lt;=3,$AM803,IF($AM803&gt;3,3+($F803-$AO803)/($AO803-$AN803),-3+($F803-$AQ803)/($AP803-$AQ803))),2))</f>
        <v/>
      </c>
      <c r="P803">
        <f>IF(OR($O803="",$O803="—"),"",IF($O803&lt;-3,"Muito baixo",IF($O803&lt;-2,"Baixo",IF($O803&lt;=2,"Adequado","Elevado"))))</f>
        <v/>
      </c>
      <c r="Q803" s="12">
        <f>IF(OR($S803="",$F803="",$T803="",$T803&lt;0,$T803&gt;60,$AR803=""),"—",ROUND(IF(ABS($AU803)&lt;=3,$AU803,IF($AU803&gt;3,3+($F803-$AW803)/($AW803-$AV803),-3+($F803-$AY803)/($AX803-$AY803))),2))</f>
        <v/>
      </c>
      <c r="R803">
        <f>IF(OR($Q803="",$Q803="—"),"",IF($Q803&lt;-3,"Magreza acentuada",IF($Q803&lt;-2,"Magreza",IF($Q803&lt;=1,"Eutrofia",IF($Q803&lt;=2,"Risco de sobrepeso",IF($Q803&lt;=3,"Sobrepeso","Obesidade"))))))</f>
        <v/>
      </c>
      <c r="S803">
        <f>IF($C803="","",IF(UPPER(LEFT($C803,1))="M",1,IF(UPPER(LEFT($C803,1))="F",2,"")))</f>
        <v/>
      </c>
      <c r="T803">
        <f>IF(OR($D803="",$E803=""),"",DATEDIF($D803,$E803,"m"))</f>
        <v/>
      </c>
      <c r="U803">
        <f>IF(OR($D803="",$E803=""),"",$E803-$D803)</f>
        <v/>
      </c>
      <c r="V803">
        <f>IF(OR($G803="",$T803=""),"",IF($T803&lt;24,IF(LEFT(LOWER($H803),4)="em p",$G803+0.7,$G803),IF(LEFT(LOWER($H803),4)="deit",$G803-0.7,$G803)))</f>
        <v/>
      </c>
      <c r="W803">
        <f>IF(OR($S803="",$T803=""),"",$S803*1000000+IF($T803&lt;=60,$U803,$T803))</f>
        <v/>
      </c>
      <c r="X803">
        <f>IF(OR($S803="",$V803="",$T803&gt;60,$T803=""),"",$S803*1000000+ROUND($V803*10,0))</f>
        <v/>
      </c>
      <c r="Y803">
        <f>IF($W803="","",IFERROR(INDEX(IF($T803&lt;=60,imc05_l,imc519_l),MATCH($W803,IF($T803&lt;=60,imc05_k,imc519_k),1)),""))</f>
        <v/>
      </c>
      <c r="Z803">
        <f>IF($W803="","",IFERROR(INDEX(IF($T803&lt;=60,imc05_m,imc519_m),MATCH($W803,IF($T803&lt;=60,imc05_k,imc519_k),1)),""))</f>
        <v/>
      </c>
      <c r="AA803">
        <f>IF($W803="","",IFERROR(INDEX(IF($T803&lt;=60,imc05_s,imc519_s),MATCH($W803,IF($T803&lt;=60,imc05_k,imc519_k),1)),""))</f>
        <v/>
      </c>
      <c r="AB803">
        <f>IF($Y803="","",IF($Y803=0,LN($J803/$Z803)/$AA803,((($J803/$Z803)^$Y803)-1)/($Y803*$AA803)))</f>
        <v/>
      </c>
      <c r="AC803">
        <f>IF($Y803="","",IF($Y803=0,$Z803*EXP($AA803*2),$Z803*(1+$Y803*$AA803*2)^(1/$Y803)))</f>
        <v/>
      </c>
      <c r="AD803">
        <f>IF($Y803="","",IF($Y803=0,$Z803*EXP($AA803*3),$Z803*(1+$Y803*$AA803*3)^(1/$Y803)))</f>
        <v/>
      </c>
      <c r="AE803">
        <f>IF($Y803="","",IF($Y803=0,$Z803*EXP($AA803*-2),$Z803*(1+$Y803*$AA803*-2)^(1/$Y803)))</f>
        <v/>
      </c>
      <c r="AF803">
        <f>IF($Y803="","",IF($Y803=0,$Z803*EXP($AA803*-3),$Z803*(1+$Y803*$AA803*-3)^(1/$Y803)))</f>
        <v/>
      </c>
      <c r="AG803">
        <f>IF($W803="","",IFERROR(INDEX(IF($T803&lt;=60,est05_l,est519_l),MATCH($W803,IF($T803&lt;=60,est05_k,est519_k),1)),""))</f>
        <v/>
      </c>
      <c r="AH803">
        <f>IF($W803="","",IFERROR(INDEX(IF($T803&lt;=60,est05_m,est519_m),MATCH($W803,IF($T803&lt;=60,est05_k,est519_k),1)),""))</f>
        <v/>
      </c>
      <c r="AI803">
        <f>IF($W803="","",IFERROR(INDEX(IF($T803&lt;=60,est05_s,est519_s),MATCH($W803,IF($T803&lt;=60,est05_k,est519_k),1)),""))</f>
        <v/>
      </c>
      <c r="AJ803">
        <f>IF($W803="","",IFERROR(INDEX(IF($T803&lt;=60,peso05_l,peso510_l),MATCH($W803,IF($T803&lt;=60,peso05_k,peso510_k),1)),""))</f>
        <v/>
      </c>
      <c r="AK803">
        <f>IF($W803="","",IFERROR(INDEX(IF($T803&lt;=60,peso05_m,peso510_m),MATCH($W803,IF($T803&lt;=60,peso05_k,peso510_k),1)),""))</f>
        <v/>
      </c>
      <c r="AL803">
        <f>IF($W803="","",IFERROR(INDEX(IF($T803&lt;=60,peso05_s,peso510_s),MATCH($W803,IF($T803&lt;=60,peso05_k,peso510_k),1)),""))</f>
        <v/>
      </c>
      <c r="AM803">
        <f>IF($AJ803="","",IF($AJ803=0,LN($F803/$AK803)/$AL803,((($F803/$AK803)^$AJ803)-1)/($AJ803*$AL803)))</f>
        <v/>
      </c>
      <c r="AN803">
        <f>IF($AJ803="","",IF($AJ803=0,$AK803*EXP($AL803*2),$AK803*(1+$AJ803*$AL803*2)^(1/$AJ803)))</f>
        <v/>
      </c>
      <c r="AO803">
        <f>IF($AJ803="","",IF($AJ803=0,$AK803*EXP($AL803*3),$AK803*(1+$AJ803*$AL803*3)^(1/$AJ803)))</f>
        <v/>
      </c>
      <c r="AP803">
        <f>IF($AJ803="","",IF($AJ803=0,$AK803*EXP($AL803*-2),$AK803*(1+$AJ803*$AL803*-2)^(1/$AJ803)))</f>
        <v/>
      </c>
      <c r="AQ803">
        <f>IF($AJ803="","",IF($AJ803=0,$AK803*EXP($AL803*-3),$AK803*(1+$AJ803*$AL803*-3)^(1/$AJ803)))</f>
        <v/>
      </c>
      <c r="AR803">
        <f>IF(OR($X803="",$T803&gt;60),"",IFERROR(INDEX(IF($T803&lt;24,pcomp_l,palt_l),MATCH($X803,IF($T803&lt;24,pcomp_k,palt_k),1)),""))</f>
        <v/>
      </c>
      <c r="AS803">
        <f>IF(OR($X803="",$T803&gt;60),"",IFERROR(INDEX(IF($T803&lt;24,pcomp_m,palt_m),MATCH($X803,IF($T803&lt;24,pcomp_k,palt_k),1)),""))</f>
        <v/>
      </c>
      <c r="AT803">
        <f>IF(OR($X803="",$T803&gt;60),"",IFERROR(INDEX(IF($T803&lt;24,pcomp_s,palt_s),MATCH($X803,IF($T803&lt;24,pcomp_k,palt_k),1)),""))</f>
        <v/>
      </c>
      <c r="AU803">
        <f>IF($AR803="","",IF($AR803=0,LN($F803/$AS803)/$AT803,((($F803/$AS803)^$AR803)-1)/($AR803*$AT803)))</f>
        <v/>
      </c>
      <c r="AV803">
        <f>IF($AR803="","",IF($AR803=0,$AS803*EXP($AT803*2),$AS803*(1+$AR803*$AT803*2)^(1/$AR803)))</f>
        <v/>
      </c>
      <c r="AW803">
        <f>IF($AR803="","",IF($AR803=0,$AS803*EXP($AT803*3),$AS803*(1+$AR803*$AT803*3)^(1/$AR803)))</f>
        <v/>
      </c>
      <c r="AX803">
        <f>IF($AR803="","",IF($AR803=0,$AS803*EXP($AT803*-2),$AS803*(1+$AR803*$AT803*-2)^(1/$AR803)))</f>
        <v/>
      </c>
      <c r="AY803">
        <f>IF($AR803="","",IF($AR803=0,$AS803*EXP($AT803*-3),$AS803*(1+$AR803*$AT803*-3)^(1/$AR803)))</f>
        <v/>
      </c>
      <c r="AZ803">
        <f>IF(OR($A803="",$A803&lt;&gt;Ficha!$C$4),"",COUNTIF($A$2:$A803,Ficha!$C$4))</f>
        <v/>
      </c>
    </row>
    <row r="804">
      <c r="A804" s="8">
        <f>IF(INDEX(Banco!$A:$A,ROW())="","",INDEX(Banco!$A:$A,ROW()))</f>
        <v/>
      </c>
      <c r="B804" s="8">
        <f>IF(INDEX(Banco!$B:$B,ROW())="","",INDEX(Banco!$B:$B,ROW()))</f>
        <v/>
      </c>
      <c r="C804" s="8">
        <f>IF(INDEX(Banco!$C:$C,ROW())="","",INDEX(Banco!$C:$C,ROW()))</f>
        <v/>
      </c>
      <c r="D804" s="9">
        <f>IF(INDEX(Banco!$D:$D,ROW())="","",INDEX(Banco!$D:$D,ROW()))</f>
        <v/>
      </c>
      <c r="E804" s="9">
        <f>IF(INDEX(Banco!$E:$E,ROW())="","",INDEX(Banco!$E:$E,ROW()))</f>
        <v/>
      </c>
      <c r="F804" s="10">
        <f>IF(INDEX(Banco!$F:$F,ROW())="","",INDEX(Banco!$F:$F,ROW()))</f>
        <v/>
      </c>
      <c r="G804" s="10">
        <f>IF(INDEX(Banco!$G:$G,ROW())="","",INDEX(Banco!$G:$G,ROW()))</f>
        <v/>
      </c>
      <c r="H804" s="8">
        <f>IF(INDEX(Banco!$H:$H,ROW())="","",INDEX(Banco!$H:$H,ROW()))</f>
        <v/>
      </c>
      <c r="I804">
        <f>IF($T804="","",INT($T804/12)&amp;"a "&amp;MOD($T804,12)&amp;"m")</f>
        <v/>
      </c>
      <c r="J804" s="11">
        <f>IF(OR($F804="",$G804=""),"",ROUND($F804/($G804/100)^2,2))</f>
        <v/>
      </c>
      <c r="K804" s="12">
        <f>IF(OR($S804="",$J804="",$T804="",$T804&lt;0,$T804&gt;228,$Y804=""),"—",ROUND(IF(ABS($AB804)&lt;=3,$AB804,IF($AB804&gt;3,3+($J804-$AD804)/($AD804-$AC804),-3+($J804-$AF804)/($AE804-$AF804))),2))</f>
        <v/>
      </c>
      <c r="L804">
        <f>IF(OR($K804="",$K804="—"),"",IF($T804&lt;=60,IF($K804&lt;-3,"Magreza acentuada",IF($K804&lt;-2,"Magreza",IF($K804&lt;=1,"Eutrofia",IF($K804&lt;=2,"Risco de sobrepeso",IF($K804&lt;=3,"Sobrepeso","Obesidade"))))),IF($K804&lt;-3,"Magreza acentuada",IF($K804&lt;-2,"Magreza",IF($K804&lt;=1,"Eutrofia",IF($K804&lt;=2,"Sobrepeso",IF($K804&lt;=3,"Obesidade","Obesidade grave")))))))</f>
        <v/>
      </c>
      <c r="M804" s="12">
        <f>IF(OR($S804="",$V804="",$T804="",$T804&lt;0,$T804&gt;228,$AG804=""),"—",ROUND(IF($AG804=0,LN($V804/$AH804)/$AI804,((($V804/$AH804)^$AG804)-1)/($AG804*$AI804)),2))</f>
        <v/>
      </c>
      <c r="N804">
        <f>IF(OR($M804="",$M804="—"),"",IF($M804&lt;-3,"Muito baixa",IF($M804&lt;-2,"Baixa","Adequada")))</f>
        <v/>
      </c>
      <c r="O804" s="12">
        <f>IF(OR($S804="",$F804="",$T804="",$T804&lt;0,$T804&gt;120,$AJ804=""),"—",ROUND(IF(ABS($AM804)&lt;=3,$AM804,IF($AM804&gt;3,3+($F804-$AO804)/($AO804-$AN804),-3+($F804-$AQ804)/($AP804-$AQ804))),2))</f>
        <v/>
      </c>
      <c r="P804">
        <f>IF(OR($O804="",$O804="—"),"",IF($O804&lt;-3,"Muito baixo",IF($O804&lt;-2,"Baixo",IF($O804&lt;=2,"Adequado","Elevado"))))</f>
        <v/>
      </c>
      <c r="Q804" s="12">
        <f>IF(OR($S804="",$F804="",$T804="",$T804&lt;0,$T804&gt;60,$AR804=""),"—",ROUND(IF(ABS($AU804)&lt;=3,$AU804,IF($AU804&gt;3,3+($F804-$AW804)/($AW804-$AV804),-3+($F804-$AY804)/($AX804-$AY804))),2))</f>
        <v/>
      </c>
      <c r="R804">
        <f>IF(OR($Q804="",$Q804="—"),"",IF($Q804&lt;-3,"Magreza acentuada",IF($Q804&lt;-2,"Magreza",IF($Q804&lt;=1,"Eutrofia",IF($Q804&lt;=2,"Risco de sobrepeso",IF($Q804&lt;=3,"Sobrepeso","Obesidade"))))))</f>
        <v/>
      </c>
      <c r="S804">
        <f>IF($C804="","",IF(UPPER(LEFT($C804,1))="M",1,IF(UPPER(LEFT($C804,1))="F",2,"")))</f>
        <v/>
      </c>
      <c r="T804">
        <f>IF(OR($D804="",$E804=""),"",DATEDIF($D804,$E804,"m"))</f>
        <v/>
      </c>
      <c r="U804">
        <f>IF(OR($D804="",$E804=""),"",$E804-$D804)</f>
        <v/>
      </c>
      <c r="V804">
        <f>IF(OR($G804="",$T804=""),"",IF($T804&lt;24,IF(LEFT(LOWER($H804),4)="em p",$G804+0.7,$G804),IF(LEFT(LOWER($H804),4)="deit",$G804-0.7,$G804)))</f>
        <v/>
      </c>
      <c r="W804">
        <f>IF(OR($S804="",$T804=""),"",$S804*1000000+IF($T804&lt;=60,$U804,$T804))</f>
        <v/>
      </c>
      <c r="X804">
        <f>IF(OR($S804="",$V804="",$T804&gt;60,$T804=""),"",$S804*1000000+ROUND($V804*10,0))</f>
        <v/>
      </c>
      <c r="Y804">
        <f>IF($W804="","",IFERROR(INDEX(IF($T804&lt;=60,imc05_l,imc519_l),MATCH($W804,IF($T804&lt;=60,imc05_k,imc519_k),1)),""))</f>
        <v/>
      </c>
      <c r="Z804">
        <f>IF($W804="","",IFERROR(INDEX(IF($T804&lt;=60,imc05_m,imc519_m),MATCH($W804,IF($T804&lt;=60,imc05_k,imc519_k),1)),""))</f>
        <v/>
      </c>
      <c r="AA804">
        <f>IF($W804="","",IFERROR(INDEX(IF($T804&lt;=60,imc05_s,imc519_s),MATCH($W804,IF($T804&lt;=60,imc05_k,imc519_k),1)),""))</f>
        <v/>
      </c>
      <c r="AB804">
        <f>IF($Y804="","",IF($Y804=0,LN($J804/$Z804)/$AA804,((($J804/$Z804)^$Y804)-1)/($Y804*$AA804)))</f>
        <v/>
      </c>
      <c r="AC804">
        <f>IF($Y804="","",IF($Y804=0,$Z804*EXP($AA804*2),$Z804*(1+$Y804*$AA804*2)^(1/$Y804)))</f>
        <v/>
      </c>
      <c r="AD804">
        <f>IF($Y804="","",IF($Y804=0,$Z804*EXP($AA804*3),$Z804*(1+$Y804*$AA804*3)^(1/$Y804)))</f>
        <v/>
      </c>
      <c r="AE804">
        <f>IF($Y804="","",IF($Y804=0,$Z804*EXP($AA804*-2),$Z804*(1+$Y804*$AA804*-2)^(1/$Y804)))</f>
        <v/>
      </c>
      <c r="AF804">
        <f>IF($Y804="","",IF($Y804=0,$Z804*EXP($AA804*-3),$Z804*(1+$Y804*$AA804*-3)^(1/$Y804)))</f>
        <v/>
      </c>
      <c r="AG804">
        <f>IF($W804="","",IFERROR(INDEX(IF($T804&lt;=60,est05_l,est519_l),MATCH($W804,IF($T804&lt;=60,est05_k,est519_k),1)),""))</f>
        <v/>
      </c>
      <c r="AH804">
        <f>IF($W804="","",IFERROR(INDEX(IF($T804&lt;=60,est05_m,est519_m),MATCH($W804,IF($T804&lt;=60,est05_k,est519_k),1)),""))</f>
        <v/>
      </c>
      <c r="AI804">
        <f>IF($W804="","",IFERROR(INDEX(IF($T804&lt;=60,est05_s,est519_s),MATCH($W804,IF($T804&lt;=60,est05_k,est519_k),1)),""))</f>
        <v/>
      </c>
      <c r="AJ804">
        <f>IF($W804="","",IFERROR(INDEX(IF($T804&lt;=60,peso05_l,peso510_l),MATCH($W804,IF($T804&lt;=60,peso05_k,peso510_k),1)),""))</f>
        <v/>
      </c>
      <c r="AK804">
        <f>IF($W804="","",IFERROR(INDEX(IF($T804&lt;=60,peso05_m,peso510_m),MATCH($W804,IF($T804&lt;=60,peso05_k,peso510_k),1)),""))</f>
        <v/>
      </c>
      <c r="AL804">
        <f>IF($W804="","",IFERROR(INDEX(IF($T804&lt;=60,peso05_s,peso510_s),MATCH($W804,IF($T804&lt;=60,peso05_k,peso510_k),1)),""))</f>
        <v/>
      </c>
      <c r="AM804">
        <f>IF($AJ804="","",IF($AJ804=0,LN($F804/$AK804)/$AL804,((($F804/$AK804)^$AJ804)-1)/($AJ804*$AL804)))</f>
        <v/>
      </c>
      <c r="AN804">
        <f>IF($AJ804="","",IF($AJ804=0,$AK804*EXP($AL804*2),$AK804*(1+$AJ804*$AL804*2)^(1/$AJ804)))</f>
        <v/>
      </c>
      <c r="AO804">
        <f>IF($AJ804="","",IF($AJ804=0,$AK804*EXP($AL804*3),$AK804*(1+$AJ804*$AL804*3)^(1/$AJ804)))</f>
        <v/>
      </c>
      <c r="AP804">
        <f>IF($AJ804="","",IF($AJ804=0,$AK804*EXP($AL804*-2),$AK804*(1+$AJ804*$AL804*-2)^(1/$AJ804)))</f>
        <v/>
      </c>
      <c r="AQ804">
        <f>IF($AJ804="","",IF($AJ804=0,$AK804*EXP($AL804*-3),$AK804*(1+$AJ804*$AL804*-3)^(1/$AJ804)))</f>
        <v/>
      </c>
      <c r="AR804">
        <f>IF(OR($X804="",$T804&gt;60),"",IFERROR(INDEX(IF($T804&lt;24,pcomp_l,palt_l),MATCH($X804,IF($T804&lt;24,pcomp_k,palt_k),1)),""))</f>
        <v/>
      </c>
      <c r="AS804">
        <f>IF(OR($X804="",$T804&gt;60),"",IFERROR(INDEX(IF($T804&lt;24,pcomp_m,palt_m),MATCH($X804,IF($T804&lt;24,pcomp_k,palt_k),1)),""))</f>
        <v/>
      </c>
      <c r="AT804">
        <f>IF(OR($X804="",$T804&gt;60),"",IFERROR(INDEX(IF($T804&lt;24,pcomp_s,palt_s),MATCH($X804,IF($T804&lt;24,pcomp_k,palt_k),1)),""))</f>
        <v/>
      </c>
      <c r="AU804">
        <f>IF($AR804="","",IF($AR804=0,LN($F804/$AS804)/$AT804,((($F804/$AS804)^$AR804)-1)/($AR804*$AT804)))</f>
        <v/>
      </c>
      <c r="AV804">
        <f>IF($AR804="","",IF($AR804=0,$AS804*EXP($AT804*2),$AS804*(1+$AR804*$AT804*2)^(1/$AR804)))</f>
        <v/>
      </c>
      <c r="AW804">
        <f>IF($AR804="","",IF($AR804=0,$AS804*EXP($AT804*3),$AS804*(1+$AR804*$AT804*3)^(1/$AR804)))</f>
        <v/>
      </c>
      <c r="AX804">
        <f>IF($AR804="","",IF($AR804=0,$AS804*EXP($AT804*-2),$AS804*(1+$AR804*$AT804*-2)^(1/$AR804)))</f>
        <v/>
      </c>
      <c r="AY804">
        <f>IF($AR804="","",IF($AR804=0,$AS804*EXP($AT804*-3),$AS804*(1+$AR804*$AT804*-3)^(1/$AR804)))</f>
        <v/>
      </c>
      <c r="AZ804">
        <f>IF(OR($A804="",$A804&lt;&gt;Ficha!$C$4),"",COUNTIF($A$2:$A804,Ficha!$C$4))</f>
        <v/>
      </c>
    </row>
    <row r="805">
      <c r="A805" s="8">
        <f>IF(INDEX(Banco!$A:$A,ROW())="","",INDEX(Banco!$A:$A,ROW()))</f>
        <v/>
      </c>
      <c r="B805" s="8">
        <f>IF(INDEX(Banco!$B:$B,ROW())="","",INDEX(Banco!$B:$B,ROW()))</f>
        <v/>
      </c>
      <c r="C805" s="8">
        <f>IF(INDEX(Banco!$C:$C,ROW())="","",INDEX(Banco!$C:$C,ROW()))</f>
        <v/>
      </c>
      <c r="D805" s="9">
        <f>IF(INDEX(Banco!$D:$D,ROW())="","",INDEX(Banco!$D:$D,ROW()))</f>
        <v/>
      </c>
      <c r="E805" s="9">
        <f>IF(INDEX(Banco!$E:$E,ROW())="","",INDEX(Banco!$E:$E,ROW()))</f>
        <v/>
      </c>
      <c r="F805" s="10">
        <f>IF(INDEX(Banco!$F:$F,ROW())="","",INDEX(Banco!$F:$F,ROW()))</f>
        <v/>
      </c>
      <c r="G805" s="10">
        <f>IF(INDEX(Banco!$G:$G,ROW())="","",INDEX(Banco!$G:$G,ROW()))</f>
        <v/>
      </c>
      <c r="H805" s="8">
        <f>IF(INDEX(Banco!$H:$H,ROW())="","",INDEX(Banco!$H:$H,ROW()))</f>
        <v/>
      </c>
      <c r="I805">
        <f>IF($T805="","",INT($T805/12)&amp;"a "&amp;MOD($T805,12)&amp;"m")</f>
        <v/>
      </c>
      <c r="J805" s="11">
        <f>IF(OR($F805="",$G805=""),"",ROUND($F805/($G805/100)^2,2))</f>
        <v/>
      </c>
      <c r="K805" s="12">
        <f>IF(OR($S805="",$J805="",$T805="",$T805&lt;0,$T805&gt;228,$Y805=""),"—",ROUND(IF(ABS($AB805)&lt;=3,$AB805,IF($AB805&gt;3,3+($J805-$AD805)/($AD805-$AC805),-3+($J805-$AF805)/($AE805-$AF805))),2))</f>
        <v/>
      </c>
      <c r="L805">
        <f>IF(OR($K805="",$K805="—"),"",IF($T805&lt;=60,IF($K805&lt;-3,"Magreza acentuada",IF($K805&lt;-2,"Magreza",IF($K805&lt;=1,"Eutrofia",IF($K805&lt;=2,"Risco de sobrepeso",IF($K805&lt;=3,"Sobrepeso","Obesidade"))))),IF($K805&lt;-3,"Magreza acentuada",IF($K805&lt;-2,"Magreza",IF($K805&lt;=1,"Eutrofia",IF($K805&lt;=2,"Sobrepeso",IF($K805&lt;=3,"Obesidade","Obesidade grave")))))))</f>
        <v/>
      </c>
      <c r="M805" s="12">
        <f>IF(OR($S805="",$V805="",$T805="",$T805&lt;0,$T805&gt;228,$AG805=""),"—",ROUND(IF($AG805=0,LN($V805/$AH805)/$AI805,((($V805/$AH805)^$AG805)-1)/($AG805*$AI805)),2))</f>
        <v/>
      </c>
      <c r="N805">
        <f>IF(OR($M805="",$M805="—"),"",IF($M805&lt;-3,"Muito baixa",IF($M805&lt;-2,"Baixa","Adequada")))</f>
        <v/>
      </c>
      <c r="O805" s="12">
        <f>IF(OR($S805="",$F805="",$T805="",$T805&lt;0,$T805&gt;120,$AJ805=""),"—",ROUND(IF(ABS($AM805)&lt;=3,$AM805,IF($AM805&gt;3,3+($F805-$AO805)/($AO805-$AN805),-3+($F805-$AQ805)/($AP805-$AQ805))),2))</f>
        <v/>
      </c>
      <c r="P805">
        <f>IF(OR($O805="",$O805="—"),"",IF($O805&lt;-3,"Muito baixo",IF($O805&lt;-2,"Baixo",IF($O805&lt;=2,"Adequado","Elevado"))))</f>
        <v/>
      </c>
      <c r="Q805" s="12">
        <f>IF(OR($S805="",$F805="",$T805="",$T805&lt;0,$T805&gt;60,$AR805=""),"—",ROUND(IF(ABS($AU805)&lt;=3,$AU805,IF($AU805&gt;3,3+($F805-$AW805)/($AW805-$AV805),-3+($F805-$AY805)/($AX805-$AY805))),2))</f>
        <v/>
      </c>
      <c r="R805">
        <f>IF(OR($Q805="",$Q805="—"),"",IF($Q805&lt;-3,"Magreza acentuada",IF($Q805&lt;-2,"Magreza",IF($Q805&lt;=1,"Eutrofia",IF($Q805&lt;=2,"Risco de sobrepeso",IF($Q805&lt;=3,"Sobrepeso","Obesidade"))))))</f>
        <v/>
      </c>
      <c r="S805">
        <f>IF($C805="","",IF(UPPER(LEFT($C805,1))="M",1,IF(UPPER(LEFT($C805,1))="F",2,"")))</f>
        <v/>
      </c>
      <c r="T805">
        <f>IF(OR($D805="",$E805=""),"",DATEDIF($D805,$E805,"m"))</f>
        <v/>
      </c>
      <c r="U805">
        <f>IF(OR($D805="",$E805=""),"",$E805-$D805)</f>
        <v/>
      </c>
      <c r="V805">
        <f>IF(OR($G805="",$T805=""),"",IF($T805&lt;24,IF(LEFT(LOWER($H805),4)="em p",$G805+0.7,$G805),IF(LEFT(LOWER($H805),4)="deit",$G805-0.7,$G805)))</f>
        <v/>
      </c>
      <c r="W805">
        <f>IF(OR($S805="",$T805=""),"",$S805*1000000+IF($T805&lt;=60,$U805,$T805))</f>
        <v/>
      </c>
      <c r="X805">
        <f>IF(OR($S805="",$V805="",$T805&gt;60,$T805=""),"",$S805*1000000+ROUND($V805*10,0))</f>
        <v/>
      </c>
      <c r="Y805">
        <f>IF($W805="","",IFERROR(INDEX(IF($T805&lt;=60,imc05_l,imc519_l),MATCH($W805,IF($T805&lt;=60,imc05_k,imc519_k),1)),""))</f>
        <v/>
      </c>
      <c r="Z805">
        <f>IF($W805="","",IFERROR(INDEX(IF($T805&lt;=60,imc05_m,imc519_m),MATCH($W805,IF($T805&lt;=60,imc05_k,imc519_k),1)),""))</f>
        <v/>
      </c>
      <c r="AA805">
        <f>IF($W805="","",IFERROR(INDEX(IF($T805&lt;=60,imc05_s,imc519_s),MATCH($W805,IF($T805&lt;=60,imc05_k,imc519_k),1)),""))</f>
        <v/>
      </c>
      <c r="AB805">
        <f>IF($Y805="","",IF($Y805=0,LN($J805/$Z805)/$AA805,((($J805/$Z805)^$Y805)-1)/($Y805*$AA805)))</f>
        <v/>
      </c>
      <c r="AC805">
        <f>IF($Y805="","",IF($Y805=0,$Z805*EXP($AA805*2),$Z805*(1+$Y805*$AA805*2)^(1/$Y805)))</f>
        <v/>
      </c>
      <c r="AD805">
        <f>IF($Y805="","",IF($Y805=0,$Z805*EXP($AA805*3),$Z805*(1+$Y805*$AA805*3)^(1/$Y805)))</f>
        <v/>
      </c>
      <c r="AE805">
        <f>IF($Y805="","",IF($Y805=0,$Z805*EXP($AA805*-2),$Z805*(1+$Y805*$AA805*-2)^(1/$Y805)))</f>
        <v/>
      </c>
      <c r="AF805">
        <f>IF($Y805="","",IF($Y805=0,$Z805*EXP($AA805*-3),$Z805*(1+$Y805*$AA805*-3)^(1/$Y805)))</f>
        <v/>
      </c>
      <c r="AG805">
        <f>IF($W805="","",IFERROR(INDEX(IF($T805&lt;=60,est05_l,est519_l),MATCH($W805,IF($T805&lt;=60,est05_k,est519_k),1)),""))</f>
        <v/>
      </c>
      <c r="AH805">
        <f>IF($W805="","",IFERROR(INDEX(IF($T805&lt;=60,est05_m,est519_m),MATCH($W805,IF($T805&lt;=60,est05_k,est519_k),1)),""))</f>
        <v/>
      </c>
      <c r="AI805">
        <f>IF($W805="","",IFERROR(INDEX(IF($T805&lt;=60,est05_s,est519_s),MATCH($W805,IF($T805&lt;=60,est05_k,est519_k),1)),""))</f>
        <v/>
      </c>
      <c r="AJ805">
        <f>IF($W805="","",IFERROR(INDEX(IF($T805&lt;=60,peso05_l,peso510_l),MATCH($W805,IF($T805&lt;=60,peso05_k,peso510_k),1)),""))</f>
        <v/>
      </c>
      <c r="AK805">
        <f>IF($W805="","",IFERROR(INDEX(IF($T805&lt;=60,peso05_m,peso510_m),MATCH($W805,IF($T805&lt;=60,peso05_k,peso510_k),1)),""))</f>
        <v/>
      </c>
      <c r="AL805">
        <f>IF($W805="","",IFERROR(INDEX(IF($T805&lt;=60,peso05_s,peso510_s),MATCH($W805,IF($T805&lt;=60,peso05_k,peso510_k),1)),""))</f>
        <v/>
      </c>
      <c r="AM805">
        <f>IF($AJ805="","",IF($AJ805=0,LN($F805/$AK805)/$AL805,((($F805/$AK805)^$AJ805)-1)/($AJ805*$AL805)))</f>
        <v/>
      </c>
      <c r="AN805">
        <f>IF($AJ805="","",IF($AJ805=0,$AK805*EXP($AL805*2),$AK805*(1+$AJ805*$AL805*2)^(1/$AJ805)))</f>
        <v/>
      </c>
      <c r="AO805">
        <f>IF($AJ805="","",IF($AJ805=0,$AK805*EXP($AL805*3),$AK805*(1+$AJ805*$AL805*3)^(1/$AJ805)))</f>
        <v/>
      </c>
      <c r="AP805">
        <f>IF($AJ805="","",IF($AJ805=0,$AK805*EXP($AL805*-2),$AK805*(1+$AJ805*$AL805*-2)^(1/$AJ805)))</f>
        <v/>
      </c>
      <c r="AQ805">
        <f>IF($AJ805="","",IF($AJ805=0,$AK805*EXP($AL805*-3),$AK805*(1+$AJ805*$AL805*-3)^(1/$AJ805)))</f>
        <v/>
      </c>
      <c r="AR805">
        <f>IF(OR($X805="",$T805&gt;60),"",IFERROR(INDEX(IF($T805&lt;24,pcomp_l,palt_l),MATCH($X805,IF($T805&lt;24,pcomp_k,palt_k),1)),""))</f>
        <v/>
      </c>
      <c r="AS805">
        <f>IF(OR($X805="",$T805&gt;60),"",IFERROR(INDEX(IF($T805&lt;24,pcomp_m,palt_m),MATCH($X805,IF($T805&lt;24,pcomp_k,palt_k),1)),""))</f>
        <v/>
      </c>
      <c r="AT805">
        <f>IF(OR($X805="",$T805&gt;60),"",IFERROR(INDEX(IF($T805&lt;24,pcomp_s,palt_s),MATCH($X805,IF($T805&lt;24,pcomp_k,palt_k),1)),""))</f>
        <v/>
      </c>
      <c r="AU805">
        <f>IF($AR805="","",IF($AR805=0,LN($F805/$AS805)/$AT805,((($F805/$AS805)^$AR805)-1)/($AR805*$AT805)))</f>
        <v/>
      </c>
      <c r="AV805">
        <f>IF($AR805="","",IF($AR805=0,$AS805*EXP($AT805*2),$AS805*(1+$AR805*$AT805*2)^(1/$AR805)))</f>
        <v/>
      </c>
      <c r="AW805">
        <f>IF($AR805="","",IF($AR805=0,$AS805*EXP($AT805*3),$AS805*(1+$AR805*$AT805*3)^(1/$AR805)))</f>
        <v/>
      </c>
      <c r="AX805">
        <f>IF($AR805="","",IF($AR805=0,$AS805*EXP($AT805*-2),$AS805*(1+$AR805*$AT805*-2)^(1/$AR805)))</f>
        <v/>
      </c>
      <c r="AY805">
        <f>IF($AR805="","",IF($AR805=0,$AS805*EXP($AT805*-3),$AS805*(1+$AR805*$AT805*-3)^(1/$AR805)))</f>
        <v/>
      </c>
      <c r="AZ805">
        <f>IF(OR($A805="",$A805&lt;&gt;Ficha!$C$4),"",COUNTIF($A$2:$A805,Ficha!$C$4))</f>
        <v/>
      </c>
    </row>
    <row r="806">
      <c r="A806" s="8">
        <f>IF(INDEX(Banco!$A:$A,ROW())="","",INDEX(Banco!$A:$A,ROW()))</f>
        <v/>
      </c>
      <c r="B806" s="8">
        <f>IF(INDEX(Banco!$B:$B,ROW())="","",INDEX(Banco!$B:$B,ROW()))</f>
        <v/>
      </c>
      <c r="C806" s="8">
        <f>IF(INDEX(Banco!$C:$C,ROW())="","",INDEX(Banco!$C:$C,ROW()))</f>
        <v/>
      </c>
      <c r="D806" s="9">
        <f>IF(INDEX(Banco!$D:$D,ROW())="","",INDEX(Banco!$D:$D,ROW()))</f>
        <v/>
      </c>
      <c r="E806" s="9">
        <f>IF(INDEX(Banco!$E:$E,ROW())="","",INDEX(Banco!$E:$E,ROW()))</f>
        <v/>
      </c>
      <c r="F806" s="10">
        <f>IF(INDEX(Banco!$F:$F,ROW())="","",INDEX(Banco!$F:$F,ROW()))</f>
        <v/>
      </c>
      <c r="G806" s="10">
        <f>IF(INDEX(Banco!$G:$G,ROW())="","",INDEX(Banco!$G:$G,ROW()))</f>
        <v/>
      </c>
      <c r="H806" s="8">
        <f>IF(INDEX(Banco!$H:$H,ROW())="","",INDEX(Banco!$H:$H,ROW()))</f>
        <v/>
      </c>
      <c r="I806">
        <f>IF($T806="","",INT($T806/12)&amp;"a "&amp;MOD($T806,12)&amp;"m")</f>
        <v/>
      </c>
      <c r="J806" s="11">
        <f>IF(OR($F806="",$G806=""),"",ROUND($F806/($G806/100)^2,2))</f>
        <v/>
      </c>
      <c r="K806" s="12">
        <f>IF(OR($S806="",$J806="",$T806="",$T806&lt;0,$T806&gt;228,$Y806=""),"—",ROUND(IF(ABS($AB806)&lt;=3,$AB806,IF($AB806&gt;3,3+($J806-$AD806)/($AD806-$AC806),-3+($J806-$AF806)/($AE806-$AF806))),2))</f>
        <v/>
      </c>
      <c r="L806">
        <f>IF(OR($K806="",$K806="—"),"",IF($T806&lt;=60,IF($K806&lt;-3,"Magreza acentuada",IF($K806&lt;-2,"Magreza",IF($K806&lt;=1,"Eutrofia",IF($K806&lt;=2,"Risco de sobrepeso",IF($K806&lt;=3,"Sobrepeso","Obesidade"))))),IF($K806&lt;-3,"Magreza acentuada",IF($K806&lt;-2,"Magreza",IF($K806&lt;=1,"Eutrofia",IF($K806&lt;=2,"Sobrepeso",IF($K806&lt;=3,"Obesidade","Obesidade grave")))))))</f>
        <v/>
      </c>
      <c r="M806" s="12">
        <f>IF(OR($S806="",$V806="",$T806="",$T806&lt;0,$T806&gt;228,$AG806=""),"—",ROUND(IF($AG806=0,LN($V806/$AH806)/$AI806,((($V806/$AH806)^$AG806)-1)/($AG806*$AI806)),2))</f>
        <v/>
      </c>
      <c r="N806">
        <f>IF(OR($M806="",$M806="—"),"",IF($M806&lt;-3,"Muito baixa",IF($M806&lt;-2,"Baixa","Adequada")))</f>
        <v/>
      </c>
      <c r="O806" s="12">
        <f>IF(OR($S806="",$F806="",$T806="",$T806&lt;0,$T806&gt;120,$AJ806=""),"—",ROUND(IF(ABS($AM806)&lt;=3,$AM806,IF($AM806&gt;3,3+($F806-$AO806)/($AO806-$AN806),-3+($F806-$AQ806)/($AP806-$AQ806))),2))</f>
        <v/>
      </c>
      <c r="P806">
        <f>IF(OR($O806="",$O806="—"),"",IF($O806&lt;-3,"Muito baixo",IF($O806&lt;-2,"Baixo",IF($O806&lt;=2,"Adequado","Elevado"))))</f>
        <v/>
      </c>
      <c r="Q806" s="12">
        <f>IF(OR($S806="",$F806="",$T806="",$T806&lt;0,$T806&gt;60,$AR806=""),"—",ROUND(IF(ABS($AU806)&lt;=3,$AU806,IF($AU806&gt;3,3+($F806-$AW806)/($AW806-$AV806),-3+($F806-$AY806)/($AX806-$AY806))),2))</f>
        <v/>
      </c>
      <c r="R806">
        <f>IF(OR($Q806="",$Q806="—"),"",IF($Q806&lt;-3,"Magreza acentuada",IF($Q806&lt;-2,"Magreza",IF($Q806&lt;=1,"Eutrofia",IF($Q806&lt;=2,"Risco de sobrepeso",IF($Q806&lt;=3,"Sobrepeso","Obesidade"))))))</f>
        <v/>
      </c>
      <c r="S806">
        <f>IF($C806="","",IF(UPPER(LEFT($C806,1))="M",1,IF(UPPER(LEFT($C806,1))="F",2,"")))</f>
        <v/>
      </c>
      <c r="T806">
        <f>IF(OR($D806="",$E806=""),"",DATEDIF($D806,$E806,"m"))</f>
        <v/>
      </c>
      <c r="U806">
        <f>IF(OR($D806="",$E806=""),"",$E806-$D806)</f>
        <v/>
      </c>
      <c r="V806">
        <f>IF(OR($G806="",$T806=""),"",IF($T806&lt;24,IF(LEFT(LOWER($H806),4)="em p",$G806+0.7,$G806),IF(LEFT(LOWER($H806),4)="deit",$G806-0.7,$G806)))</f>
        <v/>
      </c>
      <c r="W806">
        <f>IF(OR($S806="",$T806=""),"",$S806*1000000+IF($T806&lt;=60,$U806,$T806))</f>
        <v/>
      </c>
      <c r="X806">
        <f>IF(OR($S806="",$V806="",$T806&gt;60,$T806=""),"",$S806*1000000+ROUND($V806*10,0))</f>
        <v/>
      </c>
      <c r="Y806">
        <f>IF($W806="","",IFERROR(INDEX(IF($T806&lt;=60,imc05_l,imc519_l),MATCH($W806,IF($T806&lt;=60,imc05_k,imc519_k),1)),""))</f>
        <v/>
      </c>
      <c r="Z806">
        <f>IF($W806="","",IFERROR(INDEX(IF($T806&lt;=60,imc05_m,imc519_m),MATCH($W806,IF($T806&lt;=60,imc05_k,imc519_k),1)),""))</f>
        <v/>
      </c>
      <c r="AA806">
        <f>IF($W806="","",IFERROR(INDEX(IF($T806&lt;=60,imc05_s,imc519_s),MATCH($W806,IF($T806&lt;=60,imc05_k,imc519_k),1)),""))</f>
        <v/>
      </c>
      <c r="AB806">
        <f>IF($Y806="","",IF($Y806=0,LN($J806/$Z806)/$AA806,((($J806/$Z806)^$Y806)-1)/($Y806*$AA806)))</f>
        <v/>
      </c>
      <c r="AC806">
        <f>IF($Y806="","",IF($Y806=0,$Z806*EXP($AA806*2),$Z806*(1+$Y806*$AA806*2)^(1/$Y806)))</f>
        <v/>
      </c>
      <c r="AD806">
        <f>IF($Y806="","",IF($Y806=0,$Z806*EXP($AA806*3),$Z806*(1+$Y806*$AA806*3)^(1/$Y806)))</f>
        <v/>
      </c>
      <c r="AE806">
        <f>IF($Y806="","",IF($Y806=0,$Z806*EXP($AA806*-2),$Z806*(1+$Y806*$AA806*-2)^(1/$Y806)))</f>
        <v/>
      </c>
      <c r="AF806">
        <f>IF($Y806="","",IF($Y806=0,$Z806*EXP($AA806*-3),$Z806*(1+$Y806*$AA806*-3)^(1/$Y806)))</f>
        <v/>
      </c>
      <c r="AG806">
        <f>IF($W806="","",IFERROR(INDEX(IF($T806&lt;=60,est05_l,est519_l),MATCH($W806,IF($T806&lt;=60,est05_k,est519_k),1)),""))</f>
        <v/>
      </c>
      <c r="AH806">
        <f>IF($W806="","",IFERROR(INDEX(IF($T806&lt;=60,est05_m,est519_m),MATCH($W806,IF($T806&lt;=60,est05_k,est519_k),1)),""))</f>
        <v/>
      </c>
      <c r="AI806">
        <f>IF($W806="","",IFERROR(INDEX(IF($T806&lt;=60,est05_s,est519_s),MATCH($W806,IF($T806&lt;=60,est05_k,est519_k),1)),""))</f>
        <v/>
      </c>
      <c r="AJ806">
        <f>IF($W806="","",IFERROR(INDEX(IF($T806&lt;=60,peso05_l,peso510_l),MATCH($W806,IF($T806&lt;=60,peso05_k,peso510_k),1)),""))</f>
        <v/>
      </c>
      <c r="AK806">
        <f>IF($W806="","",IFERROR(INDEX(IF($T806&lt;=60,peso05_m,peso510_m),MATCH($W806,IF($T806&lt;=60,peso05_k,peso510_k),1)),""))</f>
        <v/>
      </c>
      <c r="AL806">
        <f>IF($W806="","",IFERROR(INDEX(IF($T806&lt;=60,peso05_s,peso510_s),MATCH($W806,IF($T806&lt;=60,peso05_k,peso510_k),1)),""))</f>
        <v/>
      </c>
      <c r="AM806">
        <f>IF($AJ806="","",IF($AJ806=0,LN($F806/$AK806)/$AL806,((($F806/$AK806)^$AJ806)-1)/($AJ806*$AL806)))</f>
        <v/>
      </c>
      <c r="AN806">
        <f>IF($AJ806="","",IF($AJ806=0,$AK806*EXP($AL806*2),$AK806*(1+$AJ806*$AL806*2)^(1/$AJ806)))</f>
        <v/>
      </c>
      <c r="AO806">
        <f>IF($AJ806="","",IF($AJ806=0,$AK806*EXP($AL806*3),$AK806*(1+$AJ806*$AL806*3)^(1/$AJ806)))</f>
        <v/>
      </c>
      <c r="AP806">
        <f>IF($AJ806="","",IF($AJ806=0,$AK806*EXP($AL806*-2),$AK806*(1+$AJ806*$AL806*-2)^(1/$AJ806)))</f>
        <v/>
      </c>
      <c r="AQ806">
        <f>IF($AJ806="","",IF($AJ806=0,$AK806*EXP($AL806*-3),$AK806*(1+$AJ806*$AL806*-3)^(1/$AJ806)))</f>
        <v/>
      </c>
      <c r="AR806">
        <f>IF(OR($X806="",$T806&gt;60),"",IFERROR(INDEX(IF($T806&lt;24,pcomp_l,palt_l),MATCH($X806,IF($T806&lt;24,pcomp_k,palt_k),1)),""))</f>
        <v/>
      </c>
      <c r="AS806">
        <f>IF(OR($X806="",$T806&gt;60),"",IFERROR(INDEX(IF($T806&lt;24,pcomp_m,palt_m),MATCH($X806,IF($T806&lt;24,pcomp_k,palt_k),1)),""))</f>
        <v/>
      </c>
      <c r="AT806">
        <f>IF(OR($X806="",$T806&gt;60),"",IFERROR(INDEX(IF($T806&lt;24,pcomp_s,palt_s),MATCH($X806,IF($T806&lt;24,pcomp_k,palt_k),1)),""))</f>
        <v/>
      </c>
      <c r="AU806">
        <f>IF($AR806="","",IF($AR806=0,LN($F806/$AS806)/$AT806,((($F806/$AS806)^$AR806)-1)/($AR806*$AT806)))</f>
        <v/>
      </c>
      <c r="AV806">
        <f>IF($AR806="","",IF($AR806=0,$AS806*EXP($AT806*2),$AS806*(1+$AR806*$AT806*2)^(1/$AR806)))</f>
        <v/>
      </c>
      <c r="AW806">
        <f>IF($AR806="","",IF($AR806=0,$AS806*EXP($AT806*3),$AS806*(1+$AR806*$AT806*3)^(1/$AR806)))</f>
        <v/>
      </c>
      <c r="AX806">
        <f>IF($AR806="","",IF($AR806=0,$AS806*EXP($AT806*-2),$AS806*(1+$AR806*$AT806*-2)^(1/$AR806)))</f>
        <v/>
      </c>
      <c r="AY806">
        <f>IF($AR806="","",IF($AR806=0,$AS806*EXP($AT806*-3),$AS806*(1+$AR806*$AT806*-3)^(1/$AR806)))</f>
        <v/>
      </c>
      <c r="AZ806">
        <f>IF(OR($A806="",$A806&lt;&gt;Ficha!$C$4),"",COUNTIF($A$2:$A806,Ficha!$C$4))</f>
        <v/>
      </c>
    </row>
    <row r="807">
      <c r="A807" s="8">
        <f>IF(INDEX(Banco!$A:$A,ROW())="","",INDEX(Banco!$A:$A,ROW()))</f>
        <v/>
      </c>
      <c r="B807" s="8">
        <f>IF(INDEX(Banco!$B:$B,ROW())="","",INDEX(Banco!$B:$B,ROW()))</f>
        <v/>
      </c>
      <c r="C807" s="8">
        <f>IF(INDEX(Banco!$C:$C,ROW())="","",INDEX(Banco!$C:$C,ROW()))</f>
        <v/>
      </c>
      <c r="D807" s="9">
        <f>IF(INDEX(Banco!$D:$D,ROW())="","",INDEX(Banco!$D:$D,ROW()))</f>
        <v/>
      </c>
      <c r="E807" s="9">
        <f>IF(INDEX(Banco!$E:$E,ROW())="","",INDEX(Banco!$E:$E,ROW()))</f>
        <v/>
      </c>
      <c r="F807" s="10">
        <f>IF(INDEX(Banco!$F:$F,ROW())="","",INDEX(Banco!$F:$F,ROW()))</f>
        <v/>
      </c>
      <c r="G807" s="10">
        <f>IF(INDEX(Banco!$G:$G,ROW())="","",INDEX(Banco!$G:$G,ROW()))</f>
        <v/>
      </c>
      <c r="H807" s="8">
        <f>IF(INDEX(Banco!$H:$H,ROW())="","",INDEX(Banco!$H:$H,ROW()))</f>
        <v/>
      </c>
      <c r="I807">
        <f>IF($T807="","",INT($T807/12)&amp;"a "&amp;MOD($T807,12)&amp;"m")</f>
        <v/>
      </c>
      <c r="J807" s="11">
        <f>IF(OR($F807="",$G807=""),"",ROUND($F807/($G807/100)^2,2))</f>
        <v/>
      </c>
      <c r="K807" s="12">
        <f>IF(OR($S807="",$J807="",$T807="",$T807&lt;0,$T807&gt;228,$Y807=""),"—",ROUND(IF(ABS($AB807)&lt;=3,$AB807,IF($AB807&gt;3,3+($J807-$AD807)/($AD807-$AC807),-3+($J807-$AF807)/($AE807-$AF807))),2))</f>
        <v/>
      </c>
      <c r="L807">
        <f>IF(OR($K807="",$K807="—"),"",IF($T807&lt;=60,IF($K807&lt;-3,"Magreza acentuada",IF($K807&lt;-2,"Magreza",IF($K807&lt;=1,"Eutrofia",IF($K807&lt;=2,"Risco de sobrepeso",IF($K807&lt;=3,"Sobrepeso","Obesidade"))))),IF($K807&lt;-3,"Magreza acentuada",IF($K807&lt;-2,"Magreza",IF($K807&lt;=1,"Eutrofia",IF($K807&lt;=2,"Sobrepeso",IF($K807&lt;=3,"Obesidade","Obesidade grave")))))))</f>
        <v/>
      </c>
      <c r="M807" s="12">
        <f>IF(OR($S807="",$V807="",$T807="",$T807&lt;0,$T807&gt;228,$AG807=""),"—",ROUND(IF($AG807=0,LN($V807/$AH807)/$AI807,((($V807/$AH807)^$AG807)-1)/($AG807*$AI807)),2))</f>
        <v/>
      </c>
      <c r="N807">
        <f>IF(OR($M807="",$M807="—"),"",IF($M807&lt;-3,"Muito baixa",IF($M807&lt;-2,"Baixa","Adequada")))</f>
        <v/>
      </c>
      <c r="O807" s="12">
        <f>IF(OR($S807="",$F807="",$T807="",$T807&lt;0,$T807&gt;120,$AJ807=""),"—",ROUND(IF(ABS($AM807)&lt;=3,$AM807,IF($AM807&gt;3,3+($F807-$AO807)/($AO807-$AN807),-3+($F807-$AQ807)/($AP807-$AQ807))),2))</f>
        <v/>
      </c>
      <c r="P807">
        <f>IF(OR($O807="",$O807="—"),"",IF($O807&lt;-3,"Muito baixo",IF($O807&lt;-2,"Baixo",IF($O807&lt;=2,"Adequado","Elevado"))))</f>
        <v/>
      </c>
      <c r="Q807" s="12">
        <f>IF(OR($S807="",$F807="",$T807="",$T807&lt;0,$T807&gt;60,$AR807=""),"—",ROUND(IF(ABS($AU807)&lt;=3,$AU807,IF($AU807&gt;3,3+($F807-$AW807)/($AW807-$AV807),-3+($F807-$AY807)/($AX807-$AY807))),2))</f>
        <v/>
      </c>
      <c r="R807">
        <f>IF(OR($Q807="",$Q807="—"),"",IF($Q807&lt;-3,"Magreza acentuada",IF($Q807&lt;-2,"Magreza",IF($Q807&lt;=1,"Eutrofia",IF($Q807&lt;=2,"Risco de sobrepeso",IF($Q807&lt;=3,"Sobrepeso","Obesidade"))))))</f>
        <v/>
      </c>
      <c r="S807">
        <f>IF($C807="","",IF(UPPER(LEFT($C807,1))="M",1,IF(UPPER(LEFT($C807,1))="F",2,"")))</f>
        <v/>
      </c>
      <c r="T807">
        <f>IF(OR($D807="",$E807=""),"",DATEDIF($D807,$E807,"m"))</f>
        <v/>
      </c>
      <c r="U807">
        <f>IF(OR($D807="",$E807=""),"",$E807-$D807)</f>
        <v/>
      </c>
      <c r="V807">
        <f>IF(OR($G807="",$T807=""),"",IF($T807&lt;24,IF(LEFT(LOWER($H807),4)="em p",$G807+0.7,$G807),IF(LEFT(LOWER($H807),4)="deit",$G807-0.7,$G807)))</f>
        <v/>
      </c>
      <c r="W807">
        <f>IF(OR($S807="",$T807=""),"",$S807*1000000+IF($T807&lt;=60,$U807,$T807))</f>
        <v/>
      </c>
      <c r="X807">
        <f>IF(OR($S807="",$V807="",$T807&gt;60,$T807=""),"",$S807*1000000+ROUND($V807*10,0))</f>
        <v/>
      </c>
      <c r="Y807">
        <f>IF($W807="","",IFERROR(INDEX(IF($T807&lt;=60,imc05_l,imc519_l),MATCH($W807,IF($T807&lt;=60,imc05_k,imc519_k),1)),""))</f>
        <v/>
      </c>
      <c r="Z807">
        <f>IF($W807="","",IFERROR(INDEX(IF($T807&lt;=60,imc05_m,imc519_m),MATCH($W807,IF($T807&lt;=60,imc05_k,imc519_k),1)),""))</f>
        <v/>
      </c>
      <c r="AA807">
        <f>IF($W807="","",IFERROR(INDEX(IF($T807&lt;=60,imc05_s,imc519_s),MATCH($W807,IF($T807&lt;=60,imc05_k,imc519_k),1)),""))</f>
        <v/>
      </c>
      <c r="AB807">
        <f>IF($Y807="","",IF($Y807=0,LN($J807/$Z807)/$AA807,((($J807/$Z807)^$Y807)-1)/($Y807*$AA807)))</f>
        <v/>
      </c>
      <c r="AC807">
        <f>IF($Y807="","",IF($Y807=0,$Z807*EXP($AA807*2),$Z807*(1+$Y807*$AA807*2)^(1/$Y807)))</f>
        <v/>
      </c>
      <c r="AD807">
        <f>IF($Y807="","",IF($Y807=0,$Z807*EXP($AA807*3),$Z807*(1+$Y807*$AA807*3)^(1/$Y807)))</f>
        <v/>
      </c>
      <c r="AE807">
        <f>IF($Y807="","",IF($Y807=0,$Z807*EXP($AA807*-2),$Z807*(1+$Y807*$AA807*-2)^(1/$Y807)))</f>
        <v/>
      </c>
      <c r="AF807">
        <f>IF($Y807="","",IF($Y807=0,$Z807*EXP($AA807*-3),$Z807*(1+$Y807*$AA807*-3)^(1/$Y807)))</f>
        <v/>
      </c>
      <c r="AG807">
        <f>IF($W807="","",IFERROR(INDEX(IF($T807&lt;=60,est05_l,est519_l),MATCH($W807,IF($T807&lt;=60,est05_k,est519_k),1)),""))</f>
        <v/>
      </c>
      <c r="AH807">
        <f>IF($W807="","",IFERROR(INDEX(IF($T807&lt;=60,est05_m,est519_m),MATCH($W807,IF($T807&lt;=60,est05_k,est519_k),1)),""))</f>
        <v/>
      </c>
      <c r="AI807">
        <f>IF($W807="","",IFERROR(INDEX(IF($T807&lt;=60,est05_s,est519_s),MATCH($W807,IF($T807&lt;=60,est05_k,est519_k),1)),""))</f>
        <v/>
      </c>
      <c r="AJ807">
        <f>IF($W807="","",IFERROR(INDEX(IF($T807&lt;=60,peso05_l,peso510_l),MATCH($W807,IF($T807&lt;=60,peso05_k,peso510_k),1)),""))</f>
        <v/>
      </c>
      <c r="AK807">
        <f>IF($W807="","",IFERROR(INDEX(IF($T807&lt;=60,peso05_m,peso510_m),MATCH($W807,IF($T807&lt;=60,peso05_k,peso510_k),1)),""))</f>
        <v/>
      </c>
      <c r="AL807">
        <f>IF($W807="","",IFERROR(INDEX(IF($T807&lt;=60,peso05_s,peso510_s),MATCH($W807,IF($T807&lt;=60,peso05_k,peso510_k),1)),""))</f>
        <v/>
      </c>
      <c r="AM807">
        <f>IF($AJ807="","",IF($AJ807=0,LN($F807/$AK807)/$AL807,((($F807/$AK807)^$AJ807)-1)/($AJ807*$AL807)))</f>
        <v/>
      </c>
      <c r="AN807">
        <f>IF($AJ807="","",IF($AJ807=0,$AK807*EXP($AL807*2),$AK807*(1+$AJ807*$AL807*2)^(1/$AJ807)))</f>
        <v/>
      </c>
      <c r="AO807">
        <f>IF($AJ807="","",IF($AJ807=0,$AK807*EXP($AL807*3),$AK807*(1+$AJ807*$AL807*3)^(1/$AJ807)))</f>
        <v/>
      </c>
      <c r="AP807">
        <f>IF($AJ807="","",IF($AJ807=0,$AK807*EXP($AL807*-2),$AK807*(1+$AJ807*$AL807*-2)^(1/$AJ807)))</f>
        <v/>
      </c>
      <c r="AQ807">
        <f>IF($AJ807="","",IF($AJ807=0,$AK807*EXP($AL807*-3),$AK807*(1+$AJ807*$AL807*-3)^(1/$AJ807)))</f>
        <v/>
      </c>
      <c r="AR807">
        <f>IF(OR($X807="",$T807&gt;60),"",IFERROR(INDEX(IF($T807&lt;24,pcomp_l,palt_l),MATCH($X807,IF($T807&lt;24,pcomp_k,palt_k),1)),""))</f>
        <v/>
      </c>
      <c r="AS807">
        <f>IF(OR($X807="",$T807&gt;60),"",IFERROR(INDEX(IF($T807&lt;24,pcomp_m,palt_m),MATCH($X807,IF($T807&lt;24,pcomp_k,palt_k),1)),""))</f>
        <v/>
      </c>
      <c r="AT807">
        <f>IF(OR($X807="",$T807&gt;60),"",IFERROR(INDEX(IF($T807&lt;24,pcomp_s,palt_s),MATCH($X807,IF($T807&lt;24,pcomp_k,palt_k),1)),""))</f>
        <v/>
      </c>
      <c r="AU807">
        <f>IF($AR807="","",IF($AR807=0,LN($F807/$AS807)/$AT807,((($F807/$AS807)^$AR807)-1)/($AR807*$AT807)))</f>
        <v/>
      </c>
      <c r="AV807">
        <f>IF($AR807="","",IF($AR807=0,$AS807*EXP($AT807*2),$AS807*(1+$AR807*$AT807*2)^(1/$AR807)))</f>
        <v/>
      </c>
      <c r="AW807">
        <f>IF($AR807="","",IF($AR807=0,$AS807*EXP($AT807*3),$AS807*(1+$AR807*$AT807*3)^(1/$AR807)))</f>
        <v/>
      </c>
      <c r="AX807">
        <f>IF($AR807="","",IF($AR807=0,$AS807*EXP($AT807*-2),$AS807*(1+$AR807*$AT807*-2)^(1/$AR807)))</f>
        <v/>
      </c>
      <c r="AY807">
        <f>IF($AR807="","",IF($AR807=0,$AS807*EXP($AT807*-3),$AS807*(1+$AR807*$AT807*-3)^(1/$AR807)))</f>
        <v/>
      </c>
      <c r="AZ807">
        <f>IF(OR($A807="",$A807&lt;&gt;Ficha!$C$4),"",COUNTIF($A$2:$A807,Ficha!$C$4))</f>
        <v/>
      </c>
    </row>
    <row r="808">
      <c r="A808" s="8">
        <f>IF(INDEX(Banco!$A:$A,ROW())="","",INDEX(Banco!$A:$A,ROW()))</f>
        <v/>
      </c>
      <c r="B808" s="8">
        <f>IF(INDEX(Banco!$B:$B,ROW())="","",INDEX(Banco!$B:$B,ROW()))</f>
        <v/>
      </c>
      <c r="C808" s="8">
        <f>IF(INDEX(Banco!$C:$C,ROW())="","",INDEX(Banco!$C:$C,ROW()))</f>
        <v/>
      </c>
      <c r="D808" s="9">
        <f>IF(INDEX(Banco!$D:$D,ROW())="","",INDEX(Banco!$D:$D,ROW()))</f>
        <v/>
      </c>
      <c r="E808" s="9">
        <f>IF(INDEX(Banco!$E:$E,ROW())="","",INDEX(Banco!$E:$E,ROW()))</f>
        <v/>
      </c>
      <c r="F808" s="10">
        <f>IF(INDEX(Banco!$F:$F,ROW())="","",INDEX(Banco!$F:$F,ROW()))</f>
        <v/>
      </c>
      <c r="G808" s="10">
        <f>IF(INDEX(Banco!$G:$G,ROW())="","",INDEX(Banco!$G:$G,ROW()))</f>
        <v/>
      </c>
      <c r="H808" s="8">
        <f>IF(INDEX(Banco!$H:$H,ROW())="","",INDEX(Banco!$H:$H,ROW()))</f>
        <v/>
      </c>
      <c r="I808">
        <f>IF($T808="","",INT($T808/12)&amp;"a "&amp;MOD($T808,12)&amp;"m")</f>
        <v/>
      </c>
      <c r="J808" s="11">
        <f>IF(OR($F808="",$G808=""),"",ROUND($F808/($G808/100)^2,2))</f>
        <v/>
      </c>
      <c r="K808" s="12">
        <f>IF(OR($S808="",$J808="",$T808="",$T808&lt;0,$T808&gt;228,$Y808=""),"—",ROUND(IF(ABS($AB808)&lt;=3,$AB808,IF($AB808&gt;3,3+($J808-$AD808)/($AD808-$AC808),-3+($J808-$AF808)/($AE808-$AF808))),2))</f>
        <v/>
      </c>
      <c r="L808">
        <f>IF(OR($K808="",$K808="—"),"",IF($T808&lt;=60,IF($K808&lt;-3,"Magreza acentuada",IF($K808&lt;-2,"Magreza",IF($K808&lt;=1,"Eutrofia",IF($K808&lt;=2,"Risco de sobrepeso",IF($K808&lt;=3,"Sobrepeso","Obesidade"))))),IF($K808&lt;-3,"Magreza acentuada",IF($K808&lt;-2,"Magreza",IF($K808&lt;=1,"Eutrofia",IF($K808&lt;=2,"Sobrepeso",IF($K808&lt;=3,"Obesidade","Obesidade grave")))))))</f>
        <v/>
      </c>
      <c r="M808" s="12">
        <f>IF(OR($S808="",$V808="",$T808="",$T808&lt;0,$T808&gt;228,$AG808=""),"—",ROUND(IF($AG808=0,LN($V808/$AH808)/$AI808,((($V808/$AH808)^$AG808)-1)/($AG808*$AI808)),2))</f>
        <v/>
      </c>
      <c r="N808">
        <f>IF(OR($M808="",$M808="—"),"",IF($M808&lt;-3,"Muito baixa",IF($M808&lt;-2,"Baixa","Adequada")))</f>
        <v/>
      </c>
      <c r="O808" s="12">
        <f>IF(OR($S808="",$F808="",$T808="",$T808&lt;0,$T808&gt;120,$AJ808=""),"—",ROUND(IF(ABS($AM808)&lt;=3,$AM808,IF($AM808&gt;3,3+($F808-$AO808)/($AO808-$AN808),-3+($F808-$AQ808)/($AP808-$AQ808))),2))</f>
        <v/>
      </c>
      <c r="P808">
        <f>IF(OR($O808="",$O808="—"),"",IF($O808&lt;-3,"Muito baixo",IF($O808&lt;-2,"Baixo",IF($O808&lt;=2,"Adequado","Elevado"))))</f>
        <v/>
      </c>
      <c r="Q808" s="12">
        <f>IF(OR($S808="",$F808="",$T808="",$T808&lt;0,$T808&gt;60,$AR808=""),"—",ROUND(IF(ABS($AU808)&lt;=3,$AU808,IF($AU808&gt;3,3+($F808-$AW808)/($AW808-$AV808),-3+($F808-$AY808)/($AX808-$AY808))),2))</f>
        <v/>
      </c>
      <c r="R808">
        <f>IF(OR($Q808="",$Q808="—"),"",IF($Q808&lt;-3,"Magreza acentuada",IF($Q808&lt;-2,"Magreza",IF($Q808&lt;=1,"Eutrofia",IF($Q808&lt;=2,"Risco de sobrepeso",IF($Q808&lt;=3,"Sobrepeso","Obesidade"))))))</f>
        <v/>
      </c>
      <c r="S808">
        <f>IF($C808="","",IF(UPPER(LEFT($C808,1))="M",1,IF(UPPER(LEFT($C808,1))="F",2,"")))</f>
        <v/>
      </c>
      <c r="T808">
        <f>IF(OR($D808="",$E808=""),"",DATEDIF($D808,$E808,"m"))</f>
        <v/>
      </c>
      <c r="U808">
        <f>IF(OR($D808="",$E808=""),"",$E808-$D808)</f>
        <v/>
      </c>
      <c r="V808">
        <f>IF(OR($G808="",$T808=""),"",IF($T808&lt;24,IF(LEFT(LOWER($H808),4)="em p",$G808+0.7,$G808),IF(LEFT(LOWER($H808),4)="deit",$G808-0.7,$G808)))</f>
        <v/>
      </c>
      <c r="W808">
        <f>IF(OR($S808="",$T808=""),"",$S808*1000000+IF($T808&lt;=60,$U808,$T808))</f>
        <v/>
      </c>
      <c r="X808">
        <f>IF(OR($S808="",$V808="",$T808&gt;60,$T808=""),"",$S808*1000000+ROUND($V808*10,0))</f>
        <v/>
      </c>
      <c r="Y808">
        <f>IF($W808="","",IFERROR(INDEX(IF($T808&lt;=60,imc05_l,imc519_l),MATCH($W808,IF($T808&lt;=60,imc05_k,imc519_k),1)),""))</f>
        <v/>
      </c>
      <c r="Z808">
        <f>IF($W808="","",IFERROR(INDEX(IF($T808&lt;=60,imc05_m,imc519_m),MATCH($W808,IF($T808&lt;=60,imc05_k,imc519_k),1)),""))</f>
        <v/>
      </c>
      <c r="AA808">
        <f>IF($W808="","",IFERROR(INDEX(IF($T808&lt;=60,imc05_s,imc519_s),MATCH($W808,IF($T808&lt;=60,imc05_k,imc519_k),1)),""))</f>
        <v/>
      </c>
      <c r="AB808">
        <f>IF($Y808="","",IF($Y808=0,LN($J808/$Z808)/$AA808,((($J808/$Z808)^$Y808)-1)/($Y808*$AA808)))</f>
        <v/>
      </c>
      <c r="AC808">
        <f>IF($Y808="","",IF($Y808=0,$Z808*EXP($AA808*2),$Z808*(1+$Y808*$AA808*2)^(1/$Y808)))</f>
        <v/>
      </c>
      <c r="AD808">
        <f>IF($Y808="","",IF($Y808=0,$Z808*EXP($AA808*3),$Z808*(1+$Y808*$AA808*3)^(1/$Y808)))</f>
        <v/>
      </c>
      <c r="AE808">
        <f>IF($Y808="","",IF($Y808=0,$Z808*EXP($AA808*-2),$Z808*(1+$Y808*$AA808*-2)^(1/$Y808)))</f>
        <v/>
      </c>
      <c r="AF808">
        <f>IF($Y808="","",IF($Y808=0,$Z808*EXP($AA808*-3),$Z808*(1+$Y808*$AA808*-3)^(1/$Y808)))</f>
        <v/>
      </c>
      <c r="AG808">
        <f>IF($W808="","",IFERROR(INDEX(IF($T808&lt;=60,est05_l,est519_l),MATCH($W808,IF($T808&lt;=60,est05_k,est519_k),1)),""))</f>
        <v/>
      </c>
      <c r="AH808">
        <f>IF($W808="","",IFERROR(INDEX(IF($T808&lt;=60,est05_m,est519_m),MATCH($W808,IF($T808&lt;=60,est05_k,est519_k),1)),""))</f>
        <v/>
      </c>
      <c r="AI808">
        <f>IF($W808="","",IFERROR(INDEX(IF($T808&lt;=60,est05_s,est519_s),MATCH($W808,IF($T808&lt;=60,est05_k,est519_k),1)),""))</f>
        <v/>
      </c>
      <c r="AJ808">
        <f>IF($W808="","",IFERROR(INDEX(IF($T808&lt;=60,peso05_l,peso510_l),MATCH($W808,IF($T808&lt;=60,peso05_k,peso510_k),1)),""))</f>
        <v/>
      </c>
      <c r="AK808">
        <f>IF($W808="","",IFERROR(INDEX(IF($T808&lt;=60,peso05_m,peso510_m),MATCH($W808,IF($T808&lt;=60,peso05_k,peso510_k),1)),""))</f>
        <v/>
      </c>
      <c r="AL808">
        <f>IF($W808="","",IFERROR(INDEX(IF($T808&lt;=60,peso05_s,peso510_s),MATCH($W808,IF($T808&lt;=60,peso05_k,peso510_k),1)),""))</f>
        <v/>
      </c>
      <c r="AM808">
        <f>IF($AJ808="","",IF($AJ808=0,LN($F808/$AK808)/$AL808,((($F808/$AK808)^$AJ808)-1)/($AJ808*$AL808)))</f>
        <v/>
      </c>
      <c r="AN808">
        <f>IF($AJ808="","",IF($AJ808=0,$AK808*EXP($AL808*2),$AK808*(1+$AJ808*$AL808*2)^(1/$AJ808)))</f>
        <v/>
      </c>
      <c r="AO808">
        <f>IF($AJ808="","",IF($AJ808=0,$AK808*EXP($AL808*3),$AK808*(1+$AJ808*$AL808*3)^(1/$AJ808)))</f>
        <v/>
      </c>
      <c r="AP808">
        <f>IF($AJ808="","",IF($AJ808=0,$AK808*EXP($AL808*-2),$AK808*(1+$AJ808*$AL808*-2)^(1/$AJ808)))</f>
        <v/>
      </c>
      <c r="AQ808">
        <f>IF($AJ808="","",IF($AJ808=0,$AK808*EXP($AL808*-3),$AK808*(1+$AJ808*$AL808*-3)^(1/$AJ808)))</f>
        <v/>
      </c>
      <c r="AR808">
        <f>IF(OR($X808="",$T808&gt;60),"",IFERROR(INDEX(IF($T808&lt;24,pcomp_l,palt_l),MATCH($X808,IF($T808&lt;24,pcomp_k,palt_k),1)),""))</f>
        <v/>
      </c>
      <c r="AS808">
        <f>IF(OR($X808="",$T808&gt;60),"",IFERROR(INDEX(IF($T808&lt;24,pcomp_m,palt_m),MATCH($X808,IF($T808&lt;24,pcomp_k,palt_k),1)),""))</f>
        <v/>
      </c>
      <c r="AT808">
        <f>IF(OR($X808="",$T808&gt;60),"",IFERROR(INDEX(IF($T808&lt;24,pcomp_s,palt_s),MATCH($X808,IF($T808&lt;24,pcomp_k,palt_k),1)),""))</f>
        <v/>
      </c>
      <c r="AU808">
        <f>IF($AR808="","",IF($AR808=0,LN($F808/$AS808)/$AT808,((($F808/$AS808)^$AR808)-1)/($AR808*$AT808)))</f>
        <v/>
      </c>
      <c r="AV808">
        <f>IF($AR808="","",IF($AR808=0,$AS808*EXP($AT808*2),$AS808*(1+$AR808*$AT808*2)^(1/$AR808)))</f>
        <v/>
      </c>
      <c r="AW808">
        <f>IF($AR808="","",IF($AR808=0,$AS808*EXP($AT808*3),$AS808*(1+$AR808*$AT808*3)^(1/$AR808)))</f>
        <v/>
      </c>
      <c r="AX808">
        <f>IF($AR808="","",IF($AR808=0,$AS808*EXP($AT808*-2),$AS808*(1+$AR808*$AT808*-2)^(1/$AR808)))</f>
        <v/>
      </c>
      <c r="AY808">
        <f>IF($AR808="","",IF($AR808=0,$AS808*EXP($AT808*-3),$AS808*(1+$AR808*$AT808*-3)^(1/$AR808)))</f>
        <v/>
      </c>
      <c r="AZ808">
        <f>IF(OR($A808="",$A808&lt;&gt;Ficha!$C$4),"",COUNTIF($A$2:$A808,Ficha!$C$4))</f>
        <v/>
      </c>
    </row>
    <row r="809">
      <c r="A809" s="8">
        <f>IF(INDEX(Banco!$A:$A,ROW())="","",INDEX(Banco!$A:$A,ROW()))</f>
        <v/>
      </c>
      <c r="B809" s="8">
        <f>IF(INDEX(Banco!$B:$B,ROW())="","",INDEX(Banco!$B:$B,ROW()))</f>
        <v/>
      </c>
      <c r="C809" s="8">
        <f>IF(INDEX(Banco!$C:$C,ROW())="","",INDEX(Banco!$C:$C,ROW()))</f>
        <v/>
      </c>
      <c r="D809" s="9">
        <f>IF(INDEX(Banco!$D:$D,ROW())="","",INDEX(Banco!$D:$D,ROW()))</f>
        <v/>
      </c>
      <c r="E809" s="9">
        <f>IF(INDEX(Banco!$E:$E,ROW())="","",INDEX(Banco!$E:$E,ROW()))</f>
        <v/>
      </c>
      <c r="F809" s="10">
        <f>IF(INDEX(Banco!$F:$F,ROW())="","",INDEX(Banco!$F:$F,ROW()))</f>
        <v/>
      </c>
      <c r="G809" s="10">
        <f>IF(INDEX(Banco!$G:$G,ROW())="","",INDEX(Banco!$G:$G,ROW()))</f>
        <v/>
      </c>
      <c r="H809" s="8">
        <f>IF(INDEX(Banco!$H:$H,ROW())="","",INDEX(Banco!$H:$H,ROW()))</f>
        <v/>
      </c>
      <c r="I809">
        <f>IF($T809="","",INT($T809/12)&amp;"a "&amp;MOD($T809,12)&amp;"m")</f>
        <v/>
      </c>
      <c r="J809" s="11">
        <f>IF(OR($F809="",$G809=""),"",ROUND($F809/($G809/100)^2,2))</f>
        <v/>
      </c>
      <c r="K809" s="12">
        <f>IF(OR($S809="",$J809="",$T809="",$T809&lt;0,$T809&gt;228,$Y809=""),"—",ROUND(IF(ABS($AB809)&lt;=3,$AB809,IF($AB809&gt;3,3+($J809-$AD809)/($AD809-$AC809),-3+($J809-$AF809)/($AE809-$AF809))),2))</f>
        <v/>
      </c>
      <c r="L809">
        <f>IF(OR($K809="",$K809="—"),"",IF($T809&lt;=60,IF($K809&lt;-3,"Magreza acentuada",IF($K809&lt;-2,"Magreza",IF($K809&lt;=1,"Eutrofia",IF($K809&lt;=2,"Risco de sobrepeso",IF($K809&lt;=3,"Sobrepeso","Obesidade"))))),IF($K809&lt;-3,"Magreza acentuada",IF($K809&lt;-2,"Magreza",IF($K809&lt;=1,"Eutrofia",IF($K809&lt;=2,"Sobrepeso",IF($K809&lt;=3,"Obesidade","Obesidade grave")))))))</f>
        <v/>
      </c>
      <c r="M809" s="12">
        <f>IF(OR($S809="",$V809="",$T809="",$T809&lt;0,$T809&gt;228,$AG809=""),"—",ROUND(IF($AG809=0,LN($V809/$AH809)/$AI809,((($V809/$AH809)^$AG809)-1)/($AG809*$AI809)),2))</f>
        <v/>
      </c>
      <c r="N809">
        <f>IF(OR($M809="",$M809="—"),"",IF($M809&lt;-3,"Muito baixa",IF($M809&lt;-2,"Baixa","Adequada")))</f>
        <v/>
      </c>
      <c r="O809" s="12">
        <f>IF(OR($S809="",$F809="",$T809="",$T809&lt;0,$T809&gt;120,$AJ809=""),"—",ROUND(IF(ABS($AM809)&lt;=3,$AM809,IF($AM809&gt;3,3+($F809-$AO809)/($AO809-$AN809),-3+($F809-$AQ809)/($AP809-$AQ809))),2))</f>
        <v/>
      </c>
      <c r="P809">
        <f>IF(OR($O809="",$O809="—"),"",IF($O809&lt;-3,"Muito baixo",IF($O809&lt;-2,"Baixo",IF($O809&lt;=2,"Adequado","Elevado"))))</f>
        <v/>
      </c>
      <c r="Q809" s="12">
        <f>IF(OR($S809="",$F809="",$T809="",$T809&lt;0,$T809&gt;60,$AR809=""),"—",ROUND(IF(ABS($AU809)&lt;=3,$AU809,IF($AU809&gt;3,3+($F809-$AW809)/($AW809-$AV809),-3+($F809-$AY809)/($AX809-$AY809))),2))</f>
        <v/>
      </c>
      <c r="R809">
        <f>IF(OR($Q809="",$Q809="—"),"",IF($Q809&lt;-3,"Magreza acentuada",IF($Q809&lt;-2,"Magreza",IF($Q809&lt;=1,"Eutrofia",IF($Q809&lt;=2,"Risco de sobrepeso",IF($Q809&lt;=3,"Sobrepeso","Obesidade"))))))</f>
        <v/>
      </c>
      <c r="S809">
        <f>IF($C809="","",IF(UPPER(LEFT($C809,1))="M",1,IF(UPPER(LEFT($C809,1))="F",2,"")))</f>
        <v/>
      </c>
      <c r="T809">
        <f>IF(OR($D809="",$E809=""),"",DATEDIF($D809,$E809,"m"))</f>
        <v/>
      </c>
      <c r="U809">
        <f>IF(OR($D809="",$E809=""),"",$E809-$D809)</f>
        <v/>
      </c>
      <c r="V809">
        <f>IF(OR($G809="",$T809=""),"",IF($T809&lt;24,IF(LEFT(LOWER($H809),4)="em p",$G809+0.7,$G809),IF(LEFT(LOWER($H809),4)="deit",$G809-0.7,$G809)))</f>
        <v/>
      </c>
      <c r="W809">
        <f>IF(OR($S809="",$T809=""),"",$S809*1000000+IF($T809&lt;=60,$U809,$T809))</f>
        <v/>
      </c>
      <c r="X809">
        <f>IF(OR($S809="",$V809="",$T809&gt;60,$T809=""),"",$S809*1000000+ROUND($V809*10,0))</f>
        <v/>
      </c>
      <c r="Y809">
        <f>IF($W809="","",IFERROR(INDEX(IF($T809&lt;=60,imc05_l,imc519_l),MATCH($W809,IF($T809&lt;=60,imc05_k,imc519_k),1)),""))</f>
        <v/>
      </c>
      <c r="Z809">
        <f>IF($W809="","",IFERROR(INDEX(IF($T809&lt;=60,imc05_m,imc519_m),MATCH($W809,IF($T809&lt;=60,imc05_k,imc519_k),1)),""))</f>
        <v/>
      </c>
      <c r="AA809">
        <f>IF($W809="","",IFERROR(INDEX(IF($T809&lt;=60,imc05_s,imc519_s),MATCH($W809,IF($T809&lt;=60,imc05_k,imc519_k),1)),""))</f>
        <v/>
      </c>
      <c r="AB809">
        <f>IF($Y809="","",IF($Y809=0,LN($J809/$Z809)/$AA809,((($J809/$Z809)^$Y809)-1)/($Y809*$AA809)))</f>
        <v/>
      </c>
      <c r="AC809">
        <f>IF($Y809="","",IF($Y809=0,$Z809*EXP($AA809*2),$Z809*(1+$Y809*$AA809*2)^(1/$Y809)))</f>
        <v/>
      </c>
      <c r="AD809">
        <f>IF($Y809="","",IF($Y809=0,$Z809*EXP($AA809*3),$Z809*(1+$Y809*$AA809*3)^(1/$Y809)))</f>
        <v/>
      </c>
      <c r="AE809">
        <f>IF($Y809="","",IF($Y809=0,$Z809*EXP($AA809*-2),$Z809*(1+$Y809*$AA809*-2)^(1/$Y809)))</f>
        <v/>
      </c>
      <c r="AF809">
        <f>IF($Y809="","",IF($Y809=0,$Z809*EXP($AA809*-3),$Z809*(1+$Y809*$AA809*-3)^(1/$Y809)))</f>
        <v/>
      </c>
      <c r="AG809">
        <f>IF($W809="","",IFERROR(INDEX(IF($T809&lt;=60,est05_l,est519_l),MATCH($W809,IF($T809&lt;=60,est05_k,est519_k),1)),""))</f>
        <v/>
      </c>
      <c r="AH809">
        <f>IF($W809="","",IFERROR(INDEX(IF($T809&lt;=60,est05_m,est519_m),MATCH($W809,IF($T809&lt;=60,est05_k,est519_k),1)),""))</f>
        <v/>
      </c>
      <c r="AI809">
        <f>IF($W809="","",IFERROR(INDEX(IF($T809&lt;=60,est05_s,est519_s),MATCH($W809,IF($T809&lt;=60,est05_k,est519_k),1)),""))</f>
        <v/>
      </c>
      <c r="AJ809">
        <f>IF($W809="","",IFERROR(INDEX(IF($T809&lt;=60,peso05_l,peso510_l),MATCH($W809,IF($T809&lt;=60,peso05_k,peso510_k),1)),""))</f>
        <v/>
      </c>
      <c r="AK809">
        <f>IF($W809="","",IFERROR(INDEX(IF($T809&lt;=60,peso05_m,peso510_m),MATCH($W809,IF($T809&lt;=60,peso05_k,peso510_k),1)),""))</f>
        <v/>
      </c>
      <c r="AL809">
        <f>IF($W809="","",IFERROR(INDEX(IF($T809&lt;=60,peso05_s,peso510_s),MATCH($W809,IF($T809&lt;=60,peso05_k,peso510_k),1)),""))</f>
        <v/>
      </c>
      <c r="AM809">
        <f>IF($AJ809="","",IF($AJ809=0,LN($F809/$AK809)/$AL809,((($F809/$AK809)^$AJ809)-1)/($AJ809*$AL809)))</f>
        <v/>
      </c>
      <c r="AN809">
        <f>IF($AJ809="","",IF($AJ809=0,$AK809*EXP($AL809*2),$AK809*(1+$AJ809*$AL809*2)^(1/$AJ809)))</f>
        <v/>
      </c>
      <c r="AO809">
        <f>IF($AJ809="","",IF($AJ809=0,$AK809*EXP($AL809*3),$AK809*(1+$AJ809*$AL809*3)^(1/$AJ809)))</f>
        <v/>
      </c>
      <c r="AP809">
        <f>IF($AJ809="","",IF($AJ809=0,$AK809*EXP($AL809*-2),$AK809*(1+$AJ809*$AL809*-2)^(1/$AJ809)))</f>
        <v/>
      </c>
      <c r="AQ809">
        <f>IF($AJ809="","",IF($AJ809=0,$AK809*EXP($AL809*-3),$AK809*(1+$AJ809*$AL809*-3)^(1/$AJ809)))</f>
        <v/>
      </c>
      <c r="AR809">
        <f>IF(OR($X809="",$T809&gt;60),"",IFERROR(INDEX(IF($T809&lt;24,pcomp_l,palt_l),MATCH($X809,IF($T809&lt;24,pcomp_k,palt_k),1)),""))</f>
        <v/>
      </c>
      <c r="AS809">
        <f>IF(OR($X809="",$T809&gt;60),"",IFERROR(INDEX(IF($T809&lt;24,pcomp_m,palt_m),MATCH($X809,IF($T809&lt;24,pcomp_k,palt_k),1)),""))</f>
        <v/>
      </c>
      <c r="AT809">
        <f>IF(OR($X809="",$T809&gt;60),"",IFERROR(INDEX(IF($T809&lt;24,pcomp_s,palt_s),MATCH($X809,IF($T809&lt;24,pcomp_k,palt_k),1)),""))</f>
        <v/>
      </c>
      <c r="AU809">
        <f>IF($AR809="","",IF($AR809=0,LN($F809/$AS809)/$AT809,((($F809/$AS809)^$AR809)-1)/($AR809*$AT809)))</f>
        <v/>
      </c>
      <c r="AV809">
        <f>IF($AR809="","",IF($AR809=0,$AS809*EXP($AT809*2),$AS809*(1+$AR809*$AT809*2)^(1/$AR809)))</f>
        <v/>
      </c>
      <c r="AW809">
        <f>IF($AR809="","",IF($AR809=0,$AS809*EXP($AT809*3),$AS809*(1+$AR809*$AT809*3)^(1/$AR809)))</f>
        <v/>
      </c>
      <c r="AX809">
        <f>IF($AR809="","",IF($AR809=0,$AS809*EXP($AT809*-2),$AS809*(1+$AR809*$AT809*-2)^(1/$AR809)))</f>
        <v/>
      </c>
      <c r="AY809">
        <f>IF($AR809="","",IF($AR809=0,$AS809*EXP($AT809*-3),$AS809*(1+$AR809*$AT809*-3)^(1/$AR809)))</f>
        <v/>
      </c>
      <c r="AZ809">
        <f>IF(OR($A809="",$A809&lt;&gt;Ficha!$C$4),"",COUNTIF($A$2:$A809,Ficha!$C$4))</f>
        <v/>
      </c>
    </row>
    <row r="810">
      <c r="A810" s="8">
        <f>IF(INDEX(Banco!$A:$A,ROW())="","",INDEX(Banco!$A:$A,ROW()))</f>
        <v/>
      </c>
      <c r="B810" s="8">
        <f>IF(INDEX(Banco!$B:$B,ROW())="","",INDEX(Banco!$B:$B,ROW()))</f>
        <v/>
      </c>
      <c r="C810" s="8">
        <f>IF(INDEX(Banco!$C:$C,ROW())="","",INDEX(Banco!$C:$C,ROW()))</f>
        <v/>
      </c>
      <c r="D810" s="9">
        <f>IF(INDEX(Banco!$D:$D,ROW())="","",INDEX(Banco!$D:$D,ROW()))</f>
        <v/>
      </c>
      <c r="E810" s="9">
        <f>IF(INDEX(Banco!$E:$E,ROW())="","",INDEX(Banco!$E:$E,ROW()))</f>
        <v/>
      </c>
      <c r="F810" s="10">
        <f>IF(INDEX(Banco!$F:$F,ROW())="","",INDEX(Banco!$F:$F,ROW()))</f>
        <v/>
      </c>
      <c r="G810" s="10">
        <f>IF(INDEX(Banco!$G:$G,ROW())="","",INDEX(Banco!$G:$G,ROW()))</f>
        <v/>
      </c>
      <c r="H810" s="8">
        <f>IF(INDEX(Banco!$H:$H,ROW())="","",INDEX(Banco!$H:$H,ROW()))</f>
        <v/>
      </c>
      <c r="I810">
        <f>IF($T810="","",INT($T810/12)&amp;"a "&amp;MOD($T810,12)&amp;"m")</f>
        <v/>
      </c>
      <c r="J810" s="11">
        <f>IF(OR($F810="",$G810=""),"",ROUND($F810/($G810/100)^2,2))</f>
        <v/>
      </c>
      <c r="K810" s="12">
        <f>IF(OR($S810="",$J810="",$T810="",$T810&lt;0,$T810&gt;228,$Y810=""),"—",ROUND(IF(ABS($AB810)&lt;=3,$AB810,IF($AB810&gt;3,3+($J810-$AD810)/($AD810-$AC810),-3+($J810-$AF810)/($AE810-$AF810))),2))</f>
        <v/>
      </c>
      <c r="L810">
        <f>IF(OR($K810="",$K810="—"),"",IF($T810&lt;=60,IF($K810&lt;-3,"Magreza acentuada",IF($K810&lt;-2,"Magreza",IF($K810&lt;=1,"Eutrofia",IF($K810&lt;=2,"Risco de sobrepeso",IF($K810&lt;=3,"Sobrepeso","Obesidade"))))),IF($K810&lt;-3,"Magreza acentuada",IF($K810&lt;-2,"Magreza",IF($K810&lt;=1,"Eutrofia",IF($K810&lt;=2,"Sobrepeso",IF($K810&lt;=3,"Obesidade","Obesidade grave")))))))</f>
        <v/>
      </c>
      <c r="M810" s="12">
        <f>IF(OR($S810="",$V810="",$T810="",$T810&lt;0,$T810&gt;228,$AG810=""),"—",ROUND(IF($AG810=0,LN($V810/$AH810)/$AI810,((($V810/$AH810)^$AG810)-1)/($AG810*$AI810)),2))</f>
        <v/>
      </c>
      <c r="N810">
        <f>IF(OR($M810="",$M810="—"),"",IF($M810&lt;-3,"Muito baixa",IF($M810&lt;-2,"Baixa","Adequada")))</f>
        <v/>
      </c>
      <c r="O810" s="12">
        <f>IF(OR($S810="",$F810="",$T810="",$T810&lt;0,$T810&gt;120,$AJ810=""),"—",ROUND(IF(ABS($AM810)&lt;=3,$AM810,IF($AM810&gt;3,3+($F810-$AO810)/($AO810-$AN810),-3+($F810-$AQ810)/($AP810-$AQ810))),2))</f>
        <v/>
      </c>
      <c r="P810">
        <f>IF(OR($O810="",$O810="—"),"",IF($O810&lt;-3,"Muito baixo",IF($O810&lt;-2,"Baixo",IF($O810&lt;=2,"Adequado","Elevado"))))</f>
        <v/>
      </c>
      <c r="Q810" s="12">
        <f>IF(OR($S810="",$F810="",$T810="",$T810&lt;0,$T810&gt;60,$AR810=""),"—",ROUND(IF(ABS($AU810)&lt;=3,$AU810,IF($AU810&gt;3,3+($F810-$AW810)/($AW810-$AV810),-3+($F810-$AY810)/($AX810-$AY810))),2))</f>
        <v/>
      </c>
      <c r="R810">
        <f>IF(OR($Q810="",$Q810="—"),"",IF($Q810&lt;-3,"Magreza acentuada",IF($Q810&lt;-2,"Magreza",IF($Q810&lt;=1,"Eutrofia",IF($Q810&lt;=2,"Risco de sobrepeso",IF($Q810&lt;=3,"Sobrepeso","Obesidade"))))))</f>
        <v/>
      </c>
      <c r="S810">
        <f>IF($C810="","",IF(UPPER(LEFT($C810,1))="M",1,IF(UPPER(LEFT($C810,1))="F",2,"")))</f>
        <v/>
      </c>
      <c r="T810">
        <f>IF(OR($D810="",$E810=""),"",DATEDIF($D810,$E810,"m"))</f>
        <v/>
      </c>
      <c r="U810">
        <f>IF(OR($D810="",$E810=""),"",$E810-$D810)</f>
        <v/>
      </c>
      <c r="V810">
        <f>IF(OR($G810="",$T810=""),"",IF($T810&lt;24,IF(LEFT(LOWER($H810),4)="em p",$G810+0.7,$G810),IF(LEFT(LOWER($H810),4)="deit",$G810-0.7,$G810)))</f>
        <v/>
      </c>
      <c r="W810">
        <f>IF(OR($S810="",$T810=""),"",$S810*1000000+IF($T810&lt;=60,$U810,$T810))</f>
        <v/>
      </c>
      <c r="X810">
        <f>IF(OR($S810="",$V810="",$T810&gt;60,$T810=""),"",$S810*1000000+ROUND($V810*10,0))</f>
        <v/>
      </c>
      <c r="Y810">
        <f>IF($W810="","",IFERROR(INDEX(IF($T810&lt;=60,imc05_l,imc519_l),MATCH($W810,IF($T810&lt;=60,imc05_k,imc519_k),1)),""))</f>
        <v/>
      </c>
      <c r="Z810">
        <f>IF($W810="","",IFERROR(INDEX(IF($T810&lt;=60,imc05_m,imc519_m),MATCH($W810,IF($T810&lt;=60,imc05_k,imc519_k),1)),""))</f>
        <v/>
      </c>
      <c r="AA810">
        <f>IF($W810="","",IFERROR(INDEX(IF($T810&lt;=60,imc05_s,imc519_s),MATCH($W810,IF($T810&lt;=60,imc05_k,imc519_k),1)),""))</f>
        <v/>
      </c>
      <c r="AB810">
        <f>IF($Y810="","",IF($Y810=0,LN($J810/$Z810)/$AA810,((($J810/$Z810)^$Y810)-1)/($Y810*$AA810)))</f>
        <v/>
      </c>
      <c r="AC810">
        <f>IF($Y810="","",IF($Y810=0,$Z810*EXP($AA810*2),$Z810*(1+$Y810*$AA810*2)^(1/$Y810)))</f>
        <v/>
      </c>
      <c r="AD810">
        <f>IF($Y810="","",IF($Y810=0,$Z810*EXP($AA810*3),$Z810*(1+$Y810*$AA810*3)^(1/$Y810)))</f>
        <v/>
      </c>
      <c r="AE810">
        <f>IF($Y810="","",IF($Y810=0,$Z810*EXP($AA810*-2),$Z810*(1+$Y810*$AA810*-2)^(1/$Y810)))</f>
        <v/>
      </c>
      <c r="AF810">
        <f>IF($Y810="","",IF($Y810=0,$Z810*EXP($AA810*-3),$Z810*(1+$Y810*$AA810*-3)^(1/$Y810)))</f>
        <v/>
      </c>
      <c r="AG810">
        <f>IF($W810="","",IFERROR(INDEX(IF($T810&lt;=60,est05_l,est519_l),MATCH($W810,IF($T810&lt;=60,est05_k,est519_k),1)),""))</f>
        <v/>
      </c>
      <c r="AH810">
        <f>IF($W810="","",IFERROR(INDEX(IF($T810&lt;=60,est05_m,est519_m),MATCH($W810,IF($T810&lt;=60,est05_k,est519_k),1)),""))</f>
        <v/>
      </c>
      <c r="AI810">
        <f>IF($W810="","",IFERROR(INDEX(IF($T810&lt;=60,est05_s,est519_s),MATCH($W810,IF($T810&lt;=60,est05_k,est519_k),1)),""))</f>
        <v/>
      </c>
      <c r="AJ810">
        <f>IF($W810="","",IFERROR(INDEX(IF($T810&lt;=60,peso05_l,peso510_l),MATCH($W810,IF($T810&lt;=60,peso05_k,peso510_k),1)),""))</f>
        <v/>
      </c>
      <c r="AK810">
        <f>IF($W810="","",IFERROR(INDEX(IF($T810&lt;=60,peso05_m,peso510_m),MATCH($W810,IF($T810&lt;=60,peso05_k,peso510_k),1)),""))</f>
        <v/>
      </c>
      <c r="AL810">
        <f>IF($W810="","",IFERROR(INDEX(IF($T810&lt;=60,peso05_s,peso510_s),MATCH($W810,IF($T810&lt;=60,peso05_k,peso510_k),1)),""))</f>
        <v/>
      </c>
      <c r="AM810">
        <f>IF($AJ810="","",IF($AJ810=0,LN($F810/$AK810)/$AL810,((($F810/$AK810)^$AJ810)-1)/($AJ810*$AL810)))</f>
        <v/>
      </c>
      <c r="AN810">
        <f>IF($AJ810="","",IF($AJ810=0,$AK810*EXP($AL810*2),$AK810*(1+$AJ810*$AL810*2)^(1/$AJ810)))</f>
        <v/>
      </c>
      <c r="AO810">
        <f>IF($AJ810="","",IF($AJ810=0,$AK810*EXP($AL810*3),$AK810*(1+$AJ810*$AL810*3)^(1/$AJ810)))</f>
        <v/>
      </c>
      <c r="AP810">
        <f>IF($AJ810="","",IF($AJ810=0,$AK810*EXP($AL810*-2),$AK810*(1+$AJ810*$AL810*-2)^(1/$AJ810)))</f>
        <v/>
      </c>
      <c r="AQ810">
        <f>IF($AJ810="","",IF($AJ810=0,$AK810*EXP($AL810*-3),$AK810*(1+$AJ810*$AL810*-3)^(1/$AJ810)))</f>
        <v/>
      </c>
      <c r="AR810">
        <f>IF(OR($X810="",$T810&gt;60),"",IFERROR(INDEX(IF($T810&lt;24,pcomp_l,palt_l),MATCH($X810,IF($T810&lt;24,pcomp_k,palt_k),1)),""))</f>
        <v/>
      </c>
      <c r="AS810">
        <f>IF(OR($X810="",$T810&gt;60),"",IFERROR(INDEX(IF($T810&lt;24,pcomp_m,palt_m),MATCH($X810,IF($T810&lt;24,pcomp_k,palt_k),1)),""))</f>
        <v/>
      </c>
      <c r="AT810">
        <f>IF(OR($X810="",$T810&gt;60),"",IFERROR(INDEX(IF($T810&lt;24,pcomp_s,palt_s),MATCH($X810,IF($T810&lt;24,pcomp_k,palt_k),1)),""))</f>
        <v/>
      </c>
      <c r="AU810">
        <f>IF($AR810="","",IF($AR810=0,LN($F810/$AS810)/$AT810,((($F810/$AS810)^$AR810)-1)/($AR810*$AT810)))</f>
        <v/>
      </c>
      <c r="AV810">
        <f>IF($AR810="","",IF($AR810=0,$AS810*EXP($AT810*2),$AS810*(1+$AR810*$AT810*2)^(1/$AR810)))</f>
        <v/>
      </c>
      <c r="AW810">
        <f>IF($AR810="","",IF($AR810=0,$AS810*EXP($AT810*3),$AS810*(1+$AR810*$AT810*3)^(1/$AR810)))</f>
        <v/>
      </c>
      <c r="AX810">
        <f>IF($AR810="","",IF($AR810=0,$AS810*EXP($AT810*-2),$AS810*(1+$AR810*$AT810*-2)^(1/$AR810)))</f>
        <v/>
      </c>
      <c r="AY810">
        <f>IF($AR810="","",IF($AR810=0,$AS810*EXP($AT810*-3),$AS810*(1+$AR810*$AT810*-3)^(1/$AR810)))</f>
        <v/>
      </c>
      <c r="AZ810">
        <f>IF(OR($A810="",$A810&lt;&gt;Ficha!$C$4),"",COUNTIF($A$2:$A810,Ficha!$C$4))</f>
        <v/>
      </c>
    </row>
    <row r="811">
      <c r="A811" s="8">
        <f>IF(INDEX(Banco!$A:$A,ROW())="","",INDEX(Banco!$A:$A,ROW()))</f>
        <v/>
      </c>
      <c r="B811" s="8">
        <f>IF(INDEX(Banco!$B:$B,ROW())="","",INDEX(Banco!$B:$B,ROW()))</f>
        <v/>
      </c>
      <c r="C811" s="8">
        <f>IF(INDEX(Banco!$C:$C,ROW())="","",INDEX(Banco!$C:$C,ROW()))</f>
        <v/>
      </c>
      <c r="D811" s="9">
        <f>IF(INDEX(Banco!$D:$D,ROW())="","",INDEX(Banco!$D:$D,ROW()))</f>
        <v/>
      </c>
      <c r="E811" s="9">
        <f>IF(INDEX(Banco!$E:$E,ROW())="","",INDEX(Banco!$E:$E,ROW()))</f>
        <v/>
      </c>
      <c r="F811" s="10">
        <f>IF(INDEX(Banco!$F:$F,ROW())="","",INDEX(Banco!$F:$F,ROW()))</f>
        <v/>
      </c>
      <c r="G811" s="10">
        <f>IF(INDEX(Banco!$G:$G,ROW())="","",INDEX(Banco!$G:$G,ROW()))</f>
        <v/>
      </c>
      <c r="H811" s="8">
        <f>IF(INDEX(Banco!$H:$H,ROW())="","",INDEX(Banco!$H:$H,ROW()))</f>
        <v/>
      </c>
      <c r="I811">
        <f>IF($T811="","",INT($T811/12)&amp;"a "&amp;MOD($T811,12)&amp;"m")</f>
        <v/>
      </c>
      <c r="J811" s="11">
        <f>IF(OR($F811="",$G811=""),"",ROUND($F811/($G811/100)^2,2))</f>
        <v/>
      </c>
      <c r="K811" s="12">
        <f>IF(OR($S811="",$J811="",$T811="",$T811&lt;0,$T811&gt;228,$Y811=""),"—",ROUND(IF(ABS($AB811)&lt;=3,$AB811,IF($AB811&gt;3,3+($J811-$AD811)/($AD811-$AC811),-3+($J811-$AF811)/($AE811-$AF811))),2))</f>
        <v/>
      </c>
      <c r="L811">
        <f>IF(OR($K811="",$K811="—"),"",IF($T811&lt;=60,IF($K811&lt;-3,"Magreza acentuada",IF($K811&lt;-2,"Magreza",IF($K811&lt;=1,"Eutrofia",IF($K811&lt;=2,"Risco de sobrepeso",IF($K811&lt;=3,"Sobrepeso","Obesidade"))))),IF($K811&lt;-3,"Magreza acentuada",IF($K811&lt;-2,"Magreza",IF($K811&lt;=1,"Eutrofia",IF($K811&lt;=2,"Sobrepeso",IF($K811&lt;=3,"Obesidade","Obesidade grave")))))))</f>
        <v/>
      </c>
      <c r="M811" s="12">
        <f>IF(OR($S811="",$V811="",$T811="",$T811&lt;0,$T811&gt;228,$AG811=""),"—",ROUND(IF($AG811=0,LN($V811/$AH811)/$AI811,((($V811/$AH811)^$AG811)-1)/($AG811*$AI811)),2))</f>
        <v/>
      </c>
      <c r="N811">
        <f>IF(OR($M811="",$M811="—"),"",IF($M811&lt;-3,"Muito baixa",IF($M811&lt;-2,"Baixa","Adequada")))</f>
        <v/>
      </c>
      <c r="O811" s="12">
        <f>IF(OR($S811="",$F811="",$T811="",$T811&lt;0,$T811&gt;120,$AJ811=""),"—",ROUND(IF(ABS($AM811)&lt;=3,$AM811,IF($AM811&gt;3,3+($F811-$AO811)/($AO811-$AN811),-3+($F811-$AQ811)/($AP811-$AQ811))),2))</f>
        <v/>
      </c>
      <c r="P811">
        <f>IF(OR($O811="",$O811="—"),"",IF($O811&lt;-3,"Muito baixo",IF($O811&lt;-2,"Baixo",IF($O811&lt;=2,"Adequado","Elevado"))))</f>
        <v/>
      </c>
      <c r="Q811" s="12">
        <f>IF(OR($S811="",$F811="",$T811="",$T811&lt;0,$T811&gt;60,$AR811=""),"—",ROUND(IF(ABS($AU811)&lt;=3,$AU811,IF($AU811&gt;3,3+($F811-$AW811)/($AW811-$AV811),-3+($F811-$AY811)/($AX811-$AY811))),2))</f>
        <v/>
      </c>
      <c r="R811">
        <f>IF(OR($Q811="",$Q811="—"),"",IF($Q811&lt;-3,"Magreza acentuada",IF($Q811&lt;-2,"Magreza",IF($Q811&lt;=1,"Eutrofia",IF($Q811&lt;=2,"Risco de sobrepeso",IF($Q811&lt;=3,"Sobrepeso","Obesidade"))))))</f>
        <v/>
      </c>
      <c r="S811">
        <f>IF($C811="","",IF(UPPER(LEFT($C811,1))="M",1,IF(UPPER(LEFT($C811,1))="F",2,"")))</f>
        <v/>
      </c>
      <c r="T811">
        <f>IF(OR($D811="",$E811=""),"",DATEDIF($D811,$E811,"m"))</f>
        <v/>
      </c>
      <c r="U811">
        <f>IF(OR($D811="",$E811=""),"",$E811-$D811)</f>
        <v/>
      </c>
      <c r="V811">
        <f>IF(OR($G811="",$T811=""),"",IF($T811&lt;24,IF(LEFT(LOWER($H811),4)="em p",$G811+0.7,$G811),IF(LEFT(LOWER($H811),4)="deit",$G811-0.7,$G811)))</f>
        <v/>
      </c>
      <c r="W811">
        <f>IF(OR($S811="",$T811=""),"",$S811*1000000+IF($T811&lt;=60,$U811,$T811))</f>
        <v/>
      </c>
      <c r="X811">
        <f>IF(OR($S811="",$V811="",$T811&gt;60,$T811=""),"",$S811*1000000+ROUND($V811*10,0))</f>
        <v/>
      </c>
      <c r="Y811">
        <f>IF($W811="","",IFERROR(INDEX(IF($T811&lt;=60,imc05_l,imc519_l),MATCH($W811,IF($T811&lt;=60,imc05_k,imc519_k),1)),""))</f>
        <v/>
      </c>
      <c r="Z811">
        <f>IF($W811="","",IFERROR(INDEX(IF($T811&lt;=60,imc05_m,imc519_m),MATCH($W811,IF($T811&lt;=60,imc05_k,imc519_k),1)),""))</f>
        <v/>
      </c>
      <c r="AA811">
        <f>IF($W811="","",IFERROR(INDEX(IF($T811&lt;=60,imc05_s,imc519_s),MATCH($W811,IF($T811&lt;=60,imc05_k,imc519_k),1)),""))</f>
        <v/>
      </c>
      <c r="AB811">
        <f>IF($Y811="","",IF($Y811=0,LN($J811/$Z811)/$AA811,((($J811/$Z811)^$Y811)-1)/($Y811*$AA811)))</f>
        <v/>
      </c>
      <c r="AC811">
        <f>IF($Y811="","",IF($Y811=0,$Z811*EXP($AA811*2),$Z811*(1+$Y811*$AA811*2)^(1/$Y811)))</f>
        <v/>
      </c>
      <c r="AD811">
        <f>IF($Y811="","",IF($Y811=0,$Z811*EXP($AA811*3),$Z811*(1+$Y811*$AA811*3)^(1/$Y811)))</f>
        <v/>
      </c>
      <c r="AE811">
        <f>IF($Y811="","",IF($Y811=0,$Z811*EXP($AA811*-2),$Z811*(1+$Y811*$AA811*-2)^(1/$Y811)))</f>
        <v/>
      </c>
      <c r="AF811">
        <f>IF($Y811="","",IF($Y811=0,$Z811*EXP($AA811*-3),$Z811*(1+$Y811*$AA811*-3)^(1/$Y811)))</f>
        <v/>
      </c>
      <c r="AG811">
        <f>IF($W811="","",IFERROR(INDEX(IF($T811&lt;=60,est05_l,est519_l),MATCH($W811,IF($T811&lt;=60,est05_k,est519_k),1)),""))</f>
        <v/>
      </c>
      <c r="AH811">
        <f>IF($W811="","",IFERROR(INDEX(IF($T811&lt;=60,est05_m,est519_m),MATCH($W811,IF($T811&lt;=60,est05_k,est519_k),1)),""))</f>
        <v/>
      </c>
      <c r="AI811">
        <f>IF($W811="","",IFERROR(INDEX(IF($T811&lt;=60,est05_s,est519_s),MATCH($W811,IF($T811&lt;=60,est05_k,est519_k),1)),""))</f>
        <v/>
      </c>
      <c r="AJ811">
        <f>IF($W811="","",IFERROR(INDEX(IF($T811&lt;=60,peso05_l,peso510_l),MATCH($W811,IF($T811&lt;=60,peso05_k,peso510_k),1)),""))</f>
        <v/>
      </c>
      <c r="AK811">
        <f>IF($W811="","",IFERROR(INDEX(IF($T811&lt;=60,peso05_m,peso510_m),MATCH($W811,IF($T811&lt;=60,peso05_k,peso510_k),1)),""))</f>
        <v/>
      </c>
      <c r="AL811">
        <f>IF($W811="","",IFERROR(INDEX(IF($T811&lt;=60,peso05_s,peso510_s),MATCH($W811,IF($T811&lt;=60,peso05_k,peso510_k),1)),""))</f>
        <v/>
      </c>
      <c r="AM811">
        <f>IF($AJ811="","",IF($AJ811=0,LN($F811/$AK811)/$AL811,((($F811/$AK811)^$AJ811)-1)/($AJ811*$AL811)))</f>
        <v/>
      </c>
      <c r="AN811">
        <f>IF($AJ811="","",IF($AJ811=0,$AK811*EXP($AL811*2),$AK811*(1+$AJ811*$AL811*2)^(1/$AJ811)))</f>
        <v/>
      </c>
      <c r="AO811">
        <f>IF($AJ811="","",IF($AJ811=0,$AK811*EXP($AL811*3),$AK811*(1+$AJ811*$AL811*3)^(1/$AJ811)))</f>
        <v/>
      </c>
      <c r="AP811">
        <f>IF($AJ811="","",IF($AJ811=0,$AK811*EXP($AL811*-2),$AK811*(1+$AJ811*$AL811*-2)^(1/$AJ811)))</f>
        <v/>
      </c>
      <c r="AQ811">
        <f>IF($AJ811="","",IF($AJ811=0,$AK811*EXP($AL811*-3),$AK811*(1+$AJ811*$AL811*-3)^(1/$AJ811)))</f>
        <v/>
      </c>
      <c r="AR811">
        <f>IF(OR($X811="",$T811&gt;60),"",IFERROR(INDEX(IF($T811&lt;24,pcomp_l,palt_l),MATCH($X811,IF($T811&lt;24,pcomp_k,palt_k),1)),""))</f>
        <v/>
      </c>
      <c r="AS811">
        <f>IF(OR($X811="",$T811&gt;60),"",IFERROR(INDEX(IF($T811&lt;24,pcomp_m,palt_m),MATCH($X811,IF($T811&lt;24,pcomp_k,palt_k),1)),""))</f>
        <v/>
      </c>
      <c r="AT811">
        <f>IF(OR($X811="",$T811&gt;60),"",IFERROR(INDEX(IF($T811&lt;24,pcomp_s,palt_s),MATCH($X811,IF($T811&lt;24,pcomp_k,palt_k),1)),""))</f>
        <v/>
      </c>
      <c r="AU811">
        <f>IF($AR811="","",IF($AR811=0,LN($F811/$AS811)/$AT811,((($F811/$AS811)^$AR811)-1)/($AR811*$AT811)))</f>
        <v/>
      </c>
      <c r="AV811">
        <f>IF($AR811="","",IF($AR811=0,$AS811*EXP($AT811*2),$AS811*(1+$AR811*$AT811*2)^(1/$AR811)))</f>
        <v/>
      </c>
      <c r="AW811">
        <f>IF($AR811="","",IF($AR811=0,$AS811*EXP($AT811*3),$AS811*(1+$AR811*$AT811*3)^(1/$AR811)))</f>
        <v/>
      </c>
      <c r="AX811">
        <f>IF($AR811="","",IF($AR811=0,$AS811*EXP($AT811*-2),$AS811*(1+$AR811*$AT811*-2)^(1/$AR811)))</f>
        <v/>
      </c>
      <c r="AY811">
        <f>IF($AR811="","",IF($AR811=0,$AS811*EXP($AT811*-3),$AS811*(1+$AR811*$AT811*-3)^(1/$AR811)))</f>
        <v/>
      </c>
      <c r="AZ811">
        <f>IF(OR($A811="",$A811&lt;&gt;Ficha!$C$4),"",COUNTIF($A$2:$A811,Ficha!$C$4))</f>
        <v/>
      </c>
    </row>
    <row r="812">
      <c r="A812" s="8">
        <f>IF(INDEX(Banco!$A:$A,ROW())="","",INDEX(Banco!$A:$A,ROW()))</f>
        <v/>
      </c>
      <c r="B812" s="8">
        <f>IF(INDEX(Banco!$B:$B,ROW())="","",INDEX(Banco!$B:$B,ROW()))</f>
        <v/>
      </c>
      <c r="C812" s="8">
        <f>IF(INDEX(Banco!$C:$C,ROW())="","",INDEX(Banco!$C:$C,ROW()))</f>
        <v/>
      </c>
      <c r="D812" s="9">
        <f>IF(INDEX(Banco!$D:$D,ROW())="","",INDEX(Banco!$D:$D,ROW()))</f>
        <v/>
      </c>
      <c r="E812" s="9">
        <f>IF(INDEX(Banco!$E:$E,ROW())="","",INDEX(Banco!$E:$E,ROW()))</f>
        <v/>
      </c>
      <c r="F812" s="10">
        <f>IF(INDEX(Banco!$F:$F,ROW())="","",INDEX(Banco!$F:$F,ROW()))</f>
        <v/>
      </c>
      <c r="G812" s="10">
        <f>IF(INDEX(Banco!$G:$G,ROW())="","",INDEX(Banco!$G:$G,ROW()))</f>
        <v/>
      </c>
      <c r="H812" s="8">
        <f>IF(INDEX(Banco!$H:$H,ROW())="","",INDEX(Banco!$H:$H,ROW()))</f>
        <v/>
      </c>
      <c r="I812">
        <f>IF($T812="","",INT($T812/12)&amp;"a "&amp;MOD($T812,12)&amp;"m")</f>
        <v/>
      </c>
      <c r="J812" s="11">
        <f>IF(OR($F812="",$G812=""),"",ROUND($F812/($G812/100)^2,2))</f>
        <v/>
      </c>
      <c r="K812" s="12">
        <f>IF(OR($S812="",$J812="",$T812="",$T812&lt;0,$T812&gt;228,$Y812=""),"—",ROUND(IF(ABS($AB812)&lt;=3,$AB812,IF($AB812&gt;3,3+($J812-$AD812)/($AD812-$AC812),-3+($J812-$AF812)/($AE812-$AF812))),2))</f>
        <v/>
      </c>
      <c r="L812">
        <f>IF(OR($K812="",$K812="—"),"",IF($T812&lt;=60,IF($K812&lt;-3,"Magreza acentuada",IF($K812&lt;-2,"Magreza",IF($K812&lt;=1,"Eutrofia",IF($K812&lt;=2,"Risco de sobrepeso",IF($K812&lt;=3,"Sobrepeso","Obesidade"))))),IF($K812&lt;-3,"Magreza acentuada",IF($K812&lt;-2,"Magreza",IF($K812&lt;=1,"Eutrofia",IF($K812&lt;=2,"Sobrepeso",IF($K812&lt;=3,"Obesidade","Obesidade grave")))))))</f>
        <v/>
      </c>
      <c r="M812" s="12">
        <f>IF(OR($S812="",$V812="",$T812="",$T812&lt;0,$T812&gt;228,$AG812=""),"—",ROUND(IF($AG812=0,LN($V812/$AH812)/$AI812,((($V812/$AH812)^$AG812)-1)/($AG812*$AI812)),2))</f>
        <v/>
      </c>
      <c r="N812">
        <f>IF(OR($M812="",$M812="—"),"",IF($M812&lt;-3,"Muito baixa",IF($M812&lt;-2,"Baixa","Adequada")))</f>
        <v/>
      </c>
      <c r="O812" s="12">
        <f>IF(OR($S812="",$F812="",$T812="",$T812&lt;0,$T812&gt;120,$AJ812=""),"—",ROUND(IF(ABS($AM812)&lt;=3,$AM812,IF($AM812&gt;3,3+($F812-$AO812)/($AO812-$AN812),-3+($F812-$AQ812)/($AP812-$AQ812))),2))</f>
        <v/>
      </c>
      <c r="P812">
        <f>IF(OR($O812="",$O812="—"),"",IF($O812&lt;-3,"Muito baixo",IF($O812&lt;-2,"Baixo",IF($O812&lt;=2,"Adequado","Elevado"))))</f>
        <v/>
      </c>
      <c r="Q812" s="12">
        <f>IF(OR($S812="",$F812="",$T812="",$T812&lt;0,$T812&gt;60,$AR812=""),"—",ROUND(IF(ABS($AU812)&lt;=3,$AU812,IF($AU812&gt;3,3+($F812-$AW812)/($AW812-$AV812),-3+($F812-$AY812)/($AX812-$AY812))),2))</f>
        <v/>
      </c>
      <c r="R812">
        <f>IF(OR($Q812="",$Q812="—"),"",IF($Q812&lt;-3,"Magreza acentuada",IF($Q812&lt;-2,"Magreza",IF($Q812&lt;=1,"Eutrofia",IF($Q812&lt;=2,"Risco de sobrepeso",IF($Q812&lt;=3,"Sobrepeso","Obesidade"))))))</f>
        <v/>
      </c>
      <c r="S812">
        <f>IF($C812="","",IF(UPPER(LEFT($C812,1))="M",1,IF(UPPER(LEFT($C812,1))="F",2,"")))</f>
        <v/>
      </c>
      <c r="T812">
        <f>IF(OR($D812="",$E812=""),"",DATEDIF($D812,$E812,"m"))</f>
        <v/>
      </c>
      <c r="U812">
        <f>IF(OR($D812="",$E812=""),"",$E812-$D812)</f>
        <v/>
      </c>
      <c r="V812">
        <f>IF(OR($G812="",$T812=""),"",IF($T812&lt;24,IF(LEFT(LOWER($H812),4)="em p",$G812+0.7,$G812),IF(LEFT(LOWER($H812),4)="deit",$G812-0.7,$G812)))</f>
        <v/>
      </c>
      <c r="W812">
        <f>IF(OR($S812="",$T812=""),"",$S812*1000000+IF($T812&lt;=60,$U812,$T812))</f>
        <v/>
      </c>
      <c r="X812">
        <f>IF(OR($S812="",$V812="",$T812&gt;60,$T812=""),"",$S812*1000000+ROUND($V812*10,0))</f>
        <v/>
      </c>
      <c r="Y812">
        <f>IF($W812="","",IFERROR(INDEX(IF($T812&lt;=60,imc05_l,imc519_l),MATCH($W812,IF($T812&lt;=60,imc05_k,imc519_k),1)),""))</f>
        <v/>
      </c>
      <c r="Z812">
        <f>IF($W812="","",IFERROR(INDEX(IF($T812&lt;=60,imc05_m,imc519_m),MATCH($W812,IF($T812&lt;=60,imc05_k,imc519_k),1)),""))</f>
        <v/>
      </c>
      <c r="AA812">
        <f>IF($W812="","",IFERROR(INDEX(IF($T812&lt;=60,imc05_s,imc519_s),MATCH($W812,IF($T812&lt;=60,imc05_k,imc519_k),1)),""))</f>
        <v/>
      </c>
      <c r="AB812">
        <f>IF($Y812="","",IF($Y812=0,LN($J812/$Z812)/$AA812,((($J812/$Z812)^$Y812)-1)/($Y812*$AA812)))</f>
        <v/>
      </c>
      <c r="AC812">
        <f>IF($Y812="","",IF($Y812=0,$Z812*EXP($AA812*2),$Z812*(1+$Y812*$AA812*2)^(1/$Y812)))</f>
        <v/>
      </c>
      <c r="AD812">
        <f>IF($Y812="","",IF($Y812=0,$Z812*EXP($AA812*3),$Z812*(1+$Y812*$AA812*3)^(1/$Y812)))</f>
        <v/>
      </c>
      <c r="AE812">
        <f>IF($Y812="","",IF($Y812=0,$Z812*EXP($AA812*-2),$Z812*(1+$Y812*$AA812*-2)^(1/$Y812)))</f>
        <v/>
      </c>
      <c r="AF812">
        <f>IF($Y812="","",IF($Y812=0,$Z812*EXP($AA812*-3),$Z812*(1+$Y812*$AA812*-3)^(1/$Y812)))</f>
        <v/>
      </c>
      <c r="AG812">
        <f>IF($W812="","",IFERROR(INDEX(IF($T812&lt;=60,est05_l,est519_l),MATCH($W812,IF($T812&lt;=60,est05_k,est519_k),1)),""))</f>
        <v/>
      </c>
      <c r="AH812">
        <f>IF($W812="","",IFERROR(INDEX(IF($T812&lt;=60,est05_m,est519_m),MATCH($W812,IF($T812&lt;=60,est05_k,est519_k),1)),""))</f>
        <v/>
      </c>
      <c r="AI812">
        <f>IF($W812="","",IFERROR(INDEX(IF($T812&lt;=60,est05_s,est519_s),MATCH($W812,IF($T812&lt;=60,est05_k,est519_k),1)),""))</f>
        <v/>
      </c>
      <c r="AJ812">
        <f>IF($W812="","",IFERROR(INDEX(IF($T812&lt;=60,peso05_l,peso510_l),MATCH($W812,IF($T812&lt;=60,peso05_k,peso510_k),1)),""))</f>
        <v/>
      </c>
      <c r="AK812">
        <f>IF($W812="","",IFERROR(INDEX(IF($T812&lt;=60,peso05_m,peso510_m),MATCH($W812,IF($T812&lt;=60,peso05_k,peso510_k),1)),""))</f>
        <v/>
      </c>
      <c r="AL812">
        <f>IF($W812="","",IFERROR(INDEX(IF($T812&lt;=60,peso05_s,peso510_s),MATCH($W812,IF($T812&lt;=60,peso05_k,peso510_k),1)),""))</f>
        <v/>
      </c>
      <c r="AM812">
        <f>IF($AJ812="","",IF($AJ812=0,LN($F812/$AK812)/$AL812,((($F812/$AK812)^$AJ812)-1)/($AJ812*$AL812)))</f>
        <v/>
      </c>
      <c r="AN812">
        <f>IF($AJ812="","",IF($AJ812=0,$AK812*EXP($AL812*2),$AK812*(1+$AJ812*$AL812*2)^(1/$AJ812)))</f>
        <v/>
      </c>
      <c r="AO812">
        <f>IF($AJ812="","",IF($AJ812=0,$AK812*EXP($AL812*3),$AK812*(1+$AJ812*$AL812*3)^(1/$AJ812)))</f>
        <v/>
      </c>
      <c r="AP812">
        <f>IF($AJ812="","",IF($AJ812=0,$AK812*EXP($AL812*-2),$AK812*(1+$AJ812*$AL812*-2)^(1/$AJ812)))</f>
        <v/>
      </c>
      <c r="AQ812">
        <f>IF($AJ812="","",IF($AJ812=0,$AK812*EXP($AL812*-3),$AK812*(1+$AJ812*$AL812*-3)^(1/$AJ812)))</f>
        <v/>
      </c>
      <c r="AR812">
        <f>IF(OR($X812="",$T812&gt;60),"",IFERROR(INDEX(IF($T812&lt;24,pcomp_l,palt_l),MATCH($X812,IF($T812&lt;24,pcomp_k,palt_k),1)),""))</f>
        <v/>
      </c>
      <c r="AS812">
        <f>IF(OR($X812="",$T812&gt;60),"",IFERROR(INDEX(IF($T812&lt;24,pcomp_m,palt_m),MATCH($X812,IF($T812&lt;24,pcomp_k,palt_k),1)),""))</f>
        <v/>
      </c>
      <c r="AT812">
        <f>IF(OR($X812="",$T812&gt;60),"",IFERROR(INDEX(IF($T812&lt;24,pcomp_s,palt_s),MATCH($X812,IF($T812&lt;24,pcomp_k,palt_k),1)),""))</f>
        <v/>
      </c>
      <c r="AU812">
        <f>IF($AR812="","",IF($AR812=0,LN($F812/$AS812)/$AT812,((($F812/$AS812)^$AR812)-1)/($AR812*$AT812)))</f>
        <v/>
      </c>
      <c r="AV812">
        <f>IF($AR812="","",IF($AR812=0,$AS812*EXP($AT812*2),$AS812*(1+$AR812*$AT812*2)^(1/$AR812)))</f>
        <v/>
      </c>
      <c r="AW812">
        <f>IF($AR812="","",IF($AR812=0,$AS812*EXP($AT812*3),$AS812*(1+$AR812*$AT812*3)^(1/$AR812)))</f>
        <v/>
      </c>
      <c r="AX812">
        <f>IF($AR812="","",IF($AR812=0,$AS812*EXP($AT812*-2),$AS812*(1+$AR812*$AT812*-2)^(1/$AR812)))</f>
        <v/>
      </c>
      <c r="AY812">
        <f>IF($AR812="","",IF($AR812=0,$AS812*EXP($AT812*-3),$AS812*(1+$AR812*$AT812*-3)^(1/$AR812)))</f>
        <v/>
      </c>
      <c r="AZ812">
        <f>IF(OR($A812="",$A812&lt;&gt;Ficha!$C$4),"",COUNTIF($A$2:$A812,Ficha!$C$4))</f>
        <v/>
      </c>
    </row>
    <row r="813">
      <c r="A813" s="8">
        <f>IF(INDEX(Banco!$A:$A,ROW())="","",INDEX(Banco!$A:$A,ROW()))</f>
        <v/>
      </c>
      <c r="B813" s="8">
        <f>IF(INDEX(Banco!$B:$B,ROW())="","",INDEX(Banco!$B:$B,ROW()))</f>
        <v/>
      </c>
      <c r="C813" s="8">
        <f>IF(INDEX(Banco!$C:$C,ROW())="","",INDEX(Banco!$C:$C,ROW()))</f>
        <v/>
      </c>
      <c r="D813" s="9">
        <f>IF(INDEX(Banco!$D:$D,ROW())="","",INDEX(Banco!$D:$D,ROW()))</f>
        <v/>
      </c>
      <c r="E813" s="9">
        <f>IF(INDEX(Banco!$E:$E,ROW())="","",INDEX(Banco!$E:$E,ROW()))</f>
        <v/>
      </c>
      <c r="F813" s="10">
        <f>IF(INDEX(Banco!$F:$F,ROW())="","",INDEX(Banco!$F:$F,ROW()))</f>
        <v/>
      </c>
      <c r="G813" s="10">
        <f>IF(INDEX(Banco!$G:$G,ROW())="","",INDEX(Banco!$G:$G,ROW()))</f>
        <v/>
      </c>
      <c r="H813" s="8">
        <f>IF(INDEX(Banco!$H:$H,ROW())="","",INDEX(Banco!$H:$H,ROW()))</f>
        <v/>
      </c>
      <c r="I813">
        <f>IF($T813="","",INT($T813/12)&amp;"a "&amp;MOD($T813,12)&amp;"m")</f>
        <v/>
      </c>
      <c r="J813" s="11">
        <f>IF(OR($F813="",$G813=""),"",ROUND($F813/($G813/100)^2,2))</f>
        <v/>
      </c>
      <c r="K813" s="12">
        <f>IF(OR($S813="",$J813="",$T813="",$T813&lt;0,$T813&gt;228,$Y813=""),"—",ROUND(IF(ABS($AB813)&lt;=3,$AB813,IF($AB813&gt;3,3+($J813-$AD813)/($AD813-$AC813),-3+($J813-$AF813)/($AE813-$AF813))),2))</f>
        <v/>
      </c>
      <c r="L813">
        <f>IF(OR($K813="",$K813="—"),"",IF($T813&lt;=60,IF($K813&lt;-3,"Magreza acentuada",IF($K813&lt;-2,"Magreza",IF($K813&lt;=1,"Eutrofia",IF($K813&lt;=2,"Risco de sobrepeso",IF($K813&lt;=3,"Sobrepeso","Obesidade"))))),IF($K813&lt;-3,"Magreza acentuada",IF($K813&lt;-2,"Magreza",IF($K813&lt;=1,"Eutrofia",IF($K813&lt;=2,"Sobrepeso",IF($K813&lt;=3,"Obesidade","Obesidade grave")))))))</f>
        <v/>
      </c>
      <c r="M813" s="12">
        <f>IF(OR($S813="",$V813="",$T813="",$T813&lt;0,$T813&gt;228,$AG813=""),"—",ROUND(IF($AG813=0,LN($V813/$AH813)/$AI813,((($V813/$AH813)^$AG813)-1)/($AG813*$AI813)),2))</f>
        <v/>
      </c>
      <c r="N813">
        <f>IF(OR($M813="",$M813="—"),"",IF($M813&lt;-3,"Muito baixa",IF($M813&lt;-2,"Baixa","Adequada")))</f>
        <v/>
      </c>
      <c r="O813" s="12">
        <f>IF(OR($S813="",$F813="",$T813="",$T813&lt;0,$T813&gt;120,$AJ813=""),"—",ROUND(IF(ABS($AM813)&lt;=3,$AM813,IF($AM813&gt;3,3+($F813-$AO813)/($AO813-$AN813),-3+($F813-$AQ813)/($AP813-$AQ813))),2))</f>
        <v/>
      </c>
      <c r="P813">
        <f>IF(OR($O813="",$O813="—"),"",IF($O813&lt;-3,"Muito baixo",IF($O813&lt;-2,"Baixo",IF($O813&lt;=2,"Adequado","Elevado"))))</f>
        <v/>
      </c>
      <c r="Q813" s="12">
        <f>IF(OR($S813="",$F813="",$T813="",$T813&lt;0,$T813&gt;60,$AR813=""),"—",ROUND(IF(ABS($AU813)&lt;=3,$AU813,IF($AU813&gt;3,3+($F813-$AW813)/($AW813-$AV813),-3+($F813-$AY813)/($AX813-$AY813))),2))</f>
        <v/>
      </c>
      <c r="R813">
        <f>IF(OR($Q813="",$Q813="—"),"",IF($Q813&lt;-3,"Magreza acentuada",IF($Q813&lt;-2,"Magreza",IF($Q813&lt;=1,"Eutrofia",IF($Q813&lt;=2,"Risco de sobrepeso",IF($Q813&lt;=3,"Sobrepeso","Obesidade"))))))</f>
        <v/>
      </c>
      <c r="S813">
        <f>IF($C813="","",IF(UPPER(LEFT($C813,1))="M",1,IF(UPPER(LEFT($C813,1))="F",2,"")))</f>
        <v/>
      </c>
      <c r="T813">
        <f>IF(OR($D813="",$E813=""),"",DATEDIF($D813,$E813,"m"))</f>
        <v/>
      </c>
      <c r="U813">
        <f>IF(OR($D813="",$E813=""),"",$E813-$D813)</f>
        <v/>
      </c>
      <c r="V813">
        <f>IF(OR($G813="",$T813=""),"",IF($T813&lt;24,IF(LEFT(LOWER($H813),4)="em p",$G813+0.7,$G813),IF(LEFT(LOWER($H813),4)="deit",$G813-0.7,$G813)))</f>
        <v/>
      </c>
      <c r="W813">
        <f>IF(OR($S813="",$T813=""),"",$S813*1000000+IF($T813&lt;=60,$U813,$T813))</f>
        <v/>
      </c>
      <c r="X813">
        <f>IF(OR($S813="",$V813="",$T813&gt;60,$T813=""),"",$S813*1000000+ROUND($V813*10,0))</f>
        <v/>
      </c>
      <c r="Y813">
        <f>IF($W813="","",IFERROR(INDEX(IF($T813&lt;=60,imc05_l,imc519_l),MATCH($W813,IF($T813&lt;=60,imc05_k,imc519_k),1)),""))</f>
        <v/>
      </c>
      <c r="Z813">
        <f>IF($W813="","",IFERROR(INDEX(IF($T813&lt;=60,imc05_m,imc519_m),MATCH($W813,IF($T813&lt;=60,imc05_k,imc519_k),1)),""))</f>
        <v/>
      </c>
      <c r="AA813">
        <f>IF($W813="","",IFERROR(INDEX(IF($T813&lt;=60,imc05_s,imc519_s),MATCH($W813,IF($T813&lt;=60,imc05_k,imc519_k),1)),""))</f>
        <v/>
      </c>
      <c r="AB813">
        <f>IF($Y813="","",IF($Y813=0,LN($J813/$Z813)/$AA813,((($J813/$Z813)^$Y813)-1)/($Y813*$AA813)))</f>
        <v/>
      </c>
      <c r="AC813">
        <f>IF($Y813="","",IF($Y813=0,$Z813*EXP($AA813*2),$Z813*(1+$Y813*$AA813*2)^(1/$Y813)))</f>
        <v/>
      </c>
      <c r="AD813">
        <f>IF($Y813="","",IF($Y813=0,$Z813*EXP($AA813*3),$Z813*(1+$Y813*$AA813*3)^(1/$Y813)))</f>
        <v/>
      </c>
      <c r="AE813">
        <f>IF($Y813="","",IF($Y813=0,$Z813*EXP($AA813*-2),$Z813*(1+$Y813*$AA813*-2)^(1/$Y813)))</f>
        <v/>
      </c>
      <c r="AF813">
        <f>IF($Y813="","",IF($Y813=0,$Z813*EXP($AA813*-3),$Z813*(1+$Y813*$AA813*-3)^(1/$Y813)))</f>
        <v/>
      </c>
      <c r="AG813">
        <f>IF($W813="","",IFERROR(INDEX(IF($T813&lt;=60,est05_l,est519_l),MATCH($W813,IF($T813&lt;=60,est05_k,est519_k),1)),""))</f>
        <v/>
      </c>
      <c r="AH813">
        <f>IF($W813="","",IFERROR(INDEX(IF($T813&lt;=60,est05_m,est519_m),MATCH($W813,IF($T813&lt;=60,est05_k,est519_k),1)),""))</f>
        <v/>
      </c>
      <c r="AI813">
        <f>IF($W813="","",IFERROR(INDEX(IF($T813&lt;=60,est05_s,est519_s),MATCH($W813,IF($T813&lt;=60,est05_k,est519_k),1)),""))</f>
        <v/>
      </c>
      <c r="AJ813">
        <f>IF($W813="","",IFERROR(INDEX(IF($T813&lt;=60,peso05_l,peso510_l),MATCH($W813,IF($T813&lt;=60,peso05_k,peso510_k),1)),""))</f>
        <v/>
      </c>
      <c r="AK813">
        <f>IF($W813="","",IFERROR(INDEX(IF($T813&lt;=60,peso05_m,peso510_m),MATCH($W813,IF($T813&lt;=60,peso05_k,peso510_k),1)),""))</f>
        <v/>
      </c>
      <c r="AL813">
        <f>IF($W813="","",IFERROR(INDEX(IF($T813&lt;=60,peso05_s,peso510_s),MATCH($W813,IF($T813&lt;=60,peso05_k,peso510_k),1)),""))</f>
        <v/>
      </c>
      <c r="AM813">
        <f>IF($AJ813="","",IF($AJ813=0,LN($F813/$AK813)/$AL813,((($F813/$AK813)^$AJ813)-1)/($AJ813*$AL813)))</f>
        <v/>
      </c>
      <c r="AN813">
        <f>IF($AJ813="","",IF($AJ813=0,$AK813*EXP($AL813*2),$AK813*(1+$AJ813*$AL813*2)^(1/$AJ813)))</f>
        <v/>
      </c>
      <c r="AO813">
        <f>IF($AJ813="","",IF($AJ813=0,$AK813*EXP($AL813*3),$AK813*(1+$AJ813*$AL813*3)^(1/$AJ813)))</f>
        <v/>
      </c>
      <c r="AP813">
        <f>IF($AJ813="","",IF($AJ813=0,$AK813*EXP($AL813*-2),$AK813*(1+$AJ813*$AL813*-2)^(1/$AJ813)))</f>
        <v/>
      </c>
      <c r="AQ813">
        <f>IF($AJ813="","",IF($AJ813=0,$AK813*EXP($AL813*-3),$AK813*(1+$AJ813*$AL813*-3)^(1/$AJ813)))</f>
        <v/>
      </c>
      <c r="AR813">
        <f>IF(OR($X813="",$T813&gt;60),"",IFERROR(INDEX(IF($T813&lt;24,pcomp_l,palt_l),MATCH($X813,IF($T813&lt;24,pcomp_k,palt_k),1)),""))</f>
        <v/>
      </c>
      <c r="AS813">
        <f>IF(OR($X813="",$T813&gt;60),"",IFERROR(INDEX(IF($T813&lt;24,pcomp_m,palt_m),MATCH($X813,IF($T813&lt;24,pcomp_k,palt_k),1)),""))</f>
        <v/>
      </c>
      <c r="AT813">
        <f>IF(OR($X813="",$T813&gt;60),"",IFERROR(INDEX(IF($T813&lt;24,pcomp_s,palt_s),MATCH($X813,IF($T813&lt;24,pcomp_k,palt_k),1)),""))</f>
        <v/>
      </c>
      <c r="AU813">
        <f>IF($AR813="","",IF($AR813=0,LN($F813/$AS813)/$AT813,((($F813/$AS813)^$AR813)-1)/($AR813*$AT813)))</f>
        <v/>
      </c>
      <c r="AV813">
        <f>IF($AR813="","",IF($AR813=0,$AS813*EXP($AT813*2),$AS813*(1+$AR813*$AT813*2)^(1/$AR813)))</f>
        <v/>
      </c>
      <c r="AW813">
        <f>IF($AR813="","",IF($AR813=0,$AS813*EXP($AT813*3),$AS813*(1+$AR813*$AT813*3)^(1/$AR813)))</f>
        <v/>
      </c>
      <c r="AX813">
        <f>IF($AR813="","",IF($AR813=0,$AS813*EXP($AT813*-2),$AS813*(1+$AR813*$AT813*-2)^(1/$AR813)))</f>
        <v/>
      </c>
      <c r="AY813">
        <f>IF($AR813="","",IF($AR813=0,$AS813*EXP($AT813*-3),$AS813*(1+$AR813*$AT813*-3)^(1/$AR813)))</f>
        <v/>
      </c>
      <c r="AZ813">
        <f>IF(OR($A813="",$A813&lt;&gt;Ficha!$C$4),"",COUNTIF($A$2:$A813,Ficha!$C$4))</f>
        <v/>
      </c>
    </row>
    <row r="814">
      <c r="A814" s="8">
        <f>IF(INDEX(Banco!$A:$A,ROW())="","",INDEX(Banco!$A:$A,ROW()))</f>
        <v/>
      </c>
      <c r="B814" s="8">
        <f>IF(INDEX(Banco!$B:$B,ROW())="","",INDEX(Banco!$B:$B,ROW()))</f>
        <v/>
      </c>
      <c r="C814" s="8">
        <f>IF(INDEX(Banco!$C:$C,ROW())="","",INDEX(Banco!$C:$C,ROW()))</f>
        <v/>
      </c>
      <c r="D814" s="9">
        <f>IF(INDEX(Banco!$D:$D,ROW())="","",INDEX(Banco!$D:$D,ROW()))</f>
        <v/>
      </c>
      <c r="E814" s="9">
        <f>IF(INDEX(Banco!$E:$E,ROW())="","",INDEX(Banco!$E:$E,ROW()))</f>
        <v/>
      </c>
      <c r="F814" s="10">
        <f>IF(INDEX(Banco!$F:$F,ROW())="","",INDEX(Banco!$F:$F,ROW()))</f>
        <v/>
      </c>
      <c r="G814" s="10">
        <f>IF(INDEX(Banco!$G:$G,ROW())="","",INDEX(Banco!$G:$G,ROW()))</f>
        <v/>
      </c>
      <c r="H814" s="8">
        <f>IF(INDEX(Banco!$H:$H,ROW())="","",INDEX(Banco!$H:$H,ROW()))</f>
        <v/>
      </c>
      <c r="I814">
        <f>IF($T814="","",INT($T814/12)&amp;"a "&amp;MOD($T814,12)&amp;"m")</f>
        <v/>
      </c>
      <c r="J814" s="11">
        <f>IF(OR($F814="",$G814=""),"",ROUND($F814/($G814/100)^2,2))</f>
        <v/>
      </c>
      <c r="K814" s="12">
        <f>IF(OR($S814="",$J814="",$T814="",$T814&lt;0,$T814&gt;228,$Y814=""),"—",ROUND(IF(ABS($AB814)&lt;=3,$AB814,IF($AB814&gt;3,3+($J814-$AD814)/($AD814-$AC814),-3+($J814-$AF814)/($AE814-$AF814))),2))</f>
        <v/>
      </c>
      <c r="L814">
        <f>IF(OR($K814="",$K814="—"),"",IF($T814&lt;=60,IF($K814&lt;-3,"Magreza acentuada",IF($K814&lt;-2,"Magreza",IF($K814&lt;=1,"Eutrofia",IF($K814&lt;=2,"Risco de sobrepeso",IF($K814&lt;=3,"Sobrepeso","Obesidade"))))),IF($K814&lt;-3,"Magreza acentuada",IF($K814&lt;-2,"Magreza",IF($K814&lt;=1,"Eutrofia",IF($K814&lt;=2,"Sobrepeso",IF($K814&lt;=3,"Obesidade","Obesidade grave")))))))</f>
        <v/>
      </c>
      <c r="M814" s="12">
        <f>IF(OR($S814="",$V814="",$T814="",$T814&lt;0,$T814&gt;228,$AG814=""),"—",ROUND(IF($AG814=0,LN($V814/$AH814)/$AI814,((($V814/$AH814)^$AG814)-1)/($AG814*$AI814)),2))</f>
        <v/>
      </c>
      <c r="N814">
        <f>IF(OR($M814="",$M814="—"),"",IF($M814&lt;-3,"Muito baixa",IF($M814&lt;-2,"Baixa","Adequada")))</f>
        <v/>
      </c>
      <c r="O814" s="12">
        <f>IF(OR($S814="",$F814="",$T814="",$T814&lt;0,$T814&gt;120,$AJ814=""),"—",ROUND(IF(ABS($AM814)&lt;=3,$AM814,IF($AM814&gt;3,3+($F814-$AO814)/($AO814-$AN814),-3+($F814-$AQ814)/($AP814-$AQ814))),2))</f>
        <v/>
      </c>
      <c r="P814">
        <f>IF(OR($O814="",$O814="—"),"",IF($O814&lt;-3,"Muito baixo",IF($O814&lt;-2,"Baixo",IF($O814&lt;=2,"Adequado","Elevado"))))</f>
        <v/>
      </c>
      <c r="Q814" s="12">
        <f>IF(OR($S814="",$F814="",$T814="",$T814&lt;0,$T814&gt;60,$AR814=""),"—",ROUND(IF(ABS($AU814)&lt;=3,$AU814,IF($AU814&gt;3,3+($F814-$AW814)/($AW814-$AV814),-3+($F814-$AY814)/($AX814-$AY814))),2))</f>
        <v/>
      </c>
      <c r="R814">
        <f>IF(OR($Q814="",$Q814="—"),"",IF($Q814&lt;-3,"Magreza acentuada",IF($Q814&lt;-2,"Magreza",IF($Q814&lt;=1,"Eutrofia",IF($Q814&lt;=2,"Risco de sobrepeso",IF($Q814&lt;=3,"Sobrepeso","Obesidade"))))))</f>
        <v/>
      </c>
      <c r="S814">
        <f>IF($C814="","",IF(UPPER(LEFT($C814,1))="M",1,IF(UPPER(LEFT($C814,1))="F",2,"")))</f>
        <v/>
      </c>
      <c r="T814">
        <f>IF(OR($D814="",$E814=""),"",DATEDIF($D814,$E814,"m"))</f>
        <v/>
      </c>
      <c r="U814">
        <f>IF(OR($D814="",$E814=""),"",$E814-$D814)</f>
        <v/>
      </c>
      <c r="V814">
        <f>IF(OR($G814="",$T814=""),"",IF($T814&lt;24,IF(LEFT(LOWER($H814),4)="em p",$G814+0.7,$G814),IF(LEFT(LOWER($H814),4)="deit",$G814-0.7,$G814)))</f>
        <v/>
      </c>
      <c r="W814">
        <f>IF(OR($S814="",$T814=""),"",$S814*1000000+IF($T814&lt;=60,$U814,$T814))</f>
        <v/>
      </c>
      <c r="X814">
        <f>IF(OR($S814="",$V814="",$T814&gt;60,$T814=""),"",$S814*1000000+ROUND($V814*10,0))</f>
        <v/>
      </c>
      <c r="Y814">
        <f>IF($W814="","",IFERROR(INDEX(IF($T814&lt;=60,imc05_l,imc519_l),MATCH($W814,IF($T814&lt;=60,imc05_k,imc519_k),1)),""))</f>
        <v/>
      </c>
      <c r="Z814">
        <f>IF($W814="","",IFERROR(INDEX(IF($T814&lt;=60,imc05_m,imc519_m),MATCH($W814,IF($T814&lt;=60,imc05_k,imc519_k),1)),""))</f>
        <v/>
      </c>
      <c r="AA814">
        <f>IF($W814="","",IFERROR(INDEX(IF($T814&lt;=60,imc05_s,imc519_s),MATCH($W814,IF($T814&lt;=60,imc05_k,imc519_k),1)),""))</f>
        <v/>
      </c>
      <c r="AB814">
        <f>IF($Y814="","",IF($Y814=0,LN($J814/$Z814)/$AA814,((($J814/$Z814)^$Y814)-1)/($Y814*$AA814)))</f>
        <v/>
      </c>
      <c r="AC814">
        <f>IF($Y814="","",IF($Y814=0,$Z814*EXP($AA814*2),$Z814*(1+$Y814*$AA814*2)^(1/$Y814)))</f>
        <v/>
      </c>
      <c r="AD814">
        <f>IF($Y814="","",IF($Y814=0,$Z814*EXP($AA814*3),$Z814*(1+$Y814*$AA814*3)^(1/$Y814)))</f>
        <v/>
      </c>
      <c r="AE814">
        <f>IF($Y814="","",IF($Y814=0,$Z814*EXP($AA814*-2),$Z814*(1+$Y814*$AA814*-2)^(1/$Y814)))</f>
        <v/>
      </c>
      <c r="AF814">
        <f>IF($Y814="","",IF($Y814=0,$Z814*EXP($AA814*-3),$Z814*(1+$Y814*$AA814*-3)^(1/$Y814)))</f>
        <v/>
      </c>
      <c r="AG814">
        <f>IF($W814="","",IFERROR(INDEX(IF($T814&lt;=60,est05_l,est519_l),MATCH($W814,IF($T814&lt;=60,est05_k,est519_k),1)),""))</f>
        <v/>
      </c>
      <c r="AH814">
        <f>IF($W814="","",IFERROR(INDEX(IF($T814&lt;=60,est05_m,est519_m),MATCH($W814,IF($T814&lt;=60,est05_k,est519_k),1)),""))</f>
        <v/>
      </c>
      <c r="AI814">
        <f>IF($W814="","",IFERROR(INDEX(IF($T814&lt;=60,est05_s,est519_s),MATCH($W814,IF($T814&lt;=60,est05_k,est519_k),1)),""))</f>
        <v/>
      </c>
      <c r="AJ814">
        <f>IF($W814="","",IFERROR(INDEX(IF($T814&lt;=60,peso05_l,peso510_l),MATCH($W814,IF($T814&lt;=60,peso05_k,peso510_k),1)),""))</f>
        <v/>
      </c>
      <c r="AK814">
        <f>IF($W814="","",IFERROR(INDEX(IF($T814&lt;=60,peso05_m,peso510_m),MATCH($W814,IF($T814&lt;=60,peso05_k,peso510_k),1)),""))</f>
        <v/>
      </c>
      <c r="AL814">
        <f>IF($W814="","",IFERROR(INDEX(IF($T814&lt;=60,peso05_s,peso510_s),MATCH($W814,IF($T814&lt;=60,peso05_k,peso510_k),1)),""))</f>
        <v/>
      </c>
      <c r="AM814">
        <f>IF($AJ814="","",IF($AJ814=0,LN($F814/$AK814)/$AL814,((($F814/$AK814)^$AJ814)-1)/($AJ814*$AL814)))</f>
        <v/>
      </c>
      <c r="AN814">
        <f>IF($AJ814="","",IF($AJ814=0,$AK814*EXP($AL814*2),$AK814*(1+$AJ814*$AL814*2)^(1/$AJ814)))</f>
        <v/>
      </c>
      <c r="AO814">
        <f>IF($AJ814="","",IF($AJ814=0,$AK814*EXP($AL814*3),$AK814*(1+$AJ814*$AL814*3)^(1/$AJ814)))</f>
        <v/>
      </c>
      <c r="AP814">
        <f>IF($AJ814="","",IF($AJ814=0,$AK814*EXP($AL814*-2),$AK814*(1+$AJ814*$AL814*-2)^(1/$AJ814)))</f>
        <v/>
      </c>
      <c r="AQ814">
        <f>IF($AJ814="","",IF($AJ814=0,$AK814*EXP($AL814*-3),$AK814*(1+$AJ814*$AL814*-3)^(1/$AJ814)))</f>
        <v/>
      </c>
      <c r="AR814">
        <f>IF(OR($X814="",$T814&gt;60),"",IFERROR(INDEX(IF($T814&lt;24,pcomp_l,palt_l),MATCH($X814,IF($T814&lt;24,pcomp_k,palt_k),1)),""))</f>
        <v/>
      </c>
      <c r="AS814">
        <f>IF(OR($X814="",$T814&gt;60),"",IFERROR(INDEX(IF($T814&lt;24,pcomp_m,palt_m),MATCH($X814,IF($T814&lt;24,pcomp_k,palt_k),1)),""))</f>
        <v/>
      </c>
      <c r="AT814">
        <f>IF(OR($X814="",$T814&gt;60),"",IFERROR(INDEX(IF($T814&lt;24,pcomp_s,palt_s),MATCH($X814,IF($T814&lt;24,pcomp_k,palt_k),1)),""))</f>
        <v/>
      </c>
      <c r="AU814">
        <f>IF($AR814="","",IF($AR814=0,LN($F814/$AS814)/$AT814,((($F814/$AS814)^$AR814)-1)/($AR814*$AT814)))</f>
        <v/>
      </c>
      <c r="AV814">
        <f>IF($AR814="","",IF($AR814=0,$AS814*EXP($AT814*2),$AS814*(1+$AR814*$AT814*2)^(1/$AR814)))</f>
        <v/>
      </c>
      <c r="AW814">
        <f>IF($AR814="","",IF($AR814=0,$AS814*EXP($AT814*3),$AS814*(1+$AR814*$AT814*3)^(1/$AR814)))</f>
        <v/>
      </c>
      <c r="AX814">
        <f>IF($AR814="","",IF($AR814=0,$AS814*EXP($AT814*-2),$AS814*(1+$AR814*$AT814*-2)^(1/$AR814)))</f>
        <v/>
      </c>
      <c r="AY814">
        <f>IF($AR814="","",IF($AR814=0,$AS814*EXP($AT814*-3),$AS814*(1+$AR814*$AT814*-3)^(1/$AR814)))</f>
        <v/>
      </c>
      <c r="AZ814">
        <f>IF(OR($A814="",$A814&lt;&gt;Ficha!$C$4),"",COUNTIF($A$2:$A814,Ficha!$C$4))</f>
        <v/>
      </c>
    </row>
    <row r="815">
      <c r="A815" s="8">
        <f>IF(INDEX(Banco!$A:$A,ROW())="","",INDEX(Banco!$A:$A,ROW()))</f>
        <v/>
      </c>
      <c r="B815" s="8">
        <f>IF(INDEX(Banco!$B:$B,ROW())="","",INDEX(Banco!$B:$B,ROW()))</f>
        <v/>
      </c>
      <c r="C815" s="8">
        <f>IF(INDEX(Banco!$C:$C,ROW())="","",INDEX(Banco!$C:$C,ROW()))</f>
        <v/>
      </c>
      <c r="D815" s="9">
        <f>IF(INDEX(Banco!$D:$D,ROW())="","",INDEX(Banco!$D:$D,ROW()))</f>
        <v/>
      </c>
      <c r="E815" s="9">
        <f>IF(INDEX(Banco!$E:$E,ROW())="","",INDEX(Banco!$E:$E,ROW()))</f>
        <v/>
      </c>
      <c r="F815" s="10">
        <f>IF(INDEX(Banco!$F:$F,ROW())="","",INDEX(Banco!$F:$F,ROW()))</f>
        <v/>
      </c>
      <c r="G815" s="10">
        <f>IF(INDEX(Banco!$G:$G,ROW())="","",INDEX(Banco!$G:$G,ROW()))</f>
        <v/>
      </c>
      <c r="H815" s="8">
        <f>IF(INDEX(Banco!$H:$H,ROW())="","",INDEX(Banco!$H:$H,ROW()))</f>
        <v/>
      </c>
      <c r="I815">
        <f>IF($T815="","",INT($T815/12)&amp;"a "&amp;MOD($T815,12)&amp;"m")</f>
        <v/>
      </c>
      <c r="J815" s="11">
        <f>IF(OR($F815="",$G815=""),"",ROUND($F815/($G815/100)^2,2))</f>
        <v/>
      </c>
      <c r="K815" s="12">
        <f>IF(OR($S815="",$J815="",$T815="",$T815&lt;0,$T815&gt;228,$Y815=""),"—",ROUND(IF(ABS($AB815)&lt;=3,$AB815,IF($AB815&gt;3,3+($J815-$AD815)/($AD815-$AC815),-3+($J815-$AF815)/($AE815-$AF815))),2))</f>
        <v/>
      </c>
      <c r="L815">
        <f>IF(OR($K815="",$K815="—"),"",IF($T815&lt;=60,IF($K815&lt;-3,"Magreza acentuada",IF($K815&lt;-2,"Magreza",IF($K815&lt;=1,"Eutrofia",IF($K815&lt;=2,"Risco de sobrepeso",IF($K815&lt;=3,"Sobrepeso","Obesidade"))))),IF($K815&lt;-3,"Magreza acentuada",IF($K815&lt;-2,"Magreza",IF($K815&lt;=1,"Eutrofia",IF($K815&lt;=2,"Sobrepeso",IF($K815&lt;=3,"Obesidade","Obesidade grave")))))))</f>
        <v/>
      </c>
      <c r="M815" s="12">
        <f>IF(OR($S815="",$V815="",$T815="",$T815&lt;0,$T815&gt;228,$AG815=""),"—",ROUND(IF($AG815=0,LN($V815/$AH815)/$AI815,((($V815/$AH815)^$AG815)-1)/($AG815*$AI815)),2))</f>
        <v/>
      </c>
      <c r="N815">
        <f>IF(OR($M815="",$M815="—"),"",IF($M815&lt;-3,"Muito baixa",IF($M815&lt;-2,"Baixa","Adequada")))</f>
        <v/>
      </c>
      <c r="O815" s="12">
        <f>IF(OR($S815="",$F815="",$T815="",$T815&lt;0,$T815&gt;120,$AJ815=""),"—",ROUND(IF(ABS($AM815)&lt;=3,$AM815,IF($AM815&gt;3,3+($F815-$AO815)/($AO815-$AN815),-3+($F815-$AQ815)/($AP815-$AQ815))),2))</f>
        <v/>
      </c>
      <c r="P815">
        <f>IF(OR($O815="",$O815="—"),"",IF($O815&lt;-3,"Muito baixo",IF($O815&lt;-2,"Baixo",IF($O815&lt;=2,"Adequado","Elevado"))))</f>
        <v/>
      </c>
      <c r="Q815" s="12">
        <f>IF(OR($S815="",$F815="",$T815="",$T815&lt;0,$T815&gt;60,$AR815=""),"—",ROUND(IF(ABS($AU815)&lt;=3,$AU815,IF($AU815&gt;3,3+($F815-$AW815)/($AW815-$AV815),-3+($F815-$AY815)/($AX815-$AY815))),2))</f>
        <v/>
      </c>
      <c r="R815">
        <f>IF(OR($Q815="",$Q815="—"),"",IF($Q815&lt;-3,"Magreza acentuada",IF($Q815&lt;-2,"Magreza",IF($Q815&lt;=1,"Eutrofia",IF($Q815&lt;=2,"Risco de sobrepeso",IF($Q815&lt;=3,"Sobrepeso","Obesidade"))))))</f>
        <v/>
      </c>
      <c r="S815">
        <f>IF($C815="","",IF(UPPER(LEFT($C815,1))="M",1,IF(UPPER(LEFT($C815,1))="F",2,"")))</f>
        <v/>
      </c>
      <c r="T815">
        <f>IF(OR($D815="",$E815=""),"",DATEDIF($D815,$E815,"m"))</f>
        <v/>
      </c>
      <c r="U815">
        <f>IF(OR($D815="",$E815=""),"",$E815-$D815)</f>
        <v/>
      </c>
      <c r="V815">
        <f>IF(OR($G815="",$T815=""),"",IF($T815&lt;24,IF(LEFT(LOWER($H815),4)="em p",$G815+0.7,$G815),IF(LEFT(LOWER($H815),4)="deit",$G815-0.7,$G815)))</f>
        <v/>
      </c>
      <c r="W815">
        <f>IF(OR($S815="",$T815=""),"",$S815*1000000+IF($T815&lt;=60,$U815,$T815))</f>
        <v/>
      </c>
      <c r="X815">
        <f>IF(OR($S815="",$V815="",$T815&gt;60,$T815=""),"",$S815*1000000+ROUND($V815*10,0))</f>
        <v/>
      </c>
      <c r="Y815">
        <f>IF($W815="","",IFERROR(INDEX(IF($T815&lt;=60,imc05_l,imc519_l),MATCH($W815,IF($T815&lt;=60,imc05_k,imc519_k),1)),""))</f>
        <v/>
      </c>
      <c r="Z815">
        <f>IF($W815="","",IFERROR(INDEX(IF($T815&lt;=60,imc05_m,imc519_m),MATCH($W815,IF($T815&lt;=60,imc05_k,imc519_k),1)),""))</f>
        <v/>
      </c>
      <c r="AA815">
        <f>IF($W815="","",IFERROR(INDEX(IF($T815&lt;=60,imc05_s,imc519_s),MATCH($W815,IF($T815&lt;=60,imc05_k,imc519_k),1)),""))</f>
        <v/>
      </c>
      <c r="AB815">
        <f>IF($Y815="","",IF($Y815=0,LN($J815/$Z815)/$AA815,((($J815/$Z815)^$Y815)-1)/($Y815*$AA815)))</f>
        <v/>
      </c>
      <c r="AC815">
        <f>IF($Y815="","",IF($Y815=0,$Z815*EXP($AA815*2),$Z815*(1+$Y815*$AA815*2)^(1/$Y815)))</f>
        <v/>
      </c>
      <c r="AD815">
        <f>IF($Y815="","",IF($Y815=0,$Z815*EXP($AA815*3),$Z815*(1+$Y815*$AA815*3)^(1/$Y815)))</f>
        <v/>
      </c>
      <c r="AE815">
        <f>IF($Y815="","",IF($Y815=0,$Z815*EXP($AA815*-2),$Z815*(1+$Y815*$AA815*-2)^(1/$Y815)))</f>
        <v/>
      </c>
      <c r="AF815">
        <f>IF($Y815="","",IF($Y815=0,$Z815*EXP($AA815*-3),$Z815*(1+$Y815*$AA815*-3)^(1/$Y815)))</f>
        <v/>
      </c>
      <c r="AG815">
        <f>IF($W815="","",IFERROR(INDEX(IF($T815&lt;=60,est05_l,est519_l),MATCH($W815,IF($T815&lt;=60,est05_k,est519_k),1)),""))</f>
        <v/>
      </c>
      <c r="AH815">
        <f>IF($W815="","",IFERROR(INDEX(IF($T815&lt;=60,est05_m,est519_m),MATCH($W815,IF($T815&lt;=60,est05_k,est519_k),1)),""))</f>
        <v/>
      </c>
      <c r="AI815">
        <f>IF($W815="","",IFERROR(INDEX(IF($T815&lt;=60,est05_s,est519_s),MATCH($W815,IF($T815&lt;=60,est05_k,est519_k),1)),""))</f>
        <v/>
      </c>
      <c r="AJ815">
        <f>IF($W815="","",IFERROR(INDEX(IF($T815&lt;=60,peso05_l,peso510_l),MATCH($W815,IF($T815&lt;=60,peso05_k,peso510_k),1)),""))</f>
        <v/>
      </c>
      <c r="AK815">
        <f>IF($W815="","",IFERROR(INDEX(IF($T815&lt;=60,peso05_m,peso510_m),MATCH($W815,IF($T815&lt;=60,peso05_k,peso510_k),1)),""))</f>
        <v/>
      </c>
      <c r="AL815">
        <f>IF($W815="","",IFERROR(INDEX(IF($T815&lt;=60,peso05_s,peso510_s),MATCH($W815,IF($T815&lt;=60,peso05_k,peso510_k),1)),""))</f>
        <v/>
      </c>
      <c r="AM815">
        <f>IF($AJ815="","",IF($AJ815=0,LN($F815/$AK815)/$AL815,((($F815/$AK815)^$AJ815)-1)/($AJ815*$AL815)))</f>
        <v/>
      </c>
      <c r="AN815">
        <f>IF($AJ815="","",IF($AJ815=0,$AK815*EXP($AL815*2),$AK815*(1+$AJ815*$AL815*2)^(1/$AJ815)))</f>
        <v/>
      </c>
      <c r="AO815">
        <f>IF($AJ815="","",IF($AJ815=0,$AK815*EXP($AL815*3),$AK815*(1+$AJ815*$AL815*3)^(1/$AJ815)))</f>
        <v/>
      </c>
      <c r="AP815">
        <f>IF($AJ815="","",IF($AJ815=0,$AK815*EXP($AL815*-2),$AK815*(1+$AJ815*$AL815*-2)^(1/$AJ815)))</f>
        <v/>
      </c>
      <c r="AQ815">
        <f>IF($AJ815="","",IF($AJ815=0,$AK815*EXP($AL815*-3),$AK815*(1+$AJ815*$AL815*-3)^(1/$AJ815)))</f>
        <v/>
      </c>
      <c r="AR815">
        <f>IF(OR($X815="",$T815&gt;60),"",IFERROR(INDEX(IF($T815&lt;24,pcomp_l,palt_l),MATCH($X815,IF($T815&lt;24,pcomp_k,palt_k),1)),""))</f>
        <v/>
      </c>
      <c r="AS815">
        <f>IF(OR($X815="",$T815&gt;60),"",IFERROR(INDEX(IF($T815&lt;24,pcomp_m,palt_m),MATCH($X815,IF($T815&lt;24,pcomp_k,palt_k),1)),""))</f>
        <v/>
      </c>
      <c r="AT815">
        <f>IF(OR($X815="",$T815&gt;60),"",IFERROR(INDEX(IF($T815&lt;24,pcomp_s,palt_s),MATCH($X815,IF($T815&lt;24,pcomp_k,palt_k),1)),""))</f>
        <v/>
      </c>
      <c r="AU815">
        <f>IF($AR815="","",IF($AR815=0,LN($F815/$AS815)/$AT815,((($F815/$AS815)^$AR815)-1)/($AR815*$AT815)))</f>
        <v/>
      </c>
      <c r="AV815">
        <f>IF($AR815="","",IF($AR815=0,$AS815*EXP($AT815*2),$AS815*(1+$AR815*$AT815*2)^(1/$AR815)))</f>
        <v/>
      </c>
      <c r="AW815">
        <f>IF($AR815="","",IF($AR815=0,$AS815*EXP($AT815*3),$AS815*(1+$AR815*$AT815*3)^(1/$AR815)))</f>
        <v/>
      </c>
      <c r="AX815">
        <f>IF($AR815="","",IF($AR815=0,$AS815*EXP($AT815*-2),$AS815*(1+$AR815*$AT815*-2)^(1/$AR815)))</f>
        <v/>
      </c>
      <c r="AY815">
        <f>IF($AR815="","",IF($AR815=0,$AS815*EXP($AT815*-3),$AS815*(1+$AR815*$AT815*-3)^(1/$AR815)))</f>
        <v/>
      </c>
      <c r="AZ815">
        <f>IF(OR($A815="",$A815&lt;&gt;Ficha!$C$4),"",COUNTIF($A$2:$A815,Ficha!$C$4))</f>
        <v/>
      </c>
    </row>
    <row r="816">
      <c r="A816" s="8">
        <f>IF(INDEX(Banco!$A:$A,ROW())="","",INDEX(Banco!$A:$A,ROW()))</f>
        <v/>
      </c>
      <c r="B816" s="8">
        <f>IF(INDEX(Banco!$B:$B,ROW())="","",INDEX(Banco!$B:$B,ROW()))</f>
        <v/>
      </c>
      <c r="C816" s="8">
        <f>IF(INDEX(Banco!$C:$C,ROW())="","",INDEX(Banco!$C:$C,ROW()))</f>
        <v/>
      </c>
      <c r="D816" s="9">
        <f>IF(INDEX(Banco!$D:$D,ROW())="","",INDEX(Banco!$D:$D,ROW()))</f>
        <v/>
      </c>
      <c r="E816" s="9">
        <f>IF(INDEX(Banco!$E:$E,ROW())="","",INDEX(Banco!$E:$E,ROW()))</f>
        <v/>
      </c>
      <c r="F816" s="10">
        <f>IF(INDEX(Banco!$F:$F,ROW())="","",INDEX(Banco!$F:$F,ROW()))</f>
        <v/>
      </c>
      <c r="G816" s="10">
        <f>IF(INDEX(Banco!$G:$G,ROW())="","",INDEX(Banco!$G:$G,ROW()))</f>
        <v/>
      </c>
      <c r="H816" s="8">
        <f>IF(INDEX(Banco!$H:$H,ROW())="","",INDEX(Banco!$H:$H,ROW()))</f>
        <v/>
      </c>
      <c r="I816">
        <f>IF($T816="","",INT($T816/12)&amp;"a "&amp;MOD($T816,12)&amp;"m")</f>
        <v/>
      </c>
      <c r="J816" s="11">
        <f>IF(OR($F816="",$G816=""),"",ROUND($F816/($G816/100)^2,2))</f>
        <v/>
      </c>
      <c r="K816" s="12">
        <f>IF(OR($S816="",$J816="",$T816="",$T816&lt;0,$T816&gt;228,$Y816=""),"—",ROUND(IF(ABS($AB816)&lt;=3,$AB816,IF($AB816&gt;3,3+($J816-$AD816)/($AD816-$AC816),-3+($J816-$AF816)/($AE816-$AF816))),2))</f>
        <v/>
      </c>
      <c r="L816">
        <f>IF(OR($K816="",$K816="—"),"",IF($T816&lt;=60,IF($K816&lt;-3,"Magreza acentuada",IF($K816&lt;-2,"Magreza",IF($K816&lt;=1,"Eutrofia",IF($K816&lt;=2,"Risco de sobrepeso",IF($K816&lt;=3,"Sobrepeso","Obesidade"))))),IF($K816&lt;-3,"Magreza acentuada",IF($K816&lt;-2,"Magreza",IF($K816&lt;=1,"Eutrofia",IF($K816&lt;=2,"Sobrepeso",IF($K816&lt;=3,"Obesidade","Obesidade grave")))))))</f>
        <v/>
      </c>
      <c r="M816" s="12">
        <f>IF(OR($S816="",$V816="",$T816="",$T816&lt;0,$T816&gt;228,$AG816=""),"—",ROUND(IF($AG816=0,LN($V816/$AH816)/$AI816,((($V816/$AH816)^$AG816)-1)/($AG816*$AI816)),2))</f>
        <v/>
      </c>
      <c r="N816">
        <f>IF(OR($M816="",$M816="—"),"",IF($M816&lt;-3,"Muito baixa",IF($M816&lt;-2,"Baixa","Adequada")))</f>
        <v/>
      </c>
      <c r="O816" s="12">
        <f>IF(OR($S816="",$F816="",$T816="",$T816&lt;0,$T816&gt;120,$AJ816=""),"—",ROUND(IF(ABS($AM816)&lt;=3,$AM816,IF($AM816&gt;3,3+($F816-$AO816)/($AO816-$AN816),-3+($F816-$AQ816)/($AP816-$AQ816))),2))</f>
        <v/>
      </c>
      <c r="P816">
        <f>IF(OR($O816="",$O816="—"),"",IF($O816&lt;-3,"Muito baixo",IF($O816&lt;-2,"Baixo",IF($O816&lt;=2,"Adequado","Elevado"))))</f>
        <v/>
      </c>
      <c r="Q816" s="12">
        <f>IF(OR($S816="",$F816="",$T816="",$T816&lt;0,$T816&gt;60,$AR816=""),"—",ROUND(IF(ABS($AU816)&lt;=3,$AU816,IF($AU816&gt;3,3+($F816-$AW816)/($AW816-$AV816),-3+($F816-$AY816)/($AX816-$AY816))),2))</f>
        <v/>
      </c>
      <c r="R816">
        <f>IF(OR($Q816="",$Q816="—"),"",IF($Q816&lt;-3,"Magreza acentuada",IF($Q816&lt;-2,"Magreza",IF($Q816&lt;=1,"Eutrofia",IF($Q816&lt;=2,"Risco de sobrepeso",IF($Q816&lt;=3,"Sobrepeso","Obesidade"))))))</f>
        <v/>
      </c>
      <c r="S816">
        <f>IF($C816="","",IF(UPPER(LEFT($C816,1))="M",1,IF(UPPER(LEFT($C816,1))="F",2,"")))</f>
        <v/>
      </c>
      <c r="T816">
        <f>IF(OR($D816="",$E816=""),"",DATEDIF($D816,$E816,"m"))</f>
        <v/>
      </c>
      <c r="U816">
        <f>IF(OR($D816="",$E816=""),"",$E816-$D816)</f>
        <v/>
      </c>
      <c r="V816">
        <f>IF(OR($G816="",$T816=""),"",IF($T816&lt;24,IF(LEFT(LOWER($H816),4)="em p",$G816+0.7,$G816),IF(LEFT(LOWER($H816),4)="deit",$G816-0.7,$G816)))</f>
        <v/>
      </c>
      <c r="W816">
        <f>IF(OR($S816="",$T816=""),"",$S816*1000000+IF($T816&lt;=60,$U816,$T816))</f>
        <v/>
      </c>
      <c r="X816">
        <f>IF(OR($S816="",$V816="",$T816&gt;60,$T816=""),"",$S816*1000000+ROUND($V816*10,0))</f>
        <v/>
      </c>
      <c r="Y816">
        <f>IF($W816="","",IFERROR(INDEX(IF($T816&lt;=60,imc05_l,imc519_l),MATCH($W816,IF($T816&lt;=60,imc05_k,imc519_k),1)),""))</f>
        <v/>
      </c>
      <c r="Z816">
        <f>IF($W816="","",IFERROR(INDEX(IF($T816&lt;=60,imc05_m,imc519_m),MATCH($W816,IF($T816&lt;=60,imc05_k,imc519_k),1)),""))</f>
        <v/>
      </c>
      <c r="AA816">
        <f>IF($W816="","",IFERROR(INDEX(IF($T816&lt;=60,imc05_s,imc519_s),MATCH($W816,IF($T816&lt;=60,imc05_k,imc519_k),1)),""))</f>
        <v/>
      </c>
      <c r="AB816">
        <f>IF($Y816="","",IF($Y816=0,LN($J816/$Z816)/$AA816,((($J816/$Z816)^$Y816)-1)/($Y816*$AA816)))</f>
        <v/>
      </c>
      <c r="AC816">
        <f>IF($Y816="","",IF($Y816=0,$Z816*EXP($AA816*2),$Z816*(1+$Y816*$AA816*2)^(1/$Y816)))</f>
        <v/>
      </c>
      <c r="AD816">
        <f>IF($Y816="","",IF($Y816=0,$Z816*EXP($AA816*3),$Z816*(1+$Y816*$AA816*3)^(1/$Y816)))</f>
        <v/>
      </c>
      <c r="AE816">
        <f>IF($Y816="","",IF($Y816=0,$Z816*EXP($AA816*-2),$Z816*(1+$Y816*$AA816*-2)^(1/$Y816)))</f>
        <v/>
      </c>
      <c r="AF816">
        <f>IF($Y816="","",IF($Y816=0,$Z816*EXP($AA816*-3),$Z816*(1+$Y816*$AA816*-3)^(1/$Y816)))</f>
        <v/>
      </c>
      <c r="AG816">
        <f>IF($W816="","",IFERROR(INDEX(IF($T816&lt;=60,est05_l,est519_l),MATCH($W816,IF($T816&lt;=60,est05_k,est519_k),1)),""))</f>
        <v/>
      </c>
      <c r="AH816">
        <f>IF($W816="","",IFERROR(INDEX(IF($T816&lt;=60,est05_m,est519_m),MATCH($W816,IF($T816&lt;=60,est05_k,est519_k),1)),""))</f>
        <v/>
      </c>
      <c r="AI816">
        <f>IF($W816="","",IFERROR(INDEX(IF($T816&lt;=60,est05_s,est519_s),MATCH($W816,IF($T816&lt;=60,est05_k,est519_k),1)),""))</f>
        <v/>
      </c>
      <c r="AJ816">
        <f>IF($W816="","",IFERROR(INDEX(IF($T816&lt;=60,peso05_l,peso510_l),MATCH($W816,IF($T816&lt;=60,peso05_k,peso510_k),1)),""))</f>
        <v/>
      </c>
      <c r="AK816">
        <f>IF($W816="","",IFERROR(INDEX(IF($T816&lt;=60,peso05_m,peso510_m),MATCH($W816,IF($T816&lt;=60,peso05_k,peso510_k),1)),""))</f>
        <v/>
      </c>
      <c r="AL816">
        <f>IF($W816="","",IFERROR(INDEX(IF($T816&lt;=60,peso05_s,peso510_s),MATCH($W816,IF($T816&lt;=60,peso05_k,peso510_k),1)),""))</f>
        <v/>
      </c>
      <c r="AM816">
        <f>IF($AJ816="","",IF($AJ816=0,LN($F816/$AK816)/$AL816,((($F816/$AK816)^$AJ816)-1)/($AJ816*$AL816)))</f>
        <v/>
      </c>
      <c r="AN816">
        <f>IF($AJ816="","",IF($AJ816=0,$AK816*EXP($AL816*2),$AK816*(1+$AJ816*$AL816*2)^(1/$AJ816)))</f>
        <v/>
      </c>
      <c r="AO816">
        <f>IF($AJ816="","",IF($AJ816=0,$AK816*EXP($AL816*3),$AK816*(1+$AJ816*$AL816*3)^(1/$AJ816)))</f>
        <v/>
      </c>
      <c r="AP816">
        <f>IF($AJ816="","",IF($AJ816=0,$AK816*EXP($AL816*-2),$AK816*(1+$AJ816*$AL816*-2)^(1/$AJ816)))</f>
        <v/>
      </c>
      <c r="AQ816">
        <f>IF($AJ816="","",IF($AJ816=0,$AK816*EXP($AL816*-3),$AK816*(1+$AJ816*$AL816*-3)^(1/$AJ816)))</f>
        <v/>
      </c>
      <c r="AR816">
        <f>IF(OR($X816="",$T816&gt;60),"",IFERROR(INDEX(IF($T816&lt;24,pcomp_l,palt_l),MATCH($X816,IF($T816&lt;24,pcomp_k,palt_k),1)),""))</f>
        <v/>
      </c>
      <c r="AS816">
        <f>IF(OR($X816="",$T816&gt;60),"",IFERROR(INDEX(IF($T816&lt;24,pcomp_m,palt_m),MATCH($X816,IF($T816&lt;24,pcomp_k,palt_k),1)),""))</f>
        <v/>
      </c>
      <c r="AT816">
        <f>IF(OR($X816="",$T816&gt;60),"",IFERROR(INDEX(IF($T816&lt;24,pcomp_s,palt_s),MATCH($X816,IF($T816&lt;24,pcomp_k,palt_k),1)),""))</f>
        <v/>
      </c>
      <c r="AU816">
        <f>IF($AR816="","",IF($AR816=0,LN($F816/$AS816)/$AT816,((($F816/$AS816)^$AR816)-1)/($AR816*$AT816)))</f>
        <v/>
      </c>
      <c r="AV816">
        <f>IF($AR816="","",IF($AR816=0,$AS816*EXP($AT816*2),$AS816*(1+$AR816*$AT816*2)^(1/$AR816)))</f>
        <v/>
      </c>
      <c r="AW816">
        <f>IF($AR816="","",IF($AR816=0,$AS816*EXP($AT816*3),$AS816*(1+$AR816*$AT816*3)^(1/$AR816)))</f>
        <v/>
      </c>
      <c r="AX816">
        <f>IF($AR816="","",IF($AR816=0,$AS816*EXP($AT816*-2),$AS816*(1+$AR816*$AT816*-2)^(1/$AR816)))</f>
        <v/>
      </c>
      <c r="AY816">
        <f>IF($AR816="","",IF($AR816=0,$AS816*EXP($AT816*-3),$AS816*(1+$AR816*$AT816*-3)^(1/$AR816)))</f>
        <v/>
      </c>
      <c r="AZ816">
        <f>IF(OR($A816="",$A816&lt;&gt;Ficha!$C$4),"",COUNTIF($A$2:$A816,Ficha!$C$4))</f>
        <v/>
      </c>
    </row>
    <row r="817">
      <c r="A817" s="8">
        <f>IF(INDEX(Banco!$A:$A,ROW())="","",INDEX(Banco!$A:$A,ROW()))</f>
        <v/>
      </c>
      <c r="B817" s="8">
        <f>IF(INDEX(Banco!$B:$B,ROW())="","",INDEX(Banco!$B:$B,ROW()))</f>
        <v/>
      </c>
      <c r="C817" s="8">
        <f>IF(INDEX(Banco!$C:$C,ROW())="","",INDEX(Banco!$C:$C,ROW()))</f>
        <v/>
      </c>
      <c r="D817" s="9">
        <f>IF(INDEX(Banco!$D:$D,ROW())="","",INDEX(Banco!$D:$D,ROW()))</f>
        <v/>
      </c>
      <c r="E817" s="9">
        <f>IF(INDEX(Banco!$E:$E,ROW())="","",INDEX(Banco!$E:$E,ROW()))</f>
        <v/>
      </c>
      <c r="F817" s="10">
        <f>IF(INDEX(Banco!$F:$F,ROW())="","",INDEX(Banco!$F:$F,ROW()))</f>
        <v/>
      </c>
      <c r="G817" s="10">
        <f>IF(INDEX(Banco!$G:$G,ROW())="","",INDEX(Banco!$G:$G,ROW()))</f>
        <v/>
      </c>
      <c r="H817" s="8">
        <f>IF(INDEX(Banco!$H:$H,ROW())="","",INDEX(Banco!$H:$H,ROW()))</f>
        <v/>
      </c>
      <c r="I817">
        <f>IF($T817="","",INT($T817/12)&amp;"a "&amp;MOD($T817,12)&amp;"m")</f>
        <v/>
      </c>
      <c r="J817" s="11">
        <f>IF(OR($F817="",$G817=""),"",ROUND($F817/($G817/100)^2,2))</f>
        <v/>
      </c>
      <c r="K817" s="12">
        <f>IF(OR($S817="",$J817="",$T817="",$T817&lt;0,$T817&gt;228,$Y817=""),"—",ROUND(IF(ABS($AB817)&lt;=3,$AB817,IF($AB817&gt;3,3+($J817-$AD817)/($AD817-$AC817),-3+($J817-$AF817)/($AE817-$AF817))),2))</f>
        <v/>
      </c>
      <c r="L817">
        <f>IF(OR($K817="",$K817="—"),"",IF($T817&lt;=60,IF($K817&lt;-3,"Magreza acentuada",IF($K817&lt;-2,"Magreza",IF($K817&lt;=1,"Eutrofia",IF($K817&lt;=2,"Risco de sobrepeso",IF($K817&lt;=3,"Sobrepeso","Obesidade"))))),IF($K817&lt;-3,"Magreza acentuada",IF($K817&lt;-2,"Magreza",IF($K817&lt;=1,"Eutrofia",IF($K817&lt;=2,"Sobrepeso",IF($K817&lt;=3,"Obesidade","Obesidade grave")))))))</f>
        <v/>
      </c>
      <c r="M817" s="12">
        <f>IF(OR($S817="",$V817="",$T817="",$T817&lt;0,$T817&gt;228,$AG817=""),"—",ROUND(IF($AG817=0,LN($V817/$AH817)/$AI817,((($V817/$AH817)^$AG817)-1)/($AG817*$AI817)),2))</f>
        <v/>
      </c>
      <c r="N817">
        <f>IF(OR($M817="",$M817="—"),"",IF($M817&lt;-3,"Muito baixa",IF($M817&lt;-2,"Baixa","Adequada")))</f>
        <v/>
      </c>
      <c r="O817" s="12">
        <f>IF(OR($S817="",$F817="",$T817="",$T817&lt;0,$T817&gt;120,$AJ817=""),"—",ROUND(IF(ABS($AM817)&lt;=3,$AM817,IF($AM817&gt;3,3+($F817-$AO817)/($AO817-$AN817),-3+($F817-$AQ817)/($AP817-$AQ817))),2))</f>
        <v/>
      </c>
      <c r="P817">
        <f>IF(OR($O817="",$O817="—"),"",IF($O817&lt;-3,"Muito baixo",IF($O817&lt;-2,"Baixo",IF($O817&lt;=2,"Adequado","Elevado"))))</f>
        <v/>
      </c>
      <c r="Q817" s="12">
        <f>IF(OR($S817="",$F817="",$T817="",$T817&lt;0,$T817&gt;60,$AR817=""),"—",ROUND(IF(ABS($AU817)&lt;=3,$AU817,IF($AU817&gt;3,3+($F817-$AW817)/($AW817-$AV817),-3+($F817-$AY817)/($AX817-$AY817))),2))</f>
        <v/>
      </c>
      <c r="R817">
        <f>IF(OR($Q817="",$Q817="—"),"",IF($Q817&lt;-3,"Magreza acentuada",IF($Q817&lt;-2,"Magreza",IF($Q817&lt;=1,"Eutrofia",IF($Q817&lt;=2,"Risco de sobrepeso",IF($Q817&lt;=3,"Sobrepeso","Obesidade"))))))</f>
        <v/>
      </c>
      <c r="S817">
        <f>IF($C817="","",IF(UPPER(LEFT($C817,1))="M",1,IF(UPPER(LEFT($C817,1))="F",2,"")))</f>
        <v/>
      </c>
      <c r="T817">
        <f>IF(OR($D817="",$E817=""),"",DATEDIF($D817,$E817,"m"))</f>
        <v/>
      </c>
      <c r="U817">
        <f>IF(OR($D817="",$E817=""),"",$E817-$D817)</f>
        <v/>
      </c>
      <c r="V817">
        <f>IF(OR($G817="",$T817=""),"",IF($T817&lt;24,IF(LEFT(LOWER($H817),4)="em p",$G817+0.7,$G817),IF(LEFT(LOWER($H817),4)="deit",$G817-0.7,$G817)))</f>
        <v/>
      </c>
      <c r="W817">
        <f>IF(OR($S817="",$T817=""),"",$S817*1000000+IF($T817&lt;=60,$U817,$T817))</f>
        <v/>
      </c>
      <c r="X817">
        <f>IF(OR($S817="",$V817="",$T817&gt;60,$T817=""),"",$S817*1000000+ROUND($V817*10,0))</f>
        <v/>
      </c>
      <c r="Y817">
        <f>IF($W817="","",IFERROR(INDEX(IF($T817&lt;=60,imc05_l,imc519_l),MATCH($W817,IF($T817&lt;=60,imc05_k,imc519_k),1)),""))</f>
        <v/>
      </c>
      <c r="Z817">
        <f>IF($W817="","",IFERROR(INDEX(IF($T817&lt;=60,imc05_m,imc519_m),MATCH($W817,IF($T817&lt;=60,imc05_k,imc519_k),1)),""))</f>
        <v/>
      </c>
      <c r="AA817">
        <f>IF($W817="","",IFERROR(INDEX(IF($T817&lt;=60,imc05_s,imc519_s),MATCH($W817,IF($T817&lt;=60,imc05_k,imc519_k),1)),""))</f>
        <v/>
      </c>
      <c r="AB817">
        <f>IF($Y817="","",IF($Y817=0,LN($J817/$Z817)/$AA817,((($J817/$Z817)^$Y817)-1)/($Y817*$AA817)))</f>
        <v/>
      </c>
      <c r="AC817">
        <f>IF($Y817="","",IF($Y817=0,$Z817*EXP($AA817*2),$Z817*(1+$Y817*$AA817*2)^(1/$Y817)))</f>
        <v/>
      </c>
      <c r="AD817">
        <f>IF($Y817="","",IF($Y817=0,$Z817*EXP($AA817*3),$Z817*(1+$Y817*$AA817*3)^(1/$Y817)))</f>
        <v/>
      </c>
      <c r="AE817">
        <f>IF($Y817="","",IF($Y817=0,$Z817*EXP($AA817*-2),$Z817*(1+$Y817*$AA817*-2)^(1/$Y817)))</f>
        <v/>
      </c>
      <c r="AF817">
        <f>IF($Y817="","",IF($Y817=0,$Z817*EXP($AA817*-3),$Z817*(1+$Y817*$AA817*-3)^(1/$Y817)))</f>
        <v/>
      </c>
      <c r="AG817">
        <f>IF($W817="","",IFERROR(INDEX(IF($T817&lt;=60,est05_l,est519_l),MATCH($W817,IF($T817&lt;=60,est05_k,est519_k),1)),""))</f>
        <v/>
      </c>
      <c r="AH817">
        <f>IF($W817="","",IFERROR(INDEX(IF($T817&lt;=60,est05_m,est519_m),MATCH($W817,IF($T817&lt;=60,est05_k,est519_k),1)),""))</f>
        <v/>
      </c>
      <c r="AI817">
        <f>IF($W817="","",IFERROR(INDEX(IF($T817&lt;=60,est05_s,est519_s),MATCH($W817,IF($T817&lt;=60,est05_k,est519_k),1)),""))</f>
        <v/>
      </c>
      <c r="AJ817">
        <f>IF($W817="","",IFERROR(INDEX(IF($T817&lt;=60,peso05_l,peso510_l),MATCH($W817,IF($T817&lt;=60,peso05_k,peso510_k),1)),""))</f>
        <v/>
      </c>
      <c r="AK817">
        <f>IF($W817="","",IFERROR(INDEX(IF($T817&lt;=60,peso05_m,peso510_m),MATCH($W817,IF($T817&lt;=60,peso05_k,peso510_k),1)),""))</f>
        <v/>
      </c>
      <c r="AL817">
        <f>IF($W817="","",IFERROR(INDEX(IF($T817&lt;=60,peso05_s,peso510_s),MATCH($W817,IF($T817&lt;=60,peso05_k,peso510_k),1)),""))</f>
        <v/>
      </c>
      <c r="AM817">
        <f>IF($AJ817="","",IF($AJ817=0,LN($F817/$AK817)/$AL817,((($F817/$AK817)^$AJ817)-1)/($AJ817*$AL817)))</f>
        <v/>
      </c>
      <c r="AN817">
        <f>IF($AJ817="","",IF($AJ817=0,$AK817*EXP($AL817*2),$AK817*(1+$AJ817*$AL817*2)^(1/$AJ817)))</f>
        <v/>
      </c>
      <c r="AO817">
        <f>IF($AJ817="","",IF($AJ817=0,$AK817*EXP($AL817*3),$AK817*(1+$AJ817*$AL817*3)^(1/$AJ817)))</f>
        <v/>
      </c>
      <c r="AP817">
        <f>IF($AJ817="","",IF($AJ817=0,$AK817*EXP($AL817*-2),$AK817*(1+$AJ817*$AL817*-2)^(1/$AJ817)))</f>
        <v/>
      </c>
      <c r="AQ817">
        <f>IF($AJ817="","",IF($AJ817=0,$AK817*EXP($AL817*-3),$AK817*(1+$AJ817*$AL817*-3)^(1/$AJ817)))</f>
        <v/>
      </c>
      <c r="AR817">
        <f>IF(OR($X817="",$T817&gt;60),"",IFERROR(INDEX(IF($T817&lt;24,pcomp_l,palt_l),MATCH($X817,IF($T817&lt;24,pcomp_k,palt_k),1)),""))</f>
        <v/>
      </c>
      <c r="AS817">
        <f>IF(OR($X817="",$T817&gt;60),"",IFERROR(INDEX(IF($T817&lt;24,pcomp_m,palt_m),MATCH($X817,IF($T817&lt;24,pcomp_k,palt_k),1)),""))</f>
        <v/>
      </c>
      <c r="AT817">
        <f>IF(OR($X817="",$T817&gt;60),"",IFERROR(INDEX(IF($T817&lt;24,pcomp_s,palt_s),MATCH($X817,IF($T817&lt;24,pcomp_k,palt_k),1)),""))</f>
        <v/>
      </c>
      <c r="AU817">
        <f>IF($AR817="","",IF($AR817=0,LN($F817/$AS817)/$AT817,((($F817/$AS817)^$AR817)-1)/($AR817*$AT817)))</f>
        <v/>
      </c>
      <c r="AV817">
        <f>IF($AR817="","",IF($AR817=0,$AS817*EXP($AT817*2),$AS817*(1+$AR817*$AT817*2)^(1/$AR817)))</f>
        <v/>
      </c>
      <c r="AW817">
        <f>IF($AR817="","",IF($AR817=0,$AS817*EXP($AT817*3),$AS817*(1+$AR817*$AT817*3)^(1/$AR817)))</f>
        <v/>
      </c>
      <c r="AX817">
        <f>IF($AR817="","",IF($AR817=0,$AS817*EXP($AT817*-2),$AS817*(1+$AR817*$AT817*-2)^(1/$AR817)))</f>
        <v/>
      </c>
      <c r="AY817">
        <f>IF($AR817="","",IF($AR817=0,$AS817*EXP($AT817*-3),$AS817*(1+$AR817*$AT817*-3)^(1/$AR817)))</f>
        <v/>
      </c>
      <c r="AZ817">
        <f>IF(OR($A817="",$A817&lt;&gt;Ficha!$C$4),"",COUNTIF($A$2:$A817,Ficha!$C$4))</f>
        <v/>
      </c>
    </row>
    <row r="818">
      <c r="A818" s="8">
        <f>IF(INDEX(Banco!$A:$A,ROW())="","",INDEX(Banco!$A:$A,ROW()))</f>
        <v/>
      </c>
      <c r="B818" s="8">
        <f>IF(INDEX(Banco!$B:$B,ROW())="","",INDEX(Banco!$B:$B,ROW()))</f>
        <v/>
      </c>
      <c r="C818" s="8">
        <f>IF(INDEX(Banco!$C:$C,ROW())="","",INDEX(Banco!$C:$C,ROW()))</f>
        <v/>
      </c>
      <c r="D818" s="9">
        <f>IF(INDEX(Banco!$D:$D,ROW())="","",INDEX(Banco!$D:$D,ROW()))</f>
        <v/>
      </c>
      <c r="E818" s="9">
        <f>IF(INDEX(Banco!$E:$E,ROW())="","",INDEX(Banco!$E:$E,ROW()))</f>
        <v/>
      </c>
      <c r="F818" s="10">
        <f>IF(INDEX(Banco!$F:$F,ROW())="","",INDEX(Banco!$F:$F,ROW()))</f>
        <v/>
      </c>
      <c r="G818" s="10">
        <f>IF(INDEX(Banco!$G:$G,ROW())="","",INDEX(Banco!$G:$G,ROW()))</f>
        <v/>
      </c>
      <c r="H818" s="8">
        <f>IF(INDEX(Banco!$H:$H,ROW())="","",INDEX(Banco!$H:$H,ROW()))</f>
        <v/>
      </c>
      <c r="I818">
        <f>IF($T818="","",INT($T818/12)&amp;"a "&amp;MOD($T818,12)&amp;"m")</f>
        <v/>
      </c>
      <c r="J818" s="11">
        <f>IF(OR($F818="",$G818=""),"",ROUND($F818/($G818/100)^2,2))</f>
        <v/>
      </c>
      <c r="K818" s="12">
        <f>IF(OR($S818="",$J818="",$T818="",$T818&lt;0,$T818&gt;228,$Y818=""),"—",ROUND(IF(ABS($AB818)&lt;=3,$AB818,IF($AB818&gt;3,3+($J818-$AD818)/($AD818-$AC818),-3+($J818-$AF818)/($AE818-$AF818))),2))</f>
        <v/>
      </c>
      <c r="L818">
        <f>IF(OR($K818="",$K818="—"),"",IF($T818&lt;=60,IF($K818&lt;-3,"Magreza acentuada",IF($K818&lt;-2,"Magreza",IF($K818&lt;=1,"Eutrofia",IF($K818&lt;=2,"Risco de sobrepeso",IF($K818&lt;=3,"Sobrepeso","Obesidade"))))),IF($K818&lt;-3,"Magreza acentuada",IF($K818&lt;-2,"Magreza",IF($K818&lt;=1,"Eutrofia",IF($K818&lt;=2,"Sobrepeso",IF($K818&lt;=3,"Obesidade","Obesidade grave")))))))</f>
        <v/>
      </c>
      <c r="M818" s="12">
        <f>IF(OR($S818="",$V818="",$T818="",$T818&lt;0,$T818&gt;228,$AG818=""),"—",ROUND(IF($AG818=0,LN($V818/$AH818)/$AI818,((($V818/$AH818)^$AG818)-1)/($AG818*$AI818)),2))</f>
        <v/>
      </c>
      <c r="N818">
        <f>IF(OR($M818="",$M818="—"),"",IF($M818&lt;-3,"Muito baixa",IF($M818&lt;-2,"Baixa","Adequada")))</f>
        <v/>
      </c>
      <c r="O818" s="12">
        <f>IF(OR($S818="",$F818="",$T818="",$T818&lt;0,$T818&gt;120,$AJ818=""),"—",ROUND(IF(ABS($AM818)&lt;=3,$AM818,IF($AM818&gt;3,3+($F818-$AO818)/($AO818-$AN818),-3+($F818-$AQ818)/($AP818-$AQ818))),2))</f>
        <v/>
      </c>
      <c r="P818">
        <f>IF(OR($O818="",$O818="—"),"",IF($O818&lt;-3,"Muito baixo",IF($O818&lt;-2,"Baixo",IF($O818&lt;=2,"Adequado","Elevado"))))</f>
        <v/>
      </c>
      <c r="Q818" s="12">
        <f>IF(OR($S818="",$F818="",$T818="",$T818&lt;0,$T818&gt;60,$AR818=""),"—",ROUND(IF(ABS($AU818)&lt;=3,$AU818,IF($AU818&gt;3,3+($F818-$AW818)/($AW818-$AV818),-3+($F818-$AY818)/($AX818-$AY818))),2))</f>
        <v/>
      </c>
      <c r="R818">
        <f>IF(OR($Q818="",$Q818="—"),"",IF($Q818&lt;-3,"Magreza acentuada",IF($Q818&lt;-2,"Magreza",IF($Q818&lt;=1,"Eutrofia",IF($Q818&lt;=2,"Risco de sobrepeso",IF($Q818&lt;=3,"Sobrepeso","Obesidade"))))))</f>
        <v/>
      </c>
      <c r="S818">
        <f>IF($C818="","",IF(UPPER(LEFT($C818,1))="M",1,IF(UPPER(LEFT($C818,1))="F",2,"")))</f>
        <v/>
      </c>
      <c r="T818">
        <f>IF(OR($D818="",$E818=""),"",DATEDIF($D818,$E818,"m"))</f>
        <v/>
      </c>
      <c r="U818">
        <f>IF(OR($D818="",$E818=""),"",$E818-$D818)</f>
        <v/>
      </c>
      <c r="V818">
        <f>IF(OR($G818="",$T818=""),"",IF($T818&lt;24,IF(LEFT(LOWER($H818),4)="em p",$G818+0.7,$G818),IF(LEFT(LOWER($H818),4)="deit",$G818-0.7,$G818)))</f>
        <v/>
      </c>
      <c r="W818">
        <f>IF(OR($S818="",$T818=""),"",$S818*1000000+IF($T818&lt;=60,$U818,$T818))</f>
        <v/>
      </c>
      <c r="X818">
        <f>IF(OR($S818="",$V818="",$T818&gt;60,$T818=""),"",$S818*1000000+ROUND($V818*10,0))</f>
        <v/>
      </c>
      <c r="Y818">
        <f>IF($W818="","",IFERROR(INDEX(IF($T818&lt;=60,imc05_l,imc519_l),MATCH($W818,IF($T818&lt;=60,imc05_k,imc519_k),1)),""))</f>
        <v/>
      </c>
      <c r="Z818">
        <f>IF($W818="","",IFERROR(INDEX(IF($T818&lt;=60,imc05_m,imc519_m),MATCH($W818,IF($T818&lt;=60,imc05_k,imc519_k),1)),""))</f>
        <v/>
      </c>
      <c r="AA818">
        <f>IF($W818="","",IFERROR(INDEX(IF($T818&lt;=60,imc05_s,imc519_s),MATCH($W818,IF($T818&lt;=60,imc05_k,imc519_k),1)),""))</f>
        <v/>
      </c>
      <c r="AB818">
        <f>IF($Y818="","",IF($Y818=0,LN($J818/$Z818)/$AA818,((($J818/$Z818)^$Y818)-1)/($Y818*$AA818)))</f>
        <v/>
      </c>
      <c r="AC818">
        <f>IF($Y818="","",IF($Y818=0,$Z818*EXP($AA818*2),$Z818*(1+$Y818*$AA818*2)^(1/$Y818)))</f>
        <v/>
      </c>
      <c r="AD818">
        <f>IF($Y818="","",IF($Y818=0,$Z818*EXP($AA818*3),$Z818*(1+$Y818*$AA818*3)^(1/$Y818)))</f>
        <v/>
      </c>
      <c r="AE818">
        <f>IF($Y818="","",IF($Y818=0,$Z818*EXP($AA818*-2),$Z818*(1+$Y818*$AA818*-2)^(1/$Y818)))</f>
        <v/>
      </c>
      <c r="AF818">
        <f>IF($Y818="","",IF($Y818=0,$Z818*EXP($AA818*-3),$Z818*(1+$Y818*$AA818*-3)^(1/$Y818)))</f>
        <v/>
      </c>
      <c r="AG818">
        <f>IF($W818="","",IFERROR(INDEX(IF($T818&lt;=60,est05_l,est519_l),MATCH($W818,IF($T818&lt;=60,est05_k,est519_k),1)),""))</f>
        <v/>
      </c>
      <c r="AH818">
        <f>IF($W818="","",IFERROR(INDEX(IF($T818&lt;=60,est05_m,est519_m),MATCH($W818,IF($T818&lt;=60,est05_k,est519_k),1)),""))</f>
        <v/>
      </c>
      <c r="AI818">
        <f>IF($W818="","",IFERROR(INDEX(IF($T818&lt;=60,est05_s,est519_s),MATCH($W818,IF($T818&lt;=60,est05_k,est519_k),1)),""))</f>
        <v/>
      </c>
      <c r="AJ818">
        <f>IF($W818="","",IFERROR(INDEX(IF($T818&lt;=60,peso05_l,peso510_l),MATCH($W818,IF($T818&lt;=60,peso05_k,peso510_k),1)),""))</f>
        <v/>
      </c>
      <c r="AK818">
        <f>IF($W818="","",IFERROR(INDEX(IF($T818&lt;=60,peso05_m,peso510_m),MATCH($W818,IF($T818&lt;=60,peso05_k,peso510_k),1)),""))</f>
        <v/>
      </c>
      <c r="AL818">
        <f>IF($W818="","",IFERROR(INDEX(IF($T818&lt;=60,peso05_s,peso510_s),MATCH($W818,IF($T818&lt;=60,peso05_k,peso510_k),1)),""))</f>
        <v/>
      </c>
      <c r="AM818">
        <f>IF($AJ818="","",IF($AJ818=0,LN($F818/$AK818)/$AL818,((($F818/$AK818)^$AJ818)-1)/($AJ818*$AL818)))</f>
        <v/>
      </c>
      <c r="AN818">
        <f>IF($AJ818="","",IF($AJ818=0,$AK818*EXP($AL818*2),$AK818*(1+$AJ818*$AL818*2)^(1/$AJ818)))</f>
        <v/>
      </c>
      <c r="AO818">
        <f>IF($AJ818="","",IF($AJ818=0,$AK818*EXP($AL818*3),$AK818*(1+$AJ818*$AL818*3)^(1/$AJ818)))</f>
        <v/>
      </c>
      <c r="AP818">
        <f>IF($AJ818="","",IF($AJ818=0,$AK818*EXP($AL818*-2),$AK818*(1+$AJ818*$AL818*-2)^(1/$AJ818)))</f>
        <v/>
      </c>
      <c r="AQ818">
        <f>IF($AJ818="","",IF($AJ818=0,$AK818*EXP($AL818*-3),$AK818*(1+$AJ818*$AL818*-3)^(1/$AJ818)))</f>
        <v/>
      </c>
      <c r="AR818">
        <f>IF(OR($X818="",$T818&gt;60),"",IFERROR(INDEX(IF($T818&lt;24,pcomp_l,palt_l),MATCH($X818,IF($T818&lt;24,pcomp_k,palt_k),1)),""))</f>
        <v/>
      </c>
      <c r="AS818">
        <f>IF(OR($X818="",$T818&gt;60),"",IFERROR(INDEX(IF($T818&lt;24,pcomp_m,palt_m),MATCH($X818,IF($T818&lt;24,pcomp_k,palt_k),1)),""))</f>
        <v/>
      </c>
      <c r="AT818">
        <f>IF(OR($X818="",$T818&gt;60),"",IFERROR(INDEX(IF($T818&lt;24,pcomp_s,palt_s),MATCH($X818,IF($T818&lt;24,pcomp_k,palt_k),1)),""))</f>
        <v/>
      </c>
      <c r="AU818">
        <f>IF($AR818="","",IF($AR818=0,LN($F818/$AS818)/$AT818,((($F818/$AS818)^$AR818)-1)/($AR818*$AT818)))</f>
        <v/>
      </c>
      <c r="AV818">
        <f>IF($AR818="","",IF($AR818=0,$AS818*EXP($AT818*2),$AS818*(1+$AR818*$AT818*2)^(1/$AR818)))</f>
        <v/>
      </c>
      <c r="AW818">
        <f>IF($AR818="","",IF($AR818=0,$AS818*EXP($AT818*3),$AS818*(1+$AR818*$AT818*3)^(1/$AR818)))</f>
        <v/>
      </c>
      <c r="AX818">
        <f>IF($AR818="","",IF($AR818=0,$AS818*EXP($AT818*-2),$AS818*(1+$AR818*$AT818*-2)^(1/$AR818)))</f>
        <v/>
      </c>
      <c r="AY818">
        <f>IF($AR818="","",IF($AR818=0,$AS818*EXP($AT818*-3),$AS818*(1+$AR818*$AT818*-3)^(1/$AR818)))</f>
        <v/>
      </c>
      <c r="AZ818">
        <f>IF(OR($A818="",$A818&lt;&gt;Ficha!$C$4),"",COUNTIF($A$2:$A818,Ficha!$C$4))</f>
        <v/>
      </c>
    </row>
    <row r="819">
      <c r="A819" s="8">
        <f>IF(INDEX(Banco!$A:$A,ROW())="","",INDEX(Banco!$A:$A,ROW()))</f>
        <v/>
      </c>
      <c r="B819" s="8">
        <f>IF(INDEX(Banco!$B:$B,ROW())="","",INDEX(Banco!$B:$B,ROW()))</f>
        <v/>
      </c>
      <c r="C819" s="8">
        <f>IF(INDEX(Banco!$C:$C,ROW())="","",INDEX(Banco!$C:$C,ROW()))</f>
        <v/>
      </c>
      <c r="D819" s="9">
        <f>IF(INDEX(Banco!$D:$D,ROW())="","",INDEX(Banco!$D:$D,ROW()))</f>
        <v/>
      </c>
      <c r="E819" s="9">
        <f>IF(INDEX(Banco!$E:$E,ROW())="","",INDEX(Banco!$E:$E,ROW()))</f>
        <v/>
      </c>
      <c r="F819" s="10">
        <f>IF(INDEX(Banco!$F:$F,ROW())="","",INDEX(Banco!$F:$F,ROW()))</f>
        <v/>
      </c>
      <c r="G819" s="10">
        <f>IF(INDEX(Banco!$G:$G,ROW())="","",INDEX(Banco!$G:$G,ROW()))</f>
        <v/>
      </c>
      <c r="H819" s="8">
        <f>IF(INDEX(Banco!$H:$H,ROW())="","",INDEX(Banco!$H:$H,ROW()))</f>
        <v/>
      </c>
      <c r="I819">
        <f>IF($T819="","",INT($T819/12)&amp;"a "&amp;MOD($T819,12)&amp;"m")</f>
        <v/>
      </c>
      <c r="J819" s="11">
        <f>IF(OR($F819="",$G819=""),"",ROUND($F819/($G819/100)^2,2))</f>
        <v/>
      </c>
      <c r="K819" s="12">
        <f>IF(OR($S819="",$J819="",$T819="",$T819&lt;0,$T819&gt;228,$Y819=""),"—",ROUND(IF(ABS($AB819)&lt;=3,$AB819,IF($AB819&gt;3,3+($J819-$AD819)/($AD819-$AC819),-3+($J819-$AF819)/($AE819-$AF819))),2))</f>
        <v/>
      </c>
      <c r="L819">
        <f>IF(OR($K819="",$K819="—"),"",IF($T819&lt;=60,IF($K819&lt;-3,"Magreza acentuada",IF($K819&lt;-2,"Magreza",IF($K819&lt;=1,"Eutrofia",IF($K819&lt;=2,"Risco de sobrepeso",IF($K819&lt;=3,"Sobrepeso","Obesidade"))))),IF($K819&lt;-3,"Magreza acentuada",IF($K819&lt;-2,"Magreza",IF($K819&lt;=1,"Eutrofia",IF($K819&lt;=2,"Sobrepeso",IF($K819&lt;=3,"Obesidade","Obesidade grave")))))))</f>
        <v/>
      </c>
      <c r="M819" s="12">
        <f>IF(OR($S819="",$V819="",$T819="",$T819&lt;0,$T819&gt;228,$AG819=""),"—",ROUND(IF($AG819=0,LN($V819/$AH819)/$AI819,((($V819/$AH819)^$AG819)-1)/($AG819*$AI819)),2))</f>
        <v/>
      </c>
      <c r="N819">
        <f>IF(OR($M819="",$M819="—"),"",IF($M819&lt;-3,"Muito baixa",IF($M819&lt;-2,"Baixa","Adequada")))</f>
        <v/>
      </c>
      <c r="O819" s="12">
        <f>IF(OR($S819="",$F819="",$T819="",$T819&lt;0,$T819&gt;120,$AJ819=""),"—",ROUND(IF(ABS($AM819)&lt;=3,$AM819,IF($AM819&gt;3,3+($F819-$AO819)/($AO819-$AN819),-3+($F819-$AQ819)/($AP819-$AQ819))),2))</f>
        <v/>
      </c>
      <c r="P819">
        <f>IF(OR($O819="",$O819="—"),"",IF($O819&lt;-3,"Muito baixo",IF($O819&lt;-2,"Baixo",IF($O819&lt;=2,"Adequado","Elevado"))))</f>
        <v/>
      </c>
      <c r="Q819" s="12">
        <f>IF(OR($S819="",$F819="",$T819="",$T819&lt;0,$T819&gt;60,$AR819=""),"—",ROUND(IF(ABS($AU819)&lt;=3,$AU819,IF($AU819&gt;3,3+($F819-$AW819)/($AW819-$AV819),-3+($F819-$AY819)/($AX819-$AY819))),2))</f>
        <v/>
      </c>
      <c r="R819">
        <f>IF(OR($Q819="",$Q819="—"),"",IF($Q819&lt;-3,"Magreza acentuada",IF($Q819&lt;-2,"Magreza",IF($Q819&lt;=1,"Eutrofia",IF($Q819&lt;=2,"Risco de sobrepeso",IF($Q819&lt;=3,"Sobrepeso","Obesidade"))))))</f>
        <v/>
      </c>
      <c r="S819">
        <f>IF($C819="","",IF(UPPER(LEFT($C819,1))="M",1,IF(UPPER(LEFT($C819,1))="F",2,"")))</f>
        <v/>
      </c>
      <c r="T819">
        <f>IF(OR($D819="",$E819=""),"",DATEDIF($D819,$E819,"m"))</f>
        <v/>
      </c>
      <c r="U819">
        <f>IF(OR($D819="",$E819=""),"",$E819-$D819)</f>
        <v/>
      </c>
      <c r="V819">
        <f>IF(OR($G819="",$T819=""),"",IF($T819&lt;24,IF(LEFT(LOWER($H819),4)="em p",$G819+0.7,$G819),IF(LEFT(LOWER($H819),4)="deit",$G819-0.7,$G819)))</f>
        <v/>
      </c>
      <c r="W819">
        <f>IF(OR($S819="",$T819=""),"",$S819*1000000+IF($T819&lt;=60,$U819,$T819))</f>
        <v/>
      </c>
      <c r="X819">
        <f>IF(OR($S819="",$V819="",$T819&gt;60,$T819=""),"",$S819*1000000+ROUND($V819*10,0))</f>
        <v/>
      </c>
      <c r="Y819">
        <f>IF($W819="","",IFERROR(INDEX(IF($T819&lt;=60,imc05_l,imc519_l),MATCH($W819,IF($T819&lt;=60,imc05_k,imc519_k),1)),""))</f>
        <v/>
      </c>
      <c r="Z819">
        <f>IF($W819="","",IFERROR(INDEX(IF($T819&lt;=60,imc05_m,imc519_m),MATCH($W819,IF($T819&lt;=60,imc05_k,imc519_k),1)),""))</f>
        <v/>
      </c>
      <c r="AA819">
        <f>IF($W819="","",IFERROR(INDEX(IF($T819&lt;=60,imc05_s,imc519_s),MATCH($W819,IF($T819&lt;=60,imc05_k,imc519_k),1)),""))</f>
        <v/>
      </c>
      <c r="AB819">
        <f>IF($Y819="","",IF($Y819=0,LN($J819/$Z819)/$AA819,((($J819/$Z819)^$Y819)-1)/($Y819*$AA819)))</f>
        <v/>
      </c>
      <c r="AC819">
        <f>IF($Y819="","",IF($Y819=0,$Z819*EXP($AA819*2),$Z819*(1+$Y819*$AA819*2)^(1/$Y819)))</f>
        <v/>
      </c>
      <c r="AD819">
        <f>IF($Y819="","",IF($Y819=0,$Z819*EXP($AA819*3),$Z819*(1+$Y819*$AA819*3)^(1/$Y819)))</f>
        <v/>
      </c>
      <c r="AE819">
        <f>IF($Y819="","",IF($Y819=0,$Z819*EXP($AA819*-2),$Z819*(1+$Y819*$AA819*-2)^(1/$Y819)))</f>
        <v/>
      </c>
      <c r="AF819">
        <f>IF($Y819="","",IF($Y819=0,$Z819*EXP($AA819*-3),$Z819*(1+$Y819*$AA819*-3)^(1/$Y819)))</f>
        <v/>
      </c>
      <c r="AG819">
        <f>IF($W819="","",IFERROR(INDEX(IF($T819&lt;=60,est05_l,est519_l),MATCH($W819,IF($T819&lt;=60,est05_k,est519_k),1)),""))</f>
        <v/>
      </c>
      <c r="AH819">
        <f>IF($W819="","",IFERROR(INDEX(IF($T819&lt;=60,est05_m,est519_m),MATCH($W819,IF($T819&lt;=60,est05_k,est519_k),1)),""))</f>
        <v/>
      </c>
      <c r="AI819">
        <f>IF($W819="","",IFERROR(INDEX(IF($T819&lt;=60,est05_s,est519_s),MATCH($W819,IF($T819&lt;=60,est05_k,est519_k),1)),""))</f>
        <v/>
      </c>
      <c r="AJ819">
        <f>IF($W819="","",IFERROR(INDEX(IF($T819&lt;=60,peso05_l,peso510_l),MATCH($W819,IF($T819&lt;=60,peso05_k,peso510_k),1)),""))</f>
        <v/>
      </c>
      <c r="AK819">
        <f>IF($W819="","",IFERROR(INDEX(IF($T819&lt;=60,peso05_m,peso510_m),MATCH($W819,IF($T819&lt;=60,peso05_k,peso510_k),1)),""))</f>
        <v/>
      </c>
      <c r="AL819">
        <f>IF($W819="","",IFERROR(INDEX(IF($T819&lt;=60,peso05_s,peso510_s),MATCH($W819,IF($T819&lt;=60,peso05_k,peso510_k),1)),""))</f>
        <v/>
      </c>
      <c r="AM819">
        <f>IF($AJ819="","",IF($AJ819=0,LN($F819/$AK819)/$AL819,((($F819/$AK819)^$AJ819)-1)/($AJ819*$AL819)))</f>
        <v/>
      </c>
      <c r="AN819">
        <f>IF($AJ819="","",IF($AJ819=0,$AK819*EXP($AL819*2),$AK819*(1+$AJ819*$AL819*2)^(1/$AJ819)))</f>
        <v/>
      </c>
      <c r="AO819">
        <f>IF($AJ819="","",IF($AJ819=0,$AK819*EXP($AL819*3),$AK819*(1+$AJ819*$AL819*3)^(1/$AJ819)))</f>
        <v/>
      </c>
      <c r="AP819">
        <f>IF($AJ819="","",IF($AJ819=0,$AK819*EXP($AL819*-2),$AK819*(1+$AJ819*$AL819*-2)^(1/$AJ819)))</f>
        <v/>
      </c>
      <c r="AQ819">
        <f>IF($AJ819="","",IF($AJ819=0,$AK819*EXP($AL819*-3),$AK819*(1+$AJ819*$AL819*-3)^(1/$AJ819)))</f>
        <v/>
      </c>
      <c r="AR819">
        <f>IF(OR($X819="",$T819&gt;60),"",IFERROR(INDEX(IF($T819&lt;24,pcomp_l,palt_l),MATCH($X819,IF($T819&lt;24,pcomp_k,palt_k),1)),""))</f>
        <v/>
      </c>
      <c r="AS819">
        <f>IF(OR($X819="",$T819&gt;60),"",IFERROR(INDEX(IF($T819&lt;24,pcomp_m,palt_m),MATCH($X819,IF($T819&lt;24,pcomp_k,palt_k),1)),""))</f>
        <v/>
      </c>
      <c r="AT819">
        <f>IF(OR($X819="",$T819&gt;60),"",IFERROR(INDEX(IF($T819&lt;24,pcomp_s,palt_s),MATCH($X819,IF($T819&lt;24,pcomp_k,palt_k),1)),""))</f>
        <v/>
      </c>
      <c r="AU819">
        <f>IF($AR819="","",IF($AR819=0,LN($F819/$AS819)/$AT819,((($F819/$AS819)^$AR819)-1)/($AR819*$AT819)))</f>
        <v/>
      </c>
      <c r="AV819">
        <f>IF($AR819="","",IF($AR819=0,$AS819*EXP($AT819*2),$AS819*(1+$AR819*$AT819*2)^(1/$AR819)))</f>
        <v/>
      </c>
      <c r="AW819">
        <f>IF($AR819="","",IF($AR819=0,$AS819*EXP($AT819*3),$AS819*(1+$AR819*$AT819*3)^(1/$AR819)))</f>
        <v/>
      </c>
      <c r="AX819">
        <f>IF($AR819="","",IF($AR819=0,$AS819*EXP($AT819*-2),$AS819*(1+$AR819*$AT819*-2)^(1/$AR819)))</f>
        <v/>
      </c>
      <c r="AY819">
        <f>IF($AR819="","",IF($AR819=0,$AS819*EXP($AT819*-3),$AS819*(1+$AR819*$AT819*-3)^(1/$AR819)))</f>
        <v/>
      </c>
      <c r="AZ819">
        <f>IF(OR($A819="",$A819&lt;&gt;Ficha!$C$4),"",COUNTIF($A$2:$A819,Ficha!$C$4))</f>
        <v/>
      </c>
    </row>
    <row r="820">
      <c r="A820" s="8">
        <f>IF(INDEX(Banco!$A:$A,ROW())="","",INDEX(Banco!$A:$A,ROW()))</f>
        <v/>
      </c>
      <c r="B820" s="8">
        <f>IF(INDEX(Banco!$B:$B,ROW())="","",INDEX(Banco!$B:$B,ROW()))</f>
        <v/>
      </c>
      <c r="C820" s="8">
        <f>IF(INDEX(Banco!$C:$C,ROW())="","",INDEX(Banco!$C:$C,ROW()))</f>
        <v/>
      </c>
      <c r="D820" s="9">
        <f>IF(INDEX(Banco!$D:$D,ROW())="","",INDEX(Banco!$D:$D,ROW()))</f>
        <v/>
      </c>
      <c r="E820" s="9">
        <f>IF(INDEX(Banco!$E:$E,ROW())="","",INDEX(Banco!$E:$E,ROW()))</f>
        <v/>
      </c>
      <c r="F820" s="10">
        <f>IF(INDEX(Banco!$F:$F,ROW())="","",INDEX(Banco!$F:$F,ROW()))</f>
        <v/>
      </c>
      <c r="G820" s="10">
        <f>IF(INDEX(Banco!$G:$G,ROW())="","",INDEX(Banco!$G:$G,ROW()))</f>
        <v/>
      </c>
      <c r="H820" s="8">
        <f>IF(INDEX(Banco!$H:$H,ROW())="","",INDEX(Banco!$H:$H,ROW()))</f>
        <v/>
      </c>
      <c r="I820">
        <f>IF($T820="","",INT($T820/12)&amp;"a "&amp;MOD($T820,12)&amp;"m")</f>
        <v/>
      </c>
      <c r="J820" s="11">
        <f>IF(OR($F820="",$G820=""),"",ROUND($F820/($G820/100)^2,2))</f>
        <v/>
      </c>
      <c r="K820" s="12">
        <f>IF(OR($S820="",$J820="",$T820="",$T820&lt;0,$T820&gt;228,$Y820=""),"—",ROUND(IF(ABS($AB820)&lt;=3,$AB820,IF($AB820&gt;3,3+($J820-$AD820)/($AD820-$AC820),-3+($J820-$AF820)/($AE820-$AF820))),2))</f>
        <v/>
      </c>
      <c r="L820">
        <f>IF(OR($K820="",$K820="—"),"",IF($T820&lt;=60,IF($K820&lt;-3,"Magreza acentuada",IF($K820&lt;-2,"Magreza",IF($K820&lt;=1,"Eutrofia",IF($K820&lt;=2,"Risco de sobrepeso",IF($K820&lt;=3,"Sobrepeso","Obesidade"))))),IF($K820&lt;-3,"Magreza acentuada",IF($K820&lt;-2,"Magreza",IF($K820&lt;=1,"Eutrofia",IF($K820&lt;=2,"Sobrepeso",IF($K820&lt;=3,"Obesidade","Obesidade grave")))))))</f>
        <v/>
      </c>
      <c r="M820" s="12">
        <f>IF(OR($S820="",$V820="",$T820="",$T820&lt;0,$T820&gt;228,$AG820=""),"—",ROUND(IF($AG820=0,LN($V820/$AH820)/$AI820,((($V820/$AH820)^$AG820)-1)/($AG820*$AI820)),2))</f>
        <v/>
      </c>
      <c r="N820">
        <f>IF(OR($M820="",$M820="—"),"",IF($M820&lt;-3,"Muito baixa",IF($M820&lt;-2,"Baixa","Adequada")))</f>
        <v/>
      </c>
      <c r="O820" s="12">
        <f>IF(OR($S820="",$F820="",$T820="",$T820&lt;0,$T820&gt;120,$AJ820=""),"—",ROUND(IF(ABS($AM820)&lt;=3,$AM820,IF($AM820&gt;3,3+($F820-$AO820)/($AO820-$AN820),-3+($F820-$AQ820)/($AP820-$AQ820))),2))</f>
        <v/>
      </c>
      <c r="P820">
        <f>IF(OR($O820="",$O820="—"),"",IF($O820&lt;-3,"Muito baixo",IF($O820&lt;-2,"Baixo",IF($O820&lt;=2,"Adequado","Elevado"))))</f>
        <v/>
      </c>
      <c r="Q820" s="12">
        <f>IF(OR($S820="",$F820="",$T820="",$T820&lt;0,$T820&gt;60,$AR820=""),"—",ROUND(IF(ABS($AU820)&lt;=3,$AU820,IF($AU820&gt;3,3+($F820-$AW820)/($AW820-$AV820),-3+($F820-$AY820)/($AX820-$AY820))),2))</f>
        <v/>
      </c>
      <c r="R820">
        <f>IF(OR($Q820="",$Q820="—"),"",IF($Q820&lt;-3,"Magreza acentuada",IF($Q820&lt;-2,"Magreza",IF($Q820&lt;=1,"Eutrofia",IF($Q820&lt;=2,"Risco de sobrepeso",IF($Q820&lt;=3,"Sobrepeso","Obesidade"))))))</f>
        <v/>
      </c>
      <c r="S820">
        <f>IF($C820="","",IF(UPPER(LEFT($C820,1))="M",1,IF(UPPER(LEFT($C820,1))="F",2,"")))</f>
        <v/>
      </c>
      <c r="T820">
        <f>IF(OR($D820="",$E820=""),"",DATEDIF($D820,$E820,"m"))</f>
        <v/>
      </c>
      <c r="U820">
        <f>IF(OR($D820="",$E820=""),"",$E820-$D820)</f>
        <v/>
      </c>
      <c r="V820">
        <f>IF(OR($G820="",$T820=""),"",IF($T820&lt;24,IF(LEFT(LOWER($H820),4)="em p",$G820+0.7,$G820),IF(LEFT(LOWER($H820),4)="deit",$G820-0.7,$G820)))</f>
        <v/>
      </c>
      <c r="W820">
        <f>IF(OR($S820="",$T820=""),"",$S820*1000000+IF($T820&lt;=60,$U820,$T820))</f>
        <v/>
      </c>
      <c r="X820">
        <f>IF(OR($S820="",$V820="",$T820&gt;60,$T820=""),"",$S820*1000000+ROUND($V820*10,0))</f>
        <v/>
      </c>
      <c r="Y820">
        <f>IF($W820="","",IFERROR(INDEX(IF($T820&lt;=60,imc05_l,imc519_l),MATCH($W820,IF($T820&lt;=60,imc05_k,imc519_k),1)),""))</f>
        <v/>
      </c>
      <c r="Z820">
        <f>IF($W820="","",IFERROR(INDEX(IF($T820&lt;=60,imc05_m,imc519_m),MATCH($W820,IF($T820&lt;=60,imc05_k,imc519_k),1)),""))</f>
        <v/>
      </c>
      <c r="AA820">
        <f>IF($W820="","",IFERROR(INDEX(IF($T820&lt;=60,imc05_s,imc519_s),MATCH($W820,IF($T820&lt;=60,imc05_k,imc519_k),1)),""))</f>
        <v/>
      </c>
      <c r="AB820">
        <f>IF($Y820="","",IF($Y820=0,LN($J820/$Z820)/$AA820,((($J820/$Z820)^$Y820)-1)/($Y820*$AA820)))</f>
        <v/>
      </c>
      <c r="AC820">
        <f>IF($Y820="","",IF($Y820=0,$Z820*EXP($AA820*2),$Z820*(1+$Y820*$AA820*2)^(1/$Y820)))</f>
        <v/>
      </c>
      <c r="AD820">
        <f>IF($Y820="","",IF($Y820=0,$Z820*EXP($AA820*3),$Z820*(1+$Y820*$AA820*3)^(1/$Y820)))</f>
        <v/>
      </c>
      <c r="AE820">
        <f>IF($Y820="","",IF($Y820=0,$Z820*EXP($AA820*-2),$Z820*(1+$Y820*$AA820*-2)^(1/$Y820)))</f>
        <v/>
      </c>
      <c r="AF820">
        <f>IF($Y820="","",IF($Y820=0,$Z820*EXP($AA820*-3),$Z820*(1+$Y820*$AA820*-3)^(1/$Y820)))</f>
        <v/>
      </c>
      <c r="AG820">
        <f>IF($W820="","",IFERROR(INDEX(IF($T820&lt;=60,est05_l,est519_l),MATCH($W820,IF($T820&lt;=60,est05_k,est519_k),1)),""))</f>
        <v/>
      </c>
      <c r="AH820">
        <f>IF($W820="","",IFERROR(INDEX(IF($T820&lt;=60,est05_m,est519_m),MATCH($W820,IF($T820&lt;=60,est05_k,est519_k),1)),""))</f>
        <v/>
      </c>
      <c r="AI820">
        <f>IF($W820="","",IFERROR(INDEX(IF($T820&lt;=60,est05_s,est519_s),MATCH($W820,IF($T820&lt;=60,est05_k,est519_k),1)),""))</f>
        <v/>
      </c>
      <c r="AJ820">
        <f>IF($W820="","",IFERROR(INDEX(IF($T820&lt;=60,peso05_l,peso510_l),MATCH($W820,IF($T820&lt;=60,peso05_k,peso510_k),1)),""))</f>
        <v/>
      </c>
      <c r="AK820">
        <f>IF($W820="","",IFERROR(INDEX(IF($T820&lt;=60,peso05_m,peso510_m),MATCH($W820,IF($T820&lt;=60,peso05_k,peso510_k),1)),""))</f>
        <v/>
      </c>
      <c r="AL820">
        <f>IF($W820="","",IFERROR(INDEX(IF($T820&lt;=60,peso05_s,peso510_s),MATCH($W820,IF($T820&lt;=60,peso05_k,peso510_k),1)),""))</f>
        <v/>
      </c>
      <c r="AM820">
        <f>IF($AJ820="","",IF($AJ820=0,LN($F820/$AK820)/$AL820,((($F820/$AK820)^$AJ820)-1)/($AJ820*$AL820)))</f>
        <v/>
      </c>
      <c r="AN820">
        <f>IF($AJ820="","",IF($AJ820=0,$AK820*EXP($AL820*2),$AK820*(1+$AJ820*$AL820*2)^(1/$AJ820)))</f>
        <v/>
      </c>
      <c r="AO820">
        <f>IF($AJ820="","",IF($AJ820=0,$AK820*EXP($AL820*3),$AK820*(1+$AJ820*$AL820*3)^(1/$AJ820)))</f>
        <v/>
      </c>
      <c r="AP820">
        <f>IF($AJ820="","",IF($AJ820=0,$AK820*EXP($AL820*-2),$AK820*(1+$AJ820*$AL820*-2)^(1/$AJ820)))</f>
        <v/>
      </c>
      <c r="AQ820">
        <f>IF($AJ820="","",IF($AJ820=0,$AK820*EXP($AL820*-3),$AK820*(1+$AJ820*$AL820*-3)^(1/$AJ820)))</f>
        <v/>
      </c>
      <c r="AR820">
        <f>IF(OR($X820="",$T820&gt;60),"",IFERROR(INDEX(IF($T820&lt;24,pcomp_l,palt_l),MATCH($X820,IF($T820&lt;24,pcomp_k,palt_k),1)),""))</f>
        <v/>
      </c>
      <c r="AS820">
        <f>IF(OR($X820="",$T820&gt;60),"",IFERROR(INDEX(IF($T820&lt;24,pcomp_m,palt_m),MATCH($X820,IF($T820&lt;24,pcomp_k,palt_k),1)),""))</f>
        <v/>
      </c>
      <c r="AT820">
        <f>IF(OR($X820="",$T820&gt;60),"",IFERROR(INDEX(IF($T820&lt;24,pcomp_s,palt_s),MATCH($X820,IF($T820&lt;24,pcomp_k,palt_k),1)),""))</f>
        <v/>
      </c>
      <c r="AU820">
        <f>IF($AR820="","",IF($AR820=0,LN($F820/$AS820)/$AT820,((($F820/$AS820)^$AR820)-1)/($AR820*$AT820)))</f>
        <v/>
      </c>
      <c r="AV820">
        <f>IF($AR820="","",IF($AR820=0,$AS820*EXP($AT820*2),$AS820*(1+$AR820*$AT820*2)^(1/$AR820)))</f>
        <v/>
      </c>
      <c r="AW820">
        <f>IF($AR820="","",IF($AR820=0,$AS820*EXP($AT820*3),$AS820*(1+$AR820*$AT820*3)^(1/$AR820)))</f>
        <v/>
      </c>
      <c r="AX820">
        <f>IF($AR820="","",IF($AR820=0,$AS820*EXP($AT820*-2),$AS820*(1+$AR820*$AT820*-2)^(1/$AR820)))</f>
        <v/>
      </c>
      <c r="AY820">
        <f>IF($AR820="","",IF($AR820=0,$AS820*EXP($AT820*-3),$AS820*(1+$AR820*$AT820*-3)^(1/$AR820)))</f>
        <v/>
      </c>
      <c r="AZ820">
        <f>IF(OR($A820="",$A820&lt;&gt;Ficha!$C$4),"",COUNTIF($A$2:$A820,Ficha!$C$4))</f>
        <v/>
      </c>
    </row>
    <row r="821">
      <c r="A821" s="8">
        <f>IF(INDEX(Banco!$A:$A,ROW())="","",INDEX(Banco!$A:$A,ROW()))</f>
        <v/>
      </c>
      <c r="B821" s="8">
        <f>IF(INDEX(Banco!$B:$B,ROW())="","",INDEX(Banco!$B:$B,ROW()))</f>
        <v/>
      </c>
      <c r="C821" s="8">
        <f>IF(INDEX(Banco!$C:$C,ROW())="","",INDEX(Banco!$C:$C,ROW()))</f>
        <v/>
      </c>
      <c r="D821" s="9">
        <f>IF(INDEX(Banco!$D:$D,ROW())="","",INDEX(Banco!$D:$D,ROW()))</f>
        <v/>
      </c>
      <c r="E821" s="9">
        <f>IF(INDEX(Banco!$E:$E,ROW())="","",INDEX(Banco!$E:$E,ROW()))</f>
        <v/>
      </c>
      <c r="F821" s="10">
        <f>IF(INDEX(Banco!$F:$F,ROW())="","",INDEX(Banco!$F:$F,ROW()))</f>
        <v/>
      </c>
      <c r="G821" s="10">
        <f>IF(INDEX(Banco!$G:$G,ROW())="","",INDEX(Banco!$G:$G,ROW()))</f>
        <v/>
      </c>
      <c r="H821" s="8">
        <f>IF(INDEX(Banco!$H:$H,ROW())="","",INDEX(Banco!$H:$H,ROW()))</f>
        <v/>
      </c>
      <c r="I821">
        <f>IF($T821="","",INT($T821/12)&amp;"a "&amp;MOD($T821,12)&amp;"m")</f>
        <v/>
      </c>
      <c r="J821" s="11">
        <f>IF(OR($F821="",$G821=""),"",ROUND($F821/($G821/100)^2,2))</f>
        <v/>
      </c>
      <c r="K821" s="12">
        <f>IF(OR($S821="",$J821="",$T821="",$T821&lt;0,$T821&gt;228,$Y821=""),"—",ROUND(IF(ABS($AB821)&lt;=3,$AB821,IF($AB821&gt;3,3+($J821-$AD821)/($AD821-$AC821),-3+($J821-$AF821)/($AE821-$AF821))),2))</f>
        <v/>
      </c>
      <c r="L821">
        <f>IF(OR($K821="",$K821="—"),"",IF($T821&lt;=60,IF($K821&lt;-3,"Magreza acentuada",IF($K821&lt;-2,"Magreza",IF($K821&lt;=1,"Eutrofia",IF($K821&lt;=2,"Risco de sobrepeso",IF($K821&lt;=3,"Sobrepeso","Obesidade"))))),IF($K821&lt;-3,"Magreza acentuada",IF($K821&lt;-2,"Magreza",IF($K821&lt;=1,"Eutrofia",IF($K821&lt;=2,"Sobrepeso",IF($K821&lt;=3,"Obesidade","Obesidade grave")))))))</f>
        <v/>
      </c>
      <c r="M821" s="12">
        <f>IF(OR($S821="",$V821="",$T821="",$T821&lt;0,$T821&gt;228,$AG821=""),"—",ROUND(IF($AG821=0,LN($V821/$AH821)/$AI821,((($V821/$AH821)^$AG821)-1)/($AG821*$AI821)),2))</f>
        <v/>
      </c>
      <c r="N821">
        <f>IF(OR($M821="",$M821="—"),"",IF($M821&lt;-3,"Muito baixa",IF($M821&lt;-2,"Baixa","Adequada")))</f>
        <v/>
      </c>
      <c r="O821" s="12">
        <f>IF(OR($S821="",$F821="",$T821="",$T821&lt;0,$T821&gt;120,$AJ821=""),"—",ROUND(IF(ABS($AM821)&lt;=3,$AM821,IF($AM821&gt;3,3+($F821-$AO821)/($AO821-$AN821),-3+($F821-$AQ821)/($AP821-$AQ821))),2))</f>
        <v/>
      </c>
      <c r="P821">
        <f>IF(OR($O821="",$O821="—"),"",IF($O821&lt;-3,"Muito baixo",IF($O821&lt;-2,"Baixo",IF($O821&lt;=2,"Adequado","Elevado"))))</f>
        <v/>
      </c>
      <c r="Q821" s="12">
        <f>IF(OR($S821="",$F821="",$T821="",$T821&lt;0,$T821&gt;60,$AR821=""),"—",ROUND(IF(ABS($AU821)&lt;=3,$AU821,IF($AU821&gt;3,3+($F821-$AW821)/($AW821-$AV821),-3+($F821-$AY821)/($AX821-$AY821))),2))</f>
        <v/>
      </c>
      <c r="R821">
        <f>IF(OR($Q821="",$Q821="—"),"",IF($Q821&lt;-3,"Magreza acentuada",IF($Q821&lt;-2,"Magreza",IF($Q821&lt;=1,"Eutrofia",IF($Q821&lt;=2,"Risco de sobrepeso",IF($Q821&lt;=3,"Sobrepeso","Obesidade"))))))</f>
        <v/>
      </c>
      <c r="S821">
        <f>IF($C821="","",IF(UPPER(LEFT($C821,1))="M",1,IF(UPPER(LEFT($C821,1))="F",2,"")))</f>
        <v/>
      </c>
      <c r="T821">
        <f>IF(OR($D821="",$E821=""),"",DATEDIF($D821,$E821,"m"))</f>
        <v/>
      </c>
      <c r="U821">
        <f>IF(OR($D821="",$E821=""),"",$E821-$D821)</f>
        <v/>
      </c>
      <c r="V821">
        <f>IF(OR($G821="",$T821=""),"",IF($T821&lt;24,IF(LEFT(LOWER($H821),4)="em p",$G821+0.7,$G821),IF(LEFT(LOWER($H821),4)="deit",$G821-0.7,$G821)))</f>
        <v/>
      </c>
      <c r="W821">
        <f>IF(OR($S821="",$T821=""),"",$S821*1000000+IF($T821&lt;=60,$U821,$T821))</f>
        <v/>
      </c>
      <c r="X821">
        <f>IF(OR($S821="",$V821="",$T821&gt;60,$T821=""),"",$S821*1000000+ROUND($V821*10,0))</f>
        <v/>
      </c>
      <c r="Y821">
        <f>IF($W821="","",IFERROR(INDEX(IF($T821&lt;=60,imc05_l,imc519_l),MATCH($W821,IF($T821&lt;=60,imc05_k,imc519_k),1)),""))</f>
        <v/>
      </c>
      <c r="Z821">
        <f>IF($W821="","",IFERROR(INDEX(IF($T821&lt;=60,imc05_m,imc519_m),MATCH($W821,IF($T821&lt;=60,imc05_k,imc519_k),1)),""))</f>
        <v/>
      </c>
      <c r="AA821">
        <f>IF($W821="","",IFERROR(INDEX(IF($T821&lt;=60,imc05_s,imc519_s),MATCH($W821,IF($T821&lt;=60,imc05_k,imc519_k),1)),""))</f>
        <v/>
      </c>
      <c r="AB821">
        <f>IF($Y821="","",IF($Y821=0,LN($J821/$Z821)/$AA821,((($J821/$Z821)^$Y821)-1)/($Y821*$AA821)))</f>
        <v/>
      </c>
      <c r="AC821">
        <f>IF($Y821="","",IF($Y821=0,$Z821*EXP($AA821*2),$Z821*(1+$Y821*$AA821*2)^(1/$Y821)))</f>
        <v/>
      </c>
      <c r="AD821">
        <f>IF($Y821="","",IF($Y821=0,$Z821*EXP($AA821*3),$Z821*(1+$Y821*$AA821*3)^(1/$Y821)))</f>
        <v/>
      </c>
      <c r="AE821">
        <f>IF($Y821="","",IF($Y821=0,$Z821*EXP($AA821*-2),$Z821*(1+$Y821*$AA821*-2)^(1/$Y821)))</f>
        <v/>
      </c>
      <c r="AF821">
        <f>IF($Y821="","",IF($Y821=0,$Z821*EXP($AA821*-3),$Z821*(1+$Y821*$AA821*-3)^(1/$Y821)))</f>
        <v/>
      </c>
      <c r="AG821">
        <f>IF($W821="","",IFERROR(INDEX(IF($T821&lt;=60,est05_l,est519_l),MATCH($W821,IF($T821&lt;=60,est05_k,est519_k),1)),""))</f>
        <v/>
      </c>
      <c r="AH821">
        <f>IF($W821="","",IFERROR(INDEX(IF($T821&lt;=60,est05_m,est519_m),MATCH($W821,IF($T821&lt;=60,est05_k,est519_k),1)),""))</f>
        <v/>
      </c>
      <c r="AI821">
        <f>IF($W821="","",IFERROR(INDEX(IF($T821&lt;=60,est05_s,est519_s),MATCH($W821,IF($T821&lt;=60,est05_k,est519_k),1)),""))</f>
        <v/>
      </c>
      <c r="AJ821">
        <f>IF($W821="","",IFERROR(INDEX(IF($T821&lt;=60,peso05_l,peso510_l),MATCH($W821,IF($T821&lt;=60,peso05_k,peso510_k),1)),""))</f>
        <v/>
      </c>
      <c r="AK821">
        <f>IF($W821="","",IFERROR(INDEX(IF($T821&lt;=60,peso05_m,peso510_m),MATCH($W821,IF($T821&lt;=60,peso05_k,peso510_k),1)),""))</f>
        <v/>
      </c>
      <c r="AL821">
        <f>IF($W821="","",IFERROR(INDEX(IF($T821&lt;=60,peso05_s,peso510_s),MATCH($W821,IF($T821&lt;=60,peso05_k,peso510_k),1)),""))</f>
        <v/>
      </c>
      <c r="AM821">
        <f>IF($AJ821="","",IF($AJ821=0,LN($F821/$AK821)/$AL821,((($F821/$AK821)^$AJ821)-1)/($AJ821*$AL821)))</f>
        <v/>
      </c>
      <c r="AN821">
        <f>IF($AJ821="","",IF($AJ821=0,$AK821*EXP($AL821*2),$AK821*(1+$AJ821*$AL821*2)^(1/$AJ821)))</f>
        <v/>
      </c>
      <c r="AO821">
        <f>IF($AJ821="","",IF($AJ821=0,$AK821*EXP($AL821*3),$AK821*(1+$AJ821*$AL821*3)^(1/$AJ821)))</f>
        <v/>
      </c>
      <c r="AP821">
        <f>IF($AJ821="","",IF($AJ821=0,$AK821*EXP($AL821*-2),$AK821*(1+$AJ821*$AL821*-2)^(1/$AJ821)))</f>
        <v/>
      </c>
      <c r="AQ821">
        <f>IF($AJ821="","",IF($AJ821=0,$AK821*EXP($AL821*-3),$AK821*(1+$AJ821*$AL821*-3)^(1/$AJ821)))</f>
        <v/>
      </c>
      <c r="AR821">
        <f>IF(OR($X821="",$T821&gt;60),"",IFERROR(INDEX(IF($T821&lt;24,pcomp_l,palt_l),MATCH($X821,IF($T821&lt;24,pcomp_k,palt_k),1)),""))</f>
        <v/>
      </c>
      <c r="AS821">
        <f>IF(OR($X821="",$T821&gt;60),"",IFERROR(INDEX(IF($T821&lt;24,pcomp_m,palt_m),MATCH($X821,IF($T821&lt;24,pcomp_k,palt_k),1)),""))</f>
        <v/>
      </c>
      <c r="AT821">
        <f>IF(OR($X821="",$T821&gt;60),"",IFERROR(INDEX(IF($T821&lt;24,pcomp_s,palt_s),MATCH($X821,IF($T821&lt;24,pcomp_k,palt_k),1)),""))</f>
        <v/>
      </c>
      <c r="AU821">
        <f>IF($AR821="","",IF($AR821=0,LN($F821/$AS821)/$AT821,((($F821/$AS821)^$AR821)-1)/($AR821*$AT821)))</f>
        <v/>
      </c>
      <c r="AV821">
        <f>IF($AR821="","",IF($AR821=0,$AS821*EXP($AT821*2),$AS821*(1+$AR821*$AT821*2)^(1/$AR821)))</f>
        <v/>
      </c>
      <c r="AW821">
        <f>IF($AR821="","",IF($AR821=0,$AS821*EXP($AT821*3),$AS821*(1+$AR821*$AT821*3)^(1/$AR821)))</f>
        <v/>
      </c>
      <c r="AX821">
        <f>IF($AR821="","",IF($AR821=0,$AS821*EXP($AT821*-2),$AS821*(1+$AR821*$AT821*-2)^(1/$AR821)))</f>
        <v/>
      </c>
      <c r="AY821">
        <f>IF($AR821="","",IF($AR821=0,$AS821*EXP($AT821*-3),$AS821*(1+$AR821*$AT821*-3)^(1/$AR821)))</f>
        <v/>
      </c>
      <c r="AZ821">
        <f>IF(OR($A821="",$A821&lt;&gt;Ficha!$C$4),"",COUNTIF($A$2:$A821,Ficha!$C$4))</f>
        <v/>
      </c>
    </row>
    <row r="822">
      <c r="A822" s="8">
        <f>IF(INDEX(Banco!$A:$A,ROW())="","",INDEX(Banco!$A:$A,ROW()))</f>
        <v/>
      </c>
      <c r="B822" s="8">
        <f>IF(INDEX(Banco!$B:$B,ROW())="","",INDEX(Banco!$B:$B,ROW()))</f>
        <v/>
      </c>
      <c r="C822" s="8">
        <f>IF(INDEX(Banco!$C:$C,ROW())="","",INDEX(Banco!$C:$C,ROW()))</f>
        <v/>
      </c>
      <c r="D822" s="9">
        <f>IF(INDEX(Banco!$D:$D,ROW())="","",INDEX(Banco!$D:$D,ROW()))</f>
        <v/>
      </c>
      <c r="E822" s="9">
        <f>IF(INDEX(Banco!$E:$E,ROW())="","",INDEX(Banco!$E:$E,ROW()))</f>
        <v/>
      </c>
      <c r="F822" s="10">
        <f>IF(INDEX(Banco!$F:$F,ROW())="","",INDEX(Banco!$F:$F,ROW()))</f>
        <v/>
      </c>
      <c r="G822" s="10">
        <f>IF(INDEX(Banco!$G:$G,ROW())="","",INDEX(Banco!$G:$G,ROW()))</f>
        <v/>
      </c>
      <c r="H822" s="8">
        <f>IF(INDEX(Banco!$H:$H,ROW())="","",INDEX(Banco!$H:$H,ROW()))</f>
        <v/>
      </c>
      <c r="I822">
        <f>IF($T822="","",INT($T822/12)&amp;"a "&amp;MOD($T822,12)&amp;"m")</f>
        <v/>
      </c>
      <c r="J822" s="11">
        <f>IF(OR($F822="",$G822=""),"",ROUND($F822/($G822/100)^2,2))</f>
        <v/>
      </c>
      <c r="K822" s="12">
        <f>IF(OR($S822="",$J822="",$T822="",$T822&lt;0,$T822&gt;228,$Y822=""),"—",ROUND(IF(ABS($AB822)&lt;=3,$AB822,IF($AB822&gt;3,3+($J822-$AD822)/($AD822-$AC822),-3+($J822-$AF822)/($AE822-$AF822))),2))</f>
        <v/>
      </c>
      <c r="L822">
        <f>IF(OR($K822="",$K822="—"),"",IF($T822&lt;=60,IF($K822&lt;-3,"Magreza acentuada",IF($K822&lt;-2,"Magreza",IF($K822&lt;=1,"Eutrofia",IF($K822&lt;=2,"Risco de sobrepeso",IF($K822&lt;=3,"Sobrepeso","Obesidade"))))),IF($K822&lt;-3,"Magreza acentuada",IF($K822&lt;-2,"Magreza",IF($K822&lt;=1,"Eutrofia",IF($K822&lt;=2,"Sobrepeso",IF($K822&lt;=3,"Obesidade","Obesidade grave")))))))</f>
        <v/>
      </c>
      <c r="M822" s="12">
        <f>IF(OR($S822="",$V822="",$T822="",$T822&lt;0,$T822&gt;228,$AG822=""),"—",ROUND(IF($AG822=0,LN($V822/$AH822)/$AI822,((($V822/$AH822)^$AG822)-1)/($AG822*$AI822)),2))</f>
        <v/>
      </c>
      <c r="N822">
        <f>IF(OR($M822="",$M822="—"),"",IF($M822&lt;-3,"Muito baixa",IF($M822&lt;-2,"Baixa","Adequada")))</f>
        <v/>
      </c>
      <c r="O822" s="12">
        <f>IF(OR($S822="",$F822="",$T822="",$T822&lt;0,$T822&gt;120,$AJ822=""),"—",ROUND(IF(ABS($AM822)&lt;=3,$AM822,IF($AM822&gt;3,3+($F822-$AO822)/($AO822-$AN822),-3+($F822-$AQ822)/($AP822-$AQ822))),2))</f>
        <v/>
      </c>
      <c r="P822">
        <f>IF(OR($O822="",$O822="—"),"",IF($O822&lt;-3,"Muito baixo",IF($O822&lt;-2,"Baixo",IF($O822&lt;=2,"Adequado","Elevado"))))</f>
        <v/>
      </c>
      <c r="Q822" s="12">
        <f>IF(OR($S822="",$F822="",$T822="",$T822&lt;0,$T822&gt;60,$AR822=""),"—",ROUND(IF(ABS($AU822)&lt;=3,$AU822,IF($AU822&gt;3,3+($F822-$AW822)/($AW822-$AV822),-3+($F822-$AY822)/($AX822-$AY822))),2))</f>
        <v/>
      </c>
      <c r="R822">
        <f>IF(OR($Q822="",$Q822="—"),"",IF($Q822&lt;-3,"Magreza acentuada",IF($Q822&lt;-2,"Magreza",IF($Q822&lt;=1,"Eutrofia",IF($Q822&lt;=2,"Risco de sobrepeso",IF($Q822&lt;=3,"Sobrepeso","Obesidade"))))))</f>
        <v/>
      </c>
      <c r="S822">
        <f>IF($C822="","",IF(UPPER(LEFT($C822,1))="M",1,IF(UPPER(LEFT($C822,1))="F",2,"")))</f>
        <v/>
      </c>
      <c r="T822">
        <f>IF(OR($D822="",$E822=""),"",DATEDIF($D822,$E822,"m"))</f>
        <v/>
      </c>
      <c r="U822">
        <f>IF(OR($D822="",$E822=""),"",$E822-$D822)</f>
        <v/>
      </c>
      <c r="V822">
        <f>IF(OR($G822="",$T822=""),"",IF($T822&lt;24,IF(LEFT(LOWER($H822),4)="em p",$G822+0.7,$G822),IF(LEFT(LOWER($H822),4)="deit",$G822-0.7,$G822)))</f>
        <v/>
      </c>
      <c r="W822">
        <f>IF(OR($S822="",$T822=""),"",$S822*1000000+IF($T822&lt;=60,$U822,$T822))</f>
        <v/>
      </c>
      <c r="X822">
        <f>IF(OR($S822="",$V822="",$T822&gt;60,$T822=""),"",$S822*1000000+ROUND($V822*10,0))</f>
        <v/>
      </c>
      <c r="Y822">
        <f>IF($W822="","",IFERROR(INDEX(IF($T822&lt;=60,imc05_l,imc519_l),MATCH($W822,IF($T822&lt;=60,imc05_k,imc519_k),1)),""))</f>
        <v/>
      </c>
      <c r="Z822">
        <f>IF($W822="","",IFERROR(INDEX(IF($T822&lt;=60,imc05_m,imc519_m),MATCH($W822,IF($T822&lt;=60,imc05_k,imc519_k),1)),""))</f>
        <v/>
      </c>
      <c r="AA822">
        <f>IF($W822="","",IFERROR(INDEX(IF($T822&lt;=60,imc05_s,imc519_s),MATCH($W822,IF($T822&lt;=60,imc05_k,imc519_k),1)),""))</f>
        <v/>
      </c>
      <c r="AB822">
        <f>IF($Y822="","",IF($Y822=0,LN($J822/$Z822)/$AA822,((($J822/$Z822)^$Y822)-1)/($Y822*$AA822)))</f>
        <v/>
      </c>
      <c r="AC822">
        <f>IF($Y822="","",IF($Y822=0,$Z822*EXP($AA822*2),$Z822*(1+$Y822*$AA822*2)^(1/$Y822)))</f>
        <v/>
      </c>
      <c r="AD822">
        <f>IF($Y822="","",IF($Y822=0,$Z822*EXP($AA822*3),$Z822*(1+$Y822*$AA822*3)^(1/$Y822)))</f>
        <v/>
      </c>
      <c r="AE822">
        <f>IF($Y822="","",IF($Y822=0,$Z822*EXP($AA822*-2),$Z822*(1+$Y822*$AA822*-2)^(1/$Y822)))</f>
        <v/>
      </c>
      <c r="AF822">
        <f>IF($Y822="","",IF($Y822=0,$Z822*EXP($AA822*-3),$Z822*(1+$Y822*$AA822*-3)^(1/$Y822)))</f>
        <v/>
      </c>
      <c r="AG822">
        <f>IF($W822="","",IFERROR(INDEX(IF($T822&lt;=60,est05_l,est519_l),MATCH($W822,IF($T822&lt;=60,est05_k,est519_k),1)),""))</f>
        <v/>
      </c>
      <c r="AH822">
        <f>IF($W822="","",IFERROR(INDEX(IF($T822&lt;=60,est05_m,est519_m),MATCH($W822,IF($T822&lt;=60,est05_k,est519_k),1)),""))</f>
        <v/>
      </c>
      <c r="AI822">
        <f>IF($W822="","",IFERROR(INDEX(IF($T822&lt;=60,est05_s,est519_s),MATCH($W822,IF($T822&lt;=60,est05_k,est519_k),1)),""))</f>
        <v/>
      </c>
      <c r="AJ822">
        <f>IF($W822="","",IFERROR(INDEX(IF($T822&lt;=60,peso05_l,peso510_l),MATCH($W822,IF($T822&lt;=60,peso05_k,peso510_k),1)),""))</f>
        <v/>
      </c>
      <c r="AK822">
        <f>IF($W822="","",IFERROR(INDEX(IF($T822&lt;=60,peso05_m,peso510_m),MATCH($W822,IF($T822&lt;=60,peso05_k,peso510_k),1)),""))</f>
        <v/>
      </c>
      <c r="AL822">
        <f>IF($W822="","",IFERROR(INDEX(IF($T822&lt;=60,peso05_s,peso510_s),MATCH($W822,IF($T822&lt;=60,peso05_k,peso510_k),1)),""))</f>
        <v/>
      </c>
      <c r="AM822">
        <f>IF($AJ822="","",IF($AJ822=0,LN($F822/$AK822)/$AL822,((($F822/$AK822)^$AJ822)-1)/($AJ822*$AL822)))</f>
        <v/>
      </c>
      <c r="AN822">
        <f>IF($AJ822="","",IF($AJ822=0,$AK822*EXP($AL822*2),$AK822*(1+$AJ822*$AL822*2)^(1/$AJ822)))</f>
        <v/>
      </c>
      <c r="AO822">
        <f>IF($AJ822="","",IF($AJ822=0,$AK822*EXP($AL822*3),$AK822*(1+$AJ822*$AL822*3)^(1/$AJ822)))</f>
        <v/>
      </c>
      <c r="AP822">
        <f>IF($AJ822="","",IF($AJ822=0,$AK822*EXP($AL822*-2),$AK822*(1+$AJ822*$AL822*-2)^(1/$AJ822)))</f>
        <v/>
      </c>
      <c r="AQ822">
        <f>IF($AJ822="","",IF($AJ822=0,$AK822*EXP($AL822*-3),$AK822*(1+$AJ822*$AL822*-3)^(1/$AJ822)))</f>
        <v/>
      </c>
      <c r="AR822">
        <f>IF(OR($X822="",$T822&gt;60),"",IFERROR(INDEX(IF($T822&lt;24,pcomp_l,palt_l),MATCH($X822,IF($T822&lt;24,pcomp_k,palt_k),1)),""))</f>
        <v/>
      </c>
      <c r="AS822">
        <f>IF(OR($X822="",$T822&gt;60),"",IFERROR(INDEX(IF($T822&lt;24,pcomp_m,palt_m),MATCH($X822,IF($T822&lt;24,pcomp_k,palt_k),1)),""))</f>
        <v/>
      </c>
      <c r="AT822">
        <f>IF(OR($X822="",$T822&gt;60),"",IFERROR(INDEX(IF($T822&lt;24,pcomp_s,palt_s),MATCH($X822,IF($T822&lt;24,pcomp_k,palt_k),1)),""))</f>
        <v/>
      </c>
      <c r="AU822">
        <f>IF($AR822="","",IF($AR822=0,LN($F822/$AS822)/$AT822,((($F822/$AS822)^$AR822)-1)/($AR822*$AT822)))</f>
        <v/>
      </c>
      <c r="AV822">
        <f>IF($AR822="","",IF($AR822=0,$AS822*EXP($AT822*2),$AS822*(1+$AR822*$AT822*2)^(1/$AR822)))</f>
        <v/>
      </c>
      <c r="AW822">
        <f>IF($AR822="","",IF($AR822=0,$AS822*EXP($AT822*3),$AS822*(1+$AR822*$AT822*3)^(1/$AR822)))</f>
        <v/>
      </c>
      <c r="AX822">
        <f>IF($AR822="","",IF($AR822=0,$AS822*EXP($AT822*-2),$AS822*(1+$AR822*$AT822*-2)^(1/$AR822)))</f>
        <v/>
      </c>
      <c r="AY822">
        <f>IF($AR822="","",IF($AR822=0,$AS822*EXP($AT822*-3),$AS822*(1+$AR822*$AT822*-3)^(1/$AR822)))</f>
        <v/>
      </c>
      <c r="AZ822">
        <f>IF(OR($A822="",$A822&lt;&gt;Ficha!$C$4),"",COUNTIF($A$2:$A822,Ficha!$C$4))</f>
        <v/>
      </c>
    </row>
    <row r="823">
      <c r="A823" s="8">
        <f>IF(INDEX(Banco!$A:$A,ROW())="","",INDEX(Banco!$A:$A,ROW()))</f>
        <v/>
      </c>
      <c r="B823" s="8">
        <f>IF(INDEX(Banco!$B:$B,ROW())="","",INDEX(Banco!$B:$B,ROW()))</f>
        <v/>
      </c>
      <c r="C823" s="8">
        <f>IF(INDEX(Banco!$C:$C,ROW())="","",INDEX(Banco!$C:$C,ROW()))</f>
        <v/>
      </c>
      <c r="D823" s="9">
        <f>IF(INDEX(Banco!$D:$D,ROW())="","",INDEX(Banco!$D:$D,ROW()))</f>
        <v/>
      </c>
      <c r="E823" s="9">
        <f>IF(INDEX(Banco!$E:$E,ROW())="","",INDEX(Banco!$E:$E,ROW()))</f>
        <v/>
      </c>
      <c r="F823" s="10">
        <f>IF(INDEX(Banco!$F:$F,ROW())="","",INDEX(Banco!$F:$F,ROW()))</f>
        <v/>
      </c>
      <c r="G823" s="10">
        <f>IF(INDEX(Banco!$G:$G,ROW())="","",INDEX(Banco!$G:$G,ROW()))</f>
        <v/>
      </c>
      <c r="H823" s="8">
        <f>IF(INDEX(Banco!$H:$H,ROW())="","",INDEX(Banco!$H:$H,ROW()))</f>
        <v/>
      </c>
      <c r="I823">
        <f>IF($T823="","",INT($T823/12)&amp;"a "&amp;MOD($T823,12)&amp;"m")</f>
        <v/>
      </c>
      <c r="J823" s="11">
        <f>IF(OR($F823="",$G823=""),"",ROUND($F823/($G823/100)^2,2))</f>
        <v/>
      </c>
      <c r="K823" s="12">
        <f>IF(OR($S823="",$J823="",$T823="",$T823&lt;0,$T823&gt;228,$Y823=""),"—",ROUND(IF(ABS($AB823)&lt;=3,$AB823,IF($AB823&gt;3,3+($J823-$AD823)/($AD823-$AC823),-3+($J823-$AF823)/($AE823-$AF823))),2))</f>
        <v/>
      </c>
      <c r="L823">
        <f>IF(OR($K823="",$K823="—"),"",IF($T823&lt;=60,IF($K823&lt;-3,"Magreza acentuada",IF($K823&lt;-2,"Magreza",IF($K823&lt;=1,"Eutrofia",IF($K823&lt;=2,"Risco de sobrepeso",IF($K823&lt;=3,"Sobrepeso","Obesidade"))))),IF($K823&lt;-3,"Magreza acentuada",IF($K823&lt;-2,"Magreza",IF($K823&lt;=1,"Eutrofia",IF($K823&lt;=2,"Sobrepeso",IF($K823&lt;=3,"Obesidade","Obesidade grave")))))))</f>
        <v/>
      </c>
      <c r="M823" s="12">
        <f>IF(OR($S823="",$V823="",$T823="",$T823&lt;0,$T823&gt;228,$AG823=""),"—",ROUND(IF($AG823=0,LN($V823/$AH823)/$AI823,((($V823/$AH823)^$AG823)-1)/($AG823*$AI823)),2))</f>
        <v/>
      </c>
      <c r="N823">
        <f>IF(OR($M823="",$M823="—"),"",IF($M823&lt;-3,"Muito baixa",IF($M823&lt;-2,"Baixa","Adequada")))</f>
        <v/>
      </c>
      <c r="O823" s="12">
        <f>IF(OR($S823="",$F823="",$T823="",$T823&lt;0,$T823&gt;120,$AJ823=""),"—",ROUND(IF(ABS($AM823)&lt;=3,$AM823,IF($AM823&gt;3,3+($F823-$AO823)/($AO823-$AN823),-3+($F823-$AQ823)/($AP823-$AQ823))),2))</f>
        <v/>
      </c>
      <c r="P823">
        <f>IF(OR($O823="",$O823="—"),"",IF($O823&lt;-3,"Muito baixo",IF($O823&lt;-2,"Baixo",IF($O823&lt;=2,"Adequado","Elevado"))))</f>
        <v/>
      </c>
      <c r="Q823" s="12">
        <f>IF(OR($S823="",$F823="",$T823="",$T823&lt;0,$T823&gt;60,$AR823=""),"—",ROUND(IF(ABS($AU823)&lt;=3,$AU823,IF($AU823&gt;3,3+($F823-$AW823)/($AW823-$AV823),-3+($F823-$AY823)/($AX823-$AY823))),2))</f>
        <v/>
      </c>
      <c r="R823">
        <f>IF(OR($Q823="",$Q823="—"),"",IF($Q823&lt;-3,"Magreza acentuada",IF($Q823&lt;-2,"Magreza",IF($Q823&lt;=1,"Eutrofia",IF($Q823&lt;=2,"Risco de sobrepeso",IF($Q823&lt;=3,"Sobrepeso","Obesidade"))))))</f>
        <v/>
      </c>
      <c r="S823">
        <f>IF($C823="","",IF(UPPER(LEFT($C823,1))="M",1,IF(UPPER(LEFT($C823,1))="F",2,"")))</f>
        <v/>
      </c>
      <c r="T823">
        <f>IF(OR($D823="",$E823=""),"",DATEDIF($D823,$E823,"m"))</f>
        <v/>
      </c>
      <c r="U823">
        <f>IF(OR($D823="",$E823=""),"",$E823-$D823)</f>
        <v/>
      </c>
      <c r="V823">
        <f>IF(OR($G823="",$T823=""),"",IF($T823&lt;24,IF(LEFT(LOWER($H823),4)="em p",$G823+0.7,$G823),IF(LEFT(LOWER($H823),4)="deit",$G823-0.7,$G823)))</f>
        <v/>
      </c>
      <c r="W823">
        <f>IF(OR($S823="",$T823=""),"",$S823*1000000+IF($T823&lt;=60,$U823,$T823))</f>
        <v/>
      </c>
      <c r="X823">
        <f>IF(OR($S823="",$V823="",$T823&gt;60,$T823=""),"",$S823*1000000+ROUND($V823*10,0))</f>
        <v/>
      </c>
      <c r="Y823">
        <f>IF($W823="","",IFERROR(INDEX(IF($T823&lt;=60,imc05_l,imc519_l),MATCH($W823,IF($T823&lt;=60,imc05_k,imc519_k),1)),""))</f>
        <v/>
      </c>
      <c r="Z823">
        <f>IF($W823="","",IFERROR(INDEX(IF($T823&lt;=60,imc05_m,imc519_m),MATCH($W823,IF($T823&lt;=60,imc05_k,imc519_k),1)),""))</f>
        <v/>
      </c>
      <c r="AA823">
        <f>IF($W823="","",IFERROR(INDEX(IF($T823&lt;=60,imc05_s,imc519_s),MATCH($W823,IF($T823&lt;=60,imc05_k,imc519_k),1)),""))</f>
        <v/>
      </c>
      <c r="AB823">
        <f>IF($Y823="","",IF($Y823=0,LN($J823/$Z823)/$AA823,((($J823/$Z823)^$Y823)-1)/($Y823*$AA823)))</f>
        <v/>
      </c>
      <c r="AC823">
        <f>IF($Y823="","",IF($Y823=0,$Z823*EXP($AA823*2),$Z823*(1+$Y823*$AA823*2)^(1/$Y823)))</f>
        <v/>
      </c>
      <c r="AD823">
        <f>IF($Y823="","",IF($Y823=0,$Z823*EXP($AA823*3),$Z823*(1+$Y823*$AA823*3)^(1/$Y823)))</f>
        <v/>
      </c>
      <c r="AE823">
        <f>IF($Y823="","",IF($Y823=0,$Z823*EXP($AA823*-2),$Z823*(1+$Y823*$AA823*-2)^(1/$Y823)))</f>
        <v/>
      </c>
      <c r="AF823">
        <f>IF($Y823="","",IF($Y823=0,$Z823*EXP($AA823*-3),$Z823*(1+$Y823*$AA823*-3)^(1/$Y823)))</f>
        <v/>
      </c>
      <c r="AG823">
        <f>IF($W823="","",IFERROR(INDEX(IF($T823&lt;=60,est05_l,est519_l),MATCH($W823,IF($T823&lt;=60,est05_k,est519_k),1)),""))</f>
        <v/>
      </c>
      <c r="AH823">
        <f>IF($W823="","",IFERROR(INDEX(IF($T823&lt;=60,est05_m,est519_m),MATCH($W823,IF($T823&lt;=60,est05_k,est519_k),1)),""))</f>
        <v/>
      </c>
      <c r="AI823">
        <f>IF($W823="","",IFERROR(INDEX(IF($T823&lt;=60,est05_s,est519_s),MATCH($W823,IF($T823&lt;=60,est05_k,est519_k),1)),""))</f>
        <v/>
      </c>
      <c r="AJ823">
        <f>IF($W823="","",IFERROR(INDEX(IF($T823&lt;=60,peso05_l,peso510_l),MATCH($W823,IF($T823&lt;=60,peso05_k,peso510_k),1)),""))</f>
        <v/>
      </c>
      <c r="AK823">
        <f>IF($W823="","",IFERROR(INDEX(IF($T823&lt;=60,peso05_m,peso510_m),MATCH($W823,IF($T823&lt;=60,peso05_k,peso510_k),1)),""))</f>
        <v/>
      </c>
      <c r="AL823">
        <f>IF($W823="","",IFERROR(INDEX(IF($T823&lt;=60,peso05_s,peso510_s),MATCH($W823,IF($T823&lt;=60,peso05_k,peso510_k),1)),""))</f>
        <v/>
      </c>
      <c r="AM823">
        <f>IF($AJ823="","",IF($AJ823=0,LN($F823/$AK823)/$AL823,((($F823/$AK823)^$AJ823)-1)/($AJ823*$AL823)))</f>
        <v/>
      </c>
      <c r="AN823">
        <f>IF($AJ823="","",IF($AJ823=0,$AK823*EXP($AL823*2),$AK823*(1+$AJ823*$AL823*2)^(1/$AJ823)))</f>
        <v/>
      </c>
      <c r="AO823">
        <f>IF($AJ823="","",IF($AJ823=0,$AK823*EXP($AL823*3),$AK823*(1+$AJ823*$AL823*3)^(1/$AJ823)))</f>
        <v/>
      </c>
      <c r="AP823">
        <f>IF($AJ823="","",IF($AJ823=0,$AK823*EXP($AL823*-2),$AK823*(1+$AJ823*$AL823*-2)^(1/$AJ823)))</f>
        <v/>
      </c>
      <c r="AQ823">
        <f>IF($AJ823="","",IF($AJ823=0,$AK823*EXP($AL823*-3),$AK823*(1+$AJ823*$AL823*-3)^(1/$AJ823)))</f>
        <v/>
      </c>
      <c r="AR823">
        <f>IF(OR($X823="",$T823&gt;60),"",IFERROR(INDEX(IF($T823&lt;24,pcomp_l,palt_l),MATCH($X823,IF($T823&lt;24,pcomp_k,palt_k),1)),""))</f>
        <v/>
      </c>
      <c r="AS823">
        <f>IF(OR($X823="",$T823&gt;60),"",IFERROR(INDEX(IF($T823&lt;24,pcomp_m,palt_m),MATCH($X823,IF($T823&lt;24,pcomp_k,palt_k),1)),""))</f>
        <v/>
      </c>
      <c r="AT823">
        <f>IF(OR($X823="",$T823&gt;60),"",IFERROR(INDEX(IF($T823&lt;24,pcomp_s,palt_s),MATCH($X823,IF($T823&lt;24,pcomp_k,palt_k),1)),""))</f>
        <v/>
      </c>
      <c r="AU823">
        <f>IF($AR823="","",IF($AR823=0,LN($F823/$AS823)/$AT823,((($F823/$AS823)^$AR823)-1)/($AR823*$AT823)))</f>
        <v/>
      </c>
      <c r="AV823">
        <f>IF($AR823="","",IF($AR823=0,$AS823*EXP($AT823*2),$AS823*(1+$AR823*$AT823*2)^(1/$AR823)))</f>
        <v/>
      </c>
      <c r="AW823">
        <f>IF($AR823="","",IF($AR823=0,$AS823*EXP($AT823*3),$AS823*(1+$AR823*$AT823*3)^(1/$AR823)))</f>
        <v/>
      </c>
      <c r="AX823">
        <f>IF($AR823="","",IF($AR823=0,$AS823*EXP($AT823*-2),$AS823*(1+$AR823*$AT823*-2)^(1/$AR823)))</f>
        <v/>
      </c>
      <c r="AY823">
        <f>IF($AR823="","",IF($AR823=0,$AS823*EXP($AT823*-3),$AS823*(1+$AR823*$AT823*-3)^(1/$AR823)))</f>
        <v/>
      </c>
      <c r="AZ823">
        <f>IF(OR($A823="",$A823&lt;&gt;Ficha!$C$4),"",COUNTIF($A$2:$A823,Ficha!$C$4))</f>
        <v/>
      </c>
    </row>
    <row r="824">
      <c r="A824" s="8">
        <f>IF(INDEX(Banco!$A:$A,ROW())="","",INDEX(Banco!$A:$A,ROW()))</f>
        <v/>
      </c>
      <c r="B824" s="8">
        <f>IF(INDEX(Banco!$B:$B,ROW())="","",INDEX(Banco!$B:$B,ROW()))</f>
        <v/>
      </c>
      <c r="C824" s="8">
        <f>IF(INDEX(Banco!$C:$C,ROW())="","",INDEX(Banco!$C:$C,ROW()))</f>
        <v/>
      </c>
      <c r="D824" s="9">
        <f>IF(INDEX(Banco!$D:$D,ROW())="","",INDEX(Banco!$D:$D,ROW()))</f>
        <v/>
      </c>
      <c r="E824" s="9">
        <f>IF(INDEX(Banco!$E:$E,ROW())="","",INDEX(Banco!$E:$E,ROW()))</f>
        <v/>
      </c>
      <c r="F824" s="10">
        <f>IF(INDEX(Banco!$F:$F,ROW())="","",INDEX(Banco!$F:$F,ROW()))</f>
        <v/>
      </c>
      <c r="G824" s="10">
        <f>IF(INDEX(Banco!$G:$G,ROW())="","",INDEX(Banco!$G:$G,ROW()))</f>
        <v/>
      </c>
      <c r="H824" s="8">
        <f>IF(INDEX(Banco!$H:$H,ROW())="","",INDEX(Banco!$H:$H,ROW()))</f>
        <v/>
      </c>
      <c r="I824">
        <f>IF($T824="","",INT($T824/12)&amp;"a "&amp;MOD($T824,12)&amp;"m")</f>
        <v/>
      </c>
      <c r="J824" s="11">
        <f>IF(OR($F824="",$G824=""),"",ROUND($F824/($G824/100)^2,2))</f>
        <v/>
      </c>
      <c r="K824" s="12">
        <f>IF(OR($S824="",$J824="",$T824="",$T824&lt;0,$T824&gt;228,$Y824=""),"—",ROUND(IF(ABS($AB824)&lt;=3,$AB824,IF($AB824&gt;3,3+($J824-$AD824)/($AD824-$AC824),-3+($J824-$AF824)/($AE824-$AF824))),2))</f>
        <v/>
      </c>
      <c r="L824">
        <f>IF(OR($K824="",$K824="—"),"",IF($T824&lt;=60,IF($K824&lt;-3,"Magreza acentuada",IF($K824&lt;-2,"Magreza",IF($K824&lt;=1,"Eutrofia",IF($K824&lt;=2,"Risco de sobrepeso",IF($K824&lt;=3,"Sobrepeso","Obesidade"))))),IF($K824&lt;-3,"Magreza acentuada",IF($K824&lt;-2,"Magreza",IF($K824&lt;=1,"Eutrofia",IF($K824&lt;=2,"Sobrepeso",IF($K824&lt;=3,"Obesidade","Obesidade grave")))))))</f>
        <v/>
      </c>
      <c r="M824" s="12">
        <f>IF(OR($S824="",$V824="",$T824="",$T824&lt;0,$T824&gt;228,$AG824=""),"—",ROUND(IF($AG824=0,LN($V824/$AH824)/$AI824,((($V824/$AH824)^$AG824)-1)/($AG824*$AI824)),2))</f>
        <v/>
      </c>
      <c r="N824">
        <f>IF(OR($M824="",$M824="—"),"",IF($M824&lt;-3,"Muito baixa",IF($M824&lt;-2,"Baixa","Adequada")))</f>
        <v/>
      </c>
      <c r="O824" s="12">
        <f>IF(OR($S824="",$F824="",$T824="",$T824&lt;0,$T824&gt;120,$AJ824=""),"—",ROUND(IF(ABS($AM824)&lt;=3,$AM824,IF($AM824&gt;3,3+($F824-$AO824)/($AO824-$AN824),-3+($F824-$AQ824)/($AP824-$AQ824))),2))</f>
        <v/>
      </c>
      <c r="P824">
        <f>IF(OR($O824="",$O824="—"),"",IF($O824&lt;-3,"Muito baixo",IF($O824&lt;-2,"Baixo",IF($O824&lt;=2,"Adequado","Elevado"))))</f>
        <v/>
      </c>
      <c r="Q824" s="12">
        <f>IF(OR($S824="",$F824="",$T824="",$T824&lt;0,$T824&gt;60,$AR824=""),"—",ROUND(IF(ABS($AU824)&lt;=3,$AU824,IF($AU824&gt;3,3+($F824-$AW824)/($AW824-$AV824),-3+($F824-$AY824)/($AX824-$AY824))),2))</f>
        <v/>
      </c>
      <c r="R824">
        <f>IF(OR($Q824="",$Q824="—"),"",IF($Q824&lt;-3,"Magreza acentuada",IF($Q824&lt;-2,"Magreza",IF($Q824&lt;=1,"Eutrofia",IF($Q824&lt;=2,"Risco de sobrepeso",IF($Q824&lt;=3,"Sobrepeso","Obesidade"))))))</f>
        <v/>
      </c>
      <c r="S824">
        <f>IF($C824="","",IF(UPPER(LEFT($C824,1))="M",1,IF(UPPER(LEFT($C824,1))="F",2,"")))</f>
        <v/>
      </c>
      <c r="T824">
        <f>IF(OR($D824="",$E824=""),"",DATEDIF($D824,$E824,"m"))</f>
        <v/>
      </c>
      <c r="U824">
        <f>IF(OR($D824="",$E824=""),"",$E824-$D824)</f>
        <v/>
      </c>
      <c r="V824">
        <f>IF(OR($G824="",$T824=""),"",IF($T824&lt;24,IF(LEFT(LOWER($H824),4)="em p",$G824+0.7,$G824),IF(LEFT(LOWER($H824),4)="deit",$G824-0.7,$G824)))</f>
        <v/>
      </c>
      <c r="W824">
        <f>IF(OR($S824="",$T824=""),"",$S824*1000000+IF($T824&lt;=60,$U824,$T824))</f>
        <v/>
      </c>
      <c r="X824">
        <f>IF(OR($S824="",$V824="",$T824&gt;60,$T824=""),"",$S824*1000000+ROUND($V824*10,0))</f>
        <v/>
      </c>
      <c r="Y824">
        <f>IF($W824="","",IFERROR(INDEX(IF($T824&lt;=60,imc05_l,imc519_l),MATCH($W824,IF($T824&lt;=60,imc05_k,imc519_k),1)),""))</f>
        <v/>
      </c>
      <c r="Z824">
        <f>IF($W824="","",IFERROR(INDEX(IF($T824&lt;=60,imc05_m,imc519_m),MATCH($W824,IF($T824&lt;=60,imc05_k,imc519_k),1)),""))</f>
        <v/>
      </c>
      <c r="AA824">
        <f>IF($W824="","",IFERROR(INDEX(IF($T824&lt;=60,imc05_s,imc519_s),MATCH($W824,IF($T824&lt;=60,imc05_k,imc519_k),1)),""))</f>
        <v/>
      </c>
      <c r="AB824">
        <f>IF($Y824="","",IF($Y824=0,LN($J824/$Z824)/$AA824,((($J824/$Z824)^$Y824)-1)/($Y824*$AA824)))</f>
        <v/>
      </c>
      <c r="AC824">
        <f>IF($Y824="","",IF($Y824=0,$Z824*EXP($AA824*2),$Z824*(1+$Y824*$AA824*2)^(1/$Y824)))</f>
        <v/>
      </c>
      <c r="AD824">
        <f>IF($Y824="","",IF($Y824=0,$Z824*EXP($AA824*3),$Z824*(1+$Y824*$AA824*3)^(1/$Y824)))</f>
        <v/>
      </c>
      <c r="AE824">
        <f>IF($Y824="","",IF($Y824=0,$Z824*EXP($AA824*-2),$Z824*(1+$Y824*$AA824*-2)^(1/$Y824)))</f>
        <v/>
      </c>
      <c r="AF824">
        <f>IF($Y824="","",IF($Y824=0,$Z824*EXP($AA824*-3),$Z824*(1+$Y824*$AA824*-3)^(1/$Y824)))</f>
        <v/>
      </c>
      <c r="AG824">
        <f>IF($W824="","",IFERROR(INDEX(IF($T824&lt;=60,est05_l,est519_l),MATCH($W824,IF($T824&lt;=60,est05_k,est519_k),1)),""))</f>
        <v/>
      </c>
      <c r="AH824">
        <f>IF($W824="","",IFERROR(INDEX(IF($T824&lt;=60,est05_m,est519_m),MATCH($W824,IF($T824&lt;=60,est05_k,est519_k),1)),""))</f>
        <v/>
      </c>
      <c r="AI824">
        <f>IF($W824="","",IFERROR(INDEX(IF($T824&lt;=60,est05_s,est519_s),MATCH($W824,IF($T824&lt;=60,est05_k,est519_k),1)),""))</f>
        <v/>
      </c>
      <c r="AJ824">
        <f>IF($W824="","",IFERROR(INDEX(IF($T824&lt;=60,peso05_l,peso510_l),MATCH($W824,IF($T824&lt;=60,peso05_k,peso510_k),1)),""))</f>
        <v/>
      </c>
      <c r="AK824">
        <f>IF($W824="","",IFERROR(INDEX(IF($T824&lt;=60,peso05_m,peso510_m),MATCH($W824,IF($T824&lt;=60,peso05_k,peso510_k),1)),""))</f>
        <v/>
      </c>
      <c r="AL824">
        <f>IF($W824="","",IFERROR(INDEX(IF($T824&lt;=60,peso05_s,peso510_s),MATCH($W824,IF($T824&lt;=60,peso05_k,peso510_k),1)),""))</f>
        <v/>
      </c>
      <c r="AM824">
        <f>IF($AJ824="","",IF($AJ824=0,LN($F824/$AK824)/$AL824,((($F824/$AK824)^$AJ824)-1)/($AJ824*$AL824)))</f>
        <v/>
      </c>
      <c r="AN824">
        <f>IF($AJ824="","",IF($AJ824=0,$AK824*EXP($AL824*2),$AK824*(1+$AJ824*$AL824*2)^(1/$AJ824)))</f>
        <v/>
      </c>
      <c r="AO824">
        <f>IF($AJ824="","",IF($AJ824=0,$AK824*EXP($AL824*3),$AK824*(1+$AJ824*$AL824*3)^(1/$AJ824)))</f>
        <v/>
      </c>
      <c r="AP824">
        <f>IF($AJ824="","",IF($AJ824=0,$AK824*EXP($AL824*-2),$AK824*(1+$AJ824*$AL824*-2)^(1/$AJ824)))</f>
        <v/>
      </c>
      <c r="AQ824">
        <f>IF($AJ824="","",IF($AJ824=0,$AK824*EXP($AL824*-3),$AK824*(1+$AJ824*$AL824*-3)^(1/$AJ824)))</f>
        <v/>
      </c>
      <c r="AR824">
        <f>IF(OR($X824="",$T824&gt;60),"",IFERROR(INDEX(IF($T824&lt;24,pcomp_l,palt_l),MATCH($X824,IF($T824&lt;24,pcomp_k,palt_k),1)),""))</f>
        <v/>
      </c>
      <c r="AS824">
        <f>IF(OR($X824="",$T824&gt;60),"",IFERROR(INDEX(IF($T824&lt;24,pcomp_m,palt_m),MATCH($X824,IF($T824&lt;24,pcomp_k,palt_k),1)),""))</f>
        <v/>
      </c>
      <c r="AT824">
        <f>IF(OR($X824="",$T824&gt;60),"",IFERROR(INDEX(IF($T824&lt;24,pcomp_s,palt_s),MATCH($X824,IF($T824&lt;24,pcomp_k,palt_k),1)),""))</f>
        <v/>
      </c>
      <c r="AU824">
        <f>IF($AR824="","",IF($AR824=0,LN($F824/$AS824)/$AT824,((($F824/$AS824)^$AR824)-1)/($AR824*$AT824)))</f>
        <v/>
      </c>
      <c r="AV824">
        <f>IF($AR824="","",IF($AR824=0,$AS824*EXP($AT824*2),$AS824*(1+$AR824*$AT824*2)^(1/$AR824)))</f>
        <v/>
      </c>
      <c r="AW824">
        <f>IF($AR824="","",IF($AR824=0,$AS824*EXP($AT824*3),$AS824*(1+$AR824*$AT824*3)^(1/$AR824)))</f>
        <v/>
      </c>
      <c r="AX824">
        <f>IF($AR824="","",IF($AR824=0,$AS824*EXP($AT824*-2),$AS824*(1+$AR824*$AT824*-2)^(1/$AR824)))</f>
        <v/>
      </c>
      <c r="AY824">
        <f>IF($AR824="","",IF($AR824=0,$AS824*EXP($AT824*-3),$AS824*(1+$AR824*$AT824*-3)^(1/$AR824)))</f>
        <v/>
      </c>
      <c r="AZ824">
        <f>IF(OR($A824="",$A824&lt;&gt;Ficha!$C$4),"",COUNTIF($A$2:$A824,Ficha!$C$4))</f>
        <v/>
      </c>
    </row>
    <row r="825">
      <c r="A825" s="8">
        <f>IF(INDEX(Banco!$A:$A,ROW())="","",INDEX(Banco!$A:$A,ROW()))</f>
        <v/>
      </c>
      <c r="B825" s="8">
        <f>IF(INDEX(Banco!$B:$B,ROW())="","",INDEX(Banco!$B:$B,ROW()))</f>
        <v/>
      </c>
      <c r="C825" s="8">
        <f>IF(INDEX(Banco!$C:$C,ROW())="","",INDEX(Banco!$C:$C,ROW()))</f>
        <v/>
      </c>
      <c r="D825" s="9">
        <f>IF(INDEX(Banco!$D:$D,ROW())="","",INDEX(Banco!$D:$D,ROW()))</f>
        <v/>
      </c>
      <c r="E825" s="9">
        <f>IF(INDEX(Banco!$E:$E,ROW())="","",INDEX(Banco!$E:$E,ROW()))</f>
        <v/>
      </c>
      <c r="F825" s="10">
        <f>IF(INDEX(Banco!$F:$F,ROW())="","",INDEX(Banco!$F:$F,ROW()))</f>
        <v/>
      </c>
      <c r="G825" s="10">
        <f>IF(INDEX(Banco!$G:$G,ROW())="","",INDEX(Banco!$G:$G,ROW()))</f>
        <v/>
      </c>
      <c r="H825" s="8">
        <f>IF(INDEX(Banco!$H:$H,ROW())="","",INDEX(Banco!$H:$H,ROW()))</f>
        <v/>
      </c>
      <c r="I825">
        <f>IF($T825="","",INT($T825/12)&amp;"a "&amp;MOD($T825,12)&amp;"m")</f>
        <v/>
      </c>
      <c r="J825" s="11">
        <f>IF(OR($F825="",$G825=""),"",ROUND($F825/($G825/100)^2,2))</f>
        <v/>
      </c>
      <c r="K825" s="12">
        <f>IF(OR($S825="",$J825="",$T825="",$T825&lt;0,$T825&gt;228,$Y825=""),"—",ROUND(IF(ABS($AB825)&lt;=3,$AB825,IF($AB825&gt;3,3+($J825-$AD825)/($AD825-$AC825),-3+($J825-$AF825)/($AE825-$AF825))),2))</f>
        <v/>
      </c>
      <c r="L825">
        <f>IF(OR($K825="",$K825="—"),"",IF($T825&lt;=60,IF($K825&lt;-3,"Magreza acentuada",IF($K825&lt;-2,"Magreza",IF($K825&lt;=1,"Eutrofia",IF($K825&lt;=2,"Risco de sobrepeso",IF($K825&lt;=3,"Sobrepeso","Obesidade"))))),IF($K825&lt;-3,"Magreza acentuada",IF($K825&lt;-2,"Magreza",IF($K825&lt;=1,"Eutrofia",IF($K825&lt;=2,"Sobrepeso",IF($K825&lt;=3,"Obesidade","Obesidade grave")))))))</f>
        <v/>
      </c>
      <c r="M825" s="12">
        <f>IF(OR($S825="",$V825="",$T825="",$T825&lt;0,$T825&gt;228,$AG825=""),"—",ROUND(IF($AG825=0,LN($V825/$AH825)/$AI825,((($V825/$AH825)^$AG825)-1)/($AG825*$AI825)),2))</f>
        <v/>
      </c>
      <c r="N825">
        <f>IF(OR($M825="",$M825="—"),"",IF($M825&lt;-3,"Muito baixa",IF($M825&lt;-2,"Baixa","Adequada")))</f>
        <v/>
      </c>
      <c r="O825" s="12">
        <f>IF(OR($S825="",$F825="",$T825="",$T825&lt;0,$T825&gt;120,$AJ825=""),"—",ROUND(IF(ABS($AM825)&lt;=3,$AM825,IF($AM825&gt;3,3+($F825-$AO825)/($AO825-$AN825),-3+($F825-$AQ825)/($AP825-$AQ825))),2))</f>
        <v/>
      </c>
      <c r="P825">
        <f>IF(OR($O825="",$O825="—"),"",IF($O825&lt;-3,"Muito baixo",IF($O825&lt;-2,"Baixo",IF($O825&lt;=2,"Adequado","Elevado"))))</f>
        <v/>
      </c>
      <c r="Q825" s="12">
        <f>IF(OR($S825="",$F825="",$T825="",$T825&lt;0,$T825&gt;60,$AR825=""),"—",ROUND(IF(ABS($AU825)&lt;=3,$AU825,IF($AU825&gt;3,3+($F825-$AW825)/($AW825-$AV825),-3+($F825-$AY825)/($AX825-$AY825))),2))</f>
        <v/>
      </c>
      <c r="R825">
        <f>IF(OR($Q825="",$Q825="—"),"",IF($Q825&lt;-3,"Magreza acentuada",IF($Q825&lt;-2,"Magreza",IF($Q825&lt;=1,"Eutrofia",IF($Q825&lt;=2,"Risco de sobrepeso",IF($Q825&lt;=3,"Sobrepeso","Obesidade"))))))</f>
        <v/>
      </c>
      <c r="S825">
        <f>IF($C825="","",IF(UPPER(LEFT($C825,1))="M",1,IF(UPPER(LEFT($C825,1))="F",2,"")))</f>
        <v/>
      </c>
      <c r="T825">
        <f>IF(OR($D825="",$E825=""),"",DATEDIF($D825,$E825,"m"))</f>
        <v/>
      </c>
      <c r="U825">
        <f>IF(OR($D825="",$E825=""),"",$E825-$D825)</f>
        <v/>
      </c>
      <c r="V825">
        <f>IF(OR($G825="",$T825=""),"",IF($T825&lt;24,IF(LEFT(LOWER($H825),4)="em p",$G825+0.7,$G825),IF(LEFT(LOWER($H825),4)="deit",$G825-0.7,$G825)))</f>
        <v/>
      </c>
      <c r="W825">
        <f>IF(OR($S825="",$T825=""),"",$S825*1000000+IF($T825&lt;=60,$U825,$T825))</f>
        <v/>
      </c>
      <c r="X825">
        <f>IF(OR($S825="",$V825="",$T825&gt;60,$T825=""),"",$S825*1000000+ROUND($V825*10,0))</f>
        <v/>
      </c>
      <c r="Y825">
        <f>IF($W825="","",IFERROR(INDEX(IF($T825&lt;=60,imc05_l,imc519_l),MATCH($W825,IF($T825&lt;=60,imc05_k,imc519_k),1)),""))</f>
        <v/>
      </c>
      <c r="Z825">
        <f>IF($W825="","",IFERROR(INDEX(IF($T825&lt;=60,imc05_m,imc519_m),MATCH($W825,IF($T825&lt;=60,imc05_k,imc519_k),1)),""))</f>
        <v/>
      </c>
      <c r="AA825">
        <f>IF($W825="","",IFERROR(INDEX(IF($T825&lt;=60,imc05_s,imc519_s),MATCH($W825,IF($T825&lt;=60,imc05_k,imc519_k),1)),""))</f>
        <v/>
      </c>
      <c r="AB825">
        <f>IF($Y825="","",IF($Y825=0,LN($J825/$Z825)/$AA825,((($J825/$Z825)^$Y825)-1)/($Y825*$AA825)))</f>
        <v/>
      </c>
      <c r="AC825">
        <f>IF($Y825="","",IF($Y825=0,$Z825*EXP($AA825*2),$Z825*(1+$Y825*$AA825*2)^(1/$Y825)))</f>
        <v/>
      </c>
      <c r="AD825">
        <f>IF($Y825="","",IF($Y825=0,$Z825*EXP($AA825*3),$Z825*(1+$Y825*$AA825*3)^(1/$Y825)))</f>
        <v/>
      </c>
      <c r="AE825">
        <f>IF($Y825="","",IF($Y825=0,$Z825*EXP($AA825*-2),$Z825*(1+$Y825*$AA825*-2)^(1/$Y825)))</f>
        <v/>
      </c>
      <c r="AF825">
        <f>IF($Y825="","",IF($Y825=0,$Z825*EXP($AA825*-3),$Z825*(1+$Y825*$AA825*-3)^(1/$Y825)))</f>
        <v/>
      </c>
      <c r="AG825">
        <f>IF($W825="","",IFERROR(INDEX(IF($T825&lt;=60,est05_l,est519_l),MATCH($W825,IF($T825&lt;=60,est05_k,est519_k),1)),""))</f>
        <v/>
      </c>
      <c r="AH825">
        <f>IF($W825="","",IFERROR(INDEX(IF($T825&lt;=60,est05_m,est519_m),MATCH($W825,IF($T825&lt;=60,est05_k,est519_k),1)),""))</f>
        <v/>
      </c>
      <c r="AI825">
        <f>IF($W825="","",IFERROR(INDEX(IF($T825&lt;=60,est05_s,est519_s),MATCH($W825,IF($T825&lt;=60,est05_k,est519_k),1)),""))</f>
        <v/>
      </c>
      <c r="AJ825">
        <f>IF($W825="","",IFERROR(INDEX(IF($T825&lt;=60,peso05_l,peso510_l),MATCH($W825,IF($T825&lt;=60,peso05_k,peso510_k),1)),""))</f>
        <v/>
      </c>
      <c r="AK825">
        <f>IF($W825="","",IFERROR(INDEX(IF($T825&lt;=60,peso05_m,peso510_m),MATCH($W825,IF($T825&lt;=60,peso05_k,peso510_k),1)),""))</f>
        <v/>
      </c>
      <c r="AL825">
        <f>IF($W825="","",IFERROR(INDEX(IF($T825&lt;=60,peso05_s,peso510_s),MATCH($W825,IF($T825&lt;=60,peso05_k,peso510_k),1)),""))</f>
        <v/>
      </c>
      <c r="AM825">
        <f>IF($AJ825="","",IF($AJ825=0,LN($F825/$AK825)/$AL825,((($F825/$AK825)^$AJ825)-1)/($AJ825*$AL825)))</f>
        <v/>
      </c>
      <c r="AN825">
        <f>IF($AJ825="","",IF($AJ825=0,$AK825*EXP($AL825*2),$AK825*(1+$AJ825*$AL825*2)^(1/$AJ825)))</f>
        <v/>
      </c>
      <c r="AO825">
        <f>IF($AJ825="","",IF($AJ825=0,$AK825*EXP($AL825*3),$AK825*(1+$AJ825*$AL825*3)^(1/$AJ825)))</f>
        <v/>
      </c>
      <c r="AP825">
        <f>IF($AJ825="","",IF($AJ825=0,$AK825*EXP($AL825*-2),$AK825*(1+$AJ825*$AL825*-2)^(1/$AJ825)))</f>
        <v/>
      </c>
      <c r="AQ825">
        <f>IF($AJ825="","",IF($AJ825=0,$AK825*EXP($AL825*-3),$AK825*(1+$AJ825*$AL825*-3)^(1/$AJ825)))</f>
        <v/>
      </c>
      <c r="AR825">
        <f>IF(OR($X825="",$T825&gt;60),"",IFERROR(INDEX(IF($T825&lt;24,pcomp_l,palt_l),MATCH($X825,IF($T825&lt;24,pcomp_k,palt_k),1)),""))</f>
        <v/>
      </c>
      <c r="AS825">
        <f>IF(OR($X825="",$T825&gt;60),"",IFERROR(INDEX(IF($T825&lt;24,pcomp_m,palt_m),MATCH($X825,IF($T825&lt;24,pcomp_k,palt_k),1)),""))</f>
        <v/>
      </c>
      <c r="AT825">
        <f>IF(OR($X825="",$T825&gt;60),"",IFERROR(INDEX(IF($T825&lt;24,pcomp_s,palt_s),MATCH($X825,IF($T825&lt;24,pcomp_k,palt_k),1)),""))</f>
        <v/>
      </c>
      <c r="AU825">
        <f>IF($AR825="","",IF($AR825=0,LN($F825/$AS825)/$AT825,((($F825/$AS825)^$AR825)-1)/($AR825*$AT825)))</f>
        <v/>
      </c>
      <c r="AV825">
        <f>IF($AR825="","",IF($AR825=0,$AS825*EXP($AT825*2),$AS825*(1+$AR825*$AT825*2)^(1/$AR825)))</f>
        <v/>
      </c>
      <c r="AW825">
        <f>IF($AR825="","",IF($AR825=0,$AS825*EXP($AT825*3),$AS825*(1+$AR825*$AT825*3)^(1/$AR825)))</f>
        <v/>
      </c>
      <c r="AX825">
        <f>IF($AR825="","",IF($AR825=0,$AS825*EXP($AT825*-2),$AS825*(1+$AR825*$AT825*-2)^(1/$AR825)))</f>
        <v/>
      </c>
      <c r="AY825">
        <f>IF($AR825="","",IF($AR825=0,$AS825*EXP($AT825*-3),$AS825*(1+$AR825*$AT825*-3)^(1/$AR825)))</f>
        <v/>
      </c>
      <c r="AZ825">
        <f>IF(OR($A825="",$A825&lt;&gt;Ficha!$C$4),"",COUNTIF($A$2:$A825,Ficha!$C$4))</f>
        <v/>
      </c>
    </row>
    <row r="826">
      <c r="A826" s="8">
        <f>IF(INDEX(Banco!$A:$A,ROW())="","",INDEX(Banco!$A:$A,ROW()))</f>
        <v/>
      </c>
      <c r="B826" s="8">
        <f>IF(INDEX(Banco!$B:$B,ROW())="","",INDEX(Banco!$B:$B,ROW()))</f>
        <v/>
      </c>
      <c r="C826" s="8">
        <f>IF(INDEX(Banco!$C:$C,ROW())="","",INDEX(Banco!$C:$C,ROW()))</f>
        <v/>
      </c>
      <c r="D826" s="9">
        <f>IF(INDEX(Banco!$D:$D,ROW())="","",INDEX(Banco!$D:$D,ROW()))</f>
        <v/>
      </c>
      <c r="E826" s="9">
        <f>IF(INDEX(Banco!$E:$E,ROW())="","",INDEX(Banco!$E:$E,ROW()))</f>
        <v/>
      </c>
      <c r="F826" s="10">
        <f>IF(INDEX(Banco!$F:$F,ROW())="","",INDEX(Banco!$F:$F,ROW()))</f>
        <v/>
      </c>
      <c r="G826" s="10">
        <f>IF(INDEX(Banco!$G:$G,ROW())="","",INDEX(Banco!$G:$G,ROW()))</f>
        <v/>
      </c>
      <c r="H826" s="8">
        <f>IF(INDEX(Banco!$H:$H,ROW())="","",INDEX(Banco!$H:$H,ROW()))</f>
        <v/>
      </c>
      <c r="I826">
        <f>IF($T826="","",INT($T826/12)&amp;"a "&amp;MOD($T826,12)&amp;"m")</f>
        <v/>
      </c>
      <c r="J826" s="11">
        <f>IF(OR($F826="",$G826=""),"",ROUND($F826/($G826/100)^2,2))</f>
        <v/>
      </c>
      <c r="K826" s="12">
        <f>IF(OR($S826="",$J826="",$T826="",$T826&lt;0,$T826&gt;228,$Y826=""),"—",ROUND(IF(ABS($AB826)&lt;=3,$AB826,IF($AB826&gt;3,3+($J826-$AD826)/($AD826-$AC826),-3+($J826-$AF826)/($AE826-$AF826))),2))</f>
        <v/>
      </c>
      <c r="L826">
        <f>IF(OR($K826="",$K826="—"),"",IF($T826&lt;=60,IF($K826&lt;-3,"Magreza acentuada",IF($K826&lt;-2,"Magreza",IF($K826&lt;=1,"Eutrofia",IF($K826&lt;=2,"Risco de sobrepeso",IF($K826&lt;=3,"Sobrepeso","Obesidade"))))),IF($K826&lt;-3,"Magreza acentuada",IF($K826&lt;-2,"Magreza",IF($K826&lt;=1,"Eutrofia",IF($K826&lt;=2,"Sobrepeso",IF($K826&lt;=3,"Obesidade","Obesidade grave")))))))</f>
        <v/>
      </c>
      <c r="M826" s="12">
        <f>IF(OR($S826="",$V826="",$T826="",$T826&lt;0,$T826&gt;228,$AG826=""),"—",ROUND(IF($AG826=0,LN($V826/$AH826)/$AI826,((($V826/$AH826)^$AG826)-1)/($AG826*$AI826)),2))</f>
        <v/>
      </c>
      <c r="N826">
        <f>IF(OR($M826="",$M826="—"),"",IF($M826&lt;-3,"Muito baixa",IF($M826&lt;-2,"Baixa","Adequada")))</f>
        <v/>
      </c>
      <c r="O826" s="12">
        <f>IF(OR($S826="",$F826="",$T826="",$T826&lt;0,$T826&gt;120,$AJ826=""),"—",ROUND(IF(ABS($AM826)&lt;=3,$AM826,IF($AM826&gt;3,3+($F826-$AO826)/($AO826-$AN826),-3+($F826-$AQ826)/($AP826-$AQ826))),2))</f>
        <v/>
      </c>
      <c r="P826">
        <f>IF(OR($O826="",$O826="—"),"",IF($O826&lt;-3,"Muito baixo",IF($O826&lt;-2,"Baixo",IF($O826&lt;=2,"Adequado","Elevado"))))</f>
        <v/>
      </c>
      <c r="Q826" s="12">
        <f>IF(OR($S826="",$F826="",$T826="",$T826&lt;0,$T826&gt;60,$AR826=""),"—",ROUND(IF(ABS($AU826)&lt;=3,$AU826,IF($AU826&gt;3,3+($F826-$AW826)/($AW826-$AV826),-3+($F826-$AY826)/($AX826-$AY826))),2))</f>
        <v/>
      </c>
      <c r="R826">
        <f>IF(OR($Q826="",$Q826="—"),"",IF($Q826&lt;-3,"Magreza acentuada",IF($Q826&lt;-2,"Magreza",IF($Q826&lt;=1,"Eutrofia",IF($Q826&lt;=2,"Risco de sobrepeso",IF($Q826&lt;=3,"Sobrepeso","Obesidade"))))))</f>
        <v/>
      </c>
      <c r="S826">
        <f>IF($C826="","",IF(UPPER(LEFT($C826,1))="M",1,IF(UPPER(LEFT($C826,1))="F",2,"")))</f>
        <v/>
      </c>
      <c r="T826">
        <f>IF(OR($D826="",$E826=""),"",DATEDIF($D826,$E826,"m"))</f>
        <v/>
      </c>
      <c r="U826">
        <f>IF(OR($D826="",$E826=""),"",$E826-$D826)</f>
        <v/>
      </c>
      <c r="V826">
        <f>IF(OR($G826="",$T826=""),"",IF($T826&lt;24,IF(LEFT(LOWER($H826),4)="em p",$G826+0.7,$G826),IF(LEFT(LOWER($H826),4)="deit",$G826-0.7,$G826)))</f>
        <v/>
      </c>
      <c r="W826">
        <f>IF(OR($S826="",$T826=""),"",$S826*1000000+IF($T826&lt;=60,$U826,$T826))</f>
        <v/>
      </c>
      <c r="X826">
        <f>IF(OR($S826="",$V826="",$T826&gt;60,$T826=""),"",$S826*1000000+ROUND($V826*10,0))</f>
        <v/>
      </c>
      <c r="Y826">
        <f>IF($W826="","",IFERROR(INDEX(IF($T826&lt;=60,imc05_l,imc519_l),MATCH($W826,IF($T826&lt;=60,imc05_k,imc519_k),1)),""))</f>
        <v/>
      </c>
      <c r="Z826">
        <f>IF($W826="","",IFERROR(INDEX(IF($T826&lt;=60,imc05_m,imc519_m),MATCH($W826,IF($T826&lt;=60,imc05_k,imc519_k),1)),""))</f>
        <v/>
      </c>
      <c r="AA826">
        <f>IF($W826="","",IFERROR(INDEX(IF($T826&lt;=60,imc05_s,imc519_s),MATCH($W826,IF($T826&lt;=60,imc05_k,imc519_k),1)),""))</f>
        <v/>
      </c>
      <c r="AB826">
        <f>IF($Y826="","",IF($Y826=0,LN($J826/$Z826)/$AA826,((($J826/$Z826)^$Y826)-1)/($Y826*$AA826)))</f>
        <v/>
      </c>
      <c r="AC826">
        <f>IF($Y826="","",IF($Y826=0,$Z826*EXP($AA826*2),$Z826*(1+$Y826*$AA826*2)^(1/$Y826)))</f>
        <v/>
      </c>
      <c r="AD826">
        <f>IF($Y826="","",IF($Y826=0,$Z826*EXP($AA826*3),$Z826*(1+$Y826*$AA826*3)^(1/$Y826)))</f>
        <v/>
      </c>
      <c r="AE826">
        <f>IF($Y826="","",IF($Y826=0,$Z826*EXP($AA826*-2),$Z826*(1+$Y826*$AA826*-2)^(1/$Y826)))</f>
        <v/>
      </c>
      <c r="AF826">
        <f>IF($Y826="","",IF($Y826=0,$Z826*EXP($AA826*-3),$Z826*(1+$Y826*$AA826*-3)^(1/$Y826)))</f>
        <v/>
      </c>
      <c r="AG826">
        <f>IF($W826="","",IFERROR(INDEX(IF($T826&lt;=60,est05_l,est519_l),MATCH($W826,IF($T826&lt;=60,est05_k,est519_k),1)),""))</f>
        <v/>
      </c>
      <c r="AH826">
        <f>IF($W826="","",IFERROR(INDEX(IF($T826&lt;=60,est05_m,est519_m),MATCH($W826,IF($T826&lt;=60,est05_k,est519_k),1)),""))</f>
        <v/>
      </c>
      <c r="AI826">
        <f>IF($W826="","",IFERROR(INDEX(IF($T826&lt;=60,est05_s,est519_s),MATCH($W826,IF($T826&lt;=60,est05_k,est519_k),1)),""))</f>
        <v/>
      </c>
      <c r="AJ826">
        <f>IF($W826="","",IFERROR(INDEX(IF($T826&lt;=60,peso05_l,peso510_l),MATCH($W826,IF($T826&lt;=60,peso05_k,peso510_k),1)),""))</f>
        <v/>
      </c>
      <c r="AK826">
        <f>IF($W826="","",IFERROR(INDEX(IF($T826&lt;=60,peso05_m,peso510_m),MATCH($W826,IF($T826&lt;=60,peso05_k,peso510_k),1)),""))</f>
        <v/>
      </c>
      <c r="AL826">
        <f>IF($W826="","",IFERROR(INDEX(IF($T826&lt;=60,peso05_s,peso510_s),MATCH($W826,IF($T826&lt;=60,peso05_k,peso510_k),1)),""))</f>
        <v/>
      </c>
      <c r="AM826">
        <f>IF($AJ826="","",IF($AJ826=0,LN($F826/$AK826)/$AL826,((($F826/$AK826)^$AJ826)-1)/($AJ826*$AL826)))</f>
        <v/>
      </c>
      <c r="AN826">
        <f>IF($AJ826="","",IF($AJ826=0,$AK826*EXP($AL826*2),$AK826*(1+$AJ826*$AL826*2)^(1/$AJ826)))</f>
        <v/>
      </c>
      <c r="AO826">
        <f>IF($AJ826="","",IF($AJ826=0,$AK826*EXP($AL826*3),$AK826*(1+$AJ826*$AL826*3)^(1/$AJ826)))</f>
        <v/>
      </c>
      <c r="AP826">
        <f>IF($AJ826="","",IF($AJ826=0,$AK826*EXP($AL826*-2),$AK826*(1+$AJ826*$AL826*-2)^(1/$AJ826)))</f>
        <v/>
      </c>
      <c r="AQ826">
        <f>IF($AJ826="","",IF($AJ826=0,$AK826*EXP($AL826*-3),$AK826*(1+$AJ826*$AL826*-3)^(1/$AJ826)))</f>
        <v/>
      </c>
      <c r="AR826">
        <f>IF(OR($X826="",$T826&gt;60),"",IFERROR(INDEX(IF($T826&lt;24,pcomp_l,palt_l),MATCH($X826,IF($T826&lt;24,pcomp_k,palt_k),1)),""))</f>
        <v/>
      </c>
      <c r="AS826">
        <f>IF(OR($X826="",$T826&gt;60),"",IFERROR(INDEX(IF($T826&lt;24,pcomp_m,palt_m),MATCH($X826,IF($T826&lt;24,pcomp_k,palt_k),1)),""))</f>
        <v/>
      </c>
      <c r="AT826">
        <f>IF(OR($X826="",$T826&gt;60),"",IFERROR(INDEX(IF($T826&lt;24,pcomp_s,palt_s),MATCH($X826,IF($T826&lt;24,pcomp_k,palt_k),1)),""))</f>
        <v/>
      </c>
      <c r="AU826">
        <f>IF($AR826="","",IF($AR826=0,LN($F826/$AS826)/$AT826,((($F826/$AS826)^$AR826)-1)/($AR826*$AT826)))</f>
        <v/>
      </c>
      <c r="AV826">
        <f>IF($AR826="","",IF($AR826=0,$AS826*EXP($AT826*2),$AS826*(1+$AR826*$AT826*2)^(1/$AR826)))</f>
        <v/>
      </c>
      <c r="AW826">
        <f>IF($AR826="","",IF($AR826=0,$AS826*EXP($AT826*3),$AS826*(1+$AR826*$AT826*3)^(1/$AR826)))</f>
        <v/>
      </c>
      <c r="AX826">
        <f>IF($AR826="","",IF($AR826=0,$AS826*EXP($AT826*-2),$AS826*(1+$AR826*$AT826*-2)^(1/$AR826)))</f>
        <v/>
      </c>
      <c r="AY826">
        <f>IF($AR826="","",IF($AR826=0,$AS826*EXP($AT826*-3),$AS826*(1+$AR826*$AT826*-3)^(1/$AR826)))</f>
        <v/>
      </c>
      <c r="AZ826">
        <f>IF(OR($A826="",$A826&lt;&gt;Ficha!$C$4),"",COUNTIF($A$2:$A826,Ficha!$C$4))</f>
        <v/>
      </c>
    </row>
    <row r="827">
      <c r="A827" s="8">
        <f>IF(INDEX(Banco!$A:$A,ROW())="","",INDEX(Banco!$A:$A,ROW()))</f>
        <v/>
      </c>
      <c r="B827" s="8">
        <f>IF(INDEX(Banco!$B:$B,ROW())="","",INDEX(Banco!$B:$B,ROW()))</f>
        <v/>
      </c>
      <c r="C827" s="8">
        <f>IF(INDEX(Banco!$C:$C,ROW())="","",INDEX(Banco!$C:$C,ROW()))</f>
        <v/>
      </c>
      <c r="D827" s="9">
        <f>IF(INDEX(Banco!$D:$D,ROW())="","",INDEX(Banco!$D:$D,ROW()))</f>
        <v/>
      </c>
      <c r="E827" s="9">
        <f>IF(INDEX(Banco!$E:$E,ROW())="","",INDEX(Banco!$E:$E,ROW()))</f>
        <v/>
      </c>
      <c r="F827" s="10">
        <f>IF(INDEX(Banco!$F:$F,ROW())="","",INDEX(Banco!$F:$F,ROW()))</f>
        <v/>
      </c>
      <c r="G827" s="10">
        <f>IF(INDEX(Banco!$G:$G,ROW())="","",INDEX(Banco!$G:$G,ROW()))</f>
        <v/>
      </c>
      <c r="H827" s="8">
        <f>IF(INDEX(Banco!$H:$H,ROW())="","",INDEX(Banco!$H:$H,ROW()))</f>
        <v/>
      </c>
      <c r="I827">
        <f>IF($T827="","",INT($T827/12)&amp;"a "&amp;MOD($T827,12)&amp;"m")</f>
        <v/>
      </c>
      <c r="J827" s="11">
        <f>IF(OR($F827="",$G827=""),"",ROUND($F827/($G827/100)^2,2))</f>
        <v/>
      </c>
      <c r="K827" s="12">
        <f>IF(OR($S827="",$J827="",$T827="",$T827&lt;0,$T827&gt;228,$Y827=""),"—",ROUND(IF(ABS($AB827)&lt;=3,$AB827,IF($AB827&gt;3,3+($J827-$AD827)/($AD827-$AC827),-3+($J827-$AF827)/($AE827-$AF827))),2))</f>
        <v/>
      </c>
      <c r="L827">
        <f>IF(OR($K827="",$K827="—"),"",IF($T827&lt;=60,IF($K827&lt;-3,"Magreza acentuada",IF($K827&lt;-2,"Magreza",IF($K827&lt;=1,"Eutrofia",IF($K827&lt;=2,"Risco de sobrepeso",IF($K827&lt;=3,"Sobrepeso","Obesidade"))))),IF($K827&lt;-3,"Magreza acentuada",IF($K827&lt;-2,"Magreza",IF($K827&lt;=1,"Eutrofia",IF($K827&lt;=2,"Sobrepeso",IF($K827&lt;=3,"Obesidade","Obesidade grave")))))))</f>
        <v/>
      </c>
      <c r="M827" s="12">
        <f>IF(OR($S827="",$V827="",$T827="",$T827&lt;0,$T827&gt;228,$AG827=""),"—",ROUND(IF($AG827=0,LN($V827/$AH827)/$AI827,((($V827/$AH827)^$AG827)-1)/($AG827*$AI827)),2))</f>
        <v/>
      </c>
      <c r="N827">
        <f>IF(OR($M827="",$M827="—"),"",IF($M827&lt;-3,"Muito baixa",IF($M827&lt;-2,"Baixa","Adequada")))</f>
        <v/>
      </c>
      <c r="O827" s="12">
        <f>IF(OR($S827="",$F827="",$T827="",$T827&lt;0,$T827&gt;120,$AJ827=""),"—",ROUND(IF(ABS($AM827)&lt;=3,$AM827,IF($AM827&gt;3,3+($F827-$AO827)/($AO827-$AN827),-3+($F827-$AQ827)/($AP827-$AQ827))),2))</f>
        <v/>
      </c>
      <c r="P827">
        <f>IF(OR($O827="",$O827="—"),"",IF($O827&lt;-3,"Muito baixo",IF($O827&lt;-2,"Baixo",IF($O827&lt;=2,"Adequado","Elevado"))))</f>
        <v/>
      </c>
      <c r="Q827" s="12">
        <f>IF(OR($S827="",$F827="",$T827="",$T827&lt;0,$T827&gt;60,$AR827=""),"—",ROUND(IF(ABS($AU827)&lt;=3,$AU827,IF($AU827&gt;3,3+($F827-$AW827)/($AW827-$AV827),-3+($F827-$AY827)/($AX827-$AY827))),2))</f>
        <v/>
      </c>
      <c r="R827">
        <f>IF(OR($Q827="",$Q827="—"),"",IF($Q827&lt;-3,"Magreza acentuada",IF($Q827&lt;-2,"Magreza",IF($Q827&lt;=1,"Eutrofia",IF($Q827&lt;=2,"Risco de sobrepeso",IF($Q827&lt;=3,"Sobrepeso","Obesidade"))))))</f>
        <v/>
      </c>
      <c r="S827">
        <f>IF($C827="","",IF(UPPER(LEFT($C827,1))="M",1,IF(UPPER(LEFT($C827,1))="F",2,"")))</f>
        <v/>
      </c>
      <c r="T827">
        <f>IF(OR($D827="",$E827=""),"",DATEDIF($D827,$E827,"m"))</f>
        <v/>
      </c>
      <c r="U827">
        <f>IF(OR($D827="",$E827=""),"",$E827-$D827)</f>
        <v/>
      </c>
      <c r="V827">
        <f>IF(OR($G827="",$T827=""),"",IF($T827&lt;24,IF(LEFT(LOWER($H827),4)="em p",$G827+0.7,$G827),IF(LEFT(LOWER($H827),4)="deit",$G827-0.7,$G827)))</f>
        <v/>
      </c>
      <c r="W827">
        <f>IF(OR($S827="",$T827=""),"",$S827*1000000+IF($T827&lt;=60,$U827,$T827))</f>
        <v/>
      </c>
      <c r="X827">
        <f>IF(OR($S827="",$V827="",$T827&gt;60,$T827=""),"",$S827*1000000+ROUND($V827*10,0))</f>
        <v/>
      </c>
      <c r="Y827">
        <f>IF($W827="","",IFERROR(INDEX(IF($T827&lt;=60,imc05_l,imc519_l),MATCH($W827,IF($T827&lt;=60,imc05_k,imc519_k),1)),""))</f>
        <v/>
      </c>
      <c r="Z827">
        <f>IF($W827="","",IFERROR(INDEX(IF($T827&lt;=60,imc05_m,imc519_m),MATCH($W827,IF($T827&lt;=60,imc05_k,imc519_k),1)),""))</f>
        <v/>
      </c>
      <c r="AA827">
        <f>IF($W827="","",IFERROR(INDEX(IF($T827&lt;=60,imc05_s,imc519_s),MATCH($W827,IF($T827&lt;=60,imc05_k,imc519_k),1)),""))</f>
        <v/>
      </c>
      <c r="AB827">
        <f>IF($Y827="","",IF($Y827=0,LN($J827/$Z827)/$AA827,((($J827/$Z827)^$Y827)-1)/($Y827*$AA827)))</f>
        <v/>
      </c>
      <c r="AC827">
        <f>IF($Y827="","",IF($Y827=0,$Z827*EXP($AA827*2),$Z827*(1+$Y827*$AA827*2)^(1/$Y827)))</f>
        <v/>
      </c>
      <c r="AD827">
        <f>IF($Y827="","",IF($Y827=0,$Z827*EXP($AA827*3),$Z827*(1+$Y827*$AA827*3)^(1/$Y827)))</f>
        <v/>
      </c>
      <c r="AE827">
        <f>IF($Y827="","",IF($Y827=0,$Z827*EXP($AA827*-2),$Z827*(1+$Y827*$AA827*-2)^(1/$Y827)))</f>
        <v/>
      </c>
      <c r="AF827">
        <f>IF($Y827="","",IF($Y827=0,$Z827*EXP($AA827*-3),$Z827*(1+$Y827*$AA827*-3)^(1/$Y827)))</f>
        <v/>
      </c>
      <c r="AG827">
        <f>IF($W827="","",IFERROR(INDEX(IF($T827&lt;=60,est05_l,est519_l),MATCH($W827,IF($T827&lt;=60,est05_k,est519_k),1)),""))</f>
        <v/>
      </c>
      <c r="AH827">
        <f>IF($W827="","",IFERROR(INDEX(IF($T827&lt;=60,est05_m,est519_m),MATCH($W827,IF($T827&lt;=60,est05_k,est519_k),1)),""))</f>
        <v/>
      </c>
      <c r="AI827">
        <f>IF($W827="","",IFERROR(INDEX(IF($T827&lt;=60,est05_s,est519_s),MATCH($W827,IF($T827&lt;=60,est05_k,est519_k),1)),""))</f>
        <v/>
      </c>
      <c r="AJ827">
        <f>IF($W827="","",IFERROR(INDEX(IF($T827&lt;=60,peso05_l,peso510_l),MATCH($W827,IF($T827&lt;=60,peso05_k,peso510_k),1)),""))</f>
        <v/>
      </c>
      <c r="AK827">
        <f>IF($W827="","",IFERROR(INDEX(IF($T827&lt;=60,peso05_m,peso510_m),MATCH($W827,IF($T827&lt;=60,peso05_k,peso510_k),1)),""))</f>
        <v/>
      </c>
      <c r="AL827">
        <f>IF($W827="","",IFERROR(INDEX(IF($T827&lt;=60,peso05_s,peso510_s),MATCH($W827,IF($T827&lt;=60,peso05_k,peso510_k),1)),""))</f>
        <v/>
      </c>
      <c r="AM827">
        <f>IF($AJ827="","",IF($AJ827=0,LN($F827/$AK827)/$AL827,((($F827/$AK827)^$AJ827)-1)/($AJ827*$AL827)))</f>
        <v/>
      </c>
      <c r="AN827">
        <f>IF($AJ827="","",IF($AJ827=0,$AK827*EXP($AL827*2),$AK827*(1+$AJ827*$AL827*2)^(1/$AJ827)))</f>
        <v/>
      </c>
      <c r="AO827">
        <f>IF($AJ827="","",IF($AJ827=0,$AK827*EXP($AL827*3),$AK827*(1+$AJ827*$AL827*3)^(1/$AJ827)))</f>
        <v/>
      </c>
      <c r="AP827">
        <f>IF($AJ827="","",IF($AJ827=0,$AK827*EXP($AL827*-2),$AK827*(1+$AJ827*$AL827*-2)^(1/$AJ827)))</f>
        <v/>
      </c>
      <c r="AQ827">
        <f>IF($AJ827="","",IF($AJ827=0,$AK827*EXP($AL827*-3),$AK827*(1+$AJ827*$AL827*-3)^(1/$AJ827)))</f>
        <v/>
      </c>
      <c r="AR827">
        <f>IF(OR($X827="",$T827&gt;60),"",IFERROR(INDEX(IF($T827&lt;24,pcomp_l,palt_l),MATCH($X827,IF($T827&lt;24,pcomp_k,palt_k),1)),""))</f>
        <v/>
      </c>
      <c r="AS827">
        <f>IF(OR($X827="",$T827&gt;60),"",IFERROR(INDEX(IF($T827&lt;24,pcomp_m,palt_m),MATCH($X827,IF($T827&lt;24,pcomp_k,palt_k),1)),""))</f>
        <v/>
      </c>
      <c r="AT827">
        <f>IF(OR($X827="",$T827&gt;60),"",IFERROR(INDEX(IF($T827&lt;24,pcomp_s,palt_s),MATCH($X827,IF($T827&lt;24,pcomp_k,palt_k),1)),""))</f>
        <v/>
      </c>
      <c r="AU827">
        <f>IF($AR827="","",IF($AR827=0,LN($F827/$AS827)/$AT827,((($F827/$AS827)^$AR827)-1)/($AR827*$AT827)))</f>
        <v/>
      </c>
      <c r="AV827">
        <f>IF($AR827="","",IF($AR827=0,$AS827*EXP($AT827*2),$AS827*(1+$AR827*$AT827*2)^(1/$AR827)))</f>
        <v/>
      </c>
      <c r="AW827">
        <f>IF($AR827="","",IF($AR827=0,$AS827*EXP($AT827*3),$AS827*(1+$AR827*$AT827*3)^(1/$AR827)))</f>
        <v/>
      </c>
      <c r="AX827">
        <f>IF($AR827="","",IF($AR827=0,$AS827*EXP($AT827*-2),$AS827*(1+$AR827*$AT827*-2)^(1/$AR827)))</f>
        <v/>
      </c>
      <c r="AY827">
        <f>IF($AR827="","",IF($AR827=0,$AS827*EXP($AT827*-3),$AS827*(1+$AR827*$AT827*-3)^(1/$AR827)))</f>
        <v/>
      </c>
      <c r="AZ827">
        <f>IF(OR($A827="",$A827&lt;&gt;Ficha!$C$4),"",COUNTIF($A$2:$A827,Ficha!$C$4))</f>
        <v/>
      </c>
    </row>
    <row r="828">
      <c r="A828" s="8">
        <f>IF(INDEX(Banco!$A:$A,ROW())="","",INDEX(Banco!$A:$A,ROW()))</f>
        <v/>
      </c>
      <c r="B828" s="8">
        <f>IF(INDEX(Banco!$B:$B,ROW())="","",INDEX(Banco!$B:$B,ROW()))</f>
        <v/>
      </c>
      <c r="C828" s="8">
        <f>IF(INDEX(Banco!$C:$C,ROW())="","",INDEX(Banco!$C:$C,ROW()))</f>
        <v/>
      </c>
      <c r="D828" s="9">
        <f>IF(INDEX(Banco!$D:$D,ROW())="","",INDEX(Banco!$D:$D,ROW()))</f>
        <v/>
      </c>
      <c r="E828" s="9">
        <f>IF(INDEX(Banco!$E:$E,ROW())="","",INDEX(Banco!$E:$E,ROW()))</f>
        <v/>
      </c>
      <c r="F828" s="10">
        <f>IF(INDEX(Banco!$F:$F,ROW())="","",INDEX(Banco!$F:$F,ROW()))</f>
        <v/>
      </c>
      <c r="G828" s="10">
        <f>IF(INDEX(Banco!$G:$G,ROW())="","",INDEX(Banco!$G:$G,ROW()))</f>
        <v/>
      </c>
      <c r="H828" s="8">
        <f>IF(INDEX(Banco!$H:$H,ROW())="","",INDEX(Banco!$H:$H,ROW()))</f>
        <v/>
      </c>
      <c r="I828">
        <f>IF($T828="","",INT($T828/12)&amp;"a "&amp;MOD($T828,12)&amp;"m")</f>
        <v/>
      </c>
      <c r="J828" s="11">
        <f>IF(OR($F828="",$G828=""),"",ROUND($F828/($G828/100)^2,2))</f>
        <v/>
      </c>
      <c r="K828" s="12">
        <f>IF(OR($S828="",$J828="",$T828="",$T828&lt;0,$T828&gt;228,$Y828=""),"—",ROUND(IF(ABS($AB828)&lt;=3,$AB828,IF($AB828&gt;3,3+($J828-$AD828)/($AD828-$AC828),-3+($J828-$AF828)/($AE828-$AF828))),2))</f>
        <v/>
      </c>
      <c r="L828">
        <f>IF(OR($K828="",$K828="—"),"",IF($T828&lt;=60,IF($K828&lt;-3,"Magreza acentuada",IF($K828&lt;-2,"Magreza",IF($K828&lt;=1,"Eutrofia",IF($K828&lt;=2,"Risco de sobrepeso",IF($K828&lt;=3,"Sobrepeso","Obesidade"))))),IF($K828&lt;-3,"Magreza acentuada",IF($K828&lt;-2,"Magreza",IF($K828&lt;=1,"Eutrofia",IF($K828&lt;=2,"Sobrepeso",IF($K828&lt;=3,"Obesidade","Obesidade grave")))))))</f>
        <v/>
      </c>
      <c r="M828" s="12">
        <f>IF(OR($S828="",$V828="",$T828="",$T828&lt;0,$T828&gt;228,$AG828=""),"—",ROUND(IF($AG828=0,LN($V828/$AH828)/$AI828,((($V828/$AH828)^$AG828)-1)/($AG828*$AI828)),2))</f>
        <v/>
      </c>
      <c r="N828">
        <f>IF(OR($M828="",$M828="—"),"",IF($M828&lt;-3,"Muito baixa",IF($M828&lt;-2,"Baixa","Adequada")))</f>
        <v/>
      </c>
      <c r="O828" s="12">
        <f>IF(OR($S828="",$F828="",$T828="",$T828&lt;0,$T828&gt;120,$AJ828=""),"—",ROUND(IF(ABS($AM828)&lt;=3,$AM828,IF($AM828&gt;3,3+($F828-$AO828)/($AO828-$AN828),-3+($F828-$AQ828)/($AP828-$AQ828))),2))</f>
        <v/>
      </c>
      <c r="P828">
        <f>IF(OR($O828="",$O828="—"),"",IF($O828&lt;-3,"Muito baixo",IF($O828&lt;-2,"Baixo",IF($O828&lt;=2,"Adequado","Elevado"))))</f>
        <v/>
      </c>
      <c r="Q828" s="12">
        <f>IF(OR($S828="",$F828="",$T828="",$T828&lt;0,$T828&gt;60,$AR828=""),"—",ROUND(IF(ABS($AU828)&lt;=3,$AU828,IF($AU828&gt;3,3+($F828-$AW828)/($AW828-$AV828),-3+($F828-$AY828)/($AX828-$AY828))),2))</f>
        <v/>
      </c>
      <c r="R828">
        <f>IF(OR($Q828="",$Q828="—"),"",IF($Q828&lt;-3,"Magreza acentuada",IF($Q828&lt;-2,"Magreza",IF($Q828&lt;=1,"Eutrofia",IF($Q828&lt;=2,"Risco de sobrepeso",IF($Q828&lt;=3,"Sobrepeso","Obesidade"))))))</f>
        <v/>
      </c>
      <c r="S828">
        <f>IF($C828="","",IF(UPPER(LEFT($C828,1))="M",1,IF(UPPER(LEFT($C828,1))="F",2,"")))</f>
        <v/>
      </c>
      <c r="T828">
        <f>IF(OR($D828="",$E828=""),"",DATEDIF($D828,$E828,"m"))</f>
        <v/>
      </c>
      <c r="U828">
        <f>IF(OR($D828="",$E828=""),"",$E828-$D828)</f>
        <v/>
      </c>
      <c r="V828">
        <f>IF(OR($G828="",$T828=""),"",IF($T828&lt;24,IF(LEFT(LOWER($H828),4)="em p",$G828+0.7,$G828),IF(LEFT(LOWER($H828),4)="deit",$G828-0.7,$G828)))</f>
        <v/>
      </c>
      <c r="W828">
        <f>IF(OR($S828="",$T828=""),"",$S828*1000000+IF($T828&lt;=60,$U828,$T828))</f>
        <v/>
      </c>
      <c r="X828">
        <f>IF(OR($S828="",$V828="",$T828&gt;60,$T828=""),"",$S828*1000000+ROUND($V828*10,0))</f>
        <v/>
      </c>
      <c r="Y828">
        <f>IF($W828="","",IFERROR(INDEX(IF($T828&lt;=60,imc05_l,imc519_l),MATCH($W828,IF($T828&lt;=60,imc05_k,imc519_k),1)),""))</f>
        <v/>
      </c>
      <c r="Z828">
        <f>IF($W828="","",IFERROR(INDEX(IF($T828&lt;=60,imc05_m,imc519_m),MATCH($W828,IF($T828&lt;=60,imc05_k,imc519_k),1)),""))</f>
        <v/>
      </c>
      <c r="AA828">
        <f>IF($W828="","",IFERROR(INDEX(IF($T828&lt;=60,imc05_s,imc519_s),MATCH($W828,IF($T828&lt;=60,imc05_k,imc519_k),1)),""))</f>
        <v/>
      </c>
      <c r="AB828">
        <f>IF($Y828="","",IF($Y828=0,LN($J828/$Z828)/$AA828,((($J828/$Z828)^$Y828)-1)/($Y828*$AA828)))</f>
        <v/>
      </c>
      <c r="AC828">
        <f>IF($Y828="","",IF($Y828=0,$Z828*EXP($AA828*2),$Z828*(1+$Y828*$AA828*2)^(1/$Y828)))</f>
        <v/>
      </c>
      <c r="AD828">
        <f>IF($Y828="","",IF($Y828=0,$Z828*EXP($AA828*3),$Z828*(1+$Y828*$AA828*3)^(1/$Y828)))</f>
        <v/>
      </c>
      <c r="AE828">
        <f>IF($Y828="","",IF($Y828=0,$Z828*EXP($AA828*-2),$Z828*(1+$Y828*$AA828*-2)^(1/$Y828)))</f>
        <v/>
      </c>
      <c r="AF828">
        <f>IF($Y828="","",IF($Y828=0,$Z828*EXP($AA828*-3),$Z828*(1+$Y828*$AA828*-3)^(1/$Y828)))</f>
        <v/>
      </c>
      <c r="AG828">
        <f>IF($W828="","",IFERROR(INDEX(IF($T828&lt;=60,est05_l,est519_l),MATCH($W828,IF($T828&lt;=60,est05_k,est519_k),1)),""))</f>
        <v/>
      </c>
      <c r="AH828">
        <f>IF($W828="","",IFERROR(INDEX(IF($T828&lt;=60,est05_m,est519_m),MATCH($W828,IF($T828&lt;=60,est05_k,est519_k),1)),""))</f>
        <v/>
      </c>
      <c r="AI828">
        <f>IF($W828="","",IFERROR(INDEX(IF($T828&lt;=60,est05_s,est519_s),MATCH($W828,IF($T828&lt;=60,est05_k,est519_k),1)),""))</f>
        <v/>
      </c>
      <c r="AJ828">
        <f>IF($W828="","",IFERROR(INDEX(IF($T828&lt;=60,peso05_l,peso510_l),MATCH($W828,IF($T828&lt;=60,peso05_k,peso510_k),1)),""))</f>
        <v/>
      </c>
      <c r="AK828">
        <f>IF($W828="","",IFERROR(INDEX(IF($T828&lt;=60,peso05_m,peso510_m),MATCH($W828,IF($T828&lt;=60,peso05_k,peso510_k),1)),""))</f>
        <v/>
      </c>
      <c r="AL828">
        <f>IF($W828="","",IFERROR(INDEX(IF($T828&lt;=60,peso05_s,peso510_s),MATCH($W828,IF($T828&lt;=60,peso05_k,peso510_k),1)),""))</f>
        <v/>
      </c>
      <c r="AM828">
        <f>IF($AJ828="","",IF($AJ828=0,LN($F828/$AK828)/$AL828,((($F828/$AK828)^$AJ828)-1)/($AJ828*$AL828)))</f>
        <v/>
      </c>
      <c r="AN828">
        <f>IF($AJ828="","",IF($AJ828=0,$AK828*EXP($AL828*2),$AK828*(1+$AJ828*$AL828*2)^(1/$AJ828)))</f>
        <v/>
      </c>
      <c r="AO828">
        <f>IF($AJ828="","",IF($AJ828=0,$AK828*EXP($AL828*3),$AK828*(1+$AJ828*$AL828*3)^(1/$AJ828)))</f>
        <v/>
      </c>
      <c r="AP828">
        <f>IF($AJ828="","",IF($AJ828=0,$AK828*EXP($AL828*-2),$AK828*(1+$AJ828*$AL828*-2)^(1/$AJ828)))</f>
        <v/>
      </c>
      <c r="AQ828">
        <f>IF($AJ828="","",IF($AJ828=0,$AK828*EXP($AL828*-3),$AK828*(1+$AJ828*$AL828*-3)^(1/$AJ828)))</f>
        <v/>
      </c>
      <c r="AR828">
        <f>IF(OR($X828="",$T828&gt;60),"",IFERROR(INDEX(IF($T828&lt;24,pcomp_l,palt_l),MATCH($X828,IF($T828&lt;24,pcomp_k,palt_k),1)),""))</f>
        <v/>
      </c>
      <c r="AS828">
        <f>IF(OR($X828="",$T828&gt;60),"",IFERROR(INDEX(IF($T828&lt;24,pcomp_m,palt_m),MATCH($X828,IF($T828&lt;24,pcomp_k,palt_k),1)),""))</f>
        <v/>
      </c>
      <c r="AT828">
        <f>IF(OR($X828="",$T828&gt;60),"",IFERROR(INDEX(IF($T828&lt;24,pcomp_s,palt_s),MATCH($X828,IF($T828&lt;24,pcomp_k,palt_k),1)),""))</f>
        <v/>
      </c>
      <c r="AU828">
        <f>IF($AR828="","",IF($AR828=0,LN($F828/$AS828)/$AT828,((($F828/$AS828)^$AR828)-1)/($AR828*$AT828)))</f>
        <v/>
      </c>
      <c r="AV828">
        <f>IF($AR828="","",IF($AR828=0,$AS828*EXP($AT828*2),$AS828*(1+$AR828*$AT828*2)^(1/$AR828)))</f>
        <v/>
      </c>
      <c r="AW828">
        <f>IF($AR828="","",IF($AR828=0,$AS828*EXP($AT828*3),$AS828*(1+$AR828*$AT828*3)^(1/$AR828)))</f>
        <v/>
      </c>
      <c r="AX828">
        <f>IF($AR828="","",IF($AR828=0,$AS828*EXP($AT828*-2),$AS828*(1+$AR828*$AT828*-2)^(1/$AR828)))</f>
        <v/>
      </c>
      <c r="AY828">
        <f>IF($AR828="","",IF($AR828=0,$AS828*EXP($AT828*-3),$AS828*(1+$AR828*$AT828*-3)^(1/$AR828)))</f>
        <v/>
      </c>
      <c r="AZ828">
        <f>IF(OR($A828="",$A828&lt;&gt;Ficha!$C$4),"",COUNTIF($A$2:$A828,Ficha!$C$4))</f>
        <v/>
      </c>
    </row>
    <row r="829">
      <c r="A829" s="8">
        <f>IF(INDEX(Banco!$A:$A,ROW())="","",INDEX(Banco!$A:$A,ROW()))</f>
        <v/>
      </c>
      <c r="B829" s="8">
        <f>IF(INDEX(Banco!$B:$B,ROW())="","",INDEX(Banco!$B:$B,ROW()))</f>
        <v/>
      </c>
      <c r="C829" s="8">
        <f>IF(INDEX(Banco!$C:$C,ROW())="","",INDEX(Banco!$C:$C,ROW()))</f>
        <v/>
      </c>
      <c r="D829" s="9">
        <f>IF(INDEX(Banco!$D:$D,ROW())="","",INDEX(Banco!$D:$D,ROW()))</f>
        <v/>
      </c>
      <c r="E829" s="9">
        <f>IF(INDEX(Banco!$E:$E,ROW())="","",INDEX(Banco!$E:$E,ROW()))</f>
        <v/>
      </c>
      <c r="F829" s="10">
        <f>IF(INDEX(Banco!$F:$F,ROW())="","",INDEX(Banco!$F:$F,ROW()))</f>
        <v/>
      </c>
      <c r="G829" s="10">
        <f>IF(INDEX(Banco!$G:$G,ROW())="","",INDEX(Banco!$G:$G,ROW()))</f>
        <v/>
      </c>
      <c r="H829" s="8">
        <f>IF(INDEX(Banco!$H:$H,ROW())="","",INDEX(Banco!$H:$H,ROW()))</f>
        <v/>
      </c>
      <c r="I829">
        <f>IF($T829="","",INT($T829/12)&amp;"a "&amp;MOD($T829,12)&amp;"m")</f>
        <v/>
      </c>
      <c r="J829" s="11">
        <f>IF(OR($F829="",$G829=""),"",ROUND($F829/($G829/100)^2,2))</f>
        <v/>
      </c>
      <c r="K829" s="12">
        <f>IF(OR($S829="",$J829="",$T829="",$T829&lt;0,$T829&gt;228,$Y829=""),"—",ROUND(IF(ABS($AB829)&lt;=3,$AB829,IF($AB829&gt;3,3+($J829-$AD829)/($AD829-$AC829),-3+($J829-$AF829)/($AE829-$AF829))),2))</f>
        <v/>
      </c>
      <c r="L829">
        <f>IF(OR($K829="",$K829="—"),"",IF($T829&lt;=60,IF($K829&lt;-3,"Magreza acentuada",IF($K829&lt;-2,"Magreza",IF($K829&lt;=1,"Eutrofia",IF($K829&lt;=2,"Risco de sobrepeso",IF($K829&lt;=3,"Sobrepeso","Obesidade"))))),IF($K829&lt;-3,"Magreza acentuada",IF($K829&lt;-2,"Magreza",IF($K829&lt;=1,"Eutrofia",IF($K829&lt;=2,"Sobrepeso",IF($K829&lt;=3,"Obesidade","Obesidade grave")))))))</f>
        <v/>
      </c>
      <c r="M829" s="12">
        <f>IF(OR($S829="",$V829="",$T829="",$T829&lt;0,$T829&gt;228,$AG829=""),"—",ROUND(IF($AG829=0,LN($V829/$AH829)/$AI829,((($V829/$AH829)^$AG829)-1)/($AG829*$AI829)),2))</f>
        <v/>
      </c>
      <c r="N829">
        <f>IF(OR($M829="",$M829="—"),"",IF($M829&lt;-3,"Muito baixa",IF($M829&lt;-2,"Baixa","Adequada")))</f>
        <v/>
      </c>
      <c r="O829" s="12">
        <f>IF(OR($S829="",$F829="",$T829="",$T829&lt;0,$T829&gt;120,$AJ829=""),"—",ROUND(IF(ABS($AM829)&lt;=3,$AM829,IF($AM829&gt;3,3+($F829-$AO829)/($AO829-$AN829),-3+($F829-$AQ829)/($AP829-$AQ829))),2))</f>
        <v/>
      </c>
      <c r="P829">
        <f>IF(OR($O829="",$O829="—"),"",IF($O829&lt;-3,"Muito baixo",IF($O829&lt;-2,"Baixo",IF($O829&lt;=2,"Adequado","Elevado"))))</f>
        <v/>
      </c>
      <c r="Q829" s="12">
        <f>IF(OR($S829="",$F829="",$T829="",$T829&lt;0,$T829&gt;60,$AR829=""),"—",ROUND(IF(ABS($AU829)&lt;=3,$AU829,IF($AU829&gt;3,3+($F829-$AW829)/($AW829-$AV829),-3+($F829-$AY829)/($AX829-$AY829))),2))</f>
        <v/>
      </c>
      <c r="R829">
        <f>IF(OR($Q829="",$Q829="—"),"",IF($Q829&lt;-3,"Magreza acentuada",IF($Q829&lt;-2,"Magreza",IF($Q829&lt;=1,"Eutrofia",IF($Q829&lt;=2,"Risco de sobrepeso",IF($Q829&lt;=3,"Sobrepeso","Obesidade"))))))</f>
        <v/>
      </c>
      <c r="S829">
        <f>IF($C829="","",IF(UPPER(LEFT($C829,1))="M",1,IF(UPPER(LEFT($C829,1))="F",2,"")))</f>
        <v/>
      </c>
      <c r="T829">
        <f>IF(OR($D829="",$E829=""),"",DATEDIF($D829,$E829,"m"))</f>
        <v/>
      </c>
      <c r="U829">
        <f>IF(OR($D829="",$E829=""),"",$E829-$D829)</f>
        <v/>
      </c>
      <c r="V829">
        <f>IF(OR($G829="",$T829=""),"",IF($T829&lt;24,IF(LEFT(LOWER($H829),4)="em p",$G829+0.7,$G829),IF(LEFT(LOWER($H829),4)="deit",$G829-0.7,$G829)))</f>
        <v/>
      </c>
      <c r="W829">
        <f>IF(OR($S829="",$T829=""),"",$S829*1000000+IF($T829&lt;=60,$U829,$T829))</f>
        <v/>
      </c>
      <c r="X829">
        <f>IF(OR($S829="",$V829="",$T829&gt;60,$T829=""),"",$S829*1000000+ROUND($V829*10,0))</f>
        <v/>
      </c>
      <c r="Y829">
        <f>IF($W829="","",IFERROR(INDEX(IF($T829&lt;=60,imc05_l,imc519_l),MATCH($W829,IF($T829&lt;=60,imc05_k,imc519_k),1)),""))</f>
        <v/>
      </c>
      <c r="Z829">
        <f>IF($W829="","",IFERROR(INDEX(IF($T829&lt;=60,imc05_m,imc519_m),MATCH($W829,IF($T829&lt;=60,imc05_k,imc519_k),1)),""))</f>
        <v/>
      </c>
      <c r="AA829">
        <f>IF($W829="","",IFERROR(INDEX(IF($T829&lt;=60,imc05_s,imc519_s),MATCH($W829,IF($T829&lt;=60,imc05_k,imc519_k),1)),""))</f>
        <v/>
      </c>
      <c r="AB829">
        <f>IF($Y829="","",IF($Y829=0,LN($J829/$Z829)/$AA829,((($J829/$Z829)^$Y829)-1)/($Y829*$AA829)))</f>
        <v/>
      </c>
      <c r="AC829">
        <f>IF($Y829="","",IF($Y829=0,$Z829*EXP($AA829*2),$Z829*(1+$Y829*$AA829*2)^(1/$Y829)))</f>
        <v/>
      </c>
      <c r="AD829">
        <f>IF($Y829="","",IF($Y829=0,$Z829*EXP($AA829*3),$Z829*(1+$Y829*$AA829*3)^(1/$Y829)))</f>
        <v/>
      </c>
      <c r="AE829">
        <f>IF($Y829="","",IF($Y829=0,$Z829*EXP($AA829*-2),$Z829*(1+$Y829*$AA829*-2)^(1/$Y829)))</f>
        <v/>
      </c>
      <c r="AF829">
        <f>IF($Y829="","",IF($Y829=0,$Z829*EXP($AA829*-3),$Z829*(1+$Y829*$AA829*-3)^(1/$Y829)))</f>
        <v/>
      </c>
      <c r="AG829">
        <f>IF($W829="","",IFERROR(INDEX(IF($T829&lt;=60,est05_l,est519_l),MATCH($W829,IF($T829&lt;=60,est05_k,est519_k),1)),""))</f>
        <v/>
      </c>
      <c r="AH829">
        <f>IF($W829="","",IFERROR(INDEX(IF($T829&lt;=60,est05_m,est519_m),MATCH($W829,IF($T829&lt;=60,est05_k,est519_k),1)),""))</f>
        <v/>
      </c>
      <c r="AI829">
        <f>IF($W829="","",IFERROR(INDEX(IF($T829&lt;=60,est05_s,est519_s),MATCH($W829,IF($T829&lt;=60,est05_k,est519_k),1)),""))</f>
        <v/>
      </c>
      <c r="AJ829">
        <f>IF($W829="","",IFERROR(INDEX(IF($T829&lt;=60,peso05_l,peso510_l),MATCH($W829,IF($T829&lt;=60,peso05_k,peso510_k),1)),""))</f>
        <v/>
      </c>
      <c r="AK829">
        <f>IF($W829="","",IFERROR(INDEX(IF($T829&lt;=60,peso05_m,peso510_m),MATCH($W829,IF($T829&lt;=60,peso05_k,peso510_k),1)),""))</f>
        <v/>
      </c>
      <c r="AL829">
        <f>IF($W829="","",IFERROR(INDEX(IF($T829&lt;=60,peso05_s,peso510_s),MATCH($W829,IF($T829&lt;=60,peso05_k,peso510_k),1)),""))</f>
        <v/>
      </c>
      <c r="AM829">
        <f>IF($AJ829="","",IF($AJ829=0,LN($F829/$AK829)/$AL829,((($F829/$AK829)^$AJ829)-1)/($AJ829*$AL829)))</f>
        <v/>
      </c>
      <c r="AN829">
        <f>IF($AJ829="","",IF($AJ829=0,$AK829*EXP($AL829*2),$AK829*(1+$AJ829*$AL829*2)^(1/$AJ829)))</f>
        <v/>
      </c>
      <c r="AO829">
        <f>IF($AJ829="","",IF($AJ829=0,$AK829*EXP($AL829*3),$AK829*(1+$AJ829*$AL829*3)^(1/$AJ829)))</f>
        <v/>
      </c>
      <c r="AP829">
        <f>IF($AJ829="","",IF($AJ829=0,$AK829*EXP($AL829*-2),$AK829*(1+$AJ829*$AL829*-2)^(1/$AJ829)))</f>
        <v/>
      </c>
      <c r="AQ829">
        <f>IF($AJ829="","",IF($AJ829=0,$AK829*EXP($AL829*-3),$AK829*(1+$AJ829*$AL829*-3)^(1/$AJ829)))</f>
        <v/>
      </c>
      <c r="AR829">
        <f>IF(OR($X829="",$T829&gt;60),"",IFERROR(INDEX(IF($T829&lt;24,pcomp_l,palt_l),MATCH($X829,IF($T829&lt;24,pcomp_k,palt_k),1)),""))</f>
        <v/>
      </c>
      <c r="AS829">
        <f>IF(OR($X829="",$T829&gt;60),"",IFERROR(INDEX(IF($T829&lt;24,pcomp_m,palt_m),MATCH($X829,IF($T829&lt;24,pcomp_k,palt_k),1)),""))</f>
        <v/>
      </c>
      <c r="AT829">
        <f>IF(OR($X829="",$T829&gt;60),"",IFERROR(INDEX(IF($T829&lt;24,pcomp_s,palt_s),MATCH($X829,IF($T829&lt;24,pcomp_k,palt_k),1)),""))</f>
        <v/>
      </c>
      <c r="AU829">
        <f>IF($AR829="","",IF($AR829=0,LN($F829/$AS829)/$AT829,((($F829/$AS829)^$AR829)-1)/($AR829*$AT829)))</f>
        <v/>
      </c>
      <c r="AV829">
        <f>IF($AR829="","",IF($AR829=0,$AS829*EXP($AT829*2),$AS829*(1+$AR829*$AT829*2)^(1/$AR829)))</f>
        <v/>
      </c>
      <c r="AW829">
        <f>IF($AR829="","",IF($AR829=0,$AS829*EXP($AT829*3),$AS829*(1+$AR829*$AT829*3)^(1/$AR829)))</f>
        <v/>
      </c>
      <c r="AX829">
        <f>IF($AR829="","",IF($AR829=0,$AS829*EXP($AT829*-2),$AS829*(1+$AR829*$AT829*-2)^(1/$AR829)))</f>
        <v/>
      </c>
      <c r="AY829">
        <f>IF($AR829="","",IF($AR829=0,$AS829*EXP($AT829*-3),$AS829*(1+$AR829*$AT829*-3)^(1/$AR829)))</f>
        <v/>
      </c>
      <c r="AZ829">
        <f>IF(OR($A829="",$A829&lt;&gt;Ficha!$C$4),"",COUNTIF($A$2:$A829,Ficha!$C$4))</f>
        <v/>
      </c>
    </row>
    <row r="830">
      <c r="A830" s="8">
        <f>IF(INDEX(Banco!$A:$A,ROW())="","",INDEX(Banco!$A:$A,ROW()))</f>
        <v/>
      </c>
      <c r="B830" s="8">
        <f>IF(INDEX(Banco!$B:$B,ROW())="","",INDEX(Banco!$B:$B,ROW()))</f>
        <v/>
      </c>
      <c r="C830" s="8">
        <f>IF(INDEX(Banco!$C:$C,ROW())="","",INDEX(Banco!$C:$C,ROW()))</f>
        <v/>
      </c>
      <c r="D830" s="9">
        <f>IF(INDEX(Banco!$D:$D,ROW())="","",INDEX(Banco!$D:$D,ROW()))</f>
        <v/>
      </c>
      <c r="E830" s="9">
        <f>IF(INDEX(Banco!$E:$E,ROW())="","",INDEX(Banco!$E:$E,ROW()))</f>
        <v/>
      </c>
      <c r="F830" s="10">
        <f>IF(INDEX(Banco!$F:$F,ROW())="","",INDEX(Banco!$F:$F,ROW()))</f>
        <v/>
      </c>
      <c r="G830" s="10">
        <f>IF(INDEX(Banco!$G:$G,ROW())="","",INDEX(Banco!$G:$G,ROW()))</f>
        <v/>
      </c>
      <c r="H830" s="8">
        <f>IF(INDEX(Banco!$H:$H,ROW())="","",INDEX(Banco!$H:$H,ROW()))</f>
        <v/>
      </c>
      <c r="I830">
        <f>IF($T830="","",INT($T830/12)&amp;"a "&amp;MOD($T830,12)&amp;"m")</f>
        <v/>
      </c>
      <c r="J830" s="11">
        <f>IF(OR($F830="",$G830=""),"",ROUND($F830/($G830/100)^2,2))</f>
        <v/>
      </c>
      <c r="K830" s="12">
        <f>IF(OR($S830="",$J830="",$T830="",$T830&lt;0,$T830&gt;228,$Y830=""),"—",ROUND(IF(ABS($AB830)&lt;=3,$AB830,IF($AB830&gt;3,3+($J830-$AD830)/($AD830-$AC830),-3+($J830-$AF830)/($AE830-$AF830))),2))</f>
        <v/>
      </c>
      <c r="L830">
        <f>IF(OR($K830="",$K830="—"),"",IF($T830&lt;=60,IF($K830&lt;-3,"Magreza acentuada",IF($K830&lt;-2,"Magreza",IF($K830&lt;=1,"Eutrofia",IF($K830&lt;=2,"Risco de sobrepeso",IF($K830&lt;=3,"Sobrepeso","Obesidade"))))),IF($K830&lt;-3,"Magreza acentuada",IF($K830&lt;-2,"Magreza",IF($K830&lt;=1,"Eutrofia",IF($K830&lt;=2,"Sobrepeso",IF($K830&lt;=3,"Obesidade","Obesidade grave")))))))</f>
        <v/>
      </c>
      <c r="M830" s="12">
        <f>IF(OR($S830="",$V830="",$T830="",$T830&lt;0,$T830&gt;228,$AG830=""),"—",ROUND(IF($AG830=0,LN($V830/$AH830)/$AI830,((($V830/$AH830)^$AG830)-1)/($AG830*$AI830)),2))</f>
        <v/>
      </c>
      <c r="N830">
        <f>IF(OR($M830="",$M830="—"),"",IF($M830&lt;-3,"Muito baixa",IF($M830&lt;-2,"Baixa","Adequada")))</f>
        <v/>
      </c>
      <c r="O830" s="12">
        <f>IF(OR($S830="",$F830="",$T830="",$T830&lt;0,$T830&gt;120,$AJ830=""),"—",ROUND(IF(ABS($AM830)&lt;=3,$AM830,IF($AM830&gt;3,3+($F830-$AO830)/($AO830-$AN830),-3+($F830-$AQ830)/($AP830-$AQ830))),2))</f>
        <v/>
      </c>
      <c r="P830">
        <f>IF(OR($O830="",$O830="—"),"",IF($O830&lt;-3,"Muito baixo",IF($O830&lt;-2,"Baixo",IF($O830&lt;=2,"Adequado","Elevado"))))</f>
        <v/>
      </c>
      <c r="Q830" s="12">
        <f>IF(OR($S830="",$F830="",$T830="",$T830&lt;0,$T830&gt;60,$AR830=""),"—",ROUND(IF(ABS($AU830)&lt;=3,$AU830,IF($AU830&gt;3,3+($F830-$AW830)/($AW830-$AV830),-3+($F830-$AY830)/($AX830-$AY830))),2))</f>
        <v/>
      </c>
      <c r="R830">
        <f>IF(OR($Q830="",$Q830="—"),"",IF($Q830&lt;-3,"Magreza acentuada",IF($Q830&lt;-2,"Magreza",IF($Q830&lt;=1,"Eutrofia",IF($Q830&lt;=2,"Risco de sobrepeso",IF($Q830&lt;=3,"Sobrepeso","Obesidade"))))))</f>
        <v/>
      </c>
      <c r="S830">
        <f>IF($C830="","",IF(UPPER(LEFT($C830,1))="M",1,IF(UPPER(LEFT($C830,1))="F",2,"")))</f>
        <v/>
      </c>
      <c r="T830">
        <f>IF(OR($D830="",$E830=""),"",DATEDIF($D830,$E830,"m"))</f>
        <v/>
      </c>
      <c r="U830">
        <f>IF(OR($D830="",$E830=""),"",$E830-$D830)</f>
        <v/>
      </c>
      <c r="V830">
        <f>IF(OR($G830="",$T830=""),"",IF($T830&lt;24,IF(LEFT(LOWER($H830),4)="em p",$G830+0.7,$G830),IF(LEFT(LOWER($H830),4)="deit",$G830-0.7,$G830)))</f>
        <v/>
      </c>
      <c r="W830">
        <f>IF(OR($S830="",$T830=""),"",$S830*1000000+IF($T830&lt;=60,$U830,$T830))</f>
        <v/>
      </c>
      <c r="X830">
        <f>IF(OR($S830="",$V830="",$T830&gt;60,$T830=""),"",$S830*1000000+ROUND($V830*10,0))</f>
        <v/>
      </c>
      <c r="Y830">
        <f>IF($W830="","",IFERROR(INDEX(IF($T830&lt;=60,imc05_l,imc519_l),MATCH($W830,IF($T830&lt;=60,imc05_k,imc519_k),1)),""))</f>
        <v/>
      </c>
      <c r="Z830">
        <f>IF($W830="","",IFERROR(INDEX(IF($T830&lt;=60,imc05_m,imc519_m),MATCH($W830,IF($T830&lt;=60,imc05_k,imc519_k),1)),""))</f>
        <v/>
      </c>
      <c r="AA830">
        <f>IF($W830="","",IFERROR(INDEX(IF($T830&lt;=60,imc05_s,imc519_s),MATCH($W830,IF($T830&lt;=60,imc05_k,imc519_k),1)),""))</f>
        <v/>
      </c>
      <c r="AB830">
        <f>IF($Y830="","",IF($Y830=0,LN($J830/$Z830)/$AA830,((($J830/$Z830)^$Y830)-1)/($Y830*$AA830)))</f>
        <v/>
      </c>
      <c r="AC830">
        <f>IF($Y830="","",IF($Y830=0,$Z830*EXP($AA830*2),$Z830*(1+$Y830*$AA830*2)^(1/$Y830)))</f>
        <v/>
      </c>
      <c r="AD830">
        <f>IF($Y830="","",IF($Y830=0,$Z830*EXP($AA830*3),$Z830*(1+$Y830*$AA830*3)^(1/$Y830)))</f>
        <v/>
      </c>
      <c r="AE830">
        <f>IF($Y830="","",IF($Y830=0,$Z830*EXP($AA830*-2),$Z830*(1+$Y830*$AA830*-2)^(1/$Y830)))</f>
        <v/>
      </c>
      <c r="AF830">
        <f>IF($Y830="","",IF($Y830=0,$Z830*EXP($AA830*-3),$Z830*(1+$Y830*$AA830*-3)^(1/$Y830)))</f>
        <v/>
      </c>
      <c r="AG830">
        <f>IF($W830="","",IFERROR(INDEX(IF($T830&lt;=60,est05_l,est519_l),MATCH($W830,IF($T830&lt;=60,est05_k,est519_k),1)),""))</f>
        <v/>
      </c>
      <c r="AH830">
        <f>IF($W830="","",IFERROR(INDEX(IF($T830&lt;=60,est05_m,est519_m),MATCH($W830,IF($T830&lt;=60,est05_k,est519_k),1)),""))</f>
        <v/>
      </c>
      <c r="AI830">
        <f>IF($W830="","",IFERROR(INDEX(IF($T830&lt;=60,est05_s,est519_s),MATCH($W830,IF($T830&lt;=60,est05_k,est519_k),1)),""))</f>
        <v/>
      </c>
      <c r="AJ830">
        <f>IF($W830="","",IFERROR(INDEX(IF($T830&lt;=60,peso05_l,peso510_l),MATCH($W830,IF($T830&lt;=60,peso05_k,peso510_k),1)),""))</f>
        <v/>
      </c>
      <c r="AK830">
        <f>IF($W830="","",IFERROR(INDEX(IF($T830&lt;=60,peso05_m,peso510_m),MATCH($W830,IF($T830&lt;=60,peso05_k,peso510_k),1)),""))</f>
        <v/>
      </c>
      <c r="AL830">
        <f>IF($W830="","",IFERROR(INDEX(IF($T830&lt;=60,peso05_s,peso510_s),MATCH($W830,IF($T830&lt;=60,peso05_k,peso510_k),1)),""))</f>
        <v/>
      </c>
      <c r="AM830">
        <f>IF($AJ830="","",IF($AJ830=0,LN($F830/$AK830)/$AL830,((($F830/$AK830)^$AJ830)-1)/($AJ830*$AL830)))</f>
        <v/>
      </c>
      <c r="AN830">
        <f>IF($AJ830="","",IF($AJ830=0,$AK830*EXP($AL830*2),$AK830*(1+$AJ830*$AL830*2)^(1/$AJ830)))</f>
        <v/>
      </c>
      <c r="AO830">
        <f>IF($AJ830="","",IF($AJ830=0,$AK830*EXP($AL830*3),$AK830*(1+$AJ830*$AL830*3)^(1/$AJ830)))</f>
        <v/>
      </c>
      <c r="AP830">
        <f>IF($AJ830="","",IF($AJ830=0,$AK830*EXP($AL830*-2),$AK830*(1+$AJ830*$AL830*-2)^(1/$AJ830)))</f>
        <v/>
      </c>
      <c r="AQ830">
        <f>IF($AJ830="","",IF($AJ830=0,$AK830*EXP($AL830*-3),$AK830*(1+$AJ830*$AL830*-3)^(1/$AJ830)))</f>
        <v/>
      </c>
      <c r="AR830">
        <f>IF(OR($X830="",$T830&gt;60),"",IFERROR(INDEX(IF($T830&lt;24,pcomp_l,palt_l),MATCH($X830,IF($T830&lt;24,pcomp_k,palt_k),1)),""))</f>
        <v/>
      </c>
      <c r="AS830">
        <f>IF(OR($X830="",$T830&gt;60),"",IFERROR(INDEX(IF($T830&lt;24,pcomp_m,palt_m),MATCH($X830,IF($T830&lt;24,pcomp_k,palt_k),1)),""))</f>
        <v/>
      </c>
      <c r="AT830">
        <f>IF(OR($X830="",$T830&gt;60),"",IFERROR(INDEX(IF($T830&lt;24,pcomp_s,palt_s),MATCH($X830,IF($T830&lt;24,pcomp_k,palt_k),1)),""))</f>
        <v/>
      </c>
      <c r="AU830">
        <f>IF($AR830="","",IF($AR830=0,LN($F830/$AS830)/$AT830,((($F830/$AS830)^$AR830)-1)/($AR830*$AT830)))</f>
        <v/>
      </c>
      <c r="AV830">
        <f>IF($AR830="","",IF($AR830=0,$AS830*EXP($AT830*2),$AS830*(1+$AR830*$AT830*2)^(1/$AR830)))</f>
        <v/>
      </c>
      <c r="AW830">
        <f>IF($AR830="","",IF($AR830=0,$AS830*EXP($AT830*3),$AS830*(1+$AR830*$AT830*3)^(1/$AR830)))</f>
        <v/>
      </c>
      <c r="AX830">
        <f>IF($AR830="","",IF($AR830=0,$AS830*EXP($AT830*-2),$AS830*(1+$AR830*$AT830*-2)^(1/$AR830)))</f>
        <v/>
      </c>
      <c r="AY830">
        <f>IF($AR830="","",IF($AR830=0,$AS830*EXP($AT830*-3),$AS830*(1+$AR830*$AT830*-3)^(1/$AR830)))</f>
        <v/>
      </c>
      <c r="AZ830">
        <f>IF(OR($A830="",$A830&lt;&gt;Ficha!$C$4),"",COUNTIF($A$2:$A830,Ficha!$C$4))</f>
        <v/>
      </c>
    </row>
    <row r="831">
      <c r="A831" s="8">
        <f>IF(INDEX(Banco!$A:$A,ROW())="","",INDEX(Banco!$A:$A,ROW()))</f>
        <v/>
      </c>
      <c r="B831" s="8">
        <f>IF(INDEX(Banco!$B:$B,ROW())="","",INDEX(Banco!$B:$B,ROW()))</f>
        <v/>
      </c>
      <c r="C831" s="8">
        <f>IF(INDEX(Banco!$C:$C,ROW())="","",INDEX(Banco!$C:$C,ROW()))</f>
        <v/>
      </c>
      <c r="D831" s="9">
        <f>IF(INDEX(Banco!$D:$D,ROW())="","",INDEX(Banco!$D:$D,ROW()))</f>
        <v/>
      </c>
      <c r="E831" s="9">
        <f>IF(INDEX(Banco!$E:$E,ROW())="","",INDEX(Banco!$E:$E,ROW()))</f>
        <v/>
      </c>
      <c r="F831" s="10">
        <f>IF(INDEX(Banco!$F:$F,ROW())="","",INDEX(Banco!$F:$F,ROW()))</f>
        <v/>
      </c>
      <c r="G831" s="10">
        <f>IF(INDEX(Banco!$G:$G,ROW())="","",INDEX(Banco!$G:$G,ROW()))</f>
        <v/>
      </c>
      <c r="H831" s="8">
        <f>IF(INDEX(Banco!$H:$H,ROW())="","",INDEX(Banco!$H:$H,ROW()))</f>
        <v/>
      </c>
      <c r="I831">
        <f>IF($T831="","",INT($T831/12)&amp;"a "&amp;MOD($T831,12)&amp;"m")</f>
        <v/>
      </c>
      <c r="J831" s="11">
        <f>IF(OR($F831="",$G831=""),"",ROUND($F831/($G831/100)^2,2))</f>
        <v/>
      </c>
      <c r="K831" s="12">
        <f>IF(OR($S831="",$J831="",$T831="",$T831&lt;0,$T831&gt;228,$Y831=""),"—",ROUND(IF(ABS($AB831)&lt;=3,$AB831,IF($AB831&gt;3,3+($J831-$AD831)/($AD831-$AC831),-3+($J831-$AF831)/($AE831-$AF831))),2))</f>
        <v/>
      </c>
      <c r="L831">
        <f>IF(OR($K831="",$K831="—"),"",IF($T831&lt;=60,IF($K831&lt;-3,"Magreza acentuada",IF($K831&lt;-2,"Magreza",IF($K831&lt;=1,"Eutrofia",IF($K831&lt;=2,"Risco de sobrepeso",IF($K831&lt;=3,"Sobrepeso","Obesidade"))))),IF($K831&lt;-3,"Magreza acentuada",IF($K831&lt;-2,"Magreza",IF($K831&lt;=1,"Eutrofia",IF($K831&lt;=2,"Sobrepeso",IF($K831&lt;=3,"Obesidade","Obesidade grave")))))))</f>
        <v/>
      </c>
      <c r="M831" s="12">
        <f>IF(OR($S831="",$V831="",$T831="",$T831&lt;0,$T831&gt;228,$AG831=""),"—",ROUND(IF($AG831=0,LN($V831/$AH831)/$AI831,((($V831/$AH831)^$AG831)-1)/($AG831*$AI831)),2))</f>
        <v/>
      </c>
      <c r="N831">
        <f>IF(OR($M831="",$M831="—"),"",IF($M831&lt;-3,"Muito baixa",IF($M831&lt;-2,"Baixa","Adequada")))</f>
        <v/>
      </c>
      <c r="O831" s="12">
        <f>IF(OR($S831="",$F831="",$T831="",$T831&lt;0,$T831&gt;120,$AJ831=""),"—",ROUND(IF(ABS($AM831)&lt;=3,$AM831,IF($AM831&gt;3,3+($F831-$AO831)/($AO831-$AN831),-3+($F831-$AQ831)/($AP831-$AQ831))),2))</f>
        <v/>
      </c>
      <c r="P831">
        <f>IF(OR($O831="",$O831="—"),"",IF($O831&lt;-3,"Muito baixo",IF($O831&lt;-2,"Baixo",IF($O831&lt;=2,"Adequado","Elevado"))))</f>
        <v/>
      </c>
      <c r="Q831" s="12">
        <f>IF(OR($S831="",$F831="",$T831="",$T831&lt;0,$T831&gt;60,$AR831=""),"—",ROUND(IF(ABS($AU831)&lt;=3,$AU831,IF($AU831&gt;3,3+($F831-$AW831)/($AW831-$AV831),-3+($F831-$AY831)/($AX831-$AY831))),2))</f>
        <v/>
      </c>
      <c r="R831">
        <f>IF(OR($Q831="",$Q831="—"),"",IF($Q831&lt;-3,"Magreza acentuada",IF($Q831&lt;-2,"Magreza",IF($Q831&lt;=1,"Eutrofia",IF($Q831&lt;=2,"Risco de sobrepeso",IF($Q831&lt;=3,"Sobrepeso","Obesidade"))))))</f>
        <v/>
      </c>
      <c r="S831">
        <f>IF($C831="","",IF(UPPER(LEFT($C831,1))="M",1,IF(UPPER(LEFT($C831,1))="F",2,"")))</f>
        <v/>
      </c>
      <c r="T831">
        <f>IF(OR($D831="",$E831=""),"",DATEDIF($D831,$E831,"m"))</f>
        <v/>
      </c>
      <c r="U831">
        <f>IF(OR($D831="",$E831=""),"",$E831-$D831)</f>
        <v/>
      </c>
      <c r="V831">
        <f>IF(OR($G831="",$T831=""),"",IF($T831&lt;24,IF(LEFT(LOWER($H831),4)="em p",$G831+0.7,$G831),IF(LEFT(LOWER($H831),4)="deit",$G831-0.7,$G831)))</f>
        <v/>
      </c>
      <c r="W831">
        <f>IF(OR($S831="",$T831=""),"",$S831*1000000+IF($T831&lt;=60,$U831,$T831))</f>
        <v/>
      </c>
      <c r="X831">
        <f>IF(OR($S831="",$V831="",$T831&gt;60,$T831=""),"",$S831*1000000+ROUND($V831*10,0))</f>
        <v/>
      </c>
      <c r="Y831">
        <f>IF($W831="","",IFERROR(INDEX(IF($T831&lt;=60,imc05_l,imc519_l),MATCH($W831,IF($T831&lt;=60,imc05_k,imc519_k),1)),""))</f>
        <v/>
      </c>
      <c r="Z831">
        <f>IF($W831="","",IFERROR(INDEX(IF($T831&lt;=60,imc05_m,imc519_m),MATCH($W831,IF($T831&lt;=60,imc05_k,imc519_k),1)),""))</f>
        <v/>
      </c>
      <c r="AA831">
        <f>IF($W831="","",IFERROR(INDEX(IF($T831&lt;=60,imc05_s,imc519_s),MATCH($W831,IF($T831&lt;=60,imc05_k,imc519_k),1)),""))</f>
        <v/>
      </c>
      <c r="AB831">
        <f>IF($Y831="","",IF($Y831=0,LN($J831/$Z831)/$AA831,((($J831/$Z831)^$Y831)-1)/($Y831*$AA831)))</f>
        <v/>
      </c>
      <c r="AC831">
        <f>IF($Y831="","",IF($Y831=0,$Z831*EXP($AA831*2),$Z831*(1+$Y831*$AA831*2)^(1/$Y831)))</f>
        <v/>
      </c>
      <c r="AD831">
        <f>IF($Y831="","",IF($Y831=0,$Z831*EXP($AA831*3),$Z831*(1+$Y831*$AA831*3)^(1/$Y831)))</f>
        <v/>
      </c>
      <c r="AE831">
        <f>IF($Y831="","",IF($Y831=0,$Z831*EXP($AA831*-2),$Z831*(1+$Y831*$AA831*-2)^(1/$Y831)))</f>
        <v/>
      </c>
      <c r="AF831">
        <f>IF($Y831="","",IF($Y831=0,$Z831*EXP($AA831*-3),$Z831*(1+$Y831*$AA831*-3)^(1/$Y831)))</f>
        <v/>
      </c>
      <c r="AG831">
        <f>IF($W831="","",IFERROR(INDEX(IF($T831&lt;=60,est05_l,est519_l),MATCH($W831,IF($T831&lt;=60,est05_k,est519_k),1)),""))</f>
        <v/>
      </c>
      <c r="AH831">
        <f>IF($W831="","",IFERROR(INDEX(IF($T831&lt;=60,est05_m,est519_m),MATCH($W831,IF($T831&lt;=60,est05_k,est519_k),1)),""))</f>
        <v/>
      </c>
      <c r="AI831">
        <f>IF($W831="","",IFERROR(INDEX(IF($T831&lt;=60,est05_s,est519_s),MATCH($W831,IF($T831&lt;=60,est05_k,est519_k),1)),""))</f>
        <v/>
      </c>
      <c r="AJ831">
        <f>IF($W831="","",IFERROR(INDEX(IF($T831&lt;=60,peso05_l,peso510_l),MATCH($W831,IF($T831&lt;=60,peso05_k,peso510_k),1)),""))</f>
        <v/>
      </c>
      <c r="AK831">
        <f>IF($W831="","",IFERROR(INDEX(IF($T831&lt;=60,peso05_m,peso510_m),MATCH($W831,IF($T831&lt;=60,peso05_k,peso510_k),1)),""))</f>
        <v/>
      </c>
      <c r="AL831">
        <f>IF($W831="","",IFERROR(INDEX(IF($T831&lt;=60,peso05_s,peso510_s),MATCH($W831,IF($T831&lt;=60,peso05_k,peso510_k),1)),""))</f>
        <v/>
      </c>
      <c r="AM831">
        <f>IF($AJ831="","",IF($AJ831=0,LN($F831/$AK831)/$AL831,((($F831/$AK831)^$AJ831)-1)/($AJ831*$AL831)))</f>
        <v/>
      </c>
      <c r="AN831">
        <f>IF($AJ831="","",IF($AJ831=0,$AK831*EXP($AL831*2),$AK831*(1+$AJ831*$AL831*2)^(1/$AJ831)))</f>
        <v/>
      </c>
      <c r="AO831">
        <f>IF($AJ831="","",IF($AJ831=0,$AK831*EXP($AL831*3),$AK831*(1+$AJ831*$AL831*3)^(1/$AJ831)))</f>
        <v/>
      </c>
      <c r="AP831">
        <f>IF($AJ831="","",IF($AJ831=0,$AK831*EXP($AL831*-2),$AK831*(1+$AJ831*$AL831*-2)^(1/$AJ831)))</f>
        <v/>
      </c>
      <c r="AQ831">
        <f>IF($AJ831="","",IF($AJ831=0,$AK831*EXP($AL831*-3),$AK831*(1+$AJ831*$AL831*-3)^(1/$AJ831)))</f>
        <v/>
      </c>
      <c r="AR831">
        <f>IF(OR($X831="",$T831&gt;60),"",IFERROR(INDEX(IF($T831&lt;24,pcomp_l,palt_l),MATCH($X831,IF($T831&lt;24,pcomp_k,palt_k),1)),""))</f>
        <v/>
      </c>
      <c r="AS831">
        <f>IF(OR($X831="",$T831&gt;60),"",IFERROR(INDEX(IF($T831&lt;24,pcomp_m,palt_m),MATCH($X831,IF($T831&lt;24,pcomp_k,palt_k),1)),""))</f>
        <v/>
      </c>
      <c r="AT831">
        <f>IF(OR($X831="",$T831&gt;60),"",IFERROR(INDEX(IF($T831&lt;24,pcomp_s,palt_s),MATCH($X831,IF($T831&lt;24,pcomp_k,palt_k),1)),""))</f>
        <v/>
      </c>
      <c r="AU831">
        <f>IF($AR831="","",IF($AR831=0,LN($F831/$AS831)/$AT831,((($F831/$AS831)^$AR831)-1)/($AR831*$AT831)))</f>
        <v/>
      </c>
      <c r="AV831">
        <f>IF($AR831="","",IF($AR831=0,$AS831*EXP($AT831*2),$AS831*(1+$AR831*$AT831*2)^(1/$AR831)))</f>
        <v/>
      </c>
      <c r="AW831">
        <f>IF($AR831="","",IF($AR831=0,$AS831*EXP($AT831*3),$AS831*(1+$AR831*$AT831*3)^(1/$AR831)))</f>
        <v/>
      </c>
      <c r="AX831">
        <f>IF($AR831="","",IF($AR831=0,$AS831*EXP($AT831*-2),$AS831*(1+$AR831*$AT831*-2)^(1/$AR831)))</f>
        <v/>
      </c>
      <c r="AY831">
        <f>IF($AR831="","",IF($AR831=0,$AS831*EXP($AT831*-3),$AS831*(1+$AR831*$AT831*-3)^(1/$AR831)))</f>
        <v/>
      </c>
      <c r="AZ831">
        <f>IF(OR($A831="",$A831&lt;&gt;Ficha!$C$4),"",COUNTIF($A$2:$A831,Ficha!$C$4))</f>
        <v/>
      </c>
    </row>
    <row r="832">
      <c r="A832" s="8">
        <f>IF(INDEX(Banco!$A:$A,ROW())="","",INDEX(Banco!$A:$A,ROW()))</f>
        <v/>
      </c>
      <c r="B832" s="8">
        <f>IF(INDEX(Banco!$B:$B,ROW())="","",INDEX(Banco!$B:$B,ROW()))</f>
        <v/>
      </c>
      <c r="C832" s="8">
        <f>IF(INDEX(Banco!$C:$C,ROW())="","",INDEX(Banco!$C:$C,ROW()))</f>
        <v/>
      </c>
      <c r="D832" s="9">
        <f>IF(INDEX(Banco!$D:$D,ROW())="","",INDEX(Banco!$D:$D,ROW()))</f>
        <v/>
      </c>
      <c r="E832" s="9">
        <f>IF(INDEX(Banco!$E:$E,ROW())="","",INDEX(Banco!$E:$E,ROW()))</f>
        <v/>
      </c>
      <c r="F832" s="10">
        <f>IF(INDEX(Banco!$F:$F,ROW())="","",INDEX(Banco!$F:$F,ROW()))</f>
        <v/>
      </c>
      <c r="G832" s="10">
        <f>IF(INDEX(Banco!$G:$G,ROW())="","",INDEX(Banco!$G:$G,ROW()))</f>
        <v/>
      </c>
      <c r="H832" s="8">
        <f>IF(INDEX(Banco!$H:$H,ROW())="","",INDEX(Banco!$H:$H,ROW()))</f>
        <v/>
      </c>
      <c r="I832">
        <f>IF($T832="","",INT($T832/12)&amp;"a "&amp;MOD($T832,12)&amp;"m")</f>
        <v/>
      </c>
      <c r="J832" s="11">
        <f>IF(OR($F832="",$G832=""),"",ROUND($F832/($G832/100)^2,2))</f>
        <v/>
      </c>
      <c r="K832" s="12">
        <f>IF(OR($S832="",$J832="",$T832="",$T832&lt;0,$T832&gt;228,$Y832=""),"—",ROUND(IF(ABS($AB832)&lt;=3,$AB832,IF($AB832&gt;3,3+($J832-$AD832)/($AD832-$AC832),-3+($J832-$AF832)/($AE832-$AF832))),2))</f>
        <v/>
      </c>
      <c r="L832">
        <f>IF(OR($K832="",$K832="—"),"",IF($T832&lt;=60,IF($K832&lt;-3,"Magreza acentuada",IF($K832&lt;-2,"Magreza",IF($K832&lt;=1,"Eutrofia",IF($K832&lt;=2,"Risco de sobrepeso",IF($K832&lt;=3,"Sobrepeso","Obesidade"))))),IF($K832&lt;-3,"Magreza acentuada",IF($K832&lt;-2,"Magreza",IF($K832&lt;=1,"Eutrofia",IF($K832&lt;=2,"Sobrepeso",IF($K832&lt;=3,"Obesidade","Obesidade grave")))))))</f>
        <v/>
      </c>
      <c r="M832" s="12">
        <f>IF(OR($S832="",$V832="",$T832="",$T832&lt;0,$T832&gt;228,$AG832=""),"—",ROUND(IF($AG832=0,LN($V832/$AH832)/$AI832,((($V832/$AH832)^$AG832)-1)/($AG832*$AI832)),2))</f>
        <v/>
      </c>
      <c r="N832">
        <f>IF(OR($M832="",$M832="—"),"",IF($M832&lt;-3,"Muito baixa",IF($M832&lt;-2,"Baixa","Adequada")))</f>
        <v/>
      </c>
      <c r="O832" s="12">
        <f>IF(OR($S832="",$F832="",$T832="",$T832&lt;0,$T832&gt;120,$AJ832=""),"—",ROUND(IF(ABS($AM832)&lt;=3,$AM832,IF($AM832&gt;3,3+($F832-$AO832)/($AO832-$AN832),-3+($F832-$AQ832)/($AP832-$AQ832))),2))</f>
        <v/>
      </c>
      <c r="P832">
        <f>IF(OR($O832="",$O832="—"),"",IF($O832&lt;-3,"Muito baixo",IF($O832&lt;-2,"Baixo",IF($O832&lt;=2,"Adequado","Elevado"))))</f>
        <v/>
      </c>
      <c r="Q832" s="12">
        <f>IF(OR($S832="",$F832="",$T832="",$T832&lt;0,$T832&gt;60,$AR832=""),"—",ROUND(IF(ABS($AU832)&lt;=3,$AU832,IF($AU832&gt;3,3+($F832-$AW832)/($AW832-$AV832),-3+($F832-$AY832)/($AX832-$AY832))),2))</f>
        <v/>
      </c>
      <c r="R832">
        <f>IF(OR($Q832="",$Q832="—"),"",IF($Q832&lt;-3,"Magreza acentuada",IF($Q832&lt;-2,"Magreza",IF($Q832&lt;=1,"Eutrofia",IF($Q832&lt;=2,"Risco de sobrepeso",IF($Q832&lt;=3,"Sobrepeso","Obesidade"))))))</f>
        <v/>
      </c>
      <c r="S832">
        <f>IF($C832="","",IF(UPPER(LEFT($C832,1))="M",1,IF(UPPER(LEFT($C832,1))="F",2,"")))</f>
        <v/>
      </c>
      <c r="T832">
        <f>IF(OR($D832="",$E832=""),"",DATEDIF($D832,$E832,"m"))</f>
        <v/>
      </c>
      <c r="U832">
        <f>IF(OR($D832="",$E832=""),"",$E832-$D832)</f>
        <v/>
      </c>
      <c r="V832">
        <f>IF(OR($G832="",$T832=""),"",IF($T832&lt;24,IF(LEFT(LOWER($H832),4)="em p",$G832+0.7,$G832),IF(LEFT(LOWER($H832),4)="deit",$G832-0.7,$G832)))</f>
        <v/>
      </c>
      <c r="W832">
        <f>IF(OR($S832="",$T832=""),"",$S832*1000000+IF($T832&lt;=60,$U832,$T832))</f>
        <v/>
      </c>
      <c r="X832">
        <f>IF(OR($S832="",$V832="",$T832&gt;60,$T832=""),"",$S832*1000000+ROUND($V832*10,0))</f>
        <v/>
      </c>
      <c r="Y832">
        <f>IF($W832="","",IFERROR(INDEX(IF($T832&lt;=60,imc05_l,imc519_l),MATCH($W832,IF($T832&lt;=60,imc05_k,imc519_k),1)),""))</f>
        <v/>
      </c>
      <c r="Z832">
        <f>IF($W832="","",IFERROR(INDEX(IF($T832&lt;=60,imc05_m,imc519_m),MATCH($W832,IF($T832&lt;=60,imc05_k,imc519_k),1)),""))</f>
        <v/>
      </c>
      <c r="AA832">
        <f>IF($W832="","",IFERROR(INDEX(IF($T832&lt;=60,imc05_s,imc519_s),MATCH($W832,IF($T832&lt;=60,imc05_k,imc519_k),1)),""))</f>
        <v/>
      </c>
      <c r="AB832">
        <f>IF($Y832="","",IF($Y832=0,LN($J832/$Z832)/$AA832,((($J832/$Z832)^$Y832)-1)/($Y832*$AA832)))</f>
        <v/>
      </c>
      <c r="AC832">
        <f>IF($Y832="","",IF($Y832=0,$Z832*EXP($AA832*2),$Z832*(1+$Y832*$AA832*2)^(1/$Y832)))</f>
        <v/>
      </c>
      <c r="AD832">
        <f>IF($Y832="","",IF($Y832=0,$Z832*EXP($AA832*3),$Z832*(1+$Y832*$AA832*3)^(1/$Y832)))</f>
        <v/>
      </c>
      <c r="AE832">
        <f>IF($Y832="","",IF($Y832=0,$Z832*EXP($AA832*-2),$Z832*(1+$Y832*$AA832*-2)^(1/$Y832)))</f>
        <v/>
      </c>
      <c r="AF832">
        <f>IF($Y832="","",IF($Y832=0,$Z832*EXP($AA832*-3),$Z832*(1+$Y832*$AA832*-3)^(1/$Y832)))</f>
        <v/>
      </c>
      <c r="AG832">
        <f>IF($W832="","",IFERROR(INDEX(IF($T832&lt;=60,est05_l,est519_l),MATCH($W832,IF($T832&lt;=60,est05_k,est519_k),1)),""))</f>
        <v/>
      </c>
      <c r="AH832">
        <f>IF($W832="","",IFERROR(INDEX(IF($T832&lt;=60,est05_m,est519_m),MATCH($W832,IF($T832&lt;=60,est05_k,est519_k),1)),""))</f>
        <v/>
      </c>
      <c r="AI832">
        <f>IF($W832="","",IFERROR(INDEX(IF($T832&lt;=60,est05_s,est519_s),MATCH($W832,IF($T832&lt;=60,est05_k,est519_k),1)),""))</f>
        <v/>
      </c>
      <c r="AJ832">
        <f>IF($W832="","",IFERROR(INDEX(IF($T832&lt;=60,peso05_l,peso510_l),MATCH($W832,IF($T832&lt;=60,peso05_k,peso510_k),1)),""))</f>
        <v/>
      </c>
      <c r="AK832">
        <f>IF($W832="","",IFERROR(INDEX(IF($T832&lt;=60,peso05_m,peso510_m),MATCH($W832,IF($T832&lt;=60,peso05_k,peso510_k),1)),""))</f>
        <v/>
      </c>
      <c r="AL832">
        <f>IF($W832="","",IFERROR(INDEX(IF($T832&lt;=60,peso05_s,peso510_s),MATCH($W832,IF($T832&lt;=60,peso05_k,peso510_k),1)),""))</f>
        <v/>
      </c>
      <c r="AM832">
        <f>IF($AJ832="","",IF($AJ832=0,LN($F832/$AK832)/$AL832,((($F832/$AK832)^$AJ832)-1)/($AJ832*$AL832)))</f>
        <v/>
      </c>
      <c r="AN832">
        <f>IF($AJ832="","",IF($AJ832=0,$AK832*EXP($AL832*2),$AK832*(1+$AJ832*$AL832*2)^(1/$AJ832)))</f>
        <v/>
      </c>
      <c r="AO832">
        <f>IF($AJ832="","",IF($AJ832=0,$AK832*EXP($AL832*3),$AK832*(1+$AJ832*$AL832*3)^(1/$AJ832)))</f>
        <v/>
      </c>
      <c r="AP832">
        <f>IF($AJ832="","",IF($AJ832=0,$AK832*EXP($AL832*-2),$AK832*(1+$AJ832*$AL832*-2)^(1/$AJ832)))</f>
        <v/>
      </c>
      <c r="AQ832">
        <f>IF($AJ832="","",IF($AJ832=0,$AK832*EXP($AL832*-3),$AK832*(1+$AJ832*$AL832*-3)^(1/$AJ832)))</f>
        <v/>
      </c>
      <c r="AR832">
        <f>IF(OR($X832="",$T832&gt;60),"",IFERROR(INDEX(IF($T832&lt;24,pcomp_l,palt_l),MATCH($X832,IF($T832&lt;24,pcomp_k,palt_k),1)),""))</f>
        <v/>
      </c>
      <c r="AS832">
        <f>IF(OR($X832="",$T832&gt;60),"",IFERROR(INDEX(IF($T832&lt;24,pcomp_m,palt_m),MATCH($X832,IF($T832&lt;24,pcomp_k,palt_k),1)),""))</f>
        <v/>
      </c>
      <c r="AT832">
        <f>IF(OR($X832="",$T832&gt;60),"",IFERROR(INDEX(IF($T832&lt;24,pcomp_s,palt_s),MATCH($X832,IF($T832&lt;24,pcomp_k,palt_k),1)),""))</f>
        <v/>
      </c>
      <c r="AU832">
        <f>IF($AR832="","",IF($AR832=0,LN($F832/$AS832)/$AT832,((($F832/$AS832)^$AR832)-1)/($AR832*$AT832)))</f>
        <v/>
      </c>
      <c r="AV832">
        <f>IF($AR832="","",IF($AR832=0,$AS832*EXP($AT832*2),$AS832*(1+$AR832*$AT832*2)^(1/$AR832)))</f>
        <v/>
      </c>
      <c r="AW832">
        <f>IF($AR832="","",IF($AR832=0,$AS832*EXP($AT832*3),$AS832*(1+$AR832*$AT832*3)^(1/$AR832)))</f>
        <v/>
      </c>
      <c r="AX832">
        <f>IF($AR832="","",IF($AR832=0,$AS832*EXP($AT832*-2),$AS832*(1+$AR832*$AT832*-2)^(1/$AR832)))</f>
        <v/>
      </c>
      <c r="AY832">
        <f>IF($AR832="","",IF($AR832=0,$AS832*EXP($AT832*-3),$AS832*(1+$AR832*$AT832*-3)^(1/$AR832)))</f>
        <v/>
      </c>
      <c r="AZ832">
        <f>IF(OR($A832="",$A832&lt;&gt;Ficha!$C$4),"",COUNTIF($A$2:$A832,Ficha!$C$4))</f>
        <v/>
      </c>
    </row>
    <row r="833">
      <c r="A833" s="8">
        <f>IF(INDEX(Banco!$A:$A,ROW())="","",INDEX(Banco!$A:$A,ROW()))</f>
        <v/>
      </c>
      <c r="B833" s="8">
        <f>IF(INDEX(Banco!$B:$B,ROW())="","",INDEX(Banco!$B:$B,ROW()))</f>
        <v/>
      </c>
      <c r="C833" s="8">
        <f>IF(INDEX(Banco!$C:$C,ROW())="","",INDEX(Banco!$C:$C,ROW()))</f>
        <v/>
      </c>
      <c r="D833" s="9">
        <f>IF(INDEX(Banco!$D:$D,ROW())="","",INDEX(Banco!$D:$D,ROW()))</f>
        <v/>
      </c>
      <c r="E833" s="9">
        <f>IF(INDEX(Banco!$E:$E,ROW())="","",INDEX(Banco!$E:$E,ROW()))</f>
        <v/>
      </c>
      <c r="F833" s="10">
        <f>IF(INDEX(Banco!$F:$F,ROW())="","",INDEX(Banco!$F:$F,ROW()))</f>
        <v/>
      </c>
      <c r="G833" s="10">
        <f>IF(INDEX(Banco!$G:$G,ROW())="","",INDEX(Banco!$G:$G,ROW()))</f>
        <v/>
      </c>
      <c r="H833" s="8">
        <f>IF(INDEX(Banco!$H:$H,ROW())="","",INDEX(Banco!$H:$H,ROW()))</f>
        <v/>
      </c>
      <c r="I833">
        <f>IF($T833="","",INT($T833/12)&amp;"a "&amp;MOD($T833,12)&amp;"m")</f>
        <v/>
      </c>
      <c r="J833" s="11">
        <f>IF(OR($F833="",$G833=""),"",ROUND($F833/($G833/100)^2,2))</f>
        <v/>
      </c>
      <c r="K833" s="12">
        <f>IF(OR($S833="",$J833="",$T833="",$T833&lt;0,$T833&gt;228,$Y833=""),"—",ROUND(IF(ABS($AB833)&lt;=3,$AB833,IF($AB833&gt;3,3+($J833-$AD833)/($AD833-$AC833),-3+($J833-$AF833)/($AE833-$AF833))),2))</f>
        <v/>
      </c>
      <c r="L833">
        <f>IF(OR($K833="",$K833="—"),"",IF($T833&lt;=60,IF($K833&lt;-3,"Magreza acentuada",IF($K833&lt;-2,"Magreza",IF($K833&lt;=1,"Eutrofia",IF($K833&lt;=2,"Risco de sobrepeso",IF($K833&lt;=3,"Sobrepeso","Obesidade"))))),IF($K833&lt;-3,"Magreza acentuada",IF($K833&lt;-2,"Magreza",IF($K833&lt;=1,"Eutrofia",IF($K833&lt;=2,"Sobrepeso",IF($K833&lt;=3,"Obesidade","Obesidade grave")))))))</f>
        <v/>
      </c>
      <c r="M833" s="12">
        <f>IF(OR($S833="",$V833="",$T833="",$T833&lt;0,$T833&gt;228,$AG833=""),"—",ROUND(IF($AG833=0,LN($V833/$AH833)/$AI833,((($V833/$AH833)^$AG833)-1)/($AG833*$AI833)),2))</f>
        <v/>
      </c>
      <c r="N833">
        <f>IF(OR($M833="",$M833="—"),"",IF($M833&lt;-3,"Muito baixa",IF($M833&lt;-2,"Baixa","Adequada")))</f>
        <v/>
      </c>
      <c r="O833" s="12">
        <f>IF(OR($S833="",$F833="",$T833="",$T833&lt;0,$T833&gt;120,$AJ833=""),"—",ROUND(IF(ABS($AM833)&lt;=3,$AM833,IF($AM833&gt;3,3+($F833-$AO833)/($AO833-$AN833),-3+($F833-$AQ833)/($AP833-$AQ833))),2))</f>
        <v/>
      </c>
      <c r="P833">
        <f>IF(OR($O833="",$O833="—"),"",IF($O833&lt;-3,"Muito baixo",IF($O833&lt;-2,"Baixo",IF($O833&lt;=2,"Adequado","Elevado"))))</f>
        <v/>
      </c>
      <c r="Q833" s="12">
        <f>IF(OR($S833="",$F833="",$T833="",$T833&lt;0,$T833&gt;60,$AR833=""),"—",ROUND(IF(ABS($AU833)&lt;=3,$AU833,IF($AU833&gt;3,3+($F833-$AW833)/($AW833-$AV833),-3+($F833-$AY833)/($AX833-$AY833))),2))</f>
        <v/>
      </c>
      <c r="R833">
        <f>IF(OR($Q833="",$Q833="—"),"",IF($Q833&lt;-3,"Magreza acentuada",IF($Q833&lt;-2,"Magreza",IF($Q833&lt;=1,"Eutrofia",IF($Q833&lt;=2,"Risco de sobrepeso",IF($Q833&lt;=3,"Sobrepeso","Obesidade"))))))</f>
        <v/>
      </c>
      <c r="S833">
        <f>IF($C833="","",IF(UPPER(LEFT($C833,1))="M",1,IF(UPPER(LEFT($C833,1))="F",2,"")))</f>
        <v/>
      </c>
      <c r="T833">
        <f>IF(OR($D833="",$E833=""),"",DATEDIF($D833,$E833,"m"))</f>
        <v/>
      </c>
      <c r="U833">
        <f>IF(OR($D833="",$E833=""),"",$E833-$D833)</f>
        <v/>
      </c>
      <c r="V833">
        <f>IF(OR($G833="",$T833=""),"",IF($T833&lt;24,IF(LEFT(LOWER($H833),4)="em p",$G833+0.7,$G833),IF(LEFT(LOWER($H833),4)="deit",$G833-0.7,$G833)))</f>
        <v/>
      </c>
      <c r="W833">
        <f>IF(OR($S833="",$T833=""),"",$S833*1000000+IF($T833&lt;=60,$U833,$T833))</f>
        <v/>
      </c>
      <c r="X833">
        <f>IF(OR($S833="",$V833="",$T833&gt;60,$T833=""),"",$S833*1000000+ROUND($V833*10,0))</f>
        <v/>
      </c>
      <c r="Y833">
        <f>IF($W833="","",IFERROR(INDEX(IF($T833&lt;=60,imc05_l,imc519_l),MATCH($W833,IF($T833&lt;=60,imc05_k,imc519_k),1)),""))</f>
        <v/>
      </c>
      <c r="Z833">
        <f>IF($W833="","",IFERROR(INDEX(IF($T833&lt;=60,imc05_m,imc519_m),MATCH($W833,IF($T833&lt;=60,imc05_k,imc519_k),1)),""))</f>
        <v/>
      </c>
      <c r="AA833">
        <f>IF($W833="","",IFERROR(INDEX(IF($T833&lt;=60,imc05_s,imc519_s),MATCH($W833,IF($T833&lt;=60,imc05_k,imc519_k),1)),""))</f>
        <v/>
      </c>
      <c r="AB833">
        <f>IF($Y833="","",IF($Y833=0,LN($J833/$Z833)/$AA833,((($J833/$Z833)^$Y833)-1)/($Y833*$AA833)))</f>
        <v/>
      </c>
      <c r="AC833">
        <f>IF($Y833="","",IF($Y833=0,$Z833*EXP($AA833*2),$Z833*(1+$Y833*$AA833*2)^(1/$Y833)))</f>
        <v/>
      </c>
      <c r="AD833">
        <f>IF($Y833="","",IF($Y833=0,$Z833*EXP($AA833*3),$Z833*(1+$Y833*$AA833*3)^(1/$Y833)))</f>
        <v/>
      </c>
      <c r="AE833">
        <f>IF($Y833="","",IF($Y833=0,$Z833*EXP($AA833*-2),$Z833*(1+$Y833*$AA833*-2)^(1/$Y833)))</f>
        <v/>
      </c>
      <c r="AF833">
        <f>IF($Y833="","",IF($Y833=0,$Z833*EXP($AA833*-3),$Z833*(1+$Y833*$AA833*-3)^(1/$Y833)))</f>
        <v/>
      </c>
      <c r="AG833">
        <f>IF($W833="","",IFERROR(INDEX(IF($T833&lt;=60,est05_l,est519_l),MATCH($W833,IF($T833&lt;=60,est05_k,est519_k),1)),""))</f>
        <v/>
      </c>
      <c r="AH833">
        <f>IF($W833="","",IFERROR(INDEX(IF($T833&lt;=60,est05_m,est519_m),MATCH($W833,IF($T833&lt;=60,est05_k,est519_k),1)),""))</f>
        <v/>
      </c>
      <c r="AI833">
        <f>IF($W833="","",IFERROR(INDEX(IF($T833&lt;=60,est05_s,est519_s),MATCH($W833,IF($T833&lt;=60,est05_k,est519_k),1)),""))</f>
        <v/>
      </c>
      <c r="AJ833">
        <f>IF($W833="","",IFERROR(INDEX(IF($T833&lt;=60,peso05_l,peso510_l),MATCH($W833,IF($T833&lt;=60,peso05_k,peso510_k),1)),""))</f>
        <v/>
      </c>
      <c r="AK833">
        <f>IF($W833="","",IFERROR(INDEX(IF($T833&lt;=60,peso05_m,peso510_m),MATCH($W833,IF($T833&lt;=60,peso05_k,peso510_k),1)),""))</f>
        <v/>
      </c>
      <c r="AL833">
        <f>IF($W833="","",IFERROR(INDEX(IF($T833&lt;=60,peso05_s,peso510_s),MATCH($W833,IF($T833&lt;=60,peso05_k,peso510_k),1)),""))</f>
        <v/>
      </c>
      <c r="AM833">
        <f>IF($AJ833="","",IF($AJ833=0,LN($F833/$AK833)/$AL833,((($F833/$AK833)^$AJ833)-1)/($AJ833*$AL833)))</f>
        <v/>
      </c>
      <c r="AN833">
        <f>IF($AJ833="","",IF($AJ833=0,$AK833*EXP($AL833*2),$AK833*(1+$AJ833*$AL833*2)^(1/$AJ833)))</f>
        <v/>
      </c>
      <c r="AO833">
        <f>IF($AJ833="","",IF($AJ833=0,$AK833*EXP($AL833*3),$AK833*(1+$AJ833*$AL833*3)^(1/$AJ833)))</f>
        <v/>
      </c>
      <c r="AP833">
        <f>IF($AJ833="","",IF($AJ833=0,$AK833*EXP($AL833*-2),$AK833*(1+$AJ833*$AL833*-2)^(1/$AJ833)))</f>
        <v/>
      </c>
      <c r="AQ833">
        <f>IF($AJ833="","",IF($AJ833=0,$AK833*EXP($AL833*-3),$AK833*(1+$AJ833*$AL833*-3)^(1/$AJ833)))</f>
        <v/>
      </c>
      <c r="AR833">
        <f>IF(OR($X833="",$T833&gt;60),"",IFERROR(INDEX(IF($T833&lt;24,pcomp_l,palt_l),MATCH($X833,IF($T833&lt;24,pcomp_k,palt_k),1)),""))</f>
        <v/>
      </c>
      <c r="AS833">
        <f>IF(OR($X833="",$T833&gt;60),"",IFERROR(INDEX(IF($T833&lt;24,pcomp_m,palt_m),MATCH($X833,IF($T833&lt;24,pcomp_k,palt_k),1)),""))</f>
        <v/>
      </c>
      <c r="AT833">
        <f>IF(OR($X833="",$T833&gt;60),"",IFERROR(INDEX(IF($T833&lt;24,pcomp_s,palt_s),MATCH($X833,IF($T833&lt;24,pcomp_k,palt_k),1)),""))</f>
        <v/>
      </c>
      <c r="AU833">
        <f>IF($AR833="","",IF($AR833=0,LN($F833/$AS833)/$AT833,((($F833/$AS833)^$AR833)-1)/($AR833*$AT833)))</f>
        <v/>
      </c>
      <c r="AV833">
        <f>IF($AR833="","",IF($AR833=0,$AS833*EXP($AT833*2),$AS833*(1+$AR833*$AT833*2)^(1/$AR833)))</f>
        <v/>
      </c>
      <c r="AW833">
        <f>IF($AR833="","",IF($AR833=0,$AS833*EXP($AT833*3),$AS833*(1+$AR833*$AT833*3)^(1/$AR833)))</f>
        <v/>
      </c>
      <c r="AX833">
        <f>IF($AR833="","",IF($AR833=0,$AS833*EXP($AT833*-2),$AS833*(1+$AR833*$AT833*-2)^(1/$AR833)))</f>
        <v/>
      </c>
      <c r="AY833">
        <f>IF($AR833="","",IF($AR833=0,$AS833*EXP($AT833*-3),$AS833*(1+$AR833*$AT833*-3)^(1/$AR833)))</f>
        <v/>
      </c>
      <c r="AZ833">
        <f>IF(OR($A833="",$A833&lt;&gt;Ficha!$C$4),"",COUNTIF($A$2:$A833,Ficha!$C$4))</f>
        <v/>
      </c>
    </row>
    <row r="834">
      <c r="A834" s="8">
        <f>IF(INDEX(Banco!$A:$A,ROW())="","",INDEX(Banco!$A:$A,ROW()))</f>
        <v/>
      </c>
      <c r="B834" s="8">
        <f>IF(INDEX(Banco!$B:$B,ROW())="","",INDEX(Banco!$B:$B,ROW()))</f>
        <v/>
      </c>
      <c r="C834" s="8">
        <f>IF(INDEX(Banco!$C:$C,ROW())="","",INDEX(Banco!$C:$C,ROW()))</f>
        <v/>
      </c>
      <c r="D834" s="9">
        <f>IF(INDEX(Banco!$D:$D,ROW())="","",INDEX(Banco!$D:$D,ROW()))</f>
        <v/>
      </c>
      <c r="E834" s="9">
        <f>IF(INDEX(Banco!$E:$E,ROW())="","",INDEX(Banco!$E:$E,ROW()))</f>
        <v/>
      </c>
      <c r="F834" s="10">
        <f>IF(INDEX(Banco!$F:$F,ROW())="","",INDEX(Banco!$F:$F,ROW()))</f>
        <v/>
      </c>
      <c r="G834" s="10">
        <f>IF(INDEX(Banco!$G:$G,ROW())="","",INDEX(Banco!$G:$G,ROW()))</f>
        <v/>
      </c>
      <c r="H834" s="8">
        <f>IF(INDEX(Banco!$H:$H,ROW())="","",INDEX(Banco!$H:$H,ROW()))</f>
        <v/>
      </c>
      <c r="I834">
        <f>IF($T834="","",INT($T834/12)&amp;"a "&amp;MOD($T834,12)&amp;"m")</f>
        <v/>
      </c>
      <c r="J834" s="11">
        <f>IF(OR($F834="",$G834=""),"",ROUND($F834/($G834/100)^2,2))</f>
        <v/>
      </c>
      <c r="K834" s="12">
        <f>IF(OR($S834="",$J834="",$T834="",$T834&lt;0,$T834&gt;228,$Y834=""),"—",ROUND(IF(ABS($AB834)&lt;=3,$AB834,IF($AB834&gt;3,3+($J834-$AD834)/($AD834-$AC834),-3+($J834-$AF834)/($AE834-$AF834))),2))</f>
        <v/>
      </c>
      <c r="L834">
        <f>IF(OR($K834="",$K834="—"),"",IF($T834&lt;=60,IF($K834&lt;-3,"Magreza acentuada",IF($K834&lt;-2,"Magreza",IF($K834&lt;=1,"Eutrofia",IF($K834&lt;=2,"Risco de sobrepeso",IF($K834&lt;=3,"Sobrepeso","Obesidade"))))),IF($K834&lt;-3,"Magreza acentuada",IF($K834&lt;-2,"Magreza",IF($K834&lt;=1,"Eutrofia",IF($K834&lt;=2,"Sobrepeso",IF($K834&lt;=3,"Obesidade","Obesidade grave")))))))</f>
        <v/>
      </c>
      <c r="M834" s="12">
        <f>IF(OR($S834="",$V834="",$T834="",$T834&lt;0,$T834&gt;228,$AG834=""),"—",ROUND(IF($AG834=0,LN($V834/$AH834)/$AI834,((($V834/$AH834)^$AG834)-1)/($AG834*$AI834)),2))</f>
        <v/>
      </c>
      <c r="N834">
        <f>IF(OR($M834="",$M834="—"),"",IF($M834&lt;-3,"Muito baixa",IF($M834&lt;-2,"Baixa","Adequada")))</f>
        <v/>
      </c>
      <c r="O834" s="12">
        <f>IF(OR($S834="",$F834="",$T834="",$T834&lt;0,$T834&gt;120,$AJ834=""),"—",ROUND(IF(ABS($AM834)&lt;=3,$AM834,IF($AM834&gt;3,3+($F834-$AO834)/($AO834-$AN834),-3+($F834-$AQ834)/($AP834-$AQ834))),2))</f>
        <v/>
      </c>
      <c r="P834">
        <f>IF(OR($O834="",$O834="—"),"",IF($O834&lt;-3,"Muito baixo",IF($O834&lt;-2,"Baixo",IF($O834&lt;=2,"Adequado","Elevado"))))</f>
        <v/>
      </c>
      <c r="Q834" s="12">
        <f>IF(OR($S834="",$F834="",$T834="",$T834&lt;0,$T834&gt;60,$AR834=""),"—",ROUND(IF(ABS($AU834)&lt;=3,$AU834,IF($AU834&gt;3,3+($F834-$AW834)/($AW834-$AV834),-3+($F834-$AY834)/($AX834-$AY834))),2))</f>
        <v/>
      </c>
      <c r="R834">
        <f>IF(OR($Q834="",$Q834="—"),"",IF($Q834&lt;-3,"Magreza acentuada",IF($Q834&lt;-2,"Magreza",IF($Q834&lt;=1,"Eutrofia",IF($Q834&lt;=2,"Risco de sobrepeso",IF($Q834&lt;=3,"Sobrepeso","Obesidade"))))))</f>
        <v/>
      </c>
      <c r="S834">
        <f>IF($C834="","",IF(UPPER(LEFT($C834,1))="M",1,IF(UPPER(LEFT($C834,1))="F",2,"")))</f>
        <v/>
      </c>
      <c r="T834">
        <f>IF(OR($D834="",$E834=""),"",DATEDIF($D834,$E834,"m"))</f>
        <v/>
      </c>
      <c r="U834">
        <f>IF(OR($D834="",$E834=""),"",$E834-$D834)</f>
        <v/>
      </c>
      <c r="V834">
        <f>IF(OR($G834="",$T834=""),"",IF($T834&lt;24,IF(LEFT(LOWER($H834),4)="em p",$G834+0.7,$G834),IF(LEFT(LOWER($H834),4)="deit",$G834-0.7,$G834)))</f>
        <v/>
      </c>
      <c r="W834">
        <f>IF(OR($S834="",$T834=""),"",$S834*1000000+IF($T834&lt;=60,$U834,$T834))</f>
        <v/>
      </c>
      <c r="X834">
        <f>IF(OR($S834="",$V834="",$T834&gt;60,$T834=""),"",$S834*1000000+ROUND($V834*10,0))</f>
        <v/>
      </c>
      <c r="Y834">
        <f>IF($W834="","",IFERROR(INDEX(IF($T834&lt;=60,imc05_l,imc519_l),MATCH($W834,IF($T834&lt;=60,imc05_k,imc519_k),1)),""))</f>
        <v/>
      </c>
      <c r="Z834">
        <f>IF($W834="","",IFERROR(INDEX(IF($T834&lt;=60,imc05_m,imc519_m),MATCH($W834,IF($T834&lt;=60,imc05_k,imc519_k),1)),""))</f>
        <v/>
      </c>
      <c r="AA834">
        <f>IF($W834="","",IFERROR(INDEX(IF($T834&lt;=60,imc05_s,imc519_s),MATCH($W834,IF($T834&lt;=60,imc05_k,imc519_k),1)),""))</f>
        <v/>
      </c>
      <c r="AB834">
        <f>IF($Y834="","",IF($Y834=0,LN($J834/$Z834)/$AA834,((($J834/$Z834)^$Y834)-1)/($Y834*$AA834)))</f>
        <v/>
      </c>
      <c r="AC834">
        <f>IF($Y834="","",IF($Y834=0,$Z834*EXP($AA834*2),$Z834*(1+$Y834*$AA834*2)^(1/$Y834)))</f>
        <v/>
      </c>
      <c r="AD834">
        <f>IF($Y834="","",IF($Y834=0,$Z834*EXP($AA834*3),$Z834*(1+$Y834*$AA834*3)^(1/$Y834)))</f>
        <v/>
      </c>
      <c r="AE834">
        <f>IF($Y834="","",IF($Y834=0,$Z834*EXP($AA834*-2),$Z834*(1+$Y834*$AA834*-2)^(1/$Y834)))</f>
        <v/>
      </c>
      <c r="AF834">
        <f>IF($Y834="","",IF($Y834=0,$Z834*EXP($AA834*-3),$Z834*(1+$Y834*$AA834*-3)^(1/$Y834)))</f>
        <v/>
      </c>
      <c r="AG834">
        <f>IF($W834="","",IFERROR(INDEX(IF($T834&lt;=60,est05_l,est519_l),MATCH($W834,IF($T834&lt;=60,est05_k,est519_k),1)),""))</f>
        <v/>
      </c>
      <c r="AH834">
        <f>IF($W834="","",IFERROR(INDEX(IF($T834&lt;=60,est05_m,est519_m),MATCH($W834,IF($T834&lt;=60,est05_k,est519_k),1)),""))</f>
        <v/>
      </c>
      <c r="AI834">
        <f>IF($W834="","",IFERROR(INDEX(IF($T834&lt;=60,est05_s,est519_s),MATCH($W834,IF($T834&lt;=60,est05_k,est519_k),1)),""))</f>
        <v/>
      </c>
      <c r="AJ834">
        <f>IF($W834="","",IFERROR(INDEX(IF($T834&lt;=60,peso05_l,peso510_l),MATCH($W834,IF($T834&lt;=60,peso05_k,peso510_k),1)),""))</f>
        <v/>
      </c>
      <c r="AK834">
        <f>IF($W834="","",IFERROR(INDEX(IF($T834&lt;=60,peso05_m,peso510_m),MATCH($W834,IF($T834&lt;=60,peso05_k,peso510_k),1)),""))</f>
        <v/>
      </c>
      <c r="AL834">
        <f>IF($W834="","",IFERROR(INDEX(IF($T834&lt;=60,peso05_s,peso510_s),MATCH($W834,IF($T834&lt;=60,peso05_k,peso510_k),1)),""))</f>
        <v/>
      </c>
      <c r="AM834">
        <f>IF($AJ834="","",IF($AJ834=0,LN($F834/$AK834)/$AL834,((($F834/$AK834)^$AJ834)-1)/($AJ834*$AL834)))</f>
        <v/>
      </c>
      <c r="AN834">
        <f>IF($AJ834="","",IF($AJ834=0,$AK834*EXP($AL834*2),$AK834*(1+$AJ834*$AL834*2)^(1/$AJ834)))</f>
        <v/>
      </c>
      <c r="AO834">
        <f>IF($AJ834="","",IF($AJ834=0,$AK834*EXP($AL834*3),$AK834*(1+$AJ834*$AL834*3)^(1/$AJ834)))</f>
        <v/>
      </c>
      <c r="AP834">
        <f>IF($AJ834="","",IF($AJ834=0,$AK834*EXP($AL834*-2),$AK834*(1+$AJ834*$AL834*-2)^(1/$AJ834)))</f>
        <v/>
      </c>
      <c r="AQ834">
        <f>IF($AJ834="","",IF($AJ834=0,$AK834*EXP($AL834*-3),$AK834*(1+$AJ834*$AL834*-3)^(1/$AJ834)))</f>
        <v/>
      </c>
      <c r="AR834">
        <f>IF(OR($X834="",$T834&gt;60),"",IFERROR(INDEX(IF($T834&lt;24,pcomp_l,palt_l),MATCH($X834,IF($T834&lt;24,pcomp_k,palt_k),1)),""))</f>
        <v/>
      </c>
      <c r="AS834">
        <f>IF(OR($X834="",$T834&gt;60),"",IFERROR(INDEX(IF($T834&lt;24,pcomp_m,palt_m),MATCH($X834,IF($T834&lt;24,pcomp_k,palt_k),1)),""))</f>
        <v/>
      </c>
      <c r="AT834">
        <f>IF(OR($X834="",$T834&gt;60),"",IFERROR(INDEX(IF($T834&lt;24,pcomp_s,palt_s),MATCH($X834,IF($T834&lt;24,pcomp_k,palt_k),1)),""))</f>
        <v/>
      </c>
      <c r="AU834">
        <f>IF($AR834="","",IF($AR834=0,LN($F834/$AS834)/$AT834,((($F834/$AS834)^$AR834)-1)/($AR834*$AT834)))</f>
        <v/>
      </c>
      <c r="AV834">
        <f>IF($AR834="","",IF($AR834=0,$AS834*EXP($AT834*2),$AS834*(1+$AR834*$AT834*2)^(1/$AR834)))</f>
        <v/>
      </c>
      <c r="AW834">
        <f>IF($AR834="","",IF($AR834=0,$AS834*EXP($AT834*3),$AS834*(1+$AR834*$AT834*3)^(1/$AR834)))</f>
        <v/>
      </c>
      <c r="AX834">
        <f>IF($AR834="","",IF($AR834=0,$AS834*EXP($AT834*-2),$AS834*(1+$AR834*$AT834*-2)^(1/$AR834)))</f>
        <v/>
      </c>
      <c r="AY834">
        <f>IF($AR834="","",IF($AR834=0,$AS834*EXP($AT834*-3),$AS834*(1+$AR834*$AT834*-3)^(1/$AR834)))</f>
        <v/>
      </c>
      <c r="AZ834">
        <f>IF(OR($A834="",$A834&lt;&gt;Ficha!$C$4),"",COUNTIF($A$2:$A834,Ficha!$C$4))</f>
        <v/>
      </c>
    </row>
    <row r="835">
      <c r="A835" s="8">
        <f>IF(INDEX(Banco!$A:$A,ROW())="","",INDEX(Banco!$A:$A,ROW()))</f>
        <v/>
      </c>
      <c r="B835" s="8">
        <f>IF(INDEX(Banco!$B:$B,ROW())="","",INDEX(Banco!$B:$B,ROW()))</f>
        <v/>
      </c>
      <c r="C835" s="8">
        <f>IF(INDEX(Banco!$C:$C,ROW())="","",INDEX(Banco!$C:$C,ROW()))</f>
        <v/>
      </c>
      <c r="D835" s="9">
        <f>IF(INDEX(Banco!$D:$D,ROW())="","",INDEX(Banco!$D:$D,ROW()))</f>
        <v/>
      </c>
      <c r="E835" s="9">
        <f>IF(INDEX(Banco!$E:$E,ROW())="","",INDEX(Banco!$E:$E,ROW()))</f>
        <v/>
      </c>
      <c r="F835" s="10">
        <f>IF(INDEX(Banco!$F:$F,ROW())="","",INDEX(Banco!$F:$F,ROW()))</f>
        <v/>
      </c>
      <c r="G835" s="10">
        <f>IF(INDEX(Banco!$G:$G,ROW())="","",INDEX(Banco!$G:$G,ROW()))</f>
        <v/>
      </c>
      <c r="H835" s="8">
        <f>IF(INDEX(Banco!$H:$H,ROW())="","",INDEX(Banco!$H:$H,ROW()))</f>
        <v/>
      </c>
      <c r="I835">
        <f>IF($T835="","",INT($T835/12)&amp;"a "&amp;MOD($T835,12)&amp;"m")</f>
        <v/>
      </c>
      <c r="J835" s="11">
        <f>IF(OR($F835="",$G835=""),"",ROUND($F835/($G835/100)^2,2))</f>
        <v/>
      </c>
      <c r="K835" s="12">
        <f>IF(OR($S835="",$J835="",$T835="",$T835&lt;0,$T835&gt;228,$Y835=""),"—",ROUND(IF(ABS($AB835)&lt;=3,$AB835,IF($AB835&gt;3,3+($J835-$AD835)/($AD835-$AC835),-3+($J835-$AF835)/($AE835-$AF835))),2))</f>
        <v/>
      </c>
      <c r="L835">
        <f>IF(OR($K835="",$K835="—"),"",IF($T835&lt;=60,IF($K835&lt;-3,"Magreza acentuada",IF($K835&lt;-2,"Magreza",IF($K835&lt;=1,"Eutrofia",IF($K835&lt;=2,"Risco de sobrepeso",IF($K835&lt;=3,"Sobrepeso","Obesidade"))))),IF($K835&lt;-3,"Magreza acentuada",IF($K835&lt;-2,"Magreza",IF($K835&lt;=1,"Eutrofia",IF($K835&lt;=2,"Sobrepeso",IF($K835&lt;=3,"Obesidade","Obesidade grave")))))))</f>
        <v/>
      </c>
      <c r="M835" s="12">
        <f>IF(OR($S835="",$V835="",$T835="",$T835&lt;0,$T835&gt;228,$AG835=""),"—",ROUND(IF($AG835=0,LN($V835/$AH835)/$AI835,((($V835/$AH835)^$AG835)-1)/($AG835*$AI835)),2))</f>
        <v/>
      </c>
      <c r="N835">
        <f>IF(OR($M835="",$M835="—"),"",IF($M835&lt;-3,"Muito baixa",IF($M835&lt;-2,"Baixa","Adequada")))</f>
        <v/>
      </c>
      <c r="O835" s="12">
        <f>IF(OR($S835="",$F835="",$T835="",$T835&lt;0,$T835&gt;120,$AJ835=""),"—",ROUND(IF(ABS($AM835)&lt;=3,$AM835,IF($AM835&gt;3,3+($F835-$AO835)/($AO835-$AN835),-3+($F835-$AQ835)/($AP835-$AQ835))),2))</f>
        <v/>
      </c>
      <c r="P835">
        <f>IF(OR($O835="",$O835="—"),"",IF($O835&lt;-3,"Muito baixo",IF($O835&lt;-2,"Baixo",IF($O835&lt;=2,"Adequado","Elevado"))))</f>
        <v/>
      </c>
      <c r="Q835" s="12">
        <f>IF(OR($S835="",$F835="",$T835="",$T835&lt;0,$T835&gt;60,$AR835=""),"—",ROUND(IF(ABS($AU835)&lt;=3,$AU835,IF($AU835&gt;3,3+($F835-$AW835)/($AW835-$AV835),-3+($F835-$AY835)/($AX835-$AY835))),2))</f>
        <v/>
      </c>
      <c r="R835">
        <f>IF(OR($Q835="",$Q835="—"),"",IF($Q835&lt;-3,"Magreza acentuada",IF($Q835&lt;-2,"Magreza",IF($Q835&lt;=1,"Eutrofia",IF($Q835&lt;=2,"Risco de sobrepeso",IF($Q835&lt;=3,"Sobrepeso","Obesidade"))))))</f>
        <v/>
      </c>
      <c r="S835">
        <f>IF($C835="","",IF(UPPER(LEFT($C835,1))="M",1,IF(UPPER(LEFT($C835,1))="F",2,"")))</f>
        <v/>
      </c>
      <c r="T835">
        <f>IF(OR($D835="",$E835=""),"",DATEDIF($D835,$E835,"m"))</f>
        <v/>
      </c>
      <c r="U835">
        <f>IF(OR($D835="",$E835=""),"",$E835-$D835)</f>
        <v/>
      </c>
      <c r="V835">
        <f>IF(OR($G835="",$T835=""),"",IF($T835&lt;24,IF(LEFT(LOWER($H835),4)="em p",$G835+0.7,$G835),IF(LEFT(LOWER($H835),4)="deit",$G835-0.7,$G835)))</f>
        <v/>
      </c>
      <c r="W835">
        <f>IF(OR($S835="",$T835=""),"",$S835*1000000+IF($T835&lt;=60,$U835,$T835))</f>
        <v/>
      </c>
      <c r="X835">
        <f>IF(OR($S835="",$V835="",$T835&gt;60,$T835=""),"",$S835*1000000+ROUND($V835*10,0))</f>
        <v/>
      </c>
      <c r="Y835">
        <f>IF($W835="","",IFERROR(INDEX(IF($T835&lt;=60,imc05_l,imc519_l),MATCH($W835,IF($T835&lt;=60,imc05_k,imc519_k),1)),""))</f>
        <v/>
      </c>
      <c r="Z835">
        <f>IF($W835="","",IFERROR(INDEX(IF($T835&lt;=60,imc05_m,imc519_m),MATCH($W835,IF($T835&lt;=60,imc05_k,imc519_k),1)),""))</f>
        <v/>
      </c>
      <c r="AA835">
        <f>IF($W835="","",IFERROR(INDEX(IF($T835&lt;=60,imc05_s,imc519_s),MATCH($W835,IF($T835&lt;=60,imc05_k,imc519_k),1)),""))</f>
        <v/>
      </c>
      <c r="AB835">
        <f>IF($Y835="","",IF($Y835=0,LN($J835/$Z835)/$AA835,((($J835/$Z835)^$Y835)-1)/($Y835*$AA835)))</f>
        <v/>
      </c>
      <c r="AC835">
        <f>IF($Y835="","",IF($Y835=0,$Z835*EXP($AA835*2),$Z835*(1+$Y835*$AA835*2)^(1/$Y835)))</f>
        <v/>
      </c>
      <c r="AD835">
        <f>IF($Y835="","",IF($Y835=0,$Z835*EXP($AA835*3),$Z835*(1+$Y835*$AA835*3)^(1/$Y835)))</f>
        <v/>
      </c>
      <c r="AE835">
        <f>IF($Y835="","",IF($Y835=0,$Z835*EXP($AA835*-2),$Z835*(1+$Y835*$AA835*-2)^(1/$Y835)))</f>
        <v/>
      </c>
      <c r="AF835">
        <f>IF($Y835="","",IF($Y835=0,$Z835*EXP($AA835*-3),$Z835*(1+$Y835*$AA835*-3)^(1/$Y835)))</f>
        <v/>
      </c>
      <c r="AG835">
        <f>IF($W835="","",IFERROR(INDEX(IF($T835&lt;=60,est05_l,est519_l),MATCH($W835,IF($T835&lt;=60,est05_k,est519_k),1)),""))</f>
        <v/>
      </c>
      <c r="AH835">
        <f>IF($W835="","",IFERROR(INDEX(IF($T835&lt;=60,est05_m,est519_m),MATCH($W835,IF($T835&lt;=60,est05_k,est519_k),1)),""))</f>
        <v/>
      </c>
      <c r="AI835">
        <f>IF($W835="","",IFERROR(INDEX(IF($T835&lt;=60,est05_s,est519_s),MATCH($W835,IF($T835&lt;=60,est05_k,est519_k),1)),""))</f>
        <v/>
      </c>
      <c r="AJ835">
        <f>IF($W835="","",IFERROR(INDEX(IF($T835&lt;=60,peso05_l,peso510_l),MATCH($W835,IF($T835&lt;=60,peso05_k,peso510_k),1)),""))</f>
        <v/>
      </c>
      <c r="AK835">
        <f>IF($W835="","",IFERROR(INDEX(IF($T835&lt;=60,peso05_m,peso510_m),MATCH($W835,IF($T835&lt;=60,peso05_k,peso510_k),1)),""))</f>
        <v/>
      </c>
      <c r="AL835">
        <f>IF($W835="","",IFERROR(INDEX(IF($T835&lt;=60,peso05_s,peso510_s),MATCH($W835,IF($T835&lt;=60,peso05_k,peso510_k),1)),""))</f>
        <v/>
      </c>
      <c r="AM835">
        <f>IF($AJ835="","",IF($AJ835=0,LN($F835/$AK835)/$AL835,((($F835/$AK835)^$AJ835)-1)/($AJ835*$AL835)))</f>
        <v/>
      </c>
      <c r="AN835">
        <f>IF($AJ835="","",IF($AJ835=0,$AK835*EXP($AL835*2),$AK835*(1+$AJ835*$AL835*2)^(1/$AJ835)))</f>
        <v/>
      </c>
      <c r="AO835">
        <f>IF($AJ835="","",IF($AJ835=0,$AK835*EXP($AL835*3),$AK835*(1+$AJ835*$AL835*3)^(1/$AJ835)))</f>
        <v/>
      </c>
      <c r="AP835">
        <f>IF($AJ835="","",IF($AJ835=0,$AK835*EXP($AL835*-2),$AK835*(1+$AJ835*$AL835*-2)^(1/$AJ835)))</f>
        <v/>
      </c>
      <c r="AQ835">
        <f>IF($AJ835="","",IF($AJ835=0,$AK835*EXP($AL835*-3),$AK835*(1+$AJ835*$AL835*-3)^(1/$AJ835)))</f>
        <v/>
      </c>
      <c r="AR835">
        <f>IF(OR($X835="",$T835&gt;60),"",IFERROR(INDEX(IF($T835&lt;24,pcomp_l,palt_l),MATCH($X835,IF($T835&lt;24,pcomp_k,palt_k),1)),""))</f>
        <v/>
      </c>
      <c r="AS835">
        <f>IF(OR($X835="",$T835&gt;60),"",IFERROR(INDEX(IF($T835&lt;24,pcomp_m,palt_m),MATCH($X835,IF($T835&lt;24,pcomp_k,palt_k),1)),""))</f>
        <v/>
      </c>
      <c r="AT835">
        <f>IF(OR($X835="",$T835&gt;60),"",IFERROR(INDEX(IF($T835&lt;24,pcomp_s,palt_s),MATCH($X835,IF($T835&lt;24,pcomp_k,palt_k),1)),""))</f>
        <v/>
      </c>
      <c r="AU835">
        <f>IF($AR835="","",IF($AR835=0,LN($F835/$AS835)/$AT835,((($F835/$AS835)^$AR835)-1)/($AR835*$AT835)))</f>
        <v/>
      </c>
      <c r="AV835">
        <f>IF($AR835="","",IF($AR835=0,$AS835*EXP($AT835*2),$AS835*(1+$AR835*$AT835*2)^(1/$AR835)))</f>
        <v/>
      </c>
      <c r="AW835">
        <f>IF($AR835="","",IF($AR835=0,$AS835*EXP($AT835*3),$AS835*(1+$AR835*$AT835*3)^(1/$AR835)))</f>
        <v/>
      </c>
      <c r="AX835">
        <f>IF($AR835="","",IF($AR835=0,$AS835*EXP($AT835*-2),$AS835*(1+$AR835*$AT835*-2)^(1/$AR835)))</f>
        <v/>
      </c>
      <c r="AY835">
        <f>IF($AR835="","",IF($AR835=0,$AS835*EXP($AT835*-3),$AS835*(1+$AR835*$AT835*-3)^(1/$AR835)))</f>
        <v/>
      </c>
      <c r="AZ835">
        <f>IF(OR($A835="",$A835&lt;&gt;Ficha!$C$4),"",COUNTIF($A$2:$A835,Ficha!$C$4))</f>
        <v/>
      </c>
    </row>
    <row r="836">
      <c r="A836" s="8">
        <f>IF(INDEX(Banco!$A:$A,ROW())="","",INDEX(Banco!$A:$A,ROW()))</f>
        <v/>
      </c>
      <c r="B836" s="8">
        <f>IF(INDEX(Banco!$B:$B,ROW())="","",INDEX(Banco!$B:$B,ROW()))</f>
        <v/>
      </c>
      <c r="C836" s="8">
        <f>IF(INDEX(Banco!$C:$C,ROW())="","",INDEX(Banco!$C:$C,ROW()))</f>
        <v/>
      </c>
      <c r="D836" s="9">
        <f>IF(INDEX(Banco!$D:$D,ROW())="","",INDEX(Banco!$D:$D,ROW()))</f>
        <v/>
      </c>
      <c r="E836" s="9">
        <f>IF(INDEX(Banco!$E:$E,ROW())="","",INDEX(Banco!$E:$E,ROW()))</f>
        <v/>
      </c>
      <c r="F836" s="10">
        <f>IF(INDEX(Banco!$F:$F,ROW())="","",INDEX(Banco!$F:$F,ROW()))</f>
        <v/>
      </c>
      <c r="G836" s="10">
        <f>IF(INDEX(Banco!$G:$G,ROW())="","",INDEX(Banco!$G:$G,ROW()))</f>
        <v/>
      </c>
      <c r="H836" s="8">
        <f>IF(INDEX(Banco!$H:$H,ROW())="","",INDEX(Banco!$H:$H,ROW()))</f>
        <v/>
      </c>
      <c r="I836">
        <f>IF($T836="","",INT($T836/12)&amp;"a "&amp;MOD($T836,12)&amp;"m")</f>
        <v/>
      </c>
      <c r="J836" s="11">
        <f>IF(OR($F836="",$G836=""),"",ROUND($F836/($G836/100)^2,2))</f>
        <v/>
      </c>
      <c r="K836" s="12">
        <f>IF(OR($S836="",$J836="",$T836="",$T836&lt;0,$T836&gt;228,$Y836=""),"—",ROUND(IF(ABS($AB836)&lt;=3,$AB836,IF($AB836&gt;3,3+($J836-$AD836)/($AD836-$AC836),-3+($J836-$AF836)/($AE836-$AF836))),2))</f>
        <v/>
      </c>
      <c r="L836">
        <f>IF(OR($K836="",$K836="—"),"",IF($T836&lt;=60,IF($K836&lt;-3,"Magreza acentuada",IF($K836&lt;-2,"Magreza",IF($K836&lt;=1,"Eutrofia",IF($K836&lt;=2,"Risco de sobrepeso",IF($K836&lt;=3,"Sobrepeso","Obesidade"))))),IF($K836&lt;-3,"Magreza acentuada",IF($K836&lt;-2,"Magreza",IF($K836&lt;=1,"Eutrofia",IF($K836&lt;=2,"Sobrepeso",IF($K836&lt;=3,"Obesidade","Obesidade grave")))))))</f>
        <v/>
      </c>
      <c r="M836" s="12">
        <f>IF(OR($S836="",$V836="",$T836="",$T836&lt;0,$T836&gt;228,$AG836=""),"—",ROUND(IF($AG836=0,LN($V836/$AH836)/$AI836,((($V836/$AH836)^$AG836)-1)/($AG836*$AI836)),2))</f>
        <v/>
      </c>
      <c r="N836">
        <f>IF(OR($M836="",$M836="—"),"",IF($M836&lt;-3,"Muito baixa",IF($M836&lt;-2,"Baixa","Adequada")))</f>
        <v/>
      </c>
      <c r="O836" s="12">
        <f>IF(OR($S836="",$F836="",$T836="",$T836&lt;0,$T836&gt;120,$AJ836=""),"—",ROUND(IF(ABS($AM836)&lt;=3,$AM836,IF($AM836&gt;3,3+($F836-$AO836)/($AO836-$AN836),-3+($F836-$AQ836)/($AP836-$AQ836))),2))</f>
        <v/>
      </c>
      <c r="P836">
        <f>IF(OR($O836="",$O836="—"),"",IF($O836&lt;-3,"Muito baixo",IF($O836&lt;-2,"Baixo",IF($O836&lt;=2,"Adequado","Elevado"))))</f>
        <v/>
      </c>
      <c r="Q836" s="12">
        <f>IF(OR($S836="",$F836="",$T836="",$T836&lt;0,$T836&gt;60,$AR836=""),"—",ROUND(IF(ABS($AU836)&lt;=3,$AU836,IF($AU836&gt;3,3+($F836-$AW836)/($AW836-$AV836),-3+($F836-$AY836)/($AX836-$AY836))),2))</f>
        <v/>
      </c>
      <c r="R836">
        <f>IF(OR($Q836="",$Q836="—"),"",IF($Q836&lt;-3,"Magreza acentuada",IF($Q836&lt;-2,"Magreza",IF($Q836&lt;=1,"Eutrofia",IF($Q836&lt;=2,"Risco de sobrepeso",IF($Q836&lt;=3,"Sobrepeso","Obesidade"))))))</f>
        <v/>
      </c>
      <c r="S836">
        <f>IF($C836="","",IF(UPPER(LEFT($C836,1))="M",1,IF(UPPER(LEFT($C836,1))="F",2,"")))</f>
        <v/>
      </c>
      <c r="T836">
        <f>IF(OR($D836="",$E836=""),"",DATEDIF($D836,$E836,"m"))</f>
        <v/>
      </c>
      <c r="U836">
        <f>IF(OR($D836="",$E836=""),"",$E836-$D836)</f>
        <v/>
      </c>
      <c r="V836">
        <f>IF(OR($G836="",$T836=""),"",IF($T836&lt;24,IF(LEFT(LOWER($H836),4)="em p",$G836+0.7,$G836),IF(LEFT(LOWER($H836),4)="deit",$G836-0.7,$G836)))</f>
        <v/>
      </c>
      <c r="W836">
        <f>IF(OR($S836="",$T836=""),"",$S836*1000000+IF($T836&lt;=60,$U836,$T836))</f>
        <v/>
      </c>
      <c r="X836">
        <f>IF(OR($S836="",$V836="",$T836&gt;60,$T836=""),"",$S836*1000000+ROUND($V836*10,0))</f>
        <v/>
      </c>
      <c r="Y836">
        <f>IF($W836="","",IFERROR(INDEX(IF($T836&lt;=60,imc05_l,imc519_l),MATCH($W836,IF($T836&lt;=60,imc05_k,imc519_k),1)),""))</f>
        <v/>
      </c>
      <c r="Z836">
        <f>IF($W836="","",IFERROR(INDEX(IF($T836&lt;=60,imc05_m,imc519_m),MATCH($W836,IF($T836&lt;=60,imc05_k,imc519_k),1)),""))</f>
        <v/>
      </c>
      <c r="AA836">
        <f>IF($W836="","",IFERROR(INDEX(IF($T836&lt;=60,imc05_s,imc519_s),MATCH($W836,IF($T836&lt;=60,imc05_k,imc519_k),1)),""))</f>
        <v/>
      </c>
      <c r="AB836">
        <f>IF($Y836="","",IF($Y836=0,LN($J836/$Z836)/$AA836,((($J836/$Z836)^$Y836)-1)/($Y836*$AA836)))</f>
        <v/>
      </c>
      <c r="AC836">
        <f>IF($Y836="","",IF($Y836=0,$Z836*EXP($AA836*2),$Z836*(1+$Y836*$AA836*2)^(1/$Y836)))</f>
        <v/>
      </c>
      <c r="AD836">
        <f>IF($Y836="","",IF($Y836=0,$Z836*EXP($AA836*3),$Z836*(1+$Y836*$AA836*3)^(1/$Y836)))</f>
        <v/>
      </c>
      <c r="AE836">
        <f>IF($Y836="","",IF($Y836=0,$Z836*EXP($AA836*-2),$Z836*(1+$Y836*$AA836*-2)^(1/$Y836)))</f>
        <v/>
      </c>
      <c r="AF836">
        <f>IF($Y836="","",IF($Y836=0,$Z836*EXP($AA836*-3),$Z836*(1+$Y836*$AA836*-3)^(1/$Y836)))</f>
        <v/>
      </c>
      <c r="AG836">
        <f>IF($W836="","",IFERROR(INDEX(IF($T836&lt;=60,est05_l,est519_l),MATCH($W836,IF($T836&lt;=60,est05_k,est519_k),1)),""))</f>
        <v/>
      </c>
      <c r="AH836">
        <f>IF($W836="","",IFERROR(INDEX(IF($T836&lt;=60,est05_m,est519_m),MATCH($W836,IF($T836&lt;=60,est05_k,est519_k),1)),""))</f>
        <v/>
      </c>
      <c r="AI836">
        <f>IF($W836="","",IFERROR(INDEX(IF($T836&lt;=60,est05_s,est519_s),MATCH($W836,IF($T836&lt;=60,est05_k,est519_k),1)),""))</f>
        <v/>
      </c>
      <c r="AJ836">
        <f>IF($W836="","",IFERROR(INDEX(IF($T836&lt;=60,peso05_l,peso510_l),MATCH($W836,IF($T836&lt;=60,peso05_k,peso510_k),1)),""))</f>
        <v/>
      </c>
      <c r="AK836">
        <f>IF($W836="","",IFERROR(INDEX(IF($T836&lt;=60,peso05_m,peso510_m),MATCH($W836,IF($T836&lt;=60,peso05_k,peso510_k),1)),""))</f>
        <v/>
      </c>
      <c r="AL836">
        <f>IF($W836="","",IFERROR(INDEX(IF($T836&lt;=60,peso05_s,peso510_s),MATCH($W836,IF($T836&lt;=60,peso05_k,peso510_k),1)),""))</f>
        <v/>
      </c>
      <c r="AM836">
        <f>IF($AJ836="","",IF($AJ836=0,LN($F836/$AK836)/$AL836,((($F836/$AK836)^$AJ836)-1)/($AJ836*$AL836)))</f>
        <v/>
      </c>
      <c r="AN836">
        <f>IF($AJ836="","",IF($AJ836=0,$AK836*EXP($AL836*2),$AK836*(1+$AJ836*$AL836*2)^(1/$AJ836)))</f>
        <v/>
      </c>
      <c r="AO836">
        <f>IF($AJ836="","",IF($AJ836=0,$AK836*EXP($AL836*3),$AK836*(1+$AJ836*$AL836*3)^(1/$AJ836)))</f>
        <v/>
      </c>
      <c r="AP836">
        <f>IF($AJ836="","",IF($AJ836=0,$AK836*EXP($AL836*-2),$AK836*(1+$AJ836*$AL836*-2)^(1/$AJ836)))</f>
        <v/>
      </c>
      <c r="AQ836">
        <f>IF($AJ836="","",IF($AJ836=0,$AK836*EXP($AL836*-3),$AK836*(1+$AJ836*$AL836*-3)^(1/$AJ836)))</f>
        <v/>
      </c>
      <c r="AR836">
        <f>IF(OR($X836="",$T836&gt;60),"",IFERROR(INDEX(IF($T836&lt;24,pcomp_l,palt_l),MATCH($X836,IF($T836&lt;24,pcomp_k,palt_k),1)),""))</f>
        <v/>
      </c>
      <c r="AS836">
        <f>IF(OR($X836="",$T836&gt;60),"",IFERROR(INDEX(IF($T836&lt;24,pcomp_m,palt_m),MATCH($X836,IF($T836&lt;24,pcomp_k,palt_k),1)),""))</f>
        <v/>
      </c>
      <c r="AT836">
        <f>IF(OR($X836="",$T836&gt;60),"",IFERROR(INDEX(IF($T836&lt;24,pcomp_s,palt_s),MATCH($X836,IF($T836&lt;24,pcomp_k,palt_k),1)),""))</f>
        <v/>
      </c>
      <c r="AU836">
        <f>IF($AR836="","",IF($AR836=0,LN($F836/$AS836)/$AT836,((($F836/$AS836)^$AR836)-1)/($AR836*$AT836)))</f>
        <v/>
      </c>
      <c r="AV836">
        <f>IF($AR836="","",IF($AR836=0,$AS836*EXP($AT836*2),$AS836*(1+$AR836*$AT836*2)^(1/$AR836)))</f>
        <v/>
      </c>
      <c r="AW836">
        <f>IF($AR836="","",IF($AR836=0,$AS836*EXP($AT836*3),$AS836*(1+$AR836*$AT836*3)^(1/$AR836)))</f>
        <v/>
      </c>
      <c r="AX836">
        <f>IF($AR836="","",IF($AR836=0,$AS836*EXP($AT836*-2),$AS836*(1+$AR836*$AT836*-2)^(1/$AR836)))</f>
        <v/>
      </c>
      <c r="AY836">
        <f>IF($AR836="","",IF($AR836=0,$AS836*EXP($AT836*-3),$AS836*(1+$AR836*$AT836*-3)^(1/$AR836)))</f>
        <v/>
      </c>
      <c r="AZ836">
        <f>IF(OR($A836="",$A836&lt;&gt;Ficha!$C$4),"",COUNTIF($A$2:$A836,Ficha!$C$4))</f>
        <v/>
      </c>
    </row>
    <row r="837">
      <c r="A837" s="8">
        <f>IF(INDEX(Banco!$A:$A,ROW())="","",INDEX(Banco!$A:$A,ROW()))</f>
        <v/>
      </c>
      <c r="B837" s="8">
        <f>IF(INDEX(Banco!$B:$B,ROW())="","",INDEX(Banco!$B:$B,ROW()))</f>
        <v/>
      </c>
      <c r="C837" s="8">
        <f>IF(INDEX(Banco!$C:$C,ROW())="","",INDEX(Banco!$C:$C,ROW()))</f>
        <v/>
      </c>
      <c r="D837" s="9">
        <f>IF(INDEX(Banco!$D:$D,ROW())="","",INDEX(Banco!$D:$D,ROW()))</f>
        <v/>
      </c>
      <c r="E837" s="9">
        <f>IF(INDEX(Banco!$E:$E,ROW())="","",INDEX(Banco!$E:$E,ROW()))</f>
        <v/>
      </c>
      <c r="F837" s="10">
        <f>IF(INDEX(Banco!$F:$F,ROW())="","",INDEX(Banco!$F:$F,ROW()))</f>
        <v/>
      </c>
      <c r="G837" s="10">
        <f>IF(INDEX(Banco!$G:$G,ROW())="","",INDEX(Banco!$G:$G,ROW()))</f>
        <v/>
      </c>
      <c r="H837" s="8">
        <f>IF(INDEX(Banco!$H:$H,ROW())="","",INDEX(Banco!$H:$H,ROW()))</f>
        <v/>
      </c>
      <c r="I837">
        <f>IF($T837="","",INT($T837/12)&amp;"a "&amp;MOD($T837,12)&amp;"m")</f>
        <v/>
      </c>
      <c r="J837" s="11">
        <f>IF(OR($F837="",$G837=""),"",ROUND($F837/($G837/100)^2,2))</f>
        <v/>
      </c>
      <c r="K837" s="12">
        <f>IF(OR($S837="",$J837="",$T837="",$T837&lt;0,$T837&gt;228,$Y837=""),"—",ROUND(IF(ABS($AB837)&lt;=3,$AB837,IF($AB837&gt;3,3+($J837-$AD837)/($AD837-$AC837),-3+($J837-$AF837)/($AE837-$AF837))),2))</f>
        <v/>
      </c>
      <c r="L837">
        <f>IF(OR($K837="",$K837="—"),"",IF($T837&lt;=60,IF($K837&lt;-3,"Magreza acentuada",IF($K837&lt;-2,"Magreza",IF($K837&lt;=1,"Eutrofia",IF($K837&lt;=2,"Risco de sobrepeso",IF($K837&lt;=3,"Sobrepeso","Obesidade"))))),IF($K837&lt;-3,"Magreza acentuada",IF($K837&lt;-2,"Magreza",IF($K837&lt;=1,"Eutrofia",IF($K837&lt;=2,"Sobrepeso",IF($K837&lt;=3,"Obesidade","Obesidade grave")))))))</f>
        <v/>
      </c>
      <c r="M837" s="12">
        <f>IF(OR($S837="",$V837="",$T837="",$T837&lt;0,$T837&gt;228,$AG837=""),"—",ROUND(IF($AG837=0,LN($V837/$AH837)/$AI837,((($V837/$AH837)^$AG837)-1)/($AG837*$AI837)),2))</f>
        <v/>
      </c>
      <c r="N837">
        <f>IF(OR($M837="",$M837="—"),"",IF($M837&lt;-3,"Muito baixa",IF($M837&lt;-2,"Baixa","Adequada")))</f>
        <v/>
      </c>
      <c r="O837" s="12">
        <f>IF(OR($S837="",$F837="",$T837="",$T837&lt;0,$T837&gt;120,$AJ837=""),"—",ROUND(IF(ABS($AM837)&lt;=3,$AM837,IF($AM837&gt;3,3+($F837-$AO837)/($AO837-$AN837),-3+($F837-$AQ837)/($AP837-$AQ837))),2))</f>
        <v/>
      </c>
      <c r="P837">
        <f>IF(OR($O837="",$O837="—"),"",IF($O837&lt;-3,"Muito baixo",IF($O837&lt;-2,"Baixo",IF($O837&lt;=2,"Adequado","Elevado"))))</f>
        <v/>
      </c>
      <c r="Q837" s="12">
        <f>IF(OR($S837="",$F837="",$T837="",$T837&lt;0,$T837&gt;60,$AR837=""),"—",ROUND(IF(ABS($AU837)&lt;=3,$AU837,IF($AU837&gt;3,3+($F837-$AW837)/($AW837-$AV837),-3+($F837-$AY837)/($AX837-$AY837))),2))</f>
        <v/>
      </c>
      <c r="R837">
        <f>IF(OR($Q837="",$Q837="—"),"",IF($Q837&lt;-3,"Magreza acentuada",IF($Q837&lt;-2,"Magreza",IF($Q837&lt;=1,"Eutrofia",IF($Q837&lt;=2,"Risco de sobrepeso",IF($Q837&lt;=3,"Sobrepeso","Obesidade"))))))</f>
        <v/>
      </c>
      <c r="S837">
        <f>IF($C837="","",IF(UPPER(LEFT($C837,1))="M",1,IF(UPPER(LEFT($C837,1))="F",2,"")))</f>
        <v/>
      </c>
      <c r="T837">
        <f>IF(OR($D837="",$E837=""),"",DATEDIF($D837,$E837,"m"))</f>
        <v/>
      </c>
      <c r="U837">
        <f>IF(OR($D837="",$E837=""),"",$E837-$D837)</f>
        <v/>
      </c>
      <c r="V837">
        <f>IF(OR($G837="",$T837=""),"",IF($T837&lt;24,IF(LEFT(LOWER($H837),4)="em p",$G837+0.7,$G837),IF(LEFT(LOWER($H837),4)="deit",$G837-0.7,$G837)))</f>
        <v/>
      </c>
      <c r="W837">
        <f>IF(OR($S837="",$T837=""),"",$S837*1000000+IF($T837&lt;=60,$U837,$T837))</f>
        <v/>
      </c>
      <c r="X837">
        <f>IF(OR($S837="",$V837="",$T837&gt;60,$T837=""),"",$S837*1000000+ROUND($V837*10,0))</f>
        <v/>
      </c>
      <c r="Y837">
        <f>IF($W837="","",IFERROR(INDEX(IF($T837&lt;=60,imc05_l,imc519_l),MATCH($W837,IF($T837&lt;=60,imc05_k,imc519_k),1)),""))</f>
        <v/>
      </c>
      <c r="Z837">
        <f>IF($W837="","",IFERROR(INDEX(IF($T837&lt;=60,imc05_m,imc519_m),MATCH($W837,IF($T837&lt;=60,imc05_k,imc519_k),1)),""))</f>
        <v/>
      </c>
      <c r="AA837">
        <f>IF($W837="","",IFERROR(INDEX(IF($T837&lt;=60,imc05_s,imc519_s),MATCH($W837,IF($T837&lt;=60,imc05_k,imc519_k),1)),""))</f>
        <v/>
      </c>
      <c r="AB837">
        <f>IF($Y837="","",IF($Y837=0,LN($J837/$Z837)/$AA837,((($J837/$Z837)^$Y837)-1)/($Y837*$AA837)))</f>
        <v/>
      </c>
      <c r="AC837">
        <f>IF($Y837="","",IF($Y837=0,$Z837*EXP($AA837*2),$Z837*(1+$Y837*$AA837*2)^(1/$Y837)))</f>
        <v/>
      </c>
      <c r="AD837">
        <f>IF($Y837="","",IF($Y837=0,$Z837*EXP($AA837*3),$Z837*(1+$Y837*$AA837*3)^(1/$Y837)))</f>
        <v/>
      </c>
      <c r="AE837">
        <f>IF($Y837="","",IF($Y837=0,$Z837*EXP($AA837*-2),$Z837*(1+$Y837*$AA837*-2)^(1/$Y837)))</f>
        <v/>
      </c>
      <c r="AF837">
        <f>IF($Y837="","",IF($Y837=0,$Z837*EXP($AA837*-3),$Z837*(1+$Y837*$AA837*-3)^(1/$Y837)))</f>
        <v/>
      </c>
      <c r="AG837">
        <f>IF($W837="","",IFERROR(INDEX(IF($T837&lt;=60,est05_l,est519_l),MATCH($W837,IF($T837&lt;=60,est05_k,est519_k),1)),""))</f>
        <v/>
      </c>
      <c r="AH837">
        <f>IF($W837="","",IFERROR(INDEX(IF($T837&lt;=60,est05_m,est519_m),MATCH($W837,IF($T837&lt;=60,est05_k,est519_k),1)),""))</f>
        <v/>
      </c>
      <c r="AI837">
        <f>IF($W837="","",IFERROR(INDEX(IF($T837&lt;=60,est05_s,est519_s),MATCH($W837,IF($T837&lt;=60,est05_k,est519_k),1)),""))</f>
        <v/>
      </c>
      <c r="AJ837">
        <f>IF($W837="","",IFERROR(INDEX(IF($T837&lt;=60,peso05_l,peso510_l),MATCH($W837,IF($T837&lt;=60,peso05_k,peso510_k),1)),""))</f>
        <v/>
      </c>
      <c r="AK837">
        <f>IF($W837="","",IFERROR(INDEX(IF($T837&lt;=60,peso05_m,peso510_m),MATCH($W837,IF($T837&lt;=60,peso05_k,peso510_k),1)),""))</f>
        <v/>
      </c>
      <c r="AL837">
        <f>IF($W837="","",IFERROR(INDEX(IF($T837&lt;=60,peso05_s,peso510_s),MATCH($W837,IF($T837&lt;=60,peso05_k,peso510_k),1)),""))</f>
        <v/>
      </c>
      <c r="AM837">
        <f>IF($AJ837="","",IF($AJ837=0,LN($F837/$AK837)/$AL837,((($F837/$AK837)^$AJ837)-1)/($AJ837*$AL837)))</f>
        <v/>
      </c>
      <c r="AN837">
        <f>IF($AJ837="","",IF($AJ837=0,$AK837*EXP($AL837*2),$AK837*(1+$AJ837*$AL837*2)^(1/$AJ837)))</f>
        <v/>
      </c>
      <c r="AO837">
        <f>IF($AJ837="","",IF($AJ837=0,$AK837*EXP($AL837*3),$AK837*(1+$AJ837*$AL837*3)^(1/$AJ837)))</f>
        <v/>
      </c>
      <c r="AP837">
        <f>IF($AJ837="","",IF($AJ837=0,$AK837*EXP($AL837*-2),$AK837*(1+$AJ837*$AL837*-2)^(1/$AJ837)))</f>
        <v/>
      </c>
      <c r="AQ837">
        <f>IF($AJ837="","",IF($AJ837=0,$AK837*EXP($AL837*-3),$AK837*(1+$AJ837*$AL837*-3)^(1/$AJ837)))</f>
        <v/>
      </c>
      <c r="AR837">
        <f>IF(OR($X837="",$T837&gt;60),"",IFERROR(INDEX(IF($T837&lt;24,pcomp_l,palt_l),MATCH($X837,IF($T837&lt;24,pcomp_k,palt_k),1)),""))</f>
        <v/>
      </c>
      <c r="AS837">
        <f>IF(OR($X837="",$T837&gt;60),"",IFERROR(INDEX(IF($T837&lt;24,pcomp_m,palt_m),MATCH($X837,IF($T837&lt;24,pcomp_k,palt_k),1)),""))</f>
        <v/>
      </c>
      <c r="AT837">
        <f>IF(OR($X837="",$T837&gt;60),"",IFERROR(INDEX(IF($T837&lt;24,pcomp_s,palt_s),MATCH($X837,IF($T837&lt;24,pcomp_k,palt_k),1)),""))</f>
        <v/>
      </c>
      <c r="AU837">
        <f>IF($AR837="","",IF($AR837=0,LN($F837/$AS837)/$AT837,((($F837/$AS837)^$AR837)-1)/($AR837*$AT837)))</f>
        <v/>
      </c>
      <c r="AV837">
        <f>IF($AR837="","",IF($AR837=0,$AS837*EXP($AT837*2),$AS837*(1+$AR837*$AT837*2)^(1/$AR837)))</f>
        <v/>
      </c>
      <c r="AW837">
        <f>IF($AR837="","",IF($AR837=0,$AS837*EXP($AT837*3),$AS837*(1+$AR837*$AT837*3)^(1/$AR837)))</f>
        <v/>
      </c>
      <c r="AX837">
        <f>IF($AR837="","",IF($AR837=0,$AS837*EXP($AT837*-2),$AS837*(1+$AR837*$AT837*-2)^(1/$AR837)))</f>
        <v/>
      </c>
      <c r="AY837">
        <f>IF($AR837="","",IF($AR837=0,$AS837*EXP($AT837*-3),$AS837*(1+$AR837*$AT837*-3)^(1/$AR837)))</f>
        <v/>
      </c>
      <c r="AZ837">
        <f>IF(OR($A837="",$A837&lt;&gt;Ficha!$C$4),"",COUNTIF($A$2:$A837,Ficha!$C$4))</f>
        <v/>
      </c>
    </row>
    <row r="838">
      <c r="A838" s="8">
        <f>IF(INDEX(Banco!$A:$A,ROW())="","",INDEX(Banco!$A:$A,ROW()))</f>
        <v/>
      </c>
      <c r="B838" s="8">
        <f>IF(INDEX(Banco!$B:$B,ROW())="","",INDEX(Banco!$B:$B,ROW()))</f>
        <v/>
      </c>
      <c r="C838" s="8">
        <f>IF(INDEX(Banco!$C:$C,ROW())="","",INDEX(Banco!$C:$C,ROW()))</f>
        <v/>
      </c>
      <c r="D838" s="9">
        <f>IF(INDEX(Banco!$D:$D,ROW())="","",INDEX(Banco!$D:$D,ROW()))</f>
        <v/>
      </c>
      <c r="E838" s="9">
        <f>IF(INDEX(Banco!$E:$E,ROW())="","",INDEX(Banco!$E:$E,ROW()))</f>
        <v/>
      </c>
      <c r="F838" s="10">
        <f>IF(INDEX(Banco!$F:$F,ROW())="","",INDEX(Banco!$F:$F,ROW()))</f>
        <v/>
      </c>
      <c r="G838" s="10">
        <f>IF(INDEX(Banco!$G:$G,ROW())="","",INDEX(Banco!$G:$G,ROW()))</f>
        <v/>
      </c>
      <c r="H838" s="8">
        <f>IF(INDEX(Banco!$H:$H,ROW())="","",INDEX(Banco!$H:$H,ROW()))</f>
        <v/>
      </c>
      <c r="I838">
        <f>IF($T838="","",INT($T838/12)&amp;"a "&amp;MOD($T838,12)&amp;"m")</f>
        <v/>
      </c>
      <c r="J838" s="11">
        <f>IF(OR($F838="",$G838=""),"",ROUND($F838/($G838/100)^2,2))</f>
        <v/>
      </c>
      <c r="K838" s="12">
        <f>IF(OR($S838="",$J838="",$T838="",$T838&lt;0,$T838&gt;228,$Y838=""),"—",ROUND(IF(ABS($AB838)&lt;=3,$AB838,IF($AB838&gt;3,3+($J838-$AD838)/($AD838-$AC838),-3+($J838-$AF838)/($AE838-$AF838))),2))</f>
        <v/>
      </c>
      <c r="L838">
        <f>IF(OR($K838="",$K838="—"),"",IF($T838&lt;=60,IF($K838&lt;-3,"Magreza acentuada",IF($K838&lt;-2,"Magreza",IF($K838&lt;=1,"Eutrofia",IF($K838&lt;=2,"Risco de sobrepeso",IF($K838&lt;=3,"Sobrepeso","Obesidade"))))),IF($K838&lt;-3,"Magreza acentuada",IF($K838&lt;-2,"Magreza",IF($K838&lt;=1,"Eutrofia",IF($K838&lt;=2,"Sobrepeso",IF($K838&lt;=3,"Obesidade","Obesidade grave")))))))</f>
        <v/>
      </c>
      <c r="M838" s="12">
        <f>IF(OR($S838="",$V838="",$T838="",$T838&lt;0,$T838&gt;228,$AG838=""),"—",ROUND(IF($AG838=0,LN($V838/$AH838)/$AI838,((($V838/$AH838)^$AG838)-1)/($AG838*$AI838)),2))</f>
        <v/>
      </c>
      <c r="N838">
        <f>IF(OR($M838="",$M838="—"),"",IF($M838&lt;-3,"Muito baixa",IF($M838&lt;-2,"Baixa","Adequada")))</f>
        <v/>
      </c>
      <c r="O838" s="12">
        <f>IF(OR($S838="",$F838="",$T838="",$T838&lt;0,$T838&gt;120,$AJ838=""),"—",ROUND(IF(ABS($AM838)&lt;=3,$AM838,IF($AM838&gt;3,3+($F838-$AO838)/($AO838-$AN838),-3+($F838-$AQ838)/($AP838-$AQ838))),2))</f>
        <v/>
      </c>
      <c r="P838">
        <f>IF(OR($O838="",$O838="—"),"",IF($O838&lt;-3,"Muito baixo",IF($O838&lt;-2,"Baixo",IF($O838&lt;=2,"Adequado","Elevado"))))</f>
        <v/>
      </c>
      <c r="Q838" s="12">
        <f>IF(OR($S838="",$F838="",$T838="",$T838&lt;0,$T838&gt;60,$AR838=""),"—",ROUND(IF(ABS($AU838)&lt;=3,$AU838,IF($AU838&gt;3,3+($F838-$AW838)/($AW838-$AV838),-3+($F838-$AY838)/($AX838-$AY838))),2))</f>
        <v/>
      </c>
      <c r="R838">
        <f>IF(OR($Q838="",$Q838="—"),"",IF($Q838&lt;-3,"Magreza acentuada",IF($Q838&lt;-2,"Magreza",IF($Q838&lt;=1,"Eutrofia",IF($Q838&lt;=2,"Risco de sobrepeso",IF($Q838&lt;=3,"Sobrepeso","Obesidade"))))))</f>
        <v/>
      </c>
      <c r="S838">
        <f>IF($C838="","",IF(UPPER(LEFT($C838,1))="M",1,IF(UPPER(LEFT($C838,1))="F",2,"")))</f>
        <v/>
      </c>
      <c r="T838">
        <f>IF(OR($D838="",$E838=""),"",DATEDIF($D838,$E838,"m"))</f>
        <v/>
      </c>
      <c r="U838">
        <f>IF(OR($D838="",$E838=""),"",$E838-$D838)</f>
        <v/>
      </c>
      <c r="V838">
        <f>IF(OR($G838="",$T838=""),"",IF($T838&lt;24,IF(LEFT(LOWER($H838),4)="em p",$G838+0.7,$G838),IF(LEFT(LOWER($H838),4)="deit",$G838-0.7,$G838)))</f>
        <v/>
      </c>
      <c r="W838">
        <f>IF(OR($S838="",$T838=""),"",$S838*1000000+IF($T838&lt;=60,$U838,$T838))</f>
        <v/>
      </c>
      <c r="X838">
        <f>IF(OR($S838="",$V838="",$T838&gt;60,$T838=""),"",$S838*1000000+ROUND($V838*10,0))</f>
        <v/>
      </c>
      <c r="Y838">
        <f>IF($W838="","",IFERROR(INDEX(IF($T838&lt;=60,imc05_l,imc519_l),MATCH($W838,IF($T838&lt;=60,imc05_k,imc519_k),1)),""))</f>
        <v/>
      </c>
      <c r="Z838">
        <f>IF($W838="","",IFERROR(INDEX(IF($T838&lt;=60,imc05_m,imc519_m),MATCH($W838,IF($T838&lt;=60,imc05_k,imc519_k),1)),""))</f>
        <v/>
      </c>
      <c r="AA838">
        <f>IF($W838="","",IFERROR(INDEX(IF($T838&lt;=60,imc05_s,imc519_s),MATCH($W838,IF($T838&lt;=60,imc05_k,imc519_k),1)),""))</f>
        <v/>
      </c>
      <c r="AB838">
        <f>IF($Y838="","",IF($Y838=0,LN($J838/$Z838)/$AA838,((($J838/$Z838)^$Y838)-1)/($Y838*$AA838)))</f>
        <v/>
      </c>
      <c r="AC838">
        <f>IF($Y838="","",IF($Y838=0,$Z838*EXP($AA838*2),$Z838*(1+$Y838*$AA838*2)^(1/$Y838)))</f>
        <v/>
      </c>
      <c r="AD838">
        <f>IF($Y838="","",IF($Y838=0,$Z838*EXP($AA838*3),$Z838*(1+$Y838*$AA838*3)^(1/$Y838)))</f>
        <v/>
      </c>
      <c r="AE838">
        <f>IF($Y838="","",IF($Y838=0,$Z838*EXP($AA838*-2),$Z838*(1+$Y838*$AA838*-2)^(1/$Y838)))</f>
        <v/>
      </c>
      <c r="AF838">
        <f>IF($Y838="","",IF($Y838=0,$Z838*EXP($AA838*-3),$Z838*(1+$Y838*$AA838*-3)^(1/$Y838)))</f>
        <v/>
      </c>
      <c r="AG838">
        <f>IF($W838="","",IFERROR(INDEX(IF($T838&lt;=60,est05_l,est519_l),MATCH($W838,IF($T838&lt;=60,est05_k,est519_k),1)),""))</f>
        <v/>
      </c>
      <c r="AH838">
        <f>IF($W838="","",IFERROR(INDEX(IF($T838&lt;=60,est05_m,est519_m),MATCH($W838,IF($T838&lt;=60,est05_k,est519_k),1)),""))</f>
        <v/>
      </c>
      <c r="AI838">
        <f>IF($W838="","",IFERROR(INDEX(IF($T838&lt;=60,est05_s,est519_s),MATCH($W838,IF($T838&lt;=60,est05_k,est519_k),1)),""))</f>
        <v/>
      </c>
      <c r="AJ838">
        <f>IF($W838="","",IFERROR(INDEX(IF($T838&lt;=60,peso05_l,peso510_l),MATCH($W838,IF($T838&lt;=60,peso05_k,peso510_k),1)),""))</f>
        <v/>
      </c>
      <c r="AK838">
        <f>IF($W838="","",IFERROR(INDEX(IF($T838&lt;=60,peso05_m,peso510_m),MATCH($W838,IF($T838&lt;=60,peso05_k,peso510_k),1)),""))</f>
        <v/>
      </c>
      <c r="AL838">
        <f>IF($W838="","",IFERROR(INDEX(IF($T838&lt;=60,peso05_s,peso510_s),MATCH($W838,IF($T838&lt;=60,peso05_k,peso510_k),1)),""))</f>
        <v/>
      </c>
      <c r="AM838">
        <f>IF($AJ838="","",IF($AJ838=0,LN($F838/$AK838)/$AL838,((($F838/$AK838)^$AJ838)-1)/($AJ838*$AL838)))</f>
        <v/>
      </c>
      <c r="AN838">
        <f>IF($AJ838="","",IF($AJ838=0,$AK838*EXP($AL838*2),$AK838*(1+$AJ838*$AL838*2)^(1/$AJ838)))</f>
        <v/>
      </c>
      <c r="AO838">
        <f>IF($AJ838="","",IF($AJ838=0,$AK838*EXP($AL838*3),$AK838*(1+$AJ838*$AL838*3)^(1/$AJ838)))</f>
        <v/>
      </c>
      <c r="AP838">
        <f>IF($AJ838="","",IF($AJ838=0,$AK838*EXP($AL838*-2),$AK838*(1+$AJ838*$AL838*-2)^(1/$AJ838)))</f>
        <v/>
      </c>
      <c r="AQ838">
        <f>IF($AJ838="","",IF($AJ838=0,$AK838*EXP($AL838*-3),$AK838*(1+$AJ838*$AL838*-3)^(1/$AJ838)))</f>
        <v/>
      </c>
      <c r="AR838">
        <f>IF(OR($X838="",$T838&gt;60),"",IFERROR(INDEX(IF($T838&lt;24,pcomp_l,palt_l),MATCH($X838,IF($T838&lt;24,pcomp_k,palt_k),1)),""))</f>
        <v/>
      </c>
      <c r="AS838">
        <f>IF(OR($X838="",$T838&gt;60),"",IFERROR(INDEX(IF($T838&lt;24,pcomp_m,palt_m),MATCH($X838,IF($T838&lt;24,pcomp_k,palt_k),1)),""))</f>
        <v/>
      </c>
      <c r="AT838">
        <f>IF(OR($X838="",$T838&gt;60),"",IFERROR(INDEX(IF($T838&lt;24,pcomp_s,palt_s),MATCH($X838,IF($T838&lt;24,pcomp_k,palt_k),1)),""))</f>
        <v/>
      </c>
      <c r="AU838">
        <f>IF($AR838="","",IF($AR838=0,LN($F838/$AS838)/$AT838,((($F838/$AS838)^$AR838)-1)/($AR838*$AT838)))</f>
        <v/>
      </c>
      <c r="AV838">
        <f>IF($AR838="","",IF($AR838=0,$AS838*EXP($AT838*2),$AS838*(1+$AR838*$AT838*2)^(1/$AR838)))</f>
        <v/>
      </c>
      <c r="AW838">
        <f>IF($AR838="","",IF($AR838=0,$AS838*EXP($AT838*3),$AS838*(1+$AR838*$AT838*3)^(1/$AR838)))</f>
        <v/>
      </c>
      <c r="AX838">
        <f>IF($AR838="","",IF($AR838=0,$AS838*EXP($AT838*-2),$AS838*(1+$AR838*$AT838*-2)^(1/$AR838)))</f>
        <v/>
      </c>
      <c r="AY838">
        <f>IF($AR838="","",IF($AR838=0,$AS838*EXP($AT838*-3),$AS838*(1+$AR838*$AT838*-3)^(1/$AR838)))</f>
        <v/>
      </c>
      <c r="AZ838">
        <f>IF(OR($A838="",$A838&lt;&gt;Ficha!$C$4),"",COUNTIF($A$2:$A838,Ficha!$C$4))</f>
        <v/>
      </c>
    </row>
    <row r="839">
      <c r="A839" s="8">
        <f>IF(INDEX(Banco!$A:$A,ROW())="","",INDEX(Banco!$A:$A,ROW()))</f>
        <v/>
      </c>
      <c r="B839" s="8">
        <f>IF(INDEX(Banco!$B:$B,ROW())="","",INDEX(Banco!$B:$B,ROW()))</f>
        <v/>
      </c>
      <c r="C839" s="8">
        <f>IF(INDEX(Banco!$C:$C,ROW())="","",INDEX(Banco!$C:$C,ROW()))</f>
        <v/>
      </c>
      <c r="D839" s="9">
        <f>IF(INDEX(Banco!$D:$D,ROW())="","",INDEX(Banco!$D:$D,ROW()))</f>
        <v/>
      </c>
      <c r="E839" s="9">
        <f>IF(INDEX(Banco!$E:$E,ROW())="","",INDEX(Banco!$E:$E,ROW()))</f>
        <v/>
      </c>
      <c r="F839" s="10">
        <f>IF(INDEX(Banco!$F:$F,ROW())="","",INDEX(Banco!$F:$F,ROW()))</f>
        <v/>
      </c>
      <c r="G839" s="10">
        <f>IF(INDEX(Banco!$G:$G,ROW())="","",INDEX(Banco!$G:$G,ROW()))</f>
        <v/>
      </c>
      <c r="H839" s="8">
        <f>IF(INDEX(Banco!$H:$H,ROW())="","",INDEX(Banco!$H:$H,ROW()))</f>
        <v/>
      </c>
      <c r="I839">
        <f>IF($T839="","",INT($T839/12)&amp;"a "&amp;MOD($T839,12)&amp;"m")</f>
        <v/>
      </c>
      <c r="J839" s="11">
        <f>IF(OR($F839="",$G839=""),"",ROUND($F839/($G839/100)^2,2))</f>
        <v/>
      </c>
      <c r="K839" s="12">
        <f>IF(OR($S839="",$J839="",$T839="",$T839&lt;0,$T839&gt;228,$Y839=""),"—",ROUND(IF(ABS($AB839)&lt;=3,$AB839,IF($AB839&gt;3,3+($J839-$AD839)/($AD839-$AC839),-3+($J839-$AF839)/($AE839-$AF839))),2))</f>
        <v/>
      </c>
      <c r="L839">
        <f>IF(OR($K839="",$K839="—"),"",IF($T839&lt;=60,IF($K839&lt;-3,"Magreza acentuada",IF($K839&lt;-2,"Magreza",IF($K839&lt;=1,"Eutrofia",IF($K839&lt;=2,"Risco de sobrepeso",IF($K839&lt;=3,"Sobrepeso","Obesidade"))))),IF($K839&lt;-3,"Magreza acentuada",IF($K839&lt;-2,"Magreza",IF($K839&lt;=1,"Eutrofia",IF($K839&lt;=2,"Sobrepeso",IF($K839&lt;=3,"Obesidade","Obesidade grave")))))))</f>
        <v/>
      </c>
      <c r="M839" s="12">
        <f>IF(OR($S839="",$V839="",$T839="",$T839&lt;0,$T839&gt;228,$AG839=""),"—",ROUND(IF($AG839=0,LN($V839/$AH839)/$AI839,((($V839/$AH839)^$AG839)-1)/($AG839*$AI839)),2))</f>
        <v/>
      </c>
      <c r="N839">
        <f>IF(OR($M839="",$M839="—"),"",IF($M839&lt;-3,"Muito baixa",IF($M839&lt;-2,"Baixa","Adequada")))</f>
        <v/>
      </c>
      <c r="O839" s="12">
        <f>IF(OR($S839="",$F839="",$T839="",$T839&lt;0,$T839&gt;120,$AJ839=""),"—",ROUND(IF(ABS($AM839)&lt;=3,$AM839,IF($AM839&gt;3,3+($F839-$AO839)/($AO839-$AN839),-3+($F839-$AQ839)/($AP839-$AQ839))),2))</f>
        <v/>
      </c>
      <c r="P839">
        <f>IF(OR($O839="",$O839="—"),"",IF($O839&lt;-3,"Muito baixo",IF($O839&lt;-2,"Baixo",IF($O839&lt;=2,"Adequado","Elevado"))))</f>
        <v/>
      </c>
      <c r="Q839" s="12">
        <f>IF(OR($S839="",$F839="",$T839="",$T839&lt;0,$T839&gt;60,$AR839=""),"—",ROUND(IF(ABS($AU839)&lt;=3,$AU839,IF($AU839&gt;3,3+($F839-$AW839)/($AW839-$AV839),-3+($F839-$AY839)/($AX839-$AY839))),2))</f>
        <v/>
      </c>
      <c r="R839">
        <f>IF(OR($Q839="",$Q839="—"),"",IF($Q839&lt;-3,"Magreza acentuada",IF($Q839&lt;-2,"Magreza",IF($Q839&lt;=1,"Eutrofia",IF($Q839&lt;=2,"Risco de sobrepeso",IF($Q839&lt;=3,"Sobrepeso","Obesidade"))))))</f>
        <v/>
      </c>
      <c r="S839">
        <f>IF($C839="","",IF(UPPER(LEFT($C839,1))="M",1,IF(UPPER(LEFT($C839,1))="F",2,"")))</f>
        <v/>
      </c>
      <c r="T839">
        <f>IF(OR($D839="",$E839=""),"",DATEDIF($D839,$E839,"m"))</f>
        <v/>
      </c>
      <c r="U839">
        <f>IF(OR($D839="",$E839=""),"",$E839-$D839)</f>
        <v/>
      </c>
      <c r="V839">
        <f>IF(OR($G839="",$T839=""),"",IF($T839&lt;24,IF(LEFT(LOWER($H839),4)="em p",$G839+0.7,$G839),IF(LEFT(LOWER($H839),4)="deit",$G839-0.7,$G839)))</f>
        <v/>
      </c>
      <c r="W839">
        <f>IF(OR($S839="",$T839=""),"",$S839*1000000+IF($T839&lt;=60,$U839,$T839))</f>
        <v/>
      </c>
      <c r="X839">
        <f>IF(OR($S839="",$V839="",$T839&gt;60,$T839=""),"",$S839*1000000+ROUND($V839*10,0))</f>
        <v/>
      </c>
      <c r="Y839">
        <f>IF($W839="","",IFERROR(INDEX(IF($T839&lt;=60,imc05_l,imc519_l),MATCH($W839,IF($T839&lt;=60,imc05_k,imc519_k),1)),""))</f>
        <v/>
      </c>
      <c r="Z839">
        <f>IF($W839="","",IFERROR(INDEX(IF($T839&lt;=60,imc05_m,imc519_m),MATCH($W839,IF($T839&lt;=60,imc05_k,imc519_k),1)),""))</f>
        <v/>
      </c>
      <c r="AA839">
        <f>IF($W839="","",IFERROR(INDEX(IF($T839&lt;=60,imc05_s,imc519_s),MATCH($W839,IF($T839&lt;=60,imc05_k,imc519_k),1)),""))</f>
        <v/>
      </c>
      <c r="AB839">
        <f>IF($Y839="","",IF($Y839=0,LN($J839/$Z839)/$AA839,((($J839/$Z839)^$Y839)-1)/($Y839*$AA839)))</f>
        <v/>
      </c>
      <c r="AC839">
        <f>IF($Y839="","",IF($Y839=0,$Z839*EXP($AA839*2),$Z839*(1+$Y839*$AA839*2)^(1/$Y839)))</f>
        <v/>
      </c>
      <c r="AD839">
        <f>IF($Y839="","",IF($Y839=0,$Z839*EXP($AA839*3),$Z839*(1+$Y839*$AA839*3)^(1/$Y839)))</f>
        <v/>
      </c>
      <c r="AE839">
        <f>IF($Y839="","",IF($Y839=0,$Z839*EXP($AA839*-2),$Z839*(1+$Y839*$AA839*-2)^(1/$Y839)))</f>
        <v/>
      </c>
      <c r="AF839">
        <f>IF($Y839="","",IF($Y839=0,$Z839*EXP($AA839*-3),$Z839*(1+$Y839*$AA839*-3)^(1/$Y839)))</f>
        <v/>
      </c>
      <c r="AG839">
        <f>IF($W839="","",IFERROR(INDEX(IF($T839&lt;=60,est05_l,est519_l),MATCH($W839,IF($T839&lt;=60,est05_k,est519_k),1)),""))</f>
        <v/>
      </c>
      <c r="AH839">
        <f>IF($W839="","",IFERROR(INDEX(IF($T839&lt;=60,est05_m,est519_m),MATCH($W839,IF($T839&lt;=60,est05_k,est519_k),1)),""))</f>
        <v/>
      </c>
      <c r="AI839">
        <f>IF($W839="","",IFERROR(INDEX(IF($T839&lt;=60,est05_s,est519_s),MATCH($W839,IF($T839&lt;=60,est05_k,est519_k),1)),""))</f>
        <v/>
      </c>
      <c r="AJ839">
        <f>IF($W839="","",IFERROR(INDEX(IF($T839&lt;=60,peso05_l,peso510_l),MATCH($W839,IF($T839&lt;=60,peso05_k,peso510_k),1)),""))</f>
        <v/>
      </c>
      <c r="AK839">
        <f>IF($W839="","",IFERROR(INDEX(IF($T839&lt;=60,peso05_m,peso510_m),MATCH($W839,IF($T839&lt;=60,peso05_k,peso510_k),1)),""))</f>
        <v/>
      </c>
      <c r="AL839">
        <f>IF($W839="","",IFERROR(INDEX(IF($T839&lt;=60,peso05_s,peso510_s),MATCH($W839,IF($T839&lt;=60,peso05_k,peso510_k),1)),""))</f>
        <v/>
      </c>
      <c r="AM839">
        <f>IF($AJ839="","",IF($AJ839=0,LN($F839/$AK839)/$AL839,((($F839/$AK839)^$AJ839)-1)/($AJ839*$AL839)))</f>
        <v/>
      </c>
      <c r="AN839">
        <f>IF($AJ839="","",IF($AJ839=0,$AK839*EXP($AL839*2),$AK839*(1+$AJ839*$AL839*2)^(1/$AJ839)))</f>
        <v/>
      </c>
      <c r="AO839">
        <f>IF($AJ839="","",IF($AJ839=0,$AK839*EXP($AL839*3),$AK839*(1+$AJ839*$AL839*3)^(1/$AJ839)))</f>
        <v/>
      </c>
      <c r="AP839">
        <f>IF($AJ839="","",IF($AJ839=0,$AK839*EXP($AL839*-2),$AK839*(1+$AJ839*$AL839*-2)^(1/$AJ839)))</f>
        <v/>
      </c>
      <c r="AQ839">
        <f>IF($AJ839="","",IF($AJ839=0,$AK839*EXP($AL839*-3),$AK839*(1+$AJ839*$AL839*-3)^(1/$AJ839)))</f>
        <v/>
      </c>
      <c r="AR839">
        <f>IF(OR($X839="",$T839&gt;60),"",IFERROR(INDEX(IF($T839&lt;24,pcomp_l,palt_l),MATCH($X839,IF($T839&lt;24,pcomp_k,palt_k),1)),""))</f>
        <v/>
      </c>
      <c r="AS839">
        <f>IF(OR($X839="",$T839&gt;60),"",IFERROR(INDEX(IF($T839&lt;24,pcomp_m,palt_m),MATCH($X839,IF($T839&lt;24,pcomp_k,palt_k),1)),""))</f>
        <v/>
      </c>
      <c r="AT839">
        <f>IF(OR($X839="",$T839&gt;60),"",IFERROR(INDEX(IF($T839&lt;24,pcomp_s,palt_s),MATCH($X839,IF($T839&lt;24,pcomp_k,palt_k),1)),""))</f>
        <v/>
      </c>
      <c r="AU839">
        <f>IF($AR839="","",IF($AR839=0,LN($F839/$AS839)/$AT839,((($F839/$AS839)^$AR839)-1)/($AR839*$AT839)))</f>
        <v/>
      </c>
      <c r="AV839">
        <f>IF($AR839="","",IF($AR839=0,$AS839*EXP($AT839*2),$AS839*(1+$AR839*$AT839*2)^(1/$AR839)))</f>
        <v/>
      </c>
      <c r="AW839">
        <f>IF($AR839="","",IF($AR839=0,$AS839*EXP($AT839*3),$AS839*(1+$AR839*$AT839*3)^(1/$AR839)))</f>
        <v/>
      </c>
      <c r="AX839">
        <f>IF($AR839="","",IF($AR839=0,$AS839*EXP($AT839*-2),$AS839*(1+$AR839*$AT839*-2)^(1/$AR839)))</f>
        <v/>
      </c>
      <c r="AY839">
        <f>IF($AR839="","",IF($AR839=0,$AS839*EXP($AT839*-3),$AS839*(1+$AR839*$AT839*-3)^(1/$AR839)))</f>
        <v/>
      </c>
      <c r="AZ839">
        <f>IF(OR($A839="",$A839&lt;&gt;Ficha!$C$4),"",COUNTIF($A$2:$A839,Ficha!$C$4))</f>
        <v/>
      </c>
    </row>
    <row r="840">
      <c r="A840" s="8">
        <f>IF(INDEX(Banco!$A:$A,ROW())="","",INDEX(Banco!$A:$A,ROW()))</f>
        <v/>
      </c>
      <c r="B840" s="8">
        <f>IF(INDEX(Banco!$B:$B,ROW())="","",INDEX(Banco!$B:$B,ROW()))</f>
        <v/>
      </c>
      <c r="C840" s="8">
        <f>IF(INDEX(Banco!$C:$C,ROW())="","",INDEX(Banco!$C:$C,ROW()))</f>
        <v/>
      </c>
      <c r="D840" s="9">
        <f>IF(INDEX(Banco!$D:$D,ROW())="","",INDEX(Banco!$D:$D,ROW()))</f>
        <v/>
      </c>
      <c r="E840" s="9">
        <f>IF(INDEX(Banco!$E:$E,ROW())="","",INDEX(Banco!$E:$E,ROW()))</f>
        <v/>
      </c>
      <c r="F840" s="10">
        <f>IF(INDEX(Banco!$F:$F,ROW())="","",INDEX(Banco!$F:$F,ROW()))</f>
        <v/>
      </c>
      <c r="G840" s="10">
        <f>IF(INDEX(Banco!$G:$G,ROW())="","",INDEX(Banco!$G:$G,ROW()))</f>
        <v/>
      </c>
      <c r="H840" s="8">
        <f>IF(INDEX(Banco!$H:$H,ROW())="","",INDEX(Banco!$H:$H,ROW()))</f>
        <v/>
      </c>
      <c r="I840">
        <f>IF($T840="","",INT($T840/12)&amp;"a "&amp;MOD($T840,12)&amp;"m")</f>
        <v/>
      </c>
      <c r="J840" s="11">
        <f>IF(OR($F840="",$G840=""),"",ROUND($F840/($G840/100)^2,2))</f>
        <v/>
      </c>
      <c r="K840" s="12">
        <f>IF(OR($S840="",$J840="",$T840="",$T840&lt;0,$T840&gt;228,$Y840=""),"—",ROUND(IF(ABS($AB840)&lt;=3,$AB840,IF($AB840&gt;3,3+($J840-$AD840)/($AD840-$AC840),-3+($J840-$AF840)/($AE840-$AF840))),2))</f>
        <v/>
      </c>
      <c r="L840">
        <f>IF(OR($K840="",$K840="—"),"",IF($T840&lt;=60,IF($K840&lt;-3,"Magreza acentuada",IF($K840&lt;-2,"Magreza",IF($K840&lt;=1,"Eutrofia",IF($K840&lt;=2,"Risco de sobrepeso",IF($K840&lt;=3,"Sobrepeso","Obesidade"))))),IF($K840&lt;-3,"Magreza acentuada",IF($K840&lt;-2,"Magreza",IF($K840&lt;=1,"Eutrofia",IF($K840&lt;=2,"Sobrepeso",IF($K840&lt;=3,"Obesidade","Obesidade grave")))))))</f>
        <v/>
      </c>
      <c r="M840" s="12">
        <f>IF(OR($S840="",$V840="",$T840="",$T840&lt;0,$T840&gt;228,$AG840=""),"—",ROUND(IF($AG840=0,LN($V840/$AH840)/$AI840,((($V840/$AH840)^$AG840)-1)/($AG840*$AI840)),2))</f>
        <v/>
      </c>
      <c r="N840">
        <f>IF(OR($M840="",$M840="—"),"",IF($M840&lt;-3,"Muito baixa",IF($M840&lt;-2,"Baixa","Adequada")))</f>
        <v/>
      </c>
      <c r="O840" s="12">
        <f>IF(OR($S840="",$F840="",$T840="",$T840&lt;0,$T840&gt;120,$AJ840=""),"—",ROUND(IF(ABS($AM840)&lt;=3,$AM840,IF($AM840&gt;3,3+($F840-$AO840)/($AO840-$AN840),-3+($F840-$AQ840)/($AP840-$AQ840))),2))</f>
        <v/>
      </c>
      <c r="P840">
        <f>IF(OR($O840="",$O840="—"),"",IF($O840&lt;-3,"Muito baixo",IF($O840&lt;-2,"Baixo",IF($O840&lt;=2,"Adequado","Elevado"))))</f>
        <v/>
      </c>
      <c r="Q840" s="12">
        <f>IF(OR($S840="",$F840="",$T840="",$T840&lt;0,$T840&gt;60,$AR840=""),"—",ROUND(IF(ABS($AU840)&lt;=3,$AU840,IF($AU840&gt;3,3+($F840-$AW840)/($AW840-$AV840),-3+($F840-$AY840)/($AX840-$AY840))),2))</f>
        <v/>
      </c>
      <c r="R840">
        <f>IF(OR($Q840="",$Q840="—"),"",IF($Q840&lt;-3,"Magreza acentuada",IF($Q840&lt;-2,"Magreza",IF($Q840&lt;=1,"Eutrofia",IF($Q840&lt;=2,"Risco de sobrepeso",IF($Q840&lt;=3,"Sobrepeso","Obesidade"))))))</f>
        <v/>
      </c>
      <c r="S840">
        <f>IF($C840="","",IF(UPPER(LEFT($C840,1))="M",1,IF(UPPER(LEFT($C840,1))="F",2,"")))</f>
        <v/>
      </c>
      <c r="T840">
        <f>IF(OR($D840="",$E840=""),"",DATEDIF($D840,$E840,"m"))</f>
        <v/>
      </c>
      <c r="U840">
        <f>IF(OR($D840="",$E840=""),"",$E840-$D840)</f>
        <v/>
      </c>
      <c r="V840">
        <f>IF(OR($G840="",$T840=""),"",IF($T840&lt;24,IF(LEFT(LOWER($H840),4)="em p",$G840+0.7,$G840),IF(LEFT(LOWER($H840),4)="deit",$G840-0.7,$G840)))</f>
        <v/>
      </c>
      <c r="W840">
        <f>IF(OR($S840="",$T840=""),"",$S840*1000000+IF($T840&lt;=60,$U840,$T840))</f>
        <v/>
      </c>
      <c r="X840">
        <f>IF(OR($S840="",$V840="",$T840&gt;60,$T840=""),"",$S840*1000000+ROUND($V840*10,0))</f>
        <v/>
      </c>
      <c r="Y840">
        <f>IF($W840="","",IFERROR(INDEX(IF($T840&lt;=60,imc05_l,imc519_l),MATCH($W840,IF($T840&lt;=60,imc05_k,imc519_k),1)),""))</f>
        <v/>
      </c>
      <c r="Z840">
        <f>IF($W840="","",IFERROR(INDEX(IF($T840&lt;=60,imc05_m,imc519_m),MATCH($W840,IF($T840&lt;=60,imc05_k,imc519_k),1)),""))</f>
        <v/>
      </c>
      <c r="AA840">
        <f>IF($W840="","",IFERROR(INDEX(IF($T840&lt;=60,imc05_s,imc519_s),MATCH($W840,IF($T840&lt;=60,imc05_k,imc519_k),1)),""))</f>
        <v/>
      </c>
      <c r="AB840">
        <f>IF($Y840="","",IF($Y840=0,LN($J840/$Z840)/$AA840,((($J840/$Z840)^$Y840)-1)/($Y840*$AA840)))</f>
        <v/>
      </c>
      <c r="AC840">
        <f>IF($Y840="","",IF($Y840=0,$Z840*EXP($AA840*2),$Z840*(1+$Y840*$AA840*2)^(1/$Y840)))</f>
        <v/>
      </c>
      <c r="AD840">
        <f>IF($Y840="","",IF($Y840=0,$Z840*EXP($AA840*3),$Z840*(1+$Y840*$AA840*3)^(1/$Y840)))</f>
        <v/>
      </c>
      <c r="AE840">
        <f>IF($Y840="","",IF($Y840=0,$Z840*EXP($AA840*-2),$Z840*(1+$Y840*$AA840*-2)^(1/$Y840)))</f>
        <v/>
      </c>
      <c r="AF840">
        <f>IF($Y840="","",IF($Y840=0,$Z840*EXP($AA840*-3),$Z840*(1+$Y840*$AA840*-3)^(1/$Y840)))</f>
        <v/>
      </c>
      <c r="AG840">
        <f>IF($W840="","",IFERROR(INDEX(IF($T840&lt;=60,est05_l,est519_l),MATCH($W840,IF($T840&lt;=60,est05_k,est519_k),1)),""))</f>
        <v/>
      </c>
      <c r="AH840">
        <f>IF($W840="","",IFERROR(INDEX(IF($T840&lt;=60,est05_m,est519_m),MATCH($W840,IF($T840&lt;=60,est05_k,est519_k),1)),""))</f>
        <v/>
      </c>
      <c r="AI840">
        <f>IF($W840="","",IFERROR(INDEX(IF($T840&lt;=60,est05_s,est519_s),MATCH($W840,IF($T840&lt;=60,est05_k,est519_k),1)),""))</f>
        <v/>
      </c>
      <c r="AJ840">
        <f>IF($W840="","",IFERROR(INDEX(IF($T840&lt;=60,peso05_l,peso510_l),MATCH($W840,IF($T840&lt;=60,peso05_k,peso510_k),1)),""))</f>
        <v/>
      </c>
      <c r="AK840">
        <f>IF($W840="","",IFERROR(INDEX(IF($T840&lt;=60,peso05_m,peso510_m),MATCH($W840,IF($T840&lt;=60,peso05_k,peso510_k),1)),""))</f>
        <v/>
      </c>
      <c r="AL840">
        <f>IF($W840="","",IFERROR(INDEX(IF($T840&lt;=60,peso05_s,peso510_s),MATCH($W840,IF($T840&lt;=60,peso05_k,peso510_k),1)),""))</f>
        <v/>
      </c>
      <c r="AM840">
        <f>IF($AJ840="","",IF($AJ840=0,LN($F840/$AK840)/$AL840,((($F840/$AK840)^$AJ840)-1)/($AJ840*$AL840)))</f>
        <v/>
      </c>
      <c r="AN840">
        <f>IF($AJ840="","",IF($AJ840=0,$AK840*EXP($AL840*2),$AK840*(1+$AJ840*$AL840*2)^(1/$AJ840)))</f>
        <v/>
      </c>
      <c r="AO840">
        <f>IF($AJ840="","",IF($AJ840=0,$AK840*EXP($AL840*3),$AK840*(1+$AJ840*$AL840*3)^(1/$AJ840)))</f>
        <v/>
      </c>
      <c r="AP840">
        <f>IF($AJ840="","",IF($AJ840=0,$AK840*EXP($AL840*-2),$AK840*(1+$AJ840*$AL840*-2)^(1/$AJ840)))</f>
        <v/>
      </c>
      <c r="AQ840">
        <f>IF($AJ840="","",IF($AJ840=0,$AK840*EXP($AL840*-3),$AK840*(1+$AJ840*$AL840*-3)^(1/$AJ840)))</f>
        <v/>
      </c>
      <c r="AR840">
        <f>IF(OR($X840="",$T840&gt;60),"",IFERROR(INDEX(IF($T840&lt;24,pcomp_l,palt_l),MATCH($X840,IF($T840&lt;24,pcomp_k,palt_k),1)),""))</f>
        <v/>
      </c>
      <c r="AS840">
        <f>IF(OR($X840="",$T840&gt;60),"",IFERROR(INDEX(IF($T840&lt;24,pcomp_m,palt_m),MATCH($X840,IF($T840&lt;24,pcomp_k,palt_k),1)),""))</f>
        <v/>
      </c>
      <c r="AT840">
        <f>IF(OR($X840="",$T840&gt;60),"",IFERROR(INDEX(IF($T840&lt;24,pcomp_s,palt_s),MATCH($X840,IF($T840&lt;24,pcomp_k,palt_k),1)),""))</f>
        <v/>
      </c>
      <c r="AU840">
        <f>IF($AR840="","",IF($AR840=0,LN($F840/$AS840)/$AT840,((($F840/$AS840)^$AR840)-1)/($AR840*$AT840)))</f>
        <v/>
      </c>
      <c r="AV840">
        <f>IF($AR840="","",IF($AR840=0,$AS840*EXP($AT840*2),$AS840*(1+$AR840*$AT840*2)^(1/$AR840)))</f>
        <v/>
      </c>
      <c r="AW840">
        <f>IF($AR840="","",IF($AR840=0,$AS840*EXP($AT840*3),$AS840*(1+$AR840*$AT840*3)^(1/$AR840)))</f>
        <v/>
      </c>
      <c r="AX840">
        <f>IF($AR840="","",IF($AR840=0,$AS840*EXP($AT840*-2),$AS840*(1+$AR840*$AT840*-2)^(1/$AR840)))</f>
        <v/>
      </c>
      <c r="AY840">
        <f>IF($AR840="","",IF($AR840=0,$AS840*EXP($AT840*-3),$AS840*(1+$AR840*$AT840*-3)^(1/$AR840)))</f>
        <v/>
      </c>
      <c r="AZ840">
        <f>IF(OR($A840="",$A840&lt;&gt;Ficha!$C$4),"",COUNTIF($A$2:$A840,Ficha!$C$4))</f>
        <v/>
      </c>
    </row>
    <row r="841">
      <c r="A841" s="8">
        <f>IF(INDEX(Banco!$A:$A,ROW())="","",INDEX(Banco!$A:$A,ROW()))</f>
        <v/>
      </c>
      <c r="B841" s="8">
        <f>IF(INDEX(Banco!$B:$B,ROW())="","",INDEX(Banco!$B:$B,ROW()))</f>
        <v/>
      </c>
      <c r="C841" s="8">
        <f>IF(INDEX(Banco!$C:$C,ROW())="","",INDEX(Banco!$C:$C,ROW()))</f>
        <v/>
      </c>
      <c r="D841" s="9">
        <f>IF(INDEX(Banco!$D:$D,ROW())="","",INDEX(Banco!$D:$D,ROW()))</f>
        <v/>
      </c>
      <c r="E841" s="9">
        <f>IF(INDEX(Banco!$E:$E,ROW())="","",INDEX(Banco!$E:$E,ROW()))</f>
        <v/>
      </c>
      <c r="F841" s="10">
        <f>IF(INDEX(Banco!$F:$F,ROW())="","",INDEX(Banco!$F:$F,ROW()))</f>
        <v/>
      </c>
      <c r="G841" s="10">
        <f>IF(INDEX(Banco!$G:$G,ROW())="","",INDEX(Banco!$G:$G,ROW()))</f>
        <v/>
      </c>
      <c r="H841" s="8">
        <f>IF(INDEX(Banco!$H:$H,ROW())="","",INDEX(Banco!$H:$H,ROW()))</f>
        <v/>
      </c>
      <c r="I841">
        <f>IF($T841="","",INT($T841/12)&amp;"a "&amp;MOD($T841,12)&amp;"m")</f>
        <v/>
      </c>
      <c r="J841" s="11">
        <f>IF(OR($F841="",$G841=""),"",ROUND($F841/($G841/100)^2,2))</f>
        <v/>
      </c>
      <c r="K841" s="12">
        <f>IF(OR($S841="",$J841="",$T841="",$T841&lt;0,$T841&gt;228,$Y841=""),"—",ROUND(IF(ABS($AB841)&lt;=3,$AB841,IF($AB841&gt;3,3+($J841-$AD841)/($AD841-$AC841),-3+($J841-$AF841)/($AE841-$AF841))),2))</f>
        <v/>
      </c>
      <c r="L841">
        <f>IF(OR($K841="",$K841="—"),"",IF($T841&lt;=60,IF($K841&lt;-3,"Magreza acentuada",IF($K841&lt;-2,"Magreza",IF($K841&lt;=1,"Eutrofia",IF($K841&lt;=2,"Risco de sobrepeso",IF($K841&lt;=3,"Sobrepeso","Obesidade"))))),IF($K841&lt;-3,"Magreza acentuada",IF($K841&lt;-2,"Magreza",IF($K841&lt;=1,"Eutrofia",IF($K841&lt;=2,"Sobrepeso",IF($K841&lt;=3,"Obesidade","Obesidade grave")))))))</f>
        <v/>
      </c>
      <c r="M841" s="12">
        <f>IF(OR($S841="",$V841="",$T841="",$T841&lt;0,$T841&gt;228,$AG841=""),"—",ROUND(IF($AG841=0,LN($V841/$AH841)/$AI841,((($V841/$AH841)^$AG841)-1)/($AG841*$AI841)),2))</f>
        <v/>
      </c>
      <c r="N841">
        <f>IF(OR($M841="",$M841="—"),"",IF($M841&lt;-3,"Muito baixa",IF($M841&lt;-2,"Baixa","Adequada")))</f>
        <v/>
      </c>
      <c r="O841" s="12">
        <f>IF(OR($S841="",$F841="",$T841="",$T841&lt;0,$T841&gt;120,$AJ841=""),"—",ROUND(IF(ABS($AM841)&lt;=3,$AM841,IF($AM841&gt;3,3+($F841-$AO841)/($AO841-$AN841),-3+($F841-$AQ841)/($AP841-$AQ841))),2))</f>
        <v/>
      </c>
      <c r="P841">
        <f>IF(OR($O841="",$O841="—"),"",IF($O841&lt;-3,"Muito baixo",IF($O841&lt;-2,"Baixo",IF($O841&lt;=2,"Adequado","Elevado"))))</f>
        <v/>
      </c>
      <c r="Q841" s="12">
        <f>IF(OR($S841="",$F841="",$T841="",$T841&lt;0,$T841&gt;60,$AR841=""),"—",ROUND(IF(ABS($AU841)&lt;=3,$AU841,IF($AU841&gt;3,3+($F841-$AW841)/($AW841-$AV841),-3+($F841-$AY841)/($AX841-$AY841))),2))</f>
        <v/>
      </c>
      <c r="R841">
        <f>IF(OR($Q841="",$Q841="—"),"",IF($Q841&lt;-3,"Magreza acentuada",IF($Q841&lt;-2,"Magreza",IF($Q841&lt;=1,"Eutrofia",IF($Q841&lt;=2,"Risco de sobrepeso",IF($Q841&lt;=3,"Sobrepeso","Obesidade"))))))</f>
        <v/>
      </c>
      <c r="S841">
        <f>IF($C841="","",IF(UPPER(LEFT($C841,1))="M",1,IF(UPPER(LEFT($C841,1))="F",2,"")))</f>
        <v/>
      </c>
      <c r="T841">
        <f>IF(OR($D841="",$E841=""),"",DATEDIF($D841,$E841,"m"))</f>
        <v/>
      </c>
      <c r="U841">
        <f>IF(OR($D841="",$E841=""),"",$E841-$D841)</f>
        <v/>
      </c>
      <c r="V841">
        <f>IF(OR($G841="",$T841=""),"",IF($T841&lt;24,IF(LEFT(LOWER($H841),4)="em p",$G841+0.7,$G841),IF(LEFT(LOWER($H841),4)="deit",$G841-0.7,$G841)))</f>
        <v/>
      </c>
      <c r="W841">
        <f>IF(OR($S841="",$T841=""),"",$S841*1000000+IF($T841&lt;=60,$U841,$T841))</f>
        <v/>
      </c>
      <c r="X841">
        <f>IF(OR($S841="",$V841="",$T841&gt;60,$T841=""),"",$S841*1000000+ROUND($V841*10,0))</f>
        <v/>
      </c>
      <c r="Y841">
        <f>IF($W841="","",IFERROR(INDEX(IF($T841&lt;=60,imc05_l,imc519_l),MATCH($W841,IF($T841&lt;=60,imc05_k,imc519_k),1)),""))</f>
        <v/>
      </c>
      <c r="Z841">
        <f>IF($W841="","",IFERROR(INDEX(IF($T841&lt;=60,imc05_m,imc519_m),MATCH($W841,IF($T841&lt;=60,imc05_k,imc519_k),1)),""))</f>
        <v/>
      </c>
      <c r="AA841">
        <f>IF($W841="","",IFERROR(INDEX(IF($T841&lt;=60,imc05_s,imc519_s),MATCH($W841,IF($T841&lt;=60,imc05_k,imc519_k),1)),""))</f>
        <v/>
      </c>
      <c r="AB841">
        <f>IF($Y841="","",IF($Y841=0,LN($J841/$Z841)/$AA841,((($J841/$Z841)^$Y841)-1)/($Y841*$AA841)))</f>
        <v/>
      </c>
      <c r="AC841">
        <f>IF($Y841="","",IF($Y841=0,$Z841*EXP($AA841*2),$Z841*(1+$Y841*$AA841*2)^(1/$Y841)))</f>
        <v/>
      </c>
      <c r="AD841">
        <f>IF($Y841="","",IF($Y841=0,$Z841*EXP($AA841*3),$Z841*(1+$Y841*$AA841*3)^(1/$Y841)))</f>
        <v/>
      </c>
      <c r="AE841">
        <f>IF($Y841="","",IF($Y841=0,$Z841*EXP($AA841*-2),$Z841*(1+$Y841*$AA841*-2)^(1/$Y841)))</f>
        <v/>
      </c>
      <c r="AF841">
        <f>IF($Y841="","",IF($Y841=0,$Z841*EXP($AA841*-3),$Z841*(1+$Y841*$AA841*-3)^(1/$Y841)))</f>
        <v/>
      </c>
      <c r="AG841">
        <f>IF($W841="","",IFERROR(INDEX(IF($T841&lt;=60,est05_l,est519_l),MATCH($W841,IF($T841&lt;=60,est05_k,est519_k),1)),""))</f>
        <v/>
      </c>
      <c r="AH841">
        <f>IF($W841="","",IFERROR(INDEX(IF($T841&lt;=60,est05_m,est519_m),MATCH($W841,IF($T841&lt;=60,est05_k,est519_k),1)),""))</f>
        <v/>
      </c>
      <c r="AI841">
        <f>IF($W841="","",IFERROR(INDEX(IF($T841&lt;=60,est05_s,est519_s),MATCH($W841,IF($T841&lt;=60,est05_k,est519_k),1)),""))</f>
        <v/>
      </c>
      <c r="AJ841">
        <f>IF($W841="","",IFERROR(INDEX(IF($T841&lt;=60,peso05_l,peso510_l),MATCH($W841,IF($T841&lt;=60,peso05_k,peso510_k),1)),""))</f>
        <v/>
      </c>
      <c r="AK841">
        <f>IF($W841="","",IFERROR(INDEX(IF($T841&lt;=60,peso05_m,peso510_m),MATCH($W841,IF($T841&lt;=60,peso05_k,peso510_k),1)),""))</f>
        <v/>
      </c>
      <c r="AL841">
        <f>IF($W841="","",IFERROR(INDEX(IF($T841&lt;=60,peso05_s,peso510_s),MATCH($W841,IF($T841&lt;=60,peso05_k,peso510_k),1)),""))</f>
        <v/>
      </c>
      <c r="AM841">
        <f>IF($AJ841="","",IF($AJ841=0,LN($F841/$AK841)/$AL841,((($F841/$AK841)^$AJ841)-1)/($AJ841*$AL841)))</f>
        <v/>
      </c>
      <c r="AN841">
        <f>IF($AJ841="","",IF($AJ841=0,$AK841*EXP($AL841*2),$AK841*(1+$AJ841*$AL841*2)^(1/$AJ841)))</f>
        <v/>
      </c>
      <c r="AO841">
        <f>IF($AJ841="","",IF($AJ841=0,$AK841*EXP($AL841*3),$AK841*(1+$AJ841*$AL841*3)^(1/$AJ841)))</f>
        <v/>
      </c>
      <c r="AP841">
        <f>IF($AJ841="","",IF($AJ841=0,$AK841*EXP($AL841*-2),$AK841*(1+$AJ841*$AL841*-2)^(1/$AJ841)))</f>
        <v/>
      </c>
      <c r="AQ841">
        <f>IF($AJ841="","",IF($AJ841=0,$AK841*EXP($AL841*-3),$AK841*(1+$AJ841*$AL841*-3)^(1/$AJ841)))</f>
        <v/>
      </c>
      <c r="AR841">
        <f>IF(OR($X841="",$T841&gt;60),"",IFERROR(INDEX(IF($T841&lt;24,pcomp_l,palt_l),MATCH($X841,IF($T841&lt;24,pcomp_k,palt_k),1)),""))</f>
        <v/>
      </c>
      <c r="AS841">
        <f>IF(OR($X841="",$T841&gt;60),"",IFERROR(INDEX(IF($T841&lt;24,pcomp_m,palt_m),MATCH($X841,IF($T841&lt;24,pcomp_k,palt_k),1)),""))</f>
        <v/>
      </c>
      <c r="AT841">
        <f>IF(OR($X841="",$T841&gt;60),"",IFERROR(INDEX(IF($T841&lt;24,pcomp_s,palt_s),MATCH($X841,IF($T841&lt;24,pcomp_k,palt_k),1)),""))</f>
        <v/>
      </c>
      <c r="AU841">
        <f>IF($AR841="","",IF($AR841=0,LN($F841/$AS841)/$AT841,((($F841/$AS841)^$AR841)-1)/($AR841*$AT841)))</f>
        <v/>
      </c>
      <c r="AV841">
        <f>IF($AR841="","",IF($AR841=0,$AS841*EXP($AT841*2),$AS841*(1+$AR841*$AT841*2)^(1/$AR841)))</f>
        <v/>
      </c>
      <c r="AW841">
        <f>IF($AR841="","",IF($AR841=0,$AS841*EXP($AT841*3),$AS841*(1+$AR841*$AT841*3)^(1/$AR841)))</f>
        <v/>
      </c>
      <c r="AX841">
        <f>IF($AR841="","",IF($AR841=0,$AS841*EXP($AT841*-2),$AS841*(1+$AR841*$AT841*-2)^(1/$AR841)))</f>
        <v/>
      </c>
      <c r="AY841">
        <f>IF($AR841="","",IF($AR841=0,$AS841*EXP($AT841*-3),$AS841*(1+$AR841*$AT841*-3)^(1/$AR841)))</f>
        <v/>
      </c>
      <c r="AZ841">
        <f>IF(OR($A841="",$A841&lt;&gt;Ficha!$C$4),"",COUNTIF($A$2:$A841,Ficha!$C$4))</f>
        <v/>
      </c>
    </row>
    <row r="842">
      <c r="A842" s="8">
        <f>IF(INDEX(Banco!$A:$A,ROW())="","",INDEX(Banco!$A:$A,ROW()))</f>
        <v/>
      </c>
      <c r="B842" s="8">
        <f>IF(INDEX(Banco!$B:$B,ROW())="","",INDEX(Banco!$B:$B,ROW()))</f>
        <v/>
      </c>
      <c r="C842" s="8">
        <f>IF(INDEX(Banco!$C:$C,ROW())="","",INDEX(Banco!$C:$C,ROW()))</f>
        <v/>
      </c>
      <c r="D842" s="9">
        <f>IF(INDEX(Banco!$D:$D,ROW())="","",INDEX(Banco!$D:$D,ROW()))</f>
        <v/>
      </c>
      <c r="E842" s="9">
        <f>IF(INDEX(Banco!$E:$E,ROW())="","",INDEX(Banco!$E:$E,ROW()))</f>
        <v/>
      </c>
      <c r="F842" s="10">
        <f>IF(INDEX(Banco!$F:$F,ROW())="","",INDEX(Banco!$F:$F,ROW()))</f>
        <v/>
      </c>
      <c r="G842" s="10">
        <f>IF(INDEX(Banco!$G:$G,ROW())="","",INDEX(Banco!$G:$G,ROW()))</f>
        <v/>
      </c>
      <c r="H842" s="8">
        <f>IF(INDEX(Banco!$H:$H,ROW())="","",INDEX(Banco!$H:$H,ROW()))</f>
        <v/>
      </c>
      <c r="I842">
        <f>IF($T842="","",INT($T842/12)&amp;"a "&amp;MOD($T842,12)&amp;"m")</f>
        <v/>
      </c>
      <c r="J842" s="11">
        <f>IF(OR($F842="",$G842=""),"",ROUND($F842/($G842/100)^2,2))</f>
        <v/>
      </c>
      <c r="K842" s="12">
        <f>IF(OR($S842="",$J842="",$T842="",$T842&lt;0,$T842&gt;228,$Y842=""),"—",ROUND(IF(ABS($AB842)&lt;=3,$AB842,IF($AB842&gt;3,3+($J842-$AD842)/($AD842-$AC842),-3+($J842-$AF842)/($AE842-$AF842))),2))</f>
        <v/>
      </c>
      <c r="L842">
        <f>IF(OR($K842="",$K842="—"),"",IF($T842&lt;=60,IF($K842&lt;-3,"Magreza acentuada",IF($K842&lt;-2,"Magreza",IF($K842&lt;=1,"Eutrofia",IF($K842&lt;=2,"Risco de sobrepeso",IF($K842&lt;=3,"Sobrepeso","Obesidade"))))),IF($K842&lt;-3,"Magreza acentuada",IF($K842&lt;-2,"Magreza",IF($K842&lt;=1,"Eutrofia",IF($K842&lt;=2,"Sobrepeso",IF($K842&lt;=3,"Obesidade","Obesidade grave")))))))</f>
        <v/>
      </c>
      <c r="M842" s="12">
        <f>IF(OR($S842="",$V842="",$T842="",$T842&lt;0,$T842&gt;228,$AG842=""),"—",ROUND(IF($AG842=0,LN($V842/$AH842)/$AI842,((($V842/$AH842)^$AG842)-1)/($AG842*$AI842)),2))</f>
        <v/>
      </c>
      <c r="N842">
        <f>IF(OR($M842="",$M842="—"),"",IF($M842&lt;-3,"Muito baixa",IF($M842&lt;-2,"Baixa","Adequada")))</f>
        <v/>
      </c>
      <c r="O842" s="12">
        <f>IF(OR($S842="",$F842="",$T842="",$T842&lt;0,$T842&gt;120,$AJ842=""),"—",ROUND(IF(ABS($AM842)&lt;=3,$AM842,IF($AM842&gt;3,3+($F842-$AO842)/($AO842-$AN842),-3+($F842-$AQ842)/($AP842-$AQ842))),2))</f>
        <v/>
      </c>
      <c r="P842">
        <f>IF(OR($O842="",$O842="—"),"",IF($O842&lt;-3,"Muito baixo",IF($O842&lt;-2,"Baixo",IF($O842&lt;=2,"Adequado","Elevado"))))</f>
        <v/>
      </c>
      <c r="Q842" s="12">
        <f>IF(OR($S842="",$F842="",$T842="",$T842&lt;0,$T842&gt;60,$AR842=""),"—",ROUND(IF(ABS($AU842)&lt;=3,$AU842,IF($AU842&gt;3,3+($F842-$AW842)/($AW842-$AV842),-3+($F842-$AY842)/($AX842-$AY842))),2))</f>
        <v/>
      </c>
      <c r="R842">
        <f>IF(OR($Q842="",$Q842="—"),"",IF($Q842&lt;-3,"Magreza acentuada",IF($Q842&lt;-2,"Magreza",IF($Q842&lt;=1,"Eutrofia",IF($Q842&lt;=2,"Risco de sobrepeso",IF($Q842&lt;=3,"Sobrepeso","Obesidade"))))))</f>
        <v/>
      </c>
      <c r="S842">
        <f>IF($C842="","",IF(UPPER(LEFT($C842,1))="M",1,IF(UPPER(LEFT($C842,1))="F",2,"")))</f>
        <v/>
      </c>
      <c r="T842">
        <f>IF(OR($D842="",$E842=""),"",DATEDIF($D842,$E842,"m"))</f>
        <v/>
      </c>
      <c r="U842">
        <f>IF(OR($D842="",$E842=""),"",$E842-$D842)</f>
        <v/>
      </c>
      <c r="V842">
        <f>IF(OR($G842="",$T842=""),"",IF($T842&lt;24,IF(LEFT(LOWER($H842),4)="em p",$G842+0.7,$G842),IF(LEFT(LOWER($H842),4)="deit",$G842-0.7,$G842)))</f>
        <v/>
      </c>
      <c r="W842">
        <f>IF(OR($S842="",$T842=""),"",$S842*1000000+IF($T842&lt;=60,$U842,$T842))</f>
        <v/>
      </c>
      <c r="X842">
        <f>IF(OR($S842="",$V842="",$T842&gt;60,$T842=""),"",$S842*1000000+ROUND($V842*10,0))</f>
        <v/>
      </c>
      <c r="Y842">
        <f>IF($W842="","",IFERROR(INDEX(IF($T842&lt;=60,imc05_l,imc519_l),MATCH($W842,IF($T842&lt;=60,imc05_k,imc519_k),1)),""))</f>
        <v/>
      </c>
      <c r="Z842">
        <f>IF($W842="","",IFERROR(INDEX(IF($T842&lt;=60,imc05_m,imc519_m),MATCH($W842,IF($T842&lt;=60,imc05_k,imc519_k),1)),""))</f>
        <v/>
      </c>
      <c r="AA842">
        <f>IF($W842="","",IFERROR(INDEX(IF($T842&lt;=60,imc05_s,imc519_s),MATCH($W842,IF($T842&lt;=60,imc05_k,imc519_k),1)),""))</f>
        <v/>
      </c>
      <c r="AB842">
        <f>IF($Y842="","",IF($Y842=0,LN($J842/$Z842)/$AA842,((($J842/$Z842)^$Y842)-1)/($Y842*$AA842)))</f>
        <v/>
      </c>
      <c r="AC842">
        <f>IF($Y842="","",IF($Y842=0,$Z842*EXP($AA842*2),$Z842*(1+$Y842*$AA842*2)^(1/$Y842)))</f>
        <v/>
      </c>
      <c r="AD842">
        <f>IF($Y842="","",IF($Y842=0,$Z842*EXP($AA842*3),$Z842*(1+$Y842*$AA842*3)^(1/$Y842)))</f>
        <v/>
      </c>
      <c r="AE842">
        <f>IF($Y842="","",IF($Y842=0,$Z842*EXP($AA842*-2),$Z842*(1+$Y842*$AA842*-2)^(1/$Y842)))</f>
        <v/>
      </c>
      <c r="AF842">
        <f>IF($Y842="","",IF($Y842=0,$Z842*EXP($AA842*-3),$Z842*(1+$Y842*$AA842*-3)^(1/$Y842)))</f>
        <v/>
      </c>
      <c r="AG842">
        <f>IF($W842="","",IFERROR(INDEX(IF($T842&lt;=60,est05_l,est519_l),MATCH($W842,IF($T842&lt;=60,est05_k,est519_k),1)),""))</f>
        <v/>
      </c>
      <c r="AH842">
        <f>IF($W842="","",IFERROR(INDEX(IF($T842&lt;=60,est05_m,est519_m),MATCH($W842,IF($T842&lt;=60,est05_k,est519_k),1)),""))</f>
        <v/>
      </c>
      <c r="AI842">
        <f>IF($W842="","",IFERROR(INDEX(IF($T842&lt;=60,est05_s,est519_s),MATCH($W842,IF($T842&lt;=60,est05_k,est519_k),1)),""))</f>
        <v/>
      </c>
      <c r="AJ842">
        <f>IF($W842="","",IFERROR(INDEX(IF($T842&lt;=60,peso05_l,peso510_l),MATCH($W842,IF($T842&lt;=60,peso05_k,peso510_k),1)),""))</f>
        <v/>
      </c>
      <c r="AK842">
        <f>IF($W842="","",IFERROR(INDEX(IF($T842&lt;=60,peso05_m,peso510_m),MATCH($W842,IF($T842&lt;=60,peso05_k,peso510_k),1)),""))</f>
        <v/>
      </c>
      <c r="AL842">
        <f>IF($W842="","",IFERROR(INDEX(IF($T842&lt;=60,peso05_s,peso510_s),MATCH($W842,IF($T842&lt;=60,peso05_k,peso510_k),1)),""))</f>
        <v/>
      </c>
      <c r="AM842">
        <f>IF($AJ842="","",IF($AJ842=0,LN($F842/$AK842)/$AL842,((($F842/$AK842)^$AJ842)-1)/($AJ842*$AL842)))</f>
        <v/>
      </c>
      <c r="AN842">
        <f>IF($AJ842="","",IF($AJ842=0,$AK842*EXP($AL842*2),$AK842*(1+$AJ842*$AL842*2)^(1/$AJ842)))</f>
        <v/>
      </c>
      <c r="AO842">
        <f>IF($AJ842="","",IF($AJ842=0,$AK842*EXP($AL842*3),$AK842*(1+$AJ842*$AL842*3)^(1/$AJ842)))</f>
        <v/>
      </c>
      <c r="AP842">
        <f>IF($AJ842="","",IF($AJ842=0,$AK842*EXP($AL842*-2),$AK842*(1+$AJ842*$AL842*-2)^(1/$AJ842)))</f>
        <v/>
      </c>
      <c r="AQ842">
        <f>IF($AJ842="","",IF($AJ842=0,$AK842*EXP($AL842*-3),$AK842*(1+$AJ842*$AL842*-3)^(1/$AJ842)))</f>
        <v/>
      </c>
      <c r="AR842">
        <f>IF(OR($X842="",$T842&gt;60),"",IFERROR(INDEX(IF($T842&lt;24,pcomp_l,palt_l),MATCH($X842,IF($T842&lt;24,pcomp_k,palt_k),1)),""))</f>
        <v/>
      </c>
      <c r="AS842">
        <f>IF(OR($X842="",$T842&gt;60),"",IFERROR(INDEX(IF($T842&lt;24,pcomp_m,palt_m),MATCH($X842,IF($T842&lt;24,pcomp_k,palt_k),1)),""))</f>
        <v/>
      </c>
      <c r="AT842">
        <f>IF(OR($X842="",$T842&gt;60),"",IFERROR(INDEX(IF($T842&lt;24,pcomp_s,palt_s),MATCH($X842,IF($T842&lt;24,pcomp_k,palt_k),1)),""))</f>
        <v/>
      </c>
      <c r="AU842">
        <f>IF($AR842="","",IF($AR842=0,LN($F842/$AS842)/$AT842,((($F842/$AS842)^$AR842)-1)/($AR842*$AT842)))</f>
        <v/>
      </c>
      <c r="AV842">
        <f>IF($AR842="","",IF($AR842=0,$AS842*EXP($AT842*2),$AS842*(1+$AR842*$AT842*2)^(1/$AR842)))</f>
        <v/>
      </c>
      <c r="AW842">
        <f>IF($AR842="","",IF($AR842=0,$AS842*EXP($AT842*3),$AS842*(1+$AR842*$AT842*3)^(1/$AR842)))</f>
        <v/>
      </c>
      <c r="AX842">
        <f>IF($AR842="","",IF($AR842=0,$AS842*EXP($AT842*-2),$AS842*(1+$AR842*$AT842*-2)^(1/$AR842)))</f>
        <v/>
      </c>
      <c r="AY842">
        <f>IF($AR842="","",IF($AR842=0,$AS842*EXP($AT842*-3),$AS842*(1+$AR842*$AT842*-3)^(1/$AR842)))</f>
        <v/>
      </c>
      <c r="AZ842">
        <f>IF(OR($A842="",$A842&lt;&gt;Ficha!$C$4),"",COUNTIF($A$2:$A842,Ficha!$C$4))</f>
        <v/>
      </c>
    </row>
    <row r="843">
      <c r="A843" s="8">
        <f>IF(INDEX(Banco!$A:$A,ROW())="","",INDEX(Banco!$A:$A,ROW()))</f>
        <v/>
      </c>
      <c r="B843" s="8">
        <f>IF(INDEX(Banco!$B:$B,ROW())="","",INDEX(Banco!$B:$B,ROW()))</f>
        <v/>
      </c>
      <c r="C843" s="8">
        <f>IF(INDEX(Banco!$C:$C,ROW())="","",INDEX(Banco!$C:$C,ROW()))</f>
        <v/>
      </c>
      <c r="D843" s="9">
        <f>IF(INDEX(Banco!$D:$D,ROW())="","",INDEX(Banco!$D:$D,ROW()))</f>
        <v/>
      </c>
      <c r="E843" s="9">
        <f>IF(INDEX(Banco!$E:$E,ROW())="","",INDEX(Banco!$E:$E,ROW()))</f>
        <v/>
      </c>
      <c r="F843" s="10">
        <f>IF(INDEX(Banco!$F:$F,ROW())="","",INDEX(Banco!$F:$F,ROW()))</f>
        <v/>
      </c>
      <c r="G843" s="10">
        <f>IF(INDEX(Banco!$G:$G,ROW())="","",INDEX(Banco!$G:$G,ROW()))</f>
        <v/>
      </c>
      <c r="H843" s="8">
        <f>IF(INDEX(Banco!$H:$H,ROW())="","",INDEX(Banco!$H:$H,ROW()))</f>
        <v/>
      </c>
      <c r="I843">
        <f>IF($T843="","",INT($T843/12)&amp;"a "&amp;MOD($T843,12)&amp;"m")</f>
        <v/>
      </c>
      <c r="J843" s="11">
        <f>IF(OR($F843="",$G843=""),"",ROUND($F843/($G843/100)^2,2))</f>
        <v/>
      </c>
      <c r="K843" s="12">
        <f>IF(OR($S843="",$J843="",$T843="",$T843&lt;0,$T843&gt;228,$Y843=""),"—",ROUND(IF(ABS($AB843)&lt;=3,$AB843,IF($AB843&gt;3,3+($J843-$AD843)/($AD843-$AC843),-3+($J843-$AF843)/($AE843-$AF843))),2))</f>
        <v/>
      </c>
      <c r="L843">
        <f>IF(OR($K843="",$K843="—"),"",IF($T843&lt;=60,IF($K843&lt;-3,"Magreza acentuada",IF($K843&lt;-2,"Magreza",IF($K843&lt;=1,"Eutrofia",IF($K843&lt;=2,"Risco de sobrepeso",IF($K843&lt;=3,"Sobrepeso","Obesidade"))))),IF($K843&lt;-3,"Magreza acentuada",IF($K843&lt;-2,"Magreza",IF($K843&lt;=1,"Eutrofia",IF($K843&lt;=2,"Sobrepeso",IF($K843&lt;=3,"Obesidade","Obesidade grave")))))))</f>
        <v/>
      </c>
      <c r="M843" s="12">
        <f>IF(OR($S843="",$V843="",$T843="",$T843&lt;0,$T843&gt;228,$AG843=""),"—",ROUND(IF($AG843=0,LN($V843/$AH843)/$AI843,((($V843/$AH843)^$AG843)-1)/($AG843*$AI843)),2))</f>
        <v/>
      </c>
      <c r="N843">
        <f>IF(OR($M843="",$M843="—"),"",IF($M843&lt;-3,"Muito baixa",IF($M843&lt;-2,"Baixa","Adequada")))</f>
        <v/>
      </c>
      <c r="O843" s="12">
        <f>IF(OR($S843="",$F843="",$T843="",$T843&lt;0,$T843&gt;120,$AJ843=""),"—",ROUND(IF(ABS($AM843)&lt;=3,$AM843,IF($AM843&gt;3,3+($F843-$AO843)/($AO843-$AN843),-3+($F843-$AQ843)/($AP843-$AQ843))),2))</f>
        <v/>
      </c>
      <c r="P843">
        <f>IF(OR($O843="",$O843="—"),"",IF($O843&lt;-3,"Muito baixo",IF($O843&lt;-2,"Baixo",IF($O843&lt;=2,"Adequado","Elevado"))))</f>
        <v/>
      </c>
      <c r="Q843" s="12">
        <f>IF(OR($S843="",$F843="",$T843="",$T843&lt;0,$T843&gt;60,$AR843=""),"—",ROUND(IF(ABS($AU843)&lt;=3,$AU843,IF($AU843&gt;3,3+($F843-$AW843)/($AW843-$AV843),-3+($F843-$AY843)/($AX843-$AY843))),2))</f>
        <v/>
      </c>
      <c r="R843">
        <f>IF(OR($Q843="",$Q843="—"),"",IF($Q843&lt;-3,"Magreza acentuada",IF($Q843&lt;-2,"Magreza",IF($Q843&lt;=1,"Eutrofia",IF($Q843&lt;=2,"Risco de sobrepeso",IF($Q843&lt;=3,"Sobrepeso","Obesidade"))))))</f>
        <v/>
      </c>
      <c r="S843">
        <f>IF($C843="","",IF(UPPER(LEFT($C843,1))="M",1,IF(UPPER(LEFT($C843,1))="F",2,"")))</f>
        <v/>
      </c>
      <c r="T843">
        <f>IF(OR($D843="",$E843=""),"",DATEDIF($D843,$E843,"m"))</f>
        <v/>
      </c>
      <c r="U843">
        <f>IF(OR($D843="",$E843=""),"",$E843-$D843)</f>
        <v/>
      </c>
      <c r="V843">
        <f>IF(OR($G843="",$T843=""),"",IF($T843&lt;24,IF(LEFT(LOWER($H843),4)="em p",$G843+0.7,$G843),IF(LEFT(LOWER($H843),4)="deit",$G843-0.7,$G843)))</f>
        <v/>
      </c>
      <c r="W843">
        <f>IF(OR($S843="",$T843=""),"",$S843*1000000+IF($T843&lt;=60,$U843,$T843))</f>
        <v/>
      </c>
      <c r="X843">
        <f>IF(OR($S843="",$V843="",$T843&gt;60,$T843=""),"",$S843*1000000+ROUND($V843*10,0))</f>
        <v/>
      </c>
      <c r="Y843">
        <f>IF($W843="","",IFERROR(INDEX(IF($T843&lt;=60,imc05_l,imc519_l),MATCH($W843,IF($T843&lt;=60,imc05_k,imc519_k),1)),""))</f>
        <v/>
      </c>
      <c r="Z843">
        <f>IF($W843="","",IFERROR(INDEX(IF($T843&lt;=60,imc05_m,imc519_m),MATCH($W843,IF($T843&lt;=60,imc05_k,imc519_k),1)),""))</f>
        <v/>
      </c>
      <c r="AA843">
        <f>IF($W843="","",IFERROR(INDEX(IF($T843&lt;=60,imc05_s,imc519_s),MATCH($W843,IF($T843&lt;=60,imc05_k,imc519_k),1)),""))</f>
        <v/>
      </c>
      <c r="AB843">
        <f>IF($Y843="","",IF($Y843=0,LN($J843/$Z843)/$AA843,((($J843/$Z843)^$Y843)-1)/($Y843*$AA843)))</f>
        <v/>
      </c>
      <c r="AC843">
        <f>IF($Y843="","",IF($Y843=0,$Z843*EXP($AA843*2),$Z843*(1+$Y843*$AA843*2)^(1/$Y843)))</f>
        <v/>
      </c>
      <c r="AD843">
        <f>IF($Y843="","",IF($Y843=0,$Z843*EXP($AA843*3),$Z843*(1+$Y843*$AA843*3)^(1/$Y843)))</f>
        <v/>
      </c>
      <c r="AE843">
        <f>IF($Y843="","",IF($Y843=0,$Z843*EXP($AA843*-2),$Z843*(1+$Y843*$AA843*-2)^(1/$Y843)))</f>
        <v/>
      </c>
      <c r="AF843">
        <f>IF($Y843="","",IF($Y843=0,$Z843*EXP($AA843*-3),$Z843*(1+$Y843*$AA843*-3)^(1/$Y843)))</f>
        <v/>
      </c>
      <c r="AG843">
        <f>IF($W843="","",IFERROR(INDEX(IF($T843&lt;=60,est05_l,est519_l),MATCH($W843,IF($T843&lt;=60,est05_k,est519_k),1)),""))</f>
        <v/>
      </c>
      <c r="AH843">
        <f>IF($W843="","",IFERROR(INDEX(IF($T843&lt;=60,est05_m,est519_m),MATCH($W843,IF($T843&lt;=60,est05_k,est519_k),1)),""))</f>
        <v/>
      </c>
      <c r="AI843">
        <f>IF($W843="","",IFERROR(INDEX(IF($T843&lt;=60,est05_s,est519_s),MATCH($W843,IF($T843&lt;=60,est05_k,est519_k),1)),""))</f>
        <v/>
      </c>
      <c r="AJ843">
        <f>IF($W843="","",IFERROR(INDEX(IF($T843&lt;=60,peso05_l,peso510_l),MATCH($W843,IF($T843&lt;=60,peso05_k,peso510_k),1)),""))</f>
        <v/>
      </c>
      <c r="AK843">
        <f>IF($W843="","",IFERROR(INDEX(IF($T843&lt;=60,peso05_m,peso510_m),MATCH($W843,IF($T843&lt;=60,peso05_k,peso510_k),1)),""))</f>
        <v/>
      </c>
      <c r="AL843">
        <f>IF($W843="","",IFERROR(INDEX(IF($T843&lt;=60,peso05_s,peso510_s),MATCH($W843,IF($T843&lt;=60,peso05_k,peso510_k),1)),""))</f>
        <v/>
      </c>
      <c r="AM843">
        <f>IF($AJ843="","",IF($AJ843=0,LN($F843/$AK843)/$AL843,((($F843/$AK843)^$AJ843)-1)/($AJ843*$AL843)))</f>
        <v/>
      </c>
      <c r="AN843">
        <f>IF($AJ843="","",IF($AJ843=0,$AK843*EXP($AL843*2),$AK843*(1+$AJ843*$AL843*2)^(1/$AJ843)))</f>
        <v/>
      </c>
      <c r="AO843">
        <f>IF($AJ843="","",IF($AJ843=0,$AK843*EXP($AL843*3),$AK843*(1+$AJ843*$AL843*3)^(1/$AJ843)))</f>
        <v/>
      </c>
      <c r="AP843">
        <f>IF($AJ843="","",IF($AJ843=0,$AK843*EXP($AL843*-2),$AK843*(1+$AJ843*$AL843*-2)^(1/$AJ843)))</f>
        <v/>
      </c>
      <c r="AQ843">
        <f>IF($AJ843="","",IF($AJ843=0,$AK843*EXP($AL843*-3),$AK843*(1+$AJ843*$AL843*-3)^(1/$AJ843)))</f>
        <v/>
      </c>
      <c r="AR843">
        <f>IF(OR($X843="",$T843&gt;60),"",IFERROR(INDEX(IF($T843&lt;24,pcomp_l,palt_l),MATCH($X843,IF($T843&lt;24,pcomp_k,palt_k),1)),""))</f>
        <v/>
      </c>
      <c r="AS843">
        <f>IF(OR($X843="",$T843&gt;60),"",IFERROR(INDEX(IF($T843&lt;24,pcomp_m,palt_m),MATCH($X843,IF($T843&lt;24,pcomp_k,palt_k),1)),""))</f>
        <v/>
      </c>
      <c r="AT843">
        <f>IF(OR($X843="",$T843&gt;60),"",IFERROR(INDEX(IF($T843&lt;24,pcomp_s,palt_s),MATCH($X843,IF($T843&lt;24,pcomp_k,palt_k),1)),""))</f>
        <v/>
      </c>
      <c r="AU843">
        <f>IF($AR843="","",IF($AR843=0,LN($F843/$AS843)/$AT843,((($F843/$AS843)^$AR843)-1)/($AR843*$AT843)))</f>
        <v/>
      </c>
      <c r="AV843">
        <f>IF($AR843="","",IF($AR843=0,$AS843*EXP($AT843*2),$AS843*(1+$AR843*$AT843*2)^(1/$AR843)))</f>
        <v/>
      </c>
      <c r="AW843">
        <f>IF($AR843="","",IF($AR843=0,$AS843*EXP($AT843*3),$AS843*(1+$AR843*$AT843*3)^(1/$AR843)))</f>
        <v/>
      </c>
      <c r="AX843">
        <f>IF($AR843="","",IF($AR843=0,$AS843*EXP($AT843*-2),$AS843*(1+$AR843*$AT843*-2)^(1/$AR843)))</f>
        <v/>
      </c>
      <c r="AY843">
        <f>IF($AR843="","",IF($AR843=0,$AS843*EXP($AT843*-3),$AS843*(1+$AR843*$AT843*-3)^(1/$AR843)))</f>
        <v/>
      </c>
      <c r="AZ843">
        <f>IF(OR($A843="",$A843&lt;&gt;Ficha!$C$4),"",COUNTIF($A$2:$A843,Ficha!$C$4))</f>
        <v/>
      </c>
    </row>
    <row r="844">
      <c r="A844" s="8">
        <f>IF(INDEX(Banco!$A:$A,ROW())="","",INDEX(Banco!$A:$A,ROW()))</f>
        <v/>
      </c>
      <c r="B844" s="8">
        <f>IF(INDEX(Banco!$B:$B,ROW())="","",INDEX(Banco!$B:$B,ROW()))</f>
        <v/>
      </c>
      <c r="C844" s="8">
        <f>IF(INDEX(Banco!$C:$C,ROW())="","",INDEX(Banco!$C:$C,ROW()))</f>
        <v/>
      </c>
      <c r="D844" s="9">
        <f>IF(INDEX(Banco!$D:$D,ROW())="","",INDEX(Banco!$D:$D,ROW()))</f>
        <v/>
      </c>
      <c r="E844" s="9">
        <f>IF(INDEX(Banco!$E:$E,ROW())="","",INDEX(Banco!$E:$E,ROW()))</f>
        <v/>
      </c>
      <c r="F844" s="10">
        <f>IF(INDEX(Banco!$F:$F,ROW())="","",INDEX(Banco!$F:$F,ROW()))</f>
        <v/>
      </c>
      <c r="G844" s="10">
        <f>IF(INDEX(Banco!$G:$G,ROW())="","",INDEX(Banco!$G:$G,ROW()))</f>
        <v/>
      </c>
      <c r="H844" s="8">
        <f>IF(INDEX(Banco!$H:$H,ROW())="","",INDEX(Banco!$H:$H,ROW()))</f>
        <v/>
      </c>
      <c r="I844">
        <f>IF($T844="","",INT($T844/12)&amp;"a "&amp;MOD($T844,12)&amp;"m")</f>
        <v/>
      </c>
      <c r="J844" s="11">
        <f>IF(OR($F844="",$G844=""),"",ROUND($F844/($G844/100)^2,2))</f>
        <v/>
      </c>
      <c r="K844" s="12">
        <f>IF(OR($S844="",$J844="",$T844="",$T844&lt;0,$T844&gt;228,$Y844=""),"—",ROUND(IF(ABS($AB844)&lt;=3,$AB844,IF($AB844&gt;3,3+($J844-$AD844)/($AD844-$AC844),-3+($J844-$AF844)/($AE844-$AF844))),2))</f>
        <v/>
      </c>
      <c r="L844">
        <f>IF(OR($K844="",$K844="—"),"",IF($T844&lt;=60,IF($K844&lt;-3,"Magreza acentuada",IF($K844&lt;-2,"Magreza",IF($K844&lt;=1,"Eutrofia",IF($K844&lt;=2,"Risco de sobrepeso",IF($K844&lt;=3,"Sobrepeso","Obesidade"))))),IF($K844&lt;-3,"Magreza acentuada",IF($K844&lt;-2,"Magreza",IF($K844&lt;=1,"Eutrofia",IF($K844&lt;=2,"Sobrepeso",IF($K844&lt;=3,"Obesidade","Obesidade grave")))))))</f>
        <v/>
      </c>
      <c r="M844" s="12">
        <f>IF(OR($S844="",$V844="",$T844="",$T844&lt;0,$T844&gt;228,$AG844=""),"—",ROUND(IF($AG844=0,LN($V844/$AH844)/$AI844,((($V844/$AH844)^$AG844)-1)/($AG844*$AI844)),2))</f>
        <v/>
      </c>
      <c r="N844">
        <f>IF(OR($M844="",$M844="—"),"",IF($M844&lt;-3,"Muito baixa",IF($M844&lt;-2,"Baixa","Adequada")))</f>
        <v/>
      </c>
      <c r="O844" s="12">
        <f>IF(OR($S844="",$F844="",$T844="",$T844&lt;0,$T844&gt;120,$AJ844=""),"—",ROUND(IF(ABS($AM844)&lt;=3,$AM844,IF($AM844&gt;3,3+($F844-$AO844)/($AO844-$AN844),-3+($F844-$AQ844)/($AP844-$AQ844))),2))</f>
        <v/>
      </c>
      <c r="P844">
        <f>IF(OR($O844="",$O844="—"),"",IF($O844&lt;-3,"Muito baixo",IF($O844&lt;-2,"Baixo",IF($O844&lt;=2,"Adequado","Elevado"))))</f>
        <v/>
      </c>
      <c r="Q844" s="12">
        <f>IF(OR($S844="",$F844="",$T844="",$T844&lt;0,$T844&gt;60,$AR844=""),"—",ROUND(IF(ABS($AU844)&lt;=3,$AU844,IF($AU844&gt;3,3+($F844-$AW844)/($AW844-$AV844),-3+($F844-$AY844)/($AX844-$AY844))),2))</f>
        <v/>
      </c>
      <c r="R844">
        <f>IF(OR($Q844="",$Q844="—"),"",IF($Q844&lt;-3,"Magreza acentuada",IF($Q844&lt;-2,"Magreza",IF($Q844&lt;=1,"Eutrofia",IF($Q844&lt;=2,"Risco de sobrepeso",IF($Q844&lt;=3,"Sobrepeso","Obesidade"))))))</f>
        <v/>
      </c>
      <c r="S844">
        <f>IF($C844="","",IF(UPPER(LEFT($C844,1))="M",1,IF(UPPER(LEFT($C844,1))="F",2,"")))</f>
        <v/>
      </c>
      <c r="T844">
        <f>IF(OR($D844="",$E844=""),"",DATEDIF($D844,$E844,"m"))</f>
        <v/>
      </c>
      <c r="U844">
        <f>IF(OR($D844="",$E844=""),"",$E844-$D844)</f>
        <v/>
      </c>
      <c r="V844">
        <f>IF(OR($G844="",$T844=""),"",IF($T844&lt;24,IF(LEFT(LOWER($H844),4)="em p",$G844+0.7,$G844),IF(LEFT(LOWER($H844),4)="deit",$G844-0.7,$G844)))</f>
        <v/>
      </c>
      <c r="W844">
        <f>IF(OR($S844="",$T844=""),"",$S844*1000000+IF($T844&lt;=60,$U844,$T844))</f>
        <v/>
      </c>
      <c r="X844">
        <f>IF(OR($S844="",$V844="",$T844&gt;60,$T844=""),"",$S844*1000000+ROUND($V844*10,0))</f>
        <v/>
      </c>
      <c r="Y844">
        <f>IF($W844="","",IFERROR(INDEX(IF($T844&lt;=60,imc05_l,imc519_l),MATCH($W844,IF($T844&lt;=60,imc05_k,imc519_k),1)),""))</f>
        <v/>
      </c>
      <c r="Z844">
        <f>IF($W844="","",IFERROR(INDEX(IF($T844&lt;=60,imc05_m,imc519_m),MATCH($W844,IF($T844&lt;=60,imc05_k,imc519_k),1)),""))</f>
        <v/>
      </c>
      <c r="AA844">
        <f>IF($W844="","",IFERROR(INDEX(IF($T844&lt;=60,imc05_s,imc519_s),MATCH($W844,IF($T844&lt;=60,imc05_k,imc519_k),1)),""))</f>
        <v/>
      </c>
      <c r="AB844">
        <f>IF($Y844="","",IF($Y844=0,LN($J844/$Z844)/$AA844,((($J844/$Z844)^$Y844)-1)/($Y844*$AA844)))</f>
        <v/>
      </c>
      <c r="AC844">
        <f>IF($Y844="","",IF($Y844=0,$Z844*EXP($AA844*2),$Z844*(1+$Y844*$AA844*2)^(1/$Y844)))</f>
        <v/>
      </c>
      <c r="AD844">
        <f>IF($Y844="","",IF($Y844=0,$Z844*EXP($AA844*3),$Z844*(1+$Y844*$AA844*3)^(1/$Y844)))</f>
        <v/>
      </c>
      <c r="AE844">
        <f>IF($Y844="","",IF($Y844=0,$Z844*EXP($AA844*-2),$Z844*(1+$Y844*$AA844*-2)^(1/$Y844)))</f>
        <v/>
      </c>
      <c r="AF844">
        <f>IF($Y844="","",IF($Y844=0,$Z844*EXP($AA844*-3),$Z844*(1+$Y844*$AA844*-3)^(1/$Y844)))</f>
        <v/>
      </c>
      <c r="AG844">
        <f>IF($W844="","",IFERROR(INDEX(IF($T844&lt;=60,est05_l,est519_l),MATCH($W844,IF($T844&lt;=60,est05_k,est519_k),1)),""))</f>
        <v/>
      </c>
      <c r="AH844">
        <f>IF($W844="","",IFERROR(INDEX(IF($T844&lt;=60,est05_m,est519_m),MATCH($W844,IF($T844&lt;=60,est05_k,est519_k),1)),""))</f>
        <v/>
      </c>
      <c r="AI844">
        <f>IF($W844="","",IFERROR(INDEX(IF($T844&lt;=60,est05_s,est519_s),MATCH($W844,IF($T844&lt;=60,est05_k,est519_k),1)),""))</f>
        <v/>
      </c>
      <c r="AJ844">
        <f>IF($W844="","",IFERROR(INDEX(IF($T844&lt;=60,peso05_l,peso510_l),MATCH($W844,IF($T844&lt;=60,peso05_k,peso510_k),1)),""))</f>
        <v/>
      </c>
      <c r="AK844">
        <f>IF($W844="","",IFERROR(INDEX(IF($T844&lt;=60,peso05_m,peso510_m),MATCH($W844,IF($T844&lt;=60,peso05_k,peso510_k),1)),""))</f>
        <v/>
      </c>
      <c r="AL844">
        <f>IF($W844="","",IFERROR(INDEX(IF($T844&lt;=60,peso05_s,peso510_s),MATCH($W844,IF($T844&lt;=60,peso05_k,peso510_k),1)),""))</f>
        <v/>
      </c>
      <c r="AM844">
        <f>IF($AJ844="","",IF($AJ844=0,LN($F844/$AK844)/$AL844,((($F844/$AK844)^$AJ844)-1)/($AJ844*$AL844)))</f>
        <v/>
      </c>
      <c r="AN844">
        <f>IF($AJ844="","",IF($AJ844=0,$AK844*EXP($AL844*2),$AK844*(1+$AJ844*$AL844*2)^(1/$AJ844)))</f>
        <v/>
      </c>
      <c r="AO844">
        <f>IF($AJ844="","",IF($AJ844=0,$AK844*EXP($AL844*3),$AK844*(1+$AJ844*$AL844*3)^(1/$AJ844)))</f>
        <v/>
      </c>
      <c r="AP844">
        <f>IF($AJ844="","",IF($AJ844=0,$AK844*EXP($AL844*-2),$AK844*(1+$AJ844*$AL844*-2)^(1/$AJ844)))</f>
        <v/>
      </c>
      <c r="AQ844">
        <f>IF($AJ844="","",IF($AJ844=0,$AK844*EXP($AL844*-3),$AK844*(1+$AJ844*$AL844*-3)^(1/$AJ844)))</f>
        <v/>
      </c>
      <c r="AR844">
        <f>IF(OR($X844="",$T844&gt;60),"",IFERROR(INDEX(IF($T844&lt;24,pcomp_l,palt_l),MATCH($X844,IF($T844&lt;24,pcomp_k,palt_k),1)),""))</f>
        <v/>
      </c>
      <c r="AS844">
        <f>IF(OR($X844="",$T844&gt;60),"",IFERROR(INDEX(IF($T844&lt;24,pcomp_m,palt_m),MATCH($X844,IF($T844&lt;24,pcomp_k,palt_k),1)),""))</f>
        <v/>
      </c>
      <c r="AT844">
        <f>IF(OR($X844="",$T844&gt;60),"",IFERROR(INDEX(IF($T844&lt;24,pcomp_s,palt_s),MATCH($X844,IF($T844&lt;24,pcomp_k,palt_k),1)),""))</f>
        <v/>
      </c>
      <c r="AU844">
        <f>IF($AR844="","",IF($AR844=0,LN($F844/$AS844)/$AT844,((($F844/$AS844)^$AR844)-1)/($AR844*$AT844)))</f>
        <v/>
      </c>
      <c r="AV844">
        <f>IF($AR844="","",IF($AR844=0,$AS844*EXP($AT844*2),$AS844*(1+$AR844*$AT844*2)^(1/$AR844)))</f>
        <v/>
      </c>
      <c r="AW844">
        <f>IF($AR844="","",IF($AR844=0,$AS844*EXP($AT844*3),$AS844*(1+$AR844*$AT844*3)^(1/$AR844)))</f>
        <v/>
      </c>
      <c r="AX844">
        <f>IF($AR844="","",IF($AR844=0,$AS844*EXP($AT844*-2),$AS844*(1+$AR844*$AT844*-2)^(1/$AR844)))</f>
        <v/>
      </c>
      <c r="AY844">
        <f>IF($AR844="","",IF($AR844=0,$AS844*EXP($AT844*-3),$AS844*(1+$AR844*$AT844*-3)^(1/$AR844)))</f>
        <v/>
      </c>
      <c r="AZ844">
        <f>IF(OR($A844="",$A844&lt;&gt;Ficha!$C$4),"",COUNTIF($A$2:$A844,Ficha!$C$4))</f>
        <v/>
      </c>
    </row>
    <row r="845">
      <c r="A845" s="8">
        <f>IF(INDEX(Banco!$A:$A,ROW())="","",INDEX(Banco!$A:$A,ROW()))</f>
        <v/>
      </c>
      <c r="B845" s="8">
        <f>IF(INDEX(Banco!$B:$B,ROW())="","",INDEX(Banco!$B:$B,ROW()))</f>
        <v/>
      </c>
      <c r="C845" s="8">
        <f>IF(INDEX(Banco!$C:$C,ROW())="","",INDEX(Banco!$C:$C,ROW()))</f>
        <v/>
      </c>
      <c r="D845" s="9">
        <f>IF(INDEX(Banco!$D:$D,ROW())="","",INDEX(Banco!$D:$D,ROW()))</f>
        <v/>
      </c>
      <c r="E845" s="9">
        <f>IF(INDEX(Banco!$E:$E,ROW())="","",INDEX(Banco!$E:$E,ROW()))</f>
        <v/>
      </c>
      <c r="F845" s="10">
        <f>IF(INDEX(Banco!$F:$F,ROW())="","",INDEX(Banco!$F:$F,ROW()))</f>
        <v/>
      </c>
      <c r="G845" s="10">
        <f>IF(INDEX(Banco!$G:$G,ROW())="","",INDEX(Banco!$G:$G,ROW()))</f>
        <v/>
      </c>
      <c r="H845" s="8">
        <f>IF(INDEX(Banco!$H:$H,ROW())="","",INDEX(Banco!$H:$H,ROW()))</f>
        <v/>
      </c>
      <c r="I845">
        <f>IF($T845="","",INT($T845/12)&amp;"a "&amp;MOD($T845,12)&amp;"m")</f>
        <v/>
      </c>
      <c r="J845" s="11">
        <f>IF(OR($F845="",$G845=""),"",ROUND($F845/($G845/100)^2,2))</f>
        <v/>
      </c>
      <c r="K845" s="12">
        <f>IF(OR($S845="",$J845="",$T845="",$T845&lt;0,$T845&gt;228,$Y845=""),"—",ROUND(IF(ABS($AB845)&lt;=3,$AB845,IF($AB845&gt;3,3+($J845-$AD845)/($AD845-$AC845),-3+($J845-$AF845)/($AE845-$AF845))),2))</f>
        <v/>
      </c>
      <c r="L845">
        <f>IF(OR($K845="",$K845="—"),"",IF($T845&lt;=60,IF($K845&lt;-3,"Magreza acentuada",IF($K845&lt;-2,"Magreza",IF($K845&lt;=1,"Eutrofia",IF($K845&lt;=2,"Risco de sobrepeso",IF($K845&lt;=3,"Sobrepeso","Obesidade"))))),IF($K845&lt;-3,"Magreza acentuada",IF($K845&lt;-2,"Magreza",IF($K845&lt;=1,"Eutrofia",IF($K845&lt;=2,"Sobrepeso",IF($K845&lt;=3,"Obesidade","Obesidade grave")))))))</f>
        <v/>
      </c>
      <c r="M845" s="12">
        <f>IF(OR($S845="",$V845="",$T845="",$T845&lt;0,$T845&gt;228,$AG845=""),"—",ROUND(IF($AG845=0,LN($V845/$AH845)/$AI845,((($V845/$AH845)^$AG845)-1)/($AG845*$AI845)),2))</f>
        <v/>
      </c>
      <c r="N845">
        <f>IF(OR($M845="",$M845="—"),"",IF($M845&lt;-3,"Muito baixa",IF($M845&lt;-2,"Baixa","Adequada")))</f>
        <v/>
      </c>
      <c r="O845" s="12">
        <f>IF(OR($S845="",$F845="",$T845="",$T845&lt;0,$T845&gt;120,$AJ845=""),"—",ROUND(IF(ABS($AM845)&lt;=3,$AM845,IF($AM845&gt;3,3+($F845-$AO845)/($AO845-$AN845),-3+($F845-$AQ845)/($AP845-$AQ845))),2))</f>
        <v/>
      </c>
      <c r="P845">
        <f>IF(OR($O845="",$O845="—"),"",IF($O845&lt;-3,"Muito baixo",IF($O845&lt;-2,"Baixo",IF($O845&lt;=2,"Adequado","Elevado"))))</f>
        <v/>
      </c>
      <c r="Q845" s="12">
        <f>IF(OR($S845="",$F845="",$T845="",$T845&lt;0,$T845&gt;60,$AR845=""),"—",ROUND(IF(ABS($AU845)&lt;=3,$AU845,IF($AU845&gt;3,3+($F845-$AW845)/($AW845-$AV845),-3+($F845-$AY845)/($AX845-$AY845))),2))</f>
        <v/>
      </c>
      <c r="R845">
        <f>IF(OR($Q845="",$Q845="—"),"",IF($Q845&lt;-3,"Magreza acentuada",IF($Q845&lt;-2,"Magreza",IF($Q845&lt;=1,"Eutrofia",IF($Q845&lt;=2,"Risco de sobrepeso",IF($Q845&lt;=3,"Sobrepeso","Obesidade"))))))</f>
        <v/>
      </c>
      <c r="S845">
        <f>IF($C845="","",IF(UPPER(LEFT($C845,1))="M",1,IF(UPPER(LEFT($C845,1))="F",2,"")))</f>
        <v/>
      </c>
      <c r="T845">
        <f>IF(OR($D845="",$E845=""),"",DATEDIF($D845,$E845,"m"))</f>
        <v/>
      </c>
      <c r="U845">
        <f>IF(OR($D845="",$E845=""),"",$E845-$D845)</f>
        <v/>
      </c>
      <c r="V845">
        <f>IF(OR($G845="",$T845=""),"",IF($T845&lt;24,IF(LEFT(LOWER($H845),4)="em p",$G845+0.7,$G845),IF(LEFT(LOWER($H845),4)="deit",$G845-0.7,$G845)))</f>
        <v/>
      </c>
      <c r="W845">
        <f>IF(OR($S845="",$T845=""),"",$S845*1000000+IF($T845&lt;=60,$U845,$T845))</f>
        <v/>
      </c>
      <c r="X845">
        <f>IF(OR($S845="",$V845="",$T845&gt;60,$T845=""),"",$S845*1000000+ROUND($V845*10,0))</f>
        <v/>
      </c>
      <c r="Y845">
        <f>IF($W845="","",IFERROR(INDEX(IF($T845&lt;=60,imc05_l,imc519_l),MATCH($W845,IF($T845&lt;=60,imc05_k,imc519_k),1)),""))</f>
        <v/>
      </c>
      <c r="Z845">
        <f>IF($W845="","",IFERROR(INDEX(IF($T845&lt;=60,imc05_m,imc519_m),MATCH($W845,IF($T845&lt;=60,imc05_k,imc519_k),1)),""))</f>
        <v/>
      </c>
      <c r="AA845">
        <f>IF($W845="","",IFERROR(INDEX(IF($T845&lt;=60,imc05_s,imc519_s),MATCH($W845,IF($T845&lt;=60,imc05_k,imc519_k),1)),""))</f>
        <v/>
      </c>
      <c r="AB845">
        <f>IF($Y845="","",IF($Y845=0,LN($J845/$Z845)/$AA845,((($J845/$Z845)^$Y845)-1)/($Y845*$AA845)))</f>
        <v/>
      </c>
      <c r="AC845">
        <f>IF($Y845="","",IF($Y845=0,$Z845*EXP($AA845*2),$Z845*(1+$Y845*$AA845*2)^(1/$Y845)))</f>
        <v/>
      </c>
      <c r="AD845">
        <f>IF($Y845="","",IF($Y845=0,$Z845*EXP($AA845*3),$Z845*(1+$Y845*$AA845*3)^(1/$Y845)))</f>
        <v/>
      </c>
      <c r="AE845">
        <f>IF($Y845="","",IF($Y845=0,$Z845*EXP($AA845*-2),$Z845*(1+$Y845*$AA845*-2)^(1/$Y845)))</f>
        <v/>
      </c>
      <c r="AF845">
        <f>IF($Y845="","",IF($Y845=0,$Z845*EXP($AA845*-3),$Z845*(1+$Y845*$AA845*-3)^(1/$Y845)))</f>
        <v/>
      </c>
      <c r="AG845">
        <f>IF($W845="","",IFERROR(INDEX(IF($T845&lt;=60,est05_l,est519_l),MATCH($W845,IF($T845&lt;=60,est05_k,est519_k),1)),""))</f>
        <v/>
      </c>
      <c r="AH845">
        <f>IF($W845="","",IFERROR(INDEX(IF($T845&lt;=60,est05_m,est519_m),MATCH($W845,IF($T845&lt;=60,est05_k,est519_k),1)),""))</f>
        <v/>
      </c>
      <c r="AI845">
        <f>IF($W845="","",IFERROR(INDEX(IF($T845&lt;=60,est05_s,est519_s),MATCH($W845,IF($T845&lt;=60,est05_k,est519_k),1)),""))</f>
        <v/>
      </c>
      <c r="AJ845">
        <f>IF($W845="","",IFERROR(INDEX(IF($T845&lt;=60,peso05_l,peso510_l),MATCH($W845,IF($T845&lt;=60,peso05_k,peso510_k),1)),""))</f>
        <v/>
      </c>
      <c r="AK845">
        <f>IF($W845="","",IFERROR(INDEX(IF($T845&lt;=60,peso05_m,peso510_m),MATCH($W845,IF($T845&lt;=60,peso05_k,peso510_k),1)),""))</f>
        <v/>
      </c>
      <c r="AL845">
        <f>IF($W845="","",IFERROR(INDEX(IF($T845&lt;=60,peso05_s,peso510_s),MATCH($W845,IF($T845&lt;=60,peso05_k,peso510_k),1)),""))</f>
        <v/>
      </c>
      <c r="AM845">
        <f>IF($AJ845="","",IF($AJ845=0,LN($F845/$AK845)/$AL845,((($F845/$AK845)^$AJ845)-1)/($AJ845*$AL845)))</f>
        <v/>
      </c>
      <c r="AN845">
        <f>IF($AJ845="","",IF($AJ845=0,$AK845*EXP($AL845*2),$AK845*(1+$AJ845*$AL845*2)^(1/$AJ845)))</f>
        <v/>
      </c>
      <c r="AO845">
        <f>IF($AJ845="","",IF($AJ845=0,$AK845*EXP($AL845*3),$AK845*(1+$AJ845*$AL845*3)^(1/$AJ845)))</f>
        <v/>
      </c>
      <c r="AP845">
        <f>IF($AJ845="","",IF($AJ845=0,$AK845*EXP($AL845*-2),$AK845*(1+$AJ845*$AL845*-2)^(1/$AJ845)))</f>
        <v/>
      </c>
      <c r="AQ845">
        <f>IF($AJ845="","",IF($AJ845=0,$AK845*EXP($AL845*-3),$AK845*(1+$AJ845*$AL845*-3)^(1/$AJ845)))</f>
        <v/>
      </c>
      <c r="AR845">
        <f>IF(OR($X845="",$T845&gt;60),"",IFERROR(INDEX(IF($T845&lt;24,pcomp_l,palt_l),MATCH($X845,IF($T845&lt;24,pcomp_k,palt_k),1)),""))</f>
        <v/>
      </c>
      <c r="AS845">
        <f>IF(OR($X845="",$T845&gt;60),"",IFERROR(INDEX(IF($T845&lt;24,pcomp_m,palt_m),MATCH($X845,IF($T845&lt;24,pcomp_k,palt_k),1)),""))</f>
        <v/>
      </c>
      <c r="AT845">
        <f>IF(OR($X845="",$T845&gt;60),"",IFERROR(INDEX(IF($T845&lt;24,pcomp_s,palt_s),MATCH($X845,IF($T845&lt;24,pcomp_k,palt_k),1)),""))</f>
        <v/>
      </c>
      <c r="AU845">
        <f>IF($AR845="","",IF($AR845=0,LN($F845/$AS845)/$AT845,((($F845/$AS845)^$AR845)-1)/($AR845*$AT845)))</f>
        <v/>
      </c>
      <c r="AV845">
        <f>IF($AR845="","",IF($AR845=0,$AS845*EXP($AT845*2),$AS845*(1+$AR845*$AT845*2)^(1/$AR845)))</f>
        <v/>
      </c>
      <c r="AW845">
        <f>IF($AR845="","",IF($AR845=0,$AS845*EXP($AT845*3),$AS845*(1+$AR845*$AT845*3)^(1/$AR845)))</f>
        <v/>
      </c>
      <c r="AX845">
        <f>IF($AR845="","",IF($AR845=0,$AS845*EXP($AT845*-2),$AS845*(1+$AR845*$AT845*-2)^(1/$AR845)))</f>
        <v/>
      </c>
      <c r="AY845">
        <f>IF($AR845="","",IF($AR845=0,$AS845*EXP($AT845*-3),$AS845*(1+$AR845*$AT845*-3)^(1/$AR845)))</f>
        <v/>
      </c>
      <c r="AZ845">
        <f>IF(OR($A845="",$A845&lt;&gt;Ficha!$C$4),"",COUNTIF($A$2:$A845,Ficha!$C$4))</f>
        <v/>
      </c>
    </row>
    <row r="846">
      <c r="A846" s="8">
        <f>IF(INDEX(Banco!$A:$A,ROW())="","",INDEX(Banco!$A:$A,ROW()))</f>
        <v/>
      </c>
      <c r="B846" s="8">
        <f>IF(INDEX(Banco!$B:$B,ROW())="","",INDEX(Banco!$B:$B,ROW()))</f>
        <v/>
      </c>
      <c r="C846" s="8">
        <f>IF(INDEX(Banco!$C:$C,ROW())="","",INDEX(Banco!$C:$C,ROW()))</f>
        <v/>
      </c>
      <c r="D846" s="9">
        <f>IF(INDEX(Banco!$D:$D,ROW())="","",INDEX(Banco!$D:$D,ROW()))</f>
        <v/>
      </c>
      <c r="E846" s="9">
        <f>IF(INDEX(Banco!$E:$E,ROW())="","",INDEX(Banco!$E:$E,ROW()))</f>
        <v/>
      </c>
      <c r="F846" s="10">
        <f>IF(INDEX(Banco!$F:$F,ROW())="","",INDEX(Banco!$F:$F,ROW()))</f>
        <v/>
      </c>
      <c r="G846" s="10">
        <f>IF(INDEX(Banco!$G:$G,ROW())="","",INDEX(Banco!$G:$G,ROW()))</f>
        <v/>
      </c>
      <c r="H846" s="8">
        <f>IF(INDEX(Banco!$H:$H,ROW())="","",INDEX(Banco!$H:$H,ROW()))</f>
        <v/>
      </c>
      <c r="I846">
        <f>IF($T846="","",INT($T846/12)&amp;"a "&amp;MOD($T846,12)&amp;"m")</f>
        <v/>
      </c>
      <c r="J846" s="11">
        <f>IF(OR($F846="",$G846=""),"",ROUND($F846/($G846/100)^2,2))</f>
        <v/>
      </c>
      <c r="K846" s="12">
        <f>IF(OR($S846="",$J846="",$T846="",$T846&lt;0,$T846&gt;228,$Y846=""),"—",ROUND(IF(ABS($AB846)&lt;=3,$AB846,IF($AB846&gt;3,3+($J846-$AD846)/($AD846-$AC846),-3+($J846-$AF846)/($AE846-$AF846))),2))</f>
        <v/>
      </c>
      <c r="L846">
        <f>IF(OR($K846="",$K846="—"),"",IF($T846&lt;=60,IF($K846&lt;-3,"Magreza acentuada",IF($K846&lt;-2,"Magreza",IF($K846&lt;=1,"Eutrofia",IF($K846&lt;=2,"Risco de sobrepeso",IF($K846&lt;=3,"Sobrepeso","Obesidade"))))),IF($K846&lt;-3,"Magreza acentuada",IF($K846&lt;-2,"Magreza",IF($K846&lt;=1,"Eutrofia",IF($K846&lt;=2,"Sobrepeso",IF($K846&lt;=3,"Obesidade","Obesidade grave")))))))</f>
        <v/>
      </c>
      <c r="M846" s="12">
        <f>IF(OR($S846="",$V846="",$T846="",$T846&lt;0,$T846&gt;228,$AG846=""),"—",ROUND(IF($AG846=0,LN($V846/$AH846)/$AI846,((($V846/$AH846)^$AG846)-1)/($AG846*$AI846)),2))</f>
        <v/>
      </c>
      <c r="N846">
        <f>IF(OR($M846="",$M846="—"),"",IF($M846&lt;-3,"Muito baixa",IF($M846&lt;-2,"Baixa","Adequada")))</f>
        <v/>
      </c>
      <c r="O846" s="12">
        <f>IF(OR($S846="",$F846="",$T846="",$T846&lt;0,$T846&gt;120,$AJ846=""),"—",ROUND(IF(ABS($AM846)&lt;=3,$AM846,IF($AM846&gt;3,3+($F846-$AO846)/($AO846-$AN846),-3+($F846-$AQ846)/($AP846-$AQ846))),2))</f>
        <v/>
      </c>
      <c r="P846">
        <f>IF(OR($O846="",$O846="—"),"",IF($O846&lt;-3,"Muito baixo",IF($O846&lt;-2,"Baixo",IF($O846&lt;=2,"Adequado","Elevado"))))</f>
        <v/>
      </c>
      <c r="Q846" s="12">
        <f>IF(OR($S846="",$F846="",$T846="",$T846&lt;0,$T846&gt;60,$AR846=""),"—",ROUND(IF(ABS($AU846)&lt;=3,$AU846,IF($AU846&gt;3,3+($F846-$AW846)/($AW846-$AV846),-3+($F846-$AY846)/($AX846-$AY846))),2))</f>
        <v/>
      </c>
      <c r="R846">
        <f>IF(OR($Q846="",$Q846="—"),"",IF($Q846&lt;-3,"Magreza acentuada",IF($Q846&lt;-2,"Magreza",IF($Q846&lt;=1,"Eutrofia",IF($Q846&lt;=2,"Risco de sobrepeso",IF($Q846&lt;=3,"Sobrepeso","Obesidade"))))))</f>
        <v/>
      </c>
      <c r="S846">
        <f>IF($C846="","",IF(UPPER(LEFT($C846,1))="M",1,IF(UPPER(LEFT($C846,1))="F",2,"")))</f>
        <v/>
      </c>
      <c r="T846">
        <f>IF(OR($D846="",$E846=""),"",DATEDIF($D846,$E846,"m"))</f>
        <v/>
      </c>
      <c r="U846">
        <f>IF(OR($D846="",$E846=""),"",$E846-$D846)</f>
        <v/>
      </c>
      <c r="V846">
        <f>IF(OR($G846="",$T846=""),"",IF($T846&lt;24,IF(LEFT(LOWER($H846),4)="em p",$G846+0.7,$G846),IF(LEFT(LOWER($H846),4)="deit",$G846-0.7,$G846)))</f>
        <v/>
      </c>
      <c r="W846">
        <f>IF(OR($S846="",$T846=""),"",$S846*1000000+IF($T846&lt;=60,$U846,$T846))</f>
        <v/>
      </c>
      <c r="X846">
        <f>IF(OR($S846="",$V846="",$T846&gt;60,$T846=""),"",$S846*1000000+ROUND($V846*10,0))</f>
        <v/>
      </c>
      <c r="Y846">
        <f>IF($W846="","",IFERROR(INDEX(IF($T846&lt;=60,imc05_l,imc519_l),MATCH($W846,IF($T846&lt;=60,imc05_k,imc519_k),1)),""))</f>
        <v/>
      </c>
      <c r="Z846">
        <f>IF($W846="","",IFERROR(INDEX(IF($T846&lt;=60,imc05_m,imc519_m),MATCH($W846,IF($T846&lt;=60,imc05_k,imc519_k),1)),""))</f>
        <v/>
      </c>
      <c r="AA846">
        <f>IF($W846="","",IFERROR(INDEX(IF($T846&lt;=60,imc05_s,imc519_s),MATCH($W846,IF($T846&lt;=60,imc05_k,imc519_k),1)),""))</f>
        <v/>
      </c>
      <c r="AB846">
        <f>IF($Y846="","",IF($Y846=0,LN($J846/$Z846)/$AA846,((($J846/$Z846)^$Y846)-1)/($Y846*$AA846)))</f>
        <v/>
      </c>
      <c r="AC846">
        <f>IF($Y846="","",IF($Y846=0,$Z846*EXP($AA846*2),$Z846*(1+$Y846*$AA846*2)^(1/$Y846)))</f>
        <v/>
      </c>
      <c r="AD846">
        <f>IF($Y846="","",IF($Y846=0,$Z846*EXP($AA846*3),$Z846*(1+$Y846*$AA846*3)^(1/$Y846)))</f>
        <v/>
      </c>
      <c r="AE846">
        <f>IF($Y846="","",IF($Y846=0,$Z846*EXP($AA846*-2),$Z846*(1+$Y846*$AA846*-2)^(1/$Y846)))</f>
        <v/>
      </c>
      <c r="AF846">
        <f>IF($Y846="","",IF($Y846=0,$Z846*EXP($AA846*-3),$Z846*(1+$Y846*$AA846*-3)^(1/$Y846)))</f>
        <v/>
      </c>
      <c r="AG846">
        <f>IF($W846="","",IFERROR(INDEX(IF($T846&lt;=60,est05_l,est519_l),MATCH($W846,IF($T846&lt;=60,est05_k,est519_k),1)),""))</f>
        <v/>
      </c>
      <c r="AH846">
        <f>IF($W846="","",IFERROR(INDEX(IF($T846&lt;=60,est05_m,est519_m),MATCH($W846,IF($T846&lt;=60,est05_k,est519_k),1)),""))</f>
        <v/>
      </c>
      <c r="AI846">
        <f>IF($W846="","",IFERROR(INDEX(IF($T846&lt;=60,est05_s,est519_s),MATCH($W846,IF($T846&lt;=60,est05_k,est519_k),1)),""))</f>
        <v/>
      </c>
      <c r="AJ846">
        <f>IF($W846="","",IFERROR(INDEX(IF($T846&lt;=60,peso05_l,peso510_l),MATCH($W846,IF($T846&lt;=60,peso05_k,peso510_k),1)),""))</f>
        <v/>
      </c>
      <c r="AK846">
        <f>IF($W846="","",IFERROR(INDEX(IF($T846&lt;=60,peso05_m,peso510_m),MATCH($W846,IF($T846&lt;=60,peso05_k,peso510_k),1)),""))</f>
        <v/>
      </c>
      <c r="AL846">
        <f>IF($W846="","",IFERROR(INDEX(IF($T846&lt;=60,peso05_s,peso510_s),MATCH($W846,IF($T846&lt;=60,peso05_k,peso510_k),1)),""))</f>
        <v/>
      </c>
      <c r="AM846">
        <f>IF($AJ846="","",IF($AJ846=0,LN($F846/$AK846)/$AL846,((($F846/$AK846)^$AJ846)-1)/($AJ846*$AL846)))</f>
        <v/>
      </c>
      <c r="AN846">
        <f>IF($AJ846="","",IF($AJ846=0,$AK846*EXP($AL846*2),$AK846*(1+$AJ846*$AL846*2)^(1/$AJ846)))</f>
        <v/>
      </c>
      <c r="AO846">
        <f>IF($AJ846="","",IF($AJ846=0,$AK846*EXP($AL846*3),$AK846*(1+$AJ846*$AL846*3)^(1/$AJ846)))</f>
        <v/>
      </c>
      <c r="AP846">
        <f>IF($AJ846="","",IF($AJ846=0,$AK846*EXP($AL846*-2),$AK846*(1+$AJ846*$AL846*-2)^(1/$AJ846)))</f>
        <v/>
      </c>
      <c r="AQ846">
        <f>IF($AJ846="","",IF($AJ846=0,$AK846*EXP($AL846*-3),$AK846*(1+$AJ846*$AL846*-3)^(1/$AJ846)))</f>
        <v/>
      </c>
      <c r="AR846">
        <f>IF(OR($X846="",$T846&gt;60),"",IFERROR(INDEX(IF($T846&lt;24,pcomp_l,palt_l),MATCH($X846,IF($T846&lt;24,pcomp_k,palt_k),1)),""))</f>
        <v/>
      </c>
      <c r="AS846">
        <f>IF(OR($X846="",$T846&gt;60),"",IFERROR(INDEX(IF($T846&lt;24,pcomp_m,palt_m),MATCH($X846,IF($T846&lt;24,pcomp_k,palt_k),1)),""))</f>
        <v/>
      </c>
      <c r="AT846">
        <f>IF(OR($X846="",$T846&gt;60),"",IFERROR(INDEX(IF($T846&lt;24,pcomp_s,palt_s),MATCH($X846,IF($T846&lt;24,pcomp_k,palt_k),1)),""))</f>
        <v/>
      </c>
      <c r="AU846">
        <f>IF($AR846="","",IF($AR846=0,LN($F846/$AS846)/$AT846,((($F846/$AS846)^$AR846)-1)/($AR846*$AT846)))</f>
        <v/>
      </c>
      <c r="AV846">
        <f>IF($AR846="","",IF($AR846=0,$AS846*EXP($AT846*2),$AS846*(1+$AR846*$AT846*2)^(1/$AR846)))</f>
        <v/>
      </c>
      <c r="AW846">
        <f>IF($AR846="","",IF($AR846=0,$AS846*EXP($AT846*3),$AS846*(1+$AR846*$AT846*3)^(1/$AR846)))</f>
        <v/>
      </c>
      <c r="AX846">
        <f>IF($AR846="","",IF($AR846=0,$AS846*EXP($AT846*-2),$AS846*(1+$AR846*$AT846*-2)^(1/$AR846)))</f>
        <v/>
      </c>
      <c r="AY846">
        <f>IF($AR846="","",IF($AR846=0,$AS846*EXP($AT846*-3),$AS846*(1+$AR846*$AT846*-3)^(1/$AR846)))</f>
        <v/>
      </c>
      <c r="AZ846">
        <f>IF(OR($A846="",$A846&lt;&gt;Ficha!$C$4),"",COUNTIF($A$2:$A846,Ficha!$C$4))</f>
        <v/>
      </c>
    </row>
    <row r="847">
      <c r="A847" s="8">
        <f>IF(INDEX(Banco!$A:$A,ROW())="","",INDEX(Banco!$A:$A,ROW()))</f>
        <v/>
      </c>
      <c r="B847" s="8">
        <f>IF(INDEX(Banco!$B:$B,ROW())="","",INDEX(Banco!$B:$B,ROW()))</f>
        <v/>
      </c>
      <c r="C847" s="8">
        <f>IF(INDEX(Banco!$C:$C,ROW())="","",INDEX(Banco!$C:$C,ROW()))</f>
        <v/>
      </c>
      <c r="D847" s="9">
        <f>IF(INDEX(Banco!$D:$D,ROW())="","",INDEX(Banco!$D:$D,ROW()))</f>
        <v/>
      </c>
      <c r="E847" s="9">
        <f>IF(INDEX(Banco!$E:$E,ROW())="","",INDEX(Banco!$E:$E,ROW()))</f>
        <v/>
      </c>
      <c r="F847" s="10">
        <f>IF(INDEX(Banco!$F:$F,ROW())="","",INDEX(Banco!$F:$F,ROW()))</f>
        <v/>
      </c>
      <c r="G847" s="10">
        <f>IF(INDEX(Banco!$G:$G,ROW())="","",INDEX(Banco!$G:$G,ROW()))</f>
        <v/>
      </c>
      <c r="H847" s="8">
        <f>IF(INDEX(Banco!$H:$H,ROW())="","",INDEX(Banco!$H:$H,ROW()))</f>
        <v/>
      </c>
      <c r="I847">
        <f>IF($T847="","",INT($T847/12)&amp;"a "&amp;MOD($T847,12)&amp;"m")</f>
        <v/>
      </c>
      <c r="J847" s="11">
        <f>IF(OR($F847="",$G847=""),"",ROUND($F847/($G847/100)^2,2))</f>
        <v/>
      </c>
      <c r="K847" s="12">
        <f>IF(OR($S847="",$J847="",$T847="",$T847&lt;0,$T847&gt;228,$Y847=""),"—",ROUND(IF(ABS($AB847)&lt;=3,$AB847,IF($AB847&gt;3,3+($J847-$AD847)/($AD847-$AC847),-3+($J847-$AF847)/($AE847-$AF847))),2))</f>
        <v/>
      </c>
      <c r="L847">
        <f>IF(OR($K847="",$K847="—"),"",IF($T847&lt;=60,IF($K847&lt;-3,"Magreza acentuada",IF($K847&lt;-2,"Magreza",IF($K847&lt;=1,"Eutrofia",IF($K847&lt;=2,"Risco de sobrepeso",IF($K847&lt;=3,"Sobrepeso","Obesidade"))))),IF($K847&lt;-3,"Magreza acentuada",IF($K847&lt;-2,"Magreza",IF($K847&lt;=1,"Eutrofia",IF($K847&lt;=2,"Sobrepeso",IF($K847&lt;=3,"Obesidade","Obesidade grave")))))))</f>
        <v/>
      </c>
      <c r="M847" s="12">
        <f>IF(OR($S847="",$V847="",$T847="",$T847&lt;0,$T847&gt;228,$AG847=""),"—",ROUND(IF($AG847=0,LN($V847/$AH847)/$AI847,((($V847/$AH847)^$AG847)-1)/($AG847*$AI847)),2))</f>
        <v/>
      </c>
      <c r="N847">
        <f>IF(OR($M847="",$M847="—"),"",IF($M847&lt;-3,"Muito baixa",IF($M847&lt;-2,"Baixa","Adequada")))</f>
        <v/>
      </c>
      <c r="O847" s="12">
        <f>IF(OR($S847="",$F847="",$T847="",$T847&lt;0,$T847&gt;120,$AJ847=""),"—",ROUND(IF(ABS($AM847)&lt;=3,$AM847,IF($AM847&gt;3,3+($F847-$AO847)/($AO847-$AN847),-3+($F847-$AQ847)/($AP847-$AQ847))),2))</f>
        <v/>
      </c>
      <c r="P847">
        <f>IF(OR($O847="",$O847="—"),"",IF($O847&lt;-3,"Muito baixo",IF($O847&lt;-2,"Baixo",IF($O847&lt;=2,"Adequado","Elevado"))))</f>
        <v/>
      </c>
      <c r="Q847" s="12">
        <f>IF(OR($S847="",$F847="",$T847="",$T847&lt;0,$T847&gt;60,$AR847=""),"—",ROUND(IF(ABS($AU847)&lt;=3,$AU847,IF($AU847&gt;3,3+($F847-$AW847)/($AW847-$AV847),-3+($F847-$AY847)/($AX847-$AY847))),2))</f>
        <v/>
      </c>
      <c r="R847">
        <f>IF(OR($Q847="",$Q847="—"),"",IF($Q847&lt;-3,"Magreza acentuada",IF($Q847&lt;-2,"Magreza",IF($Q847&lt;=1,"Eutrofia",IF($Q847&lt;=2,"Risco de sobrepeso",IF($Q847&lt;=3,"Sobrepeso","Obesidade"))))))</f>
        <v/>
      </c>
      <c r="S847">
        <f>IF($C847="","",IF(UPPER(LEFT($C847,1))="M",1,IF(UPPER(LEFT($C847,1))="F",2,"")))</f>
        <v/>
      </c>
      <c r="T847">
        <f>IF(OR($D847="",$E847=""),"",DATEDIF($D847,$E847,"m"))</f>
        <v/>
      </c>
      <c r="U847">
        <f>IF(OR($D847="",$E847=""),"",$E847-$D847)</f>
        <v/>
      </c>
      <c r="V847">
        <f>IF(OR($G847="",$T847=""),"",IF($T847&lt;24,IF(LEFT(LOWER($H847),4)="em p",$G847+0.7,$G847),IF(LEFT(LOWER($H847),4)="deit",$G847-0.7,$G847)))</f>
        <v/>
      </c>
      <c r="W847">
        <f>IF(OR($S847="",$T847=""),"",$S847*1000000+IF($T847&lt;=60,$U847,$T847))</f>
        <v/>
      </c>
      <c r="X847">
        <f>IF(OR($S847="",$V847="",$T847&gt;60,$T847=""),"",$S847*1000000+ROUND($V847*10,0))</f>
        <v/>
      </c>
      <c r="Y847">
        <f>IF($W847="","",IFERROR(INDEX(IF($T847&lt;=60,imc05_l,imc519_l),MATCH($W847,IF($T847&lt;=60,imc05_k,imc519_k),1)),""))</f>
        <v/>
      </c>
      <c r="Z847">
        <f>IF($W847="","",IFERROR(INDEX(IF($T847&lt;=60,imc05_m,imc519_m),MATCH($W847,IF($T847&lt;=60,imc05_k,imc519_k),1)),""))</f>
        <v/>
      </c>
      <c r="AA847">
        <f>IF($W847="","",IFERROR(INDEX(IF($T847&lt;=60,imc05_s,imc519_s),MATCH($W847,IF($T847&lt;=60,imc05_k,imc519_k),1)),""))</f>
        <v/>
      </c>
      <c r="AB847">
        <f>IF($Y847="","",IF($Y847=0,LN($J847/$Z847)/$AA847,((($J847/$Z847)^$Y847)-1)/($Y847*$AA847)))</f>
        <v/>
      </c>
      <c r="AC847">
        <f>IF($Y847="","",IF($Y847=0,$Z847*EXP($AA847*2),$Z847*(1+$Y847*$AA847*2)^(1/$Y847)))</f>
        <v/>
      </c>
      <c r="AD847">
        <f>IF($Y847="","",IF($Y847=0,$Z847*EXP($AA847*3),$Z847*(1+$Y847*$AA847*3)^(1/$Y847)))</f>
        <v/>
      </c>
      <c r="AE847">
        <f>IF($Y847="","",IF($Y847=0,$Z847*EXP($AA847*-2),$Z847*(1+$Y847*$AA847*-2)^(1/$Y847)))</f>
        <v/>
      </c>
      <c r="AF847">
        <f>IF($Y847="","",IF($Y847=0,$Z847*EXP($AA847*-3),$Z847*(1+$Y847*$AA847*-3)^(1/$Y847)))</f>
        <v/>
      </c>
      <c r="AG847">
        <f>IF($W847="","",IFERROR(INDEX(IF($T847&lt;=60,est05_l,est519_l),MATCH($W847,IF($T847&lt;=60,est05_k,est519_k),1)),""))</f>
        <v/>
      </c>
      <c r="AH847">
        <f>IF($W847="","",IFERROR(INDEX(IF($T847&lt;=60,est05_m,est519_m),MATCH($W847,IF($T847&lt;=60,est05_k,est519_k),1)),""))</f>
        <v/>
      </c>
      <c r="AI847">
        <f>IF($W847="","",IFERROR(INDEX(IF($T847&lt;=60,est05_s,est519_s),MATCH($W847,IF($T847&lt;=60,est05_k,est519_k),1)),""))</f>
        <v/>
      </c>
      <c r="AJ847">
        <f>IF($W847="","",IFERROR(INDEX(IF($T847&lt;=60,peso05_l,peso510_l),MATCH($W847,IF($T847&lt;=60,peso05_k,peso510_k),1)),""))</f>
        <v/>
      </c>
      <c r="AK847">
        <f>IF($W847="","",IFERROR(INDEX(IF($T847&lt;=60,peso05_m,peso510_m),MATCH($W847,IF($T847&lt;=60,peso05_k,peso510_k),1)),""))</f>
        <v/>
      </c>
      <c r="AL847">
        <f>IF($W847="","",IFERROR(INDEX(IF($T847&lt;=60,peso05_s,peso510_s),MATCH($W847,IF($T847&lt;=60,peso05_k,peso510_k),1)),""))</f>
        <v/>
      </c>
      <c r="AM847">
        <f>IF($AJ847="","",IF($AJ847=0,LN($F847/$AK847)/$AL847,((($F847/$AK847)^$AJ847)-1)/($AJ847*$AL847)))</f>
        <v/>
      </c>
      <c r="AN847">
        <f>IF($AJ847="","",IF($AJ847=0,$AK847*EXP($AL847*2),$AK847*(1+$AJ847*$AL847*2)^(1/$AJ847)))</f>
        <v/>
      </c>
      <c r="AO847">
        <f>IF($AJ847="","",IF($AJ847=0,$AK847*EXP($AL847*3),$AK847*(1+$AJ847*$AL847*3)^(1/$AJ847)))</f>
        <v/>
      </c>
      <c r="AP847">
        <f>IF($AJ847="","",IF($AJ847=0,$AK847*EXP($AL847*-2),$AK847*(1+$AJ847*$AL847*-2)^(1/$AJ847)))</f>
        <v/>
      </c>
      <c r="AQ847">
        <f>IF($AJ847="","",IF($AJ847=0,$AK847*EXP($AL847*-3),$AK847*(1+$AJ847*$AL847*-3)^(1/$AJ847)))</f>
        <v/>
      </c>
      <c r="AR847">
        <f>IF(OR($X847="",$T847&gt;60),"",IFERROR(INDEX(IF($T847&lt;24,pcomp_l,palt_l),MATCH($X847,IF($T847&lt;24,pcomp_k,palt_k),1)),""))</f>
        <v/>
      </c>
      <c r="AS847">
        <f>IF(OR($X847="",$T847&gt;60),"",IFERROR(INDEX(IF($T847&lt;24,pcomp_m,palt_m),MATCH($X847,IF($T847&lt;24,pcomp_k,palt_k),1)),""))</f>
        <v/>
      </c>
      <c r="AT847">
        <f>IF(OR($X847="",$T847&gt;60),"",IFERROR(INDEX(IF($T847&lt;24,pcomp_s,palt_s),MATCH($X847,IF($T847&lt;24,pcomp_k,palt_k),1)),""))</f>
        <v/>
      </c>
      <c r="AU847">
        <f>IF($AR847="","",IF($AR847=0,LN($F847/$AS847)/$AT847,((($F847/$AS847)^$AR847)-1)/($AR847*$AT847)))</f>
        <v/>
      </c>
      <c r="AV847">
        <f>IF($AR847="","",IF($AR847=0,$AS847*EXP($AT847*2),$AS847*(1+$AR847*$AT847*2)^(1/$AR847)))</f>
        <v/>
      </c>
      <c r="AW847">
        <f>IF($AR847="","",IF($AR847=0,$AS847*EXP($AT847*3),$AS847*(1+$AR847*$AT847*3)^(1/$AR847)))</f>
        <v/>
      </c>
      <c r="AX847">
        <f>IF($AR847="","",IF($AR847=0,$AS847*EXP($AT847*-2),$AS847*(1+$AR847*$AT847*-2)^(1/$AR847)))</f>
        <v/>
      </c>
      <c r="AY847">
        <f>IF($AR847="","",IF($AR847=0,$AS847*EXP($AT847*-3),$AS847*(1+$AR847*$AT847*-3)^(1/$AR847)))</f>
        <v/>
      </c>
      <c r="AZ847">
        <f>IF(OR($A847="",$A847&lt;&gt;Ficha!$C$4),"",COUNTIF($A$2:$A847,Ficha!$C$4))</f>
        <v/>
      </c>
    </row>
    <row r="848">
      <c r="A848" s="8">
        <f>IF(INDEX(Banco!$A:$A,ROW())="","",INDEX(Banco!$A:$A,ROW()))</f>
        <v/>
      </c>
      <c r="B848" s="8">
        <f>IF(INDEX(Banco!$B:$B,ROW())="","",INDEX(Banco!$B:$B,ROW()))</f>
        <v/>
      </c>
      <c r="C848" s="8">
        <f>IF(INDEX(Banco!$C:$C,ROW())="","",INDEX(Banco!$C:$C,ROW()))</f>
        <v/>
      </c>
      <c r="D848" s="9">
        <f>IF(INDEX(Banco!$D:$D,ROW())="","",INDEX(Banco!$D:$D,ROW()))</f>
        <v/>
      </c>
      <c r="E848" s="9">
        <f>IF(INDEX(Banco!$E:$E,ROW())="","",INDEX(Banco!$E:$E,ROW()))</f>
        <v/>
      </c>
      <c r="F848" s="10">
        <f>IF(INDEX(Banco!$F:$F,ROW())="","",INDEX(Banco!$F:$F,ROW()))</f>
        <v/>
      </c>
      <c r="G848" s="10">
        <f>IF(INDEX(Banco!$G:$G,ROW())="","",INDEX(Banco!$G:$G,ROW()))</f>
        <v/>
      </c>
      <c r="H848" s="8">
        <f>IF(INDEX(Banco!$H:$H,ROW())="","",INDEX(Banco!$H:$H,ROW()))</f>
        <v/>
      </c>
      <c r="I848">
        <f>IF($T848="","",INT($T848/12)&amp;"a "&amp;MOD($T848,12)&amp;"m")</f>
        <v/>
      </c>
      <c r="J848" s="11">
        <f>IF(OR($F848="",$G848=""),"",ROUND($F848/($G848/100)^2,2))</f>
        <v/>
      </c>
      <c r="K848" s="12">
        <f>IF(OR($S848="",$J848="",$T848="",$T848&lt;0,$T848&gt;228,$Y848=""),"—",ROUND(IF(ABS($AB848)&lt;=3,$AB848,IF($AB848&gt;3,3+($J848-$AD848)/($AD848-$AC848),-3+($J848-$AF848)/($AE848-$AF848))),2))</f>
        <v/>
      </c>
      <c r="L848">
        <f>IF(OR($K848="",$K848="—"),"",IF($T848&lt;=60,IF($K848&lt;-3,"Magreza acentuada",IF($K848&lt;-2,"Magreza",IF($K848&lt;=1,"Eutrofia",IF($K848&lt;=2,"Risco de sobrepeso",IF($K848&lt;=3,"Sobrepeso","Obesidade"))))),IF($K848&lt;-3,"Magreza acentuada",IF($K848&lt;-2,"Magreza",IF($K848&lt;=1,"Eutrofia",IF($K848&lt;=2,"Sobrepeso",IF($K848&lt;=3,"Obesidade","Obesidade grave")))))))</f>
        <v/>
      </c>
      <c r="M848" s="12">
        <f>IF(OR($S848="",$V848="",$T848="",$T848&lt;0,$T848&gt;228,$AG848=""),"—",ROUND(IF($AG848=0,LN($V848/$AH848)/$AI848,((($V848/$AH848)^$AG848)-1)/($AG848*$AI848)),2))</f>
        <v/>
      </c>
      <c r="N848">
        <f>IF(OR($M848="",$M848="—"),"",IF($M848&lt;-3,"Muito baixa",IF($M848&lt;-2,"Baixa","Adequada")))</f>
        <v/>
      </c>
      <c r="O848" s="12">
        <f>IF(OR($S848="",$F848="",$T848="",$T848&lt;0,$T848&gt;120,$AJ848=""),"—",ROUND(IF(ABS($AM848)&lt;=3,$AM848,IF($AM848&gt;3,3+($F848-$AO848)/($AO848-$AN848),-3+($F848-$AQ848)/($AP848-$AQ848))),2))</f>
        <v/>
      </c>
      <c r="P848">
        <f>IF(OR($O848="",$O848="—"),"",IF($O848&lt;-3,"Muito baixo",IF($O848&lt;-2,"Baixo",IF($O848&lt;=2,"Adequado","Elevado"))))</f>
        <v/>
      </c>
      <c r="Q848" s="12">
        <f>IF(OR($S848="",$F848="",$T848="",$T848&lt;0,$T848&gt;60,$AR848=""),"—",ROUND(IF(ABS($AU848)&lt;=3,$AU848,IF($AU848&gt;3,3+($F848-$AW848)/($AW848-$AV848),-3+($F848-$AY848)/($AX848-$AY848))),2))</f>
        <v/>
      </c>
      <c r="R848">
        <f>IF(OR($Q848="",$Q848="—"),"",IF($Q848&lt;-3,"Magreza acentuada",IF($Q848&lt;-2,"Magreza",IF($Q848&lt;=1,"Eutrofia",IF($Q848&lt;=2,"Risco de sobrepeso",IF($Q848&lt;=3,"Sobrepeso","Obesidade"))))))</f>
        <v/>
      </c>
      <c r="S848">
        <f>IF($C848="","",IF(UPPER(LEFT($C848,1))="M",1,IF(UPPER(LEFT($C848,1))="F",2,"")))</f>
        <v/>
      </c>
      <c r="T848">
        <f>IF(OR($D848="",$E848=""),"",DATEDIF($D848,$E848,"m"))</f>
        <v/>
      </c>
      <c r="U848">
        <f>IF(OR($D848="",$E848=""),"",$E848-$D848)</f>
        <v/>
      </c>
      <c r="V848">
        <f>IF(OR($G848="",$T848=""),"",IF($T848&lt;24,IF(LEFT(LOWER($H848),4)="em p",$G848+0.7,$G848),IF(LEFT(LOWER($H848),4)="deit",$G848-0.7,$G848)))</f>
        <v/>
      </c>
      <c r="W848">
        <f>IF(OR($S848="",$T848=""),"",$S848*1000000+IF($T848&lt;=60,$U848,$T848))</f>
        <v/>
      </c>
      <c r="X848">
        <f>IF(OR($S848="",$V848="",$T848&gt;60,$T848=""),"",$S848*1000000+ROUND($V848*10,0))</f>
        <v/>
      </c>
      <c r="Y848">
        <f>IF($W848="","",IFERROR(INDEX(IF($T848&lt;=60,imc05_l,imc519_l),MATCH($W848,IF($T848&lt;=60,imc05_k,imc519_k),1)),""))</f>
        <v/>
      </c>
      <c r="Z848">
        <f>IF($W848="","",IFERROR(INDEX(IF($T848&lt;=60,imc05_m,imc519_m),MATCH($W848,IF($T848&lt;=60,imc05_k,imc519_k),1)),""))</f>
        <v/>
      </c>
      <c r="AA848">
        <f>IF($W848="","",IFERROR(INDEX(IF($T848&lt;=60,imc05_s,imc519_s),MATCH($W848,IF($T848&lt;=60,imc05_k,imc519_k),1)),""))</f>
        <v/>
      </c>
      <c r="AB848">
        <f>IF($Y848="","",IF($Y848=0,LN($J848/$Z848)/$AA848,((($J848/$Z848)^$Y848)-1)/($Y848*$AA848)))</f>
        <v/>
      </c>
      <c r="AC848">
        <f>IF($Y848="","",IF($Y848=0,$Z848*EXP($AA848*2),$Z848*(1+$Y848*$AA848*2)^(1/$Y848)))</f>
        <v/>
      </c>
      <c r="AD848">
        <f>IF($Y848="","",IF($Y848=0,$Z848*EXP($AA848*3),$Z848*(1+$Y848*$AA848*3)^(1/$Y848)))</f>
        <v/>
      </c>
      <c r="AE848">
        <f>IF($Y848="","",IF($Y848=0,$Z848*EXP($AA848*-2),$Z848*(1+$Y848*$AA848*-2)^(1/$Y848)))</f>
        <v/>
      </c>
      <c r="AF848">
        <f>IF($Y848="","",IF($Y848=0,$Z848*EXP($AA848*-3),$Z848*(1+$Y848*$AA848*-3)^(1/$Y848)))</f>
        <v/>
      </c>
      <c r="AG848">
        <f>IF($W848="","",IFERROR(INDEX(IF($T848&lt;=60,est05_l,est519_l),MATCH($W848,IF($T848&lt;=60,est05_k,est519_k),1)),""))</f>
        <v/>
      </c>
      <c r="AH848">
        <f>IF($W848="","",IFERROR(INDEX(IF($T848&lt;=60,est05_m,est519_m),MATCH($W848,IF($T848&lt;=60,est05_k,est519_k),1)),""))</f>
        <v/>
      </c>
      <c r="AI848">
        <f>IF($W848="","",IFERROR(INDEX(IF($T848&lt;=60,est05_s,est519_s),MATCH($W848,IF($T848&lt;=60,est05_k,est519_k),1)),""))</f>
        <v/>
      </c>
      <c r="AJ848">
        <f>IF($W848="","",IFERROR(INDEX(IF($T848&lt;=60,peso05_l,peso510_l),MATCH($W848,IF($T848&lt;=60,peso05_k,peso510_k),1)),""))</f>
        <v/>
      </c>
      <c r="AK848">
        <f>IF($W848="","",IFERROR(INDEX(IF($T848&lt;=60,peso05_m,peso510_m),MATCH($W848,IF($T848&lt;=60,peso05_k,peso510_k),1)),""))</f>
        <v/>
      </c>
      <c r="AL848">
        <f>IF($W848="","",IFERROR(INDEX(IF($T848&lt;=60,peso05_s,peso510_s),MATCH($W848,IF($T848&lt;=60,peso05_k,peso510_k),1)),""))</f>
        <v/>
      </c>
      <c r="AM848">
        <f>IF($AJ848="","",IF($AJ848=0,LN($F848/$AK848)/$AL848,((($F848/$AK848)^$AJ848)-1)/($AJ848*$AL848)))</f>
        <v/>
      </c>
      <c r="AN848">
        <f>IF($AJ848="","",IF($AJ848=0,$AK848*EXP($AL848*2),$AK848*(1+$AJ848*$AL848*2)^(1/$AJ848)))</f>
        <v/>
      </c>
      <c r="AO848">
        <f>IF($AJ848="","",IF($AJ848=0,$AK848*EXP($AL848*3),$AK848*(1+$AJ848*$AL848*3)^(1/$AJ848)))</f>
        <v/>
      </c>
      <c r="AP848">
        <f>IF($AJ848="","",IF($AJ848=0,$AK848*EXP($AL848*-2),$AK848*(1+$AJ848*$AL848*-2)^(1/$AJ848)))</f>
        <v/>
      </c>
      <c r="AQ848">
        <f>IF($AJ848="","",IF($AJ848=0,$AK848*EXP($AL848*-3),$AK848*(1+$AJ848*$AL848*-3)^(1/$AJ848)))</f>
        <v/>
      </c>
      <c r="AR848">
        <f>IF(OR($X848="",$T848&gt;60),"",IFERROR(INDEX(IF($T848&lt;24,pcomp_l,palt_l),MATCH($X848,IF($T848&lt;24,pcomp_k,palt_k),1)),""))</f>
        <v/>
      </c>
      <c r="AS848">
        <f>IF(OR($X848="",$T848&gt;60),"",IFERROR(INDEX(IF($T848&lt;24,pcomp_m,palt_m),MATCH($X848,IF($T848&lt;24,pcomp_k,palt_k),1)),""))</f>
        <v/>
      </c>
      <c r="AT848">
        <f>IF(OR($X848="",$T848&gt;60),"",IFERROR(INDEX(IF($T848&lt;24,pcomp_s,palt_s),MATCH($X848,IF($T848&lt;24,pcomp_k,palt_k),1)),""))</f>
        <v/>
      </c>
      <c r="AU848">
        <f>IF($AR848="","",IF($AR848=0,LN($F848/$AS848)/$AT848,((($F848/$AS848)^$AR848)-1)/($AR848*$AT848)))</f>
        <v/>
      </c>
      <c r="AV848">
        <f>IF($AR848="","",IF($AR848=0,$AS848*EXP($AT848*2),$AS848*(1+$AR848*$AT848*2)^(1/$AR848)))</f>
        <v/>
      </c>
      <c r="AW848">
        <f>IF($AR848="","",IF($AR848=0,$AS848*EXP($AT848*3),$AS848*(1+$AR848*$AT848*3)^(1/$AR848)))</f>
        <v/>
      </c>
      <c r="AX848">
        <f>IF($AR848="","",IF($AR848=0,$AS848*EXP($AT848*-2),$AS848*(1+$AR848*$AT848*-2)^(1/$AR848)))</f>
        <v/>
      </c>
      <c r="AY848">
        <f>IF($AR848="","",IF($AR848=0,$AS848*EXP($AT848*-3),$AS848*(1+$AR848*$AT848*-3)^(1/$AR848)))</f>
        <v/>
      </c>
      <c r="AZ848">
        <f>IF(OR($A848="",$A848&lt;&gt;Ficha!$C$4),"",COUNTIF($A$2:$A848,Ficha!$C$4))</f>
        <v/>
      </c>
    </row>
    <row r="849">
      <c r="A849" s="8">
        <f>IF(INDEX(Banco!$A:$A,ROW())="","",INDEX(Banco!$A:$A,ROW()))</f>
        <v/>
      </c>
      <c r="B849" s="8">
        <f>IF(INDEX(Banco!$B:$B,ROW())="","",INDEX(Banco!$B:$B,ROW()))</f>
        <v/>
      </c>
      <c r="C849" s="8">
        <f>IF(INDEX(Banco!$C:$C,ROW())="","",INDEX(Banco!$C:$C,ROW()))</f>
        <v/>
      </c>
      <c r="D849" s="9">
        <f>IF(INDEX(Banco!$D:$D,ROW())="","",INDEX(Banco!$D:$D,ROW()))</f>
        <v/>
      </c>
      <c r="E849" s="9">
        <f>IF(INDEX(Banco!$E:$E,ROW())="","",INDEX(Banco!$E:$E,ROW()))</f>
        <v/>
      </c>
      <c r="F849" s="10">
        <f>IF(INDEX(Banco!$F:$F,ROW())="","",INDEX(Banco!$F:$F,ROW()))</f>
        <v/>
      </c>
      <c r="G849" s="10">
        <f>IF(INDEX(Banco!$G:$G,ROW())="","",INDEX(Banco!$G:$G,ROW()))</f>
        <v/>
      </c>
      <c r="H849" s="8">
        <f>IF(INDEX(Banco!$H:$H,ROW())="","",INDEX(Banco!$H:$H,ROW()))</f>
        <v/>
      </c>
      <c r="I849">
        <f>IF($T849="","",INT($T849/12)&amp;"a "&amp;MOD($T849,12)&amp;"m")</f>
        <v/>
      </c>
      <c r="J849" s="11">
        <f>IF(OR($F849="",$G849=""),"",ROUND($F849/($G849/100)^2,2))</f>
        <v/>
      </c>
      <c r="K849" s="12">
        <f>IF(OR($S849="",$J849="",$T849="",$T849&lt;0,$T849&gt;228,$Y849=""),"—",ROUND(IF(ABS($AB849)&lt;=3,$AB849,IF($AB849&gt;3,3+($J849-$AD849)/($AD849-$AC849),-3+($J849-$AF849)/($AE849-$AF849))),2))</f>
        <v/>
      </c>
      <c r="L849">
        <f>IF(OR($K849="",$K849="—"),"",IF($T849&lt;=60,IF($K849&lt;-3,"Magreza acentuada",IF($K849&lt;-2,"Magreza",IF($K849&lt;=1,"Eutrofia",IF($K849&lt;=2,"Risco de sobrepeso",IF($K849&lt;=3,"Sobrepeso","Obesidade"))))),IF($K849&lt;-3,"Magreza acentuada",IF($K849&lt;-2,"Magreza",IF($K849&lt;=1,"Eutrofia",IF($K849&lt;=2,"Sobrepeso",IF($K849&lt;=3,"Obesidade","Obesidade grave")))))))</f>
        <v/>
      </c>
      <c r="M849" s="12">
        <f>IF(OR($S849="",$V849="",$T849="",$T849&lt;0,$T849&gt;228,$AG849=""),"—",ROUND(IF($AG849=0,LN($V849/$AH849)/$AI849,((($V849/$AH849)^$AG849)-1)/($AG849*$AI849)),2))</f>
        <v/>
      </c>
      <c r="N849">
        <f>IF(OR($M849="",$M849="—"),"",IF($M849&lt;-3,"Muito baixa",IF($M849&lt;-2,"Baixa","Adequada")))</f>
        <v/>
      </c>
      <c r="O849" s="12">
        <f>IF(OR($S849="",$F849="",$T849="",$T849&lt;0,$T849&gt;120,$AJ849=""),"—",ROUND(IF(ABS($AM849)&lt;=3,$AM849,IF($AM849&gt;3,3+($F849-$AO849)/($AO849-$AN849),-3+($F849-$AQ849)/($AP849-$AQ849))),2))</f>
        <v/>
      </c>
      <c r="P849">
        <f>IF(OR($O849="",$O849="—"),"",IF($O849&lt;-3,"Muito baixo",IF($O849&lt;-2,"Baixo",IF($O849&lt;=2,"Adequado","Elevado"))))</f>
        <v/>
      </c>
      <c r="Q849" s="12">
        <f>IF(OR($S849="",$F849="",$T849="",$T849&lt;0,$T849&gt;60,$AR849=""),"—",ROUND(IF(ABS($AU849)&lt;=3,$AU849,IF($AU849&gt;3,3+($F849-$AW849)/($AW849-$AV849),-3+($F849-$AY849)/($AX849-$AY849))),2))</f>
        <v/>
      </c>
      <c r="R849">
        <f>IF(OR($Q849="",$Q849="—"),"",IF($Q849&lt;-3,"Magreza acentuada",IF($Q849&lt;-2,"Magreza",IF($Q849&lt;=1,"Eutrofia",IF($Q849&lt;=2,"Risco de sobrepeso",IF($Q849&lt;=3,"Sobrepeso","Obesidade"))))))</f>
        <v/>
      </c>
      <c r="S849">
        <f>IF($C849="","",IF(UPPER(LEFT($C849,1))="M",1,IF(UPPER(LEFT($C849,1))="F",2,"")))</f>
        <v/>
      </c>
      <c r="T849">
        <f>IF(OR($D849="",$E849=""),"",DATEDIF($D849,$E849,"m"))</f>
        <v/>
      </c>
      <c r="U849">
        <f>IF(OR($D849="",$E849=""),"",$E849-$D849)</f>
        <v/>
      </c>
      <c r="V849">
        <f>IF(OR($G849="",$T849=""),"",IF($T849&lt;24,IF(LEFT(LOWER($H849),4)="em p",$G849+0.7,$G849),IF(LEFT(LOWER($H849),4)="deit",$G849-0.7,$G849)))</f>
        <v/>
      </c>
      <c r="W849">
        <f>IF(OR($S849="",$T849=""),"",$S849*1000000+IF($T849&lt;=60,$U849,$T849))</f>
        <v/>
      </c>
      <c r="X849">
        <f>IF(OR($S849="",$V849="",$T849&gt;60,$T849=""),"",$S849*1000000+ROUND($V849*10,0))</f>
        <v/>
      </c>
      <c r="Y849">
        <f>IF($W849="","",IFERROR(INDEX(IF($T849&lt;=60,imc05_l,imc519_l),MATCH($W849,IF($T849&lt;=60,imc05_k,imc519_k),1)),""))</f>
        <v/>
      </c>
      <c r="Z849">
        <f>IF($W849="","",IFERROR(INDEX(IF($T849&lt;=60,imc05_m,imc519_m),MATCH($W849,IF($T849&lt;=60,imc05_k,imc519_k),1)),""))</f>
        <v/>
      </c>
      <c r="AA849">
        <f>IF($W849="","",IFERROR(INDEX(IF($T849&lt;=60,imc05_s,imc519_s),MATCH($W849,IF($T849&lt;=60,imc05_k,imc519_k),1)),""))</f>
        <v/>
      </c>
      <c r="AB849">
        <f>IF($Y849="","",IF($Y849=0,LN($J849/$Z849)/$AA849,((($J849/$Z849)^$Y849)-1)/($Y849*$AA849)))</f>
        <v/>
      </c>
      <c r="AC849">
        <f>IF($Y849="","",IF($Y849=0,$Z849*EXP($AA849*2),$Z849*(1+$Y849*$AA849*2)^(1/$Y849)))</f>
        <v/>
      </c>
      <c r="AD849">
        <f>IF($Y849="","",IF($Y849=0,$Z849*EXP($AA849*3),$Z849*(1+$Y849*$AA849*3)^(1/$Y849)))</f>
        <v/>
      </c>
      <c r="AE849">
        <f>IF($Y849="","",IF($Y849=0,$Z849*EXP($AA849*-2),$Z849*(1+$Y849*$AA849*-2)^(1/$Y849)))</f>
        <v/>
      </c>
      <c r="AF849">
        <f>IF($Y849="","",IF($Y849=0,$Z849*EXP($AA849*-3),$Z849*(1+$Y849*$AA849*-3)^(1/$Y849)))</f>
        <v/>
      </c>
      <c r="AG849">
        <f>IF($W849="","",IFERROR(INDEX(IF($T849&lt;=60,est05_l,est519_l),MATCH($W849,IF($T849&lt;=60,est05_k,est519_k),1)),""))</f>
        <v/>
      </c>
      <c r="AH849">
        <f>IF($W849="","",IFERROR(INDEX(IF($T849&lt;=60,est05_m,est519_m),MATCH($W849,IF($T849&lt;=60,est05_k,est519_k),1)),""))</f>
        <v/>
      </c>
      <c r="AI849">
        <f>IF($W849="","",IFERROR(INDEX(IF($T849&lt;=60,est05_s,est519_s),MATCH($W849,IF($T849&lt;=60,est05_k,est519_k),1)),""))</f>
        <v/>
      </c>
      <c r="AJ849">
        <f>IF($W849="","",IFERROR(INDEX(IF($T849&lt;=60,peso05_l,peso510_l),MATCH($W849,IF($T849&lt;=60,peso05_k,peso510_k),1)),""))</f>
        <v/>
      </c>
      <c r="AK849">
        <f>IF($W849="","",IFERROR(INDEX(IF($T849&lt;=60,peso05_m,peso510_m),MATCH($W849,IF($T849&lt;=60,peso05_k,peso510_k),1)),""))</f>
        <v/>
      </c>
      <c r="AL849">
        <f>IF($W849="","",IFERROR(INDEX(IF($T849&lt;=60,peso05_s,peso510_s),MATCH($W849,IF($T849&lt;=60,peso05_k,peso510_k),1)),""))</f>
        <v/>
      </c>
      <c r="AM849">
        <f>IF($AJ849="","",IF($AJ849=0,LN($F849/$AK849)/$AL849,((($F849/$AK849)^$AJ849)-1)/($AJ849*$AL849)))</f>
        <v/>
      </c>
      <c r="AN849">
        <f>IF($AJ849="","",IF($AJ849=0,$AK849*EXP($AL849*2),$AK849*(1+$AJ849*$AL849*2)^(1/$AJ849)))</f>
        <v/>
      </c>
      <c r="AO849">
        <f>IF($AJ849="","",IF($AJ849=0,$AK849*EXP($AL849*3),$AK849*(1+$AJ849*$AL849*3)^(1/$AJ849)))</f>
        <v/>
      </c>
      <c r="AP849">
        <f>IF($AJ849="","",IF($AJ849=0,$AK849*EXP($AL849*-2),$AK849*(1+$AJ849*$AL849*-2)^(1/$AJ849)))</f>
        <v/>
      </c>
      <c r="AQ849">
        <f>IF($AJ849="","",IF($AJ849=0,$AK849*EXP($AL849*-3),$AK849*(1+$AJ849*$AL849*-3)^(1/$AJ849)))</f>
        <v/>
      </c>
      <c r="AR849">
        <f>IF(OR($X849="",$T849&gt;60),"",IFERROR(INDEX(IF($T849&lt;24,pcomp_l,palt_l),MATCH($X849,IF($T849&lt;24,pcomp_k,palt_k),1)),""))</f>
        <v/>
      </c>
      <c r="AS849">
        <f>IF(OR($X849="",$T849&gt;60),"",IFERROR(INDEX(IF($T849&lt;24,pcomp_m,palt_m),MATCH($X849,IF($T849&lt;24,pcomp_k,palt_k),1)),""))</f>
        <v/>
      </c>
      <c r="AT849">
        <f>IF(OR($X849="",$T849&gt;60),"",IFERROR(INDEX(IF($T849&lt;24,pcomp_s,palt_s),MATCH($X849,IF($T849&lt;24,pcomp_k,palt_k),1)),""))</f>
        <v/>
      </c>
      <c r="AU849">
        <f>IF($AR849="","",IF($AR849=0,LN($F849/$AS849)/$AT849,((($F849/$AS849)^$AR849)-1)/($AR849*$AT849)))</f>
        <v/>
      </c>
      <c r="AV849">
        <f>IF($AR849="","",IF($AR849=0,$AS849*EXP($AT849*2),$AS849*(1+$AR849*$AT849*2)^(1/$AR849)))</f>
        <v/>
      </c>
      <c r="AW849">
        <f>IF($AR849="","",IF($AR849=0,$AS849*EXP($AT849*3),$AS849*(1+$AR849*$AT849*3)^(1/$AR849)))</f>
        <v/>
      </c>
      <c r="AX849">
        <f>IF($AR849="","",IF($AR849=0,$AS849*EXP($AT849*-2),$AS849*(1+$AR849*$AT849*-2)^(1/$AR849)))</f>
        <v/>
      </c>
      <c r="AY849">
        <f>IF($AR849="","",IF($AR849=0,$AS849*EXP($AT849*-3),$AS849*(1+$AR849*$AT849*-3)^(1/$AR849)))</f>
        <v/>
      </c>
      <c r="AZ849">
        <f>IF(OR($A849="",$A849&lt;&gt;Ficha!$C$4),"",COUNTIF($A$2:$A849,Ficha!$C$4))</f>
        <v/>
      </c>
    </row>
    <row r="850">
      <c r="A850" s="8">
        <f>IF(INDEX(Banco!$A:$A,ROW())="","",INDEX(Banco!$A:$A,ROW()))</f>
        <v/>
      </c>
      <c r="B850" s="8">
        <f>IF(INDEX(Banco!$B:$B,ROW())="","",INDEX(Banco!$B:$B,ROW()))</f>
        <v/>
      </c>
      <c r="C850" s="8">
        <f>IF(INDEX(Banco!$C:$C,ROW())="","",INDEX(Banco!$C:$C,ROW()))</f>
        <v/>
      </c>
      <c r="D850" s="9">
        <f>IF(INDEX(Banco!$D:$D,ROW())="","",INDEX(Banco!$D:$D,ROW()))</f>
        <v/>
      </c>
      <c r="E850" s="9">
        <f>IF(INDEX(Banco!$E:$E,ROW())="","",INDEX(Banco!$E:$E,ROW()))</f>
        <v/>
      </c>
      <c r="F850" s="10">
        <f>IF(INDEX(Banco!$F:$F,ROW())="","",INDEX(Banco!$F:$F,ROW()))</f>
        <v/>
      </c>
      <c r="G850" s="10">
        <f>IF(INDEX(Banco!$G:$G,ROW())="","",INDEX(Banco!$G:$G,ROW()))</f>
        <v/>
      </c>
      <c r="H850" s="8">
        <f>IF(INDEX(Banco!$H:$H,ROW())="","",INDEX(Banco!$H:$H,ROW()))</f>
        <v/>
      </c>
      <c r="I850">
        <f>IF($T850="","",INT($T850/12)&amp;"a "&amp;MOD($T850,12)&amp;"m")</f>
        <v/>
      </c>
      <c r="J850" s="11">
        <f>IF(OR($F850="",$G850=""),"",ROUND($F850/($G850/100)^2,2))</f>
        <v/>
      </c>
      <c r="K850" s="12">
        <f>IF(OR($S850="",$J850="",$T850="",$T850&lt;0,$T850&gt;228,$Y850=""),"—",ROUND(IF(ABS($AB850)&lt;=3,$AB850,IF($AB850&gt;3,3+($J850-$AD850)/($AD850-$AC850),-3+($J850-$AF850)/($AE850-$AF850))),2))</f>
        <v/>
      </c>
      <c r="L850">
        <f>IF(OR($K850="",$K850="—"),"",IF($T850&lt;=60,IF($K850&lt;-3,"Magreza acentuada",IF($K850&lt;-2,"Magreza",IF($K850&lt;=1,"Eutrofia",IF($K850&lt;=2,"Risco de sobrepeso",IF($K850&lt;=3,"Sobrepeso","Obesidade"))))),IF($K850&lt;-3,"Magreza acentuada",IF($K850&lt;-2,"Magreza",IF($K850&lt;=1,"Eutrofia",IF($K850&lt;=2,"Sobrepeso",IF($K850&lt;=3,"Obesidade","Obesidade grave")))))))</f>
        <v/>
      </c>
      <c r="M850" s="12">
        <f>IF(OR($S850="",$V850="",$T850="",$T850&lt;0,$T850&gt;228,$AG850=""),"—",ROUND(IF($AG850=0,LN($V850/$AH850)/$AI850,((($V850/$AH850)^$AG850)-1)/($AG850*$AI850)),2))</f>
        <v/>
      </c>
      <c r="N850">
        <f>IF(OR($M850="",$M850="—"),"",IF($M850&lt;-3,"Muito baixa",IF($M850&lt;-2,"Baixa","Adequada")))</f>
        <v/>
      </c>
      <c r="O850" s="12">
        <f>IF(OR($S850="",$F850="",$T850="",$T850&lt;0,$T850&gt;120,$AJ850=""),"—",ROUND(IF(ABS($AM850)&lt;=3,$AM850,IF($AM850&gt;3,3+($F850-$AO850)/($AO850-$AN850),-3+($F850-$AQ850)/($AP850-$AQ850))),2))</f>
        <v/>
      </c>
      <c r="P850">
        <f>IF(OR($O850="",$O850="—"),"",IF($O850&lt;-3,"Muito baixo",IF($O850&lt;-2,"Baixo",IF($O850&lt;=2,"Adequado","Elevado"))))</f>
        <v/>
      </c>
      <c r="Q850" s="12">
        <f>IF(OR($S850="",$F850="",$T850="",$T850&lt;0,$T850&gt;60,$AR850=""),"—",ROUND(IF(ABS($AU850)&lt;=3,$AU850,IF($AU850&gt;3,3+($F850-$AW850)/($AW850-$AV850),-3+($F850-$AY850)/($AX850-$AY850))),2))</f>
        <v/>
      </c>
      <c r="R850">
        <f>IF(OR($Q850="",$Q850="—"),"",IF($Q850&lt;-3,"Magreza acentuada",IF($Q850&lt;-2,"Magreza",IF($Q850&lt;=1,"Eutrofia",IF($Q850&lt;=2,"Risco de sobrepeso",IF($Q850&lt;=3,"Sobrepeso","Obesidade"))))))</f>
        <v/>
      </c>
      <c r="S850">
        <f>IF($C850="","",IF(UPPER(LEFT($C850,1))="M",1,IF(UPPER(LEFT($C850,1))="F",2,"")))</f>
        <v/>
      </c>
      <c r="T850">
        <f>IF(OR($D850="",$E850=""),"",DATEDIF($D850,$E850,"m"))</f>
        <v/>
      </c>
      <c r="U850">
        <f>IF(OR($D850="",$E850=""),"",$E850-$D850)</f>
        <v/>
      </c>
      <c r="V850">
        <f>IF(OR($G850="",$T850=""),"",IF($T850&lt;24,IF(LEFT(LOWER($H850),4)="em p",$G850+0.7,$G850),IF(LEFT(LOWER($H850),4)="deit",$G850-0.7,$G850)))</f>
        <v/>
      </c>
      <c r="W850">
        <f>IF(OR($S850="",$T850=""),"",$S850*1000000+IF($T850&lt;=60,$U850,$T850))</f>
        <v/>
      </c>
      <c r="X850">
        <f>IF(OR($S850="",$V850="",$T850&gt;60,$T850=""),"",$S850*1000000+ROUND($V850*10,0))</f>
        <v/>
      </c>
      <c r="Y850">
        <f>IF($W850="","",IFERROR(INDEX(IF($T850&lt;=60,imc05_l,imc519_l),MATCH($W850,IF($T850&lt;=60,imc05_k,imc519_k),1)),""))</f>
        <v/>
      </c>
      <c r="Z850">
        <f>IF($W850="","",IFERROR(INDEX(IF($T850&lt;=60,imc05_m,imc519_m),MATCH($W850,IF($T850&lt;=60,imc05_k,imc519_k),1)),""))</f>
        <v/>
      </c>
      <c r="AA850">
        <f>IF($W850="","",IFERROR(INDEX(IF($T850&lt;=60,imc05_s,imc519_s),MATCH($W850,IF($T850&lt;=60,imc05_k,imc519_k),1)),""))</f>
        <v/>
      </c>
      <c r="AB850">
        <f>IF($Y850="","",IF($Y850=0,LN($J850/$Z850)/$AA850,((($J850/$Z850)^$Y850)-1)/($Y850*$AA850)))</f>
        <v/>
      </c>
      <c r="AC850">
        <f>IF($Y850="","",IF($Y850=0,$Z850*EXP($AA850*2),$Z850*(1+$Y850*$AA850*2)^(1/$Y850)))</f>
        <v/>
      </c>
      <c r="AD850">
        <f>IF($Y850="","",IF($Y850=0,$Z850*EXP($AA850*3),$Z850*(1+$Y850*$AA850*3)^(1/$Y850)))</f>
        <v/>
      </c>
      <c r="AE850">
        <f>IF($Y850="","",IF($Y850=0,$Z850*EXP($AA850*-2),$Z850*(1+$Y850*$AA850*-2)^(1/$Y850)))</f>
        <v/>
      </c>
      <c r="AF850">
        <f>IF($Y850="","",IF($Y850=0,$Z850*EXP($AA850*-3),$Z850*(1+$Y850*$AA850*-3)^(1/$Y850)))</f>
        <v/>
      </c>
      <c r="AG850">
        <f>IF($W850="","",IFERROR(INDEX(IF($T850&lt;=60,est05_l,est519_l),MATCH($W850,IF($T850&lt;=60,est05_k,est519_k),1)),""))</f>
        <v/>
      </c>
      <c r="AH850">
        <f>IF($W850="","",IFERROR(INDEX(IF($T850&lt;=60,est05_m,est519_m),MATCH($W850,IF($T850&lt;=60,est05_k,est519_k),1)),""))</f>
        <v/>
      </c>
      <c r="AI850">
        <f>IF($W850="","",IFERROR(INDEX(IF($T850&lt;=60,est05_s,est519_s),MATCH($W850,IF($T850&lt;=60,est05_k,est519_k),1)),""))</f>
        <v/>
      </c>
      <c r="AJ850">
        <f>IF($W850="","",IFERROR(INDEX(IF($T850&lt;=60,peso05_l,peso510_l),MATCH($W850,IF($T850&lt;=60,peso05_k,peso510_k),1)),""))</f>
        <v/>
      </c>
      <c r="AK850">
        <f>IF($W850="","",IFERROR(INDEX(IF($T850&lt;=60,peso05_m,peso510_m),MATCH($W850,IF($T850&lt;=60,peso05_k,peso510_k),1)),""))</f>
        <v/>
      </c>
      <c r="AL850">
        <f>IF($W850="","",IFERROR(INDEX(IF($T850&lt;=60,peso05_s,peso510_s),MATCH($W850,IF($T850&lt;=60,peso05_k,peso510_k),1)),""))</f>
        <v/>
      </c>
      <c r="AM850">
        <f>IF($AJ850="","",IF($AJ850=0,LN($F850/$AK850)/$AL850,((($F850/$AK850)^$AJ850)-1)/($AJ850*$AL850)))</f>
        <v/>
      </c>
      <c r="AN850">
        <f>IF($AJ850="","",IF($AJ850=0,$AK850*EXP($AL850*2),$AK850*(1+$AJ850*$AL850*2)^(1/$AJ850)))</f>
        <v/>
      </c>
      <c r="AO850">
        <f>IF($AJ850="","",IF($AJ850=0,$AK850*EXP($AL850*3),$AK850*(1+$AJ850*$AL850*3)^(1/$AJ850)))</f>
        <v/>
      </c>
      <c r="AP850">
        <f>IF($AJ850="","",IF($AJ850=0,$AK850*EXP($AL850*-2),$AK850*(1+$AJ850*$AL850*-2)^(1/$AJ850)))</f>
        <v/>
      </c>
      <c r="AQ850">
        <f>IF($AJ850="","",IF($AJ850=0,$AK850*EXP($AL850*-3),$AK850*(1+$AJ850*$AL850*-3)^(1/$AJ850)))</f>
        <v/>
      </c>
      <c r="AR850">
        <f>IF(OR($X850="",$T850&gt;60),"",IFERROR(INDEX(IF($T850&lt;24,pcomp_l,palt_l),MATCH($X850,IF($T850&lt;24,pcomp_k,palt_k),1)),""))</f>
        <v/>
      </c>
      <c r="AS850">
        <f>IF(OR($X850="",$T850&gt;60),"",IFERROR(INDEX(IF($T850&lt;24,pcomp_m,palt_m),MATCH($X850,IF($T850&lt;24,pcomp_k,palt_k),1)),""))</f>
        <v/>
      </c>
      <c r="AT850">
        <f>IF(OR($X850="",$T850&gt;60),"",IFERROR(INDEX(IF($T850&lt;24,pcomp_s,palt_s),MATCH($X850,IF($T850&lt;24,pcomp_k,palt_k),1)),""))</f>
        <v/>
      </c>
      <c r="AU850">
        <f>IF($AR850="","",IF($AR850=0,LN($F850/$AS850)/$AT850,((($F850/$AS850)^$AR850)-1)/($AR850*$AT850)))</f>
        <v/>
      </c>
      <c r="AV850">
        <f>IF($AR850="","",IF($AR850=0,$AS850*EXP($AT850*2),$AS850*(1+$AR850*$AT850*2)^(1/$AR850)))</f>
        <v/>
      </c>
      <c r="AW850">
        <f>IF($AR850="","",IF($AR850=0,$AS850*EXP($AT850*3),$AS850*(1+$AR850*$AT850*3)^(1/$AR850)))</f>
        <v/>
      </c>
      <c r="AX850">
        <f>IF($AR850="","",IF($AR850=0,$AS850*EXP($AT850*-2),$AS850*(1+$AR850*$AT850*-2)^(1/$AR850)))</f>
        <v/>
      </c>
      <c r="AY850">
        <f>IF($AR850="","",IF($AR850=0,$AS850*EXP($AT850*-3),$AS850*(1+$AR850*$AT850*-3)^(1/$AR850)))</f>
        <v/>
      </c>
      <c r="AZ850">
        <f>IF(OR($A850="",$A850&lt;&gt;Ficha!$C$4),"",COUNTIF($A$2:$A850,Ficha!$C$4))</f>
        <v/>
      </c>
    </row>
    <row r="851">
      <c r="A851" s="8">
        <f>IF(INDEX(Banco!$A:$A,ROW())="","",INDEX(Banco!$A:$A,ROW()))</f>
        <v/>
      </c>
      <c r="B851" s="8">
        <f>IF(INDEX(Banco!$B:$B,ROW())="","",INDEX(Banco!$B:$B,ROW()))</f>
        <v/>
      </c>
      <c r="C851" s="8">
        <f>IF(INDEX(Banco!$C:$C,ROW())="","",INDEX(Banco!$C:$C,ROW()))</f>
        <v/>
      </c>
      <c r="D851" s="9">
        <f>IF(INDEX(Banco!$D:$D,ROW())="","",INDEX(Banco!$D:$D,ROW()))</f>
        <v/>
      </c>
      <c r="E851" s="9">
        <f>IF(INDEX(Banco!$E:$E,ROW())="","",INDEX(Banco!$E:$E,ROW()))</f>
        <v/>
      </c>
      <c r="F851" s="10">
        <f>IF(INDEX(Banco!$F:$F,ROW())="","",INDEX(Banco!$F:$F,ROW()))</f>
        <v/>
      </c>
      <c r="G851" s="10">
        <f>IF(INDEX(Banco!$G:$G,ROW())="","",INDEX(Banco!$G:$G,ROW()))</f>
        <v/>
      </c>
      <c r="H851" s="8">
        <f>IF(INDEX(Banco!$H:$H,ROW())="","",INDEX(Banco!$H:$H,ROW()))</f>
        <v/>
      </c>
      <c r="I851">
        <f>IF($T851="","",INT($T851/12)&amp;"a "&amp;MOD($T851,12)&amp;"m")</f>
        <v/>
      </c>
      <c r="J851" s="11">
        <f>IF(OR($F851="",$G851=""),"",ROUND($F851/($G851/100)^2,2))</f>
        <v/>
      </c>
      <c r="K851" s="12">
        <f>IF(OR($S851="",$J851="",$T851="",$T851&lt;0,$T851&gt;228,$Y851=""),"—",ROUND(IF(ABS($AB851)&lt;=3,$AB851,IF($AB851&gt;3,3+($J851-$AD851)/($AD851-$AC851),-3+($J851-$AF851)/($AE851-$AF851))),2))</f>
        <v/>
      </c>
      <c r="L851">
        <f>IF(OR($K851="",$K851="—"),"",IF($T851&lt;=60,IF($K851&lt;-3,"Magreza acentuada",IF($K851&lt;-2,"Magreza",IF($K851&lt;=1,"Eutrofia",IF($K851&lt;=2,"Risco de sobrepeso",IF($K851&lt;=3,"Sobrepeso","Obesidade"))))),IF($K851&lt;-3,"Magreza acentuada",IF($K851&lt;-2,"Magreza",IF($K851&lt;=1,"Eutrofia",IF($K851&lt;=2,"Sobrepeso",IF($K851&lt;=3,"Obesidade","Obesidade grave")))))))</f>
        <v/>
      </c>
      <c r="M851" s="12">
        <f>IF(OR($S851="",$V851="",$T851="",$T851&lt;0,$T851&gt;228,$AG851=""),"—",ROUND(IF($AG851=0,LN($V851/$AH851)/$AI851,((($V851/$AH851)^$AG851)-1)/($AG851*$AI851)),2))</f>
        <v/>
      </c>
      <c r="N851">
        <f>IF(OR($M851="",$M851="—"),"",IF($M851&lt;-3,"Muito baixa",IF($M851&lt;-2,"Baixa","Adequada")))</f>
        <v/>
      </c>
      <c r="O851" s="12">
        <f>IF(OR($S851="",$F851="",$T851="",$T851&lt;0,$T851&gt;120,$AJ851=""),"—",ROUND(IF(ABS($AM851)&lt;=3,$AM851,IF($AM851&gt;3,3+($F851-$AO851)/($AO851-$AN851),-3+($F851-$AQ851)/($AP851-$AQ851))),2))</f>
        <v/>
      </c>
      <c r="P851">
        <f>IF(OR($O851="",$O851="—"),"",IF($O851&lt;-3,"Muito baixo",IF($O851&lt;-2,"Baixo",IF($O851&lt;=2,"Adequado","Elevado"))))</f>
        <v/>
      </c>
      <c r="Q851" s="12">
        <f>IF(OR($S851="",$F851="",$T851="",$T851&lt;0,$T851&gt;60,$AR851=""),"—",ROUND(IF(ABS($AU851)&lt;=3,$AU851,IF($AU851&gt;3,3+($F851-$AW851)/($AW851-$AV851),-3+($F851-$AY851)/($AX851-$AY851))),2))</f>
        <v/>
      </c>
      <c r="R851">
        <f>IF(OR($Q851="",$Q851="—"),"",IF($Q851&lt;-3,"Magreza acentuada",IF($Q851&lt;-2,"Magreza",IF($Q851&lt;=1,"Eutrofia",IF($Q851&lt;=2,"Risco de sobrepeso",IF($Q851&lt;=3,"Sobrepeso","Obesidade"))))))</f>
        <v/>
      </c>
      <c r="S851">
        <f>IF($C851="","",IF(UPPER(LEFT($C851,1))="M",1,IF(UPPER(LEFT($C851,1))="F",2,"")))</f>
        <v/>
      </c>
      <c r="T851">
        <f>IF(OR($D851="",$E851=""),"",DATEDIF($D851,$E851,"m"))</f>
        <v/>
      </c>
      <c r="U851">
        <f>IF(OR($D851="",$E851=""),"",$E851-$D851)</f>
        <v/>
      </c>
      <c r="V851">
        <f>IF(OR($G851="",$T851=""),"",IF($T851&lt;24,IF(LEFT(LOWER($H851),4)="em p",$G851+0.7,$G851),IF(LEFT(LOWER($H851),4)="deit",$G851-0.7,$G851)))</f>
        <v/>
      </c>
      <c r="W851">
        <f>IF(OR($S851="",$T851=""),"",$S851*1000000+IF($T851&lt;=60,$U851,$T851))</f>
        <v/>
      </c>
      <c r="X851">
        <f>IF(OR($S851="",$V851="",$T851&gt;60,$T851=""),"",$S851*1000000+ROUND($V851*10,0))</f>
        <v/>
      </c>
      <c r="Y851">
        <f>IF($W851="","",IFERROR(INDEX(IF($T851&lt;=60,imc05_l,imc519_l),MATCH($W851,IF($T851&lt;=60,imc05_k,imc519_k),1)),""))</f>
        <v/>
      </c>
      <c r="Z851">
        <f>IF($W851="","",IFERROR(INDEX(IF($T851&lt;=60,imc05_m,imc519_m),MATCH($W851,IF($T851&lt;=60,imc05_k,imc519_k),1)),""))</f>
        <v/>
      </c>
      <c r="AA851">
        <f>IF($W851="","",IFERROR(INDEX(IF($T851&lt;=60,imc05_s,imc519_s),MATCH($W851,IF($T851&lt;=60,imc05_k,imc519_k),1)),""))</f>
        <v/>
      </c>
      <c r="AB851">
        <f>IF($Y851="","",IF($Y851=0,LN($J851/$Z851)/$AA851,((($J851/$Z851)^$Y851)-1)/($Y851*$AA851)))</f>
        <v/>
      </c>
      <c r="AC851">
        <f>IF($Y851="","",IF($Y851=0,$Z851*EXP($AA851*2),$Z851*(1+$Y851*$AA851*2)^(1/$Y851)))</f>
        <v/>
      </c>
      <c r="AD851">
        <f>IF($Y851="","",IF($Y851=0,$Z851*EXP($AA851*3),$Z851*(1+$Y851*$AA851*3)^(1/$Y851)))</f>
        <v/>
      </c>
      <c r="AE851">
        <f>IF($Y851="","",IF($Y851=0,$Z851*EXP($AA851*-2),$Z851*(1+$Y851*$AA851*-2)^(1/$Y851)))</f>
        <v/>
      </c>
      <c r="AF851">
        <f>IF($Y851="","",IF($Y851=0,$Z851*EXP($AA851*-3),$Z851*(1+$Y851*$AA851*-3)^(1/$Y851)))</f>
        <v/>
      </c>
      <c r="AG851">
        <f>IF($W851="","",IFERROR(INDEX(IF($T851&lt;=60,est05_l,est519_l),MATCH($W851,IF($T851&lt;=60,est05_k,est519_k),1)),""))</f>
        <v/>
      </c>
      <c r="AH851">
        <f>IF($W851="","",IFERROR(INDEX(IF($T851&lt;=60,est05_m,est519_m),MATCH($W851,IF($T851&lt;=60,est05_k,est519_k),1)),""))</f>
        <v/>
      </c>
      <c r="AI851">
        <f>IF($W851="","",IFERROR(INDEX(IF($T851&lt;=60,est05_s,est519_s),MATCH($W851,IF($T851&lt;=60,est05_k,est519_k),1)),""))</f>
        <v/>
      </c>
      <c r="AJ851">
        <f>IF($W851="","",IFERROR(INDEX(IF($T851&lt;=60,peso05_l,peso510_l),MATCH($W851,IF($T851&lt;=60,peso05_k,peso510_k),1)),""))</f>
        <v/>
      </c>
      <c r="AK851">
        <f>IF($W851="","",IFERROR(INDEX(IF($T851&lt;=60,peso05_m,peso510_m),MATCH($W851,IF($T851&lt;=60,peso05_k,peso510_k),1)),""))</f>
        <v/>
      </c>
      <c r="AL851">
        <f>IF($W851="","",IFERROR(INDEX(IF($T851&lt;=60,peso05_s,peso510_s),MATCH($W851,IF($T851&lt;=60,peso05_k,peso510_k),1)),""))</f>
        <v/>
      </c>
      <c r="AM851">
        <f>IF($AJ851="","",IF($AJ851=0,LN($F851/$AK851)/$AL851,((($F851/$AK851)^$AJ851)-1)/($AJ851*$AL851)))</f>
        <v/>
      </c>
      <c r="AN851">
        <f>IF($AJ851="","",IF($AJ851=0,$AK851*EXP($AL851*2),$AK851*(1+$AJ851*$AL851*2)^(1/$AJ851)))</f>
        <v/>
      </c>
      <c r="AO851">
        <f>IF($AJ851="","",IF($AJ851=0,$AK851*EXP($AL851*3),$AK851*(1+$AJ851*$AL851*3)^(1/$AJ851)))</f>
        <v/>
      </c>
      <c r="AP851">
        <f>IF($AJ851="","",IF($AJ851=0,$AK851*EXP($AL851*-2),$AK851*(1+$AJ851*$AL851*-2)^(1/$AJ851)))</f>
        <v/>
      </c>
      <c r="AQ851">
        <f>IF($AJ851="","",IF($AJ851=0,$AK851*EXP($AL851*-3),$AK851*(1+$AJ851*$AL851*-3)^(1/$AJ851)))</f>
        <v/>
      </c>
      <c r="AR851">
        <f>IF(OR($X851="",$T851&gt;60),"",IFERROR(INDEX(IF($T851&lt;24,pcomp_l,palt_l),MATCH($X851,IF($T851&lt;24,pcomp_k,palt_k),1)),""))</f>
        <v/>
      </c>
      <c r="AS851">
        <f>IF(OR($X851="",$T851&gt;60),"",IFERROR(INDEX(IF($T851&lt;24,pcomp_m,palt_m),MATCH($X851,IF($T851&lt;24,pcomp_k,palt_k),1)),""))</f>
        <v/>
      </c>
      <c r="AT851">
        <f>IF(OR($X851="",$T851&gt;60),"",IFERROR(INDEX(IF($T851&lt;24,pcomp_s,palt_s),MATCH($X851,IF($T851&lt;24,pcomp_k,palt_k),1)),""))</f>
        <v/>
      </c>
      <c r="AU851">
        <f>IF($AR851="","",IF($AR851=0,LN($F851/$AS851)/$AT851,((($F851/$AS851)^$AR851)-1)/($AR851*$AT851)))</f>
        <v/>
      </c>
      <c r="AV851">
        <f>IF($AR851="","",IF($AR851=0,$AS851*EXP($AT851*2),$AS851*(1+$AR851*$AT851*2)^(1/$AR851)))</f>
        <v/>
      </c>
      <c r="AW851">
        <f>IF($AR851="","",IF($AR851=0,$AS851*EXP($AT851*3),$AS851*(1+$AR851*$AT851*3)^(1/$AR851)))</f>
        <v/>
      </c>
      <c r="AX851">
        <f>IF($AR851="","",IF($AR851=0,$AS851*EXP($AT851*-2),$AS851*(1+$AR851*$AT851*-2)^(1/$AR851)))</f>
        <v/>
      </c>
      <c r="AY851">
        <f>IF($AR851="","",IF($AR851=0,$AS851*EXP($AT851*-3),$AS851*(1+$AR851*$AT851*-3)^(1/$AR851)))</f>
        <v/>
      </c>
      <c r="AZ851">
        <f>IF(OR($A851="",$A851&lt;&gt;Ficha!$C$4),"",COUNTIF($A$2:$A851,Ficha!$C$4))</f>
        <v/>
      </c>
    </row>
    <row r="852">
      <c r="A852" s="8">
        <f>IF(INDEX(Banco!$A:$A,ROW())="","",INDEX(Banco!$A:$A,ROW()))</f>
        <v/>
      </c>
      <c r="B852" s="8">
        <f>IF(INDEX(Banco!$B:$B,ROW())="","",INDEX(Banco!$B:$B,ROW()))</f>
        <v/>
      </c>
      <c r="C852" s="8">
        <f>IF(INDEX(Banco!$C:$C,ROW())="","",INDEX(Banco!$C:$C,ROW()))</f>
        <v/>
      </c>
      <c r="D852" s="9">
        <f>IF(INDEX(Banco!$D:$D,ROW())="","",INDEX(Banco!$D:$D,ROW()))</f>
        <v/>
      </c>
      <c r="E852" s="9">
        <f>IF(INDEX(Banco!$E:$E,ROW())="","",INDEX(Banco!$E:$E,ROW()))</f>
        <v/>
      </c>
      <c r="F852" s="10">
        <f>IF(INDEX(Banco!$F:$F,ROW())="","",INDEX(Banco!$F:$F,ROW()))</f>
        <v/>
      </c>
      <c r="G852" s="10">
        <f>IF(INDEX(Banco!$G:$G,ROW())="","",INDEX(Banco!$G:$G,ROW()))</f>
        <v/>
      </c>
      <c r="H852" s="8">
        <f>IF(INDEX(Banco!$H:$H,ROW())="","",INDEX(Banco!$H:$H,ROW()))</f>
        <v/>
      </c>
      <c r="I852">
        <f>IF($T852="","",INT($T852/12)&amp;"a "&amp;MOD($T852,12)&amp;"m")</f>
        <v/>
      </c>
      <c r="J852" s="11">
        <f>IF(OR($F852="",$G852=""),"",ROUND($F852/($G852/100)^2,2))</f>
        <v/>
      </c>
      <c r="K852" s="12">
        <f>IF(OR($S852="",$J852="",$T852="",$T852&lt;0,$T852&gt;228,$Y852=""),"—",ROUND(IF(ABS($AB852)&lt;=3,$AB852,IF($AB852&gt;3,3+($J852-$AD852)/($AD852-$AC852),-3+($J852-$AF852)/($AE852-$AF852))),2))</f>
        <v/>
      </c>
      <c r="L852">
        <f>IF(OR($K852="",$K852="—"),"",IF($T852&lt;=60,IF($K852&lt;-3,"Magreza acentuada",IF($K852&lt;-2,"Magreza",IF($K852&lt;=1,"Eutrofia",IF($K852&lt;=2,"Risco de sobrepeso",IF($K852&lt;=3,"Sobrepeso","Obesidade"))))),IF($K852&lt;-3,"Magreza acentuada",IF($K852&lt;-2,"Magreza",IF($K852&lt;=1,"Eutrofia",IF($K852&lt;=2,"Sobrepeso",IF($K852&lt;=3,"Obesidade","Obesidade grave")))))))</f>
        <v/>
      </c>
      <c r="M852" s="12">
        <f>IF(OR($S852="",$V852="",$T852="",$T852&lt;0,$T852&gt;228,$AG852=""),"—",ROUND(IF($AG852=0,LN($V852/$AH852)/$AI852,((($V852/$AH852)^$AG852)-1)/($AG852*$AI852)),2))</f>
        <v/>
      </c>
      <c r="N852">
        <f>IF(OR($M852="",$M852="—"),"",IF($M852&lt;-3,"Muito baixa",IF($M852&lt;-2,"Baixa","Adequada")))</f>
        <v/>
      </c>
      <c r="O852" s="12">
        <f>IF(OR($S852="",$F852="",$T852="",$T852&lt;0,$T852&gt;120,$AJ852=""),"—",ROUND(IF(ABS($AM852)&lt;=3,$AM852,IF($AM852&gt;3,3+($F852-$AO852)/($AO852-$AN852),-3+($F852-$AQ852)/($AP852-$AQ852))),2))</f>
        <v/>
      </c>
      <c r="P852">
        <f>IF(OR($O852="",$O852="—"),"",IF($O852&lt;-3,"Muito baixo",IF($O852&lt;-2,"Baixo",IF($O852&lt;=2,"Adequado","Elevado"))))</f>
        <v/>
      </c>
      <c r="Q852" s="12">
        <f>IF(OR($S852="",$F852="",$T852="",$T852&lt;0,$T852&gt;60,$AR852=""),"—",ROUND(IF(ABS($AU852)&lt;=3,$AU852,IF($AU852&gt;3,3+($F852-$AW852)/($AW852-$AV852),-3+($F852-$AY852)/($AX852-$AY852))),2))</f>
        <v/>
      </c>
      <c r="R852">
        <f>IF(OR($Q852="",$Q852="—"),"",IF($Q852&lt;-3,"Magreza acentuada",IF($Q852&lt;-2,"Magreza",IF($Q852&lt;=1,"Eutrofia",IF($Q852&lt;=2,"Risco de sobrepeso",IF($Q852&lt;=3,"Sobrepeso","Obesidade"))))))</f>
        <v/>
      </c>
      <c r="S852">
        <f>IF($C852="","",IF(UPPER(LEFT($C852,1))="M",1,IF(UPPER(LEFT($C852,1))="F",2,"")))</f>
        <v/>
      </c>
      <c r="T852">
        <f>IF(OR($D852="",$E852=""),"",DATEDIF($D852,$E852,"m"))</f>
        <v/>
      </c>
      <c r="U852">
        <f>IF(OR($D852="",$E852=""),"",$E852-$D852)</f>
        <v/>
      </c>
      <c r="V852">
        <f>IF(OR($G852="",$T852=""),"",IF($T852&lt;24,IF(LEFT(LOWER($H852),4)="em p",$G852+0.7,$G852),IF(LEFT(LOWER($H852),4)="deit",$G852-0.7,$G852)))</f>
        <v/>
      </c>
      <c r="W852">
        <f>IF(OR($S852="",$T852=""),"",$S852*1000000+IF($T852&lt;=60,$U852,$T852))</f>
        <v/>
      </c>
      <c r="X852">
        <f>IF(OR($S852="",$V852="",$T852&gt;60,$T852=""),"",$S852*1000000+ROUND($V852*10,0))</f>
        <v/>
      </c>
      <c r="Y852">
        <f>IF($W852="","",IFERROR(INDEX(IF($T852&lt;=60,imc05_l,imc519_l),MATCH($W852,IF($T852&lt;=60,imc05_k,imc519_k),1)),""))</f>
        <v/>
      </c>
      <c r="Z852">
        <f>IF($W852="","",IFERROR(INDEX(IF($T852&lt;=60,imc05_m,imc519_m),MATCH($W852,IF($T852&lt;=60,imc05_k,imc519_k),1)),""))</f>
        <v/>
      </c>
      <c r="AA852">
        <f>IF($W852="","",IFERROR(INDEX(IF($T852&lt;=60,imc05_s,imc519_s),MATCH($W852,IF($T852&lt;=60,imc05_k,imc519_k),1)),""))</f>
        <v/>
      </c>
      <c r="AB852">
        <f>IF($Y852="","",IF($Y852=0,LN($J852/$Z852)/$AA852,((($J852/$Z852)^$Y852)-1)/($Y852*$AA852)))</f>
        <v/>
      </c>
      <c r="AC852">
        <f>IF($Y852="","",IF($Y852=0,$Z852*EXP($AA852*2),$Z852*(1+$Y852*$AA852*2)^(1/$Y852)))</f>
        <v/>
      </c>
      <c r="AD852">
        <f>IF($Y852="","",IF($Y852=0,$Z852*EXP($AA852*3),$Z852*(1+$Y852*$AA852*3)^(1/$Y852)))</f>
        <v/>
      </c>
      <c r="AE852">
        <f>IF($Y852="","",IF($Y852=0,$Z852*EXP($AA852*-2),$Z852*(1+$Y852*$AA852*-2)^(1/$Y852)))</f>
        <v/>
      </c>
      <c r="AF852">
        <f>IF($Y852="","",IF($Y852=0,$Z852*EXP($AA852*-3),$Z852*(1+$Y852*$AA852*-3)^(1/$Y852)))</f>
        <v/>
      </c>
      <c r="AG852">
        <f>IF($W852="","",IFERROR(INDEX(IF($T852&lt;=60,est05_l,est519_l),MATCH($W852,IF($T852&lt;=60,est05_k,est519_k),1)),""))</f>
        <v/>
      </c>
      <c r="AH852">
        <f>IF($W852="","",IFERROR(INDEX(IF($T852&lt;=60,est05_m,est519_m),MATCH($W852,IF($T852&lt;=60,est05_k,est519_k),1)),""))</f>
        <v/>
      </c>
      <c r="AI852">
        <f>IF($W852="","",IFERROR(INDEX(IF($T852&lt;=60,est05_s,est519_s),MATCH($W852,IF($T852&lt;=60,est05_k,est519_k),1)),""))</f>
        <v/>
      </c>
      <c r="AJ852">
        <f>IF($W852="","",IFERROR(INDEX(IF($T852&lt;=60,peso05_l,peso510_l),MATCH($W852,IF($T852&lt;=60,peso05_k,peso510_k),1)),""))</f>
        <v/>
      </c>
      <c r="AK852">
        <f>IF($W852="","",IFERROR(INDEX(IF($T852&lt;=60,peso05_m,peso510_m),MATCH($W852,IF($T852&lt;=60,peso05_k,peso510_k),1)),""))</f>
        <v/>
      </c>
      <c r="AL852">
        <f>IF($W852="","",IFERROR(INDEX(IF($T852&lt;=60,peso05_s,peso510_s),MATCH($W852,IF($T852&lt;=60,peso05_k,peso510_k),1)),""))</f>
        <v/>
      </c>
      <c r="AM852">
        <f>IF($AJ852="","",IF($AJ852=0,LN($F852/$AK852)/$AL852,((($F852/$AK852)^$AJ852)-1)/($AJ852*$AL852)))</f>
        <v/>
      </c>
      <c r="AN852">
        <f>IF($AJ852="","",IF($AJ852=0,$AK852*EXP($AL852*2),$AK852*(1+$AJ852*$AL852*2)^(1/$AJ852)))</f>
        <v/>
      </c>
      <c r="AO852">
        <f>IF($AJ852="","",IF($AJ852=0,$AK852*EXP($AL852*3),$AK852*(1+$AJ852*$AL852*3)^(1/$AJ852)))</f>
        <v/>
      </c>
      <c r="AP852">
        <f>IF($AJ852="","",IF($AJ852=0,$AK852*EXP($AL852*-2),$AK852*(1+$AJ852*$AL852*-2)^(1/$AJ852)))</f>
        <v/>
      </c>
      <c r="AQ852">
        <f>IF($AJ852="","",IF($AJ852=0,$AK852*EXP($AL852*-3),$AK852*(1+$AJ852*$AL852*-3)^(1/$AJ852)))</f>
        <v/>
      </c>
      <c r="AR852">
        <f>IF(OR($X852="",$T852&gt;60),"",IFERROR(INDEX(IF($T852&lt;24,pcomp_l,palt_l),MATCH($X852,IF($T852&lt;24,pcomp_k,palt_k),1)),""))</f>
        <v/>
      </c>
      <c r="AS852">
        <f>IF(OR($X852="",$T852&gt;60),"",IFERROR(INDEX(IF($T852&lt;24,pcomp_m,palt_m),MATCH($X852,IF($T852&lt;24,pcomp_k,palt_k),1)),""))</f>
        <v/>
      </c>
      <c r="AT852">
        <f>IF(OR($X852="",$T852&gt;60),"",IFERROR(INDEX(IF($T852&lt;24,pcomp_s,palt_s),MATCH($X852,IF($T852&lt;24,pcomp_k,palt_k),1)),""))</f>
        <v/>
      </c>
      <c r="AU852">
        <f>IF($AR852="","",IF($AR852=0,LN($F852/$AS852)/$AT852,((($F852/$AS852)^$AR852)-1)/($AR852*$AT852)))</f>
        <v/>
      </c>
      <c r="AV852">
        <f>IF($AR852="","",IF($AR852=0,$AS852*EXP($AT852*2),$AS852*(1+$AR852*$AT852*2)^(1/$AR852)))</f>
        <v/>
      </c>
      <c r="AW852">
        <f>IF($AR852="","",IF($AR852=0,$AS852*EXP($AT852*3),$AS852*(1+$AR852*$AT852*3)^(1/$AR852)))</f>
        <v/>
      </c>
      <c r="AX852">
        <f>IF($AR852="","",IF($AR852=0,$AS852*EXP($AT852*-2),$AS852*(1+$AR852*$AT852*-2)^(1/$AR852)))</f>
        <v/>
      </c>
      <c r="AY852">
        <f>IF($AR852="","",IF($AR852=0,$AS852*EXP($AT852*-3),$AS852*(1+$AR852*$AT852*-3)^(1/$AR852)))</f>
        <v/>
      </c>
      <c r="AZ852">
        <f>IF(OR($A852="",$A852&lt;&gt;Ficha!$C$4),"",COUNTIF($A$2:$A852,Ficha!$C$4))</f>
        <v/>
      </c>
    </row>
    <row r="853">
      <c r="A853" s="8">
        <f>IF(INDEX(Banco!$A:$A,ROW())="","",INDEX(Banco!$A:$A,ROW()))</f>
        <v/>
      </c>
      <c r="B853" s="8">
        <f>IF(INDEX(Banco!$B:$B,ROW())="","",INDEX(Banco!$B:$B,ROW()))</f>
        <v/>
      </c>
      <c r="C853" s="8">
        <f>IF(INDEX(Banco!$C:$C,ROW())="","",INDEX(Banco!$C:$C,ROW()))</f>
        <v/>
      </c>
      <c r="D853" s="9">
        <f>IF(INDEX(Banco!$D:$D,ROW())="","",INDEX(Banco!$D:$D,ROW()))</f>
        <v/>
      </c>
      <c r="E853" s="9">
        <f>IF(INDEX(Banco!$E:$E,ROW())="","",INDEX(Banco!$E:$E,ROW()))</f>
        <v/>
      </c>
      <c r="F853" s="10">
        <f>IF(INDEX(Banco!$F:$F,ROW())="","",INDEX(Banco!$F:$F,ROW()))</f>
        <v/>
      </c>
      <c r="G853" s="10">
        <f>IF(INDEX(Banco!$G:$G,ROW())="","",INDEX(Banco!$G:$G,ROW()))</f>
        <v/>
      </c>
      <c r="H853" s="8">
        <f>IF(INDEX(Banco!$H:$H,ROW())="","",INDEX(Banco!$H:$H,ROW()))</f>
        <v/>
      </c>
      <c r="I853">
        <f>IF($T853="","",INT($T853/12)&amp;"a "&amp;MOD($T853,12)&amp;"m")</f>
        <v/>
      </c>
      <c r="J853" s="11">
        <f>IF(OR($F853="",$G853=""),"",ROUND($F853/($G853/100)^2,2))</f>
        <v/>
      </c>
      <c r="K853" s="12">
        <f>IF(OR($S853="",$J853="",$T853="",$T853&lt;0,$T853&gt;228,$Y853=""),"—",ROUND(IF(ABS($AB853)&lt;=3,$AB853,IF($AB853&gt;3,3+($J853-$AD853)/($AD853-$AC853),-3+($J853-$AF853)/($AE853-$AF853))),2))</f>
        <v/>
      </c>
      <c r="L853">
        <f>IF(OR($K853="",$K853="—"),"",IF($T853&lt;=60,IF($K853&lt;-3,"Magreza acentuada",IF($K853&lt;-2,"Magreza",IF($K853&lt;=1,"Eutrofia",IF($K853&lt;=2,"Risco de sobrepeso",IF($K853&lt;=3,"Sobrepeso","Obesidade"))))),IF($K853&lt;-3,"Magreza acentuada",IF($K853&lt;-2,"Magreza",IF($K853&lt;=1,"Eutrofia",IF($K853&lt;=2,"Sobrepeso",IF($K853&lt;=3,"Obesidade","Obesidade grave")))))))</f>
        <v/>
      </c>
      <c r="M853" s="12">
        <f>IF(OR($S853="",$V853="",$T853="",$T853&lt;0,$T853&gt;228,$AG853=""),"—",ROUND(IF($AG853=0,LN($V853/$AH853)/$AI853,((($V853/$AH853)^$AG853)-1)/($AG853*$AI853)),2))</f>
        <v/>
      </c>
      <c r="N853">
        <f>IF(OR($M853="",$M853="—"),"",IF($M853&lt;-3,"Muito baixa",IF($M853&lt;-2,"Baixa","Adequada")))</f>
        <v/>
      </c>
      <c r="O853" s="12">
        <f>IF(OR($S853="",$F853="",$T853="",$T853&lt;0,$T853&gt;120,$AJ853=""),"—",ROUND(IF(ABS($AM853)&lt;=3,$AM853,IF($AM853&gt;3,3+($F853-$AO853)/($AO853-$AN853),-3+($F853-$AQ853)/($AP853-$AQ853))),2))</f>
        <v/>
      </c>
      <c r="P853">
        <f>IF(OR($O853="",$O853="—"),"",IF($O853&lt;-3,"Muito baixo",IF($O853&lt;-2,"Baixo",IF($O853&lt;=2,"Adequado","Elevado"))))</f>
        <v/>
      </c>
      <c r="Q853" s="12">
        <f>IF(OR($S853="",$F853="",$T853="",$T853&lt;0,$T853&gt;60,$AR853=""),"—",ROUND(IF(ABS($AU853)&lt;=3,$AU853,IF($AU853&gt;3,3+($F853-$AW853)/($AW853-$AV853),-3+($F853-$AY853)/($AX853-$AY853))),2))</f>
        <v/>
      </c>
      <c r="R853">
        <f>IF(OR($Q853="",$Q853="—"),"",IF($Q853&lt;-3,"Magreza acentuada",IF($Q853&lt;-2,"Magreza",IF($Q853&lt;=1,"Eutrofia",IF($Q853&lt;=2,"Risco de sobrepeso",IF($Q853&lt;=3,"Sobrepeso","Obesidade"))))))</f>
        <v/>
      </c>
      <c r="S853">
        <f>IF($C853="","",IF(UPPER(LEFT($C853,1))="M",1,IF(UPPER(LEFT($C853,1))="F",2,"")))</f>
        <v/>
      </c>
      <c r="T853">
        <f>IF(OR($D853="",$E853=""),"",DATEDIF($D853,$E853,"m"))</f>
        <v/>
      </c>
      <c r="U853">
        <f>IF(OR($D853="",$E853=""),"",$E853-$D853)</f>
        <v/>
      </c>
      <c r="V853">
        <f>IF(OR($G853="",$T853=""),"",IF($T853&lt;24,IF(LEFT(LOWER($H853),4)="em p",$G853+0.7,$G853),IF(LEFT(LOWER($H853),4)="deit",$G853-0.7,$G853)))</f>
        <v/>
      </c>
      <c r="W853">
        <f>IF(OR($S853="",$T853=""),"",$S853*1000000+IF($T853&lt;=60,$U853,$T853))</f>
        <v/>
      </c>
      <c r="X853">
        <f>IF(OR($S853="",$V853="",$T853&gt;60,$T853=""),"",$S853*1000000+ROUND($V853*10,0))</f>
        <v/>
      </c>
      <c r="Y853">
        <f>IF($W853="","",IFERROR(INDEX(IF($T853&lt;=60,imc05_l,imc519_l),MATCH($W853,IF($T853&lt;=60,imc05_k,imc519_k),1)),""))</f>
        <v/>
      </c>
      <c r="Z853">
        <f>IF($W853="","",IFERROR(INDEX(IF($T853&lt;=60,imc05_m,imc519_m),MATCH($W853,IF($T853&lt;=60,imc05_k,imc519_k),1)),""))</f>
        <v/>
      </c>
      <c r="AA853">
        <f>IF($W853="","",IFERROR(INDEX(IF($T853&lt;=60,imc05_s,imc519_s),MATCH($W853,IF($T853&lt;=60,imc05_k,imc519_k),1)),""))</f>
        <v/>
      </c>
      <c r="AB853">
        <f>IF($Y853="","",IF($Y853=0,LN($J853/$Z853)/$AA853,((($J853/$Z853)^$Y853)-1)/($Y853*$AA853)))</f>
        <v/>
      </c>
      <c r="AC853">
        <f>IF($Y853="","",IF($Y853=0,$Z853*EXP($AA853*2),$Z853*(1+$Y853*$AA853*2)^(1/$Y853)))</f>
        <v/>
      </c>
      <c r="AD853">
        <f>IF($Y853="","",IF($Y853=0,$Z853*EXP($AA853*3),$Z853*(1+$Y853*$AA853*3)^(1/$Y853)))</f>
        <v/>
      </c>
      <c r="AE853">
        <f>IF($Y853="","",IF($Y853=0,$Z853*EXP($AA853*-2),$Z853*(1+$Y853*$AA853*-2)^(1/$Y853)))</f>
        <v/>
      </c>
      <c r="AF853">
        <f>IF($Y853="","",IF($Y853=0,$Z853*EXP($AA853*-3),$Z853*(1+$Y853*$AA853*-3)^(1/$Y853)))</f>
        <v/>
      </c>
      <c r="AG853">
        <f>IF($W853="","",IFERROR(INDEX(IF($T853&lt;=60,est05_l,est519_l),MATCH($W853,IF($T853&lt;=60,est05_k,est519_k),1)),""))</f>
        <v/>
      </c>
      <c r="AH853">
        <f>IF($W853="","",IFERROR(INDEX(IF($T853&lt;=60,est05_m,est519_m),MATCH($W853,IF($T853&lt;=60,est05_k,est519_k),1)),""))</f>
        <v/>
      </c>
      <c r="AI853">
        <f>IF($W853="","",IFERROR(INDEX(IF($T853&lt;=60,est05_s,est519_s),MATCH($W853,IF($T853&lt;=60,est05_k,est519_k),1)),""))</f>
        <v/>
      </c>
      <c r="AJ853">
        <f>IF($W853="","",IFERROR(INDEX(IF($T853&lt;=60,peso05_l,peso510_l),MATCH($W853,IF($T853&lt;=60,peso05_k,peso510_k),1)),""))</f>
        <v/>
      </c>
      <c r="AK853">
        <f>IF($W853="","",IFERROR(INDEX(IF($T853&lt;=60,peso05_m,peso510_m),MATCH($W853,IF($T853&lt;=60,peso05_k,peso510_k),1)),""))</f>
        <v/>
      </c>
      <c r="AL853">
        <f>IF($W853="","",IFERROR(INDEX(IF($T853&lt;=60,peso05_s,peso510_s),MATCH($W853,IF($T853&lt;=60,peso05_k,peso510_k),1)),""))</f>
        <v/>
      </c>
      <c r="AM853">
        <f>IF($AJ853="","",IF($AJ853=0,LN($F853/$AK853)/$AL853,((($F853/$AK853)^$AJ853)-1)/($AJ853*$AL853)))</f>
        <v/>
      </c>
      <c r="AN853">
        <f>IF($AJ853="","",IF($AJ853=0,$AK853*EXP($AL853*2),$AK853*(1+$AJ853*$AL853*2)^(1/$AJ853)))</f>
        <v/>
      </c>
      <c r="AO853">
        <f>IF($AJ853="","",IF($AJ853=0,$AK853*EXP($AL853*3),$AK853*(1+$AJ853*$AL853*3)^(1/$AJ853)))</f>
        <v/>
      </c>
      <c r="AP853">
        <f>IF($AJ853="","",IF($AJ853=0,$AK853*EXP($AL853*-2),$AK853*(1+$AJ853*$AL853*-2)^(1/$AJ853)))</f>
        <v/>
      </c>
      <c r="AQ853">
        <f>IF($AJ853="","",IF($AJ853=0,$AK853*EXP($AL853*-3),$AK853*(1+$AJ853*$AL853*-3)^(1/$AJ853)))</f>
        <v/>
      </c>
      <c r="AR853">
        <f>IF(OR($X853="",$T853&gt;60),"",IFERROR(INDEX(IF($T853&lt;24,pcomp_l,palt_l),MATCH($X853,IF($T853&lt;24,pcomp_k,palt_k),1)),""))</f>
        <v/>
      </c>
      <c r="AS853">
        <f>IF(OR($X853="",$T853&gt;60),"",IFERROR(INDEX(IF($T853&lt;24,pcomp_m,palt_m),MATCH($X853,IF($T853&lt;24,pcomp_k,palt_k),1)),""))</f>
        <v/>
      </c>
      <c r="AT853">
        <f>IF(OR($X853="",$T853&gt;60),"",IFERROR(INDEX(IF($T853&lt;24,pcomp_s,palt_s),MATCH($X853,IF($T853&lt;24,pcomp_k,palt_k),1)),""))</f>
        <v/>
      </c>
      <c r="AU853">
        <f>IF($AR853="","",IF($AR853=0,LN($F853/$AS853)/$AT853,((($F853/$AS853)^$AR853)-1)/($AR853*$AT853)))</f>
        <v/>
      </c>
      <c r="AV853">
        <f>IF($AR853="","",IF($AR853=0,$AS853*EXP($AT853*2),$AS853*(1+$AR853*$AT853*2)^(1/$AR853)))</f>
        <v/>
      </c>
      <c r="AW853">
        <f>IF($AR853="","",IF($AR853=0,$AS853*EXP($AT853*3),$AS853*(1+$AR853*$AT853*3)^(1/$AR853)))</f>
        <v/>
      </c>
      <c r="AX853">
        <f>IF($AR853="","",IF($AR853=0,$AS853*EXP($AT853*-2),$AS853*(1+$AR853*$AT853*-2)^(1/$AR853)))</f>
        <v/>
      </c>
      <c r="AY853">
        <f>IF($AR853="","",IF($AR853=0,$AS853*EXP($AT853*-3),$AS853*(1+$AR853*$AT853*-3)^(1/$AR853)))</f>
        <v/>
      </c>
      <c r="AZ853">
        <f>IF(OR($A853="",$A853&lt;&gt;Ficha!$C$4),"",COUNTIF($A$2:$A853,Ficha!$C$4))</f>
        <v/>
      </c>
    </row>
    <row r="854">
      <c r="A854" s="8">
        <f>IF(INDEX(Banco!$A:$A,ROW())="","",INDEX(Banco!$A:$A,ROW()))</f>
        <v/>
      </c>
      <c r="B854" s="8">
        <f>IF(INDEX(Banco!$B:$B,ROW())="","",INDEX(Banco!$B:$B,ROW()))</f>
        <v/>
      </c>
      <c r="C854" s="8">
        <f>IF(INDEX(Banco!$C:$C,ROW())="","",INDEX(Banco!$C:$C,ROW()))</f>
        <v/>
      </c>
      <c r="D854" s="9">
        <f>IF(INDEX(Banco!$D:$D,ROW())="","",INDEX(Banco!$D:$D,ROW()))</f>
        <v/>
      </c>
      <c r="E854" s="9">
        <f>IF(INDEX(Banco!$E:$E,ROW())="","",INDEX(Banco!$E:$E,ROW()))</f>
        <v/>
      </c>
      <c r="F854" s="10">
        <f>IF(INDEX(Banco!$F:$F,ROW())="","",INDEX(Banco!$F:$F,ROW()))</f>
        <v/>
      </c>
      <c r="G854" s="10">
        <f>IF(INDEX(Banco!$G:$G,ROW())="","",INDEX(Banco!$G:$G,ROW()))</f>
        <v/>
      </c>
      <c r="H854" s="8">
        <f>IF(INDEX(Banco!$H:$H,ROW())="","",INDEX(Banco!$H:$H,ROW()))</f>
        <v/>
      </c>
      <c r="I854">
        <f>IF($T854="","",INT($T854/12)&amp;"a "&amp;MOD($T854,12)&amp;"m")</f>
        <v/>
      </c>
      <c r="J854" s="11">
        <f>IF(OR($F854="",$G854=""),"",ROUND($F854/($G854/100)^2,2))</f>
        <v/>
      </c>
      <c r="K854" s="12">
        <f>IF(OR($S854="",$J854="",$T854="",$T854&lt;0,$T854&gt;228,$Y854=""),"—",ROUND(IF(ABS($AB854)&lt;=3,$AB854,IF($AB854&gt;3,3+($J854-$AD854)/($AD854-$AC854),-3+($J854-$AF854)/($AE854-$AF854))),2))</f>
        <v/>
      </c>
      <c r="L854">
        <f>IF(OR($K854="",$K854="—"),"",IF($T854&lt;=60,IF($K854&lt;-3,"Magreza acentuada",IF($K854&lt;-2,"Magreza",IF($K854&lt;=1,"Eutrofia",IF($K854&lt;=2,"Risco de sobrepeso",IF($K854&lt;=3,"Sobrepeso","Obesidade"))))),IF($K854&lt;-3,"Magreza acentuada",IF($K854&lt;-2,"Magreza",IF($K854&lt;=1,"Eutrofia",IF($K854&lt;=2,"Sobrepeso",IF($K854&lt;=3,"Obesidade","Obesidade grave")))))))</f>
        <v/>
      </c>
      <c r="M854" s="12">
        <f>IF(OR($S854="",$V854="",$T854="",$T854&lt;0,$T854&gt;228,$AG854=""),"—",ROUND(IF($AG854=0,LN($V854/$AH854)/$AI854,((($V854/$AH854)^$AG854)-1)/($AG854*$AI854)),2))</f>
        <v/>
      </c>
      <c r="N854">
        <f>IF(OR($M854="",$M854="—"),"",IF($M854&lt;-3,"Muito baixa",IF($M854&lt;-2,"Baixa","Adequada")))</f>
        <v/>
      </c>
      <c r="O854" s="12">
        <f>IF(OR($S854="",$F854="",$T854="",$T854&lt;0,$T854&gt;120,$AJ854=""),"—",ROUND(IF(ABS($AM854)&lt;=3,$AM854,IF($AM854&gt;3,3+($F854-$AO854)/($AO854-$AN854),-3+($F854-$AQ854)/($AP854-$AQ854))),2))</f>
        <v/>
      </c>
      <c r="P854">
        <f>IF(OR($O854="",$O854="—"),"",IF($O854&lt;-3,"Muito baixo",IF($O854&lt;-2,"Baixo",IF($O854&lt;=2,"Adequado","Elevado"))))</f>
        <v/>
      </c>
      <c r="Q854" s="12">
        <f>IF(OR($S854="",$F854="",$T854="",$T854&lt;0,$T854&gt;60,$AR854=""),"—",ROUND(IF(ABS($AU854)&lt;=3,$AU854,IF($AU854&gt;3,3+($F854-$AW854)/($AW854-$AV854),-3+($F854-$AY854)/($AX854-$AY854))),2))</f>
        <v/>
      </c>
      <c r="R854">
        <f>IF(OR($Q854="",$Q854="—"),"",IF($Q854&lt;-3,"Magreza acentuada",IF($Q854&lt;-2,"Magreza",IF($Q854&lt;=1,"Eutrofia",IF($Q854&lt;=2,"Risco de sobrepeso",IF($Q854&lt;=3,"Sobrepeso","Obesidade"))))))</f>
        <v/>
      </c>
      <c r="S854">
        <f>IF($C854="","",IF(UPPER(LEFT($C854,1))="M",1,IF(UPPER(LEFT($C854,1))="F",2,"")))</f>
        <v/>
      </c>
      <c r="T854">
        <f>IF(OR($D854="",$E854=""),"",DATEDIF($D854,$E854,"m"))</f>
        <v/>
      </c>
      <c r="U854">
        <f>IF(OR($D854="",$E854=""),"",$E854-$D854)</f>
        <v/>
      </c>
      <c r="V854">
        <f>IF(OR($G854="",$T854=""),"",IF($T854&lt;24,IF(LEFT(LOWER($H854),4)="em p",$G854+0.7,$G854),IF(LEFT(LOWER($H854),4)="deit",$G854-0.7,$G854)))</f>
        <v/>
      </c>
      <c r="W854">
        <f>IF(OR($S854="",$T854=""),"",$S854*1000000+IF($T854&lt;=60,$U854,$T854))</f>
        <v/>
      </c>
      <c r="X854">
        <f>IF(OR($S854="",$V854="",$T854&gt;60,$T854=""),"",$S854*1000000+ROUND($V854*10,0))</f>
        <v/>
      </c>
      <c r="Y854">
        <f>IF($W854="","",IFERROR(INDEX(IF($T854&lt;=60,imc05_l,imc519_l),MATCH($W854,IF($T854&lt;=60,imc05_k,imc519_k),1)),""))</f>
        <v/>
      </c>
      <c r="Z854">
        <f>IF($W854="","",IFERROR(INDEX(IF($T854&lt;=60,imc05_m,imc519_m),MATCH($W854,IF($T854&lt;=60,imc05_k,imc519_k),1)),""))</f>
        <v/>
      </c>
      <c r="AA854">
        <f>IF($W854="","",IFERROR(INDEX(IF($T854&lt;=60,imc05_s,imc519_s),MATCH($W854,IF($T854&lt;=60,imc05_k,imc519_k),1)),""))</f>
        <v/>
      </c>
      <c r="AB854">
        <f>IF($Y854="","",IF($Y854=0,LN($J854/$Z854)/$AA854,((($J854/$Z854)^$Y854)-1)/($Y854*$AA854)))</f>
        <v/>
      </c>
      <c r="AC854">
        <f>IF($Y854="","",IF($Y854=0,$Z854*EXP($AA854*2),$Z854*(1+$Y854*$AA854*2)^(1/$Y854)))</f>
        <v/>
      </c>
      <c r="AD854">
        <f>IF($Y854="","",IF($Y854=0,$Z854*EXP($AA854*3),$Z854*(1+$Y854*$AA854*3)^(1/$Y854)))</f>
        <v/>
      </c>
      <c r="AE854">
        <f>IF($Y854="","",IF($Y854=0,$Z854*EXP($AA854*-2),$Z854*(1+$Y854*$AA854*-2)^(1/$Y854)))</f>
        <v/>
      </c>
      <c r="AF854">
        <f>IF($Y854="","",IF($Y854=0,$Z854*EXP($AA854*-3),$Z854*(1+$Y854*$AA854*-3)^(1/$Y854)))</f>
        <v/>
      </c>
      <c r="AG854">
        <f>IF($W854="","",IFERROR(INDEX(IF($T854&lt;=60,est05_l,est519_l),MATCH($W854,IF($T854&lt;=60,est05_k,est519_k),1)),""))</f>
        <v/>
      </c>
      <c r="AH854">
        <f>IF($W854="","",IFERROR(INDEX(IF($T854&lt;=60,est05_m,est519_m),MATCH($W854,IF($T854&lt;=60,est05_k,est519_k),1)),""))</f>
        <v/>
      </c>
      <c r="AI854">
        <f>IF($W854="","",IFERROR(INDEX(IF($T854&lt;=60,est05_s,est519_s),MATCH($W854,IF($T854&lt;=60,est05_k,est519_k),1)),""))</f>
        <v/>
      </c>
      <c r="AJ854">
        <f>IF($W854="","",IFERROR(INDEX(IF($T854&lt;=60,peso05_l,peso510_l),MATCH($W854,IF($T854&lt;=60,peso05_k,peso510_k),1)),""))</f>
        <v/>
      </c>
      <c r="AK854">
        <f>IF($W854="","",IFERROR(INDEX(IF($T854&lt;=60,peso05_m,peso510_m),MATCH($W854,IF($T854&lt;=60,peso05_k,peso510_k),1)),""))</f>
        <v/>
      </c>
      <c r="AL854">
        <f>IF($W854="","",IFERROR(INDEX(IF($T854&lt;=60,peso05_s,peso510_s),MATCH($W854,IF($T854&lt;=60,peso05_k,peso510_k),1)),""))</f>
        <v/>
      </c>
      <c r="AM854">
        <f>IF($AJ854="","",IF($AJ854=0,LN($F854/$AK854)/$AL854,((($F854/$AK854)^$AJ854)-1)/($AJ854*$AL854)))</f>
        <v/>
      </c>
      <c r="AN854">
        <f>IF($AJ854="","",IF($AJ854=0,$AK854*EXP($AL854*2),$AK854*(1+$AJ854*$AL854*2)^(1/$AJ854)))</f>
        <v/>
      </c>
      <c r="AO854">
        <f>IF($AJ854="","",IF($AJ854=0,$AK854*EXP($AL854*3),$AK854*(1+$AJ854*$AL854*3)^(1/$AJ854)))</f>
        <v/>
      </c>
      <c r="AP854">
        <f>IF($AJ854="","",IF($AJ854=0,$AK854*EXP($AL854*-2),$AK854*(1+$AJ854*$AL854*-2)^(1/$AJ854)))</f>
        <v/>
      </c>
      <c r="AQ854">
        <f>IF($AJ854="","",IF($AJ854=0,$AK854*EXP($AL854*-3),$AK854*(1+$AJ854*$AL854*-3)^(1/$AJ854)))</f>
        <v/>
      </c>
      <c r="AR854">
        <f>IF(OR($X854="",$T854&gt;60),"",IFERROR(INDEX(IF($T854&lt;24,pcomp_l,palt_l),MATCH($X854,IF($T854&lt;24,pcomp_k,palt_k),1)),""))</f>
        <v/>
      </c>
      <c r="AS854">
        <f>IF(OR($X854="",$T854&gt;60),"",IFERROR(INDEX(IF($T854&lt;24,pcomp_m,palt_m),MATCH($X854,IF($T854&lt;24,pcomp_k,palt_k),1)),""))</f>
        <v/>
      </c>
      <c r="AT854">
        <f>IF(OR($X854="",$T854&gt;60),"",IFERROR(INDEX(IF($T854&lt;24,pcomp_s,palt_s),MATCH($X854,IF($T854&lt;24,pcomp_k,palt_k),1)),""))</f>
        <v/>
      </c>
      <c r="AU854">
        <f>IF($AR854="","",IF($AR854=0,LN($F854/$AS854)/$AT854,((($F854/$AS854)^$AR854)-1)/($AR854*$AT854)))</f>
        <v/>
      </c>
      <c r="AV854">
        <f>IF($AR854="","",IF($AR854=0,$AS854*EXP($AT854*2),$AS854*(1+$AR854*$AT854*2)^(1/$AR854)))</f>
        <v/>
      </c>
      <c r="AW854">
        <f>IF($AR854="","",IF($AR854=0,$AS854*EXP($AT854*3),$AS854*(1+$AR854*$AT854*3)^(1/$AR854)))</f>
        <v/>
      </c>
      <c r="AX854">
        <f>IF($AR854="","",IF($AR854=0,$AS854*EXP($AT854*-2),$AS854*(1+$AR854*$AT854*-2)^(1/$AR854)))</f>
        <v/>
      </c>
      <c r="AY854">
        <f>IF($AR854="","",IF($AR854=0,$AS854*EXP($AT854*-3),$AS854*(1+$AR854*$AT854*-3)^(1/$AR854)))</f>
        <v/>
      </c>
      <c r="AZ854">
        <f>IF(OR($A854="",$A854&lt;&gt;Ficha!$C$4),"",COUNTIF($A$2:$A854,Ficha!$C$4))</f>
        <v/>
      </c>
    </row>
    <row r="855">
      <c r="A855" s="8">
        <f>IF(INDEX(Banco!$A:$A,ROW())="","",INDEX(Banco!$A:$A,ROW()))</f>
        <v/>
      </c>
      <c r="B855" s="8">
        <f>IF(INDEX(Banco!$B:$B,ROW())="","",INDEX(Banco!$B:$B,ROW()))</f>
        <v/>
      </c>
      <c r="C855" s="8">
        <f>IF(INDEX(Banco!$C:$C,ROW())="","",INDEX(Banco!$C:$C,ROW()))</f>
        <v/>
      </c>
      <c r="D855" s="9">
        <f>IF(INDEX(Banco!$D:$D,ROW())="","",INDEX(Banco!$D:$D,ROW()))</f>
        <v/>
      </c>
      <c r="E855" s="9">
        <f>IF(INDEX(Banco!$E:$E,ROW())="","",INDEX(Banco!$E:$E,ROW()))</f>
        <v/>
      </c>
      <c r="F855" s="10">
        <f>IF(INDEX(Banco!$F:$F,ROW())="","",INDEX(Banco!$F:$F,ROW()))</f>
        <v/>
      </c>
      <c r="G855" s="10">
        <f>IF(INDEX(Banco!$G:$G,ROW())="","",INDEX(Banco!$G:$G,ROW()))</f>
        <v/>
      </c>
      <c r="H855" s="8">
        <f>IF(INDEX(Banco!$H:$H,ROW())="","",INDEX(Banco!$H:$H,ROW()))</f>
        <v/>
      </c>
      <c r="I855">
        <f>IF($T855="","",INT($T855/12)&amp;"a "&amp;MOD($T855,12)&amp;"m")</f>
        <v/>
      </c>
      <c r="J855" s="11">
        <f>IF(OR($F855="",$G855=""),"",ROUND($F855/($G855/100)^2,2))</f>
        <v/>
      </c>
      <c r="K855" s="12">
        <f>IF(OR($S855="",$J855="",$T855="",$T855&lt;0,$T855&gt;228,$Y855=""),"—",ROUND(IF(ABS($AB855)&lt;=3,$AB855,IF($AB855&gt;3,3+($J855-$AD855)/($AD855-$AC855),-3+($J855-$AF855)/($AE855-$AF855))),2))</f>
        <v/>
      </c>
      <c r="L855">
        <f>IF(OR($K855="",$K855="—"),"",IF($T855&lt;=60,IF($K855&lt;-3,"Magreza acentuada",IF($K855&lt;-2,"Magreza",IF($K855&lt;=1,"Eutrofia",IF($K855&lt;=2,"Risco de sobrepeso",IF($K855&lt;=3,"Sobrepeso","Obesidade"))))),IF($K855&lt;-3,"Magreza acentuada",IF($K855&lt;-2,"Magreza",IF($K855&lt;=1,"Eutrofia",IF($K855&lt;=2,"Sobrepeso",IF($K855&lt;=3,"Obesidade","Obesidade grave")))))))</f>
        <v/>
      </c>
      <c r="M855" s="12">
        <f>IF(OR($S855="",$V855="",$T855="",$T855&lt;0,$T855&gt;228,$AG855=""),"—",ROUND(IF($AG855=0,LN($V855/$AH855)/$AI855,((($V855/$AH855)^$AG855)-1)/($AG855*$AI855)),2))</f>
        <v/>
      </c>
      <c r="N855">
        <f>IF(OR($M855="",$M855="—"),"",IF($M855&lt;-3,"Muito baixa",IF($M855&lt;-2,"Baixa","Adequada")))</f>
        <v/>
      </c>
      <c r="O855" s="12">
        <f>IF(OR($S855="",$F855="",$T855="",$T855&lt;0,$T855&gt;120,$AJ855=""),"—",ROUND(IF(ABS($AM855)&lt;=3,$AM855,IF($AM855&gt;3,3+($F855-$AO855)/($AO855-$AN855),-3+($F855-$AQ855)/($AP855-$AQ855))),2))</f>
        <v/>
      </c>
      <c r="P855">
        <f>IF(OR($O855="",$O855="—"),"",IF($O855&lt;-3,"Muito baixo",IF($O855&lt;-2,"Baixo",IF($O855&lt;=2,"Adequado","Elevado"))))</f>
        <v/>
      </c>
      <c r="Q855" s="12">
        <f>IF(OR($S855="",$F855="",$T855="",$T855&lt;0,$T855&gt;60,$AR855=""),"—",ROUND(IF(ABS($AU855)&lt;=3,$AU855,IF($AU855&gt;3,3+($F855-$AW855)/($AW855-$AV855),-3+($F855-$AY855)/($AX855-$AY855))),2))</f>
        <v/>
      </c>
      <c r="R855">
        <f>IF(OR($Q855="",$Q855="—"),"",IF($Q855&lt;-3,"Magreza acentuada",IF($Q855&lt;-2,"Magreza",IF($Q855&lt;=1,"Eutrofia",IF($Q855&lt;=2,"Risco de sobrepeso",IF($Q855&lt;=3,"Sobrepeso","Obesidade"))))))</f>
        <v/>
      </c>
      <c r="S855">
        <f>IF($C855="","",IF(UPPER(LEFT($C855,1))="M",1,IF(UPPER(LEFT($C855,1))="F",2,"")))</f>
        <v/>
      </c>
      <c r="T855">
        <f>IF(OR($D855="",$E855=""),"",DATEDIF($D855,$E855,"m"))</f>
        <v/>
      </c>
      <c r="U855">
        <f>IF(OR($D855="",$E855=""),"",$E855-$D855)</f>
        <v/>
      </c>
      <c r="V855">
        <f>IF(OR($G855="",$T855=""),"",IF($T855&lt;24,IF(LEFT(LOWER($H855),4)="em p",$G855+0.7,$G855),IF(LEFT(LOWER($H855),4)="deit",$G855-0.7,$G855)))</f>
        <v/>
      </c>
      <c r="W855">
        <f>IF(OR($S855="",$T855=""),"",$S855*1000000+IF($T855&lt;=60,$U855,$T855))</f>
        <v/>
      </c>
      <c r="X855">
        <f>IF(OR($S855="",$V855="",$T855&gt;60,$T855=""),"",$S855*1000000+ROUND($V855*10,0))</f>
        <v/>
      </c>
      <c r="Y855">
        <f>IF($W855="","",IFERROR(INDEX(IF($T855&lt;=60,imc05_l,imc519_l),MATCH($W855,IF($T855&lt;=60,imc05_k,imc519_k),1)),""))</f>
        <v/>
      </c>
      <c r="Z855">
        <f>IF($W855="","",IFERROR(INDEX(IF($T855&lt;=60,imc05_m,imc519_m),MATCH($W855,IF($T855&lt;=60,imc05_k,imc519_k),1)),""))</f>
        <v/>
      </c>
      <c r="AA855">
        <f>IF($W855="","",IFERROR(INDEX(IF($T855&lt;=60,imc05_s,imc519_s),MATCH($W855,IF($T855&lt;=60,imc05_k,imc519_k),1)),""))</f>
        <v/>
      </c>
      <c r="AB855">
        <f>IF($Y855="","",IF($Y855=0,LN($J855/$Z855)/$AA855,((($J855/$Z855)^$Y855)-1)/($Y855*$AA855)))</f>
        <v/>
      </c>
      <c r="AC855">
        <f>IF($Y855="","",IF($Y855=0,$Z855*EXP($AA855*2),$Z855*(1+$Y855*$AA855*2)^(1/$Y855)))</f>
        <v/>
      </c>
      <c r="AD855">
        <f>IF($Y855="","",IF($Y855=0,$Z855*EXP($AA855*3),$Z855*(1+$Y855*$AA855*3)^(1/$Y855)))</f>
        <v/>
      </c>
      <c r="AE855">
        <f>IF($Y855="","",IF($Y855=0,$Z855*EXP($AA855*-2),$Z855*(1+$Y855*$AA855*-2)^(1/$Y855)))</f>
        <v/>
      </c>
      <c r="AF855">
        <f>IF($Y855="","",IF($Y855=0,$Z855*EXP($AA855*-3),$Z855*(1+$Y855*$AA855*-3)^(1/$Y855)))</f>
        <v/>
      </c>
      <c r="AG855">
        <f>IF($W855="","",IFERROR(INDEX(IF($T855&lt;=60,est05_l,est519_l),MATCH($W855,IF($T855&lt;=60,est05_k,est519_k),1)),""))</f>
        <v/>
      </c>
      <c r="AH855">
        <f>IF($W855="","",IFERROR(INDEX(IF($T855&lt;=60,est05_m,est519_m),MATCH($W855,IF($T855&lt;=60,est05_k,est519_k),1)),""))</f>
        <v/>
      </c>
      <c r="AI855">
        <f>IF($W855="","",IFERROR(INDEX(IF($T855&lt;=60,est05_s,est519_s),MATCH($W855,IF($T855&lt;=60,est05_k,est519_k),1)),""))</f>
        <v/>
      </c>
      <c r="AJ855">
        <f>IF($W855="","",IFERROR(INDEX(IF($T855&lt;=60,peso05_l,peso510_l),MATCH($W855,IF($T855&lt;=60,peso05_k,peso510_k),1)),""))</f>
        <v/>
      </c>
      <c r="AK855">
        <f>IF($W855="","",IFERROR(INDEX(IF($T855&lt;=60,peso05_m,peso510_m),MATCH($W855,IF($T855&lt;=60,peso05_k,peso510_k),1)),""))</f>
        <v/>
      </c>
      <c r="AL855">
        <f>IF($W855="","",IFERROR(INDEX(IF($T855&lt;=60,peso05_s,peso510_s),MATCH($W855,IF($T855&lt;=60,peso05_k,peso510_k),1)),""))</f>
        <v/>
      </c>
      <c r="AM855">
        <f>IF($AJ855="","",IF($AJ855=0,LN($F855/$AK855)/$AL855,((($F855/$AK855)^$AJ855)-1)/($AJ855*$AL855)))</f>
        <v/>
      </c>
      <c r="AN855">
        <f>IF($AJ855="","",IF($AJ855=0,$AK855*EXP($AL855*2),$AK855*(1+$AJ855*$AL855*2)^(1/$AJ855)))</f>
        <v/>
      </c>
      <c r="AO855">
        <f>IF($AJ855="","",IF($AJ855=0,$AK855*EXP($AL855*3),$AK855*(1+$AJ855*$AL855*3)^(1/$AJ855)))</f>
        <v/>
      </c>
      <c r="AP855">
        <f>IF($AJ855="","",IF($AJ855=0,$AK855*EXP($AL855*-2),$AK855*(1+$AJ855*$AL855*-2)^(1/$AJ855)))</f>
        <v/>
      </c>
      <c r="AQ855">
        <f>IF($AJ855="","",IF($AJ855=0,$AK855*EXP($AL855*-3),$AK855*(1+$AJ855*$AL855*-3)^(1/$AJ855)))</f>
        <v/>
      </c>
      <c r="AR855">
        <f>IF(OR($X855="",$T855&gt;60),"",IFERROR(INDEX(IF($T855&lt;24,pcomp_l,palt_l),MATCH($X855,IF($T855&lt;24,pcomp_k,palt_k),1)),""))</f>
        <v/>
      </c>
      <c r="AS855">
        <f>IF(OR($X855="",$T855&gt;60),"",IFERROR(INDEX(IF($T855&lt;24,pcomp_m,palt_m),MATCH($X855,IF($T855&lt;24,pcomp_k,palt_k),1)),""))</f>
        <v/>
      </c>
      <c r="AT855">
        <f>IF(OR($X855="",$T855&gt;60),"",IFERROR(INDEX(IF($T855&lt;24,pcomp_s,palt_s),MATCH($X855,IF($T855&lt;24,pcomp_k,palt_k),1)),""))</f>
        <v/>
      </c>
      <c r="AU855">
        <f>IF($AR855="","",IF($AR855=0,LN($F855/$AS855)/$AT855,((($F855/$AS855)^$AR855)-1)/($AR855*$AT855)))</f>
        <v/>
      </c>
      <c r="AV855">
        <f>IF($AR855="","",IF($AR855=0,$AS855*EXP($AT855*2),$AS855*(1+$AR855*$AT855*2)^(1/$AR855)))</f>
        <v/>
      </c>
      <c r="AW855">
        <f>IF($AR855="","",IF($AR855=0,$AS855*EXP($AT855*3),$AS855*(1+$AR855*$AT855*3)^(1/$AR855)))</f>
        <v/>
      </c>
      <c r="AX855">
        <f>IF($AR855="","",IF($AR855=0,$AS855*EXP($AT855*-2),$AS855*(1+$AR855*$AT855*-2)^(1/$AR855)))</f>
        <v/>
      </c>
      <c r="AY855">
        <f>IF($AR855="","",IF($AR855=0,$AS855*EXP($AT855*-3),$AS855*(1+$AR855*$AT855*-3)^(1/$AR855)))</f>
        <v/>
      </c>
      <c r="AZ855">
        <f>IF(OR($A855="",$A855&lt;&gt;Ficha!$C$4),"",COUNTIF($A$2:$A855,Ficha!$C$4))</f>
        <v/>
      </c>
    </row>
    <row r="856">
      <c r="A856" s="8">
        <f>IF(INDEX(Banco!$A:$A,ROW())="","",INDEX(Banco!$A:$A,ROW()))</f>
        <v/>
      </c>
      <c r="B856" s="8">
        <f>IF(INDEX(Banco!$B:$B,ROW())="","",INDEX(Banco!$B:$B,ROW()))</f>
        <v/>
      </c>
      <c r="C856" s="8">
        <f>IF(INDEX(Banco!$C:$C,ROW())="","",INDEX(Banco!$C:$C,ROW()))</f>
        <v/>
      </c>
      <c r="D856" s="9">
        <f>IF(INDEX(Banco!$D:$D,ROW())="","",INDEX(Banco!$D:$D,ROW()))</f>
        <v/>
      </c>
      <c r="E856" s="9">
        <f>IF(INDEX(Banco!$E:$E,ROW())="","",INDEX(Banco!$E:$E,ROW()))</f>
        <v/>
      </c>
      <c r="F856" s="10">
        <f>IF(INDEX(Banco!$F:$F,ROW())="","",INDEX(Banco!$F:$F,ROW()))</f>
        <v/>
      </c>
      <c r="G856" s="10">
        <f>IF(INDEX(Banco!$G:$G,ROW())="","",INDEX(Banco!$G:$G,ROW()))</f>
        <v/>
      </c>
      <c r="H856" s="8">
        <f>IF(INDEX(Banco!$H:$H,ROW())="","",INDEX(Banco!$H:$H,ROW()))</f>
        <v/>
      </c>
      <c r="I856">
        <f>IF($T856="","",INT($T856/12)&amp;"a "&amp;MOD($T856,12)&amp;"m")</f>
        <v/>
      </c>
      <c r="J856" s="11">
        <f>IF(OR($F856="",$G856=""),"",ROUND($F856/($G856/100)^2,2))</f>
        <v/>
      </c>
      <c r="K856" s="12">
        <f>IF(OR($S856="",$J856="",$T856="",$T856&lt;0,$T856&gt;228,$Y856=""),"—",ROUND(IF(ABS($AB856)&lt;=3,$AB856,IF($AB856&gt;3,3+($J856-$AD856)/($AD856-$AC856),-3+($J856-$AF856)/($AE856-$AF856))),2))</f>
        <v/>
      </c>
      <c r="L856">
        <f>IF(OR($K856="",$K856="—"),"",IF($T856&lt;=60,IF($K856&lt;-3,"Magreza acentuada",IF($K856&lt;-2,"Magreza",IF($K856&lt;=1,"Eutrofia",IF($K856&lt;=2,"Risco de sobrepeso",IF($K856&lt;=3,"Sobrepeso","Obesidade"))))),IF($K856&lt;-3,"Magreza acentuada",IF($K856&lt;-2,"Magreza",IF($K856&lt;=1,"Eutrofia",IF($K856&lt;=2,"Sobrepeso",IF($K856&lt;=3,"Obesidade","Obesidade grave")))))))</f>
        <v/>
      </c>
      <c r="M856" s="12">
        <f>IF(OR($S856="",$V856="",$T856="",$T856&lt;0,$T856&gt;228,$AG856=""),"—",ROUND(IF($AG856=0,LN($V856/$AH856)/$AI856,((($V856/$AH856)^$AG856)-1)/($AG856*$AI856)),2))</f>
        <v/>
      </c>
      <c r="N856">
        <f>IF(OR($M856="",$M856="—"),"",IF($M856&lt;-3,"Muito baixa",IF($M856&lt;-2,"Baixa","Adequada")))</f>
        <v/>
      </c>
      <c r="O856" s="12">
        <f>IF(OR($S856="",$F856="",$T856="",$T856&lt;0,$T856&gt;120,$AJ856=""),"—",ROUND(IF(ABS($AM856)&lt;=3,$AM856,IF($AM856&gt;3,3+($F856-$AO856)/($AO856-$AN856),-3+($F856-$AQ856)/($AP856-$AQ856))),2))</f>
        <v/>
      </c>
      <c r="P856">
        <f>IF(OR($O856="",$O856="—"),"",IF($O856&lt;-3,"Muito baixo",IF($O856&lt;-2,"Baixo",IF($O856&lt;=2,"Adequado","Elevado"))))</f>
        <v/>
      </c>
      <c r="Q856" s="12">
        <f>IF(OR($S856="",$F856="",$T856="",$T856&lt;0,$T856&gt;60,$AR856=""),"—",ROUND(IF(ABS($AU856)&lt;=3,$AU856,IF($AU856&gt;3,3+($F856-$AW856)/($AW856-$AV856),-3+($F856-$AY856)/($AX856-$AY856))),2))</f>
        <v/>
      </c>
      <c r="R856">
        <f>IF(OR($Q856="",$Q856="—"),"",IF($Q856&lt;-3,"Magreza acentuada",IF($Q856&lt;-2,"Magreza",IF($Q856&lt;=1,"Eutrofia",IF($Q856&lt;=2,"Risco de sobrepeso",IF($Q856&lt;=3,"Sobrepeso","Obesidade"))))))</f>
        <v/>
      </c>
      <c r="S856">
        <f>IF($C856="","",IF(UPPER(LEFT($C856,1))="M",1,IF(UPPER(LEFT($C856,1))="F",2,"")))</f>
        <v/>
      </c>
      <c r="T856">
        <f>IF(OR($D856="",$E856=""),"",DATEDIF($D856,$E856,"m"))</f>
        <v/>
      </c>
      <c r="U856">
        <f>IF(OR($D856="",$E856=""),"",$E856-$D856)</f>
        <v/>
      </c>
      <c r="V856">
        <f>IF(OR($G856="",$T856=""),"",IF($T856&lt;24,IF(LEFT(LOWER($H856),4)="em p",$G856+0.7,$G856),IF(LEFT(LOWER($H856),4)="deit",$G856-0.7,$G856)))</f>
        <v/>
      </c>
      <c r="W856">
        <f>IF(OR($S856="",$T856=""),"",$S856*1000000+IF($T856&lt;=60,$U856,$T856))</f>
        <v/>
      </c>
      <c r="X856">
        <f>IF(OR($S856="",$V856="",$T856&gt;60,$T856=""),"",$S856*1000000+ROUND($V856*10,0))</f>
        <v/>
      </c>
      <c r="Y856">
        <f>IF($W856="","",IFERROR(INDEX(IF($T856&lt;=60,imc05_l,imc519_l),MATCH($W856,IF($T856&lt;=60,imc05_k,imc519_k),1)),""))</f>
        <v/>
      </c>
      <c r="Z856">
        <f>IF($W856="","",IFERROR(INDEX(IF($T856&lt;=60,imc05_m,imc519_m),MATCH($W856,IF($T856&lt;=60,imc05_k,imc519_k),1)),""))</f>
        <v/>
      </c>
      <c r="AA856">
        <f>IF($W856="","",IFERROR(INDEX(IF($T856&lt;=60,imc05_s,imc519_s),MATCH($W856,IF($T856&lt;=60,imc05_k,imc519_k),1)),""))</f>
        <v/>
      </c>
      <c r="AB856">
        <f>IF($Y856="","",IF($Y856=0,LN($J856/$Z856)/$AA856,((($J856/$Z856)^$Y856)-1)/($Y856*$AA856)))</f>
        <v/>
      </c>
      <c r="AC856">
        <f>IF($Y856="","",IF($Y856=0,$Z856*EXP($AA856*2),$Z856*(1+$Y856*$AA856*2)^(1/$Y856)))</f>
        <v/>
      </c>
      <c r="AD856">
        <f>IF($Y856="","",IF($Y856=0,$Z856*EXP($AA856*3),$Z856*(1+$Y856*$AA856*3)^(1/$Y856)))</f>
        <v/>
      </c>
      <c r="AE856">
        <f>IF($Y856="","",IF($Y856=0,$Z856*EXP($AA856*-2),$Z856*(1+$Y856*$AA856*-2)^(1/$Y856)))</f>
        <v/>
      </c>
      <c r="AF856">
        <f>IF($Y856="","",IF($Y856=0,$Z856*EXP($AA856*-3),$Z856*(1+$Y856*$AA856*-3)^(1/$Y856)))</f>
        <v/>
      </c>
      <c r="AG856">
        <f>IF($W856="","",IFERROR(INDEX(IF($T856&lt;=60,est05_l,est519_l),MATCH($W856,IF($T856&lt;=60,est05_k,est519_k),1)),""))</f>
        <v/>
      </c>
      <c r="AH856">
        <f>IF($W856="","",IFERROR(INDEX(IF($T856&lt;=60,est05_m,est519_m),MATCH($W856,IF($T856&lt;=60,est05_k,est519_k),1)),""))</f>
        <v/>
      </c>
      <c r="AI856">
        <f>IF($W856="","",IFERROR(INDEX(IF($T856&lt;=60,est05_s,est519_s),MATCH($W856,IF($T856&lt;=60,est05_k,est519_k),1)),""))</f>
        <v/>
      </c>
      <c r="AJ856">
        <f>IF($W856="","",IFERROR(INDEX(IF($T856&lt;=60,peso05_l,peso510_l),MATCH($W856,IF($T856&lt;=60,peso05_k,peso510_k),1)),""))</f>
        <v/>
      </c>
      <c r="AK856">
        <f>IF($W856="","",IFERROR(INDEX(IF($T856&lt;=60,peso05_m,peso510_m),MATCH($W856,IF($T856&lt;=60,peso05_k,peso510_k),1)),""))</f>
        <v/>
      </c>
      <c r="AL856">
        <f>IF($W856="","",IFERROR(INDEX(IF($T856&lt;=60,peso05_s,peso510_s),MATCH($W856,IF($T856&lt;=60,peso05_k,peso510_k),1)),""))</f>
        <v/>
      </c>
      <c r="AM856">
        <f>IF($AJ856="","",IF($AJ856=0,LN($F856/$AK856)/$AL856,((($F856/$AK856)^$AJ856)-1)/($AJ856*$AL856)))</f>
        <v/>
      </c>
      <c r="AN856">
        <f>IF($AJ856="","",IF($AJ856=0,$AK856*EXP($AL856*2),$AK856*(1+$AJ856*$AL856*2)^(1/$AJ856)))</f>
        <v/>
      </c>
      <c r="AO856">
        <f>IF($AJ856="","",IF($AJ856=0,$AK856*EXP($AL856*3),$AK856*(1+$AJ856*$AL856*3)^(1/$AJ856)))</f>
        <v/>
      </c>
      <c r="AP856">
        <f>IF($AJ856="","",IF($AJ856=0,$AK856*EXP($AL856*-2),$AK856*(1+$AJ856*$AL856*-2)^(1/$AJ856)))</f>
        <v/>
      </c>
      <c r="AQ856">
        <f>IF($AJ856="","",IF($AJ856=0,$AK856*EXP($AL856*-3),$AK856*(1+$AJ856*$AL856*-3)^(1/$AJ856)))</f>
        <v/>
      </c>
      <c r="AR856">
        <f>IF(OR($X856="",$T856&gt;60),"",IFERROR(INDEX(IF($T856&lt;24,pcomp_l,palt_l),MATCH($X856,IF($T856&lt;24,pcomp_k,palt_k),1)),""))</f>
        <v/>
      </c>
      <c r="AS856">
        <f>IF(OR($X856="",$T856&gt;60),"",IFERROR(INDEX(IF($T856&lt;24,pcomp_m,palt_m),MATCH($X856,IF($T856&lt;24,pcomp_k,palt_k),1)),""))</f>
        <v/>
      </c>
      <c r="AT856">
        <f>IF(OR($X856="",$T856&gt;60),"",IFERROR(INDEX(IF($T856&lt;24,pcomp_s,palt_s),MATCH($X856,IF($T856&lt;24,pcomp_k,palt_k),1)),""))</f>
        <v/>
      </c>
      <c r="AU856">
        <f>IF($AR856="","",IF($AR856=0,LN($F856/$AS856)/$AT856,((($F856/$AS856)^$AR856)-1)/($AR856*$AT856)))</f>
        <v/>
      </c>
      <c r="AV856">
        <f>IF($AR856="","",IF($AR856=0,$AS856*EXP($AT856*2),$AS856*(1+$AR856*$AT856*2)^(1/$AR856)))</f>
        <v/>
      </c>
      <c r="AW856">
        <f>IF($AR856="","",IF($AR856=0,$AS856*EXP($AT856*3),$AS856*(1+$AR856*$AT856*3)^(1/$AR856)))</f>
        <v/>
      </c>
      <c r="AX856">
        <f>IF($AR856="","",IF($AR856=0,$AS856*EXP($AT856*-2),$AS856*(1+$AR856*$AT856*-2)^(1/$AR856)))</f>
        <v/>
      </c>
      <c r="AY856">
        <f>IF($AR856="","",IF($AR856=0,$AS856*EXP($AT856*-3),$AS856*(1+$AR856*$AT856*-3)^(1/$AR856)))</f>
        <v/>
      </c>
      <c r="AZ856">
        <f>IF(OR($A856="",$A856&lt;&gt;Ficha!$C$4),"",COUNTIF($A$2:$A856,Ficha!$C$4))</f>
        <v/>
      </c>
    </row>
    <row r="857">
      <c r="A857" s="8">
        <f>IF(INDEX(Banco!$A:$A,ROW())="","",INDEX(Banco!$A:$A,ROW()))</f>
        <v/>
      </c>
      <c r="B857" s="8">
        <f>IF(INDEX(Banco!$B:$B,ROW())="","",INDEX(Banco!$B:$B,ROW()))</f>
        <v/>
      </c>
      <c r="C857" s="8">
        <f>IF(INDEX(Banco!$C:$C,ROW())="","",INDEX(Banco!$C:$C,ROW()))</f>
        <v/>
      </c>
      <c r="D857" s="9">
        <f>IF(INDEX(Banco!$D:$D,ROW())="","",INDEX(Banco!$D:$D,ROW()))</f>
        <v/>
      </c>
      <c r="E857" s="9">
        <f>IF(INDEX(Banco!$E:$E,ROW())="","",INDEX(Banco!$E:$E,ROW()))</f>
        <v/>
      </c>
      <c r="F857" s="10">
        <f>IF(INDEX(Banco!$F:$F,ROW())="","",INDEX(Banco!$F:$F,ROW()))</f>
        <v/>
      </c>
      <c r="G857" s="10">
        <f>IF(INDEX(Banco!$G:$G,ROW())="","",INDEX(Banco!$G:$G,ROW()))</f>
        <v/>
      </c>
      <c r="H857" s="8">
        <f>IF(INDEX(Banco!$H:$H,ROW())="","",INDEX(Banco!$H:$H,ROW()))</f>
        <v/>
      </c>
      <c r="I857">
        <f>IF($T857="","",INT($T857/12)&amp;"a "&amp;MOD($T857,12)&amp;"m")</f>
        <v/>
      </c>
      <c r="J857" s="11">
        <f>IF(OR($F857="",$G857=""),"",ROUND($F857/($G857/100)^2,2))</f>
        <v/>
      </c>
      <c r="K857" s="12">
        <f>IF(OR($S857="",$J857="",$T857="",$T857&lt;0,$T857&gt;228,$Y857=""),"—",ROUND(IF(ABS($AB857)&lt;=3,$AB857,IF($AB857&gt;3,3+($J857-$AD857)/($AD857-$AC857),-3+($J857-$AF857)/($AE857-$AF857))),2))</f>
        <v/>
      </c>
      <c r="L857">
        <f>IF(OR($K857="",$K857="—"),"",IF($T857&lt;=60,IF($K857&lt;-3,"Magreza acentuada",IF($K857&lt;-2,"Magreza",IF($K857&lt;=1,"Eutrofia",IF($K857&lt;=2,"Risco de sobrepeso",IF($K857&lt;=3,"Sobrepeso","Obesidade"))))),IF($K857&lt;-3,"Magreza acentuada",IF($K857&lt;-2,"Magreza",IF($K857&lt;=1,"Eutrofia",IF($K857&lt;=2,"Sobrepeso",IF($K857&lt;=3,"Obesidade","Obesidade grave")))))))</f>
        <v/>
      </c>
      <c r="M857" s="12">
        <f>IF(OR($S857="",$V857="",$T857="",$T857&lt;0,$T857&gt;228,$AG857=""),"—",ROUND(IF($AG857=0,LN($V857/$AH857)/$AI857,((($V857/$AH857)^$AG857)-1)/($AG857*$AI857)),2))</f>
        <v/>
      </c>
      <c r="N857">
        <f>IF(OR($M857="",$M857="—"),"",IF($M857&lt;-3,"Muito baixa",IF($M857&lt;-2,"Baixa","Adequada")))</f>
        <v/>
      </c>
      <c r="O857" s="12">
        <f>IF(OR($S857="",$F857="",$T857="",$T857&lt;0,$T857&gt;120,$AJ857=""),"—",ROUND(IF(ABS($AM857)&lt;=3,$AM857,IF($AM857&gt;3,3+($F857-$AO857)/($AO857-$AN857),-3+($F857-$AQ857)/($AP857-$AQ857))),2))</f>
        <v/>
      </c>
      <c r="P857">
        <f>IF(OR($O857="",$O857="—"),"",IF($O857&lt;-3,"Muito baixo",IF($O857&lt;-2,"Baixo",IF($O857&lt;=2,"Adequado","Elevado"))))</f>
        <v/>
      </c>
      <c r="Q857" s="12">
        <f>IF(OR($S857="",$F857="",$T857="",$T857&lt;0,$T857&gt;60,$AR857=""),"—",ROUND(IF(ABS($AU857)&lt;=3,$AU857,IF($AU857&gt;3,3+($F857-$AW857)/($AW857-$AV857),-3+($F857-$AY857)/($AX857-$AY857))),2))</f>
        <v/>
      </c>
      <c r="R857">
        <f>IF(OR($Q857="",$Q857="—"),"",IF($Q857&lt;-3,"Magreza acentuada",IF($Q857&lt;-2,"Magreza",IF($Q857&lt;=1,"Eutrofia",IF($Q857&lt;=2,"Risco de sobrepeso",IF($Q857&lt;=3,"Sobrepeso","Obesidade"))))))</f>
        <v/>
      </c>
      <c r="S857">
        <f>IF($C857="","",IF(UPPER(LEFT($C857,1))="M",1,IF(UPPER(LEFT($C857,1))="F",2,"")))</f>
        <v/>
      </c>
      <c r="T857">
        <f>IF(OR($D857="",$E857=""),"",DATEDIF($D857,$E857,"m"))</f>
        <v/>
      </c>
      <c r="U857">
        <f>IF(OR($D857="",$E857=""),"",$E857-$D857)</f>
        <v/>
      </c>
      <c r="V857">
        <f>IF(OR($G857="",$T857=""),"",IF($T857&lt;24,IF(LEFT(LOWER($H857),4)="em p",$G857+0.7,$G857),IF(LEFT(LOWER($H857),4)="deit",$G857-0.7,$G857)))</f>
        <v/>
      </c>
      <c r="W857">
        <f>IF(OR($S857="",$T857=""),"",$S857*1000000+IF($T857&lt;=60,$U857,$T857))</f>
        <v/>
      </c>
      <c r="X857">
        <f>IF(OR($S857="",$V857="",$T857&gt;60,$T857=""),"",$S857*1000000+ROUND($V857*10,0))</f>
        <v/>
      </c>
      <c r="Y857">
        <f>IF($W857="","",IFERROR(INDEX(IF($T857&lt;=60,imc05_l,imc519_l),MATCH($W857,IF($T857&lt;=60,imc05_k,imc519_k),1)),""))</f>
        <v/>
      </c>
      <c r="Z857">
        <f>IF($W857="","",IFERROR(INDEX(IF($T857&lt;=60,imc05_m,imc519_m),MATCH($W857,IF($T857&lt;=60,imc05_k,imc519_k),1)),""))</f>
        <v/>
      </c>
      <c r="AA857">
        <f>IF($W857="","",IFERROR(INDEX(IF($T857&lt;=60,imc05_s,imc519_s),MATCH($W857,IF($T857&lt;=60,imc05_k,imc519_k),1)),""))</f>
        <v/>
      </c>
      <c r="AB857">
        <f>IF($Y857="","",IF($Y857=0,LN($J857/$Z857)/$AA857,((($J857/$Z857)^$Y857)-1)/($Y857*$AA857)))</f>
        <v/>
      </c>
      <c r="AC857">
        <f>IF($Y857="","",IF($Y857=0,$Z857*EXP($AA857*2),$Z857*(1+$Y857*$AA857*2)^(1/$Y857)))</f>
        <v/>
      </c>
      <c r="AD857">
        <f>IF($Y857="","",IF($Y857=0,$Z857*EXP($AA857*3),$Z857*(1+$Y857*$AA857*3)^(1/$Y857)))</f>
        <v/>
      </c>
      <c r="AE857">
        <f>IF($Y857="","",IF($Y857=0,$Z857*EXP($AA857*-2),$Z857*(1+$Y857*$AA857*-2)^(1/$Y857)))</f>
        <v/>
      </c>
      <c r="AF857">
        <f>IF($Y857="","",IF($Y857=0,$Z857*EXP($AA857*-3),$Z857*(1+$Y857*$AA857*-3)^(1/$Y857)))</f>
        <v/>
      </c>
      <c r="AG857">
        <f>IF($W857="","",IFERROR(INDEX(IF($T857&lt;=60,est05_l,est519_l),MATCH($W857,IF($T857&lt;=60,est05_k,est519_k),1)),""))</f>
        <v/>
      </c>
      <c r="AH857">
        <f>IF($W857="","",IFERROR(INDEX(IF($T857&lt;=60,est05_m,est519_m),MATCH($W857,IF($T857&lt;=60,est05_k,est519_k),1)),""))</f>
        <v/>
      </c>
      <c r="AI857">
        <f>IF($W857="","",IFERROR(INDEX(IF($T857&lt;=60,est05_s,est519_s),MATCH($W857,IF($T857&lt;=60,est05_k,est519_k),1)),""))</f>
        <v/>
      </c>
      <c r="AJ857">
        <f>IF($W857="","",IFERROR(INDEX(IF($T857&lt;=60,peso05_l,peso510_l),MATCH($W857,IF($T857&lt;=60,peso05_k,peso510_k),1)),""))</f>
        <v/>
      </c>
      <c r="AK857">
        <f>IF($W857="","",IFERROR(INDEX(IF($T857&lt;=60,peso05_m,peso510_m),MATCH($W857,IF($T857&lt;=60,peso05_k,peso510_k),1)),""))</f>
        <v/>
      </c>
      <c r="AL857">
        <f>IF($W857="","",IFERROR(INDEX(IF($T857&lt;=60,peso05_s,peso510_s),MATCH($W857,IF($T857&lt;=60,peso05_k,peso510_k),1)),""))</f>
        <v/>
      </c>
      <c r="AM857">
        <f>IF($AJ857="","",IF($AJ857=0,LN($F857/$AK857)/$AL857,((($F857/$AK857)^$AJ857)-1)/($AJ857*$AL857)))</f>
        <v/>
      </c>
      <c r="AN857">
        <f>IF($AJ857="","",IF($AJ857=0,$AK857*EXP($AL857*2),$AK857*(1+$AJ857*$AL857*2)^(1/$AJ857)))</f>
        <v/>
      </c>
      <c r="AO857">
        <f>IF($AJ857="","",IF($AJ857=0,$AK857*EXP($AL857*3),$AK857*(1+$AJ857*$AL857*3)^(1/$AJ857)))</f>
        <v/>
      </c>
      <c r="AP857">
        <f>IF($AJ857="","",IF($AJ857=0,$AK857*EXP($AL857*-2),$AK857*(1+$AJ857*$AL857*-2)^(1/$AJ857)))</f>
        <v/>
      </c>
      <c r="AQ857">
        <f>IF($AJ857="","",IF($AJ857=0,$AK857*EXP($AL857*-3),$AK857*(1+$AJ857*$AL857*-3)^(1/$AJ857)))</f>
        <v/>
      </c>
      <c r="AR857">
        <f>IF(OR($X857="",$T857&gt;60),"",IFERROR(INDEX(IF($T857&lt;24,pcomp_l,palt_l),MATCH($X857,IF($T857&lt;24,pcomp_k,palt_k),1)),""))</f>
        <v/>
      </c>
      <c r="AS857">
        <f>IF(OR($X857="",$T857&gt;60),"",IFERROR(INDEX(IF($T857&lt;24,pcomp_m,palt_m),MATCH($X857,IF($T857&lt;24,pcomp_k,palt_k),1)),""))</f>
        <v/>
      </c>
      <c r="AT857">
        <f>IF(OR($X857="",$T857&gt;60),"",IFERROR(INDEX(IF($T857&lt;24,pcomp_s,palt_s),MATCH($X857,IF($T857&lt;24,pcomp_k,palt_k),1)),""))</f>
        <v/>
      </c>
      <c r="AU857">
        <f>IF($AR857="","",IF($AR857=0,LN($F857/$AS857)/$AT857,((($F857/$AS857)^$AR857)-1)/($AR857*$AT857)))</f>
        <v/>
      </c>
      <c r="AV857">
        <f>IF($AR857="","",IF($AR857=0,$AS857*EXP($AT857*2),$AS857*(1+$AR857*$AT857*2)^(1/$AR857)))</f>
        <v/>
      </c>
      <c r="AW857">
        <f>IF($AR857="","",IF($AR857=0,$AS857*EXP($AT857*3),$AS857*(1+$AR857*$AT857*3)^(1/$AR857)))</f>
        <v/>
      </c>
      <c r="AX857">
        <f>IF($AR857="","",IF($AR857=0,$AS857*EXP($AT857*-2),$AS857*(1+$AR857*$AT857*-2)^(1/$AR857)))</f>
        <v/>
      </c>
      <c r="AY857">
        <f>IF($AR857="","",IF($AR857=0,$AS857*EXP($AT857*-3),$AS857*(1+$AR857*$AT857*-3)^(1/$AR857)))</f>
        <v/>
      </c>
      <c r="AZ857">
        <f>IF(OR($A857="",$A857&lt;&gt;Ficha!$C$4),"",COUNTIF($A$2:$A857,Ficha!$C$4))</f>
        <v/>
      </c>
    </row>
    <row r="858">
      <c r="A858" s="8">
        <f>IF(INDEX(Banco!$A:$A,ROW())="","",INDEX(Banco!$A:$A,ROW()))</f>
        <v/>
      </c>
      <c r="B858" s="8">
        <f>IF(INDEX(Banco!$B:$B,ROW())="","",INDEX(Banco!$B:$B,ROW()))</f>
        <v/>
      </c>
      <c r="C858" s="8">
        <f>IF(INDEX(Banco!$C:$C,ROW())="","",INDEX(Banco!$C:$C,ROW()))</f>
        <v/>
      </c>
      <c r="D858" s="9">
        <f>IF(INDEX(Banco!$D:$D,ROW())="","",INDEX(Banco!$D:$D,ROW()))</f>
        <v/>
      </c>
      <c r="E858" s="9">
        <f>IF(INDEX(Banco!$E:$E,ROW())="","",INDEX(Banco!$E:$E,ROW()))</f>
        <v/>
      </c>
      <c r="F858" s="10">
        <f>IF(INDEX(Banco!$F:$F,ROW())="","",INDEX(Banco!$F:$F,ROW()))</f>
        <v/>
      </c>
      <c r="G858" s="10">
        <f>IF(INDEX(Banco!$G:$G,ROW())="","",INDEX(Banco!$G:$G,ROW()))</f>
        <v/>
      </c>
      <c r="H858" s="8">
        <f>IF(INDEX(Banco!$H:$H,ROW())="","",INDEX(Banco!$H:$H,ROW()))</f>
        <v/>
      </c>
      <c r="I858">
        <f>IF($T858="","",INT($T858/12)&amp;"a "&amp;MOD($T858,12)&amp;"m")</f>
        <v/>
      </c>
      <c r="J858" s="11">
        <f>IF(OR($F858="",$G858=""),"",ROUND($F858/($G858/100)^2,2))</f>
        <v/>
      </c>
      <c r="K858" s="12">
        <f>IF(OR($S858="",$J858="",$T858="",$T858&lt;0,$T858&gt;228,$Y858=""),"—",ROUND(IF(ABS($AB858)&lt;=3,$AB858,IF($AB858&gt;3,3+($J858-$AD858)/($AD858-$AC858),-3+($J858-$AF858)/($AE858-$AF858))),2))</f>
        <v/>
      </c>
      <c r="L858">
        <f>IF(OR($K858="",$K858="—"),"",IF($T858&lt;=60,IF($K858&lt;-3,"Magreza acentuada",IF($K858&lt;-2,"Magreza",IF($K858&lt;=1,"Eutrofia",IF($K858&lt;=2,"Risco de sobrepeso",IF($K858&lt;=3,"Sobrepeso","Obesidade"))))),IF($K858&lt;-3,"Magreza acentuada",IF($K858&lt;-2,"Magreza",IF($K858&lt;=1,"Eutrofia",IF($K858&lt;=2,"Sobrepeso",IF($K858&lt;=3,"Obesidade","Obesidade grave")))))))</f>
        <v/>
      </c>
      <c r="M858" s="12">
        <f>IF(OR($S858="",$V858="",$T858="",$T858&lt;0,$T858&gt;228,$AG858=""),"—",ROUND(IF($AG858=0,LN($V858/$AH858)/$AI858,((($V858/$AH858)^$AG858)-1)/($AG858*$AI858)),2))</f>
        <v/>
      </c>
      <c r="N858">
        <f>IF(OR($M858="",$M858="—"),"",IF($M858&lt;-3,"Muito baixa",IF($M858&lt;-2,"Baixa","Adequada")))</f>
        <v/>
      </c>
      <c r="O858" s="12">
        <f>IF(OR($S858="",$F858="",$T858="",$T858&lt;0,$T858&gt;120,$AJ858=""),"—",ROUND(IF(ABS($AM858)&lt;=3,$AM858,IF($AM858&gt;3,3+($F858-$AO858)/($AO858-$AN858),-3+($F858-$AQ858)/($AP858-$AQ858))),2))</f>
        <v/>
      </c>
      <c r="P858">
        <f>IF(OR($O858="",$O858="—"),"",IF($O858&lt;-3,"Muito baixo",IF($O858&lt;-2,"Baixo",IF($O858&lt;=2,"Adequado","Elevado"))))</f>
        <v/>
      </c>
      <c r="Q858" s="12">
        <f>IF(OR($S858="",$F858="",$T858="",$T858&lt;0,$T858&gt;60,$AR858=""),"—",ROUND(IF(ABS($AU858)&lt;=3,$AU858,IF($AU858&gt;3,3+($F858-$AW858)/($AW858-$AV858),-3+($F858-$AY858)/($AX858-$AY858))),2))</f>
        <v/>
      </c>
      <c r="R858">
        <f>IF(OR($Q858="",$Q858="—"),"",IF($Q858&lt;-3,"Magreza acentuada",IF($Q858&lt;-2,"Magreza",IF($Q858&lt;=1,"Eutrofia",IF($Q858&lt;=2,"Risco de sobrepeso",IF($Q858&lt;=3,"Sobrepeso","Obesidade"))))))</f>
        <v/>
      </c>
      <c r="S858">
        <f>IF($C858="","",IF(UPPER(LEFT($C858,1))="M",1,IF(UPPER(LEFT($C858,1))="F",2,"")))</f>
        <v/>
      </c>
      <c r="T858">
        <f>IF(OR($D858="",$E858=""),"",DATEDIF($D858,$E858,"m"))</f>
        <v/>
      </c>
      <c r="U858">
        <f>IF(OR($D858="",$E858=""),"",$E858-$D858)</f>
        <v/>
      </c>
      <c r="V858">
        <f>IF(OR($G858="",$T858=""),"",IF($T858&lt;24,IF(LEFT(LOWER($H858),4)="em p",$G858+0.7,$G858),IF(LEFT(LOWER($H858),4)="deit",$G858-0.7,$G858)))</f>
        <v/>
      </c>
      <c r="W858">
        <f>IF(OR($S858="",$T858=""),"",$S858*1000000+IF($T858&lt;=60,$U858,$T858))</f>
        <v/>
      </c>
      <c r="X858">
        <f>IF(OR($S858="",$V858="",$T858&gt;60,$T858=""),"",$S858*1000000+ROUND($V858*10,0))</f>
        <v/>
      </c>
      <c r="Y858">
        <f>IF($W858="","",IFERROR(INDEX(IF($T858&lt;=60,imc05_l,imc519_l),MATCH($W858,IF($T858&lt;=60,imc05_k,imc519_k),1)),""))</f>
        <v/>
      </c>
      <c r="Z858">
        <f>IF($W858="","",IFERROR(INDEX(IF($T858&lt;=60,imc05_m,imc519_m),MATCH($W858,IF($T858&lt;=60,imc05_k,imc519_k),1)),""))</f>
        <v/>
      </c>
      <c r="AA858">
        <f>IF($W858="","",IFERROR(INDEX(IF($T858&lt;=60,imc05_s,imc519_s),MATCH($W858,IF($T858&lt;=60,imc05_k,imc519_k),1)),""))</f>
        <v/>
      </c>
      <c r="AB858">
        <f>IF($Y858="","",IF($Y858=0,LN($J858/$Z858)/$AA858,((($J858/$Z858)^$Y858)-1)/($Y858*$AA858)))</f>
        <v/>
      </c>
      <c r="AC858">
        <f>IF($Y858="","",IF($Y858=0,$Z858*EXP($AA858*2),$Z858*(1+$Y858*$AA858*2)^(1/$Y858)))</f>
        <v/>
      </c>
      <c r="AD858">
        <f>IF($Y858="","",IF($Y858=0,$Z858*EXP($AA858*3),$Z858*(1+$Y858*$AA858*3)^(1/$Y858)))</f>
        <v/>
      </c>
      <c r="AE858">
        <f>IF($Y858="","",IF($Y858=0,$Z858*EXP($AA858*-2),$Z858*(1+$Y858*$AA858*-2)^(1/$Y858)))</f>
        <v/>
      </c>
      <c r="AF858">
        <f>IF($Y858="","",IF($Y858=0,$Z858*EXP($AA858*-3),$Z858*(1+$Y858*$AA858*-3)^(1/$Y858)))</f>
        <v/>
      </c>
      <c r="AG858">
        <f>IF($W858="","",IFERROR(INDEX(IF($T858&lt;=60,est05_l,est519_l),MATCH($W858,IF($T858&lt;=60,est05_k,est519_k),1)),""))</f>
        <v/>
      </c>
      <c r="AH858">
        <f>IF($W858="","",IFERROR(INDEX(IF($T858&lt;=60,est05_m,est519_m),MATCH($W858,IF($T858&lt;=60,est05_k,est519_k),1)),""))</f>
        <v/>
      </c>
      <c r="AI858">
        <f>IF($W858="","",IFERROR(INDEX(IF($T858&lt;=60,est05_s,est519_s),MATCH($W858,IF($T858&lt;=60,est05_k,est519_k),1)),""))</f>
        <v/>
      </c>
      <c r="AJ858">
        <f>IF($W858="","",IFERROR(INDEX(IF($T858&lt;=60,peso05_l,peso510_l),MATCH($W858,IF($T858&lt;=60,peso05_k,peso510_k),1)),""))</f>
        <v/>
      </c>
      <c r="AK858">
        <f>IF($W858="","",IFERROR(INDEX(IF($T858&lt;=60,peso05_m,peso510_m),MATCH($W858,IF($T858&lt;=60,peso05_k,peso510_k),1)),""))</f>
        <v/>
      </c>
      <c r="AL858">
        <f>IF($W858="","",IFERROR(INDEX(IF($T858&lt;=60,peso05_s,peso510_s),MATCH($W858,IF($T858&lt;=60,peso05_k,peso510_k),1)),""))</f>
        <v/>
      </c>
      <c r="AM858">
        <f>IF($AJ858="","",IF($AJ858=0,LN($F858/$AK858)/$AL858,((($F858/$AK858)^$AJ858)-1)/($AJ858*$AL858)))</f>
        <v/>
      </c>
      <c r="AN858">
        <f>IF($AJ858="","",IF($AJ858=0,$AK858*EXP($AL858*2),$AK858*(1+$AJ858*$AL858*2)^(1/$AJ858)))</f>
        <v/>
      </c>
      <c r="AO858">
        <f>IF($AJ858="","",IF($AJ858=0,$AK858*EXP($AL858*3),$AK858*(1+$AJ858*$AL858*3)^(1/$AJ858)))</f>
        <v/>
      </c>
      <c r="AP858">
        <f>IF($AJ858="","",IF($AJ858=0,$AK858*EXP($AL858*-2),$AK858*(1+$AJ858*$AL858*-2)^(1/$AJ858)))</f>
        <v/>
      </c>
      <c r="AQ858">
        <f>IF($AJ858="","",IF($AJ858=0,$AK858*EXP($AL858*-3),$AK858*(1+$AJ858*$AL858*-3)^(1/$AJ858)))</f>
        <v/>
      </c>
      <c r="AR858">
        <f>IF(OR($X858="",$T858&gt;60),"",IFERROR(INDEX(IF($T858&lt;24,pcomp_l,palt_l),MATCH($X858,IF($T858&lt;24,pcomp_k,palt_k),1)),""))</f>
        <v/>
      </c>
      <c r="AS858">
        <f>IF(OR($X858="",$T858&gt;60),"",IFERROR(INDEX(IF($T858&lt;24,pcomp_m,palt_m),MATCH($X858,IF($T858&lt;24,pcomp_k,palt_k),1)),""))</f>
        <v/>
      </c>
      <c r="AT858">
        <f>IF(OR($X858="",$T858&gt;60),"",IFERROR(INDEX(IF($T858&lt;24,pcomp_s,palt_s),MATCH($X858,IF($T858&lt;24,pcomp_k,palt_k),1)),""))</f>
        <v/>
      </c>
      <c r="AU858">
        <f>IF($AR858="","",IF($AR858=0,LN($F858/$AS858)/$AT858,((($F858/$AS858)^$AR858)-1)/($AR858*$AT858)))</f>
        <v/>
      </c>
      <c r="AV858">
        <f>IF($AR858="","",IF($AR858=0,$AS858*EXP($AT858*2),$AS858*(1+$AR858*$AT858*2)^(1/$AR858)))</f>
        <v/>
      </c>
      <c r="AW858">
        <f>IF($AR858="","",IF($AR858=0,$AS858*EXP($AT858*3),$AS858*(1+$AR858*$AT858*3)^(1/$AR858)))</f>
        <v/>
      </c>
      <c r="AX858">
        <f>IF($AR858="","",IF($AR858=0,$AS858*EXP($AT858*-2),$AS858*(1+$AR858*$AT858*-2)^(1/$AR858)))</f>
        <v/>
      </c>
      <c r="AY858">
        <f>IF($AR858="","",IF($AR858=0,$AS858*EXP($AT858*-3),$AS858*(1+$AR858*$AT858*-3)^(1/$AR858)))</f>
        <v/>
      </c>
      <c r="AZ858">
        <f>IF(OR($A858="",$A858&lt;&gt;Ficha!$C$4),"",COUNTIF($A$2:$A858,Ficha!$C$4))</f>
        <v/>
      </c>
    </row>
    <row r="859">
      <c r="A859" s="8">
        <f>IF(INDEX(Banco!$A:$A,ROW())="","",INDEX(Banco!$A:$A,ROW()))</f>
        <v/>
      </c>
      <c r="B859" s="8">
        <f>IF(INDEX(Banco!$B:$B,ROW())="","",INDEX(Banco!$B:$B,ROW()))</f>
        <v/>
      </c>
      <c r="C859" s="8">
        <f>IF(INDEX(Banco!$C:$C,ROW())="","",INDEX(Banco!$C:$C,ROW()))</f>
        <v/>
      </c>
      <c r="D859" s="9">
        <f>IF(INDEX(Banco!$D:$D,ROW())="","",INDEX(Banco!$D:$D,ROW()))</f>
        <v/>
      </c>
      <c r="E859" s="9">
        <f>IF(INDEX(Banco!$E:$E,ROW())="","",INDEX(Banco!$E:$E,ROW()))</f>
        <v/>
      </c>
      <c r="F859" s="10">
        <f>IF(INDEX(Banco!$F:$F,ROW())="","",INDEX(Banco!$F:$F,ROW()))</f>
        <v/>
      </c>
      <c r="G859" s="10">
        <f>IF(INDEX(Banco!$G:$G,ROW())="","",INDEX(Banco!$G:$G,ROW()))</f>
        <v/>
      </c>
      <c r="H859" s="8">
        <f>IF(INDEX(Banco!$H:$H,ROW())="","",INDEX(Banco!$H:$H,ROW()))</f>
        <v/>
      </c>
      <c r="I859">
        <f>IF($T859="","",INT($T859/12)&amp;"a "&amp;MOD($T859,12)&amp;"m")</f>
        <v/>
      </c>
      <c r="J859" s="11">
        <f>IF(OR($F859="",$G859=""),"",ROUND($F859/($G859/100)^2,2))</f>
        <v/>
      </c>
      <c r="K859" s="12">
        <f>IF(OR($S859="",$J859="",$T859="",$T859&lt;0,$T859&gt;228,$Y859=""),"—",ROUND(IF(ABS($AB859)&lt;=3,$AB859,IF($AB859&gt;3,3+($J859-$AD859)/($AD859-$AC859),-3+($J859-$AF859)/($AE859-$AF859))),2))</f>
        <v/>
      </c>
      <c r="L859">
        <f>IF(OR($K859="",$K859="—"),"",IF($T859&lt;=60,IF($K859&lt;-3,"Magreza acentuada",IF($K859&lt;-2,"Magreza",IF($K859&lt;=1,"Eutrofia",IF($K859&lt;=2,"Risco de sobrepeso",IF($K859&lt;=3,"Sobrepeso","Obesidade"))))),IF($K859&lt;-3,"Magreza acentuada",IF($K859&lt;-2,"Magreza",IF($K859&lt;=1,"Eutrofia",IF($K859&lt;=2,"Sobrepeso",IF($K859&lt;=3,"Obesidade","Obesidade grave")))))))</f>
        <v/>
      </c>
      <c r="M859" s="12">
        <f>IF(OR($S859="",$V859="",$T859="",$T859&lt;0,$T859&gt;228,$AG859=""),"—",ROUND(IF($AG859=0,LN($V859/$AH859)/$AI859,((($V859/$AH859)^$AG859)-1)/($AG859*$AI859)),2))</f>
        <v/>
      </c>
      <c r="N859">
        <f>IF(OR($M859="",$M859="—"),"",IF($M859&lt;-3,"Muito baixa",IF($M859&lt;-2,"Baixa","Adequada")))</f>
        <v/>
      </c>
      <c r="O859" s="12">
        <f>IF(OR($S859="",$F859="",$T859="",$T859&lt;0,$T859&gt;120,$AJ859=""),"—",ROUND(IF(ABS($AM859)&lt;=3,$AM859,IF($AM859&gt;3,3+($F859-$AO859)/($AO859-$AN859),-3+($F859-$AQ859)/($AP859-$AQ859))),2))</f>
        <v/>
      </c>
      <c r="P859">
        <f>IF(OR($O859="",$O859="—"),"",IF($O859&lt;-3,"Muito baixo",IF($O859&lt;-2,"Baixo",IF($O859&lt;=2,"Adequado","Elevado"))))</f>
        <v/>
      </c>
      <c r="Q859" s="12">
        <f>IF(OR($S859="",$F859="",$T859="",$T859&lt;0,$T859&gt;60,$AR859=""),"—",ROUND(IF(ABS($AU859)&lt;=3,$AU859,IF($AU859&gt;3,3+($F859-$AW859)/($AW859-$AV859),-3+($F859-$AY859)/($AX859-$AY859))),2))</f>
        <v/>
      </c>
      <c r="R859">
        <f>IF(OR($Q859="",$Q859="—"),"",IF($Q859&lt;-3,"Magreza acentuada",IF($Q859&lt;-2,"Magreza",IF($Q859&lt;=1,"Eutrofia",IF($Q859&lt;=2,"Risco de sobrepeso",IF($Q859&lt;=3,"Sobrepeso","Obesidade"))))))</f>
        <v/>
      </c>
      <c r="S859">
        <f>IF($C859="","",IF(UPPER(LEFT($C859,1))="M",1,IF(UPPER(LEFT($C859,1))="F",2,"")))</f>
        <v/>
      </c>
      <c r="T859">
        <f>IF(OR($D859="",$E859=""),"",DATEDIF($D859,$E859,"m"))</f>
        <v/>
      </c>
      <c r="U859">
        <f>IF(OR($D859="",$E859=""),"",$E859-$D859)</f>
        <v/>
      </c>
      <c r="V859">
        <f>IF(OR($G859="",$T859=""),"",IF($T859&lt;24,IF(LEFT(LOWER($H859),4)="em p",$G859+0.7,$G859),IF(LEFT(LOWER($H859),4)="deit",$G859-0.7,$G859)))</f>
        <v/>
      </c>
      <c r="W859">
        <f>IF(OR($S859="",$T859=""),"",$S859*1000000+IF($T859&lt;=60,$U859,$T859))</f>
        <v/>
      </c>
      <c r="X859">
        <f>IF(OR($S859="",$V859="",$T859&gt;60,$T859=""),"",$S859*1000000+ROUND($V859*10,0))</f>
        <v/>
      </c>
      <c r="Y859">
        <f>IF($W859="","",IFERROR(INDEX(IF($T859&lt;=60,imc05_l,imc519_l),MATCH($W859,IF($T859&lt;=60,imc05_k,imc519_k),1)),""))</f>
        <v/>
      </c>
      <c r="Z859">
        <f>IF($W859="","",IFERROR(INDEX(IF($T859&lt;=60,imc05_m,imc519_m),MATCH($W859,IF($T859&lt;=60,imc05_k,imc519_k),1)),""))</f>
        <v/>
      </c>
      <c r="AA859">
        <f>IF($W859="","",IFERROR(INDEX(IF($T859&lt;=60,imc05_s,imc519_s),MATCH($W859,IF($T859&lt;=60,imc05_k,imc519_k),1)),""))</f>
        <v/>
      </c>
      <c r="AB859">
        <f>IF($Y859="","",IF($Y859=0,LN($J859/$Z859)/$AA859,((($J859/$Z859)^$Y859)-1)/($Y859*$AA859)))</f>
        <v/>
      </c>
      <c r="AC859">
        <f>IF($Y859="","",IF($Y859=0,$Z859*EXP($AA859*2),$Z859*(1+$Y859*$AA859*2)^(1/$Y859)))</f>
        <v/>
      </c>
      <c r="AD859">
        <f>IF($Y859="","",IF($Y859=0,$Z859*EXP($AA859*3),$Z859*(1+$Y859*$AA859*3)^(1/$Y859)))</f>
        <v/>
      </c>
      <c r="AE859">
        <f>IF($Y859="","",IF($Y859=0,$Z859*EXP($AA859*-2),$Z859*(1+$Y859*$AA859*-2)^(1/$Y859)))</f>
        <v/>
      </c>
      <c r="AF859">
        <f>IF($Y859="","",IF($Y859=0,$Z859*EXP($AA859*-3),$Z859*(1+$Y859*$AA859*-3)^(1/$Y859)))</f>
        <v/>
      </c>
      <c r="AG859">
        <f>IF($W859="","",IFERROR(INDEX(IF($T859&lt;=60,est05_l,est519_l),MATCH($W859,IF($T859&lt;=60,est05_k,est519_k),1)),""))</f>
        <v/>
      </c>
      <c r="AH859">
        <f>IF($W859="","",IFERROR(INDEX(IF($T859&lt;=60,est05_m,est519_m),MATCH($W859,IF($T859&lt;=60,est05_k,est519_k),1)),""))</f>
        <v/>
      </c>
      <c r="AI859">
        <f>IF($W859="","",IFERROR(INDEX(IF($T859&lt;=60,est05_s,est519_s),MATCH($W859,IF($T859&lt;=60,est05_k,est519_k),1)),""))</f>
        <v/>
      </c>
      <c r="AJ859">
        <f>IF($W859="","",IFERROR(INDEX(IF($T859&lt;=60,peso05_l,peso510_l),MATCH($W859,IF($T859&lt;=60,peso05_k,peso510_k),1)),""))</f>
        <v/>
      </c>
      <c r="AK859">
        <f>IF($W859="","",IFERROR(INDEX(IF($T859&lt;=60,peso05_m,peso510_m),MATCH($W859,IF($T859&lt;=60,peso05_k,peso510_k),1)),""))</f>
        <v/>
      </c>
      <c r="AL859">
        <f>IF($W859="","",IFERROR(INDEX(IF($T859&lt;=60,peso05_s,peso510_s),MATCH($W859,IF($T859&lt;=60,peso05_k,peso510_k),1)),""))</f>
        <v/>
      </c>
      <c r="AM859">
        <f>IF($AJ859="","",IF($AJ859=0,LN($F859/$AK859)/$AL859,((($F859/$AK859)^$AJ859)-1)/($AJ859*$AL859)))</f>
        <v/>
      </c>
      <c r="AN859">
        <f>IF($AJ859="","",IF($AJ859=0,$AK859*EXP($AL859*2),$AK859*(1+$AJ859*$AL859*2)^(1/$AJ859)))</f>
        <v/>
      </c>
      <c r="AO859">
        <f>IF($AJ859="","",IF($AJ859=0,$AK859*EXP($AL859*3),$AK859*(1+$AJ859*$AL859*3)^(1/$AJ859)))</f>
        <v/>
      </c>
      <c r="AP859">
        <f>IF($AJ859="","",IF($AJ859=0,$AK859*EXP($AL859*-2),$AK859*(1+$AJ859*$AL859*-2)^(1/$AJ859)))</f>
        <v/>
      </c>
      <c r="AQ859">
        <f>IF($AJ859="","",IF($AJ859=0,$AK859*EXP($AL859*-3),$AK859*(1+$AJ859*$AL859*-3)^(1/$AJ859)))</f>
        <v/>
      </c>
      <c r="AR859">
        <f>IF(OR($X859="",$T859&gt;60),"",IFERROR(INDEX(IF($T859&lt;24,pcomp_l,palt_l),MATCH($X859,IF($T859&lt;24,pcomp_k,palt_k),1)),""))</f>
        <v/>
      </c>
      <c r="AS859">
        <f>IF(OR($X859="",$T859&gt;60),"",IFERROR(INDEX(IF($T859&lt;24,pcomp_m,palt_m),MATCH($X859,IF($T859&lt;24,pcomp_k,palt_k),1)),""))</f>
        <v/>
      </c>
      <c r="AT859">
        <f>IF(OR($X859="",$T859&gt;60),"",IFERROR(INDEX(IF($T859&lt;24,pcomp_s,palt_s),MATCH($X859,IF($T859&lt;24,pcomp_k,palt_k),1)),""))</f>
        <v/>
      </c>
      <c r="AU859">
        <f>IF($AR859="","",IF($AR859=0,LN($F859/$AS859)/$AT859,((($F859/$AS859)^$AR859)-1)/($AR859*$AT859)))</f>
        <v/>
      </c>
      <c r="AV859">
        <f>IF($AR859="","",IF($AR859=0,$AS859*EXP($AT859*2),$AS859*(1+$AR859*$AT859*2)^(1/$AR859)))</f>
        <v/>
      </c>
      <c r="AW859">
        <f>IF($AR859="","",IF($AR859=0,$AS859*EXP($AT859*3),$AS859*(1+$AR859*$AT859*3)^(1/$AR859)))</f>
        <v/>
      </c>
      <c r="AX859">
        <f>IF($AR859="","",IF($AR859=0,$AS859*EXP($AT859*-2),$AS859*(1+$AR859*$AT859*-2)^(1/$AR859)))</f>
        <v/>
      </c>
      <c r="AY859">
        <f>IF($AR859="","",IF($AR859=0,$AS859*EXP($AT859*-3),$AS859*(1+$AR859*$AT859*-3)^(1/$AR859)))</f>
        <v/>
      </c>
      <c r="AZ859">
        <f>IF(OR($A859="",$A859&lt;&gt;Ficha!$C$4),"",COUNTIF($A$2:$A859,Ficha!$C$4))</f>
        <v/>
      </c>
    </row>
    <row r="860">
      <c r="A860" s="8">
        <f>IF(INDEX(Banco!$A:$A,ROW())="","",INDEX(Banco!$A:$A,ROW()))</f>
        <v/>
      </c>
      <c r="B860" s="8">
        <f>IF(INDEX(Banco!$B:$B,ROW())="","",INDEX(Banco!$B:$B,ROW()))</f>
        <v/>
      </c>
      <c r="C860" s="8">
        <f>IF(INDEX(Banco!$C:$C,ROW())="","",INDEX(Banco!$C:$C,ROW()))</f>
        <v/>
      </c>
      <c r="D860" s="9">
        <f>IF(INDEX(Banco!$D:$D,ROW())="","",INDEX(Banco!$D:$D,ROW()))</f>
        <v/>
      </c>
      <c r="E860" s="9">
        <f>IF(INDEX(Banco!$E:$E,ROW())="","",INDEX(Banco!$E:$E,ROW()))</f>
        <v/>
      </c>
      <c r="F860" s="10">
        <f>IF(INDEX(Banco!$F:$F,ROW())="","",INDEX(Banco!$F:$F,ROW()))</f>
        <v/>
      </c>
      <c r="G860" s="10">
        <f>IF(INDEX(Banco!$G:$G,ROW())="","",INDEX(Banco!$G:$G,ROW()))</f>
        <v/>
      </c>
      <c r="H860" s="8">
        <f>IF(INDEX(Banco!$H:$H,ROW())="","",INDEX(Banco!$H:$H,ROW()))</f>
        <v/>
      </c>
      <c r="I860">
        <f>IF($T860="","",INT($T860/12)&amp;"a "&amp;MOD($T860,12)&amp;"m")</f>
        <v/>
      </c>
      <c r="J860" s="11">
        <f>IF(OR($F860="",$G860=""),"",ROUND($F860/($G860/100)^2,2))</f>
        <v/>
      </c>
      <c r="K860" s="12">
        <f>IF(OR($S860="",$J860="",$T860="",$T860&lt;0,$T860&gt;228,$Y860=""),"—",ROUND(IF(ABS($AB860)&lt;=3,$AB860,IF($AB860&gt;3,3+($J860-$AD860)/($AD860-$AC860),-3+($J860-$AF860)/($AE860-$AF860))),2))</f>
        <v/>
      </c>
      <c r="L860">
        <f>IF(OR($K860="",$K860="—"),"",IF($T860&lt;=60,IF($K860&lt;-3,"Magreza acentuada",IF($K860&lt;-2,"Magreza",IF($K860&lt;=1,"Eutrofia",IF($K860&lt;=2,"Risco de sobrepeso",IF($K860&lt;=3,"Sobrepeso","Obesidade"))))),IF($K860&lt;-3,"Magreza acentuada",IF($K860&lt;-2,"Magreza",IF($K860&lt;=1,"Eutrofia",IF($K860&lt;=2,"Sobrepeso",IF($K860&lt;=3,"Obesidade","Obesidade grave")))))))</f>
        <v/>
      </c>
      <c r="M860" s="12">
        <f>IF(OR($S860="",$V860="",$T860="",$T860&lt;0,$T860&gt;228,$AG860=""),"—",ROUND(IF($AG860=0,LN($V860/$AH860)/$AI860,((($V860/$AH860)^$AG860)-1)/($AG860*$AI860)),2))</f>
        <v/>
      </c>
      <c r="N860">
        <f>IF(OR($M860="",$M860="—"),"",IF($M860&lt;-3,"Muito baixa",IF($M860&lt;-2,"Baixa","Adequada")))</f>
        <v/>
      </c>
      <c r="O860" s="12">
        <f>IF(OR($S860="",$F860="",$T860="",$T860&lt;0,$T860&gt;120,$AJ860=""),"—",ROUND(IF(ABS($AM860)&lt;=3,$AM860,IF($AM860&gt;3,3+($F860-$AO860)/($AO860-$AN860),-3+($F860-$AQ860)/($AP860-$AQ860))),2))</f>
        <v/>
      </c>
      <c r="P860">
        <f>IF(OR($O860="",$O860="—"),"",IF($O860&lt;-3,"Muito baixo",IF($O860&lt;-2,"Baixo",IF($O860&lt;=2,"Adequado","Elevado"))))</f>
        <v/>
      </c>
      <c r="Q860" s="12">
        <f>IF(OR($S860="",$F860="",$T860="",$T860&lt;0,$T860&gt;60,$AR860=""),"—",ROUND(IF(ABS($AU860)&lt;=3,$AU860,IF($AU860&gt;3,3+($F860-$AW860)/($AW860-$AV860),-3+($F860-$AY860)/($AX860-$AY860))),2))</f>
        <v/>
      </c>
      <c r="R860">
        <f>IF(OR($Q860="",$Q860="—"),"",IF($Q860&lt;-3,"Magreza acentuada",IF($Q860&lt;-2,"Magreza",IF($Q860&lt;=1,"Eutrofia",IF($Q860&lt;=2,"Risco de sobrepeso",IF($Q860&lt;=3,"Sobrepeso","Obesidade"))))))</f>
        <v/>
      </c>
      <c r="S860">
        <f>IF($C860="","",IF(UPPER(LEFT($C860,1))="M",1,IF(UPPER(LEFT($C860,1))="F",2,"")))</f>
        <v/>
      </c>
      <c r="T860">
        <f>IF(OR($D860="",$E860=""),"",DATEDIF($D860,$E860,"m"))</f>
        <v/>
      </c>
      <c r="U860">
        <f>IF(OR($D860="",$E860=""),"",$E860-$D860)</f>
        <v/>
      </c>
      <c r="V860">
        <f>IF(OR($G860="",$T860=""),"",IF($T860&lt;24,IF(LEFT(LOWER($H860),4)="em p",$G860+0.7,$G860),IF(LEFT(LOWER($H860),4)="deit",$G860-0.7,$G860)))</f>
        <v/>
      </c>
      <c r="W860">
        <f>IF(OR($S860="",$T860=""),"",$S860*1000000+IF($T860&lt;=60,$U860,$T860))</f>
        <v/>
      </c>
      <c r="X860">
        <f>IF(OR($S860="",$V860="",$T860&gt;60,$T860=""),"",$S860*1000000+ROUND($V860*10,0))</f>
        <v/>
      </c>
      <c r="Y860">
        <f>IF($W860="","",IFERROR(INDEX(IF($T860&lt;=60,imc05_l,imc519_l),MATCH($W860,IF($T860&lt;=60,imc05_k,imc519_k),1)),""))</f>
        <v/>
      </c>
      <c r="Z860">
        <f>IF($W860="","",IFERROR(INDEX(IF($T860&lt;=60,imc05_m,imc519_m),MATCH($W860,IF($T860&lt;=60,imc05_k,imc519_k),1)),""))</f>
        <v/>
      </c>
      <c r="AA860">
        <f>IF($W860="","",IFERROR(INDEX(IF($T860&lt;=60,imc05_s,imc519_s),MATCH($W860,IF($T860&lt;=60,imc05_k,imc519_k),1)),""))</f>
        <v/>
      </c>
      <c r="AB860">
        <f>IF($Y860="","",IF($Y860=0,LN($J860/$Z860)/$AA860,((($J860/$Z860)^$Y860)-1)/($Y860*$AA860)))</f>
        <v/>
      </c>
      <c r="AC860">
        <f>IF($Y860="","",IF($Y860=0,$Z860*EXP($AA860*2),$Z860*(1+$Y860*$AA860*2)^(1/$Y860)))</f>
        <v/>
      </c>
      <c r="AD860">
        <f>IF($Y860="","",IF($Y860=0,$Z860*EXP($AA860*3),$Z860*(1+$Y860*$AA860*3)^(1/$Y860)))</f>
        <v/>
      </c>
      <c r="AE860">
        <f>IF($Y860="","",IF($Y860=0,$Z860*EXP($AA860*-2),$Z860*(1+$Y860*$AA860*-2)^(1/$Y860)))</f>
        <v/>
      </c>
      <c r="AF860">
        <f>IF($Y860="","",IF($Y860=0,$Z860*EXP($AA860*-3),$Z860*(1+$Y860*$AA860*-3)^(1/$Y860)))</f>
        <v/>
      </c>
      <c r="AG860">
        <f>IF($W860="","",IFERROR(INDEX(IF($T860&lt;=60,est05_l,est519_l),MATCH($W860,IF($T860&lt;=60,est05_k,est519_k),1)),""))</f>
        <v/>
      </c>
      <c r="AH860">
        <f>IF($W860="","",IFERROR(INDEX(IF($T860&lt;=60,est05_m,est519_m),MATCH($W860,IF($T860&lt;=60,est05_k,est519_k),1)),""))</f>
        <v/>
      </c>
      <c r="AI860">
        <f>IF($W860="","",IFERROR(INDEX(IF($T860&lt;=60,est05_s,est519_s),MATCH($W860,IF($T860&lt;=60,est05_k,est519_k),1)),""))</f>
        <v/>
      </c>
      <c r="AJ860">
        <f>IF($W860="","",IFERROR(INDEX(IF($T860&lt;=60,peso05_l,peso510_l),MATCH($W860,IF($T860&lt;=60,peso05_k,peso510_k),1)),""))</f>
        <v/>
      </c>
      <c r="AK860">
        <f>IF($W860="","",IFERROR(INDEX(IF($T860&lt;=60,peso05_m,peso510_m),MATCH($W860,IF($T860&lt;=60,peso05_k,peso510_k),1)),""))</f>
        <v/>
      </c>
      <c r="AL860">
        <f>IF($W860="","",IFERROR(INDEX(IF($T860&lt;=60,peso05_s,peso510_s),MATCH($W860,IF($T860&lt;=60,peso05_k,peso510_k),1)),""))</f>
        <v/>
      </c>
      <c r="AM860">
        <f>IF($AJ860="","",IF($AJ860=0,LN($F860/$AK860)/$AL860,((($F860/$AK860)^$AJ860)-1)/($AJ860*$AL860)))</f>
        <v/>
      </c>
      <c r="AN860">
        <f>IF($AJ860="","",IF($AJ860=0,$AK860*EXP($AL860*2),$AK860*(1+$AJ860*$AL860*2)^(1/$AJ860)))</f>
        <v/>
      </c>
      <c r="AO860">
        <f>IF($AJ860="","",IF($AJ860=0,$AK860*EXP($AL860*3),$AK860*(1+$AJ860*$AL860*3)^(1/$AJ860)))</f>
        <v/>
      </c>
      <c r="AP860">
        <f>IF($AJ860="","",IF($AJ860=0,$AK860*EXP($AL860*-2),$AK860*(1+$AJ860*$AL860*-2)^(1/$AJ860)))</f>
        <v/>
      </c>
      <c r="AQ860">
        <f>IF($AJ860="","",IF($AJ860=0,$AK860*EXP($AL860*-3),$AK860*(1+$AJ860*$AL860*-3)^(1/$AJ860)))</f>
        <v/>
      </c>
      <c r="AR860">
        <f>IF(OR($X860="",$T860&gt;60),"",IFERROR(INDEX(IF($T860&lt;24,pcomp_l,palt_l),MATCH($X860,IF($T860&lt;24,pcomp_k,palt_k),1)),""))</f>
        <v/>
      </c>
      <c r="AS860">
        <f>IF(OR($X860="",$T860&gt;60),"",IFERROR(INDEX(IF($T860&lt;24,pcomp_m,palt_m),MATCH($X860,IF($T860&lt;24,pcomp_k,palt_k),1)),""))</f>
        <v/>
      </c>
      <c r="AT860">
        <f>IF(OR($X860="",$T860&gt;60),"",IFERROR(INDEX(IF($T860&lt;24,pcomp_s,palt_s),MATCH($X860,IF($T860&lt;24,pcomp_k,palt_k),1)),""))</f>
        <v/>
      </c>
      <c r="AU860">
        <f>IF($AR860="","",IF($AR860=0,LN($F860/$AS860)/$AT860,((($F860/$AS860)^$AR860)-1)/($AR860*$AT860)))</f>
        <v/>
      </c>
      <c r="AV860">
        <f>IF($AR860="","",IF($AR860=0,$AS860*EXP($AT860*2),$AS860*(1+$AR860*$AT860*2)^(1/$AR860)))</f>
        <v/>
      </c>
      <c r="AW860">
        <f>IF($AR860="","",IF($AR860=0,$AS860*EXP($AT860*3),$AS860*(1+$AR860*$AT860*3)^(1/$AR860)))</f>
        <v/>
      </c>
      <c r="AX860">
        <f>IF($AR860="","",IF($AR860=0,$AS860*EXP($AT860*-2),$AS860*(1+$AR860*$AT860*-2)^(1/$AR860)))</f>
        <v/>
      </c>
      <c r="AY860">
        <f>IF($AR860="","",IF($AR860=0,$AS860*EXP($AT860*-3),$AS860*(1+$AR860*$AT860*-3)^(1/$AR860)))</f>
        <v/>
      </c>
      <c r="AZ860">
        <f>IF(OR($A860="",$A860&lt;&gt;Ficha!$C$4),"",COUNTIF($A$2:$A860,Ficha!$C$4))</f>
        <v/>
      </c>
    </row>
    <row r="861">
      <c r="A861" s="8">
        <f>IF(INDEX(Banco!$A:$A,ROW())="","",INDEX(Banco!$A:$A,ROW()))</f>
        <v/>
      </c>
      <c r="B861" s="8">
        <f>IF(INDEX(Banco!$B:$B,ROW())="","",INDEX(Banco!$B:$B,ROW()))</f>
        <v/>
      </c>
      <c r="C861" s="8">
        <f>IF(INDEX(Banco!$C:$C,ROW())="","",INDEX(Banco!$C:$C,ROW()))</f>
        <v/>
      </c>
      <c r="D861" s="9">
        <f>IF(INDEX(Banco!$D:$D,ROW())="","",INDEX(Banco!$D:$D,ROW()))</f>
        <v/>
      </c>
      <c r="E861" s="9">
        <f>IF(INDEX(Banco!$E:$E,ROW())="","",INDEX(Banco!$E:$E,ROW()))</f>
        <v/>
      </c>
      <c r="F861" s="10">
        <f>IF(INDEX(Banco!$F:$F,ROW())="","",INDEX(Banco!$F:$F,ROW()))</f>
        <v/>
      </c>
      <c r="G861" s="10">
        <f>IF(INDEX(Banco!$G:$G,ROW())="","",INDEX(Banco!$G:$G,ROW()))</f>
        <v/>
      </c>
      <c r="H861" s="8">
        <f>IF(INDEX(Banco!$H:$H,ROW())="","",INDEX(Banco!$H:$H,ROW()))</f>
        <v/>
      </c>
      <c r="I861">
        <f>IF($T861="","",INT($T861/12)&amp;"a "&amp;MOD($T861,12)&amp;"m")</f>
        <v/>
      </c>
      <c r="J861" s="11">
        <f>IF(OR($F861="",$G861=""),"",ROUND($F861/($G861/100)^2,2))</f>
        <v/>
      </c>
      <c r="K861" s="12">
        <f>IF(OR($S861="",$J861="",$T861="",$T861&lt;0,$T861&gt;228,$Y861=""),"—",ROUND(IF(ABS($AB861)&lt;=3,$AB861,IF($AB861&gt;3,3+($J861-$AD861)/($AD861-$AC861),-3+($J861-$AF861)/($AE861-$AF861))),2))</f>
        <v/>
      </c>
      <c r="L861">
        <f>IF(OR($K861="",$K861="—"),"",IF($T861&lt;=60,IF($K861&lt;-3,"Magreza acentuada",IF($K861&lt;-2,"Magreza",IF($K861&lt;=1,"Eutrofia",IF($K861&lt;=2,"Risco de sobrepeso",IF($K861&lt;=3,"Sobrepeso","Obesidade"))))),IF($K861&lt;-3,"Magreza acentuada",IF($K861&lt;-2,"Magreza",IF($K861&lt;=1,"Eutrofia",IF($K861&lt;=2,"Sobrepeso",IF($K861&lt;=3,"Obesidade","Obesidade grave")))))))</f>
        <v/>
      </c>
      <c r="M861" s="12">
        <f>IF(OR($S861="",$V861="",$T861="",$T861&lt;0,$T861&gt;228,$AG861=""),"—",ROUND(IF($AG861=0,LN($V861/$AH861)/$AI861,((($V861/$AH861)^$AG861)-1)/($AG861*$AI861)),2))</f>
        <v/>
      </c>
      <c r="N861">
        <f>IF(OR($M861="",$M861="—"),"",IF($M861&lt;-3,"Muito baixa",IF($M861&lt;-2,"Baixa","Adequada")))</f>
        <v/>
      </c>
      <c r="O861" s="12">
        <f>IF(OR($S861="",$F861="",$T861="",$T861&lt;0,$T861&gt;120,$AJ861=""),"—",ROUND(IF(ABS($AM861)&lt;=3,$AM861,IF($AM861&gt;3,3+($F861-$AO861)/($AO861-$AN861),-3+($F861-$AQ861)/($AP861-$AQ861))),2))</f>
        <v/>
      </c>
      <c r="P861">
        <f>IF(OR($O861="",$O861="—"),"",IF($O861&lt;-3,"Muito baixo",IF($O861&lt;-2,"Baixo",IF($O861&lt;=2,"Adequado","Elevado"))))</f>
        <v/>
      </c>
      <c r="Q861" s="12">
        <f>IF(OR($S861="",$F861="",$T861="",$T861&lt;0,$T861&gt;60,$AR861=""),"—",ROUND(IF(ABS($AU861)&lt;=3,$AU861,IF($AU861&gt;3,3+($F861-$AW861)/($AW861-$AV861),-3+($F861-$AY861)/($AX861-$AY861))),2))</f>
        <v/>
      </c>
      <c r="R861">
        <f>IF(OR($Q861="",$Q861="—"),"",IF($Q861&lt;-3,"Magreza acentuada",IF($Q861&lt;-2,"Magreza",IF($Q861&lt;=1,"Eutrofia",IF($Q861&lt;=2,"Risco de sobrepeso",IF($Q861&lt;=3,"Sobrepeso","Obesidade"))))))</f>
        <v/>
      </c>
      <c r="S861">
        <f>IF($C861="","",IF(UPPER(LEFT($C861,1))="M",1,IF(UPPER(LEFT($C861,1))="F",2,"")))</f>
        <v/>
      </c>
      <c r="T861">
        <f>IF(OR($D861="",$E861=""),"",DATEDIF($D861,$E861,"m"))</f>
        <v/>
      </c>
      <c r="U861">
        <f>IF(OR($D861="",$E861=""),"",$E861-$D861)</f>
        <v/>
      </c>
      <c r="V861">
        <f>IF(OR($G861="",$T861=""),"",IF($T861&lt;24,IF(LEFT(LOWER($H861),4)="em p",$G861+0.7,$G861),IF(LEFT(LOWER($H861),4)="deit",$G861-0.7,$G861)))</f>
        <v/>
      </c>
      <c r="W861">
        <f>IF(OR($S861="",$T861=""),"",$S861*1000000+IF($T861&lt;=60,$U861,$T861))</f>
        <v/>
      </c>
      <c r="X861">
        <f>IF(OR($S861="",$V861="",$T861&gt;60,$T861=""),"",$S861*1000000+ROUND($V861*10,0))</f>
        <v/>
      </c>
      <c r="Y861">
        <f>IF($W861="","",IFERROR(INDEX(IF($T861&lt;=60,imc05_l,imc519_l),MATCH($W861,IF($T861&lt;=60,imc05_k,imc519_k),1)),""))</f>
        <v/>
      </c>
      <c r="Z861">
        <f>IF($W861="","",IFERROR(INDEX(IF($T861&lt;=60,imc05_m,imc519_m),MATCH($W861,IF($T861&lt;=60,imc05_k,imc519_k),1)),""))</f>
        <v/>
      </c>
      <c r="AA861">
        <f>IF($W861="","",IFERROR(INDEX(IF($T861&lt;=60,imc05_s,imc519_s),MATCH($W861,IF($T861&lt;=60,imc05_k,imc519_k),1)),""))</f>
        <v/>
      </c>
      <c r="AB861">
        <f>IF($Y861="","",IF($Y861=0,LN($J861/$Z861)/$AA861,((($J861/$Z861)^$Y861)-1)/($Y861*$AA861)))</f>
        <v/>
      </c>
      <c r="AC861">
        <f>IF($Y861="","",IF($Y861=0,$Z861*EXP($AA861*2),$Z861*(1+$Y861*$AA861*2)^(1/$Y861)))</f>
        <v/>
      </c>
      <c r="AD861">
        <f>IF($Y861="","",IF($Y861=0,$Z861*EXP($AA861*3),$Z861*(1+$Y861*$AA861*3)^(1/$Y861)))</f>
        <v/>
      </c>
      <c r="AE861">
        <f>IF($Y861="","",IF($Y861=0,$Z861*EXP($AA861*-2),$Z861*(1+$Y861*$AA861*-2)^(1/$Y861)))</f>
        <v/>
      </c>
      <c r="AF861">
        <f>IF($Y861="","",IF($Y861=0,$Z861*EXP($AA861*-3),$Z861*(1+$Y861*$AA861*-3)^(1/$Y861)))</f>
        <v/>
      </c>
      <c r="AG861">
        <f>IF($W861="","",IFERROR(INDEX(IF($T861&lt;=60,est05_l,est519_l),MATCH($W861,IF($T861&lt;=60,est05_k,est519_k),1)),""))</f>
        <v/>
      </c>
      <c r="AH861">
        <f>IF($W861="","",IFERROR(INDEX(IF($T861&lt;=60,est05_m,est519_m),MATCH($W861,IF($T861&lt;=60,est05_k,est519_k),1)),""))</f>
        <v/>
      </c>
      <c r="AI861">
        <f>IF($W861="","",IFERROR(INDEX(IF($T861&lt;=60,est05_s,est519_s),MATCH($W861,IF($T861&lt;=60,est05_k,est519_k),1)),""))</f>
        <v/>
      </c>
      <c r="AJ861">
        <f>IF($W861="","",IFERROR(INDEX(IF($T861&lt;=60,peso05_l,peso510_l),MATCH($W861,IF($T861&lt;=60,peso05_k,peso510_k),1)),""))</f>
        <v/>
      </c>
      <c r="AK861">
        <f>IF($W861="","",IFERROR(INDEX(IF($T861&lt;=60,peso05_m,peso510_m),MATCH($W861,IF($T861&lt;=60,peso05_k,peso510_k),1)),""))</f>
        <v/>
      </c>
      <c r="AL861">
        <f>IF($W861="","",IFERROR(INDEX(IF($T861&lt;=60,peso05_s,peso510_s),MATCH($W861,IF($T861&lt;=60,peso05_k,peso510_k),1)),""))</f>
        <v/>
      </c>
      <c r="AM861">
        <f>IF($AJ861="","",IF($AJ861=0,LN($F861/$AK861)/$AL861,((($F861/$AK861)^$AJ861)-1)/($AJ861*$AL861)))</f>
        <v/>
      </c>
      <c r="AN861">
        <f>IF($AJ861="","",IF($AJ861=0,$AK861*EXP($AL861*2),$AK861*(1+$AJ861*$AL861*2)^(1/$AJ861)))</f>
        <v/>
      </c>
      <c r="AO861">
        <f>IF($AJ861="","",IF($AJ861=0,$AK861*EXP($AL861*3),$AK861*(1+$AJ861*$AL861*3)^(1/$AJ861)))</f>
        <v/>
      </c>
      <c r="AP861">
        <f>IF($AJ861="","",IF($AJ861=0,$AK861*EXP($AL861*-2),$AK861*(1+$AJ861*$AL861*-2)^(1/$AJ861)))</f>
        <v/>
      </c>
      <c r="AQ861">
        <f>IF($AJ861="","",IF($AJ861=0,$AK861*EXP($AL861*-3),$AK861*(1+$AJ861*$AL861*-3)^(1/$AJ861)))</f>
        <v/>
      </c>
      <c r="AR861">
        <f>IF(OR($X861="",$T861&gt;60),"",IFERROR(INDEX(IF($T861&lt;24,pcomp_l,palt_l),MATCH($X861,IF($T861&lt;24,pcomp_k,palt_k),1)),""))</f>
        <v/>
      </c>
      <c r="AS861">
        <f>IF(OR($X861="",$T861&gt;60),"",IFERROR(INDEX(IF($T861&lt;24,pcomp_m,palt_m),MATCH($X861,IF($T861&lt;24,pcomp_k,palt_k),1)),""))</f>
        <v/>
      </c>
      <c r="AT861">
        <f>IF(OR($X861="",$T861&gt;60),"",IFERROR(INDEX(IF($T861&lt;24,pcomp_s,palt_s),MATCH($X861,IF($T861&lt;24,pcomp_k,palt_k),1)),""))</f>
        <v/>
      </c>
      <c r="AU861">
        <f>IF($AR861="","",IF($AR861=0,LN($F861/$AS861)/$AT861,((($F861/$AS861)^$AR861)-1)/($AR861*$AT861)))</f>
        <v/>
      </c>
      <c r="AV861">
        <f>IF($AR861="","",IF($AR861=0,$AS861*EXP($AT861*2),$AS861*(1+$AR861*$AT861*2)^(1/$AR861)))</f>
        <v/>
      </c>
      <c r="AW861">
        <f>IF($AR861="","",IF($AR861=0,$AS861*EXP($AT861*3),$AS861*(1+$AR861*$AT861*3)^(1/$AR861)))</f>
        <v/>
      </c>
      <c r="AX861">
        <f>IF($AR861="","",IF($AR861=0,$AS861*EXP($AT861*-2),$AS861*(1+$AR861*$AT861*-2)^(1/$AR861)))</f>
        <v/>
      </c>
      <c r="AY861">
        <f>IF($AR861="","",IF($AR861=0,$AS861*EXP($AT861*-3),$AS861*(1+$AR861*$AT861*-3)^(1/$AR861)))</f>
        <v/>
      </c>
      <c r="AZ861">
        <f>IF(OR($A861="",$A861&lt;&gt;Ficha!$C$4),"",COUNTIF($A$2:$A861,Ficha!$C$4))</f>
        <v/>
      </c>
    </row>
    <row r="862">
      <c r="A862" s="8">
        <f>IF(INDEX(Banco!$A:$A,ROW())="","",INDEX(Banco!$A:$A,ROW()))</f>
        <v/>
      </c>
      <c r="B862" s="8">
        <f>IF(INDEX(Banco!$B:$B,ROW())="","",INDEX(Banco!$B:$B,ROW()))</f>
        <v/>
      </c>
      <c r="C862" s="8">
        <f>IF(INDEX(Banco!$C:$C,ROW())="","",INDEX(Banco!$C:$C,ROW()))</f>
        <v/>
      </c>
      <c r="D862" s="9">
        <f>IF(INDEX(Banco!$D:$D,ROW())="","",INDEX(Banco!$D:$D,ROW()))</f>
        <v/>
      </c>
      <c r="E862" s="9">
        <f>IF(INDEX(Banco!$E:$E,ROW())="","",INDEX(Banco!$E:$E,ROW()))</f>
        <v/>
      </c>
      <c r="F862" s="10">
        <f>IF(INDEX(Banco!$F:$F,ROW())="","",INDEX(Banco!$F:$F,ROW()))</f>
        <v/>
      </c>
      <c r="G862" s="10">
        <f>IF(INDEX(Banco!$G:$G,ROW())="","",INDEX(Banco!$G:$G,ROW()))</f>
        <v/>
      </c>
      <c r="H862" s="8">
        <f>IF(INDEX(Banco!$H:$H,ROW())="","",INDEX(Banco!$H:$H,ROW()))</f>
        <v/>
      </c>
      <c r="I862">
        <f>IF($T862="","",INT($T862/12)&amp;"a "&amp;MOD($T862,12)&amp;"m")</f>
        <v/>
      </c>
      <c r="J862" s="11">
        <f>IF(OR($F862="",$G862=""),"",ROUND($F862/($G862/100)^2,2))</f>
        <v/>
      </c>
      <c r="K862" s="12">
        <f>IF(OR($S862="",$J862="",$T862="",$T862&lt;0,$T862&gt;228,$Y862=""),"—",ROUND(IF(ABS($AB862)&lt;=3,$AB862,IF($AB862&gt;3,3+($J862-$AD862)/($AD862-$AC862),-3+($J862-$AF862)/($AE862-$AF862))),2))</f>
        <v/>
      </c>
      <c r="L862">
        <f>IF(OR($K862="",$K862="—"),"",IF($T862&lt;=60,IF($K862&lt;-3,"Magreza acentuada",IF($K862&lt;-2,"Magreza",IF($K862&lt;=1,"Eutrofia",IF($K862&lt;=2,"Risco de sobrepeso",IF($K862&lt;=3,"Sobrepeso","Obesidade"))))),IF($K862&lt;-3,"Magreza acentuada",IF($K862&lt;-2,"Magreza",IF($K862&lt;=1,"Eutrofia",IF($K862&lt;=2,"Sobrepeso",IF($K862&lt;=3,"Obesidade","Obesidade grave")))))))</f>
        <v/>
      </c>
      <c r="M862" s="12">
        <f>IF(OR($S862="",$V862="",$T862="",$T862&lt;0,$T862&gt;228,$AG862=""),"—",ROUND(IF($AG862=0,LN($V862/$AH862)/$AI862,((($V862/$AH862)^$AG862)-1)/($AG862*$AI862)),2))</f>
        <v/>
      </c>
      <c r="N862">
        <f>IF(OR($M862="",$M862="—"),"",IF($M862&lt;-3,"Muito baixa",IF($M862&lt;-2,"Baixa","Adequada")))</f>
        <v/>
      </c>
      <c r="O862" s="12">
        <f>IF(OR($S862="",$F862="",$T862="",$T862&lt;0,$T862&gt;120,$AJ862=""),"—",ROUND(IF(ABS($AM862)&lt;=3,$AM862,IF($AM862&gt;3,3+($F862-$AO862)/($AO862-$AN862),-3+($F862-$AQ862)/($AP862-$AQ862))),2))</f>
        <v/>
      </c>
      <c r="P862">
        <f>IF(OR($O862="",$O862="—"),"",IF($O862&lt;-3,"Muito baixo",IF($O862&lt;-2,"Baixo",IF($O862&lt;=2,"Adequado","Elevado"))))</f>
        <v/>
      </c>
      <c r="Q862" s="12">
        <f>IF(OR($S862="",$F862="",$T862="",$T862&lt;0,$T862&gt;60,$AR862=""),"—",ROUND(IF(ABS($AU862)&lt;=3,$AU862,IF($AU862&gt;3,3+($F862-$AW862)/($AW862-$AV862),-3+($F862-$AY862)/($AX862-$AY862))),2))</f>
        <v/>
      </c>
      <c r="R862">
        <f>IF(OR($Q862="",$Q862="—"),"",IF($Q862&lt;-3,"Magreza acentuada",IF($Q862&lt;-2,"Magreza",IF($Q862&lt;=1,"Eutrofia",IF($Q862&lt;=2,"Risco de sobrepeso",IF($Q862&lt;=3,"Sobrepeso","Obesidade"))))))</f>
        <v/>
      </c>
      <c r="S862">
        <f>IF($C862="","",IF(UPPER(LEFT($C862,1))="M",1,IF(UPPER(LEFT($C862,1))="F",2,"")))</f>
        <v/>
      </c>
      <c r="T862">
        <f>IF(OR($D862="",$E862=""),"",DATEDIF($D862,$E862,"m"))</f>
        <v/>
      </c>
      <c r="U862">
        <f>IF(OR($D862="",$E862=""),"",$E862-$D862)</f>
        <v/>
      </c>
      <c r="V862">
        <f>IF(OR($G862="",$T862=""),"",IF($T862&lt;24,IF(LEFT(LOWER($H862),4)="em p",$G862+0.7,$G862),IF(LEFT(LOWER($H862),4)="deit",$G862-0.7,$G862)))</f>
        <v/>
      </c>
      <c r="W862">
        <f>IF(OR($S862="",$T862=""),"",$S862*1000000+IF($T862&lt;=60,$U862,$T862))</f>
        <v/>
      </c>
      <c r="X862">
        <f>IF(OR($S862="",$V862="",$T862&gt;60,$T862=""),"",$S862*1000000+ROUND($V862*10,0))</f>
        <v/>
      </c>
      <c r="Y862">
        <f>IF($W862="","",IFERROR(INDEX(IF($T862&lt;=60,imc05_l,imc519_l),MATCH($W862,IF($T862&lt;=60,imc05_k,imc519_k),1)),""))</f>
        <v/>
      </c>
      <c r="Z862">
        <f>IF($W862="","",IFERROR(INDEX(IF($T862&lt;=60,imc05_m,imc519_m),MATCH($W862,IF($T862&lt;=60,imc05_k,imc519_k),1)),""))</f>
        <v/>
      </c>
      <c r="AA862">
        <f>IF($W862="","",IFERROR(INDEX(IF($T862&lt;=60,imc05_s,imc519_s),MATCH($W862,IF($T862&lt;=60,imc05_k,imc519_k),1)),""))</f>
        <v/>
      </c>
      <c r="AB862">
        <f>IF($Y862="","",IF($Y862=0,LN($J862/$Z862)/$AA862,((($J862/$Z862)^$Y862)-1)/($Y862*$AA862)))</f>
        <v/>
      </c>
      <c r="AC862">
        <f>IF($Y862="","",IF($Y862=0,$Z862*EXP($AA862*2),$Z862*(1+$Y862*$AA862*2)^(1/$Y862)))</f>
        <v/>
      </c>
      <c r="AD862">
        <f>IF($Y862="","",IF($Y862=0,$Z862*EXP($AA862*3),$Z862*(1+$Y862*$AA862*3)^(1/$Y862)))</f>
        <v/>
      </c>
      <c r="AE862">
        <f>IF($Y862="","",IF($Y862=0,$Z862*EXP($AA862*-2),$Z862*(1+$Y862*$AA862*-2)^(1/$Y862)))</f>
        <v/>
      </c>
      <c r="AF862">
        <f>IF($Y862="","",IF($Y862=0,$Z862*EXP($AA862*-3),$Z862*(1+$Y862*$AA862*-3)^(1/$Y862)))</f>
        <v/>
      </c>
      <c r="AG862">
        <f>IF($W862="","",IFERROR(INDEX(IF($T862&lt;=60,est05_l,est519_l),MATCH($W862,IF($T862&lt;=60,est05_k,est519_k),1)),""))</f>
        <v/>
      </c>
      <c r="AH862">
        <f>IF($W862="","",IFERROR(INDEX(IF($T862&lt;=60,est05_m,est519_m),MATCH($W862,IF($T862&lt;=60,est05_k,est519_k),1)),""))</f>
        <v/>
      </c>
      <c r="AI862">
        <f>IF($W862="","",IFERROR(INDEX(IF($T862&lt;=60,est05_s,est519_s),MATCH($W862,IF($T862&lt;=60,est05_k,est519_k),1)),""))</f>
        <v/>
      </c>
      <c r="AJ862">
        <f>IF($W862="","",IFERROR(INDEX(IF($T862&lt;=60,peso05_l,peso510_l),MATCH($W862,IF($T862&lt;=60,peso05_k,peso510_k),1)),""))</f>
        <v/>
      </c>
      <c r="AK862">
        <f>IF($W862="","",IFERROR(INDEX(IF($T862&lt;=60,peso05_m,peso510_m),MATCH($W862,IF($T862&lt;=60,peso05_k,peso510_k),1)),""))</f>
        <v/>
      </c>
      <c r="AL862">
        <f>IF($W862="","",IFERROR(INDEX(IF($T862&lt;=60,peso05_s,peso510_s),MATCH($W862,IF($T862&lt;=60,peso05_k,peso510_k),1)),""))</f>
        <v/>
      </c>
      <c r="AM862">
        <f>IF($AJ862="","",IF($AJ862=0,LN($F862/$AK862)/$AL862,((($F862/$AK862)^$AJ862)-1)/($AJ862*$AL862)))</f>
        <v/>
      </c>
      <c r="AN862">
        <f>IF($AJ862="","",IF($AJ862=0,$AK862*EXP($AL862*2),$AK862*(1+$AJ862*$AL862*2)^(1/$AJ862)))</f>
        <v/>
      </c>
      <c r="AO862">
        <f>IF($AJ862="","",IF($AJ862=0,$AK862*EXP($AL862*3),$AK862*(1+$AJ862*$AL862*3)^(1/$AJ862)))</f>
        <v/>
      </c>
      <c r="AP862">
        <f>IF($AJ862="","",IF($AJ862=0,$AK862*EXP($AL862*-2),$AK862*(1+$AJ862*$AL862*-2)^(1/$AJ862)))</f>
        <v/>
      </c>
      <c r="AQ862">
        <f>IF($AJ862="","",IF($AJ862=0,$AK862*EXP($AL862*-3),$AK862*(1+$AJ862*$AL862*-3)^(1/$AJ862)))</f>
        <v/>
      </c>
      <c r="AR862">
        <f>IF(OR($X862="",$T862&gt;60),"",IFERROR(INDEX(IF($T862&lt;24,pcomp_l,palt_l),MATCH($X862,IF($T862&lt;24,pcomp_k,palt_k),1)),""))</f>
        <v/>
      </c>
      <c r="AS862">
        <f>IF(OR($X862="",$T862&gt;60),"",IFERROR(INDEX(IF($T862&lt;24,pcomp_m,palt_m),MATCH($X862,IF($T862&lt;24,pcomp_k,palt_k),1)),""))</f>
        <v/>
      </c>
      <c r="AT862">
        <f>IF(OR($X862="",$T862&gt;60),"",IFERROR(INDEX(IF($T862&lt;24,pcomp_s,palt_s),MATCH($X862,IF($T862&lt;24,pcomp_k,palt_k),1)),""))</f>
        <v/>
      </c>
      <c r="AU862">
        <f>IF($AR862="","",IF($AR862=0,LN($F862/$AS862)/$AT862,((($F862/$AS862)^$AR862)-1)/($AR862*$AT862)))</f>
        <v/>
      </c>
      <c r="AV862">
        <f>IF($AR862="","",IF($AR862=0,$AS862*EXP($AT862*2),$AS862*(1+$AR862*$AT862*2)^(1/$AR862)))</f>
        <v/>
      </c>
      <c r="AW862">
        <f>IF($AR862="","",IF($AR862=0,$AS862*EXP($AT862*3),$AS862*(1+$AR862*$AT862*3)^(1/$AR862)))</f>
        <v/>
      </c>
      <c r="AX862">
        <f>IF($AR862="","",IF($AR862=0,$AS862*EXP($AT862*-2),$AS862*(1+$AR862*$AT862*-2)^(1/$AR862)))</f>
        <v/>
      </c>
      <c r="AY862">
        <f>IF($AR862="","",IF($AR862=0,$AS862*EXP($AT862*-3),$AS862*(1+$AR862*$AT862*-3)^(1/$AR862)))</f>
        <v/>
      </c>
      <c r="AZ862">
        <f>IF(OR($A862="",$A862&lt;&gt;Ficha!$C$4),"",COUNTIF($A$2:$A862,Ficha!$C$4))</f>
        <v/>
      </c>
    </row>
    <row r="863">
      <c r="A863" s="8">
        <f>IF(INDEX(Banco!$A:$A,ROW())="","",INDEX(Banco!$A:$A,ROW()))</f>
        <v/>
      </c>
      <c r="B863" s="8">
        <f>IF(INDEX(Banco!$B:$B,ROW())="","",INDEX(Banco!$B:$B,ROW()))</f>
        <v/>
      </c>
      <c r="C863" s="8">
        <f>IF(INDEX(Banco!$C:$C,ROW())="","",INDEX(Banco!$C:$C,ROW()))</f>
        <v/>
      </c>
      <c r="D863" s="9">
        <f>IF(INDEX(Banco!$D:$D,ROW())="","",INDEX(Banco!$D:$D,ROW()))</f>
        <v/>
      </c>
      <c r="E863" s="9">
        <f>IF(INDEX(Banco!$E:$E,ROW())="","",INDEX(Banco!$E:$E,ROW()))</f>
        <v/>
      </c>
      <c r="F863" s="10">
        <f>IF(INDEX(Banco!$F:$F,ROW())="","",INDEX(Banco!$F:$F,ROW()))</f>
        <v/>
      </c>
      <c r="G863" s="10">
        <f>IF(INDEX(Banco!$G:$G,ROW())="","",INDEX(Banco!$G:$G,ROW()))</f>
        <v/>
      </c>
      <c r="H863" s="8">
        <f>IF(INDEX(Banco!$H:$H,ROW())="","",INDEX(Banco!$H:$H,ROW()))</f>
        <v/>
      </c>
      <c r="I863">
        <f>IF($T863="","",INT($T863/12)&amp;"a "&amp;MOD($T863,12)&amp;"m")</f>
        <v/>
      </c>
      <c r="J863" s="11">
        <f>IF(OR($F863="",$G863=""),"",ROUND($F863/($G863/100)^2,2))</f>
        <v/>
      </c>
      <c r="K863" s="12">
        <f>IF(OR($S863="",$J863="",$T863="",$T863&lt;0,$T863&gt;228,$Y863=""),"—",ROUND(IF(ABS($AB863)&lt;=3,$AB863,IF($AB863&gt;3,3+($J863-$AD863)/($AD863-$AC863),-3+($J863-$AF863)/($AE863-$AF863))),2))</f>
        <v/>
      </c>
      <c r="L863">
        <f>IF(OR($K863="",$K863="—"),"",IF($T863&lt;=60,IF($K863&lt;-3,"Magreza acentuada",IF($K863&lt;-2,"Magreza",IF($K863&lt;=1,"Eutrofia",IF($K863&lt;=2,"Risco de sobrepeso",IF($K863&lt;=3,"Sobrepeso","Obesidade"))))),IF($K863&lt;-3,"Magreza acentuada",IF($K863&lt;-2,"Magreza",IF($K863&lt;=1,"Eutrofia",IF($K863&lt;=2,"Sobrepeso",IF($K863&lt;=3,"Obesidade","Obesidade grave")))))))</f>
        <v/>
      </c>
      <c r="M863" s="12">
        <f>IF(OR($S863="",$V863="",$T863="",$T863&lt;0,$T863&gt;228,$AG863=""),"—",ROUND(IF($AG863=0,LN($V863/$AH863)/$AI863,((($V863/$AH863)^$AG863)-1)/($AG863*$AI863)),2))</f>
        <v/>
      </c>
      <c r="N863">
        <f>IF(OR($M863="",$M863="—"),"",IF($M863&lt;-3,"Muito baixa",IF($M863&lt;-2,"Baixa","Adequada")))</f>
        <v/>
      </c>
      <c r="O863" s="12">
        <f>IF(OR($S863="",$F863="",$T863="",$T863&lt;0,$T863&gt;120,$AJ863=""),"—",ROUND(IF(ABS($AM863)&lt;=3,$AM863,IF($AM863&gt;3,3+($F863-$AO863)/($AO863-$AN863),-3+($F863-$AQ863)/($AP863-$AQ863))),2))</f>
        <v/>
      </c>
      <c r="P863">
        <f>IF(OR($O863="",$O863="—"),"",IF($O863&lt;-3,"Muito baixo",IF($O863&lt;-2,"Baixo",IF($O863&lt;=2,"Adequado","Elevado"))))</f>
        <v/>
      </c>
      <c r="Q863" s="12">
        <f>IF(OR($S863="",$F863="",$T863="",$T863&lt;0,$T863&gt;60,$AR863=""),"—",ROUND(IF(ABS($AU863)&lt;=3,$AU863,IF($AU863&gt;3,3+($F863-$AW863)/($AW863-$AV863),-3+($F863-$AY863)/($AX863-$AY863))),2))</f>
        <v/>
      </c>
      <c r="R863">
        <f>IF(OR($Q863="",$Q863="—"),"",IF($Q863&lt;-3,"Magreza acentuada",IF($Q863&lt;-2,"Magreza",IF($Q863&lt;=1,"Eutrofia",IF($Q863&lt;=2,"Risco de sobrepeso",IF($Q863&lt;=3,"Sobrepeso","Obesidade"))))))</f>
        <v/>
      </c>
      <c r="S863">
        <f>IF($C863="","",IF(UPPER(LEFT($C863,1))="M",1,IF(UPPER(LEFT($C863,1))="F",2,"")))</f>
        <v/>
      </c>
      <c r="T863">
        <f>IF(OR($D863="",$E863=""),"",DATEDIF($D863,$E863,"m"))</f>
        <v/>
      </c>
      <c r="U863">
        <f>IF(OR($D863="",$E863=""),"",$E863-$D863)</f>
        <v/>
      </c>
      <c r="V863">
        <f>IF(OR($G863="",$T863=""),"",IF($T863&lt;24,IF(LEFT(LOWER($H863),4)="em p",$G863+0.7,$G863),IF(LEFT(LOWER($H863),4)="deit",$G863-0.7,$G863)))</f>
        <v/>
      </c>
      <c r="W863">
        <f>IF(OR($S863="",$T863=""),"",$S863*1000000+IF($T863&lt;=60,$U863,$T863))</f>
        <v/>
      </c>
      <c r="X863">
        <f>IF(OR($S863="",$V863="",$T863&gt;60,$T863=""),"",$S863*1000000+ROUND($V863*10,0))</f>
        <v/>
      </c>
      <c r="Y863">
        <f>IF($W863="","",IFERROR(INDEX(IF($T863&lt;=60,imc05_l,imc519_l),MATCH($W863,IF($T863&lt;=60,imc05_k,imc519_k),1)),""))</f>
        <v/>
      </c>
      <c r="Z863">
        <f>IF($W863="","",IFERROR(INDEX(IF($T863&lt;=60,imc05_m,imc519_m),MATCH($W863,IF($T863&lt;=60,imc05_k,imc519_k),1)),""))</f>
        <v/>
      </c>
      <c r="AA863">
        <f>IF($W863="","",IFERROR(INDEX(IF($T863&lt;=60,imc05_s,imc519_s),MATCH($W863,IF($T863&lt;=60,imc05_k,imc519_k),1)),""))</f>
        <v/>
      </c>
      <c r="AB863">
        <f>IF($Y863="","",IF($Y863=0,LN($J863/$Z863)/$AA863,((($J863/$Z863)^$Y863)-1)/($Y863*$AA863)))</f>
        <v/>
      </c>
      <c r="AC863">
        <f>IF($Y863="","",IF($Y863=0,$Z863*EXP($AA863*2),$Z863*(1+$Y863*$AA863*2)^(1/$Y863)))</f>
        <v/>
      </c>
      <c r="AD863">
        <f>IF($Y863="","",IF($Y863=0,$Z863*EXP($AA863*3),$Z863*(1+$Y863*$AA863*3)^(1/$Y863)))</f>
        <v/>
      </c>
      <c r="AE863">
        <f>IF($Y863="","",IF($Y863=0,$Z863*EXP($AA863*-2),$Z863*(1+$Y863*$AA863*-2)^(1/$Y863)))</f>
        <v/>
      </c>
      <c r="AF863">
        <f>IF($Y863="","",IF($Y863=0,$Z863*EXP($AA863*-3),$Z863*(1+$Y863*$AA863*-3)^(1/$Y863)))</f>
        <v/>
      </c>
      <c r="AG863">
        <f>IF($W863="","",IFERROR(INDEX(IF($T863&lt;=60,est05_l,est519_l),MATCH($W863,IF($T863&lt;=60,est05_k,est519_k),1)),""))</f>
        <v/>
      </c>
      <c r="AH863">
        <f>IF($W863="","",IFERROR(INDEX(IF($T863&lt;=60,est05_m,est519_m),MATCH($W863,IF($T863&lt;=60,est05_k,est519_k),1)),""))</f>
        <v/>
      </c>
      <c r="AI863">
        <f>IF($W863="","",IFERROR(INDEX(IF($T863&lt;=60,est05_s,est519_s),MATCH($W863,IF($T863&lt;=60,est05_k,est519_k),1)),""))</f>
        <v/>
      </c>
      <c r="AJ863">
        <f>IF($W863="","",IFERROR(INDEX(IF($T863&lt;=60,peso05_l,peso510_l),MATCH($W863,IF($T863&lt;=60,peso05_k,peso510_k),1)),""))</f>
        <v/>
      </c>
      <c r="AK863">
        <f>IF($W863="","",IFERROR(INDEX(IF($T863&lt;=60,peso05_m,peso510_m),MATCH($W863,IF($T863&lt;=60,peso05_k,peso510_k),1)),""))</f>
        <v/>
      </c>
      <c r="AL863">
        <f>IF($W863="","",IFERROR(INDEX(IF($T863&lt;=60,peso05_s,peso510_s),MATCH($W863,IF($T863&lt;=60,peso05_k,peso510_k),1)),""))</f>
        <v/>
      </c>
      <c r="AM863">
        <f>IF($AJ863="","",IF($AJ863=0,LN($F863/$AK863)/$AL863,((($F863/$AK863)^$AJ863)-1)/($AJ863*$AL863)))</f>
        <v/>
      </c>
      <c r="AN863">
        <f>IF($AJ863="","",IF($AJ863=0,$AK863*EXP($AL863*2),$AK863*(1+$AJ863*$AL863*2)^(1/$AJ863)))</f>
        <v/>
      </c>
      <c r="AO863">
        <f>IF($AJ863="","",IF($AJ863=0,$AK863*EXP($AL863*3),$AK863*(1+$AJ863*$AL863*3)^(1/$AJ863)))</f>
        <v/>
      </c>
      <c r="AP863">
        <f>IF($AJ863="","",IF($AJ863=0,$AK863*EXP($AL863*-2),$AK863*(1+$AJ863*$AL863*-2)^(1/$AJ863)))</f>
        <v/>
      </c>
      <c r="AQ863">
        <f>IF($AJ863="","",IF($AJ863=0,$AK863*EXP($AL863*-3),$AK863*(1+$AJ863*$AL863*-3)^(1/$AJ863)))</f>
        <v/>
      </c>
      <c r="AR863">
        <f>IF(OR($X863="",$T863&gt;60),"",IFERROR(INDEX(IF($T863&lt;24,pcomp_l,palt_l),MATCH($X863,IF($T863&lt;24,pcomp_k,palt_k),1)),""))</f>
        <v/>
      </c>
      <c r="AS863">
        <f>IF(OR($X863="",$T863&gt;60),"",IFERROR(INDEX(IF($T863&lt;24,pcomp_m,palt_m),MATCH($X863,IF($T863&lt;24,pcomp_k,palt_k),1)),""))</f>
        <v/>
      </c>
      <c r="AT863">
        <f>IF(OR($X863="",$T863&gt;60),"",IFERROR(INDEX(IF($T863&lt;24,pcomp_s,palt_s),MATCH($X863,IF($T863&lt;24,pcomp_k,palt_k),1)),""))</f>
        <v/>
      </c>
      <c r="AU863">
        <f>IF($AR863="","",IF($AR863=0,LN($F863/$AS863)/$AT863,((($F863/$AS863)^$AR863)-1)/($AR863*$AT863)))</f>
        <v/>
      </c>
      <c r="AV863">
        <f>IF($AR863="","",IF($AR863=0,$AS863*EXP($AT863*2),$AS863*(1+$AR863*$AT863*2)^(1/$AR863)))</f>
        <v/>
      </c>
      <c r="AW863">
        <f>IF($AR863="","",IF($AR863=0,$AS863*EXP($AT863*3),$AS863*(1+$AR863*$AT863*3)^(1/$AR863)))</f>
        <v/>
      </c>
      <c r="AX863">
        <f>IF($AR863="","",IF($AR863=0,$AS863*EXP($AT863*-2),$AS863*(1+$AR863*$AT863*-2)^(1/$AR863)))</f>
        <v/>
      </c>
      <c r="AY863">
        <f>IF($AR863="","",IF($AR863=0,$AS863*EXP($AT863*-3),$AS863*(1+$AR863*$AT863*-3)^(1/$AR863)))</f>
        <v/>
      </c>
      <c r="AZ863">
        <f>IF(OR($A863="",$A863&lt;&gt;Ficha!$C$4),"",COUNTIF($A$2:$A863,Ficha!$C$4))</f>
        <v/>
      </c>
    </row>
    <row r="864">
      <c r="A864" s="8">
        <f>IF(INDEX(Banco!$A:$A,ROW())="","",INDEX(Banco!$A:$A,ROW()))</f>
        <v/>
      </c>
      <c r="B864" s="8">
        <f>IF(INDEX(Banco!$B:$B,ROW())="","",INDEX(Banco!$B:$B,ROW()))</f>
        <v/>
      </c>
      <c r="C864" s="8">
        <f>IF(INDEX(Banco!$C:$C,ROW())="","",INDEX(Banco!$C:$C,ROW()))</f>
        <v/>
      </c>
      <c r="D864" s="9">
        <f>IF(INDEX(Banco!$D:$D,ROW())="","",INDEX(Banco!$D:$D,ROW()))</f>
        <v/>
      </c>
      <c r="E864" s="9">
        <f>IF(INDEX(Banco!$E:$E,ROW())="","",INDEX(Banco!$E:$E,ROW()))</f>
        <v/>
      </c>
      <c r="F864" s="10">
        <f>IF(INDEX(Banco!$F:$F,ROW())="","",INDEX(Banco!$F:$F,ROW()))</f>
        <v/>
      </c>
      <c r="G864" s="10">
        <f>IF(INDEX(Banco!$G:$G,ROW())="","",INDEX(Banco!$G:$G,ROW()))</f>
        <v/>
      </c>
      <c r="H864" s="8">
        <f>IF(INDEX(Banco!$H:$H,ROW())="","",INDEX(Banco!$H:$H,ROW()))</f>
        <v/>
      </c>
      <c r="I864">
        <f>IF($T864="","",INT($T864/12)&amp;"a "&amp;MOD($T864,12)&amp;"m")</f>
        <v/>
      </c>
      <c r="J864" s="11">
        <f>IF(OR($F864="",$G864=""),"",ROUND($F864/($G864/100)^2,2))</f>
        <v/>
      </c>
      <c r="K864" s="12">
        <f>IF(OR($S864="",$J864="",$T864="",$T864&lt;0,$T864&gt;228,$Y864=""),"—",ROUND(IF(ABS($AB864)&lt;=3,$AB864,IF($AB864&gt;3,3+($J864-$AD864)/($AD864-$AC864),-3+($J864-$AF864)/($AE864-$AF864))),2))</f>
        <v/>
      </c>
      <c r="L864">
        <f>IF(OR($K864="",$K864="—"),"",IF($T864&lt;=60,IF($K864&lt;-3,"Magreza acentuada",IF($K864&lt;-2,"Magreza",IF($K864&lt;=1,"Eutrofia",IF($K864&lt;=2,"Risco de sobrepeso",IF($K864&lt;=3,"Sobrepeso","Obesidade"))))),IF($K864&lt;-3,"Magreza acentuada",IF($K864&lt;-2,"Magreza",IF($K864&lt;=1,"Eutrofia",IF($K864&lt;=2,"Sobrepeso",IF($K864&lt;=3,"Obesidade","Obesidade grave")))))))</f>
        <v/>
      </c>
      <c r="M864" s="12">
        <f>IF(OR($S864="",$V864="",$T864="",$T864&lt;0,$T864&gt;228,$AG864=""),"—",ROUND(IF($AG864=0,LN($V864/$AH864)/$AI864,((($V864/$AH864)^$AG864)-1)/($AG864*$AI864)),2))</f>
        <v/>
      </c>
      <c r="N864">
        <f>IF(OR($M864="",$M864="—"),"",IF($M864&lt;-3,"Muito baixa",IF($M864&lt;-2,"Baixa","Adequada")))</f>
        <v/>
      </c>
      <c r="O864" s="12">
        <f>IF(OR($S864="",$F864="",$T864="",$T864&lt;0,$T864&gt;120,$AJ864=""),"—",ROUND(IF(ABS($AM864)&lt;=3,$AM864,IF($AM864&gt;3,3+($F864-$AO864)/($AO864-$AN864),-3+($F864-$AQ864)/($AP864-$AQ864))),2))</f>
        <v/>
      </c>
      <c r="P864">
        <f>IF(OR($O864="",$O864="—"),"",IF($O864&lt;-3,"Muito baixo",IF($O864&lt;-2,"Baixo",IF($O864&lt;=2,"Adequado","Elevado"))))</f>
        <v/>
      </c>
      <c r="Q864" s="12">
        <f>IF(OR($S864="",$F864="",$T864="",$T864&lt;0,$T864&gt;60,$AR864=""),"—",ROUND(IF(ABS($AU864)&lt;=3,$AU864,IF($AU864&gt;3,3+($F864-$AW864)/($AW864-$AV864),-3+($F864-$AY864)/($AX864-$AY864))),2))</f>
        <v/>
      </c>
      <c r="R864">
        <f>IF(OR($Q864="",$Q864="—"),"",IF($Q864&lt;-3,"Magreza acentuada",IF($Q864&lt;-2,"Magreza",IF($Q864&lt;=1,"Eutrofia",IF($Q864&lt;=2,"Risco de sobrepeso",IF($Q864&lt;=3,"Sobrepeso","Obesidade"))))))</f>
        <v/>
      </c>
      <c r="S864">
        <f>IF($C864="","",IF(UPPER(LEFT($C864,1))="M",1,IF(UPPER(LEFT($C864,1))="F",2,"")))</f>
        <v/>
      </c>
      <c r="T864">
        <f>IF(OR($D864="",$E864=""),"",DATEDIF($D864,$E864,"m"))</f>
        <v/>
      </c>
      <c r="U864">
        <f>IF(OR($D864="",$E864=""),"",$E864-$D864)</f>
        <v/>
      </c>
      <c r="V864">
        <f>IF(OR($G864="",$T864=""),"",IF($T864&lt;24,IF(LEFT(LOWER($H864),4)="em p",$G864+0.7,$G864),IF(LEFT(LOWER($H864),4)="deit",$G864-0.7,$G864)))</f>
        <v/>
      </c>
      <c r="W864">
        <f>IF(OR($S864="",$T864=""),"",$S864*1000000+IF($T864&lt;=60,$U864,$T864))</f>
        <v/>
      </c>
      <c r="X864">
        <f>IF(OR($S864="",$V864="",$T864&gt;60,$T864=""),"",$S864*1000000+ROUND($V864*10,0))</f>
        <v/>
      </c>
      <c r="Y864">
        <f>IF($W864="","",IFERROR(INDEX(IF($T864&lt;=60,imc05_l,imc519_l),MATCH($W864,IF($T864&lt;=60,imc05_k,imc519_k),1)),""))</f>
        <v/>
      </c>
      <c r="Z864">
        <f>IF($W864="","",IFERROR(INDEX(IF($T864&lt;=60,imc05_m,imc519_m),MATCH($W864,IF($T864&lt;=60,imc05_k,imc519_k),1)),""))</f>
        <v/>
      </c>
      <c r="AA864">
        <f>IF($W864="","",IFERROR(INDEX(IF($T864&lt;=60,imc05_s,imc519_s),MATCH($W864,IF($T864&lt;=60,imc05_k,imc519_k),1)),""))</f>
        <v/>
      </c>
      <c r="AB864">
        <f>IF($Y864="","",IF($Y864=0,LN($J864/$Z864)/$AA864,((($J864/$Z864)^$Y864)-1)/($Y864*$AA864)))</f>
        <v/>
      </c>
      <c r="AC864">
        <f>IF($Y864="","",IF($Y864=0,$Z864*EXP($AA864*2),$Z864*(1+$Y864*$AA864*2)^(1/$Y864)))</f>
        <v/>
      </c>
      <c r="AD864">
        <f>IF($Y864="","",IF($Y864=0,$Z864*EXP($AA864*3),$Z864*(1+$Y864*$AA864*3)^(1/$Y864)))</f>
        <v/>
      </c>
      <c r="AE864">
        <f>IF($Y864="","",IF($Y864=0,$Z864*EXP($AA864*-2),$Z864*(1+$Y864*$AA864*-2)^(1/$Y864)))</f>
        <v/>
      </c>
      <c r="AF864">
        <f>IF($Y864="","",IF($Y864=0,$Z864*EXP($AA864*-3),$Z864*(1+$Y864*$AA864*-3)^(1/$Y864)))</f>
        <v/>
      </c>
      <c r="AG864">
        <f>IF($W864="","",IFERROR(INDEX(IF($T864&lt;=60,est05_l,est519_l),MATCH($W864,IF($T864&lt;=60,est05_k,est519_k),1)),""))</f>
        <v/>
      </c>
      <c r="AH864">
        <f>IF($W864="","",IFERROR(INDEX(IF($T864&lt;=60,est05_m,est519_m),MATCH($W864,IF($T864&lt;=60,est05_k,est519_k),1)),""))</f>
        <v/>
      </c>
      <c r="AI864">
        <f>IF($W864="","",IFERROR(INDEX(IF($T864&lt;=60,est05_s,est519_s),MATCH($W864,IF($T864&lt;=60,est05_k,est519_k),1)),""))</f>
        <v/>
      </c>
      <c r="AJ864">
        <f>IF($W864="","",IFERROR(INDEX(IF($T864&lt;=60,peso05_l,peso510_l),MATCH($W864,IF($T864&lt;=60,peso05_k,peso510_k),1)),""))</f>
        <v/>
      </c>
      <c r="AK864">
        <f>IF($W864="","",IFERROR(INDEX(IF($T864&lt;=60,peso05_m,peso510_m),MATCH($W864,IF($T864&lt;=60,peso05_k,peso510_k),1)),""))</f>
        <v/>
      </c>
      <c r="AL864">
        <f>IF($W864="","",IFERROR(INDEX(IF($T864&lt;=60,peso05_s,peso510_s),MATCH($W864,IF($T864&lt;=60,peso05_k,peso510_k),1)),""))</f>
        <v/>
      </c>
      <c r="AM864">
        <f>IF($AJ864="","",IF($AJ864=0,LN($F864/$AK864)/$AL864,((($F864/$AK864)^$AJ864)-1)/($AJ864*$AL864)))</f>
        <v/>
      </c>
      <c r="AN864">
        <f>IF($AJ864="","",IF($AJ864=0,$AK864*EXP($AL864*2),$AK864*(1+$AJ864*$AL864*2)^(1/$AJ864)))</f>
        <v/>
      </c>
      <c r="AO864">
        <f>IF($AJ864="","",IF($AJ864=0,$AK864*EXP($AL864*3),$AK864*(1+$AJ864*$AL864*3)^(1/$AJ864)))</f>
        <v/>
      </c>
      <c r="AP864">
        <f>IF($AJ864="","",IF($AJ864=0,$AK864*EXP($AL864*-2),$AK864*(1+$AJ864*$AL864*-2)^(1/$AJ864)))</f>
        <v/>
      </c>
      <c r="AQ864">
        <f>IF($AJ864="","",IF($AJ864=0,$AK864*EXP($AL864*-3),$AK864*(1+$AJ864*$AL864*-3)^(1/$AJ864)))</f>
        <v/>
      </c>
      <c r="AR864">
        <f>IF(OR($X864="",$T864&gt;60),"",IFERROR(INDEX(IF($T864&lt;24,pcomp_l,palt_l),MATCH($X864,IF($T864&lt;24,pcomp_k,palt_k),1)),""))</f>
        <v/>
      </c>
      <c r="AS864">
        <f>IF(OR($X864="",$T864&gt;60),"",IFERROR(INDEX(IF($T864&lt;24,pcomp_m,palt_m),MATCH($X864,IF($T864&lt;24,pcomp_k,palt_k),1)),""))</f>
        <v/>
      </c>
      <c r="AT864">
        <f>IF(OR($X864="",$T864&gt;60),"",IFERROR(INDEX(IF($T864&lt;24,pcomp_s,palt_s),MATCH($X864,IF($T864&lt;24,pcomp_k,palt_k),1)),""))</f>
        <v/>
      </c>
      <c r="AU864">
        <f>IF($AR864="","",IF($AR864=0,LN($F864/$AS864)/$AT864,((($F864/$AS864)^$AR864)-1)/($AR864*$AT864)))</f>
        <v/>
      </c>
      <c r="AV864">
        <f>IF($AR864="","",IF($AR864=0,$AS864*EXP($AT864*2),$AS864*(1+$AR864*$AT864*2)^(1/$AR864)))</f>
        <v/>
      </c>
      <c r="AW864">
        <f>IF($AR864="","",IF($AR864=0,$AS864*EXP($AT864*3),$AS864*(1+$AR864*$AT864*3)^(1/$AR864)))</f>
        <v/>
      </c>
      <c r="AX864">
        <f>IF($AR864="","",IF($AR864=0,$AS864*EXP($AT864*-2),$AS864*(1+$AR864*$AT864*-2)^(1/$AR864)))</f>
        <v/>
      </c>
      <c r="AY864">
        <f>IF($AR864="","",IF($AR864=0,$AS864*EXP($AT864*-3),$AS864*(1+$AR864*$AT864*-3)^(1/$AR864)))</f>
        <v/>
      </c>
      <c r="AZ864">
        <f>IF(OR($A864="",$A864&lt;&gt;Ficha!$C$4),"",COUNTIF($A$2:$A864,Ficha!$C$4))</f>
        <v/>
      </c>
    </row>
    <row r="865">
      <c r="A865" s="8">
        <f>IF(INDEX(Banco!$A:$A,ROW())="","",INDEX(Banco!$A:$A,ROW()))</f>
        <v/>
      </c>
      <c r="B865" s="8">
        <f>IF(INDEX(Banco!$B:$B,ROW())="","",INDEX(Banco!$B:$B,ROW()))</f>
        <v/>
      </c>
      <c r="C865" s="8">
        <f>IF(INDEX(Banco!$C:$C,ROW())="","",INDEX(Banco!$C:$C,ROW()))</f>
        <v/>
      </c>
      <c r="D865" s="9">
        <f>IF(INDEX(Banco!$D:$D,ROW())="","",INDEX(Banco!$D:$D,ROW()))</f>
        <v/>
      </c>
      <c r="E865" s="9">
        <f>IF(INDEX(Banco!$E:$E,ROW())="","",INDEX(Banco!$E:$E,ROW()))</f>
        <v/>
      </c>
      <c r="F865" s="10">
        <f>IF(INDEX(Banco!$F:$F,ROW())="","",INDEX(Banco!$F:$F,ROW()))</f>
        <v/>
      </c>
      <c r="G865" s="10">
        <f>IF(INDEX(Banco!$G:$G,ROW())="","",INDEX(Banco!$G:$G,ROW()))</f>
        <v/>
      </c>
      <c r="H865" s="8">
        <f>IF(INDEX(Banco!$H:$H,ROW())="","",INDEX(Banco!$H:$H,ROW()))</f>
        <v/>
      </c>
      <c r="I865">
        <f>IF($T865="","",INT($T865/12)&amp;"a "&amp;MOD($T865,12)&amp;"m")</f>
        <v/>
      </c>
      <c r="J865" s="11">
        <f>IF(OR($F865="",$G865=""),"",ROUND($F865/($G865/100)^2,2))</f>
        <v/>
      </c>
      <c r="K865" s="12">
        <f>IF(OR($S865="",$J865="",$T865="",$T865&lt;0,$T865&gt;228,$Y865=""),"—",ROUND(IF(ABS($AB865)&lt;=3,$AB865,IF($AB865&gt;3,3+($J865-$AD865)/($AD865-$AC865),-3+($J865-$AF865)/($AE865-$AF865))),2))</f>
        <v/>
      </c>
      <c r="L865">
        <f>IF(OR($K865="",$K865="—"),"",IF($T865&lt;=60,IF($K865&lt;-3,"Magreza acentuada",IF($K865&lt;-2,"Magreza",IF($K865&lt;=1,"Eutrofia",IF($K865&lt;=2,"Risco de sobrepeso",IF($K865&lt;=3,"Sobrepeso","Obesidade"))))),IF($K865&lt;-3,"Magreza acentuada",IF($K865&lt;-2,"Magreza",IF($K865&lt;=1,"Eutrofia",IF($K865&lt;=2,"Sobrepeso",IF($K865&lt;=3,"Obesidade","Obesidade grave")))))))</f>
        <v/>
      </c>
      <c r="M865" s="12">
        <f>IF(OR($S865="",$V865="",$T865="",$T865&lt;0,$T865&gt;228,$AG865=""),"—",ROUND(IF($AG865=0,LN($V865/$AH865)/$AI865,((($V865/$AH865)^$AG865)-1)/($AG865*$AI865)),2))</f>
        <v/>
      </c>
      <c r="N865">
        <f>IF(OR($M865="",$M865="—"),"",IF($M865&lt;-3,"Muito baixa",IF($M865&lt;-2,"Baixa","Adequada")))</f>
        <v/>
      </c>
      <c r="O865" s="12">
        <f>IF(OR($S865="",$F865="",$T865="",$T865&lt;0,$T865&gt;120,$AJ865=""),"—",ROUND(IF(ABS($AM865)&lt;=3,$AM865,IF($AM865&gt;3,3+($F865-$AO865)/($AO865-$AN865),-3+($F865-$AQ865)/($AP865-$AQ865))),2))</f>
        <v/>
      </c>
      <c r="P865">
        <f>IF(OR($O865="",$O865="—"),"",IF($O865&lt;-3,"Muito baixo",IF($O865&lt;-2,"Baixo",IF($O865&lt;=2,"Adequado","Elevado"))))</f>
        <v/>
      </c>
      <c r="Q865" s="12">
        <f>IF(OR($S865="",$F865="",$T865="",$T865&lt;0,$T865&gt;60,$AR865=""),"—",ROUND(IF(ABS($AU865)&lt;=3,$AU865,IF($AU865&gt;3,3+($F865-$AW865)/($AW865-$AV865),-3+($F865-$AY865)/($AX865-$AY865))),2))</f>
        <v/>
      </c>
      <c r="R865">
        <f>IF(OR($Q865="",$Q865="—"),"",IF($Q865&lt;-3,"Magreza acentuada",IF($Q865&lt;-2,"Magreza",IF($Q865&lt;=1,"Eutrofia",IF($Q865&lt;=2,"Risco de sobrepeso",IF($Q865&lt;=3,"Sobrepeso","Obesidade"))))))</f>
        <v/>
      </c>
      <c r="S865">
        <f>IF($C865="","",IF(UPPER(LEFT($C865,1))="M",1,IF(UPPER(LEFT($C865,1))="F",2,"")))</f>
        <v/>
      </c>
      <c r="T865">
        <f>IF(OR($D865="",$E865=""),"",DATEDIF($D865,$E865,"m"))</f>
        <v/>
      </c>
      <c r="U865">
        <f>IF(OR($D865="",$E865=""),"",$E865-$D865)</f>
        <v/>
      </c>
      <c r="V865">
        <f>IF(OR($G865="",$T865=""),"",IF($T865&lt;24,IF(LEFT(LOWER($H865),4)="em p",$G865+0.7,$G865),IF(LEFT(LOWER($H865),4)="deit",$G865-0.7,$G865)))</f>
        <v/>
      </c>
      <c r="W865">
        <f>IF(OR($S865="",$T865=""),"",$S865*1000000+IF($T865&lt;=60,$U865,$T865))</f>
        <v/>
      </c>
      <c r="X865">
        <f>IF(OR($S865="",$V865="",$T865&gt;60,$T865=""),"",$S865*1000000+ROUND($V865*10,0))</f>
        <v/>
      </c>
      <c r="Y865">
        <f>IF($W865="","",IFERROR(INDEX(IF($T865&lt;=60,imc05_l,imc519_l),MATCH($W865,IF($T865&lt;=60,imc05_k,imc519_k),1)),""))</f>
        <v/>
      </c>
      <c r="Z865">
        <f>IF($W865="","",IFERROR(INDEX(IF($T865&lt;=60,imc05_m,imc519_m),MATCH($W865,IF($T865&lt;=60,imc05_k,imc519_k),1)),""))</f>
        <v/>
      </c>
      <c r="AA865">
        <f>IF($W865="","",IFERROR(INDEX(IF($T865&lt;=60,imc05_s,imc519_s),MATCH($W865,IF($T865&lt;=60,imc05_k,imc519_k),1)),""))</f>
        <v/>
      </c>
      <c r="AB865">
        <f>IF($Y865="","",IF($Y865=0,LN($J865/$Z865)/$AA865,((($J865/$Z865)^$Y865)-1)/($Y865*$AA865)))</f>
        <v/>
      </c>
      <c r="AC865">
        <f>IF($Y865="","",IF($Y865=0,$Z865*EXP($AA865*2),$Z865*(1+$Y865*$AA865*2)^(1/$Y865)))</f>
        <v/>
      </c>
      <c r="AD865">
        <f>IF($Y865="","",IF($Y865=0,$Z865*EXP($AA865*3),$Z865*(1+$Y865*$AA865*3)^(1/$Y865)))</f>
        <v/>
      </c>
      <c r="AE865">
        <f>IF($Y865="","",IF($Y865=0,$Z865*EXP($AA865*-2),$Z865*(1+$Y865*$AA865*-2)^(1/$Y865)))</f>
        <v/>
      </c>
      <c r="AF865">
        <f>IF($Y865="","",IF($Y865=0,$Z865*EXP($AA865*-3),$Z865*(1+$Y865*$AA865*-3)^(1/$Y865)))</f>
        <v/>
      </c>
      <c r="AG865">
        <f>IF($W865="","",IFERROR(INDEX(IF($T865&lt;=60,est05_l,est519_l),MATCH($W865,IF($T865&lt;=60,est05_k,est519_k),1)),""))</f>
        <v/>
      </c>
      <c r="AH865">
        <f>IF($W865="","",IFERROR(INDEX(IF($T865&lt;=60,est05_m,est519_m),MATCH($W865,IF($T865&lt;=60,est05_k,est519_k),1)),""))</f>
        <v/>
      </c>
      <c r="AI865">
        <f>IF($W865="","",IFERROR(INDEX(IF($T865&lt;=60,est05_s,est519_s),MATCH($W865,IF($T865&lt;=60,est05_k,est519_k),1)),""))</f>
        <v/>
      </c>
      <c r="AJ865">
        <f>IF($W865="","",IFERROR(INDEX(IF($T865&lt;=60,peso05_l,peso510_l),MATCH($W865,IF($T865&lt;=60,peso05_k,peso510_k),1)),""))</f>
        <v/>
      </c>
      <c r="AK865">
        <f>IF($W865="","",IFERROR(INDEX(IF($T865&lt;=60,peso05_m,peso510_m),MATCH($W865,IF($T865&lt;=60,peso05_k,peso510_k),1)),""))</f>
        <v/>
      </c>
      <c r="AL865">
        <f>IF($W865="","",IFERROR(INDEX(IF($T865&lt;=60,peso05_s,peso510_s),MATCH($W865,IF($T865&lt;=60,peso05_k,peso510_k),1)),""))</f>
        <v/>
      </c>
      <c r="AM865">
        <f>IF($AJ865="","",IF($AJ865=0,LN($F865/$AK865)/$AL865,((($F865/$AK865)^$AJ865)-1)/($AJ865*$AL865)))</f>
        <v/>
      </c>
      <c r="AN865">
        <f>IF($AJ865="","",IF($AJ865=0,$AK865*EXP($AL865*2),$AK865*(1+$AJ865*$AL865*2)^(1/$AJ865)))</f>
        <v/>
      </c>
      <c r="AO865">
        <f>IF($AJ865="","",IF($AJ865=0,$AK865*EXP($AL865*3),$AK865*(1+$AJ865*$AL865*3)^(1/$AJ865)))</f>
        <v/>
      </c>
      <c r="AP865">
        <f>IF($AJ865="","",IF($AJ865=0,$AK865*EXP($AL865*-2),$AK865*(1+$AJ865*$AL865*-2)^(1/$AJ865)))</f>
        <v/>
      </c>
      <c r="AQ865">
        <f>IF($AJ865="","",IF($AJ865=0,$AK865*EXP($AL865*-3),$AK865*(1+$AJ865*$AL865*-3)^(1/$AJ865)))</f>
        <v/>
      </c>
      <c r="AR865">
        <f>IF(OR($X865="",$T865&gt;60),"",IFERROR(INDEX(IF($T865&lt;24,pcomp_l,palt_l),MATCH($X865,IF($T865&lt;24,pcomp_k,palt_k),1)),""))</f>
        <v/>
      </c>
      <c r="AS865">
        <f>IF(OR($X865="",$T865&gt;60),"",IFERROR(INDEX(IF($T865&lt;24,pcomp_m,palt_m),MATCH($X865,IF($T865&lt;24,pcomp_k,palt_k),1)),""))</f>
        <v/>
      </c>
      <c r="AT865">
        <f>IF(OR($X865="",$T865&gt;60),"",IFERROR(INDEX(IF($T865&lt;24,pcomp_s,palt_s),MATCH($X865,IF($T865&lt;24,pcomp_k,palt_k),1)),""))</f>
        <v/>
      </c>
      <c r="AU865">
        <f>IF($AR865="","",IF($AR865=0,LN($F865/$AS865)/$AT865,((($F865/$AS865)^$AR865)-1)/($AR865*$AT865)))</f>
        <v/>
      </c>
      <c r="AV865">
        <f>IF($AR865="","",IF($AR865=0,$AS865*EXP($AT865*2),$AS865*(1+$AR865*$AT865*2)^(1/$AR865)))</f>
        <v/>
      </c>
      <c r="AW865">
        <f>IF($AR865="","",IF($AR865=0,$AS865*EXP($AT865*3),$AS865*(1+$AR865*$AT865*3)^(1/$AR865)))</f>
        <v/>
      </c>
      <c r="AX865">
        <f>IF($AR865="","",IF($AR865=0,$AS865*EXP($AT865*-2),$AS865*(1+$AR865*$AT865*-2)^(1/$AR865)))</f>
        <v/>
      </c>
      <c r="AY865">
        <f>IF($AR865="","",IF($AR865=0,$AS865*EXP($AT865*-3),$AS865*(1+$AR865*$AT865*-3)^(1/$AR865)))</f>
        <v/>
      </c>
      <c r="AZ865">
        <f>IF(OR($A865="",$A865&lt;&gt;Ficha!$C$4),"",COUNTIF($A$2:$A865,Ficha!$C$4))</f>
        <v/>
      </c>
    </row>
    <row r="866">
      <c r="A866" s="8">
        <f>IF(INDEX(Banco!$A:$A,ROW())="","",INDEX(Banco!$A:$A,ROW()))</f>
        <v/>
      </c>
      <c r="B866" s="8">
        <f>IF(INDEX(Banco!$B:$B,ROW())="","",INDEX(Banco!$B:$B,ROW()))</f>
        <v/>
      </c>
      <c r="C866" s="8">
        <f>IF(INDEX(Banco!$C:$C,ROW())="","",INDEX(Banco!$C:$C,ROW()))</f>
        <v/>
      </c>
      <c r="D866" s="9">
        <f>IF(INDEX(Banco!$D:$D,ROW())="","",INDEX(Banco!$D:$D,ROW()))</f>
        <v/>
      </c>
      <c r="E866" s="9">
        <f>IF(INDEX(Banco!$E:$E,ROW())="","",INDEX(Banco!$E:$E,ROW()))</f>
        <v/>
      </c>
      <c r="F866" s="10">
        <f>IF(INDEX(Banco!$F:$F,ROW())="","",INDEX(Banco!$F:$F,ROW()))</f>
        <v/>
      </c>
      <c r="G866" s="10">
        <f>IF(INDEX(Banco!$G:$G,ROW())="","",INDEX(Banco!$G:$G,ROW()))</f>
        <v/>
      </c>
      <c r="H866" s="8">
        <f>IF(INDEX(Banco!$H:$H,ROW())="","",INDEX(Banco!$H:$H,ROW()))</f>
        <v/>
      </c>
      <c r="I866">
        <f>IF($T866="","",INT($T866/12)&amp;"a "&amp;MOD($T866,12)&amp;"m")</f>
        <v/>
      </c>
      <c r="J866" s="11">
        <f>IF(OR($F866="",$G866=""),"",ROUND($F866/($G866/100)^2,2))</f>
        <v/>
      </c>
      <c r="K866" s="12">
        <f>IF(OR($S866="",$J866="",$T866="",$T866&lt;0,$T866&gt;228,$Y866=""),"—",ROUND(IF(ABS($AB866)&lt;=3,$AB866,IF($AB866&gt;3,3+($J866-$AD866)/($AD866-$AC866),-3+($J866-$AF866)/($AE866-$AF866))),2))</f>
        <v/>
      </c>
      <c r="L866">
        <f>IF(OR($K866="",$K866="—"),"",IF($T866&lt;=60,IF($K866&lt;-3,"Magreza acentuada",IF($K866&lt;-2,"Magreza",IF($K866&lt;=1,"Eutrofia",IF($K866&lt;=2,"Risco de sobrepeso",IF($K866&lt;=3,"Sobrepeso","Obesidade"))))),IF($K866&lt;-3,"Magreza acentuada",IF($K866&lt;-2,"Magreza",IF($K866&lt;=1,"Eutrofia",IF($K866&lt;=2,"Sobrepeso",IF($K866&lt;=3,"Obesidade","Obesidade grave")))))))</f>
        <v/>
      </c>
      <c r="M866" s="12">
        <f>IF(OR($S866="",$V866="",$T866="",$T866&lt;0,$T866&gt;228,$AG866=""),"—",ROUND(IF($AG866=0,LN($V866/$AH866)/$AI866,((($V866/$AH866)^$AG866)-1)/($AG866*$AI866)),2))</f>
        <v/>
      </c>
      <c r="N866">
        <f>IF(OR($M866="",$M866="—"),"",IF($M866&lt;-3,"Muito baixa",IF($M866&lt;-2,"Baixa","Adequada")))</f>
        <v/>
      </c>
      <c r="O866" s="12">
        <f>IF(OR($S866="",$F866="",$T866="",$T866&lt;0,$T866&gt;120,$AJ866=""),"—",ROUND(IF(ABS($AM866)&lt;=3,$AM866,IF($AM866&gt;3,3+($F866-$AO866)/($AO866-$AN866),-3+($F866-$AQ866)/($AP866-$AQ866))),2))</f>
        <v/>
      </c>
      <c r="P866">
        <f>IF(OR($O866="",$O866="—"),"",IF($O866&lt;-3,"Muito baixo",IF($O866&lt;-2,"Baixo",IF($O866&lt;=2,"Adequado","Elevado"))))</f>
        <v/>
      </c>
      <c r="Q866" s="12">
        <f>IF(OR($S866="",$F866="",$T866="",$T866&lt;0,$T866&gt;60,$AR866=""),"—",ROUND(IF(ABS($AU866)&lt;=3,$AU866,IF($AU866&gt;3,3+($F866-$AW866)/($AW866-$AV866),-3+($F866-$AY866)/($AX866-$AY866))),2))</f>
        <v/>
      </c>
      <c r="R866">
        <f>IF(OR($Q866="",$Q866="—"),"",IF($Q866&lt;-3,"Magreza acentuada",IF($Q866&lt;-2,"Magreza",IF($Q866&lt;=1,"Eutrofia",IF($Q866&lt;=2,"Risco de sobrepeso",IF($Q866&lt;=3,"Sobrepeso","Obesidade"))))))</f>
        <v/>
      </c>
      <c r="S866">
        <f>IF($C866="","",IF(UPPER(LEFT($C866,1))="M",1,IF(UPPER(LEFT($C866,1))="F",2,"")))</f>
        <v/>
      </c>
      <c r="T866">
        <f>IF(OR($D866="",$E866=""),"",DATEDIF($D866,$E866,"m"))</f>
        <v/>
      </c>
      <c r="U866">
        <f>IF(OR($D866="",$E866=""),"",$E866-$D866)</f>
        <v/>
      </c>
      <c r="V866">
        <f>IF(OR($G866="",$T866=""),"",IF($T866&lt;24,IF(LEFT(LOWER($H866),4)="em p",$G866+0.7,$G866),IF(LEFT(LOWER($H866),4)="deit",$G866-0.7,$G866)))</f>
        <v/>
      </c>
      <c r="W866">
        <f>IF(OR($S866="",$T866=""),"",$S866*1000000+IF($T866&lt;=60,$U866,$T866))</f>
        <v/>
      </c>
      <c r="X866">
        <f>IF(OR($S866="",$V866="",$T866&gt;60,$T866=""),"",$S866*1000000+ROUND($V866*10,0))</f>
        <v/>
      </c>
      <c r="Y866">
        <f>IF($W866="","",IFERROR(INDEX(IF($T866&lt;=60,imc05_l,imc519_l),MATCH($W866,IF($T866&lt;=60,imc05_k,imc519_k),1)),""))</f>
        <v/>
      </c>
      <c r="Z866">
        <f>IF($W866="","",IFERROR(INDEX(IF($T866&lt;=60,imc05_m,imc519_m),MATCH($W866,IF($T866&lt;=60,imc05_k,imc519_k),1)),""))</f>
        <v/>
      </c>
      <c r="AA866">
        <f>IF($W866="","",IFERROR(INDEX(IF($T866&lt;=60,imc05_s,imc519_s),MATCH($W866,IF($T866&lt;=60,imc05_k,imc519_k),1)),""))</f>
        <v/>
      </c>
      <c r="AB866">
        <f>IF($Y866="","",IF($Y866=0,LN($J866/$Z866)/$AA866,((($J866/$Z866)^$Y866)-1)/($Y866*$AA866)))</f>
        <v/>
      </c>
      <c r="AC866">
        <f>IF($Y866="","",IF($Y866=0,$Z866*EXP($AA866*2),$Z866*(1+$Y866*$AA866*2)^(1/$Y866)))</f>
        <v/>
      </c>
      <c r="AD866">
        <f>IF($Y866="","",IF($Y866=0,$Z866*EXP($AA866*3),$Z866*(1+$Y866*$AA866*3)^(1/$Y866)))</f>
        <v/>
      </c>
      <c r="AE866">
        <f>IF($Y866="","",IF($Y866=0,$Z866*EXP($AA866*-2),$Z866*(1+$Y866*$AA866*-2)^(1/$Y866)))</f>
        <v/>
      </c>
      <c r="AF866">
        <f>IF($Y866="","",IF($Y866=0,$Z866*EXP($AA866*-3),$Z866*(1+$Y866*$AA866*-3)^(1/$Y866)))</f>
        <v/>
      </c>
      <c r="AG866">
        <f>IF($W866="","",IFERROR(INDEX(IF($T866&lt;=60,est05_l,est519_l),MATCH($W866,IF($T866&lt;=60,est05_k,est519_k),1)),""))</f>
        <v/>
      </c>
      <c r="AH866">
        <f>IF($W866="","",IFERROR(INDEX(IF($T866&lt;=60,est05_m,est519_m),MATCH($W866,IF($T866&lt;=60,est05_k,est519_k),1)),""))</f>
        <v/>
      </c>
      <c r="AI866">
        <f>IF($W866="","",IFERROR(INDEX(IF($T866&lt;=60,est05_s,est519_s),MATCH($W866,IF($T866&lt;=60,est05_k,est519_k),1)),""))</f>
        <v/>
      </c>
      <c r="AJ866">
        <f>IF($W866="","",IFERROR(INDEX(IF($T866&lt;=60,peso05_l,peso510_l),MATCH($W866,IF($T866&lt;=60,peso05_k,peso510_k),1)),""))</f>
        <v/>
      </c>
      <c r="AK866">
        <f>IF($W866="","",IFERROR(INDEX(IF($T866&lt;=60,peso05_m,peso510_m),MATCH($W866,IF($T866&lt;=60,peso05_k,peso510_k),1)),""))</f>
        <v/>
      </c>
      <c r="AL866">
        <f>IF($W866="","",IFERROR(INDEX(IF($T866&lt;=60,peso05_s,peso510_s),MATCH($W866,IF($T866&lt;=60,peso05_k,peso510_k),1)),""))</f>
        <v/>
      </c>
      <c r="AM866">
        <f>IF($AJ866="","",IF($AJ866=0,LN($F866/$AK866)/$AL866,((($F866/$AK866)^$AJ866)-1)/($AJ866*$AL866)))</f>
        <v/>
      </c>
      <c r="AN866">
        <f>IF($AJ866="","",IF($AJ866=0,$AK866*EXP($AL866*2),$AK866*(1+$AJ866*$AL866*2)^(1/$AJ866)))</f>
        <v/>
      </c>
      <c r="AO866">
        <f>IF($AJ866="","",IF($AJ866=0,$AK866*EXP($AL866*3),$AK866*(1+$AJ866*$AL866*3)^(1/$AJ866)))</f>
        <v/>
      </c>
      <c r="AP866">
        <f>IF($AJ866="","",IF($AJ866=0,$AK866*EXP($AL866*-2),$AK866*(1+$AJ866*$AL866*-2)^(1/$AJ866)))</f>
        <v/>
      </c>
      <c r="AQ866">
        <f>IF($AJ866="","",IF($AJ866=0,$AK866*EXP($AL866*-3),$AK866*(1+$AJ866*$AL866*-3)^(1/$AJ866)))</f>
        <v/>
      </c>
      <c r="AR866">
        <f>IF(OR($X866="",$T866&gt;60),"",IFERROR(INDEX(IF($T866&lt;24,pcomp_l,palt_l),MATCH($X866,IF($T866&lt;24,pcomp_k,palt_k),1)),""))</f>
        <v/>
      </c>
      <c r="AS866">
        <f>IF(OR($X866="",$T866&gt;60),"",IFERROR(INDEX(IF($T866&lt;24,pcomp_m,palt_m),MATCH($X866,IF($T866&lt;24,pcomp_k,palt_k),1)),""))</f>
        <v/>
      </c>
      <c r="AT866">
        <f>IF(OR($X866="",$T866&gt;60),"",IFERROR(INDEX(IF($T866&lt;24,pcomp_s,palt_s),MATCH($X866,IF($T866&lt;24,pcomp_k,palt_k),1)),""))</f>
        <v/>
      </c>
      <c r="AU866">
        <f>IF($AR866="","",IF($AR866=0,LN($F866/$AS866)/$AT866,((($F866/$AS866)^$AR866)-1)/($AR866*$AT866)))</f>
        <v/>
      </c>
      <c r="AV866">
        <f>IF($AR866="","",IF($AR866=0,$AS866*EXP($AT866*2),$AS866*(1+$AR866*$AT866*2)^(1/$AR866)))</f>
        <v/>
      </c>
      <c r="AW866">
        <f>IF($AR866="","",IF($AR866=0,$AS866*EXP($AT866*3),$AS866*(1+$AR866*$AT866*3)^(1/$AR866)))</f>
        <v/>
      </c>
      <c r="AX866">
        <f>IF($AR866="","",IF($AR866=0,$AS866*EXP($AT866*-2),$AS866*(1+$AR866*$AT866*-2)^(1/$AR866)))</f>
        <v/>
      </c>
      <c r="AY866">
        <f>IF($AR866="","",IF($AR866=0,$AS866*EXP($AT866*-3),$AS866*(1+$AR866*$AT866*-3)^(1/$AR866)))</f>
        <v/>
      </c>
      <c r="AZ866">
        <f>IF(OR($A866="",$A866&lt;&gt;Ficha!$C$4),"",COUNTIF($A$2:$A866,Ficha!$C$4))</f>
        <v/>
      </c>
    </row>
    <row r="867">
      <c r="A867" s="8">
        <f>IF(INDEX(Banco!$A:$A,ROW())="","",INDEX(Banco!$A:$A,ROW()))</f>
        <v/>
      </c>
      <c r="B867" s="8">
        <f>IF(INDEX(Banco!$B:$B,ROW())="","",INDEX(Banco!$B:$B,ROW()))</f>
        <v/>
      </c>
      <c r="C867" s="8">
        <f>IF(INDEX(Banco!$C:$C,ROW())="","",INDEX(Banco!$C:$C,ROW()))</f>
        <v/>
      </c>
      <c r="D867" s="9">
        <f>IF(INDEX(Banco!$D:$D,ROW())="","",INDEX(Banco!$D:$D,ROW()))</f>
        <v/>
      </c>
      <c r="E867" s="9">
        <f>IF(INDEX(Banco!$E:$E,ROW())="","",INDEX(Banco!$E:$E,ROW()))</f>
        <v/>
      </c>
      <c r="F867" s="10">
        <f>IF(INDEX(Banco!$F:$F,ROW())="","",INDEX(Banco!$F:$F,ROW()))</f>
        <v/>
      </c>
      <c r="G867" s="10">
        <f>IF(INDEX(Banco!$G:$G,ROW())="","",INDEX(Banco!$G:$G,ROW()))</f>
        <v/>
      </c>
      <c r="H867" s="8">
        <f>IF(INDEX(Banco!$H:$H,ROW())="","",INDEX(Banco!$H:$H,ROW()))</f>
        <v/>
      </c>
      <c r="I867">
        <f>IF($T867="","",INT($T867/12)&amp;"a "&amp;MOD($T867,12)&amp;"m")</f>
        <v/>
      </c>
      <c r="J867" s="11">
        <f>IF(OR($F867="",$G867=""),"",ROUND($F867/($G867/100)^2,2))</f>
        <v/>
      </c>
      <c r="K867" s="12">
        <f>IF(OR($S867="",$J867="",$T867="",$T867&lt;0,$T867&gt;228,$Y867=""),"—",ROUND(IF(ABS($AB867)&lt;=3,$AB867,IF($AB867&gt;3,3+($J867-$AD867)/($AD867-$AC867),-3+($J867-$AF867)/($AE867-$AF867))),2))</f>
        <v/>
      </c>
      <c r="L867">
        <f>IF(OR($K867="",$K867="—"),"",IF($T867&lt;=60,IF($K867&lt;-3,"Magreza acentuada",IF($K867&lt;-2,"Magreza",IF($K867&lt;=1,"Eutrofia",IF($K867&lt;=2,"Risco de sobrepeso",IF($K867&lt;=3,"Sobrepeso","Obesidade"))))),IF($K867&lt;-3,"Magreza acentuada",IF($K867&lt;-2,"Magreza",IF($K867&lt;=1,"Eutrofia",IF($K867&lt;=2,"Sobrepeso",IF($K867&lt;=3,"Obesidade","Obesidade grave")))))))</f>
        <v/>
      </c>
      <c r="M867" s="12">
        <f>IF(OR($S867="",$V867="",$T867="",$T867&lt;0,$T867&gt;228,$AG867=""),"—",ROUND(IF($AG867=0,LN($V867/$AH867)/$AI867,((($V867/$AH867)^$AG867)-1)/($AG867*$AI867)),2))</f>
        <v/>
      </c>
      <c r="N867">
        <f>IF(OR($M867="",$M867="—"),"",IF($M867&lt;-3,"Muito baixa",IF($M867&lt;-2,"Baixa","Adequada")))</f>
        <v/>
      </c>
      <c r="O867" s="12">
        <f>IF(OR($S867="",$F867="",$T867="",$T867&lt;0,$T867&gt;120,$AJ867=""),"—",ROUND(IF(ABS($AM867)&lt;=3,$AM867,IF($AM867&gt;3,3+($F867-$AO867)/($AO867-$AN867),-3+($F867-$AQ867)/($AP867-$AQ867))),2))</f>
        <v/>
      </c>
      <c r="P867">
        <f>IF(OR($O867="",$O867="—"),"",IF($O867&lt;-3,"Muito baixo",IF($O867&lt;-2,"Baixo",IF($O867&lt;=2,"Adequado","Elevado"))))</f>
        <v/>
      </c>
      <c r="Q867" s="12">
        <f>IF(OR($S867="",$F867="",$T867="",$T867&lt;0,$T867&gt;60,$AR867=""),"—",ROUND(IF(ABS($AU867)&lt;=3,$AU867,IF($AU867&gt;3,3+($F867-$AW867)/($AW867-$AV867),-3+($F867-$AY867)/($AX867-$AY867))),2))</f>
        <v/>
      </c>
      <c r="R867">
        <f>IF(OR($Q867="",$Q867="—"),"",IF($Q867&lt;-3,"Magreza acentuada",IF($Q867&lt;-2,"Magreza",IF($Q867&lt;=1,"Eutrofia",IF($Q867&lt;=2,"Risco de sobrepeso",IF($Q867&lt;=3,"Sobrepeso","Obesidade"))))))</f>
        <v/>
      </c>
      <c r="S867">
        <f>IF($C867="","",IF(UPPER(LEFT($C867,1))="M",1,IF(UPPER(LEFT($C867,1))="F",2,"")))</f>
        <v/>
      </c>
      <c r="T867">
        <f>IF(OR($D867="",$E867=""),"",DATEDIF($D867,$E867,"m"))</f>
        <v/>
      </c>
      <c r="U867">
        <f>IF(OR($D867="",$E867=""),"",$E867-$D867)</f>
        <v/>
      </c>
      <c r="V867">
        <f>IF(OR($G867="",$T867=""),"",IF($T867&lt;24,IF(LEFT(LOWER($H867),4)="em p",$G867+0.7,$G867),IF(LEFT(LOWER($H867),4)="deit",$G867-0.7,$G867)))</f>
        <v/>
      </c>
      <c r="W867">
        <f>IF(OR($S867="",$T867=""),"",$S867*1000000+IF($T867&lt;=60,$U867,$T867))</f>
        <v/>
      </c>
      <c r="X867">
        <f>IF(OR($S867="",$V867="",$T867&gt;60,$T867=""),"",$S867*1000000+ROUND($V867*10,0))</f>
        <v/>
      </c>
      <c r="Y867">
        <f>IF($W867="","",IFERROR(INDEX(IF($T867&lt;=60,imc05_l,imc519_l),MATCH($W867,IF($T867&lt;=60,imc05_k,imc519_k),1)),""))</f>
        <v/>
      </c>
      <c r="Z867">
        <f>IF($W867="","",IFERROR(INDEX(IF($T867&lt;=60,imc05_m,imc519_m),MATCH($W867,IF($T867&lt;=60,imc05_k,imc519_k),1)),""))</f>
        <v/>
      </c>
      <c r="AA867">
        <f>IF($W867="","",IFERROR(INDEX(IF($T867&lt;=60,imc05_s,imc519_s),MATCH($W867,IF($T867&lt;=60,imc05_k,imc519_k),1)),""))</f>
        <v/>
      </c>
      <c r="AB867">
        <f>IF($Y867="","",IF($Y867=0,LN($J867/$Z867)/$AA867,((($J867/$Z867)^$Y867)-1)/($Y867*$AA867)))</f>
        <v/>
      </c>
      <c r="AC867">
        <f>IF($Y867="","",IF($Y867=0,$Z867*EXP($AA867*2),$Z867*(1+$Y867*$AA867*2)^(1/$Y867)))</f>
        <v/>
      </c>
      <c r="AD867">
        <f>IF($Y867="","",IF($Y867=0,$Z867*EXP($AA867*3),$Z867*(1+$Y867*$AA867*3)^(1/$Y867)))</f>
        <v/>
      </c>
      <c r="AE867">
        <f>IF($Y867="","",IF($Y867=0,$Z867*EXP($AA867*-2),$Z867*(1+$Y867*$AA867*-2)^(1/$Y867)))</f>
        <v/>
      </c>
      <c r="AF867">
        <f>IF($Y867="","",IF($Y867=0,$Z867*EXP($AA867*-3),$Z867*(1+$Y867*$AA867*-3)^(1/$Y867)))</f>
        <v/>
      </c>
      <c r="AG867">
        <f>IF($W867="","",IFERROR(INDEX(IF($T867&lt;=60,est05_l,est519_l),MATCH($W867,IF($T867&lt;=60,est05_k,est519_k),1)),""))</f>
        <v/>
      </c>
      <c r="AH867">
        <f>IF($W867="","",IFERROR(INDEX(IF($T867&lt;=60,est05_m,est519_m),MATCH($W867,IF($T867&lt;=60,est05_k,est519_k),1)),""))</f>
        <v/>
      </c>
      <c r="AI867">
        <f>IF($W867="","",IFERROR(INDEX(IF($T867&lt;=60,est05_s,est519_s),MATCH($W867,IF($T867&lt;=60,est05_k,est519_k),1)),""))</f>
        <v/>
      </c>
      <c r="AJ867">
        <f>IF($W867="","",IFERROR(INDEX(IF($T867&lt;=60,peso05_l,peso510_l),MATCH($W867,IF($T867&lt;=60,peso05_k,peso510_k),1)),""))</f>
        <v/>
      </c>
      <c r="AK867">
        <f>IF($W867="","",IFERROR(INDEX(IF($T867&lt;=60,peso05_m,peso510_m),MATCH($W867,IF($T867&lt;=60,peso05_k,peso510_k),1)),""))</f>
        <v/>
      </c>
      <c r="AL867">
        <f>IF($W867="","",IFERROR(INDEX(IF($T867&lt;=60,peso05_s,peso510_s),MATCH($W867,IF($T867&lt;=60,peso05_k,peso510_k),1)),""))</f>
        <v/>
      </c>
      <c r="AM867">
        <f>IF($AJ867="","",IF($AJ867=0,LN($F867/$AK867)/$AL867,((($F867/$AK867)^$AJ867)-1)/($AJ867*$AL867)))</f>
        <v/>
      </c>
      <c r="AN867">
        <f>IF($AJ867="","",IF($AJ867=0,$AK867*EXP($AL867*2),$AK867*(1+$AJ867*$AL867*2)^(1/$AJ867)))</f>
        <v/>
      </c>
      <c r="AO867">
        <f>IF($AJ867="","",IF($AJ867=0,$AK867*EXP($AL867*3),$AK867*(1+$AJ867*$AL867*3)^(1/$AJ867)))</f>
        <v/>
      </c>
      <c r="AP867">
        <f>IF($AJ867="","",IF($AJ867=0,$AK867*EXP($AL867*-2),$AK867*(1+$AJ867*$AL867*-2)^(1/$AJ867)))</f>
        <v/>
      </c>
      <c r="AQ867">
        <f>IF($AJ867="","",IF($AJ867=0,$AK867*EXP($AL867*-3),$AK867*(1+$AJ867*$AL867*-3)^(1/$AJ867)))</f>
        <v/>
      </c>
      <c r="AR867">
        <f>IF(OR($X867="",$T867&gt;60),"",IFERROR(INDEX(IF($T867&lt;24,pcomp_l,palt_l),MATCH($X867,IF($T867&lt;24,pcomp_k,palt_k),1)),""))</f>
        <v/>
      </c>
      <c r="AS867">
        <f>IF(OR($X867="",$T867&gt;60),"",IFERROR(INDEX(IF($T867&lt;24,pcomp_m,palt_m),MATCH($X867,IF($T867&lt;24,pcomp_k,palt_k),1)),""))</f>
        <v/>
      </c>
      <c r="AT867">
        <f>IF(OR($X867="",$T867&gt;60),"",IFERROR(INDEX(IF($T867&lt;24,pcomp_s,palt_s),MATCH($X867,IF($T867&lt;24,pcomp_k,palt_k),1)),""))</f>
        <v/>
      </c>
      <c r="AU867">
        <f>IF($AR867="","",IF($AR867=0,LN($F867/$AS867)/$AT867,((($F867/$AS867)^$AR867)-1)/($AR867*$AT867)))</f>
        <v/>
      </c>
      <c r="AV867">
        <f>IF($AR867="","",IF($AR867=0,$AS867*EXP($AT867*2),$AS867*(1+$AR867*$AT867*2)^(1/$AR867)))</f>
        <v/>
      </c>
      <c r="AW867">
        <f>IF($AR867="","",IF($AR867=0,$AS867*EXP($AT867*3),$AS867*(1+$AR867*$AT867*3)^(1/$AR867)))</f>
        <v/>
      </c>
      <c r="AX867">
        <f>IF($AR867="","",IF($AR867=0,$AS867*EXP($AT867*-2),$AS867*(1+$AR867*$AT867*-2)^(1/$AR867)))</f>
        <v/>
      </c>
      <c r="AY867">
        <f>IF($AR867="","",IF($AR867=0,$AS867*EXP($AT867*-3),$AS867*(1+$AR867*$AT867*-3)^(1/$AR867)))</f>
        <v/>
      </c>
      <c r="AZ867">
        <f>IF(OR($A867="",$A867&lt;&gt;Ficha!$C$4),"",COUNTIF($A$2:$A867,Ficha!$C$4))</f>
        <v/>
      </c>
    </row>
    <row r="868">
      <c r="A868" s="8">
        <f>IF(INDEX(Banco!$A:$A,ROW())="","",INDEX(Banco!$A:$A,ROW()))</f>
        <v/>
      </c>
      <c r="B868" s="8">
        <f>IF(INDEX(Banco!$B:$B,ROW())="","",INDEX(Banco!$B:$B,ROW()))</f>
        <v/>
      </c>
      <c r="C868" s="8">
        <f>IF(INDEX(Banco!$C:$C,ROW())="","",INDEX(Banco!$C:$C,ROW()))</f>
        <v/>
      </c>
      <c r="D868" s="9">
        <f>IF(INDEX(Banco!$D:$D,ROW())="","",INDEX(Banco!$D:$D,ROW()))</f>
        <v/>
      </c>
      <c r="E868" s="9">
        <f>IF(INDEX(Banco!$E:$E,ROW())="","",INDEX(Banco!$E:$E,ROW()))</f>
        <v/>
      </c>
      <c r="F868" s="10">
        <f>IF(INDEX(Banco!$F:$F,ROW())="","",INDEX(Banco!$F:$F,ROW()))</f>
        <v/>
      </c>
      <c r="G868" s="10">
        <f>IF(INDEX(Banco!$G:$G,ROW())="","",INDEX(Banco!$G:$G,ROW()))</f>
        <v/>
      </c>
      <c r="H868" s="8">
        <f>IF(INDEX(Banco!$H:$H,ROW())="","",INDEX(Banco!$H:$H,ROW()))</f>
        <v/>
      </c>
      <c r="I868">
        <f>IF($T868="","",INT($T868/12)&amp;"a "&amp;MOD($T868,12)&amp;"m")</f>
        <v/>
      </c>
      <c r="J868" s="11">
        <f>IF(OR($F868="",$G868=""),"",ROUND($F868/($G868/100)^2,2))</f>
        <v/>
      </c>
      <c r="K868" s="12">
        <f>IF(OR($S868="",$J868="",$T868="",$T868&lt;0,$T868&gt;228,$Y868=""),"—",ROUND(IF(ABS($AB868)&lt;=3,$AB868,IF($AB868&gt;3,3+($J868-$AD868)/($AD868-$AC868),-3+($J868-$AF868)/($AE868-$AF868))),2))</f>
        <v/>
      </c>
      <c r="L868">
        <f>IF(OR($K868="",$K868="—"),"",IF($T868&lt;=60,IF($K868&lt;-3,"Magreza acentuada",IF($K868&lt;-2,"Magreza",IF($K868&lt;=1,"Eutrofia",IF($K868&lt;=2,"Risco de sobrepeso",IF($K868&lt;=3,"Sobrepeso","Obesidade"))))),IF($K868&lt;-3,"Magreza acentuada",IF($K868&lt;-2,"Magreza",IF($K868&lt;=1,"Eutrofia",IF($K868&lt;=2,"Sobrepeso",IF($K868&lt;=3,"Obesidade","Obesidade grave")))))))</f>
        <v/>
      </c>
      <c r="M868" s="12">
        <f>IF(OR($S868="",$V868="",$T868="",$T868&lt;0,$T868&gt;228,$AG868=""),"—",ROUND(IF($AG868=0,LN($V868/$AH868)/$AI868,((($V868/$AH868)^$AG868)-1)/($AG868*$AI868)),2))</f>
        <v/>
      </c>
      <c r="N868">
        <f>IF(OR($M868="",$M868="—"),"",IF($M868&lt;-3,"Muito baixa",IF($M868&lt;-2,"Baixa","Adequada")))</f>
        <v/>
      </c>
      <c r="O868" s="12">
        <f>IF(OR($S868="",$F868="",$T868="",$T868&lt;0,$T868&gt;120,$AJ868=""),"—",ROUND(IF(ABS($AM868)&lt;=3,$AM868,IF($AM868&gt;3,3+($F868-$AO868)/($AO868-$AN868),-3+($F868-$AQ868)/($AP868-$AQ868))),2))</f>
        <v/>
      </c>
      <c r="P868">
        <f>IF(OR($O868="",$O868="—"),"",IF($O868&lt;-3,"Muito baixo",IF($O868&lt;-2,"Baixo",IF($O868&lt;=2,"Adequado","Elevado"))))</f>
        <v/>
      </c>
      <c r="Q868" s="12">
        <f>IF(OR($S868="",$F868="",$T868="",$T868&lt;0,$T868&gt;60,$AR868=""),"—",ROUND(IF(ABS($AU868)&lt;=3,$AU868,IF($AU868&gt;3,3+($F868-$AW868)/($AW868-$AV868),-3+($F868-$AY868)/($AX868-$AY868))),2))</f>
        <v/>
      </c>
      <c r="R868">
        <f>IF(OR($Q868="",$Q868="—"),"",IF($Q868&lt;-3,"Magreza acentuada",IF($Q868&lt;-2,"Magreza",IF($Q868&lt;=1,"Eutrofia",IF($Q868&lt;=2,"Risco de sobrepeso",IF($Q868&lt;=3,"Sobrepeso","Obesidade"))))))</f>
        <v/>
      </c>
      <c r="S868">
        <f>IF($C868="","",IF(UPPER(LEFT($C868,1))="M",1,IF(UPPER(LEFT($C868,1))="F",2,"")))</f>
        <v/>
      </c>
      <c r="T868">
        <f>IF(OR($D868="",$E868=""),"",DATEDIF($D868,$E868,"m"))</f>
        <v/>
      </c>
      <c r="U868">
        <f>IF(OR($D868="",$E868=""),"",$E868-$D868)</f>
        <v/>
      </c>
      <c r="V868">
        <f>IF(OR($G868="",$T868=""),"",IF($T868&lt;24,IF(LEFT(LOWER($H868),4)="em p",$G868+0.7,$G868),IF(LEFT(LOWER($H868),4)="deit",$G868-0.7,$G868)))</f>
        <v/>
      </c>
      <c r="W868">
        <f>IF(OR($S868="",$T868=""),"",$S868*1000000+IF($T868&lt;=60,$U868,$T868))</f>
        <v/>
      </c>
      <c r="X868">
        <f>IF(OR($S868="",$V868="",$T868&gt;60,$T868=""),"",$S868*1000000+ROUND($V868*10,0))</f>
        <v/>
      </c>
      <c r="Y868">
        <f>IF($W868="","",IFERROR(INDEX(IF($T868&lt;=60,imc05_l,imc519_l),MATCH($W868,IF($T868&lt;=60,imc05_k,imc519_k),1)),""))</f>
        <v/>
      </c>
      <c r="Z868">
        <f>IF($W868="","",IFERROR(INDEX(IF($T868&lt;=60,imc05_m,imc519_m),MATCH($W868,IF($T868&lt;=60,imc05_k,imc519_k),1)),""))</f>
        <v/>
      </c>
      <c r="AA868">
        <f>IF($W868="","",IFERROR(INDEX(IF($T868&lt;=60,imc05_s,imc519_s),MATCH($W868,IF($T868&lt;=60,imc05_k,imc519_k),1)),""))</f>
        <v/>
      </c>
      <c r="AB868">
        <f>IF($Y868="","",IF($Y868=0,LN($J868/$Z868)/$AA868,((($J868/$Z868)^$Y868)-1)/($Y868*$AA868)))</f>
        <v/>
      </c>
      <c r="AC868">
        <f>IF($Y868="","",IF($Y868=0,$Z868*EXP($AA868*2),$Z868*(1+$Y868*$AA868*2)^(1/$Y868)))</f>
        <v/>
      </c>
      <c r="AD868">
        <f>IF($Y868="","",IF($Y868=0,$Z868*EXP($AA868*3),$Z868*(1+$Y868*$AA868*3)^(1/$Y868)))</f>
        <v/>
      </c>
      <c r="AE868">
        <f>IF($Y868="","",IF($Y868=0,$Z868*EXP($AA868*-2),$Z868*(1+$Y868*$AA868*-2)^(1/$Y868)))</f>
        <v/>
      </c>
      <c r="AF868">
        <f>IF($Y868="","",IF($Y868=0,$Z868*EXP($AA868*-3),$Z868*(1+$Y868*$AA868*-3)^(1/$Y868)))</f>
        <v/>
      </c>
      <c r="AG868">
        <f>IF($W868="","",IFERROR(INDEX(IF($T868&lt;=60,est05_l,est519_l),MATCH($W868,IF($T868&lt;=60,est05_k,est519_k),1)),""))</f>
        <v/>
      </c>
      <c r="AH868">
        <f>IF($W868="","",IFERROR(INDEX(IF($T868&lt;=60,est05_m,est519_m),MATCH($W868,IF($T868&lt;=60,est05_k,est519_k),1)),""))</f>
        <v/>
      </c>
      <c r="AI868">
        <f>IF($W868="","",IFERROR(INDEX(IF($T868&lt;=60,est05_s,est519_s),MATCH($W868,IF($T868&lt;=60,est05_k,est519_k),1)),""))</f>
        <v/>
      </c>
      <c r="AJ868">
        <f>IF($W868="","",IFERROR(INDEX(IF($T868&lt;=60,peso05_l,peso510_l),MATCH($W868,IF($T868&lt;=60,peso05_k,peso510_k),1)),""))</f>
        <v/>
      </c>
      <c r="AK868">
        <f>IF($W868="","",IFERROR(INDEX(IF($T868&lt;=60,peso05_m,peso510_m),MATCH($W868,IF($T868&lt;=60,peso05_k,peso510_k),1)),""))</f>
        <v/>
      </c>
      <c r="AL868">
        <f>IF($W868="","",IFERROR(INDEX(IF($T868&lt;=60,peso05_s,peso510_s),MATCH($W868,IF($T868&lt;=60,peso05_k,peso510_k),1)),""))</f>
        <v/>
      </c>
      <c r="AM868">
        <f>IF($AJ868="","",IF($AJ868=0,LN($F868/$AK868)/$AL868,((($F868/$AK868)^$AJ868)-1)/($AJ868*$AL868)))</f>
        <v/>
      </c>
      <c r="AN868">
        <f>IF($AJ868="","",IF($AJ868=0,$AK868*EXP($AL868*2),$AK868*(1+$AJ868*$AL868*2)^(1/$AJ868)))</f>
        <v/>
      </c>
      <c r="AO868">
        <f>IF($AJ868="","",IF($AJ868=0,$AK868*EXP($AL868*3),$AK868*(1+$AJ868*$AL868*3)^(1/$AJ868)))</f>
        <v/>
      </c>
      <c r="AP868">
        <f>IF($AJ868="","",IF($AJ868=0,$AK868*EXP($AL868*-2),$AK868*(1+$AJ868*$AL868*-2)^(1/$AJ868)))</f>
        <v/>
      </c>
      <c r="AQ868">
        <f>IF($AJ868="","",IF($AJ868=0,$AK868*EXP($AL868*-3),$AK868*(1+$AJ868*$AL868*-3)^(1/$AJ868)))</f>
        <v/>
      </c>
      <c r="AR868">
        <f>IF(OR($X868="",$T868&gt;60),"",IFERROR(INDEX(IF($T868&lt;24,pcomp_l,palt_l),MATCH($X868,IF($T868&lt;24,pcomp_k,palt_k),1)),""))</f>
        <v/>
      </c>
      <c r="AS868">
        <f>IF(OR($X868="",$T868&gt;60),"",IFERROR(INDEX(IF($T868&lt;24,pcomp_m,palt_m),MATCH($X868,IF($T868&lt;24,pcomp_k,palt_k),1)),""))</f>
        <v/>
      </c>
      <c r="AT868">
        <f>IF(OR($X868="",$T868&gt;60),"",IFERROR(INDEX(IF($T868&lt;24,pcomp_s,palt_s),MATCH($X868,IF($T868&lt;24,pcomp_k,palt_k),1)),""))</f>
        <v/>
      </c>
      <c r="AU868">
        <f>IF($AR868="","",IF($AR868=0,LN($F868/$AS868)/$AT868,((($F868/$AS868)^$AR868)-1)/($AR868*$AT868)))</f>
        <v/>
      </c>
      <c r="AV868">
        <f>IF($AR868="","",IF($AR868=0,$AS868*EXP($AT868*2),$AS868*(1+$AR868*$AT868*2)^(1/$AR868)))</f>
        <v/>
      </c>
      <c r="AW868">
        <f>IF($AR868="","",IF($AR868=0,$AS868*EXP($AT868*3),$AS868*(1+$AR868*$AT868*3)^(1/$AR868)))</f>
        <v/>
      </c>
      <c r="AX868">
        <f>IF($AR868="","",IF($AR868=0,$AS868*EXP($AT868*-2),$AS868*(1+$AR868*$AT868*-2)^(1/$AR868)))</f>
        <v/>
      </c>
      <c r="AY868">
        <f>IF($AR868="","",IF($AR868=0,$AS868*EXP($AT868*-3),$AS868*(1+$AR868*$AT868*-3)^(1/$AR868)))</f>
        <v/>
      </c>
      <c r="AZ868">
        <f>IF(OR($A868="",$A868&lt;&gt;Ficha!$C$4),"",COUNTIF($A$2:$A868,Ficha!$C$4))</f>
        <v/>
      </c>
    </row>
    <row r="869">
      <c r="A869" s="8">
        <f>IF(INDEX(Banco!$A:$A,ROW())="","",INDEX(Banco!$A:$A,ROW()))</f>
        <v/>
      </c>
      <c r="B869" s="8">
        <f>IF(INDEX(Banco!$B:$B,ROW())="","",INDEX(Banco!$B:$B,ROW()))</f>
        <v/>
      </c>
      <c r="C869" s="8">
        <f>IF(INDEX(Banco!$C:$C,ROW())="","",INDEX(Banco!$C:$C,ROW()))</f>
        <v/>
      </c>
      <c r="D869" s="9">
        <f>IF(INDEX(Banco!$D:$D,ROW())="","",INDEX(Banco!$D:$D,ROW()))</f>
        <v/>
      </c>
      <c r="E869" s="9">
        <f>IF(INDEX(Banco!$E:$E,ROW())="","",INDEX(Banco!$E:$E,ROW()))</f>
        <v/>
      </c>
      <c r="F869" s="10">
        <f>IF(INDEX(Banco!$F:$F,ROW())="","",INDEX(Banco!$F:$F,ROW()))</f>
        <v/>
      </c>
      <c r="G869" s="10">
        <f>IF(INDEX(Banco!$G:$G,ROW())="","",INDEX(Banco!$G:$G,ROW()))</f>
        <v/>
      </c>
      <c r="H869" s="8">
        <f>IF(INDEX(Banco!$H:$H,ROW())="","",INDEX(Banco!$H:$H,ROW()))</f>
        <v/>
      </c>
      <c r="I869">
        <f>IF($T869="","",INT($T869/12)&amp;"a "&amp;MOD($T869,12)&amp;"m")</f>
        <v/>
      </c>
      <c r="J869" s="11">
        <f>IF(OR($F869="",$G869=""),"",ROUND($F869/($G869/100)^2,2))</f>
        <v/>
      </c>
      <c r="K869" s="12">
        <f>IF(OR($S869="",$J869="",$T869="",$T869&lt;0,$T869&gt;228,$Y869=""),"—",ROUND(IF(ABS($AB869)&lt;=3,$AB869,IF($AB869&gt;3,3+($J869-$AD869)/($AD869-$AC869),-3+($J869-$AF869)/($AE869-$AF869))),2))</f>
        <v/>
      </c>
      <c r="L869">
        <f>IF(OR($K869="",$K869="—"),"",IF($T869&lt;=60,IF($K869&lt;-3,"Magreza acentuada",IF($K869&lt;-2,"Magreza",IF($K869&lt;=1,"Eutrofia",IF($K869&lt;=2,"Risco de sobrepeso",IF($K869&lt;=3,"Sobrepeso","Obesidade"))))),IF($K869&lt;-3,"Magreza acentuada",IF($K869&lt;-2,"Magreza",IF($K869&lt;=1,"Eutrofia",IF($K869&lt;=2,"Sobrepeso",IF($K869&lt;=3,"Obesidade","Obesidade grave")))))))</f>
        <v/>
      </c>
      <c r="M869" s="12">
        <f>IF(OR($S869="",$V869="",$T869="",$T869&lt;0,$T869&gt;228,$AG869=""),"—",ROUND(IF($AG869=0,LN($V869/$AH869)/$AI869,((($V869/$AH869)^$AG869)-1)/($AG869*$AI869)),2))</f>
        <v/>
      </c>
      <c r="N869">
        <f>IF(OR($M869="",$M869="—"),"",IF($M869&lt;-3,"Muito baixa",IF($M869&lt;-2,"Baixa","Adequada")))</f>
        <v/>
      </c>
      <c r="O869" s="12">
        <f>IF(OR($S869="",$F869="",$T869="",$T869&lt;0,$T869&gt;120,$AJ869=""),"—",ROUND(IF(ABS($AM869)&lt;=3,$AM869,IF($AM869&gt;3,3+($F869-$AO869)/($AO869-$AN869),-3+($F869-$AQ869)/($AP869-$AQ869))),2))</f>
        <v/>
      </c>
      <c r="P869">
        <f>IF(OR($O869="",$O869="—"),"",IF($O869&lt;-3,"Muito baixo",IF($O869&lt;-2,"Baixo",IF($O869&lt;=2,"Adequado","Elevado"))))</f>
        <v/>
      </c>
      <c r="Q869" s="12">
        <f>IF(OR($S869="",$F869="",$T869="",$T869&lt;0,$T869&gt;60,$AR869=""),"—",ROUND(IF(ABS($AU869)&lt;=3,$AU869,IF($AU869&gt;3,3+($F869-$AW869)/($AW869-$AV869),-3+($F869-$AY869)/($AX869-$AY869))),2))</f>
        <v/>
      </c>
      <c r="R869">
        <f>IF(OR($Q869="",$Q869="—"),"",IF($Q869&lt;-3,"Magreza acentuada",IF($Q869&lt;-2,"Magreza",IF($Q869&lt;=1,"Eutrofia",IF($Q869&lt;=2,"Risco de sobrepeso",IF($Q869&lt;=3,"Sobrepeso","Obesidade"))))))</f>
        <v/>
      </c>
      <c r="S869">
        <f>IF($C869="","",IF(UPPER(LEFT($C869,1))="M",1,IF(UPPER(LEFT($C869,1))="F",2,"")))</f>
        <v/>
      </c>
      <c r="T869">
        <f>IF(OR($D869="",$E869=""),"",DATEDIF($D869,$E869,"m"))</f>
        <v/>
      </c>
      <c r="U869">
        <f>IF(OR($D869="",$E869=""),"",$E869-$D869)</f>
        <v/>
      </c>
      <c r="V869">
        <f>IF(OR($G869="",$T869=""),"",IF($T869&lt;24,IF(LEFT(LOWER($H869),4)="em p",$G869+0.7,$G869),IF(LEFT(LOWER($H869),4)="deit",$G869-0.7,$G869)))</f>
        <v/>
      </c>
      <c r="W869">
        <f>IF(OR($S869="",$T869=""),"",$S869*1000000+IF($T869&lt;=60,$U869,$T869))</f>
        <v/>
      </c>
      <c r="X869">
        <f>IF(OR($S869="",$V869="",$T869&gt;60,$T869=""),"",$S869*1000000+ROUND($V869*10,0))</f>
        <v/>
      </c>
      <c r="Y869">
        <f>IF($W869="","",IFERROR(INDEX(IF($T869&lt;=60,imc05_l,imc519_l),MATCH($W869,IF($T869&lt;=60,imc05_k,imc519_k),1)),""))</f>
        <v/>
      </c>
      <c r="Z869">
        <f>IF($W869="","",IFERROR(INDEX(IF($T869&lt;=60,imc05_m,imc519_m),MATCH($W869,IF($T869&lt;=60,imc05_k,imc519_k),1)),""))</f>
        <v/>
      </c>
      <c r="AA869">
        <f>IF($W869="","",IFERROR(INDEX(IF($T869&lt;=60,imc05_s,imc519_s),MATCH($W869,IF($T869&lt;=60,imc05_k,imc519_k),1)),""))</f>
        <v/>
      </c>
      <c r="AB869">
        <f>IF($Y869="","",IF($Y869=0,LN($J869/$Z869)/$AA869,((($J869/$Z869)^$Y869)-1)/($Y869*$AA869)))</f>
        <v/>
      </c>
      <c r="AC869">
        <f>IF($Y869="","",IF($Y869=0,$Z869*EXP($AA869*2),$Z869*(1+$Y869*$AA869*2)^(1/$Y869)))</f>
        <v/>
      </c>
      <c r="AD869">
        <f>IF($Y869="","",IF($Y869=0,$Z869*EXP($AA869*3),$Z869*(1+$Y869*$AA869*3)^(1/$Y869)))</f>
        <v/>
      </c>
      <c r="AE869">
        <f>IF($Y869="","",IF($Y869=0,$Z869*EXP($AA869*-2),$Z869*(1+$Y869*$AA869*-2)^(1/$Y869)))</f>
        <v/>
      </c>
      <c r="AF869">
        <f>IF($Y869="","",IF($Y869=0,$Z869*EXP($AA869*-3),$Z869*(1+$Y869*$AA869*-3)^(1/$Y869)))</f>
        <v/>
      </c>
      <c r="AG869">
        <f>IF($W869="","",IFERROR(INDEX(IF($T869&lt;=60,est05_l,est519_l),MATCH($W869,IF($T869&lt;=60,est05_k,est519_k),1)),""))</f>
        <v/>
      </c>
      <c r="AH869">
        <f>IF($W869="","",IFERROR(INDEX(IF($T869&lt;=60,est05_m,est519_m),MATCH($W869,IF($T869&lt;=60,est05_k,est519_k),1)),""))</f>
        <v/>
      </c>
      <c r="AI869">
        <f>IF($W869="","",IFERROR(INDEX(IF($T869&lt;=60,est05_s,est519_s),MATCH($W869,IF($T869&lt;=60,est05_k,est519_k),1)),""))</f>
        <v/>
      </c>
      <c r="AJ869">
        <f>IF($W869="","",IFERROR(INDEX(IF($T869&lt;=60,peso05_l,peso510_l),MATCH($W869,IF($T869&lt;=60,peso05_k,peso510_k),1)),""))</f>
        <v/>
      </c>
      <c r="AK869">
        <f>IF($W869="","",IFERROR(INDEX(IF($T869&lt;=60,peso05_m,peso510_m),MATCH($W869,IF($T869&lt;=60,peso05_k,peso510_k),1)),""))</f>
        <v/>
      </c>
      <c r="AL869">
        <f>IF($W869="","",IFERROR(INDEX(IF($T869&lt;=60,peso05_s,peso510_s),MATCH($W869,IF($T869&lt;=60,peso05_k,peso510_k),1)),""))</f>
        <v/>
      </c>
      <c r="AM869">
        <f>IF($AJ869="","",IF($AJ869=0,LN($F869/$AK869)/$AL869,((($F869/$AK869)^$AJ869)-1)/($AJ869*$AL869)))</f>
        <v/>
      </c>
      <c r="AN869">
        <f>IF($AJ869="","",IF($AJ869=0,$AK869*EXP($AL869*2),$AK869*(1+$AJ869*$AL869*2)^(1/$AJ869)))</f>
        <v/>
      </c>
      <c r="AO869">
        <f>IF($AJ869="","",IF($AJ869=0,$AK869*EXP($AL869*3),$AK869*(1+$AJ869*$AL869*3)^(1/$AJ869)))</f>
        <v/>
      </c>
      <c r="AP869">
        <f>IF($AJ869="","",IF($AJ869=0,$AK869*EXP($AL869*-2),$AK869*(1+$AJ869*$AL869*-2)^(1/$AJ869)))</f>
        <v/>
      </c>
      <c r="AQ869">
        <f>IF($AJ869="","",IF($AJ869=0,$AK869*EXP($AL869*-3),$AK869*(1+$AJ869*$AL869*-3)^(1/$AJ869)))</f>
        <v/>
      </c>
      <c r="AR869">
        <f>IF(OR($X869="",$T869&gt;60),"",IFERROR(INDEX(IF($T869&lt;24,pcomp_l,palt_l),MATCH($X869,IF($T869&lt;24,pcomp_k,palt_k),1)),""))</f>
        <v/>
      </c>
      <c r="AS869">
        <f>IF(OR($X869="",$T869&gt;60),"",IFERROR(INDEX(IF($T869&lt;24,pcomp_m,palt_m),MATCH($X869,IF($T869&lt;24,pcomp_k,palt_k),1)),""))</f>
        <v/>
      </c>
      <c r="AT869">
        <f>IF(OR($X869="",$T869&gt;60),"",IFERROR(INDEX(IF($T869&lt;24,pcomp_s,palt_s),MATCH($X869,IF($T869&lt;24,pcomp_k,palt_k),1)),""))</f>
        <v/>
      </c>
      <c r="AU869">
        <f>IF($AR869="","",IF($AR869=0,LN($F869/$AS869)/$AT869,((($F869/$AS869)^$AR869)-1)/($AR869*$AT869)))</f>
        <v/>
      </c>
      <c r="AV869">
        <f>IF($AR869="","",IF($AR869=0,$AS869*EXP($AT869*2),$AS869*(1+$AR869*$AT869*2)^(1/$AR869)))</f>
        <v/>
      </c>
      <c r="AW869">
        <f>IF($AR869="","",IF($AR869=0,$AS869*EXP($AT869*3),$AS869*(1+$AR869*$AT869*3)^(1/$AR869)))</f>
        <v/>
      </c>
      <c r="AX869">
        <f>IF($AR869="","",IF($AR869=0,$AS869*EXP($AT869*-2),$AS869*(1+$AR869*$AT869*-2)^(1/$AR869)))</f>
        <v/>
      </c>
      <c r="AY869">
        <f>IF($AR869="","",IF($AR869=0,$AS869*EXP($AT869*-3),$AS869*(1+$AR869*$AT869*-3)^(1/$AR869)))</f>
        <v/>
      </c>
      <c r="AZ869">
        <f>IF(OR($A869="",$A869&lt;&gt;Ficha!$C$4),"",COUNTIF($A$2:$A869,Ficha!$C$4))</f>
        <v/>
      </c>
    </row>
    <row r="870">
      <c r="A870" s="8">
        <f>IF(INDEX(Banco!$A:$A,ROW())="","",INDEX(Banco!$A:$A,ROW()))</f>
        <v/>
      </c>
      <c r="B870" s="8">
        <f>IF(INDEX(Banco!$B:$B,ROW())="","",INDEX(Banco!$B:$B,ROW()))</f>
        <v/>
      </c>
      <c r="C870" s="8">
        <f>IF(INDEX(Banco!$C:$C,ROW())="","",INDEX(Banco!$C:$C,ROW()))</f>
        <v/>
      </c>
      <c r="D870" s="9">
        <f>IF(INDEX(Banco!$D:$D,ROW())="","",INDEX(Banco!$D:$D,ROW()))</f>
        <v/>
      </c>
      <c r="E870" s="9">
        <f>IF(INDEX(Banco!$E:$E,ROW())="","",INDEX(Banco!$E:$E,ROW()))</f>
        <v/>
      </c>
      <c r="F870" s="10">
        <f>IF(INDEX(Banco!$F:$F,ROW())="","",INDEX(Banco!$F:$F,ROW()))</f>
        <v/>
      </c>
      <c r="G870" s="10">
        <f>IF(INDEX(Banco!$G:$G,ROW())="","",INDEX(Banco!$G:$G,ROW()))</f>
        <v/>
      </c>
      <c r="H870" s="8">
        <f>IF(INDEX(Banco!$H:$H,ROW())="","",INDEX(Banco!$H:$H,ROW()))</f>
        <v/>
      </c>
      <c r="I870">
        <f>IF($T870="","",INT($T870/12)&amp;"a "&amp;MOD($T870,12)&amp;"m")</f>
        <v/>
      </c>
      <c r="J870" s="11">
        <f>IF(OR($F870="",$G870=""),"",ROUND($F870/($G870/100)^2,2))</f>
        <v/>
      </c>
      <c r="K870" s="12">
        <f>IF(OR($S870="",$J870="",$T870="",$T870&lt;0,$T870&gt;228,$Y870=""),"—",ROUND(IF(ABS($AB870)&lt;=3,$AB870,IF($AB870&gt;3,3+($J870-$AD870)/($AD870-$AC870),-3+($J870-$AF870)/($AE870-$AF870))),2))</f>
        <v/>
      </c>
      <c r="L870">
        <f>IF(OR($K870="",$K870="—"),"",IF($T870&lt;=60,IF($K870&lt;-3,"Magreza acentuada",IF($K870&lt;-2,"Magreza",IF($K870&lt;=1,"Eutrofia",IF($K870&lt;=2,"Risco de sobrepeso",IF($K870&lt;=3,"Sobrepeso","Obesidade"))))),IF($K870&lt;-3,"Magreza acentuada",IF($K870&lt;-2,"Magreza",IF($K870&lt;=1,"Eutrofia",IF($K870&lt;=2,"Sobrepeso",IF($K870&lt;=3,"Obesidade","Obesidade grave")))))))</f>
        <v/>
      </c>
      <c r="M870" s="12">
        <f>IF(OR($S870="",$V870="",$T870="",$T870&lt;0,$T870&gt;228,$AG870=""),"—",ROUND(IF($AG870=0,LN($V870/$AH870)/$AI870,((($V870/$AH870)^$AG870)-1)/($AG870*$AI870)),2))</f>
        <v/>
      </c>
      <c r="N870">
        <f>IF(OR($M870="",$M870="—"),"",IF($M870&lt;-3,"Muito baixa",IF($M870&lt;-2,"Baixa","Adequada")))</f>
        <v/>
      </c>
      <c r="O870" s="12">
        <f>IF(OR($S870="",$F870="",$T870="",$T870&lt;0,$T870&gt;120,$AJ870=""),"—",ROUND(IF(ABS($AM870)&lt;=3,$AM870,IF($AM870&gt;3,3+($F870-$AO870)/($AO870-$AN870),-3+($F870-$AQ870)/($AP870-$AQ870))),2))</f>
        <v/>
      </c>
      <c r="P870">
        <f>IF(OR($O870="",$O870="—"),"",IF($O870&lt;-3,"Muito baixo",IF($O870&lt;-2,"Baixo",IF($O870&lt;=2,"Adequado","Elevado"))))</f>
        <v/>
      </c>
      <c r="Q870" s="12">
        <f>IF(OR($S870="",$F870="",$T870="",$T870&lt;0,$T870&gt;60,$AR870=""),"—",ROUND(IF(ABS($AU870)&lt;=3,$AU870,IF($AU870&gt;3,3+($F870-$AW870)/($AW870-$AV870),-3+($F870-$AY870)/($AX870-$AY870))),2))</f>
        <v/>
      </c>
      <c r="R870">
        <f>IF(OR($Q870="",$Q870="—"),"",IF($Q870&lt;-3,"Magreza acentuada",IF($Q870&lt;-2,"Magreza",IF($Q870&lt;=1,"Eutrofia",IF($Q870&lt;=2,"Risco de sobrepeso",IF($Q870&lt;=3,"Sobrepeso","Obesidade"))))))</f>
        <v/>
      </c>
      <c r="S870">
        <f>IF($C870="","",IF(UPPER(LEFT($C870,1))="M",1,IF(UPPER(LEFT($C870,1))="F",2,"")))</f>
        <v/>
      </c>
      <c r="T870">
        <f>IF(OR($D870="",$E870=""),"",DATEDIF($D870,$E870,"m"))</f>
        <v/>
      </c>
      <c r="U870">
        <f>IF(OR($D870="",$E870=""),"",$E870-$D870)</f>
        <v/>
      </c>
      <c r="V870">
        <f>IF(OR($G870="",$T870=""),"",IF($T870&lt;24,IF(LEFT(LOWER($H870),4)="em p",$G870+0.7,$G870),IF(LEFT(LOWER($H870),4)="deit",$G870-0.7,$G870)))</f>
        <v/>
      </c>
      <c r="W870">
        <f>IF(OR($S870="",$T870=""),"",$S870*1000000+IF($T870&lt;=60,$U870,$T870))</f>
        <v/>
      </c>
      <c r="X870">
        <f>IF(OR($S870="",$V870="",$T870&gt;60,$T870=""),"",$S870*1000000+ROUND($V870*10,0))</f>
        <v/>
      </c>
      <c r="Y870">
        <f>IF($W870="","",IFERROR(INDEX(IF($T870&lt;=60,imc05_l,imc519_l),MATCH($W870,IF($T870&lt;=60,imc05_k,imc519_k),1)),""))</f>
        <v/>
      </c>
      <c r="Z870">
        <f>IF($W870="","",IFERROR(INDEX(IF($T870&lt;=60,imc05_m,imc519_m),MATCH($W870,IF($T870&lt;=60,imc05_k,imc519_k),1)),""))</f>
        <v/>
      </c>
      <c r="AA870">
        <f>IF($W870="","",IFERROR(INDEX(IF($T870&lt;=60,imc05_s,imc519_s),MATCH($W870,IF($T870&lt;=60,imc05_k,imc519_k),1)),""))</f>
        <v/>
      </c>
      <c r="AB870">
        <f>IF($Y870="","",IF($Y870=0,LN($J870/$Z870)/$AA870,((($J870/$Z870)^$Y870)-1)/($Y870*$AA870)))</f>
        <v/>
      </c>
      <c r="AC870">
        <f>IF($Y870="","",IF($Y870=0,$Z870*EXP($AA870*2),$Z870*(1+$Y870*$AA870*2)^(1/$Y870)))</f>
        <v/>
      </c>
      <c r="AD870">
        <f>IF($Y870="","",IF($Y870=0,$Z870*EXP($AA870*3),$Z870*(1+$Y870*$AA870*3)^(1/$Y870)))</f>
        <v/>
      </c>
      <c r="AE870">
        <f>IF($Y870="","",IF($Y870=0,$Z870*EXP($AA870*-2),$Z870*(1+$Y870*$AA870*-2)^(1/$Y870)))</f>
        <v/>
      </c>
      <c r="AF870">
        <f>IF($Y870="","",IF($Y870=0,$Z870*EXP($AA870*-3),$Z870*(1+$Y870*$AA870*-3)^(1/$Y870)))</f>
        <v/>
      </c>
      <c r="AG870">
        <f>IF($W870="","",IFERROR(INDEX(IF($T870&lt;=60,est05_l,est519_l),MATCH($W870,IF($T870&lt;=60,est05_k,est519_k),1)),""))</f>
        <v/>
      </c>
      <c r="AH870">
        <f>IF($W870="","",IFERROR(INDEX(IF($T870&lt;=60,est05_m,est519_m),MATCH($W870,IF($T870&lt;=60,est05_k,est519_k),1)),""))</f>
        <v/>
      </c>
      <c r="AI870">
        <f>IF($W870="","",IFERROR(INDEX(IF($T870&lt;=60,est05_s,est519_s),MATCH($W870,IF($T870&lt;=60,est05_k,est519_k),1)),""))</f>
        <v/>
      </c>
      <c r="AJ870">
        <f>IF($W870="","",IFERROR(INDEX(IF($T870&lt;=60,peso05_l,peso510_l),MATCH($W870,IF($T870&lt;=60,peso05_k,peso510_k),1)),""))</f>
        <v/>
      </c>
      <c r="AK870">
        <f>IF($W870="","",IFERROR(INDEX(IF($T870&lt;=60,peso05_m,peso510_m),MATCH($W870,IF($T870&lt;=60,peso05_k,peso510_k),1)),""))</f>
        <v/>
      </c>
      <c r="AL870">
        <f>IF($W870="","",IFERROR(INDEX(IF($T870&lt;=60,peso05_s,peso510_s),MATCH($W870,IF($T870&lt;=60,peso05_k,peso510_k),1)),""))</f>
        <v/>
      </c>
      <c r="AM870">
        <f>IF($AJ870="","",IF($AJ870=0,LN($F870/$AK870)/$AL870,((($F870/$AK870)^$AJ870)-1)/($AJ870*$AL870)))</f>
        <v/>
      </c>
      <c r="AN870">
        <f>IF($AJ870="","",IF($AJ870=0,$AK870*EXP($AL870*2),$AK870*(1+$AJ870*$AL870*2)^(1/$AJ870)))</f>
        <v/>
      </c>
      <c r="AO870">
        <f>IF($AJ870="","",IF($AJ870=0,$AK870*EXP($AL870*3),$AK870*(1+$AJ870*$AL870*3)^(1/$AJ870)))</f>
        <v/>
      </c>
      <c r="AP870">
        <f>IF($AJ870="","",IF($AJ870=0,$AK870*EXP($AL870*-2),$AK870*(1+$AJ870*$AL870*-2)^(1/$AJ870)))</f>
        <v/>
      </c>
      <c r="AQ870">
        <f>IF($AJ870="","",IF($AJ870=0,$AK870*EXP($AL870*-3),$AK870*(1+$AJ870*$AL870*-3)^(1/$AJ870)))</f>
        <v/>
      </c>
      <c r="AR870">
        <f>IF(OR($X870="",$T870&gt;60),"",IFERROR(INDEX(IF($T870&lt;24,pcomp_l,palt_l),MATCH($X870,IF($T870&lt;24,pcomp_k,palt_k),1)),""))</f>
        <v/>
      </c>
      <c r="AS870">
        <f>IF(OR($X870="",$T870&gt;60),"",IFERROR(INDEX(IF($T870&lt;24,pcomp_m,palt_m),MATCH($X870,IF($T870&lt;24,pcomp_k,palt_k),1)),""))</f>
        <v/>
      </c>
      <c r="AT870">
        <f>IF(OR($X870="",$T870&gt;60),"",IFERROR(INDEX(IF($T870&lt;24,pcomp_s,palt_s),MATCH($X870,IF($T870&lt;24,pcomp_k,palt_k),1)),""))</f>
        <v/>
      </c>
      <c r="AU870">
        <f>IF($AR870="","",IF($AR870=0,LN($F870/$AS870)/$AT870,((($F870/$AS870)^$AR870)-1)/($AR870*$AT870)))</f>
        <v/>
      </c>
      <c r="AV870">
        <f>IF($AR870="","",IF($AR870=0,$AS870*EXP($AT870*2),$AS870*(1+$AR870*$AT870*2)^(1/$AR870)))</f>
        <v/>
      </c>
      <c r="AW870">
        <f>IF($AR870="","",IF($AR870=0,$AS870*EXP($AT870*3),$AS870*(1+$AR870*$AT870*3)^(1/$AR870)))</f>
        <v/>
      </c>
      <c r="AX870">
        <f>IF($AR870="","",IF($AR870=0,$AS870*EXP($AT870*-2),$AS870*(1+$AR870*$AT870*-2)^(1/$AR870)))</f>
        <v/>
      </c>
      <c r="AY870">
        <f>IF($AR870="","",IF($AR870=0,$AS870*EXP($AT870*-3),$AS870*(1+$AR870*$AT870*-3)^(1/$AR870)))</f>
        <v/>
      </c>
      <c r="AZ870">
        <f>IF(OR($A870="",$A870&lt;&gt;Ficha!$C$4),"",COUNTIF($A$2:$A870,Ficha!$C$4))</f>
        <v/>
      </c>
    </row>
    <row r="871">
      <c r="A871" s="8">
        <f>IF(INDEX(Banco!$A:$A,ROW())="","",INDEX(Banco!$A:$A,ROW()))</f>
        <v/>
      </c>
      <c r="B871" s="8">
        <f>IF(INDEX(Banco!$B:$B,ROW())="","",INDEX(Banco!$B:$B,ROW()))</f>
        <v/>
      </c>
      <c r="C871" s="8">
        <f>IF(INDEX(Banco!$C:$C,ROW())="","",INDEX(Banco!$C:$C,ROW()))</f>
        <v/>
      </c>
      <c r="D871" s="9">
        <f>IF(INDEX(Banco!$D:$D,ROW())="","",INDEX(Banco!$D:$D,ROW()))</f>
        <v/>
      </c>
      <c r="E871" s="9">
        <f>IF(INDEX(Banco!$E:$E,ROW())="","",INDEX(Banco!$E:$E,ROW()))</f>
        <v/>
      </c>
      <c r="F871" s="10">
        <f>IF(INDEX(Banco!$F:$F,ROW())="","",INDEX(Banco!$F:$F,ROW()))</f>
        <v/>
      </c>
      <c r="G871" s="10">
        <f>IF(INDEX(Banco!$G:$G,ROW())="","",INDEX(Banco!$G:$G,ROW()))</f>
        <v/>
      </c>
      <c r="H871" s="8">
        <f>IF(INDEX(Banco!$H:$H,ROW())="","",INDEX(Banco!$H:$H,ROW()))</f>
        <v/>
      </c>
      <c r="I871">
        <f>IF($T871="","",INT($T871/12)&amp;"a "&amp;MOD($T871,12)&amp;"m")</f>
        <v/>
      </c>
      <c r="J871" s="11">
        <f>IF(OR($F871="",$G871=""),"",ROUND($F871/($G871/100)^2,2))</f>
        <v/>
      </c>
      <c r="K871" s="12">
        <f>IF(OR($S871="",$J871="",$T871="",$T871&lt;0,$T871&gt;228,$Y871=""),"—",ROUND(IF(ABS($AB871)&lt;=3,$AB871,IF($AB871&gt;3,3+($J871-$AD871)/($AD871-$AC871),-3+($J871-$AF871)/($AE871-$AF871))),2))</f>
        <v/>
      </c>
      <c r="L871">
        <f>IF(OR($K871="",$K871="—"),"",IF($T871&lt;=60,IF($K871&lt;-3,"Magreza acentuada",IF($K871&lt;-2,"Magreza",IF($K871&lt;=1,"Eutrofia",IF($K871&lt;=2,"Risco de sobrepeso",IF($K871&lt;=3,"Sobrepeso","Obesidade"))))),IF($K871&lt;-3,"Magreza acentuada",IF($K871&lt;-2,"Magreza",IF($K871&lt;=1,"Eutrofia",IF($K871&lt;=2,"Sobrepeso",IF($K871&lt;=3,"Obesidade","Obesidade grave")))))))</f>
        <v/>
      </c>
      <c r="M871" s="12">
        <f>IF(OR($S871="",$V871="",$T871="",$T871&lt;0,$T871&gt;228,$AG871=""),"—",ROUND(IF($AG871=0,LN($V871/$AH871)/$AI871,((($V871/$AH871)^$AG871)-1)/($AG871*$AI871)),2))</f>
        <v/>
      </c>
      <c r="N871">
        <f>IF(OR($M871="",$M871="—"),"",IF($M871&lt;-3,"Muito baixa",IF($M871&lt;-2,"Baixa","Adequada")))</f>
        <v/>
      </c>
      <c r="O871" s="12">
        <f>IF(OR($S871="",$F871="",$T871="",$T871&lt;0,$T871&gt;120,$AJ871=""),"—",ROUND(IF(ABS($AM871)&lt;=3,$AM871,IF($AM871&gt;3,3+($F871-$AO871)/($AO871-$AN871),-3+($F871-$AQ871)/($AP871-$AQ871))),2))</f>
        <v/>
      </c>
      <c r="P871">
        <f>IF(OR($O871="",$O871="—"),"",IF($O871&lt;-3,"Muito baixo",IF($O871&lt;-2,"Baixo",IF($O871&lt;=2,"Adequado","Elevado"))))</f>
        <v/>
      </c>
      <c r="Q871" s="12">
        <f>IF(OR($S871="",$F871="",$T871="",$T871&lt;0,$T871&gt;60,$AR871=""),"—",ROUND(IF(ABS($AU871)&lt;=3,$AU871,IF($AU871&gt;3,3+($F871-$AW871)/($AW871-$AV871),-3+($F871-$AY871)/($AX871-$AY871))),2))</f>
        <v/>
      </c>
      <c r="R871">
        <f>IF(OR($Q871="",$Q871="—"),"",IF($Q871&lt;-3,"Magreza acentuada",IF($Q871&lt;-2,"Magreza",IF($Q871&lt;=1,"Eutrofia",IF($Q871&lt;=2,"Risco de sobrepeso",IF($Q871&lt;=3,"Sobrepeso","Obesidade"))))))</f>
        <v/>
      </c>
      <c r="S871">
        <f>IF($C871="","",IF(UPPER(LEFT($C871,1))="M",1,IF(UPPER(LEFT($C871,1))="F",2,"")))</f>
        <v/>
      </c>
      <c r="T871">
        <f>IF(OR($D871="",$E871=""),"",DATEDIF($D871,$E871,"m"))</f>
        <v/>
      </c>
      <c r="U871">
        <f>IF(OR($D871="",$E871=""),"",$E871-$D871)</f>
        <v/>
      </c>
      <c r="V871">
        <f>IF(OR($G871="",$T871=""),"",IF($T871&lt;24,IF(LEFT(LOWER($H871),4)="em p",$G871+0.7,$G871),IF(LEFT(LOWER($H871),4)="deit",$G871-0.7,$G871)))</f>
        <v/>
      </c>
      <c r="W871">
        <f>IF(OR($S871="",$T871=""),"",$S871*1000000+IF($T871&lt;=60,$U871,$T871))</f>
        <v/>
      </c>
      <c r="X871">
        <f>IF(OR($S871="",$V871="",$T871&gt;60,$T871=""),"",$S871*1000000+ROUND($V871*10,0))</f>
        <v/>
      </c>
      <c r="Y871">
        <f>IF($W871="","",IFERROR(INDEX(IF($T871&lt;=60,imc05_l,imc519_l),MATCH($W871,IF($T871&lt;=60,imc05_k,imc519_k),1)),""))</f>
        <v/>
      </c>
      <c r="Z871">
        <f>IF($W871="","",IFERROR(INDEX(IF($T871&lt;=60,imc05_m,imc519_m),MATCH($W871,IF($T871&lt;=60,imc05_k,imc519_k),1)),""))</f>
        <v/>
      </c>
      <c r="AA871">
        <f>IF($W871="","",IFERROR(INDEX(IF($T871&lt;=60,imc05_s,imc519_s),MATCH($W871,IF($T871&lt;=60,imc05_k,imc519_k),1)),""))</f>
        <v/>
      </c>
      <c r="AB871">
        <f>IF($Y871="","",IF($Y871=0,LN($J871/$Z871)/$AA871,((($J871/$Z871)^$Y871)-1)/($Y871*$AA871)))</f>
        <v/>
      </c>
      <c r="AC871">
        <f>IF($Y871="","",IF($Y871=0,$Z871*EXP($AA871*2),$Z871*(1+$Y871*$AA871*2)^(1/$Y871)))</f>
        <v/>
      </c>
      <c r="AD871">
        <f>IF($Y871="","",IF($Y871=0,$Z871*EXP($AA871*3),$Z871*(1+$Y871*$AA871*3)^(1/$Y871)))</f>
        <v/>
      </c>
      <c r="AE871">
        <f>IF($Y871="","",IF($Y871=0,$Z871*EXP($AA871*-2),$Z871*(1+$Y871*$AA871*-2)^(1/$Y871)))</f>
        <v/>
      </c>
      <c r="AF871">
        <f>IF($Y871="","",IF($Y871=0,$Z871*EXP($AA871*-3),$Z871*(1+$Y871*$AA871*-3)^(1/$Y871)))</f>
        <v/>
      </c>
      <c r="AG871">
        <f>IF($W871="","",IFERROR(INDEX(IF($T871&lt;=60,est05_l,est519_l),MATCH($W871,IF($T871&lt;=60,est05_k,est519_k),1)),""))</f>
        <v/>
      </c>
      <c r="AH871">
        <f>IF($W871="","",IFERROR(INDEX(IF($T871&lt;=60,est05_m,est519_m),MATCH($W871,IF($T871&lt;=60,est05_k,est519_k),1)),""))</f>
        <v/>
      </c>
      <c r="AI871">
        <f>IF($W871="","",IFERROR(INDEX(IF($T871&lt;=60,est05_s,est519_s),MATCH($W871,IF($T871&lt;=60,est05_k,est519_k),1)),""))</f>
        <v/>
      </c>
      <c r="AJ871">
        <f>IF($W871="","",IFERROR(INDEX(IF($T871&lt;=60,peso05_l,peso510_l),MATCH($W871,IF($T871&lt;=60,peso05_k,peso510_k),1)),""))</f>
        <v/>
      </c>
      <c r="AK871">
        <f>IF($W871="","",IFERROR(INDEX(IF($T871&lt;=60,peso05_m,peso510_m),MATCH($W871,IF($T871&lt;=60,peso05_k,peso510_k),1)),""))</f>
        <v/>
      </c>
      <c r="AL871">
        <f>IF($W871="","",IFERROR(INDEX(IF($T871&lt;=60,peso05_s,peso510_s),MATCH($W871,IF($T871&lt;=60,peso05_k,peso510_k),1)),""))</f>
        <v/>
      </c>
      <c r="AM871">
        <f>IF($AJ871="","",IF($AJ871=0,LN($F871/$AK871)/$AL871,((($F871/$AK871)^$AJ871)-1)/($AJ871*$AL871)))</f>
        <v/>
      </c>
      <c r="AN871">
        <f>IF($AJ871="","",IF($AJ871=0,$AK871*EXP($AL871*2),$AK871*(1+$AJ871*$AL871*2)^(1/$AJ871)))</f>
        <v/>
      </c>
      <c r="AO871">
        <f>IF($AJ871="","",IF($AJ871=0,$AK871*EXP($AL871*3),$AK871*(1+$AJ871*$AL871*3)^(1/$AJ871)))</f>
        <v/>
      </c>
      <c r="AP871">
        <f>IF($AJ871="","",IF($AJ871=0,$AK871*EXP($AL871*-2),$AK871*(1+$AJ871*$AL871*-2)^(1/$AJ871)))</f>
        <v/>
      </c>
      <c r="AQ871">
        <f>IF($AJ871="","",IF($AJ871=0,$AK871*EXP($AL871*-3),$AK871*(1+$AJ871*$AL871*-3)^(1/$AJ871)))</f>
        <v/>
      </c>
      <c r="AR871">
        <f>IF(OR($X871="",$T871&gt;60),"",IFERROR(INDEX(IF($T871&lt;24,pcomp_l,palt_l),MATCH($X871,IF($T871&lt;24,pcomp_k,palt_k),1)),""))</f>
        <v/>
      </c>
      <c r="AS871">
        <f>IF(OR($X871="",$T871&gt;60),"",IFERROR(INDEX(IF($T871&lt;24,pcomp_m,palt_m),MATCH($X871,IF($T871&lt;24,pcomp_k,palt_k),1)),""))</f>
        <v/>
      </c>
      <c r="AT871">
        <f>IF(OR($X871="",$T871&gt;60),"",IFERROR(INDEX(IF($T871&lt;24,pcomp_s,palt_s),MATCH($X871,IF($T871&lt;24,pcomp_k,palt_k),1)),""))</f>
        <v/>
      </c>
      <c r="AU871">
        <f>IF($AR871="","",IF($AR871=0,LN($F871/$AS871)/$AT871,((($F871/$AS871)^$AR871)-1)/($AR871*$AT871)))</f>
        <v/>
      </c>
      <c r="AV871">
        <f>IF($AR871="","",IF($AR871=0,$AS871*EXP($AT871*2),$AS871*(1+$AR871*$AT871*2)^(1/$AR871)))</f>
        <v/>
      </c>
      <c r="AW871">
        <f>IF($AR871="","",IF($AR871=0,$AS871*EXP($AT871*3),$AS871*(1+$AR871*$AT871*3)^(1/$AR871)))</f>
        <v/>
      </c>
      <c r="AX871">
        <f>IF($AR871="","",IF($AR871=0,$AS871*EXP($AT871*-2),$AS871*(1+$AR871*$AT871*-2)^(1/$AR871)))</f>
        <v/>
      </c>
      <c r="AY871">
        <f>IF($AR871="","",IF($AR871=0,$AS871*EXP($AT871*-3),$AS871*(1+$AR871*$AT871*-3)^(1/$AR871)))</f>
        <v/>
      </c>
      <c r="AZ871">
        <f>IF(OR($A871="",$A871&lt;&gt;Ficha!$C$4),"",COUNTIF($A$2:$A871,Ficha!$C$4))</f>
        <v/>
      </c>
    </row>
    <row r="872">
      <c r="A872" s="8">
        <f>IF(INDEX(Banco!$A:$A,ROW())="","",INDEX(Banco!$A:$A,ROW()))</f>
        <v/>
      </c>
      <c r="B872" s="8">
        <f>IF(INDEX(Banco!$B:$B,ROW())="","",INDEX(Banco!$B:$B,ROW()))</f>
        <v/>
      </c>
      <c r="C872" s="8">
        <f>IF(INDEX(Banco!$C:$C,ROW())="","",INDEX(Banco!$C:$C,ROW()))</f>
        <v/>
      </c>
      <c r="D872" s="9">
        <f>IF(INDEX(Banco!$D:$D,ROW())="","",INDEX(Banco!$D:$D,ROW()))</f>
        <v/>
      </c>
      <c r="E872" s="9">
        <f>IF(INDEX(Banco!$E:$E,ROW())="","",INDEX(Banco!$E:$E,ROW()))</f>
        <v/>
      </c>
      <c r="F872" s="10">
        <f>IF(INDEX(Banco!$F:$F,ROW())="","",INDEX(Banco!$F:$F,ROW()))</f>
        <v/>
      </c>
      <c r="G872" s="10">
        <f>IF(INDEX(Banco!$G:$G,ROW())="","",INDEX(Banco!$G:$G,ROW()))</f>
        <v/>
      </c>
      <c r="H872" s="8">
        <f>IF(INDEX(Banco!$H:$H,ROW())="","",INDEX(Banco!$H:$H,ROW()))</f>
        <v/>
      </c>
      <c r="I872">
        <f>IF($T872="","",INT($T872/12)&amp;"a "&amp;MOD($T872,12)&amp;"m")</f>
        <v/>
      </c>
      <c r="J872" s="11">
        <f>IF(OR($F872="",$G872=""),"",ROUND($F872/($G872/100)^2,2))</f>
        <v/>
      </c>
      <c r="K872" s="12">
        <f>IF(OR($S872="",$J872="",$T872="",$T872&lt;0,$T872&gt;228,$Y872=""),"—",ROUND(IF(ABS($AB872)&lt;=3,$AB872,IF($AB872&gt;3,3+($J872-$AD872)/($AD872-$AC872),-3+($J872-$AF872)/($AE872-$AF872))),2))</f>
        <v/>
      </c>
      <c r="L872">
        <f>IF(OR($K872="",$K872="—"),"",IF($T872&lt;=60,IF($K872&lt;-3,"Magreza acentuada",IF($K872&lt;-2,"Magreza",IF($K872&lt;=1,"Eutrofia",IF($K872&lt;=2,"Risco de sobrepeso",IF($K872&lt;=3,"Sobrepeso","Obesidade"))))),IF($K872&lt;-3,"Magreza acentuada",IF($K872&lt;-2,"Magreza",IF($K872&lt;=1,"Eutrofia",IF($K872&lt;=2,"Sobrepeso",IF($K872&lt;=3,"Obesidade","Obesidade grave")))))))</f>
        <v/>
      </c>
      <c r="M872" s="12">
        <f>IF(OR($S872="",$V872="",$T872="",$T872&lt;0,$T872&gt;228,$AG872=""),"—",ROUND(IF($AG872=0,LN($V872/$AH872)/$AI872,((($V872/$AH872)^$AG872)-1)/($AG872*$AI872)),2))</f>
        <v/>
      </c>
      <c r="N872">
        <f>IF(OR($M872="",$M872="—"),"",IF($M872&lt;-3,"Muito baixa",IF($M872&lt;-2,"Baixa","Adequada")))</f>
        <v/>
      </c>
      <c r="O872" s="12">
        <f>IF(OR($S872="",$F872="",$T872="",$T872&lt;0,$T872&gt;120,$AJ872=""),"—",ROUND(IF(ABS($AM872)&lt;=3,$AM872,IF($AM872&gt;3,3+($F872-$AO872)/($AO872-$AN872),-3+($F872-$AQ872)/($AP872-$AQ872))),2))</f>
        <v/>
      </c>
      <c r="P872">
        <f>IF(OR($O872="",$O872="—"),"",IF($O872&lt;-3,"Muito baixo",IF($O872&lt;-2,"Baixo",IF($O872&lt;=2,"Adequado","Elevado"))))</f>
        <v/>
      </c>
      <c r="Q872" s="12">
        <f>IF(OR($S872="",$F872="",$T872="",$T872&lt;0,$T872&gt;60,$AR872=""),"—",ROUND(IF(ABS($AU872)&lt;=3,$AU872,IF($AU872&gt;3,3+($F872-$AW872)/($AW872-$AV872),-3+($F872-$AY872)/($AX872-$AY872))),2))</f>
        <v/>
      </c>
      <c r="R872">
        <f>IF(OR($Q872="",$Q872="—"),"",IF($Q872&lt;-3,"Magreza acentuada",IF($Q872&lt;-2,"Magreza",IF($Q872&lt;=1,"Eutrofia",IF($Q872&lt;=2,"Risco de sobrepeso",IF($Q872&lt;=3,"Sobrepeso","Obesidade"))))))</f>
        <v/>
      </c>
      <c r="S872">
        <f>IF($C872="","",IF(UPPER(LEFT($C872,1))="M",1,IF(UPPER(LEFT($C872,1))="F",2,"")))</f>
        <v/>
      </c>
      <c r="T872">
        <f>IF(OR($D872="",$E872=""),"",DATEDIF($D872,$E872,"m"))</f>
        <v/>
      </c>
      <c r="U872">
        <f>IF(OR($D872="",$E872=""),"",$E872-$D872)</f>
        <v/>
      </c>
      <c r="V872">
        <f>IF(OR($G872="",$T872=""),"",IF($T872&lt;24,IF(LEFT(LOWER($H872),4)="em p",$G872+0.7,$G872),IF(LEFT(LOWER($H872),4)="deit",$G872-0.7,$G872)))</f>
        <v/>
      </c>
      <c r="W872">
        <f>IF(OR($S872="",$T872=""),"",$S872*1000000+IF($T872&lt;=60,$U872,$T872))</f>
        <v/>
      </c>
      <c r="X872">
        <f>IF(OR($S872="",$V872="",$T872&gt;60,$T872=""),"",$S872*1000000+ROUND($V872*10,0))</f>
        <v/>
      </c>
      <c r="Y872">
        <f>IF($W872="","",IFERROR(INDEX(IF($T872&lt;=60,imc05_l,imc519_l),MATCH($W872,IF($T872&lt;=60,imc05_k,imc519_k),1)),""))</f>
        <v/>
      </c>
      <c r="Z872">
        <f>IF($W872="","",IFERROR(INDEX(IF($T872&lt;=60,imc05_m,imc519_m),MATCH($W872,IF($T872&lt;=60,imc05_k,imc519_k),1)),""))</f>
        <v/>
      </c>
      <c r="AA872">
        <f>IF($W872="","",IFERROR(INDEX(IF($T872&lt;=60,imc05_s,imc519_s),MATCH($W872,IF($T872&lt;=60,imc05_k,imc519_k),1)),""))</f>
        <v/>
      </c>
      <c r="AB872">
        <f>IF($Y872="","",IF($Y872=0,LN($J872/$Z872)/$AA872,((($J872/$Z872)^$Y872)-1)/($Y872*$AA872)))</f>
        <v/>
      </c>
      <c r="AC872">
        <f>IF($Y872="","",IF($Y872=0,$Z872*EXP($AA872*2),$Z872*(1+$Y872*$AA872*2)^(1/$Y872)))</f>
        <v/>
      </c>
      <c r="AD872">
        <f>IF($Y872="","",IF($Y872=0,$Z872*EXP($AA872*3),$Z872*(1+$Y872*$AA872*3)^(1/$Y872)))</f>
        <v/>
      </c>
      <c r="AE872">
        <f>IF($Y872="","",IF($Y872=0,$Z872*EXP($AA872*-2),$Z872*(1+$Y872*$AA872*-2)^(1/$Y872)))</f>
        <v/>
      </c>
      <c r="AF872">
        <f>IF($Y872="","",IF($Y872=0,$Z872*EXP($AA872*-3),$Z872*(1+$Y872*$AA872*-3)^(1/$Y872)))</f>
        <v/>
      </c>
      <c r="AG872">
        <f>IF($W872="","",IFERROR(INDEX(IF($T872&lt;=60,est05_l,est519_l),MATCH($W872,IF($T872&lt;=60,est05_k,est519_k),1)),""))</f>
        <v/>
      </c>
      <c r="AH872">
        <f>IF($W872="","",IFERROR(INDEX(IF($T872&lt;=60,est05_m,est519_m),MATCH($W872,IF($T872&lt;=60,est05_k,est519_k),1)),""))</f>
        <v/>
      </c>
      <c r="AI872">
        <f>IF($W872="","",IFERROR(INDEX(IF($T872&lt;=60,est05_s,est519_s),MATCH($W872,IF($T872&lt;=60,est05_k,est519_k),1)),""))</f>
        <v/>
      </c>
      <c r="AJ872">
        <f>IF($W872="","",IFERROR(INDEX(IF($T872&lt;=60,peso05_l,peso510_l),MATCH($W872,IF($T872&lt;=60,peso05_k,peso510_k),1)),""))</f>
        <v/>
      </c>
      <c r="AK872">
        <f>IF($W872="","",IFERROR(INDEX(IF($T872&lt;=60,peso05_m,peso510_m),MATCH($W872,IF($T872&lt;=60,peso05_k,peso510_k),1)),""))</f>
        <v/>
      </c>
      <c r="AL872">
        <f>IF($W872="","",IFERROR(INDEX(IF($T872&lt;=60,peso05_s,peso510_s),MATCH($W872,IF($T872&lt;=60,peso05_k,peso510_k),1)),""))</f>
        <v/>
      </c>
      <c r="AM872">
        <f>IF($AJ872="","",IF($AJ872=0,LN($F872/$AK872)/$AL872,((($F872/$AK872)^$AJ872)-1)/($AJ872*$AL872)))</f>
        <v/>
      </c>
      <c r="AN872">
        <f>IF($AJ872="","",IF($AJ872=0,$AK872*EXP($AL872*2),$AK872*(1+$AJ872*$AL872*2)^(1/$AJ872)))</f>
        <v/>
      </c>
      <c r="AO872">
        <f>IF($AJ872="","",IF($AJ872=0,$AK872*EXP($AL872*3),$AK872*(1+$AJ872*$AL872*3)^(1/$AJ872)))</f>
        <v/>
      </c>
      <c r="AP872">
        <f>IF($AJ872="","",IF($AJ872=0,$AK872*EXP($AL872*-2),$AK872*(1+$AJ872*$AL872*-2)^(1/$AJ872)))</f>
        <v/>
      </c>
      <c r="AQ872">
        <f>IF($AJ872="","",IF($AJ872=0,$AK872*EXP($AL872*-3),$AK872*(1+$AJ872*$AL872*-3)^(1/$AJ872)))</f>
        <v/>
      </c>
      <c r="AR872">
        <f>IF(OR($X872="",$T872&gt;60),"",IFERROR(INDEX(IF($T872&lt;24,pcomp_l,palt_l),MATCH($X872,IF($T872&lt;24,pcomp_k,palt_k),1)),""))</f>
        <v/>
      </c>
      <c r="AS872">
        <f>IF(OR($X872="",$T872&gt;60),"",IFERROR(INDEX(IF($T872&lt;24,pcomp_m,palt_m),MATCH($X872,IF($T872&lt;24,pcomp_k,palt_k),1)),""))</f>
        <v/>
      </c>
      <c r="AT872">
        <f>IF(OR($X872="",$T872&gt;60),"",IFERROR(INDEX(IF($T872&lt;24,pcomp_s,palt_s),MATCH($X872,IF($T872&lt;24,pcomp_k,palt_k),1)),""))</f>
        <v/>
      </c>
      <c r="AU872">
        <f>IF($AR872="","",IF($AR872=0,LN($F872/$AS872)/$AT872,((($F872/$AS872)^$AR872)-1)/($AR872*$AT872)))</f>
        <v/>
      </c>
      <c r="AV872">
        <f>IF($AR872="","",IF($AR872=0,$AS872*EXP($AT872*2),$AS872*(1+$AR872*$AT872*2)^(1/$AR872)))</f>
        <v/>
      </c>
      <c r="AW872">
        <f>IF($AR872="","",IF($AR872=0,$AS872*EXP($AT872*3),$AS872*(1+$AR872*$AT872*3)^(1/$AR872)))</f>
        <v/>
      </c>
      <c r="AX872">
        <f>IF($AR872="","",IF($AR872=0,$AS872*EXP($AT872*-2),$AS872*(1+$AR872*$AT872*-2)^(1/$AR872)))</f>
        <v/>
      </c>
      <c r="AY872">
        <f>IF($AR872="","",IF($AR872=0,$AS872*EXP($AT872*-3),$AS872*(1+$AR872*$AT872*-3)^(1/$AR872)))</f>
        <v/>
      </c>
      <c r="AZ872">
        <f>IF(OR($A872="",$A872&lt;&gt;Ficha!$C$4),"",COUNTIF($A$2:$A872,Ficha!$C$4))</f>
        <v/>
      </c>
    </row>
    <row r="873">
      <c r="A873" s="8">
        <f>IF(INDEX(Banco!$A:$A,ROW())="","",INDEX(Banco!$A:$A,ROW()))</f>
        <v/>
      </c>
      <c r="B873" s="8">
        <f>IF(INDEX(Banco!$B:$B,ROW())="","",INDEX(Banco!$B:$B,ROW()))</f>
        <v/>
      </c>
      <c r="C873" s="8">
        <f>IF(INDEX(Banco!$C:$C,ROW())="","",INDEX(Banco!$C:$C,ROW()))</f>
        <v/>
      </c>
      <c r="D873" s="9">
        <f>IF(INDEX(Banco!$D:$D,ROW())="","",INDEX(Banco!$D:$D,ROW()))</f>
        <v/>
      </c>
      <c r="E873" s="9">
        <f>IF(INDEX(Banco!$E:$E,ROW())="","",INDEX(Banco!$E:$E,ROW()))</f>
        <v/>
      </c>
      <c r="F873" s="10">
        <f>IF(INDEX(Banco!$F:$F,ROW())="","",INDEX(Banco!$F:$F,ROW()))</f>
        <v/>
      </c>
      <c r="G873" s="10">
        <f>IF(INDEX(Banco!$G:$G,ROW())="","",INDEX(Banco!$G:$G,ROW()))</f>
        <v/>
      </c>
      <c r="H873" s="8">
        <f>IF(INDEX(Banco!$H:$H,ROW())="","",INDEX(Banco!$H:$H,ROW()))</f>
        <v/>
      </c>
      <c r="I873">
        <f>IF($T873="","",INT($T873/12)&amp;"a "&amp;MOD($T873,12)&amp;"m")</f>
        <v/>
      </c>
      <c r="J873" s="11">
        <f>IF(OR($F873="",$G873=""),"",ROUND($F873/($G873/100)^2,2))</f>
        <v/>
      </c>
      <c r="K873" s="12">
        <f>IF(OR($S873="",$J873="",$T873="",$T873&lt;0,$T873&gt;228,$Y873=""),"—",ROUND(IF(ABS($AB873)&lt;=3,$AB873,IF($AB873&gt;3,3+($J873-$AD873)/($AD873-$AC873),-3+($J873-$AF873)/($AE873-$AF873))),2))</f>
        <v/>
      </c>
      <c r="L873">
        <f>IF(OR($K873="",$K873="—"),"",IF($T873&lt;=60,IF($K873&lt;-3,"Magreza acentuada",IF($K873&lt;-2,"Magreza",IF($K873&lt;=1,"Eutrofia",IF($K873&lt;=2,"Risco de sobrepeso",IF($K873&lt;=3,"Sobrepeso","Obesidade"))))),IF($K873&lt;-3,"Magreza acentuada",IF($K873&lt;-2,"Magreza",IF($K873&lt;=1,"Eutrofia",IF($K873&lt;=2,"Sobrepeso",IF($K873&lt;=3,"Obesidade","Obesidade grave")))))))</f>
        <v/>
      </c>
      <c r="M873" s="12">
        <f>IF(OR($S873="",$V873="",$T873="",$T873&lt;0,$T873&gt;228,$AG873=""),"—",ROUND(IF($AG873=0,LN($V873/$AH873)/$AI873,((($V873/$AH873)^$AG873)-1)/($AG873*$AI873)),2))</f>
        <v/>
      </c>
      <c r="N873">
        <f>IF(OR($M873="",$M873="—"),"",IF($M873&lt;-3,"Muito baixa",IF($M873&lt;-2,"Baixa","Adequada")))</f>
        <v/>
      </c>
      <c r="O873" s="12">
        <f>IF(OR($S873="",$F873="",$T873="",$T873&lt;0,$T873&gt;120,$AJ873=""),"—",ROUND(IF(ABS($AM873)&lt;=3,$AM873,IF($AM873&gt;3,3+($F873-$AO873)/($AO873-$AN873),-3+($F873-$AQ873)/($AP873-$AQ873))),2))</f>
        <v/>
      </c>
      <c r="P873">
        <f>IF(OR($O873="",$O873="—"),"",IF($O873&lt;-3,"Muito baixo",IF($O873&lt;-2,"Baixo",IF($O873&lt;=2,"Adequado","Elevado"))))</f>
        <v/>
      </c>
      <c r="Q873" s="12">
        <f>IF(OR($S873="",$F873="",$T873="",$T873&lt;0,$T873&gt;60,$AR873=""),"—",ROUND(IF(ABS($AU873)&lt;=3,$AU873,IF($AU873&gt;3,3+($F873-$AW873)/($AW873-$AV873),-3+($F873-$AY873)/($AX873-$AY873))),2))</f>
        <v/>
      </c>
      <c r="R873">
        <f>IF(OR($Q873="",$Q873="—"),"",IF($Q873&lt;-3,"Magreza acentuada",IF($Q873&lt;-2,"Magreza",IF($Q873&lt;=1,"Eutrofia",IF($Q873&lt;=2,"Risco de sobrepeso",IF($Q873&lt;=3,"Sobrepeso","Obesidade"))))))</f>
        <v/>
      </c>
      <c r="S873">
        <f>IF($C873="","",IF(UPPER(LEFT($C873,1))="M",1,IF(UPPER(LEFT($C873,1))="F",2,"")))</f>
        <v/>
      </c>
      <c r="T873">
        <f>IF(OR($D873="",$E873=""),"",DATEDIF($D873,$E873,"m"))</f>
        <v/>
      </c>
      <c r="U873">
        <f>IF(OR($D873="",$E873=""),"",$E873-$D873)</f>
        <v/>
      </c>
      <c r="V873">
        <f>IF(OR($G873="",$T873=""),"",IF($T873&lt;24,IF(LEFT(LOWER($H873),4)="em p",$G873+0.7,$G873),IF(LEFT(LOWER($H873),4)="deit",$G873-0.7,$G873)))</f>
        <v/>
      </c>
      <c r="W873">
        <f>IF(OR($S873="",$T873=""),"",$S873*1000000+IF($T873&lt;=60,$U873,$T873))</f>
        <v/>
      </c>
      <c r="X873">
        <f>IF(OR($S873="",$V873="",$T873&gt;60,$T873=""),"",$S873*1000000+ROUND($V873*10,0))</f>
        <v/>
      </c>
      <c r="Y873">
        <f>IF($W873="","",IFERROR(INDEX(IF($T873&lt;=60,imc05_l,imc519_l),MATCH($W873,IF($T873&lt;=60,imc05_k,imc519_k),1)),""))</f>
        <v/>
      </c>
      <c r="Z873">
        <f>IF($W873="","",IFERROR(INDEX(IF($T873&lt;=60,imc05_m,imc519_m),MATCH($W873,IF($T873&lt;=60,imc05_k,imc519_k),1)),""))</f>
        <v/>
      </c>
      <c r="AA873">
        <f>IF($W873="","",IFERROR(INDEX(IF($T873&lt;=60,imc05_s,imc519_s),MATCH($W873,IF($T873&lt;=60,imc05_k,imc519_k),1)),""))</f>
        <v/>
      </c>
      <c r="AB873">
        <f>IF($Y873="","",IF($Y873=0,LN($J873/$Z873)/$AA873,((($J873/$Z873)^$Y873)-1)/($Y873*$AA873)))</f>
        <v/>
      </c>
      <c r="AC873">
        <f>IF($Y873="","",IF($Y873=0,$Z873*EXP($AA873*2),$Z873*(1+$Y873*$AA873*2)^(1/$Y873)))</f>
        <v/>
      </c>
      <c r="AD873">
        <f>IF($Y873="","",IF($Y873=0,$Z873*EXP($AA873*3),$Z873*(1+$Y873*$AA873*3)^(1/$Y873)))</f>
        <v/>
      </c>
      <c r="AE873">
        <f>IF($Y873="","",IF($Y873=0,$Z873*EXP($AA873*-2),$Z873*(1+$Y873*$AA873*-2)^(1/$Y873)))</f>
        <v/>
      </c>
      <c r="AF873">
        <f>IF($Y873="","",IF($Y873=0,$Z873*EXP($AA873*-3),$Z873*(1+$Y873*$AA873*-3)^(1/$Y873)))</f>
        <v/>
      </c>
      <c r="AG873">
        <f>IF($W873="","",IFERROR(INDEX(IF($T873&lt;=60,est05_l,est519_l),MATCH($W873,IF($T873&lt;=60,est05_k,est519_k),1)),""))</f>
        <v/>
      </c>
      <c r="AH873">
        <f>IF($W873="","",IFERROR(INDEX(IF($T873&lt;=60,est05_m,est519_m),MATCH($W873,IF($T873&lt;=60,est05_k,est519_k),1)),""))</f>
        <v/>
      </c>
      <c r="AI873">
        <f>IF($W873="","",IFERROR(INDEX(IF($T873&lt;=60,est05_s,est519_s),MATCH($W873,IF($T873&lt;=60,est05_k,est519_k),1)),""))</f>
        <v/>
      </c>
      <c r="AJ873">
        <f>IF($W873="","",IFERROR(INDEX(IF($T873&lt;=60,peso05_l,peso510_l),MATCH($W873,IF($T873&lt;=60,peso05_k,peso510_k),1)),""))</f>
        <v/>
      </c>
      <c r="AK873">
        <f>IF($W873="","",IFERROR(INDEX(IF($T873&lt;=60,peso05_m,peso510_m),MATCH($W873,IF($T873&lt;=60,peso05_k,peso510_k),1)),""))</f>
        <v/>
      </c>
      <c r="AL873">
        <f>IF($W873="","",IFERROR(INDEX(IF($T873&lt;=60,peso05_s,peso510_s),MATCH($W873,IF($T873&lt;=60,peso05_k,peso510_k),1)),""))</f>
        <v/>
      </c>
      <c r="AM873">
        <f>IF($AJ873="","",IF($AJ873=0,LN($F873/$AK873)/$AL873,((($F873/$AK873)^$AJ873)-1)/($AJ873*$AL873)))</f>
        <v/>
      </c>
      <c r="AN873">
        <f>IF($AJ873="","",IF($AJ873=0,$AK873*EXP($AL873*2),$AK873*(1+$AJ873*$AL873*2)^(1/$AJ873)))</f>
        <v/>
      </c>
      <c r="AO873">
        <f>IF($AJ873="","",IF($AJ873=0,$AK873*EXP($AL873*3),$AK873*(1+$AJ873*$AL873*3)^(1/$AJ873)))</f>
        <v/>
      </c>
      <c r="AP873">
        <f>IF($AJ873="","",IF($AJ873=0,$AK873*EXP($AL873*-2),$AK873*(1+$AJ873*$AL873*-2)^(1/$AJ873)))</f>
        <v/>
      </c>
      <c r="AQ873">
        <f>IF($AJ873="","",IF($AJ873=0,$AK873*EXP($AL873*-3),$AK873*(1+$AJ873*$AL873*-3)^(1/$AJ873)))</f>
        <v/>
      </c>
      <c r="AR873">
        <f>IF(OR($X873="",$T873&gt;60),"",IFERROR(INDEX(IF($T873&lt;24,pcomp_l,palt_l),MATCH($X873,IF($T873&lt;24,pcomp_k,palt_k),1)),""))</f>
        <v/>
      </c>
      <c r="AS873">
        <f>IF(OR($X873="",$T873&gt;60),"",IFERROR(INDEX(IF($T873&lt;24,pcomp_m,palt_m),MATCH($X873,IF($T873&lt;24,pcomp_k,palt_k),1)),""))</f>
        <v/>
      </c>
      <c r="AT873">
        <f>IF(OR($X873="",$T873&gt;60),"",IFERROR(INDEX(IF($T873&lt;24,pcomp_s,palt_s),MATCH($X873,IF($T873&lt;24,pcomp_k,palt_k),1)),""))</f>
        <v/>
      </c>
      <c r="AU873">
        <f>IF($AR873="","",IF($AR873=0,LN($F873/$AS873)/$AT873,((($F873/$AS873)^$AR873)-1)/($AR873*$AT873)))</f>
        <v/>
      </c>
      <c r="AV873">
        <f>IF($AR873="","",IF($AR873=0,$AS873*EXP($AT873*2),$AS873*(1+$AR873*$AT873*2)^(1/$AR873)))</f>
        <v/>
      </c>
      <c r="AW873">
        <f>IF($AR873="","",IF($AR873=0,$AS873*EXP($AT873*3),$AS873*(1+$AR873*$AT873*3)^(1/$AR873)))</f>
        <v/>
      </c>
      <c r="AX873">
        <f>IF($AR873="","",IF($AR873=0,$AS873*EXP($AT873*-2),$AS873*(1+$AR873*$AT873*-2)^(1/$AR873)))</f>
        <v/>
      </c>
      <c r="AY873">
        <f>IF($AR873="","",IF($AR873=0,$AS873*EXP($AT873*-3),$AS873*(1+$AR873*$AT873*-3)^(1/$AR873)))</f>
        <v/>
      </c>
      <c r="AZ873">
        <f>IF(OR($A873="",$A873&lt;&gt;Ficha!$C$4),"",COUNTIF($A$2:$A873,Ficha!$C$4))</f>
        <v/>
      </c>
    </row>
    <row r="874">
      <c r="A874" s="8">
        <f>IF(INDEX(Banco!$A:$A,ROW())="","",INDEX(Banco!$A:$A,ROW()))</f>
        <v/>
      </c>
      <c r="B874" s="8">
        <f>IF(INDEX(Banco!$B:$B,ROW())="","",INDEX(Banco!$B:$B,ROW()))</f>
        <v/>
      </c>
      <c r="C874" s="8">
        <f>IF(INDEX(Banco!$C:$C,ROW())="","",INDEX(Banco!$C:$C,ROW()))</f>
        <v/>
      </c>
      <c r="D874" s="9">
        <f>IF(INDEX(Banco!$D:$D,ROW())="","",INDEX(Banco!$D:$D,ROW()))</f>
        <v/>
      </c>
      <c r="E874" s="9">
        <f>IF(INDEX(Banco!$E:$E,ROW())="","",INDEX(Banco!$E:$E,ROW()))</f>
        <v/>
      </c>
      <c r="F874" s="10">
        <f>IF(INDEX(Banco!$F:$F,ROW())="","",INDEX(Banco!$F:$F,ROW()))</f>
        <v/>
      </c>
      <c r="G874" s="10">
        <f>IF(INDEX(Banco!$G:$G,ROW())="","",INDEX(Banco!$G:$G,ROW()))</f>
        <v/>
      </c>
      <c r="H874" s="8">
        <f>IF(INDEX(Banco!$H:$H,ROW())="","",INDEX(Banco!$H:$H,ROW()))</f>
        <v/>
      </c>
      <c r="I874">
        <f>IF($T874="","",INT($T874/12)&amp;"a "&amp;MOD($T874,12)&amp;"m")</f>
        <v/>
      </c>
      <c r="J874" s="11">
        <f>IF(OR($F874="",$G874=""),"",ROUND($F874/($G874/100)^2,2))</f>
        <v/>
      </c>
      <c r="K874" s="12">
        <f>IF(OR($S874="",$J874="",$T874="",$T874&lt;0,$T874&gt;228,$Y874=""),"—",ROUND(IF(ABS($AB874)&lt;=3,$AB874,IF($AB874&gt;3,3+($J874-$AD874)/($AD874-$AC874),-3+($J874-$AF874)/($AE874-$AF874))),2))</f>
        <v/>
      </c>
      <c r="L874">
        <f>IF(OR($K874="",$K874="—"),"",IF($T874&lt;=60,IF($K874&lt;-3,"Magreza acentuada",IF($K874&lt;-2,"Magreza",IF($K874&lt;=1,"Eutrofia",IF($K874&lt;=2,"Risco de sobrepeso",IF($K874&lt;=3,"Sobrepeso","Obesidade"))))),IF($K874&lt;-3,"Magreza acentuada",IF($K874&lt;-2,"Magreza",IF($K874&lt;=1,"Eutrofia",IF($K874&lt;=2,"Sobrepeso",IF($K874&lt;=3,"Obesidade","Obesidade grave")))))))</f>
        <v/>
      </c>
      <c r="M874" s="12">
        <f>IF(OR($S874="",$V874="",$T874="",$T874&lt;0,$T874&gt;228,$AG874=""),"—",ROUND(IF($AG874=0,LN($V874/$AH874)/$AI874,((($V874/$AH874)^$AG874)-1)/($AG874*$AI874)),2))</f>
        <v/>
      </c>
      <c r="N874">
        <f>IF(OR($M874="",$M874="—"),"",IF($M874&lt;-3,"Muito baixa",IF($M874&lt;-2,"Baixa","Adequada")))</f>
        <v/>
      </c>
      <c r="O874" s="12">
        <f>IF(OR($S874="",$F874="",$T874="",$T874&lt;0,$T874&gt;120,$AJ874=""),"—",ROUND(IF(ABS($AM874)&lt;=3,$AM874,IF($AM874&gt;3,3+($F874-$AO874)/($AO874-$AN874),-3+($F874-$AQ874)/($AP874-$AQ874))),2))</f>
        <v/>
      </c>
      <c r="P874">
        <f>IF(OR($O874="",$O874="—"),"",IF($O874&lt;-3,"Muito baixo",IF($O874&lt;-2,"Baixo",IF($O874&lt;=2,"Adequado","Elevado"))))</f>
        <v/>
      </c>
      <c r="Q874" s="12">
        <f>IF(OR($S874="",$F874="",$T874="",$T874&lt;0,$T874&gt;60,$AR874=""),"—",ROUND(IF(ABS($AU874)&lt;=3,$AU874,IF($AU874&gt;3,3+($F874-$AW874)/($AW874-$AV874),-3+($F874-$AY874)/($AX874-$AY874))),2))</f>
        <v/>
      </c>
      <c r="R874">
        <f>IF(OR($Q874="",$Q874="—"),"",IF($Q874&lt;-3,"Magreza acentuada",IF($Q874&lt;-2,"Magreza",IF($Q874&lt;=1,"Eutrofia",IF($Q874&lt;=2,"Risco de sobrepeso",IF($Q874&lt;=3,"Sobrepeso","Obesidade"))))))</f>
        <v/>
      </c>
      <c r="S874">
        <f>IF($C874="","",IF(UPPER(LEFT($C874,1))="M",1,IF(UPPER(LEFT($C874,1))="F",2,"")))</f>
        <v/>
      </c>
      <c r="T874">
        <f>IF(OR($D874="",$E874=""),"",DATEDIF($D874,$E874,"m"))</f>
        <v/>
      </c>
      <c r="U874">
        <f>IF(OR($D874="",$E874=""),"",$E874-$D874)</f>
        <v/>
      </c>
      <c r="V874">
        <f>IF(OR($G874="",$T874=""),"",IF($T874&lt;24,IF(LEFT(LOWER($H874),4)="em p",$G874+0.7,$G874),IF(LEFT(LOWER($H874),4)="deit",$G874-0.7,$G874)))</f>
        <v/>
      </c>
      <c r="W874">
        <f>IF(OR($S874="",$T874=""),"",$S874*1000000+IF($T874&lt;=60,$U874,$T874))</f>
        <v/>
      </c>
      <c r="X874">
        <f>IF(OR($S874="",$V874="",$T874&gt;60,$T874=""),"",$S874*1000000+ROUND($V874*10,0))</f>
        <v/>
      </c>
      <c r="Y874">
        <f>IF($W874="","",IFERROR(INDEX(IF($T874&lt;=60,imc05_l,imc519_l),MATCH($W874,IF($T874&lt;=60,imc05_k,imc519_k),1)),""))</f>
        <v/>
      </c>
      <c r="Z874">
        <f>IF($W874="","",IFERROR(INDEX(IF($T874&lt;=60,imc05_m,imc519_m),MATCH($W874,IF($T874&lt;=60,imc05_k,imc519_k),1)),""))</f>
        <v/>
      </c>
      <c r="AA874">
        <f>IF($W874="","",IFERROR(INDEX(IF($T874&lt;=60,imc05_s,imc519_s),MATCH($W874,IF($T874&lt;=60,imc05_k,imc519_k),1)),""))</f>
        <v/>
      </c>
      <c r="AB874">
        <f>IF($Y874="","",IF($Y874=0,LN($J874/$Z874)/$AA874,((($J874/$Z874)^$Y874)-1)/($Y874*$AA874)))</f>
        <v/>
      </c>
      <c r="AC874">
        <f>IF($Y874="","",IF($Y874=0,$Z874*EXP($AA874*2),$Z874*(1+$Y874*$AA874*2)^(1/$Y874)))</f>
        <v/>
      </c>
      <c r="AD874">
        <f>IF($Y874="","",IF($Y874=0,$Z874*EXP($AA874*3),$Z874*(1+$Y874*$AA874*3)^(1/$Y874)))</f>
        <v/>
      </c>
      <c r="AE874">
        <f>IF($Y874="","",IF($Y874=0,$Z874*EXP($AA874*-2),$Z874*(1+$Y874*$AA874*-2)^(1/$Y874)))</f>
        <v/>
      </c>
      <c r="AF874">
        <f>IF($Y874="","",IF($Y874=0,$Z874*EXP($AA874*-3),$Z874*(1+$Y874*$AA874*-3)^(1/$Y874)))</f>
        <v/>
      </c>
      <c r="AG874">
        <f>IF($W874="","",IFERROR(INDEX(IF($T874&lt;=60,est05_l,est519_l),MATCH($W874,IF($T874&lt;=60,est05_k,est519_k),1)),""))</f>
        <v/>
      </c>
      <c r="AH874">
        <f>IF($W874="","",IFERROR(INDEX(IF($T874&lt;=60,est05_m,est519_m),MATCH($W874,IF($T874&lt;=60,est05_k,est519_k),1)),""))</f>
        <v/>
      </c>
      <c r="AI874">
        <f>IF($W874="","",IFERROR(INDEX(IF($T874&lt;=60,est05_s,est519_s),MATCH($W874,IF($T874&lt;=60,est05_k,est519_k),1)),""))</f>
        <v/>
      </c>
      <c r="AJ874">
        <f>IF($W874="","",IFERROR(INDEX(IF($T874&lt;=60,peso05_l,peso510_l),MATCH($W874,IF($T874&lt;=60,peso05_k,peso510_k),1)),""))</f>
        <v/>
      </c>
      <c r="AK874">
        <f>IF($W874="","",IFERROR(INDEX(IF($T874&lt;=60,peso05_m,peso510_m),MATCH($W874,IF($T874&lt;=60,peso05_k,peso510_k),1)),""))</f>
        <v/>
      </c>
      <c r="AL874">
        <f>IF($W874="","",IFERROR(INDEX(IF($T874&lt;=60,peso05_s,peso510_s),MATCH($W874,IF($T874&lt;=60,peso05_k,peso510_k),1)),""))</f>
        <v/>
      </c>
      <c r="AM874">
        <f>IF($AJ874="","",IF($AJ874=0,LN($F874/$AK874)/$AL874,((($F874/$AK874)^$AJ874)-1)/($AJ874*$AL874)))</f>
        <v/>
      </c>
      <c r="AN874">
        <f>IF($AJ874="","",IF($AJ874=0,$AK874*EXP($AL874*2),$AK874*(1+$AJ874*$AL874*2)^(1/$AJ874)))</f>
        <v/>
      </c>
      <c r="AO874">
        <f>IF($AJ874="","",IF($AJ874=0,$AK874*EXP($AL874*3),$AK874*(1+$AJ874*$AL874*3)^(1/$AJ874)))</f>
        <v/>
      </c>
      <c r="AP874">
        <f>IF($AJ874="","",IF($AJ874=0,$AK874*EXP($AL874*-2),$AK874*(1+$AJ874*$AL874*-2)^(1/$AJ874)))</f>
        <v/>
      </c>
      <c r="AQ874">
        <f>IF($AJ874="","",IF($AJ874=0,$AK874*EXP($AL874*-3),$AK874*(1+$AJ874*$AL874*-3)^(1/$AJ874)))</f>
        <v/>
      </c>
      <c r="AR874">
        <f>IF(OR($X874="",$T874&gt;60),"",IFERROR(INDEX(IF($T874&lt;24,pcomp_l,palt_l),MATCH($X874,IF($T874&lt;24,pcomp_k,palt_k),1)),""))</f>
        <v/>
      </c>
      <c r="AS874">
        <f>IF(OR($X874="",$T874&gt;60),"",IFERROR(INDEX(IF($T874&lt;24,pcomp_m,palt_m),MATCH($X874,IF($T874&lt;24,pcomp_k,palt_k),1)),""))</f>
        <v/>
      </c>
      <c r="AT874">
        <f>IF(OR($X874="",$T874&gt;60),"",IFERROR(INDEX(IF($T874&lt;24,pcomp_s,palt_s),MATCH($X874,IF($T874&lt;24,pcomp_k,palt_k),1)),""))</f>
        <v/>
      </c>
      <c r="AU874">
        <f>IF($AR874="","",IF($AR874=0,LN($F874/$AS874)/$AT874,((($F874/$AS874)^$AR874)-1)/($AR874*$AT874)))</f>
        <v/>
      </c>
      <c r="AV874">
        <f>IF($AR874="","",IF($AR874=0,$AS874*EXP($AT874*2),$AS874*(1+$AR874*$AT874*2)^(1/$AR874)))</f>
        <v/>
      </c>
      <c r="AW874">
        <f>IF($AR874="","",IF($AR874=0,$AS874*EXP($AT874*3),$AS874*(1+$AR874*$AT874*3)^(1/$AR874)))</f>
        <v/>
      </c>
      <c r="AX874">
        <f>IF($AR874="","",IF($AR874=0,$AS874*EXP($AT874*-2),$AS874*(1+$AR874*$AT874*-2)^(1/$AR874)))</f>
        <v/>
      </c>
      <c r="AY874">
        <f>IF($AR874="","",IF($AR874=0,$AS874*EXP($AT874*-3),$AS874*(1+$AR874*$AT874*-3)^(1/$AR874)))</f>
        <v/>
      </c>
      <c r="AZ874">
        <f>IF(OR($A874="",$A874&lt;&gt;Ficha!$C$4),"",COUNTIF($A$2:$A874,Ficha!$C$4))</f>
        <v/>
      </c>
    </row>
    <row r="875">
      <c r="A875" s="8">
        <f>IF(INDEX(Banco!$A:$A,ROW())="","",INDEX(Banco!$A:$A,ROW()))</f>
        <v/>
      </c>
      <c r="B875" s="8">
        <f>IF(INDEX(Banco!$B:$B,ROW())="","",INDEX(Banco!$B:$B,ROW()))</f>
        <v/>
      </c>
      <c r="C875" s="8">
        <f>IF(INDEX(Banco!$C:$C,ROW())="","",INDEX(Banco!$C:$C,ROW()))</f>
        <v/>
      </c>
      <c r="D875" s="9">
        <f>IF(INDEX(Banco!$D:$D,ROW())="","",INDEX(Banco!$D:$D,ROW()))</f>
        <v/>
      </c>
      <c r="E875" s="9">
        <f>IF(INDEX(Banco!$E:$E,ROW())="","",INDEX(Banco!$E:$E,ROW()))</f>
        <v/>
      </c>
      <c r="F875" s="10">
        <f>IF(INDEX(Banco!$F:$F,ROW())="","",INDEX(Banco!$F:$F,ROW()))</f>
        <v/>
      </c>
      <c r="G875" s="10">
        <f>IF(INDEX(Banco!$G:$G,ROW())="","",INDEX(Banco!$G:$G,ROW()))</f>
        <v/>
      </c>
      <c r="H875" s="8">
        <f>IF(INDEX(Banco!$H:$H,ROW())="","",INDEX(Banco!$H:$H,ROW()))</f>
        <v/>
      </c>
      <c r="I875">
        <f>IF($T875="","",INT($T875/12)&amp;"a "&amp;MOD($T875,12)&amp;"m")</f>
        <v/>
      </c>
      <c r="J875" s="11">
        <f>IF(OR($F875="",$G875=""),"",ROUND($F875/($G875/100)^2,2))</f>
        <v/>
      </c>
      <c r="K875" s="12">
        <f>IF(OR($S875="",$J875="",$T875="",$T875&lt;0,$T875&gt;228,$Y875=""),"—",ROUND(IF(ABS($AB875)&lt;=3,$AB875,IF($AB875&gt;3,3+($J875-$AD875)/($AD875-$AC875),-3+($J875-$AF875)/($AE875-$AF875))),2))</f>
        <v/>
      </c>
      <c r="L875">
        <f>IF(OR($K875="",$K875="—"),"",IF($T875&lt;=60,IF($K875&lt;-3,"Magreza acentuada",IF($K875&lt;-2,"Magreza",IF($K875&lt;=1,"Eutrofia",IF($K875&lt;=2,"Risco de sobrepeso",IF($K875&lt;=3,"Sobrepeso","Obesidade"))))),IF($K875&lt;-3,"Magreza acentuada",IF($K875&lt;-2,"Magreza",IF($K875&lt;=1,"Eutrofia",IF($K875&lt;=2,"Sobrepeso",IF($K875&lt;=3,"Obesidade","Obesidade grave")))))))</f>
        <v/>
      </c>
      <c r="M875" s="12">
        <f>IF(OR($S875="",$V875="",$T875="",$T875&lt;0,$T875&gt;228,$AG875=""),"—",ROUND(IF($AG875=0,LN($V875/$AH875)/$AI875,((($V875/$AH875)^$AG875)-1)/($AG875*$AI875)),2))</f>
        <v/>
      </c>
      <c r="N875">
        <f>IF(OR($M875="",$M875="—"),"",IF($M875&lt;-3,"Muito baixa",IF($M875&lt;-2,"Baixa","Adequada")))</f>
        <v/>
      </c>
      <c r="O875" s="12">
        <f>IF(OR($S875="",$F875="",$T875="",$T875&lt;0,$T875&gt;120,$AJ875=""),"—",ROUND(IF(ABS($AM875)&lt;=3,$AM875,IF($AM875&gt;3,3+($F875-$AO875)/($AO875-$AN875),-3+($F875-$AQ875)/($AP875-$AQ875))),2))</f>
        <v/>
      </c>
      <c r="P875">
        <f>IF(OR($O875="",$O875="—"),"",IF($O875&lt;-3,"Muito baixo",IF($O875&lt;-2,"Baixo",IF($O875&lt;=2,"Adequado","Elevado"))))</f>
        <v/>
      </c>
      <c r="Q875" s="12">
        <f>IF(OR($S875="",$F875="",$T875="",$T875&lt;0,$T875&gt;60,$AR875=""),"—",ROUND(IF(ABS($AU875)&lt;=3,$AU875,IF($AU875&gt;3,3+($F875-$AW875)/($AW875-$AV875),-3+($F875-$AY875)/($AX875-$AY875))),2))</f>
        <v/>
      </c>
      <c r="R875">
        <f>IF(OR($Q875="",$Q875="—"),"",IF($Q875&lt;-3,"Magreza acentuada",IF($Q875&lt;-2,"Magreza",IF($Q875&lt;=1,"Eutrofia",IF($Q875&lt;=2,"Risco de sobrepeso",IF($Q875&lt;=3,"Sobrepeso","Obesidade"))))))</f>
        <v/>
      </c>
      <c r="S875">
        <f>IF($C875="","",IF(UPPER(LEFT($C875,1))="M",1,IF(UPPER(LEFT($C875,1))="F",2,"")))</f>
        <v/>
      </c>
      <c r="T875">
        <f>IF(OR($D875="",$E875=""),"",DATEDIF($D875,$E875,"m"))</f>
        <v/>
      </c>
      <c r="U875">
        <f>IF(OR($D875="",$E875=""),"",$E875-$D875)</f>
        <v/>
      </c>
      <c r="V875">
        <f>IF(OR($G875="",$T875=""),"",IF($T875&lt;24,IF(LEFT(LOWER($H875),4)="em p",$G875+0.7,$G875),IF(LEFT(LOWER($H875),4)="deit",$G875-0.7,$G875)))</f>
        <v/>
      </c>
      <c r="W875">
        <f>IF(OR($S875="",$T875=""),"",$S875*1000000+IF($T875&lt;=60,$U875,$T875))</f>
        <v/>
      </c>
      <c r="X875">
        <f>IF(OR($S875="",$V875="",$T875&gt;60,$T875=""),"",$S875*1000000+ROUND($V875*10,0))</f>
        <v/>
      </c>
      <c r="Y875">
        <f>IF($W875="","",IFERROR(INDEX(IF($T875&lt;=60,imc05_l,imc519_l),MATCH($W875,IF($T875&lt;=60,imc05_k,imc519_k),1)),""))</f>
        <v/>
      </c>
      <c r="Z875">
        <f>IF($W875="","",IFERROR(INDEX(IF($T875&lt;=60,imc05_m,imc519_m),MATCH($W875,IF($T875&lt;=60,imc05_k,imc519_k),1)),""))</f>
        <v/>
      </c>
      <c r="AA875">
        <f>IF($W875="","",IFERROR(INDEX(IF($T875&lt;=60,imc05_s,imc519_s),MATCH($W875,IF($T875&lt;=60,imc05_k,imc519_k),1)),""))</f>
        <v/>
      </c>
      <c r="AB875">
        <f>IF($Y875="","",IF($Y875=0,LN($J875/$Z875)/$AA875,((($J875/$Z875)^$Y875)-1)/($Y875*$AA875)))</f>
        <v/>
      </c>
      <c r="AC875">
        <f>IF($Y875="","",IF($Y875=0,$Z875*EXP($AA875*2),$Z875*(1+$Y875*$AA875*2)^(1/$Y875)))</f>
        <v/>
      </c>
      <c r="AD875">
        <f>IF($Y875="","",IF($Y875=0,$Z875*EXP($AA875*3),$Z875*(1+$Y875*$AA875*3)^(1/$Y875)))</f>
        <v/>
      </c>
      <c r="AE875">
        <f>IF($Y875="","",IF($Y875=0,$Z875*EXP($AA875*-2),$Z875*(1+$Y875*$AA875*-2)^(1/$Y875)))</f>
        <v/>
      </c>
      <c r="AF875">
        <f>IF($Y875="","",IF($Y875=0,$Z875*EXP($AA875*-3),$Z875*(1+$Y875*$AA875*-3)^(1/$Y875)))</f>
        <v/>
      </c>
      <c r="AG875">
        <f>IF($W875="","",IFERROR(INDEX(IF($T875&lt;=60,est05_l,est519_l),MATCH($W875,IF($T875&lt;=60,est05_k,est519_k),1)),""))</f>
        <v/>
      </c>
      <c r="AH875">
        <f>IF($W875="","",IFERROR(INDEX(IF($T875&lt;=60,est05_m,est519_m),MATCH($W875,IF($T875&lt;=60,est05_k,est519_k),1)),""))</f>
        <v/>
      </c>
      <c r="AI875">
        <f>IF($W875="","",IFERROR(INDEX(IF($T875&lt;=60,est05_s,est519_s),MATCH($W875,IF($T875&lt;=60,est05_k,est519_k),1)),""))</f>
        <v/>
      </c>
      <c r="AJ875">
        <f>IF($W875="","",IFERROR(INDEX(IF($T875&lt;=60,peso05_l,peso510_l),MATCH($W875,IF($T875&lt;=60,peso05_k,peso510_k),1)),""))</f>
        <v/>
      </c>
      <c r="AK875">
        <f>IF($W875="","",IFERROR(INDEX(IF($T875&lt;=60,peso05_m,peso510_m),MATCH($W875,IF($T875&lt;=60,peso05_k,peso510_k),1)),""))</f>
        <v/>
      </c>
      <c r="AL875">
        <f>IF($W875="","",IFERROR(INDEX(IF($T875&lt;=60,peso05_s,peso510_s),MATCH($W875,IF($T875&lt;=60,peso05_k,peso510_k),1)),""))</f>
        <v/>
      </c>
      <c r="AM875">
        <f>IF($AJ875="","",IF($AJ875=0,LN($F875/$AK875)/$AL875,((($F875/$AK875)^$AJ875)-1)/($AJ875*$AL875)))</f>
        <v/>
      </c>
      <c r="AN875">
        <f>IF($AJ875="","",IF($AJ875=0,$AK875*EXP($AL875*2),$AK875*(1+$AJ875*$AL875*2)^(1/$AJ875)))</f>
        <v/>
      </c>
      <c r="AO875">
        <f>IF($AJ875="","",IF($AJ875=0,$AK875*EXP($AL875*3),$AK875*(1+$AJ875*$AL875*3)^(1/$AJ875)))</f>
        <v/>
      </c>
      <c r="AP875">
        <f>IF($AJ875="","",IF($AJ875=0,$AK875*EXP($AL875*-2),$AK875*(1+$AJ875*$AL875*-2)^(1/$AJ875)))</f>
        <v/>
      </c>
      <c r="AQ875">
        <f>IF($AJ875="","",IF($AJ875=0,$AK875*EXP($AL875*-3),$AK875*(1+$AJ875*$AL875*-3)^(1/$AJ875)))</f>
        <v/>
      </c>
      <c r="AR875">
        <f>IF(OR($X875="",$T875&gt;60),"",IFERROR(INDEX(IF($T875&lt;24,pcomp_l,palt_l),MATCH($X875,IF($T875&lt;24,pcomp_k,palt_k),1)),""))</f>
        <v/>
      </c>
      <c r="AS875">
        <f>IF(OR($X875="",$T875&gt;60),"",IFERROR(INDEX(IF($T875&lt;24,pcomp_m,palt_m),MATCH($X875,IF($T875&lt;24,pcomp_k,palt_k),1)),""))</f>
        <v/>
      </c>
      <c r="AT875">
        <f>IF(OR($X875="",$T875&gt;60),"",IFERROR(INDEX(IF($T875&lt;24,pcomp_s,palt_s),MATCH($X875,IF($T875&lt;24,pcomp_k,palt_k),1)),""))</f>
        <v/>
      </c>
      <c r="AU875">
        <f>IF($AR875="","",IF($AR875=0,LN($F875/$AS875)/$AT875,((($F875/$AS875)^$AR875)-1)/($AR875*$AT875)))</f>
        <v/>
      </c>
      <c r="AV875">
        <f>IF($AR875="","",IF($AR875=0,$AS875*EXP($AT875*2),$AS875*(1+$AR875*$AT875*2)^(1/$AR875)))</f>
        <v/>
      </c>
      <c r="AW875">
        <f>IF($AR875="","",IF($AR875=0,$AS875*EXP($AT875*3),$AS875*(1+$AR875*$AT875*3)^(1/$AR875)))</f>
        <v/>
      </c>
      <c r="AX875">
        <f>IF($AR875="","",IF($AR875=0,$AS875*EXP($AT875*-2),$AS875*(1+$AR875*$AT875*-2)^(1/$AR875)))</f>
        <v/>
      </c>
      <c r="AY875">
        <f>IF($AR875="","",IF($AR875=0,$AS875*EXP($AT875*-3),$AS875*(1+$AR875*$AT875*-3)^(1/$AR875)))</f>
        <v/>
      </c>
      <c r="AZ875">
        <f>IF(OR($A875="",$A875&lt;&gt;Ficha!$C$4),"",COUNTIF($A$2:$A875,Ficha!$C$4))</f>
        <v/>
      </c>
    </row>
    <row r="876">
      <c r="A876" s="8">
        <f>IF(INDEX(Banco!$A:$A,ROW())="","",INDEX(Banco!$A:$A,ROW()))</f>
        <v/>
      </c>
      <c r="B876" s="8">
        <f>IF(INDEX(Banco!$B:$B,ROW())="","",INDEX(Banco!$B:$B,ROW()))</f>
        <v/>
      </c>
      <c r="C876" s="8">
        <f>IF(INDEX(Banco!$C:$C,ROW())="","",INDEX(Banco!$C:$C,ROW()))</f>
        <v/>
      </c>
      <c r="D876" s="9">
        <f>IF(INDEX(Banco!$D:$D,ROW())="","",INDEX(Banco!$D:$D,ROW()))</f>
        <v/>
      </c>
      <c r="E876" s="9">
        <f>IF(INDEX(Banco!$E:$E,ROW())="","",INDEX(Banco!$E:$E,ROW()))</f>
        <v/>
      </c>
      <c r="F876" s="10">
        <f>IF(INDEX(Banco!$F:$F,ROW())="","",INDEX(Banco!$F:$F,ROW()))</f>
        <v/>
      </c>
      <c r="G876" s="10">
        <f>IF(INDEX(Banco!$G:$G,ROW())="","",INDEX(Banco!$G:$G,ROW()))</f>
        <v/>
      </c>
      <c r="H876" s="8">
        <f>IF(INDEX(Banco!$H:$H,ROW())="","",INDEX(Banco!$H:$H,ROW()))</f>
        <v/>
      </c>
      <c r="I876">
        <f>IF($T876="","",INT($T876/12)&amp;"a "&amp;MOD($T876,12)&amp;"m")</f>
        <v/>
      </c>
      <c r="J876" s="11">
        <f>IF(OR($F876="",$G876=""),"",ROUND($F876/($G876/100)^2,2))</f>
        <v/>
      </c>
      <c r="K876" s="12">
        <f>IF(OR($S876="",$J876="",$T876="",$T876&lt;0,$T876&gt;228,$Y876=""),"—",ROUND(IF(ABS($AB876)&lt;=3,$AB876,IF($AB876&gt;3,3+($J876-$AD876)/($AD876-$AC876),-3+($J876-$AF876)/($AE876-$AF876))),2))</f>
        <v/>
      </c>
      <c r="L876">
        <f>IF(OR($K876="",$K876="—"),"",IF($T876&lt;=60,IF($K876&lt;-3,"Magreza acentuada",IF($K876&lt;-2,"Magreza",IF($K876&lt;=1,"Eutrofia",IF($K876&lt;=2,"Risco de sobrepeso",IF($K876&lt;=3,"Sobrepeso","Obesidade"))))),IF($K876&lt;-3,"Magreza acentuada",IF($K876&lt;-2,"Magreza",IF($K876&lt;=1,"Eutrofia",IF($K876&lt;=2,"Sobrepeso",IF($K876&lt;=3,"Obesidade","Obesidade grave")))))))</f>
        <v/>
      </c>
      <c r="M876" s="12">
        <f>IF(OR($S876="",$V876="",$T876="",$T876&lt;0,$T876&gt;228,$AG876=""),"—",ROUND(IF($AG876=0,LN($V876/$AH876)/$AI876,((($V876/$AH876)^$AG876)-1)/($AG876*$AI876)),2))</f>
        <v/>
      </c>
      <c r="N876">
        <f>IF(OR($M876="",$M876="—"),"",IF($M876&lt;-3,"Muito baixa",IF($M876&lt;-2,"Baixa","Adequada")))</f>
        <v/>
      </c>
      <c r="O876" s="12">
        <f>IF(OR($S876="",$F876="",$T876="",$T876&lt;0,$T876&gt;120,$AJ876=""),"—",ROUND(IF(ABS($AM876)&lt;=3,$AM876,IF($AM876&gt;3,3+($F876-$AO876)/($AO876-$AN876),-3+($F876-$AQ876)/($AP876-$AQ876))),2))</f>
        <v/>
      </c>
      <c r="P876">
        <f>IF(OR($O876="",$O876="—"),"",IF($O876&lt;-3,"Muito baixo",IF($O876&lt;-2,"Baixo",IF($O876&lt;=2,"Adequado","Elevado"))))</f>
        <v/>
      </c>
      <c r="Q876" s="12">
        <f>IF(OR($S876="",$F876="",$T876="",$T876&lt;0,$T876&gt;60,$AR876=""),"—",ROUND(IF(ABS($AU876)&lt;=3,$AU876,IF($AU876&gt;3,3+($F876-$AW876)/($AW876-$AV876),-3+($F876-$AY876)/($AX876-$AY876))),2))</f>
        <v/>
      </c>
      <c r="R876">
        <f>IF(OR($Q876="",$Q876="—"),"",IF($Q876&lt;-3,"Magreza acentuada",IF($Q876&lt;-2,"Magreza",IF($Q876&lt;=1,"Eutrofia",IF($Q876&lt;=2,"Risco de sobrepeso",IF($Q876&lt;=3,"Sobrepeso","Obesidade"))))))</f>
        <v/>
      </c>
      <c r="S876">
        <f>IF($C876="","",IF(UPPER(LEFT($C876,1))="M",1,IF(UPPER(LEFT($C876,1))="F",2,"")))</f>
        <v/>
      </c>
      <c r="T876">
        <f>IF(OR($D876="",$E876=""),"",DATEDIF($D876,$E876,"m"))</f>
        <v/>
      </c>
      <c r="U876">
        <f>IF(OR($D876="",$E876=""),"",$E876-$D876)</f>
        <v/>
      </c>
      <c r="V876">
        <f>IF(OR($G876="",$T876=""),"",IF($T876&lt;24,IF(LEFT(LOWER($H876),4)="em p",$G876+0.7,$G876),IF(LEFT(LOWER($H876),4)="deit",$G876-0.7,$G876)))</f>
        <v/>
      </c>
      <c r="W876">
        <f>IF(OR($S876="",$T876=""),"",$S876*1000000+IF($T876&lt;=60,$U876,$T876))</f>
        <v/>
      </c>
      <c r="X876">
        <f>IF(OR($S876="",$V876="",$T876&gt;60,$T876=""),"",$S876*1000000+ROUND($V876*10,0))</f>
        <v/>
      </c>
      <c r="Y876">
        <f>IF($W876="","",IFERROR(INDEX(IF($T876&lt;=60,imc05_l,imc519_l),MATCH($W876,IF($T876&lt;=60,imc05_k,imc519_k),1)),""))</f>
        <v/>
      </c>
      <c r="Z876">
        <f>IF($W876="","",IFERROR(INDEX(IF($T876&lt;=60,imc05_m,imc519_m),MATCH($W876,IF($T876&lt;=60,imc05_k,imc519_k),1)),""))</f>
        <v/>
      </c>
      <c r="AA876">
        <f>IF($W876="","",IFERROR(INDEX(IF($T876&lt;=60,imc05_s,imc519_s),MATCH($W876,IF($T876&lt;=60,imc05_k,imc519_k),1)),""))</f>
        <v/>
      </c>
      <c r="AB876">
        <f>IF($Y876="","",IF($Y876=0,LN($J876/$Z876)/$AA876,((($J876/$Z876)^$Y876)-1)/($Y876*$AA876)))</f>
        <v/>
      </c>
      <c r="AC876">
        <f>IF($Y876="","",IF($Y876=0,$Z876*EXP($AA876*2),$Z876*(1+$Y876*$AA876*2)^(1/$Y876)))</f>
        <v/>
      </c>
      <c r="AD876">
        <f>IF($Y876="","",IF($Y876=0,$Z876*EXP($AA876*3),$Z876*(1+$Y876*$AA876*3)^(1/$Y876)))</f>
        <v/>
      </c>
      <c r="AE876">
        <f>IF($Y876="","",IF($Y876=0,$Z876*EXP($AA876*-2),$Z876*(1+$Y876*$AA876*-2)^(1/$Y876)))</f>
        <v/>
      </c>
      <c r="AF876">
        <f>IF($Y876="","",IF($Y876=0,$Z876*EXP($AA876*-3),$Z876*(1+$Y876*$AA876*-3)^(1/$Y876)))</f>
        <v/>
      </c>
      <c r="AG876">
        <f>IF($W876="","",IFERROR(INDEX(IF($T876&lt;=60,est05_l,est519_l),MATCH($W876,IF($T876&lt;=60,est05_k,est519_k),1)),""))</f>
        <v/>
      </c>
      <c r="AH876">
        <f>IF($W876="","",IFERROR(INDEX(IF($T876&lt;=60,est05_m,est519_m),MATCH($W876,IF($T876&lt;=60,est05_k,est519_k),1)),""))</f>
        <v/>
      </c>
      <c r="AI876">
        <f>IF($W876="","",IFERROR(INDEX(IF($T876&lt;=60,est05_s,est519_s),MATCH($W876,IF($T876&lt;=60,est05_k,est519_k),1)),""))</f>
        <v/>
      </c>
      <c r="AJ876">
        <f>IF($W876="","",IFERROR(INDEX(IF($T876&lt;=60,peso05_l,peso510_l),MATCH($W876,IF($T876&lt;=60,peso05_k,peso510_k),1)),""))</f>
        <v/>
      </c>
      <c r="AK876">
        <f>IF($W876="","",IFERROR(INDEX(IF($T876&lt;=60,peso05_m,peso510_m),MATCH($W876,IF($T876&lt;=60,peso05_k,peso510_k),1)),""))</f>
        <v/>
      </c>
      <c r="AL876">
        <f>IF($W876="","",IFERROR(INDEX(IF($T876&lt;=60,peso05_s,peso510_s),MATCH($W876,IF($T876&lt;=60,peso05_k,peso510_k),1)),""))</f>
        <v/>
      </c>
      <c r="AM876">
        <f>IF($AJ876="","",IF($AJ876=0,LN($F876/$AK876)/$AL876,((($F876/$AK876)^$AJ876)-1)/($AJ876*$AL876)))</f>
        <v/>
      </c>
      <c r="AN876">
        <f>IF($AJ876="","",IF($AJ876=0,$AK876*EXP($AL876*2),$AK876*(1+$AJ876*$AL876*2)^(1/$AJ876)))</f>
        <v/>
      </c>
      <c r="AO876">
        <f>IF($AJ876="","",IF($AJ876=0,$AK876*EXP($AL876*3),$AK876*(1+$AJ876*$AL876*3)^(1/$AJ876)))</f>
        <v/>
      </c>
      <c r="AP876">
        <f>IF($AJ876="","",IF($AJ876=0,$AK876*EXP($AL876*-2),$AK876*(1+$AJ876*$AL876*-2)^(1/$AJ876)))</f>
        <v/>
      </c>
      <c r="AQ876">
        <f>IF($AJ876="","",IF($AJ876=0,$AK876*EXP($AL876*-3),$AK876*(1+$AJ876*$AL876*-3)^(1/$AJ876)))</f>
        <v/>
      </c>
      <c r="AR876">
        <f>IF(OR($X876="",$T876&gt;60),"",IFERROR(INDEX(IF($T876&lt;24,pcomp_l,palt_l),MATCH($X876,IF($T876&lt;24,pcomp_k,palt_k),1)),""))</f>
        <v/>
      </c>
      <c r="AS876">
        <f>IF(OR($X876="",$T876&gt;60),"",IFERROR(INDEX(IF($T876&lt;24,pcomp_m,palt_m),MATCH($X876,IF($T876&lt;24,pcomp_k,palt_k),1)),""))</f>
        <v/>
      </c>
      <c r="AT876">
        <f>IF(OR($X876="",$T876&gt;60),"",IFERROR(INDEX(IF($T876&lt;24,pcomp_s,palt_s),MATCH($X876,IF($T876&lt;24,pcomp_k,palt_k),1)),""))</f>
        <v/>
      </c>
      <c r="AU876">
        <f>IF($AR876="","",IF($AR876=0,LN($F876/$AS876)/$AT876,((($F876/$AS876)^$AR876)-1)/($AR876*$AT876)))</f>
        <v/>
      </c>
      <c r="AV876">
        <f>IF($AR876="","",IF($AR876=0,$AS876*EXP($AT876*2),$AS876*(1+$AR876*$AT876*2)^(1/$AR876)))</f>
        <v/>
      </c>
      <c r="AW876">
        <f>IF($AR876="","",IF($AR876=0,$AS876*EXP($AT876*3),$AS876*(1+$AR876*$AT876*3)^(1/$AR876)))</f>
        <v/>
      </c>
      <c r="AX876">
        <f>IF($AR876="","",IF($AR876=0,$AS876*EXP($AT876*-2),$AS876*(1+$AR876*$AT876*-2)^(1/$AR876)))</f>
        <v/>
      </c>
      <c r="AY876">
        <f>IF($AR876="","",IF($AR876=0,$AS876*EXP($AT876*-3),$AS876*(1+$AR876*$AT876*-3)^(1/$AR876)))</f>
        <v/>
      </c>
      <c r="AZ876">
        <f>IF(OR($A876="",$A876&lt;&gt;Ficha!$C$4),"",COUNTIF($A$2:$A876,Ficha!$C$4))</f>
        <v/>
      </c>
    </row>
    <row r="877">
      <c r="A877" s="8">
        <f>IF(INDEX(Banco!$A:$A,ROW())="","",INDEX(Banco!$A:$A,ROW()))</f>
        <v/>
      </c>
      <c r="B877" s="8">
        <f>IF(INDEX(Banco!$B:$B,ROW())="","",INDEX(Banco!$B:$B,ROW()))</f>
        <v/>
      </c>
      <c r="C877" s="8">
        <f>IF(INDEX(Banco!$C:$C,ROW())="","",INDEX(Banco!$C:$C,ROW()))</f>
        <v/>
      </c>
      <c r="D877" s="9">
        <f>IF(INDEX(Banco!$D:$D,ROW())="","",INDEX(Banco!$D:$D,ROW()))</f>
        <v/>
      </c>
      <c r="E877" s="9">
        <f>IF(INDEX(Banco!$E:$E,ROW())="","",INDEX(Banco!$E:$E,ROW()))</f>
        <v/>
      </c>
      <c r="F877" s="10">
        <f>IF(INDEX(Banco!$F:$F,ROW())="","",INDEX(Banco!$F:$F,ROW()))</f>
        <v/>
      </c>
      <c r="G877" s="10">
        <f>IF(INDEX(Banco!$G:$G,ROW())="","",INDEX(Banco!$G:$G,ROW()))</f>
        <v/>
      </c>
      <c r="H877" s="8">
        <f>IF(INDEX(Banco!$H:$H,ROW())="","",INDEX(Banco!$H:$H,ROW()))</f>
        <v/>
      </c>
      <c r="I877">
        <f>IF($T877="","",INT($T877/12)&amp;"a "&amp;MOD($T877,12)&amp;"m")</f>
        <v/>
      </c>
      <c r="J877" s="11">
        <f>IF(OR($F877="",$G877=""),"",ROUND($F877/($G877/100)^2,2))</f>
        <v/>
      </c>
      <c r="K877" s="12">
        <f>IF(OR($S877="",$J877="",$T877="",$T877&lt;0,$T877&gt;228,$Y877=""),"—",ROUND(IF(ABS($AB877)&lt;=3,$AB877,IF($AB877&gt;3,3+($J877-$AD877)/($AD877-$AC877),-3+($J877-$AF877)/($AE877-$AF877))),2))</f>
        <v/>
      </c>
      <c r="L877">
        <f>IF(OR($K877="",$K877="—"),"",IF($T877&lt;=60,IF($K877&lt;-3,"Magreza acentuada",IF($K877&lt;-2,"Magreza",IF($K877&lt;=1,"Eutrofia",IF($K877&lt;=2,"Risco de sobrepeso",IF($K877&lt;=3,"Sobrepeso","Obesidade"))))),IF($K877&lt;-3,"Magreza acentuada",IF($K877&lt;-2,"Magreza",IF($K877&lt;=1,"Eutrofia",IF($K877&lt;=2,"Sobrepeso",IF($K877&lt;=3,"Obesidade","Obesidade grave")))))))</f>
        <v/>
      </c>
      <c r="M877" s="12">
        <f>IF(OR($S877="",$V877="",$T877="",$T877&lt;0,$T877&gt;228,$AG877=""),"—",ROUND(IF($AG877=0,LN($V877/$AH877)/$AI877,((($V877/$AH877)^$AG877)-1)/($AG877*$AI877)),2))</f>
        <v/>
      </c>
      <c r="N877">
        <f>IF(OR($M877="",$M877="—"),"",IF($M877&lt;-3,"Muito baixa",IF($M877&lt;-2,"Baixa","Adequada")))</f>
        <v/>
      </c>
      <c r="O877" s="12">
        <f>IF(OR($S877="",$F877="",$T877="",$T877&lt;0,$T877&gt;120,$AJ877=""),"—",ROUND(IF(ABS($AM877)&lt;=3,$AM877,IF($AM877&gt;3,3+($F877-$AO877)/($AO877-$AN877),-3+($F877-$AQ877)/($AP877-$AQ877))),2))</f>
        <v/>
      </c>
      <c r="P877">
        <f>IF(OR($O877="",$O877="—"),"",IF($O877&lt;-3,"Muito baixo",IF($O877&lt;-2,"Baixo",IF($O877&lt;=2,"Adequado","Elevado"))))</f>
        <v/>
      </c>
      <c r="Q877" s="12">
        <f>IF(OR($S877="",$F877="",$T877="",$T877&lt;0,$T877&gt;60,$AR877=""),"—",ROUND(IF(ABS($AU877)&lt;=3,$AU877,IF($AU877&gt;3,3+($F877-$AW877)/($AW877-$AV877),-3+($F877-$AY877)/($AX877-$AY877))),2))</f>
        <v/>
      </c>
      <c r="R877">
        <f>IF(OR($Q877="",$Q877="—"),"",IF($Q877&lt;-3,"Magreza acentuada",IF($Q877&lt;-2,"Magreza",IF($Q877&lt;=1,"Eutrofia",IF($Q877&lt;=2,"Risco de sobrepeso",IF($Q877&lt;=3,"Sobrepeso","Obesidade"))))))</f>
        <v/>
      </c>
      <c r="S877">
        <f>IF($C877="","",IF(UPPER(LEFT($C877,1))="M",1,IF(UPPER(LEFT($C877,1))="F",2,"")))</f>
        <v/>
      </c>
      <c r="T877">
        <f>IF(OR($D877="",$E877=""),"",DATEDIF($D877,$E877,"m"))</f>
        <v/>
      </c>
      <c r="U877">
        <f>IF(OR($D877="",$E877=""),"",$E877-$D877)</f>
        <v/>
      </c>
      <c r="V877">
        <f>IF(OR($G877="",$T877=""),"",IF($T877&lt;24,IF(LEFT(LOWER($H877),4)="em p",$G877+0.7,$G877),IF(LEFT(LOWER($H877),4)="deit",$G877-0.7,$G877)))</f>
        <v/>
      </c>
      <c r="W877">
        <f>IF(OR($S877="",$T877=""),"",$S877*1000000+IF($T877&lt;=60,$U877,$T877))</f>
        <v/>
      </c>
      <c r="X877">
        <f>IF(OR($S877="",$V877="",$T877&gt;60,$T877=""),"",$S877*1000000+ROUND($V877*10,0))</f>
        <v/>
      </c>
      <c r="Y877">
        <f>IF($W877="","",IFERROR(INDEX(IF($T877&lt;=60,imc05_l,imc519_l),MATCH($W877,IF($T877&lt;=60,imc05_k,imc519_k),1)),""))</f>
        <v/>
      </c>
      <c r="Z877">
        <f>IF($W877="","",IFERROR(INDEX(IF($T877&lt;=60,imc05_m,imc519_m),MATCH($W877,IF($T877&lt;=60,imc05_k,imc519_k),1)),""))</f>
        <v/>
      </c>
      <c r="AA877">
        <f>IF($W877="","",IFERROR(INDEX(IF($T877&lt;=60,imc05_s,imc519_s),MATCH($W877,IF($T877&lt;=60,imc05_k,imc519_k),1)),""))</f>
        <v/>
      </c>
      <c r="AB877">
        <f>IF($Y877="","",IF($Y877=0,LN($J877/$Z877)/$AA877,((($J877/$Z877)^$Y877)-1)/($Y877*$AA877)))</f>
        <v/>
      </c>
      <c r="AC877">
        <f>IF($Y877="","",IF($Y877=0,$Z877*EXP($AA877*2),$Z877*(1+$Y877*$AA877*2)^(1/$Y877)))</f>
        <v/>
      </c>
      <c r="AD877">
        <f>IF($Y877="","",IF($Y877=0,$Z877*EXP($AA877*3),$Z877*(1+$Y877*$AA877*3)^(1/$Y877)))</f>
        <v/>
      </c>
      <c r="AE877">
        <f>IF($Y877="","",IF($Y877=0,$Z877*EXP($AA877*-2),$Z877*(1+$Y877*$AA877*-2)^(1/$Y877)))</f>
        <v/>
      </c>
      <c r="AF877">
        <f>IF($Y877="","",IF($Y877=0,$Z877*EXP($AA877*-3),$Z877*(1+$Y877*$AA877*-3)^(1/$Y877)))</f>
        <v/>
      </c>
      <c r="AG877">
        <f>IF($W877="","",IFERROR(INDEX(IF($T877&lt;=60,est05_l,est519_l),MATCH($W877,IF($T877&lt;=60,est05_k,est519_k),1)),""))</f>
        <v/>
      </c>
      <c r="AH877">
        <f>IF($W877="","",IFERROR(INDEX(IF($T877&lt;=60,est05_m,est519_m),MATCH($W877,IF($T877&lt;=60,est05_k,est519_k),1)),""))</f>
        <v/>
      </c>
      <c r="AI877">
        <f>IF($W877="","",IFERROR(INDEX(IF($T877&lt;=60,est05_s,est519_s),MATCH($W877,IF($T877&lt;=60,est05_k,est519_k),1)),""))</f>
        <v/>
      </c>
      <c r="AJ877">
        <f>IF($W877="","",IFERROR(INDEX(IF($T877&lt;=60,peso05_l,peso510_l),MATCH($W877,IF($T877&lt;=60,peso05_k,peso510_k),1)),""))</f>
        <v/>
      </c>
      <c r="AK877">
        <f>IF($W877="","",IFERROR(INDEX(IF($T877&lt;=60,peso05_m,peso510_m),MATCH($W877,IF($T877&lt;=60,peso05_k,peso510_k),1)),""))</f>
        <v/>
      </c>
      <c r="AL877">
        <f>IF($W877="","",IFERROR(INDEX(IF($T877&lt;=60,peso05_s,peso510_s),MATCH($W877,IF($T877&lt;=60,peso05_k,peso510_k),1)),""))</f>
        <v/>
      </c>
      <c r="AM877">
        <f>IF($AJ877="","",IF($AJ877=0,LN($F877/$AK877)/$AL877,((($F877/$AK877)^$AJ877)-1)/($AJ877*$AL877)))</f>
        <v/>
      </c>
      <c r="AN877">
        <f>IF($AJ877="","",IF($AJ877=0,$AK877*EXP($AL877*2),$AK877*(1+$AJ877*$AL877*2)^(1/$AJ877)))</f>
        <v/>
      </c>
      <c r="AO877">
        <f>IF($AJ877="","",IF($AJ877=0,$AK877*EXP($AL877*3),$AK877*(1+$AJ877*$AL877*3)^(1/$AJ877)))</f>
        <v/>
      </c>
      <c r="AP877">
        <f>IF($AJ877="","",IF($AJ877=0,$AK877*EXP($AL877*-2),$AK877*(1+$AJ877*$AL877*-2)^(1/$AJ877)))</f>
        <v/>
      </c>
      <c r="AQ877">
        <f>IF($AJ877="","",IF($AJ877=0,$AK877*EXP($AL877*-3),$AK877*(1+$AJ877*$AL877*-3)^(1/$AJ877)))</f>
        <v/>
      </c>
      <c r="AR877">
        <f>IF(OR($X877="",$T877&gt;60),"",IFERROR(INDEX(IF($T877&lt;24,pcomp_l,palt_l),MATCH($X877,IF($T877&lt;24,pcomp_k,palt_k),1)),""))</f>
        <v/>
      </c>
      <c r="AS877">
        <f>IF(OR($X877="",$T877&gt;60),"",IFERROR(INDEX(IF($T877&lt;24,pcomp_m,palt_m),MATCH($X877,IF($T877&lt;24,pcomp_k,palt_k),1)),""))</f>
        <v/>
      </c>
      <c r="AT877">
        <f>IF(OR($X877="",$T877&gt;60),"",IFERROR(INDEX(IF($T877&lt;24,pcomp_s,palt_s),MATCH($X877,IF($T877&lt;24,pcomp_k,palt_k),1)),""))</f>
        <v/>
      </c>
      <c r="AU877">
        <f>IF($AR877="","",IF($AR877=0,LN($F877/$AS877)/$AT877,((($F877/$AS877)^$AR877)-1)/($AR877*$AT877)))</f>
        <v/>
      </c>
      <c r="AV877">
        <f>IF($AR877="","",IF($AR877=0,$AS877*EXP($AT877*2),$AS877*(1+$AR877*$AT877*2)^(1/$AR877)))</f>
        <v/>
      </c>
      <c r="AW877">
        <f>IF($AR877="","",IF($AR877=0,$AS877*EXP($AT877*3),$AS877*(1+$AR877*$AT877*3)^(1/$AR877)))</f>
        <v/>
      </c>
      <c r="AX877">
        <f>IF($AR877="","",IF($AR877=0,$AS877*EXP($AT877*-2),$AS877*(1+$AR877*$AT877*-2)^(1/$AR877)))</f>
        <v/>
      </c>
      <c r="AY877">
        <f>IF($AR877="","",IF($AR877=0,$AS877*EXP($AT877*-3),$AS877*(1+$AR877*$AT877*-3)^(1/$AR877)))</f>
        <v/>
      </c>
      <c r="AZ877">
        <f>IF(OR($A877="",$A877&lt;&gt;Ficha!$C$4),"",COUNTIF($A$2:$A877,Ficha!$C$4))</f>
        <v/>
      </c>
    </row>
    <row r="878">
      <c r="A878" s="8">
        <f>IF(INDEX(Banco!$A:$A,ROW())="","",INDEX(Banco!$A:$A,ROW()))</f>
        <v/>
      </c>
      <c r="B878" s="8">
        <f>IF(INDEX(Banco!$B:$B,ROW())="","",INDEX(Banco!$B:$B,ROW()))</f>
        <v/>
      </c>
      <c r="C878" s="8">
        <f>IF(INDEX(Banco!$C:$C,ROW())="","",INDEX(Banco!$C:$C,ROW()))</f>
        <v/>
      </c>
      <c r="D878" s="9">
        <f>IF(INDEX(Banco!$D:$D,ROW())="","",INDEX(Banco!$D:$D,ROW()))</f>
        <v/>
      </c>
      <c r="E878" s="9">
        <f>IF(INDEX(Banco!$E:$E,ROW())="","",INDEX(Banco!$E:$E,ROW()))</f>
        <v/>
      </c>
      <c r="F878" s="10">
        <f>IF(INDEX(Banco!$F:$F,ROW())="","",INDEX(Banco!$F:$F,ROW()))</f>
        <v/>
      </c>
      <c r="G878" s="10">
        <f>IF(INDEX(Banco!$G:$G,ROW())="","",INDEX(Banco!$G:$G,ROW()))</f>
        <v/>
      </c>
      <c r="H878" s="8">
        <f>IF(INDEX(Banco!$H:$H,ROW())="","",INDEX(Banco!$H:$H,ROW()))</f>
        <v/>
      </c>
      <c r="I878">
        <f>IF($T878="","",INT($T878/12)&amp;"a "&amp;MOD($T878,12)&amp;"m")</f>
        <v/>
      </c>
      <c r="J878" s="11">
        <f>IF(OR($F878="",$G878=""),"",ROUND($F878/($G878/100)^2,2))</f>
        <v/>
      </c>
      <c r="K878" s="12">
        <f>IF(OR($S878="",$J878="",$T878="",$T878&lt;0,$T878&gt;228,$Y878=""),"—",ROUND(IF(ABS($AB878)&lt;=3,$AB878,IF($AB878&gt;3,3+($J878-$AD878)/($AD878-$AC878),-3+($J878-$AF878)/($AE878-$AF878))),2))</f>
        <v/>
      </c>
      <c r="L878">
        <f>IF(OR($K878="",$K878="—"),"",IF($T878&lt;=60,IF($K878&lt;-3,"Magreza acentuada",IF($K878&lt;-2,"Magreza",IF($K878&lt;=1,"Eutrofia",IF($K878&lt;=2,"Risco de sobrepeso",IF($K878&lt;=3,"Sobrepeso","Obesidade"))))),IF($K878&lt;-3,"Magreza acentuada",IF($K878&lt;-2,"Magreza",IF($K878&lt;=1,"Eutrofia",IF($K878&lt;=2,"Sobrepeso",IF($K878&lt;=3,"Obesidade","Obesidade grave")))))))</f>
        <v/>
      </c>
      <c r="M878" s="12">
        <f>IF(OR($S878="",$V878="",$T878="",$T878&lt;0,$T878&gt;228,$AG878=""),"—",ROUND(IF($AG878=0,LN($V878/$AH878)/$AI878,((($V878/$AH878)^$AG878)-1)/($AG878*$AI878)),2))</f>
        <v/>
      </c>
      <c r="N878">
        <f>IF(OR($M878="",$M878="—"),"",IF($M878&lt;-3,"Muito baixa",IF($M878&lt;-2,"Baixa","Adequada")))</f>
        <v/>
      </c>
      <c r="O878" s="12">
        <f>IF(OR($S878="",$F878="",$T878="",$T878&lt;0,$T878&gt;120,$AJ878=""),"—",ROUND(IF(ABS($AM878)&lt;=3,$AM878,IF($AM878&gt;3,3+($F878-$AO878)/($AO878-$AN878),-3+($F878-$AQ878)/($AP878-$AQ878))),2))</f>
        <v/>
      </c>
      <c r="P878">
        <f>IF(OR($O878="",$O878="—"),"",IF($O878&lt;-3,"Muito baixo",IF($O878&lt;-2,"Baixo",IF($O878&lt;=2,"Adequado","Elevado"))))</f>
        <v/>
      </c>
      <c r="Q878" s="12">
        <f>IF(OR($S878="",$F878="",$T878="",$T878&lt;0,$T878&gt;60,$AR878=""),"—",ROUND(IF(ABS($AU878)&lt;=3,$AU878,IF($AU878&gt;3,3+($F878-$AW878)/($AW878-$AV878),-3+($F878-$AY878)/($AX878-$AY878))),2))</f>
        <v/>
      </c>
      <c r="R878">
        <f>IF(OR($Q878="",$Q878="—"),"",IF($Q878&lt;-3,"Magreza acentuada",IF($Q878&lt;-2,"Magreza",IF($Q878&lt;=1,"Eutrofia",IF($Q878&lt;=2,"Risco de sobrepeso",IF($Q878&lt;=3,"Sobrepeso","Obesidade"))))))</f>
        <v/>
      </c>
      <c r="S878">
        <f>IF($C878="","",IF(UPPER(LEFT($C878,1))="M",1,IF(UPPER(LEFT($C878,1))="F",2,"")))</f>
        <v/>
      </c>
      <c r="T878">
        <f>IF(OR($D878="",$E878=""),"",DATEDIF($D878,$E878,"m"))</f>
        <v/>
      </c>
      <c r="U878">
        <f>IF(OR($D878="",$E878=""),"",$E878-$D878)</f>
        <v/>
      </c>
      <c r="V878">
        <f>IF(OR($G878="",$T878=""),"",IF($T878&lt;24,IF(LEFT(LOWER($H878),4)="em p",$G878+0.7,$G878),IF(LEFT(LOWER($H878),4)="deit",$G878-0.7,$G878)))</f>
        <v/>
      </c>
      <c r="W878">
        <f>IF(OR($S878="",$T878=""),"",$S878*1000000+IF($T878&lt;=60,$U878,$T878))</f>
        <v/>
      </c>
      <c r="X878">
        <f>IF(OR($S878="",$V878="",$T878&gt;60,$T878=""),"",$S878*1000000+ROUND($V878*10,0))</f>
        <v/>
      </c>
      <c r="Y878">
        <f>IF($W878="","",IFERROR(INDEX(IF($T878&lt;=60,imc05_l,imc519_l),MATCH($W878,IF($T878&lt;=60,imc05_k,imc519_k),1)),""))</f>
        <v/>
      </c>
      <c r="Z878">
        <f>IF($W878="","",IFERROR(INDEX(IF($T878&lt;=60,imc05_m,imc519_m),MATCH($W878,IF($T878&lt;=60,imc05_k,imc519_k),1)),""))</f>
        <v/>
      </c>
      <c r="AA878">
        <f>IF($W878="","",IFERROR(INDEX(IF($T878&lt;=60,imc05_s,imc519_s),MATCH($W878,IF($T878&lt;=60,imc05_k,imc519_k),1)),""))</f>
        <v/>
      </c>
      <c r="AB878">
        <f>IF($Y878="","",IF($Y878=0,LN($J878/$Z878)/$AA878,((($J878/$Z878)^$Y878)-1)/($Y878*$AA878)))</f>
        <v/>
      </c>
      <c r="AC878">
        <f>IF($Y878="","",IF($Y878=0,$Z878*EXP($AA878*2),$Z878*(1+$Y878*$AA878*2)^(1/$Y878)))</f>
        <v/>
      </c>
      <c r="AD878">
        <f>IF($Y878="","",IF($Y878=0,$Z878*EXP($AA878*3),$Z878*(1+$Y878*$AA878*3)^(1/$Y878)))</f>
        <v/>
      </c>
      <c r="AE878">
        <f>IF($Y878="","",IF($Y878=0,$Z878*EXP($AA878*-2),$Z878*(1+$Y878*$AA878*-2)^(1/$Y878)))</f>
        <v/>
      </c>
      <c r="AF878">
        <f>IF($Y878="","",IF($Y878=0,$Z878*EXP($AA878*-3),$Z878*(1+$Y878*$AA878*-3)^(1/$Y878)))</f>
        <v/>
      </c>
      <c r="AG878">
        <f>IF($W878="","",IFERROR(INDEX(IF($T878&lt;=60,est05_l,est519_l),MATCH($W878,IF($T878&lt;=60,est05_k,est519_k),1)),""))</f>
        <v/>
      </c>
      <c r="AH878">
        <f>IF($W878="","",IFERROR(INDEX(IF($T878&lt;=60,est05_m,est519_m),MATCH($W878,IF($T878&lt;=60,est05_k,est519_k),1)),""))</f>
        <v/>
      </c>
      <c r="AI878">
        <f>IF($W878="","",IFERROR(INDEX(IF($T878&lt;=60,est05_s,est519_s),MATCH($W878,IF($T878&lt;=60,est05_k,est519_k),1)),""))</f>
        <v/>
      </c>
      <c r="AJ878">
        <f>IF($W878="","",IFERROR(INDEX(IF($T878&lt;=60,peso05_l,peso510_l),MATCH($W878,IF($T878&lt;=60,peso05_k,peso510_k),1)),""))</f>
        <v/>
      </c>
      <c r="AK878">
        <f>IF($W878="","",IFERROR(INDEX(IF($T878&lt;=60,peso05_m,peso510_m),MATCH($W878,IF($T878&lt;=60,peso05_k,peso510_k),1)),""))</f>
        <v/>
      </c>
      <c r="AL878">
        <f>IF($W878="","",IFERROR(INDEX(IF($T878&lt;=60,peso05_s,peso510_s),MATCH($W878,IF($T878&lt;=60,peso05_k,peso510_k),1)),""))</f>
        <v/>
      </c>
      <c r="AM878">
        <f>IF($AJ878="","",IF($AJ878=0,LN($F878/$AK878)/$AL878,((($F878/$AK878)^$AJ878)-1)/($AJ878*$AL878)))</f>
        <v/>
      </c>
      <c r="AN878">
        <f>IF($AJ878="","",IF($AJ878=0,$AK878*EXP($AL878*2),$AK878*(1+$AJ878*$AL878*2)^(1/$AJ878)))</f>
        <v/>
      </c>
      <c r="AO878">
        <f>IF($AJ878="","",IF($AJ878=0,$AK878*EXP($AL878*3),$AK878*(1+$AJ878*$AL878*3)^(1/$AJ878)))</f>
        <v/>
      </c>
      <c r="AP878">
        <f>IF($AJ878="","",IF($AJ878=0,$AK878*EXP($AL878*-2),$AK878*(1+$AJ878*$AL878*-2)^(1/$AJ878)))</f>
        <v/>
      </c>
      <c r="AQ878">
        <f>IF($AJ878="","",IF($AJ878=0,$AK878*EXP($AL878*-3),$AK878*(1+$AJ878*$AL878*-3)^(1/$AJ878)))</f>
        <v/>
      </c>
      <c r="AR878">
        <f>IF(OR($X878="",$T878&gt;60),"",IFERROR(INDEX(IF($T878&lt;24,pcomp_l,palt_l),MATCH($X878,IF($T878&lt;24,pcomp_k,palt_k),1)),""))</f>
        <v/>
      </c>
      <c r="AS878">
        <f>IF(OR($X878="",$T878&gt;60),"",IFERROR(INDEX(IF($T878&lt;24,pcomp_m,palt_m),MATCH($X878,IF($T878&lt;24,pcomp_k,palt_k),1)),""))</f>
        <v/>
      </c>
      <c r="AT878">
        <f>IF(OR($X878="",$T878&gt;60),"",IFERROR(INDEX(IF($T878&lt;24,pcomp_s,palt_s),MATCH($X878,IF($T878&lt;24,pcomp_k,palt_k),1)),""))</f>
        <v/>
      </c>
      <c r="AU878">
        <f>IF($AR878="","",IF($AR878=0,LN($F878/$AS878)/$AT878,((($F878/$AS878)^$AR878)-1)/($AR878*$AT878)))</f>
        <v/>
      </c>
      <c r="AV878">
        <f>IF($AR878="","",IF($AR878=0,$AS878*EXP($AT878*2),$AS878*(1+$AR878*$AT878*2)^(1/$AR878)))</f>
        <v/>
      </c>
      <c r="AW878">
        <f>IF($AR878="","",IF($AR878=0,$AS878*EXP($AT878*3),$AS878*(1+$AR878*$AT878*3)^(1/$AR878)))</f>
        <v/>
      </c>
      <c r="AX878">
        <f>IF($AR878="","",IF($AR878=0,$AS878*EXP($AT878*-2),$AS878*(1+$AR878*$AT878*-2)^(1/$AR878)))</f>
        <v/>
      </c>
      <c r="AY878">
        <f>IF($AR878="","",IF($AR878=0,$AS878*EXP($AT878*-3),$AS878*(1+$AR878*$AT878*-3)^(1/$AR878)))</f>
        <v/>
      </c>
      <c r="AZ878">
        <f>IF(OR($A878="",$A878&lt;&gt;Ficha!$C$4),"",COUNTIF($A$2:$A878,Ficha!$C$4))</f>
        <v/>
      </c>
    </row>
    <row r="879">
      <c r="A879" s="8">
        <f>IF(INDEX(Banco!$A:$A,ROW())="","",INDEX(Banco!$A:$A,ROW()))</f>
        <v/>
      </c>
      <c r="B879" s="8">
        <f>IF(INDEX(Banco!$B:$B,ROW())="","",INDEX(Banco!$B:$B,ROW()))</f>
        <v/>
      </c>
      <c r="C879" s="8">
        <f>IF(INDEX(Banco!$C:$C,ROW())="","",INDEX(Banco!$C:$C,ROW()))</f>
        <v/>
      </c>
      <c r="D879" s="9">
        <f>IF(INDEX(Banco!$D:$D,ROW())="","",INDEX(Banco!$D:$D,ROW()))</f>
        <v/>
      </c>
      <c r="E879" s="9">
        <f>IF(INDEX(Banco!$E:$E,ROW())="","",INDEX(Banco!$E:$E,ROW()))</f>
        <v/>
      </c>
      <c r="F879" s="10">
        <f>IF(INDEX(Banco!$F:$F,ROW())="","",INDEX(Banco!$F:$F,ROW()))</f>
        <v/>
      </c>
      <c r="G879" s="10">
        <f>IF(INDEX(Banco!$G:$G,ROW())="","",INDEX(Banco!$G:$G,ROW()))</f>
        <v/>
      </c>
      <c r="H879" s="8">
        <f>IF(INDEX(Banco!$H:$H,ROW())="","",INDEX(Banco!$H:$H,ROW()))</f>
        <v/>
      </c>
      <c r="I879">
        <f>IF($T879="","",INT($T879/12)&amp;"a "&amp;MOD($T879,12)&amp;"m")</f>
        <v/>
      </c>
      <c r="J879" s="11">
        <f>IF(OR($F879="",$G879=""),"",ROUND($F879/($G879/100)^2,2))</f>
        <v/>
      </c>
      <c r="K879" s="12">
        <f>IF(OR($S879="",$J879="",$T879="",$T879&lt;0,$T879&gt;228,$Y879=""),"—",ROUND(IF(ABS($AB879)&lt;=3,$AB879,IF($AB879&gt;3,3+($J879-$AD879)/($AD879-$AC879),-3+($J879-$AF879)/($AE879-$AF879))),2))</f>
        <v/>
      </c>
      <c r="L879">
        <f>IF(OR($K879="",$K879="—"),"",IF($T879&lt;=60,IF($K879&lt;-3,"Magreza acentuada",IF($K879&lt;-2,"Magreza",IF($K879&lt;=1,"Eutrofia",IF($K879&lt;=2,"Risco de sobrepeso",IF($K879&lt;=3,"Sobrepeso","Obesidade"))))),IF($K879&lt;-3,"Magreza acentuada",IF($K879&lt;-2,"Magreza",IF($K879&lt;=1,"Eutrofia",IF($K879&lt;=2,"Sobrepeso",IF($K879&lt;=3,"Obesidade","Obesidade grave")))))))</f>
        <v/>
      </c>
      <c r="M879" s="12">
        <f>IF(OR($S879="",$V879="",$T879="",$T879&lt;0,$T879&gt;228,$AG879=""),"—",ROUND(IF($AG879=0,LN($V879/$AH879)/$AI879,((($V879/$AH879)^$AG879)-1)/($AG879*$AI879)),2))</f>
        <v/>
      </c>
      <c r="N879">
        <f>IF(OR($M879="",$M879="—"),"",IF($M879&lt;-3,"Muito baixa",IF($M879&lt;-2,"Baixa","Adequada")))</f>
        <v/>
      </c>
      <c r="O879" s="12">
        <f>IF(OR($S879="",$F879="",$T879="",$T879&lt;0,$T879&gt;120,$AJ879=""),"—",ROUND(IF(ABS($AM879)&lt;=3,$AM879,IF($AM879&gt;3,3+($F879-$AO879)/($AO879-$AN879),-3+($F879-$AQ879)/($AP879-$AQ879))),2))</f>
        <v/>
      </c>
      <c r="P879">
        <f>IF(OR($O879="",$O879="—"),"",IF($O879&lt;-3,"Muito baixo",IF($O879&lt;-2,"Baixo",IF($O879&lt;=2,"Adequado","Elevado"))))</f>
        <v/>
      </c>
      <c r="Q879" s="12">
        <f>IF(OR($S879="",$F879="",$T879="",$T879&lt;0,$T879&gt;60,$AR879=""),"—",ROUND(IF(ABS($AU879)&lt;=3,$AU879,IF($AU879&gt;3,3+($F879-$AW879)/($AW879-$AV879),-3+($F879-$AY879)/($AX879-$AY879))),2))</f>
        <v/>
      </c>
      <c r="R879">
        <f>IF(OR($Q879="",$Q879="—"),"",IF($Q879&lt;-3,"Magreza acentuada",IF($Q879&lt;-2,"Magreza",IF($Q879&lt;=1,"Eutrofia",IF($Q879&lt;=2,"Risco de sobrepeso",IF($Q879&lt;=3,"Sobrepeso","Obesidade"))))))</f>
        <v/>
      </c>
      <c r="S879">
        <f>IF($C879="","",IF(UPPER(LEFT($C879,1))="M",1,IF(UPPER(LEFT($C879,1))="F",2,"")))</f>
        <v/>
      </c>
      <c r="T879">
        <f>IF(OR($D879="",$E879=""),"",DATEDIF($D879,$E879,"m"))</f>
        <v/>
      </c>
      <c r="U879">
        <f>IF(OR($D879="",$E879=""),"",$E879-$D879)</f>
        <v/>
      </c>
      <c r="V879">
        <f>IF(OR($G879="",$T879=""),"",IF($T879&lt;24,IF(LEFT(LOWER($H879),4)="em p",$G879+0.7,$G879),IF(LEFT(LOWER($H879),4)="deit",$G879-0.7,$G879)))</f>
        <v/>
      </c>
      <c r="W879">
        <f>IF(OR($S879="",$T879=""),"",$S879*1000000+IF($T879&lt;=60,$U879,$T879))</f>
        <v/>
      </c>
      <c r="X879">
        <f>IF(OR($S879="",$V879="",$T879&gt;60,$T879=""),"",$S879*1000000+ROUND($V879*10,0))</f>
        <v/>
      </c>
      <c r="Y879">
        <f>IF($W879="","",IFERROR(INDEX(IF($T879&lt;=60,imc05_l,imc519_l),MATCH($W879,IF($T879&lt;=60,imc05_k,imc519_k),1)),""))</f>
        <v/>
      </c>
      <c r="Z879">
        <f>IF($W879="","",IFERROR(INDEX(IF($T879&lt;=60,imc05_m,imc519_m),MATCH($W879,IF($T879&lt;=60,imc05_k,imc519_k),1)),""))</f>
        <v/>
      </c>
      <c r="AA879">
        <f>IF($W879="","",IFERROR(INDEX(IF($T879&lt;=60,imc05_s,imc519_s),MATCH($W879,IF($T879&lt;=60,imc05_k,imc519_k),1)),""))</f>
        <v/>
      </c>
      <c r="AB879">
        <f>IF($Y879="","",IF($Y879=0,LN($J879/$Z879)/$AA879,((($J879/$Z879)^$Y879)-1)/($Y879*$AA879)))</f>
        <v/>
      </c>
      <c r="AC879">
        <f>IF($Y879="","",IF($Y879=0,$Z879*EXP($AA879*2),$Z879*(1+$Y879*$AA879*2)^(1/$Y879)))</f>
        <v/>
      </c>
      <c r="AD879">
        <f>IF($Y879="","",IF($Y879=0,$Z879*EXP($AA879*3),$Z879*(1+$Y879*$AA879*3)^(1/$Y879)))</f>
        <v/>
      </c>
      <c r="AE879">
        <f>IF($Y879="","",IF($Y879=0,$Z879*EXP($AA879*-2),$Z879*(1+$Y879*$AA879*-2)^(1/$Y879)))</f>
        <v/>
      </c>
      <c r="AF879">
        <f>IF($Y879="","",IF($Y879=0,$Z879*EXP($AA879*-3),$Z879*(1+$Y879*$AA879*-3)^(1/$Y879)))</f>
        <v/>
      </c>
      <c r="AG879">
        <f>IF($W879="","",IFERROR(INDEX(IF($T879&lt;=60,est05_l,est519_l),MATCH($W879,IF($T879&lt;=60,est05_k,est519_k),1)),""))</f>
        <v/>
      </c>
      <c r="AH879">
        <f>IF($W879="","",IFERROR(INDEX(IF($T879&lt;=60,est05_m,est519_m),MATCH($W879,IF($T879&lt;=60,est05_k,est519_k),1)),""))</f>
        <v/>
      </c>
      <c r="AI879">
        <f>IF($W879="","",IFERROR(INDEX(IF($T879&lt;=60,est05_s,est519_s),MATCH($W879,IF($T879&lt;=60,est05_k,est519_k),1)),""))</f>
        <v/>
      </c>
      <c r="AJ879">
        <f>IF($W879="","",IFERROR(INDEX(IF($T879&lt;=60,peso05_l,peso510_l),MATCH($W879,IF($T879&lt;=60,peso05_k,peso510_k),1)),""))</f>
        <v/>
      </c>
      <c r="AK879">
        <f>IF($W879="","",IFERROR(INDEX(IF($T879&lt;=60,peso05_m,peso510_m),MATCH($W879,IF($T879&lt;=60,peso05_k,peso510_k),1)),""))</f>
        <v/>
      </c>
      <c r="AL879">
        <f>IF($W879="","",IFERROR(INDEX(IF($T879&lt;=60,peso05_s,peso510_s),MATCH($W879,IF($T879&lt;=60,peso05_k,peso510_k),1)),""))</f>
        <v/>
      </c>
      <c r="AM879">
        <f>IF($AJ879="","",IF($AJ879=0,LN($F879/$AK879)/$AL879,((($F879/$AK879)^$AJ879)-1)/($AJ879*$AL879)))</f>
        <v/>
      </c>
      <c r="AN879">
        <f>IF($AJ879="","",IF($AJ879=0,$AK879*EXP($AL879*2),$AK879*(1+$AJ879*$AL879*2)^(1/$AJ879)))</f>
        <v/>
      </c>
      <c r="AO879">
        <f>IF($AJ879="","",IF($AJ879=0,$AK879*EXP($AL879*3),$AK879*(1+$AJ879*$AL879*3)^(1/$AJ879)))</f>
        <v/>
      </c>
      <c r="AP879">
        <f>IF($AJ879="","",IF($AJ879=0,$AK879*EXP($AL879*-2),$AK879*(1+$AJ879*$AL879*-2)^(1/$AJ879)))</f>
        <v/>
      </c>
      <c r="AQ879">
        <f>IF($AJ879="","",IF($AJ879=0,$AK879*EXP($AL879*-3),$AK879*(1+$AJ879*$AL879*-3)^(1/$AJ879)))</f>
        <v/>
      </c>
      <c r="AR879">
        <f>IF(OR($X879="",$T879&gt;60),"",IFERROR(INDEX(IF($T879&lt;24,pcomp_l,palt_l),MATCH($X879,IF($T879&lt;24,pcomp_k,palt_k),1)),""))</f>
        <v/>
      </c>
      <c r="AS879">
        <f>IF(OR($X879="",$T879&gt;60),"",IFERROR(INDEX(IF($T879&lt;24,pcomp_m,palt_m),MATCH($X879,IF($T879&lt;24,pcomp_k,palt_k),1)),""))</f>
        <v/>
      </c>
      <c r="AT879">
        <f>IF(OR($X879="",$T879&gt;60),"",IFERROR(INDEX(IF($T879&lt;24,pcomp_s,palt_s),MATCH($X879,IF($T879&lt;24,pcomp_k,palt_k),1)),""))</f>
        <v/>
      </c>
      <c r="AU879">
        <f>IF($AR879="","",IF($AR879=0,LN($F879/$AS879)/$AT879,((($F879/$AS879)^$AR879)-1)/($AR879*$AT879)))</f>
        <v/>
      </c>
      <c r="AV879">
        <f>IF($AR879="","",IF($AR879=0,$AS879*EXP($AT879*2),$AS879*(1+$AR879*$AT879*2)^(1/$AR879)))</f>
        <v/>
      </c>
      <c r="AW879">
        <f>IF($AR879="","",IF($AR879=0,$AS879*EXP($AT879*3),$AS879*(1+$AR879*$AT879*3)^(1/$AR879)))</f>
        <v/>
      </c>
      <c r="AX879">
        <f>IF($AR879="","",IF($AR879=0,$AS879*EXP($AT879*-2),$AS879*(1+$AR879*$AT879*-2)^(1/$AR879)))</f>
        <v/>
      </c>
      <c r="AY879">
        <f>IF($AR879="","",IF($AR879=0,$AS879*EXP($AT879*-3),$AS879*(1+$AR879*$AT879*-3)^(1/$AR879)))</f>
        <v/>
      </c>
      <c r="AZ879">
        <f>IF(OR($A879="",$A879&lt;&gt;Ficha!$C$4),"",COUNTIF($A$2:$A879,Ficha!$C$4))</f>
        <v/>
      </c>
    </row>
    <row r="880">
      <c r="A880" s="8">
        <f>IF(INDEX(Banco!$A:$A,ROW())="","",INDEX(Banco!$A:$A,ROW()))</f>
        <v/>
      </c>
      <c r="B880" s="8">
        <f>IF(INDEX(Banco!$B:$B,ROW())="","",INDEX(Banco!$B:$B,ROW()))</f>
        <v/>
      </c>
      <c r="C880" s="8">
        <f>IF(INDEX(Banco!$C:$C,ROW())="","",INDEX(Banco!$C:$C,ROW()))</f>
        <v/>
      </c>
      <c r="D880" s="9">
        <f>IF(INDEX(Banco!$D:$D,ROW())="","",INDEX(Banco!$D:$D,ROW()))</f>
        <v/>
      </c>
      <c r="E880" s="9">
        <f>IF(INDEX(Banco!$E:$E,ROW())="","",INDEX(Banco!$E:$E,ROW()))</f>
        <v/>
      </c>
      <c r="F880" s="10">
        <f>IF(INDEX(Banco!$F:$F,ROW())="","",INDEX(Banco!$F:$F,ROW()))</f>
        <v/>
      </c>
      <c r="G880" s="10">
        <f>IF(INDEX(Banco!$G:$G,ROW())="","",INDEX(Banco!$G:$G,ROW()))</f>
        <v/>
      </c>
      <c r="H880" s="8">
        <f>IF(INDEX(Banco!$H:$H,ROW())="","",INDEX(Banco!$H:$H,ROW()))</f>
        <v/>
      </c>
      <c r="I880">
        <f>IF($T880="","",INT($T880/12)&amp;"a "&amp;MOD($T880,12)&amp;"m")</f>
        <v/>
      </c>
      <c r="J880" s="11">
        <f>IF(OR($F880="",$G880=""),"",ROUND($F880/($G880/100)^2,2))</f>
        <v/>
      </c>
      <c r="K880" s="12">
        <f>IF(OR($S880="",$J880="",$T880="",$T880&lt;0,$T880&gt;228,$Y880=""),"—",ROUND(IF(ABS($AB880)&lt;=3,$AB880,IF($AB880&gt;3,3+($J880-$AD880)/($AD880-$AC880),-3+($J880-$AF880)/($AE880-$AF880))),2))</f>
        <v/>
      </c>
      <c r="L880">
        <f>IF(OR($K880="",$K880="—"),"",IF($T880&lt;=60,IF($K880&lt;-3,"Magreza acentuada",IF($K880&lt;-2,"Magreza",IF($K880&lt;=1,"Eutrofia",IF($K880&lt;=2,"Risco de sobrepeso",IF($K880&lt;=3,"Sobrepeso","Obesidade"))))),IF($K880&lt;-3,"Magreza acentuada",IF($K880&lt;-2,"Magreza",IF($K880&lt;=1,"Eutrofia",IF($K880&lt;=2,"Sobrepeso",IF($K880&lt;=3,"Obesidade","Obesidade grave")))))))</f>
        <v/>
      </c>
      <c r="M880" s="12">
        <f>IF(OR($S880="",$V880="",$T880="",$T880&lt;0,$T880&gt;228,$AG880=""),"—",ROUND(IF($AG880=0,LN($V880/$AH880)/$AI880,((($V880/$AH880)^$AG880)-1)/($AG880*$AI880)),2))</f>
        <v/>
      </c>
      <c r="N880">
        <f>IF(OR($M880="",$M880="—"),"",IF($M880&lt;-3,"Muito baixa",IF($M880&lt;-2,"Baixa","Adequada")))</f>
        <v/>
      </c>
      <c r="O880" s="12">
        <f>IF(OR($S880="",$F880="",$T880="",$T880&lt;0,$T880&gt;120,$AJ880=""),"—",ROUND(IF(ABS($AM880)&lt;=3,$AM880,IF($AM880&gt;3,3+($F880-$AO880)/($AO880-$AN880),-3+($F880-$AQ880)/($AP880-$AQ880))),2))</f>
        <v/>
      </c>
      <c r="P880">
        <f>IF(OR($O880="",$O880="—"),"",IF($O880&lt;-3,"Muito baixo",IF($O880&lt;-2,"Baixo",IF($O880&lt;=2,"Adequado","Elevado"))))</f>
        <v/>
      </c>
      <c r="Q880" s="12">
        <f>IF(OR($S880="",$F880="",$T880="",$T880&lt;0,$T880&gt;60,$AR880=""),"—",ROUND(IF(ABS($AU880)&lt;=3,$AU880,IF($AU880&gt;3,3+($F880-$AW880)/($AW880-$AV880),-3+($F880-$AY880)/($AX880-$AY880))),2))</f>
        <v/>
      </c>
      <c r="R880">
        <f>IF(OR($Q880="",$Q880="—"),"",IF($Q880&lt;-3,"Magreza acentuada",IF($Q880&lt;-2,"Magreza",IF($Q880&lt;=1,"Eutrofia",IF($Q880&lt;=2,"Risco de sobrepeso",IF($Q880&lt;=3,"Sobrepeso","Obesidade"))))))</f>
        <v/>
      </c>
      <c r="S880">
        <f>IF($C880="","",IF(UPPER(LEFT($C880,1))="M",1,IF(UPPER(LEFT($C880,1))="F",2,"")))</f>
        <v/>
      </c>
      <c r="T880">
        <f>IF(OR($D880="",$E880=""),"",DATEDIF($D880,$E880,"m"))</f>
        <v/>
      </c>
      <c r="U880">
        <f>IF(OR($D880="",$E880=""),"",$E880-$D880)</f>
        <v/>
      </c>
      <c r="V880">
        <f>IF(OR($G880="",$T880=""),"",IF($T880&lt;24,IF(LEFT(LOWER($H880),4)="em p",$G880+0.7,$G880),IF(LEFT(LOWER($H880),4)="deit",$G880-0.7,$G880)))</f>
        <v/>
      </c>
      <c r="W880">
        <f>IF(OR($S880="",$T880=""),"",$S880*1000000+IF($T880&lt;=60,$U880,$T880))</f>
        <v/>
      </c>
      <c r="X880">
        <f>IF(OR($S880="",$V880="",$T880&gt;60,$T880=""),"",$S880*1000000+ROUND($V880*10,0))</f>
        <v/>
      </c>
      <c r="Y880">
        <f>IF($W880="","",IFERROR(INDEX(IF($T880&lt;=60,imc05_l,imc519_l),MATCH($W880,IF($T880&lt;=60,imc05_k,imc519_k),1)),""))</f>
        <v/>
      </c>
      <c r="Z880">
        <f>IF($W880="","",IFERROR(INDEX(IF($T880&lt;=60,imc05_m,imc519_m),MATCH($W880,IF($T880&lt;=60,imc05_k,imc519_k),1)),""))</f>
        <v/>
      </c>
      <c r="AA880">
        <f>IF($W880="","",IFERROR(INDEX(IF($T880&lt;=60,imc05_s,imc519_s),MATCH($W880,IF($T880&lt;=60,imc05_k,imc519_k),1)),""))</f>
        <v/>
      </c>
      <c r="AB880">
        <f>IF($Y880="","",IF($Y880=0,LN($J880/$Z880)/$AA880,((($J880/$Z880)^$Y880)-1)/($Y880*$AA880)))</f>
        <v/>
      </c>
      <c r="AC880">
        <f>IF($Y880="","",IF($Y880=0,$Z880*EXP($AA880*2),$Z880*(1+$Y880*$AA880*2)^(1/$Y880)))</f>
        <v/>
      </c>
      <c r="AD880">
        <f>IF($Y880="","",IF($Y880=0,$Z880*EXP($AA880*3),$Z880*(1+$Y880*$AA880*3)^(1/$Y880)))</f>
        <v/>
      </c>
      <c r="AE880">
        <f>IF($Y880="","",IF($Y880=0,$Z880*EXP($AA880*-2),$Z880*(1+$Y880*$AA880*-2)^(1/$Y880)))</f>
        <v/>
      </c>
      <c r="AF880">
        <f>IF($Y880="","",IF($Y880=0,$Z880*EXP($AA880*-3),$Z880*(1+$Y880*$AA880*-3)^(1/$Y880)))</f>
        <v/>
      </c>
      <c r="AG880">
        <f>IF($W880="","",IFERROR(INDEX(IF($T880&lt;=60,est05_l,est519_l),MATCH($W880,IF($T880&lt;=60,est05_k,est519_k),1)),""))</f>
        <v/>
      </c>
      <c r="AH880">
        <f>IF($W880="","",IFERROR(INDEX(IF($T880&lt;=60,est05_m,est519_m),MATCH($W880,IF($T880&lt;=60,est05_k,est519_k),1)),""))</f>
        <v/>
      </c>
      <c r="AI880">
        <f>IF($W880="","",IFERROR(INDEX(IF($T880&lt;=60,est05_s,est519_s),MATCH($W880,IF($T880&lt;=60,est05_k,est519_k),1)),""))</f>
        <v/>
      </c>
      <c r="AJ880">
        <f>IF($W880="","",IFERROR(INDEX(IF($T880&lt;=60,peso05_l,peso510_l),MATCH($W880,IF($T880&lt;=60,peso05_k,peso510_k),1)),""))</f>
        <v/>
      </c>
      <c r="AK880">
        <f>IF($W880="","",IFERROR(INDEX(IF($T880&lt;=60,peso05_m,peso510_m),MATCH($W880,IF($T880&lt;=60,peso05_k,peso510_k),1)),""))</f>
        <v/>
      </c>
      <c r="AL880">
        <f>IF($W880="","",IFERROR(INDEX(IF($T880&lt;=60,peso05_s,peso510_s),MATCH($W880,IF($T880&lt;=60,peso05_k,peso510_k),1)),""))</f>
        <v/>
      </c>
      <c r="AM880">
        <f>IF($AJ880="","",IF($AJ880=0,LN($F880/$AK880)/$AL880,((($F880/$AK880)^$AJ880)-1)/($AJ880*$AL880)))</f>
        <v/>
      </c>
      <c r="AN880">
        <f>IF($AJ880="","",IF($AJ880=0,$AK880*EXP($AL880*2),$AK880*(1+$AJ880*$AL880*2)^(1/$AJ880)))</f>
        <v/>
      </c>
      <c r="AO880">
        <f>IF($AJ880="","",IF($AJ880=0,$AK880*EXP($AL880*3),$AK880*(1+$AJ880*$AL880*3)^(1/$AJ880)))</f>
        <v/>
      </c>
      <c r="AP880">
        <f>IF($AJ880="","",IF($AJ880=0,$AK880*EXP($AL880*-2),$AK880*(1+$AJ880*$AL880*-2)^(1/$AJ880)))</f>
        <v/>
      </c>
      <c r="AQ880">
        <f>IF($AJ880="","",IF($AJ880=0,$AK880*EXP($AL880*-3),$AK880*(1+$AJ880*$AL880*-3)^(1/$AJ880)))</f>
        <v/>
      </c>
      <c r="AR880">
        <f>IF(OR($X880="",$T880&gt;60),"",IFERROR(INDEX(IF($T880&lt;24,pcomp_l,palt_l),MATCH($X880,IF($T880&lt;24,pcomp_k,palt_k),1)),""))</f>
        <v/>
      </c>
      <c r="AS880">
        <f>IF(OR($X880="",$T880&gt;60),"",IFERROR(INDEX(IF($T880&lt;24,pcomp_m,palt_m),MATCH($X880,IF($T880&lt;24,pcomp_k,palt_k),1)),""))</f>
        <v/>
      </c>
      <c r="AT880">
        <f>IF(OR($X880="",$T880&gt;60),"",IFERROR(INDEX(IF($T880&lt;24,pcomp_s,palt_s),MATCH($X880,IF($T880&lt;24,pcomp_k,palt_k),1)),""))</f>
        <v/>
      </c>
      <c r="AU880">
        <f>IF($AR880="","",IF($AR880=0,LN($F880/$AS880)/$AT880,((($F880/$AS880)^$AR880)-1)/($AR880*$AT880)))</f>
        <v/>
      </c>
      <c r="AV880">
        <f>IF($AR880="","",IF($AR880=0,$AS880*EXP($AT880*2),$AS880*(1+$AR880*$AT880*2)^(1/$AR880)))</f>
        <v/>
      </c>
      <c r="AW880">
        <f>IF($AR880="","",IF($AR880=0,$AS880*EXP($AT880*3),$AS880*(1+$AR880*$AT880*3)^(1/$AR880)))</f>
        <v/>
      </c>
      <c r="AX880">
        <f>IF($AR880="","",IF($AR880=0,$AS880*EXP($AT880*-2),$AS880*(1+$AR880*$AT880*-2)^(1/$AR880)))</f>
        <v/>
      </c>
      <c r="AY880">
        <f>IF($AR880="","",IF($AR880=0,$AS880*EXP($AT880*-3),$AS880*(1+$AR880*$AT880*-3)^(1/$AR880)))</f>
        <v/>
      </c>
      <c r="AZ880">
        <f>IF(OR($A880="",$A880&lt;&gt;Ficha!$C$4),"",COUNTIF($A$2:$A880,Ficha!$C$4))</f>
        <v/>
      </c>
    </row>
    <row r="881">
      <c r="A881" s="8">
        <f>IF(INDEX(Banco!$A:$A,ROW())="","",INDEX(Banco!$A:$A,ROW()))</f>
        <v/>
      </c>
      <c r="B881" s="8">
        <f>IF(INDEX(Banco!$B:$B,ROW())="","",INDEX(Banco!$B:$B,ROW()))</f>
        <v/>
      </c>
      <c r="C881" s="8">
        <f>IF(INDEX(Banco!$C:$C,ROW())="","",INDEX(Banco!$C:$C,ROW()))</f>
        <v/>
      </c>
      <c r="D881" s="9">
        <f>IF(INDEX(Banco!$D:$D,ROW())="","",INDEX(Banco!$D:$D,ROW()))</f>
        <v/>
      </c>
      <c r="E881" s="9">
        <f>IF(INDEX(Banco!$E:$E,ROW())="","",INDEX(Banco!$E:$E,ROW()))</f>
        <v/>
      </c>
      <c r="F881" s="10">
        <f>IF(INDEX(Banco!$F:$F,ROW())="","",INDEX(Banco!$F:$F,ROW()))</f>
        <v/>
      </c>
      <c r="G881" s="10">
        <f>IF(INDEX(Banco!$G:$G,ROW())="","",INDEX(Banco!$G:$G,ROW()))</f>
        <v/>
      </c>
      <c r="H881" s="8">
        <f>IF(INDEX(Banco!$H:$H,ROW())="","",INDEX(Banco!$H:$H,ROW()))</f>
        <v/>
      </c>
      <c r="I881">
        <f>IF($T881="","",INT($T881/12)&amp;"a "&amp;MOD($T881,12)&amp;"m")</f>
        <v/>
      </c>
      <c r="J881" s="11">
        <f>IF(OR($F881="",$G881=""),"",ROUND($F881/($G881/100)^2,2))</f>
        <v/>
      </c>
      <c r="K881" s="12">
        <f>IF(OR($S881="",$J881="",$T881="",$T881&lt;0,$T881&gt;228,$Y881=""),"—",ROUND(IF(ABS($AB881)&lt;=3,$AB881,IF($AB881&gt;3,3+($J881-$AD881)/($AD881-$AC881),-3+($J881-$AF881)/($AE881-$AF881))),2))</f>
        <v/>
      </c>
      <c r="L881">
        <f>IF(OR($K881="",$K881="—"),"",IF($T881&lt;=60,IF($K881&lt;-3,"Magreza acentuada",IF($K881&lt;-2,"Magreza",IF($K881&lt;=1,"Eutrofia",IF($K881&lt;=2,"Risco de sobrepeso",IF($K881&lt;=3,"Sobrepeso","Obesidade"))))),IF($K881&lt;-3,"Magreza acentuada",IF($K881&lt;-2,"Magreza",IF($K881&lt;=1,"Eutrofia",IF($K881&lt;=2,"Sobrepeso",IF($K881&lt;=3,"Obesidade","Obesidade grave")))))))</f>
        <v/>
      </c>
      <c r="M881" s="12">
        <f>IF(OR($S881="",$V881="",$T881="",$T881&lt;0,$T881&gt;228,$AG881=""),"—",ROUND(IF($AG881=0,LN($V881/$AH881)/$AI881,((($V881/$AH881)^$AG881)-1)/($AG881*$AI881)),2))</f>
        <v/>
      </c>
      <c r="N881">
        <f>IF(OR($M881="",$M881="—"),"",IF($M881&lt;-3,"Muito baixa",IF($M881&lt;-2,"Baixa","Adequada")))</f>
        <v/>
      </c>
      <c r="O881" s="12">
        <f>IF(OR($S881="",$F881="",$T881="",$T881&lt;0,$T881&gt;120,$AJ881=""),"—",ROUND(IF(ABS($AM881)&lt;=3,$AM881,IF($AM881&gt;3,3+($F881-$AO881)/($AO881-$AN881),-3+($F881-$AQ881)/($AP881-$AQ881))),2))</f>
        <v/>
      </c>
      <c r="P881">
        <f>IF(OR($O881="",$O881="—"),"",IF($O881&lt;-3,"Muito baixo",IF($O881&lt;-2,"Baixo",IF($O881&lt;=2,"Adequado","Elevado"))))</f>
        <v/>
      </c>
      <c r="Q881" s="12">
        <f>IF(OR($S881="",$F881="",$T881="",$T881&lt;0,$T881&gt;60,$AR881=""),"—",ROUND(IF(ABS($AU881)&lt;=3,$AU881,IF($AU881&gt;3,3+($F881-$AW881)/($AW881-$AV881),-3+($F881-$AY881)/($AX881-$AY881))),2))</f>
        <v/>
      </c>
      <c r="R881">
        <f>IF(OR($Q881="",$Q881="—"),"",IF($Q881&lt;-3,"Magreza acentuada",IF($Q881&lt;-2,"Magreza",IF($Q881&lt;=1,"Eutrofia",IF($Q881&lt;=2,"Risco de sobrepeso",IF($Q881&lt;=3,"Sobrepeso","Obesidade"))))))</f>
        <v/>
      </c>
      <c r="S881">
        <f>IF($C881="","",IF(UPPER(LEFT($C881,1))="M",1,IF(UPPER(LEFT($C881,1))="F",2,"")))</f>
        <v/>
      </c>
      <c r="T881">
        <f>IF(OR($D881="",$E881=""),"",DATEDIF($D881,$E881,"m"))</f>
        <v/>
      </c>
      <c r="U881">
        <f>IF(OR($D881="",$E881=""),"",$E881-$D881)</f>
        <v/>
      </c>
      <c r="V881">
        <f>IF(OR($G881="",$T881=""),"",IF($T881&lt;24,IF(LEFT(LOWER($H881),4)="em p",$G881+0.7,$G881),IF(LEFT(LOWER($H881),4)="deit",$G881-0.7,$G881)))</f>
        <v/>
      </c>
      <c r="W881">
        <f>IF(OR($S881="",$T881=""),"",$S881*1000000+IF($T881&lt;=60,$U881,$T881))</f>
        <v/>
      </c>
      <c r="X881">
        <f>IF(OR($S881="",$V881="",$T881&gt;60,$T881=""),"",$S881*1000000+ROUND($V881*10,0))</f>
        <v/>
      </c>
      <c r="Y881">
        <f>IF($W881="","",IFERROR(INDEX(IF($T881&lt;=60,imc05_l,imc519_l),MATCH($W881,IF($T881&lt;=60,imc05_k,imc519_k),1)),""))</f>
        <v/>
      </c>
      <c r="Z881">
        <f>IF($W881="","",IFERROR(INDEX(IF($T881&lt;=60,imc05_m,imc519_m),MATCH($W881,IF($T881&lt;=60,imc05_k,imc519_k),1)),""))</f>
        <v/>
      </c>
      <c r="AA881">
        <f>IF($W881="","",IFERROR(INDEX(IF($T881&lt;=60,imc05_s,imc519_s),MATCH($W881,IF($T881&lt;=60,imc05_k,imc519_k),1)),""))</f>
        <v/>
      </c>
      <c r="AB881">
        <f>IF($Y881="","",IF($Y881=0,LN($J881/$Z881)/$AA881,((($J881/$Z881)^$Y881)-1)/($Y881*$AA881)))</f>
        <v/>
      </c>
      <c r="AC881">
        <f>IF($Y881="","",IF($Y881=0,$Z881*EXP($AA881*2),$Z881*(1+$Y881*$AA881*2)^(1/$Y881)))</f>
        <v/>
      </c>
      <c r="AD881">
        <f>IF($Y881="","",IF($Y881=0,$Z881*EXP($AA881*3),$Z881*(1+$Y881*$AA881*3)^(1/$Y881)))</f>
        <v/>
      </c>
      <c r="AE881">
        <f>IF($Y881="","",IF($Y881=0,$Z881*EXP($AA881*-2),$Z881*(1+$Y881*$AA881*-2)^(1/$Y881)))</f>
        <v/>
      </c>
      <c r="AF881">
        <f>IF($Y881="","",IF($Y881=0,$Z881*EXP($AA881*-3),$Z881*(1+$Y881*$AA881*-3)^(1/$Y881)))</f>
        <v/>
      </c>
      <c r="AG881">
        <f>IF($W881="","",IFERROR(INDEX(IF($T881&lt;=60,est05_l,est519_l),MATCH($W881,IF($T881&lt;=60,est05_k,est519_k),1)),""))</f>
        <v/>
      </c>
      <c r="AH881">
        <f>IF($W881="","",IFERROR(INDEX(IF($T881&lt;=60,est05_m,est519_m),MATCH($W881,IF($T881&lt;=60,est05_k,est519_k),1)),""))</f>
        <v/>
      </c>
      <c r="AI881">
        <f>IF($W881="","",IFERROR(INDEX(IF($T881&lt;=60,est05_s,est519_s),MATCH($W881,IF($T881&lt;=60,est05_k,est519_k),1)),""))</f>
        <v/>
      </c>
      <c r="AJ881">
        <f>IF($W881="","",IFERROR(INDEX(IF($T881&lt;=60,peso05_l,peso510_l),MATCH($W881,IF($T881&lt;=60,peso05_k,peso510_k),1)),""))</f>
        <v/>
      </c>
      <c r="AK881">
        <f>IF($W881="","",IFERROR(INDEX(IF($T881&lt;=60,peso05_m,peso510_m),MATCH($W881,IF($T881&lt;=60,peso05_k,peso510_k),1)),""))</f>
        <v/>
      </c>
      <c r="AL881">
        <f>IF($W881="","",IFERROR(INDEX(IF($T881&lt;=60,peso05_s,peso510_s),MATCH($W881,IF($T881&lt;=60,peso05_k,peso510_k),1)),""))</f>
        <v/>
      </c>
      <c r="AM881">
        <f>IF($AJ881="","",IF($AJ881=0,LN($F881/$AK881)/$AL881,((($F881/$AK881)^$AJ881)-1)/($AJ881*$AL881)))</f>
        <v/>
      </c>
      <c r="AN881">
        <f>IF($AJ881="","",IF($AJ881=0,$AK881*EXP($AL881*2),$AK881*(1+$AJ881*$AL881*2)^(1/$AJ881)))</f>
        <v/>
      </c>
      <c r="AO881">
        <f>IF($AJ881="","",IF($AJ881=0,$AK881*EXP($AL881*3),$AK881*(1+$AJ881*$AL881*3)^(1/$AJ881)))</f>
        <v/>
      </c>
      <c r="AP881">
        <f>IF($AJ881="","",IF($AJ881=0,$AK881*EXP($AL881*-2),$AK881*(1+$AJ881*$AL881*-2)^(1/$AJ881)))</f>
        <v/>
      </c>
      <c r="AQ881">
        <f>IF($AJ881="","",IF($AJ881=0,$AK881*EXP($AL881*-3),$AK881*(1+$AJ881*$AL881*-3)^(1/$AJ881)))</f>
        <v/>
      </c>
      <c r="AR881">
        <f>IF(OR($X881="",$T881&gt;60),"",IFERROR(INDEX(IF($T881&lt;24,pcomp_l,palt_l),MATCH($X881,IF($T881&lt;24,pcomp_k,palt_k),1)),""))</f>
        <v/>
      </c>
      <c r="AS881">
        <f>IF(OR($X881="",$T881&gt;60),"",IFERROR(INDEX(IF($T881&lt;24,pcomp_m,palt_m),MATCH($X881,IF($T881&lt;24,pcomp_k,palt_k),1)),""))</f>
        <v/>
      </c>
      <c r="AT881">
        <f>IF(OR($X881="",$T881&gt;60),"",IFERROR(INDEX(IF($T881&lt;24,pcomp_s,palt_s),MATCH($X881,IF($T881&lt;24,pcomp_k,palt_k),1)),""))</f>
        <v/>
      </c>
      <c r="AU881">
        <f>IF($AR881="","",IF($AR881=0,LN($F881/$AS881)/$AT881,((($F881/$AS881)^$AR881)-1)/($AR881*$AT881)))</f>
        <v/>
      </c>
      <c r="AV881">
        <f>IF($AR881="","",IF($AR881=0,$AS881*EXP($AT881*2),$AS881*(1+$AR881*$AT881*2)^(1/$AR881)))</f>
        <v/>
      </c>
      <c r="AW881">
        <f>IF($AR881="","",IF($AR881=0,$AS881*EXP($AT881*3),$AS881*(1+$AR881*$AT881*3)^(1/$AR881)))</f>
        <v/>
      </c>
      <c r="AX881">
        <f>IF($AR881="","",IF($AR881=0,$AS881*EXP($AT881*-2),$AS881*(1+$AR881*$AT881*-2)^(1/$AR881)))</f>
        <v/>
      </c>
      <c r="AY881">
        <f>IF($AR881="","",IF($AR881=0,$AS881*EXP($AT881*-3),$AS881*(1+$AR881*$AT881*-3)^(1/$AR881)))</f>
        <v/>
      </c>
      <c r="AZ881">
        <f>IF(OR($A881="",$A881&lt;&gt;Ficha!$C$4),"",COUNTIF($A$2:$A881,Ficha!$C$4))</f>
        <v/>
      </c>
    </row>
    <row r="882">
      <c r="A882" s="8">
        <f>IF(INDEX(Banco!$A:$A,ROW())="","",INDEX(Banco!$A:$A,ROW()))</f>
        <v/>
      </c>
      <c r="B882" s="8">
        <f>IF(INDEX(Banco!$B:$B,ROW())="","",INDEX(Banco!$B:$B,ROW()))</f>
        <v/>
      </c>
      <c r="C882" s="8">
        <f>IF(INDEX(Banco!$C:$C,ROW())="","",INDEX(Banco!$C:$C,ROW()))</f>
        <v/>
      </c>
      <c r="D882" s="9">
        <f>IF(INDEX(Banco!$D:$D,ROW())="","",INDEX(Banco!$D:$D,ROW()))</f>
        <v/>
      </c>
      <c r="E882" s="9">
        <f>IF(INDEX(Banco!$E:$E,ROW())="","",INDEX(Banco!$E:$E,ROW()))</f>
        <v/>
      </c>
      <c r="F882" s="10">
        <f>IF(INDEX(Banco!$F:$F,ROW())="","",INDEX(Banco!$F:$F,ROW()))</f>
        <v/>
      </c>
      <c r="G882" s="10">
        <f>IF(INDEX(Banco!$G:$G,ROW())="","",INDEX(Banco!$G:$G,ROW()))</f>
        <v/>
      </c>
      <c r="H882" s="8">
        <f>IF(INDEX(Banco!$H:$H,ROW())="","",INDEX(Banco!$H:$H,ROW()))</f>
        <v/>
      </c>
      <c r="I882">
        <f>IF($T882="","",INT($T882/12)&amp;"a "&amp;MOD($T882,12)&amp;"m")</f>
        <v/>
      </c>
      <c r="J882" s="11">
        <f>IF(OR($F882="",$G882=""),"",ROUND($F882/($G882/100)^2,2))</f>
        <v/>
      </c>
      <c r="K882" s="12">
        <f>IF(OR($S882="",$J882="",$T882="",$T882&lt;0,$T882&gt;228,$Y882=""),"—",ROUND(IF(ABS($AB882)&lt;=3,$AB882,IF($AB882&gt;3,3+($J882-$AD882)/($AD882-$AC882),-3+($J882-$AF882)/($AE882-$AF882))),2))</f>
        <v/>
      </c>
      <c r="L882">
        <f>IF(OR($K882="",$K882="—"),"",IF($T882&lt;=60,IF($K882&lt;-3,"Magreza acentuada",IF($K882&lt;-2,"Magreza",IF($K882&lt;=1,"Eutrofia",IF($K882&lt;=2,"Risco de sobrepeso",IF($K882&lt;=3,"Sobrepeso","Obesidade"))))),IF($K882&lt;-3,"Magreza acentuada",IF($K882&lt;-2,"Magreza",IF($K882&lt;=1,"Eutrofia",IF($K882&lt;=2,"Sobrepeso",IF($K882&lt;=3,"Obesidade","Obesidade grave")))))))</f>
        <v/>
      </c>
      <c r="M882" s="12">
        <f>IF(OR($S882="",$V882="",$T882="",$T882&lt;0,$T882&gt;228,$AG882=""),"—",ROUND(IF($AG882=0,LN($V882/$AH882)/$AI882,((($V882/$AH882)^$AG882)-1)/($AG882*$AI882)),2))</f>
        <v/>
      </c>
      <c r="N882">
        <f>IF(OR($M882="",$M882="—"),"",IF($M882&lt;-3,"Muito baixa",IF($M882&lt;-2,"Baixa","Adequada")))</f>
        <v/>
      </c>
      <c r="O882" s="12">
        <f>IF(OR($S882="",$F882="",$T882="",$T882&lt;0,$T882&gt;120,$AJ882=""),"—",ROUND(IF(ABS($AM882)&lt;=3,$AM882,IF($AM882&gt;3,3+($F882-$AO882)/($AO882-$AN882),-3+($F882-$AQ882)/($AP882-$AQ882))),2))</f>
        <v/>
      </c>
      <c r="P882">
        <f>IF(OR($O882="",$O882="—"),"",IF($O882&lt;-3,"Muito baixo",IF($O882&lt;-2,"Baixo",IF($O882&lt;=2,"Adequado","Elevado"))))</f>
        <v/>
      </c>
      <c r="Q882" s="12">
        <f>IF(OR($S882="",$F882="",$T882="",$T882&lt;0,$T882&gt;60,$AR882=""),"—",ROUND(IF(ABS($AU882)&lt;=3,$AU882,IF($AU882&gt;3,3+($F882-$AW882)/($AW882-$AV882),-3+($F882-$AY882)/($AX882-$AY882))),2))</f>
        <v/>
      </c>
      <c r="R882">
        <f>IF(OR($Q882="",$Q882="—"),"",IF($Q882&lt;-3,"Magreza acentuada",IF($Q882&lt;-2,"Magreza",IF($Q882&lt;=1,"Eutrofia",IF($Q882&lt;=2,"Risco de sobrepeso",IF($Q882&lt;=3,"Sobrepeso","Obesidade"))))))</f>
        <v/>
      </c>
      <c r="S882">
        <f>IF($C882="","",IF(UPPER(LEFT($C882,1))="M",1,IF(UPPER(LEFT($C882,1))="F",2,"")))</f>
        <v/>
      </c>
      <c r="T882">
        <f>IF(OR($D882="",$E882=""),"",DATEDIF($D882,$E882,"m"))</f>
        <v/>
      </c>
      <c r="U882">
        <f>IF(OR($D882="",$E882=""),"",$E882-$D882)</f>
        <v/>
      </c>
      <c r="V882">
        <f>IF(OR($G882="",$T882=""),"",IF($T882&lt;24,IF(LEFT(LOWER($H882),4)="em p",$G882+0.7,$G882),IF(LEFT(LOWER($H882),4)="deit",$G882-0.7,$G882)))</f>
        <v/>
      </c>
      <c r="W882">
        <f>IF(OR($S882="",$T882=""),"",$S882*1000000+IF($T882&lt;=60,$U882,$T882))</f>
        <v/>
      </c>
      <c r="X882">
        <f>IF(OR($S882="",$V882="",$T882&gt;60,$T882=""),"",$S882*1000000+ROUND($V882*10,0))</f>
        <v/>
      </c>
      <c r="Y882">
        <f>IF($W882="","",IFERROR(INDEX(IF($T882&lt;=60,imc05_l,imc519_l),MATCH($W882,IF($T882&lt;=60,imc05_k,imc519_k),1)),""))</f>
        <v/>
      </c>
      <c r="Z882">
        <f>IF($W882="","",IFERROR(INDEX(IF($T882&lt;=60,imc05_m,imc519_m),MATCH($W882,IF($T882&lt;=60,imc05_k,imc519_k),1)),""))</f>
        <v/>
      </c>
      <c r="AA882">
        <f>IF($W882="","",IFERROR(INDEX(IF($T882&lt;=60,imc05_s,imc519_s),MATCH($W882,IF($T882&lt;=60,imc05_k,imc519_k),1)),""))</f>
        <v/>
      </c>
      <c r="AB882">
        <f>IF($Y882="","",IF($Y882=0,LN($J882/$Z882)/$AA882,((($J882/$Z882)^$Y882)-1)/($Y882*$AA882)))</f>
        <v/>
      </c>
      <c r="AC882">
        <f>IF($Y882="","",IF($Y882=0,$Z882*EXP($AA882*2),$Z882*(1+$Y882*$AA882*2)^(1/$Y882)))</f>
        <v/>
      </c>
      <c r="AD882">
        <f>IF($Y882="","",IF($Y882=0,$Z882*EXP($AA882*3),$Z882*(1+$Y882*$AA882*3)^(1/$Y882)))</f>
        <v/>
      </c>
      <c r="AE882">
        <f>IF($Y882="","",IF($Y882=0,$Z882*EXP($AA882*-2),$Z882*(1+$Y882*$AA882*-2)^(1/$Y882)))</f>
        <v/>
      </c>
      <c r="AF882">
        <f>IF($Y882="","",IF($Y882=0,$Z882*EXP($AA882*-3),$Z882*(1+$Y882*$AA882*-3)^(1/$Y882)))</f>
        <v/>
      </c>
      <c r="AG882">
        <f>IF($W882="","",IFERROR(INDEX(IF($T882&lt;=60,est05_l,est519_l),MATCH($W882,IF($T882&lt;=60,est05_k,est519_k),1)),""))</f>
        <v/>
      </c>
      <c r="AH882">
        <f>IF($W882="","",IFERROR(INDEX(IF($T882&lt;=60,est05_m,est519_m),MATCH($W882,IF($T882&lt;=60,est05_k,est519_k),1)),""))</f>
        <v/>
      </c>
      <c r="AI882">
        <f>IF($W882="","",IFERROR(INDEX(IF($T882&lt;=60,est05_s,est519_s),MATCH($W882,IF($T882&lt;=60,est05_k,est519_k),1)),""))</f>
        <v/>
      </c>
      <c r="AJ882">
        <f>IF($W882="","",IFERROR(INDEX(IF($T882&lt;=60,peso05_l,peso510_l),MATCH($W882,IF($T882&lt;=60,peso05_k,peso510_k),1)),""))</f>
        <v/>
      </c>
      <c r="AK882">
        <f>IF($W882="","",IFERROR(INDEX(IF($T882&lt;=60,peso05_m,peso510_m),MATCH($W882,IF($T882&lt;=60,peso05_k,peso510_k),1)),""))</f>
        <v/>
      </c>
      <c r="AL882">
        <f>IF($W882="","",IFERROR(INDEX(IF($T882&lt;=60,peso05_s,peso510_s),MATCH($W882,IF($T882&lt;=60,peso05_k,peso510_k),1)),""))</f>
        <v/>
      </c>
      <c r="AM882">
        <f>IF($AJ882="","",IF($AJ882=0,LN($F882/$AK882)/$AL882,((($F882/$AK882)^$AJ882)-1)/($AJ882*$AL882)))</f>
        <v/>
      </c>
      <c r="AN882">
        <f>IF($AJ882="","",IF($AJ882=0,$AK882*EXP($AL882*2),$AK882*(1+$AJ882*$AL882*2)^(1/$AJ882)))</f>
        <v/>
      </c>
      <c r="AO882">
        <f>IF($AJ882="","",IF($AJ882=0,$AK882*EXP($AL882*3),$AK882*(1+$AJ882*$AL882*3)^(1/$AJ882)))</f>
        <v/>
      </c>
      <c r="AP882">
        <f>IF($AJ882="","",IF($AJ882=0,$AK882*EXP($AL882*-2),$AK882*(1+$AJ882*$AL882*-2)^(1/$AJ882)))</f>
        <v/>
      </c>
      <c r="AQ882">
        <f>IF($AJ882="","",IF($AJ882=0,$AK882*EXP($AL882*-3),$AK882*(1+$AJ882*$AL882*-3)^(1/$AJ882)))</f>
        <v/>
      </c>
      <c r="AR882">
        <f>IF(OR($X882="",$T882&gt;60),"",IFERROR(INDEX(IF($T882&lt;24,pcomp_l,palt_l),MATCH($X882,IF($T882&lt;24,pcomp_k,palt_k),1)),""))</f>
        <v/>
      </c>
      <c r="AS882">
        <f>IF(OR($X882="",$T882&gt;60),"",IFERROR(INDEX(IF($T882&lt;24,pcomp_m,palt_m),MATCH($X882,IF($T882&lt;24,pcomp_k,palt_k),1)),""))</f>
        <v/>
      </c>
      <c r="AT882">
        <f>IF(OR($X882="",$T882&gt;60),"",IFERROR(INDEX(IF($T882&lt;24,pcomp_s,palt_s),MATCH($X882,IF($T882&lt;24,pcomp_k,palt_k),1)),""))</f>
        <v/>
      </c>
      <c r="AU882">
        <f>IF($AR882="","",IF($AR882=0,LN($F882/$AS882)/$AT882,((($F882/$AS882)^$AR882)-1)/($AR882*$AT882)))</f>
        <v/>
      </c>
      <c r="AV882">
        <f>IF($AR882="","",IF($AR882=0,$AS882*EXP($AT882*2),$AS882*(1+$AR882*$AT882*2)^(1/$AR882)))</f>
        <v/>
      </c>
      <c r="AW882">
        <f>IF($AR882="","",IF($AR882=0,$AS882*EXP($AT882*3),$AS882*(1+$AR882*$AT882*3)^(1/$AR882)))</f>
        <v/>
      </c>
      <c r="AX882">
        <f>IF($AR882="","",IF($AR882=0,$AS882*EXP($AT882*-2),$AS882*(1+$AR882*$AT882*-2)^(1/$AR882)))</f>
        <v/>
      </c>
      <c r="AY882">
        <f>IF($AR882="","",IF($AR882=0,$AS882*EXP($AT882*-3),$AS882*(1+$AR882*$AT882*-3)^(1/$AR882)))</f>
        <v/>
      </c>
      <c r="AZ882">
        <f>IF(OR($A882="",$A882&lt;&gt;Ficha!$C$4),"",COUNTIF($A$2:$A882,Ficha!$C$4))</f>
        <v/>
      </c>
    </row>
    <row r="883">
      <c r="A883" s="8">
        <f>IF(INDEX(Banco!$A:$A,ROW())="","",INDEX(Banco!$A:$A,ROW()))</f>
        <v/>
      </c>
      <c r="B883" s="8">
        <f>IF(INDEX(Banco!$B:$B,ROW())="","",INDEX(Banco!$B:$B,ROW()))</f>
        <v/>
      </c>
      <c r="C883" s="8">
        <f>IF(INDEX(Banco!$C:$C,ROW())="","",INDEX(Banco!$C:$C,ROW()))</f>
        <v/>
      </c>
      <c r="D883" s="9">
        <f>IF(INDEX(Banco!$D:$D,ROW())="","",INDEX(Banco!$D:$D,ROW()))</f>
        <v/>
      </c>
      <c r="E883" s="9">
        <f>IF(INDEX(Banco!$E:$E,ROW())="","",INDEX(Banco!$E:$E,ROW()))</f>
        <v/>
      </c>
      <c r="F883" s="10">
        <f>IF(INDEX(Banco!$F:$F,ROW())="","",INDEX(Banco!$F:$F,ROW()))</f>
        <v/>
      </c>
      <c r="G883" s="10">
        <f>IF(INDEX(Banco!$G:$G,ROW())="","",INDEX(Banco!$G:$G,ROW()))</f>
        <v/>
      </c>
      <c r="H883" s="8">
        <f>IF(INDEX(Banco!$H:$H,ROW())="","",INDEX(Banco!$H:$H,ROW()))</f>
        <v/>
      </c>
      <c r="I883">
        <f>IF($T883="","",INT($T883/12)&amp;"a "&amp;MOD($T883,12)&amp;"m")</f>
        <v/>
      </c>
      <c r="J883" s="11">
        <f>IF(OR($F883="",$G883=""),"",ROUND($F883/($G883/100)^2,2))</f>
        <v/>
      </c>
      <c r="K883" s="12">
        <f>IF(OR($S883="",$J883="",$T883="",$T883&lt;0,$T883&gt;228,$Y883=""),"—",ROUND(IF(ABS($AB883)&lt;=3,$AB883,IF($AB883&gt;3,3+($J883-$AD883)/($AD883-$AC883),-3+($J883-$AF883)/($AE883-$AF883))),2))</f>
        <v/>
      </c>
      <c r="L883">
        <f>IF(OR($K883="",$K883="—"),"",IF($T883&lt;=60,IF($K883&lt;-3,"Magreza acentuada",IF($K883&lt;-2,"Magreza",IF($K883&lt;=1,"Eutrofia",IF($K883&lt;=2,"Risco de sobrepeso",IF($K883&lt;=3,"Sobrepeso","Obesidade"))))),IF($K883&lt;-3,"Magreza acentuada",IF($K883&lt;-2,"Magreza",IF($K883&lt;=1,"Eutrofia",IF($K883&lt;=2,"Sobrepeso",IF($K883&lt;=3,"Obesidade","Obesidade grave")))))))</f>
        <v/>
      </c>
      <c r="M883" s="12">
        <f>IF(OR($S883="",$V883="",$T883="",$T883&lt;0,$T883&gt;228,$AG883=""),"—",ROUND(IF($AG883=0,LN($V883/$AH883)/$AI883,((($V883/$AH883)^$AG883)-1)/($AG883*$AI883)),2))</f>
        <v/>
      </c>
      <c r="N883">
        <f>IF(OR($M883="",$M883="—"),"",IF($M883&lt;-3,"Muito baixa",IF($M883&lt;-2,"Baixa","Adequada")))</f>
        <v/>
      </c>
      <c r="O883" s="12">
        <f>IF(OR($S883="",$F883="",$T883="",$T883&lt;0,$T883&gt;120,$AJ883=""),"—",ROUND(IF(ABS($AM883)&lt;=3,$AM883,IF($AM883&gt;3,3+($F883-$AO883)/($AO883-$AN883),-3+($F883-$AQ883)/($AP883-$AQ883))),2))</f>
        <v/>
      </c>
      <c r="P883">
        <f>IF(OR($O883="",$O883="—"),"",IF($O883&lt;-3,"Muito baixo",IF($O883&lt;-2,"Baixo",IF($O883&lt;=2,"Adequado","Elevado"))))</f>
        <v/>
      </c>
      <c r="Q883" s="12">
        <f>IF(OR($S883="",$F883="",$T883="",$T883&lt;0,$T883&gt;60,$AR883=""),"—",ROUND(IF(ABS($AU883)&lt;=3,$AU883,IF($AU883&gt;3,3+($F883-$AW883)/($AW883-$AV883),-3+($F883-$AY883)/($AX883-$AY883))),2))</f>
        <v/>
      </c>
      <c r="R883">
        <f>IF(OR($Q883="",$Q883="—"),"",IF($Q883&lt;-3,"Magreza acentuada",IF($Q883&lt;-2,"Magreza",IF($Q883&lt;=1,"Eutrofia",IF($Q883&lt;=2,"Risco de sobrepeso",IF($Q883&lt;=3,"Sobrepeso","Obesidade"))))))</f>
        <v/>
      </c>
      <c r="S883">
        <f>IF($C883="","",IF(UPPER(LEFT($C883,1))="M",1,IF(UPPER(LEFT($C883,1))="F",2,"")))</f>
        <v/>
      </c>
      <c r="T883">
        <f>IF(OR($D883="",$E883=""),"",DATEDIF($D883,$E883,"m"))</f>
        <v/>
      </c>
      <c r="U883">
        <f>IF(OR($D883="",$E883=""),"",$E883-$D883)</f>
        <v/>
      </c>
      <c r="V883">
        <f>IF(OR($G883="",$T883=""),"",IF($T883&lt;24,IF(LEFT(LOWER($H883),4)="em p",$G883+0.7,$G883),IF(LEFT(LOWER($H883),4)="deit",$G883-0.7,$G883)))</f>
        <v/>
      </c>
      <c r="W883">
        <f>IF(OR($S883="",$T883=""),"",$S883*1000000+IF($T883&lt;=60,$U883,$T883))</f>
        <v/>
      </c>
      <c r="X883">
        <f>IF(OR($S883="",$V883="",$T883&gt;60,$T883=""),"",$S883*1000000+ROUND($V883*10,0))</f>
        <v/>
      </c>
      <c r="Y883">
        <f>IF($W883="","",IFERROR(INDEX(IF($T883&lt;=60,imc05_l,imc519_l),MATCH($W883,IF($T883&lt;=60,imc05_k,imc519_k),1)),""))</f>
        <v/>
      </c>
      <c r="Z883">
        <f>IF($W883="","",IFERROR(INDEX(IF($T883&lt;=60,imc05_m,imc519_m),MATCH($W883,IF($T883&lt;=60,imc05_k,imc519_k),1)),""))</f>
        <v/>
      </c>
      <c r="AA883">
        <f>IF($W883="","",IFERROR(INDEX(IF($T883&lt;=60,imc05_s,imc519_s),MATCH($W883,IF($T883&lt;=60,imc05_k,imc519_k),1)),""))</f>
        <v/>
      </c>
      <c r="AB883">
        <f>IF($Y883="","",IF($Y883=0,LN($J883/$Z883)/$AA883,((($J883/$Z883)^$Y883)-1)/($Y883*$AA883)))</f>
        <v/>
      </c>
      <c r="AC883">
        <f>IF($Y883="","",IF($Y883=0,$Z883*EXP($AA883*2),$Z883*(1+$Y883*$AA883*2)^(1/$Y883)))</f>
        <v/>
      </c>
      <c r="AD883">
        <f>IF($Y883="","",IF($Y883=0,$Z883*EXP($AA883*3),$Z883*(1+$Y883*$AA883*3)^(1/$Y883)))</f>
        <v/>
      </c>
      <c r="AE883">
        <f>IF($Y883="","",IF($Y883=0,$Z883*EXP($AA883*-2),$Z883*(1+$Y883*$AA883*-2)^(1/$Y883)))</f>
        <v/>
      </c>
      <c r="AF883">
        <f>IF($Y883="","",IF($Y883=0,$Z883*EXP($AA883*-3),$Z883*(1+$Y883*$AA883*-3)^(1/$Y883)))</f>
        <v/>
      </c>
      <c r="AG883">
        <f>IF($W883="","",IFERROR(INDEX(IF($T883&lt;=60,est05_l,est519_l),MATCH($W883,IF($T883&lt;=60,est05_k,est519_k),1)),""))</f>
        <v/>
      </c>
      <c r="AH883">
        <f>IF($W883="","",IFERROR(INDEX(IF($T883&lt;=60,est05_m,est519_m),MATCH($W883,IF($T883&lt;=60,est05_k,est519_k),1)),""))</f>
        <v/>
      </c>
      <c r="AI883">
        <f>IF($W883="","",IFERROR(INDEX(IF($T883&lt;=60,est05_s,est519_s),MATCH($W883,IF($T883&lt;=60,est05_k,est519_k),1)),""))</f>
        <v/>
      </c>
      <c r="AJ883">
        <f>IF($W883="","",IFERROR(INDEX(IF($T883&lt;=60,peso05_l,peso510_l),MATCH($W883,IF($T883&lt;=60,peso05_k,peso510_k),1)),""))</f>
        <v/>
      </c>
      <c r="AK883">
        <f>IF($W883="","",IFERROR(INDEX(IF($T883&lt;=60,peso05_m,peso510_m),MATCH($W883,IF($T883&lt;=60,peso05_k,peso510_k),1)),""))</f>
        <v/>
      </c>
      <c r="AL883">
        <f>IF($W883="","",IFERROR(INDEX(IF($T883&lt;=60,peso05_s,peso510_s),MATCH($W883,IF($T883&lt;=60,peso05_k,peso510_k),1)),""))</f>
        <v/>
      </c>
      <c r="AM883">
        <f>IF($AJ883="","",IF($AJ883=0,LN($F883/$AK883)/$AL883,((($F883/$AK883)^$AJ883)-1)/($AJ883*$AL883)))</f>
        <v/>
      </c>
      <c r="AN883">
        <f>IF($AJ883="","",IF($AJ883=0,$AK883*EXP($AL883*2),$AK883*(1+$AJ883*$AL883*2)^(1/$AJ883)))</f>
        <v/>
      </c>
      <c r="AO883">
        <f>IF($AJ883="","",IF($AJ883=0,$AK883*EXP($AL883*3),$AK883*(1+$AJ883*$AL883*3)^(1/$AJ883)))</f>
        <v/>
      </c>
      <c r="AP883">
        <f>IF($AJ883="","",IF($AJ883=0,$AK883*EXP($AL883*-2),$AK883*(1+$AJ883*$AL883*-2)^(1/$AJ883)))</f>
        <v/>
      </c>
      <c r="AQ883">
        <f>IF($AJ883="","",IF($AJ883=0,$AK883*EXP($AL883*-3),$AK883*(1+$AJ883*$AL883*-3)^(1/$AJ883)))</f>
        <v/>
      </c>
      <c r="AR883">
        <f>IF(OR($X883="",$T883&gt;60),"",IFERROR(INDEX(IF($T883&lt;24,pcomp_l,palt_l),MATCH($X883,IF($T883&lt;24,pcomp_k,palt_k),1)),""))</f>
        <v/>
      </c>
      <c r="AS883">
        <f>IF(OR($X883="",$T883&gt;60),"",IFERROR(INDEX(IF($T883&lt;24,pcomp_m,palt_m),MATCH($X883,IF($T883&lt;24,pcomp_k,palt_k),1)),""))</f>
        <v/>
      </c>
      <c r="AT883">
        <f>IF(OR($X883="",$T883&gt;60),"",IFERROR(INDEX(IF($T883&lt;24,pcomp_s,palt_s),MATCH($X883,IF($T883&lt;24,pcomp_k,palt_k),1)),""))</f>
        <v/>
      </c>
      <c r="AU883">
        <f>IF($AR883="","",IF($AR883=0,LN($F883/$AS883)/$AT883,((($F883/$AS883)^$AR883)-1)/($AR883*$AT883)))</f>
        <v/>
      </c>
      <c r="AV883">
        <f>IF($AR883="","",IF($AR883=0,$AS883*EXP($AT883*2),$AS883*(1+$AR883*$AT883*2)^(1/$AR883)))</f>
        <v/>
      </c>
      <c r="AW883">
        <f>IF($AR883="","",IF($AR883=0,$AS883*EXP($AT883*3),$AS883*(1+$AR883*$AT883*3)^(1/$AR883)))</f>
        <v/>
      </c>
      <c r="AX883">
        <f>IF($AR883="","",IF($AR883=0,$AS883*EXP($AT883*-2),$AS883*(1+$AR883*$AT883*-2)^(1/$AR883)))</f>
        <v/>
      </c>
      <c r="AY883">
        <f>IF($AR883="","",IF($AR883=0,$AS883*EXP($AT883*-3),$AS883*(1+$AR883*$AT883*-3)^(1/$AR883)))</f>
        <v/>
      </c>
      <c r="AZ883">
        <f>IF(OR($A883="",$A883&lt;&gt;Ficha!$C$4),"",COUNTIF($A$2:$A883,Ficha!$C$4))</f>
        <v/>
      </c>
    </row>
    <row r="884">
      <c r="A884" s="8">
        <f>IF(INDEX(Banco!$A:$A,ROW())="","",INDEX(Banco!$A:$A,ROW()))</f>
        <v/>
      </c>
      <c r="B884" s="8">
        <f>IF(INDEX(Banco!$B:$B,ROW())="","",INDEX(Banco!$B:$B,ROW()))</f>
        <v/>
      </c>
      <c r="C884" s="8">
        <f>IF(INDEX(Banco!$C:$C,ROW())="","",INDEX(Banco!$C:$C,ROW()))</f>
        <v/>
      </c>
      <c r="D884" s="9">
        <f>IF(INDEX(Banco!$D:$D,ROW())="","",INDEX(Banco!$D:$D,ROW()))</f>
        <v/>
      </c>
      <c r="E884" s="9">
        <f>IF(INDEX(Banco!$E:$E,ROW())="","",INDEX(Banco!$E:$E,ROW()))</f>
        <v/>
      </c>
      <c r="F884" s="10">
        <f>IF(INDEX(Banco!$F:$F,ROW())="","",INDEX(Banco!$F:$F,ROW()))</f>
        <v/>
      </c>
      <c r="G884" s="10">
        <f>IF(INDEX(Banco!$G:$G,ROW())="","",INDEX(Banco!$G:$G,ROW()))</f>
        <v/>
      </c>
      <c r="H884" s="8">
        <f>IF(INDEX(Banco!$H:$H,ROW())="","",INDEX(Banco!$H:$H,ROW()))</f>
        <v/>
      </c>
      <c r="I884">
        <f>IF($T884="","",INT($T884/12)&amp;"a "&amp;MOD($T884,12)&amp;"m")</f>
        <v/>
      </c>
      <c r="J884" s="11">
        <f>IF(OR($F884="",$G884=""),"",ROUND($F884/($G884/100)^2,2))</f>
        <v/>
      </c>
      <c r="K884" s="12">
        <f>IF(OR($S884="",$J884="",$T884="",$T884&lt;0,$T884&gt;228,$Y884=""),"—",ROUND(IF(ABS($AB884)&lt;=3,$AB884,IF($AB884&gt;3,3+($J884-$AD884)/($AD884-$AC884),-3+($J884-$AF884)/($AE884-$AF884))),2))</f>
        <v/>
      </c>
      <c r="L884">
        <f>IF(OR($K884="",$K884="—"),"",IF($T884&lt;=60,IF($K884&lt;-3,"Magreza acentuada",IF($K884&lt;-2,"Magreza",IF($K884&lt;=1,"Eutrofia",IF($K884&lt;=2,"Risco de sobrepeso",IF($K884&lt;=3,"Sobrepeso","Obesidade"))))),IF($K884&lt;-3,"Magreza acentuada",IF($K884&lt;-2,"Magreza",IF($K884&lt;=1,"Eutrofia",IF($K884&lt;=2,"Sobrepeso",IF($K884&lt;=3,"Obesidade","Obesidade grave")))))))</f>
        <v/>
      </c>
      <c r="M884" s="12">
        <f>IF(OR($S884="",$V884="",$T884="",$T884&lt;0,$T884&gt;228,$AG884=""),"—",ROUND(IF($AG884=0,LN($V884/$AH884)/$AI884,((($V884/$AH884)^$AG884)-1)/($AG884*$AI884)),2))</f>
        <v/>
      </c>
      <c r="N884">
        <f>IF(OR($M884="",$M884="—"),"",IF($M884&lt;-3,"Muito baixa",IF($M884&lt;-2,"Baixa","Adequada")))</f>
        <v/>
      </c>
      <c r="O884" s="12">
        <f>IF(OR($S884="",$F884="",$T884="",$T884&lt;0,$T884&gt;120,$AJ884=""),"—",ROUND(IF(ABS($AM884)&lt;=3,$AM884,IF($AM884&gt;3,3+($F884-$AO884)/($AO884-$AN884),-3+($F884-$AQ884)/($AP884-$AQ884))),2))</f>
        <v/>
      </c>
      <c r="P884">
        <f>IF(OR($O884="",$O884="—"),"",IF($O884&lt;-3,"Muito baixo",IF($O884&lt;-2,"Baixo",IF($O884&lt;=2,"Adequado","Elevado"))))</f>
        <v/>
      </c>
      <c r="Q884" s="12">
        <f>IF(OR($S884="",$F884="",$T884="",$T884&lt;0,$T884&gt;60,$AR884=""),"—",ROUND(IF(ABS($AU884)&lt;=3,$AU884,IF($AU884&gt;3,3+($F884-$AW884)/($AW884-$AV884),-3+($F884-$AY884)/($AX884-$AY884))),2))</f>
        <v/>
      </c>
      <c r="R884">
        <f>IF(OR($Q884="",$Q884="—"),"",IF($Q884&lt;-3,"Magreza acentuada",IF($Q884&lt;-2,"Magreza",IF($Q884&lt;=1,"Eutrofia",IF($Q884&lt;=2,"Risco de sobrepeso",IF($Q884&lt;=3,"Sobrepeso","Obesidade"))))))</f>
        <v/>
      </c>
      <c r="S884">
        <f>IF($C884="","",IF(UPPER(LEFT($C884,1))="M",1,IF(UPPER(LEFT($C884,1))="F",2,"")))</f>
        <v/>
      </c>
      <c r="T884">
        <f>IF(OR($D884="",$E884=""),"",DATEDIF($D884,$E884,"m"))</f>
        <v/>
      </c>
      <c r="U884">
        <f>IF(OR($D884="",$E884=""),"",$E884-$D884)</f>
        <v/>
      </c>
      <c r="V884">
        <f>IF(OR($G884="",$T884=""),"",IF($T884&lt;24,IF(LEFT(LOWER($H884),4)="em p",$G884+0.7,$G884),IF(LEFT(LOWER($H884),4)="deit",$G884-0.7,$G884)))</f>
        <v/>
      </c>
      <c r="W884">
        <f>IF(OR($S884="",$T884=""),"",$S884*1000000+IF($T884&lt;=60,$U884,$T884))</f>
        <v/>
      </c>
      <c r="X884">
        <f>IF(OR($S884="",$V884="",$T884&gt;60,$T884=""),"",$S884*1000000+ROUND($V884*10,0))</f>
        <v/>
      </c>
      <c r="Y884">
        <f>IF($W884="","",IFERROR(INDEX(IF($T884&lt;=60,imc05_l,imc519_l),MATCH($W884,IF($T884&lt;=60,imc05_k,imc519_k),1)),""))</f>
        <v/>
      </c>
      <c r="Z884">
        <f>IF($W884="","",IFERROR(INDEX(IF($T884&lt;=60,imc05_m,imc519_m),MATCH($W884,IF($T884&lt;=60,imc05_k,imc519_k),1)),""))</f>
        <v/>
      </c>
      <c r="AA884">
        <f>IF($W884="","",IFERROR(INDEX(IF($T884&lt;=60,imc05_s,imc519_s),MATCH($W884,IF($T884&lt;=60,imc05_k,imc519_k),1)),""))</f>
        <v/>
      </c>
      <c r="AB884">
        <f>IF($Y884="","",IF($Y884=0,LN($J884/$Z884)/$AA884,((($J884/$Z884)^$Y884)-1)/($Y884*$AA884)))</f>
        <v/>
      </c>
      <c r="AC884">
        <f>IF($Y884="","",IF($Y884=0,$Z884*EXP($AA884*2),$Z884*(1+$Y884*$AA884*2)^(1/$Y884)))</f>
        <v/>
      </c>
      <c r="AD884">
        <f>IF($Y884="","",IF($Y884=0,$Z884*EXP($AA884*3),$Z884*(1+$Y884*$AA884*3)^(1/$Y884)))</f>
        <v/>
      </c>
      <c r="AE884">
        <f>IF($Y884="","",IF($Y884=0,$Z884*EXP($AA884*-2),$Z884*(1+$Y884*$AA884*-2)^(1/$Y884)))</f>
        <v/>
      </c>
      <c r="AF884">
        <f>IF($Y884="","",IF($Y884=0,$Z884*EXP($AA884*-3),$Z884*(1+$Y884*$AA884*-3)^(1/$Y884)))</f>
        <v/>
      </c>
      <c r="AG884">
        <f>IF($W884="","",IFERROR(INDEX(IF($T884&lt;=60,est05_l,est519_l),MATCH($W884,IF($T884&lt;=60,est05_k,est519_k),1)),""))</f>
        <v/>
      </c>
      <c r="AH884">
        <f>IF($W884="","",IFERROR(INDEX(IF($T884&lt;=60,est05_m,est519_m),MATCH($W884,IF($T884&lt;=60,est05_k,est519_k),1)),""))</f>
        <v/>
      </c>
      <c r="AI884">
        <f>IF($W884="","",IFERROR(INDEX(IF($T884&lt;=60,est05_s,est519_s),MATCH($W884,IF($T884&lt;=60,est05_k,est519_k),1)),""))</f>
        <v/>
      </c>
      <c r="AJ884">
        <f>IF($W884="","",IFERROR(INDEX(IF($T884&lt;=60,peso05_l,peso510_l),MATCH($W884,IF($T884&lt;=60,peso05_k,peso510_k),1)),""))</f>
        <v/>
      </c>
      <c r="AK884">
        <f>IF($W884="","",IFERROR(INDEX(IF($T884&lt;=60,peso05_m,peso510_m),MATCH($W884,IF($T884&lt;=60,peso05_k,peso510_k),1)),""))</f>
        <v/>
      </c>
      <c r="AL884">
        <f>IF($W884="","",IFERROR(INDEX(IF($T884&lt;=60,peso05_s,peso510_s),MATCH($W884,IF($T884&lt;=60,peso05_k,peso510_k),1)),""))</f>
        <v/>
      </c>
      <c r="AM884">
        <f>IF($AJ884="","",IF($AJ884=0,LN($F884/$AK884)/$AL884,((($F884/$AK884)^$AJ884)-1)/($AJ884*$AL884)))</f>
        <v/>
      </c>
      <c r="AN884">
        <f>IF($AJ884="","",IF($AJ884=0,$AK884*EXP($AL884*2),$AK884*(1+$AJ884*$AL884*2)^(1/$AJ884)))</f>
        <v/>
      </c>
      <c r="AO884">
        <f>IF($AJ884="","",IF($AJ884=0,$AK884*EXP($AL884*3),$AK884*(1+$AJ884*$AL884*3)^(1/$AJ884)))</f>
        <v/>
      </c>
      <c r="AP884">
        <f>IF($AJ884="","",IF($AJ884=0,$AK884*EXP($AL884*-2),$AK884*(1+$AJ884*$AL884*-2)^(1/$AJ884)))</f>
        <v/>
      </c>
      <c r="AQ884">
        <f>IF($AJ884="","",IF($AJ884=0,$AK884*EXP($AL884*-3),$AK884*(1+$AJ884*$AL884*-3)^(1/$AJ884)))</f>
        <v/>
      </c>
      <c r="AR884">
        <f>IF(OR($X884="",$T884&gt;60),"",IFERROR(INDEX(IF($T884&lt;24,pcomp_l,palt_l),MATCH($X884,IF($T884&lt;24,pcomp_k,palt_k),1)),""))</f>
        <v/>
      </c>
      <c r="AS884">
        <f>IF(OR($X884="",$T884&gt;60),"",IFERROR(INDEX(IF($T884&lt;24,pcomp_m,palt_m),MATCH($X884,IF($T884&lt;24,pcomp_k,palt_k),1)),""))</f>
        <v/>
      </c>
      <c r="AT884">
        <f>IF(OR($X884="",$T884&gt;60),"",IFERROR(INDEX(IF($T884&lt;24,pcomp_s,palt_s),MATCH($X884,IF($T884&lt;24,pcomp_k,palt_k),1)),""))</f>
        <v/>
      </c>
      <c r="AU884">
        <f>IF($AR884="","",IF($AR884=0,LN($F884/$AS884)/$AT884,((($F884/$AS884)^$AR884)-1)/($AR884*$AT884)))</f>
        <v/>
      </c>
      <c r="AV884">
        <f>IF($AR884="","",IF($AR884=0,$AS884*EXP($AT884*2),$AS884*(1+$AR884*$AT884*2)^(1/$AR884)))</f>
        <v/>
      </c>
      <c r="AW884">
        <f>IF($AR884="","",IF($AR884=0,$AS884*EXP($AT884*3),$AS884*(1+$AR884*$AT884*3)^(1/$AR884)))</f>
        <v/>
      </c>
      <c r="AX884">
        <f>IF($AR884="","",IF($AR884=0,$AS884*EXP($AT884*-2),$AS884*(1+$AR884*$AT884*-2)^(1/$AR884)))</f>
        <v/>
      </c>
      <c r="AY884">
        <f>IF($AR884="","",IF($AR884=0,$AS884*EXP($AT884*-3),$AS884*(1+$AR884*$AT884*-3)^(1/$AR884)))</f>
        <v/>
      </c>
      <c r="AZ884">
        <f>IF(OR($A884="",$A884&lt;&gt;Ficha!$C$4),"",COUNTIF($A$2:$A884,Ficha!$C$4))</f>
        <v/>
      </c>
    </row>
    <row r="885">
      <c r="A885" s="8">
        <f>IF(INDEX(Banco!$A:$A,ROW())="","",INDEX(Banco!$A:$A,ROW()))</f>
        <v/>
      </c>
      <c r="B885" s="8">
        <f>IF(INDEX(Banco!$B:$B,ROW())="","",INDEX(Banco!$B:$B,ROW()))</f>
        <v/>
      </c>
      <c r="C885" s="8">
        <f>IF(INDEX(Banco!$C:$C,ROW())="","",INDEX(Banco!$C:$C,ROW()))</f>
        <v/>
      </c>
      <c r="D885" s="9">
        <f>IF(INDEX(Banco!$D:$D,ROW())="","",INDEX(Banco!$D:$D,ROW()))</f>
        <v/>
      </c>
      <c r="E885" s="9">
        <f>IF(INDEX(Banco!$E:$E,ROW())="","",INDEX(Banco!$E:$E,ROW()))</f>
        <v/>
      </c>
      <c r="F885" s="10">
        <f>IF(INDEX(Banco!$F:$F,ROW())="","",INDEX(Banco!$F:$F,ROW()))</f>
        <v/>
      </c>
      <c r="G885" s="10">
        <f>IF(INDEX(Banco!$G:$G,ROW())="","",INDEX(Banco!$G:$G,ROW()))</f>
        <v/>
      </c>
      <c r="H885" s="8">
        <f>IF(INDEX(Banco!$H:$H,ROW())="","",INDEX(Banco!$H:$H,ROW()))</f>
        <v/>
      </c>
      <c r="I885">
        <f>IF($T885="","",INT($T885/12)&amp;"a "&amp;MOD($T885,12)&amp;"m")</f>
        <v/>
      </c>
      <c r="J885" s="11">
        <f>IF(OR($F885="",$G885=""),"",ROUND($F885/($G885/100)^2,2))</f>
        <v/>
      </c>
      <c r="K885" s="12">
        <f>IF(OR($S885="",$J885="",$T885="",$T885&lt;0,$T885&gt;228,$Y885=""),"—",ROUND(IF(ABS($AB885)&lt;=3,$AB885,IF($AB885&gt;3,3+($J885-$AD885)/($AD885-$AC885),-3+($J885-$AF885)/($AE885-$AF885))),2))</f>
        <v/>
      </c>
      <c r="L885">
        <f>IF(OR($K885="",$K885="—"),"",IF($T885&lt;=60,IF($K885&lt;-3,"Magreza acentuada",IF($K885&lt;-2,"Magreza",IF($K885&lt;=1,"Eutrofia",IF($K885&lt;=2,"Risco de sobrepeso",IF($K885&lt;=3,"Sobrepeso","Obesidade"))))),IF($K885&lt;-3,"Magreza acentuada",IF($K885&lt;-2,"Magreza",IF($K885&lt;=1,"Eutrofia",IF($K885&lt;=2,"Sobrepeso",IF($K885&lt;=3,"Obesidade","Obesidade grave")))))))</f>
        <v/>
      </c>
      <c r="M885" s="12">
        <f>IF(OR($S885="",$V885="",$T885="",$T885&lt;0,$T885&gt;228,$AG885=""),"—",ROUND(IF($AG885=0,LN($V885/$AH885)/$AI885,((($V885/$AH885)^$AG885)-1)/($AG885*$AI885)),2))</f>
        <v/>
      </c>
      <c r="N885">
        <f>IF(OR($M885="",$M885="—"),"",IF($M885&lt;-3,"Muito baixa",IF($M885&lt;-2,"Baixa","Adequada")))</f>
        <v/>
      </c>
      <c r="O885" s="12">
        <f>IF(OR($S885="",$F885="",$T885="",$T885&lt;0,$T885&gt;120,$AJ885=""),"—",ROUND(IF(ABS($AM885)&lt;=3,$AM885,IF($AM885&gt;3,3+($F885-$AO885)/($AO885-$AN885),-3+($F885-$AQ885)/($AP885-$AQ885))),2))</f>
        <v/>
      </c>
      <c r="P885">
        <f>IF(OR($O885="",$O885="—"),"",IF($O885&lt;-3,"Muito baixo",IF($O885&lt;-2,"Baixo",IF($O885&lt;=2,"Adequado","Elevado"))))</f>
        <v/>
      </c>
      <c r="Q885" s="12">
        <f>IF(OR($S885="",$F885="",$T885="",$T885&lt;0,$T885&gt;60,$AR885=""),"—",ROUND(IF(ABS($AU885)&lt;=3,$AU885,IF($AU885&gt;3,3+($F885-$AW885)/($AW885-$AV885),-3+($F885-$AY885)/($AX885-$AY885))),2))</f>
        <v/>
      </c>
      <c r="R885">
        <f>IF(OR($Q885="",$Q885="—"),"",IF($Q885&lt;-3,"Magreza acentuada",IF($Q885&lt;-2,"Magreza",IF($Q885&lt;=1,"Eutrofia",IF($Q885&lt;=2,"Risco de sobrepeso",IF($Q885&lt;=3,"Sobrepeso","Obesidade"))))))</f>
        <v/>
      </c>
      <c r="S885">
        <f>IF($C885="","",IF(UPPER(LEFT($C885,1))="M",1,IF(UPPER(LEFT($C885,1))="F",2,"")))</f>
        <v/>
      </c>
      <c r="T885">
        <f>IF(OR($D885="",$E885=""),"",DATEDIF($D885,$E885,"m"))</f>
        <v/>
      </c>
      <c r="U885">
        <f>IF(OR($D885="",$E885=""),"",$E885-$D885)</f>
        <v/>
      </c>
      <c r="V885">
        <f>IF(OR($G885="",$T885=""),"",IF($T885&lt;24,IF(LEFT(LOWER($H885),4)="em p",$G885+0.7,$G885),IF(LEFT(LOWER($H885),4)="deit",$G885-0.7,$G885)))</f>
        <v/>
      </c>
      <c r="W885">
        <f>IF(OR($S885="",$T885=""),"",$S885*1000000+IF($T885&lt;=60,$U885,$T885))</f>
        <v/>
      </c>
      <c r="X885">
        <f>IF(OR($S885="",$V885="",$T885&gt;60,$T885=""),"",$S885*1000000+ROUND($V885*10,0))</f>
        <v/>
      </c>
      <c r="Y885">
        <f>IF($W885="","",IFERROR(INDEX(IF($T885&lt;=60,imc05_l,imc519_l),MATCH($W885,IF($T885&lt;=60,imc05_k,imc519_k),1)),""))</f>
        <v/>
      </c>
      <c r="Z885">
        <f>IF($W885="","",IFERROR(INDEX(IF($T885&lt;=60,imc05_m,imc519_m),MATCH($W885,IF($T885&lt;=60,imc05_k,imc519_k),1)),""))</f>
        <v/>
      </c>
      <c r="AA885">
        <f>IF($W885="","",IFERROR(INDEX(IF($T885&lt;=60,imc05_s,imc519_s),MATCH($W885,IF($T885&lt;=60,imc05_k,imc519_k),1)),""))</f>
        <v/>
      </c>
      <c r="AB885">
        <f>IF($Y885="","",IF($Y885=0,LN($J885/$Z885)/$AA885,((($J885/$Z885)^$Y885)-1)/($Y885*$AA885)))</f>
        <v/>
      </c>
      <c r="AC885">
        <f>IF($Y885="","",IF($Y885=0,$Z885*EXP($AA885*2),$Z885*(1+$Y885*$AA885*2)^(1/$Y885)))</f>
        <v/>
      </c>
      <c r="AD885">
        <f>IF($Y885="","",IF($Y885=0,$Z885*EXP($AA885*3),$Z885*(1+$Y885*$AA885*3)^(1/$Y885)))</f>
        <v/>
      </c>
      <c r="AE885">
        <f>IF($Y885="","",IF($Y885=0,$Z885*EXP($AA885*-2),$Z885*(1+$Y885*$AA885*-2)^(1/$Y885)))</f>
        <v/>
      </c>
      <c r="AF885">
        <f>IF($Y885="","",IF($Y885=0,$Z885*EXP($AA885*-3),$Z885*(1+$Y885*$AA885*-3)^(1/$Y885)))</f>
        <v/>
      </c>
      <c r="AG885">
        <f>IF($W885="","",IFERROR(INDEX(IF($T885&lt;=60,est05_l,est519_l),MATCH($W885,IF($T885&lt;=60,est05_k,est519_k),1)),""))</f>
        <v/>
      </c>
      <c r="AH885">
        <f>IF($W885="","",IFERROR(INDEX(IF($T885&lt;=60,est05_m,est519_m),MATCH($W885,IF($T885&lt;=60,est05_k,est519_k),1)),""))</f>
        <v/>
      </c>
      <c r="AI885">
        <f>IF($W885="","",IFERROR(INDEX(IF($T885&lt;=60,est05_s,est519_s),MATCH($W885,IF($T885&lt;=60,est05_k,est519_k),1)),""))</f>
        <v/>
      </c>
      <c r="AJ885">
        <f>IF($W885="","",IFERROR(INDEX(IF($T885&lt;=60,peso05_l,peso510_l),MATCH($W885,IF($T885&lt;=60,peso05_k,peso510_k),1)),""))</f>
        <v/>
      </c>
      <c r="AK885">
        <f>IF($W885="","",IFERROR(INDEX(IF($T885&lt;=60,peso05_m,peso510_m),MATCH($W885,IF($T885&lt;=60,peso05_k,peso510_k),1)),""))</f>
        <v/>
      </c>
      <c r="AL885">
        <f>IF($W885="","",IFERROR(INDEX(IF($T885&lt;=60,peso05_s,peso510_s),MATCH($W885,IF($T885&lt;=60,peso05_k,peso510_k),1)),""))</f>
        <v/>
      </c>
      <c r="AM885">
        <f>IF($AJ885="","",IF($AJ885=0,LN($F885/$AK885)/$AL885,((($F885/$AK885)^$AJ885)-1)/($AJ885*$AL885)))</f>
        <v/>
      </c>
      <c r="AN885">
        <f>IF($AJ885="","",IF($AJ885=0,$AK885*EXP($AL885*2),$AK885*(1+$AJ885*$AL885*2)^(1/$AJ885)))</f>
        <v/>
      </c>
      <c r="AO885">
        <f>IF($AJ885="","",IF($AJ885=0,$AK885*EXP($AL885*3),$AK885*(1+$AJ885*$AL885*3)^(1/$AJ885)))</f>
        <v/>
      </c>
      <c r="AP885">
        <f>IF($AJ885="","",IF($AJ885=0,$AK885*EXP($AL885*-2),$AK885*(1+$AJ885*$AL885*-2)^(1/$AJ885)))</f>
        <v/>
      </c>
      <c r="AQ885">
        <f>IF($AJ885="","",IF($AJ885=0,$AK885*EXP($AL885*-3),$AK885*(1+$AJ885*$AL885*-3)^(1/$AJ885)))</f>
        <v/>
      </c>
      <c r="AR885">
        <f>IF(OR($X885="",$T885&gt;60),"",IFERROR(INDEX(IF($T885&lt;24,pcomp_l,palt_l),MATCH($X885,IF($T885&lt;24,pcomp_k,palt_k),1)),""))</f>
        <v/>
      </c>
      <c r="AS885">
        <f>IF(OR($X885="",$T885&gt;60),"",IFERROR(INDEX(IF($T885&lt;24,pcomp_m,palt_m),MATCH($X885,IF($T885&lt;24,pcomp_k,palt_k),1)),""))</f>
        <v/>
      </c>
      <c r="AT885">
        <f>IF(OR($X885="",$T885&gt;60),"",IFERROR(INDEX(IF($T885&lt;24,pcomp_s,palt_s),MATCH($X885,IF($T885&lt;24,pcomp_k,palt_k),1)),""))</f>
        <v/>
      </c>
      <c r="AU885">
        <f>IF($AR885="","",IF($AR885=0,LN($F885/$AS885)/$AT885,((($F885/$AS885)^$AR885)-1)/($AR885*$AT885)))</f>
        <v/>
      </c>
      <c r="AV885">
        <f>IF($AR885="","",IF($AR885=0,$AS885*EXP($AT885*2),$AS885*(1+$AR885*$AT885*2)^(1/$AR885)))</f>
        <v/>
      </c>
      <c r="AW885">
        <f>IF($AR885="","",IF($AR885=0,$AS885*EXP($AT885*3),$AS885*(1+$AR885*$AT885*3)^(1/$AR885)))</f>
        <v/>
      </c>
      <c r="AX885">
        <f>IF($AR885="","",IF($AR885=0,$AS885*EXP($AT885*-2),$AS885*(1+$AR885*$AT885*-2)^(1/$AR885)))</f>
        <v/>
      </c>
      <c r="AY885">
        <f>IF($AR885="","",IF($AR885=0,$AS885*EXP($AT885*-3),$AS885*(1+$AR885*$AT885*-3)^(1/$AR885)))</f>
        <v/>
      </c>
      <c r="AZ885">
        <f>IF(OR($A885="",$A885&lt;&gt;Ficha!$C$4),"",COUNTIF($A$2:$A885,Ficha!$C$4))</f>
        <v/>
      </c>
    </row>
    <row r="886">
      <c r="A886" s="8">
        <f>IF(INDEX(Banco!$A:$A,ROW())="","",INDEX(Banco!$A:$A,ROW()))</f>
        <v/>
      </c>
      <c r="B886" s="8">
        <f>IF(INDEX(Banco!$B:$B,ROW())="","",INDEX(Banco!$B:$B,ROW()))</f>
        <v/>
      </c>
      <c r="C886" s="8">
        <f>IF(INDEX(Banco!$C:$C,ROW())="","",INDEX(Banco!$C:$C,ROW()))</f>
        <v/>
      </c>
      <c r="D886" s="9">
        <f>IF(INDEX(Banco!$D:$D,ROW())="","",INDEX(Banco!$D:$D,ROW()))</f>
        <v/>
      </c>
      <c r="E886" s="9">
        <f>IF(INDEX(Banco!$E:$E,ROW())="","",INDEX(Banco!$E:$E,ROW()))</f>
        <v/>
      </c>
      <c r="F886" s="10">
        <f>IF(INDEX(Banco!$F:$F,ROW())="","",INDEX(Banco!$F:$F,ROW()))</f>
        <v/>
      </c>
      <c r="G886" s="10">
        <f>IF(INDEX(Banco!$G:$G,ROW())="","",INDEX(Banco!$G:$G,ROW()))</f>
        <v/>
      </c>
      <c r="H886" s="8">
        <f>IF(INDEX(Banco!$H:$H,ROW())="","",INDEX(Banco!$H:$H,ROW()))</f>
        <v/>
      </c>
      <c r="I886">
        <f>IF($T886="","",INT($T886/12)&amp;"a "&amp;MOD($T886,12)&amp;"m")</f>
        <v/>
      </c>
      <c r="J886" s="11">
        <f>IF(OR($F886="",$G886=""),"",ROUND($F886/($G886/100)^2,2))</f>
        <v/>
      </c>
      <c r="K886" s="12">
        <f>IF(OR($S886="",$J886="",$T886="",$T886&lt;0,$T886&gt;228,$Y886=""),"—",ROUND(IF(ABS($AB886)&lt;=3,$AB886,IF($AB886&gt;3,3+($J886-$AD886)/($AD886-$AC886),-3+($J886-$AF886)/($AE886-$AF886))),2))</f>
        <v/>
      </c>
      <c r="L886">
        <f>IF(OR($K886="",$K886="—"),"",IF($T886&lt;=60,IF($K886&lt;-3,"Magreza acentuada",IF($K886&lt;-2,"Magreza",IF($K886&lt;=1,"Eutrofia",IF($K886&lt;=2,"Risco de sobrepeso",IF($K886&lt;=3,"Sobrepeso","Obesidade"))))),IF($K886&lt;-3,"Magreza acentuada",IF($K886&lt;-2,"Magreza",IF($K886&lt;=1,"Eutrofia",IF($K886&lt;=2,"Sobrepeso",IF($K886&lt;=3,"Obesidade","Obesidade grave")))))))</f>
        <v/>
      </c>
      <c r="M886" s="12">
        <f>IF(OR($S886="",$V886="",$T886="",$T886&lt;0,$T886&gt;228,$AG886=""),"—",ROUND(IF($AG886=0,LN($V886/$AH886)/$AI886,((($V886/$AH886)^$AG886)-1)/($AG886*$AI886)),2))</f>
        <v/>
      </c>
      <c r="N886">
        <f>IF(OR($M886="",$M886="—"),"",IF($M886&lt;-3,"Muito baixa",IF($M886&lt;-2,"Baixa","Adequada")))</f>
        <v/>
      </c>
      <c r="O886" s="12">
        <f>IF(OR($S886="",$F886="",$T886="",$T886&lt;0,$T886&gt;120,$AJ886=""),"—",ROUND(IF(ABS($AM886)&lt;=3,$AM886,IF($AM886&gt;3,3+($F886-$AO886)/($AO886-$AN886),-3+($F886-$AQ886)/($AP886-$AQ886))),2))</f>
        <v/>
      </c>
      <c r="P886">
        <f>IF(OR($O886="",$O886="—"),"",IF($O886&lt;-3,"Muito baixo",IF($O886&lt;-2,"Baixo",IF($O886&lt;=2,"Adequado","Elevado"))))</f>
        <v/>
      </c>
      <c r="Q886" s="12">
        <f>IF(OR($S886="",$F886="",$T886="",$T886&lt;0,$T886&gt;60,$AR886=""),"—",ROUND(IF(ABS($AU886)&lt;=3,$AU886,IF($AU886&gt;3,3+($F886-$AW886)/($AW886-$AV886),-3+($F886-$AY886)/($AX886-$AY886))),2))</f>
        <v/>
      </c>
      <c r="R886">
        <f>IF(OR($Q886="",$Q886="—"),"",IF($Q886&lt;-3,"Magreza acentuada",IF($Q886&lt;-2,"Magreza",IF($Q886&lt;=1,"Eutrofia",IF($Q886&lt;=2,"Risco de sobrepeso",IF($Q886&lt;=3,"Sobrepeso","Obesidade"))))))</f>
        <v/>
      </c>
      <c r="S886">
        <f>IF($C886="","",IF(UPPER(LEFT($C886,1))="M",1,IF(UPPER(LEFT($C886,1))="F",2,"")))</f>
        <v/>
      </c>
      <c r="T886">
        <f>IF(OR($D886="",$E886=""),"",DATEDIF($D886,$E886,"m"))</f>
        <v/>
      </c>
      <c r="U886">
        <f>IF(OR($D886="",$E886=""),"",$E886-$D886)</f>
        <v/>
      </c>
      <c r="V886">
        <f>IF(OR($G886="",$T886=""),"",IF($T886&lt;24,IF(LEFT(LOWER($H886),4)="em p",$G886+0.7,$G886),IF(LEFT(LOWER($H886),4)="deit",$G886-0.7,$G886)))</f>
        <v/>
      </c>
      <c r="W886">
        <f>IF(OR($S886="",$T886=""),"",$S886*1000000+IF($T886&lt;=60,$U886,$T886))</f>
        <v/>
      </c>
      <c r="X886">
        <f>IF(OR($S886="",$V886="",$T886&gt;60,$T886=""),"",$S886*1000000+ROUND($V886*10,0))</f>
        <v/>
      </c>
      <c r="Y886">
        <f>IF($W886="","",IFERROR(INDEX(IF($T886&lt;=60,imc05_l,imc519_l),MATCH($W886,IF($T886&lt;=60,imc05_k,imc519_k),1)),""))</f>
        <v/>
      </c>
      <c r="Z886">
        <f>IF($W886="","",IFERROR(INDEX(IF($T886&lt;=60,imc05_m,imc519_m),MATCH($W886,IF($T886&lt;=60,imc05_k,imc519_k),1)),""))</f>
        <v/>
      </c>
      <c r="AA886">
        <f>IF($W886="","",IFERROR(INDEX(IF($T886&lt;=60,imc05_s,imc519_s),MATCH($W886,IF($T886&lt;=60,imc05_k,imc519_k),1)),""))</f>
        <v/>
      </c>
      <c r="AB886">
        <f>IF($Y886="","",IF($Y886=0,LN($J886/$Z886)/$AA886,((($J886/$Z886)^$Y886)-1)/($Y886*$AA886)))</f>
        <v/>
      </c>
      <c r="AC886">
        <f>IF($Y886="","",IF($Y886=0,$Z886*EXP($AA886*2),$Z886*(1+$Y886*$AA886*2)^(1/$Y886)))</f>
        <v/>
      </c>
      <c r="AD886">
        <f>IF($Y886="","",IF($Y886=0,$Z886*EXP($AA886*3),$Z886*(1+$Y886*$AA886*3)^(1/$Y886)))</f>
        <v/>
      </c>
      <c r="AE886">
        <f>IF($Y886="","",IF($Y886=0,$Z886*EXP($AA886*-2),$Z886*(1+$Y886*$AA886*-2)^(1/$Y886)))</f>
        <v/>
      </c>
      <c r="AF886">
        <f>IF($Y886="","",IF($Y886=0,$Z886*EXP($AA886*-3),$Z886*(1+$Y886*$AA886*-3)^(1/$Y886)))</f>
        <v/>
      </c>
      <c r="AG886">
        <f>IF($W886="","",IFERROR(INDEX(IF($T886&lt;=60,est05_l,est519_l),MATCH($W886,IF($T886&lt;=60,est05_k,est519_k),1)),""))</f>
        <v/>
      </c>
      <c r="AH886">
        <f>IF($W886="","",IFERROR(INDEX(IF($T886&lt;=60,est05_m,est519_m),MATCH($W886,IF($T886&lt;=60,est05_k,est519_k),1)),""))</f>
        <v/>
      </c>
      <c r="AI886">
        <f>IF($W886="","",IFERROR(INDEX(IF($T886&lt;=60,est05_s,est519_s),MATCH($W886,IF($T886&lt;=60,est05_k,est519_k),1)),""))</f>
        <v/>
      </c>
      <c r="AJ886">
        <f>IF($W886="","",IFERROR(INDEX(IF($T886&lt;=60,peso05_l,peso510_l),MATCH($W886,IF($T886&lt;=60,peso05_k,peso510_k),1)),""))</f>
        <v/>
      </c>
      <c r="AK886">
        <f>IF($W886="","",IFERROR(INDEX(IF($T886&lt;=60,peso05_m,peso510_m),MATCH($W886,IF($T886&lt;=60,peso05_k,peso510_k),1)),""))</f>
        <v/>
      </c>
      <c r="AL886">
        <f>IF($W886="","",IFERROR(INDEX(IF($T886&lt;=60,peso05_s,peso510_s),MATCH($W886,IF($T886&lt;=60,peso05_k,peso510_k),1)),""))</f>
        <v/>
      </c>
      <c r="AM886">
        <f>IF($AJ886="","",IF($AJ886=0,LN($F886/$AK886)/$AL886,((($F886/$AK886)^$AJ886)-1)/($AJ886*$AL886)))</f>
        <v/>
      </c>
      <c r="AN886">
        <f>IF($AJ886="","",IF($AJ886=0,$AK886*EXP($AL886*2),$AK886*(1+$AJ886*$AL886*2)^(1/$AJ886)))</f>
        <v/>
      </c>
      <c r="AO886">
        <f>IF($AJ886="","",IF($AJ886=0,$AK886*EXP($AL886*3),$AK886*(1+$AJ886*$AL886*3)^(1/$AJ886)))</f>
        <v/>
      </c>
      <c r="AP886">
        <f>IF($AJ886="","",IF($AJ886=0,$AK886*EXP($AL886*-2),$AK886*(1+$AJ886*$AL886*-2)^(1/$AJ886)))</f>
        <v/>
      </c>
      <c r="AQ886">
        <f>IF($AJ886="","",IF($AJ886=0,$AK886*EXP($AL886*-3),$AK886*(1+$AJ886*$AL886*-3)^(1/$AJ886)))</f>
        <v/>
      </c>
      <c r="AR886">
        <f>IF(OR($X886="",$T886&gt;60),"",IFERROR(INDEX(IF($T886&lt;24,pcomp_l,palt_l),MATCH($X886,IF($T886&lt;24,pcomp_k,palt_k),1)),""))</f>
        <v/>
      </c>
      <c r="AS886">
        <f>IF(OR($X886="",$T886&gt;60),"",IFERROR(INDEX(IF($T886&lt;24,pcomp_m,palt_m),MATCH($X886,IF($T886&lt;24,pcomp_k,palt_k),1)),""))</f>
        <v/>
      </c>
      <c r="AT886">
        <f>IF(OR($X886="",$T886&gt;60),"",IFERROR(INDEX(IF($T886&lt;24,pcomp_s,palt_s),MATCH($X886,IF($T886&lt;24,pcomp_k,palt_k),1)),""))</f>
        <v/>
      </c>
      <c r="AU886">
        <f>IF($AR886="","",IF($AR886=0,LN($F886/$AS886)/$AT886,((($F886/$AS886)^$AR886)-1)/($AR886*$AT886)))</f>
        <v/>
      </c>
      <c r="AV886">
        <f>IF($AR886="","",IF($AR886=0,$AS886*EXP($AT886*2),$AS886*(1+$AR886*$AT886*2)^(1/$AR886)))</f>
        <v/>
      </c>
      <c r="AW886">
        <f>IF($AR886="","",IF($AR886=0,$AS886*EXP($AT886*3),$AS886*(1+$AR886*$AT886*3)^(1/$AR886)))</f>
        <v/>
      </c>
      <c r="AX886">
        <f>IF($AR886="","",IF($AR886=0,$AS886*EXP($AT886*-2),$AS886*(1+$AR886*$AT886*-2)^(1/$AR886)))</f>
        <v/>
      </c>
      <c r="AY886">
        <f>IF($AR886="","",IF($AR886=0,$AS886*EXP($AT886*-3),$AS886*(1+$AR886*$AT886*-3)^(1/$AR886)))</f>
        <v/>
      </c>
      <c r="AZ886">
        <f>IF(OR($A886="",$A886&lt;&gt;Ficha!$C$4),"",COUNTIF($A$2:$A886,Ficha!$C$4))</f>
        <v/>
      </c>
    </row>
    <row r="887">
      <c r="A887" s="8">
        <f>IF(INDEX(Banco!$A:$A,ROW())="","",INDEX(Banco!$A:$A,ROW()))</f>
        <v/>
      </c>
      <c r="B887" s="8">
        <f>IF(INDEX(Banco!$B:$B,ROW())="","",INDEX(Banco!$B:$B,ROW()))</f>
        <v/>
      </c>
      <c r="C887" s="8">
        <f>IF(INDEX(Banco!$C:$C,ROW())="","",INDEX(Banco!$C:$C,ROW()))</f>
        <v/>
      </c>
      <c r="D887" s="9">
        <f>IF(INDEX(Banco!$D:$D,ROW())="","",INDEX(Banco!$D:$D,ROW()))</f>
        <v/>
      </c>
      <c r="E887" s="9">
        <f>IF(INDEX(Banco!$E:$E,ROW())="","",INDEX(Banco!$E:$E,ROW()))</f>
        <v/>
      </c>
      <c r="F887" s="10">
        <f>IF(INDEX(Banco!$F:$F,ROW())="","",INDEX(Banco!$F:$F,ROW()))</f>
        <v/>
      </c>
      <c r="G887" s="10">
        <f>IF(INDEX(Banco!$G:$G,ROW())="","",INDEX(Banco!$G:$G,ROW()))</f>
        <v/>
      </c>
      <c r="H887" s="8">
        <f>IF(INDEX(Banco!$H:$H,ROW())="","",INDEX(Banco!$H:$H,ROW()))</f>
        <v/>
      </c>
      <c r="I887">
        <f>IF($T887="","",INT($T887/12)&amp;"a "&amp;MOD($T887,12)&amp;"m")</f>
        <v/>
      </c>
      <c r="J887" s="11">
        <f>IF(OR($F887="",$G887=""),"",ROUND($F887/($G887/100)^2,2))</f>
        <v/>
      </c>
      <c r="K887" s="12">
        <f>IF(OR($S887="",$J887="",$T887="",$T887&lt;0,$T887&gt;228,$Y887=""),"—",ROUND(IF(ABS($AB887)&lt;=3,$AB887,IF($AB887&gt;3,3+($J887-$AD887)/($AD887-$AC887),-3+($J887-$AF887)/($AE887-$AF887))),2))</f>
        <v/>
      </c>
      <c r="L887">
        <f>IF(OR($K887="",$K887="—"),"",IF($T887&lt;=60,IF($K887&lt;-3,"Magreza acentuada",IF($K887&lt;-2,"Magreza",IF($K887&lt;=1,"Eutrofia",IF($K887&lt;=2,"Risco de sobrepeso",IF($K887&lt;=3,"Sobrepeso","Obesidade"))))),IF($K887&lt;-3,"Magreza acentuada",IF($K887&lt;-2,"Magreza",IF($K887&lt;=1,"Eutrofia",IF($K887&lt;=2,"Sobrepeso",IF($K887&lt;=3,"Obesidade","Obesidade grave")))))))</f>
        <v/>
      </c>
      <c r="M887" s="12">
        <f>IF(OR($S887="",$V887="",$T887="",$T887&lt;0,$T887&gt;228,$AG887=""),"—",ROUND(IF($AG887=0,LN($V887/$AH887)/$AI887,((($V887/$AH887)^$AG887)-1)/($AG887*$AI887)),2))</f>
        <v/>
      </c>
      <c r="N887">
        <f>IF(OR($M887="",$M887="—"),"",IF($M887&lt;-3,"Muito baixa",IF($M887&lt;-2,"Baixa","Adequada")))</f>
        <v/>
      </c>
      <c r="O887" s="12">
        <f>IF(OR($S887="",$F887="",$T887="",$T887&lt;0,$T887&gt;120,$AJ887=""),"—",ROUND(IF(ABS($AM887)&lt;=3,$AM887,IF($AM887&gt;3,3+($F887-$AO887)/($AO887-$AN887),-3+($F887-$AQ887)/($AP887-$AQ887))),2))</f>
        <v/>
      </c>
      <c r="P887">
        <f>IF(OR($O887="",$O887="—"),"",IF($O887&lt;-3,"Muito baixo",IF($O887&lt;-2,"Baixo",IF($O887&lt;=2,"Adequado","Elevado"))))</f>
        <v/>
      </c>
      <c r="Q887" s="12">
        <f>IF(OR($S887="",$F887="",$T887="",$T887&lt;0,$T887&gt;60,$AR887=""),"—",ROUND(IF(ABS($AU887)&lt;=3,$AU887,IF($AU887&gt;3,3+($F887-$AW887)/($AW887-$AV887),-3+($F887-$AY887)/($AX887-$AY887))),2))</f>
        <v/>
      </c>
      <c r="R887">
        <f>IF(OR($Q887="",$Q887="—"),"",IF($Q887&lt;-3,"Magreza acentuada",IF($Q887&lt;-2,"Magreza",IF($Q887&lt;=1,"Eutrofia",IF($Q887&lt;=2,"Risco de sobrepeso",IF($Q887&lt;=3,"Sobrepeso","Obesidade"))))))</f>
        <v/>
      </c>
      <c r="S887">
        <f>IF($C887="","",IF(UPPER(LEFT($C887,1))="M",1,IF(UPPER(LEFT($C887,1))="F",2,"")))</f>
        <v/>
      </c>
      <c r="T887">
        <f>IF(OR($D887="",$E887=""),"",DATEDIF($D887,$E887,"m"))</f>
        <v/>
      </c>
      <c r="U887">
        <f>IF(OR($D887="",$E887=""),"",$E887-$D887)</f>
        <v/>
      </c>
      <c r="V887">
        <f>IF(OR($G887="",$T887=""),"",IF($T887&lt;24,IF(LEFT(LOWER($H887),4)="em p",$G887+0.7,$G887),IF(LEFT(LOWER($H887),4)="deit",$G887-0.7,$G887)))</f>
        <v/>
      </c>
      <c r="W887">
        <f>IF(OR($S887="",$T887=""),"",$S887*1000000+IF($T887&lt;=60,$U887,$T887))</f>
        <v/>
      </c>
      <c r="X887">
        <f>IF(OR($S887="",$V887="",$T887&gt;60,$T887=""),"",$S887*1000000+ROUND($V887*10,0))</f>
        <v/>
      </c>
      <c r="Y887">
        <f>IF($W887="","",IFERROR(INDEX(IF($T887&lt;=60,imc05_l,imc519_l),MATCH($W887,IF($T887&lt;=60,imc05_k,imc519_k),1)),""))</f>
        <v/>
      </c>
      <c r="Z887">
        <f>IF($W887="","",IFERROR(INDEX(IF($T887&lt;=60,imc05_m,imc519_m),MATCH($W887,IF($T887&lt;=60,imc05_k,imc519_k),1)),""))</f>
        <v/>
      </c>
      <c r="AA887">
        <f>IF($W887="","",IFERROR(INDEX(IF($T887&lt;=60,imc05_s,imc519_s),MATCH($W887,IF($T887&lt;=60,imc05_k,imc519_k),1)),""))</f>
        <v/>
      </c>
      <c r="AB887">
        <f>IF($Y887="","",IF($Y887=0,LN($J887/$Z887)/$AA887,((($J887/$Z887)^$Y887)-1)/($Y887*$AA887)))</f>
        <v/>
      </c>
      <c r="AC887">
        <f>IF($Y887="","",IF($Y887=0,$Z887*EXP($AA887*2),$Z887*(1+$Y887*$AA887*2)^(1/$Y887)))</f>
        <v/>
      </c>
      <c r="AD887">
        <f>IF($Y887="","",IF($Y887=0,$Z887*EXP($AA887*3),$Z887*(1+$Y887*$AA887*3)^(1/$Y887)))</f>
        <v/>
      </c>
      <c r="AE887">
        <f>IF($Y887="","",IF($Y887=0,$Z887*EXP($AA887*-2),$Z887*(1+$Y887*$AA887*-2)^(1/$Y887)))</f>
        <v/>
      </c>
      <c r="AF887">
        <f>IF($Y887="","",IF($Y887=0,$Z887*EXP($AA887*-3),$Z887*(1+$Y887*$AA887*-3)^(1/$Y887)))</f>
        <v/>
      </c>
      <c r="AG887">
        <f>IF($W887="","",IFERROR(INDEX(IF($T887&lt;=60,est05_l,est519_l),MATCH($W887,IF($T887&lt;=60,est05_k,est519_k),1)),""))</f>
        <v/>
      </c>
      <c r="AH887">
        <f>IF($W887="","",IFERROR(INDEX(IF($T887&lt;=60,est05_m,est519_m),MATCH($W887,IF($T887&lt;=60,est05_k,est519_k),1)),""))</f>
        <v/>
      </c>
      <c r="AI887">
        <f>IF($W887="","",IFERROR(INDEX(IF($T887&lt;=60,est05_s,est519_s),MATCH($W887,IF($T887&lt;=60,est05_k,est519_k),1)),""))</f>
        <v/>
      </c>
      <c r="AJ887">
        <f>IF($W887="","",IFERROR(INDEX(IF($T887&lt;=60,peso05_l,peso510_l),MATCH($W887,IF($T887&lt;=60,peso05_k,peso510_k),1)),""))</f>
        <v/>
      </c>
      <c r="AK887">
        <f>IF($W887="","",IFERROR(INDEX(IF($T887&lt;=60,peso05_m,peso510_m),MATCH($W887,IF($T887&lt;=60,peso05_k,peso510_k),1)),""))</f>
        <v/>
      </c>
      <c r="AL887">
        <f>IF($W887="","",IFERROR(INDEX(IF($T887&lt;=60,peso05_s,peso510_s),MATCH($W887,IF($T887&lt;=60,peso05_k,peso510_k),1)),""))</f>
        <v/>
      </c>
      <c r="AM887">
        <f>IF($AJ887="","",IF($AJ887=0,LN($F887/$AK887)/$AL887,((($F887/$AK887)^$AJ887)-1)/($AJ887*$AL887)))</f>
        <v/>
      </c>
      <c r="AN887">
        <f>IF($AJ887="","",IF($AJ887=0,$AK887*EXP($AL887*2),$AK887*(1+$AJ887*$AL887*2)^(1/$AJ887)))</f>
        <v/>
      </c>
      <c r="AO887">
        <f>IF($AJ887="","",IF($AJ887=0,$AK887*EXP($AL887*3),$AK887*(1+$AJ887*$AL887*3)^(1/$AJ887)))</f>
        <v/>
      </c>
      <c r="AP887">
        <f>IF($AJ887="","",IF($AJ887=0,$AK887*EXP($AL887*-2),$AK887*(1+$AJ887*$AL887*-2)^(1/$AJ887)))</f>
        <v/>
      </c>
      <c r="AQ887">
        <f>IF($AJ887="","",IF($AJ887=0,$AK887*EXP($AL887*-3),$AK887*(1+$AJ887*$AL887*-3)^(1/$AJ887)))</f>
        <v/>
      </c>
      <c r="AR887">
        <f>IF(OR($X887="",$T887&gt;60),"",IFERROR(INDEX(IF($T887&lt;24,pcomp_l,palt_l),MATCH($X887,IF($T887&lt;24,pcomp_k,palt_k),1)),""))</f>
        <v/>
      </c>
      <c r="AS887">
        <f>IF(OR($X887="",$T887&gt;60),"",IFERROR(INDEX(IF($T887&lt;24,pcomp_m,palt_m),MATCH($X887,IF($T887&lt;24,pcomp_k,palt_k),1)),""))</f>
        <v/>
      </c>
      <c r="AT887">
        <f>IF(OR($X887="",$T887&gt;60),"",IFERROR(INDEX(IF($T887&lt;24,pcomp_s,palt_s),MATCH($X887,IF($T887&lt;24,pcomp_k,palt_k),1)),""))</f>
        <v/>
      </c>
      <c r="AU887">
        <f>IF($AR887="","",IF($AR887=0,LN($F887/$AS887)/$AT887,((($F887/$AS887)^$AR887)-1)/($AR887*$AT887)))</f>
        <v/>
      </c>
      <c r="AV887">
        <f>IF($AR887="","",IF($AR887=0,$AS887*EXP($AT887*2),$AS887*(1+$AR887*$AT887*2)^(1/$AR887)))</f>
        <v/>
      </c>
      <c r="AW887">
        <f>IF($AR887="","",IF($AR887=0,$AS887*EXP($AT887*3),$AS887*(1+$AR887*$AT887*3)^(1/$AR887)))</f>
        <v/>
      </c>
      <c r="AX887">
        <f>IF($AR887="","",IF($AR887=0,$AS887*EXP($AT887*-2),$AS887*(1+$AR887*$AT887*-2)^(1/$AR887)))</f>
        <v/>
      </c>
      <c r="AY887">
        <f>IF($AR887="","",IF($AR887=0,$AS887*EXP($AT887*-3),$AS887*(1+$AR887*$AT887*-3)^(1/$AR887)))</f>
        <v/>
      </c>
      <c r="AZ887">
        <f>IF(OR($A887="",$A887&lt;&gt;Ficha!$C$4),"",COUNTIF($A$2:$A887,Ficha!$C$4))</f>
        <v/>
      </c>
    </row>
    <row r="888">
      <c r="A888" s="8">
        <f>IF(INDEX(Banco!$A:$A,ROW())="","",INDEX(Banco!$A:$A,ROW()))</f>
        <v/>
      </c>
      <c r="B888" s="8">
        <f>IF(INDEX(Banco!$B:$B,ROW())="","",INDEX(Banco!$B:$B,ROW()))</f>
        <v/>
      </c>
      <c r="C888" s="8">
        <f>IF(INDEX(Banco!$C:$C,ROW())="","",INDEX(Banco!$C:$C,ROW()))</f>
        <v/>
      </c>
      <c r="D888" s="9">
        <f>IF(INDEX(Banco!$D:$D,ROW())="","",INDEX(Banco!$D:$D,ROW()))</f>
        <v/>
      </c>
      <c r="E888" s="9">
        <f>IF(INDEX(Banco!$E:$E,ROW())="","",INDEX(Banco!$E:$E,ROW()))</f>
        <v/>
      </c>
      <c r="F888" s="10">
        <f>IF(INDEX(Banco!$F:$F,ROW())="","",INDEX(Banco!$F:$F,ROW()))</f>
        <v/>
      </c>
      <c r="G888" s="10">
        <f>IF(INDEX(Banco!$G:$G,ROW())="","",INDEX(Banco!$G:$G,ROW()))</f>
        <v/>
      </c>
      <c r="H888" s="8">
        <f>IF(INDEX(Banco!$H:$H,ROW())="","",INDEX(Banco!$H:$H,ROW()))</f>
        <v/>
      </c>
      <c r="I888">
        <f>IF($T888="","",INT($T888/12)&amp;"a "&amp;MOD($T888,12)&amp;"m")</f>
        <v/>
      </c>
      <c r="J888" s="11">
        <f>IF(OR($F888="",$G888=""),"",ROUND($F888/($G888/100)^2,2))</f>
        <v/>
      </c>
      <c r="K888" s="12">
        <f>IF(OR($S888="",$J888="",$T888="",$T888&lt;0,$T888&gt;228,$Y888=""),"—",ROUND(IF(ABS($AB888)&lt;=3,$AB888,IF($AB888&gt;3,3+($J888-$AD888)/($AD888-$AC888),-3+($J888-$AF888)/($AE888-$AF888))),2))</f>
        <v/>
      </c>
      <c r="L888">
        <f>IF(OR($K888="",$K888="—"),"",IF($T888&lt;=60,IF($K888&lt;-3,"Magreza acentuada",IF($K888&lt;-2,"Magreza",IF($K888&lt;=1,"Eutrofia",IF($K888&lt;=2,"Risco de sobrepeso",IF($K888&lt;=3,"Sobrepeso","Obesidade"))))),IF($K888&lt;-3,"Magreza acentuada",IF($K888&lt;-2,"Magreza",IF($K888&lt;=1,"Eutrofia",IF($K888&lt;=2,"Sobrepeso",IF($K888&lt;=3,"Obesidade","Obesidade grave")))))))</f>
        <v/>
      </c>
      <c r="M888" s="12">
        <f>IF(OR($S888="",$V888="",$T888="",$T888&lt;0,$T888&gt;228,$AG888=""),"—",ROUND(IF($AG888=0,LN($V888/$AH888)/$AI888,((($V888/$AH888)^$AG888)-1)/($AG888*$AI888)),2))</f>
        <v/>
      </c>
      <c r="N888">
        <f>IF(OR($M888="",$M888="—"),"",IF($M888&lt;-3,"Muito baixa",IF($M888&lt;-2,"Baixa","Adequada")))</f>
        <v/>
      </c>
      <c r="O888" s="12">
        <f>IF(OR($S888="",$F888="",$T888="",$T888&lt;0,$T888&gt;120,$AJ888=""),"—",ROUND(IF(ABS($AM888)&lt;=3,$AM888,IF($AM888&gt;3,3+($F888-$AO888)/($AO888-$AN888),-3+($F888-$AQ888)/($AP888-$AQ888))),2))</f>
        <v/>
      </c>
      <c r="P888">
        <f>IF(OR($O888="",$O888="—"),"",IF($O888&lt;-3,"Muito baixo",IF($O888&lt;-2,"Baixo",IF($O888&lt;=2,"Adequado","Elevado"))))</f>
        <v/>
      </c>
      <c r="Q888" s="12">
        <f>IF(OR($S888="",$F888="",$T888="",$T888&lt;0,$T888&gt;60,$AR888=""),"—",ROUND(IF(ABS($AU888)&lt;=3,$AU888,IF($AU888&gt;3,3+($F888-$AW888)/($AW888-$AV888),-3+($F888-$AY888)/($AX888-$AY888))),2))</f>
        <v/>
      </c>
      <c r="R888">
        <f>IF(OR($Q888="",$Q888="—"),"",IF($Q888&lt;-3,"Magreza acentuada",IF($Q888&lt;-2,"Magreza",IF($Q888&lt;=1,"Eutrofia",IF($Q888&lt;=2,"Risco de sobrepeso",IF($Q888&lt;=3,"Sobrepeso","Obesidade"))))))</f>
        <v/>
      </c>
      <c r="S888">
        <f>IF($C888="","",IF(UPPER(LEFT($C888,1))="M",1,IF(UPPER(LEFT($C888,1))="F",2,"")))</f>
        <v/>
      </c>
      <c r="T888">
        <f>IF(OR($D888="",$E888=""),"",DATEDIF($D888,$E888,"m"))</f>
        <v/>
      </c>
      <c r="U888">
        <f>IF(OR($D888="",$E888=""),"",$E888-$D888)</f>
        <v/>
      </c>
      <c r="V888">
        <f>IF(OR($G888="",$T888=""),"",IF($T888&lt;24,IF(LEFT(LOWER($H888),4)="em p",$G888+0.7,$G888),IF(LEFT(LOWER($H888),4)="deit",$G888-0.7,$G888)))</f>
        <v/>
      </c>
      <c r="W888">
        <f>IF(OR($S888="",$T888=""),"",$S888*1000000+IF($T888&lt;=60,$U888,$T888))</f>
        <v/>
      </c>
      <c r="X888">
        <f>IF(OR($S888="",$V888="",$T888&gt;60,$T888=""),"",$S888*1000000+ROUND($V888*10,0))</f>
        <v/>
      </c>
      <c r="Y888">
        <f>IF($W888="","",IFERROR(INDEX(IF($T888&lt;=60,imc05_l,imc519_l),MATCH($W888,IF($T888&lt;=60,imc05_k,imc519_k),1)),""))</f>
        <v/>
      </c>
      <c r="Z888">
        <f>IF($W888="","",IFERROR(INDEX(IF($T888&lt;=60,imc05_m,imc519_m),MATCH($W888,IF($T888&lt;=60,imc05_k,imc519_k),1)),""))</f>
        <v/>
      </c>
      <c r="AA888">
        <f>IF($W888="","",IFERROR(INDEX(IF($T888&lt;=60,imc05_s,imc519_s),MATCH($W888,IF($T888&lt;=60,imc05_k,imc519_k),1)),""))</f>
        <v/>
      </c>
      <c r="AB888">
        <f>IF($Y888="","",IF($Y888=0,LN($J888/$Z888)/$AA888,((($J888/$Z888)^$Y888)-1)/($Y888*$AA888)))</f>
        <v/>
      </c>
      <c r="AC888">
        <f>IF($Y888="","",IF($Y888=0,$Z888*EXP($AA888*2),$Z888*(1+$Y888*$AA888*2)^(1/$Y888)))</f>
        <v/>
      </c>
      <c r="AD888">
        <f>IF($Y888="","",IF($Y888=0,$Z888*EXP($AA888*3),$Z888*(1+$Y888*$AA888*3)^(1/$Y888)))</f>
        <v/>
      </c>
      <c r="AE888">
        <f>IF($Y888="","",IF($Y888=0,$Z888*EXP($AA888*-2),$Z888*(1+$Y888*$AA888*-2)^(1/$Y888)))</f>
        <v/>
      </c>
      <c r="AF888">
        <f>IF($Y888="","",IF($Y888=0,$Z888*EXP($AA888*-3),$Z888*(1+$Y888*$AA888*-3)^(1/$Y888)))</f>
        <v/>
      </c>
      <c r="AG888">
        <f>IF($W888="","",IFERROR(INDEX(IF($T888&lt;=60,est05_l,est519_l),MATCH($W888,IF($T888&lt;=60,est05_k,est519_k),1)),""))</f>
        <v/>
      </c>
      <c r="AH888">
        <f>IF($W888="","",IFERROR(INDEX(IF($T888&lt;=60,est05_m,est519_m),MATCH($W888,IF($T888&lt;=60,est05_k,est519_k),1)),""))</f>
        <v/>
      </c>
      <c r="AI888">
        <f>IF($W888="","",IFERROR(INDEX(IF($T888&lt;=60,est05_s,est519_s),MATCH($W888,IF($T888&lt;=60,est05_k,est519_k),1)),""))</f>
        <v/>
      </c>
      <c r="AJ888">
        <f>IF($W888="","",IFERROR(INDEX(IF($T888&lt;=60,peso05_l,peso510_l),MATCH($W888,IF($T888&lt;=60,peso05_k,peso510_k),1)),""))</f>
        <v/>
      </c>
      <c r="AK888">
        <f>IF($W888="","",IFERROR(INDEX(IF($T888&lt;=60,peso05_m,peso510_m),MATCH($W888,IF($T888&lt;=60,peso05_k,peso510_k),1)),""))</f>
        <v/>
      </c>
      <c r="AL888">
        <f>IF($W888="","",IFERROR(INDEX(IF($T888&lt;=60,peso05_s,peso510_s),MATCH($W888,IF($T888&lt;=60,peso05_k,peso510_k),1)),""))</f>
        <v/>
      </c>
      <c r="AM888">
        <f>IF($AJ888="","",IF($AJ888=0,LN($F888/$AK888)/$AL888,((($F888/$AK888)^$AJ888)-1)/($AJ888*$AL888)))</f>
        <v/>
      </c>
      <c r="AN888">
        <f>IF($AJ888="","",IF($AJ888=0,$AK888*EXP($AL888*2),$AK888*(1+$AJ888*$AL888*2)^(1/$AJ888)))</f>
        <v/>
      </c>
      <c r="AO888">
        <f>IF($AJ888="","",IF($AJ888=0,$AK888*EXP($AL888*3),$AK888*(1+$AJ888*$AL888*3)^(1/$AJ888)))</f>
        <v/>
      </c>
      <c r="AP888">
        <f>IF($AJ888="","",IF($AJ888=0,$AK888*EXP($AL888*-2),$AK888*(1+$AJ888*$AL888*-2)^(1/$AJ888)))</f>
        <v/>
      </c>
      <c r="AQ888">
        <f>IF($AJ888="","",IF($AJ888=0,$AK888*EXP($AL888*-3),$AK888*(1+$AJ888*$AL888*-3)^(1/$AJ888)))</f>
        <v/>
      </c>
      <c r="AR888">
        <f>IF(OR($X888="",$T888&gt;60),"",IFERROR(INDEX(IF($T888&lt;24,pcomp_l,palt_l),MATCH($X888,IF($T888&lt;24,pcomp_k,palt_k),1)),""))</f>
        <v/>
      </c>
      <c r="AS888">
        <f>IF(OR($X888="",$T888&gt;60),"",IFERROR(INDEX(IF($T888&lt;24,pcomp_m,palt_m),MATCH($X888,IF($T888&lt;24,pcomp_k,palt_k),1)),""))</f>
        <v/>
      </c>
      <c r="AT888">
        <f>IF(OR($X888="",$T888&gt;60),"",IFERROR(INDEX(IF($T888&lt;24,pcomp_s,palt_s),MATCH($X888,IF($T888&lt;24,pcomp_k,palt_k),1)),""))</f>
        <v/>
      </c>
      <c r="AU888">
        <f>IF($AR888="","",IF($AR888=0,LN($F888/$AS888)/$AT888,((($F888/$AS888)^$AR888)-1)/($AR888*$AT888)))</f>
        <v/>
      </c>
      <c r="AV888">
        <f>IF($AR888="","",IF($AR888=0,$AS888*EXP($AT888*2),$AS888*(1+$AR888*$AT888*2)^(1/$AR888)))</f>
        <v/>
      </c>
      <c r="AW888">
        <f>IF($AR888="","",IF($AR888=0,$AS888*EXP($AT888*3),$AS888*(1+$AR888*$AT888*3)^(1/$AR888)))</f>
        <v/>
      </c>
      <c r="AX888">
        <f>IF($AR888="","",IF($AR888=0,$AS888*EXP($AT888*-2),$AS888*(1+$AR888*$AT888*-2)^(1/$AR888)))</f>
        <v/>
      </c>
      <c r="AY888">
        <f>IF($AR888="","",IF($AR888=0,$AS888*EXP($AT888*-3),$AS888*(1+$AR888*$AT888*-3)^(1/$AR888)))</f>
        <v/>
      </c>
      <c r="AZ888">
        <f>IF(OR($A888="",$A888&lt;&gt;Ficha!$C$4),"",COUNTIF($A$2:$A888,Ficha!$C$4))</f>
        <v/>
      </c>
    </row>
    <row r="889">
      <c r="A889" s="8">
        <f>IF(INDEX(Banco!$A:$A,ROW())="","",INDEX(Banco!$A:$A,ROW()))</f>
        <v/>
      </c>
      <c r="B889" s="8">
        <f>IF(INDEX(Banco!$B:$B,ROW())="","",INDEX(Banco!$B:$B,ROW()))</f>
        <v/>
      </c>
      <c r="C889" s="8">
        <f>IF(INDEX(Banco!$C:$C,ROW())="","",INDEX(Banco!$C:$C,ROW()))</f>
        <v/>
      </c>
      <c r="D889" s="9">
        <f>IF(INDEX(Banco!$D:$D,ROW())="","",INDEX(Banco!$D:$D,ROW()))</f>
        <v/>
      </c>
      <c r="E889" s="9">
        <f>IF(INDEX(Banco!$E:$E,ROW())="","",INDEX(Banco!$E:$E,ROW()))</f>
        <v/>
      </c>
      <c r="F889" s="10">
        <f>IF(INDEX(Banco!$F:$F,ROW())="","",INDEX(Banco!$F:$F,ROW()))</f>
        <v/>
      </c>
      <c r="G889" s="10">
        <f>IF(INDEX(Banco!$G:$G,ROW())="","",INDEX(Banco!$G:$G,ROW()))</f>
        <v/>
      </c>
      <c r="H889" s="8">
        <f>IF(INDEX(Banco!$H:$H,ROW())="","",INDEX(Banco!$H:$H,ROW()))</f>
        <v/>
      </c>
      <c r="I889">
        <f>IF($T889="","",INT($T889/12)&amp;"a "&amp;MOD($T889,12)&amp;"m")</f>
        <v/>
      </c>
      <c r="J889" s="11">
        <f>IF(OR($F889="",$G889=""),"",ROUND($F889/($G889/100)^2,2))</f>
        <v/>
      </c>
      <c r="K889" s="12">
        <f>IF(OR($S889="",$J889="",$T889="",$T889&lt;0,$T889&gt;228,$Y889=""),"—",ROUND(IF(ABS($AB889)&lt;=3,$AB889,IF($AB889&gt;3,3+($J889-$AD889)/($AD889-$AC889),-3+($J889-$AF889)/($AE889-$AF889))),2))</f>
        <v/>
      </c>
      <c r="L889">
        <f>IF(OR($K889="",$K889="—"),"",IF($T889&lt;=60,IF($K889&lt;-3,"Magreza acentuada",IF($K889&lt;-2,"Magreza",IF($K889&lt;=1,"Eutrofia",IF($K889&lt;=2,"Risco de sobrepeso",IF($K889&lt;=3,"Sobrepeso","Obesidade"))))),IF($K889&lt;-3,"Magreza acentuada",IF($K889&lt;-2,"Magreza",IF($K889&lt;=1,"Eutrofia",IF($K889&lt;=2,"Sobrepeso",IF($K889&lt;=3,"Obesidade","Obesidade grave")))))))</f>
        <v/>
      </c>
      <c r="M889" s="12">
        <f>IF(OR($S889="",$V889="",$T889="",$T889&lt;0,$T889&gt;228,$AG889=""),"—",ROUND(IF($AG889=0,LN($V889/$AH889)/$AI889,((($V889/$AH889)^$AG889)-1)/($AG889*$AI889)),2))</f>
        <v/>
      </c>
      <c r="N889">
        <f>IF(OR($M889="",$M889="—"),"",IF($M889&lt;-3,"Muito baixa",IF($M889&lt;-2,"Baixa","Adequada")))</f>
        <v/>
      </c>
      <c r="O889" s="12">
        <f>IF(OR($S889="",$F889="",$T889="",$T889&lt;0,$T889&gt;120,$AJ889=""),"—",ROUND(IF(ABS($AM889)&lt;=3,$AM889,IF($AM889&gt;3,3+($F889-$AO889)/($AO889-$AN889),-3+($F889-$AQ889)/($AP889-$AQ889))),2))</f>
        <v/>
      </c>
      <c r="P889">
        <f>IF(OR($O889="",$O889="—"),"",IF($O889&lt;-3,"Muito baixo",IF($O889&lt;-2,"Baixo",IF($O889&lt;=2,"Adequado","Elevado"))))</f>
        <v/>
      </c>
      <c r="Q889" s="12">
        <f>IF(OR($S889="",$F889="",$T889="",$T889&lt;0,$T889&gt;60,$AR889=""),"—",ROUND(IF(ABS($AU889)&lt;=3,$AU889,IF($AU889&gt;3,3+($F889-$AW889)/($AW889-$AV889),-3+($F889-$AY889)/($AX889-$AY889))),2))</f>
        <v/>
      </c>
      <c r="R889">
        <f>IF(OR($Q889="",$Q889="—"),"",IF($Q889&lt;-3,"Magreza acentuada",IF($Q889&lt;-2,"Magreza",IF($Q889&lt;=1,"Eutrofia",IF($Q889&lt;=2,"Risco de sobrepeso",IF($Q889&lt;=3,"Sobrepeso","Obesidade"))))))</f>
        <v/>
      </c>
      <c r="S889">
        <f>IF($C889="","",IF(UPPER(LEFT($C889,1))="M",1,IF(UPPER(LEFT($C889,1))="F",2,"")))</f>
        <v/>
      </c>
      <c r="T889">
        <f>IF(OR($D889="",$E889=""),"",DATEDIF($D889,$E889,"m"))</f>
        <v/>
      </c>
      <c r="U889">
        <f>IF(OR($D889="",$E889=""),"",$E889-$D889)</f>
        <v/>
      </c>
      <c r="V889">
        <f>IF(OR($G889="",$T889=""),"",IF($T889&lt;24,IF(LEFT(LOWER($H889),4)="em p",$G889+0.7,$G889),IF(LEFT(LOWER($H889),4)="deit",$G889-0.7,$G889)))</f>
        <v/>
      </c>
      <c r="W889">
        <f>IF(OR($S889="",$T889=""),"",$S889*1000000+IF($T889&lt;=60,$U889,$T889))</f>
        <v/>
      </c>
      <c r="X889">
        <f>IF(OR($S889="",$V889="",$T889&gt;60,$T889=""),"",$S889*1000000+ROUND($V889*10,0))</f>
        <v/>
      </c>
      <c r="Y889">
        <f>IF($W889="","",IFERROR(INDEX(IF($T889&lt;=60,imc05_l,imc519_l),MATCH($W889,IF($T889&lt;=60,imc05_k,imc519_k),1)),""))</f>
        <v/>
      </c>
      <c r="Z889">
        <f>IF($W889="","",IFERROR(INDEX(IF($T889&lt;=60,imc05_m,imc519_m),MATCH($W889,IF($T889&lt;=60,imc05_k,imc519_k),1)),""))</f>
        <v/>
      </c>
      <c r="AA889">
        <f>IF($W889="","",IFERROR(INDEX(IF($T889&lt;=60,imc05_s,imc519_s),MATCH($W889,IF($T889&lt;=60,imc05_k,imc519_k),1)),""))</f>
        <v/>
      </c>
      <c r="AB889">
        <f>IF($Y889="","",IF($Y889=0,LN($J889/$Z889)/$AA889,((($J889/$Z889)^$Y889)-1)/($Y889*$AA889)))</f>
        <v/>
      </c>
      <c r="AC889">
        <f>IF($Y889="","",IF($Y889=0,$Z889*EXP($AA889*2),$Z889*(1+$Y889*$AA889*2)^(1/$Y889)))</f>
        <v/>
      </c>
      <c r="AD889">
        <f>IF($Y889="","",IF($Y889=0,$Z889*EXP($AA889*3),$Z889*(1+$Y889*$AA889*3)^(1/$Y889)))</f>
        <v/>
      </c>
      <c r="AE889">
        <f>IF($Y889="","",IF($Y889=0,$Z889*EXP($AA889*-2),$Z889*(1+$Y889*$AA889*-2)^(1/$Y889)))</f>
        <v/>
      </c>
      <c r="AF889">
        <f>IF($Y889="","",IF($Y889=0,$Z889*EXP($AA889*-3),$Z889*(1+$Y889*$AA889*-3)^(1/$Y889)))</f>
        <v/>
      </c>
      <c r="AG889">
        <f>IF($W889="","",IFERROR(INDEX(IF($T889&lt;=60,est05_l,est519_l),MATCH($W889,IF($T889&lt;=60,est05_k,est519_k),1)),""))</f>
        <v/>
      </c>
      <c r="AH889">
        <f>IF($W889="","",IFERROR(INDEX(IF($T889&lt;=60,est05_m,est519_m),MATCH($W889,IF($T889&lt;=60,est05_k,est519_k),1)),""))</f>
        <v/>
      </c>
      <c r="AI889">
        <f>IF($W889="","",IFERROR(INDEX(IF($T889&lt;=60,est05_s,est519_s),MATCH($W889,IF($T889&lt;=60,est05_k,est519_k),1)),""))</f>
        <v/>
      </c>
      <c r="AJ889">
        <f>IF($W889="","",IFERROR(INDEX(IF($T889&lt;=60,peso05_l,peso510_l),MATCH($W889,IF($T889&lt;=60,peso05_k,peso510_k),1)),""))</f>
        <v/>
      </c>
      <c r="AK889">
        <f>IF($W889="","",IFERROR(INDEX(IF($T889&lt;=60,peso05_m,peso510_m),MATCH($W889,IF($T889&lt;=60,peso05_k,peso510_k),1)),""))</f>
        <v/>
      </c>
      <c r="AL889">
        <f>IF($W889="","",IFERROR(INDEX(IF($T889&lt;=60,peso05_s,peso510_s),MATCH($W889,IF($T889&lt;=60,peso05_k,peso510_k),1)),""))</f>
        <v/>
      </c>
      <c r="AM889">
        <f>IF($AJ889="","",IF($AJ889=0,LN($F889/$AK889)/$AL889,((($F889/$AK889)^$AJ889)-1)/($AJ889*$AL889)))</f>
        <v/>
      </c>
      <c r="AN889">
        <f>IF($AJ889="","",IF($AJ889=0,$AK889*EXP($AL889*2),$AK889*(1+$AJ889*$AL889*2)^(1/$AJ889)))</f>
        <v/>
      </c>
      <c r="AO889">
        <f>IF($AJ889="","",IF($AJ889=0,$AK889*EXP($AL889*3),$AK889*(1+$AJ889*$AL889*3)^(1/$AJ889)))</f>
        <v/>
      </c>
      <c r="AP889">
        <f>IF($AJ889="","",IF($AJ889=0,$AK889*EXP($AL889*-2),$AK889*(1+$AJ889*$AL889*-2)^(1/$AJ889)))</f>
        <v/>
      </c>
      <c r="AQ889">
        <f>IF($AJ889="","",IF($AJ889=0,$AK889*EXP($AL889*-3),$AK889*(1+$AJ889*$AL889*-3)^(1/$AJ889)))</f>
        <v/>
      </c>
      <c r="AR889">
        <f>IF(OR($X889="",$T889&gt;60),"",IFERROR(INDEX(IF($T889&lt;24,pcomp_l,palt_l),MATCH($X889,IF($T889&lt;24,pcomp_k,palt_k),1)),""))</f>
        <v/>
      </c>
      <c r="AS889">
        <f>IF(OR($X889="",$T889&gt;60),"",IFERROR(INDEX(IF($T889&lt;24,pcomp_m,palt_m),MATCH($X889,IF($T889&lt;24,pcomp_k,palt_k),1)),""))</f>
        <v/>
      </c>
      <c r="AT889">
        <f>IF(OR($X889="",$T889&gt;60),"",IFERROR(INDEX(IF($T889&lt;24,pcomp_s,palt_s),MATCH($X889,IF($T889&lt;24,pcomp_k,palt_k),1)),""))</f>
        <v/>
      </c>
      <c r="AU889">
        <f>IF($AR889="","",IF($AR889=0,LN($F889/$AS889)/$AT889,((($F889/$AS889)^$AR889)-1)/($AR889*$AT889)))</f>
        <v/>
      </c>
      <c r="AV889">
        <f>IF($AR889="","",IF($AR889=0,$AS889*EXP($AT889*2),$AS889*(1+$AR889*$AT889*2)^(1/$AR889)))</f>
        <v/>
      </c>
      <c r="AW889">
        <f>IF($AR889="","",IF($AR889=0,$AS889*EXP($AT889*3),$AS889*(1+$AR889*$AT889*3)^(1/$AR889)))</f>
        <v/>
      </c>
      <c r="AX889">
        <f>IF($AR889="","",IF($AR889=0,$AS889*EXP($AT889*-2),$AS889*(1+$AR889*$AT889*-2)^(1/$AR889)))</f>
        <v/>
      </c>
      <c r="AY889">
        <f>IF($AR889="","",IF($AR889=0,$AS889*EXP($AT889*-3),$AS889*(1+$AR889*$AT889*-3)^(1/$AR889)))</f>
        <v/>
      </c>
      <c r="AZ889">
        <f>IF(OR($A889="",$A889&lt;&gt;Ficha!$C$4),"",COUNTIF($A$2:$A889,Ficha!$C$4))</f>
        <v/>
      </c>
    </row>
    <row r="890">
      <c r="A890" s="8">
        <f>IF(INDEX(Banco!$A:$A,ROW())="","",INDEX(Banco!$A:$A,ROW()))</f>
        <v/>
      </c>
      <c r="B890" s="8">
        <f>IF(INDEX(Banco!$B:$B,ROW())="","",INDEX(Banco!$B:$B,ROW()))</f>
        <v/>
      </c>
      <c r="C890" s="8">
        <f>IF(INDEX(Banco!$C:$C,ROW())="","",INDEX(Banco!$C:$C,ROW()))</f>
        <v/>
      </c>
      <c r="D890" s="9">
        <f>IF(INDEX(Banco!$D:$D,ROW())="","",INDEX(Banco!$D:$D,ROW()))</f>
        <v/>
      </c>
      <c r="E890" s="9">
        <f>IF(INDEX(Banco!$E:$E,ROW())="","",INDEX(Banco!$E:$E,ROW()))</f>
        <v/>
      </c>
      <c r="F890" s="10">
        <f>IF(INDEX(Banco!$F:$F,ROW())="","",INDEX(Banco!$F:$F,ROW()))</f>
        <v/>
      </c>
      <c r="G890" s="10">
        <f>IF(INDEX(Banco!$G:$G,ROW())="","",INDEX(Banco!$G:$G,ROW()))</f>
        <v/>
      </c>
      <c r="H890" s="8">
        <f>IF(INDEX(Banco!$H:$H,ROW())="","",INDEX(Banco!$H:$H,ROW()))</f>
        <v/>
      </c>
      <c r="I890">
        <f>IF($T890="","",INT($T890/12)&amp;"a "&amp;MOD($T890,12)&amp;"m")</f>
        <v/>
      </c>
      <c r="J890" s="11">
        <f>IF(OR($F890="",$G890=""),"",ROUND($F890/($G890/100)^2,2))</f>
        <v/>
      </c>
      <c r="K890" s="12">
        <f>IF(OR($S890="",$J890="",$T890="",$T890&lt;0,$T890&gt;228,$Y890=""),"—",ROUND(IF(ABS($AB890)&lt;=3,$AB890,IF($AB890&gt;3,3+($J890-$AD890)/($AD890-$AC890),-3+($J890-$AF890)/($AE890-$AF890))),2))</f>
        <v/>
      </c>
      <c r="L890">
        <f>IF(OR($K890="",$K890="—"),"",IF($T890&lt;=60,IF($K890&lt;-3,"Magreza acentuada",IF($K890&lt;-2,"Magreza",IF($K890&lt;=1,"Eutrofia",IF($K890&lt;=2,"Risco de sobrepeso",IF($K890&lt;=3,"Sobrepeso","Obesidade"))))),IF($K890&lt;-3,"Magreza acentuada",IF($K890&lt;-2,"Magreza",IF($K890&lt;=1,"Eutrofia",IF($K890&lt;=2,"Sobrepeso",IF($K890&lt;=3,"Obesidade","Obesidade grave")))))))</f>
        <v/>
      </c>
      <c r="M890" s="12">
        <f>IF(OR($S890="",$V890="",$T890="",$T890&lt;0,$T890&gt;228,$AG890=""),"—",ROUND(IF($AG890=0,LN($V890/$AH890)/$AI890,((($V890/$AH890)^$AG890)-1)/($AG890*$AI890)),2))</f>
        <v/>
      </c>
      <c r="N890">
        <f>IF(OR($M890="",$M890="—"),"",IF($M890&lt;-3,"Muito baixa",IF($M890&lt;-2,"Baixa","Adequada")))</f>
        <v/>
      </c>
      <c r="O890" s="12">
        <f>IF(OR($S890="",$F890="",$T890="",$T890&lt;0,$T890&gt;120,$AJ890=""),"—",ROUND(IF(ABS($AM890)&lt;=3,$AM890,IF($AM890&gt;3,3+($F890-$AO890)/($AO890-$AN890),-3+($F890-$AQ890)/($AP890-$AQ890))),2))</f>
        <v/>
      </c>
      <c r="P890">
        <f>IF(OR($O890="",$O890="—"),"",IF($O890&lt;-3,"Muito baixo",IF($O890&lt;-2,"Baixo",IF($O890&lt;=2,"Adequado","Elevado"))))</f>
        <v/>
      </c>
      <c r="Q890" s="12">
        <f>IF(OR($S890="",$F890="",$T890="",$T890&lt;0,$T890&gt;60,$AR890=""),"—",ROUND(IF(ABS($AU890)&lt;=3,$AU890,IF($AU890&gt;3,3+($F890-$AW890)/($AW890-$AV890),-3+($F890-$AY890)/($AX890-$AY890))),2))</f>
        <v/>
      </c>
      <c r="R890">
        <f>IF(OR($Q890="",$Q890="—"),"",IF($Q890&lt;-3,"Magreza acentuada",IF($Q890&lt;-2,"Magreza",IF($Q890&lt;=1,"Eutrofia",IF($Q890&lt;=2,"Risco de sobrepeso",IF($Q890&lt;=3,"Sobrepeso","Obesidade"))))))</f>
        <v/>
      </c>
      <c r="S890">
        <f>IF($C890="","",IF(UPPER(LEFT($C890,1))="M",1,IF(UPPER(LEFT($C890,1))="F",2,"")))</f>
        <v/>
      </c>
      <c r="T890">
        <f>IF(OR($D890="",$E890=""),"",DATEDIF($D890,$E890,"m"))</f>
        <v/>
      </c>
      <c r="U890">
        <f>IF(OR($D890="",$E890=""),"",$E890-$D890)</f>
        <v/>
      </c>
      <c r="V890">
        <f>IF(OR($G890="",$T890=""),"",IF($T890&lt;24,IF(LEFT(LOWER($H890),4)="em p",$G890+0.7,$G890),IF(LEFT(LOWER($H890),4)="deit",$G890-0.7,$G890)))</f>
        <v/>
      </c>
      <c r="W890">
        <f>IF(OR($S890="",$T890=""),"",$S890*1000000+IF($T890&lt;=60,$U890,$T890))</f>
        <v/>
      </c>
      <c r="X890">
        <f>IF(OR($S890="",$V890="",$T890&gt;60,$T890=""),"",$S890*1000000+ROUND($V890*10,0))</f>
        <v/>
      </c>
      <c r="Y890">
        <f>IF($W890="","",IFERROR(INDEX(IF($T890&lt;=60,imc05_l,imc519_l),MATCH($W890,IF($T890&lt;=60,imc05_k,imc519_k),1)),""))</f>
        <v/>
      </c>
      <c r="Z890">
        <f>IF($W890="","",IFERROR(INDEX(IF($T890&lt;=60,imc05_m,imc519_m),MATCH($W890,IF($T890&lt;=60,imc05_k,imc519_k),1)),""))</f>
        <v/>
      </c>
      <c r="AA890">
        <f>IF($W890="","",IFERROR(INDEX(IF($T890&lt;=60,imc05_s,imc519_s),MATCH($W890,IF($T890&lt;=60,imc05_k,imc519_k),1)),""))</f>
        <v/>
      </c>
      <c r="AB890">
        <f>IF($Y890="","",IF($Y890=0,LN($J890/$Z890)/$AA890,((($J890/$Z890)^$Y890)-1)/($Y890*$AA890)))</f>
        <v/>
      </c>
      <c r="AC890">
        <f>IF($Y890="","",IF($Y890=0,$Z890*EXP($AA890*2),$Z890*(1+$Y890*$AA890*2)^(1/$Y890)))</f>
        <v/>
      </c>
      <c r="AD890">
        <f>IF($Y890="","",IF($Y890=0,$Z890*EXP($AA890*3),$Z890*(1+$Y890*$AA890*3)^(1/$Y890)))</f>
        <v/>
      </c>
      <c r="AE890">
        <f>IF($Y890="","",IF($Y890=0,$Z890*EXP($AA890*-2),$Z890*(1+$Y890*$AA890*-2)^(1/$Y890)))</f>
        <v/>
      </c>
      <c r="AF890">
        <f>IF($Y890="","",IF($Y890=0,$Z890*EXP($AA890*-3),$Z890*(1+$Y890*$AA890*-3)^(1/$Y890)))</f>
        <v/>
      </c>
      <c r="AG890">
        <f>IF($W890="","",IFERROR(INDEX(IF($T890&lt;=60,est05_l,est519_l),MATCH($W890,IF($T890&lt;=60,est05_k,est519_k),1)),""))</f>
        <v/>
      </c>
      <c r="AH890">
        <f>IF($W890="","",IFERROR(INDEX(IF($T890&lt;=60,est05_m,est519_m),MATCH($W890,IF($T890&lt;=60,est05_k,est519_k),1)),""))</f>
        <v/>
      </c>
      <c r="AI890">
        <f>IF($W890="","",IFERROR(INDEX(IF($T890&lt;=60,est05_s,est519_s),MATCH($W890,IF($T890&lt;=60,est05_k,est519_k),1)),""))</f>
        <v/>
      </c>
      <c r="AJ890">
        <f>IF($W890="","",IFERROR(INDEX(IF($T890&lt;=60,peso05_l,peso510_l),MATCH($W890,IF($T890&lt;=60,peso05_k,peso510_k),1)),""))</f>
        <v/>
      </c>
      <c r="AK890">
        <f>IF($W890="","",IFERROR(INDEX(IF($T890&lt;=60,peso05_m,peso510_m),MATCH($W890,IF($T890&lt;=60,peso05_k,peso510_k),1)),""))</f>
        <v/>
      </c>
      <c r="AL890">
        <f>IF($W890="","",IFERROR(INDEX(IF($T890&lt;=60,peso05_s,peso510_s),MATCH($W890,IF($T890&lt;=60,peso05_k,peso510_k),1)),""))</f>
        <v/>
      </c>
      <c r="AM890">
        <f>IF($AJ890="","",IF($AJ890=0,LN($F890/$AK890)/$AL890,((($F890/$AK890)^$AJ890)-1)/($AJ890*$AL890)))</f>
        <v/>
      </c>
      <c r="AN890">
        <f>IF($AJ890="","",IF($AJ890=0,$AK890*EXP($AL890*2),$AK890*(1+$AJ890*$AL890*2)^(1/$AJ890)))</f>
        <v/>
      </c>
      <c r="AO890">
        <f>IF($AJ890="","",IF($AJ890=0,$AK890*EXP($AL890*3),$AK890*(1+$AJ890*$AL890*3)^(1/$AJ890)))</f>
        <v/>
      </c>
      <c r="AP890">
        <f>IF($AJ890="","",IF($AJ890=0,$AK890*EXP($AL890*-2),$AK890*(1+$AJ890*$AL890*-2)^(1/$AJ890)))</f>
        <v/>
      </c>
      <c r="AQ890">
        <f>IF($AJ890="","",IF($AJ890=0,$AK890*EXP($AL890*-3),$AK890*(1+$AJ890*$AL890*-3)^(1/$AJ890)))</f>
        <v/>
      </c>
      <c r="AR890">
        <f>IF(OR($X890="",$T890&gt;60),"",IFERROR(INDEX(IF($T890&lt;24,pcomp_l,palt_l),MATCH($X890,IF($T890&lt;24,pcomp_k,palt_k),1)),""))</f>
        <v/>
      </c>
      <c r="AS890">
        <f>IF(OR($X890="",$T890&gt;60),"",IFERROR(INDEX(IF($T890&lt;24,pcomp_m,palt_m),MATCH($X890,IF($T890&lt;24,pcomp_k,palt_k),1)),""))</f>
        <v/>
      </c>
      <c r="AT890">
        <f>IF(OR($X890="",$T890&gt;60),"",IFERROR(INDEX(IF($T890&lt;24,pcomp_s,palt_s),MATCH($X890,IF($T890&lt;24,pcomp_k,palt_k),1)),""))</f>
        <v/>
      </c>
      <c r="AU890">
        <f>IF($AR890="","",IF($AR890=0,LN($F890/$AS890)/$AT890,((($F890/$AS890)^$AR890)-1)/($AR890*$AT890)))</f>
        <v/>
      </c>
      <c r="AV890">
        <f>IF($AR890="","",IF($AR890=0,$AS890*EXP($AT890*2),$AS890*(1+$AR890*$AT890*2)^(1/$AR890)))</f>
        <v/>
      </c>
      <c r="AW890">
        <f>IF($AR890="","",IF($AR890=0,$AS890*EXP($AT890*3),$AS890*(1+$AR890*$AT890*3)^(1/$AR890)))</f>
        <v/>
      </c>
      <c r="AX890">
        <f>IF($AR890="","",IF($AR890=0,$AS890*EXP($AT890*-2),$AS890*(1+$AR890*$AT890*-2)^(1/$AR890)))</f>
        <v/>
      </c>
      <c r="AY890">
        <f>IF($AR890="","",IF($AR890=0,$AS890*EXP($AT890*-3),$AS890*(1+$AR890*$AT890*-3)^(1/$AR890)))</f>
        <v/>
      </c>
      <c r="AZ890">
        <f>IF(OR($A890="",$A890&lt;&gt;Ficha!$C$4),"",COUNTIF($A$2:$A890,Ficha!$C$4))</f>
        <v/>
      </c>
    </row>
    <row r="891">
      <c r="A891" s="8">
        <f>IF(INDEX(Banco!$A:$A,ROW())="","",INDEX(Banco!$A:$A,ROW()))</f>
        <v/>
      </c>
      <c r="B891" s="8">
        <f>IF(INDEX(Banco!$B:$B,ROW())="","",INDEX(Banco!$B:$B,ROW()))</f>
        <v/>
      </c>
      <c r="C891" s="8">
        <f>IF(INDEX(Banco!$C:$C,ROW())="","",INDEX(Banco!$C:$C,ROW()))</f>
        <v/>
      </c>
      <c r="D891" s="9">
        <f>IF(INDEX(Banco!$D:$D,ROW())="","",INDEX(Banco!$D:$D,ROW()))</f>
        <v/>
      </c>
      <c r="E891" s="9">
        <f>IF(INDEX(Banco!$E:$E,ROW())="","",INDEX(Banco!$E:$E,ROW()))</f>
        <v/>
      </c>
      <c r="F891" s="10">
        <f>IF(INDEX(Banco!$F:$F,ROW())="","",INDEX(Banco!$F:$F,ROW()))</f>
        <v/>
      </c>
      <c r="G891" s="10">
        <f>IF(INDEX(Banco!$G:$G,ROW())="","",INDEX(Banco!$G:$G,ROW()))</f>
        <v/>
      </c>
      <c r="H891" s="8">
        <f>IF(INDEX(Banco!$H:$H,ROW())="","",INDEX(Banco!$H:$H,ROW()))</f>
        <v/>
      </c>
      <c r="I891">
        <f>IF($T891="","",INT($T891/12)&amp;"a "&amp;MOD($T891,12)&amp;"m")</f>
        <v/>
      </c>
      <c r="J891" s="11">
        <f>IF(OR($F891="",$G891=""),"",ROUND($F891/($G891/100)^2,2))</f>
        <v/>
      </c>
      <c r="K891" s="12">
        <f>IF(OR($S891="",$J891="",$T891="",$T891&lt;0,$T891&gt;228,$Y891=""),"—",ROUND(IF(ABS($AB891)&lt;=3,$AB891,IF($AB891&gt;3,3+($J891-$AD891)/($AD891-$AC891),-3+($J891-$AF891)/($AE891-$AF891))),2))</f>
        <v/>
      </c>
      <c r="L891">
        <f>IF(OR($K891="",$K891="—"),"",IF($T891&lt;=60,IF($K891&lt;-3,"Magreza acentuada",IF($K891&lt;-2,"Magreza",IF($K891&lt;=1,"Eutrofia",IF($K891&lt;=2,"Risco de sobrepeso",IF($K891&lt;=3,"Sobrepeso","Obesidade"))))),IF($K891&lt;-3,"Magreza acentuada",IF($K891&lt;-2,"Magreza",IF($K891&lt;=1,"Eutrofia",IF($K891&lt;=2,"Sobrepeso",IF($K891&lt;=3,"Obesidade","Obesidade grave")))))))</f>
        <v/>
      </c>
      <c r="M891" s="12">
        <f>IF(OR($S891="",$V891="",$T891="",$T891&lt;0,$T891&gt;228,$AG891=""),"—",ROUND(IF($AG891=0,LN($V891/$AH891)/$AI891,((($V891/$AH891)^$AG891)-1)/($AG891*$AI891)),2))</f>
        <v/>
      </c>
      <c r="N891">
        <f>IF(OR($M891="",$M891="—"),"",IF($M891&lt;-3,"Muito baixa",IF($M891&lt;-2,"Baixa","Adequada")))</f>
        <v/>
      </c>
      <c r="O891" s="12">
        <f>IF(OR($S891="",$F891="",$T891="",$T891&lt;0,$T891&gt;120,$AJ891=""),"—",ROUND(IF(ABS($AM891)&lt;=3,$AM891,IF($AM891&gt;3,3+($F891-$AO891)/($AO891-$AN891),-3+($F891-$AQ891)/($AP891-$AQ891))),2))</f>
        <v/>
      </c>
      <c r="P891">
        <f>IF(OR($O891="",$O891="—"),"",IF($O891&lt;-3,"Muito baixo",IF($O891&lt;-2,"Baixo",IF($O891&lt;=2,"Adequado","Elevado"))))</f>
        <v/>
      </c>
      <c r="Q891" s="12">
        <f>IF(OR($S891="",$F891="",$T891="",$T891&lt;0,$T891&gt;60,$AR891=""),"—",ROUND(IF(ABS($AU891)&lt;=3,$AU891,IF($AU891&gt;3,3+($F891-$AW891)/($AW891-$AV891),-3+($F891-$AY891)/($AX891-$AY891))),2))</f>
        <v/>
      </c>
      <c r="R891">
        <f>IF(OR($Q891="",$Q891="—"),"",IF($Q891&lt;-3,"Magreza acentuada",IF($Q891&lt;-2,"Magreza",IF($Q891&lt;=1,"Eutrofia",IF($Q891&lt;=2,"Risco de sobrepeso",IF($Q891&lt;=3,"Sobrepeso","Obesidade"))))))</f>
        <v/>
      </c>
      <c r="S891">
        <f>IF($C891="","",IF(UPPER(LEFT($C891,1))="M",1,IF(UPPER(LEFT($C891,1))="F",2,"")))</f>
        <v/>
      </c>
      <c r="T891">
        <f>IF(OR($D891="",$E891=""),"",DATEDIF($D891,$E891,"m"))</f>
        <v/>
      </c>
      <c r="U891">
        <f>IF(OR($D891="",$E891=""),"",$E891-$D891)</f>
        <v/>
      </c>
      <c r="V891">
        <f>IF(OR($G891="",$T891=""),"",IF($T891&lt;24,IF(LEFT(LOWER($H891),4)="em p",$G891+0.7,$G891),IF(LEFT(LOWER($H891),4)="deit",$G891-0.7,$G891)))</f>
        <v/>
      </c>
      <c r="W891">
        <f>IF(OR($S891="",$T891=""),"",$S891*1000000+IF($T891&lt;=60,$U891,$T891))</f>
        <v/>
      </c>
      <c r="X891">
        <f>IF(OR($S891="",$V891="",$T891&gt;60,$T891=""),"",$S891*1000000+ROUND($V891*10,0))</f>
        <v/>
      </c>
      <c r="Y891">
        <f>IF($W891="","",IFERROR(INDEX(IF($T891&lt;=60,imc05_l,imc519_l),MATCH($W891,IF($T891&lt;=60,imc05_k,imc519_k),1)),""))</f>
        <v/>
      </c>
      <c r="Z891">
        <f>IF($W891="","",IFERROR(INDEX(IF($T891&lt;=60,imc05_m,imc519_m),MATCH($W891,IF($T891&lt;=60,imc05_k,imc519_k),1)),""))</f>
        <v/>
      </c>
      <c r="AA891">
        <f>IF($W891="","",IFERROR(INDEX(IF($T891&lt;=60,imc05_s,imc519_s),MATCH($W891,IF($T891&lt;=60,imc05_k,imc519_k),1)),""))</f>
        <v/>
      </c>
      <c r="AB891">
        <f>IF($Y891="","",IF($Y891=0,LN($J891/$Z891)/$AA891,((($J891/$Z891)^$Y891)-1)/($Y891*$AA891)))</f>
        <v/>
      </c>
      <c r="AC891">
        <f>IF($Y891="","",IF($Y891=0,$Z891*EXP($AA891*2),$Z891*(1+$Y891*$AA891*2)^(1/$Y891)))</f>
        <v/>
      </c>
      <c r="AD891">
        <f>IF($Y891="","",IF($Y891=0,$Z891*EXP($AA891*3),$Z891*(1+$Y891*$AA891*3)^(1/$Y891)))</f>
        <v/>
      </c>
      <c r="AE891">
        <f>IF($Y891="","",IF($Y891=0,$Z891*EXP($AA891*-2),$Z891*(1+$Y891*$AA891*-2)^(1/$Y891)))</f>
        <v/>
      </c>
      <c r="AF891">
        <f>IF($Y891="","",IF($Y891=0,$Z891*EXP($AA891*-3),$Z891*(1+$Y891*$AA891*-3)^(1/$Y891)))</f>
        <v/>
      </c>
      <c r="AG891">
        <f>IF($W891="","",IFERROR(INDEX(IF($T891&lt;=60,est05_l,est519_l),MATCH($W891,IF($T891&lt;=60,est05_k,est519_k),1)),""))</f>
        <v/>
      </c>
      <c r="AH891">
        <f>IF($W891="","",IFERROR(INDEX(IF($T891&lt;=60,est05_m,est519_m),MATCH($W891,IF($T891&lt;=60,est05_k,est519_k),1)),""))</f>
        <v/>
      </c>
      <c r="AI891">
        <f>IF($W891="","",IFERROR(INDEX(IF($T891&lt;=60,est05_s,est519_s),MATCH($W891,IF($T891&lt;=60,est05_k,est519_k),1)),""))</f>
        <v/>
      </c>
      <c r="AJ891">
        <f>IF($W891="","",IFERROR(INDEX(IF($T891&lt;=60,peso05_l,peso510_l),MATCH($W891,IF($T891&lt;=60,peso05_k,peso510_k),1)),""))</f>
        <v/>
      </c>
      <c r="AK891">
        <f>IF($W891="","",IFERROR(INDEX(IF($T891&lt;=60,peso05_m,peso510_m),MATCH($W891,IF($T891&lt;=60,peso05_k,peso510_k),1)),""))</f>
        <v/>
      </c>
      <c r="AL891">
        <f>IF($W891="","",IFERROR(INDEX(IF($T891&lt;=60,peso05_s,peso510_s),MATCH($W891,IF($T891&lt;=60,peso05_k,peso510_k),1)),""))</f>
        <v/>
      </c>
      <c r="AM891">
        <f>IF($AJ891="","",IF($AJ891=0,LN($F891/$AK891)/$AL891,((($F891/$AK891)^$AJ891)-1)/($AJ891*$AL891)))</f>
        <v/>
      </c>
      <c r="AN891">
        <f>IF($AJ891="","",IF($AJ891=0,$AK891*EXP($AL891*2),$AK891*(1+$AJ891*$AL891*2)^(1/$AJ891)))</f>
        <v/>
      </c>
      <c r="AO891">
        <f>IF($AJ891="","",IF($AJ891=0,$AK891*EXP($AL891*3),$AK891*(1+$AJ891*$AL891*3)^(1/$AJ891)))</f>
        <v/>
      </c>
      <c r="AP891">
        <f>IF($AJ891="","",IF($AJ891=0,$AK891*EXP($AL891*-2),$AK891*(1+$AJ891*$AL891*-2)^(1/$AJ891)))</f>
        <v/>
      </c>
      <c r="AQ891">
        <f>IF($AJ891="","",IF($AJ891=0,$AK891*EXP($AL891*-3),$AK891*(1+$AJ891*$AL891*-3)^(1/$AJ891)))</f>
        <v/>
      </c>
      <c r="AR891">
        <f>IF(OR($X891="",$T891&gt;60),"",IFERROR(INDEX(IF($T891&lt;24,pcomp_l,palt_l),MATCH($X891,IF($T891&lt;24,pcomp_k,palt_k),1)),""))</f>
        <v/>
      </c>
      <c r="AS891">
        <f>IF(OR($X891="",$T891&gt;60),"",IFERROR(INDEX(IF($T891&lt;24,pcomp_m,palt_m),MATCH($X891,IF($T891&lt;24,pcomp_k,palt_k),1)),""))</f>
        <v/>
      </c>
      <c r="AT891">
        <f>IF(OR($X891="",$T891&gt;60),"",IFERROR(INDEX(IF($T891&lt;24,pcomp_s,palt_s),MATCH($X891,IF($T891&lt;24,pcomp_k,palt_k),1)),""))</f>
        <v/>
      </c>
      <c r="AU891">
        <f>IF($AR891="","",IF($AR891=0,LN($F891/$AS891)/$AT891,((($F891/$AS891)^$AR891)-1)/($AR891*$AT891)))</f>
        <v/>
      </c>
      <c r="AV891">
        <f>IF($AR891="","",IF($AR891=0,$AS891*EXP($AT891*2),$AS891*(1+$AR891*$AT891*2)^(1/$AR891)))</f>
        <v/>
      </c>
      <c r="AW891">
        <f>IF($AR891="","",IF($AR891=0,$AS891*EXP($AT891*3),$AS891*(1+$AR891*$AT891*3)^(1/$AR891)))</f>
        <v/>
      </c>
      <c r="AX891">
        <f>IF($AR891="","",IF($AR891=0,$AS891*EXP($AT891*-2),$AS891*(1+$AR891*$AT891*-2)^(1/$AR891)))</f>
        <v/>
      </c>
      <c r="AY891">
        <f>IF($AR891="","",IF($AR891=0,$AS891*EXP($AT891*-3),$AS891*(1+$AR891*$AT891*-3)^(1/$AR891)))</f>
        <v/>
      </c>
      <c r="AZ891">
        <f>IF(OR($A891="",$A891&lt;&gt;Ficha!$C$4),"",COUNTIF($A$2:$A891,Ficha!$C$4))</f>
        <v/>
      </c>
    </row>
    <row r="892">
      <c r="A892" s="8">
        <f>IF(INDEX(Banco!$A:$A,ROW())="","",INDEX(Banco!$A:$A,ROW()))</f>
        <v/>
      </c>
      <c r="B892" s="8">
        <f>IF(INDEX(Banco!$B:$B,ROW())="","",INDEX(Banco!$B:$B,ROW()))</f>
        <v/>
      </c>
      <c r="C892" s="8">
        <f>IF(INDEX(Banco!$C:$C,ROW())="","",INDEX(Banco!$C:$C,ROW()))</f>
        <v/>
      </c>
      <c r="D892" s="9">
        <f>IF(INDEX(Banco!$D:$D,ROW())="","",INDEX(Banco!$D:$D,ROW()))</f>
        <v/>
      </c>
      <c r="E892" s="9">
        <f>IF(INDEX(Banco!$E:$E,ROW())="","",INDEX(Banco!$E:$E,ROW()))</f>
        <v/>
      </c>
      <c r="F892" s="10">
        <f>IF(INDEX(Banco!$F:$F,ROW())="","",INDEX(Banco!$F:$F,ROW()))</f>
        <v/>
      </c>
      <c r="G892" s="10">
        <f>IF(INDEX(Banco!$G:$G,ROW())="","",INDEX(Banco!$G:$G,ROW()))</f>
        <v/>
      </c>
      <c r="H892" s="8">
        <f>IF(INDEX(Banco!$H:$H,ROW())="","",INDEX(Banco!$H:$H,ROW()))</f>
        <v/>
      </c>
      <c r="I892">
        <f>IF($T892="","",INT($T892/12)&amp;"a "&amp;MOD($T892,12)&amp;"m")</f>
        <v/>
      </c>
      <c r="J892" s="11">
        <f>IF(OR($F892="",$G892=""),"",ROUND($F892/($G892/100)^2,2))</f>
        <v/>
      </c>
      <c r="K892" s="12">
        <f>IF(OR($S892="",$J892="",$T892="",$T892&lt;0,$T892&gt;228,$Y892=""),"—",ROUND(IF(ABS($AB892)&lt;=3,$AB892,IF($AB892&gt;3,3+($J892-$AD892)/($AD892-$AC892),-3+($J892-$AF892)/($AE892-$AF892))),2))</f>
        <v/>
      </c>
      <c r="L892">
        <f>IF(OR($K892="",$K892="—"),"",IF($T892&lt;=60,IF($K892&lt;-3,"Magreza acentuada",IF($K892&lt;-2,"Magreza",IF($K892&lt;=1,"Eutrofia",IF($K892&lt;=2,"Risco de sobrepeso",IF($K892&lt;=3,"Sobrepeso","Obesidade"))))),IF($K892&lt;-3,"Magreza acentuada",IF($K892&lt;-2,"Magreza",IF($K892&lt;=1,"Eutrofia",IF($K892&lt;=2,"Sobrepeso",IF($K892&lt;=3,"Obesidade","Obesidade grave")))))))</f>
        <v/>
      </c>
      <c r="M892" s="12">
        <f>IF(OR($S892="",$V892="",$T892="",$T892&lt;0,$T892&gt;228,$AG892=""),"—",ROUND(IF($AG892=0,LN($V892/$AH892)/$AI892,((($V892/$AH892)^$AG892)-1)/($AG892*$AI892)),2))</f>
        <v/>
      </c>
      <c r="N892">
        <f>IF(OR($M892="",$M892="—"),"",IF($M892&lt;-3,"Muito baixa",IF($M892&lt;-2,"Baixa","Adequada")))</f>
        <v/>
      </c>
      <c r="O892" s="12">
        <f>IF(OR($S892="",$F892="",$T892="",$T892&lt;0,$T892&gt;120,$AJ892=""),"—",ROUND(IF(ABS($AM892)&lt;=3,$AM892,IF($AM892&gt;3,3+($F892-$AO892)/($AO892-$AN892),-3+($F892-$AQ892)/($AP892-$AQ892))),2))</f>
        <v/>
      </c>
      <c r="P892">
        <f>IF(OR($O892="",$O892="—"),"",IF($O892&lt;-3,"Muito baixo",IF($O892&lt;-2,"Baixo",IF($O892&lt;=2,"Adequado","Elevado"))))</f>
        <v/>
      </c>
      <c r="Q892" s="12">
        <f>IF(OR($S892="",$F892="",$T892="",$T892&lt;0,$T892&gt;60,$AR892=""),"—",ROUND(IF(ABS($AU892)&lt;=3,$AU892,IF($AU892&gt;3,3+($F892-$AW892)/($AW892-$AV892),-3+($F892-$AY892)/($AX892-$AY892))),2))</f>
        <v/>
      </c>
      <c r="R892">
        <f>IF(OR($Q892="",$Q892="—"),"",IF($Q892&lt;-3,"Magreza acentuada",IF($Q892&lt;-2,"Magreza",IF($Q892&lt;=1,"Eutrofia",IF($Q892&lt;=2,"Risco de sobrepeso",IF($Q892&lt;=3,"Sobrepeso","Obesidade"))))))</f>
        <v/>
      </c>
      <c r="S892">
        <f>IF($C892="","",IF(UPPER(LEFT($C892,1))="M",1,IF(UPPER(LEFT($C892,1))="F",2,"")))</f>
        <v/>
      </c>
      <c r="T892">
        <f>IF(OR($D892="",$E892=""),"",DATEDIF($D892,$E892,"m"))</f>
        <v/>
      </c>
      <c r="U892">
        <f>IF(OR($D892="",$E892=""),"",$E892-$D892)</f>
        <v/>
      </c>
      <c r="V892">
        <f>IF(OR($G892="",$T892=""),"",IF($T892&lt;24,IF(LEFT(LOWER($H892),4)="em p",$G892+0.7,$G892),IF(LEFT(LOWER($H892),4)="deit",$G892-0.7,$G892)))</f>
        <v/>
      </c>
      <c r="W892">
        <f>IF(OR($S892="",$T892=""),"",$S892*1000000+IF($T892&lt;=60,$U892,$T892))</f>
        <v/>
      </c>
      <c r="X892">
        <f>IF(OR($S892="",$V892="",$T892&gt;60,$T892=""),"",$S892*1000000+ROUND($V892*10,0))</f>
        <v/>
      </c>
      <c r="Y892">
        <f>IF($W892="","",IFERROR(INDEX(IF($T892&lt;=60,imc05_l,imc519_l),MATCH($W892,IF($T892&lt;=60,imc05_k,imc519_k),1)),""))</f>
        <v/>
      </c>
      <c r="Z892">
        <f>IF($W892="","",IFERROR(INDEX(IF($T892&lt;=60,imc05_m,imc519_m),MATCH($W892,IF($T892&lt;=60,imc05_k,imc519_k),1)),""))</f>
        <v/>
      </c>
      <c r="AA892">
        <f>IF($W892="","",IFERROR(INDEX(IF($T892&lt;=60,imc05_s,imc519_s),MATCH($W892,IF($T892&lt;=60,imc05_k,imc519_k),1)),""))</f>
        <v/>
      </c>
      <c r="AB892">
        <f>IF($Y892="","",IF($Y892=0,LN($J892/$Z892)/$AA892,((($J892/$Z892)^$Y892)-1)/($Y892*$AA892)))</f>
        <v/>
      </c>
      <c r="AC892">
        <f>IF($Y892="","",IF($Y892=0,$Z892*EXP($AA892*2),$Z892*(1+$Y892*$AA892*2)^(1/$Y892)))</f>
        <v/>
      </c>
      <c r="AD892">
        <f>IF($Y892="","",IF($Y892=0,$Z892*EXP($AA892*3),$Z892*(1+$Y892*$AA892*3)^(1/$Y892)))</f>
        <v/>
      </c>
      <c r="AE892">
        <f>IF($Y892="","",IF($Y892=0,$Z892*EXP($AA892*-2),$Z892*(1+$Y892*$AA892*-2)^(1/$Y892)))</f>
        <v/>
      </c>
      <c r="AF892">
        <f>IF($Y892="","",IF($Y892=0,$Z892*EXP($AA892*-3),$Z892*(1+$Y892*$AA892*-3)^(1/$Y892)))</f>
        <v/>
      </c>
      <c r="AG892">
        <f>IF($W892="","",IFERROR(INDEX(IF($T892&lt;=60,est05_l,est519_l),MATCH($W892,IF($T892&lt;=60,est05_k,est519_k),1)),""))</f>
        <v/>
      </c>
      <c r="AH892">
        <f>IF($W892="","",IFERROR(INDEX(IF($T892&lt;=60,est05_m,est519_m),MATCH($W892,IF($T892&lt;=60,est05_k,est519_k),1)),""))</f>
        <v/>
      </c>
      <c r="AI892">
        <f>IF($W892="","",IFERROR(INDEX(IF($T892&lt;=60,est05_s,est519_s),MATCH($W892,IF($T892&lt;=60,est05_k,est519_k),1)),""))</f>
        <v/>
      </c>
      <c r="AJ892">
        <f>IF($W892="","",IFERROR(INDEX(IF($T892&lt;=60,peso05_l,peso510_l),MATCH($W892,IF($T892&lt;=60,peso05_k,peso510_k),1)),""))</f>
        <v/>
      </c>
      <c r="AK892">
        <f>IF($W892="","",IFERROR(INDEX(IF($T892&lt;=60,peso05_m,peso510_m),MATCH($W892,IF($T892&lt;=60,peso05_k,peso510_k),1)),""))</f>
        <v/>
      </c>
      <c r="AL892">
        <f>IF($W892="","",IFERROR(INDEX(IF($T892&lt;=60,peso05_s,peso510_s),MATCH($W892,IF($T892&lt;=60,peso05_k,peso510_k),1)),""))</f>
        <v/>
      </c>
      <c r="AM892">
        <f>IF($AJ892="","",IF($AJ892=0,LN($F892/$AK892)/$AL892,((($F892/$AK892)^$AJ892)-1)/($AJ892*$AL892)))</f>
        <v/>
      </c>
      <c r="AN892">
        <f>IF($AJ892="","",IF($AJ892=0,$AK892*EXP($AL892*2),$AK892*(1+$AJ892*$AL892*2)^(1/$AJ892)))</f>
        <v/>
      </c>
      <c r="AO892">
        <f>IF($AJ892="","",IF($AJ892=0,$AK892*EXP($AL892*3),$AK892*(1+$AJ892*$AL892*3)^(1/$AJ892)))</f>
        <v/>
      </c>
      <c r="AP892">
        <f>IF($AJ892="","",IF($AJ892=0,$AK892*EXP($AL892*-2),$AK892*(1+$AJ892*$AL892*-2)^(1/$AJ892)))</f>
        <v/>
      </c>
      <c r="AQ892">
        <f>IF($AJ892="","",IF($AJ892=0,$AK892*EXP($AL892*-3),$AK892*(1+$AJ892*$AL892*-3)^(1/$AJ892)))</f>
        <v/>
      </c>
      <c r="AR892">
        <f>IF(OR($X892="",$T892&gt;60),"",IFERROR(INDEX(IF($T892&lt;24,pcomp_l,palt_l),MATCH($X892,IF($T892&lt;24,pcomp_k,palt_k),1)),""))</f>
        <v/>
      </c>
      <c r="AS892">
        <f>IF(OR($X892="",$T892&gt;60),"",IFERROR(INDEX(IF($T892&lt;24,pcomp_m,palt_m),MATCH($X892,IF($T892&lt;24,pcomp_k,palt_k),1)),""))</f>
        <v/>
      </c>
      <c r="AT892">
        <f>IF(OR($X892="",$T892&gt;60),"",IFERROR(INDEX(IF($T892&lt;24,pcomp_s,palt_s),MATCH($X892,IF($T892&lt;24,pcomp_k,palt_k),1)),""))</f>
        <v/>
      </c>
      <c r="AU892">
        <f>IF($AR892="","",IF($AR892=0,LN($F892/$AS892)/$AT892,((($F892/$AS892)^$AR892)-1)/($AR892*$AT892)))</f>
        <v/>
      </c>
      <c r="AV892">
        <f>IF($AR892="","",IF($AR892=0,$AS892*EXP($AT892*2),$AS892*(1+$AR892*$AT892*2)^(1/$AR892)))</f>
        <v/>
      </c>
      <c r="AW892">
        <f>IF($AR892="","",IF($AR892=0,$AS892*EXP($AT892*3),$AS892*(1+$AR892*$AT892*3)^(1/$AR892)))</f>
        <v/>
      </c>
      <c r="AX892">
        <f>IF($AR892="","",IF($AR892=0,$AS892*EXP($AT892*-2),$AS892*(1+$AR892*$AT892*-2)^(1/$AR892)))</f>
        <v/>
      </c>
      <c r="AY892">
        <f>IF($AR892="","",IF($AR892=0,$AS892*EXP($AT892*-3),$AS892*(1+$AR892*$AT892*-3)^(1/$AR892)))</f>
        <v/>
      </c>
      <c r="AZ892">
        <f>IF(OR($A892="",$A892&lt;&gt;Ficha!$C$4),"",COUNTIF($A$2:$A892,Ficha!$C$4))</f>
        <v/>
      </c>
    </row>
    <row r="893">
      <c r="A893" s="8">
        <f>IF(INDEX(Banco!$A:$A,ROW())="","",INDEX(Banco!$A:$A,ROW()))</f>
        <v/>
      </c>
      <c r="B893" s="8">
        <f>IF(INDEX(Banco!$B:$B,ROW())="","",INDEX(Banco!$B:$B,ROW()))</f>
        <v/>
      </c>
      <c r="C893" s="8">
        <f>IF(INDEX(Banco!$C:$C,ROW())="","",INDEX(Banco!$C:$C,ROW()))</f>
        <v/>
      </c>
      <c r="D893" s="9">
        <f>IF(INDEX(Banco!$D:$D,ROW())="","",INDEX(Banco!$D:$D,ROW()))</f>
        <v/>
      </c>
      <c r="E893" s="9">
        <f>IF(INDEX(Banco!$E:$E,ROW())="","",INDEX(Banco!$E:$E,ROW()))</f>
        <v/>
      </c>
      <c r="F893" s="10">
        <f>IF(INDEX(Banco!$F:$F,ROW())="","",INDEX(Banco!$F:$F,ROW()))</f>
        <v/>
      </c>
      <c r="G893" s="10">
        <f>IF(INDEX(Banco!$G:$G,ROW())="","",INDEX(Banco!$G:$G,ROW()))</f>
        <v/>
      </c>
      <c r="H893" s="8">
        <f>IF(INDEX(Banco!$H:$H,ROW())="","",INDEX(Banco!$H:$H,ROW()))</f>
        <v/>
      </c>
      <c r="I893">
        <f>IF($T893="","",INT($T893/12)&amp;"a "&amp;MOD($T893,12)&amp;"m")</f>
        <v/>
      </c>
      <c r="J893" s="11">
        <f>IF(OR($F893="",$G893=""),"",ROUND($F893/($G893/100)^2,2))</f>
        <v/>
      </c>
      <c r="K893" s="12">
        <f>IF(OR($S893="",$J893="",$T893="",$T893&lt;0,$T893&gt;228,$Y893=""),"—",ROUND(IF(ABS($AB893)&lt;=3,$AB893,IF($AB893&gt;3,3+($J893-$AD893)/($AD893-$AC893),-3+($J893-$AF893)/($AE893-$AF893))),2))</f>
        <v/>
      </c>
      <c r="L893">
        <f>IF(OR($K893="",$K893="—"),"",IF($T893&lt;=60,IF($K893&lt;-3,"Magreza acentuada",IF($K893&lt;-2,"Magreza",IF($K893&lt;=1,"Eutrofia",IF($K893&lt;=2,"Risco de sobrepeso",IF($K893&lt;=3,"Sobrepeso","Obesidade"))))),IF($K893&lt;-3,"Magreza acentuada",IF($K893&lt;-2,"Magreza",IF($K893&lt;=1,"Eutrofia",IF($K893&lt;=2,"Sobrepeso",IF($K893&lt;=3,"Obesidade","Obesidade grave")))))))</f>
        <v/>
      </c>
      <c r="M893" s="12">
        <f>IF(OR($S893="",$V893="",$T893="",$T893&lt;0,$T893&gt;228,$AG893=""),"—",ROUND(IF($AG893=0,LN($V893/$AH893)/$AI893,((($V893/$AH893)^$AG893)-1)/($AG893*$AI893)),2))</f>
        <v/>
      </c>
      <c r="N893">
        <f>IF(OR($M893="",$M893="—"),"",IF($M893&lt;-3,"Muito baixa",IF($M893&lt;-2,"Baixa","Adequada")))</f>
        <v/>
      </c>
      <c r="O893" s="12">
        <f>IF(OR($S893="",$F893="",$T893="",$T893&lt;0,$T893&gt;120,$AJ893=""),"—",ROUND(IF(ABS($AM893)&lt;=3,$AM893,IF($AM893&gt;3,3+($F893-$AO893)/($AO893-$AN893),-3+($F893-$AQ893)/($AP893-$AQ893))),2))</f>
        <v/>
      </c>
      <c r="P893">
        <f>IF(OR($O893="",$O893="—"),"",IF($O893&lt;-3,"Muito baixo",IF($O893&lt;-2,"Baixo",IF($O893&lt;=2,"Adequado","Elevado"))))</f>
        <v/>
      </c>
      <c r="Q893" s="12">
        <f>IF(OR($S893="",$F893="",$T893="",$T893&lt;0,$T893&gt;60,$AR893=""),"—",ROUND(IF(ABS($AU893)&lt;=3,$AU893,IF($AU893&gt;3,3+($F893-$AW893)/($AW893-$AV893),-3+($F893-$AY893)/($AX893-$AY893))),2))</f>
        <v/>
      </c>
      <c r="R893">
        <f>IF(OR($Q893="",$Q893="—"),"",IF($Q893&lt;-3,"Magreza acentuada",IF($Q893&lt;-2,"Magreza",IF($Q893&lt;=1,"Eutrofia",IF($Q893&lt;=2,"Risco de sobrepeso",IF($Q893&lt;=3,"Sobrepeso","Obesidade"))))))</f>
        <v/>
      </c>
      <c r="S893">
        <f>IF($C893="","",IF(UPPER(LEFT($C893,1))="M",1,IF(UPPER(LEFT($C893,1))="F",2,"")))</f>
        <v/>
      </c>
      <c r="T893">
        <f>IF(OR($D893="",$E893=""),"",DATEDIF($D893,$E893,"m"))</f>
        <v/>
      </c>
      <c r="U893">
        <f>IF(OR($D893="",$E893=""),"",$E893-$D893)</f>
        <v/>
      </c>
      <c r="V893">
        <f>IF(OR($G893="",$T893=""),"",IF($T893&lt;24,IF(LEFT(LOWER($H893),4)="em p",$G893+0.7,$G893),IF(LEFT(LOWER($H893),4)="deit",$G893-0.7,$G893)))</f>
        <v/>
      </c>
      <c r="W893">
        <f>IF(OR($S893="",$T893=""),"",$S893*1000000+IF($T893&lt;=60,$U893,$T893))</f>
        <v/>
      </c>
      <c r="X893">
        <f>IF(OR($S893="",$V893="",$T893&gt;60,$T893=""),"",$S893*1000000+ROUND($V893*10,0))</f>
        <v/>
      </c>
      <c r="Y893">
        <f>IF($W893="","",IFERROR(INDEX(IF($T893&lt;=60,imc05_l,imc519_l),MATCH($W893,IF($T893&lt;=60,imc05_k,imc519_k),1)),""))</f>
        <v/>
      </c>
      <c r="Z893">
        <f>IF($W893="","",IFERROR(INDEX(IF($T893&lt;=60,imc05_m,imc519_m),MATCH($W893,IF($T893&lt;=60,imc05_k,imc519_k),1)),""))</f>
        <v/>
      </c>
      <c r="AA893">
        <f>IF($W893="","",IFERROR(INDEX(IF($T893&lt;=60,imc05_s,imc519_s),MATCH($W893,IF($T893&lt;=60,imc05_k,imc519_k),1)),""))</f>
        <v/>
      </c>
      <c r="AB893">
        <f>IF($Y893="","",IF($Y893=0,LN($J893/$Z893)/$AA893,((($J893/$Z893)^$Y893)-1)/($Y893*$AA893)))</f>
        <v/>
      </c>
      <c r="AC893">
        <f>IF($Y893="","",IF($Y893=0,$Z893*EXP($AA893*2),$Z893*(1+$Y893*$AA893*2)^(1/$Y893)))</f>
        <v/>
      </c>
      <c r="AD893">
        <f>IF($Y893="","",IF($Y893=0,$Z893*EXP($AA893*3),$Z893*(1+$Y893*$AA893*3)^(1/$Y893)))</f>
        <v/>
      </c>
      <c r="AE893">
        <f>IF($Y893="","",IF($Y893=0,$Z893*EXP($AA893*-2),$Z893*(1+$Y893*$AA893*-2)^(1/$Y893)))</f>
        <v/>
      </c>
      <c r="AF893">
        <f>IF($Y893="","",IF($Y893=0,$Z893*EXP($AA893*-3),$Z893*(1+$Y893*$AA893*-3)^(1/$Y893)))</f>
        <v/>
      </c>
      <c r="AG893">
        <f>IF($W893="","",IFERROR(INDEX(IF($T893&lt;=60,est05_l,est519_l),MATCH($W893,IF($T893&lt;=60,est05_k,est519_k),1)),""))</f>
        <v/>
      </c>
      <c r="AH893">
        <f>IF($W893="","",IFERROR(INDEX(IF($T893&lt;=60,est05_m,est519_m),MATCH($W893,IF($T893&lt;=60,est05_k,est519_k),1)),""))</f>
        <v/>
      </c>
      <c r="AI893">
        <f>IF($W893="","",IFERROR(INDEX(IF($T893&lt;=60,est05_s,est519_s),MATCH($W893,IF($T893&lt;=60,est05_k,est519_k),1)),""))</f>
        <v/>
      </c>
      <c r="AJ893">
        <f>IF($W893="","",IFERROR(INDEX(IF($T893&lt;=60,peso05_l,peso510_l),MATCH($W893,IF($T893&lt;=60,peso05_k,peso510_k),1)),""))</f>
        <v/>
      </c>
      <c r="AK893">
        <f>IF($W893="","",IFERROR(INDEX(IF($T893&lt;=60,peso05_m,peso510_m),MATCH($W893,IF($T893&lt;=60,peso05_k,peso510_k),1)),""))</f>
        <v/>
      </c>
      <c r="AL893">
        <f>IF($W893="","",IFERROR(INDEX(IF($T893&lt;=60,peso05_s,peso510_s),MATCH($W893,IF($T893&lt;=60,peso05_k,peso510_k),1)),""))</f>
        <v/>
      </c>
      <c r="AM893">
        <f>IF($AJ893="","",IF($AJ893=0,LN($F893/$AK893)/$AL893,((($F893/$AK893)^$AJ893)-1)/($AJ893*$AL893)))</f>
        <v/>
      </c>
      <c r="AN893">
        <f>IF($AJ893="","",IF($AJ893=0,$AK893*EXP($AL893*2),$AK893*(1+$AJ893*$AL893*2)^(1/$AJ893)))</f>
        <v/>
      </c>
      <c r="AO893">
        <f>IF($AJ893="","",IF($AJ893=0,$AK893*EXP($AL893*3),$AK893*(1+$AJ893*$AL893*3)^(1/$AJ893)))</f>
        <v/>
      </c>
      <c r="AP893">
        <f>IF($AJ893="","",IF($AJ893=0,$AK893*EXP($AL893*-2),$AK893*(1+$AJ893*$AL893*-2)^(1/$AJ893)))</f>
        <v/>
      </c>
      <c r="AQ893">
        <f>IF($AJ893="","",IF($AJ893=0,$AK893*EXP($AL893*-3),$AK893*(1+$AJ893*$AL893*-3)^(1/$AJ893)))</f>
        <v/>
      </c>
      <c r="AR893">
        <f>IF(OR($X893="",$T893&gt;60),"",IFERROR(INDEX(IF($T893&lt;24,pcomp_l,palt_l),MATCH($X893,IF($T893&lt;24,pcomp_k,palt_k),1)),""))</f>
        <v/>
      </c>
      <c r="AS893">
        <f>IF(OR($X893="",$T893&gt;60),"",IFERROR(INDEX(IF($T893&lt;24,pcomp_m,palt_m),MATCH($X893,IF($T893&lt;24,pcomp_k,palt_k),1)),""))</f>
        <v/>
      </c>
      <c r="AT893">
        <f>IF(OR($X893="",$T893&gt;60),"",IFERROR(INDEX(IF($T893&lt;24,pcomp_s,palt_s),MATCH($X893,IF($T893&lt;24,pcomp_k,palt_k),1)),""))</f>
        <v/>
      </c>
      <c r="AU893">
        <f>IF($AR893="","",IF($AR893=0,LN($F893/$AS893)/$AT893,((($F893/$AS893)^$AR893)-1)/($AR893*$AT893)))</f>
        <v/>
      </c>
      <c r="AV893">
        <f>IF($AR893="","",IF($AR893=0,$AS893*EXP($AT893*2),$AS893*(1+$AR893*$AT893*2)^(1/$AR893)))</f>
        <v/>
      </c>
      <c r="AW893">
        <f>IF($AR893="","",IF($AR893=0,$AS893*EXP($AT893*3),$AS893*(1+$AR893*$AT893*3)^(1/$AR893)))</f>
        <v/>
      </c>
      <c r="AX893">
        <f>IF($AR893="","",IF($AR893=0,$AS893*EXP($AT893*-2),$AS893*(1+$AR893*$AT893*-2)^(1/$AR893)))</f>
        <v/>
      </c>
      <c r="AY893">
        <f>IF($AR893="","",IF($AR893=0,$AS893*EXP($AT893*-3),$AS893*(1+$AR893*$AT893*-3)^(1/$AR893)))</f>
        <v/>
      </c>
      <c r="AZ893">
        <f>IF(OR($A893="",$A893&lt;&gt;Ficha!$C$4),"",COUNTIF($A$2:$A893,Ficha!$C$4))</f>
        <v/>
      </c>
    </row>
    <row r="894">
      <c r="A894" s="8">
        <f>IF(INDEX(Banco!$A:$A,ROW())="","",INDEX(Banco!$A:$A,ROW()))</f>
        <v/>
      </c>
      <c r="B894" s="8">
        <f>IF(INDEX(Banco!$B:$B,ROW())="","",INDEX(Banco!$B:$B,ROW()))</f>
        <v/>
      </c>
      <c r="C894" s="8">
        <f>IF(INDEX(Banco!$C:$C,ROW())="","",INDEX(Banco!$C:$C,ROW()))</f>
        <v/>
      </c>
      <c r="D894" s="9">
        <f>IF(INDEX(Banco!$D:$D,ROW())="","",INDEX(Banco!$D:$D,ROW()))</f>
        <v/>
      </c>
      <c r="E894" s="9">
        <f>IF(INDEX(Banco!$E:$E,ROW())="","",INDEX(Banco!$E:$E,ROW()))</f>
        <v/>
      </c>
      <c r="F894" s="10">
        <f>IF(INDEX(Banco!$F:$F,ROW())="","",INDEX(Banco!$F:$F,ROW()))</f>
        <v/>
      </c>
      <c r="G894" s="10">
        <f>IF(INDEX(Banco!$G:$G,ROW())="","",INDEX(Banco!$G:$G,ROW()))</f>
        <v/>
      </c>
      <c r="H894" s="8">
        <f>IF(INDEX(Banco!$H:$H,ROW())="","",INDEX(Banco!$H:$H,ROW()))</f>
        <v/>
      </c>
      <c r="I894">
        <f>IF($T894="","",INT($T894/12)&amp;"a "&amp;MOD($T894,12)&amp;"m")</f>
        <v/>
      </c>
      <c r="J894" s="11">
        <f>IF(OR($F894="",$G894=""),"",ROUND($F894/($G894/100)^2,2))</f>
        <v/>
      </c>
      <c r="K894" s="12">
        <f>IF(OR($S894="",$J894="",$T894="",$T894&lt;0,$T894&gt;228,$Y894=""),"—",ROUND(IF(ABS($AB894)&lt;=3,$AB894,IF($AB894&gt;3,3+($J894-$AD894)/($AD894-$AC894),-3+($J894-$AF894)/($AE894-$AF894))),2))</f>
        <v/>
      </c>
      <c r="L894">
        <f>IF(OR($K894="",$K894="—"),"",IF($T894&lt;=60,IF($K894&lt;-3,"Magreza acentuada",IF($K894&lt;-2,"Magreza",IF($K894&lt;=1,"Eutrofia",IF($K894&lt;=2,"Risco de sobrepeso",IF($K894&lt;=3,"Sobrepeso","Obesidade"))))),IF($K894&lt;-3,"Magreza acentuada",IF($K894&lt;-2,"Magreza",IF($K894&lt;=1,"Eutrofia",IF($K894&lt;=2,"Sobrepeso",IF($K894&lt;=3,"Obesidade","Obesidade grave")))))))</f>
        <v/>
      </c>
      <c r="M894" s="12">
        <f>IF(OR($S894="",$V894="",$T894="",$T894&lt;0,$T894&gt;228,$AG894=""),"—",ROUND(IF($AG894=0,LN($V894/$AH894)/$AI894,((($V894/$AH894)^$AG894)-1)/($AG894*$AI894)),2))</f>
        <v/>
      </c>
      <c r="N894">
        <f>IF(OR($M894="",$M894="—"),"",IF($M894&lt;-3,"Muito baixa",IF($M894&lt;-2,"Baixa","Adequada")))</f>
        <v/>
      </c>
      <c r="O894" s="12">
        <f>IF(OR($S894="",$F894="",$T894="",$T894&lt;0,$T894&gt;120,$AJ894=""),"—",ROUND(IF(ABS($AM894)&lt;=3,$AM894,IF($AM894&gt;3,3+($F894-$AO894)/($AO894-$AN894),-3+($F894-$AQ894)/($AP894-$AQ894))),2))</f>
        <v/>
      </c>
      <c r="P894">
        <f>IF(OR($O894="",$O894="—"),"",IF($O894&lt;-3,"Muito baixo",IF($O894&lt;-2,"Baixo",IF($O894&lt;=2,"Adequado","Elevado"))))</f>
        <v/>
      </c>
      <c r="Q894" s="12">
        <f>IF(OR($S894="",$F894="",$T894="",$T894&lt;0,$T894&gt;60,$AR894=""),"—",ROUND(IF(ABS($AU894)&lt;=3,$AU894,IF($AU894&gt;3,3+($F894-$AW894)/($AW894-$AV894),-3+($F894-$AY894)/($AX894-$AY894))),2))</f>
        <v/>
      </c>
      <c r="R894">
        <f>IF(OR($Q894="",$Q894="—"),"",IF($Q894&lt;-3,"Magreza acentuada",IF($Q894&lt;-2,"Magreza",IF($Q894&lt;=1,"Eutrofia",IF($Q894&lt;=2,"Risco de sobrepeso",IF($Q894&lt;=3,"Sobrepeso","Obesidade"))))))</f>
        <v/>
      </c>
      <c r="S894">
        <f>IF($C894="","",IF(UPPER(LEFT($C894,1))="M",1,IF(UPPER(LEFT($C894,1))="F",2,"")))</f>
        <v/>
      </c>
      <c r="T894">
        <f>IF(OR($D894="",$E894=""),"",DATEDIF($D894,$E894,"m"))</f>
        <v/>
      </c>
      <c r="U894">
        <f>IF(OR($D894="",$E894=""),"",$E894-$D894)</f>
        <v/>
      </c>
      <c r="V894">
        <f>IF(OR($G894="",$T894=""),"",IF($T894&lt;24,IF(LEFT(LOWER($H894),4)="em p",$G894+0.7,$G894),IF(LEFT(LOWER($H894),4)="deit",$G894-0.7,$G894)))</f>
        <v/>
      </c>
      <c r="W894">
        <f>IF(OR($S894="",$T894=""),"",$S894*1000000+IF($T894&lt;=60,$U894,$T894))</f>
        <v/>
      </c>
      <c r="X894">
        <f>IF(OR($S894="",$V894="",$T894&gt;60,$T894=""),"",$S894*1000000+ROUND($V894*10,0))</f>
        <v/>
      </c>
      <c r="Y894">
        <f>IF($W894="","",IFERROR(INDEX(IF($T894&lt;=60,imc05_l,imc519_l),MATCH($W894,IF($T894&lt;=60,imc05_k,imc519_k),1)),""))</f>
        <v/>
      </c>
      <c r="Z894">
        <f>IF($W894="","",IFERROR(INDEX(IF($T894&lt;=60,imc05_m,imc519_m),MATCH($W894,IF($T894&lt;=60,imc05_k,imc519_k),1)),""))</f>
        <v/>
      </c>
      <c r="AA894">
        <f>IF($W894="","",IFERROR(INDEX(IF($T894&lt;=60,imc05_s,imc519_s),MATCH($W894,IF($T894&lt;=60,imc05_k,imc519_k),1)),""))</f>
        <v/>
      </c>
      <c r="AB894">
        <f>IF($Y894="","",IF($Y894=0,LN($J894/$Z894)/$AA894,((($J894/$Z894)^$Y894)-1)/($Y894*$AA894)))</f>
        <v/>
      </c>
      <c r="AC894">
        <f>IF($Y894="","",IF($Y894=0,$Z894*EXP($AA894*2),$Z894*(1+$Y894*$AA894*2)^(1/$Y894)))</f>
        <v/>
      </c>
      <c r="AD894">
        <f>IF($Y894="","",IF($Y894=0,$Z894*EXP($AA894*3),$Z894*(1+$Y894*$AA894*3)^(1/$Y894)))</f>
        <v/>
      </c>
      <c r="AE894">
        <f>IF($Y894="","",IF($Y894=0,$Z894*EXP($AA894*-2),$Z894*(1+$Y894*$AA894*-2)^(1/$Y894)))</f>
        <v/>
      </c>
      <c r="AF894">
        <f>IF($Y894="","",IF($Y894=0,$Z894*EXP($AA894*-3),$Z894*(1+$Y894*$AA894*-3)^(1/$Y894)))</f>
        <v/>
      </c>
      <c r="AG894">
        <f>IF($W894="","",IFERROR(INDEX(IF($T894&lt;=60,est05_l,est519_l),MATCH($W894,IF($T894&lt;=60,est05_k,est519_k),1)),""))</f>
        <v/>
      </c>
      <c r="AH894">
        <f>IF($W894="","",IFERROR(INDEX(IF($T894&lt;=60,est05_m,est519_m),MATCH($W894,IF($T894&lt;=60,est05_k,est519_k),1)),""))</f>
        <v/>
      </c>
      <c r="AI894">
        <f>IF($W894="","",IFERROR(INDEX(IF($T894&lt;=60,est05_s,est519_s),MATCH($W894,IF($T894&lt;=60,est05_k,est519_k),1)),""))</f>
        <v/>
      </c>
      <c r="AJ894">
        <f>IF($W894="","",IFERROR(INDEX(IF($T894&lt;=60,peso05_l,peso510_l),MATCH($W894,IF($T894&lt;=60,peso05_k,peso510_k),1)),""))</f>
        <v/>
      </c>
      <c r="AK894">
        <f>IF($W894="","",IFERROR(INDEX(IF($T894&lt;=60,peso05_m,peso510_m),MATCH($W894,IF($T894&lt;=60,peso05_k,peso510_k),1)),""))</f>
        <v/>
      </c>
      <c r="AL894">
        <f>IF($W894="","",IFERROR(INDEX(IF($T894&lt;=60,peso05_s,peso510_s),MATCH($W894,IF($T894&lt;=60,peso05_k,peso510_k),1)),""))</f>
        <v/>
      </c>
      <c r="AM894">
        <f>IF($AJ894="","",IF($AJ894=0,LN($F894/$AK894)/$AL894,((($F894/$AK894)^$AJ894)-1)/($AJ894*$AL894)))</f>
        <v/>
      </c>
      <c r="AN894">
        <f>IF($AJ894="","",IF($AJ894=0,$AK894*EXP($AL894*2),$AK894*(1+$AJ894*$AL894*2)^(1/$AJ894)))</f>
        <v/>
      </c>
      <c r="AO894">
        <f>IF($AJ894="","",IF($AJ894=0,$AK894*EXP($AL894*3),$AK894*(1+$AJ894*$AL894*3)^(1/$AJ894)))</f>
        <v/>
      </c>
      <c r="AP894">
        <f>IF($AJ894="","",IF($AJ894=0,$AK894*EXP($AL894*-2),$AK894*(1+$AJ894*$AL894*-2)^(1/$AJ894)))</f>
        <v/>
      </c>
      <c r="AQ894">
        <f>IF($AJ894="","",IF($AJ894=0,$AK894*EXP($AL894*-3),$AK894*(1+$AJ894*$AL894*-3)^(1/$AJ894)))</f>
        <v/>
      </c>
      <c r="AR894">
        <f>IF(OR($X894="",$T894&gt;60),"",IFERROR(INDEX(IF($T894&lt;24,pcomp_l,palt_l),MATCH($X894,IF($T894&lt;24,pcomp_k,palt_k),1)),""))</f>
        <v/>
      </c>
      <c r="AS894">
        <f>IF(OR($X894="",$T894&gt;60),"",IFERROR(INDEX(IF($T894&lt;24,pcomp_m,palt_m),MATCH($X894,IF($T894&lt;24,pcomp_k,palt_k),1)),""))</f>
        <v/>
      </c>
      <c r="AT894">
        <f>IF(OR($X894="",$T894&gt;60),"",IFERROR(INDEX(IF($T894&lt;24,pcomp_s,palt_s),MATCH($X894,IF($T894&lt;24,pcomp_k,palt_k),1)),""))</f>
        <v/>
      </c>
      <c r="AU894">
        <f>IF($AR894="","",IF($AR894=0,LN($F894/$AS894)/$AT894,((($F894/$AS894)^$AR894)-1)/($AR894*$AT894)))</f>
        <v/>
      </c>
      <c r="AV894">
        <f>IF($AR894="","",IF($AR894=0,$AS894*EXP($AT894*2),$AS894*(1+$AR894*$AT894*2)^(1/$AR894)))</f>
        <v/>
      </c>
      <c r="AW894">
        <f>IF($AR894="","",IF($AR894=0,$AS894*EXP($AT894*3),$AS894*(1+$AR894*$AT894*3)^(1/$AR894)))</f>
        <v/>
      </c>
      <c r="AX894">
        <f>IF($AR894="","",IF($AR894=0,$AS894*EXP($AT894*-2),$AS894*(1+$AR894*$AT894*-2)^(1/$AR894)))</f>
        <v/>
      </c>
      <c r="AY894">
        <f>IF($AR894="","",IF($AR894=0,$AS894*EXP($AT894*-3),$AS894*(1+$AR894*$AT894*-3)^(1/$AR894)))</f>
        <v/>
      </c>
      <c r="AZ894">
        <f>IF(OR($A894="",$A894&lt;&gt;Ficha!$C$4),"",COUNTIF($A$2:$A894,Ficha!$C$4))</f>
        <v/>
      </c>
    </row>
    <row r="895">
      <c r="A895" s="8">
        <f>IF(INDEX(Banco!$A:$A,ROW())="","",INDEX(Banco!$A:$A,ROW()))</f>
        <v/>
      </c>
      <c r="B895" s="8">
        <f>IF(INDEX(Banco!$B:$B,ROW())="","",INDEX(Banco!$B:$B,ROW()))</f>
        <v/>
      </c>
      <c r="C895" s="8">
        <f>IF(INDEX(Banco!$C:$C,ROW())="","",INDEX(Banco!$C:$C,ROW()))</f>
        <v/>
      </c>
      <c r="D895" s="9">
        <f>IF(INDEX(Banco!$D:$D,ROW())="","",INDEX(Banco!$D:$D,ROW()))</f>
        <v/>
      </c>
      <c r="E895" s="9">
        <f>IF(INDEX(Banco!$E:$E,ROW())="","",INDEX(Banco!$E:$E,ROW()))</f>
        <v/>
      </c>
      <c r="F895" s="10">
        <f>IF(INDEX(Banco!$F:$F,ROW())="","",INDEX(Banco!$F:$F,ROW()))</f>
        <v/>
      </c>
      <c r="G895" s="10">
        <f>IF(INDEX(Banco!$G:$G,ROW())="","",INDEX(Banco!$G:$G,ROW()))</f>
        <v/>
      </c>
      <c r="H895" s="8">
        <f>IF(INDEX(Banco!$H:$H,ROW())="","",INDEX(Banco!$H:$H,ROW()))</f>
        <v/>
      </c>
      <c r="I895">
        <f>IF($T895="","",INT($T895/12)&amp;"a "&amp;MOD($T895,12)&amp;"m")</f>
        <v/>
      </c>
      <c r="J895" s="11">
        <f>IF(OR($F895="",$G895=""),"",ROUND($F895/($G895/100)^2,2))</f>
        <v/>
      </c>
      <c r="K895" s="12">
        <f>IF(OR($S895="",$J895="",$T895="",$T895&lt;0,$T895&gt;228,$Y895=""),"—",ROUND(IF(ABS($AB895)&lt;=3,$AB895,IF($AB895&gt;3,3+($J895-$AD895)/($AD895-$AC895),-3+($J895-$AF895)/($AE895-$AF895))),2))</f>
        <v/>
      </c>
      <c r="L895">
        <f>IF(OR($K895="",$K895="—"),"",IF($T895&lt;=60,IF($K895&lt;-3,"Magreza acentuada",IF($K895&lt;-2,"Magreza",IF($K895&lt;=1,"Eutrofia",IF($K895&lt;=2,"Risco de sobrepeso",IF($K895&lt;=3,"Sobrepeso","Obesidade"))))),IF($K895&lt;-3,"Magreza acentuada",IF($K895&lt;-2,"Magreza",IF($K895&lt;=1,"Eutrofia",IF($K895&lt;=2,"Sobrepeso",IF($K895&lt;=3,"Obesidade","Obesidade grave")))))))</f>
        <v/>
      </c>
      <c r="M895" s="12">
        <f>IF(OR($S895="",$V895="",$T895="",$T895&lt;0,$T895&gt;228,$AG895=""),"—",ROUND(IF($AG895=0,LN($V895/$AH895)/$AI895,((($V895/$AH895)^$AG895)-1)/($AG895*$AI895)),2))</f>
        <v/>
      </c>
      <c r="N895">
        <f>IF(OR($M895="",$M895="—"),"",IF($M895&lt;-3,"Muito baixa",IF($M895&lt;-2,"Baixa","Adequada")))</f>
        <v/>
      </c>
      <c r="O895" s="12">
        <f>IF(OR($S895="",$F895="",$T895="",$T895&lt;0,$T895&gt;120,$AJ895=""),"—",ROUND(IF(ABS($AM895)&lt;=3,$AM895,IF($AM895&gt;3,3+($F895-$AO895)/($AO895-$AN895),-3+($F895-$AQ895)/($AP895-$AQ895))),2))</f>
        <v/>
      </c>
      <c r="P895">
        <f>IF(OR($O895="",$O895="—"),"",IF($O895&lt;-3,"Muito baixo",IF($O895&lt;-2,"Baixo",IF($O895&lt;=2,"Adequado","Elevado"))))</f>
        <v/>
      </c>
      <c r="Q895" s="12">
        <f>IF(OR($S895="",$F895="",$T895="",$T895&lt;0,$T895&gt;60,$AR895=""),"—",ROUND(IF(ABS($AU895)&lt;=3,$AU895,IF($AU895&gt;3,3+($F895-$AW895)/($AW895-$AV895),-3+($F895-$AY895)/($AX895-$AY895))),2))</f>
        <v/>
      </c>
      <c r="R895">
        <f>IF(OR($Q895="",$Q895="—"),"",IF($Q895&lt;-3,"Magreza acentuada",IF($Q895&lt;-2,"Magreza",IF($Q895&lt;=1,"Eutrofia",IF($Q895&lt;=2,"Risco de sobrepeso",IF($Q895&lt;=3,"Sobrepeso","Obesidade"))))))</f>
        <v/>
      </c>
      <c r="S895">
        <f>IF($C895="","",IF(UPPER(LEFT($C895,1))="M",1,IF(UPPER(LEFT($C895,1))="F",2,"")))</f>
        <v/>
      </c>
      <c r="T895">
        <f>IF(OR($D895="",$E895=""),"",DATEDIF($D895,$E895,"m"))</f>
        <v/>
      </c>
      <c r="U895">
        <f>IF(OR($D895="",$E895=""),"",$E895-$D895)</f>
        <v/>
      </c>
      <c r="V895">
        <f>IF(OR($G895="",$T895=""),"",IF($T895&lt;24,IF(LEFT(LOWER($H895),4)="em p",$G895+0.7,$G895),IF(LEFT(LOWER($H895),4)="deit",$G895-0.7,$G895)))</f>
        <v/>
      </c>
      <c r="W895">
        <f>IF(OR($S895="",$T895=""),"",$S895*1000000+IF($T895&lt;=60,$U895,$T895))</f>
        <v/>
      </c>
      <c r="X895">
        <f>IF(OR($S895="",$V895="",$T895&gt;60,$T895=""),"",$S895*1000000+ROUND($V895*10,0))</f>
        <v/>
      </c>
      <c r="Y895">
        <f>IF($W895="","",IFERROR(INDEX(IF($T895&lt;=60,imc05_l,imc519_l),MATCH($W895,IF($T895&lt;=60,imc05_k,imc519_k),1)),""))</f>
        <v/>
      </c>
      <c r="Z895">
        <f>IF($W895="","",IFERROR(INDEX(IF($T895&lt;=60,imc05_m,imc519_m),MATCH($W895,IF($T895&lt;=60,imc05_k,imc519_k),1)),""))</f>
        <v/>
      </c>
      <c r="AA895">
        <f>IF($W895="","",IFERROR(INDEX(IF($T895&lt;=60,imc05_s,imc519_s),MATCH($W895,IF($T895&lt;=60,imc05_k,imc519_k),1)),""))</f>
        <v/>
      </c>
      <c r="AB895">
        <f>IF($Y895="","",IF($Y895=0,LN($J895/$Z895)/$AA895,((($J895/$Z895)^$Y895)-1)/($Y895*$AA895)))</f>
        <v/>
      </c>
      <c r="AC895">
        <f>IF($Y895="","",IF($Y895=0,$Z895*EXP($AA895*2),$Z895*(1+$Y895*$AA895*2)^(1/$Y895)))</f>
        <v/>
      </c>
      <c r="AD895">
        <f>IF($Y895="","",IF($Y895=0,$Z895*EXP($AA895*3),$Z895*(1+$Y895*$AA895*3)^(1/$Y895)))</f>
        <v/>
      </c>
      <c r="AE895">
        <f>IF($Y895="","",IF($Y895=0,$Z895*EXP($AA895*-2),$Z895*(1+$Y895*$AA895*-2)^(1/$Y895)))</f>
        <v/>
      </c>
      <c r="AF895">
        <f>IF($Y895="","",IF($Y895=0,$Z895*EXP($AA895*-3),$Z895*(1+$Y895*$AA895*-3)^(1/$Y895)))</f>
        <v/>
      </c>
      <c r="AG895">
        <f>IF($W895="","",IFERROR(INDEX(IF($T895&lt;=60,est05_l,est519_l),MATCH($W895,IF($T895&lt;=60,est05_k,est519_k),1)),""))</f>
        <v/>
      </c>
      <c r="AH895">
        <f>IF($W895="","",IFERROR(INDEX(IF($T895&lt;=60,est05_m,est519_m),MATCH($W895,IF($T895&lt;=60,est05_k,est519_k),1)),""))</f>
        <v/>
      </c>
      <c r="AI895">
        <f>IF($W895="","",IFERROR(INDEX(IF($T895&lt;=60,est05_s,est519_s),MATCH($W895,IF($T895&lt;=60,est05_k,est519_k),1)),""))</f>
        <v/>
      </c>
      <c r="AJ895">
        <f>IF($W895="","",IFERROR(INDEX(IF($T895&lt;=60,peso05_l,peso510_l),MATCH($W895,IF($T895&lt;=60,peso05_k,peso510_k),1)),""))</f>
        <v/>
      </c>
      <c r="AK895">
        <f>IF($W895="","",IFERROR(INDEX(IF($T895&lt;=60,peso05_m,peso510_m),MATCH($W895,IF($T895&lt;=60,peso05_k,peso510_k),1)),""))</f>
        <v/>
      </c>
      <c r="AL895">
        <f>IF($W895="","",IFERROR(INDEX(IF($T895&lt;=60,peso05_s,peso510_s),MATCH($W895,IF($T895&lt;=60,peso05_k,peso510_k),1)),""))</f>
        <v/>
      </c>
      <c r="AM895">
        <f>IF($AJ895="","",IF($AJ895=0,LN($F895/$AK895)/$AL895,((($F895/$AK895)^$AJ895)-1)/($AJ895*$AL895)))</f>
        <v/>
      </c>
      <c r="AN895">
        <f>IF($AJ895="","",IF($AJ895=0,$AK895*EXP($AL895*2),$AK895*(1+$AJ895*$AL895*2)^(1/$AJ895)))</f>
        <v/>
      </c>
      <c r="AO895">
        <f>IF($AJ895="","",IF($AJ895=0,$AK895*EXP($AL895*3),$AK895*(1+$AJ895*$AL895*3)^(1/$AJ895)))</f>
        <v/>
      </c>
      <c r="AP895">
        <f>IF($AJ895="","",IF($AJ895=0,$AK895*EXP($AL895*-2),$AK895*(1+$AJ895*$AL895*-2)^(1/$AJ895)))</f>
        <v/>
      </c>
      <c r="AQ895">
        <f>IF($AJ895="","",IF($AJ895=0,$AK895*EXP($AL895*-3),$AK895*(1+$AJ895*$AL895*-3)^(1/$AJ895)))</f>
        <v/>
      </c>
      <c r="AR895">
        <f>IF(OR($X895="",$T895&gt;60),"",IFERROR(INDEX(IF($T895&lt;24,pcomp_l,palt_l),MATCH($X895,IF($T895&lt;24,pcomp_k,palt_k),1)),""))</f>
        <v/>
      </c>
      <c r="AS895">
        <f>IF(OR($X895="",$T895&gt;60),"",IFERROR(INDEX(IF($T895&lt;24,pcomp_m,palt_m),MATCH($X895,IF($T895&lt;24,pcomp_k,palt_k),1)),""))</f>
        <v/>
      </c>
      <c r="AT895">
        <f>IF(OR($X895="",$T895&gt;60),"",IFERROR(INDEX(IF($T895&lt;24,pcomp_s,palt_s),MATCH($X895,IF($T895&lt;24,pcomp_k,palt_k),1)),""))</f>
        <v/>
      </c>
      <c r="AU895">
        <f>IF($AR895="","",IF($AR895=0,LN($F895/$AS895)/$AT895,((($F895/$AS895)^$AR895)-1)/($AR895*$AT895)))</f>
        <v/>
      </c>
      <c r="AV895">
        <f>IF($AR895="","",IF($AR895=0,$AS895*EXP($AT895*2),$AS895*(1+$AR895*$AT895*2)^(1/$AR895)))</f>
        <v/>
      </c>
      <c r="AW895">
        <f>IF($AR895="","",IF($AR895=0,$AS895*EXP($AT895*3),$AS895*(1+$AR895*$AT895*3)^(1/$AR895)))</f>
        <v/>
      </c>
      <c r="AX895">
        <f>IF($AR895="","",IF($AR895=0,$AS895*EXP($AT895*-2),$AS895*(1+$AR895*$AT895*-2)^(1/$AR895)))</f>
        <v/>
      </c>
      <c r="AY895">
        <f>IF($AR895="","",IF($AR895=0,$AS895*EXP($AT895*-3),$AS895*(1+$AR895*$AT895*-3)^(1/$AR895)))</f>
        <v/>
      </c>
      <c r="AZ895">
        <f>IF(OR($A895="",$A895&lt;&gt;Ficha!$C$4),"",COUNTIF($A$2:$A895,Ficha!$C$4))</f>
        <v/>
      </c>
    </row>
    <row r="896">
      <c r="A896" s="8">
        <f>IF(INDEX(Banco!$A:$A,ROW())="","",INDEX(Banco!$A:$A,ROW()))</f>
        <v/>
      </c>
      <c r="B896" s="8">
        <f>IF(INDEX(Banco!$B:$B,ROW())="","",INDEX(Banco!$B:$B,ROW()))</f>
        <v/>
      </c>
      <c r="C896" s="8">
        <f>IF(INDEX(Banco!$C:$C,ROW())="","",INDEX(Banco!$C:$C,ROW()))</f>
        <v/>
      </c>
      <c r="D896" s="9">
        <f>IF(INDEX(Banco!$D:$D,ROW())="","",INDEX(Banco!$D:$D,ROW()))</f>
        <v/>
      </c>
      <c r="E896" s="9">
        <f>IF(INDEX(Banco!$E:$E,ROW())="","",INDEX(Banco!$E:$E,ROW()))</f>
        <v/>
      </c>
      <c r="F896" s="10">
        <f>IF(INDEX(Banco!$F:$F,ROW())="","",INDEX(Banco!$F:$F,ROW()))</f>
        <v/>
      </c>
      <c r="G896" s="10">
        <f>IF(INDEX(Banco!$G:$G,ROW())="","",INDEX(Banco!$G:$G,ROW()))</f>
        <v/>
      </c>
      <c r="H896" s="8">
        <f>IF(INDEX(Banco!$H:$H,ROW())="","",INDEX(Banco!$H:$H,ROW()))</f>
        <v/>
      </c>
      <c r="I896">
        <f>IF($T896="","",INT($T896/12)&amp;"a "&amp;MOD($T896,12)&amp;"m")</f>
        <v/>
      </c>
      <c r="J896" s="11">
        <f>IF(OR($F896="",$G896=""),"",ROUND($F896/($G896/100)^2,2))</f>
        <v/>
      </c>
      <c r="K896" s="12">
        <f>IF(OR($S896="",$J896="",$T896="",$T896&lt;0,$T896&gt;228,$Y896=""),"—",ROUND(IF(ABS($AB896)&lt;=3,$AB896,IF($AB896&gt;3,3+($J896-$AD896)/($AD896-$AC896),-3+($J896-$AF896)/($AE896-$AF896))),2))</f>
        <v/>
      </c>
      <c r="L896">
        <f>IF(OR($K896="",$K896="—"),"",IF($T896&lt;=60,IF($K896&lt;-3,"Magreza acentuada",IF($K896&lt;-2,"Magreza",IF($K896&lt;=1,"Eutrofia",IF($K896&lt;=2,"Risco de sobrepeso",IF($K896&lt;=3,"Sobrepeso","Obesidade"))))),IF($K896&lt;-3,"Magreza acentuada",IF($K896&lt;-2,"Magreza",IF($K896&lt;=1,"Eutrofia",IF($K896&lt;=2,"Sobrepeso",IF($K896&lt;=3,"Obesidade","Obesidade grave")))))))</f>
        <v/>
      </c>
      <c r="M896" s="12">
        <f>IF(OR($S896="",$V896="",$T896="",$T896&lt;0,$T896&gt;228,$AG896=""),"—",ROUND(IF($AG896=0,LN($V896/$AH896)/$AI896,((($V896/$AH896)^$AG896)-1)/($AG896*$AI896)),2))</f>
        <v/>
      </c>
      <c r="N896">
        <f>IF(OR($M896="",$M896="—"),"",IF($M896&lt;-3,"Muito baixa",IF($M896&lt;-2,"Baixa","Adequada")))</f>
        <v/>
      </c>
      <c r="O896" s="12">
        <f>IF(OR($S896="",$F896="",$T896="",$T896&lt;0,$T896&gt;120,$AJ896=""),"—",ROUND(IF(ABS($AM896)&lt;=3,$AM896,IF($AM896&gt;3,3+($F896-$AO896)/($AO896-$AN896),-3+($F896-$AQ896)/($AP896-$AQ896))),2))</f>
        <v/>
      </c>
      <c r="P896">
        <f>IF(OR($O896="",$O896="—"),"",IF($O896&lt;-3,"Muito baixo",IF($O896&lt;-2,"Baixo",IF($O896&lt;=2,"Adequado","Elevado"))))</f>
        <v/>
      </c>
      <c r="Q896" s="12">
        <f>IF(OR($S896="",$F896="",$T896="",$T896&lt;0,$T896&gt;60,$AR896=""),"—",ROUND(IF(ABS($AU896)&lt;=3,$AU896,IF($AU896&gt;3,3+($F896-$AW896)/($AW896-$AV896),-3+($F896-$AY896)/($AX896-$AY896))),2))</f>
        <v/>
      </c>
      <c r="R896">
        <f>IF(OR($Q896="",$Q896="—"),"",IF($Q896&lt;-3,"Magreza acentuada",IF($Q896&lt;-2,"Magreza",IF($Q896&lt;=1,"Eutrofia",IF($Q896&lt;=2,"Risco de sobrepeso",IF($Q896&lt;=3,"Sobrepeso","Obesidade"))))))</f>
        <v/>
      </c>
      <c r="S896">
        <f>IF($C896="","",IF(UPPER(LEFT($C896,1))="M",1,IF(UPPER(LEFT($C896,1))="F",2,"")))</f>
        <v/>
      </c>
      <c r="T896">
        <f>IF(OR($D896="",$E896=""),"",DATEDIF($D896,$E896,"m"))</f>
        <v/>
      </c>
      <c r="U896">
        <f>IF(OR($D896="",$E896=""),"",$E896-$D896)</f>
        <v/>
      </c>
      <c r="V896">
        <f>IF(OR($G896="",$T896=""),"",IF($T896&lt;24,IF(LEFT(LOWER($H896),4)="em p",$G896+0.7,$G896),IF(LEFT(LOWER($H896),4)="deit",$G896-0.7,$G896)))</f>
        <v/>
      </c>
      <c r="W896">
        <f>IF(OR($S896="",$T896=""),"",$S896*1000000+IF($T896&lt;=60,$U896,$T896))</f>
        <v/>
      </c>
      <c r="X896">
        <f>IF(OR($S896="",$V896="",$T896&gt;60,$T896=""),"",$S896*1000000+ROUND($V896*10,0))</f>
        <v/>
      </c>
      <c r="Y896">
        <f>IF($W896="","",IFERROR(INDEX(IF($T896&lt;=60,imc05_l,imc519_l),MATCH($W896,IF($T896&lt;=60,imc05_k,imc519_k),1)),""))</f>
        <v/>
      </c>
      <c r="Z896">
        <f>IF($W896="","",IFERROR(INDEX(IF($T896&lt;=60,imc05_m,imc519_m),MATCH($W896,IF($T896&lt;=60,imc05_k,imc519_k),1)),""))</f>
        <v/>
      </c>
      <c r="AA896">
        <f>IF($W896="","",IFERROR(INDEX(IF($T896&lt;=60,imc05_s,imc519_s),MATCH($W896,IF($T896&lt;=60,imc05_k,imc519_k),1)),""))</f>
        <v/>
      </c>
      <c r="AB896">
        <f>IF($Y896="","",IF($Y896=0,LN($J896/$Z896)/$AA896,((($J896/$Z896)^$Y896)-1)/($Y896*$AA896)))</f>
        <v/>
      </c>
      <c r="AC896">
        <f>IF($Y896="","",IF($Y896=0,$Z896*EXP($AA896*2),$Z896*(1+$Y896*$AA896*2)^(1/$Y896)))</f>
        <v/>
      </c>
      <c r="AD896">
        <f>IF($Y896="","",IF($Y896=0,$Z896*EXP($AA896*3),$Z896*(1+$Y896*$AA896*3)^(1/$Y896)))</f>
        <v/>
      </c>
      <c r="AE896">
        <f>IF($Y896="","",IF($Y896=0,$Z896*EXP($AA896*-2),$Z896*(1+$Y896*$AA896*-2)^(1/$Y896)))</f>
        <v/>
      </c>
      <c r="AF896">
        <f>IF($Y896="","",IF($Y896=0,$Z896*EXP($AA896*-3),$Z896*(1+$Y896*$AA896*-3)^(1/$Y896)))</f>
        <v/>
      </c>
      <c r="AG896">
        <f>IF($W896="","",IFERROR(INDEX(IF($T896&lt;=60,est05_l,est519_l),MATCH($W896,IF($T896&lt;=60,est05_k,est519_k),1)),""))</f>
        <v/>
      </c>
      <c r="AH896">
        <f>IF($W896="","",IFERROR(INDEX(IF($T896&lt;=60,est05_m,est519_m),MATCH($W896,IF($T896&lt;=60,est05_k,est519_k),1)),""))</f>
        <v/>
      </c>
      <c r="AI896">
        <f>IF($W896="","",IFERROR(INDEX(IF($T896&lt;=60,est05_s,est519_s),MATCH($W896,IF($T896&lt;=60,est05_k,est519_k),1)),""))</f>
        <v/>
      </c>
      <c r="AJ896">
        <f>IF($W896="","",IFERROR(INDEX(IF($T896&lt;=60,peso05_l,peso510_l),MATCH($W896,IF($T896&lt;=60,peso05_k,peso510_k),1)),""))</f>
        <v/>
      </c>
      <c r="AK896">
        <f>IF($W896="","",IFERROR(INDEX(IF($T896&lt;=60,peso05_m,peso510_m),MATCH($W896,IF($T896&lt;=60,peso05_k,peso510_k),1)),""))</f>
        <v/>
      </c>
      <c r="AL896">
        <f>IF($W896="","",IFERROR(INDEX(IF($T896&lt;=60,peso05_s,peso510_s),MATCH($W896,IF($T896&lt;=60,peso05_k,peso510_k),1)),""))</f>
        <v/>
      </c>
      <c r="AM896">
        <f>IF($AJ896="","",IF($AJ896=0,LN($F896/$AK896)/$AL896,((($F896/$AK896)^$AJ896)-1)/($AJ896*$AL896)))</f>
        <v/>
      </c>
      <c r="AN896">
        <f>IF($AJ896="","",IF($AJ896=0,$AK896*EXP($AL896*2),$AK896*(1+$AJ896*$AL896*2)^(1/$AJ896)))</f>
        <v/>
      </c>
      <c r="AO896">
        <f>IF($AJ896="","",IF($AJ896=0,$AK896*EXP($AL896*3),$AK896*(1+$AJ896*$AL896*3)^(1/$AJ896)))</f>
        <v/>
      </c>
      <c r="AP896">
        <f>IF($AJ896="","",IF($AJ896=0,$AK896*EXP($AL896*-2),$AK896*(1+$AJ896*$AL896*-2)^(1/$AJ896)))</f>
        <v/>
      </c>
      <c r="AQ896">
        <f>IF($AJ896="","",IF($AJ896=0,$AK896*EXP($AL896*-3),$AK896*(1+$AJ896*$AL896*-3)^(1/$AJ896)))</f>
        <v/>
      </c>
      <c r="AR896">
        <f>IF(OR($X896="",$T896&gt;60),"",IFERROR(INDEX(IF($T896&lt;24,pcomp_l,palt_l),MATCH($X896,IF($T896&lt;24,pcomp_k,palt_k),1)),""))</f>
        <v/>
      </c>
      <c r="AS896">
        <f>IF(OR($X896="",$T896&gt;60),"",IFERROR(INDEX(IF($T896&lt;24,pcomp_m,palt_m),MATCH($X896,IF($T896&lt;24,pcomp_k,palt_k),1)),""))</f>
        <v/>
      </c>
      <c r="AT896">
        <f>IF(OR($X896="",$T896&gt;60),"",IFERROR(INDEX(IF($T896&lt;24,pcomp_s,palt_s),MATCH($X896,IF($T896&lt;24,pcomp_k,palt_k),1)),""))</f>
        <v/>
      </c>
      <c r="AU896">
        <f>IF($AR896="","",IF($AR896=0,LN($F896/$AS896)/$AT896,((($F896/$AS896)^$AR896)-1)/($AR896*$AT896)))</f>
        <v/>
      </c>
      <c r="AV896">
        <f>IF($AR896="","",IF($AR896=0,$AS896*EXP($AT896*2),$AS896*(1+$AR896*$AT896*2)^(1/$AR896)))</f>
        <v/>
      </c>
      <c r="AW896">
        <f>IF($AR896="","",IF($AR896=0,$AS896*EXP($AT896*3),$AS896*(1+$AR896*$AT896*3)^(1/$AR896)))</f>
        <v/>
      </c>
      <c r="AX896">
        <f>IF($AR896="","",IF($AR896=0,$AS896*EXP($AT896*-2),$AS896*(1+$AR896*$AT896*-2)^(1/$AR896)))</f>
        <v/>
      </c>
      <c r="AY896">
        <f>IF($AR896="","",IF($AR896=0,$AS896*EXP($AT896*-3),$AS896*(1+$AR896*$AT896*-3)^(1/$AR896)))</f>
        <v/>
      </c>
      <c r="AZ896">
        <f>IF(OR($A896="",$A896&lt;&gt;Ficha!$C$4),"",COUNTIF($A$2:$A896,Ficha!$C$4))</f>
        <v/>
      </c>
    </row>
    <row r="897">
      <c r="A897" s="8">
        <f>IF(INDEX(Banco!$A:$A,ROW())="","",INDEX(Banco!$A:$A,ROW()))</f>
        <v/>
      </c>
      <c r="B897" s="8">
        <f>IF(INDEX(Banco!$B:$B,ROW())="","",INDEX(Banco!$B:$B,ROW()))</f>
        <v/>
      </c>
      <c r="C897" s="8">
        <f>IF(INDEX(Banco!$C:$C,ROW())="","",INDEX(Banco!$C:$C,ROW()))</f>
        <v/>
      </c>
      <c r="D897" s="9">
        <f>IF(INDEX(Banco!$D:$D,ROW())="","",INDEX(Banco!$D:$D,ROW()))</f>
        <v/>
      </c>
      <c r="E897" s="9">
        <f>IF(INDEX(Banco!$E:$E,ROW())="","",INDEX(Banco!$E:$E,ROW()))</f>
        <v/>
      </c>
      <c r="F897" s="10">
        <f>IF(INDEX(Banco!$F:$F,ROW())="","",INDEX(Banco!$F:$F,ROW()))</f>
        <v/>
      </c>
      <c r="G897" s="10">
        <f>IF(INDEX(Banco!$G:$G,ROW())="","",INDEX(Banco!$G:$G,ROW()))</f>
        <v/>
      </c>
      <c r="H897" s="8">
        <f>IF(INDEX(Banco!$H:$H,ROW())="","",INDEX(Banco!$H:$H,ROW()))</f>
        <v/>
      </c>
      <c r="I897">
        <f>IF($T897="","",INT($T897/12)&amp;"a "&amp;MOD($T897,12)&amp;"m")</f>
        <v/>
      </c>
      <c r="J897" s="11">
        <f>IF(OR($F897="",$G897=""),"",ROUND($F897/($G897/100)^2,2))</f>
        <v/>
      </c>
      <c r="K897" s="12">
        <f>IF(OR($S897="",$J897="",$T897="",$T897&lt;0,$T897&gt;228,$Y897=""),"—",ROUND(IF(ABS($AB897)&lt;=3,$AB897,IF($AB897&gt;3,3+($J897-$AD897)/($AD897-$AC897),-3+($J897-$AF897)/($AE897-$AF897))),2))</f>
        <v/>
      </c>
      <c r="L897">
        <f>IF(OR($K897="",$K897="—"),"",IF($T897&lt;=60,IF($K897&lt;-3,"Magreza acentuada",IF($K897&lt;-2,"Magreza",IF($K897&lt;=1,"Eutrofia",IF($K897&lt;=2,"Risco de sobrepeso",IF($K897&lt;=3,"Sobrepeso","Obesidade"))))),IF($K897&lt;-3,"Magreza acentuada",IF($K897&lt;-2,"Magreza",IF($K897&lt;=1,"Eutrofia",IF($K897&lt;=2,"Sobrepeso",IF($K897&lt;=3,"Obesidade","Obesidade grave")))))))</f>
        <v/>
      </c>
      <c r="M897" s="12">
        <f>IF(OR($S897="",$V897="",$T897="",$T897&lt;0,$T897&gt;228,$AG897=""),"—",ROUND(IF($AG897=0,LN($V897/$AH897)/$AI897,((($V897/$AH897)^$AG897)-1)/($AG897*$AI897)),2))</f>
        <v/>
      </c>
      <c r="N897">
        <f>IF(OR($M897="",$M897="—"),"",IF($M897&lt;-3,"Muito baixa",IF($M897&lt;-2,"Baixa","Adequada")))</f>
        <v/>
      </c>
      <c r="O897" s="12">
        <f>IF(OR($S897="",$F897="",$T897="",$T897&lt;0,$T897&gt;120,$AJ897=""),"—",ROUND(IF(ABS($AM897)&lt;=3,$AM897,IF($AM897&gt;3,3+($F897-$AO897)/($AO897-$AN897),-3+($F897-$AQ897)/($AP897-$AQ897))),2))</f>
        <v/>
      </c>
      <c r="P897">
        <f>IF(OR($O897="",$O897="—"),"",IF($O897&lt;-3,"Muito baixo",IF($O897&lt;-2,"Baixo",IF($O897&lt;=2,"Adequado","Elevado"))))</f>
        <v/>
      </c>
      <c r="Q897" s="12">
        <f>IF(OR($S897="",$F897="",$T897="",$T897&lt;0,$T897&gt;60,$AR897=""),"—",ROUND(IF(ABS($AU897)&lt;=3,$AU897,IF($AU897&gt;3,3+($F897-$AW897)/($AW897-$AV897),-3+($F897-$AY897)/($AX897-$AY897))),2))</f>
        <v/>
      </c>
      <c r="R897">
        <f>IF(OR($Q897="",$Q897="—"),"",IF($Q897&lt;-3,"Magreza acentuada",IF($Q897&lt;-2,"Magreza",IF($Q897&lt;=1,"Eutrofia",IF($Q897&lt;=2,"Risco de sobrepeso",IF($Q897&lt;=3,"Sobrepeso","Obesidade"))))))</f>
        <v/>
      </c>
      <c r="S897">
        <f>IF($C897="","",IF(UPPER(LEFT($C897,1))="M",1,IF(UPPER(LEFT($C897,1))="F",2,"")))</f>
        <v/>
      </c>
      <c r="T897">
        <f>IF(OR($D897="",$E897=""),"",DATEDIF($D897,$E897,"m"))</f>
        <v/>
      </c>
      <c r="U897">
        <f>IF(OR($D897="",$E897=""),"",$E897-$D897)</f>
        <v/>
      </c>
      <c r="V897">
        <f>IF(OR($G897="",$T897=""),"",IF($T897&lt;24,IF(LEFT(LOWER($H897),4)="em p",$G897+0.7,$G897),IF(LEFT(LOWER($H897),4)="deit",$G897-0.7,$G897)))</f>
        <v/>
      </c>
      <c r="W897">
        <f>IF(OR($S897="",$T897=""),"",$S897*1000000+IF($T897&lt;=60,$U897,$T897))</f>
        <v/>
      </c>
      <c r="X897">
        <f>IF(OR($S897="",$V897="",$T897&gt;60,$T897=""),"",$S897*1000000+ROUND($V897*10,0))</f>
        <v/>
      </c>
      <c r="Y897">
        <f>IF($W897="","",IFERROR(INDEX(IF($T897&lt;=60,imc05_l,imc519_l),MATCH($W897,IF($T897&lt;=60,imc05_k,imc519_k),1)),""))</f>
        <v/>
      </c>
      <c r="Z897">
        <f>IF($W897="","",IFERROR(INDEX(IF($T897&lt;=60,imc05_m,imc519_m),MATCH($W897,IF($T897&lt;=60,imc05_k,imc519_k),1)),""))</f>
        <v/>
      </c>
      <c r="AA897">
        <f>IF($W897="","",IFERROR(INDEX(IF($T897&lt;=60,imc05_s,imc519_s),MATCH($W897,IF($T897&lt;=60,imc05_k,imc519_k),1)),""))</f>
        <v/>
      </c>
      <c r="AB897">
        <f>IF($Y897="","",IF($Y897=0,LN($J897/$Z897)/$AA897,((($J897/$Z897)^$Y897)-1)/($Y897*$AA897)))</f>
        <v/>
      </c>
      <c r="AC897">
        <f>IF($Y897="","",IF($Y897=0,$Z897*EXP($AA897*2),$Z897*(1+$Y897*$AA897*2)^(1/$Y897)))</f>
        <v/>
      </c>
      <c r="AD897">
        <f>IF($Y897="","",IF($Y897=0,$Z897*EXP($AA897*3),$Z897*(1+$Y897*$AA897*3)^(1/$Y897)))</f>
        <v/>
      </c>
      <c r="AE897">
        <f>IF($Y897="","",IF($Y897=0,$Z897*EXP($AA897*-2),$Z897*(1+$Y897*$AA897*-2)^(1/$Y897)))</f>
        <v/>
      </c>
      <c r="AF897">
        <f>IF($Y897="","",IF($Y897=0,$Z897*EXP($AA897*-3),$Z897*(1+$Y897*$AA897*-3)^(1/$Y897)))</f>
        <v/>
      </c>
      <c r="AG897">
        <f>IF($W897="","",IFERROR(INDEX(IF($T897&lt;=60,est05_l,est519_l),MATCH($W897,IF($T897&lt;=60,est05_k,est519_k),1)),""))</f>
        <v/>
      </c>
      <c r="AH897">
        <f>IF($W897="","",IFERROR(INDEX(IF($T897&lt;=60,est05_m,est519_m),MATCH($W897,IF($T897&lt;=60,est05_k,est519_k),1)),""))</f>
        <v/>
      </c>
      <c r="AI897">
        <f>IF($W897="","",IFERROR(INDEX(IF($T897&lt;=60,est05_s,est519_s),MATCH($W897,IF($T897&lt;=60,est05_k,est519_k),1)),""))</f>
        <v/>
      </c>
      <c r="AJ897">
        <f>IF($W897="","",IFERROR(INDEX(IF($T897&lt;=60,peso05_l,peso510_l),MATCH($W897,IF($T897&lt;=60,peso05_k,peso510_k),1)),""))</f>
        <v/>
      </c>
      <c r="AK897">
        <f>IF($W897="","",IFERROR(INDEX(IF($T897&lt;=60,peso05_m,peso510_m),MATCH($W897,IF($T897&lt;=60,peso05_k,peso510_k),1)),""))</f>
        <v/>
      </c>
      <c r="AL897">
        <f>IF($W897="","",IFERROR(INDEX(IF($T897&lt;=60,peso05_s,peso510_s),MATCH($W897,IF($T897&lt;=60,peso05_k,peso510_k),1)),""))</f>
        <v/>
      </c>
      <c r="AM897">
        <f>IF($AJ897="","",IF($AJ897=0,LN($F897/$AK897)/$AL897,((($F897/$AK897)^$AJ897)-1)/($AJ897*$AL897)))</f>
        <v/>
      </c>
      <c r="AN897">
        <f>IF($AJ897="","",IF($AJ897=0,$AK897*EXP($AL897*2),$AK897*(1+$AJ897*$AL897*2)^(1/$AJ897)))</f>
        <v/>
      </c>
      <c r="AO897">
        <f>IF($AJ897="","",IF($AJ897=0,$AK897*EXP($AL897*3),$AK897*(1+$AJ897*$AL897*3)^(1/$AJ897)))</f>
        <v/>
      </c>
      <c r="AP897">
        <f>IF($AJ897="","",IF($AJ897=0,$AK897*EXP($AL897*-2),$AK897*(1+$AJ897*$AL897*-2)^(1/$AJ897)))</f>
        <v/>
      </c>
      <c r="AQ897">
        <f>IF($AJ897="","",IF($AJ897=0,$AK897*EXP($AL897*-3),$AK897*(1+$AJ897*$AL897*-3)^(1/$AJ897)))</f>
        <v/>
      </c>
      <c r="AR897">
        <f>IF(OR($X897="",$T897&gt;60),"",IFERROR(INDEX(IF($T897&lt;24,pcomp_l,palt_l),MATCH($X897,IF($T897&lt;24,pcomp_k,palt_k),1)),""))</f>
        <v/>
      </c>
      <c r="AS897">
        <f>IF(OR($X897="",$T897&gt;60),"",IFERROR(INDEX(IF($T897&lt;24,pcomp_m,palt_m),MATCH($X897,IF($T897&lt;24,pcomp_k,palt_k),1)),""))</f>
        <v/>
      </c>
      <c r="AT897">
        <f>IF(OR($X897="",$T897&gt;60),"",IFERROR(INDEX(IF($T897&lt;24,pcomp_s,palt_s),MATCH($X897,IF($T897&lt;24,pcomp_k,palt_k),1)),""))</f>
        <v/>
      </c>
      <c r="AU897">
        <f>IF($AR897="","",IF($AR897=0,LN($F897/$AS897)/$AT897,((($F897/$AS897)^$AR897)-1)/($AR897*$AT897)))</f>
        <v/>
      </c>
      <c r="AV897">
        <f>IF($AR897="","",IF($AR897=0,$AS897*EXP($AT897*2),$AS897*(1+$AR897*$AT897*2)^(1/$AR897)))</f>
        <v/>
      </c>
      <c r="AW897">
        <f>IF($AR897="","",IF($AR897=0,$AS897*EXP($AT897*3),$AS897*(1+$AR897*$AT897*3)^(1/$AR897)))</f>
        <v/>
      </c>
      <c r="AX897">
        <f>IF($AR897="","",IF($AR897=0,$AS897*EXP($AT897*-2),$AS897*(1+$AR897*$AT897*-2)^(1/$AR897)))</f>
        <v/>
      </c>
      <c r="AY897">
        <f>IF($AR897="","",IF($AR897=0,$AS897*EXP($AT897*-3),$AS897*(1+$AR897*$AT897*-3)^(1/$AR897)))</f>
        <v/>
      </c>
      <c r="AZ897">
        <f>IF(OR($A897="",$A897&lt;&gt;Ficha!$C$4),"",COUNTIF($A$2:$A897,Ficha!$C$4))</f>
        <v/>
      </c>
    </row>
    <row r="898">
      <c r="A898" s="8">
        <f>IF(INDEX(Banco!$A:$A,ROW())="","",INDEX(Banco!$A:$A,ROW()))</f>
        <v/>
      </c>
      <c r="B898" s="8">
        <f>IF(INDEX(Banco!$B:$B,ROW())="","",INDEX(Banco!$B:$B,ROW()))</f>
        <v/>
      </c>
      <c r="C898" s="8">
        <f>IF(INDEX(Banco!$C:$C,ROW())="","",INDEX(Banco!$C:$C,ROW()))</f>
        <v/>
      </c>
      <c r="D898" s="9">
        <f>IF(INDEX(Banco!$D:$D,ROW())="","",INDEX(Banco!$D:$D,ROW()))</f>
        <v/>
      </c>
      <c r="E898" s="9">
        <f>IF(INDEX(Banco!$E:$E,ROW())="","",INDEX(Banco!$E:$E,ROW()))</f>
        <v/>
      </c>
      <c r="F898" s="10">
        <f>IF(INDEX(Banco!$F:$F,ROW())="","",INDEX(Banco!$F:$F,ROW()))</f>
        <v/>
      </c>
      <c r="G898" s="10">
        <f>IF(INDEX(Banco!$G:$G,ROW())="","",INDEX(Banco!$G:$G,ROW()))</f>
        <v/>
      </c>
      <c r="H898" s="8">
        <f>IF(INDEX(Banco!$H:$H,ROW())="","",INDEX(Banco!$H:$H,ROW()))</f>
        <v/>
      </c>
      <c r="I898">
        <f>IF($T898="","",INT($T898/12)&amp;"a "&amp;MOD($T898,12)&amp;"m")</f>
        <v/>
      </c>
      <c r="J898" s="11">
        <f>IF(OR($F898="",$G898=""),"",ROUND($F898/($G898/100)^2,2))</f>
        <v/>
      </c>
      <c r="K898" s="12">
        <f>IF(OR($S898="",$J898="",$T898="",$T898&lt;0,$T898&gt;228,$Y898=""),"—",ROUND(IF(ABS($AB898)&lt;=3,$AB898,IF($AB898&gt;3,3+($J898-$AD898)/($AD898-$AC898),-3+($J898-$AF898)/($AE898-$AF898))),2))</f>
        <v/>
      </c>
      <c r="L898">
        <f>IF(OR($K898="",$K898="—"),"",IF($T898&lt;=60,IF($K898&lt;-3,"Magreza acentuada",IF($K898&lt;-2,"Magreza",IF($K898&lt;=1,"Eutrofia",IF($K898&lt;=2,"Risco de sobrepeso",IF($K898&lt;=3,"Sobrepeso","Obesidade"))))),IF($K898&lt;-3,"Magreza acentuada",IF($K898&lt;-2,"Magreza",IF($K898&lt;=1,"Eutrofia",IF($K898&lt;=2,"Sobrepeso",IF($K898&lt;=3,"Obesidade","Obesidade grave")))))))</f>
        <v/>
      </c>
      <c r="M898" s="12">
        <f>IF(OR($S898="",$V898="",$T898="",$T898&lt;0,$T898&gt;228,$AG898=""),"—",ROUND(IF($AG898=0,LN($V898/$AH898)/$AI898,((($V898/$AH898)^$AG898)-1)/($AG898*$AI898)),2))</f>
        <v/>
      </c>
      <c r="N898">
        <f>IF(OR($M898="",$M898="—"),"",IF($M898&lt;-3,"Muito baixa",IF($M898&lt;-2,"Baixa","Adequada")))</f>
        <v/>
      </c>
      <c r="O898" s="12">
        <f>IF(OR($S898="",$F898="",$T898="",$T898&lt;0,$T898&gt;120,$AJ898=""),"—",ROUND(IF(ABS($AM898)&lt;=3,$AM898,IF($AM898&gt;3,3+($F898-$AO898)/($AO898-$AN898),-3+($F898-$AQ898)/($AP898-$AQ898))),2))</f>
        <v/>
      </c>
      <c r="P898">
        <f>IF(OR($O898="",$O898="—"),"",IF($O898&lt;-3,"Muito baixo",IF($O898&lt;-2,"Baixo",IF($O898&lt;=2,"Adequado","Elevado"))))</f>
        <v/>
      </c>
      <c r="Q898" s="12">
        <f>IF(OR($S898="",$F898="",$T898="",$T898&lt;0,$T898&gt;60,$AR898=""),"—",ROUND(IF(ABS($AU898)&lt;=3,$AU898,IF($AU898&gt;3,3+($F898-$AW898)/($AW898-$AV898),-3+($F898-$AY898)/($AX898-$AY898))),2))</f>
        <v/>
      </c>
      <c r="R898">
        <f>IF(OR($Q898="",$Q898="—"),"",IF($Q898&lt;-3,"Magreza acentuada",IF($Q898&lt;-2,"Magreza",IF($Q898&lt;=1,"Eutrofia",IF($Q898&lt;=2,"Risco de sobrepeso",IF($Q898&lt;=3,"Sobrepeso","Obesidade"))))))</f>
        <v/>
      </c>
      <c r="S898">
        <f>IF($C898="","",IF(UPPER(LEFT($C898,1))="M",1,IF(UPPER(LEFT($C898,1))="F",2,"")))</f>
        <v/>
      </c>
      <c r="T898">
        <f>IF(OR($D898="",$E898=""),"",DATEDIF($D898,$E898,"m"))</f>
        <v/>
      </c>
      <c r="U898">
        <f>IF(OR($D898="",$E898=""),"",$E898-$D898)</f>
        <v/>
      </c>
      <c r="V898">
        <f>IF(OR($G898="",$T898=""),"",IF($T898&lt;24,IF(LEFT(LOWER($H898),4)="em p",$G898+0.7,$G898),IF(LEFT(LOWER($H898),4)="deit",$G898-0.7,$G898)))</f>
        <v/>
      </c>
      <c r="W898">
        <f>IF(OR($S898="",$T898=""),"",$S898*1000000+IF($T898&lt;=60,$U898,$T898))</f>
        <v/>
      </c>
      <c r="X898">
        <f>IF(OR($S898="",$V898="",$T898&gt;60,$T898=""),"",$S898*1000000+ROUND($V898*10,0))</f>
        <v/>
      </c>
      <c r="Y898">
        <f>IF($W898="","",IFERROR(INDEX(IF($T898&lt;=60,imc05_l,imc519_l),MATCH($W898,IF($T898&lt;=60,imc05_k,imc519_k),1)),""))</f>
        <v/>
      </c>
      <c r="Z898">
        <f>IF($W898="","",IFERROR(INDEX(IF($T898&lt;=60,imc05_m,imc519_m),MATCH($W898,IF($T898&lt;=60,imc05_k,imc519_k),1)),""))</f>
        <v/>
      </c>
      <c r="AA898">
        <f>IF($W898="","",IFERROR(INDEX(IF($T898&lt;=60,imc05_s,imc519_s),MATCH($W898,IF($T898&lt;=60,imc05_k,imc519_k),1)),""))</f>
        <v/>
      </c>
      <c r="AB898">
        <f>IF($Y898="","",IF($Y898=0,LN($J898/$Z898)/$AA898,((($J898/$Z898)^$Y898)-1)/($Y898*$AA898)))</f>
        <v/>
      </c>
      <c r="AC898">
        <f>IF($Y898="","",IF($Y898=0,$Z898*EXP($AA898*2),$Z898*(1+$Y898*$AA898*2)^(1/$Y898)))</f>
        <v/>
      </c>
      <c r="AD898">
        <f>IF($Y898="","",IF($Y898=0,$Z898*EXP($AA898*3),$Z898*(1+$Y898*$AA898*3)^(1/$Y898)))</f>
        <v/>
      </c>
      <c r="AE898">
        <f>IF($Y898="","",IF($Y898=0,$Z898*EXP($AA898*-2),$Z898*(1+$Y898*$AA898*-2)^(1/$Y898)))</f>
        <v/>
      </c>
      <c r="AF898">
        <f>IF($Y898="","",IF($Y898=0,$Z898*EXP($AA898*-3),$Z898*(1+$Y898*$AA898*-3)^(1/$Y898)))</f>
        <v/>
      </c>
      <c r="AG898">
        <f>IF($W898="","",IFERROR(INDEX(IF($T898&lt;=60,est05_l,est519_l),MATCH($W898,IF($T898&lt;=60,est05_k,est519_k),1)),""))</f>
        <v/>
      </c>
      <c r="AH898">
        <f>IF($W898="","",IFERROR(INDEX(IF($T898&lt;=60,est05_m,est519_m),MATCH($W898,IF($T898&lt;=60,est05_k,est519_k),1)),""))</f>
        <v/>
      </c>
      <c r="AI898">
        <f>IF($W898="","",IFERROR(INDEX(IF($T898&lt;=60,est05_s,est519_s),MATCH($W898,IF($T898&lt;=60,est05_k,est519_k),1)),""))</f>
        <v/>
      </c>
      <c r="AJ898">
        <f>IF($W898="","",IFERROR(INDEX(IF($T898&lt;=60,peso05_l,peso510_l),MATCH($W898,IF($T898&lt;=60,peso05_k,peso510_k),1)),""))</f>
        <v/>
      </c>
      <c r="AK898">
        <f>IF($W898="","",IFERROR(INDEX(IF($T898&lt;=60,peso05_m,peso510_m),MATCH($W898,IF($T898&lt;=60,peso05_k,peso510_k),1)),""))</f>
        <v/>
      </c>
      <c r="AL898">
        <f>IF($W898="","",IFERROR(INDEX(IF($T898&lt;=60,peso05_s,peso510_s),MATCH($W898,IF($T898&lt;=60,peso05_k,peso510_k),1)),""))</f>
        <v/>
      </c>
      <c r="AM898">
        <f>IF($AJ898="","",IF($AJ898=0,LN($F898/$AK898)/$AL898,((($F898/$AK898)^$AJ898)-1)/($AJ898*$AL898)))</f>
        <v/>
      </c>
      <c r="AN898">
        <f>IF($AJ898="","",IF($AJ898=0,$AK898*EXP($AL898*2),$AK898*(1+$AJ898*$AL898*2)^(1/$AJ898)))</f>
        <v/>
      </c>
      <c r="AO898">
        <f>IF($AJ898="","",IF($AJ898=0,$AK898*EXP($AL898*3),$AK898*(1+$AJ898*$AL898*3)^(1/$AJ898)))</f>
        <v/>
      </c>
      <c r="AP898">
        <f>IF($AJ898="","",IF($AJ898=0,$AK898*EXP($AL898*-2),$AK898*(1+$AJ898*$AL898*-2)^(1/$AJ898)))</f>
        <v/>
      </c>
      <c r="AQ898">
        <f>IF($AJ898="","",IF($AJ898=0,$AK898*EXP($AL898*-3),$AK898*(1+$AJ898*$AL898*-3)^(1/$AJ898)))</f>
        <v/>
      </c>
      <c r="AR898">
        <f>IF(OR($X898="",$T898&gt;60),"",IFERROR(INDEX(IF($T898&lt;24,pcomp_l,palt_l),MATCH($X898,IF($T898&lt;24,pcomp_k,palt_k),1)),""))</f>
        <v/>
      </c>
      <c r="AS898">
        <f>IF(OR($X898="",$T898&gt;60),"",IFERROR(INDEX(IF($T898&lt;24,pcomp_m,palt_m),MATCH($X898,IF($T898&lt;24,pcomp_k,palt_k),1)),""))</f>
        <v/>
      </c>
      <c r="AT898">
        <f>IF(OR($X898="",$T898&gt;60),"",IFERROR(INDEX(IF($T898&lt;24,pcomp_s,palt_s),MATCH($X898,IF($T898&lt;24,pcomp_k,palt_k),1)),""))</f>
        <v/>
      </c>
      <c r="AU898">
        <f>IF($AR898="","",IF($AR898=0,LN($F898/$AS898)/$AT898,((($F898/$AS898)^$AR898)-1)/($AR898*$AT898)))</f>
        <v/>
      </c>
      <c r="AV898">
        <f>IF($AR898="","",IF($AR898=0,$AS898*EXP($AT898*2),$AS898*(1+$AR898*$AT898*2)^(1/$AR898)))</f>
        <v/>
      </c>
      <c r="AW898">
        <f>IF($AR898="","",IF($AR898=0,$AS898*EXP($AT898*3),$AS898*(1+$AR898*$AT898*3)^(1/$AR898)))</f>
        <v/>
      </c>
      <c r="AX898">
        <f>IF($AR898="","",IF($AR898=0,$AS898*EXP($AT898*-2),$AS898*(1+$AR898*$AT898*-2)^(1/$AR898)))</f>
        <v/>
      </c>
      <c r="AY898">
        <f>IF($AR898="","",IF($AR898=0,$AS898*EXP($AT898*-3),$AS898*(1+$AR898*$AT898*-3)^(1/$AR898)))</f>
        <v/>
      </c>
      <c r="AZ898">
        <f>IF(OR($A898="",$A898&lt;&gt;Ficha!$C$4),"",COUNTIF($A$2:$A898,Ficha!$C$4))</f>
        <v/>
      </c>
    </row>
    <row r="899">
      <c r="A899" s="8">
        <f>IF(INDEX(Banco!$A:$A,ROW())="","",INDEX(Banco!$A:$A,ROW()))</f>
        <v/>
      </c>
      <c r="B899" s="8">
        <f>IF(INDEX(Banco!$B:$B,ROW())="","",INDEX(Banco!$B:$B,ROW()))</f>
        <v/>
      </c>
      <c r="C899" s="8">
        <f>IF(INDEX(Banco!$C:$C,ROW())="","",INDEX(Banco!$C:$C,ROW()))</f>
        <v/>
      </c>
      <c r="D899" s="9">
        <f>IF(INDEX(Banco!$D:$D,ROW())="","",INDEX(Banco!$D:$D,ROW()))</f>
        <v/>
      </c>
      <c r="E899" s="9">
        <f>IF(INDEX(Banco!$E:$E,ROW())="","",INDEX(Banco!$E:$E,ROW()))</f>
        <v/>
      </c>
      <c r="F899" s="10">
        <f>IF(INDEX(Banco!$F:$F,ROW())="","",INDEX(Banco!$F:$F,ROW()))</f>
        <v/>
      </c>
      <c r="G899" s="10">
        <f>IF(INDEX(Banco!$G:$G,ROW())="","",INDEX(Banco!$G:$G,ROW()))</f>
        <v/>
      </c>
      <c r="H899" s="8">
        <f>IF(INDEX(Banco!$H:$H,ROW())="","",INDEX(Banco!$H:$H,ROW()))</f>
        <v/>
      </c>
      <c r="I899">
        <f>IF($T899="","",INT($T899/12)&amp;"a "&amp;MOD($T899,12)&amp;"m")</f>
        <v/>
      </c>
      <c r="J899" s="11">
        <f>IF(OR($F899="",$G899=""),"",ROUND($F899/($G899/100)^2,2))</f>
        <v/>
      </c>
      <c r="K899" s="12">
        <f>IF(OR($S899="",$J899="",$T899="",$T899&lt;0,$T899&gt;228,$Y899=""),"—",ROUND(IF(ABS($AB899)&lt;=3,$AB899,IF($AB899&gt;3,3+($J899-$AD899)/($AD899-$AC899),-3+($J899-$AF899)/($AE899-$AF899))),2))</f>
        <v/>
      </c>
      <c r="L899">
        <f>IF(OR($K899="",$K899="—"),"",IF($T899&lt;=60,IF($K899&lt;-3,"Magreza acentuada",IF($K899&lt;-2,"Magreza",IF($K899&lt;=1,"Eutrofia",IF($K899&lt;=2,"Risco de sobrepeso",IF($K899&lt;=3,"Sobrepeso","Obesidade"))))),IF($K899&lt;-3,"Magreza acentuada",IF($K899&lt;-2,"Magreza",IF($K899&lt;=1,"Eutrofia",IF($K899&lt;=2,"Sobrepeso",IF($K899&lt;=3,"Obesidade","Obesidade grave")))))))</f>
        <v/>
      </c>
      <c r="M899" s="12">
        <f>IF(OR($S899="",$V899="",$T899="",$T899&lt;0,$T899&gt;228,$AG899=""),"—",ROUND(IF($AG899=0,LN($V899/$AH899)/$AI899,((($V899/$AH899)^$AG899)-1)/($AG899*$AI899)),2))</f>
        <v/>
      </c>
      <c r="N899">
        <f>IF(OR($M899="",$M899="—"),"",IF($M899&lt;-3,"Muito baixa",IF($M899&lt;-2,"Baixa","Adequada")))</f>
        <v/>
      </c>
      <c r="O899" s="12">
        <f>IF(OR($S899="",$F899="",$T899="",$T899&lt;0,$T899&gt;120,$AJ899=""),"—",ROUND(IF(ABS($AM899)&lt;=3,$AM899,IF($AM899&gt;3,3+($F899-$AO899)/($AO899-$AN899),-3+($F899-$AQ899)/($AP899-$AQ899))),2))</f>
        <v/>
      </c>
      <c r="P899">
        <f>IF(OR($O899="",$O899="—"),"",IF($O899&lt;-3,"Muito baixo",IF($O899&lt;-2,"Baixo",IF($O899&lt;=2,"Adequado","Elevado"))))</f>
        <v/>
      </c>
      <c r="Q899" s="12">
        <f>IF(OR($S899="",$F899="",$T899="",$T899&lt;0,$T899&gt;60,$AR899=""),"—",ROUND(IF(ABS($AU899)&lt;=3,$AU899,IF($AU899&gt;3,3+($F899-$AW899)/($AW899-$AV899),-3+($F899-$AY899)/($AX899-$AY899))),2))</f>
        <v/>
      </c>
      <c r="R899">
        <f>IF(OR($Q899="",$Q899="—"),"",IF($Q899&lt;-3,"Magreza acentuada",IF($Q899&lt;-2,"Magreza",IF($Q899&lt;=1,"Eutrofia",IF($Q899&lt;=2,"Risco de sobrepeso",IF($Q899&lt;=3,"Sobrepeso","Obesidade"))))))</f>
        <v/>
      </c>
      <c r="S899">
        <f>IF($C899="","",IF(UPPER(LEFT($C899,1))="M",1,IF(UPPER(LEFT($C899,1))="F",2,"")))</f>
        <v/>
      </c>
      <c r="T899">
        <f>IF(OR($D899="",$E899=""),"",DATEDIF($D899,$E899,"m"))</f>
        <v/>
      </c>
      <c r="U899">
        <f>IF(OR($D899="",$E899=""),"",$E899-$D899)</f>
        <v/>
      </c>
      <c r="V899">
        <f>IF(OR($G899="",$T899=""),"",IF($T899&lt;24,IF(LEFT(LOWER($H899),4)="em p",$G899+0.7,$G899),IF(LEFT(LOWER($H899),4)="deit",$G899-0.7,$G899)))</f>
        <v/>
      </c>
      <c r="W899">
        <f>IF(OR($S899="",$T899=""),"",$S899*1000000+IF($T899&lt;=60,$U899,$T899))</f>
        <v/>
      </c>
      <c r="X899">
        <f>IF(OR($S899="",$V899="",$T899&gt;60,$T899=""),"",$S899*1000000+ROUND($V899*10,0))</f>
        <v/>
      </c>
      <c r="Y899">
        <f>IF($W899="","",IFERROR(INDEX(IF($T899&lt;=60,imc05_l,imc519_l),MATCH($W899,IF($T899&lt;=60,imc05_k,imc519_k),1)),""))</f>
        <v/>
      </c>
      <c r="Z899">
        <f>IF($W899="","",IFERROR(INDEX(IF($T899&lt;=60,imc05_m,imc519_m),MATCH($W899,IF($T899&lt;=60,imc05_k,imc519_k),1)),""))</f>
        <v/>
      </c>
      <c r="AA899">
        <f>IF($W899="","",IFERROR(INDEX(IF($T899&lt;=60,imc05_s,imc519_s),MATCH($W899,IF($T899&lt;=60,imc05_k,imc519_k),1)),""))</f>
        <v/>
      </c>
      <c r="AB899">
        <f>IF($Y899="","",IF($Y899=0,LN($J899/$Z899)/$AA899,((($J899/$Z899)^$Y899)-1)/($Y899*$AA899)))</f>
        <v/>
      </c>
      <c r="AC899">
        <f>IF($Y899="","",IF($Y899=0,$Z899*EXP($AA899*2),$Z899*(1+$Y899*$AA899*2)^(1/$Y899)))</f>
        <v/>
      </c>
      <c r="AD899">
        <f>IF($Y899="","",IF($Y899=0,$Z899*EXP($AA899*3),$Z899*(1+$Y899*$AA899*3)^(1/$Y899)))</f>
        <v/>
      </c>
      <c r="AE899">
        <f>IF($Y899="","",IF($Y899=0,$Z899*EXP($AA899*-2),$Z899*(1+$Y899*$AA899*-2)^(1/$Y899)))</f>
        <v/>
      </c>
      <c r="AF899">
        <f>IF($Y899="","",IF($Y899=0,$Z899*EXP($AA899*-3),$Z899*(1+$Y899*$AA899*-3)^(1/$Y899)))</f>
        <v/>
      </c>
      <c r="AG899">
        <f>IF($W899="","",IFERROR(INDEX(IF($T899&lt;=60,est05_l,est519_l),MATCH($W899,IF($T899&lt;=60,est05_k,est519_k),1)),""))</f>
        <v/>
      </c>
      <c r="AH899">
        <f>IF($W899="","",IFERROR(INDEX(IF($T899&lt;=60,est05_m,est519_m),MATCH($W899,IF($T899&lt;=60,est05_k,est519_k),1)),""))</f>
        <v/>
      </c>
      <c r="AI899">
        <f>IF($W899="","",IFERROR(INDEX(IF($T899&lt;=60,est05_s,est519_s),MATCH($W899,IF($T899&lt;=60,est05_k,est519_k),1)),""))</f>
        <v/>
      </c>
      <c r="AJ899">
        <f>IF($W899="","",IFERROR(INDEX(IF($T899&lt;=60,peso05_l,peso510_l),MATCH($W899,IF($T899&lt;=60,peso05_k,peso510_k),1)),""))</f>
        <v/>
      </c>
      <c r="AK899">
        <f>IF($W899="","",IFERROR(INDEX(IF($T899&lt;=60,peso05_m,peso510_m),MATCH($W899,IF($T899&lt;=60,peso05_k,peso510_k),1)),""))</f>
        <v/>
      </c>
      <c r="AL899">
        <f>IF($W899="","",IFERROR(INDEX(IF($T899&lt;=60,peso05_s,peso510_s),MATCH($W899,IF($T899&lt;=60,peso05_k,peso510_k),1)),""))</f>
        <v/>
      </c>
      <c r="AM899">
        <f>IF($AJ899="","",IF($AJ899=0,LN($F899/$AK899)/$AL899,((($F899/$AK899)^$AJ899)-1)/($AJ899*$AL899)))</f>
        <v/>
      </c>
      <c r="AN899">
        <f>IF($AJ899="","",IF($AJ899=0,$AK899*EXP($AL899*2),$AK899*(1+$AJ899*$AL899*2)^(1/$AJ899)))</f>
        <v/>
      </c>
      <c r="AO899">
        <f>IF($AJ899="","",IF($AJ899=0,$AK899*EXP($AL899*3),$AK899*(1+$AJ899*$AL899*3)^(1/$AJ899)))</f>
        <v/>
      </c>
      <c r="AP899">
        <f>IF($AJ899="","",IF($AJ899=0,$AK899*EXP($AL899*-2),$AK899*(1+$AJ899*$AL899*-2)^(1/$AJ899)))</f>
        <v/>
      </c>
      <c r="AQ899">
        <f>IF($AJ899="","",IF($AJ899=0,$AK899*EXP($AL899*-3),$AK899*(1+$AJ899*$AL899*-3)^(1/$AJ899)))</f>
        <v/>
      </c>
      <c r="AR899">
        <f>IF(OR($X899="",$T899&gt;60),"",IFERROR(INDEX(IF($T899&lt;24,pcomp_l,palt_l),MATCH($X899,IF($T899&lt;24,pcomp_k,palt_k),1)),""))</f>
        <v/>
      </c>
      <c r="AS899">
        <f>IF(OR($X899="",$T899&gt;60),"",IFERROR(INDEX(IF($T899&lt;24,pcomp_m,palt_m),MATCH($X899,IF($T899&lt;24,pcomp_k,palt_k),1)),""))</f>
        <v/>
      </c>
      <c r="AT899">
        <f>IF(OR($X899="",$T899&gt;60),"",IFERROR(INDEX(IF($T899&lt;24,pcomp_s,palt_s),MATCH($X899,IF($T899&lt;24,pcomp_k,palt_k),1)),""))</f>
        <v/>
      </c>
      <c r="AU899">
        <f>IF($AR899="","",IF($AR899=0,LN($F899/$AS899)/$AT899,((($F899/$AS899)^$AR899)-1)/($AR899*$AT899)))</f>
        <v/>
      </c>
      <c r="AV899">
        <f>IF($AR899="","",IF($AR899=0,$AS899*EXP($AT899*2),$AS899*(1+$AR899*$AT899*2)^(1/$AR899)))</f>
        <v/>
      </c>
      <c r="AW899">
        <f>IF($AR899="","",IF($AR899=0,$AS899*EXP($AT899*3),$AS899*(1+$AR899*$AT899*3)^(1/$AR899)))</f>
        <v/>
      </c>
      <c r="AX899">
        <f>IF($AR899="","",IF($AR899=0,$AS899*EXP($AT899*-2),$AS899*(1+$AR899*$AT899*-2)^(1/$AR899)))</f>
        <v/>
      </c>
      <c r="AY899">
        <f>IF($AR899="","",IF($AR899=0,$AS899*EXP($AT899*-3),$AS899*(1+$AR899*$AT899*-3)^(1/$AR899)))</f>
        <v/>
      </c>
      <c r="AZ899">
        <f>IF(OR($A899="",$A899&lt;&gt;Ficha!$C$4),"",COUNTIF($A$2:$A899,Ficha!$C$4))</f>
        <v/>
      </c>
    </row>
    <row r="900">
      <c r="A900" s="8">
        <f>IF(INDEX(Banco!$A:$A,ROW())="","",INDEX(Banco!$A:$A,ROW()))</f>
        <v/>
      </c>
      <c r="B900" s="8">
        <f>IF(INDEX(Banco!$B:$B,ROW())="","",INDEX(Banco!$B:$B,ROW()))</f>
        <v/>
      </c>
      <c r="C900" s="8">
        <f>IF(INDEX(Banco!$C:$C,ROW())="","",INDEX(Banco!$C:$C,ROW()))</f>
        <v/>
      </c>
      <c r="D900" s="9">
        <f>IF(INDEX(Banco!$D:$D,ROW())="","",INDEX(Banco!$D:$D,ROW()))</f>
        <v/>
      </c>
      <c r="E900" s="9">
        <f>IF(INDEX(Banco!$E:$E,ROW())="","",INDEX(Banco!$E:$E,ROW()))</f>
        <v/>
      </c>
      <c r="F900" s="10">
        <f>IF(INDEX(Banco!$F:$F,ROW())="","",INDEX(Banco!$F:$F,ROW()))</f>
        <v/>
      </c>
      <c r="G900" s="10">
        <f>IF(INDEX(Banco!$G:$G,ROW())="","",INDEX(Banco!$G:$G,ROW()))</f>
        <v/>
      </c>
      <c r="H900" s="8">
        <f>IF(INDEX(Banco!$H:$H,ROW())="","",INDEX(Banco!$H:$H,ROW()))</f>
        <v/>
      </c>
      <c r="I900">
        <f>IF($T900="","",INT($T900/12)&amp;"a "&amp;MOD($T900,12)&amp;"m")</f>
        <v/>
      </c>
      <c r="J900" s="11">
        <f>IF(OR($F900="",$G900=""),"",ROUND($F900/($G900/100)^2,2))</f>
        <v/>
      </c>
      <c r="K900" s="12">
        <f>IF(OR($S900="",$J900="",$T900="",$T900&lt;0,$T900&gt;228,$Y900=""),"—",ROUND(IF(ABS($AB900)&lt;=3,$AB900,IF($AB900&gt;3,3+($J900-$AD900)/($AD900-$AC900),-3+($J900-$AF900)/($AE900-$AF900))),2))</f>
        <v/>
      </c>
      <c r="L900">
        <f>IF(OR($K900="",$K900="—"),"",IF($T900&lt;=60,IF($K900&lt;-3,"Magreza acentuada",IF($K900&lt;-2,"Magreza",IF($K900&lt;=1,"Eutrofia",IF($K900&lt;=2,"Risco de sobrepeso",IF($K900&lt;=3,"Sobrepeso","Obesidade"))))),IF($K900&lt;-3,"Magreza acentuada",IF($K900&lt;-2,"Magreza",IF($K900&lt;=1,"Eutrofia",IF($K900&lt;=2,"Sobrepeso",IF($K900&lt;=3,"Obesidade","Obesidade grave")))))))</f>
        <v/>
      </c>
      <c r="M900" s="12">
        <f>IF(OR($S900="",$V900="",$T900="",$T900&lt;0,$T900&gt;228,$AG900=""),"—",ROUND(IF($AG900=0,LN($V900/$AH900)/$AI900,((($V900/$AH900)^$AG900)-1)/($AG900*$AI900)),2))</f>
        <v/>
      </c>
      <c r="N900">
        <f>IF(OR($M900="",$M900="—"),"",IF($M900&lt;-3,"Muito baixa",IF($M900&lt;-2,"Baixa","Adequada")))</f>
        <v/>
      </c>
      <c r="O900" s="12">
        <f>IF(OR($S900="",$F900="",$T900="",$T900&lt;0,$T900&gt;120,$AJ900=""),"—",ROUND(IF(ABS($AM900)&lt;=3,$AM900,IF($AM900&gt;3,3+($F900-$AO900)/($AO900-$AN900),-3+($F900-$AQ900)/($AP900-$AQ900))),2))</f>
        <v/>
      </c>
      <c r="P900">
        <f>IF(OR($O900="",$O900="—"),"",IF($O900&lt;-3,"Muito baixo",IF($O900&lt;-2,"Baixo",IF($O900&lt;=2,"Adequado","Elevado"))))</f>
        <v/>
      </c>
      <c r="Q900" s="12">
        <f>IF(OR($S900="",$F900="",$T900="",$T900&lt;0,$T900&gt;60,$AR900=""),"—",ROUND(IF(ABS($AU900)&lt;=3,$AU900,IF($AU900&gt;3,3+($F900-$AW900)/($AW900-$AV900),-3+($F900-$AY900)/($AX900-$AY900))),2))</f>
        <v/>
      </c>
      <c r="R900">
        <f>IF(OR($Q900="",$Q900="—"),"",IF($Q900&lt;-3,"Magreza acentuada",IF($Q900&lt;-2,"Magreza",IF($Q900&lt;=1,"Eutrofia",IF($Q900&lt;=2,"Risco de sobrepeso",IF($Q900&lt;=3,"Sobrepeso","Obesidade"))))))</f>
        <v/>
      </c>
      <c r="S900">
        <f>IF($C900="","",IF(UPPER(LEFT($C900,1))="M",1,IF(UPPER(LEFT($C900,1))="F",2,"")))</f>
        <v/>
      </c>
      <c r="T900">
        <f>IF(OR($D900="",$E900=""),"",DATEDIF($D900,$E900,"m"))</f>
        <v/>
      </c>
      <c r="U900">
        <f>IF(OR($D900="",$E900=""),"",$E900-$D900)</f>
        <v/>
      </c>
      <c r="V900">
        <f>IF(OR($G900="",$T900=""),"",IF($T900&lt;24,IF(LEFT(LOWER($H900),4)="em p",$G900+0.7,$G900),IF(LEFT(LOWER($H900),4)="deit",$G900-0.7,$G900)))</f>
        <v/>
      </c>
      <c r="W900">
        <f>IF(OR($S900="",$T900=""),"",$S900*1000000+IF($T900&lt;=60,$U900,$T900))</f>
        <v/>
      </c>
      <c r="X900">
        <f>IF(OR($S900="",$V900="",$T900&gt;60,$T900=""),"",$S900*1000000+ROUND($V900*10,0))</f>
        <v/>
      </c>
      <c r="Y900">
        <f>IF($W900="","",IFERROR(INDEX(IF($T900&lt;=60,imc05_l,imc519_l),MATCH($W900,IF($T900&lt;=60,imc05_k,imc519_k),1)),""))</f>
        <v/>
      </c>
      <c r="Z900">
        <f>IF($W900="","",IFERROR(INDEX(IF($T900&lt;=60,imc05_m,imc519_m),MATCH($W900,IF($T900&lt;=60,imc05_k,imc519_k),1)),""))</f>
        <v/>
      </c>
      <c r="AA900">
        <f>IF($W900="","",IFERROR(INDEX(IF($T900&lt;=60,imc05_s,imc519_s),MATCH($W900,IF($T900&lt;=60,imc05_k,imc519_k),1)),""))</f>
        <v/>
      </c>
      <c r="AB900">
        <f>IF($Y900="","",IF($Y900=0,LN($J900/$Z900)/$AA900,((($J900/$Z900)^$Y900)-1)/($Y900*$AA900)))</f>
        <v/>
      </c>
      <c r="AC900">
        <f>IF($Y900="","",IF($Y900=0,$Z900*EXP($AA900*2),$Z900*(1+$Y900*$AA900*2)^(1/$Y900)))</f>
        <v/>
      </c>
      <c r="AD900">
        <f>IF($Y900="","",IF($Y900=0,$Z900*EXP($AA900*3),$Z900*(1+$Y900*$AA900*3)^(1/$Y900)))</f>
        <v/>
      </c>
      <c r="AE900">
        <f>IF($Y900="","",IF($Y900=0,$Z900*EXP($AA900*-2),$Z900*(1+$Y900*$AA900*-2)^(1/$Y900)))</f>
        <v/>
      </c>
      <c r="AF900">
        <f>IF($Y900="","",IF($Y900=0,$Z900*EXP($AA900*-3),$Z900*(1+$Y900*$AA900*-3)^(1/$Y900)))</f>
        <v/>
      </c>
      <c r="AG900">
        <f>IF($W900="","",IFERROR(INDEX(IF($T900&lt;=60,est05_l,est519_l),MATCH($W900,IF($T900&lt;=60,est05_k,est519_k),1)),""))</f>
        <v/>
      </c>
      <c r="AH900">
        <f>IF($W900="","",IFERROR(INDEX(IF($T900&lt;=60,est05_m,est519_m),MATCH($W900,IF($T900&lt;=60,est05_k,est519_k),1)),""))</f>
        <v/>
      </c>
      <c r="AI900">
        <f>IF($W900="","",IFERROR(INDEX(IF($T900&lt;=60,est05_s,est519_s),MATCH($W900,IF($T900&lt;=60,est05_k,est519_k),1)),""))</f>
        <v/>
      </c>
      <c r="AJ900">
        <f>IF($W900="","",IFERROR(INDEX(IF($T900&lt;=60,peso05_l,peso510_l),MATCH($W900,IF($T900&lt;=60,peso05_k,peso510_k),1)),""))</f>
        <v/>
      </c>
      <c r="AK900">
        <f>IF($W900="","",IFERROR(INDEX(IF($T900&lt;=60,peso05_m,peso510_m),MATCH($W900,IF($T900&lt;=60,peso05_k,peso510_k),1)),""))</f>
        <v/>
      </c>
      <c r="AL900">
        <f>IF($W900="","",IFERROR(INDEX(IF($T900&lt;=60,peso05_s,peso510_s),MATCH($W900,IF($T900&lt;=60,peso05_k,peso510_k),1)),""))</f>
        <v/>
      </c>
      <c r="AM900">
        <f>IF($AJ900="","",IF($AJ900=0,LN($F900/$AK900)/$AL900,((($F900/$AK900)^$AJ900)-1)/($AJ900*$AL900)))</f>
        <v/>
      </c>
      <c r="AN900">
        <f>IF($AJ900="","",IF($AJ900=0,$AK900*EXP($AL900*2),$AK900*(1+$AJ900*$AL900*2)^(1/$AJ900)))</f>
        <v/>
      </c>
      <c r="AO900">
        <f>IF($AJ900="","",IF($AJ900=0,$AK900*EXP($AL900*3),$AK900*(1+$AJ900*$AL900*3)^(1/$AJ900)))</f>
        <v/>
      </c>
      <c r="AP900">
        <f>IF($AJ900="","",IF($AJ900=0,$AK900*EXP($AL900*-2),$AK900*(1+$AJ900*$AL900*-2)^(1/$AJ900)))</f>
        <v/>
      </c>
      <c r="AQ900">
        <f>IF($AJ900="","",IF($AJ900=0,$AK900*EXP($AL900*-3),$AK900*(1+$AJ900*$AL900*-3)^(1/$AJ900)))</f>
        <v/>
      </c>
      <c r="AR900">
        <f>IF(OR($X900="",$T900&gt;60),"",IFERROR(INDEX(IF($T900&lt;24,pcomp_l,palt_l),MATCH($X900,IF($T900&lt;24,pcomp_k,palt_k),1)),""))</f>
        <v/>
      </c>
      <c r="AS900">
        <f>IF(OR($X900="",$T900&gt;60),"",IFERROR(INDEX(IF($T900&lt;24,pcomp_m,palt_m),MATCH($X900,IF($T900&lt;24,pcomp_k,palt_k),1)),""))</f>
        <v/>
      </c>
      <c r="AT900">
        <f>IF(OR($X900="",$T900&gt;60),"",IFERROR(INDEX(IF($T900&lt;24,pcomp_s,palt_s),MATCH($X900,IF($T900&lt;24,pcomp_k,palt_k),1)),""))</f>
        <v/>
      </c>
      <c r="AU900">
        <f>IF($AR900="","",IF($AR900=0,LN($F900/$AS900)/$AT900,((($F900/$AS900)^$AR900)-1)/($AR900*$AT900)))</f>
        <v/>
      </c>
      <c r="AV900">
        <f>IF($AR900="","",IF($AR900=0,$AS900*EXP($AT900*2),$AS900*(1+$AR900*$AT900*2)^(1/$AR900)))</f>
        <v/>
      </c>
      <c r="AW900">
        <f>IF($AR900="","",IF($AR900=0,$AS900*EXP($AT900*3),$AS900*(1+$AR900*$AT900*3)^(1/$AR900)))</f>
        <v/>
      </c>
      <c r="AX900">
        <f>IF($AR900="","",IF($AR900=0,$AS900*EXP($AT900*-2),$AS900*(1+$AR900*$AT900*-2)^(1/$AR900)))</f>
        <v/>
      </c>
      <c r="AY900">
        <f>IF($AR900="","",IF($AR900=0,$AS900*EXP($AT900*-3),$AS900*(1+$AR900*$AT900*-3)^(1/$AR900)))</f>
        <v/>
      </c>
      <c r="AZ900">
        <f>IF(OR($A900="",$A900&lt;&gt;Ficha!$C$4),"",COUNTIF($A$2:$A900,Ficha!$C$4))</f>
        <v/>
      </c>
    </row>
    <row r="901">
      <c r="A901" s="8">
        <f>IF(INDEX(Banco!$A:$A,ROW())="","",INDEX(Banco!$A:$A,ROW()))</f>
        <v/>
      </c>
      <c r="B901" s="8">
        <f>IF(INDEX(Banco!$B:$B,ROW())="","",INDEX(Banco!$B:$B,ROW()))</f>
        <v/>
      </c>
      <c r="C901" s="8">
        <f>IF(INDEX(Banco!$C:$C,ROW())="","",INDEX(Banco!$C:$C,ROW()))</f>
        <v/>
      </c>
      <c r="D901" s="9">
        <f>IF(INDEX(Banco!$D:$D,ROW())="","",INDEX(Banco!$D:$D,ROW()))</f>
        <v/>
      </c>
      <c r="E901" s="9">
        <f>IF(INDEX(Banco!$E:$E,ROW())="","",INDEX(Banco!$E:$E,ROW()))</f>
        <v/>
      </c>
      <c r="F901" s="10">
        <f>IF(INDEX(Banco!$F:$F,ROW())="","",INDEX(Banco!$F:$F,ROW()))</f>
        <v/>
      </c>
      <c r="G901" s="10">
        <f>IF(INDEX(Banco!$G:$G,ROW())="","",INDEX(Banco!$G:$G,ROW()))</f>
        <v/>
      </c>
      <c r="H901" s="8">
        <f>IF(INDEX(Banco!$H:$H,ROW())="","",INDEX(Banco!$H:$H,ROW()))</f>
        <v/>
      </c>
      <c r="I901">
        <f>IF($T901="","",INT($T901/12)&amp;"a "&amp;MOD($T901,12)&amp;"m")</f>
        <v/>
      </c>
      <c r="J901" s="11">
        <f>IF(OR($F901="",$G901=""),"",ROUND($F901/($G901/100)^2,2))</f>
        <v/>
      </c>
      <c r="K901" s="12">
        <f>IF(OR($S901="",$J901="",$T901="",$T901&lt;0,$T901&gt;228,$Y901=""),"—",ROUND(IF(ABS($AB901)&lt;=3,$AB901,IF($AB901&gt;3,3+($J901-$AD901)/($AD901-$AC901),-3+($J901-$AF901)/($AE901-$AF901))),2))</f>
        <v/>
      </c>
      <c r="L901">
        <f>IF(OR($K901="",$K901="—"),"",IF($T901&lt;=60,IF($K901&lt;-3,"Magreza acentuada",IF($K901&lt;-2,"Magreza",IF($K901&lt;=1,"Eutrofia",IF($K901&lt;=2,"Risco de sobrepeso",IF($K901&lt;=3,"Sobrepeso","Obesidade"))))),IF($K901&lt;-3,"Magreza acentuada",IF($K901&lt;-2,"Magreza",IF($K901&lt;=1,"Eutrofia",IF($K901&lt;=2,"Sobrepeso",IF($K901&lt;=3,"Obesidade","Obesidade grave")))))))</f>
        <v/>
      </c>
      <c r="M901" s="12">
        <f>IF(OR($S901="",$V901="",$T901="",$T901&lt;0,$T901&gt;228,$AG901=""),"—",ROUND(IF($AG901=0,LN($V901/$AH901)/$AI901,((($V901/$AH901)^$AG901)-1)/($AG901*$AI901)),2))</f>
        <v/>
      </c>
      <c r="N901">
        <f>IF(OR($M901="",$M901="—"),"",IF($M901&lt;-3,"Muito baixa",IF($M901&lt;-2,"Baixa","Adequada")))</f>
        <v/>
      </c>
      <c r="O901" s="12">
        <f>IF(OR($S901="",$F901="",$T901="",$T901&lt;0,$T901&gt;120,$AJ901=""),"—",ROUND(IF(ABS($AM901)&lt;=3,$AM901,IF($AM901&gt;3,3+($F901-$AO901)/($AO901-$AN901),-3+($F901-$AQ901)/($AP901-$AQ901))),2))</f>
        <v/>
      </c>
      <c r="P901">
        <f>IF(OR($O901="",$O901="—"),"",IF($O901&lt;-3,"Muito baixo",IF($O901&lt;-2,"Baixo",IF($O901&lt;=2,"Adequado","Elevado"))))</f>
        <v/>
      </c>
      <c r="Q901" s="12">
        <f>IF(OR($S901="",$F901="",$T901="",$T901&lt;0,$T901&gt;60,$AR901=""),"—",ROUND(IF(ABS($AU901)&lt;=3,$AU901,IF($AU901&gt;3,3+($F901-$AW901)/($AW901-$AV901),-3+($F901-$AY901)/($AX901-$AY901))),2))</f>
        <v/>
      </c>
      <c r="R901">
        <f>IF(OR($Q901="",$Q901="—"),"",IF($Q901&lt;-3,"Magreza acentuada",IF($Q901&lt;-2,"Magreza",IF($Q901&lt;=1,"Eutrofia",IF($Q901&lt;=2,"Risco de sobrepeso",IF($Q901&lt;=3,"Sobrepeso","Obesidade"))))))</f>
        <v/>
      </c>
      <c r="S901">
        <f>IF($C901="","",IF(UPPER(LEFT($C901,1))="M",1,IF(UPPER(LEFT($C901,1))="F",2,"")))</f>
        <v/>
      </c>
      <c r="T901">
        <f>IF(OR($D901="",$E901=""),"",DATEDIF($D901,$E901,"m"))</f>
        <v/>
      </c>
      <c r="U901">
        <f>IF(OR($D901="",$E901=""),"",$E901-$D901)</f>
        <v/>
      </c>
      <c r="V901">
        <f>IF(OR($G901="",$T901=""),"",IF($T901&lt;24,IF(LEFT(LOWER($H901),4)="em p",$G901+0.7,$G901),IF(LEFT(LOWER($H901),4)="deit",$G901-0.7,$G901)))</f>
        <v/>
      </c>
      <c r="W901">
        <f>IF(OR($S901="",$T901=""),"",$S901*1000000+IF($T901&lt;=60,$U901,$T901))</f>
        <v/>
      </c>
      <c r="X901">
        <f>IF(OR($S901="",$V901="",$T901&gt;60,$T901=""),"",$S901*1000000+ROUND($V901*10,0))</f>
        <v/>
      </c>
      <c r="Y901">
        <f>IF($W901="","",IFERROR(INDEX(IF($T901&lt;=60,imc05_l,imc519_l),MATCH($W901,IF($T901&lt;=60,imc05_k,imc519_k),1)),""))</f>
        <v/>
      </c>
      <c r="Z901">
        <f>IF($W901="","",IFERROR(INDEX(IF($T901&lt;=60,imc05_m,imc519_m),MATCH($W901,IF($T901&lt;=60,imc05_k,imc519_k),1)),""))</f>
        <v/>
      </c>
      <c r="AA901">
        <f>IF($W901="","",IFERROR(INDEX(IF($T901&lt;=60,imc05_s,imc519_s),MATCH($W901,IF($T901&lt;=60,imc05_k,imc519_k),1)),""))</f>
        <v/>
      </c>
      <c r="AB901">
        <f>IF($Y901="","",IF($Y901=0,LN($J901/$Z901)/$AA901,((($J901/$Z901)^$Y901)-1)/($Y901*$AA901)))</f>
        <v/>
      </c>
      <c r="AC901">
        <f>IF($Y901="","",IF($Y901=0,$Z901*EXP($AA901*2),$Z901*(1+$Y901*$AA901*2)^(1/$Y901)))</f>
        <v/>
      </c>
      <c r="AD901">
        <f>IF($Y901="","",IF($Y901=0,$Z901*EXP($AA901*3),$Z901*(1+$Y901*$AA901*3)^(1/$Y901)))</f>
        <v/>
      </c>
      <c r="AE901">
        <f>IF($Y901="","",IF($Y901=0,$Z901*EXP($AA901*-2),$Z901*(1+$Y901*$AA901*-2)^(1/$Y901)))</f>
        <v/>
      </c>
      <c r="AF901">
        <f>IF($Y901="","",IF($Y901=0,$Z901*EXP($AA901*-3),$Z901*(1+$Y901*$AA901*-3)^(1/$Y901)))</f>
        <v/>
      </c>
      <c r="AG901">
        <f>IF($W901="","",IFERROR(INDEX(IF($T901&lt;=60,est05_l,est519_l),MATCH($W901,IF($T901&lt;=60,est05_k,est519_k),1)),""))</f>
        <v/>
      </c>
      <c r="AH901">
        <f>IF($W901="","",IFERROR(INDEX(IF($T901&lt;=60,est05_m,est519_m),MATCH($W901,IF($T901&lt;=60,est05_k,est519_k),1)),""))</f>
        <v/>
      </c>
      <c r="AI901">
        <f>IF($W901="","",IFERROR(INDEX(IF($T901&lt;=60,est05_s,est519_s),MATCH($W901,IF($T901&lt;=60,est05_k,est519_k),1)),""))</f>
        <v/>
      </c>
      <c r="AJ901">
        <f>IF($W901="","",IFERROR(INDEX(IF($T901&lt;=60,peso05_l,peso510_l),MATCH($W901,IF($T901&lt;=60,peso05_k,peso510_k),1)),""))</f>
        <v/>
      </c>
      <c r="AK901">
        <f>IF($W901="","",IFERROR(INDEX(IF($T901&lt;=60,peso05_m,peso510_m),MATCH($W901,IF($T901&lt;=60,peso05_k,peso510_k),1)),""))</f>
        <v/>
      </c>
      <c r="AL901">
        <f>IF($W901="","",IFERROR(INDEX(IF($T901&lt;=60,peso05_s,peso510_s),MATCH($W901,IF($T901&lt;=60,peso05_k,peso510_k),1)),""))</f>
        <v/>
      </c>
      <c r="AM901">
        <f>IF($AJ901="","",IF($AJ901=0,LN($F901/$AK901)/$AL901,((($F901/$AK901)^$AJ901)-1)/($AJ901*$AL901)))</f>
        <v/>
      </c>
      <c r="AN901">
        <f>IF($AJ901="","",IF($AJ901=0,$AK901*EXP($AL901*2),$AK901*(1+$AJ901*$AL901*2)^(1/$AJ901)))</f>
        <v/>
      </c>
      <c r="AO901">
        <f>IF($AJ901="","",IF($AJ901=0,$AK901*EXP($AL901*3),$AK901*(1+$AJ901*$AL901*3)^(1/$AJ901)))</f>
        <v/>
      </c>
      <c r="AP901">
        <f>IF($AJ901="","",IF($AJ901=0,$AK901*EXP($AL901*-2),$AK901*(1+$AJ901*$AL901*-2)^(1/$AJ901)))</f>
        <v/>
      </c>
      <c r="AQ901">
        <f>IF($AJ901="","",IF($AJ901=0,$AK901*EXP($AL901*-3),$AK901*(1+$AJ901*$AL901*-3)^(1/$AJ901)))</f>
        <v/>
      </c>
      <c r="AR901">
        <f>IF(OR($X901="",$T901&gt;60),"",IFERROR(INDEX(IF($T901&lt;24,pcomp_l,palt_l),MATCH($X901,IF($T901&lt;24,pcomp_k,palt_k),1)),""))</f>
        <v/>
      </c>
      <c r="AS901">
        <f>IF(OR($X901="",$T901&gt;60),"",IFERROR(INDEX(IF($T901&lt;24,pcomp_m,palt_m),MATCH($X901,IF($T901&lt;24,pcomp_k,palt_k),1)),""))</f>
        <v/>
      </c>
      <c r="AT901">
        <f>IF(OR($X901="",$T901&gt;60),"",IFERROR(INDEX(IF($T901&lt;24,pcomp_s,palt_s),MATCH($X901,IF($T901&lt;24,pcomp_k,palt_k),1)),""))</f>
        <v/>
      </c>
      <c r="AU901">
        <f>IF($AR901="","",IF($AR901=0,LN($F901/$AS901)/$AT901,((($F901/$AS901)^$AR901)-1)/($AR901*$AT901)))</f>
        <v/>
      </c>
      <c r="AV901">
        <f>IF($AR901="","",IF($AR901=0,$AS901*EXP($AT901*2),$AS901*(1+$AR901*$AT901*2)^(1/$AR901)))</f>
        <v/>
      </c>
      <c r="AW901">
        <f>IF($AR901="","",IF($AR901=0,$AS901*EXP($AT901*3),$AS901*(1+$AR901*$AT901*3)^(1/$AR901)))</f>
        <v/>
      </c>
      <c r="AX901">
        <f>IF($AR901="","",IF($AR901=0,$AS901*EXP($AT901*-2),$AS901*(1+$AR901*$AT901*-2)^(1/$AR901)))</f>
        <v/>
      </c>
      <c r="AY901">
        <f>IF($AR901="","",IF($AR901=0,$AS901*EXP($AT901*-3),$AS901*(1+$AR901*$AT901*-3)^(1/$AR901)))</f>
        <v/>
      </c>
      <c r="AZ901">
        <f>IF(OR($A901="",$A901&lt;&gt;Ficha!$C$4),"",COUNTIF($A$2:$A901,Ficha!$C$4))</f>
        <v/>
      </c>
    </row>
    <row r="902">
      <c r="A902" s="8">
        <f>IF(INDEX(Banco!$A:$A,ROW())="","",INDEX(Banco!$A:$A,ROW()))</f>
        <v/>
      </c>
      <c r="B902" s="8">
        <f>IF(INDEX(Banco!$B:$B,ROW())="","",INDEX(Banco!$B:$B,ROW()))</f>
        <v/>
      </c>
      <c r="C902" s="8">
        <f>IF(INDEX(Banco!$C:$C,ROW())="","",INDEX(Banco!$C:$C,ROW()))</f>
        <v/>
      </c>
      <c r="D902" s="9">
        <f>IF(INDEX(Banco!$D:$D,ROW())="","",INDEX(Banco!$D:$D,ROW()))</f>
        <v/>
      </c>
      <c r="E902" s="9">
        <f>IF(INDEX(Banco!$E:$E,ROW())="","",INDEX(Banco!$E:$E,ROW()))</f>
        <v/>
      </c>
      <c r="F902" s="10">
        <f>IF(INDEX(Banco!$F:$F,ROW())="","",INDEX(Banco!$F:$F,ROW()))</f>
        <v/>
      </c>
      <c r="G902" s="10">
        <f>IF(INDEX(Banco!$G:$G,ROW())="","",INDEX(Banco!$G:$G,ROW()))</f>
        <v/>
      </c>
      <c r="H902" s="8">
        <f>IF(INDEX(Banco!$H:$H,ROW())="","",INDEX(Banco!$H:$H,ROW()))</f>
        <v/>
      </c>
      <c r="I902">
        <f>IF($T902="","",INT($T902/12)&amp;"a "&amp;MOD($T902,12)&amp;"m")</f>
        <v/>
      </c>
      <c r="J902" s="11">
        <f>IF(OR($F902="",$G902=""),"",ROUND($F902/($G902/100)^2,2))</f>
        <v/>
      </c>
      <c r="K902" s="12">
        <f>IF(OR($S902="",$J902="",$T902="",$T902&lt;0,$T902&gt;228,$Y902=""),"—",ROUND(IF(ABS($AB902)&lt;=3,$AB902,IF($AB902&gt;3,3+($J902-$AD902)/($AD902-$AC902),-3+($J902-$AF902)/($AE902-$AF902))),2))</f>
        <v/>
      </c>
      <c r="L902">
        <f>IF(OR($K902="",$K902="—"),"",IF($T902&lt;=60,IF($K902&lt;-3,"Magreza acentuada",IF($K902&lt;-2,"Magreza",IF($K902&lt;=1,"Eutrofia",IF($K902&lt;=2,"Risco de sobrepeso",IF($K902&lt;=3,"Sobrepeso","Obesidade"))))),IF($K902&lt;-3,"Magreza acentuada",IF($K902&lt;-2,"Magreza",IF($K902&lt;=1,"Eutrofia",IF($K902&lt;=2,"Sobrepeso",IF($K902&lt;=3,"Obesidade","Obesidade grave")))))))</f>
        <v/>
      </c>
      <c r="M902" s="12">
        <f>IF(OR($S902="",$V902="",$T902="",$T902&lt;0,$T902&gt;228,$AG902=""),"—",ROUND(IF($AG902=0,LN($V902/$AH902)/$AI902,((($V902/$AH902)^$AG902)-1)/($AG902*$AI902)),2))</f>
        <v/>
      </c>
      <c r="N902">
        <f>IF(OR($M902="",$M902="—"),"",IF($M902&lt;-3,"Muito baixa",IF($M902&lt;-2,"Baixa","Adequada")))</f>
        <v/>
      </c>
      <c r="O902" s="12">
        <f>IF(OR($S902="",$F902="",$T902="",$T902&lt;0,$T902&gt;120,$AJ902=""),"—",ROUND(IF(ABS($AM902)&lt;=3,$AM902,IF($AM902&gt;3,3+($F902-$AO902)/($AO902-$AN902),-3+($F902-$AQ902)/($AP902-$AQ902))),2))</f>
        <v/>
      </c>
      <c r="P902">
        <f>IF(OR($O902="",$O902="—"),"",IF($O902&lt;-3,"Muito baixo",IF($O902&lt;-2,"Baixo",IF($O902&lt;=2,"Adequado","Elevado"))))</f>
        <v/>
      </c>
      <c r="Q902" s="12">
        <f>IF(OR($S902="",$F902="",$T902="",$T902&lt;0,$T902&gt;60,$AR902=""),"—",ROUND(IF(ABS($AU902)&lt;=3,$AU902,IF($AU902&gt;3,3+($F902-$AW902)/($AW902-$AV902),-3+($F902-$AY902)/($AX902-$AY902))),2))</f>
        <v/>
      </c>
      <c r="R902">
        <f>IF(OR($Q902="",$Q902="—"),"",IF($Q902&lt;-3,"Magreza acentuada",IF($Q902&lt;-2,"Magreza",IF($Q902&lt;=1,"Eutrofia",IF($Q902&lt;=2,"Risco de sobrepeso",IF($Q902&lt;=3,"Sobrepeso","Obesidade"))))))</f>
        <v/>
      </c>
      <c r="S902">
        <f>IF($C902="","",IF(UPPER(LEFT($C902,1))="M",1,IF(UPPER(LEFT($C902,1))="F",2,"")))</f>
        <v/>
      </c>
      <c r="T902">
        <f>IF(OR($D902="",$E902=""),"",DATEDIF($D902,$E902,"m"))</f>
        <v/>
      </c>
      <c r="U902">
        <f>IF(OR($D902="",$E902=""),"",$E902-$D902)</f>
        <v/>
      </c>
      <c r="V902">
        <f>IF(OR($G902="",$T902=""),"",IF($T902&lt;24,IF(LEFT(LOWER($H902),4)="em p",$G902+0.7,$G902),IF(LEFT(LOWER($H902),4)="deit",$G902-0.7,$G902)))</f>
        <v/>
      </c>
      <c r="W902">
        <f>IF(OR($S902="",$T902=""),"",$S902*1000000+IF($T902&lt;=60,$U902,$T902))</f>
        <v/>
      </c>
      <c r="X902">
        <f>IF(OR($S902="",$V902="",$T902&gt;60,$T902=""),"",$S902*1000000+ROUND($V902*10,0))</f>
        <v/>
      </c>
      <c r="Y902">
        <f>IF($W902="","",IFERROR(INDEX(IF($T902&lt;=60,imc05_l,imc519_l),MATCH($W902,IF($T902&lt;=60,imc05_k,imc519_k),1)),""))</f>
        <v/>
      </c>
      <c r="Z902">
        <f>IF($W902="","",IFERROR(INDEX(IF($T902&lt;=60,imc05_m,imc519_m),MATCH($W902,IF($T902&lt;=60,imc05_k,imc519_k),1)),""))</f>
        <v/>
      </c>
      <c r="AA902">
        <f>IF($W902="","",IFERROR(INDEX(IF($T902&lt;=60,imc05_s,imc519_s),MATCH($W902,IF($T902&lt;=60,imc05_k,imc519_k),1)),""))</f>
        <v/>
      </c>
      <c r="AB902">
        <f>IF($Y902="","",IF($Y902=0,LN($J902/$Z902)/$AA902,((($J902/$Z902)^$Y902)-1)/($Y902*$AA902)))</f>
        <v/>
      </c>
      <c r="AC902">
        <f>IF($Y902="","",IF($Y902=0,$Z902*EXP($AA902*2),$Z902*(1+$Y902*$AA902*2)^(1/$Y902)))</f>
        <v/>
      </c>
      <c r="AD902">
        <f>IF($Y902="","",IF($Y902=0,$Z902*EXP($AA902*3),$Z902*(1+$Y902*$AA902*3)^(1/$Y902)))</f>
        <v/>
      </c>
      <c r="AE902">
        <f>IF($Y902="","",IF($Y902=0,$Z902*EXP($AA902*-2),$Z902*(1+$Y902*$AA902*-2)^(1/$Y902)))</f>
        <v/>
      </c>
      <c r="AF902">
        <f>IF($Y902="","",IF($Y902=0,$Z902*EXP($AA902*-3),$Z902*(1+$Y902*$AA902*-3)^(1/$Y902)))</f>
        <v/>
      </c>
      <c r="AG902">
        <f>IF($W902="","",IFERROR(INDEX(IF($T902&lt;=60,est05_l,est519_l),MATCH($W902,IF($T902&lt;=60,est05_k,est519_k),1)),""))</f>
        <v/>
      </c>
      <c r="AH902">
        <f>IF($W902="","",IFERROR(INDEX(IF($T902&lt;=60,est05_m,est519_m),MATCH($W902,IF($T902&lt;=60,est05_k,est519_k),1)),""))</f>
        <v/>
      </c>
      <c r="AI902">
        <f>IF($W902="","",IFERROR(INDEX(IF($T902&lt;=60,est05_s,est519_s),MATCH($W902,IF($T902&lt;=60,est05_k,est519_k),1)),""))</f>
        <v/>
      </c>
      <c r="AJ902">
        <f>IF($W902="","",IFERROR(INDEX(IF($T902&lt;=60,peso05_l,peso510_l),MATCH($W902,IF($T902&lt;=60,peso05_k,peso510_k),1)),""))</f>
        <v/>
      </c>
      <c r="AK902">
        <f>IF($W902="","",IFERROR(INDEX(IF($T902&lt;=60,peso05_m,peso510_m),MATCH($W902,IF($T902&lt;=60,peso05_k,peso510_k),1)),""))</f>
        <v/>
      </c>
      <c r="AL902">
        <f>IF($W902="","",IFERROR(INDEX(IF($T902&lt;=60,peso05_s,peso510_s),MATCH($W902,IF($T902&lt;=60,peso05_k,peso510_k),1)),""))</f>
        <v/>
      </c>
      <c r="AM902">
        <f>IF($AJ902="","",IF($AJ902=0,LN($F902/$AK902)/$AL902,((($F902/$AK902)^$AJ902)-1)/($AJ902*$AL902)))</f>
        <v/>
      </c>
      <c r="AN902">
        <f>IF($AJ902="","",IF($AJ902=0,$AK902*EXP($AL902*2),$AK902*(1+$AJ902*$AL902*2)^(1/$AJ902)))</f>
        <v/>
      </c>
      <c r="AO902">
        <f>IF($AJ902="","",IF($AJ902=0,$AK902*EXP($AL902*3),$AK902*(1+$AJ902*$AL902*3)^(1/$AJ902)))</f>
        <v/>
      </c>
      <c r="AP902">
        <f>IF($AJ902="","",IF($AJ902=0,$AK902*EXP($AL902*-2),$AK902*(1+$AJ902*$AL902*-2)^(1/$AJ902)))</f>
        <v/>
      </c>
      <c r="AQ902">
        <f>IF($AJ902="","",IF($AJ902=0,$AK902*EXP($AL902*-3),$AK902*(1+$AJ902*$AL902*-3)^(1/$AJ902)))</f>
        <v/>
      </c>
      <c r="AR902">
        <f>IF(OR($X902="",$T902&gt;60),"",IFERROR(INDEX(IF($T902&lt;24,pcomp_l,palt_l),MATCH($X902,IF($T902&lt;24,pcomp_k,palt_k),1)),""))</f>
        <v/>
      </c>
      <c r="AS902">
        <f>IF(OR($X902="",$T902&gt;60),"",IFERROR(INDEX(IF($T902&lt;24,pcomp_m,palt_m),MATCH($X902,IF($T902&lt;24,pcomp_k,palt_k),1)),""))</f>
        <v/>
      </c>
      <c r="AT902">
        <f>IF(OR($X902="",$T902&gt;60),"",IFERROR(INDEX(IF($T902&lt;24,pcomp_s,palt_s),MATCH($X902,IF($T902&lt;24,pcomp_k,palt_k),1)),""))</f>
        <v/>
      </c>
      <c r="AU902">
        <f>IF($AR902="","",IF($AR902=0,LN($F902/$AS902)/$AT902,((($F902/$AS902)^$AR902)-1)/($AR902*$AT902)))</f>
        <v/>
      </c>
      <c r="AV902">
        <f>IF($AR902="","",IF($AR902=0,$AS902*EXP($AT902*2),$AS902*(1+$AR902*$AT902*2)^(1/$AR902)))</f>
        <v/>
      </c>
      <c r="AW902">
        <f>IF($AR902="","",IF($AR902=0,$AS902*EXP($AT902*3),$AS902*(1+$AR902*$AT902*3)^(1/$AR902)))</f>
        <v/>
      </c>
      <c r="AX902">
        <f>IF($AR902="","",IF($AR902=0,$AS902*EXP($AT902*-2),$AS902*(1+$AR902*$AT902*-2)^(1/$AR902)))</f>
        <v/>
      </c>
      <c r="AY902">
        <f>IF($AR902="","",IF($AR902=0,$AS902*EXP($AT902*-3),$AS902*(1+$AR902*$AT902*-3)^(1/$AR902)))</f>
        <v/>
      </c>
      <c r="AZ902">
        <f>IF(OR($A902="",$A902&lt;&gt;Ficha!$C$4),"",COUNTIF($A$2:$A902,Ficha!$C$4))</f>
        <v/>
      </c>
    </row>
    <row r="903">
      <c r="A903" s="8">
        <f>IF(INDEX(Banco!$A:$A,ROW())="","",INDEX(Banco!$A:$A,ROW()))</f>
        <v/>
      </c>
      <c r="B903" s="8">
        <f>IF(INDEX(Banco!$B:$B,ROW())="","",INDEX(Banco!$B:$B,ROW()))</f>
        <v/>
      </c>
      <c r="C903" s="8">
        <f>IF(INDEX(Banco!$C:$C,ROW())="","",INDEX(Banco!$C:$C,ROW()))</f>
        <v/>
      </c>
      <c r="D903" s="9">
        <f>IF(INDEX(Banco!$D:$D,ROW())="","",INDEX(Banco!$D:$D,ROW()))</f>
        <v/>
      </c>
      <c r="E903" s="9">
        <f>IF(INDEX(Banco!$E:$E,ROW())="","",INDEX(Banco!$E:$E,ROW()))</f>
        <v/>
      </c>
      <c r="F903" s="10">
        <f>IF(INDEX(Banco!$F:$F,ROW())="","",INDEX(Banco!$F:$F,ROW()))</f>
        <v/>
      </c>
      <c r="G903" s="10">
        <f>IF(INDEX(Banco!$G:$G,ROW())="","",INDEX(Banco!$G:$G,ROW()))</f>
        <v/>
      </c>
      <c r="H903" s="8">
        <f>IF(INDEX(Banco!$H:$H,ROW())="","",INDEX(Banco!$H:$H,ROW()))</f>
        <v/>
      </c>
      <c r="I903">
        <f>IF($T903="","",INT($T903/12)&amp;"a "&amp;MOD($T903,12)&amp;"m")</f>
        <v/>
      </c>
      <c r="J903" s="11">
        <f>IF(OR($F903="",$G903=""),"",ROUND($F903/($G903/100)^2,2))</f>
        <v/>
      </c>
      <c r="K903" s="12">
        <f>IF(OR($S903="",$J903="",$T903="",$T903&lt;0,$T903&gt;228,$Y903=""),"—",ROUND(IF(ABS($AB903)&lt;=3,$AB903,IF($AB903&gt;3,3+($J903-$AD903)/($AD903-$AC903),-3+($J903-$AF903)/($AE903-$AF903))),2))</f>
        <v/>
      </c>
      <c r="L903">
        <f>IF(OR($K903="",$K903="—"),"",IF($T903&lt;=60,IF($K903&lt;-3,"Magreza acentuada",IF($K903&lt;-2,"Magreza",IF($K903&lt;=1,"Eutrofia",IF($K903&lt;=2,"Risco de sobrepeso",IF($K903&lt;=3,"Sobrepeso","Obesidade"))))),IF($K903&lt;-3,"Magreza acentuada",IF($K903&lt;-2,"Magreza",IF($K903&lt;=1,"Eutrofia",IF($K903&lt;=2,"Sobrepeso",IF($K903&lt;=3,"Obesidade","Obesidade grave")))))))</f>
        <v/>
      </c>
      <c r="M903" s="12">
        <f>IF(OR($S903="",$V903="",$T903="",$T903&lt;0,$T903&gt;228,$AG903=""),"—",ROUND(IF($AG903=0,LN($V903/$AH903)/$AI903,((($V903/$AH903)^$AG903)-1)/($AG903*$AI903)),2))</f>
        <v/>
      </c>
      <c r="N903">
        <f>IF(OR($M903="",$M903="—"),"",IF($M903&lt;-3,"Muito baixa",IF($M903&lt;-2,"Baixa","Adequada")))</f>
        <v/>
      </c>
      <c r="O903" s="12">
        <f>IF(OR($S903="",$F903="",$T903="",$T903&lt;0,$T903&gt;120,$AJ903=""),"—",ROUND(IF(ABS($AM903)&lt;=3,$AM903,IF($AM903&gt;3,3+($F903-$AO903)/($AO903-$AN903),-3+($F903-$AQ903)/($AP903-$AQ903))),2))</f>
        <v/>
      </c>
      <c r="P903">
        <f>IF(OR($O903="",$O903="—"),"",IF($O903&lt;-3,"Muito baixo",IF($O903&lt;-2,"Baixo",IF($O903&lt;=2,"Adequado","Elevado"))))</f>
        <v/>
      </c>
      <c r="Q903" s="12">
        <f>IF(OR($S903="",$F903="",$T903="",$T903&lt;0,$T903&gt;60,$AR903=""),"—",ROUND(IF(ABS($AU903)&lt;=3,$AU903,IF($AU903&gt;3,3+($F903-$AW903)/($AW903-$AV903),-3+($F903-$AY903)/($AX903-$AY903))),2))</f>
        <v/>
      </c>
      <c r="R903">
        <f>IF(OR($Q903="",$Q903="—"),"",IF($Q903&lt;-3,"Magreza acentuada",IF($Q903&lt;-2,"Magreza",IF($Q903&lt;=1,"Eutrofia",IF($Q903&lt;=2,"Risco de sobrepeso",IF($Q903&lt;=3,"Sobrepeso","Obesidade"))))))</f>
        <v/>
      </c>
      <c r="S903">
        <f>IF($C903="","",IF(UPPER(LEFT($C903,1))="M",1,IF(UPPER(LEFT($C903,1))="F",2,"")))</f>
        <v/>
      </c>
      <c r="T903">
        <f>IF(OR($D903="",$E903=""),"",DATEDIF($D903,$E903,"m"))</f>
        <v/>
      </c>
      <c r="U903">
        <f>IF(OR($D903="",$E903=""),"",$E903-$D903)</f>
        <v/>
      </c>
      <c r="V903">
        <f>IF(OR($G903="",$T903=""),"",IF($T903&lt;24,IF(LEFT(LOWER($H903),4)="em p",$G903+0.7,$G903),IF(LEFT(LOWER($H903),4)="deit",$G903-0.7,$G903)))</f>
        <v/>
      </c>
      <c r="W903">
        <f>IF(OR($S903="",$T903=""),"",$S903*1000000+IF($T903&lt;=60,$U903,$T903))</f>
        <v/>
      </c>
      <c r="X903">
        <f>IF(OR($S903="",$V903="",$T903&gt;60,$T903=""),"",$S903*1000000+ROUND($V903*10,0))</f>
        <v/>
      </c>
      <c r="Y903">
        <f>IF($W903="","",IFERROR(INDEX(IF($T903&lt;=60,imc05_l,imc519_l),MATCH($W903,IF($T903&lt;=60,imc05_k,imc519_k),1)),""))</f>
        <v/>
      </c>
      <c r="Z903">
        <f>IF($W903="","",IFERROR(INDEX(IF($T903&lt;=60,imc05_m,imc519_m),MATCH($W903,IF($T903&lt;=60,imc05_k,imc519_k),1)),""))</f>
        <v/>
      </c>
      <c r="AA903">
        <f>IF($W903="","",IFERROR(INDEX(IF($T903&lt;=60,imc05_s,imc519_s),MATCH($W903,IF($T903&lt;=60,imc05_k,imc519_k),1)),""))</f>
        <v/>
      </c>
      <c r="AB903">
        <f>IF($Y903="","",IF($Y903=0,LN($J903/$Z903)/$AA903,((($J903/$Z903)^$Y903)-1)/($Y903*$AA903)))</f>
        <v/>
      </c>
      <c r="AC903">
        <f>IF($Y903="","",IF($Y903=0,$Z903*EXP($AA903*2),$Z903*(1+$Y903*$AA903*2)^(1/$Y903)))</f>
        <v/>
      </c>
      <c r="AD903">
        <f>IF($Y903="","",IF($Y903=0,$Z903*EXP($AA903*3),$Z903*(1+$Y903*$AA903*3)^(1/$Y903)))</f>
        <v/>
      </c>
      <c r="AE903">
        <f>IF($Y903="","",IF($Y903=0,$Z903*EXP($AA903*-2),$Z903*(1+$Y903*$AA903*-2)^(1/$Y903)))</f>
        <v/>
      </c>
      <c r="AF903">
        <f>IF($Y903="","",IF($Y903=0,$Z903*EXP($AA903*-3),$Z903*(1+$Y903*$AA903*-3)^(1/$Y903)))</f>
        <v/>
      </c>
      <c r="AG903">
        <f>IF($W903="","",IFERROR(INDEX(IF($T903&lt;=60,est05_l,est519_l),MATCH($W903,IF($T903&lt;=60,est05_k,est519_k),1)),""))</f>
        <v/>
      </c>
      <c r="AH903">
        <f>IF($W903="","",IFERROR(INDEX(IF($T903&lt;=60,est05_m,est519_m),MATCH($W903,IF($T903&lt;=60,est05_k,est519_k),1)),""))</f>
        <v/>
      </c>
      <c r="AI903">
        <f>IF($W903="","",IFERROR(INDEX(IF($T903&lt;=60,est05_s,est519_s),MATCH($W903,IF($T903&lt;=60,est05_k,est519_k),1)),""))</f>
        <v/>
      </c>
      <c r="AJ903">
        <f>IF($W903="","",IFERROR(INDEX(IF($T903&lt;=60,peso05_l,peso510_l),MATCH($W903,IF($T903&lt;=60,peso05_k,peso510_k),1)),""))</f>
        <v/>
      </c>
      <c r="AK903">
        <f>IF($W903="","",IFERROR(INDEX(IF($T903&lt;=60,peso05_m,peso510_m),MATCH($W903,IF($T903&lt;=60,peso05_k,peso510_k),1)),""))</f>
        <v/>
      </c>
      <c r="AL903">
        <f>IF($W903="","",IFERROR(INDEX(IF($T903&lt;=60,peso05_s,peso510_s),MATCH($W903,IF($T903&lt;=60,peso05_k,peso510_k),1)),""))</f>
        <v/>
      </c>
      <c r="AM903">
        <f>IF($AJ903="","",IF($AJ903=0,LN($F903/$AK903)/$AL903,((($F903/$AK903)^$AJ903)-1)/($AJ903*$AL903)))</f>
        <v/>
      </c>
      <c r="AN903">
        <f>IF($AJ903="","",IF($AJ903=0,$AK903*EXP($AL903*2),$AK903*(1+$AJ903*$AL903*2)^(1/$AJ903)))</f>
        <v/>
      </c>
      <c r="AO903">
        <f>IF($AJ903="","",IF($AJ903=0,$AK903*EXP($AL903*3),$AK903*(1+$AJ903*$AL903*3)^(1/$AJ903)))</f>
        <v/>
      </c>
      <c r="AP903">
        <f>IF($AJ903="","",IF($AJ903=0,$AK903*EXP($AL903*-2),$AK903*(1+$AJ903*$AL903*-2)^(1/$AJ903)))</f>
        <v/>
      </c>
      <c r="AQ903">
        <f>IF($AJ903="","",IF($AJ903=0,$AK903*EXP($AL903*-3),$AK903*(1+$AJ903*$AL903*-3)^(1/$AJ903)))</f>
        <v/>
      </c>
      <c r="AR903">
        <f>IF(OR($X903="",$T903&gt;60),"",IFERROR(INDEX(IF($T903&lt;24,pcomp_l,palt_l),MATCH($X903,IF($T903&lt;24,pcomp_k,palt_k),1)),""))</f>
        <v/>
      </c>
      <c r="AS903">
        <f>IF(OR($X903="",$T903&gt;60),"",IFERROR(INDEX(IF($T903&lt;24,pcomp_m,palt_m),MATCH($X903,IF($T903&lt;24,pcomp_k,palt_k),1)),""))</f>
        <v/>
      </c>
      <c r="AT903">
        <f>IF(OR($X903="",$T903&gt;60),"",IFERROR(INDEX(IF($T903&lt;24,pcomp_s,palt_s),MATCH($X903,IF($T903&lt;24,pcomp_k,palt_k),1)),""))</f>
        <v/>
      </c>
      <c r="AU903">
        <f>IF($AR903="","",IF($AR903=0,LN($F903/$AS903)/$AT903,((($F903/$AS903)^$AR903)-1)/($AR903*$AT903)))</f>
        <v/>
      </c>
      <c r="AV903">
        <f>IF($AR903="","",IF($AR903=0,$AS903*EXP($AT903*2),$AS903*(1+$AR903*$AT903*2)^(1/$AR903)))</f>
        <v/>
      </c>
      <c r="AW903">
        <f>IF($AR903="","",IF($AR903=0,$AS903*EXP($AT903*3),$AS903*(1+$AR903*$AT903*3)^(1/$AR903)))</f>
        <v/>
      </c>
      <c r="AX903">
        <f>IF($AR903="","",IF($AR903=0,$AS903*EXP($AT903*-2),$AS903*(1+$AR903*$AT903*-2)^(1/$AR903)))</f>
        <v/>
      </c>
      <c r="AY903">
        <f>IF($AR903="","",IF($AR903=0,$AS903*EXP($AT903*-3),$AS903*(1+$AR903*$AT903*-3)^(1/$AR903)))</f>
        <v/>
      </c>
      <c r="AZ903">
        <f>IF(OR($A903="",$A903&lt;&gt;Ficha!$C$4),"",COUNTIF($A$2:$A903,Ficha!$C$4))</f>
        <v/>
      </c>
    </row>
    <row r="904">
      <c r="A904" s="8">
        <f>IF(INDEX(Banco!$A:$A,ROW())="","",INDEX(Banco!$A:$A,ROW()))</f>
        <v/>
      </c>
      <c r="B904" s="8">
        <f>IF(INDEX(Banco!$B:$B,ROW())="","",INDEX(Banco!$B:$B,ROW()))</f>
        <v/>
      </c>
      <c r="C904" s="8">
        <f>IF(INDEX(Banco!$C:$C,ROW())="","",INDEX(Banco!$C:$C,ROW()))</f>
        <v/>
      </c>
      <c r="D904" s="9">
        <f>IF(INDEX(Banco!$D:$D,ROW())="","",INDEX(Banco!$D:$D,ROW()))</f>
        <v/>
      </c>
      <c r="E904" s="9">
        <f>IF(INDEX(Banco!$E:$E,ROW())="","",INDEX(Banco!$E:$E,ROW()))</f>
        <v/>
      </c>
      <c r="F904" s="10">
        <f>IF(INDEX(Banco!$F:$F,ROW())="","",INDEX(Banco!$F:$F,ROW()))</f>
        <v/>
      </c>
      <c r="G904" s="10">
        <f>IF(INDEX(Banco!$G:$G,ROW())="","",INDEX(Banco!$G:$G,ROW()))</f>
        <v/>
      </c>
      <c r="H904" s="8">
        <f>IF(INDEX(Banco!$H:$H,ROW())="","",INDEX(Banco!$H:$H,ROW()))</f>
        <v/>
      </c>
      <c r="I904">
        <f>IF($T904="","",INT($T904/12)&amp;"a "&amp;MOD($T904,12)&amp;"m")</f>
        <v/>
      </c>
      <c r="J904" s="11">
        <f>IF(OR($F904="",$G904=""),"",ROUND($F904/($G904/100)^2,2))</f>
        <v/>
      </c>
      <c r="K904" s="12">
        <f>IF(OR($S904="",$J904="",$T904="",$T904&lt;0,$T904&gt;228,$Y904=""),"—",ROUND(IF(ABS($AB904)&lt;=3,$AB904,IF($AB904&gt;3,3+($J904-$AD904)/($AD904-$AC904),-3+($J904-$AF904)/($AE904-$AF904))),2))</f>
        <v/>
      </c>
      <c r="L904">
        <f>IF(OR($K904="",$K904="—"),"",IF($T904&lt;=60,IF($K904&lt;-3,"Magreza acentuada",IF($K904&lt;-2,"Magreza",IF($K904&lt;=1,"Eutrofia",IF($K904&lt;=2,"Risco de sobrepeso",IF($K904&lt;=3,"Sobrepeso","Obesidade"))))),IF($K904&lt;-3,"Magreza acentuada",IF($K904&lt;-2,"Magreza",IF($K904&lt;=1,"Eutrofia",IF($K904&lt;=2,"Sobrepeso",IF($K904&lt;=3,"Obesidade","Obesidade grave")))))))</f>
        <v/>
      </c>
      <c r="M904" s="12">
        <f>IF(OR($S904="",$V904="",$T904="",$T904&lt;0,$T904&gt;228,$AG904=""),"—",ROUND(IF($AG904=0,LN($V904/$AH904)/$AI904,((($V904/$AH904)^$AG904)-1)/($AG904*$AI904)),2))</f>
        <v/>
      </c>
      <c r="N904">
        <f>IF(OR($M904="",$M904="—"),"",IF($M904&lt;-3,"Muito baixa",IF($M904&lt;-2,"Baixa","Adequada")))</f>
        <v/>
      </c>
      <c r="O904" s="12">
        <f>IF(OR($S904="",$F904="",$T904="",$T904&lt;0,$T904&gt;120,$AJ904=""),"—",ROUND(IF(ABS($AM904)&lt;=3,$AM904,IF($AM904&gt;3,3+($F904-$AO904)/($AO904-$AN904),-3+($F904-$AQ904)/($AP904-$AQ904))),2))</f>
        <v/>
      </c>
      <c r="P904">
        <f>IF(OR($O904="",$O904="—"),"",IF($O904&lt;-3,"Muito baixo",IF($O904&lt;-2,"Baixo",IF($O904&lt;=2,"Adequado","Elevado"))))</f>
        <v/>
      </c>
      <c r="Q904" s="12">
        <f>IF(OR($S904="",$F904="",$T904="",$T904&lt;0,$T904&gt;60,$AR904=""),"—",ROUND(IF(ABS($AU904)&lt;=3,$AU904,IF($AU904&gt;3,3+($F904-$AW904)/($AW904-$AV904),-3+($F904-$AY904)/($AX904-$AY904))),2))</f>
        <v/>
      </c>
      <c r="R904">
        <f>IF(OR($Q904="",$Q904="—"),"",IF($Q904&lt;-3,"Magreza acentuada",IF($Q904&lt;-2,"Magreza",IF($Q904&lt;=1,"Eutrofia",IF($Q904&lt;=2,"Risco de sobrepeso",IF($Q904&lt;=3,"Sobrepeso","Obesidade"))))))</f>
        <v/>
      </c>
      <c r="S904">
        <f>IF($C904="","",IF(UPPER(LEFT($C904,1))="M",1,IF(UPPER(LEFT($C904,1))="F",2,"")))</f>
        <v/>
      </c>
      <c r="T904">
        <f>IF(OR($D904="",$E904=""),"",DATEDIF($D904,$E904,"m"))</f>
        <v/>
      </c>
      <c r="U904">
        <f>IF(OR($D904="",$E904=""),"",$E904-$D904)</f>
        <v/>
      </c>
      <c r="V904">
        <f>IF(OR($G904="",$T904=""),"",IF($T904&lt;24,IF(LEFT(LOWER($H904),4)="em p",$G904+0.7,$G904),IF(LEFT(LOWER($H904),4)="deit",$G904-0.7,$G904)))</f>
        <v/>
      </c>
      <c r="W904">
        <f>IF(OR($S904="",$T904=""),"",$S904*1000000+IF($T904&lt;=60,$U904,$T904))</f>
        <v/>
      </c>
      <c r="X904">
        <f>IF(OR($S904="",$V904="",$T904&gt;60,$T904=""),"",$S904*1000000+ROUND($V904*10,0))</f>
        <v/>
      </c>
      <c r="Y904">
        <f>IF($W904="","",IFERROR(INDEX(IF($T904&lt;=60,imc05_l,imc519_l),MATCH($W904,IF($T904&lt;=60,imc05_k,imc519_k),1)),""))</f>
        <v/>
      </c>
      <c r="Z904">
        <f>IF($W904="","",IFERROR(INDEX(IF($T904&lt;=60,imc05_m,imc519_m),MATCH($W904,IF($T904&lt;=60,imc05_k,imc519_k),1)),""))</f>
        <v/>
      </c>
      <c r="AA904">
        <f>IF($W904="","",IFERROR(INDEX(IF($T904&lt;=60,imc05_s,imc519_s),MATCH($W904,IF($T904&lt;=60,imc05_k,imc519_k),1)),""))</f>
        <v/>
      </c>
      <c r="AB904">
        <f>IF($Y904="","",IF($Y904=0,LN($J904/$Z904)/$AA904,((($J904/$Z904)^$Y904)-1)/($Y904*$AA904)))</f>
        <v/>
      </c>
      <c r="AC904">
        <f>IF($Y904="","",IF($Y904=0,$Z904*EXP($AA904*2),$Z904*(1+$Y904*$AA904*2)^(1/$Y904)))</f>
        <v/>
      </c>
      <c r="AD904">
        <f>IF($Y904="","",IF($Y904=0,$Z904*EXP($AA904*3),$Z904*(1+$Y904*$AA904*3)^(1/$Y904)))</f>
        <v/>
      </c>
      <c r="AE904">
        <f>IF($Y904="","",IF($Y904=0,$Z904*EXP($AA904*-2),$Z904*(1+$Y904*$AA904*-2)^(1/$Y904)))</f>
        <v/>
      </c>
      <c r="AF904">
        <f>IF($Y904="","",IF($Y904=0,$Z904*EXP($AA904*-3),$Z904*(1+$Y904*$AA904*-3)^(1/$Y904)))</f>
        <v/>
      </c>
      <c r="AG904">
        <f>IF($W904="","",IFERROR(INDEX(IF($T904&lt;=60,est05_l,est519_l),MATCH($W904,IF($T904&lt;=60,est05_k,est519_k),1)),""))</f>
        <v/>
      </c>
      <c r="AH904">
        <f>IF($W904="","",IFERROR(INDEX(IF($T904&lt;=60,est05_m,est519_m),MATCH($W904,IF($T904&lt;=60,est05_k,est519_k),1)),""))</f>
        <v/>
      </c>
      <c r="AI904">
        <f>IF($W904="","",IFERROR(INDEX(IF($T904&lt;=60,est05_s,est519_s),MATCH($W904,IF($T904&lt;=60,est05_k,est519_k),1)),""))</f>
        <v/>
      </c>
      <c r="AJ904">
        <f>IF($W904="","",IFERROR(INDEX(IF($T904&lt;=60,peso05_l,peso510_l),MATCH($W904,IF($T904&lt;=60,peso05_k,peso510_k),1)),""))</f>
        <v/>
      </c>
      <c r="AK904">
        <f>IF($W904="","",IFERROR(INDEX(IF($T904&lt;=60,peso05_m,peso510_m),MATCH($W904,IF($T904&lt;=60,peso05_k,peso510_k),1)),""))</f>
        <v/>
      </c>
      <c r="AL904">
        <f>IF($W904="","",IFERROR(INDEX(IF($T904&lt;=60,peso05_s,peso510_s),MATCH($W904,IF($T904&lt;=60,peso05_k,peso510_k),1)),""))</f>
        <v/>
      </c>
      <c r="AM904">
        <f>IF($AJ904="","",IF($AJ904=0,LN($F904/$AK904)/$AL904,((($F904/$AK904)^$AJ904)-1)/($AJ904*$AL904)))</f>
        <v/>
      </c>
      <c r="AN904">
        <f>IF($AJ904="","",IF($AJ904=0,$AK904*EXP($AL904*2),$AK904*(1+$AJ904*$AL904*2)^(1/$AJ904)))</f>
        <v/>
      </c>
      <c r="AO904">
        <f>IF($AJ904="","",IF($AJ904=0,$AK904*EXP($AL904*3),$AK904*(1+$AJ904*$AL904*3)^(1/$AJ904)))</f>
        <v/>
      </c>
      <c r="AP904">
        <f>IF($AJ904="","",IF($AJ904=0,$AK904*EXP($AL904*-2),$AK904*(1+$AJ904*$AL904*-2)^(1/$AJ904)))</f>
        <v/>
      </c>
      <c r="AQ904">
        <f>IF($AJ904="","",IF($AJ904=0,$AK904*EXP($AL904*-3),$AK904*(1+$AJ904*$AL904*-3)^(1/$AJ904)))</f>
        <v/>
      </c>
      <c r="AR904">
        <f>IF(OR($X904="",$T904&gt;60),"",IFERROR(INDEX(IF($T904&lt;24,pcomp_l,palt_l),MATCH($X904,IF($T904&lt;24,pcomp_k,palt_k),1)),""))</f>
        <v/>
      </c>
      <c r="AS904">
        <f>IF(OR($X904="",$T904&gt;60),"",IFERROR(INDEX(IF($T904&lt;24,pcomp_m,palt_m),MATCH($X904,IF($T904&lt;24,pcomp_k,palt_k),1)),""))</f>
        <v/>
      </c>
      <c r="AT904">
        <f>IF(OR($X904="",$T904&gt;60),"",IFERROR(INDEX(IF($T904&lt;24,pcomp_s,palt_s),MATCH($X904,IF($T904&lt;24,pcomp_k,palt_k),1)),""))</f>
        <v/>
      </c>
      <c r="AU904">
        <f>IF($AR904="","",IF($AR904=0,LN($F904/$AS904)/$AT904,((($F904/$AS904)^$AR904)-1)/($AR904*$AT904)))</f>
        <v/>
      </c>
      <c r="AV904">
        <f>IF($AR904="","",IF($AR904=0,$AS904*EXP($AT904*2),$AS904*(1+$AR904*$AT904*2)^(1/$AR904)))</f>
        <v/>
      </c>
      <c r="AW904">
        <f>IF($AR904="","",IF($AR904=0,$AS904*EXP($AT904*3),$AS904*(1+$AR904*$AT904*3)^(1/$AR904)))</f>
        <v/>
      </c>
      <c r="AX904">
        <f>IF($AR904="","",IF($AR904=0,$AS904*EXP($AT904*-2),$AS904*(1+$AR904*$AT904*-2)^(1/$AR904)))</f>
        <v/>
      </c>
      <c r="AY904">
        <f>IF($AR904="","",IF($AR904=0,$AS904*EXP($AT904*-3),$AS904*(1+$AR904*$AT904*-3)^(1/$AR904)))</f>
        <v/>
      </c>
      <c r="AZ904">
        <f>IF(OR($A904="",$A904&lt;&gt;Ficha!$C$4),"",COUNTIF($A$2:$A904,Ficha!$C$4))</f>
        <v/>
      </c>
    </row>
    <row r="905">
      <c r="A905" s="8">
        <f>IF(INDEX(Banco!$A:$A,ROW())="","",INDEX(Banco!$A:$A,ROW()))</f>
        <v/>
      </c>
      <c r="B905" s="8">
        <f>IF(INDEX(Banco!$B:$B,ROW())="","",INDEX(Banco!$B:$B,ROW()))</f>
        <v/>
      </c>
      <c r="C905" s="8">
        <f>IF(INDEX(Banco!$C:$C,ROW())="","",INDEX(Banco!$C:$C,ROW()))</f>
        <v/>
      </c>
      <c r="D905" s="9">
        <f>IF(INDEX(Banco!$D:$D,ROW())="","",INDEX(Banco!$D:$D,ROW()))</f>
        <v/>
      </c>
      <c r="E905" s="9">
        <f>IF(INDEX(Banco!$E:$E,ROW())="","",INDEX(Banco!$E:$E,ROW()))</f>
        <v/>
      </c>
      <c r="F905" s="10">
        <f>IF(INDEX(Banco!$F:$F,ROW())="","",INDEX(Banco!$F:$F,ROW()))</f>
        <v/>
      </c>
      <c r="G905" s="10">
        <f>IF(INDEX(Banco!$G:$G,ROW())="","",INDEX(Banco!$G:$G,ROW()))</f>
        <v/>
      </c>
      <c r="H905" s="8">
        <f>IF(INDEX(Banco!$H:$H,ROW())="","",INDEX(Banco!$H:$H,ROW()))</f>
        <v/>
      </c>
      <c r="I905">
        <f>IF($T905="","",INT($T905/12)&amp;"a "&amp;MOD($T905,12)&amp;"m")</f>
        <v/>
      </c>
      <c r="J905" s="11">
        <f>IF(OR($F905="",$G905=""),"",ROUND($F905/($G905/100)^2,2))</f>
        <v/>
      </c>
      <c r="K905" s="12">
        <f>IF(OR($S905="",$J905="",$T905="",$T905&lt;0,$T905&gt;228,$Y905=""),"—",ROUND(IF(ABS($AB905)&lt;=3,$AB905,IF($AB905&gt;3,3+($J905-$AD905)/($AD905-$AC905),-3+($J905-$AF905)/($AE905-$AF905))),2))</f>
        <v/>
      </c>
      <c r="L905">
        <f>IF(OR($K905="",$K905="—"),"",IF($T905&lt;=60,IF($K905&lt;-3,"Magreza acentuada",IF($K905&lt;-2,"Magreza",IF($K905&lt;=1,"Eutrofia",IF($K905&lt;=2,"Risco de sobrepeso",IF($K905&lt;=3,"Sobrepeso","Obesidade"))))),IF($K905&lt;-3,"Magreza acentuada",IF($K905&lt;-2,"Magreza",IF($K905&lt;=1,"Eutrofia",IF($K905&lt;=2,"Sobrepeso",IF($K905&lt;=3,"Obesidade","Obesidade grave")))))))</f>
        <v/>
      </c>
      <c r="M905" s="12">
        <f>IF(OR($S905="",$V905="",$T905="",$T905&lt;0,$T905&gt;228,$AG905=""),"—",ROUND(IF($AG905=0,LN($V905/$AH905)/$AI905,((($V905/$AH905)^$AG905)-1)/($AG905*$AI905)),2))</f>
        <v/>
      </c>
      <c r="N905">
        <f>IF(OR($M905="",$M905="—"),"",IF($M905&lt;-3,"Muito baixa",IF($M905&lt;-2,"Baixa","Adequada")))</f>
        <v/>
      </c>
      <c r="O905" s="12">
        <f>IF(OR($S905="",$F905="",$T905="",$T905&lt;0,$T905&gt;120,$AJ905=""),"—",ROUND(IF(ABS($AM905)&lt;=3,$AM905,IF($AM905&gt;3,3+($F905-$AO905)/($AO905-$AN905),-3+($F905-$AQ905)/($AP905-$AQ905))),2))</f>
        <v/>
      </c>
      <c r="P905">
        <f>IF(OR($O905="",$O905="—"),"",IF($O905&lt;-3,"Muito baixo",IF($O905&lt;-2,"Baixo",IF($O905&lt;=2,"Adequado","Elevado"))))</f>
        <v/>
      </c>
      <c r="Q905" s="12">
        <f>IF(OR($S905="",$F905="",$T905="",$T905&lt;0,$T905&gt;60,$AR905=""),"—",ROUND(IF(ABS($AU905)&lt;=3,$AU905,IF($AU905&gt;3,3+($F905-$AW905)/($AW905-$AV905),-3+($F905-$AY905)/($AX905-$AY905))),2))</f>
        <v/>
      </c>
      <c r="R905">
        <f>IF(OR($Q905="",$Q905="—"),"",IF($Q905&lt;-3,"Magreza acentuada",IF($Q905&lt;-2,"Magreza",IF($Q905&lt;=1,"Eutrofia",IF($Q905&lt;=2,"Risco de sobrepeso",IF($Q905&lt;=3,"Sobrepeso","Obesidade"))))))</f>
        <v/>
      </c>
      <c r="S905">
        <f>IF($C905="","",IF(UPPER(LEFT($C905,1))="M",1,IF(UPPER(LEFT($C905,1))="F",2,"")))</f>
        <v/>
      </c>
      <c r="T905">
        <f>IF(OR($D905="",$E905=""),"",DATEDIF($D905,$E905,"m"))</f>
        <v/>
      </c>
      <c r="U905">
        <f>IF(OR($D905="",$E905=""),"",$E905-$D905)</f>
        <v/>
      </c>
      <c r="V905">
        <f>IF(OR($G905="",$T905=""),"",IF($T905&lt;24,IF(LEFT(LOWER($H905),4)="em p",$G905+0.7,$G905),IF(LEFT(LOWER($H905),4)="deit",$G905-0.7,$G905)))</f>
        <v/>
      </c>
      <c r="W905">
        <f>IF(OR($S905="",$T905=""),"",$S905*1000000+IF($T905&lt;=60,$U905,$T905))</f>
        <v/>
      </c>
      <c r="X905">
        <f>IF(OR($S905="",$V905="",$T905&gt;60,$T905=""),"",$S905*1000000+ROUND($V905*10,0))</f>
        <v/>
      </c>
      <c r="Y905">
        <f>IF($W905="","",IFERROR(INDEX(IF($T905&lt;=60,imc05_l,imc519_l),MATCH($W905,IF($T905&lt;=60,imc05_k,imc519_k),1)),""))</f>
        <v/>
      </c>
      <c r="Z905">
        <f>IF($W905="","",IFERROR(INDEX(IF($T905&lt;=60,imc05_m,imc519_m),MATCH($W905,IF($T905&lt;=60,imc05_k,imc519_k),1)),""))</f>
        <v/>
      </c>
      <c r="AA905">
        <f>IF($W905="","",IFERROR(INDEX(IF($T905&lt;=60,imc05_s,imc519_s),MATCH($W905,IF($T905&lt;=60,imc05_k,imc519_k),1)),""))</f>
        <v/>
      </c>
      <c r="AB905">
        <f>IF($Y905="","",IF($Y905=0,LN($J905/$Z905)/$AA905,((($J905/$Z905)^$Y905)-1)/($Y905*$AA905)))</f>
        <v/>
      </c>
      <c r="AC905">
        <f>IF($Y905="","",IF($Y905=0,$Z905*EXP($AA905*2),$Z905*(1+$Y905*$AA905*2)^(1/$Y905)))</f>
        <v/>
      </c>
      <c r="AD905">
        <f>IF($Y905="","",IF($Y905=0,$Z905*EXP($AA905*3),$Z905*(1+$Y905*$AA905*3)^(1/$Y905)))</f>
        <v/>
      </c>
      <c r="AE905">
        <f>IF($Y905="","",IF($Y905=0,$Z905*EXP($AA905*-2),$Z905*(1+$Y905*$AA905*-2)^(1/$Y905)))</f>
        <v/>
      </c>
      <c r="AF905">
        <f>IF($Y905="","",IF($Y905=0,$Z905*EXP($AA905*-3),$Z905*(1+$Y905*$AA905*-3)^(1/$Y905)))</f>
        <v/>
      </c>
      <c r="AG905">
        <f>IF($W905="","",IFERROR(INDEX(IF($T905&lt;=60,est05_l,est519_l),MATCH($W905,IF($T905&lt;=60,est05_k,est519_k),1)),""))</f>
        <v/>
      </c>
      <c r="AH905">
        <f>IF($W905="","",IFERROR(INDEX(IF($T905&lt;=60,est05_m,est519_m),MATCH($W905,IF($T905&lt;=60,est05_k,est519_k),1)),""))</f>
        <v/>
      </c>
      <c r="AI905">
        <f>IF($W905="","",IFERROR(INDEX(IF($T905&lt;=60,est05_s,est519_s),MATCH($W905,IF($T905&lt;=60,est05_k,est519_k),1)),""))</f>
        <v/>
      </c>
      <c r="AJ905">
        <f>IF($W905="","",IFERROR(INDEX(IF($T905&lt;=60,peso05_l,peso510_l),MATCH($W905,IF($T905&lt;=60,peso05_k,peso510_k),1)),""))</f>
        <v/>
      </c>
      <c r="AK905">
        <f>IF($W905="","",IFERROR(INDEX(IF($T905&lt;=60,peso05_m,peso510_m),MATCH($W905,IF($T905&lt;=60,peso05_k,peso510_k),1)),""))</f>
        <v/>
      </c>
      <c r="AL905">
        <f>IF($W905="","",IFERROR(INDEX(IF($T905&lt;=60,peso05_s,peso510_s),MATCH($W905,IF($T905&lt;=60,peso05_k,peso510_k),1)),""))</f>
        <v/>
      </c>
      <c r="AM905">
        <f>IF($AJ905="","",IF($AJ905=0,LN($F905/$AK905)/$AL905,((($F905/$AK905)^$AJ905)-1)/($AJ905*$AL905)))</f>
        <v/>
      </c>
      <c r="AN905">
        <f>IF($AJ905="","",IF($AJ905=0,$AK905*EXP($AL905*2),$AK905*(1+$AJ905*$AL905*2)^(1/$AJ905)))</f>
        <v/>
      </c>
      <c r="AO905">
        <f>IF($AJ905="","",IF($AJ905=0,$AK905*EXP($AL905*3),$AK905*(1+$AJ905*$AL905*3)^(1/$AJ905)))</f>
        <v/>
      </c>
      <c r="AP905">
        <f>IF($AJ905="","",IF($AJ905=0,$AK905*EXP($AL905*-2),$AK905*(1+$AJ905*$AL905*-2)^(1/$AJ905)))</f>
        <v/>
      </c>
      <c r="AQ905">
        <f>IF($AJ905="","",IF($AJ905=0,$AK905*EXP($AL905*-3),$AK905*(1+$AJ905*$AL905*-3)^(1/$AJ905)))</f>
        <v/>
      </c>
      <c r="AR905">
        <f>IF(OR($X905="",$T905&gt;60),"",IFERROR(INDEX(IF($T905&lt;24,pcomp_l,palt_l),MATCH($X905,IF($T905&lt;24,pcomp_k,palt_k),1)),""))</f>
        <v/>
      </c>
      <c r="AS905">
        <f>IF(OR($X905="",$T905&gt;60),"",IFERROR(INDEX(IF($T905&lt;24,pcomp_m,palt_m),MATCH($X905,IF($T905&lt;24,pcomp_k,palt_k),1)),""))</f>
        <v/>
      </c>
      <c r="AT905">
        <f>IF(OR($X905="",$T905&gt;60),"",IFERROR(INDEX(IF($T905&lt;24,pcomp_s,palt_s),MATCH($X905,IF($T905&lt;24,pcomp_k,palt_k),1)),""))</f>
        <v/>
      </c>
      <c r="AU905">
        <f>IF($AR905="","",IF($AR905=0,LN($F905/$AS905)/$AT905,((($F905/$AS905)^$AR905)-1)/($AR905*$AT905)))</f>
        <v/>
      </c>
      <c r="AV905">
        <f>IF($AR905="","",IF($AR905=0,$AS905*EXP($AT905*2),$AS905*(1+$AR905*$AT905*2)^(1/$AR905)))</f>
        <v/>
      </c>
      <c r="AW905">
        <f>IF($AR905="","",IF($AR905=0,$AS905*EXP($AT905*3),$AS905*(1+$AR905*$AT905*3)^(1/$AR905)))</f>
        <v/>
      </c>
      <c r="AX905">
        <f>IF($AR905="","",IF($AR905=0,$AS905*EXP($AT905*-2),$AS905*(1+$AR905*$AT905*-2)^(1/$AR905)))</f>
        <v/>
      </c>
      <c r="AY905">
        <f>IF($AR905="","",IF($AR905=0,$AS905*EXP($AT905*-3),$AS905*(1+$AR905*$AT905*-3)^(1/$AR905)))</f>
        <v/>
      </c>
      <c r="AZ905">
        <f>IF(OR($A905="",$A905&lt;&gt;Ficha!$C$4),"",COUNTIF($A$2:$A905,Ficha!$C$4))</f>
        <v/>
      </c>
    </row>
    <row r="906">
      <c r="A906" s="8">
        <f>IF(INDEX(Banco!$A:$A,ROW())="","",INDEX(Banco!$A:$A,ROW()))</f>
        <v/>
      </c>
      <c r="B906" s="8">
        <f>IF(INDEX(Banco!$B:$B,ROW())="","",INDEX(Banco!$B:$B,ROW()))</f>
        <v/>
      </c>
      <c r="C906" s="8">
        <f>IF(INDEX(Banco!$C:$C,ROW())="","",INDEX(Banco!$C:$C,ROW()))</f>
        <v/>
      </c>
      <c r="D906" s="9">
        <f>IF(INDEX(Banco!$D:$D,ROW())="","",INDEX(Banco!$D:$D,ROW()))</f>
        <v/>
      </c>
      <c r="E906" s="9">
        <f>IF(INDEX(Banco!$E:$E,ROW())="","",INDEX(Banco!$E:$E,ROW()))</f>
        <v/>
      </c>
      <c r="F906" s="10">
        <f>IF(INDEX(Banco!$F:$F,ROW())="","",INDEX(Banco!$F:$F,ROW()))</f>
        <v/>
      </c>
      <c r="G906" s="10">
        <f>IF(INDEX(Banco!$G:$G,ROW())="","",INDEX(Banco!$G:$G,ROW()))</f>
        <v/>
      </c>
      <c r="H906" s="8">
        <f>IF(INDEX(Banco!$H:$H,ROW())="","",INDEX(Banco!$H:$H,ROW()))</f>
        <v/>
      </c>
      <c r="I906">
        <f>IF($T906="","",INT($T906/12)&amp;"a "&amp;MOD($T906,12)&amp;"m")</f>
        <v/>
      </c>
      <c r="J906" s="11">
        <f>IF(OR($F906="",$G906=""),"",ROUND($F906/($G906/100)^2,2))</f>
        <v/>
      </c>
      <c r="K906" s="12">
        <f>IF(OR($S906="",$J906="",$T906="",$T906&lt;0,$T906&gt;228,$Y906=""),"—",ROUND(IF(ABS($AB906)&lt;=3,$AB906,IF($AB906&gt;3,3+($J906-$AD906)/($AD906-$AC906),-3+($J906-$AF906)/($AE906-$AF906))),2))</f>
        <v/>
      </c>
      <c r="L906">
        <f>IF(OR($K906="",$K906="—"),"",IF($T906&lt;=60,IF($K906&lt;-3,"Magreza acentuada",IF($K906&lt;-2,"Magreza",IF($K906&lt;=1,"Eutrofia",IF($K906&lt;=2,"Risco de sobrepeso",IF($K906&lt;=3,"Sobrepeso","Obesidade"))))),IF($K906&lt;-3,"Magreza acentuada",IF($K906&lt;-2,"Magreza",IF($K906&lt;=1,"Eutrofia",IF($K906&lt;=2,"Sobrepeso",IF($K906&lt;=3,"Obesidade","Obesidade grave")))))))</f>
        <v/>
      </c>
      <c r="M906" s="12">
        <f>IF(OR($S906="",$V906="",$T906="",$T906&lt;0,$T906&gt;228,$AG906=""),"—",ROUND(IF($AG906=0,LN($V906/$AH906)/$AI906,((($V906/$AH906)^$AG906)-1)/($AG906*$AI906)),2))</f>
        <v/>
      </c>
      <c r="N906">
        <f>IF(OR($M906="",$M906="—"),"",IF($M906&lt;-3,"Muito baixa",IF($M906&lt;-2,"Baixa","Adequada")))</f>
        <v/>
      </c>
      <c r="O906" s="12">
        <f>IF(OR($S906="",$F906="",$T906="",$T906&lt;0,$T906&gt;120,$AJ906=""),"—",ROUND(IF(ABS($AM906)&lt;=3,$AM906,IF($AM906&gt;3,3+($F906-$AO906)/($AO906-$AN906),-3+($F906-$AQ906)/($AP906-$AQ906))),2))</f>
        <v/>
      </c>
      <c r="P906">
        <f>IF(OR($O906="",$O906="—"),"",IF($O906&lt;-3,"Muito baixo",IF($O906&lt;-2,"Baixo",IF($O906&lt;=2,"Adequado","Elevado"))))</f>
        <v/>
      </c>
      <c r="Q906" s="12">
        <f>IF(OR($S906="",$F906="",$T906="",$T906&lt;0,$T906&gt;60,$AR906=""),"—",ROUND(IF(ABS($AU906)&lt;=3,$AU906,IF($AU906&gt;3,3+($F906-$AW906)/($AW906-$AV906),-3+($F906-$AY906)/($AX906-$AY906))),2))</f>
        <v/>
      </c>
      <c r="R906">
        <f>IF(OR($Q906="",$Q906="—"),"",IF($Q906&lt;-3,"Magreza acentuada",IF($Q906&lt;-2,"Magreza",IF($Q906&lt;=1,"Eutrofia",IF($Q906&lt;=2,"Risco de sobrepeso",IF($Q906&lt;=3,"Sobrepeso","Obesidade"))))))</f>
        <v/>
      </c>
      <c r="S906">
        <f>IF($C906="","",IF(UPPER(LEFT($C906,1))="M",1,IF(UPPER(LEFT($C906,1))="F",2,"")))</f>
        <v/>
      </c>
      <c r="T906">
        <f>IF(OR($D906="",$E906=""),"",DATEDIF($D906,$E906,"m"))</f>
        <v/>
      </c>
      <c r="U906">
        <f>IF(OR($D906="",$E906=""),"",$E906-$D906)</f>
        <v/>
      </c>
      <c r="V906">
        <f>IF(OR($G906="",$T906=""),"",IF($T906&lt;24,IF(LEFT(LOWER($H906),4)="em p",$G906+0.7,$G906),IF(LEFT(LOWER($H906),4)="deit",$G906-0.7,$G906)))</f>
        <v/>
      </c>
      <c r="W906">
        <f>IF(OR($S906="",$T906=""),"",$S906*1000000+IF($T906&lt;=60,$U906,$T906))</f>
        <v/>
      </c>
      <c r="X906">
        <f>IF(OR($S906="",$V906="",$T906&gt;60,$T906=""),"",$S906*1000000+ROUND($V906*10,0))</f>
        <v/>
      </c>
      <c r="Y906">
        <f>IF($W906="","",IFERROR(INDEX(IF($T906&lt;=60,imc05_l,imc519_l),MATCH($W906,IF($T906&lt;=60,imc05_k,imc519_k),1)),""))</f>
        <v/>
      </c>
      <c r="Z906">
        <f>IF($W906="","",IFERROR(INDEX(IF($T906&lt;=60,imc05_m,imc519_m),MATCH($W906,IF($T906&lt;=60,imc05_k,imc519_k),1)),""))</f>
        <v/>
      </c>
      <c r="AA906">
        <f>IF($W906="","",IFERROR(INDEX(IF($T906&lt;=60,imc05_s,imc519_s),MATCH($W906,IF($T906&lt;=60,imc05_k,imc519_k),1)),""))</f>
        <v/>
      </c>
      <c r="AB906">
        <f>IF($Y906="","",IF($Y906=0,LN($J906/$Z906)/$AA906,((($J906/$Z906)^$Y906)-1)/($Y906*$AA906)))</f>
        <v/>
      </c>
      <c r="AC906">
        <f>IF($Y906="","",IF($Y906=0,$Z906*EXP($AA906*2),$Z906*(1+$Y906*$AA906*2)^(1/$Y906)))</f>
        <v/>
      </c>
      <c r="AD906">
        <f>IF($Y906="","",IF($Y906=0,$Z906*EXP($AA906*3),$Z906*(1+$Y906*$AA906*3)^(1/$Y906)))</f>
        <v/>
      </c>
      <c r="AE906">
        <f>IF($Y906="","",IF($Y906=0,$Z906*EXP($AA906*-2),$Z906*(1+$Y906*$AA906*-2)^(1/$Y906)))</f>
        <v/>
      </c>
      <c r="AF906">
        <f>IF($Y906="","",IF($Y906=0,$Z906*EXP($AA906*-3),$Z906*(1+$Y906*$AA906*-3)^(1/$Y906)))</f>
        <v/>
      </c>
      <c r="AG906">
        <f>IF($W906="","",IFERROR(INDEX(IF($T906&lt;=60,est05_l,est519_l),MATCH($W906,IF($T906&lt;=60,est05_k,est519_k),1)),""))</f>
        <v/>
      </c>
      <c r="AH906">
        <f>IF($W906="","",IFERROR(INDEX(IF($T906&lt;=60,est05_m,est519_m),MATCH($W906,IF($T906&lt;=60,est05_k,est519_k),1)),""))</f>
        <v/>
      </c>
      <c r="AI906">
        <f>IF($W906="","",IFERROR(INDEX(IF($T906&lt;=60,est05_s,est519_s),MATCH($W906,IF($T906&lt;=60,est05_k,est519_k),1)),""))</f>
        <v/>
      </c>
      <c r="AJ906">
        <f>IF($W906="","",IFERROR(INDEX(IF($T906&lt;=60,peso05_l,peso510_l),MATCH($W906,IF($T906&lt;=60,peso05_k,peso510_k),1)),""))</f>
        <v/>
      </c>
      <c r="AK906">
        <f>IF($W906="","",IFERROR(INDEX(IF($T906&lt;=60,peso05_m,peso510_m),MATCH($W906,IF($T906&lt;=60,peso05_k,peso510_k),1)),""))</f>
        <v/>
      </c>
      <c r="AL906">
        <f>IF($W906="","",IFERROR(INDEX(IF($T906&lt;=60,peso05_s,peso510_s),MATCH($W906,IF($T906&lt;=60,peso05_k,peso510_k),1)),""))</f>
        <v/>
      </c>
      <c r="AM906">
        <f>IF($AJ906="","",IF($AJ906=0,LN($F906/$AK906)/$AL906,((($F906/$AK906)^$AJ906)-1)/($AJ906*$AL906)))</f>
        <v/>
      </c>
      <c r="AN906">
        <f>IF($AJ906="","",IF($AJ906=0,$AK906*EXP($AL906*2),$AK906*(1+$AJ906*$AL906*2)^(1/$AJ906)))</f>
        <v/>
      </c>
      <c r="AO906">
        <f>IF($AJ906="","",IF($AJ906=0,$AK906*EXP($AL906*3),$AK906*(1+$AJ906*$AL906*3)^(1/$AJ906)))</f>
        <v/>
      </c>
      <c r="AP906">
        <f>IF($AJ906="","",IF($AJ906=0,$AK906*EXP($AL906*-2),$AK906*(1+$AJ906*$AL906*-2)^(1/$AJ906)))</f>
        <v/>
      </c>
      <c r="AQ906">
        <f>IF($AJ906="","",IF($AJ906=0,$AK906*EXP($AL906*-3),$AK906*(1+$AJ906*$AL906*-3)^(1/$AJ906)))</f>
        <v/>
      </c>
      <c r="AR906">
        <f>IF(OR($X906="",$T906&gt;60),"",IFERROR(INDEX(IF($T906&lt;24,pcomp_l,palt_l),MATCH($X906,IF($T906&lt;24,pcomp_k,palt_k),1)),""))</f>
        <v/>
      </c>
      <c r="AS906">
        <f>IF(OR($X906="",$T906&gt;60),"",IFERROR(INDEX(IF($T906&lt;24,pcomp_m,palt_m),MATCH($X906,IF($T906&lt;24,pcomp_k,palt_k),1)),""))</f>
        <v/>
      </c>
      <c r="AT906">
        <f>IF(OR($X906="",$T906&gt;60),"",IFERROR(INDEX(IF($T906&lt;24,pcomp_s,palt_s),MATCH($X906,IF($T906&lt;24,pcomp_k,palt_k),1)),""))</f>
        <v/>
      </c>
      <c r="AU906">
        <f>IF($AR906="","",IF($AR906=0,LN($F906/$AS906)/$AT906,((($F906/$AS906)^$AR906)-1)/($AR906*$AT906)))</f>
        <v/>
      </c>
      <c r="AV906">
        <f>IF($AR906="","",IF($AR906=0,$AS906*EXP($AT906*2),$AS906*(1+$AR906*$AT906*2)^(1/$AR906)))</f>
        <v/>
      </c>
      <c r="AW906">
        <f>IF($AR906="","",IF($AR906=0,$AS906*EXP($AT906*3),$AS906*(1+$AR906*$AT906*3)^(1/$AR906)))</f>
        <v/>
      </c>
      <c r="AX906">
        <f>IF($AR906="","",IF($AR906=0,$AS906*EXP($AT906*-2),$AS906*(1+$AR906*$AT906*-2)^(1/$AR906)))</f>
        <v/>
      </c>
      <c r="AY906">
        <f>IF($AR906="","",IF($AR906=0,$AS906*EXP($AT906*-3),$AS906*(1+$AR906*$AT906*-3)^(1/$AR906)))</f>
        <v/>
      </c>
      <c r="AZ906">
        <f>IF(OR($A906="",$A906&lt;&gt;Ficha!$C$4),"",COUNTIF($A$2:$A906,Ficha!$C$4))</f>
        <v/>
      </c>
    </row>
    <row r="907">
      <c r="A907" s="8">
        <f>IF(INDEX(Banco!$A:$A,ROW())="","",INDEX(Banco!$A:$A,ROW()))</f>
        <v/>
      </c>
      <c r="B907" s="8">
        <f>IF(INDEX(Banco!$B:$B,ROW())="","",INDEX(Banco!$B:$B,ROW()))</f>
        <v/>
      </c>
      <c r="C907" s="8">
        <f>IF(INDEX(Banco!$C:$C,ROW())="","",INDEX(Banco!$C:$C,ROW()))</f>
        <v/>
      </c>
      <c r="D907" s="9">
        <f>IF(INDEX(Banco!$D:$D,ROW())="","",INDEX(Banco!$D:$D,ROW()))</f>
        <v/>
      </c>
      <c r="E907" s="9">
        <f>IF(INDEX(Banco!$E:$E,ROW())="","",INDEX(Banco!$E:$E,ROW()))</f>
        <v/>
      </c>
      <c r="F907" s="10">
        <f>IF(INDEX(Banco!$F:$F,ROW())="","",INDEX(Banco!$F:$F,ROW()))</f>
        <v/>
      </c>
      <c r="G907" s="10">
        <f>IF(INDEX(Banco!$G:$G,ROW())="","",INDEX(Banco!$G:$G,ROW()))</f>
        <v/>
      </c>
      <c r="H907" s="8">
        <f>IF(INDEX(Banco!$H:$H,ROW())="","",INDEX(Banco!$H:$H,ROW()))</f>
        <v/>
      </c>
      <c r="I907">
        <f>IF($T907="","",INT($T907/12)&amp;"a "&amp;MOD($T907,12)&amp;"m")</f>
        <v/>
      </c>
      <c r="J907" s="11">
        <f>IF(OR($F907="",$G907=""),"",ROUND($F907/($G907/100)^2,2))</f>
        <v/>
      </c>
      <c r="K907" s="12">
        <f>IF(OR($S907="",$J907="",$T907="",$T907&lt;0,$T907&gt;228,$Y907=""),"—",ROUND(IF(ABS($AB907)&lt;=3,$AB907,IF($AB907&gt;3,3+($J907-$AD907)/($AD907-$AC907),-3+($J907-$AF907)/($AE907-$AF907))),2))</f>
        <v/>
      </c>
      <c r="L907">
        <f>IF(OR($K907="",$K907="—"),"",IF($T907&lt;=60,IF($K907&lt;-3,"Magreza acentuada",IF($K907&lt;-2,"Magreza",IF($K907&lt;=1,"Eutrofia",IF($K907&lt;=2,"Risco de sobrepeso",IF($K907&lt;=3,"Sobrepeso","Obesidade"))))),IF($K907&lt;-3,"Magreza acentuada",IF($K907&lt;-2,"Magreza",IF($K907&lt;=1,"Eutrofia",IF($K907&lt;=2,"Sobrepeso",IF($K907&lt;=3,"Obesidade","Obesidade grave")))))))</f>
        <v/>
      </c>
      <c r="M907" s="12">
        <f>IF(OR($S907="",$V907="",$T907="",$T907&lt;0,$T907&gt;228,$AG907=""),"—",ROUND(IF($AG907=0,LN($V907/$AH907)/$AI907,((($V907/$AH907)^$AG907)-1)/($AG907*$AI907)),2))</f>
        <v/>
      </c>
      <c r="N907">
        <f>IF(OR($M907="",$M907="—"),"",IF($M907&lt;-3,"Muito baixa",IF($M907&lt;-2,"Baixa","Adequada")))</f>
        <v/>
      </c>
      <c r="O907" s="12">
        <f>IF(OR($S907="",$F907="",$T907="",$T907&lt;0,$T907&gt;120,$AJ907=""),"—",ROUND(IF(ABS($AM907)&lt;=3,$AM907,IF($AM907&gt;3,3+($F907-$AO907)/($AO907-$AN907),-3+($F907-$AQ907)/($AP907-$AQ907))),2))</f>
        <v/>
      </c>
      <c r="P907">
        <f>IF(OR($O907="",$O907="—"),"",IF($O907&lt;-3,"Muito baixo",IF($O907&lt;-2,"Baixo",IF($O907&lt;=2,"Adequado","Elevado"))))</f>
        <v/>
      </c>
      <c r="Q907" s="12">
        <f>IF(OR($S907="",$F907="",$T907="",$T907&lt;0,$T907&gt;60,$AR907=""),"—",ROUND(IF(ABS($AU907)&lt;=3,$AU907,IF($AU907&gt;3,3+($F907-$AW907)/($AW907-$AV907),-3+($F907-$AY907)/($AX907-$AY907))),2))</f>
        <v/>
      </c>
      <c r="R907">
        <f>IF(OR($Q907="",$Q907="—"),"",IF($Q907&lt;-3,"Magreza acentuada",IF($Q907&lt;-2,"Magreza",IF($Q907&lt;=1,"Eutrofia",IF($Q907&lt;=2,"Risco de sobrepeso",IF($Q907&lt;=3,"Sobrepeso","Obesidade"))))))</f>
        <v/>
      </c>
      <c r="S907">
        <f>IF($C907="","",IF(UPPER(LEFT($C907,1))="M",1,IF(UPPER(LEFT($C907,1))="F",2,"")))</f>
        <v/>
      </c>
      <c r="T907">
        <f>IF(OR($D907="",$E907=""),"",DATEDIF($D907,$E907,"m"))</f>
        <v/>
      </c>
      <c r="U907">
        <f>IF(OR($D907="",$E907=""),"",$E907-$D907)</f>
        <v/>
      </c>
      <c r="V907">
        <f>IF(OR($G907="",$T907=""),"",IF($T907&lt;24,IF(LEFT(LOWER($H907),4)="em p",$G907+0.7,$G907),IF(LEFT(LOWER($H907),4)="deit",$G907-0.7,$G907)))</f>
        <v/>
      </c>
      <c r="W907">
        <f>IF(OR($S907="",$T907=""),"",$S907*1000000+IF($T907&lt;=60,$U907,$T907))</f>
        <v/>
      </c>
      <c r="X907">
        <f>IF(OR($S907="",$V907="",$T907&gt;60,$T907=""),"",$S907*1000000+ROUND($V907*10,0))</f>
        <v/>
      </c>
      <c r="Y907">
        <f>IF($W907="","",IFERROR(INDEX(IF($T907&lt;=60,imc05_l,imc519_l),MATCH($W907,IF($T907&lt;=60,imc05_k,imc519_k),1)),""))</f>
        <v/>
      </c>
      <c r="Z907">
        <f>IF($W907="","",IFERROR(INDEX(IF($T907&lt;=60,imc05_m,imc519_m),MATCH($W907,IF($T907&lt;=60,imc05_k,imc519_k),1)),""))</f>
        <v/>
      </c>
      <c r="AA907">
        <f>IF($W907="","",IFERROR(INDEX(IF($T907&lt;=60,imc05_s,imc519_s),MATCH($W907,IF($T907&lt;=60,imc05_k,imc519_k),1)),""))</f>
        <v/>
      </c>
      <c r="AB907">
        <f>IF($Y907="","",IF($Y907=0,LN($J907/$Z907)/$AA907,((($J907/$Z907)^$Y907)-1)/($Y907*$AA907)))</f>
        <v/>
      </c>
      <c r="AC907">
        <f>IF($Y907="","",IF($Y907=0,$Z907*EXP($AA907*2),$Z907*(1+$Y907*$AA907*2)^(1/$Y907)))</f>
        <v/>
      </c>
      <c r="AD907">
        <f>IF($Y907="","",IF($Y907=0,$Z907*EXP($AA907*3),$Z907*(1+$Y907*$AA907*3)^(1/$Y907)))</f>
        <v/>
      </c>
      <c r="AE907">
        <f>IF($Y907="","",IF($Y907=0,$Z907*EXP($AA907*-2),$Z907*(1+$Y907*$AA907*-2)^(1/$Y907)))</f>
        <v/>
      </c>
      <c r="AF907">
        <f>IF($Y907="","",IF($Y907=0,$Z907*EXP($AA907*-3),$Z907*(1+$Y907*$AA907*-3)^(1/$Y907)))</f>
        <v/>
      </c>
      <c r="AG907">
        <f>IF($W907="","",IFERROR(INDEX(IF($T907&lt;=60,est05_l,est519_l),MATCH($W907,IF($T907&lt;=60,est05_k,est519_k),1)),""))</f>
        <v/>
      </c>
      <c r="AH907">
        <f>IF($W907="","",IFERROR(INDEX(IF($T907&lt;=60,est05_m,est519_m),MATCH($W907,IF($T907&lt;=60,est05_k,est519_k),1)),""))</f>
        <v/>
      </c>
      <c r="AI907">
        <f>IF($W907="","",IFERROR(INDEX(IF($T907&lt;=60,est05_s,est519_s),MATCH($W907,IF($T907&lt;=60,est05_k,est519_k),1)),""))</f>
        <v/>
      </c>
      <c r="AJ907">
        <f>IF($W907="","",IFERROR(INDEX(IF($T907&lt;=60,peso05_l,peso510_l),MATCH($W907,IF($T907&lt;=60,peso05_k,peso510_k),1)),""))</f>
        <v/>
      </c>
      <c r="AK907">
        <f>IF($W907="","",IFERROR(INDEX(IF($T907&lt;=60,peso05_m,peso510_m),MATCH($W907,IF($T907&lt;=60,peso05_k,peso510_k),1)),""))</f>
        <v/>
      </c>
      <c r="AL907">
        <f>IF($W907="","",IFERROR(INDEX(IF($T907&lt;=60,peso05_s,peso510_s),MATCH($W907,IF($T907&lt;=60,peso05_k,peso510_k),1)),""))</f>
        <v/>
      </c>
      <c r="AM907">
        <f>IF($AJ907="","",IF($AJ907=0,LN($F907/$AK907)/$AL907,((($F907/$AK907)^$AJ907)-1)/($AJ907*$AL907)))</f>
        <v/>
      </c>
      <c r="AN907">
        <f>IF($AJ907="","",IF($AJ907=0,$AK907*EXP($AL907*2),$AK907*(1+$AJ907*$AL907*2)^(1/$AJ907)))</f>
        <v/>
      </c>
      <c r="AO907">
        <f>IF($AJ907="","",IF($AJ907=0,$AK907*EXP($AL907*3),$AK907*(1+$AJ907*$AL907*3)^(1/$AJ907)))</f>
        <v/>
      </c>
      <c r="AP907">
        <f>IF($AJ907="","",IF($AJ907=0,$AK907*EXP($AL907*-2),$AK907*(1+$AJ907*$AL907*-2)^(1/$AJ907)))</f>
        <v/>
      </c>
      <c r="AQ907">
        <f>IF($AJ907="","",IF($AJ907=0,$AK907*EXP($AL907*-3),$AK907*(1+$AJ907*$AL907*-3)^(1/$AJ907)))</f>
        <v/>
      </c>
      <c r="AR907">
        <f>IF(OR($X907="",$T907&gt;60),"",IFERROR(INDEX(IF($T907&lt;24,pcomp_l,palt_l),MATCH($X907,IF($T907&lt;24,pcomp_k,palt_k),1)),""))</f>
        <v/>
      </c>
      <c r="AS907">
        <f>IF(OR($X907="",$T907&gt;60),"",IFERROR(INDEX(IF($T907&lt;24,pcomp_m,palt_m),MATCH($X907,IF($T907&lt;24,pcomp_k,palt_k),1)),""))</f>
        <v/>
      </c>
      <c r="AT907">
        <f>IF(OR($X907="",$T907&gt;60),"",IFERROR(INDEX(IF($T907&lt;24,pcomp_s,palt_s),MATCH($X907,IF($T907&lt;24,pcomp_k,palt_k),1)),""))</f>
        <v/>
      </c>
      <c r="AU907">
        <f>IF($AR907="","",IF($AR907=0,LN($F907/$AS907)/$AT907,((($F907/$AS907)^$AR907)-1)/($AR907*$AT907)))</f>
        <v/>
      </c>
      <c r="AV907">
        <f>IF($AR907="","",IF($AR907=0,$AS907*EXP($AT907*2),$AS907*(1+$AR907*$AT907*2)^(1/$AR907)))</f>
        <v/>
      </c>
      <c r="AW907">
        <f>IF($AR907="","",IF($AR907=0,$AS907*EXP($AT907*3),$AS907*(1+$AR907*$AT907*3)^(1/$AR907)))</f>
        <v/>
      </c>
      <c r="AX907">
        <f>IF($AR907="","",IF($AR907=0,$AS907*EXP($AT907*-2),$AS907*(1+$AR907*$AT907*-2)^(1/$AR907)))</f>
        <v/>
      </c>
      <c r="AY907">
        <f>IF($AR907="","",IF($AR907=0,$AS907*EXP($AT907*-3),$AS907*(1+$AR907*$AT907*-3)^(1/$AR907)))</f>
        <v/>
      </c>
      <c r="AZ907">
        <f>IF(OR($A907="",$A907&lt;&gt;Ficha!$C$4),"",COUNTIF($A$2:$A907,Ficha!$C$4))</f>
        <v/>
      </c>
    </row>
    <row r="908">
      <c r="A908" s="8">
        <f>IF(INDEX(Banco!$A:$A,ROW())="","",INDEX(Banco!$A:$A,ROW()))</f>
        <v/>
      </c>
      <c r="B908" s="8">
        <f>IF(INDEX(Banco!$B:$B,ROW())="","",INDEX(Banco!$B:$B,ROW()))</f>
        <v/>
      </c>
      <c r="C908" s="8">
        <f>IF(INDEX(Banco!$C:$C,ROW())="","",INDEX(Banco!$C:$C,ROW()))</f>
        <v/>
      </c>
      <c r="D908" s="9">
        <f>IF(INDEX(Banco!$D:$D,ROW())="","",INDEX(Banco!$D:$D,ROW()))</f>
        <v/>
      </c>
      <c r="E908" s="9">
        <f>IF(INDEX(Banco!$E:$E,ROW())="","",INDEX(Banco!$E:$E,ROW()))</f>
        <v/>
      </c>
      <c r="F908" s="10">
        <f>IF(INDEX(Banco!$F:$F,ROW())="","",INDEX(Banco!$F:$F,ROW()))</f>
        <v/>
      </c>
      <c r="G908" s="10">
        <f>IF(INDEX(Banco!$G:$G,ROW())="","",INDEX(Banco!$G:$G,ROW()))</f>
        <v/>
      </c>
      <c r="H908" s="8">
        <f>IF(INDEX(Banco!$H:$H,ROW())="","",INDEX(Banco!$H:$H,ROW()))</f>
        <v/>
      </c>
      <c r="I908">
        <f>IF($T908="","",INT($T908/12)&amp;"a "&amp;MOD($T908,12)&amp;"m")</f>
        <v/>
      </c>
      <c r="J908" s="11">
        <f>IF(OR($F908="",$G908=""),"",ROUND($F908/($G908/100)^2,2))</f>
        <v/>
      </c>
      <c r="K908" s="12">
        <f>IF(OR($S908="",$J908="",$T908="",$T908&lt;0,$T908&gt;228,$Y908=""),"—",ROUND(IF(ABS($AB908)&lt;=3,$AB908,IF($AB908&gt;3,3+($J908-$AD908)/($AD908-$AC908),-3+($J908-$AF908)/($AE908-$AF908))),2))</f>
        <v/>
      </c>
      <c r="L908">
        <f>IF(OR($K908="",$K908="—"),"",IF($T908&lt;=60,IF($K908&lt;-3,"Magreza acentuada",IF($K908&lt;-2,"Magreza",IF($K908&lt;=1,"Eutrofia",IF($K908&lt;=2,"Risco de sobrepeso",IF($K908&lt;=3,"Sobrepeso","Obesidade"))))),IF($K908&lt;-3,"Magreza acentuada",IF($K908&lt;-2,"Magreza",IF($K908&lt;=1,"Eutrofia",IF($K908&lt;=2,"Sobrepeso",IF($K908&lt;=3,"Obesidade","Obesidade grave")))))))</f>
        <v/>
      </c>
      <c r="M908" s="12">
        <f>IF(OR($S908="",$V908="",$T908="",$T908&lt;0,$T908&gt;228,$AG908=""),"—",ROUND(IF($AG908=0,LN($V908/$AH908)/$AI908,((($V908/$AH908)^$AG908)-1)/($AG908*$AI908)),2))</f>
        <v/>
      </c>
      <c r="N908">
        <f>IF(OR($M908="",$M908="—"),"",IF($M908&lt;-3,"Muito baixa",IF($M908&lt;-2,"Baixa","Adequada")))</f>
        <v/>
      </c>
      <c r="O908" s="12">
        <f>IF(OR($S908="",$F908="",$T908="",$T908&lt;0,$T908&gt;120,$AJ908=""),"—",ROUND(IF(ABS($AM908)&lt;=3,$AM908,IF($AM908&gt;3,3+($F908-$AO908)/($AO908-$AN908),-3+($F908-$AQ908)/($AP908-$AQ908))),2))</f>
        <v/>
      </c>
      <c r="P908">
        <f>IF(OR($O908="",$O908="—"),"",IF($O908&lt;-3,"Muito baixo",IF($O908&lt;-2,"Baixo",IF($O908&lt;=2,"Adequado","Elevado"))))</f>
        <v/>
      </c>
      <c r="Q908" s="12">
        <f>IF(OR($S908="",$F908="",$T908="",$T908&lt;0,$T908&gt;60,$AR908=""),"—",ROUND(IF(ABS($AU908)&lt;=3,$AU908,IF($AU908&gt;3,3+($F908-$AW908)/($AW908-$AV908),-3+($F908-$AY908)/($AX908-$AY908))),2))</f>
        <v/>
      </c>
      <c r="R908">
        <f>IF(OR($Q908="",$Q908="—"),"",IF($Q908&lt;-3,"Magreza acentuada",IF($Q908&lt;-2,"Magreza",IF($Q908&lt;=1,"Eutrofia",IF($Q908&lt;=2,"Risco de sobrepeso",IF($Q908&lt;=3,"Sobrepeso","Obesidade"))))))</f>
        <v/>
      </c>
      <c r="S908">
        <f>IF($C908="","",IF(UPPER(LEFT($C908,1))="M",1,IF(UPPER(LEFT($C908,1))="F",2,"")))</f>
        <v/>
      </c>
      <c r="T908">
        <f>IF(OR($D908="",$E908=""),"",DATEDIF($D908,$E908,"m"))</f>
        <v/>
      </c>
      <c r="U908">
        <f>IF(OR($D908="",$E908=""),"",$E908-$D908)</f>
        <v/>
      </c>
      <c r="V908">
        <f>IF(OR($G908="",$T908=""),"",IF($T908&lt;24,IF(LEFT(LOWER($H908),4)="em p",$G908+0.7,$G908),IF(LEFT(LOWER($H908),4)="deit",$G908-0.7,$G908)))</f>
        <v/>
      </c>
      <c r="W908">
        <f>IF(OR($S908="",$T908=""),"",$S908*1000000+IF($T908&lt;=60,$U908,$T908))</f>
        <v/>
      </c>
      <c r="X908">
        <f>IF(OR($S908="",$V908="",$T908&gt;60,$T908=""),"",$S908*1000000+ROUND($V908*10,0))</f>
        <v/>
      </c>
      <c r="Y908">
        <f>IF($W908="","",IFERROR(INDEX(IF($T908&lt;=60,imc05_l,imc519_l),MATCH($W908,IF($T908&lt;=60,imc05_k,imc519_k),1)),""))</f>
        <v/>
      </c>
      <c r="Z908">
        <f>IF($W908="","",IFERROR(INDEX(IF($T908&lt;=60,imc05_m,imc519_m),MATCH($W908,IF($T908&lt;=60,imc05_k,imc519_k),1)),""))</f>
        <v/>
      </c>
      <c r="AA908">
        <f>IF($W908="","",IFERROR(INDEX(IF($T908&lt;=60,imc05_s,imc519_s),MATCH($W908,IF($T908&lt;=60,imc05_k,imc519_k),1)),""))</f>
        <v/>
      </c>
      <c r="AB908">
        <f>IF($Y908="","",IF($Y908=0,LN($J908/$Z908)/$AA908,((($J908/$Z908)^$Y908)-1)/($Y908*$AA908)))</f>
        <v/>
      </c>
      <c r="AC908">
        <f>IF($Y908="","",IF($Y908=0,$Z908*EXP($AA908*2),$Z908*(1+$Y908*$AA908*2)^(1/$Y908)))</f>
        <v/>
      </c>
      <c r="AD908">
        <f>IF($Y908="","",IF($Y908=0,$Z908*EXP($AA908*3),$Z908*(1+$Y908*$AA908*3)^(1/$Y908)))</f>
        <v/>
      </c>
      <c r="AE908">
        <f>IF($Y908="","",IF($Y908=0,$Z908*EXP($AA908*-2),$Z908*(1+$Y908*$AA908*-2)^(1/$Y908)))</f>
        <v/>
      </c>
      <c r="AF908">
        <f>IF($Y908="","",IF($Y908=0,$Z908*EXP($AA908*-3),$Z908*(1+$Y908*$AA908*-3)^(1/$Y908)))</f>
        <v/>
      </c>
      <c r="AG908">
        <f>IF($W908="","",IFERROR(INDEX(IF($T908&lt;=60,est05_l,est519_l),MATCH($W908,IF($T908&lt;=60,est05_k,est519_k),1)),""))</f>
        <v/>
      </c>
      <c r="AH908">
        <f>IF($W908="","",IFERROR(INDEX(IF($T908&lt;=60,est05_m,est519_m),MATCH($W908,IF($T908&lt;=60,est05_k,est519_k),1)),""))</f>
        <v/>
      </c>
      <c r="AI908">
        <f>IF($W908="","",IFERROR(INDEX(IF($T908&lt;=60,est05_s,est519_s),MATCH($W908,IF($T908&lt;=60,est05_k,est519_k),1)),""))</f>
        <v/>
      </c>
      <c r="AJ908">
        <f>IF($W908="","",IFERROR(INDEX(IF($T908&lt;=60,peso05_l,peso510_l),MATCH($W908,IF($T908&lt;=60,peso05_k,peso510_k),1)),""))</f>
        <v/>
      </c>
      <c r="AK908">
        <f>IF($W908="","",IFERROR(INDEX(IF($T908&lt;=60,peso05_m,peso510_m),MATCH($W908,IF($T908&lt;=60,peso05_k,peso510_k),1)),""))</f>
        <v/>
      </c>
      <c r="AL908">
        <f>IF($W908="","",IFERROR(INDEX(IF($T908&lt;=60,peso05_s,peso510_s),MATCH($W908,IF($T908&lt;=60,peso05_k,peso510_k),1)),""))</f>
        <v/>
      </c>
      <c r="AM908">
        <f>IF($AJ908="","",IF($AJ908=0,LN($F908/$AK908)/$AL908,((($F908/$AK908)^$AJ908)-1)/($AJ908*$AL908)))</f>
        <v/>
      </c>
      <c r="AN908">
        <f>IF($AJ908="","",IF($AJ908=0,$AK908*EXP($AL908*2),$AK908*(1+$AJ908*$AL908*2)^(1/$AJ908)))</f>
        <v/>
      </c>
      <c r="AO908">
        <f>IF($AJ908="","",IF($AJ908=0,$AK908*EXP($AL908*3),$AK908*(1+$AJ908*$AL908*3)^(1/$AJ908)))</f>
        <v/>
      </c>
      <c r="AP908">
        <f>IF($AJ908="","",IF($AJ908=0,$AK908*EXP($AL908*-2),$AK908*(1+$AJ908*$AL908*-2)^(1/$AJ908)))</f>
        <v/>
      </c>
      <c r="AQ908">
        <f>IF($AJ908="","",IF($AJ908=0,$AK908*EXP($AL908*-3),$AK908*(1+$AJ908*$AL908*-3)^(1/$AJ908)))</f>
        <v/>
      </c>
      <c r="AR908">
        <f>IF(OR($X908="",$T908&gt;60),"",IFERROR(INDEX(IF($T908&lt;24,pcomp_l,palt_l),MATCH($X908,IF($T908&lt;24,pcomp_k,palt_k),1)),""))</f>
        <v/>
      </c>
      <c r="AS908">
        <f>IF(OR($X908="",$T908&gt;60),"",IFERROR(INDEX(IF($T908&lt;24,pcomp_m,palt_m),MATCH($X908,IF($T908&lt;24,pcomp_k,palt_k),1)),""))</f>
        <v/>
      </c>
      <c r="AT908">
        <f>IF(OR($X908="",$T908&gt;60),"",IFERROR(INDEX(IF($T908&lt;24,pcomp_s,palt_s),MATCH($X908,IF($T908&lt;24,pcomp_k,palt_k),1)),""))</f>
        <v/>
      </c>
      <c r="AU908">
        <f>IF($AR908="","",IF($AR908=0,LN($F908/$AS908)/$AT908,((($F908/$AS908)^$AR908)-1)/($AR908*$AT908)))</f>
        <v/>
      </c>
      <c r="AV908">
        <f>IF($AR908="","",IF($AR908=0,$AS908*EXP($AT908*2),$AS908*(1+$AR908*$AT908*2)^(1/$AR908)))</f>
        <v/>
      </c>
      <c r="AW908">
        <f>IF($AR908="","",IF($AR908=0,$AS908*EXP($AT908*3),$AS908*(1+$AR908*$AT908*3)^(1/$AR908)))</f>
        <v/>
      </c>
      <c r="AX908">
        <f>IF($AR908="","",IF($AR908=0,$AS908*EXP($AT908*-2),$AS908*(1+$AR908*$AT908*-2)^(1/$AR908)))</f>
        <v/>
      </c>
      <c r="AY908">
        <f>IF($AR908="","",IF($AR908=0,$AS908*EXP($AT908*-3),$AS908*(1+$AR908*$AT908*-3)^(1/$AR908)))</f>
        <v/>
      </c>
      <c r="AZ908">
        <f>IF(OR($A908="",$A908&lt;&gt;Ficha!$C$4),"",COUNTIF($A$2:$A908,Ficha!$C$4))</f>
        <v/>
      </c>
    </row>
    <row r="909">
      <c r="A909" s="8">
        <f>IF(INDEX(Banco!$A:$A,ROW())="","",INDEX(Banco!$A:$A,ROW()))</f>
        <v/>
      </c>
      <c r="B909" s="8">
        <f>IF(INDEX(Banco!$B:$B,ROW())="","",INDEX(Banco!$B:$B,ROW()))</f>
        <v/>
      </c>
      <c r="C909" s="8">
        <f>IF(INDEX(Banco!$C:$C,ROW())="","",INDEX(Banco!$C:$C,ROW()))</f>
        <v/>
      </c>
      <c r="D909" s="9">
        <f>IF(INDEX(Banco!$D:$D,ROW())="","",INDEX(Banco!$D:$D,ROW()))</f>
        <v/>
      </c>
      <c r="E909" s="9">
        <f>IF(INDEX(Banco!$E:$E,ROW())="","",INDEX(Banco!$E:$E,ROW()))</f>
        <v/>
      </c>
      <c r="F909" s="10">
        <f>IF(INDEX(Banco!$F:$F,ROW())="","",INDEX(Banco!$F:$F,ROW()))</f>
        <v/>
      </c>
      <c r="G909" s="10">
        <f>IF(INDEX(Banco!$G:$G,ROW())="","",INDEX(Banco!$G:$G,ROW()))</f>
        <v/>
      </c>
      <c r="H909" s="8">
        <f>IF(INDEX(Banco!$H:$H,ROW())="","",INDEX(Banco!$H:$H,ROW()))</f>
        <v/>
      </c>
      <c r="I909">
        <f>IF($T909="","",INT($T909/12)&amp;"a "&amp;MOD($T909,12)&amp;"m")</f>
        <v/>
      </c>
      <c r="J909" s="11">
        <f>IF(OR($F909="",$G909=""),"",ROUND($F909/($G909/100)^2,2))</f>
        <v/>
      </c>
      <c r="K909" s="12">
        <f>IF(OR($S909="",$J909="",$T909="",$T909&lt;0,$T909&gt;228,$Y909=""),"—",ROUND(IF(ABS($AB909)&lt;=3,$AB909,IF($AB909&gt;3,3+($J909-$AD909)/($AD909-$AC909),-3+($J909-$AF909)/($AE909-$AF909))),2))</f>
        <v/>
      </c>
      <c r="L909">
        <f>IF(OR($K909="",$K909="—"),"",IF($T909&lt;=60,IF($K909&lt;-3,"Magreza acentuada",IF($K909&lt;-2,"Magreza",IF($K909&lt;=1,"Eutrofia",IF($K909&lt;=2,"Risco de sobrepeso",IF($K909&lt;=3,"Sobrepeso","Obesidade"))))),IF($K909&lt;-3,"Magreza acentuada",IF($K909&lt;-2,"Magreza",IF($K909&lt;=1,"Eutrofia",IF($K909&lt;=2,"Sobrepeso",IF($K909&lt;=3,"Obesidade","Obesidade grave")))))))</f>
        <v/>
      </c>
      <c r="M909" s="12">
        <f>IF(OR($S909="",$V909="",$T909="",$T909&lt;0,$T909&gt;228,$AG909=""),"—",ROUND(IF($AG909=0,LN($V909/$AH909)/$AI909,((($V909/$AH909)^$AG909)-1)/($AG909*$AI909)),2))</f>
        <v/>
      </c>
      <c r="N909">
        <f>IF(OR($M909="",$M909="—"),"",IF($M909&lt;-3,"Muito baixa",IF($M909&lt;-2,"Baixa","Adequada")))</f>
        <v/>
      </c>
      <c r="O909" s="12">
        <f>IF(OR($S909="",$F909="",$T909="",$T909&lt;0,$T909&gt;120,$AJ909=""),"—",ROUND(IF(ABS($AM909)&lt;=3,$AM909,IF($AM909&gt;3,3+($F909-$AO909)/($AO909-$AN909),-3+($F909-$AQ909)/($AP909-$AQ909))),2))</f>
        <v/>
      </c>
      <c r="P909">
        <f>IF(OR($O909="",$O909="—"),"",IF($O909&lt;-3,"Muito baixo",IF($O909&lt;-2,"Baixo",IF($O909&lt;=2,"Adequado","Elevado"))))</f>
        <v/>
      </c>
      <c r="Q909" s="12">
        <f>IF(OR($S909="",$F909="",$T909="",$T909&lt;0,$T909&gt;60,$AR909=""),"—",ROUND(IF(ABS($AU909)&lt;=3,$AU909,IF($AU909&gt;3,3+($F909-$AW909)/($AW909-$AV909),-3+($F909-$AY909)/($AX909-$AY909))),2))</f>
        <v/>
      </c>
      <c r="R909">
        <f>IF(OR($Q909="",$Q909="—"),"",IF($Q909&lt;-3,"Magreza acentuada",IF($Q909&lt;-2,"Magreza",IF($Q909&lt;=1,"Eutrofia",IF($Q909&lt;=2,"Risco de sobrepeso",IF($Q909&lt;=3,"Sobrepeso","Obesidade"))))))</f>
        <v/>
      </c>
      <c r="S909">
        <f>IF($C909="","",IF(UPPER(LEFT($C909,1))="M",1,IF(UPPER(LEFT($C909,1))="F",2,"")))</f>
        <v/>
      </c>
      <c r="T909">
        <f>IF(OR($D909="",$E909=""),"",DATEDIF($D909,$E909,"m"))</f>
        <v/>
      </c>
      <c r="U909">
        <f>IF(OR($D909="",$E909=""),"",$E909-$D909)</f>
        <v/>
      </c>
      <c r="V909">
        <f>IF(OR($G909="",$T909=""),"",IF($T909&lt;24,IF(LEFT(LOWER($H909),4)="em p",$G909+0.7,$G909),IF(LEFT(LOWER($H909),4)="deit",$G909-0.7,$G909)))</f>
        <v/>
      </c>
      <c r="W909">
        <f>IF(OR($S909="",$T909=""),"",$S909*1000000+IF($T909&lt;=60,$U909,$T909))</f>
        <v/>
      </c>
      <c r="X909">
        <f>IF(OR($S909="",$V909="",$T909&gt;60,$T909=""),"",$S909*1000000+ROUND($V909*10,0))</f>
        <v/>
      </c>
      <c r="Y909">
        <f>IF($W909="","",IFERROR(INDEX(IF($T909&lt;=60,imc05_l,imc519_l),MATCH($W909,IF($T909&lt;=60,imc05_k,imc519_k),1)),""))</f>
        <v/>
      </c>
      <c r="Z909">
        <f>IF($W909="","",IFERROR(INDEX(IF($T909&lt;=60,imc05_m,imc519_m),MATCH($W909,IF($T909&lt;=60,imc05_k,imc519_k),1)),""))</f>
        <v/>
      </c>
      <c r="AA909">
        <f>IF($W909="","",IFERROR(INDEX(IF($T909&lt;=60,imc05_s,imc519_s),MATCH($W909,IF($T909&lt;=60,imc05_k,imc519_k),1)),""))</f>
        <v/>
      </c>
      <c r="AB909">
        <f>IF($Y909="","",IF($Y909=0,LN($J909/$Z909)/$AA909,((($J909/$Z909)^$Y909)-1)/($Y909*$AA909)))</f>
        <v/>
      </c>
      <c r="AC909">
        <f>IF($Y909="","",IF($Y909=0,$Z909*EXP($AA909*2),$Z909*(1+$Y909*$AA909*2)^(1/$Y909)))</f>
        <v/>
      </c>
      <c r="AD909">
        <f>IF($Y909="","",IF($Y909=0,$Z909*EXP($AA909*3),$Z909*(1+$Y909*$AA909*3)^(1/$Y909)))</f>
        <v/>
      </c>
      <c r="AE909">
        <f>IF($Y909="","",IF($Y909=0,$Z909*EXP($AA909*-2),$Z909*(1+$Y909*$AA909*-2)^(1/$Y909)))</f>
        <v/>
      </c>
      <c r="AF909">
        <f>IF($Y909="","",IF($Y909=0,$Z909*EXP($AA909*-3),$Z909*(1+$Y909*$AA909*-3)^(1/$Y909)))</f>
        <v/>
      </c>
      <c r="AG909">
        <f>IF($W909="","",IFERROR(INDEX(IF($T909&lt;=60,est05_l,est519_l),MATCH($W909,IF($T909&lt;=60,est05_k,est519_k),1)),""))</f>
        <v/>
      </c>
      <c r="AH909">
        <f>IF($W909="","",IFERROR(INDEX(IF($T909&lt;=60,est05_m,est519_m),MATCH($W909,IF($T909&lt;=60,est05_k,est519_k),1)),""))</f>
        <v/>
      </c>
      <c r="AI909">
        <f>IF($W909="","",IFERROR(INDEX(IF($T909&lt;=60,est05_s,est519_s),MATCH($W909,IF($T909&lt;=60,est05_k,est519_k),1)),""))</f>
        <v/>
      </c>
      <c r="AJ909">
        <f>IF($W909="","",IFERROR(INDEX(IF($T909&lt;=60,peso05_l,peso510_l),MATCH($W909,IF($T909&lt;=60,peso05_k,peso510_k),1)),""))</f>
        <v/>
      </c>
      <c r="AK909">
        <f>IF($W909="","",IFERROR(INDEX(IF($T909&lt;=60,peso05_m,peso510_m),MATCH($W909,IF($T909&lt;=60,peso05_k,peso510_k),1)),""))</f>
        <v/>
      </c>
      <c r="AL909">
        <f>IF($W909="","",IFERROR(INDEX(IF($T909&lt;=60,peso05_s,peso510_s),MATCH($W909,IF($T909&lt;=60,peso05_k,peso510_k),1)),""))</f>
        <v/>
      </c>
      <c r="AM909">
        <f>IF($AJ909="","",IF($AJ909=0,LN($F909/$AK909)/$AL909,((($F909/$AK909)^$AJ909)-1)/($AJ909*$AL909)))</f>
        <v/>
      </c>
      <c r="AN909">
        <f>IF($AJ909="","",IF($AJ909=0,$AK909*EXP($AL909*2),$AK909*(1+$AJ909*$AL909*2)^(1/$AJ909)))</f>
        <v/>
      </c>
      <c r="AO909">
        <f>IF($AJ909="","",IF($AJ909=0,$AK909*EXP($AL909*3),$AK909*(1+$AJ909*$AL909*3)^(1/$AJ909)))</f>
        <v/>
      </c>
      <c r="AP909">
        <f>IF($AJ909="","",IF($AJ909=0,$AK909*EXP($AL909*-2),$AK909*(1+$AJ909*$AL909*-2)^(1/$AJ909)))</f>
        <v/>
      </c>
      <c r="AQ909">
        <f>IF($AJ909="","",IF($AJ909=0,$AK909*EXP($AL909*-3),$AK909*(1+$AJ909*$AL909*-3)^(1/$AJ909)))</f>
        <v/>
      </c>
      <c r="AR909">
        <f>IF(OR($X909="",$T909&gt;60),"",IFERROR(INDEX(IF($T909&lt;24,pcomp_l,palt_l),MATCH($X909,IF($T909&lt;24,pcomp_k,palt_k),1)),""))</f>
        <v/>
      </c>
      <c r="AS909">
        <f>IF(OR($X909="",$T909&gt;60),"",IFERROR(INDEX(IF($T909&lt;24,pcomp_m,palt_m),MATCH($X909,IF($T909&lt;24,pcomp_k,palt_k),1)),""))</f>
        <v/>
      </c>
      <c r="AT909">
        <f>IF(OR($X909="",$T909&gt;60),"",IFERROR(INDEX(IF($T909&lt;24,pcomp_s,palt_s),MATCH($X909,IF($T909&lt;24,pcomp_k,palt_k),1)),""))</f>
        <v/>
      </c>
      <c r="AU909">
        <f>IF($AR909="","",IF($AR909=0,LN($F909/$AS909)/$AT909,((($F909/$AS909)^$AR909)-1)/($AR909*$AT909)))</f>
        <v/>
      </c>
      <c r="AV909">
        <f>IF($AR909="","",IF($AR909=0,$AS909*EXP($AT909*2),$AS909*(1+$AR909*$AT909*2)^(1/$AR909)))</f>
        <v/>
      </c>
      <c r="AW909">
        <f>IF($AR909="","",IF($AR909=0,$AS909*EXP($AT909*3),$AS909*(1+$AR909*$AT909*3)^(1/$AR909)))</f>
        <v/>
      </c>
      <c r="AX909">
        <f>IF($AR909="","",IF($AR909=0,$AS909*EXP($AT909*-2),$AS909*(1+$AR909*$AT909*-2)^(1/$AR909)))</f>
        <v/>
      </c>
      <c r="AY909">
        <f>IF($AR909="","",IF($AR909=0,$AS909*EXP($AT909*-3),$AS909*(1+$AR909*$AT909*-3)^(1/$AR909)))</f>
        <v/>
      </c>
      <c r="AZ909">
        <f>IF(OR($A909="",$A909&lt;&gt;Ficha!$C$4),"",COUNTIF($A$2:$A909,Ficha!$C$4))</f>
        <v/>
      </c>
    </row>
    <row r="910">
      <c r="A910" s="8">
        <f>IF(INDEX(Banco!$A:$A,ROW())="","",INDEX(Banco!$A:$A,ROW()))</f>
        <v/>
      </c>
      <c r="B910" s="8">
        <f>IF(INDEX(Banco!$B:$B,ROW())="","",INDEX(Banco!$B:$B,ROW()))</f>
        <v/>
      </c>
      <c r="C910" s="8">
        <f>IF(INDEX(Banco!$C:$C,ROW())="","",INDEX(Banco!$C:$C,ROW()))</f>
        <v/>
      </c>
      <c r="D910" s="9">
        <f>IF(INDEX(Banco!$D:$D,ROW())="","",INDEX(Banco!$D:$D,ROW()))</f>
        <v/>
      </c>
      <c r="E910" s="9">
        <f>IF(INDEX(Banco!$E:$E,ROW())="","",INDEX(Banco!$E:$E,ROW()))</f>
        <v/>
      </c>
      <c r="F910" s="10">
        <f>IF(INDEX(Banco!$F:$F,ROW())="","",INDEX(Banco!$F:$F,ROW()))</f>
        <v/>
      </c>
      <c r="G910" s="10">
        <f>IF(INDEX(Banco!$G:$G,ROW())="","",INDEX(Banco!$G:$G,ROW()))</f>
        <v/>
      </c>
      <c r="H910" s="8">
        <f>IF(INDEX(Banco!$H:$H,ROW())="","",INDEX(Banco!$H:$H,ROW()))</f>
        <v/>
      </c>
      <c r="I910">
        <f>IF($T910="","",INT($T910/12)&amp;"a "&amp;MOD($T910,12)&amp;"m")</f>
        <v/>
      </c>
      <c r="J910" s="11">
        <f>IF(OR($F910="",$G910=""),"",ROUND($F910/($G910/100)^2,2))</f>
        <v/>
      </c>
      <c r="K910" s="12">
        <f>IF(OR($S910="",$J910="",$T910="",$T910&lt;0,$T910&gt;228,$Y910=""),"—",ROUND(IF(ABS($AB910)&lt;=3,$AB910,IF($AB910&gt;3,3+($J910-$AD910)/($AD910-$AC910),-3+($J910-$AF910)/($AE910-$AF910))),2))</f>
        <v/>
      </c>
      <c r="L910">
        <f>IF(OR($K910="",$K910="—"),"",IF($T910&lt;=60,IF($K910&lt;-3,"Magreza acentuada",IF($K910&lt;-2,"Magreza",IF($K910&lt;=1,"Eutrofia",IF($K910&lt;=2,"Risco de sobrepeso",IF($K910&lt;=3,"Sobrepeso","Obesidade"))))),IF($K910&lt;-3,"Magreza acentuada",IF($K910&lt;-2,"Magreza",IF($K910&lt;=1,"Eutrofia",IF($K910&lt;=2,"Sobrepeso",IF($K910&lt;=3,"Obesidade","Obesidade grave")))))))</f>
        <v/>
      </c>
      <c r="M910" s="12">
        <f>IF(OR($S910="",$V910="",$T910="",$T910&lt;0,$T910&gt;228,$AG910=""),"—",ROUND(IF($AG910=0,LN($V910/$AH910)/$AI910,((($V910/$AH910)^$AG910)-1)/($AG910*$AI910)),2))</f>
        <v/>
      </c>
      <c r="N910">
        <f>IF(OR($M910="",$M910="—"),"",IF($M910&lt;-3,"Muito baixa",IF($M910&lt;-2,"Baixa","Adequada")))</f>
        <v/>
      </c>
      <c r="O910" s="12">
        <f>IF(OR($S910="",$F910="",$T910="",$T910&lt;0,$T910&gt;120,$AJ910=""),"—",ROUND(IF(ABS($AM910)&lt;=3,$AM910,IF($AM910&gt;3,3+($F910-$AO910)/($AO910-$AN910),-3+($F910-$AQ910)/($AP910-$AQ910))),2))</f>
        <v/>
      </c>
      <c r="P910">
        <f>IF(OR($O910="",$O910="—"),"",IF($O910&lt;-3,"Muito baixo",IF($O910&lt;-2,"Baixo",IF($O910&lt;=2,"Adequado","Elevado"))))</f>
        <v/>
      </c>
      <c r="Q910" s="12">
        <f>IF(OR($S910="",$F910="",$T910="",$T910&lt;0,$T910&gt;60,$AR910=""),"—",ROUND(IF(ABS($AU910)&lt;=3,$AU910,IF($AU910&gt;3,3+($F910-$AW910)/($AW910-$AV910),-3+($F910-$AY910)/($AX910-$AY910))),2))</f>
        <v/>
      </c>
      <c r="R910">
        <f>IF(OR($Q910="",$Q910="—"),"",IF($Q910&lt;-3,"Magreza acentuada",IF($Q910&lt;-2,"Magreza",IF($Q910&lt;=1,"Eutrofia",IF($Q910&lt;=2,"Risco de sobrepeso",IF($Q910&lt;=3,"Sobrepeso","Obesidade"))))))</f>
        <v/>
      </c>
      <c r="S910">
        <f>IF($C910="","",IF(UPPER(LEFT($C910,1))="M",1,IF(UPPER(LEFT($C910,1))="F",2,"")))</f>
        <v/>
      </c>
      <c r="T910">
        <f>IF(OR($D910="",$E910=""),"",DATEDIF($D910,$E910,"m"))</f>
        <v/>
      </c>
      <c r="U910">
        <f>IF(OR($D910="",$E910=""),"",$E910-$D910)</f>
        <v/>
      </c>
      <c r="V910">
        <f>IF(OR($G910="",$T910=""),"",IF($T910&lt;24,IF(LEFT(LOWER($H910),4)="em p",$G910+0.7,$G910),IF(LEFT(LOWER($H910),4)="deit",$G910-0.7,$G910)))</f>
        <v/>
      </c>
      <c r="W910">
        <f>IF(OR($S910="",$T910=""),"",$S910*1000000+IF($T910&lt;=60,$U910,$T910))</f>
        <v/>
      </c>
      <c r="X910">
        <f>IF(OR($S910="",$V910="",$T910&gt;60,$T910=""),"",$S910*1000000+ROUND($V910*10,0))</f>
        <v/>
      </c>
      <c r="Y910">
        <f>IF($W910="","",IFERROR(INDEX(IF($T910&lt;=60,imc05_l,imc519_l),MATCH($W910,IF($T910&lt;=60,imc05_k,imc519_k),1)),""))</f>
        <v/>
      </c>
      <c r="Z910">
        <f>IF($W910="","",IFERROR(INDEX(IF($T910&lt;=60,imc05_m,imc519_m),MATCH($W910,IF($T910&lt;=60,imc05_k,imc519_k),1)),""))</f>
        <v/>
      </c>
      <c r="AA910">
        <f>IF($W910="","",IFERROR(INDEX(IF($T910&lt;=60,imc05_s,imc519_s),MATCH($W910,IF($T910&lt;=60,imc05_k,imc519_k),1)),""))</f>
        <v/>
      </c>
      <c r="AB910">
        <f>IF($Y910="","",IF($Y910=0,LN($J910/$Z910)/$AA910,((($J910/$Z910)^$Y910)-1)/($Y910*$AA910)))</f>
        <v/>
      </c>
      <c r="AC910">
        <f>IF($Y910="","",IF($Y910=0,$Z910*EXP($AA910*2),$Z910*(1+$Y910*$AA910*2)^(1/$Y910)))</f>
        <v/>
      </c>
      <c r="AD910">
        <f>IF($Y910="","",IF($Y910=0,$Z910*EXP($AA910*3),$Z910*(1+$Y910*$AA910*3)^(1/$Y910)))</f>
        <v/>
      </c>
      <c r="AE910">
        <f>IF($Y910="","",IF($Y910=0,$Z910*EXP($AA910*-2),$Z910*(1+$Y910*$AA910*-2)^(1/$Y910)))</f>
        <v/>
      </c>
      <c r="AF910">
        <f>IF($Y910="","",IF($Y910=0,$Z910*EXP($AA910*-3),$Z910*(1+$Y910*$AA910*-3)^(1/$Y910)))</f>
        <v/>
      </c>
      <c r="AG910">
        <f>IF($W910="","",IFERROR(INDEX(IF($T910&lt;=60,est05_l,est519_l),MATCH($W910,IF($T910&lt;=60,est05_k,est519_k),1)),""))</f>
        <v/>
      </c>
      <c r="AH910">
        <f>IF($W910="","",IFERROR(INDEX(IF($T910&lt;=60,est05_m,est519_m),MATCH($W910,IF($T910&lt;=60,est05_k,est519_k),1)),""))</f>
        <v/>
      </c>
      <c r="AI910">
        <f>IF($W910="","",IFERROR(INDEX(IF($T910&lt;=60,est05_s,est519_s),MATCH($W910,IF($T910&lt;=60,est05_k,est519_k),1)),""))</f>
        <v/>
      </c>
      <c r="AJ910">
        <f>IF($W910="","",IFERROR(INDEX(IF($T910&lt;=60,peso05_l,peso510_l),MATCH($W910,IF($T910&lt;=60,peso05_k,peso510_k),1)),""))</f>
        <v/>
      </c>
      <c r="AK910">
        <f>IF($W910="","",IFERROR(INDEX(IF($T910&lt;=60,peso05_m,peso510_m),MATCH($W910,IF($T910&lt;=60,peso05_k,peso510_k),1)),""))</f>
        <v/>
      </c>
      <c r="AL910">
        <f>IF($W910="","",IFERROR(INDEX(IF($T910&lt;=60,peso05_s,peso510_s),MATCH($W910,IF($T910&lt;=60,peso05_k,peso510_k),1)),""))</f>
        <v/>
      </c>
      <c r="AM910">
        <f>IF($AJ910="","",IF($AJ910=0,LN($F910/$AK910)/$AL910,((($F910/$AK910)^$AJ910)-1)/($AJ910*$AL910)))</f>
        <v/>
      </c>
      <c r="AN910">
        <f>IF($AJ910="","",IF($AJ910=0,$AK910*EXP($AL910*2),$AK910*(1+$AJ910*$AL910*2)^(1/$AJ910)))</f>
        <v/>
      </c>
      <c r="AO910">
        <f>IF($AJ910="","",IF($AJ910=0,$AK910*EXP($AL910*3),$AK910*(1+$AJ910*$AL910*3)^(1/$AJ910)))</f>
        <v/>
      </c>
      <c r="AP910">
        <f>IF($AJ910="","",IF($AJ910=0,$AK910*EXP($AL910*-2),$AK910*(1+$AJ910*$AL910*-2)^(1/$AJ910)))</f>
        <v/>
      </c>
      <c r="AQ910">
        <f>IF($AJ910="","",IF($AJ910=0,$AK910*EXP($AL910*-3),$AK910*(1+$AJ910*$AL910*-3)^(1/$AJ910)))</f>
        <v/>
      </c>
      <c r="AR910">
        <f>IF(OR($X910="",$T910&gt;60),"",IFERROR(INDEX(IF($T910&lt;24,pcomp_l,palt_l),MATCH($X910,IF($T910&lt;24,pcomp_k,palt_k),1)),""))</f>
        <v/>
      </c>
      <c r="AS910">
        <f>IF(OR($X910="",$T910&gt;60),"",IFERROR(INDEX(IF($T910&lt;24,pcomp_m,palt_m),MATCH($X910,IF($T910&lt;24,pcomp_k,palt_k),1)),""))</f>
        <v/>
      </c>
      <c r="AT910">
        <f>IF(OR($X910="",$T910&gt;60),"",IFERROR(INDEX(IF($T910&lt;24,pcomp_s,palt_s),MATCH($X910,IF($T910&lt;24,pcomp_k,palt_k),1)),""))</f>
        <v/>
      </c>
      <c r="AU910">
        <f>IF($AR910="","",IF($AR910=0,LN($F910/$AS910)/$AT910,((($F910/$AS910)^$AR910)-1)/($AR910*$AT910)))</f>
        <v/>
      </c>
      <c r="AV910">
        <f>IF($AR910="","",IF($AR910=0,$AS910*EXP($AT910*2),$AS910*(1+$AR910*$AT910*2)^(1/$AR910)))</f>
        <v/>
      </c>
      <c r="AW910">
        <f>IF($AR910="","",IF($AR910=0,$AS910*EXP($AT910*3),$AS910*(1+$AR910*$AT910*3)^(1/$AR910)))</f>
        <v/>
      </c>
      <c r="AX910">
        <f>IF($AR910="","",IF($AR910=0,$AS910*EXP($AT910*-2),$AS910*(1+$AR910*$AT910*-2)^(1/$AR910)))</f>
        <v/>
      </c>
      <c r="AY910">
        <f>IF($AR910="","",IF($AR910=0,$AS910*EXP($AT910*-3),$AS910*(1+$AR910*$AT910*-3)^(1/$AR910)))</f>
        <v/>
      </c>
      <c r="AZ910">
        <f>IF(OR($A910="",$A910&lt;&gt;Ficha!$C$4),"",COUNTIF($A$2:$A910,Ficha!$C$4))</f>
        <v/>
      </c>
    </row>
    <row r="911">
      <c r="A911" s="8">
        <f>IF(INDEX(Banco!$A:$A,ROW())="","",INDEX(Banco!$A:$A,ROW()))</f>
        <v/>
      </c>
      <c r="B911" s="8">
        <f>IF(INDEX(Banco!$B:$B,ROW())="","",INDEX(Banco!$B:$B,ROW()))</f>
        <v/>
      </c>
      <c r="C911" s="8">
        <f>IF(INDEX(Banco!$C:$C,ROW())="","",INDEX(Banco!$C:$C,ROW()))</f>
        <v/>
      </c>
      <c r="D911" s="9">
        <f>IF(INDEX(Banco!$D:$D,ROW())="","",INDEX(Banco!$D:$D,ROW()))</f>
        <v/>
      </c>
      <c r="E911" s="9">
        <f>IF(INDEX(Banco!$E:$E,ROW())="","",INDEX(Banco!$E:$E,ROW()))</f>
        <v/>
      </c>
      <c r="F911" s="10">
        <f>IF(INDEX(Banco!$F:$F,ROW())="","",INDEX(Banco!$F:$F,ROW()))</f>
        <v/>
      </c>
      <c r="G911" s="10">
        <f>IF(INDEX(Banco!$G:$G,ROW())="","",INDEX(Banco!$G:$G,ROW()))</f>
        <v/>
      </c>
      <c r="H911" s="8">
        <f>IF(INDEX(Banco!$H:$H,ROW())="","",INDEX(Banco!$H:$H,ROW()))</f>
        <v/>
      </c>
      <c r="I911">
        <f>IF($T911="","",INT($T911/12)&amp;"a "&amp;MOD($T911,12)&amp;"m")</f>
        <v/>
      </c>
      <c r="J911" s="11">
        <f>IF(OR($F911="",$G911=""),"",ROUND($F911/($G911/100)^2,2))</f>
        <v/>
      </c>
      <c r="K911" s="12">
        <f>IF(OR($S911="",$J911="",$T911="",$T911&lt;0,$T911&gt;228,$Y911=""),"—",ROUND(IF(ABS($AB911)&lt;=3,$AB911,IF($AB911&gt;3,3+($J911-$AD911)/($AD911-$AC911),-3+($J911-$AF911)/($AE911-$AF911))),2))</f>
        <v/>
      </c>
      <c r="L911">
        <f>IF(OR($K911="",$K911="—"),"",IF($T911&lt;=60,IF($K911&lt;-3,"Magreza acentuada",IF($K911&lt;-2,"Magreza",IF($K911&lt;=1,"Eutrofia",IF($K911&lt;=2,"Risco de sobrepeso",IF($K911&lt;=3,"Sobrepeso","Obesidade"))))),IF($K911&lt;-3,"Magreza acentuada",IF($K911&lt;-2,"Magreza",IF($K911&lt;=1,"Eutrofia",IF($K911&lt;=2,"Sobrepeso",IF($K911&lt;=3,"Obesidade","Obesidade grave")))))))</f>
        <v/>
      </c>
      <c r="M911" s="12">
        <f>IF(OR($S911="",$V911="",$T911="",$T911&lt;0,$T911&gt;228,$AG911=""),"—",ROUND(IF($AG911=0,LN($V911/$AH911)/$AI911,((($V911/$AH911)^$AG911)-1)/($AG911*$AI911)),2))</f>
        <v/>
      </c>
      <c r="N911">
        <f>IF(OR($M911="",$M911="—"),"",IF($M911&lt;-3,"Muito baixa",IF($M911&lt;-2,"Baixa","Adequada")))</f>
        <v/>
      </c>
      <c r="O911" s="12">
        <f>IF(OR($S911="",$F911="",$T911="",$T911&lt;0,$T911&gt;120,$AJ911=""),"—",ROUND(IF(ABS($AM911)&lt;=3,$AM911,IF($AM911&gt;3,3+($F911-$AO911)/($AO911-$AN911),-3+($F911-$AQ911)/($AP911-$AQ911))),2))</f>
        <v/>
      </c>
      <c r="P911">
        <f>IF(OR($O911="",$O911="—"),"",IF($O911&lt;-3,"Muito baixo",IF($O911&lt;-2,"Baixo",IF($O911&lt;=2,"Adequado","Elevado"))))</f>
        <v/>
      </c>
      <c r="Q911" s="12">
        <f>IF(OR($S911="",$F911="",$T911="",$T911&lt;0,$T911&gt;60,$AR911=""),"—",ROUND(IF(ABS($AU911)&lt;=3,$AU911,IF($AU911&gt;3,3+($F911-$AW911)/($AW911-$AV911),-3+($F911-$AY911)/($AX911-$AY911))),2))</f>
        <v/>
      </c>
      <c r="R911">
        <f>IF(OR($Q911="",$Q911="—"),"",IF($Q911&lt;-3,"Magreza acentuada",IF($Q911&lt;-2,"Magreza",IF($Q911&lt;=1,"Eutrofia",IF($Q911&lt;=2,"Risco de sobrepeso",IF($Q911&lt;=3,"Sobrepeso","Obesidade"))))))</f>
        <v/>
      </c>
      <c r="S911">
        <f>IF($C911="","",IF(UPPER(LEFT($C911,1))="M",1,IF(UPPER(LEFT($C911,1))="F",2,"")))</f>
        <v/>
      </c>
      <c r="T911">
        <f>IF(OR($D911="",$E911=""),"",DATEDIF($D911,$E911,"m"))</f>
        <v/>
      </c>
      <c r="U911">
        <f>IF(OR($D911="",$E911=""),"",$E911-$D911)</f>
        <v/>
      </c>
      <c r="V911">
        <f>IF(OR($G911="",$T911=""),"",IF($T911&lt;24,IF(LEFT(LOWER($H911),4)="em p",$G911+0.7,$G911),IF(LEFT(LOWER($H911),4)="deit",$G911-0.7,$G911)))</f>
        <v/>
      </c>
      <c r="W911">
        <f>IF(OR($S911="",$T911=""),"",$S911*1000000+IF($T911&lt;=60,$U911,$T911))</f>
        <v/>
      </c>
      <c r="X911">
        <f>IF(OR($S911="",$V911="",$T911&gt;60,$T911=""),"",$S911*1000000+ROUND($V911*10,0))</f>
        <v/>
      </c>
      <c r="Y911">
        <f>IF($W911="","",IFERROR(INDEX(IF($T911&lt;=60,imc05_l,imc519_l),MATCH($W911,IF($T911&lt;=60,imc05_k,imc519_k),1)),""))</f>
        <v/>
      </c>
      <c r="Z911">
        <f>IF($W911="","",IFERROR(INDEX(IF($T911&lt;=60,imc05_m,imc519_m),MATCH($W911,IF($T911&lt;=60,imc05_k,imc519_k),1)),""))</f>
        <v/>
      </c>
      <c r="AA911">
        <f>IF($W911="","",IFERROR(INDEX(IF($T911&lt;=60,imc05_s,imc519_s),MATCH($W911,IF($T911&lt;=60,imc05_k,imc519_k),1)),""))</f>
        <v/>
      </c>
      <c r="AB911">
        <f>IF($Y911="","",IF($Y911=0,LN($J911/$Z911)/$AA911,((($J911/$Z911)^$Y911)-1)/($Y911*$AA911)))</f>
        <v/>
      </c>
      <c r="AC911">
        <f>IF($Y911="","",IF($Y911=0,$Z911*EXP($AA911*2),$Z911*(1+$Y911*$AA911*2)^(1/$Y911)))</f>
        <v/>
      </c>
      <c r="AD911">
        <f>IF($Y911="","",IF($Y911=0,$Z911*EXP($AA911*3),$Z911*(1+$Y911*$AA911*3)^(1/$Y911)))</f>
        <v/>
      </c>
      <c r="AE911">
        <f>IF($Y911="","",IF($Y911=0,$Z911*EXP($AA911*-2),$Z911*(1+$Y911*$AA911*-2)^(1/$Y911)))</f>
        <v/>
      </c>
      <c r="AF911">
        <f>IF($Y911="","",IF($Y911=0,$Z911*EXP($AA911*-3),$Z911*(1+$Y911*$AA911*-3)^(1/$Y911)))</f>
        <v/>
      </c>
      <c r="AG911">
        <f>IF($W911="","",IFERROR(INDEX(IF($T911&lt;=60,est05_l,est519_l),MATCH($W911,IF($T911&lt;=60,est05_k,est519_k),1)),""))</f>
        <v/>
      </c>
      <c r="AH911">
        <f>IF($W911="","",IFERROR(INDEX(IF($T911&lt;=60,est05_m,est519_m),MATCH($W911,IF($T911&lt;=60,est05_k,est519_k),1)),""))</f>
        <v/>
      </c>
      <c r="AI911">
        <f>IF($W911="","",IFERROR(INDEX(IF($T911&lt;=60,est05_s,est519_s),MATCH($W911,IF($T911&lt;=60,est05_k,est519_k),1)),""))</f>
        <v/>
      </c>
      <c r="AJ911">
        <f>IF($W911="","",IFERROR(INDEX(IF($T911&lt;=60,peso05_l,peso510_l),MATCH($W911,IF($T911&lt;=60,peso05_k,peso510_k),1)),""))</f>
        <v/>
      </c>
      <c r="AK911">
        <f>IF($W911="","",IFERROR(INDEX(IF($T911&lt;=60,peso05_m,peso510_m),MATCH($W911,IF($T911&lt;=60,peso05_k,peso510_k),1)),""))</f>
        <v/>
      </c>
      <c r="AL911">
        <f>IF($W911="","",IFERROR(INDEX(IF($T911&lt;=60,peso05_s,peso510_s),MATCH($W911,IF($T911&lt;=60,peso05_k,peso510_k),1)),""))</f>
        <v/>
      </c>
      <c r="AM911">
        <f>IF($AJ911="","",IF($AJ911=0,LN($F911/$AK911)/$AL911,((($F911/$AK911)^$AJ911)-1)/($AJ911*$AL911)))</f>
        <v/>
      </c>
      <c r="AN911">
        <f>IF($AJ911="","",IF($AJ911=0,$AK911*EXP($AL911*2),$AK911*(1+$AJ911*$AL911*2)^(1/$AJ911)))</f>
        <v/>
      </c>
      <c r="AO911">
        <f>IF($AJ911="","",IF($AJ911=0,$AK911*EXP($AL911*3),$AK911*(1+$AJ911*$AL911*3)^(1/$AJ911)))</f>
        <v/>
      </c>
      <c r="AP911">
        <f>IF($AJ911="","",IF($AJ911=0,$AK911*EXP($AL911*-2),$AK911*(1+$AJ911*$AL911*-2)^(1/$AJ911)))</f>
        <v/>
      </c>
      <c r="AQ911">
        <f>IF($AJ911="","",IF($AJ911=0,$AK911*EXP($AL911*-3),$AK911*(1+$AJ911*$AL911*-3)^(1/$AJ911)))</f>
        <v/>
      </c>
      <c r="AR911">
        <f>IF(OR($X911="",$T911&gt;60),"",IFERROR(INDEX(IF($T911&lt;24,pcomp_l,palt_l),MATCH($X911,IF($T911&lt;24,pcomp_k,palt_k),1)),""))</f>
        <v/>
      </c>
      <c r="AS911">
        <f>IF(OR($X911="",$T911&gt;60),"",IFERROR(INDEX(IF($T911&lt;24,pcomp_m,palt_m),MATCH($X911,IF($T911&lt;24,pcomp_k,palt_k),1)),""))</f>
        <v/>
      </c>
      <c r="AT911">
        <f>IF(OR($X911="",$T911&gt;60),"",IFERROR(INDEX(IF($T911&lt;24,pcomp_s,palt_s),MATCH($X911,IF($T911&lt;24,pcomp_k,palt_k),1)),""))</f>
        <v/>
      </c>
      <c r="AU911">
        <f>IF($AR911="","",IF($AR911=0,LN($F911/$AS911)/$AT911,((($F911/$AS911)^$AR911)-1)/($AR911*$AT911)))</f>
        <v/>
      </c>
      <c r="AV911">
        <f>IF($AR911="","",IF($AR911=0,$AS911*EXP($AT911*2),$AS911*(1+$AR911*$AT911*2)^(1/$AR911)))</f>
        <v/>
      </c>
      <c r="AW911">
        <f>IF($AR911="","",IF($AR911=0,$AS911*EXP($AT911*3),$AS911*(1+$AR911*$AT911*3)^(1/$AR911)))</f>
        <v/>
      </c>
      <c r="AX911">
        <f>IF($AR911="","",IF($AR911=0,$AS911*EXP($AT911*-2),$AS911*(1+$AR911*$AT911*-2)^(1/$AR911)))</f>
        <v/>
      </c>
      <c r="AY911">
        <f>IF($AR911="","",IF($AR911=0,$AS911*EXP($AT911*-3),$AS911*(1+$AR911*$AT911*-3)^(1/$AR911)))</f>
        <v/>
      </c>
      <c r="AZ911">
        <f>IF(OR($A911="",$A911&lt;&gt;Ficha!$C$4),"",COUNTIF($A$2:$A911,Ficha!$C$4))</f>
        <v/>
      </c>
    </row>
    <row r="912">
      <c r="A912" s="8">
        <f>IF(INDEX(Banco!$A:$A,ROW())="","",INDEX(Banco!$A:$A,ROW()))</f>
        <v/>
      </c>
      <c r="B912" s="8">
        <f>IF(INDEX(Banco!$B:$B,ROW())="","",INDEX(Banco!$B:$B,ROW()))</f>
        <v/>
      </c>
      <c r="C912" s="8">
        <f>IF(INDEX(Banco!$C:$C,ROW())="","",INDEX(Banco!$C:$C,ROW()))</f>
        <v/>
      </c>
      <c r="D912" s="9">
        <f>IF(INDEX(Banco!$D:$D,ROW())="","",INDEX(Banco!$D:$D,ROW()))</f>
        <v/>
      </c>
      <c r="E912" s="9">
        <f>IF(INDEX(Banco!$E:$E,ROW())="","",INDEX(Banco!$E:$E,ROW()))</f>
        <v/>
      </c>
      <c r="F912" s="10">
        <f>IF(INDEX(Banco!$F:$F,ROW())="","",INDEX(Banco!$F:$F,ROW()))</f>
        <v/>
      </c>
      <c r="G912" s="10">
        <f>IF(INDEX(Banco!$G:$G,ROW())="","",INDEX(Banco!$G:$G,ROW()))</f>
        <v/>
      </c>
      <c r="H912" s="8">
        <f>IF(INDEX(Banco!$H:$H,ROW())="","",INDEX(Banco!$H:$H,ROW()))</f>
        <v/>
      </c>
      <c r="I912">
        <f>IF($T912="","",INT($T912/12)&amp;"a "&amp;MOD($T912,12)&amp;"m")</f>
        <v/>
      </c>
      <c r="J912" s="11">
        <f>IF(OR($F912="",$G912=""),"",ROUND($F912/($G912/100)^2,2))</f>
        <v/>
      </c>
      <c r="K912" s="12">
        <f>IF(OR($S912="",$J912="",$T912="",$T912&lt;0,$T912&gt;228,$Y912=""),"—",ROUND(IF(ABS($AB912)&lt;=3,$AB912,IF($AB912&gt;3,3+($J912-$AD912)/($AD912-$AC912),-3+($J912-$AF912)/($AE912-$AF912))),2))</f>
        <v/>
      </c>
      <c r="L912">
        <f>IF(OR($K912="",$K912="—"),"",IF($T912&lt;=60,IF($K912&lt;-3,"Magreza acentuada",IF($K912&lt;-2,"Magreza",IF($K912&lt;=1,"Eutrofia",IF($K912&lt;=2,"Risco de sobrepeso",IF($K912&lt;=3,"Sobrepeso","Obesidade"))))),IF($K912&lt;-3,"Magreza acentuada",IF($K912&lt;-2,"Magreza",IF($K912&lt;=1,"Eutrofia",IF($K912&lt;=2,"Sobrepeso",IF($K912&lt;=3,"Obesidade","Obesidade grave")))))))</f>
        <v/>
      </c>
      <c r="M912" s="12">
        <f>IF(OR($S912="",$V912="",$T912="",$T912&lt;0,$T912&gt;228,$AG912=""),"—",ROUND(IF($AG912=0,LN($V912/$AH912)/$AI912,((($V912/$AH912)^$AG912)-1)/($AG912*$AI912)),2))</f>
        <v/>
      </c>
      <c r="N912">
        <f>IF(OR($M912="",$M912="—"),"",IF($M912&lt;-3,"Muito baixa",IF($M912&lt;-2,"Baixa","Adequada")))</f>
        <v/>
      </c>
      <c r="O912" s="12">
        <f>IF(OR($S912="",$F912="",$T912="",$T912&lt;0,$T912&gt;120,$AJ912=""),"—",ROUND(IF(ABS($AM912)&lt;=3,$AM912,IF($AM912&gt;3,3+($F912-$AO912)/($AO912-$AN912),-3+($F912-$AQ912)/($AP912-$AQ912))),2))</f>
        <v/>
      </c>
      <c r="P912">
        <f>IF(OR($O912="",$O912="—"),"",IF($O912&lt;-3,"Muito baixo",IF($O912&lt;-2,"Baixo",IF($O912&lt;=2,"Adequado","Elevado"))))</f>
        <v/>
      </c>
      <c r="Q912" s="12">
        <f>IF(OR($S912="",$F912="",$T912="",$T912&lt;0,$T912&gt;60,$AR912=""),"—",ROUND(IF(ABS($AU912)&lt;=3,$AU912,IF($AU912&gt;3,3+($F912-$AW912)/($AW912-$AV912),-3+($F912-$AY912)/($AX912-$AY912))),2))</f>
        <v/>
      </c>
      <c r="R912">
        <f>IF(OR($Q912="",$Q912="—"),"",IF($Q912&lt;-3,"Magreza acentuada",IF($Q912&lt;-2,"Magreza",IF($Q912&lt;=1,"Eutrofia",IF($Q912&lt;=2,"Risco de sobrepeso",IF($Q912&lt;=3,"Sobrepeso","Obesidade"))))))</f>
        <v/>
      </c>
      <c r="S912">
        <f>IF($C912="","",IF(UPPER(LEFT($C912,1))="M",1,IF(UPPER(LEFT($C912,1))="F",2,"")))</f>
        <v/>
      </c>
      <c r="T912">
        <f>IF(OR($D912="",$E912=""),"",DATEDIF($D912,$E912,"m"))</f>
        <v/>
      </c>
      <c r="U912">
        <f>IF(OR($D912="",$E912=""),"",$E912-$D912)</f>
        <v/>
      </c>
      <c r="V912">
        <f>IF(OR($G912="",$T912=""),"",IF($T912&lt;24,IF(LEFT(LOWER($H912),4)="em p",$G912+0.7,$G912),IF(LEFT(LOWER($H912),4)="deit",$G912-0.7,$G912)))</f>
        <v/>
      </c>
      <c r="W912">
        <f>IF(OR($S912="",$T912=""),"",$S912*1000000+IF($T912&lt;=60,$U912,$T912))</f>
        <v/>
      </c>
      <c r="X912">
        <f>IF(OR($S912="",$V912="",$T912&gt;60,$T912=""),"",$S912*1000000+ROUND($V912*10,0))</f>
        <v/>
      </c>
      <c r="Y912">
        <f>IF($W912="","",IFERROR(INDEX(IF($T912&lt;=60,imc05_l,imc519_l),MATCH($W912,IF($T912&lt;=60,imc05_k,imc519_k),1)),""))</f>
        <v/>
      </c>
      <c r="Z912">
        <f>IF($W912="","",IFERROR(INDEX(IF($T912&lt;=60,imc05_m,imc519_m),MATCH($W912,IF($T912&lt;=60,imc05_k,imc519_k),1)),""))</f>
        <v/>
      </c>
      <c r="AA912">
        <f>IF($W912="","",IFERROR(INDEX(IF($T912&lt;=60,imc05_s,imc519_s),MATCH($W912,IF($T912&lt;=60,imc05_k,imc519_k),1)),""))</f>
        <v/>
      </c>
      <c r="AB912">
        <f>IF($Y912="","",IF($Y912=0,LN($J912/$Z912)/$AA912,((($J912/$Z912)^$Y912)-1)/($Y912*$AA912)))</f>
        <v/>
      </c>
      <c r="AC912">
        <f>IF($Y912="","",IF($Y912=0,$Z912*EXP($AA912*2),$Z912*(1+$Y912*$AA912*2)^(1/$Y912)))</f>
        <v/>
      </c>
      <c r="AD912">
        <f>IF($Y912="","",IF($Y912=0,$Z912*EXP($AA912*3),$Z912*(1+$Y912*$AA912*3)^(1/$Y912)))</f>
        <v/>
      </c>
      <c r="AE912">
        <f>IF($Y912="","",IF($Y912=0,$Z912*EXP($AA912*-2),$Z912*(1+$Y912*$AA912*-2)^(1/$Y912)))</f>
        <v/>
      </c>
      <c r="AF912">
        <f>IF($Y912="","",IF($Y912=0,$Z912*EXP($AA912*-3),$Z912*(1+$Y912*$AA912*-3)^(1/$Y912)))</f>
        <v/>
      </c>
      <c r="AG912">
        <f>IF($W912="","",IFERROR(INDEX(IF($T912&lt;=60,est05_l,est519_l),MATCH($W912,IF($T912&lt;=60,est05_k,est519_k),1)),""))</f>
        <v/>
      </c>
      <c r="AH912">
        <f>IF($W912="","",IFERROR(INDEX(IF($T912&lt;=60,est05_m,est519_m),MATCH($W912,IF($T912&lt;=60,est05_k,est519_k),1)),""))</f>
        <v/>
      </c>
      <c r="AI912">
        <f>IF($W912="","",IFERROR(INDEX(IF($T912&lt;=60,est05_s,est519_s),MATCH($W912,IF($T912&lt;=60,est05_k,est519_k),1)),""))</f>
        <v/>
      </c>
      <c r="AJ912">
        <f>IF($W912="","",IFERROR(INDEX(IF($T912&lt;=60,peso05_l,peso510_l),MATCH($W912,IF($T912&lt;=60,peso05_k,peso510_k),1)),""))</f>
        <v/>
      </c>
      <c r="AK912">
        <f>IF($W912="","",IFERROR(INDEX(IF($T912&lt;=60,peso05_m,peso510_m),MATCH($W912,IF($T912&lt;=60,peso05_k,peso510_k),1)),""))</f>
        <v/>
      </c>
      <c r="AL912">
        <f>IF($W912="","",IFERROR(INDEX(IF($T912&lt;=60,peso05_s,peso510_s),MATCH($W912,IF($T912&lt;=60,peso05_k,peso510_k),1)),""))</f>
        <v/>
      </c>
      <c r="AM912">
        <f>IF($AJ912="","",IF($AJ912=0,LN($F912/$AK912)/$AL912,((($F912/$AK912)^$AJ912)-1)/($AJ912*$AL912)))</f>
        <v/>
      </c>
      <c r="AN912">
        <f>IF($AJ912="","",IF($AJ912=0,$AK912*EXP($AL912*2),$AK912*(1+$AJ912*$AL912*2)^(1/$AJ912)))</f>
        <v/>
      </c>
      <c r="AO912">
        <f>IF($AJ912="","",IF($AJ912=0,$AK912*EXP($AL912*3),$AK912*(1+$AJ912*$AL912*3)^(1/$AJ912)))</f>
        <v/>
      </c>
      <c r="AP912">
        <f>IF($AJ912="","",IF($AJ912=0,$AK912*EXP($AL912*-2),$AK912*(1+$AJ912*$AL912*-2)^(1/$AJ912)))</f>
        <v/>
      </c>
      <c r="AQ912">
        <f>IF($AJ912="","",IF($AJ912=0,$AK912*EXP($AL912*-3),$AK912*(1+$AJ912*$AL912*-3)^(1/$AJ912)))</f>
        <v/>
      </c>
      <c r="AR912">
        <f>IF(OR($X912="",$T912&gt;60),"",IFERROR(INDEX(IF($T912&lt;24,pcomp_l,palt_l),MATCH($X912,IF($T912&lt;24,pcomp_k,palt_k),1)),""))</f>
        <v/>
      </c>
      <c r="AS912">
        <f>IF(OR($X912="",$T912&gt;60),"",IFERROR(INDEX(IF($T912&lt;24,pcomp_m,palt_m),MATCH($X912,IF($T912&lt;24,pcomp_k,palt_k),1)),""))</f>
        <v/>
      </c>
      <c r="AT912">
        <f>IF(OR($X912="",$T912&gt;60),"",IFERROR(INDEX(IF($T912&lt;24,pcomp_s,palt_s),MATCH($X912,IF($T912&lt;24,pcomp_k,palt_k),1)),""))</f>
        <v/>
      </c>
      <c r="AU912">
        <f>IF($AR912="","",IF($AR912=0,LN($F912/$AS912)/$AT912,((($F912/$AS912)^$AR912)-1)/($AR912*$AT912)))</f>
        <v/>
      </c>
      <c r="AV912">
        <f>IF($AR912="","",IF($AR912=0,$AS912*EXP($AT912*2),$AS912*(1+$AR912*$AT912*2)^(1/$AR912)))</f>
        <v/>
      </c>
      <c r="AW912">
        <f>IF($AR912="","",IF($AR912=0,$AS912*EXP($AT912*3),$AS912*(1+$AR912*$AT912*3)^(1/$AR912)))</f>
        <v/>
      </c>
      <c r="AX912">
        <f>IF($AR912="","",IF($AR912=0,$AS912*EXP($AT912*-2),$AS912*(1+$AR912*$AT912*-2)^(1/$AR912)))</f>
        <v/>
      </c>
      <c r="AY912">
        <f>IF($AR912="","",IF($AR912=0,$AS912*EXP($AT912*-3),$AS912*(1+$AR912*$AT912*-3)^(1/$AR912)))</f>
        <v/>
      </c>
      <c r="AZ912">
        <f>IF(OR($A912="",$A912&lt;&gt;Ficha!$C$4),"",COUNTIF($A$2:$A912,Ficha!$C$4))</f>
        <v/>
      </c>
    </row>
    <row r="913">
      <c r="A913" s="8">
        <f>IF(INDEX(Banco!$A:$A,ROW())="","",INDEX(Banco!$A:$A,ROW()))</f>
        <v/>
      </c>
      <c r="B913" s="8">
        <f>IF(INDEX(Banco!$B:$B,ROW())="","",INDEX(Banco!$B:$B,ROW()))</f>
        <v/>
      </c>
      <c r="C913" s="8">
        <f>IF(INDEX(Banco!$C:$C,ROW())="","",INDEX(Banco!$C:$C,ROW()))</f>
        <v/>
      </c>
      <c r="D913" s="9">
        <f>IF(INDEX(Banco!$D:$D,ROW())="","",INDEX(Banco!$D:$D,ROW()))</f>
        <v/>
      </c>
      <c r="E913" s="9">
        <f>IF(INDEX(Banco!$E:$E,ROW())="","",INDEX(Banco!$E:$E,ROW()))</f>
        <v/>
      </c>
      <c r="F913" s="10">
        <f>IF(INDEX(Banco!$F:$F,ROW())="","",INDEX(Banco!$F:$F,ROW()))</f>
        <v/>
      </c>
      <c r="G913" s="10">
        <f>IF(INDEX(Banco!$G:$G,ROW())="","",INDEX(Banco!$G:$G,ROW()))</f>
        <v/>
      </c>
      <c r="H913" s="8">
        <f>IF(INDEX(Banco!$H:$H,ROW())="","",INDEX(Banco!$H:$H,ROW()))</f>
        <v/>
      </c>
      <c r="I913">
        <f>IF($T913="","",INT($T913/12)&amp;"a "&amp;MOD($T913,12)&amp;"m")</f>
        <v/>
      </c>
      <c r="J913" s="11">
        <f>IF(OR($F913="",$G913=""),"",ROUND($F913/($G913/100)^2,2))</f>
        <v/>
      </c>
      <c r="K913" s="12">
        <f>IF(OR($S913="",$J913="",$T913="",$T913&lt;0,$T913&gt;228,$Y913=""),"—",ROUND(IF(ABS($AB913)&lt;=3,$AB913,IF($AB913&gt;3,3+($J913-$AD913)/($AD913-$AC913),-3+($J913-$AF913)/($AE913-$AF913))),2))</f>
        <v/>
      </c>
      <c r="L913">
        <f>IF(OR($K913="",$K913="—"),"",IF($T913&lt;=60,IF($K913&lt;-3,"Magreza acentuada",IF($K913&lt;-2,"Magreza",IF($K913&lt;=1,"Eutrofia",IF($K913&lt;=2,"Risco de sobrepeso",IF($K913&lt;=3,"Sobrepeso","Obesidade"))))),IF($K913&lt;-3,"Magreza acentuada",IF($K913&lt;-2,"Magreza",IF($K913&lt;=1,"Eutrofia",IF($K913&lt;=2,"Sobrepeso",IF($K913&lt;=3,"Obesidade","Obesidade grave")))))))</f>
        <v/>
      </c>
      <c r="M913" s="12">
        <f>IF(OR($S913="",$V913="",$T913="",$T913&lt;0,$T913&gt;228,$AG913=""),"—",ROUND(IF($AG913=0,LN($V913/$AH913)/$AI913,((($V913/$AH913)^$AG913)-1)/($AG913*$AI913)),2))</f>
        <v/>
      </c>
      <c r="N913">
        <f>IF(OR($M913="",$M913="—"),"",IF($M913&lt;-3,"Muito baixa",IF($M913&lt;-2,"Baixa","Adequada")))</f>
        <v/>
      </c>
      <c r="O913" s="12">
        <f>IF(OR($S913="",$F913="",$T913="",$T913&lt;0,$T913&gt;120,$AJ913=""),"—",ROUND(IF(ABS($AM913)&lt;=3,$AM913,IF($AM913&gt;3,3+($F913-$AO913)/($AO913-$AN913),-3+($F913-$AQ913)/($AP913-$AQ913))),2))</f>
        <v/>
      </c>
      <c r="P913">
        <f>IF(OR($O913="",$O913="—"),"",IF($O913&lt;-3,"Muito baixo",IF($O913&lt;-2,"Baixo",IF($O913&lt;=2,"Adequado","Elevado"))))</f>
        <v/>
      </c>
      <c r="Q913" s="12">
        <f>IF(OR($S913="",$F913="",$T913="",$T913&lt;0,$T913&gt;60,$AR913=""),"—",ROUND(IF(ABS($AU913)&lt;=3,$AU913,IF($AU913&gt;3,3+($F913-$AW913)/($AW913-$AV913),-3+($F913-$AY913)/($AX913-$AY913))),2))</f>
        <v/>
      </c>
      <c r="R913">
        <f>IF(OR($Q913="",$Q913="—"),"",IF($Q913&lt;-3,"Magreza acentuada",IF($Q913&lt;-2,"Magreza",IF($Q913&lt;=1,"Eutrofia",IF($Q913&lt;=2,"Risco de sobrepeso",IF($Q913&lt;=3,"Sobrepeso","Obesidade"))))))</f>
        <v/>
      </c>
      <c r="S913">
        <f>IF($C913="","",IF(UPPER(LEFT($C913,1))="M",1,IF(UPPER(LEFT($C913,1))="F",2,"")))</f>
        <v/>
      </c>
      <c r="T913">
        <f>IF(OR($D913="",$E913=""),"",DATEDIF($D913,$E913,"m"))</f>
        <v/>
      </c>
      <c r="U913">
        <f>IF(OR($D913="",$E913=""),"",$E913-$D913)</f>
        <v/>
      </c>
      <c r="V913">
        <f>IF(OR($G913="",$T913=""),"",IF($T913&lt;24,IF(LEFT(LOWER($H913),4)="em p",$G913+0.7,$G913),IF(LEFT(LOWER($H913),4)="deit",$G913-0.7,$G913)))</f>
        <v/>
      </c>
      <c r="W913">
        <f>IF(OR($S913="",$T913=""),"",$S913*1000000+IF($T913&lt;=60,$U913,$T913))</f>
        <v/>
      </c>
      <c r="X913">
        <f>IF(OR($S913="",$V913="",$T913&gt;60,$T913=""),"",$S913*1000000+ROUND($V913*10,0))</f>
        <v/>
      </c>
      <c r="Y913">
        <f>IF($W913="","",IFERROR(INDEX(IF($T913&lt;=60,imc05_l,imc519_l),MATCH($W913,IF($T913&lt;=60,imc05_k,imc519_k),1)),""))</f>
        <v/>
      </c>
      <c r="Z913">
        <f>IF($W913="","",IFERROR(INDEX(IF($T913&lt;=60,imc05_m,imc519_m),MATCH($W913,IF($T913&lt;=60,imc05_k,imc519_k),1)),""))</f>
        <v/>
      </c>
      <c r="AA913">
        <f>IF($W913="","",IFERROR(INDEX(IF($T913&lt;=60,imc05_s,imc519_s),MATCH($W913,IF($T913&lt;=60,imc05_k,imc519_k),1)),""))</f>
        <v/>
      </c>
      <c r="AB913">
        <f>IF($Y913="","",IF($Y913=0,LN($J913/$Z913)/$AA913,((($J913/$Z913)^$Y913)-1)/($Y913*$AA913)))</f>
        <v/>
      </c>
      <c r="AC913">
        <f>IF($Y913="","",IF($Y913=0,$Z913*EXP($AA913*2),$Z913*(1+$Y913*$AA913*2)^(1/$Y913)))</f>
        <v/>
      </c>
      <c r="AD913">
        <f>IF($Y913="","",IF($Y913=0,$Z913*EXP($AA913*3),$Z913*(1+$Y913*$AA913*3)^(1/$Y913)))</f>
        <v/>
      </c>
      <c r="AE913">
        <f>IF($Y913="","",IF($Y913=0,$Z913*EXP($AA913*-2),$Z913*(1+$Y913*$AA913*-2)^(1/$Y913)))</f>
        <v/>
      </c>
      <c r="AF913">
        <f>IF($Y913="","",IF($Y913=0,$Z913*EXP($AA913*-3),$Z913*(1+$Y913*$AA913*-3)^(1/$Y913)))</f>
        <v/>
      </c>
      <c r="AG913">
        <f>IF($W913="","",IFERROR(INDEX(IF($T913&lt;=60,est05_l,est519_l),MATCH($W913,IF($T913&lt;=60,est05_k,est519_k),1)),""))</f>
        <v/>
      </c>
      <c r="AH913">
        <f>IF($W913="","",IFERROR(INDEX(IF($T913&lt;=60,est05_m,est519_m),MATCH($W913,IF($T913&lt;=60,est05_k,est519_k),1)),""))</f>
        <v/>
      </c>
      <c r="AI913">
        <f>IF($W913="","",IFERROR(INDEX(IF($T913&lt;=60,est05_s,est519_s),MATCH($W913,IF($T913&lt;=60,est05_k,est519_k),1)),""))</f>
        <v/>
      </c>
      <c r="AJ913">
        <f>IF($W913="","",IFERROR(INDEX(IF($T913&lt;=60,peso05_l,peso510_l),MATCH($W913,IF($T913&lt;=60,peso05_k,peso510_k),1)),""))</f>
        <v/>
      </c>
      <c r="AK913">
        <f>IF($W913="","",IFERROR(INDEX(IF($T913&lt;=60,peso05_m,peso510_m),MATCH($W913,IF($T913&lt;=60,peso05_k,peso510_k),1)),""))</f>
        <v/>
      </c>
      <c r="AL913">
        <f>IF($W913="","",IFERROR(INDEX(IF($T913&lt;=60,peso05_s,peso510_s),MATCH($W913,IF($T913&lt;=60,peso05_k,peso510_k),1)),""))</f>
        <v/>
      </c>
      <c r="AM913">
        <f>IF($AJ913="","",IF($AJ913=0,LN($F913/$AK913)/$AL913,((($F913/$AK913)^$AJ913)-1)/($AJ913*$AL913)))</f>
        <v/>
      </c>
      <c r="AN913">
        <f>IF($AJ913="","",IF($AJ913=0,$AK913*EXP($AL913*2),$AK913*(1+$AJ913*$AL913*2)^(1/$AJ913)))</f>
        <v/>
      </c>
      <c r="AO913">
        <f>IF($AJ913="","",IF($AJ913=0,$AK913*EXP($AL913*3),$AK913*(1+$AJ913*$AL913*3)^(1/$AJ913)))</f>
        <v/>
      </c>
      <c r="AP913">
        <f>IF($AJ913="","",IF($AJ913=0,$AK913*EXP($AL913*-2),$AK913*(1+$AJ913*$AL913*-2)^(1/$AJ913)))</f>
        <v/>
      </c>
      <c r="AQ913">
        <f>IF($AJ913="","",IF($AJ913=0,$AK913*EXP($AL913*-3),$AK913*(1+$AJ913*$AL913*-3)^(1/$AJ913)))</f>
        <v/>
      </c>
      <c r="AR913">
        <f>IF(OR($X913="",$T913&gt;60),"",IFERROR(INDEX(IF($T913&lt;24,pcomp_l,palt_l),MATCH($X913,IF($T913&lt;24,pcomp_k,palt_k),1)),""))</f>
        <v/>
      </c>
      <c r="AS913">
        <f>IF(OR($X913="",$T913&gt;60),"",IFERROR(INDEX(IF($T913&lt;24,pcomp_m,palt_m),MATCH($X913,IF($T913&lt;24,pcomp_k,palt_k),1)),""))</f>
        <v/>
      </c>
      <c r="AT913">
        <f>IF(OR($X913="",$T913&gt;60),"",IFERROR(INDEX(IF($T913&lt;24,pcomp_s,palt_s),MATCH($X913,IF($T913&lt;24,pcomp_k,palt_k),1)),""))</f>
        <v/>
      </c>
      <c r="AU913">
        <f>IF($AR913="","",IF($AR913=0,LN($F913/$AS913)/$AT913,((($F913/$AS913)^$AR913)-1)/($AR913*$AT913)))</f>
        <v/>
      </c>
      <c r="AV913">
        <f>IF($AR913="","",IF($AR913=0,$AS913*EXP($AT913*2),$AS913*(1+$AR913*$AT913*2)^(1/$AR913)))</f>
        <v/>
      </c>
      <c r="AW913">
        <f>IF($AR913="","",IF($AR913=0,$AS913*EXP($AT913*3),$AS913*(1+$AR913*$AT913*3)^(1/$AR913)))</f>
        <v/>
      </c>
      <c r="AX913">
        <f>IF($AR913="","",IF($AR913=0,$AS913*EXP($AT913*-2),$AS913*(1+$AR913*$AT913*-2)^(1/$AR913)))</f>
        <v/>
      </c>
      <c r="AY913">
        <f>IF($AR913="","",IF($AR913=0,$AS913*EXP($AT913*-3),$AS913*(1+$AR913*$AT913*-3)^(1/$AR913)))</f>
        <v/>
      </c>
      <c r="AZ913">
        <f>IF(OR($A913="",$A913&lt;&gt;Ficha!$C$4),"",COUNTIF($A$2:$A913,Ficha!$C$4))</f>
        <v/>
      </c>
    </row>
    <row r="914">
      <c r="A914" s="8">
        <f>IF(INDEX(Banco!$A:$A,ROW())="","",INDEX(Banco!$A:$A,ROW()))</f>
        <v/>
      </c>
      <c r="B914" s="8">
        <f>IF(INDEX(Banco!$B:$B,ROW())="","",INDEX(Banco!$B:$B,ROW()))</f>
        <v/>
      </c>
      <c r="C914" s="8">
        <f>IF(INDEX(Banco!$C:$C,ROW())="","",INDEX(Banco!$C:$C,ROW()))</f>
        <v/>
      </c>
      <c r="D914" s="9">
        <f>IF(INDEX(Banco!$D:$D,ROW())="","",INDEX(Banco!$D:$D,ROW()))</f>
        <v/>
      </c>
      <c r="E914" s="9">
        <f>IF(INDEX(Banco!$E:$E,ROW())="","",INDEX(Banco!$E:$E,ROW()))</f>
        <v/>
      </c>
      <c r="F914" s="10">
        <f>IF(INDEX(Banco!$F:$F,ROW())="","",INDEX(Banco!$F:$F,ROW()))</f>
        <v/>
      </c>
      <c r="G914" s="10">
        <f>IF(INDEX(Banco!$G:$G,ROW())="","",INDEX(Banco!$G:$G,ROW()))</f>
        <v/>
      </c>
      <c r="H914" s="8">
        <f>IF(INDEX(Banco!$H:$H,ROW())="","",INDEX(Banco!$H:$H,ROW()))</f>
        <v/>
      </c>
      <c r="I914">
        <f>IF($T914="","",INT($T914/12)&amp;"a "&amp;MOD($T914,12)&amp;"m")</f>
        <v/>
      </c>
      <c r="J914" s="11">
        <f>IF(OR($F914="",$G914=""),"",ROUND($F914/($G914/100)^2,2))</f>
        <v/>
      </c>
      <c r="K914" s="12">
        <f>IF(OR($S914="",$J914="",$T914="",$T914&lt;0,$T914&gt;228,$Y914=""),"—",ROUND(IF(ABS($AB914)&lt;=3,$AB914,IF($AB914&gt;3,3+($J914-$AD914)/($AD914-$AC914),-3+($J914-$AF914)/($AE914-$AF914))),2))</f>
        <v/>
      </c>
      <c r="L914">
        <f>IF(OR($K914="",$K914="—"),"",IF($T914&lt;=60,IF($K914&lt;-3,"Magreza acentuada",IF($K914&lt;-2,"Magreza",IF($K914&lt;=1,"Eutrofia",IF($K914&lt;=2,"Risco de sobrepeso",IF($K914&lt;=3,"Sobrepeso","Obesidade"))))),IF($K914&lt;-3,"Magreza acentuada",IF($K914&lt;-2,"Magreza",IF($K914&lt;=1,"Eutrofia",IF($K914&lt;=2,"Sobrepeso",IF($K914&lt;=3,"Obesidade","Obesidade grave")))))))</f>
        <v/>
      </c>
      <c r="M914" s="12">
        <f>IF(OR($S914="",$V914="",$T914="",$T914&lt;0,$T914&gt;228,$AG914=""),"—",ROUND(IF($AG914=0,LN($V914/$AH914)/$AI914,((($V914/$AH914)^$AG914)-1)/($AG914*$AI914)),2))</f>
        <v/>
      </c>
      <c r="N914">
        <f>IF(OR($M914="",$M914="—"),"",IF($M914&lt;-3,"Muito baixa",IF($M914&lt;-2,"Baixa","Adequada")))</f>
        <v/>
      </c>
      <c r="O914" s="12">
        <f>IF(OR($S914="",$F914="",$T914="",$T914&lt;0,$T914&gt;120,$AJ914=""),"—",ROUND(IF(ABS($AM914)&lt;=3,$AM914,IF($AM914&gt;3,3+($F914-$AO914)/($AO914-$AN914),-3+($F914-$AQ914)/($AP914-$AQ914))),2))</f>
        <v/>
      </c>
      <c r="P914">
        <f>IF(OR($O914="",$O914="—"),"",IF($O914&lt;-3,"Muito baixo",IF($O914&lt;-2,"Baixo",IF($O914&lt;=2,"Adequado","Elevado"))))</f>
        <v/>
      </c>
      <c r="Q914" s="12">
        <f>IF(OR($S914="",$F914="",$T914="",$T914&lt;0,$T914&gt;60,$AR914=""),"—",ROUND(IF(ABS($AU914)&lt;=3,$AU914,IF($AU914&gt;3,3+($F914-$AW914)/($AW914-$AV914),-3+($F914-$AY914)/($AX914-$AY914))),2))</f>
        <v/>
      </c>
      <c r="R914">
        <f>IF(OR($Q914="",$Q914="—"),"",IF($Q914&lt;-3,"Magreza acentuada",IF($Q914&lt;-2,"Magreza",IF($Q914&lt;=1,"Eutrofia",IF($Q914&lt;=2,"Risco de sobrepeso",IF($Q914&lt;=3,"Sobrepeso","Obesidade"))))))</f>
        <v/>
      </c>
      <c r="S914">
        <f>IF($C914="","",IF(UPPER(LEFT($C914,1))="M",1,IF(UPPER(LEFT($C914,1))="F",2,"")))</f>
        <v/>
      </c>
      <c r="T914">
        <f>IF(OR($D914="",$E914=""),"",DATEDIF($D914,$E914,"m"))</f>
        <v/>
      </c>
      <c r="U914">
        <f>IF(OR($D914="",$E914=""),"",$E914-$D914)</f>
        <v/>
      </c>
      <c r="V914">
        <f>IF(OR($G914="",$T914=""),"",IF($T914&lt;24,IF(LEFT(LOWER($H914),4)="em p",$G914+0.7,$G914),IF(LEFT(LOWER($H914),4)="deit",$G914-0.7,$G914)))</f>
        <v/>
      </c>
      <c r="W914">
        <f>IF(OR($S914="",$T914=""),"",$S914*1000000+IF($T914&lt;=60,$U914,$T914))</f>
        <v/>
      </c>
      <c r="X914">
        <f>IF(OR($S914="",$V914="",$T914&gt;60,$T914=""),"",$S914*1000000+ROUND($V914*10,0))</f>
        <v/>
      </c>
      <c r="Y914">
        <f>IF($W914="","",IFERROR(INDEX(IF($T914&lt;=60,imc05_l,imc519_l),MATCH($W914,IF($T914&lt;=60,imc05_k,imc519_k),1)),""))</f>
        <v/>
      </c>
      <c r="Z914">
        <f>IF($W914="","",IFERROR(INDEX(IF($T914&lt;=60,imc05_m,imc519_m),MATCH($W914,IF($T914&lt;=60,imc05_k,imc519_k),1)),""))</f>
        <v/>
      </c>
      <c r="AA914">
        <f>IF($W914="","",IFERROR(INDEX(IF($T914&lt;=60,imc05_s,imc519_s),MATCH($W914,IF($T914&lt;=60,imc05_k,imc519_k),1)),""))</f>
        <v/>
      </c>
      <c r="AB914">
        <f>IF($Y914="","",IF($Y914=0,LN($J914/$Z914)/$AA914,((($J914/$Z914)^$Y914)-1)/($Y914*$AA914)))</f>
        <v/>
      </c>
      <c r="AC914">
        <f>IF($Y914="","",IF($Y914=0,$Z914*EXP($AA914*2),$Z914*(1+$Y914*$AA914*2)^(1/$Y914)))</f>
        <v/>
      </c>
      <c r="AD914">
        <f>IF($Y914="","",IF($Y914=0,$Z914*EXP($AA914*3),$Z914*(1+$Y914*$AA914*3)^(1/$Y914)))</f>
        <v/>
      </c>
      <c r="AE914">
        <f>IF($Y914="","",IF($Y914=0,$Z914*EXP($AA914*-2),$Z914*(1+$Y914*$AA914*-2)^(1/$Y914)))</f>
        <v/>
      </c>
      <c r="AF914">
        <f>IF($Y914="","",IF($Y914=0,$Z914*EXP($AA914*-3),$Z914*(1+$Y914*$AA914*-3)^(1/$Y914)))</f>
        <v/>
      </c>
      <c r="AG914">
        <f>IF($W914="","",IFERROR(INDEX(IF($T914&lt;=60,est05_l,est519_l),MATCH($W914,IF($T914&lt;=60,est05_k,est519_k),1)),""))</f>
        <v/>
      </c>
      <c r="AH914">
        <f>IF($W914="","",IFERROR(INDEX(IF($T914&lt;=60,est05_m,est519_m),MATCH($W914,IF($T914&lt;=60,est05_k,est519_k),1)),""))</f>
        <v/>
      </c>
      <c r="AI914">
        <f>IF($W914="","",IFERROR(INDEX(IF($T914&lt;=60,est05_s,est519_s),MATCH($W914,IF($T914&lt;=60,est05_k,est519_k),1)),""))</f>
        <v/>
      </c>
      <c r="AJ914">
        <f>IF($W914="","",IFERROR(INDEX(IF($T914&lt;=60,peso05_l,peso510_l),MATCH($W914,IF($T914&lt;=60,peso05_k,peso510_k),1)),""))</f>
        <v/>
      </c>
      <c r="AK914">
        <f>IF($W914="","",IFERROR(INDEX(IF($T914&lt;=60,peso05_m,peso510_m),MATCH($W914,IF($T914&lt;=60,peso05_k,peso510_k),1)),""))</f>
        <v/>
      </c>
      <c r="AL914">
        <f>IF($W914="","",IFERROR(INDEX(IF($T914&lt;=60,peso05_s,peso510_s),MATCH($W914,IF($T914&lt;=60,peso05_k,peso510_k),1)),""))</f>
        <v/>
      </c>
      <c r="AM914">
        <f>IF($AJ914="","",IF($AJ914=0,LN($F914/$AK914)/$AL914,((($F914/$AK914)^$AJ914)-1)/($AJ914*$AL914)))</f>
        <v/>
      </c>
      <c r="AN914">
        <f>IF($AJ914="","",IF($AJ914=0,$AK914*EXP($AL914*2),$AK914*(1+$AJ914*$AL914*2)^(1/$AJ914)))</f>
        <v/>
      </c>
      <c r="AO914">
        <f>IF($AJ914="","",IF($AJ914=0,$AK914*EXP($AL914*3),$AK914*(1+$AJ914*$AL914*3)^(1/$AJ914)))</f>
        <v/>
      </c>
      <c r="AP914">
        <f>IF($AJ914="","",IF($AJ914=0,$AK914*EXP($AL914*-2),$AK914*(1+$AJ914*$AL914*-2)^(1/$AJ914)))</f>
        <v/>
      </c>
      <c r="AQ914">
        <f>IF($AJ914="","",IF($AJ914=0,$AK914*EXP($AL914*-3),$AK914*(1+$AJ914*$AL914*-3)^(1/$AJ914)))</f>
        <v/>
      </c>
      <c r="AR914">
        <f>IF(OR($X914="",$T914&gt;60),"",IFERROR(INDEX(IF($T914&lt;24,pcomp_l,palt_l),MATCH($X914,IF($T914&lt;24,pcomp_k,palt_k),1)),""))</f>
        <v/>
      </c>
      <c r="AS914">
        <f>IF(OR($X914="",$T914&gt;60),"",IFERROR(INDEX(IF($T914&lt;24,pcomp_m,palt_m),MATCH($X914,IF($T914&lt;24,pcomp_k,palt_k),1)),""))</f>
        <v/>
      </c>
      <c r="AT914">
        <f>IF(OR($X914="",$T914&gt;60),"",IFERROR(INDEX(IF($T914&lt;24,pcomp_s,palt_s),MATCH($X914,IF($T914&lt;24,pcomp_k,palt_k),1)),""))</f>
        <v/>
      </c>
      <c r="AU914">
        <f>IF($AR914="","",IF($AR914=0,LN($F914/$AS914)/$AT914,((($F914/$AS914)^$AR914)-1)/($AR914*$AT914)))</f>
        <v/>
      </c>
      <c r="AV914">
        <f>IF($AR914="","",IF($AR914=0,$AS914*EXP($AT914*2),$AS914*(1+$AR914*$AT914*2)^(1/$AR914)))</f>
        <v/>
      </c>
      <c r="AW914">
        <f>IF($AR914="","",IF($AR914=0,$AS914*EXP($AT914*3),$AS914*(1+$AR914*$AT914*3)^(1/$AR914)))</f>
        <v/>
      </c>
      <c r="AX914">
        <f>IF($AR914="","",IF($AR914=0,$AS914*EXP($AT914*-2),$AS914*(1+$AR914*$AT914*-2)^(1/$AR914)))</f>
        <v/>
      </c>
      <c r="AY914">
        <f>IF($AR914="","",IF($AR914=0,$AS914*EXP($AT914*-3),$AS914*(1+$AR914*$AT914*-3)^(1/$AR914)))</f>
        <v/>
      </c>
      <c r="AZ914">
        <f>IF(OR($A914="",$A914&lt;&gt;Ficha!$C$4),"",COUNTIF($A$2:$A914,Ficha!$C$4))</f>
        <v/>
      </c>
    </row>
    <row r="915">
      <c r="A915" s="8">
        <f>IF(INDEX(Banco!$A:$A,ROW())="","",INDEX(Banco!$A:$A,ROW()))</f>
        <v/>
      </c>
      <c r="B915" s="8">
        <f>IF(INDEX(Banco!$B:$B,ROW())="","",INDEX(Banco!$B:$B,ROW()))</f>
        <v/>
      </c>
      <c r="C915" s="8">
        <f>IF(INDEX(Banco!$C:$C,ROW())="","",INDEX(Banco!$C:$C,ROW()))</f>
        <v/>
      </c>
      <c r="D915" s="9">
        <f>IF(INDEX(Banco!$D:$D,ROW())="","",INDEX(Banco!$D:$D,ROW()))</f>
        <v/>
      </c>
      <c r="E915" s="9">
        <f>IF(INDEX(Banco!$E:$E,ROW())="","",INDEX(Banco!$E:$E,ROW()))</f>
        <v/>
      </c>
      <c r="F915" s="10">
        <f>IF(INDEX(Banco!$F:$F,ROW())="","",INDEX(Banco!$F:$F,ROW()))</f>
        <v/>
      </c>
      <c r="G915" s="10">
        <f>IF(INDEX(Banco!$G:$G,ROW())="","",INDEX(Banco!$G:$G,ROW()))</f>
        <v/>
      </c>
      <c r="H915" s="8">
        <f>IF(INDEX(Banco!$H:$H,ROW())="","",INDEX(Banco!$H:$H,ROW()))</f>
        <v/>
      </c>
      <c r="I915">
        <f>IF($T915="","",INT($T915/12)&amp;"a "&amp;MOD($T915,12)&amp;"m")</f>
        <v/>
      </c>
      <c r="J915" s="11">
        <f>IF(OR($F915="",$G915=""),"",ROUND($F915/($G915/100)^2,2))</f>
        <v/>
      </c>
      <c r="K915" s="12">
        <f>IF(OR($S915="",$J915="",$T915="",$T915&lt;0,$T915&gt;228,$Y915=""),"—",ROUND(IF(ABS($AB915)&lt;=3,$AB915,IF($AB915&gt;3,3+($J915-$AD915)/($AD915-$AC915),-3+($J915-$AF915)/($AE915-$AF915))),2))</f>
        <v/>
      </c>
      <c r="L915">
        <f>IF(OR($K915="",$K915="—"),"",IF($T915&lt;=60,IF($K915&lt;-3,"Magreza acentuada",IF($K915&lt;-2,"Magreza",IF($K915&lt;=1,"Eutrofia",IF($K915&lt;=2,"Risco de sobrepeso",IF($K915&lt;=3,"Sobrepeso","Obesidade"))))),IF($K915&lt;-3,"Magreza acentuada",IF($K915&lt;-2,"Magreza",IF($K915&lt;=1,"Eutrofia",IF($K915&lt;=2,"Sobrepeso",IF($K915&lt;=3,"Obesidade","Obesidade grave")))))))</f>
        <v/>
      </c>
      <c r="M915" s="12">
        <f>IF(OR($S915="",$V915="",$T915="",$T915&lt;0,$T915&gt;228,$AG915=""),"—",ROUND(IF($AG915=0,LN($V915/$AH915)/$AI915,((($V915/$AH915)^$AG915)-1)/($AG915*$AI915)),2))</f>
        <v/>
      </c>
      <c r="N915">
        <f>IF(OR($M915="",$M915="—"),"",IF($M915&lt;-3,"Muito baixa",IF($M915&lt;-2,"Baixa","Adequada")))</f>
        <v/>
      </c>
      <c r="O915" s="12">
        <f>IF(OR($S915="",$F915="",$T915="",$T915&lt;0,$T915&gt;120,$AJ915=""),"—",ROUND(IF(ABS($AM915)&lt;=3,$AM915,IF($AM915&gt;3,3+($F915-$AO915)/($AO915-$AN915),-3+($F915-$AQ915)/($AP915-$AQ915))),2))</f>
        <v/>
      </c>
      <c r="P915">
        <f>IF(OR($O915="",$O915="—"),"",IF($O915&lt;-3,"Muito baixo",IF($O915&lt;-2,"Baixo",IF($O915&lt;=2,"Adequado","Elevado"))))</f>
        <v/>
      </c>
      <c r="Q915" s="12">
        <f>IF(OR($S915="",$F915="",$T915="",$T915&lt;0,$T915&gt;60,$AR915=""),"—",ROUND(IF(ABS($AU915)&lt;=3,$AU915,IF($AU915&gt;3,3+($F915-$AW915)/($AW915-$AV915),-3+($F915-$AY915)/($AX915-$AY915))),2))</f>
        <v/>
      </c>
      <c r="R915">
        <f>IF(OR($Q915="",$Q915="—"),"",IF($Q915&lt;-3,"Magreza acentuada",IF($Q915&lt;-2,"Magreza",IF($Q915&lt;=1,"Eutrofia",IF($Q915&lt;=2,"Risco de sobrepeso",IF($Q915&lt;=3,"Sobrepeso","Obesidade"))))))</f>
        <v/>
      </c>
      <c r="S915">
        <f>IF($C915="","",IF(UPPER(LEFT($C915,1))="M",1,IF(UPPER(LEFT($C915,1))="F",2,"")))</f>
        <v/>
      </c>
      <c r="T915">
        <f>IF(OR($D915="",$E915=""),"",DATEDIF($D915,$E915,"m"))</f>
        <v/>
      </c>
      <c r="U915">
        <f>IF(OR($D915="",$E915=""),"",$E915-$D915)</f>
        <v/>
      </c>
      <c r="V915">
        <f>IF(OR($G915="",$T915=""),"",IF($T915&lt;24,IF(LEFT(LOWER($H915),4)="em p",$G915+0.7,$G915),IF(LEFT(LOWER($H915),4)="deit",$G915-0.7,$G915)))</f>
        <v/>
      </c>
      <c r="W915">
        <f>IF(OR($S915="",$T915=""),"",$S915*1000000+IF($T915&lt;=60,$U915,$T915))</f>
        <v/>
      </c>
      <c r="X915">
        <f>IF(OR($S915="",$V915="",$T915&gt;60,$T915=""),"",$S915*1000000+ROUND($V915*10,0))</f>
        <v/>
      </c>
      <c r="Y915">
        <f>IF($W915="","",IFERROR(INDEX(IF($T915&lt;=60,imc05_l,imc519_l),MATCH($W915,IF($T915&lt;=60,imc05_k,imc519_k),1)),""))</f>
        <v/>
      </c>
      <c r="Z915">
        <f>IF($W915="","",IFERROR(INDEX(IF($T915&lt;=60,imc05_m,imc519_m),MATCH($W915,IF($T915&lt;=60,imc05_k,imc519_k),1)),""))</f>
        <v/>
      </c>
      <c r="AA915">
        <f>IF($W915="","",IFERROR(INDEX(IF($T915&lt;=60,imc05_s,imc519_s),MATCH($W915,IF($T915&lt;=60,imc05_k,imc519_k),1)),""))</f>
        <v/>
      </c>
      <c r="AB915">
        <f>IF($Y915="","",IF($Y915=0,LN($J915/$Z915)/$AA915,((($J915/$Z915)^$Y915)-1)/($Y915*$AA915)))</f>
        <v/>
      </c>
      <c r="AC915">
        <f>IF($Y915="","",IF($Y915=0,$Z915*EXP($AA915*2),$Z915*(1+$Y915*$AA915*2)^(1/$Y915)))</f>
        <v/>
      </c>
      <c r="AD915">
        <f>IF($Y915="","",IF($Y915=0,$Z915*EXP($AA915*3),$Z915*(1+$Y915*$AA915*3)^(1/$Y915)))</f>
        <v/>
      </c>
      <c r="AE915">
        <f>IF($Y915="","",IF($Y915=0,$Z915*EXP($AA915*-2),$Z915*(1+$Y915*$AA915*-2)^(1/$Y915)))</f>
        <v/>
      </c>
      <c r="AF915">
        <f>IF($Y915="","",IF($Y915=0,$Z915*EXP($AA915*-3),$Z915*(1+$Y915*$AA915*-3)^(1/$Y915)))</f>
        <v/>
      </c>
      <c r="AG915">
        <f>IF($W915="","",IFERROR(INDEX(IF($T915&lt;=60,est05_l,est519_l),MATCH($W915,IF($T915&lt;=60,est05_k,est519_k),1)),""))</f>
        <v/>
      </c>
      <c r="AH915">
        <f>IF($W915="","",IFERROR(INDEX(IF($T915&lt;=60,est05_m,est519_m),MATCH($W915,IF($T915&lt;=60,est05_k,est519_k),1)),""))</f>
        <v/>
      </c>
      <c r="AI915">
        <f>IF($W915="","",IFERROR(INDEX(IF($T915&lt;=60,est05_s,est519_s),MATCH($W915,IF($T915&lt;=60,est05_k,est519_k),1)),""))</f>
        <v/>
      </c>
      <c r="AJ915">
        <f>IF($W915="","",IFERROR(INDEX(IF($T915&lt;=60,peso05_l,peso510_l),MATCH($W915,IF($T915&lt;=60,peso05_k,peso510_k),1)),""))</f>
        <v/>
      </c>
      <c r="AK915">
        <f>IF($W915="","",IFERROR(INDEX(IF($T915&lt;=60,peso05_m,peso510_m),MATCH($W915,IF($T915&lt;=60,peso05_k,peso510_k),1)),""))</f>
        <v/>
      </c>
      <c r="AL915">
        <f>IF($W915="","",IFERROR(INDEX(IF($T915&lt;=60,peso05_s,peso510_s),MATCH($W915,IF($T915&lt;=60,peso05_k,peso510_k),1)),""))</f>
        <v/>
      </c>
      <c r="AM915">
        <f>IF($AJ915="","",IF($AJ915=0,LN($F915/$AK915)/$AL915,((($F915/$AK915)^$AJ915)-1)/($AJ915*$AL915)))</f>
        <v/>
      </c>
      <c r="AN915">
        <f>IF($AJ915="","",IF($AJ915=0,$AK915*EXP($AL915*2),$AK915*(1+$AJ915*$AL915*2)^(1/$AJ915)))</f>
        <v/>
      </c>
      <c r="AO915">
        <f>IF($AJ915="","",IF($AJ915=0,$AK915*EXP($AL915*3),$AK915*(1+$AJ915*$AL915*3)^(1/$AJ915)))</f>
        <v/>
      </c>
      <c r="AP915">
        <f>IF($AJ915="","",IF($AJ915=0,$AK915*EXP($AL915*-2),$AK915*(1+$AJ915*$AL915*-2)^(1/$AJ915)))</f>
        <v/>
      </c>
      <c r="AQ915">
        <f>IF($AJ915="","",IF($AJ915=0,$AK915*EXP($AL915*-3),$AK915*(1+$AJ915*$AL915*-3)^(1/$AJ915)))</f>
        <v/>
      </c>
      <c r="AR915">
        <f>IF(OR($X915="",$T915&gt;60),"",IFERROR(INDEX(IF($T915&lt;24,pcomp_l,palt_l),MATCH($X915,IF($T915&lt;24,pcomp_k,palt_k),1)),""))</f>
        <v/>
      </c>
      <c r="AS915">
        <f>IF(OR($X915="",$T915&gt;60),"",IFERROR(INDEX(IF($T915&lt;24,pcomp_m,palt_m),MATCH($X915,IF($T915&lt;24,pcomp_k,palt_k),1)),""))</f>
        <v/>
      </c>
      <c r="AT915">
        <f>IF(OR($X915="",$T915&gt;60),"",IFERROR(INDEX(IF($T915&lt;24,pcomp_s,palt_s),MATCH($X915,IF($T915&lt;24,pcomp_k,palt_k),1)),""))</f>
        <v/>
      </c>
      <c r="AU915">
        <f>IF($AR915="","",IF($AR915=0,LN($F915/$AS915)/$AT915,((($F915/$AS915)^$AR915)-1)/($AR915*$AT915)))</f>
        <v/>
      </c>
      <c r="AV915">
        <f>IF($AR915="","",IF($AR915=0,$AS915*EXP($AT915*2),$AS915*(1+$AR915*$AT915*2)^(1/$AR915)))</f>
        <v/>
      </c>
      <c r="AW915">
        <f>IF($AR915="","",IF($AR915=0,$AS915*EXP($AT915*3),$AS915*(1+$AR915*$AT915*3)^(1/$AR915)))</f>
        <v/>
      </c>
      <c r="AX915">
        <f>IF($AR915="","",IF($AR915=0,$AS915*EXP($AT915*-2),$AS915*(1+$AR915*$AT915*-2)^(1/$AR915)))</f>
        <v/>
      </c>
      <c r="AY915">
        <f>IF($AR915="","",IF($AR915=0,$AS915*EXP($AT915*-3),$AS915*(1+$AR915*$AT915*-3)^(1/$AR915)))</f>
        <v/>
      </c>
      <c r="AZ915">
        <f>IF(OR($A915="",$A915&lt;&gt;Ficha!$C$4),"",COUNTIF($A$2:$A915,Ficha!$C$4))</f>
        <v/>
      </c>
    </row>
    <row r="916">
      <c r="A916" s="8">
        <f>IF(INDEX(Banco!$A:$A,ROW())="","",INDEX(Banco!$A:$A,ROW()))</f>
        <v/>
      </c>
      <c r="B916" s="8">
        <f>IF(INDEX(Banco!$B:$B,ROW())="","",INDEX(Banco!$B:$B,ROW()))</f>
        <v/>
      </c>
      <c r="C916" s="8">
        <f>IF(INDEX(Banco!$C:$C,ROW())="","",INDEX(Banco!$C:$C,ROW()))</f>
        <v/>
      </c>
      <c r="D916" s="9">
        <f>IF(INDEX(Banco!$D:$D,ROW())="","",INDEX(Banco!$D:$D,ROW()))</f>
        <v/>
      </c>
      <c r="E916" s="9">
        <f>IF(INDEX(Banco!$E:$E,ROW())="","",INDEX(Banco!$E:$E,ROW()))</f>
        <v/>
      </c>
      <c r="F916" s="10">
        <f>IF(INDEX(Banco!$F:$F,ROW())="","",INDEX(Banco!$F:$F,ROW()))</f>
        <v/>
      </c>
      <c r="G916" s="10">
        <f>IF(INDEX(Banco!$G:$G,ROW())="","",INDEX(Banco!$G:$G,ROW()))</f>
        <v/>
      </c>
      <c r="H916" s="8">
        <f>IF(INDEX(Banco!$H:$H,ROW())="","",INDEX(Banco!$H:$H,ROW()))</f>
        <v/>
      </c>
      <c r="I916">
        <f>IF($T916="","",INT($T916/12)&amp;"a "&amp;MOD($T916,12)&amp;"m")</f>
        <v/>
      </c>
      <c r="J916" s="11">
        <f>IF(OR($F916="",$G916=""),"",ROUND($F916/($G916/100)^2,2))</f>
        <v/>
      </c>
      <c r="K916" s="12">
        <f>IF(OR($S916="",$J916="",$T916="",$T916&lt;0,$T916&gt;228,$Y916=""),"—",ROUND(IF(ABS($AB916)&lt;=3,$AB916,IF($AB916&gt;3,3+($J916-$AD916)/($AD916-$AC916),-3+($J916-$AF916)/($AE916-$AF916))),2))</f>
        <v/>
      </c>
      <c r="L916">
        <f>IF(OR($K916="",$K916="—"),"",IF($T916&lt;=60,IF($K916&lt;-3,"Magreza acentuada",IF($K916&lt;-2,"Magreza",IF($K916&lt;=1,"Eutrofia",IF($K916&lt;=2,"Risco de sobrepeso",IF($K916&lt;=3,"Sobrepeso","Obesidade"))))),IF($K916&lt;-3,"Magreza acentuada",IF($K916&lt;-2,"Magreza",IF($K916&lt;=1,"Eutrofia",IF($K916&lt;=2,"Sobrepeso",IF($K916&lt;=3,"Obesidade","Obesidade grave")))))))</f>
        <v/>
      </c>
      <c r="M916" s="12">
        <f>IF(OR($S916="",$V916="",$T916="",$T916&lt;0,$T916&gt;228,$AG916=""),"—",ROUND(IF($AG916=0,LN($V916/$AH916)/$AI916,((($V916/$AH916)^$AG916)-1)/($AG916*$AI916)),2))</f>
        <v/>
      </c>
      <c r="N916">
        <f>IF(OR($M916="",$M916="—"),"",IF($M916&lt;-3,"Muito baixa",IF($M916&lt;-2,"Baixa","Adequada")))</f>
        <v/>
      </c>
      <c r="O916" s="12">
        <f>IF(OR($S916="",$F916="",$T916="",$T916&lt;0,$T916&gt;120,$AJ916=""),"—",ROUND(IF(ABS($AM916)&lt;=3,$AM916,IF($AM916&gt;3,3+($F916-$AO916)/($AO916-$AN916),-3+($F916-$AQ916)/($AP916-$AQ916))),2))</f>
        <v/>
      </c>
      <c r="P916">
        <f>IF(OR($O916="",$O916="—"),"",IF($O916&lt;-3,"Muito baixo",IF($O916&lt;-2,"Baixo",IF($O916&lt;=2,"Adequado","Elevado"))))</f>
        <v/>
      </c>
      <c r="Q916" s="12">
        <f>IF(OR($S916="",$F916="",$T916="",$T916&lt;0,$T916&gt;60,$AR916=""),"—",ROUND(IF(ABS($AU916)&lt;=3,$AU916,IF($AU916&gt;3,3+($F916-$AW916)/($AW916-$AV916),-3+($F916-$AY916)/($AX916-$AY916))),2))</f>
        <v/>
      </c>
      <c r="R916">
        <f>IF(OR($Q916="",$Q916="—"),"",IF($Q916&lt;-3,"Magreza acentuada",IF($Q916&lt;-2,"Magreza",IF($Q916&lt;=1,"Eutrofia",IF($Q916&lt;=2,"Risco de sobrepeso",IF($Q916&lt;=3,"Sobrepeso","Obesidade"))))))</f>
        <v/>
      </c>
      <c r="S916">
        <f>IF($C916="","",IF(UPPER(LEFT($C916,1))="M",1,IF(UPPER(LEFT($C916,1))="F",2,"")))</f>
        <v/>
      </c>
      <c r="T916">
        <f>IF(OR($D916="",$E916=""),"",DATEDIF($D916,$E916,"m"))</f>
        <v/>
      </c>
      <c r="U916">
        <f>IF(OR($D916="",$E916=""),"",$E916-$D916)</f>
        <v/>
      </c>
      <c r="V916">
        <f>IF(OR($G916="",$T916=""),"",IF($T916&lt;24,IF(LEFT(LOWER($H916),4)="em p",$G916+0.7,$G916),IF(LEFT(LOWER($H916),4)="deit",$G916-0.7,$G916)))</f>
        <v/>
      </c>
      <c r="W916">
        <f>IF(OR($S916="",$T916=""),"",$S916*1000000+IF($T916&lt;=60,$U916,$T916))</f>
        <v/>
      </c>
      <c r="X916">
        <f>IF(OR($S916="",$V916="",$T916&gt;60,$T916=""),"",$S916*1000000+ROUND($V916*10,0))</f>
        <v/>
      </c>
      <c r="Y916">
        <f>IF($W916="","",IFERROR(INDEX(IF($T916&lt;=60,imc05_l,imc519_l),MATCH($W916,IF($T916&lt;=60,imc05_k,imc519_k),1)),""))</f>
        <v/>
      </c>
      <c r="Z916">
        <f>IF($W916="","",IFERROR(INDEX(IF($T916&lt;=60,imc05_m,imc519_m),MATCH($W916,IF($T916&lt;=60,imc05_k,imc519_k),1)),""))</f>
        <v/>
      </c>
      <c r="AA916">
        <f>IF($W916="","",IFERROR(INDEX(IF($T916&lt;=60,imc05_s,imc519_s),MATCH($W916,IF($T916&lt;=60,imc05_k,imc519_k),1)),""))</f>
        <v/>
      </c>
      <c r="AB916">
        <f>IF($Y916="","",IF($Y916=0,LN($J916/$Z916)/$AA916,((($J916/$Z916)^$Y916)-1)/($Y916*$AA916)))</f>
        <v/>
      </c>
      <c r="AC916">
        <f>IF($Y916="","",IF($Y916=0,$Z916*EXP($AA916*2),$Z916*(1+$Y916*$AA916*2)^(1/$Y916)))</f>
        <v/>
      </c>
      <c r="AD916">
        <f>IF($Y916="","",IF($Y916=0,$Z916*EXP($AA916*3),$Z916*(1+$Y916*$AA916*3)^(1/$Y916)))</f>
        <v/>
      </c>
      <c r="AE916">
        <f>IF($Y916="","",IF($Y916=0,$Z916*EXP($AA916*-2),$Z916*(1+$Y916*$AA916*-2)^(1/$Y916)))</f>
        <v/>
      </c>
      <c r="AF916">
        <f>IF($Y916="","",IF($Y916=0,$Z916*EXP($AA916*-3),$Z916*(1+$Y916*$AA916*-3)^(1/$Y916)))</f>
        <v/>
      </c>
      <c r="AG916">
        <f>IF($W916="","",IFERROR(INDEX(IF($T916&lt;=60,est05_l,est519_l),MATCH($W916,IF($T916&lt;=60,est05_k,est519_k),1)),""))</f>
        <v/>
      </c>
      <c r="AH916">
        <f>IF($W916="","",IFERROR(INDEX(IF($T916&lt;=60,est05_m,est519_m),MATCH($W916,IF($T916&lt;=60,est05_k,est519_k),1)),""))</f>
        <v/>
      </c>
      <c r="AI916">
        <f>IF($W916="","",IFERROR(INDEX(IF($T916&lt;=60,est05_s,est519_s),MATCH($W916,IF($T916&lt;=60,est05_k,est519_k),1)),""))</f>
        <v/>
      </c>
      <c r="AJ916">
        <f>IF($W916="","",IFERROR(INDEX(IF($T916&lt;=60,peso05_l,peso510_l),MATCH($W916,IF($T916&lt;=60,peso05_k,peso510_k),1)),""))</f>
        <v/>
      </c>
      <c r="AK916">
        <f>IF($W916="","",IFERROR(INDEX(IF($T916&lt;=60,peso05_m,peso510_m),MATCH($W916,IF($T916&lt;=60,peso05_k,peso510_k),1)),""))</f>
        <v/>
      </c>
      <c r="AL916">
        <f>IF($W916="","",IFERROR(INDEX(IF($T916&lt;=60,peso05_s,peso510_s),MATCH($W916,IF($T916&lt;=60,peso05_k,peso510_k),1)),""))</f>
        <v/>
      </c>
      <c r="AM916">
        <f>IF($AJ916="","",IF($AJ916=0,LN($F916/$AK916)/$AL916,((($F916/$AK916)^$AJ916)-1)/($AJ916*$AL916)))</f>
        <v/>
      </c>
      <c r="AN916">
        <f>IF($AJ916="","",IF($AJ916=0,$AK916*EXP($AL916*2),$AK916*(1+$AJ916*$AL916*2)^(1/$AJ916)))</f>
        <v/>
      </c>
      <c r="AO916">
        <f>IF($AJ916="","",IF($AJ916=0,$AK916*EXP($AL916*3),$AK916*(1+$AJ916*$AL916*3)^(1/$AJ916)))</f>
        <v/>
      </c>
      <c r="AP916">
        <f>IF($AJ916="","",IF($AJ916=0,$AK916*EXP($AL916*-2),$AK916*(1+$AJ916*$AL916*-2)^(1/$AJ916)))</f>
        <v/>
      </c>
      <c r="AQ916">
        <f>IF($AJ916="","",IF($AJ916=0,$AK916*EXP($AL916*-3),$AK916*(1+$AJ916*$AL916*-3)^(1/$AJ916)))</f>
        <v/>
      </c>
      <c r="AR916">
        <f>IF(OR($X916="",$T916&gt;60),"",IFERROR(INDEX(IF($T916&lt;24,pcomp_l,palt_l),MATCH($X916,IF($T916&lt;24,pcomp_k,palt_k),1)),""))</f>
        <v/>
      </c>
      <c r="AS916">
        <f>IF(OR($X916="",$T916&gt;60),"",IFERROR(INDEX(IF($T916&lt;24,pcomp_m,palt_m),MATCH($X916,IF($T916&lt;24,pcomp_k,palt_k),1)),""))</f>
        <v/>
      </c>
      <c r="AT916">
        <f>IF(OR($X916="",$T916&gt;60),"",IFERROR(INDEX(IF($T916&lt;24,pcomp_s,palt_s),MATCH($X916,IF($T916&lt;24,pcomp_k,palt_k),1)),""))</f>
        <v/>
      </c>
      <c r="AU916">
        <f>IF($AR916="","",IF($AR916=0,LN($F916/$AS916)/$AT916,((($F916/$AS916)^$AR916)-1)/($AR916*$AT916)))</f>
        <v/>
      </c>
      <c r="AV916">
        <f>IF($AR916="","",IF($AR916=0,$AS916*EXP($AT916*2),$AS916*(1+$AR916*$AT916*2)^(1/$AR916)))</f>
        <v/>
      </c>
      <c r="AW916">
        <f>IF($AR916="","",IF($AR916=0,$AS916*EXP($AT916*3),$AS916*(1+$AR916*$AT916*3)^(1/$AR916)))</f>
        <v/>
      </c>
      <c r="AX916">
        <f>IF($AR916="","",IF($AR916=0,$AS916*EXP($AT916*-2),$AS916*(1+$AR916*$AT916*-2)^(1/$AR916)))</f>
        <v/>
      </c>
      <c r="AY916">
        <f>IF($AR916="","",IF($AR916=0,$AS916*EXP($AT916*-3),$AS916*(1+$AR916*$AT916*-3)^(1/$AR916)))</f>
        <v/>
      </c>
      <c r="AZ916">
        <f>IF(OR($A916="",$A916&lt;&gt;Ficha!$C$4),"",COUNTIF($A$2:$A916,Ficha!$C$4))</f>
        <v/>
      </c>
    </row>
    <row r="917">
      <c r="A917" s="8">
        <f>IF(INDEX(Banco!$A:$A,ROW())="","",INDEX(Banco!$A:$A,ROW()))</f>
        <v/>
      </c>
      <c r="B917" s="8">
        <f>IF(INDEX(Banco!$B:$B,ROW())="","",INDEX(Banco!$B:$B,ROW()))</f>
        <v/>
      </c>
      <c r="C917" s="8">
        <f>IF(INDEX(Banco!$C:$C,ROW())="","",INDEX(Banco!$C:$C,ROW()))</f>
        <v/>
      </c>
      <c r="D917" s="9">
        <f>IF(INDEX(Banco!$D:$D,ROW())="","",INDEX(Banco!$D:$D,ROW()))</f>
        <v/>
      </c>
      <c r="E917" s="9">
        <f>IF(INDEX(Banco!$E:$E,ROW())="","",INDEX(Banco!$E:$E,ROW()))</f>
        <v/>
      </c>
      <c r="F917" s="10">
        <f>IF(INDEX(Banco!$F:$F,ROW())="","",INDEX(Banco!$F:$F,ROW()))</f>
        <v/>
      </c>
      <c r="G917" s="10">
        <f>IF(INDEX(Banco!$G:$G,ROW())="","",INDEX(Banco!$G:$G,ROW()))</f>
        <v/>
      </c>
      <c r="H917" s="8">
        <f>IF(INDEX(Banco!$H:$H,ROW())="","",INDEX(Banco!$H:$H,ROW()))</f>
        <v/>
      </c>
      <c r="I917">
        <f>IF($T917="","",INT($T917/12)&amp;"a "&amp;MOD($T917,12)&amp;"m")</f>
        <v/>
      </c>
      <c r="J917" s="11">
        <f>IF(OR($F917="",$G917=""),"",ROUND($F917/($G917/100)^2,2))</f>
        <v/>
      </c>
      <c r="K917" s="12">
        <f>IF(OR($S917="",$J917="",$T917="",$T917&lt;0,$T917&gt;228,$Y917=""),"—",ROUND(IF(ABS($AB917)&lt;=3,$AB917,IF($AB917&gt;3,3+($J917-$AD917)/($AD917-$AC917),-3+($J917-$AF917)/($AE917-$AF917))),2))</f>
        <v/>
      </c>
      <c r="L917">
        <f>IF(OR($K917="",$K917="—"),"",IF($T917&lt;=60,IF($K917&lt;-3,"Magreza acentuada",IF($K917&lt;-2,"Magreza",IF($K917&lt;=1,"Eutrofia",IF($K917&lt;=2,"Risco de sobrepeso",IF($K917&lt;=3,"Sobrepeso","Obesidade"))))),IF($K917&lt;-3,"Magreza acentuada",IF($K917&lt;-2,"Magreza",IF($K917&lt;=1,"Eutrofia",IF($K917&lt;=2,"Sobrepeso",IF($K917&lt;=3,"Obesidade","Obesidade grave")))))))</f>
        <v/>
      </c>
      <c r="M917" s="12">
        <f>IF(OR($S917="",$V917="",$T917="",$T917&lt;0,$T917&gt;228,$AG917=""),"—",ROUND(IF($AG917=0,LN($V917/$AH917)/$AI917,((($V917/$AH917)^$AG917)-1)/($AG917*$AI917)),2))</f>
        <v/>
      </c>
      <c r="N917">
        <f>IF(OR($M917="",$M917="—"),"",IF($M917&lt;-3,"Muito baixa",IF($M917&lt;-2,"Baixa","Adequada")))</f>
        <v/>
      </c>
      <c r="O917" s="12">
        <f>IF(OR($S917="",$F917="",$T917="",$T917&lt;0,$T917&gt;120,$AJ917=""),"—",ROUND(IF(ABS($AM917)&lt;=3,$AM917,IF($AM917&gt;3,3+($F917-$AO917)/($AO917-$AN917),-3+($F917-$AQ917)/($AP917-$AQ917))),2))</f>
        <v/>
      </c>
      <c r="P917">
        <f>IF(OR($O917="",$O917="—"),"",IF($O917&lt;-3,"Muito baixo",IF($O917&lt;-2,"Baixo",IF($O917&lt;=2,"Adequado","Elevado"))))</f>
        <v/>
      </c>
      <c r="Q917" s="12">
        <f>IF(OR($S917="",$F917="",$T917="",$T917&lt;0,$T917&gt;60,$AR917=""),"—",ROUND(IF(ABS($AU917)&lt;=3,$AU917,IF($AU917&gt;3,3+($F917-$AW917)/($AW917-$AV917),-3+($F917-$AY917)/($AX917-$AY917))),2))</f>
        <v/>
      </c>
      <c r="R917">
        <f>IF(OR($Q917="",$Q917="—"),"",IF($Q917&lt;-3,"Magreza acentuada",IF($Q917&lt;-2,"Magreza",IF($Q917&lt;=1,"Eutrofia",IF($Q917&lt;=2,"Risco de sobrepeso",IF($Q917&lt;=3,"Sobrepeso","Obesidade"))))))</f>
        <v/>
      </c>
      <c r="S917">
        <f>IF($C917="","",IF(UPPER(LEFT($C917,1))="M",1,IF(UPPER(LEFT($C917,1))="F",2,"")))</f>
        <v/>
      </c>
      <c r="T917">
        <f>IF(OR($D917="",$E917=""),"",DATEDIF($D917,$E917,"m"))</f>
        <v/>
      </c>
      <c r="U917">
        <f>IF(OR($D917="",$E917=""),"",$E917-$D917)</f>
        <v/>
      </c>
      <c r="V917">
        <f>IF(OR($G917="",$T917=""),"",IF($T917&lt;24,IF(LEFT(LOWER($H917),4)="em p",$G917+0.7,$G917),IF(LEFT(LOWER($H917),4)="deit",$G917-0.7,$G917)))</f>
        <v/>
      </c>
      <c r="W917">
        <f>IF(OR($S917="",$T917=""),"",$S917*1000000+IF($T917&lt;=60,$U917,$T917))</f>
        <v/>
      </c>
      <c r="X917">
        <f>IF(OR($S917="",$V917="",$T917&gt;60,$T917=""),"",$S917*1000000+ROUND($V917*10,0))</f>
        <v/>
      </c>
      <c r="Y917">
        <f>IF($W917="","",IFERROR(INDEX(IF($T917&lt;=60,imc05_l,imc519_l),MATCH($W917,IF($T917&lt;=60,imc05_k,imc519_k),1)),""))</f>
        <v/>
      </c>
      <c r="Z917">
        <f>IF($W917="","",IFERROR(INDEX(IF($T917&lt;=60,imc05_m,imc519_m),MATCH($W917,IF($T917&lt;=60,imc05_k,imc519_k),1)),""))</f>
        <v/>
      </c>
      <c r="AA917">
        <f>IF($W917="","",IFERROR(INDEX(IF($T917&lt;=60,imc05_s,imc519_s),MATCH($W917,IF($T917&lt;=60,imc05_k,imc519_k),1)),""))</f>
        <v/>
      </c>
      <c r="AB917">
        <f>IF($Y917="","",IF($Y917=0,LN($J917/$Z917)/$AA917,((($J917/$Z917)^$Y917)-1)/($Y917*$AA917)))</f>
        <v/>
      </c>
      <c r="AC917">
        <f>IF($Y917="","",IF($Y917=0,$Z917*EXP($AA917*2),$Z917*(1+$Y917*$AA917*2)^(1/$Y917)))</f>
        <v/>
      </c>
      <c r="AD917">
        <f>IF($Y917="","",IF($Y917=0,$Z917*EXP($AA917*3),$Z917*(1+$Y917*$AA917*3)^(1/$Y917)))</f>
        <v/>
      </c>
      <c r="AE917">
        <f>IF($Y917="","",IF($Y917=0,$Z917*EXP($AA917*-2),$Z917*(1+$Y917*$AA917*-2)^(1/$Y917)))</f>
        <v/>
      </c>
      <c r="AF917">
        <f>IF($Y917="","",IF($Y917=0,$Z917*EXP($AA917*-3),$Z917*(1+$Y917*$AA917*-3)^(1/$Y917)))</f>
        <v/>
      </c>
      <c r="AG917">
        <f>IF($W917="","",IFERROR(INDEX(IF($T917&lt;=60,est05_l,est519_l),MATCH($W917,IF($T917&lt;=60,est05_k,est519_k),1)),""))</f>
        <v/>
      </c>
      <c r="AH917">
        <f>IF($W917="","",IFERROR(INDEX(IF($T917&lt;=60,est05_m,est519_m),MATCH($W917,IF($T917&lt;=60,est05_k,est519_k),1)),""))</f>
        <v/>
      </c>
      <c r="AI917">
        <f>IF($W917="","",IFERROR(INDEX(IF($T917&lt;=60,est05_s,est519_s),MATCH($W917,IF($T917&lt;=60,est05_k,est519_k),1)),""))</f>
        <v/>
      </c>
      <c r="AJ917">
        <f>IF($W917="","",IFERROR(INDEX(IF($T917&lt;=60,peso05_l,peso510_l),MATCH($W917,IF($T917&lt;=60,peso05_k,peso510_k),1)),""))</f>
        <v/>
      </c>
      <c r="AK917">
        <f>IF($W917="","",IFERROR(INDEX(IF($T917&lt;=60,peso05_m,peso510_m),MATCH($W917,IF($T917&lt;=60,peso05_k,peso510_k),1)),""))</f>
        <v/>
      </c>
      <c r="AL917">
        <f>IF($W917="","",IFERROR(INDEX(IF($T917&lt;=60,peso05_s,peso510_s),MATCH($W917,IF($T917&lt;=60,peso05_k,peso510_k),1)),""))</f>
        <v/>
      </c>
      <c r="AM917">
        <f>IF($AJ917="","",IF($AJ917=0,LN($F917/$AK917)/$AL917,((($F917/$AK917)^$AJ917)-1)/($AJ917*$AL917)))</f>
        <v/>
      </c>
      <c r="AN917">
        <f>IF($AJ917="","",IF($AJ917=0,$AK917*EXP($AL917*2),$AK917*(1+$AJ917*$AL917*2)^(1/$AJ917)))</f>
        <v/>
      </c>
      <c r="AO917">
        <f>IF($AJ917="","",IF($AJ917=0,$AK917*EXP($AL917*3),$AK917*(1+$AJ917*$AL917*3)^(1/$AJ917)))</f>
        <v/>
      </c>
      <c r="AP917">
        <f>IF($AJ917="","",IF($AJ917=0,$AK917*EXP($AL917*-2),$AK917*(1+$AJ917*$AL917*-2)^(1/$AJ917)))</f>
        <v/>
      </c>
      <c r="AQ917">
        <f>IF($AJ917="","",IF($AJ917=0,$AK917*EXP($AL917*-3),$AK917*(1+$AJ917*$AL917*-3)^(1/$AJ917)))</f>
        <v/>
      </c>
      <c r="AR917">
        <f>IF(OR($X917="",$T917&gt;60),"",IFERROR(INDEX(IF($T917&lt;24,pcomp_l,palt_l),MATCH($X917,IF($T917&lt;24,pcomp_k,palt_k),1)),""))</f>
        <v/>
      </c>
      <c r="AS917">
        <f>IF(OR($X917="",$T917&gt;60),"",IFERROR(INDEX(IF($T917&lt;24,pcomp_m,palt_m),MATCH($X917,IF($T917&lt;24,pcomp_k,palt_k),1)),""))</f>
        <v/>
      </c>
      <c r="AT917">
        <f>IF(OR($X917="",$T917&gt;60),"",IFERROR(INDEX(IF($T917&lt;24,pcomp_s,palt_s),MATCH($X917,IF($T917&lt;24,pcomp_k,palt_k),1)),""))</f>
        <v/>
      </c>
      <c r="AU917">
        <f>IF($AR917="","",IF($AR917=0,LN($F917/$AS917)/$AT917,((($F917/$AS917)^$AR917)-1)/($AR917*$AT917)))</f>
        <v/>
      </c>
      <c r="AV917">
        <f>IF($AR917="","",IF($AR917=0,$AS917*EXP($AT917*2),$AS917*(1+$AR917*$AT917*2)^(1/$AR917)))</f>
        <v/>
      </c>
      <c r="AW917">
        <f>IF($AR917="","",IF($AR917=0,$AS917*EXP($AT917*3),$AS917*(1+$AR917*$AT917*3)^(1/$AR917)))</f>
        <v/>
      </c>
      <c r="AX917">
        <f>IF($AR917="","",IF($AR917=0,$AS917*EXP($AT917*-2),$AS917*(1+$AR917*$AT917*-2)^(1/$AR917)))</f>
        <v/>
      </c>
      <c r="AY917">
        <f>IF($AR917="","",IF($AR917=0,$AS917*EXP($AT917*-3),$AS917*(1+$AR917*$AT917*-3)^(1/$AR917)))</f>
        <v/>
      </c>
      <c r="AZ917">
        <f>IF(OR($A917="",$A917&lt;&gt;Ficha!$C$4),"",COUNTIF($A$2:$A917,Ficha!$C$4))</f>
        <v/>
      </c>
    </row>
    <row r="918">
      <c r="A918" s="8">
        <f>IF(INDEX(Banco!$A:$A,ROW())="","",INDEX(Banco!$A:$A,ROW()))</f>
        <v/>
      </c>
      <c r="B918" s="8">
        <f>IF(INDEX(Banco!$B:$B,ROW())="","",INDEX(Banco!$B:$B,ROW()))</f>
        <v/>
      </c>
      <c r="C918" s="8">
        <f>IF(INDEX(Banco!$C:$C,ROW())="","",INDEX(Banco!$C:$C,ROW()))</f>
        <v/>
      </c>
      <c r="D918" s="9">
        <f>IF(INDEX(Banco!$D:$D,ROW())="","",INDEX(Banco!$D:$D,ROW()))</f>
        <v/>
      </c>
      <c r="E918" s="9">
        <f>IF(INDEX(Banco!$E:$E,ROW())="","",INDEX(Banco!$E:$E,ROW()))</f>
        <v/>
      </c>
      <c r="F918" s="10">
        <f>IF(INDEX(Banco!$F:$F,ROW())="","",INDEX(Banco!$F:$F,ROW()))</f>
        <v/>
      </c>
      <c r="G918" s="10">
        <f>IF(INDEX(Banco!$G:$G,ROW())="","",INDEX(Banco!$G:$G,ROW()))</f>
        <v/>
      </c>
      <c r="H918" s="8">
        <f>IF(INDEX(Banco!$H:$H,ROW())="","",INDEX(Banco!$H:$H,ROW()))</f>
        <v/>
      </c>
      <c r="I918">
        <f>IF($T918="","",INT($T918/12)&amp;"a "&amp;MOD($T918,12)&amp;"m")</f>
        <v/>
      </c>
      <c r="J918" s="11">
        <f>IF(OR($F918="",$G918=""),"",ROUND($F918/($G918/100)^2,2))</f>
        <v/>
      </c>
      <c r="K918" s="12">
        <f>IF(OR($S918="",$J918="",$T918="",$T918&lt;0,$T918&gt;228,$Y918=""),"—",ROUND(IF(ABS($AB918)&lt;=3,$AB918,IF($AB918&gt;3,3+($J918-$AD918)/($AD918-$AC918),-3+($J918-$AF918)/($AE918-$AF918))),2))</f>
        <v/>
      </c>
      <c r="L918">
        <f>IF(OR($K918="",$K918="—"),"",IF($T918&lt;=60,IF($K918&lt;-3,"Magreza acentuada",IF($K918&lt;-2,"Magreza",IF($K918&lt;=1,"Eutrofia",IF($K918&lt;=2,"Risco de sobrepeso",IF($K918&lt;=3,"Sobrepeso","Obesidade"))))),IF($K918&lt;-3,"Magreza acentuada",IF($K918&lt;-2,"Magreza",IF($K918&lt;=1,"Eutrofia",IF($K918&lt;=2,"Sobrepeso",IF($K918&lt;=3,"Obesidade","Obesidade grave")))))))</f>
        <v/>
      </c>
      <c r="M918" s="12">
        <f>IF(OR($S918="",$V918="",$T918="",$T918&lt;0,$T918&gt;228,$AG918=""),"—",ROUND(IF($AG918=0,LN($V918/$AH918)/$AI918,((($V918/$AH918)^$AG918)-1)/($AG918*$AI918)),2))</f>
        <v/>
      </c>
      <c r="N918">
        <f>IF(OR($M918="",$M918="—"),"",IF($M918&lt;-3,"Muito baixa",IF($M918&lt;-2,"Baixa","Adequada")))</f>
        <v/>
      </c>
      <c r="O918" s="12">
        <f>IF(OR($S918="",$F918="",$T918="",$T918&lt;0,$T918&gt;120,$AJ918=""),"—",ROUND(IF(ABS($AM918)&lt;=3,$AM918,IF($AM918&gt;3,3+($F918-$AO918)/($AO918-$AN918),-3+($F918-$AQ918)/($AP918-$AQ918))),2))</f>
        <v/>
      </c>
      <c r="P918">
        <f>IF(OR($O918="",$O918="—"),"",IF($O918&lt;-3,"Muito baixo",IF($O918&lt;-2,"Baixo",IF($O918&lt;=2,"Adequado","Elevado"))))</f>
        <v/>
      </c>
      <c r="Q918" s="12">
        <f>IF(OR($S918="",$F918="",$T918="",$T918&lt;0,$T918&gt;60,$AR918=""),"—",ROUND(IF(ABS($AU918)&lt;=3,$AU918,IF($AU918&gt;3,3+($F918-$AW918)/($AW918-$AV918),-3+($F918-$AY918)/($AX918-$AY918))),2))</f>
        <v/>
      </c>
      <c r="R918">
        <f>IF(OR($Q918="",$Q918="—"),"",IF($Q918&lt;-3,"Magreza acentuada",IF($Q918&lt;-2,"Magreza",IF($Q918&lt;=1,"Eutrofia",IF($Q918&lt;=2,"Risco de sobrepeso",IF($Q918&lt;=3,"Sobrepeso","Obesidade"))))))</f>
        <v/>
      </c>
      <c r="S918">
        <f>IF($C918="","",IF(UPPER(LEFT($C918,1))="M",1,IF(UPPER(LEFT($C918,1))="F",2,"")))</f>
        <v/>
      </c>
      <c r="T918">
        <f>IF(OR($D918="",$E918=""),"",DATEDIF($D918,$E918,"m"))</f>
        <v/>
      </c>
      <c r="U918">
        <f>IF(OR($D918="",$E918=""),"",$E918-$D918)</f>
        <v/>
      </c>
      <c r="V918">
        <f>IF(OR($G918="",$T918=""),"",IF($T918&lt;24,IF(LEFT(LOWER($H918),4)="em p",$G918+0.7,$G918),IF(LEFT(LOWER($H918),4)="deit",$G918-0.7,$G918)))</f>
        <v/>
      </c>
      <c r="W918">
        <f>IF(OR($S918="",$T918=""),"",$S918*1000000+IF($T918&lt;=60,$U918,$T918))</f>
        <v/>
      </c>
      <c r="X918">
        <f>IF(OR($S918="",$V918="",$T918&gt;60,$T918=""),"",$S918*1000000+ROUND($V918*10,0))</f>
        <v/>
      </c>
      <c r="Y918">
        <f>IF($W918="","",IFERROR(INDEX(IF($T918&lt;=60,imc05_l,imc519_l),MATCH($W918,IF($T918&lt;=60,imc05_k,imc519_k),1)),""))</f>
        <v/>
      </c>
      <c r="Z918">
        <f>IF($W918="","",IFERROR(INDEX(IF($T918&lt;=60,imc05_m,imc519_m),MATCH($W918,IF($T918&lt;=60,imc05_k,imc519_k),1)),""))</f>
        <v/>
      </c>
      <c r="AA918">
        <f>IF($W918="","",IFERROR(INDEX(IF($T918&lt;=60,imc05_s,imc519_s),MATCH($W918,IF($T918&lt;=60,imc05_k,imc519_k),1)),""))</f>
        <v/>
      </c>
      <c r="AB918">
        <f>IF($Y918="","",IF($Y918=0,LN($J918/$Z918)/$AA918,((($J918/$Z918)^$Y918)-1)/($Y918*$AA918)))</f>
        <v/>
      </c>
      <c r="AC918">
        <f>IF($Y918="","",IF($Y918=0,$Z918*EXP($AA918*2),$Z918*(1+$Y918*$AA918*2)^(1/$Y918)))</f>
        <v/>
      </c>
      <c r="AD918">
        <f>IF($Y918="","",IF($Y918=0,$Z918*EXP($AA918*3),$Z918*(1+$Y918*$AA918*3)^(1/$Y918)))</f>
        <v/>
      </c>
      <c r="AE918">
        <f>IF($Y918="","",IF($Y918=0,$Z918*EXP($AA918*-2),$Z918*(1+$Y918*$AA918*-2)^(1/$Y918)))</f>
        <v/>
      </c>
      <c r="AF918">
        <f>IF($Y918="","",IF($Y918=0,$Z918*EXP($AA918*-3),$Z918*(1+$Y918*$AA918*-3)^(1/$Y918)))</f>
        <v/>
      </c>
      <c r="AG918">
        <f>IF($W918="","",IFERROR(INDEX(IF($T918&lt;=60,est05_l,est519_l),MATCH($W918,IF($T918&lt;=60,est05_k,est519_k),1)),""))</f>
        <v/>
      </c>
      <c r="AH918">
        <f>IF($W918="","",IFERROR(INDEX(IF($T918&lt;=60,est05_m,est519_m),MATCH($W918,IF($T918&lt;=60,est05_k,est519_k),1)),""))</f>
        <v/>
      </c>
      <c r="AI918">
        <f>IF($W918="","",IFERROR(INDEX(IF($T918&lt;=60,est05_s,est519_s),MATCH($W918,IF($T918&lt;=60,est05_k,est519_k),1)),""))</f>
        <v/>
      </c>
      <c r="AJ918">
        <f>IF($W918="","",IFERROR(INDEX(IF($T918&lt;=60,peso05_l,peso510_l),MATCH($W918,IF($T918&lt;=60,peso05_k,peso510_k),1)),""))</f>
        <v/>
      </c>
      <c r="AK918">
        <f>IF($W918="","",IFERROR(INDEX(IF($T918&lt;=60,peso05_m,peso510_m),MATCH($W918,IF($T918&lt;=60,peso05_k,peso510_k),1)),""))</f>
        <v/>
      </c>
      <c r="AL918">
        <f>IF($W918="","",IFERROR(INDEX(IF($T918&lt;=60,peso05_s,peso510_s),MATCH($W918,IF($T918&lt;=60,peso05_k,peso510_k),1)),""))</f>
        <v/>
      </c>
      <c r="AM918">
        <f>IF($AJ918="","",IF($AJ918=0,LN($F918/$AK918)/$AL918,((($F918/$AK918)^$AJ918)-1)/($AJ918*$AL918)))</f>
        <v/>
      </c>
      <c r="AN918">
        <f>IF($AJ918="","",IF($AJ918=0,$AK918*EXP($AL918*2),$AK918*(1+$AJ918*$AL918*2)^(1/$AJ918)))</f>
        <v/>
      </c>
      <c r="AO918">
        <f>IF($AJ918="","",IF($AJ918=0,$AK918*EXP($AL918*3),$AK918*(1+$AJ918*$AL918*3)^(1/$AJ918)))</f>
        <v/>
      </c>
      <c r="AP918">
        <f>IF($AJ918="","",IF($AJ918=0,$AK918*EXP($AL918*-2),$AK918*(1+$AJ918*$AL918*-2)^(1/$AJ918)))</f>
        <v/>
      </c>
      <c r="AQ918">
        <f>IF($AJ918="","",IF($AJ918=0,$AK918*EXP($AL918*-3),$AK918*(1+$AJ918*$AL918*-3)^(1/$AJ918)))</f>
        <v/>
      </c>
      <c r="AR918">
        <f>IF(OR($X918="",$T918&gt;60),"",IFERROR(INDEX(IF($T918&lt;24,pcomp_l,palt_l),MATCH($X918,IF($T918&lt;24,pcomp_k,palt_k),1)),""))</f>
        <v/>
      </c>
      <c r="AS918">
        <f>IF(OR($X918="",$T918&gt;60),"",IFERROR(INDEX(IF($T918&lt;24,pcomp_m,palt_m),MATCH($X918,IF($T918&lt;24,pcomp_k,palt_k),1)),""))</f>
        <v/>
      </c>
      <c r="AT918">
        <f>IF(OR($X918="",$T918&gt;60),"",IFERROR(INDEX(IF($T918&lt;24,pcomp_s,palt_s),MATCH($X918,IF($T918&lt;24,pcomp_k,palt_k),1)),""))</f>
        <v/>
      </c>
      <c r="AU918">
        <f>IF($AR918="","",IF($AR918=0,LN($F918/$AS918)/$AT918,((($F918/$AS918)^$AR918)-1)/($AR918*$AT918)))</f>
        <v/>
      </c>
      <c r="AV918">
        <f>IF($AR918="","",IF($AR918=0,$AS918*EXP($AT918*2),$AS918*(1+$AR918*$AT918*2)^(1/$AR918)))</f>
        <v/>
      </c>
      <c r="AW918">
        <f>IF($AR918="","",IF($AR918=0,$AS918*EXP($AT918*3),$AS918*(1+$AR918*$AT918*3)^(1/$AR918)))</f>
        <v/>
      </c>
      <c r="AX918">
        <f>IF($AR918="","",IF($AR918=0,$AS918*EXP($AT918*-2),$AS918*(1+$AR918*$AT918*-2)^(1/$AR918)))</f>
        <v/>
      </c>
      <c r="AY918">
        <f>IF($AR918="","",IF($AR918=0,$AS918*EXP($AT918*-3),$AS918*(1+$AR918*$AT918*-3)^(1/$AR918)))</f>
        <v/>
      </c>
      <c r="AZ918">
        <f>IF(OR($A918="",$A918&lt;&gt;Ficha!$C$4),"",COUNTIF($A$2:$A918,Ficha!$C$4))</f>
        <v/>
      </c>
    </row>
    <row r="919">
      <c r="A919" s="8">
        <f>IF(INDEX(Banco!$A:$A,ROW())="","",INDEX(Banco!$A:$A,ROW()))</f>
        <v/>
      </c>
      <c r="B919" s="8">
        <f>IF(INDEX(Banco!$B:$B,ROW())="","",INDEX(Banco!$B:$B,ROW()))</f>
        <v/>
      </c>
      <c r="C919" s="8">
        <f>IF(INDEX(Banco!$C:$C,ROW())="","",INDEX(Banco!$C:$C,ROW()))</f>
        <v/>
      </c>
      <c r="D919" s="9">
        <f>IF(INDEX(Banco!$D:$D,ROW())="","",INDEX(Banco!$D:$D,ROW()))</f>
        <v/>
      </c>
      <c r="E919" s="9">
        <f>IF(INDEX(Banco!$E:$E,ROW())="","",INDEX(Banco!$E:$E,ROW()))</f>
        <v/>
      </c>
      <c r="F919" s="10">
        <f>IF(INDEX(Banco!$F:$F,ROW())="","",INDEX(Banco!$F:$F,ROW()))</f>
        <v/>
      </c>
      <c r="G919" s="10">
        <f>IF(INDEX(Banco!$G:$G,ROW())="","",INDEX(Banco!$G:$G,ROW()))</f>
        <v/>
      </c>
      <c r="H919" s="8">
        <f>IF(INDEX(Banco!$H:$H,ROW())="","",INDEX(Banco!$H:$H,ROW()))</f>
        <v/>
      </c>
      <c r="I919">
        <f>IF($T919="","",INT($T919/12)&amp;"a "&amp;MOD($T919,12)&amp;"m")</f>
        <v/>
      </c>
      <c r="J919" s="11">
        <f>IF(OR($F919="",$G919=""),"",ROUND($F919/($G919/100)^2,2))</f>
        <v/>
      </c>
      <c r="K919" s="12">
        <f>IF(OR($S919="",$J919="",$T919="",$T919&lt;0,$T919&gt;228,$Y919=""),"—",ROUND(IF(ABS($AB919)&lt;=3,$AB919,IF($AB919&gt;3,3+($J919-$AD919)/($AD919-$AC919),-3+($J919-$AF919)/($AE919-$AF919))),2))</f>
        <v/>
      </c>
      <c r="L919">
        <f>IF(OR($K919="",$K919="—"),"",IF($T919&lt;=60,IF($K919&lt;-3,"Magreza acentuada",IF($K919&lt;-2,"Magreza",IF($K919&lt;=1,"Eutrofia",IF($K919&lt;=2,"Risco de sobrepeso",IF($K919&lt;=3,"Sobrepeso","Obesidade"))))),IF($K919&lt;-3,"Magreza acentuada",IF($K919&lt;-2,"Magreza",IF($K919&lt;=1,"Eutrofia",IF($K919&lt;=2,"Sobrepeso",IF($K919&lt;=3,"Obesidade","Obesidade grave")))))))</f>
        <v/>
      </c>
      <c r="M919" s="12">
        <f>IF(OR($S919="",$V919="",$T919="",$T919&lt;0,$T919&gt;228,$AG919=""),"—",ROUND(IF($AG919=0,LN($V919/$AH919)/$AI919,((($V919/$AH919)^$AG919)-1)/($AG919*$AI919)),2))</f>
        <v/>
      </c>
      <c r="N919">
        <f>IF(OR($M919="",$M919="—"),"",IF($M919&lt;-3,"Muito baixa",IF($M919&lt;-2,"Baixa","Adequada")))</f>
        <v/>
      </c>
      <c r="O919" s="12">
        <f>IF(OR($S919="",$F919="",$T919="",$T919&lt;0,$T919&gt;120,$AJ919=""),"—",ROUND(IF(ABS($AM919)&lt;=3,$AM919,IF($AM919&gt;3,3+($F919-$AO919)/($AO919-$AN919),-3+($F919-$AQ919)/($AP919-$AQ919))),2))</f>
        <v/>
      </c>
      <c r="P919">
        <f>IF(OR($O919="",$O919="—"),"",IF($O919&lt;-3,"Muito baixo",IF($O919&lt;-2,"Baixo",IF($O919&lt;=2,"Adequado","Elevado"))))</f>
        <v/>
      </c>
      <c r="Q919" s="12">
        <f>IF(OR($S919="",$F919="",$T919="",$T919&lt;0,$T919&gt;60,$AR919=""),"—",ROUND(IF(ABS($AU919)&lt;=3,$AU919,IF($AU919&gt;3,3+($F919-$AW919)/($AW919-$AV919),-3+($F919-$AY919)/($AX919-$AY919))),2))</f>
        <v/>
      </c>
      <c r="R919">
        <f>IF(OR($Q919="",$Q919="—"),"",IF($Q919&lt;-3,"Magreza acentuada",IF($Q919&lt;-2,"Magreza",IF($Q919&lt;=1,"Eutrofia",IF($Q919&lt;=2,"Risco de sobrepeso",IF($Q919&lt;=3,"Sobrepeso","Obesidade"))))))</f>
        <v/>
      </c>
      <c r="S919">
        <f>IF($C919="","",IF(UPPER(LEFT($C919,1))="M",1,IF(UPPER(LEFT($C919,1))="F",2,"")))</f>
        <v/>
      </c>
      <c r="T919">
        <f>IF(OR($D919="",$E919=""),"",DATEDIF($D919,$E919,"m"))</f>
        <v/>
      </c>
      <c r="U919">
        <f>IF(OR($D919="",$E919=""),"",$E919-$D919)</f>
        <v/>
      </c>
      <c r="V919">
        <f>IF(OR($G919="",$T919=""),"",IF($T919&lt;24,IF(LEFT(LOWER($H919),4)="em p",$G919+0.7,$G919),IF(LEFT(LOWER($H919),4)="deit",$G919-0.7,$G919)))</f>
        <v/>
      </c>
      <c r="W919">
        <f>IF(OR($S919="",$T919=""),"",$S919*1000000+IF($T919&lt;=60,$U919,$T919))</f>
        <v/>
      </c>
      <c r="X919">
        <f>IF(OR($S919="",$V919="",$T919&gt;60,$T919=""),"",$S919*1000000+ROUND($V919*10,0))</f>
        <v/>
      </c>
      <c r="Y919">
        <f>IF($W919="","",IFERROR(INDEX(IF($T919&lt;=60,imc05_l,imc519_l),MATCH($W919,IF($T919&lt;=60,imc05_k,imc519_k),1)),""))</f>
        <v/>
      </c>
      <c r="Z919">
        <f>IF($W919="","",IFERROR(INDEX(IF($T919&lt;=60,imc05_m,imc519_m),MATCH($W919,IF($T919&lt;=60,imc05_k,imc519_k),1)),""))</f>
        <v/>
      </c>
      <c r="AA919">
        <f>IF($W919="","",IFERROR(INDEX(IF($T919&lt;=60,imc05_s,imc519_s),MATCH($W919,IF($T919&lt;=60,imc05_k,imc519_k),1)),""))</f>
        <v/>
      </c>
      <c r="AB919">
        <f>IF($Y919="","",IF($Y919=0,LN($J919/$Z919)/$AA919,((($J919/$Z919)^$Y919)-1)/($Y919*$AA919)))</f>
        <v/>
      </c>
      <c r="AC919">
        <f>IF($Y919="","",IF($Y919=0,$Z919*EXP($AA919*2),$Z919*(1+$Y919*$AA919*2)^(1/$Y919)))</f>
        <v/>
      </c>
      <c r="AD919">
        <f>IF($Y919="","",IF($Y919=0,$Z919*EXP($AA919*3),$Z919*(1+$Y919*$AA919*3)^(1/$Y919)))</f>
        <v/>
      </c>
      <c r="AE919">
        <f>IF($Y919="","",IF($Y919=0,$Z919*EXP($AA919*-2),$Z919*(1+$Y919*$AA919*-2)^(1/$Y919)))</f>
        <v/>
      </c>
      <c r="AF919">
        <f>IF($Y919="","",IF($Y919=0,$Z919*EXP($AA919*-3),$Z919*(1+$Y919*$AA919*-3)^(1/$Y919)))</f>
        <v/>
      </c>
      <c r="AG919">
        <f>IF($W919="","",IFERROR(INDEX(IF($T919&lt;=60,est05_l,est519_l),MATCH($W919,IF($T919&lt;=60,est05_k,est519_k),1)),""))</f>
        <v/>
      </c>
      <c r="AH919">
        <f>IF($W919="","",IFERROR(INDEX(IF($T919&lt;=60,est05_m,est519_m),MATCH($W919,IF($T919&lt;=60,est05_k,est519_k),1)),""))</f>
        <v/>
      </c>
      <c r="AI919">
        <f>IF($W919="","",IFERROR(INDEX(IF($T919&lt;=60,est05_s,est519_s),MATCH($W919,IF($T919&lt;=60,est05_k,est519_k),1)),""))</f>
        <v/>
      </c>
      <c r="AJ919">
        <f>IF($W919="","",IFERROR(INDEX(IF($T919&lt;=60,peso05_l,peso510_l),MATCH($W919,IF($T919&lt;=60,peso05_k,peso510_k),1)),""))</f>
        <v/>
      </c>
      <c r="AK919">
        <f>IF($W919="","",IFERROR(INDEX(IF($T919&lt;=60,peso05_m,peso510_m),MATCH($W919,IF($T919&lt;=60,peso05_k,peso510_k),1)),""))</f>
        <v/>
      </c>
      <c r="AL919">
        <f>IF($W919="","",IFERROR(INDEX(IF($T919&lt;=60,peso05_s,peso510_s),MATCH($W919,IF($T919&lt;=60,peso05_k,peso510_k),1)),""))</f>
        <v/>
      </c>
      <c r="AM919">
        <f>IF($AJ919="","",IF($AJ919=0,LN($F919/$AK919)/$AL919,((($F919/$AK919)^$AJ919)-1)/($AJ919*$AL919)))</f>
        <v/>
      </c>
      <c r="AN919">
        <f>IF($AJ919="","",IF($AJ919=0,$AK919*EXP($AL919*2),$AK919*(1+$AJ919*$AL919*2)^(1/$AJ919)))</f>
        <v/>
      </c>
      <c r="AO919">
        <f>IF($AJ919="","",IF($AJ919=0,$AK919*EXP($AL919*3),$AK919*(1+$AJ919*$AL919*3)^(1/$AJ919)))</f>
        <v/>
      </c>
      <c r="AP919">
        <f>IF($AJ919="","",IF($AJ919=0,$AK919*EXP($AL919*-2),$AK919*(1+$AJ919*$AL919*-2)^(1/$AJ919)))</f>
        <v/>
      </c>
      <c r="AQ919">
        <f>IF($AJ919="","",IF($AJ919=0,$AK919*EXP($AL919*-3),$AK919*(1+$AJ919*$AL919*-3)^(1/$AJ919)))</f>
        <v/>
      </c>
      <c r="AR919">
        <f>IF(OR($X919="",$T919&gt;60),"",IFERROR(INDEX(IF($T919&lt;24,pcomp_l,palt_l),MATCH($X919,IF($T919&lt;24,pcomp_k,palt_k),1)),""))</f>
        <v/>
      </c>
      <c r="AS919">
        <f>IF(OR($X919="",$T919&gt;60),"",IFERROR(INDEX(IF($T919&lt;24,pcomp_m,palt_m),MATCH($X919,IF($T919&lt;24,pcomp_k,palt_k),1)),""))</f>
        <v/>
      </c>
      <c r="AT919">
        <f>IF(OR($X919="",$T919&gt;60),"",IFERROR(INDEX(IF($T919&lt;24,pcomp_s,palt_s),MATCH($X919,IF($T919&lt;24,pcomp_k,palt_k),1)),""))</f>
        <v/>
      </c>
      <c r="AU919">
        <f>IF($AR919="","",IF($AR919=0,LN($F919/$AS919)/$AT919,((($F919/$AS919)^$AR919)-1)/($AR919*$AT919)))</f>
        <v/>
      </c>
      <c r="AV919">
        <f>IF($AR919="","",IF($AR919=0,$AS919*EXP($AT919*2),$AS919*(1+$AR919*$AT919*2)^(1/$AR919)))</f>
        <v/>
      </c>
      <c r="AW919">
        <f>IF($AR919="","",IF($AR919=0,$AS919*EXP($AT919*3),$AS919*(1+$AR919*$AT919*3)^(1/$AR919)))</f>
        <v/>
      </c>
      <c r="AX919">
        <f>IF($AR919="","",IF($AR919=0,$AS919*EXP($AT919*-2),$AS919*(1+$AR919*$AT919*-2)^(1/$AR919)))</f>
        <v/>
      </c>
      <c r="AY919">
        <f>IF($AR919="","",IF($AR919=0,$AS919*EXP($AT919*-3),$AS919*(1+$AR919*$AT919*-3)^(1/$AR919)))</f>
        <v/>
      </c>
      <c r="AZ919">
        <f>IF(OR($A919="",$A919&lt;&gt;Ficha!$C$4),"",COUNTIF($A$2:$A919,Ficha!$C$4))</f>
        <v/>
      </c>
    </row>
    <row r="920">
      <c r="A920" s="8">
        <f>IF(INDEX(Banco!$A:$A,ROW())="","",INDEX(Banco!$A:$A,ROW()))</f>
        <v/>
      </c>
      <c r="B920" s="8">
        <f>IF(INDEX(Banco!$B:$B,ROW())="","",INDEX(Banco!$B:$B,ROW()))</f>
        <v/>
      </c>
      <c r="C920" s="8">
        <f>IF(INDEX(Banco!$C:$C,ROW())="","",INDEX(Banco!$C:$C,ROW()))</f>
        <v/>
      </c>
      <c r="D920" s="9">
        <f>IF(INDEX(Banco!$D:$D,ROW())="","",INDEX(Banco!$D:$D,ROW()))</f>
        <v/>
      </c>
      <c r="E920" s="9">
        <f>IF(INDEX(Banco!$E:$E,ROW())="","",INDEX(Banco!$E:$E,ROW()))</f>
        <v/>
      </c>
      <c r="F920" s="10">
        <f>IF(INDEX(Banco!$F:$F,ROW())="","",INDEX(Banco!$F:$F,ROW()))</f>
        <v/>
      </c>
      <c r="G920" s="10">
        <f>IF(INDEX(Banco!$G:$G,ROW())="","",INDEX(Banco!$G:$G,ROW()))</f>
        <v/>
      </c>
      <c r="H920" s="8">
        <f>IF(INDEX(Banco!$H:$H,ROW())="","",INDEX(Banco!$H:$H,ROW()))</f>
        <v/>
      </c>
      <c r="I920">
        <f>IF($T920="","",INT($T920/12)&amp;"a "&amp;MOD($T920,12)&amp;"m")</f>
        <v/>
      </c>
      <c r="J920" s="11">
        <f>IF(OR($F920="",$G920=""),"",ROUND($F920/($G920/100)^2,2))</f>
        <v/>
      </c>
      <c r="K920" s="12">
        <f>IF(OR($S920="",$J920="",$T920="",$T920&lt;0,$T920&gt;228,$Y920=""),"—",ROUND(IF(ABS($AB920)&lt;=3,$AB920,IF($AB920&gt;3,3+($J920-$AD920)/($AD920-$AC920),-3+($J920-$AF920)/($AE920-$AF920))),2))</f>
        <v/>
      </c>
      <c r="L920">
        <f>IF(OR($K920="",$K920="—"),"",IF($T920&lt;=60,IF($K920&lt;-3,"Magreza acentuada",IF($K920&lt;-2,"Magreza",IF($K920&lt;=1,"Eutrofia",IF($K920&lt;=2,"Risco de sobrepeso",IF($K920&lt;=3,"Sobrepeso","Obesidade"))))),IF($K920&lt;-3,"Magreza acentuada",IF($K920&lt;-2,"Magreza",IF($K920&lt;=1,"Eutrofia",IF($K920&lt;=2,"Sobrepeso",IF($K920&lt;=3,"Obesidade","Obesidade grave")))))))</f>
        <v/>
      </c>
      <c r="M920" s="12">
        <f>IF(OR($S920="",$V920="",$T920="",$T920&lt;0,$T920&gt;228,$AG920=""),"—",ROUND(IF($AG920=0,LN($V920/$AH920)/$AI920,((($V920/$AH920)^$AG920)-1)/($AG920*$AI920)),2))</f>
        <v/>
      </c>
      <c r="N920">
        <f>IF(OR($M920="",$M920="—"),"",IF($M920&lt;-3,"Muito baixa",IF($M920&lt;-2,"Baixa","Adequada")))</f>
        <v/>
      </c>
      <c r="O920" s="12">
        <f>IF(OR($S920="",$F920="",$T920="",$T920&lt;0,$T920&gt;120,$AJ920=""),"—",ROUND(IF(ABS($AM920)&lt;=3,$AM920,IF($AM920&gt;3,3+($F920-$AO920)/($AO920-$AN920),-3+($F920-$AQ920)/($AP920-$AQ920))),2))</f>
        <v/>
      </c>
      <c r="P920">
        <f>IF(OR($O920="",$O920="—"),"",IF($O920&lt;-3,"Muito baixo",IF($O920&lt;-2,"Baixo",IF($O920&lt;=2,"Adequado","Elevado"))))</f>
        <v/>
      </c>
      <c r="Q920" s="12">
        <f>IF(OR($S920="",$F920="",$T920="",$T920&lt;0,$T920&gt;60,$AR920=""),"—",ROUND(IF(ABS($AU920)&lt;=3,$AU920,IF($AU920&gt;3,3+($F920-$AW920)/($AW920-$AV920),-3+($F920-$AY920)/($AX920-$AY920))),2))</f>
        <v/>
      </c>
      <c r="R920">
        <f>IF(OR($Q920="",$Q920="—"),"",IF($Q920&lt;-3,"Magreza acentuada",IF($Q920&lt;-2,"Magreza",IF($Q920&lt;=1,"Eutrofia",IF($Q920&lt;=2,"Risco de sobrepeso",IF($Q920&lt;=3,"Sobrepeso","Obesidade"))))))</f>
        <v/>
      </c>
      <c r="S920">
        <f>IF($C920="","",IF(UPPER(LEFT($C920,1))="M",1,IF(UPPER(LEFT($C920,1))="F",2,"")))</f>
        <v/>
      </c>
      <c r="T920">
        <f>IF(OR($D920="",$E920=""),"",DATEDIF($D920,$E920,"m"))</f>
        <v/>
      </c>
      <c r="U920">
        <f>IF(OR($D920="",$E920=""),"",$E920-$D920)</f>
        <v/>
      </c>
      <c r="V920">
        <f>IF(OR($G920="",$T920=""),"",IF($T920&lt;24,IF(LEFT(LOWER($H920),4)="em p",$G920+0.7,$G920),IF(LEFT(LOWER($H920),4)="deit",$G920-0.7,$G920)))</f>
        <v/>
      </c>
      <c r="W920">
        <f>IF(OR($S920="",$T920=""),"",$S920*1000000+IF($T920&lt;=60,$U920,$T920))</f>
        <v/>
      </c>
      <c r="X920">
        <f>IF(OR($S920="",$V920="",$T920&gt;60,$T920=""),"",$S920*1000000+ROUND($V920*10,0))</f>
        <v/>
      </c>
      <c r="Y920">
        <f>IF($W920="","",IFERROR(INDEX(IF($T920&lt;=60,imc05_l,imc519_l),MATCH($W920,IF($T920&lt;=60,imc05_k,imc519_k),1)),""))</f>
        <v/>
      </c>
      <c r="Z920">
        <f>IF($W920="","",IFERROR(INDEX(IF($T920&lt;=60,imc05_m,imc519_m),MATCH($W920,IF($T920&lt;=60,imc05_k,imc519_k),1)),""))</f>
        <v/>
      </c>
      <c r="AA920">
        <f>IF($W920="","",IFERROR(INDEX(IF($T920&lt;=60,imc05_s,imc519_s),MATCH($W920,IF($T920&lt;=60,imc05_k,imc519_k),1)),""))</f>
        <v/>
      </c>
      <c r="AB920">
        <f>IF($Y920="","",IF($Y920=0,LN($J920/$Z920)/$AA920,((($J920/$Z920)^$Y920)-1)/($Y920*$AA920)))</f>
        <v/>
      </c>
      <c r="AC920">
        <f>IF($Y920="","",IF($Y920=0,$Z920*EXP($AA920*2),$Z920*(1+$Y920*$AA920*2)^(1/$Y920)))</f>
        <v/>
      </c>
      <c r="AD920">
        <f>IF($Y920="","",IF($Y920=0,$Z920*EXP($AA920*3),$Z920*(1+$Y920*$AA920*3)^(1/$Y920)))</f>
        <v/>
      </c>
      <c r="AE920">
        <f>IF($Y920="","",IF($Y920=0,$Z920*EXP($AA920*-2),$Z920*(1+$Y920*$AA920*-2)^(1/$Y920)))</f>
        <v/>
      </c>
      <c r="AF920">
        <f>IF($Y920="","",IF($Y920=0,$Z920*EXP($AA920*-3),$Z920*(1+$Y920*$AA920*-3)^(1/$Y920)))</f>
        <v/>
      </c>
      <c r="AG920">
        <f>IF($W920="","",IFERROR(INDEX(IF($T920&lt;=60,est05_l,est519_l),MATCH($W920,IF($T920&lt;=60,est05_k,est519_k),1)),""))</f>
        <v/>
      </c>
      <c r="AH920">
        <f>IF($W920="","",IFERROR(INDEX(IF($T920&lt;=60,est05_m,est519_m),MATCH($W920,IF($T920&lt;=60,est05_k,est519_k),1)),""))</f>
        <v/>
      </c>
      <c r="AI920">
        <f>IF($W920="","",IFERROR(INDEX(IF($T920&lt;=60,est05_s,est519_s),MATCH($W920,IF($T920&lt;=60,est05_k,est519_k),1)),""))</f>
        <v/>
      </c>
      <c r="AJ920">
        <f>IF($W920="","",IFERROR(INDEX(IF($T920&lt;=60,peso05_l,peso510_l),MATCH($W920,IF($T920&lt;=60,peso05_k,peso510_k),1)),""))</f>
        <v/>
      </c>
      <c r="AK920">
        <f>IF($W920="","",IFERROR(INDEX(IF($T920&lt;=60,peso05_m,peso510_m),MATCH($W920,IF($T920&lt;=60,peso05_k,peso510_k),1)),""))</f>
        <v/>
      </c>
      <c r="AL920">
        <f>IF($W920="","",IFERROR(INDEX(IF($T920&lt;=60,peso05_s,peso510_s),MATCH($W920,IF($T920&lt;=60,peso05_k,peso510_k),1)),""))</f>
        <v/>
      </c>
      <c r="AM920">
        <f>IF($AJ920="","",IF($AJ920=0,LN($F920/$AK920)/$AL920,((($F920/$AK920)^$AJ920)-1)/($AJ920*$AL920)))</f>
        <v/>
      </c>
      <c r="AN920">
        <f>IF($AJ920="","",IF($AJ920=0,$AK920*EXP($AL920*2),$AK920*(1+$AJ920*$AL920*2)^(1/$AJ920)))</f>
        <v/>
      </c>
      <c r="AO920">
        <f>IF($AJ920="","",IF($AJ920=0,$AK920*EXP($AL920*3),$AK920*(1+$AJ920*$AL920*3)^(1/$AJ920)))</f>
        <v/>
      </c>
      <c r="AP920">
        <f>IF($AJ920="","",IF($AJ920=0,$AK920*EXP($AL920*-2),$AK920*(1+$AJ920*$AL920*-2)^(1/$AJ920)))</f>
        <v/>
      </c>
      <c r="AQ920">
        <f>IF($AJ920="","",IF($AJ920=0,$AK920*EXP($AL920*-3),$AK920*(1+$AJ920*$AL920*-3)^(1/$AJ920)))</f>
        <v/>
      </c>
      <c r="AR920">
        <f>IF(OR($X920="",$T920&gt;60),"",IFERROR(INDEX(IF($T920&lt;24,pcomp_l,palt_l),MATCH($X920,IF($T920&lt;24,pcomp_k,palt_k),1)),""))</f>
        <v/>
      </c>
      <c r="AS920">
        <f>IF(OR($X920="",$T920&gt;60),"",IFERROR(INDEX(IF($T920&lt;24,pcomp_m,palt_m),MATCH($X920,IF($T920&lt;24,pcomp_k,palt_k),1)),""))</f>
        <v/>
      </c>
      <c r="AT920">
        <f>IF(OR($X920="",$T920&gt;60),"",IFERROR(INDEX(IF($T920&lt;24,pcomp_s,palt_s),MATCH($X920,IF($T920&lt;24,pcomp_k,palt_k),1)),""))</f>
        <v/>
      </c>
      <c r="AU920">
        <f>IF($AR920="","",IF($AR920=0,LN($F920/$AS920)/$AT920,((($F920/$AS920)^$AR920)-1)/($AR920*$AT920)))</f>
        <v/>
      </c>
      <c r="AV920">
        <f>IF($AR920="","",IF($AR920=0,$AS920*EXP($AT920*2),$AS920*(1+$AR920*$AT920*2)^(1/$AR920)))</f>
        <v/>
      </c>
      <c r="AW920">
        <f>IF($AR920="","",IF($AR920=0,$AS920*EXP($AT920*3),$AS920*(1+$AR920*$AT920*3)^(1/$AR920)))</f>
        <v/>
      </c>
      <c r="AX920">
        <f>IF($AR920="","",IF($AR920=0,$AS920*EXP($AT920*-2),$AS920*(1+$AR920*$AT920*-2)^(1/$AR920)))</f>
        <v/>
      </c>
      <c r="AY920">
        <f>IF($AR920="","",IF($AR920=0,$AS920*EXP($AT920*-3),$AS920*(1+$AR920*$AT920*-3)^(1/$AR920)))</f>
        <v/>
      </c>
      <c r="AZ920">
        <f>IF(OR($A920="",$A920&lt;&gt;Ficha!$C$4),"",COUNTIF($A$2:$A920,Ficha!$C$4))</f>
        <v/>
      </c>
    </row>
    <row r="921">
      <c r="A921" s="8">
        <f>IF(INDEX(Banco!$A:$A,ROW())="","",INDEX(Banco!$A:$A,ROW()))</f>
        <v/>
      </c>
      <c r="B921" s="8">
        <f>IF(INDEX(Banco!$B:$B,ROW())="","",INDEX(Banco!$B:$B,ROW()))</f>
        <v/>
      </c>
      <c r="C921" s="8">
        <f>IF(INDEX(Banco!$C:$C,ROW())="","",INDEX(Banco!$C:$C,ROW()))</f>
        <v/>
      </c>
      <c r="D921" s="9">
        <f>IF(INDEX(Banco!$D:$D,ROW())="","",INDEX(Banco!$D:$D,ROW()))</f>
        <v/>
      </c>
      <c r="E921" s="9">
        <f>IF(INDEX(Banco!$E:$E,ROW())="","",INDEX(Banco!$E:$E,ROW()))</f>
        <v/>
      </c>
      <c r="F921" s="10">
        <f>IF(INDEX(Banco!$F:$F,ROW())="","",INDEX(Banco!$F:$F,ROW()))</f>
        <v/>
      </c>
      <c r="G921" s="10">
        <f>IF(INDEX(Banco!$G:$G,ROW())="","",INDEX(Banco!$G:$G,ROW()))</f>
        <v/>
      </c>
      <c r="H921" s="8">
        <f>IF(INDEX(Banco!$H:$H,ROW())="","",INDEX(Banco!$H:$H,ROW()))</f>
        <v/>
      </c>
      <c r="I921">
        <f>IF($T921="","",INT($T921/12)&amp;"a "&amp;MOD($T921,12)&amp;"m")</f>
        <v/>
      </c>
      <c r="J921" s="11">
        <f>IF(OR($F921="",$G921=""),"",ROUND($F921/($G921/100)^2,2))</f>
        <v/>
      </c>
      <c r="K921" s="12">
        <f>IF(OR($S921="",$J921="",$T921="",$T921&lt;0,$T921&gt;228,$Y921=""),"—",ROUND(IF(ABS($AB921)&lt;=3,$AB921,IF($AB921&gt;3,3+($J921-$AD921)/($AD921-$AC921),-3+($J921-$AF921)/($AE921-$AF921))),2))</f>
        <v/>
      </c>
      <c r="L921">
        <f>IF(OR($K921="",$K921="—"),"",IF($T921&lt;=60,IF($K921&lt;-3,"Magreza acentuada",IF($K921&lt;-2,"Magreza",IF($K921&lt;=1,"Eutrofia",IF($K921&lt;=2,"Risco de sobrepeso",IF($K921&lt;=3,"Sobrepeso","Obesidade"))))),IF($K921&lt;-3,"Magreza acentuada",IF($K921&lt;-2,"Magreza",IF($K921&lt;=1,"Eutrofia",IF($K921&lt;=2,"Sobrepeso",IF($K921&lt;=3,"Obesidade","Obesidade grave")))))))</f>
        <v/>
      </c>
      <c r="M921" s="12">
        <f>IF(OR($S921="",$V921="",$T921="",$T921&lt;0,$T921&gt;228,$AG921=""),"—",ROUND(IF($AG921=0,LN($V921/$AH921)/$AI921,((($V921/$AH921)^$AG921)-1)/($AG921*$AI921)),2))</f>
        <v/>
      </c>
      <c r="N921">
        <f>IF(OR($M921="",$M921="—"),"",IF($M921&lt;-3,"Muito baixa",IF($M921&lt;-2,"Baixa","Adequada")))</f>
        <v/>
      </c>
      <c r="O921" s="12">
        <f>IF(OR($S921="",$F921="",$T921="",$T921&lt;0,$T921&gt;120,$AJ921=""),"—",ROUND(IF(ABS($AM921)&lt;=3,$AM921,IF($AM921&gt;3,3+($F921-$AO921)/($AO921-$AN921),-3+($F921-$AQ921)/($AP921-$AQ921))),2))</f>
        <v/>
      </c>
      <c r="P921">
        <f>IF(OR($O921="",$O921="—"),"",IF($O921&lt;-3,"Muito baixo",IF($O921&lt;-2,"Baixo",IF($O921&lt;=2,"Adequado","Elevado"))))</f>
        <v/>
      </c>
      <c r="Q921" s="12">
        <f>IF(OR($S921="",$F921="",$T921="",$T921&lt;0,$T921&gt;60,$AR921=""),"—",ROUND(IF(ABS($AU921)&lt;=3,$AU921,IF($AU921&gt;3,3+($F921-$AW921)/($AW921-$AV921),-3+($F921-$AY921)/($AX921-$AY921))),2))</f>
        <v/>
      </c>
      <c r="R921">
        <f>IF(OR($Q921="",$Q921="—"),"",IF($Q921&lt;-3,"Magreza acentuada",IF($Q921&lt;-2,"Magreza",IF($Q921&lt;=1,"Eutrofia",IF($Q921&lt;=2,"Risco de sobrepeso",IF($Q921&lt;=3,"Sobrepeso","Obesidade"))))))</f>
        <v/>
      </c>
      <c r="S921">
        <f>IF($C921="","",IF(UPPER(LEFT($C921,1))="M",1,IF(UPPER(LEFT($C921,1))="F",2,"")))</f>
        <v/>
      </c>
      <c r="T921">
        <f>IF(OR($D921="",$E921=""),"",DATEDIF($D921,$E921,"m"))</f>
        <v/>
      </c>
      <c r="U921">
        <f>IF(OR($D921="",$E921=""),"",$E921-$D921)</f>
        <v/>
      </c>
      <c r="V921">
        <f>IF(OR($G921="",$T921=""),"",IF($T921&lt;24,IF(LEFT(LOWER($H921),4)="em p",$G921+0.7,$G921),IF(LEFT(LOWER($H921),4)="deit",$G921-0.7,$G921)))</f>
        <v/>
      </c>
      <c r="W921">
        <f>IF(OR($S921="",$T921=""),"",$S921*1000000+IF($T921&lt;=60,$U921,$T921))</f>
        <v/>
      </c>
      <c r="X921">
        <f>IF(OR($S921="",$V921="",$T921&gt;60,$T921=""),"",$S921*1000000+ROUND($V921*10,0))</f>
        <v/>
      </c>
      <c r="Y921">
        <f>IF($W921="","",IFERROR(INDEX(IF($T921&lt;=60,imc05_l,imc519_l),MATCH($W921,IF($T921&lt;=60,imc05_k,imc519_k),1)),""))</f>
        <v/>
      </c>
      <c r="Z921">
        <f>IF($W921="","",IFERROR(INDEX(IF($T921&lt;=60,imc05_m,imc519_m),MATCH($W921,IF($T921&lt;=60,imc05_k,imc519_k),1)),""))</f>
        <v/>
      </c>
      <c r="AA921">
        <f>IF($W921="","",IFERROR(INDEX(IF($T921&lt;=60,imc05_s,imc519_s),MATCH($W921,IF($T921&lt;=60,imc05_k,imc519_k),1)),""))</f>
        <v/>
      </c>
      <c r="AB921">
        <f>IF($Y921="","",IF($Y921=0,LN($J921/$Z921)/$AA921,((($J921/$Z921)^$Y921)-1)/($Y921*$AA921)))</f>
        <v/>
      </c>
      <c r="AC921">
        <f>IF($Y921="","",IF($Y921=0,$Z921*EXP($AA921*2),$Z921*(1+$Y921*$AA921*2)^(1/$Y921)))</f>
        <v/>
      </c>
      <c r="AD921">
        <f>IF($Y921="","",IF($Y921=0,$Z921*EXP($AA921*3),$Z921*(1+$Y921*$AA921*3)^(1/$Y921)))</f>
        <v/>
      </c>
      <c r="AE921">
        <f>IF($Y921="","",IF($Y921=0,$Z921*EXP($AA921*-2),$Z921*(1+$Y921*$AA921*-2)^(1/$Y921)))</f>
        <v/>
      </c>
      <c r="AF921">
        <f>IF($Y921="","",IF($Y921=0,$Z921*EXP($AA921*-3),$Z921*(1+$Y921*$AA921*-3)^(1/$Y921)))</f>
        <v/>
      </c>
      <c r="AG921">
        <f>IF($W921="","",IFERROR(INDEX(IF($T921&lt;=60,est05_l,est519_l),MATCH($W921,IF($T921&lt;=60,est05_k,est519_k),1)),""))</f>
        <v/>
      </c>
      <c r="AH921">
        <f>IF($W921="","",IFERROR(INDEX(IF($T921&lt;=60,est05_m,est519_m),MATCH($W921,IF($T921&lt;=60,est05_k,est519_k),1)),""))</f>
        <v/>
      </c>
      <c r="AI921">
        <f>IF($W921="","",IFERROR(INDEX(IF($T921&lt;=60,est05_s,est519_s),MATCH($W921,IF($T921&lt;=60,est05_k,est519_k),1)),""))</f>
        <v/>
      </c>
      <c r="AJ921">
        <f>IF($W921="","",IFERROR(INDEX(IF($T921&lt;=60,peso05_l,peso510_l),MATCH($W921,IF($T921&lt;=60,peso05_k,peso510_k),1)),""))</f>
        <v/>
      </c>
      <c r="AK921">
        <f>IF($W921="","",IFERROR(INDEX(IF($T921&lt;=60,peso05_m,peso510_m),MATCH($W921,IF($T921&lt;=60,peso05_k,peso510_k),1)),""))</f>
        <v/>
      </c>
      <c r="AL921">
        <f>IF($W921="","",IFERROR(INDEX(IF($T921&lt;=60,peso05_s,peso510_s),MATCH($W921,IF($T921&lt;=60,peso05_k,peso510_k),1)),""))</f>
        <v/>
      </c>
      <c r="AM921">
        <f>IF($AJ921="","",IF($AJ921=0,LN($F921/$AK921)/$AL921,((($F921/$AK921)^$AJ921)-1)/($AJ921*$AL921)))</f>
        <v/>
      </c>
      <c r="AN921">
        <f>IF($AJ921="","",IF($AJ921=0,$AK921*EXP($AL921*2),$AK921*(1+$AJ921*$AL921*2)^(1/$AJ921)))</f>
        <v/>
      </c>
      <c r="AO921">
        <f>IF($AJ921="","",IF($AJ921=0,$AK921*EXP($AL921*3),$AK921*(1+$AJ921*$AL921*3)^(1/$AJ921)))</f>
        <v/>
      </c>
      <c r="AP921">
        <f>IF($AJ921="","",IF($AJ921=0,$AK921*EXP($AL921*-2),$AK921*(1+$AJ921*$AL921*-2)^(1/$AJ921)))</f>
        <v/>
      </c>
      <c r="AQ921">
        <f>IF($AJ921="","",IF($AJ921=0,$AK921*EXP($AL921*-3),$AK921*(1+$AJ921*$AL921*-3)^(1/$AJ921)))</f>
        <v/>
      </c>
      <c r="AR921">
        <f>IF(OR($X921="",$T921&gt;60),"",IFERROR(INDEX(IF($T921&lt;24,pcomp_l,palt_l),MATCH($X921,IF($T921&lt;24,pcomp_k,palt_k),1)),""))</f>
        <v/>
      </c>
      <c r="AS921">
        <f>IF(OR($X921="",$T921&gt;60),"",IFERROR(INDEX(IF($T921&lt;24,pcomp_m,palt_m),MATCH($X921,IF($T921&lt;24,pcomp_k,palt_k),1)),""))</f>
        <v/>
      </c>
      <c r="AT921">
        <f>IF(OR($X921="",$T921&gt;60),"",IFERROR(INDEX(IF($T921&lt;24,pcomp_s,palt_s),MATCH($X921,IF($T921&lt;24,pcomp_k,palt_k),1)),""))</f>
        <v/>
      </c>
      <c r="AU921">
        <f>IF($AR921="","",IF($AR921=0,LN($F921/$AS921)/$AT921,((($F921/$AS921)^$AR921)-1)/($AR921*$AT921)))</f>
        <v/>
      </c>
      <c r="AV921">
        <f>IF($AR921="","",IF($AR921=0,$AS921*EXP($AT921*2),$AS921*(1+$AR921*$AT921*2)^(1/$AR921)))</f>
        <v/>
      </c>
      <c r="AW921">
        <f>IF($AR921="","",IF($AR921=0,$AS921*EXP($AT921*3),$AS921*(1+$AR921*$AT921*3)^(1/$AR921)))</f>
        <v/>
      </c>
      <c r="AX921">
        <f>IF($AR921="","",IF($AR921=0,$AS921*EXP($AT921*-2),$AS921*(1+$AR921*$AT921*-2)^(1/$AR921)))</f>
        <v/>
      </c>
      <c r="AY921">
        <f>IF($AR921="","",IF($AR921=0,$AS921*EXP($AT921*-3),$AS921*(1+$AR921*$AT921*-3)^(1/$AR921)))</f>
        <v/>
      </c>
      <c r="AZ921">
        <f>IF(OR($A921="",$A921&lt;&gt;Ficha!$C$4),"",COUNTIF($A$2:$A921,Ficha!$C$4))</f>
        <v/>
      </c>
    </row>
    <row r="922">
      <c r="A922" s="8">
        <f>IF(INDEX(Banco!$A:$A,ROW())="","",INDEX(Banco!$A:$A,ROW()))</f>
        <v/>
      </c>
      <c r="B922" s="8">
        <f>IF(INDEX(Banco!$B:$B,ROW())="","",INDEX(Banco!$B:$B,ROW()))</f>
        <v/>
      </c>
      <c r="C922" s="8">
        <f>IF(INDEX(Banco!$C:$C,ROW())="","",INDEX(Banco!$C:$C,ROW()))</f>
        <v/>
      </c>
      <c r="D922" s="9">
        <f>IF(INDEX(Banco!$D:$D,ROW())="","",INDEX(Banco!$D:$D,ROW()))</f>
        <v/>
      </c>
      <c r="E922" s="9">
        <f>IF(INDEX(Banco!$E:$E,ROW())="","",INDEX(Banco!$E:$E,ROW()))</f>
        <v/>
      </c>
      <c r="F922" s="10">
        <f>IF(INDEX(Banco!$F:$F,ROW())="","",INDEX(Banco!$F:$F,ROW()))</f>
        <v/>
      </c>
      <c r="G922" s="10">
        <f>IF(INDEX(Banco!$G:$G,ROW())="","",INDEX(Banco!$G:$G,ROW()))</f>
        <v/>
      </c>
      <c r="H922" s="8">
        <f>IF(INDEX(Banco!$H:$H,ROW())="","",INDEX(Banco!$H:$H,ROW()))</f>
        <v/>
      </c>
      <c r="I922">
        <f>IF($T922="","",INT($T922/12)&amp;"a "&amp;MOD($T922,12)&amp;"m")</f>
        <v/>
      </c>
      <c r="J922" s="11">
        <f>IF(OR($F922="",$G922=""),"",ROUND($F922/($G922/100)^2,2))</f>
        <v/>
      </c>
      <c r="K922" s="12">
        <f>IF(OR($S922="",$J922="",$T922="",$T922&lt;0,$T922&gt;228,$Y922=""),"—",ROUND(IF(ABS($AB922)&lt;=3,$AB922,IF($AB922&gt;3,3+($J922-$AD922)/($AD922-$AC922),-3+($J922-$AF922)/($AE922-$AF922))),2))</f>
        <v/>
      </c>
      <c r="L922">
        <f>IF(OR($K922="",$K922="—"),"",IF($T922&lt;=60,IF($K922&lt;-3,"Magreza acentuada",IF($K922&lt;-2,"Magreza",IF($K922&lt;=1,"Eutrofia",IF($K922&lt;=2,"Risco de sobrepeso",IF($K922&lt;=3,"Sobrepeso","Obesidade"))))),IF($K922&lt;-3,"Magreza acentuada",IF($K922&lt;-2,"Magreza",IF($K922&lt;=1,"Eutrofia",IF($K922&lt;=2,"Sobrepeso",IF($K922&lt;=3,"Obesidade","Obesidade grave")))))))</f>
        <v/>
      </c>
      <c r="M922" s="12">
        <f>IF(OR($S922="",$V922="",$T922="",$T922&lt;0,$T922&gt;228,$AG922=""),"—",ROUND(IF($AG922=0,LN($V922/$AH922)/$AI922,((($V922/$AH922)^$AG922)-1)/($AG922*$AI922)),2))</f>
        <v/>
      </c>
      <c r="N922">
        <f>IF(OR($M922="",$M922="—"),"",IF($M922&lt;-3,"Muito baixa",IF($M922&lt;-2,"Baixa","Adequada")))</f>
        <v/>
      </c>
      <c r="O922" s="12">
        <f>IF(OR($S922="",$F922="",$T922="",$T922&lt;0,$T922&gt;120,$AJ922=""),"—",ROUND(IF(ABS($AM922)&lt;=3,$AM922,IF($AM922&gt;3,3+($F922-$AO922)/($AO922-$AN922),-3+($F922-$AQ922)/($AP922-$AQ922))),2))</f>
        <v/>
      </c>
      <c r="P922">
        <f>IF(OR($O922="",$O922="—"),"",IF($O922&lt;-3,"Muito baixo",IF($O922&lt;-2,"Baixo",IF($O922&lt;=2,"Adequado","Elevado"))))</f>
        <v/>
      </c>
      <c r="Q922" s="12">
        <f>IF(OR($S922="",$F922="",$T922="",$T922&lt;0,$T922&gt;60,$AR922=""),"—",ROUND(IF(ABS($AU922)&lt;=3,$AU922,IF($AU922&gt;3,3+($F922-$AW922)/($AW922-$AV922),-3+($F922-$AY922)/($AX922-$AY922))),2))</f>
        <v/>
      </c>
      <c r="R922">
        <f>IF(OR($Q922="",$Q922="—"),"",IF($Q922&lt;-3,"Magreza acentuada",IF($Q922&lt;-2,"Magreza",IF($Q922&lt;=1,"Eutrofia",IF($Q922&lt;=2,"Risco de sobrepeso",IF($Q922&lt;=3,"Sobrepeso","Obesidade"))))))</f>
        <v/>
      </c>
      <c r="S922">
        <f>IF($C922="","",IF(UPPER(LEFT($C922,1))="M",1,IF(UPPER(LEFT($C922,1))="F",2,"")))</f>
        <v/>
      </c>
      <c r="T922">
        <f>IF(OR($D922="",$E922=""),"",DATEDIF($D922,$E922,"m"))</f>
        <v/>
      </c>
      <c r="U922">
        <f>IF(OR($D922="",$E922=""),"",$E922-$D922)</f>
        <v/>
      </c>
      <c r="V922">
        <f>IF(OR($G922="",$T922=""),"",IF($T922&lt;24,IF(LEFT(LOWER($H922),4)="em p",$G922+0.7,$G922),IF(LEFT(LOWER($H922),4)="deit",$G922-0.7,$G922)))</f>
        <v/>
      </c>
      <c r="W922">
        <f>IF(OR($S922="",$T922=""),"",$S922*1000000+IF($T922&lt;=60,$U922,$T922))</f>
        <v/>
      </c>
      <c r="X922">
        <f>IF(OR($S922="",$V922="",$T922&gt;60,$T922=""),"",$S922*1000000+ROUND($V922*10,0))</f>
        <v/>
      </c>
      <c r="Y922">
        <f>IF($W922="","",IFERROR(INDEX(IF($T922&lt;=60,imc05_l,imc519_l),MATCH($W922,IF($T922&lt;=60,imc05_k,imc519_k),1)),""))</f>
        <v/>
      </c>
      <c r="Z922">
        <f>IF($W922="","",IFERROR(INDEX(IF($T922&lt;=60,imc05_m,imc519_m),MATCH($W922,IF($T922&lt;=60,imc05_k,imc519_k),1)),""))</f>
        <v/>
      </c>
      <c r="AA922">
        <f>IF($W922="","",IFERROR(INDEX(IF($T922&lt;=60,imc05_s,imc519_s),MATCH($W922,IF($T922&lt;=60,imc05_k,imc519_k),1)),""))</f>
        <v/>
      </c>
      <c r="AB922">
        <f>IF($Y922="","",IF($Y922=0,LN($J922/$Z922)/$AA922,((($J922/$Z922)^$Y922)-1)/($Y922*$AA922)))</f>
        <v/>
      </c>
      <c r="AC922">
        <f>IF($Y922="","",IF($Y922=0,$Z922*EXP($AA922*2),$Z922*(1+$Y922*$AA922*2)^(1/$Y922)))</f>
        <v/>
      </c>
      <c r="AD922">
        <f>IF($Y922="","",IF($Y922=0,$Z922*EXP($AA922*3),$Z922*(1+$Y922*$AA922*3)^(1/$Y922)))</f>
        <v/>
      </c>
      <c r="AE922">
        <f>IF($Y922="","",IF($Y922=0,$Z922*EXP($AA922*-2),$Z922*(1+$Y922*$AA922*-2)^(1/$Y922)))</f>
        <v/>
      </c>
      <c r="AF922">
        <f>IF($Y922="","",IF($Y922=0,$Z922*EXP($AA922*-3),$Z922*(1+$Y922*$AA922*-3)^(1/$Y922)))</f>
        <v/>
      </c>
      <c r="AG922">
        <f>IF($W922="","",IFERROR(INDEX(IF($T922&lt;=60,est05_l,est519_l),MATCH($W922,IF($T922&lt;=60,est05_k,est519_k),1)),""))</f>
        <v/>
      </c>
      <c r="AH922">
        <f>IF($W922="","",IFERROR(INDEX(IF($T922&lt;=60,est05_m,est519_m),MATCH($W922,IF($T922&lt;=60,est05_k,est519_k),1)),""))</f>
        <v/>
      </c>
      <c r="AI922">
        <f>IF($W922="","",IFERROR(INDEX(IF($T922&lt;=60,est05_s,est519_s),MATCH($W922,IF($T922&lt;=60,est05_k,est519_k),1)),""))</f>
        <v/>
      </c>
      <c r="AJ922">
        <f>IF($W922="","",IFERROR(INDEX(IF($T922&lt;=60,peso05_l,peso510_l),MATCH($W922,IF($T922&lt;=60,peso05_k,peso510_k),1)),""))</f>
        <v/>
      </c>
      <c r="AK922">
        <f>IF($W922="","",IFERROR(INDEX(IF($T922&lt;=60,peso05_m,peso510_m),MATCH($W922,IF($T922&lt;=60,peso05_k,peso510_k),1)),""))</f>
        <v/>
      </c>
      <c r="AL922">
        <f>IF($W922="","",IFERROR(INDEX(IF($T922&lt;=60,peso05_s,peso510_s),MATCH($W922,IF($T922&lt;=60,peso05_k,peso510_k),1)),""))</f>
        <v/>
      </c>
      <c r="AM922">
        <f>IF($AJ922="","",IF($AJ922=0,LN($F922/$AK922)/$AL922,((($F922/$AK922)^$AJ922)-1)/($AJ922*$AL922)))</f>
        <v/>
      </c>
      <c r="AN922">
        <f>IF($AJ922="","",IF($AJ922=0,$AK922*EXP($AL922*2),$AK922*(1+$AJ922*$AL922*2)^(1/$AJ922)))</f>
        <v/>
      </c>
      <c r="AO922">
        <f>IF($AJ922="","",IF($AJ922=0,$AK922*EXP($AL922*3),$AK922*(1+$AJ922*$AL922*3)^(1/$AJ922)))</f>
        <v/>
      </c>
      <c r="AP922">
        <f>IF($AJ922="","",IF($AJ922=0,$AK922*EXP($AL922*-2),$AK922*(1+$AJ922*$AL922*-2)^(1/$AJ922)))</f>
        <v/>
      </c>
      <c r="AQ922">
        <f>IF($AJ922="","",IF($AJ922=0,$AK922*EXP($AL922*-3),$AK922*(1+$AJ922*$AL922*-3)^(1/$AJ922)))</f>
        <v/>
      </c>
      <c r="AR922">
        <f>IF(OR($X922="",$T922&gt;60),"",IFERROR(INDEX(IF($T922&lt;24,pcomp_l,palt_l),MATCH($X922,IF($T922&lt;24,pcomp_k,palt_k),1)),""))</f>
        <v/>
      </c>
      <c r="AS922">
        <f>IF(OR($X922="",$T922&gt;60),"",IFERROR(INDEX(IF($T922&lt;24,pcomp_m,palt_m),MATCH($X922,IF($T922&lt;24,pcomp_k,palt_k),1)),""))</f>
        <v/>
      </c>
      <c r="AT922">
        <f>IF(OR($X922="",$T922&gt;60),"",IFERROR(INDEX(IF($T922&lt;24,pcomp_s,palt_s),MATCH($X922,IF($T922&lt;24,pcomp_k,palt_k),1)),""))</f>
        <v/>
      </c>
      <c r="AU922">
        <f>IF($AR922="","",IF($AR922=0,LN($F922/$AS922)/$AT922,((($F922/$AS922)^$AR922)-1)/($AR922*$AT922)))</f>
        <v/>
      </c>
      <c r="AV922">
        <f>IF($AR922="","",IF($AR922=0,$AS922*EXP($AT922*2),$AS922*(1+$AR922*$AT922*2)^(1/$AR922)))</f>
        <v/>
      </c>
      <c r="AW922">
        <f>IF($AR922="","",IF($AR922=0,$AS922*EXP($AT922*3),$AS922*(1+$AR922*$AT922*3)^(1/$AR922)))</f>
        <v/>
      </c>
      <c r="AX922">
        <f>IF($AR922="","",IF($AR922=0,$AS922*EXP($AT922*-2),$AS922*(1+$AR922*$AT922*-2)^(1/$AR922)))</f>
        <v/>
      </c>
      <c r="AY922">
        <f>IF($AR922="","",IF($AR922=0,$AS922*EXP($AT922*-3),$AS922*(1+$AR922*$AT922*-3)^(1/$AR922)))</f>
        <v/>
      </c>
      <c r="AZ922">
        <f>IF(OR($A922="",$A922&lt;&gt;Ficha!$C$4),"",COUNTIF($A$2:$A922,Ficha!$C$4))</f>
        <v/>
      </c>
    </row>
    <row r="923">
      <c r="A923" s="8">
        <f>IF(INDEX(Banco!$A:$A,ROW())="","",INDEX(Banco!$A:$A,ROW()))</f>
        <v/>
      </c>
      <c r="B923" s="8">
        <f>IF(INDEX(Banco!$B:$B,ROW())="","",INDEX(Banco!$B:$B,ROW()))</f>
        <v/>
      </c>
      <c r="C923" s="8">
        <f>IF(INDEX(Banco!$C:$C,ROW())="","",INDEX(Banco!$C:$C,ROW()))</f>
        <v/>
      </c>
      <c r="D923" s="9">
        <f>IF(INDEX(Banco!$D:$D,ROW())="","",INDEX(Banco!$D:$D,ROW()))</f>
        <v/>
      </c>
      <c r="E923" s="9">
        <f>IF(INDEX(Banco!$E:$E,ROW())="","",INDEX(Banco!$E:$E,ROW()))</f>
        <v/>
      </c>
      <c r="F923" s="10">
        <f>IF(INDEX(Banco!$F:$F,ROW())="","",INDEX(Banco!$F:$F,ROW()))</f>
        <v/>
      </c>
      <c r="G923" s="10">
        <f>IF(INDEX(Banco!$G:$G,ROW())="","",INDEX(Banco!$G:$G,ROW()))</f>
        <v/>
      </c>
      <c r="H923" s="8">
        <f>IF(INDEX(Banco!$H:$H,ROW())="","",INDEX(Banco!$H:$H,ROW()))</f>
        <v/>
      </c>
      <c r="I923">
        <f>IF($T923="","",INT($T923/12)&amp;"a "&amp;MOD($T923,12)&amp;"m")</f>
        <v/>
      </c>
      <c r="J923" s="11">
        <f>IF(OR($F923="",$G923=""),"",ROUND($F923/($G923/100)^2,2))</f>
        <v/>
      </c>
      <c r="K923" s="12">
        <f>IF(OR($S923="",$J923="",$T923="",$T923&lt;0,$T923&gt;228,$Y923=""),"—",ROUND(IF(ABS($AB923)&lt;=3,$AB923,IF($AB923&gt;3,3+($J923-$AD923)/($AD923-$AC923),-3+($J923-$AF923)/($AE923-$AF923))),2))</f>
        <v/>
      </c>
      <c r="L923">
        <f>IF(OR($K923="",$K923="—"),"",IF($T923&lt;=60,IF($K923&lt;-3,"Magreza acentuada",IF($K923&lt;-2,"Magreza",IF($K923&lt;=1,"Eutrofia",IF($K923&lt;=2,"Risco de sobrepeso",IF($K923&lt;=3,"Sobrepeso","Obesidade"))))),IF($K923&lt;-3,"Magreza acentuada",IF($K923&lt;-2,"Magreza",IF($K923&lt;=1,"Eutrofia",IF($K923&lt;=2,"Sobrepeso",IF($K923&lt;=3,"Obesidade","Obesidade grave")))))))</f>
        <v/>
      </c>
      <c r="M923" s="12">
        <f>IF(OR($S923="",$V923="",$T923="",$T923&lt;0,$T923&gt;228,$AG923=""),"—",ROUND(IF($AG923=0,LN($V923/$AH923)/$AI923,((($V923/$AH923)^$AG923)-1)/($AG923*$AI923)),2))</f>
        <v/>
      </c>
      <c r="N923">
        <f>IF(OR($M923="",$M923="—"),"",IF($M923&lt;-3,"Muito baixa",IF($M923&lt;-2,"Baixa","Adequada")))</f>
        <v/>
      </c>
      <c r="O923" s="12">
        <f>IF(OR($S923="",$F923="",$T923="",$T923&lt;0,$T923&gt;120,$AJ923=""),"—",ROUND(IF(ABS($AM923)&lt;=3,$AM923,IF($AM923&gt;3,3+($F923-$AO923)/($AO923-$AN923),-3+($F923-$AQ923)/($AP923-$AQ923))),2))</f>
        <v/>
      </c>
      <c r="P923">
        <f>IF(OR($O923="",$O923="—"),"",IF($O923&lt;-3,"Muito baixo",IF($O923&lt;-2,"Baixo",IF($O923&lt;=2,"Adequado","Elevado"))))</f>
        <v/>
      </c>
      <c r="Q923" s="12">
        <f>IF(OR($S923="",$F923="",$T923="",$T923&lt;0,$T923&gt;60,$AR923=""),"—",ROUND(IF(ABS($AU923)&lt;=3,$AU923,IF($AU923&gt;3,3+($F923-$AW923)/($AW923-$AV923),-3+($F923-$AY923)/($AX923-$AY923))),2))</f>
        <v/>
      </c>
      <c r="R923">
        <f>IF(OR($Q923="",$Q923="—"),"",IF($Q923&lt;-3,"Magreza acentuada",IF($Q923&lt;-2,"Magreza",IF($Q923&lt;=1,"Eutrofia",IF($Q923&lt;=2,"Risco de sobrepeso",IF($Q923&lt;=3,"Sobrepeso","Obesidade"))))))</f>
        <v/>
      </c>
      <c r="S923">
        <f>IF($C923="","",IF(UPPER(LEFT($C923,1))="M",1,IF(UPPER(LEFT($C923,1))="F",2,"")))</f>
        <v/>
      </c>
      <c r="T923">
        <f>IF(OR($D923="",$E923=""),"",DATEDIF($D923,$E923,"m"))</f>
        <v/>
      </c>
      <c r="U923">
        <f>IF(OR($D923="",$E923=""),"",$E923-$D923)</f>
        <v/>
      </c>
      <c r="V923">
        <f>IF(OR($G923="",$T923=""),"",IF($T923&lt;24,IF(LEFT(LOWER($H923),4)="em p",$G923+0.7,$G923),IF(LEFT(LOWER($H923),4)="deit",$G923-0.7,$G923)))</f>
        <v/>
      </c>
      <c r="W923">
        <f>IF(OR($S923="",$T923=""),"",$S923*1000000+IF($T923&lt;=60,$U923,$T923))</f>
        <v/>
      </c>
      <c r="X923">
        <f>IF(OR($S923="",$V923="",$T923&gt;60,$T923=""),"",$S923*1000000+ROUND($V923*10,0))</f>
        <v/>
      </c>
      <c r="Y923">
        <f>IF($W923="","",IFERROR(INDEX(IF($T923&lt;=60,imc05_l,imc519_l),MATCH($W923,IF($T923&lt;=60,imc05_k,imc519_k),1)),""))</f>
        <v/>
      </c>
      <c r="Z923">
        <f>IF($W923="","",IFERROR(INDEX(IF($T923&lt;=60,imc05_m,imc519_m),MATCH($W923,IF($T923&lt;=60,imc05_k,imc519_k),1)),""))</f>
        <v/>
      </c>
      <c r="AA923">
        <f>IF($W923="","",IFERROR(INDEX(IF($T923&lt;=60,imc05_s,imc519_s),MATCH($W923,IF($T923&lt;=60,imc05_k,imc519_k),1)),""))</f>
        <v/>
      </c>
      <c r="AB923">
        <f>IF($Y923="","",IF($Y923=0,LN($J923/$Z923)/$AA923,((($J923/$Z923)^$Y923)-1)/($Y923*$AA923)))</f>
        <v/>
      </c>
      <c r="AC923">
        <f>IF($Y923="","",IF($Y923=0,$Z923*EXP($AA923*2),$Z923*(1+$Y923*$AA923*2)^(1/$Y923)))</f>
        <v/>
      </c>
      <c r="AD923">
        <f>IF($Y923="","",IF($Y923=0,$Z923*EXP($AA923*3),$Z923*(1+$Y923*$AA923*3)^(1/$Y923)))</f>
        <v/>
      </c>
      <c r="AE923">
        <f>IF($Y923="","",IF($Y923=0,$Z923*EXP($AA923*-2),$Z923*(1+$Y923*$AA923*-2)^(1/$Y923)))</f>
        <v/>
      </c>
      <c r="AF923">
        <f>IF($Y923="","",IF($Y923=0,$Z923*EXP($AA923*-3),$Z923*(1+$Y923*$AA923*-3)^(1/$Y923)))</f>
        <v/>
      </c>
      <c r="AG923">
        <f>IF($W923="","",IFERROR(INDEX(IF($T923&lt;=60,est05_l,est519_l),MATCH($W923,IF($T923&lt;=60,est05_k,est519_k),1)),""))</f>
        <v/>
      </c>
      <c r="AH923">
        <f>IF($W923="","",IFERROR(INDEX(IF($T923&lt;=60,est05_m,est519_m),MATCH($W923,IF($T923&lt;=60,est05_k,est519_k),1)),""))</f>
        <v/>
      </c>
      <c r="AI923">
        <f>IF($W923="","",IFERROR(INDEX(IF($T923&lt;=60,est05_s,est519_s),MATCH($W923,IF($T923&lt;=60,est05_k,est519_k),1)),""))</f>
        <v/>
      </c>
      <c r="AJ923">
        <f>IF($W923="","",IFERROR(INDEX(IF($T923&lt;=60,peso05_l,peso510_l),MATCH($W923,IF($T923&lt;=60,peso05_k,peso510_k),1)),""))</f>
        <v/>
      </c>
      <c r="AK923">
        <f>IF($W923="","",IFERROR(INDEX(IF($T923&lt;=60,peso05_m,peso510_m),MATCH($W923,IF($T923&lt;=60,peso05_k,peso510_k),1)),""))</f>
        <v/>
      </c>
      <c r="AL923">
        <f>IF($W923="","",IFERROR(INDEX(IF($T923&lt;=60,peso05_s,peso510_s),MATCH($W923,IF($T923&lt;=60,peso05_k,peso510_k),1)),""))</f>
        <v/>
      </c>
      <c r="AM923">
        <f>IF($AJ923="","",IF($AJ923=0,LN($F923/$AK923)/$AL923,((($F923/$AK923)^$AJ923)-1)/($AJ923*$AL923)))</f>
        <v/>
      </c>
      <c r="AN923">
        <f>IF($AJ923="","",IF($AJ923=0,$AK923*EXP($AL923*2),$AK923*(1+$AJ923*$AL923*2)^(1/$AJ923)))</f>
        <v/>
      </c>
      <c r="AO923">
        <f>IF($AJ923="","",IF($AJ923=0,$AK923*EXP($AL923*3),$AK923*(1+$AJ923*$AL923*3)^(1/$AJ923)))</f>
        <v/>
      </c>
      <c r="AP923">
        <f>IF($AJ923="","",IF($AJ923=0,$AK923*EXP($AL923*-2),$AK923*(1+$AJ923*$AL923*-2)^(1/$AJ923)))</f>
        <v/>
      </c>
      <c r="AQ923">
        <f>IF($AJ923="","",IF($AJ923=0,$AK923*EXP($AL923*-3),$AK923*(1+$AJ923*$AL923*-3)^(1/$AJ923)))</f>
        <v/>
      </c>
      <c r="AR923">
        <f>IF(OR($X923="",$T923&gt;60),"",IFERROR(INDEX(IF($T923&lt;24,pcomp_l,palt_l),MATCH($X923,IF($T923&lt;24,pcomp_k,palt_k),1)),""))</f>
        <v/>
      </c>
      <c r="AS923">
        <f>IF(OR($X923="",$T923&gt;60),"",IFERROR(INDEX(IF($T923&lt;24,pcomp_m,palt_m),MATCH($X923,IF($T923&lt;24,pcomp_k,palt_k),1)),""))</f>
        <v/>
      </c>
      <c r="AT923">
        <f>IF(OR($X923="",$T923&gt;60),"",IFERROR(INDEX(IF($T923&lt;24,pcomp_s,palt_s),MATCH($X923,IF($T923&lt;24,pcomp_k,palt_k),1)),""))</f>
        <v/>
      </c>
      <c r="AU923">
        <f>IF($AR923="","",IF($AR923=0,LN($F923/$AS923)/$AT923,((($F923/$AS923)^$AR923)-1)/($AR923*$AT923)))</f>
        <v/>
      </c>
      <c r="AV923">
        <f>IF($AR923="","",IF($AR923=0,$AS923*EXP($AT923*2),$AS923*(1+$AR923*$AT923*2)^(1/$AR923)))</f>
        <v/>
      </c>
      <c r="AW923">
        <f>IF($AR923="","",IF($AR923=0,$AS923*EXP($AT923*3),$AS923*(1+$AR923*$AT923*3)^(1/$AR923)))</f>
        <v/>
      </c>
      <c r="AX923">
        <f>IF($AR923="","",IF($AR923=0,$AS923*EXP($AT923*-2),$AS923*(1+$AR923*$AT923*-2)^(1/$AR923)))</f>
        <v/>
      </c>
      <c r="AY923">
        <f>IF($AR923="","",IF($AR923=0,$AS923*EXP($AT923*-3),$AS923*(1+$AR923*$AT923*-3)^(1/$AR923)))</f>
        <v/>
      </c>
      <c r="AZ923">
        <f>IF(OR($A923="",$A923&lt;&gt;Ficha!$C$4),"",COUNTIF($A$2:$A923,Ficha!$C$4))</f>
        <v/>
      </c>
    </row>
    <row r="924">
      <c r="A924" s="8">
        <f>IF(INDEX(Banco!$A:$A,ROW())="","",INDEX(Banco!$A:$A,ROW()))</f>
        <v/>
      </c>
      <c r="B924" s="8">
        <f>IF(INDEX(Banco!$B:$B,ROW())="","",INDEX(Banco!$B:$B,ROW()))</f>
        <v/>
      </c>
      <c r="C924" s="8">
        <f>IF(INDEX(Banco!$C:$C,ROW())="","",INDEX(Banco!$C:$C,ROW()))</f>
        <v/>
      </c>
      <c r="D924" s="9">
        <f>IF(INDEX(Banco!$D:$D,ROW())="","",INDEX(Banco!$D:$D,ROW()))</f>
        <v/>
      </c>
      <c r="E924" s="9">
        <f>IF(INDEX(Banco!$E:$E,ROW())="","",INDEX(Banco!$E:$E,ROW()))</f>
        <v/>
      </c>
      <c r="F924" s="10">
        <f>IF(INDEX(Banco!$F:$F,ROW())="","",INDEX(Banco!$F:$F,ROW()))</f>
        <v/>
      </c>
      <c r="G924" s="10">
        <f>IF(INDEX(Banco!$G:$G,ROW())="","",INDEX(Banco!$G:$G,ROW()))</f>
        <v/>
      </c>
      <c r="H924" s="8">
        <f>IF(INDEX(Banco!$H:$H,ROW())="","",INDEX(Banco!$H:$H,ROW()))</f>
        <v/>
      </c>
      <c r="I924">
        <f>IF($T924="","",INT($T924/12)&amp;"a "&amp;MOD($T924,12)&amp;"m")</f>
        <v/>
      </c>
      <c r="J924" s="11">
        <f>IF(OR($F924="",$G924=""),"",ROUND($F924/($G924/100)^2,2))</f>
        <v/>
      </c>
      <c r="K924" s="12">
        <f>IF(OR($S924="",$J924="",$T924="",$T924&lt;0,$T924&gt;228,$Y924=""),"—",ROUND(IF(ABS($AB924)&lt;=3,$AB924,IF($AB924&gt;3,3+($J924-$AD924)/($AD924-$AC924),-3+($J924-$AF924)/($AE924-$AF924))),2))</f>
        <v/>
      </c>
      <c r="L924">
        <f>IF(OR($K924="",$K924="—"),"",IF($T924&lt;=60,IF($K924&lt;-3,"Magreza acentuada",IF($K924&lt;-2,"Magreza",IF($K924&lt;=1,"Eutrofia",IF($K924&lt;=2,"Risco de sobrepeso",IF($K924&lt;=3,"Sobrepeso","Obesidade"))))),IF($K924&lt;-3,"Magreza acentuada",IF($K924&lt;-2,"Magreza",IF($K924&lt;=1,"Eutrofia",IF($K924&lt;=2,"Sobrepeso",IF($K924&lt;=3,"Obesidade","Obesidade grave")))))))</f>
        <v/>
      </c>
      <c r="M924" s="12">
        <f>IF(OR($S924="",$V924="",$T924="",$T924&lt;0,$T924&gt;228,$AG924=""),"—",ROUND(IF($AG924=0,LN($V924/$AH924)/$AI924,((($V924/$AH924)^$AG924)-1)/($AG924*$AI924)),2))</f>
        <v/>
      </c>
      <c r="N924">
        <f>IF(OR($M924="",$M924="—"),"",IF($M924&lt;-3,"Muito baixa",IF($M924&lt;-2,"Baixa","Adequada")))</f>
        <v/>
      </c>
      <c r="O924" s="12">
        <f>IF(OR($S924="",$F924="",$T924="",$T924&lt;0,$T924&gt;120,$AJ924=""),"—",ROUND(IF(ABS($AM924)&lt;=3,$AM924,IF($AM924&gt;3,3+($F924-$AO924)/($AO924-$AN924),-3+($F924-$AQ924)/($AP924-$AQ924))),2))</f>
        <v/>
      </c>
      <c r="P924">
        <f>IF(OR($O924="",$O924="—"),"",IF($O924&lt;-3,"Muito baixo",IF($O924&lt;-2,"Baixo",IF($O924&lt;=2,"Adequado","Elevado"))))</f>
        <v/>
      </c>
      <c r="Q924" s="12">
        <f>IF(OR($S924="",$F924="",$T924="",$T924&lt;0,$T924&gt;60,$AR924=""),"—",ROUND(IF(ABS($AU924)&lt;=3,$AU924,IF($AU924&gt;3,3+($F924-$AW924)/($AW924-$AV924),-3+($F924-$AY924)/($AX924-$AY924))),2))</f>
        <v/>
      </c>
      <c r="R924">
        <f>IF(OR($Q924="",$Q924="—"),"",IF($Q924&lt;-3,"Magreza acentuada",IF($Q924&lt;-2,"Magreza",IF($Q924&lt;=1,"Eutrofia",IF($Q924&lt;=2,"Risco de sobrepeso",IF($Q924&lt;=3,"Sobrepeso","Obesidade"))))))</f>
        <v/>
      </c>
      <c r="S924">
        <f>IF($C924="","",IF(UPPER(LEFT($C924,1))="M",1,IF(UPPER(LEFT($C924,1))="F",2,"")))</f>
        <v/>
      </c>
      <c r="T924">
        <f>IF(OR($D924="",$E924=""),"",DATEDIF($D924,$E924,"m"))</f>
        <v/>
      </c>
      <c r="U924">
        <f>IF(OR($D924="",$E924=""),"",$E924-$D924)</f>
        <v/>
      </c>
      <c r="V924">
        <f>IF(OR($G924="",$T924=""),"",IF($T924&lt;24,IF(LEFT(LOWER($H924),4)="em p",$G924+0.7,$G924),IF(LEFT(LOWER($H924),4)="deit",$G924-0.7,$G924)))</f>
        <v/>
      </c>
      <c r="W924">
        <f>IF(OR($S924="",$T924=""),"",$S924*1000000+IF($T924&lt;=60,$U924,$T924))</f>
        <v/>
      </c>
      <c r="X924">
        <f>IF(OR($S924="",$V924="",$T924&gt;60,$T924=""),"",$S924*1000000+ROUND($V924*10,0))</f>
        <v/>
      </c>
      <c r="Y924">
        <f>IF($W924="","",IFERROR(INDEX(IF($T924&lt;=60,imc05_l,imc519_l),MATCH($W924,IF($T924&lt;=60,imc05_k,imc519_k),1)),""))</f>
        <v/>
      </c>
      <c r="Z924">
        <f>IF($W924="","",IFERROR(INDEX(IF($T924&lt;=60,imc05_m,imc519_m),MATCH($W924,IF($T924&lt;=60,imc05_k,imc519_k),1)),""))</f>
        <v/>
      </c>
      <c r="AA924">
        <f>IF($W924="","",IFERROR(INDEX(IF($T924&lt;=60,imc05_s,imc519_s),MATCH($W924,IF($T924&lt;=60,imc05_k,imc519_k),1)),""))</f>
        <v/>
      </c>
      <c r="AB924">
        <f>IF($Y924="","",IF($Y924=0,LN($J924/$Z924)/$AA924,((($J924/$Z924)^$Y924)-1)/($Y924*$AA924)))</f>
        <v/>
      </c>
      <c r="AC924">
        <f>IF($Y924="","",IF($Y924=0,$Z924*EXP($AA924*2),$Z924*(1+$Y924*$AA924*2)^(1/$Y924)))</f>
        <v/>
      </c>
      <c r="AD924">
        <f>IF($Y924="","",IF($Y924=0,$Z924*EXP($AA924*3),$Z924*(1+$Y924*$AA924*3)^(1/$Y924)))</f>
        <v/>
      </c>
      <c r="AE924">
        <f>IF($Y924="","",IF($Y924=0,$Z924*EXP($AA924*-2),$Z924*(1+$Y924*$AA924*-2)^(1/$Y924)))</f>
        <v/>
      </c>
      <c r="AF924">
        <f>IF($Y924="","",IF($Y924=0,$Z924*EXP($AA924*-3),$Z924*(1+$Y924*$AA924*-3)^(1/$Y924)))</f>
        <v/>
      </c>
      <c r="AG924">
        <f>IF($W924="","",IFERROR(INDEX(IF($T924&lt;=60,est05_l,est519_l),MATCH($W924,IF($T924&lt;=60,est05_k,est519_k),1)),""))</f>
        <v/>
      </c>
      <c r="AH924">
        <f>IF($W924="","",IFERROR(INDEX(IF($T924&lt;=60,est05_m,est519_m),MATCH($W924,IF($T924&lt;=60,est05_k,est519_k),1)),""))</f>
        <v/>
      </c>
      <c r="AI924">
        <f>IF($W924="","",IFERROR(INDEX(IF($T924&lt;=60,est05_s,est519_s),MATCH($W924,IF($T924&lt;=60,est05_k,est519_k),1)),""))</f>
        <v/>
      </c>
      <c r="AJ924">
        <f>IF($W924="","",IFERROR(INDEX(IF($T924&lt;=60,peso05_l,peso510_l),MATCH($W924,IF($T924&lt;=60,peso05_k,peso510_k),1)),""))</f>
        <v/>
      </c>
      <c r="AK924">
        <f>IF($W924="","",IFERROR(INDEX(IF($T924&lt;=60,peso05_m,peso510_m),MATCH($W924,IF($T924&lt;=60,peso05_k,peso510_k),1)),""))</f>
        <v/>
      </c>
      <c r="AL924">
        <f>IF($W924="","",IFERROR(INDEX(IF($T924&lt;=60,peso05_s,peso510_s),MATCH($W924,IF($T924&lt;=60,peso05_k,peso510_k),1)),""))</f>
        <v/>
      </c>
      <c r="AM924">
        <f>IF($AJ924="","",IF($AJ924=0,LN($F924/$AK924)/$AL924,((($F924/$AK924)^$AJ924)-1)/($AJ924*$AL924)))</f>
        <v/>
      </c>
      <c r="AN924">
        <f>IF($AJ924="","",IF($AJ924=0,$AK924*EXP($AL924*2),$AK924*(1+$AJ924*$AL924*2)^(1/$AJ924)))</f>
        <v/>
      </c>
      <c r="AO924">
        <f>IF($AJ924="","",IF($AJ924=0,$AK924*EXP($AL924*3),$AK924*(1+$AJ924*$AL924*3)^(1/$AJ924)))</f>
        <v/>
      </c>
      <c r="AP924">
        <f>IF($AJ924="","",IF($AJ924=0,$AK924*EXP($AL924*-2),$AK924*(1+$AJ924*$AL924*-2)^(1/$AJ924)))</f>
        <v/>
      </c>
      <c r="AQ924">
        <f>IF($AJ924="","",IF($AJ924=0,$AK924*EXP($AL924*-3),$AK924*(1+$AJ924*$AL924*-3)^(1/$AJ924)))</f>
        <v/>
      </c>
      <c r="AR924">
        <f>IF(OR($X924="",$T924&gt;60),"",IFERROR(INDEX(IF($T924&lt;24,pcomp_l,palt_l),MATCH($X924,IF($T924&lt;24,pcomp_k,palt_k),1)),""))</f>
        <v/>
      </c>
      <c r="AS924">
        <f>IF(OR($X924="",$T924&gt;60),"",IFERROR(INDEX(IF($T924&lt;24,pcomp_m,palt_m),MATCH($X924,IF($T924&lt;24,pcomp_k,palt_k),1)),""))</f>
        <v/>
      </c>
      <c r="AT924">
        <f>IF(OR($X924="",$T924&gt;60),"",IFERROR(INDEX(IF($T924&lt;24,pcomp_s,palt_s),MATCH($X924,IF($T924&lt;24,pcomp_k,palt_k),1)),""))</f>
        <v/>
      </c>
      <c r="AU924">
        <f>IF($AR924="","",IF($AR924=0,LN($F924/$AS924)/$AT924,((($F924/$AS924)^$AR924)-1)/($AR924*$AT924)))</f>
        <v/>
      </c>
      <c r="AV924">
        <f>IF($AR924="","",IF($AR924=0,$AS924*EXP($AT924*2),$AS924*(1+$AR924*$AT924*2)^(1/$AR924)))</f>
        <v/>
      </c>
      <c r="AW924">
        <f>IF($AR924="","",IF($AR924=0,$AS924*EXP($AT924*3),$AS924*(1+$AR924*$AT924*3)^(1/$AR924)))</f>
        <v/>
      </c>
      <c r="AX924">
        <f>IF($AR924="","",IF($AR924=0,$AS924*EXP($AT924*-2),$AS924*(1+$AR924*$AT924*-2)^(1/$AR924)))</f>
        <v/>
      </c>
      <c r="AY924">
        <f>IF($AR924="","",IF($AR924=0,$AS924*EXP($AT924*-3),$AS924*(1+$AR924*$AT924*-3)^(1/$AR924)))</f>
        <v/>
      </c>
      <c r="AZ924">
        <f>IF(OR($A924="",$A924&lt;&gt;Ficha!$C$4),"",COUNTIF($A$2:$A924,Ficha!$C$4))</f>
        <v/>
      </c>
    </row>
    <row r="925">
      <c r="A925" s="8">
        <f>IF(INDEX(Banco!$A:$A,ROW())="","",INDEX(Banco!$A:$A,ROW()))</f>
        <v/>
      </c>
      <c r="B925" s="8">
        <f>IF(INDEX(Banco!$B:$B,ROW())="","",INDEX(Banco!$B:$B,ROW()))</f>
        <v/>
      </c>
      <c r="C925" s="8">
        <f>IF(INDEX(Banco!$C:$C,ROW())="","",INDEX(Banco!$C:$C,ROW()))</f>
        <v/>
      </c>
      <c r="D925" s="9">
        <f>IF(INDEX(Banco!$D:$D,ROW())="","",INDEX(Banco!$D:$D,ROW()))</f>
        <v/>
      </c>
      <c r="E925" s="9">
        <f>IF(INDEX(Banco!$E:$E,ROW())="","",INDEX(Banco!$E:$E,ROW()))</f>
        <v/>
      </c>
      <c r="F925" s="10">
        <f>IF(INDEX(Banco!$F:$F,ROW())="","",INDEX(Banco!$F:$F,ROW()))</f>
        <v/>
      </c>
      <c r="G925" s="10">
        <f>IF(INDEX(Banco!$G:$G,ROW())="","",INDEX(Banco!$G:$G,ROW()))</f>
        <v/>
      </c>
      <c r="H925" s="8">
        <f>IF(INDEX(Banco!$H:$H,ROW())="","",INDEX(Banco!$H:$H,ROW()))</f>
        <v/>
      </c>
      <c r="I925">
        <f>IF($T925="","",INT($T925/12)&amp;"a "&amp;MOD($T925,12)&amp;"m")</f>
        <v/>
      </c>
      <c r="J925" s="11">
        <f>IF(OR($F925="",$G925=""),"",ROUND($F925/($G925/100)^2,2))</f>
        <v/>
      </c>
      <c r="K925" s="12">
        <f>IF(OR($S925="",$J925="",$T925="",$T925&lt;0,$T925&gt;228,$Y925=""),"—",ROUND(IF(ABS($AB925)&lt;=3,$AB925,IF($AB925&gt;3,3+($J925-$AD925)/($AD925-$AC925),-3+($J925-$AF925)/($AE925-$AF925))),2))</f>
        <v/>
      </c>
      <c r="L925">
        <f>IF(OR($K925="",$K925="—"),"",IF($T925&lt;=60,IF($K925&lt;-3,"Magreza acentuada",IF($K925&lt;-2,"Magreza",IF($K925&lt;=1,"Eutrofia",IF($K925&lt;=2,"Risco de sobrepeso",IF($K925&lt;=3,"Sobrepeso","Obesidade"))))),IF($K925&lt;-3,"Magreza acentuada",IF($K925&lt;-2,"Magreza",IF($K925&lt;=1,"Eutrofia",IF($K925&lt;=2,"Sobrepeso",IF($K925&lt;=3,"Obesidade","Obesidade grave")))))))</f>
        <v/>
      </c>
      <c r="M925" s="12">
        <f>IF(OR($S925="",$V925="",$T925="",$T925&lt;0,$T925&gt;228,$AG925=""),"—",ROUND(IF($AG925=0,LN($V925/$AH925)/$AI925,((($V925/$AH925)^$AG925)-1)/($AG925*$AI925)),2))</f>
        <v/>
      </c>
      <c r="N925">
        <f>IF(OR($M925="",$M925="—"),"",IF($M925&lt;-3,"Muito baixa",IF($M925&lt;-2,"Baixa","Adequada")))</f>
        <v/>
      </c>
      <c r="O925" s="12">
        <f>IF(OR($S925="",$F925="",$T925="",$T925&lt;0,$T925&gt;120,$AJ925=""),"—",ROUND(IF(ABS($AM925)&lt;=3,$AM925,IF($AM925&gt;3,3+($F925-$AO925)/($AO925-$AN925),-3+($F925-$AQ925)/($AP925-$AQ925))),2))</f>
        <v/>
      </c>
      <c r="P925">
        <f>IF(OR($O925="",$O925="—"),"",IF($O925&lt;-3,"Muito baixo",IF($O925&lt;-2,"Baixo",IF($O925&lt;=2,"Adequado","Elevado"))))</f>
        <v/>
      </c>
      <c r="Q925" s="12">
        <f>IF(OR($S925="",$F925="",$T925="",$T925&lt;0,$T925&gt;60,$AR925=""),"—",ROUND(IF(ABS($AU925)&lt;=3,$AU925,IF($AU925&gt;3,3+($F925-$AW925)/($AW925-$AV925),-3+($F925-$AY925)/($AX925-$AY925))),2))</f>
        <v/>
      </c>
      <c r="R925">
        <f>IF(OR($Q925="",$Q925="—"),"",IF($Q925&lt;-3,"Magreza acentuada",IF($Q925&lt;-2,"Magreza",IF($Q925&lt;=1,"Eutrofia",IF($Q925&lt;=2,"Risco de sobrepeso",IF($Q925&lt;=3,"Sobrepeso","Obesidade"))))))</f>
        <v/>
      </c>
      <c r="S925">
        <f>IF($C925="","",IF(UPPER(LEFT($C925,1))="M",1,IF(UPPER(LEFT($C925,1))="F",2,"")))</f>
        <v/>
      </c>
      <c r="T925">
        <f>IF(OR($D925="",$E925=""),"",DATEDIF($D925,$E925,"m"))</f>
        <v/>
      </c>
      <c r="U925">
        <f>IF(OR($D925="",$E925=""),"",$E925-$D925)</f>
        <v/>
      </c>
      <c r="V925">
        <f>IF(OR($G925="",$T925=""),"",IF($T925&lt;24,IF(LEFT(LOWER($H925),4)="em p",$G925+0.7,$G925),IF(LEFT(LOWER($H925),4)="deit",$G925-0.7,$G925)))</f>
        <v/>
      </c>
      <c r="W925">
        <f>IF(OR($S925="",$T925=""),"",$S925*1000000+IF($T925&lt;=60,$U925,$T925))</f>
        <v/>
      </c>
      <c r="X925">
        <f>IF(OR($S925="",$V925="",$T925&gt;60,$T925=""),"",$S925*1000000+ROUND($V925*10,0))</f>
        <v/>
      </c>
      <c r="Y925">
        <f>IF($W925="","",IFERROR(INDEX(IF($T925&lt;=60,imc05_l,imc519_l),MATCH($W925,IF($T925&lt;=60,imc05_k,imc519_k),1)),""))</f>
        <v/>
      </c>
      <c r="Z925">
        <f>IF($W925="","",IFERROR(INDEX(IF($T925&lt;=60,imc05_m,imc519_m),MATCH($W925,IF($T925&lt;=60,imc05_k,imc519_k),1)),""))</f>
        <v/>
      </c>
      <c r="AA925">
        <f>IF($W925="","",IFERROR(INDEX(IF($T925&lt;=60,imc05_s,imc519_s),MATCH($W925,IF($T925&lt;=60,imc05_k,imc519_k),1)),""))</f>
        <v/>
      </c>
      <c r="AB925">
        <f>IF($Y925="","",IF($Y925=0,LN($J925/$Z925)/$AA925,((($J925/$Z925)^$Y925)-1)/($Y925*$AA925)))</f>
        <v/>
      </c>
      <c r="AC925">
        <f>IF($Y925="","",IF($Y925=0,$Z925*EXP($AA925*2),$Z925*(1+$Y925*$AA925*2)^(1/$Y925)))</f>
        <v/>
      </c>
      <c r="AD925">
        <f>IF($Y925="","",IF($Y925=0,$Z925*EXP($AA925*3),$Z925*(1+$Y925*$AA925*3)^(1/$Y925)))</f>
        <v/>
      </c>
      <c r="AE925">
        <f>IF($Y925="","",IF($Y925=0,$Z925*EXP($AA925*-2),$Z925*(1+$Y925*$AA925*-2)^(1/$Y925)))</f>
        <v/>
      </c>
      <c r="AF925">
        <f>IF($Y925="","",IF($Y925=0,$Z925*EXP($AA925*-3),$Z925*(1+$Y925*$AA925*-3)^(1/$Y925)))</f>
        <v/>
      </c>
      <c r="AG925">
        <f>IF($W925="","",IFERROR(INDEX(IF($T925&lt;=60,est05_l,est519_l),MATCH($W925,IF($T925&lt;=60,est05_k,est519_k),1)),""))</f>
        <v/>
      </c>
      <c r="AH925">
        <f>IF($W925="","",IFERROR(INDEX(IF($T925&lt;=60,est05_m,est519_m),MATCH($W925,IF($T925&lt;=60,est05_k,est519_k),1)),""))</f>
        <v/>
      </c>
      <c r="AI925">
        <f>IF($W925="","",IFERROR(INDEX(IF($T925&lt;=60,est05_s,est519_s),MATCH($W925,IF($T925&lt;=60,est05_k,est519_k),1)),""))</f>
        <v/>
      </c>
      <c r="AJ925">
        <f>IF($W925="","",IFERROR(INDEX(IF($T925&lt;=60,peso05_l,peso510_l),MATCH($W925,IF($T925&lt;=60,peso05_k,peso510_k),1)),""))</f>
        <v/>
      </c>
      <c r="AK925">
        <f>IF($W925="","",IFERROR(INDEX(IF($T925&lt;=60,peso05_m,peso510_m),MATCH($W925,IF($T925&lt;=60,peso05_k,peso510_k),1)),""))</f>
        <v/>
      </c>
      <c r="AL925">
        <f>IF($W925="","",IFERROR(INDEX(IF($T925&lt;=60,peso05_s,peso510_s),MATCH($W925,IF($T925&lt;=60,peso05_k,peso510_k),1)),""))</f>
        <v/>
      </c>
      <c r="AM925">
        <f>IF($AJ925="","",IF($AJ925=0,LN($F925/$AK925)/$AL925,((($F925/$AK925)^$AJ925)-1)/($AJ925*$AL925)))</f>
        <v/>
      </c>
      <c r="AN925">
        <f>IF($AJ925="","",IF($AJ925=0,$AK925*EXP($AL925*2),$AK925*(1+$AJ925*$AL925*2)^(1/$AJ925)))</f>
        <v/>
      </c>
      <c r="AO925">
        <f>IF($AJ925="","",IF($AJ925=0,$AK925*EXP($AL925*3),$AK925*(1+$AJ925*$AL925*3)^(1/$AJ925)))</f>
        <v/>
      </c>
      <c r="AP925">
        <f>IF($AJ925="","",IF($AJ925=0,$AK925*EXP($AL925*-2),$AK925*(1+$AJ925*$AL925*-2)^(1/$AJ925)))</f>
        <v/>
      </c>
      <c r="AQ925">
        <f>IF($AJ925="","",IF($AJ925=0,$AK925*EXP($AL925*-3),$AK925*(1+$AJ925*$AL925*-3)^(1/$AJ925)))</f>
        <v/>
      </c>
      <c r="AR925">
        <f>IF(OR($X925="",$T925&gt;60),"",IFERROR(INDEX(IF($T925&lt;24,pcomp_l,palt_l),MATCH($X925,IF($T925&lt;24,pcomp_k,palt_k),1)),""))</f>
        <v/>
      </c>
      <c r="AS925">
        <f>IF(OR($X925="",$T925&gt;60),"",IFERROR(INDEX(IF($T925&lt;24,pcomp_m,palt_m),MATCH($X925,IF($T925&lt;24,pcomp_k,palt_k),1)),""))</f>
        <v/>
      </c>
      <c r="AT925">
        <f>IF(OR($X925="",$T925&gt;60),"",IFERROR(INDEX(IF($T925&lt;24,pcomp_s,palt_s),MATCH($X925,IF($T925&lt;24,pcomp_k,palt_k),1)),""))</f>
        <v/>
      </c>
      <c r="AU925">
        <f>IF($AR925="","",IF($AR925=0,LN($F925/$AS925)/$AT925,((($F925/$AS925)^$AR925)-1)/($AR925*$AT925)))</f>
        <v/>
      </c>
      <c r="AV925">
        <f>IF($AR925="","",IF($AR925=0,$AS925*EXP($AT925*2),$AS925*(1+$AR925*$AT925*2)^(1/$AR925)))</f>
        <v/>
      </c>
      <c r="AW925">
        <f>IF($AR925="","",IF($AR925=0,$AS925*EXP($AT925*3),$AS925*(1+$AR925*$AT925*3)^(1/$AR925)))</f>
        <v/>
      </c>
      <c r="AX925">
        <f>IF($AR925="","",IF($AR925=0,$AS925*EXP($AT925*-2),$AS925*(1+$AR925*$AT925*-2)^(1/$AR925)))</f>
        <v/>
      </c>
      <c r="AY925">
        <f>IF($AR925="","",IF($AR925=0,$AS925*EXP($AT925*-3),$AS925*(1+$AR925*$AT925*-3)^(1/$AR925)))</f>
        <v/>
      </c>
      <c r="AZ925">
        <f>IF(OR($A925="",$A925&lt;&gt;Ficha!$C$4),"",COUNTIF($A$2:$A925,Ficha!$C$4))</f>
        <v/>
      </c>
    </row>
    <row r="926">
      <c r="A926" s="8">
        <f>IF(INDEX(Banco!$A:$A,ROW())="","",INDEX(Banco!$A:$A,ROW()))</f>
        <v/>
      </c>
      <c r="B926" s="8">
        <f>IF(INDEX(Banco!$B:$B,ROW())="","",INDEX(Banco!$B:$B,ROW()))</f>
        <v/>
      </c>
      <c r="C926" s="8">
        <f>IF(INDEX(Banco!$C:$C,ROW())="","",INDEX(Banco!$C:$C,ROW()))</f>
        <v/>
      </c>
      <c r="D926" s="9">
        <f>IF(INDEX(Banco!$D:$D,ROW())="","",INDEX(Banco!$D:$D,ROW()))</f>
        <v/>
      </c>
      <c r="E926" s="9">
        <f>IF(INDEX(Banco!$E:$E,ROW())="","",INDEX(Banco!$E:$E,ROW()))</f>
        <v/>
      </c>
      <c r="F926" s="10">
        <f>IF(INDEX(Banco!$F:$F,ROW())="","",INDEX(Banco!$F:$F,ROW()))</f>
        <v/>
      </c>
      <c r="G926" s="10">
        <f>IF(INDEX(Banco!$G:$G,ROW())="","",INDEX(Banco!$G:$G,ROW()))</f>
        <v/>
      </c>
      <c r="H926" s="8">
        <f>IF(INDEX(Banco!$H:$H,ROW())="","",INDEX(Banco!$H:$H,ROW()))</f>
        <v/>
      </c>
      <c r="I926">
        <f>IF($T926="","",INT($T926/12)&amp;"a "&amp;MOD($T926,12)&amp;"m")</f>
        <v/>
      </c>
      <c r="J926" s="11">
        <f>IF(OR($F926="",$G926=""),"",ROUND($F926/($G926/100)^2,2))</f>
        <v/>
      </c>
      <c r="K926" s="12">
        <f>IF(OR($S926="",$J926="",$T926="",$T926&lt;0,$T926&gt;228,$Y926=""),"—",ROUND(IF(ABS($AB926)&lt;=3,$AB926,IF($AB926&gt;3,3+($J926-$AD926)/($AD926-$AC926),-3+($J926-$AF926)/($AE926-$AF926))),2))</f>
        <v/>
      </c>
      <c r="L926">
        <f>IF(OR($K926="",$K926="—"),"",IF($T926&lt;=60,IF($K926&lt;-3,"Magreza acentuada",IF($K926&lt;-2,"Magreza",IF($K926&lt;=1,"Eutrofia",IF($K926&lt;=2,"Risco de sobrepeso",IF($K926&lt;=3,"Sobrepeso","Obesidade"))))),IF($K926&lt;-3,"Magreza acentuada",IF($K926&lt;-2,"Magreza",IF($K926&lt;=1,"Eutrofia",IF($K926&lt;=2,"Sobrepeso",IF($K926&lt;=3,"Obesidade","Obesidade grave")))))))</f>
        <v/>
      </c>
      <c r="M926" s="12">
        <f>IF(OR($S926="",$V926="",$T926="",$T926&lt;0,$T926&gt;228,$AG926=""),"—",ROUND(IF($AG926=0,LN($V926/$AH926)/$AI926,((($V926/$AH926)^$AG926)-1)/($AG926*$AI926)),2))</f>
        <v/>
      </c>
      <c r="N926">
        <f>IF(OR($M926="",$M926="—"),"",IF($M926&lt;-3,"Muito baixa",IF($M926&lt;-2,"Baixa","Adequada")))</f>
        <v/>
      </c>
      <c r="O926" s="12">
        <f>IF(OR($S926="",$F926="",$T926="",$T926&lt;0,$T926&gt;120,$AJ926=""),"—",ROUND(IF(ABS($AM926)&lt;=3,$AM926,IF($AM926&gt;3,3+($F926-$AO926)/($AO926-$AN926),-3+($F926-$AQ926)/($AP926-$AQ926))),2))</f>
        <v/>
      </c>
      <c r="P926">
        <f>IF(OR($O926="",$O926="—"),"",IF($O926&lt;-3,"Muito baixo",IF($O926&lt;-2,"Baixo",IF($O926&lt;=2,"Adequado","Elevado"))))</f>
        <v/>
      </c>
      <c r="Q926" s="12">
        <f>IF(OR($S926="",$F926="",$T926="",$T926&lt;0,$T926&gt;60,$AR926=""),"—",ROUND(IF(ABS($AU926)&lt;=3,$AU926,IF($AU926&gt;3,3+($F926-$AW926)/($AW926-$AV926),-3+($F926-$AY926)/($AX926-$AY926))),2))</f>
        <v/>
      </c>
      <c r="R926">
        <f>IF(OR($Q926="",$Q926="—"),"",IF($Q926&lt;-3,"Magreza acentuada",IF($Q926&lt;-2,"Magreza",IF($Q926&lt;=1,"Eutrofia",IF($Q926&lt;=2,"Risco de sobrepeso",IF($Q926&lt;=3,"Sobrepeso","Obesidade"))))))</f>
        <v/>
      </c>
      <c r="S926">
        <f>IF($C926="","",IF(UPPER(LEFT($C926,1))="M",1,IF(UPPER(LEFT($C926,1))="F",2,"")))</f>
        <v/>
      </c>
      <c r="T926">
        <f>IF(OR($D926="",$E926=""),"",DATEDIF($D926,$E926,"m"))</f>
        <v/>
      </c>
      <c r="U926">
        <f>IF(OR($D926="",$E926=""),"",$E926-$D926)</f>
        <v/>
      </c>
      <c r="V926">
        <f>IF(OR($G926="",$T926=""),"",IF($T926&lt;24,IF(LEFT(LOWER($H926),4)="em p",$G926+0.7,$G926),IF(LEFT(LOWER($H926),4)="deit",$G926-0.7,$G926)))</f>
        <v/>
      </c>
      <c r="W926">
        <f>IF(OR($S926="",$T926=""),"",$S926*1000000+IF($T926&lt;=60,$U926,$T926))</f>
        <v/>
      </c>
      <c r="X926">
        <f>IF(OR($S926="",$V926="",$T926&gt;60,$T926=""),"",$S926*1000000+ROUND($V926*10,0))</f>
        <v/>
      </c>
      <c r="Y926">
        <f>IF($W926="","",IFERROR(INDEX(IF($T926&lt;=60,imc05_l,imc519_l),MATCH($W926,IF($T926&lt;=60,imc05_k,imc519_k),1)),""))</f>
        <v/>
      </c>
      <c r="Z926">
        <f>IF($W926="","",IFERROR(INDEX(IF($T926&lt;=60,imc05_m,imc519_m),MATCH($W926,IF($T926&lt;=60,imc05_k,imc519_k),1)),""))</f>
        <v/>
      </c>
      <c r="AA926">
        <f>IF($W926="","",IFERROR(INDEX(IF($T926&lt;=60,imc05_s,imc519_s),MATCH($W926,IF($T926&lt;=60,imc05_k,imc519_k),1)),""))</f>
        <v/>
      </c>
      <c r="AB926">
        <f>IF($Y926="","",IF($Y926=0,LN($J926/$Z926)/$AA926,((($J926/$Z926)^$Y926)-1)/($Y926*$AA926)))</f>
        <v/>
      </c>
      <c r="AC926">
        <f>IF($Y926="","",IF($Y926=0,$Z926*EXP($AA926*2),$Z926*(1+$Y926*$AA926*2)^(1/$Y926)))</f>
        <v/>
      </c>
      <c r="AD926">
        <f>IF($Y926="","",IF($Y926=0,$Z926*EXP($AA926*3),$Z926*(1+$Y926*$AA926*3)^(1/$Y926)))</f>
        <v/>
      </c>
      <c r="AE926">
        <f>IF($Y926="","",IF($Y926=0,$Z926*EXP($AA926*-2),$Z926*(1+$Y926*$AA926*-2)^(1/$Y926)))</f>
        <v/>
      </c>
      <c r="AF926">
        <f>IF($Y926="","",IF($Y926=0,$Z926*EXP($AA926*-3),$Z926*(1+$Y926*$AA926*-3)^(1/$Y926)))</f>
        <v/>
      </c>
      <c r="AG926">
        <f>IF($W926="","",IFERROR(INDEX(IF($T926&lt;=60,est05_l,est519_l),MATCH($W926,IF($T926&lt;=60,est05_k,est519_k),1)),""))</f>
        <v/>
      </c>
      <c r="AH926">
        <f>IF($W926="","",IFERROR(INDEX(IF($T926&lt;=60,est05_m,est519_m),MATCH($W926,IF($T926&lt;=60,est05_k,est519_k),1)),""))</f>
        <v/>
      </c>
      <c r="AI926">
        <f>IF($W926="","",IFERROR(INDEX(IF($T926&lt;=60,est05_s,est519_s),MATCH($W926,IF($T926&lt;=60,est05_k,est519_k),1)),""))</f>
        <v/>
      </c>
      <c r="AJ926">
        <f>IF($W926="","",IFERROR(INDEX(IF($T926&lt;=60,peso05_l,peso510_l),MATCH($W926,IF($T926&lt;=60,peso05_k,peso510_k),1)),""))</f>
        <v/>
      </c>
      <c r="AK926">
        <f>IF($W926="","",IFERROR(INDEX(IF($T926&lt;=60,peso05_m,peso510_m),MATCH($W926,IF($T926&lt;=60,peso05_k,peso510_k),1)),""))</f>
        <v/>
      </c>
      <c r="AL926">
        <f>IF($W926="","",IFERROR(INDEX(IF($T926&lt;=60,peso05_s,peso510_s),MATCH($W926,IF($T926&lt;=60,peso05_k,peso510_k),1)),""))</f>
        <v/>
      </c>
      <c r="AM926">
        <f>IF($AJ926="","",IF($AJ926=0,LN($F926/$AK926)/$AL926,((($F926/$AK926)^$AJ926)-1)/($AJ926*$AL926)))</f>
        <v/>
      </c>
      <c r="AN926">
        <f>IF($AJ926="","",IF($AJ926=0,$AK926*EXP($AL926*2),$AK926*(1+$AJ926*$AL926*2)^(1/$AJ926)))</f>
        <v/>
      </c>
      <c r="AO926">
        <f>IF($AJ926="","",IF($AJ926=0,$AK926*EXP($AL926*3),$AK926*(1+$AJ926*$AL926*3)^(1/$AJ926)))</f>
        <v/>
      </c>
      <c r="AP926">
        <f>IF($AJ926="","",IF($AJ926=0,$AK926*EXP($AL926*-2),$AK926*(1+$AJ926*$AL926*-2)^(1/$AJ926)))</f>
        <v/>
      </c>
      <c r="AQ926">
        <f>IF($AJ926="","",IF($AJ926=0,$AK926*EXP($AL926*-3),$AK926*(1+$AJ926*$AL926*-3)^(1/$AJ926)))</f>
        <v/>
      </c>
      <c r="AR926">
        <f>IF(OR($X926="",$T926&gt;60),"",IFERROR(INDEX(IF($T926&lt;24,pcomp_l,palt_l),MATCH($X926,IF($T926&lt;24,pcomp_k,palt_k),1)),""))</f>
        <v/>
      </c>
      <c r="AS926">
        <f>IF(OR($X926="",$T926&gt;60),"",IFERROR(INDEX(IF($T926&lt;24,pcomp_m,palt_m),MATCH($X926,IF($T926&lt;24,pcomp_k,palt_k),1)),""))</f>
        <v/>
      </c>
      <c r="AT926">
        <f>IF(OR($X926="",$T926&gt;60),"",IFERROR(INDEX(IF($T926&lt;24,pcomp_s,palt_s),MATCH($X926,IF($T926&lt;24,pcomp_k,palt_k),1)),""))</f>
        <v/>
      </c>
      <c r="AU926">
        <f>IF($AR926="","",IF($AR926=0,LN($F926/$AS926)/$AT926,((($F926/$AS926)^$AR926)-1)/($AR926*$AT926)))</f>
        <v/>
      </c>
      <c r="AV926">
        <f>IF($AR926="","",IF($AR926=0,$AS926*EXP($AT926*2),$AS926*(1+$AR926*$AT926*2)^(1/$AR926)))</f>
        <v/>
      </c>
      <c r="AW926">
        <f>IF($AR926="","",IF($AR926=0,$AS926*EXP($AT926*3),$AS926*(1+$AR926*$AT926*3)^(1/$AR926)))</f>
        <v/>
      </c>
      <c r="AX926">
        <f>IF($AR926="","",IF($AR926=0,$AS926*EXP($AT926*-2),$AS926*(1+$AR926*$AT926*-2)^(1/$AR926)))</f>
        <v/>
      </c>
      <c r="AY926">
        <f>IF($AR926="","",IF($AR926=0,$AS926*EXP($AT926*-3),$AS926*(1+$AR926*$AT926*-3)^(1/$AR926)))</f>
        <v/>
      </c>
      <c r="AZ926">
        <f>IF(OR($A926="",$A926&lt;&gt;Ficha!$C$4),"",COUNTIF($A$2:$A926,Ficha!$C$4))</f>
        <v/>
      </c>
    </row>
    <row r="927">
      <c r="A927" s="8">
        <f>IF(INDEX(Banco!$A:$A,ROW())="","",INDEX(Banco!$A:$A,ROW()))</f>
        <v/>
      </c>
      <c r="B927" s="8">
        <f>IF(INDEX(Banco!$B:$B,ROW())="","",INDEX(Banco!$B:$B,ROW()))</f>
        <v/>
      </c>
      <c r="C927" s="8">
        <f>IF(INDEX(Banco!$C:$C,ROW())="","",INDEX(Banco!$C:$C,ROW()))</f>
        <v/>
      </c>
      <c r="D927" s="9">
        <f>IF(INDEX(Banco!$D:$D,ROW())="","",INDEX(Banco!$D:$D,ROW()))</f>
        <v/>
      </c>
      <c r="E927" s="9">
        <f>IF(INDEX(Banco!$E:$E,ROW())="","",INDEX(Banco!$E:$E,ROW()))</f>
        <v/>
      </c>
      <c r="F927" s="10">
        <f>IF(INDEX(Banco!$F:$F,ROW())="","",INDEX(Banco!$F:$F,ROW()))</f>
        <v/>
      </c>
      <c r="G927" s="10">
        <f>IF(INDEX(Banco!$G:$G,ROW())="","",INDEX(Banco!$G:$G,ROW()))</f>
        <v/>
      </c>
      <c r="H927" s="8">
        <f>IF(INDEX(Banco!$H:$H,ROW())="","",INDEX(Banco!$H:$H,ROW()))</f>
        <v/>
      </c>
      <c r="I927">
        <f>IF($T927="","",INT($T927/12)&amp;"a "&amp;MOD($T927,12)&amp;"m")</f>
        <v/>
      </c>
      <c r="J927" s="11">
        <f>IF(OR($F927="",$G927=""),"",ROUND($F927/($G927/100)^2,2))</f>
        <v/>
      </c>
      <c r="K927" s="12">
        <f>IF(OR($S927="",$J927="",$T927="",$T927&lt;0,$T927&gt;228,$Y927=""),"—",ROUND(IF(ABS($AB927)&lt;=3,$AB927,IF($AB927&gt;3,3+($J927-$AD927)/($AD927-$AC927),-3+($J927-$AF927)/($AE927-$AF927))),2))</f>
        <v/>
      </c>
      <c r="L927">
        <f>IF(OR($K927="",$K927="—"),"",IF($T927&lt;=60,IF($K927&lt;-3,"Magreza acentuada",IF($K927&lt;-2,"Magreza",IF($K927&lt;=1,"Eutrofia",IF($K927&lt;=2,"Risco de sobrepeso",IF($K927&lt;=3,"Sobrepeso","Obesidade"))))),IF($K927&lt;-3,"Magreza acentuada",IF($K927&lt;-2,"Magreza",IF($K927&lt;=1,"Eutrofia",IF($K927&lt;=2,"Sobrepeso",IF($K927&lt;=3,"Obesidade","Obesidade grave")))))))</f>
        <v/>
      </c>
      <c r="M927" s="12">
        <f>IF(OR($S927="",$V927="",$T927="",$T927&lt;0,$T927&gt;228,$AG927=""),"—",ROUND(IF($AG927=0,LN($V927/$AH927)/$AI927,((($V927/$AH927)^$AG927)-1)/($AG927*$AI927)),2))</f>
        <v/>
      </c>
      <c r="N927">
        <f>IF(OR($M927="",$M927="—"),"",IF($M927&lt;-3,"Muito baixa",IF($M927&lt;-2,"Baixa","Adequada")))</f>
        <v/>
      </c>
      <c r="O927" s="12">
        <f>IF(OR($S927="",$F927="",$T927="",$T927&lt;0,$T927&gt;120,$AJ927=""),"—",ROUND(IF(ABS($AM927)&lt;=3,$AM927,IF($AM927&gt;3,3+($F927-$AO927)/($AO927-$AN927),-3+($F927-$AQ927)/($AP927-$AQ927))),2))</f>
        <v/>
      </c>
      <c r="P927">
        <f>IF(OR($O927="",$O927="—"),"",IF($O927&lt;-3,"Muito baixo",IF($O927&lt;-2,"Baixo",IF($O927&lt;=2,"Adequado","Elevado"))))</f>
        <v/>
      </c>
      <c r="Q927" s="12">
        <f>IF(OR($S927="",$F927="",$T927="",$T927&lt;0,$T927&gt;60,$AR927=""),"—",ROUND(IF(ABS($AU927)&lt;=3,$AU927,IF($AU927&gt;3,3+($F927-$AW927)/($AW927-$AV927),-3+($F927-$AY927)/($AX927-$AY927))),2))</f>
        <v/>
      </c>
      <c r="R927">
        <f>IF(OR($Q927="",$Q927="—"),"",IF($Q927&lt;-3,"Magreza acentuada",IF($Q927&lt;-2,"Magreza",IF($Q927&lt;=1,"Eutrofia",IF($Q927&lt;=2,"Risco de sobrepeso",IF($Q927&lt;=3,"Sobrepeso","Obesidade"))))))</f>
        <v/>
      </c>
      <c r="S927">
        <f>IF($C927="","",IF(UPPER(LEFT($C927,1))="M",1,IF(UPPER(LEFT($C927,1))="F",2,"")))</f>
        <v/>
      </c>
      <c r="T927">
        <f>IF(OR($D927="",$E927=""),"",DATEDIF($D927,$E927,"m"))</f>
        <v/>
      </c>
      <c r="U927">
        <f>IF(OR($D927="",$E927=""),"",$E927-$D927)</f>
        <v/>
      </c>
      <c r="V927">
        <f>IF(OR($G927="",$T927=""),"",IF($T927&lt;24,IF(LEFT(LOWER($H927),4)="em p",$G927+0.7,$G927),IF(LEFT(LOWER($H927),4)="deit",$G927-0.7,$G927)))</f>
        <v/>
      </c>
      <c r="W927">
        <f>IF(OR($S927="",$T927=""),"",$S927*1000000+IF($T927&lt;=60,$U927,$T927))</f>
        <v/>
      </c>
      <c r="X927">
        <f>IF(OR($S927="",$V927="",$T927&gt;60,$T927=""),"",$S927*1000000+ROUND($V927*10,0))</f>
        <v/>
      </c>
      <c r="Y927">
        <f>IF($W927="","",IFERROR(INDEX(IF($T927&lt;=60,imc05_l,imc519_l),MATCH($W927,IF($T927&lt;=60,imc05_k,imc519_k),1)),""))</f>
        <v/>
      </c>
      <c r="Z927">
        <f>IF($W927="","",IFERROR(INDEX(IF($T927&lt;=60,imc05_m,imc519_m),MATCH($W927,IF($T927&lt;=60,imc05_k,imc519_k),1)),""))</f>
        <v/>
      </c>
      <c r="AA927">
        <f>IF($W927="","",IFERROR(INDEX(IF($T927&lt;=60,imc05_s,imc519_s),MATCH($W927,IF($T927&lt;=60,imc05_k,imc519_k),1)),""))</f>
        <v/>
      </c>
      <c r="AB927">
        <f>IF($Y927="","",IF($Y927=0,LN($J927/$Z927)/$AA927,((($J927/$Z927)^$Y927)-1)/($Y927*$AA927)))</f>
        <v/>
      </c>
      <c r="AC927">
        <f>IF($Y927="","",IF($Y927=0,$Z927*EXP($AA927*2),$Z927*(1+$Y927*$AA927*2)^(1/$Y927)))</f>
        <v/>
      </c>
      <c r="AD927">
        <f>IF($Y927="","",IF($Y927=0,$Z927*EXP($AA927*3),$Z927*(1+$Y927*$AA927*3)^(1/$Y927)))</f>
        <v/>
      </c>
      <c r="AE927">
        <f>IF($Y927="","",IF($Y927=0,$Z927*EXP($AA927*-2),$Z927*(1+$Y927*$AA927*-2)^(1/$Y927)))</f>
        <v/>
      </c>
      <c r="AF927">
        <f>IF($Y927="","",IF($Y927=0,$Z927*EXP($AA927*-3),$Z927*(1+$Y927*$AA927*-3)^(1/$Y927)))</f>
        <v/>
      </c>
      <c r="AG927">
        <f>IF($W927="","",IFERROR(INDEX(IF($T927&lt;=60,est05_l,est519_l),MATCH($W927,IF($T927&lt;=60,est05_k,est519_k),1)),""))</f>
        <v/>
      </c>
      <c r="AH927">
        <f>IF($W927="","",IFERROR(INDEX(IF($T927&lt;=60,est05_m,est519_m),MATCH($W927,IF($T927&lt;=60,est05_k,est519_k),1)),""))</f>
        <v/>
      </c>
      <c r="AI927">
        <f>IF($W927="","",IFERROR(INDEX(IF($T927&lt;=60,est05_s,est519_s),MATCH($W927,IF($T927&lt;=60,est05_k,est519_k),1)),""))</f>
        <v/>
      </c>
      <c r="AJ927">
        <f>IF($W927="","",IFERROR(INDEX(IF($T927&lt;=60,peso05_l,peso510_l),MATCH($W927,IF($T927&lt;=60,peso05_k,peso510_k),1)),""))</f>
        <v/>
      </c>
      <c r="AK927">
        <f>IF($W927="","",IFERROR(INDEX(IF($T927&lt;=60,peso05_m,peso510_m),MATCH($W927,IF($T927&lt;=60,peso05_k,peso510_k),1)),""))</f>
        <v/>
      </c>
      <c r="AL927">
        <f>IF($W927="","",IFERROR(INDEX(IF($T927&lt;=60,peso05_s,peso510_s),MATCH($W927,IF($T927&lt;=60,peso05_k,peso510_k),1)),""))</f>
        <v/>
      </c>
      <c r="AM927">
        <f>IF($AJ927="","",IF($AJ927=0,LN($F927/$AK927)/$AL927,((($F927/$AK927)^$AJ927)-1)/($AJ927*$AL927)))</f>
        <v/>
      </c>
      <c r="AN927">
        <f>IF($AJ927="","",IF($AJ927=0,$AK927*EXP($AL927*2),$AK927*(1+$AJ927*$AL927*2)^(1/$AJ927)))</f>
        <v/>
      </c>
      <c r="AO927">
        <f>IF($AJ927="","",IF($AJ927=0,$AK927*EXP($AL927*3),$AK927*(1+$AJ927*$AL927*3)^(1/$AJ927)))</f>
        <v/>
      </c>
      <c r="AP927">
        <f>IF($AJ927="","",IF($AJ927=0,$AK927*EXP($AL927*-2),$AK927*(1+$AJ927*$AL927*-2)^(1/$AJ927)))</f>
        <v/>
      </c>
      <c r="AQ927">
        <f>IF($AJ927="","",IF($AJ927=0,$AK927*EXP($AL927*-3),$AK927*(1+$AJ927*$AL927*-3)^(1/$AJ927)))</f>
        <v/>
      </c>
      <c r="AR927">
        <f>IF(OR($X927="",$T927&gt;60),"",IFERROR(INDEX(IF($T927&lt;24,pcomp_l,palt_l),MATCH($X927,IF($T927&lt;24,pcomp_k,palt_k),1)),""))</f>
        <v/>
      </c>
      <c r="AS927">
        <f>IF(OR($X927="",$T927&gt;60),"",IFERROR(INDEX(IF($T927&lt;24,pcomp_m,palt_m),MATCH($X927,IF($T927&lt;24,pcomp_k,palt_k),1)),""))</f>
        <v/>
      </c>
      <c r="AT927">
        <f>IF(OR($X927="",$T927&gt;60),"",IFERROR(INDEX(IF($T927&lt;24,pcomp_s,palt_s),MATCH($X927,IF($T927&lt;24,pcomp_k,palt_k),1)),""))</f>
        <v/>
      </c>
      <c r="AU927">
        <f>IF($AR927="","",IF($AR927=0,LN($F927/$AS927)/$AT927,((($F927/$AS927)^$AR927)-1)/($AR927*$AT927)))</f>
        <v/>
      </c>
      <c r="AV927">
        <f>IF($AR927="","",IF($AR927=0,$AS927*EXP($AT927*2),$AS927*(1+$AR927*$AT927*2)^(1/$AR927)))</f>
        <v/>
      </c>
      <c r="AW927">
        <f>IF($AR927="","",IF($AR927=0,$AS927*EXP($AT927*3),$AS927*(1+$AR927*$AT927*3)^(1/$AR927)))</f>
        <v/>
      </c>
      <c r="AX927">
        <f>IF($AR927="","",IF($AR927=0,$AS927*EXP($AT927*-2),$AS927*(1+$AR927*$AT927*-2)^(1/$AR927)))</f>
        <v/>
      </c>
      <c r="AY927">
        <f>IF($AR927="","",IF($AR927=0,$AS927*EXP($AT927*-3),$AS927*(1+$AR927*$AT927*-3)^(1/$AR927)))</f>
        <v/>
      </c>
      <c r="AZ927">
        <f>IF(OR($A927="",$A927&lt;&gt;Ficha!$C$4),"",COUNTIF($A$2:$A927,Ficha!$C$4))</f>
        <v/>
      </c>
    </row>
    <row r="928">
      <c r="A928" s="8">
        <f>IF(INDEX(Banco!$A:$A,ROW())="","",INDEX(Banco!$A:$A,ROW()))</f>
        <v/>
      </c>
      <c r="B928" s="8">
        <f>IF(INDEX(Banco!$B:$B,ROW())="","",INDEX(Banco!$B:$B,ROW()))</f>
        <v/>
      </c>
      <c r="C928" s="8">
        <f>IF(INDEX(Banco!$C:$C,ROW())="","",INDEX(Banco!$C:$C,ROW()))</f>
        <v/>
      </c>
      <c r="D928" s="9">
        <f>IF(INDEX(Banco!$D:$D,ROW())="","",INDEX(Banco!$D:$D,ROW()))</f>
        <v/>
      </c>
      <c r="E928" s="9">
        <f>IF(INDEX(Banco!$E:$E,ROW())="","",INDEX(Banco!$E:$E,ROW()))</f>
        <v/>
      </c>
      <c r="F928" s="10">
        <f>IF(INDEX(Banco!$F:$F,ROW())="","",INDEX(Banco!$F:$F,ROW()))</f>
        <v/>
      </c>
      <c r="G928" s="10">
        <f>IF(INDEX(Banco!$G:$G,ROW())="","",INDEX(Banco!$G:$G,ROW()))</f>
        <v/>
      </c>
      <c r="H928" s="8">
        <f>IF(INDEX(Banco!$H:$H,ROW())="","",INDEX(Banco!$H:$H,ROW()))</f>
        <v/>
      </c>
      <c r="I928">
        <f>IF($T928="","",INT($T928/12)&amp;"a "&amp;MOD($T928,12)&amp;"m")</f>
        <v/>
      </c>
      <c r="J928" s="11">
        <f>IF(OR($F928="",$G928=""),"",ROUND($F928/($G928/100)^2,2))</f>
        <v/>
      </c>
      <c r="K928" s="12">
        <f>IF(OR($S928="",$J928="",$T928="",$T928&lt;0,$T928&gt;228,$Y928=""),"—",ROUND(IF(ABS($AB928)&lt;=3,$AB928,IF($AB928&gt;3,3+($J928-$AD928)/($AD928-$AC928),-3+($J928-$AF928)/($AE928-$AF928))),2))</f>
        <v/>
      </c>
      <c r="L928">
        <f>IF(OR($K928="",$K928="—"),"",IF($T928&lt;=60,IF($K928&lt;-3,"Magreza acentuada",IF($K928&lt;-2,"Magreza",IF($K928&lt;=1,"Eutrofia",IF($K928&lt;=2,"Risco de sobrepeso",IF($K928&lt;=3,"Sobrepeso","Obesidade"))))),IF($K928&lt;-3,"Magreza acentuada",IF($K928&lt;-2,"Magreza",IF($K928&lt;=1,"Eutrofia",IF($K928&lt;=2,"Sobrepeso",IF($K928&lt;=3,"Obesidade","Obesidade grave")))))))</f>
        <v/>
      </c>
      <c r="M928" s="12">
        <f>IF(OR($S928="",$V928="",$T928="",$T928&lt;0,$T928&gt;228,$AG928=""),"—",ROUND(IF($AG928=0,LN($V928/$AH928)/$AI928,((($V928/$AH928)^$AG928)-1)/($AG928*$AI928)),2))</f>
        <v/>
      </c>
      <c r="N928">
        <f>IF(OR($M928="",$M928="—"),"",IF($M928&lt;-3,"Muito baixa",IF($M928&lt;-2,"Baixa","Adequada")))</f>
        <v/>
      </c>
      <c r="O928" s="12">
        <f>IF(OR($S928="",$F928="",$T928="",$T928&lt;0,$T928&gt;120,$AJ928=""),"—",ROUND(IF(ABS($AM928)&lt;=3,$AM928,IF($AM928&gt;3,3+($F928-$AO928)/($AO928-$AN928),-3+($F928-$AQ928)/($AP928-$AQ928))),2))</f>
        <v/>
      </c>
      <c r="P928">
        <f>IF(OR($O928="",$O928="—"),"",IF($O928&lt;-3,"Muito baixo",IF($O928&lt;-2,"Baixo",IF($O928&lt;=2,"Adequado","Elevado"))))</f>
        <v/>
      </c>
      <c r="Q928" s="12">
        <f>IF(OR($S928="",$F928="",$T928="",$T928&lt;0,$T928&gt;60,$AR928=""),"—",ROUND(IF(ABS($AU928)&lt;=3,$AU928,IF($AU928&gt;3,3+($F928-$AW928)/($AW928-$AV928),-3+($F928-$AY928)/($AX928-$AY928))),2))</f>
        <v/>
      </c>
      <c r="R928">
        <f>IF(OR($Q928="",$Q928="—"),"",IF($Q928&lt;-3,"Magreza acentuada",IF($Q928&lt;-2,"Magreza",IF($Q928&lt;=1,"Eutrofia",IF($Q928&lt;=2,"Risco de sobrepeso",IF($Q928&lt;=3,"Sobrepeso","Obesidade"))))))</f>
        <v/>
      </c>
      <c r="S928">
        <f>IF($C928="","",IF(UPPER(LEFT($C928,1))="M",1,IF(UPPER(LEFT($C928,1))="F",2,"")))</f>
        <v/>
      </c>
      <c r="T928">
        <f>IF(OR($D928="",$E928=""),"",DATEDIF($D928,$E928,"m"))</f>
        <v/>
      </c>
      <c r="U928">
        <f>IF(OR($D928="",$E928=""),"",$E928-$D928)</f>
        <v/>
      </c>
      <c r="V928">
        <f>IF(OR($G928="",$T928=""),"",IF($T928&lt;24,IF(LEFT(LOWER($H928),4)="em p",$G928+0.7,$G928),IF(LEFT(LOWER($H928),4)="deit",$G928-0.7,$G928)))</f>
        <v/>
      </c>
      <c r="W928">
        <f>IF(OR($S928="",$T928=""),"",$S928*1000000+IF($T928&lt;=60,$U928,$T928))</f>
        <v/>
      </c>
      <c r="X928">
        <f>IF(OR($S928="",$V928="",$T928&gt;60,$T928=""),"",$S928*1000000+ROUND($V928*10,0))</f>
        <v/>
      </c>
      <c r="Y928">
        <f>IF($W928="","",IFERROR(INDEX(IF($T928&lt;=60,imc05_l,imc519_l),MATCH($W928,IF($T928&lt;=60,imc05_k,imc519_k),1)),""))</f>
        <v/>
      </c>
      <c r="Z928">
        <f>IF($W928="","",IFERROR(INDEX(IF($T928&lt;=60,imc05_m,imc519_m),MATCH($W928,IF($T928&lt;=60,imc05_k,imc519_k),1)),""))</f>
        <v/>
      </c>
      <c r="AA928">
        <f>IF($W928="","",IFERROR(INDEX(IF($T928&lt;=60,imc05_s,imc519_s),MATCH($W928,IF($T928&lt;=60,imc05_k,imc519_k),1)),""))</f>
        <v/>
      </c>
      <c r="AB928">
        <f>IF($Y928="","",IF($Y928=0,LN($J928/$Z928)/$AA928,((($J928/$Z928)^$Y928)-1)/($Y928*$AA928)))</f>
        <v/>
      </c>
      <c r="AC928">
        <f>IF($Y928="","",IF($Y928=0,$Z928*EXP($AA928*2),$Z928*(1+$Y928*$AA928*2)^(1/$Y928)))</f>
        <v/>
      </c>
      <c r="AD928">
        <f>IF($Y928="","",IF($Y928=0,$Z928*EXP($AA928*3),$Z928*(1+$Y928*$AA928*3)^(1/$Y928)))</f>
        <v/>
      </c>
      <c r="AE928">
        <f>IF($Y928="","",IF($Y928=0,$Z928*EXP($AA928*-2),$Z928*(1+$Y928*$AA928*-2)^(1/$Y928)))</f>
        <v/>
      </c>
      <c r="AF928">
        <f>IF($Y928="","",IF($Y928=0,$Z928*EXP($AA928*-3),$Z928*(1+$Y928*$AA928*-3)^(1/$Y928)))</f>
        <v/>
      </c>
      <c r="AG928">
        <f>IF($W928="","",IFERROR(INDEX(IF($T928&lt;=60,est05_l,est519_l),MATCH($W928,IF($T928&lt;=60,est05_k,est519_k),1)),""))</f>
        <v/>
      </c>
      <c r="AH928">
        <f>IF($W928="","",IFERROR(INDEX(IF($T928&lt;=60,est05_m,est519_m),MATCH($W928,IF($T928&lt;=60,est05_k,est519_k),1)),""))</f>
        <v/>
      </c>
      <c r="AI928">
        <f>IF($W928="","",IFERROR(INDEX(IF($T928&lt;=60,est05_s,est519_s),MATCH($W928,IF($T928&lt;=60,est05_k,est519_k),1)),""))</f>
        <v/>
      </c>
      <c r="AJ928">
        <f>IF($W928="","",IFERROR(INDEX(IF($T928&lt;=60,peso05_l,peso510_l),MATCH($W928,IF($T928&lt;=60,peso05_k,peso510_k),1)),""))</f>
        <v/>
      </c>
      <c r="AK928">
        <f>IF($W928="","",IFERROR(INDEX(IF($T928&lt;=60,peso05_m,peso510_m),MATCH($W928,IF($T928&lt;=60,peso05_k,peso510_k),1)),""))</f>
        <v/>
      </c>
      <c r="AL928">
        <f>IF($W928="","",IFERROR(INDEX(IF($T928&lt;=60,peso05_s,peso510_s),MATCH($W928,IF($T928&lt;=60,peso05_k,peso510_k),1)),""))</f>
        <v/>
      </c>
      <c r="AM928">
        <f>IF($AJ928="","",IF($AJ928=0,LN($F928/$AK928)/$AL928,((($F928/$AK928)^$AJ928)-1)/($AJ928*$AL928)))</f>
        <v/>
      </c>
      <c r="AN928">
        <f>IF($AJ928="","",IF($AJ928=0,$AK928*EXP($AL928*2),$AK928*(1+$AJ928*$AL928*2)^(1/$AJ928)))</f>
        <v/>
      </c>
      <c r="AO928">
        <f>IF($AJ928="","",IF($AJ928=0,$AK928*EXP($AL928*3),$AK928*(1+$AJ928*$AL928*3)^(1/$AJ928)))</f>
        <v/>
      </c>
      <c r="AP928">
        <f>IF($AJ928="","",IF($AJ928=0,$AK928*EXP($AL928*-2),$AK928*(1+$AJ928*$AL928*-2)^(1/$AJ928)))</f>
        <v/>
      </c>
      <c r="AQ928">
        <f>IF($AJ928="","",IF($AJ928=0,$AK928*EXP($AL928*-3),$AK928*(1+$AJ928*$AL928*-3)^(1/$AJ928)))</f>
        <v/>
      </c>
      <c r="AR928">
        <f>IF(OR($X928="",$T928&gt;60),"",IFERROR(INDEX(IF($T928&lt;24,pcomp_l,palt_l),MATCH($X928,IF($T928&lt;24,pcomp_k,palt_k),1)),""))</f>
        <v/>
      </c>
      <c r="AS928">
        <f>IF(OR($X928="",$T928&gt;60),"",IFERROR(INDEX(IF($T928&lt;24,pcomp_m,palt_m),MATCH($X928,IF($T928&lt;24,pcomp_k,palt_k),1)),""))</f>
        <v/>
      </c>
      <c r="AT928">
        <f>IF(OR($X928="",$T928&gt;60),"",IFERROR(INDEX(IF($T928&lt;24,pcomp_s,palt_s),MATCH($X928,IF($T928&lt;24,pcomp_k,palt_k),1)),""))</f>
        <v/>
      </c>
      <c r="AU928">
        <f>IF($AR928="","",IF($AR928=0,LN($F928/$AS928)/$AT928,((($F928/$AS928)^$AR928)-1)/($AR928*$AT928)))</f>
        <v/>
      </c>
      <c r="AV928">
        <f>IF($AR928="","",IF($AR928=0,$AS928*EXP($AT928*2),$AS928*(1+$AR928*$AT928*2)^(1/$AR928)))</f>
        <v/>
      </c>
      <c r="AW928">
        <f>IF($AR928="","",IF($AR928=0,$AS928*EXP($AT928*3),$AS928*(1+$AR928*$AT928*3)^(1/$AR928)))</f>
        <v/>
      </c>
      <c r="AX928">
        <f>IF($AR928="","",IF($AR928=0,$AS928*EXP($AT928*-2),$AS928*(1+$AR928*$AT928*-2)^(1/$AR928)))</f>
        <v/>
      </c>
      <c r="AY928">
        <f>IF($AR928="","",IF($AR928=0,$AS928*EXP($AT928*-3),$AS928*(1+$AR928*$AT928*-3)^(1/$AR928)))</f>
        <v/>
      </c>
      <c r="AZ928">
        <f>IF(OR($A928="",$A928&lt;&gt;Ficha!$C$4),"",COUNTIF($A$2:$A928,Ficha!$C$4))</f>
        <v/>
      </c>
    </row>
    <row r="929">
      <c r="A929" s="8">
        <f>IF(INDEX(Banco!$A:$A,ROW())="","",INDEX(Banco!$A:$A,ROW()))</f>
        <v/>
      </c>
      <c r="B929" s="8">
        <f>IF(INDEX(Banco!$B:$B,ROW())="","",INDEX(Banco!$B:$B,ROW()))</f>
        <v/>
      </c>
      <c r="C929" s="8">
        <f>IF(INDEX(Banco!$C:$C,ROW())="","",INDEX(Banco!$C:$C,ROW()))</f>
        <v/>
      </c>
      <c r="D929" s="9">
        <f>IF(INDEX(Banco!$D:$D,ROW())="","",INDEX(Banco!$D:$D,ROW()))</f>
        <v/>
      </c>
      <c r="E929" s="9">
        <f>IF(INDEX(Banco!$E:$E,ROW())="","",INDEX(Banco!$E:$E,ROW()))</f>
        <v/>
      </c>
      <c r="F929" s="10">
        <f>IF(INDEX(Banco!$F:$F,ROW())="","",INDEX(Banco!$F:$F,ROW()))</f>
        <v/>
      </c>
      <c r="G929" s="10">
        <f>IF(INDEX(Banco!$G:$G,ROW())="","",INDEX(Banco!$G:$G,ROW()))</f>
        <v/>
      </c>
      <c r="H929" s="8">
        <f>IF(INDEX(Banco!$H:$H,ROW())="","",INDEX(Banco!$H:$H,ROW()))</f>
        <v/>
      </c>
      <c r="I929">
        <f>IF($T929="","",INT($T929/12)&amp;"a "&amp;MOD($T929,12)&amp;"m")</f>
        <v/>
      </c>
      <c r="J929" s="11">
        <f>IF(OR($F929="",$G929=""),"",ROUND($F929/($G929/100)^2,2))</f>
        <v/>
      </c>
      <c r="K929" s="12">
        <f>IF(OR($S929="",$J929="",$T929="",$T929&lt;0,$T929&gt;228,$Y929=""),"—",ROUND(IF(ABS($AB929)&lt;=3,$AB929,IF($AB929&gt;3,3+($J929-$AD929)/($AD929-$AC929),-3+($J929-$AF929)/($AE929-$AF929))),2))</f>
        <v/>
      </c>
      <c r="L929">
        <f>IF(OR($K929="",$K929="—"),"",IF($T929&lt;=60,IF($K929&lt;-3,"Magreza acentuada",IF($K929&lt;-2,"Magreza",IF($K929&lt;=1,"Eutrofia",IF($K929&lt;=2,"Risco de sobrepeso",IF($K929&lt;=3,"Sobrepeso","Obesidade"))))),IF($K929&lt;-3,"Magreza acentuada",IF($K929&lt;-2,"Magreza",IF($K929&lt;=1,"Eutrofia",IF($K929&lt;=2,"Sobrepeso",IF($K929&lt;=3,"Obesidade","Obesidade grave")))))))</f>
        <v/>
      </c>
      <c r="M929" s="12">
        <f>IF(OR($S929="",$V929="",$T929="",$T929&lt;0,$T929&gt;228,$AG929=""),"—",ROUND(IF($AG929=0,LN($V929/$AH929)/$AI929,((($V929/$AH929)^$AG929)-1)/($AG929*$AI929)),2))</f>
        <v/>
      </c>
      <c r="N929">
        <f>IF(OR($M929="",$M929="—"),"",IF($M929&lt;-3,"Muito baixa",IF($M929&lt;-2,"Baixa","Adequada")))</f>
        <v/>
      </c>
      <c r="O929" s="12">
        <f>IF(OR($S929="",$F929="",$T929="",$T929&lt;0,$T929&gt;120,$AJ929=""),"—",ROUND(IF(ABS($AM929)&lt;=3,$AM929,IF($AM929&gt;3,3+($F929-$AO929)/($AO929-$AN929),-3+($F929-$AQ929)/($AP929-$AQ929))),2))</f>
        <v/>
      </c>
      <c r="P929">
        <f>IF(OR($O929="",$O929="—"),"",IF($O929&lt;-3,"Muito baixo",IF($O929&lt;-2,"Baixo",IF($O929&lt;=2,"Adequado","Elevado"))))</f>
        <v/>
      </c>
      <c r="Q929" s="12">
        <f>IF(OR($S929="",$F929="",$T929="",$T929&lt;0,$T929&gt;60,$AR929=""),"—",ROUND(IF(ABS($AU929)&lt;=3,$AU929,IF($AU929&gt;3,3+($F929-$AW929)/($AW929-$AV929),-3+($F929-$AY929)/($AX929-$AY929))),2))</f>
        <v/>
      </c>
      <c r="R929">
        <f>IF(OR($Q929="",$Q929="—"),"",IF($Q929&lt;-3,"Magreza acentuada",IF($Q929&lt;-2,"Magreza",IF($Q929&lt;=1,"Eutrofia",IF($Q929&lt;=2,"Risco de sobrepeso",IF($Q929&lt;=3,"Sobrepeso","Obesidade"))))))</f>
        <v/>
      </c>
      <c r="S929">
        <f>IF($C929="","",IF(UPPER(LEFT($C929,1))="M",1,IF(UPPER(LEFT($C929,1))="F",2,"")))</f>
        <v/>
      </c>
      <c r="T929">
        <f>IF(OR($D929="",$E929=""),"",DATEDIF($D929,$E929,"m"))</f>
        <v/>
      </c>
      <c r="U929">
        <f>IF(OR($D929="",$E929=""),"",$E929-$D929)</f>
        <v/>
      </c>
      <c r="V929">
        <f>IF(OR($G929="",$T929=""),"",IF($T929&lt;24,IF(LEFT(LOWER($H929),4)="em p",$G929+0.7,$G929),IF(LEFT(LOWER($H929),4)="deit",$G929-0.7,$G929)))</f>
        <v/>
      </c>
      <c r="W929">
        <f>IF(OR($S929="",$T929=""),"",$S929*1000000+IF($T929&lt;=60,$U929,$T929))</f>
        <v/>
      </c>
      <c r="X929">
        <f>IF(OR($S929="",$V929="",$T929&gt;60,$T929=""),"",$S929*1000000+ROUND($V929*10,0))</f>
        <v/>
      </c>
      <c r="Y929">
        <f>IF($W929="","",IFERROR(INDEX(IF($T929&lt;=60,imc05_l,imc519_l),MATCH($W929,IF($T929&lt;=60,imc05_k,imc519_k),1)),""))</f>
        <v/>
      </c>
      <c r="Z929">
        <f>IF($W929="","",IFERROR(INDEX(IF($T929&lt;=60,imc05_m,imc519_m),MATCH($W929,IF($T929&lt;=60,imc05_k,imc519_k),1)),""))</f>
        <v/>
      </c>
      <c r="AA929">
        <f>IF($W929="","",IFERROR(INDEX(IF($T929&lt;=60,imc05_s,imc519_s),MATCH($W929,IF($T929&lt;=60,imc05_k,imc519_k),1)),""))</f>
        <v/>
      </c>
      <c r="AB929">
        <f>IF($Y929="","",IF($Y929=0,LN($J929/$Z929)/$AA929,((($J929/$Z929)^$Y929)-1)/($Y929*$AA929)))</f>
        <v/>
      </c>
      <c r="AC929">
        <f>IF($Y929="","",IF($Y929=0,$Z929*EXP($AA929*2),$Z929*(1+$Y929*$AA929*2)^(1/$Y929)))</f>
        <v/>
      </c>
      <c r="AD929">
        <f>IF($Y929="","",IF($Y929=0,$Z929*EXP($AA929*3),$Z929*(1+$Y929*$AA929*3)^(1/$Y929)))</f>
        <v/>
      </c>
      <c r="AE929">
        <f>IF($Y929="","",IF($Y929=0,$Z929*EXP($AA929*-2),$Z929*(1+$Y929*$AA929*-2)^(1/$Y929)))</f>
        <v/>
      </c>
      <c r="AF929">
        <f>IF($Y929="","",IF($Y929=0,$Z929*EXP($AA929*-3),$Z929*(1+$Y929*$AA929*-3)^(1/$Y929)))</f>
        <v/>
      </c>
      <c r="AG929">
        <f>IF($W929="","",IFERROR(INDEX(IF($T929&lt;=60,est05_l,est519_l),MATCH($W929,IF($T929&lt;=60,est05_k,est519_k),1)),""))</f>
        <v/>
      </c>
      <c r="AH929">
        <f>IF($W929="","",IFERROR(INDEX(IF($T929&lt;=60,est05_m,est519_m),MATCH($W929,IF($T929&lt;=60,est05_k,est519_k),1)),""))</f>
        <v/>
      </c>
      <c r="AI929">
        <f>IF($W929="","",IFERROR(INDEX(IF($T929&lt;=60,est05_s,est519_s),MATCH($W929,IF($T929&lt;=60,est05_k,est519_k),1)),""))</f>
        <v/>
      </c>
      <c r="AJ929">
        <f>IF($W929="","",IFERROR(INDEX(IF($T929&lt;=60,peso05_l,peso510_l),MATCH($W929,IF($T929&lt;=60,peso05_k,peso510_k),1)),""))</f>
        <v/>
      </c>
      <c r="AK929">
        <f>IF($W929="","",IFERROR(INDEX(IF($T929&lt;=60,peso05_m,peso510_m),MATCH($W929,IF($T929&lt;=60,peso05_k,peso510_k),1)),""))</f>
        <v/>
      </c>
      <c r="AL929">
        <f>IF($W929="","",IFERROR(INDEX(IF($T929&lt;=60,peso05_s,peso510_s),MATCH($W929,IF($T929&lt;=60,peso05_k,peso510_k),1)),""))</f>
        <v/>
      </c>
      <c r="AM929">
        <f>IF($AJ929="","",IF($AJ929=0,LN($F929/$AK929)/$AL929,((($F929/$AK929)^$AJ929)-1)/($AJ929*$AL929)))</f>
        <v/>
      </c>
      <c r="AN929">
        <f>IF($AJ929="","",IF($AJ929=0,$AK929*EXP($AL929*2),$AK929*(1+$AJ929*$AL929*2)^(1/$AJ929)))</f>
        <v/>
      </c>
      <c r="AO929">
        <f>IF($AJ929="","",IF($AJ929=0,$AK929*EXP($AL929*3),$AK929*(1+$AJ929*$AL929*3)^(1/$AJ929)))</f>
        <v/>
      </c>
      <c r="AP929">
        <f>IF($AJ929="","",IF($AJ929=0,$AK929*EXP($AL929*-2),$AK929*(1+$AJ929*$AL929*-2)^(1/$AJ929)))</f>
        <v/>
      </c>
      <c r="AQ929">
        <f>IF($AJ929="","",IF($AJ929=0,$AK929*EXP($AL929*-3),$AK929*(1+$AJ929*$AL929*-3)^(1/$AJ929)))</f>
        <v/>
      </c>
      <c r="AR929">
        <f>IF(OR($X929="",$T929&gt;60),"",IFERROR(INDEX(IF($T929&lt;24,pcomp_l,palt_l),MATCH($X929,IF($T929&lt;24,pcomp_k,palt_k),1)),""))</f>
        <v/>
      </c>
      <c r="AS929">
        <f>IF(OR($X929="",$T929&gt;60),"",IFERROR(INDEX(IF($T929&lt;24,pcomp_m,palt_m),MATCH($X929,IF($T929&lt;24,pcomp_k,palt_k),1)),""))</f>
        <v/>
      </c>
      <c r="AT929">
        <f>IF(OR($X929="",$T929&gt;60),"",IFERROR(INDEX(IF($T929&lt;24,pcomp_s,palt_s),MATCH($X929,IF($T929&lt;24,pcomp_k,palt_k),1)),""))</f>
        <v/>
      </c>
      <c r="AU929">
        <f>IF($AR929="","",IF($AR929=0,LN($F929/$AS929)/$AT929,((($F929/$AS929)^$AR929)-1)/($AR929*$AT929)))</f>
        <v/>
      </c>
      <c r="AV929">
        <f>IF($AR929="","",IF($AR929=0,$AS929*EXP($AT929*2),$AS929*(1+$AR929*$AT929*2)^(1/$AR929)))</f>
        <v/>
      </c>
      <c r="AW929">
        <f>IF($AR929="","",IF($AR929=0,$AS929*EXP($AT929*3),$AS929*(1+$AR929*$AT929*3)^(1/$AR929)))</f>
        <v/>
      </c>
      <c r="AX929">
        <f>IF($AR929="","",IF($AR929=0,$AS929*EXP($AT929*-2),$AS929*(1+$AR929*$AT929*-2)^(1/$AR929)))</f>
        <v/>
      </c>
      <c r="AY929">
        <f>IF($AR929="","",IF($AR929=0,$AS929*EXP($AT929*-3),$AS929*(1+$AR929*$AT929*-3)^(1/$AR929)))</f>
        <v/>
      </c>
      <c r="AZ929">
        <f>IF(OR($A929="",$A929&lt;&gt;Ficha!$C$4),"",COUNTIF($A$2:$A929,Ficha!$C$4))</f>
        <v/>
      </c>
    </row>
    <row r="930">
      <c r="A930" s="8">
        <f>IF(INDEX(Banco!$A:$A,ROW())="","",INDEX(Banco!$A:$A,ROW()))</f>
        <v/>
      </c>
      <c r="B930" s="8">
        <f>IF(INDEX(Banco!$B:$B,ROW())="","",INDEX(Banco!$B:$B,ROW()))</f>
        <v/>
      </c>
      <c r="C930" s="8">
        <f>IF(INDEX(Banco!$C:$C,ROW())="","",INDEX(Banco!$C:$C,ROW()))</f>
        <v/>
      </c>
      <c r="D930" s="9">
        <f>IF(INDEX(Banco!$D:$D,ROW())="","",INDEX(Banco!$D:$D,ROW()))</f>
        <v/>
      </c>
      <c r="E930" s="9">
        <f>IF(INDEX(Banco!$E:$E,ROW())="","",INDEX(Banco!$E:$E,ROW()))</f>
        <v/>
      </c>
      <c r="F930" s="10">
        <f>IF(INDEX(Banco!$F:$F,ROW())="","",INDEX(Banco!$F:$F,ROW()))</f>
        <v/>
      </c>
      <c r="G930" s="10">
        <f>IF(INDEX(Banco!$G:$G,ROW())="","",INDEX(Banco!$G:$G,ROW()))</f>
        <v/>
      </c>
      <c r="H930" s="8">
        <f>IF(INDEX(Banco!$H:$H,ROW())="","",INDEX(Banco!$H:$H,ROW()))</f>
        <v/>
      </c>
      <c r="I930">
        <f>IF($T930="","",INT($T930/12)&amp;"a "&amp;MOD($T930,12)&amp;"m")</f>
        <v/>
      </c>
      <c r="J930" s="11">
        <f>IF(OR($F930="",$G930=""),"",ROUND($F930/($G930/100)^2,2))</f>
        <v/>
      </c>
      <c r="K930" s="12">
        <f>IF(OR($S930="",$J930="",$T930="",$T930&lt;0,$T930&gt;228,$Y930=""),"—",ROUND(IF(ABS($AB930)&lt;=3,$AB930,IF($AB930&gt;3,3+($J930-$AD930)/($AD930-$AC930),-3+($J930-$AF930)/($AE930-$AF930))),2))</f>
        <v/>
      </c>
      <c r="L930">
        <f>IF(OR($K930="",$K930="—"),"",IF($T930&lt;=60,IF($K930&lt;-3,"Magreza acentuada",IF($K930&lt;-2,"Magreza",IF($K930&lt;=1,"Eutrofia",IF($K930&lt;=2,"Risco de sobrepeso",IF($K930&lt;=3,"Sobrepeso","Obesidade"))))),IF($K930&lt;-3,"Magreza acentuada",IF($K930&lt;-2,"Magreza",IF($K930&lt;=1,"Eutrofia",IF($K930&lt;=2,"Sobrepeso",IF($K930&lt;=3,"Obesidade","Obesidade grave")))))))</f>
        <v/>
      </c>
      <c r="M930" s="12">
        <f>IF(OR($S930="",$V930="",$T930="",$T930&lt;0,$T930&gt;228,$AG930=""),"—",ROUND(IF($AG930=0,LN($V930/$AH930)/$AI930,((($V930/$AH930)^$AG930)-1)/($AG930*$AI930)),2))</f>
        <v/>
      </c>
      <c r="N930">
        <f>IF(OR($M930="",$M930="—"),"",IF($M930&lt;-3,"Muito baixa",IF($M930&lt;-2,"Baixa","Adequada")))</f>
        <v/>
      </c>
      <c r="O930" s="12">
        <f>IF(OR($S930="",$F930="",$T930="",$T930&lt;0,$T930&gt;120,$AJ930=""),"—",ROUND(IF(ABS($AM930)&lt;=3,$AM930,IF($AM930&gt;3,3+($F930-$AO930)/($AO930-$AN930),-3+($F930-$AQ930)/($AP930-$AQ930))),2))</f>
        <v/>
      </c>
      <c r="P930">
        <f>IF(OR($O930="",$O930="—"),"",IF($O930&lt;-3,"Muito baixo",IF($O930&lt;-2,"Baixo",IF($O930&lt;=2,"Adequado","Elevado"))))</f>
        <v/>
      </c>
      <c r="Q930" s="12">
        <f>IF(OR($S930="",$F930="",$T930="",$T930&lt;0,$T930&gt;60,$AR930=""),"—",ROUND(IF(ABS($AU930)&lt;=3,$AU930,IF($AU930&gt;3,3+($F930-$AW930)/($AW930-$AV930),-3+($F930-$AY930)/($AX930-$AY930))),2))</f>
        <v/>
      </c>
      <c r="R930">
        <f>IF(OR($Q930="",$Q930="—"),"",IF($Q930&lt;-3,"Magreza acentuada",IF($Q930&lt;-2,"Magreza",IF($Q930&lt;=1,"Eutrofia",IF($Q930&lt;=2,"Risco de sobrepeso",IF($Q930&lt;=3,"Sobrepeso","Obesidade"))))))</f>
        <v/>
      </c>
      <c r="S930">
        <f>IF($C930="","",IF(UPPER(LEFT($C930,1))="M",1,IF(UPPER(LEFT($C930,1))="F",2,"")))</f>
        <v/>
      </c>
      <c r="T930">
        <f>IF(OR($D930="",$E930=""),"",DATEDIF($D930,$E930,"m"))</f>
        <v/>
      </c>
      <c r="U930">
        <f>IF(OR($D930="",$E930=""),"",$E930-$D930)</f>
        <v/>
      </c>
      <c r="V930">
        <f>IF(OR($G930="",$T930=""),"",IF($T930&lt;24,IF(LEFT(LOWER($H930),4)="em p",$G930+0.7,$G930),IF(LEFT(LOWER($H930),4)="deit",$G930-0.7,$G930)))</f>
        <v/>
      </c>
      <c r="W930">
        <f>IF(OR($S930="",$T930=""),"",$S930*1000000+IF($T930&lt;=60,$U930,$T930))</f>
        <v/>
      </c>
      <c r="X930">
        <f>IF(OR($S930="",$V930="",$T930&gt;60,$T930=""),"",$S930*1000000+ROUND($V930*10,0))</f>
        <v/>
      </c>
      <c r="Y930">
        <f>IF($W930="","",IFERROR(INDEX(IF($T930&lt;=60,imc05_l,imc519_l),MATCH($W930,IF($T930&lt;=60,imc05_k,imc519_k),1)),""))</f>
        <v/>
      </c>
      <c r="Z930">
        <f>IF($W930="","",IFERROR(INDEX(IF($T930&lt;=60,imc05_m,imc519_m),MATCH($W930,IF($T930&lt;=60,imc05_k,imc519_k),1)),""))</f>
        <v/>
      </c>
      <c r="AA930">
        <f>IF($W930="","",IFERROR(INDEX(IF($T930&lt;=60,imc05_s,imc519_s),MATCH($W930,IF($T930&lt;=60,imc05_k,imc519_k),1)),""))</f>
        <v/>
      </c>
      <c r="AB930">
        <f>IF($Y930="","",IF($Y930=0,LN($J930/$Z930)/$AA930,((($J930/$Z930)^$Y930)-1)/($Y930*$AA930)))</f>
        <v/>
      </c>
      <c r="AC930">
        <f>IF($Y930="","",IF($Y930=0,$Z930*EXP($AA930*2),$Z930*(1+$Y930*$AA930*2)^(1/$Y930)))</f>
        <v/>
      </c>
      <c r="AD930">
        <f>IF($Y930="","",IF($Y930=0,$Z930*EXP($AA930*3),$Z930*(1+$Y930*$AA930*3)^(1/$Y930)))</f>
        <v/>
      </c>
      <c r="AE930">
        <f>IF($Y930="","",IF($Y930=0,$Z930*EXP($AA930*-2),$Z930*(1+$Y930*$AA930*-2)^(1/$Y930)))</f>
        <v/>
      </c>
      <c r="AF930">
        <f>IF($Y930="","",IF($Y930=0,$Z930*EXP($AA930*-3),$Z930*(1+$Y930*$AA930*-3)^(1/$Y930)))</f>
        <v/>
      </c>
      <c r="AG930">
        <f>IF($W930="","",IFERROR(INDEX(IF($T930&lt;=60,est05_l,est519_l),MATCH($W930,IF($T930&lt;=60,est05_k,est519_k),1)),""))</f>
        <v/>
      </c>
      <c r="AH930">
        <f>IF($W930="","",IFERROR(INDEX(IF($T930&lt;=60,est05_m,est519_m),MATCH($W930,IF($T930&lt;=60,est05_k,est519_k),1)),""))</f>
        <v/>
      </c>
      <c r="AI930">
        <f>IF($W930="","",IFERROR(INDEX(IF($T930&lt;=60,est05_s,est519_s),MATCH($W930,IF($T930&lt;=60,est05_k,est519_k),1)),""))</f>
        <v/>
      </c>
      <c r="AJ930">
        <f>IF($W930="","",IFERROR(INDEX(IF($T930&lt;=60,peso05_l,peso510_l),MATCH($W930,IF($T930&lt;=60,peso05_k,peso510_k),1)),""))</f>
        <v/>
      </c>
      <c r="AK930">
        <f>IF($W930="","",IFERROR(INDEX(IF($T930&lt;=60,peso05_m,peso510_m),MATCH($W930,IF($T930&lt;=60,peso05_k,peso510_k),1)),""))</f>
        <v/>
      </c>
      <c r="AL930">
        <f>IF($W930="","",IFERROR(INDEX(IF($T930&lt;=60,peso05_s,peso510_s),MATCH($W930,IF($T930&lt;=60,peso05_k,peso510_k),1)),""))</f>
        <v/>
      </c>
      <c r="AM930">
        <f>IF($AJ930="","",IF($AJ930=0,LN($F930/$AK930)/$AL930,((($F930/$AK930)^$AJ930)-1)/($AJ930*$AL930)))</f>
        <v/>
      </c>
      <c r="AN930">
        <f>IF($AJ930="","",IF($AJ930=0,$AK930*EXP($AL930*2),$AK930*(1+$AJ930*$AL930*2)^(1/$AJ930)))</f>
        <v/>
      </c>
      <c r="AO930">
        <f>IF($AJ930="","",IF($AJ930=0,$AK930*EXP($AL930*3),$AK930*(1+$AJ930*$AL930*3)^(1/$AJ930)))</f>
        <v/>
      </c>
      <c r="AP930">
        <f>IF($AJ930="","",IF($AJ930=0,$AK930*EXP($AL930*-2),$AK930*(1+$AJ930*$AL930*-2)^(1/$AJ930)))</f>
        <v/>
      </c>
      <c r="AQ930">
        <f>IF($AJ930="","",IF($AJ930=0,$AK930*EXP($AL930*-3),$AK930*(1+$AJ930*$AL930*-3)^(1/$AJ930)))</f>
        <v/>
      </c>
      <c r="AR930">
        <f>IF(OR($X930="",$T930&gt;60),"",IFERROR(INDEX(IF($T930&lt;24,pcomp_l,palt_l),MATCH($X930,IF($T930&lt;24,pcomp_k,palt_k),1)),""))</f>
        <v/>
      </c>
      <c r="AS930">
        <f>IF(OR($X930="",$T930&gt;60),"",IFERROR(INDEX(IF($T930&lt;24,pcomp_m,palt_m),MATCH($X930,IF($T930&lt;24,pcomp_k,palt_k),1)),""))</f>
        <v/>
      </c>
      <c r="AT930">
        <f>IF(OR($X930="",$T930&gt;60),"",IFERROR(INDEX(IF($T930&lt;24,pcomp_s,palt_s),MATCH($X930,IF($T930&lt;24,pcomp_k,palt_k),1)),""))</f>
        <v/>
      </c>
      <c r="AU930">
        <f>IF($AR930="","",IF($AR930=0,LN($F930/$AS930)/$AT930,((($F930/$AS930)^$AR930)-1)/($AR930*$AT930)))</f>
        <v/>
      </c>
      <c r="AV930">
        <f>IF($AR930="","",IF($AR930=0,$AS930*EXP($AT930*2),$AS930*(1+$AR930*$AT930*2)^(1/$AR930)))</f>
        <v/>
      </c>
      <c r="AW930">
        <f>IF($AR930="","",IF($AR930=0,$AS930*EXP($AT930*3),$AS930*(1+$AR930*$AT930*3)^(1/$AR930)))</f>
        <v/>
      </c>
      <c r="AX930">
        <f>IF($AR930="","",IF($AR930=0,$AS930*EXP($AT930*-2),$AS930*(1+$AR930*$AT930*-2)^(1/$AR930)))</f>
        <v/>
      </c>
      <c r="AY930">
        <f>IF($AR930="","",IF($AR930=0,$AS930*EXP($AT930*-3),$AS930*(1+$AR930*$AT930*-3)^(1/$AR930)))</f>
        <v/>
      </c>
      <c r="AZ930">
        <f>IF(OR($A930="",$A930&lt;&gt;Ficha!$C$4),"",COUNTIF($A$2:$A930,Ficha!$C$4))</f>
        <v/>
      </c>
    </row>
    <row r="931">
      <c r="A931" s="8">
        <f>IF(INDEX(Banco!$A:$A,ROW())="","",INDEX(Banco!$A:$A,ROW()))</f>
        <v/>
      </c>
      <c r="B931" s="8">
        <f>IF(INDEX(Banco!$B:$B,ROW())="","",INDEX(Banco!$B:$B,ROW()))</f>
        <v/>
      </c>
      <c r="C931" s="8">
        <f>IF(INDEX(Banco!$C:$C,ROW())="","",INDEX(Banco!$C:$C,ROW()))</f>
        <v/>
      </c>
      <c r="D931" s="9">
        <f>IF(INDEX(Banco!$D:$D,ROW())="","",INDEX(Banco!$D:$D,ROW()))</f>
        <v/>
      </c>
      <c r="E931" s="9">
        <f>IF(INDEX(Banco!$E:$E,ROW())="","",INDEX(Banco!$E:$E,ROW()))</f>
        <v/>
      </c>
      <c r="F931" s="10">
        <f>IF(INDEX(Banco!$F:$F,ROW())="","",INDEX(Banco!$F:$F,ROW()))</f>
        <v/>
      </c>
      <c r="G931" s="10">
        <f>IF(INDEX(Banco!$G:$G,ROW())="","",INDEX(Banco!$G:$G,ROW()))</f>
        <v/>
      </c>
      <c r="H931" s="8">
        <f>IF(INDEX(Banco!$H:$H,ROW())="","",INDEX(Banco!$H:$H,ROW()))</f>
        <v/>
      </c>
      <c r="I931">
        <f>IF($T931="","",INT($T931/12)&amp;"a "&amp;MOD($T931,12)&amp;"m")</f>
        <v/>
      </c>
      <c r="J931" s="11">
        <f>IF(OR($F931="",$G931=""),"",ROUND($F931/($G931/100)^2,2))</f>
        <v/>
      </c>
      <c r="K931" s="12">
        <f>IF(OR($S931="",$J931="",$T931="",$T931&lt;0,$T931&gt;228,$Y931=""),"—",ROUND(IF(ABS($AB931)&lt;=3,$AB931,IF($AB931&gt;3,3+($J931-$AD931)/($AD931-$AC931),-3+($J931-$AF931)/($AE931-$AF931))),2))</f>
        <v/>
      </c>
      <c r="L931">
        <f>IF(OR($K931="",$K931="—"),"",IF($T931&lt;=60,IF($K931&lt;-3,"Magreza acentuada",IF($K931&lt;-2,"Magreza",IF($K931&lt;=1,"Eutrofia",IF($K931&lt;=2,"Risco de sobrepeso",IF($K931&lt;=3,"Sobrepeso","Obesidade"))))),IF($K931&lt;-3,"Magreza acentuada",IF($K931&lt;-2,"Magreza",IF($K931&lt;=1,"Eutrofia",IF($K931&lt;=2,"Sobrepeso",IF($K931&lt;=3,"Obesidade","Obesidade grave")))))))</f>
        <v/>
      </c>
      <c r="M931" s="12">
        <f>IF(OR($S931="",$V931="",$T931="",$T931&lt;0,$T931&gt;228,$AG931=""),"—",ROUND(IF($AG931=0,LN($V931/$AH931)/$AI931,((($V931/$AH931)^$AG931)-1)/($AG931*$AI931)),2))</f>
        <v/>
      </c>
      <c r="N931">
        <f>IF(OR($M931="",$M931="—"),"",IF($M931&lt;-3,"Muito baixa",IF($M931&lt;-2,"Baixa","Adequada")))</f>
        <v/>
      </c>
      <c r="O931" s="12">
        <f>IF(OR($S931="",$F931="",$T931="",$T931&lt;0,$T931&gt;120,$AJ931=""),"—",ROUND(IF(ABS($AM931)&lt;=3,$AM931,IF($AM931&gt;3,3+($F931-$AO931)/($AO931-$AN931),-3+($F931-$AQ931)/($AP931-$AQ931))),2))</f>
        <v/>
      </c>
      <c r="P931">
        <f>IF(OR($O931="",$O931="—"),"",IF($O931&lt;-3,"Muito baixo",IF($O931&lt;-2,"Baixo",IF($O931&lt;=2,"Adequado","Elevado"))))</f>
        <v/>
      </c>
      <c r="Q931" s="12">
        <f>IF(OR($S931="",$F931="",$T931="",$T931&lt;0,$T931&gt;60,$AR931=""),"—",ROUND(IF(ABS($AU931)&lt;=3,$AU931,IF($AU931&gt;3,3+($F931-$AW931)/($AW931-$AV931),-3+($F931-$AY931)/($AX931-$AY931))),2))</f>
        <v/>
      </c>
      <c r="R931">
        <f>IF(OR($Q931="",$Q931="—"),"",IF($Q931&lt;-3,"Magreza acentuada",IF($Q931&lt;-2,"Magreza",IF($Q931&lt;=1,"Eutrofia",IF($Q931&lt;=2,"Risco de sobrepeso",IF($Q931&lt;=3,"Sobrepeso","Obesidade"))))))</f>
        <v/>
      </c>
      <c r="S931">
        <f>IF($C931="","",IF(UPPER(LEFT($C931,1))="M",1,IF(UPPER(LEFT($C931,1))="F",2,"")))</f>
        <v/>
      </c>
      <c r="T931">
        <f>IF(OR($D931="",$E931=""),"",DATEDIF($D931,$E931,"m"))</f>
        <v/>
      </c>
      <c r="U931">
        <f>IF(OR($D931="",$E931=""),"",$E931-$D931)</f>
        <v/>
      </c>
      <c r="V931">
        <f>IF(OR($G931="",$T931=""),"",IF($T931&lt;24,IF(LEFT(LOWER($H931),4)="em p",$G931+0.7,$G931),IF(LEFT(LOWER($H931),4)="deit",$G931-0.7,$G931)))</f>
        <v/>
      </c>
      <c r="W931">
        <f>IF(OR($S931="",$T931=""),"",$S931*1000000+IF($T931&lt;=60,$U931,$T931))</f>
        <v/>
      </c>
      <c r="X931">
        <f>IF(OR($S931="",$V931="",$T931&gt;60,$T931=""),"",$S931*1000000+ROUND($V931*10,0))</f>
        <v/>
      </c>
      <c r="Y931">
        <f>IF($W931="","",IFERROR(INDEX(IF($T931&lt;=60,imc05_l,imc519_l),MATCH($W931,IF($T931&lt;=60,imc05_k,imc519_k),1)),""))</f>
        <v/>
      </c>
      <c r="Z931">
        <f>IF($W931="","",IFERROR(INDEX(IF($T931&lt;=60,imc05_m,imc519_m),MATCH($W931,IF($T931&lt;=60,imc05_k,imc519_k),1)),""))</f>
        <v/>
      </c>
      <c r="AA931">
        <f>IF($W931="","",IFERROR(INDEX(IF($T931&lt;=60,imc05_s,imc519_s),MATCH($W931,IF($T931&lt;=60,imc05_k,imc519_k),1)),""))</f>
        <v/>
      </c>
      <c r="AB931">
        <f>IF($Y931="","",IF($Y931=0,LN($J931/$Z931)/$AA931,((($J931/$Z931)^$Y931)-1)/($Y931*$AA931)))</f>
        <v/>
      </c>
      <c r="AC931">
        <f>IF($Y931="","",IF($Y931=0,$Z931*EXP($AA931*2),$Z931*(1+$Y931*$AA931*2)^(1/$Y931)))</f>
        <v/>
      </c>
      <c r="AD931">
        <f>IF($Y931="","",IF($Y931=0,$Z931*EXP($AA931*3),$Z931*(1+$Y931*$AA931*3)^(1/$Y931)))</f>
        <v/>
      </c>
      <c r="AE931">
        <f>IF($Y931="","",IF($Y931=0,$Z931*EXP($AA931*-2),$Z931*(1+$Y931*$AA931*-2)^(1/$Y931)))</f>
        <v/>
      </c>
      <c r="AF931">
        <f>IF($Y931="","",IF($Y931=0,$Z931*EXP($AA931*-3),$Z931*(1+$Y931*$AA931*-3)^(1/$Y931)))</f>
        <v/>
      </c>
      <c r="AG931">
        <f>IF($W931="","",IFERROR(INDEX(IF($T931&lt;=60,est05_l,est519_l),MATCH($W931,IF($T931&lt;=60,est05_k,est519_k),1)),""))</f>
        <v/>
      </c>
      <c r="AH931">
        <f>IF($W931="","",IFERROR(INDEX(IF($T931&lt;=60,est05_m,est519_m),MATCH($W931,IF($T931&lt;=60,est05_k,est519_k),1)),""))</f>
        <v/>
      </c>
      <c r="AI931">
        <f>IF($W931="","",IFERROR(INDEX(IF($T931&lt;=60,est05_s,est519_s),MATCH($W931,IF($T931&lt;=60,est05_k,est519_k),1)),""))</f>
        <v/>
      </c>
      <c r="AJ931">
        <f>IF($W931="","",IFERROR(INDEX(IF($T931&lt;=60,peso05_l,peso510_l),MATCH($W931,IF($T931&lt;=60,peso05_k,peso510_k),1)),""))</f>
        <v/>
      </c>
      <c r="AK931">
        <f>IF($W931="","",IFERROR(INDEX(IF($T931&lt;=60,peso05_m,peso510_m),MATCH($W931,IF($T931&lt;=60,peso05_k,peso510_k),1)),""))</f>
        <v/>
      </c>
      <c r="AL931">
        <f>IF($W931="","",IFERROR(INDEX(IF($T931&lt;=60,peso05_s,peso510_s),MATCH($W931,IF($T931&lt;=60,peso05_k,peso510_k),1)),""))</f>
        <v/>
      </c>
      <c r="AM931">
        <f>IF($AJ931="","",IF($AJ931=0,LN($F931/$AK931)/$AL931,((($F931/$AK931)^$AJ931)-1)/($AJ931*$AL931)))</f>
        <v/>
      </c>
      <c r="AN931">
        <f>IF($AJ931="","",IF($AJ931=0,$AK931*EXP($AL931*2),$AK931*(1+$AJ931*$AL931*2)^(1/$AJ931)))</f>
        <v/>
      </c>
      <c r="AO931">
        <f>IF($AJ931="","",IF($AJ931=0,$AK931*EXP($AL931*3),$AK931*(1+$AJ931*$AL931*3)^(1/$AJ931)))</f>
        <v/>
      </c>
      <c r="AP931">
        <f>IF($AJ931="","",IF($AJ931=0,$AK931*EXP($AL931*-2),$AK931*(1+$AJ931*$AL931*-2)^(1/$AJ931)))</f>
        <v/>
      </c>
      <c r="AQ931">
        <f>IF($AJ931="","",IF($AJ931=0,$AK931*EXP($AL931*-3),$AK931*(1+$AJ931*$AL931*-3)^(1/$AJ931)))</f>
        <v/>
      </c>
      <c r="AR931">
        <f>IF(OR($X931="",$T931&gt;60),"",IFERROR(INDEX(IF($T931&lt;24,pcomp_l,palt_l),MATCH($X931,IF($T931&lt;24,pcomp_k,palt_k),1)),""))</f>
        <v/>
      </c>
      <c r="AS931">
        <f>IF(OR($X931="",$T931&gt;60),"",IFERROR(INDEX(IF($T931&lt;24,pcomp_m,palt_m),MATCH($X931,IF($T931&lt;24,pcomp_k,palt_k),1)),""))</f>
        <v/>
      </c>
      <c r="AT931">
        <f>IF(OR($X931="",$T931&gt;60),"",IFERROR(INDEX(IF($T931&lt;24,pcomp_s,palt_s),MATCH($X931,IF($T931&lt;24,pcomp_k,palt_k),1)),""))</f>
        <v/>
      </c>
      <c r="AU931">
        <f>IF($AR931="","",IF($AR931=0,LN($F931/$AS931)/$AT931,((($F931/$AS931)^$AR931)-1)/($AR931*$AT931)))</f>
        <v/>
      </c>
      <c r="AV931">
        <f>IF($AR931="","",IF($AR931=0,$AS931*EXP($AT931*2),$AS931*(1+$AR931*$AT931*2)^(1/$AR931)))</f>
        <v/>
      </c>
      <c r="AW931">
        <f>IF($AR931="","",IF($AR931=0,$AS931*EXP($AT931*3),$AS931*(1+$AR931*$AT931*3)^(1/$AR931)))</f>
        <v/>
      </c>
      <c r="AX931">
        <f>IF($AR931="","",IF($AR931=0,$AS931*EXP($AT931*-2),$AS931*(1+$AR931*$AT931*-2)^(1/$AR931)))</f>
        <v/>
      </c>
      <c r="AY931">
        <f>IF($AR931="","",IF($AR931=0,$AS931*EXP($AT931*-3),$AS931*(1+$AR931*$AT931*-3)^(1/$AR931)))</f>
        <v/>
      </c>
      <c r="AZ931">
        <f>IF(OR($A931="",$A931&lt;&gt;Ficha!$C$4),"",COUNTIF($A$2:$A931,Ficha!$C$4))</f>
        <v/>
      </c>
    </row>
    <row r="932">
      <c r="A932" s="8">
        <f>IF(INDEX(Banco!$A:$A,ROW())="","",INDEX(Banco!$A:$A,ROW()))</f>
        <v/>
      </c>
      <c r="B932" s="8">
        <f>IF(INDEX(Banco!$B:$B,ROW())="","",INDEX(Banco!$B:$B,ROW()))</f>
        <v/>
      </c>
      <c r="C932" s="8">
        <f>IF(INDEX(Banco!$C:$C,ROW())="","",INDEX(Banco!$C:$C,ROW()))</f>
        <v/>
      </c>
      <c r="D932" s="9">
        <f>IF(INDEX(Banco!$D:$D,ROW())="","",INDEX(Banco!$D:$D,ROW()))</f>
        <v/>
      </c>
      <c r="E932" s="9">
        <f>IF(INDEX(Banco!$E:$E,ROW())="","",INDEX(Banco!$E:$E,ROW()))</f>
        <v/>
      </c>
      <c r="F932" s="10">
        <f>IF(INDEX(Banco!$F:$F,ROW())="","",INDEX(Banco!$F:$F,ROW()))</f>
        <v/>
      </c>
      <c r="G932" s="10">
        <f>IF(INDEX(Banco!$G:$G,ROW())="","",INDEX(Banco!$G:$G,ROW()))</f>
        <v/>
      </c>
      <c r="H932" s="8">
        <f>IF(INDEX(Banco!$H:$H,ROW())="","",INDEX(Banco!$H:$H,ROW()))</f>
        <v/>
      </c>
      <c r="I932">
        <f>IF($T932="","",INT($T932/12)&amp;"a "&amp;MOD($T932,12)&amp;"m")</f>
        <v/>
      </c>
      <c r="J932" s="11">
        <f>IF(OR($F932="",$G932=""),"",ROUND($F932/($G932/100)^2,2))</f>
        <v/>
      </c>
      <c r="K932" s="12">
        <f>IF(OR($S932="",$J932="",$T932="",$T932&lt;0,$T932&gt;228,$Y932=""),"—",ROUND(IF(ABS($AB932)&lt;=3,$AB932,IF($AB932&gt;3,3+($J932-$AD932)/($AD932-$AC932),-3+($J932-$AF932)/($AE932-$AF932))),2))</f>
        <v/>
      </c>
      <c r="L932">
        <f>IF(OR($K932="",$K932="—"),"",IF($T932&lt;=60,IF($K932&lt;-3,"Magreza acentuada",IF($K932&lt;-2,"Magreza",IF($K932&lt;=1,"Eutrofia",IF($K932&lt;=2,"Risco de sobrepeso",IF($K932&lt;=3,"Sobrepeso","Obesidade"))))),IF($K932&lt;-3,"Magreza acentuada",IF($K932&lt;-2,"Magreza",IF($K932&lt;=1,"Eutrofia",IF($K932&lt;=2,"Sobrepeso",IF($K932&lt;=3,"Obesidade","Obesidade grave")))))))</f>
        <v/>
      </c>
      <c r="M932" s="12">
        <f>IF(OR($S932="",$V932="",$T932="",$T932&lt;0,$T932&gt;228,$AG932=""),"—",ROUND(IF($AG932=0,LN($V932/$AH932)/$AI932,((($V932/$AH932)^$AG932)-1)/($AG932*$AI932)),2))</f>
        <v/>
      </c>
      <c r="N932">
        <f>IF(OR($M932="",$M932="—"),"",IF($M932&lt;-3,"Muito baixa",IF($M932&lt;-2,"Baixa","Adequada")))</f>
        <v/>
      </c>
      <c r="O932" s="12">
        <f>IF(OR($S932="",$F932="",$T932="",$T932&lt;0,$T932&gt;120,$AJ932=""),"—",ROUND(IF(ABS($AM932)&lt;=3,$AM932,IF($AM932&gt;3,3+($F932-$AO932)/($AO932-$AN932),-3+($F932-$AQ932)/($AP932-$AQ932))),2))</f>
        <v/>
      </c>
      <c r="P932">
        <f>IF(OR($O932="",$O932="—"),"",IF($O932&lt;-3,"Muito baixo",IF($O932&lt;-2,"Baixo",IF($O932&lt;=2,"Adequado","Elevado"))))</f>
        <v/>
      </c>
      <c r="Q932" s="12">
        <f>IF(OR($S932="",$F932="",$T932="",$T932&lt;0,$T932&gt;60,$AR932=""),"—",ROUND(IF(ABS($AU932)&lt;=3,$AU932,IF($AU932&gt;3,3+($F932-$AW932)/($AW932-$AV932),-3+($F932-$AY932)/($AX932-$AY932))),2))</f>
        <v/>
      </c>
      <c r="R932">
        <f>IF(OR($Q932="",$Q932="—"),"",IF($Q932&lt;-3,"Magreza acentuada",IF($Q932&lt;-2,"Magreza",IF($Q932&lt;=1,"Eutrofia",IF($Q932&lt;=2,"Risco de sobrepeso",IF($Q932&lt;=3,"Sobrepeso","Obesidade"))))))</f>
        <v/>
      </c>
      <c r="S932">
        <f>IF($C932="","",IF(UPPER(LEFT($C932,1))="M",1,IF(UPPER(LEFT($C932,1))="F",2,"")))</f>
        <v/>
      </c>
      <c r="T932">
        <f>IF(OR($D932="",$E932=""),"",DATEDIF($D932,$E932,"m"))</f>
        <v/>
      </c>
      <c r="U932">
        <f>IF(OR($D932="",$E932=""),"",$E932-$D932)</f>
        <v/>
      </c>
      <c r="V932">
        <f>IF(OR($G932="",$T932=""),"",IF($T932&lt;24,IF(LEFT(LOWER($H932),4)="em p",$G932+0.7,$G932),IF(LEFT(LOWER($H932),4)="deit",$G932-0.7,$G932)))</f>
        <v/>
      </c>
      <c r="W932">
        <f>IF(OR($S932="",$T932=""),"",$S932*1000000+IF($T932&lt;=60,$U932,$T932))</f>
        <v/>
      </c>
      <c r="X932">
        <f>IF(OR($S932="",$V932="",$T932&gt;60,$T932=""),"",$S932*1000000+ROUND($V932*10,0))</f>
        <v/>
      </c>
      <c r="Y932">
        <f>IF($W932="","",IFERROR(INDEX(IF($T932&lt;=60,imc05_l,imc519_l),MATCH($W932,IF($T932&lt;=60,imc05_k,imc519_k),1)),""))</f>
        <v/>
      </c>
      <c r="Z932">
        <f>IF($W932="","",IFERROR(INDEX(IF($T932&lt;=60,imc05_m,imc519_m),MATCH($W932,IF($T932&lt;=60,imc05_k,imc519_k),1)),""))</f>
        <v/>
      </c>
      <c r="AA932">
        <f>IF($W932="","",IFERROR(INDEX(IF($T932&lt;=60,imc05_s,imc519_s),MATCH($W932,IF($T932&lt;=60,imc05_k,imc519_k),1)),""))</f>
        <v/>
      </c>
      <c r="AB932">
        <f>IF($Y932="","",IF($Y932=0,LN($J932/$Z932)/$AA932,((($J932/$Z932)^$Y932)-1)/($Y932*$AA932)))</f>
        <v/>
      </c>
      <c r="AC932">
        <f>IF($Y932="","",IF($Y932=0,$Z932*EXP($AA932*2),$Z932*(1+$Y932*$AA932*2)^(1/$Y932)))</f>
        <v/>
      </c>
      <c r="AD932">
        <f>IF($Y932="","",IF($Y932=0,$Z932*EXP($AA932*3),$Z932*(1+$Y932*$AA932*3)^(1/$Y932)))</f>
        <v/>
      </c>
      <c r="AE932">
        <f>IF($Y932="","",IF($Y932=0,$Z932*EXP($AA932*-2),$Z932*(1+$Y932*$AA932*-2)^(1/$Y932)))</f>
        <v/>
      </c>
      <c r="AF932">
        <f>IF($Y932="","",IF($Y932=0,$Z932*EXP($AA932*-3),$Z932*(1+$Y932*$AA932*-3)^(1/$Y932)))</f>
        <v/>
      </c>
      <c r="AG932">
        <f>IF($W932="","",IFERROR(INDEX(IF($T932&lt;=60,est05_l,est519_l),MATCH($W932,IF($T932&lt;=60,est05_k,est519_k),1)),""))</f>
        <v/>
      </c>
      <c r="AH932">
        <f>IF($W932="","",IFERROR(INDEX(IF($T932&lt;=60,est05_m,est519_m),MATCH($W932,IF($T932&lt;=60,est05_k,est519_k),1)),""))</f>
        <v/>
      </c>
      <c r="AI932">
        <f>IF($W932="","",IFERROR(INDEX(IF($T932&lt;=60,est05_s,est519_s),MATCH($W932,IF($T932&lt;=60,est05_k,est519_k),1)),""))</f>
        <v/>
      </c>
      <c r="AJ932">
        <f>IF($W932="","",IFERROR(INDEX(IF($T932&lt;=60,peso05_l,peso510_l),MATCH($W932,IF($T932&lt;=60,peso05_k,peso510_k),1)),""))</f>
        <v/>
      </c>
      <c r="AK932">
        <f>IF($W932="","",IFERROR(INDEX(IF($T932&lt;=60,peso05_m,peso510_m),MATCH($W932,IF($T932&lt;=60,peso05_k,peso510_k),1)),""))</f>
        <v/>
      </c>
      <c r="AL932">
        <f>IF($W932="","",IFERROR(INDEX(IF($T932&lt;=60,peso05_s,peso510_s),MATCH($W932,IF($T932&lt;=60,peso05_k,peso510_k),1)),""))</f>
        <v/>
      </c>
      <c r="AM932">
        <f>IF($AJ932="","",IF($AJ932=0,LN($F932/$AK932)/$AL932,((($F932/$AK932)^$AJ932)-1)/($AJ932*$AL932)))</f>
        <v/>
      </c>
      <c r="AN932">
        <f>IF($AJ932="","",IF($AJ932=0,$AK932*EXP($AL932*2),$AK932*(1+$AJ932*$AL932*2)^(1/$AJ932)))</f>
        <v/>
      </c>
      <c r="AO932">
        <f>IF($AJ932="","",IF($AJ932=0,$AK932*EXP($AL932*3),$AK932*(1+$AJ932*$AL932*3)^(1/$AJ932)))</f>
        <v/>
      </c>
      <c r="AP932">
        <f>IF($AJ932="","",IF($AJ932=0,$AK932*EXP($AL932*-2),$AK932*(1+$AJ932*$AL932*-2)^(1/$AJ932)))</f>
        <v/>
      </c>
      <c r="AQ932">
        <f>IF($AJ932="","",IF($AJ932=0,$AK932*EXP($AL932*-3),$AK932*(1+$AJ932*$AL932*-3)^(1/$AJ932)))</f>
        <v/>
      </c>
      <c r="AR932">
        <f>IF(OR($X932="",$T932&gt;60),"",IFERROR(INDEX(IF($T932&lt;24,pcomp_l,palt_l),MATCH($X932,IF($T932&lt;24,pcomp_k,palt_k),1)),""))</f>
        <v/>
      </c>
      <c r="AS932">
        <f>IF(OR($X932="",$T932&gt;60),"",IFERROR(INDEX(IF($T932&lt;24,pcomp_m,palt_m),MATCH($X932,IF($T932&lt;24,pcomp_k,palt_k),1)),""))</f>
        <v/>
      </c>
      <c r="AT932">
        <f>IF(OR($X932="",$T932&gt;60),"",IFERROR(INDEX(IF($T932&lt;24,pcomp_s,palt_s),MATCH($X932,IF($T932&lt;24,pcomp_k,palt_k),1)),""))</f>
        <v/>
      </c>
      <c r="AU932">
        <f>IF($AR932="","",IF($AR932=0,LN($F932/$AS932)/$AT932,((($F932/$AS932)^$AR932)-1)/($AR932*$AT932)))</f>
        <v/>
      </c>
      <c r="AV932">
        <f>IF($AR932="","",IF($AR932=0,$AS932*EXP($AT932*2),$AS932*(1+$AR932*$AT932*2)^(1/$AR932)))</f>
        <v/>
      </c>
      <c r="AW932">
        <f>IF($AR932="","",IF($AR932=0,$AS932*EXP($AT932*3),$AS932*(1+$AR932*$AT932*3)^(1/$AR932)))</f>
        <v/>
      </c>
      <c r="AX932">
        <f>IF($AR932="","",IF($AR932=0,$AS932*EXP($AT932*-2),$AS932*(1+$AR932*$AT932*-2)^(1/$AR932)))</f>
        <v/>
      </c>
      <c r="AY932">
        <f>IF($AR932="","",IF($AR932=0,$AS932*EXP($AT932*-3),$AS932*(1+$AR932*$AT932*-3)^(1/$AR932)))</f>
        <v/>
      </c>
      <c r="AZ932">
        <f>IF(OR($A932="",$A932&lt;&gt;Ficha!$C$4),"",COUNTIF($A$2:$A932,Ficha!$C$4))</f>
        <v/>
      </c>
    </row>
    <row r="933">
      <c r="A933" s="8">
        <f>IF(INDEX(Banco!$A:$A,ROW())="","",INDEX(Banco!$A:$A,ROW()))</f>
        <v/>
      </c>
      <c r="B933" s="8">
        <f>IF(INDEX(Banco!$B:$B,ROW())="","",INDEX(Banco!$B:$B,ROW()))</f>
        <v/>
      </c>
      <c r="C933" s="8">
        <f>IF(INDEX(Banco!$C:$C,ROW())="","",INDEX(Banco!$C:$C,ROW()))</f>
        <v/>
      </c>
      <c r="D933" s="9">
        <f>IF(INDEX(Banco!$D:$D,ROW())="","",INDEX(Banco!$D:$D,ROW()))</f>
        <v/>
      </c>
      <c r="E933" s="9">
        <f>IF(INDEX(Banco!$E:$E,ROW())="","",INDEX(Banco!$E:$E,ROW()))</f>
        <v/>
      </c>
      <c r="F933" s="10">
        <f>IF(INDEX(Banco!$F:$F,ROW())="","",INDEX(Banco!$F:$F,ROW()))</f>
        <v/>
      </c>
      <c r="G933" s="10">
        <f>IF(INDEX(Banco!$G:$G,ROW())="","",INDEX(Banco!$G:$G,ROW()))</f>
        <v/>
      </c>
      <c r="H933" s="8">
        <f>IF(INDEX(Banco!$H:$H,ROW())="","",INDEX(Banco!$H:$H,ROW()))</f>
        <v/>
      </c>
      <c r="I933">
        <f>IF($T933="","",INT($T933/12)&amp;"a "&amp;MOD($T933,12)&amp;"m")</f>
        <v/>
      </c>
      <c r="J933" s="11">
        <f>IF(OR($F933="",$G933=""),"",ROUND($F933/($G933/100)^2,2))</f>
        <v/>
      </c>
      <c r="K933" s="12">
        <f>IF(OR($S933="",$J933="",$T933="",$T933&lt;0,$T933&gt;228,$Y933=""),"—",ROUND(IF(ABS($AB933)&lt;=3,$AB933,IF($AB933&gt;3,3+($J933-$AD933)/($AD933-$AC933),-3+($J933-$AF933)/($AE933-$AF933))),2))</f>
        <v/>
      </c>
      <c r="L933">
        <f>IF(OR($K933="",$K933="—"),"",IF($T933&lt;=60,IF($K933&lt;-3,"Magreza acentuada",IF($K933&lt;-2,"Magreza",IF($K933&lt;=1,"Eutrofia",IF($K933&lt;=2,"Risco de sobrepeso",IF($K933&lt;=3,"Sobrepeso","Obesidade"))))),IF($K933&lt;-3,"Magreza acentuada",IF($K933&lt;-2,"Magreza",IF($K933&lt;=1,"Eutrofia",IF($K933&lt;=2,"Sobrepeso",IF($K933&lt;=3,"Obesidade","Obesidade grave")))))))</f>
        <v/>
      </c>
      <c r="M933" s="12">
        <f>IF(OR($S933="",$V933="",$T933="",$T933&lt;0,$T933&gt;228,$AG933=""),"—",ROUND(IF($AG933=0,LN($V933/$AH933)/$AI933,((($V933/$AH933)^$AG933)-1)/($AG933*$AI933)),2))</f>
        <v/>
      </c>
      <c r="N933">
        <f>IF(OR($M933="",$M933="—"),"",IF($M933&lt;-3,"Muito baixa",IF($M933&lt;-2,"Baixa","Adequada")))</f>
        <v/>
      </c>
      <c r="O933" s="12">
        <f>IF(OR($S933="",$F933="",$T933="",$T933&lt;0,$T933&gt;120,$AJ933=""),"—",ROUND(IF(ABS($AM933)&lt;=3,$AM933,IF($AM933&gt;3,3+($F933-$AO933)/($AO933-$AN933),-3+($F933-$AQ933)/($AP933-$AQ933))),2))</f>
        <v/>
      </c>
      <c r="P933">
        <f>IF(OR($O933="",$O933="—"),"",IF($O933&lt;-3,"Muito baixo",IF($O933&lt;-2,"Baixo",IF($O933&lt;=2,"Adequado","Elevado"))))</f>
        <v/>
      </c>
      <c r="Q933" s="12">
        <f>IF(OR($S933="",$F933="",$T933="",$T933&lt;0,$T933&gt;60,$AR933=""),"—",ROUND(IF(ABS($AU933)&lt;=3,$AU933,IF($AU933&gt;3,3+($F933-$AW933)/($AW933-$AV933),-3+($F933-$AY933)/($AX933-$AY933))),2))</f>
        <v/>
      </c>
      <c r="R933">
        <f>IF(OR($Q933="",$Q933="—"),"",IF($Q933&lt;-3,"Magreza acentuada",IF($Q933&lt;-2,"Magreza",IF($Q933&lt;=1,"Eutrofia",IF($Q933&lt;=2,"Risco de sobrepeso",IF($Q933&lt;=3,"Sobrepeso","Obesidade"))))))</f>
        <v/>
      </c>
      <c r="S933">
        <f>IF($C933="","",IF(UPPER(LEFT($C933,1))="M",1,IF(UPPER(LEFT($C933,1))="F",2,"")))</f>
        <v/>
      </c>
      <c r="T933">
        <f>IF(OR($D933="",$E933=""),"",DATEDIF($D933,$E933,"m"))</f>
        <v/>
      </c>
      <c r="U933">
        <f>IF(OR($D933="",$E933=""),"",$E933-$D933)</f>
        <v/>
      </c>
      <c r="V933">
        <f>IF(OR($G933="",$T933=""),"",IF($T933&lt;24,IF(LEFT(LOWER($H933),4)="em p",$G933+0.7,$G933),IF(LEFT(LOWER($H933),4)="deit",$G933-0.7,$G933)))</f>
        <v/>
      </c>
      <c r="W933">
        <f>IF(OR($S933="",$T933=""),"",$S933*1000000+IF($T933&lt;=60,$U933,$T933))</f>
        <v/>
      </c>
      <c r="X933">
        <f>IF(OR($S933="",$V933="",$T933&gt;60,$T933=""),"",$S933*1000000+ROUND($V933*10,0))</f>
        <v/>
      </c>
      <c r="Y933">
        <f>IF($W933="","",IFERROR(INDEX(IF($T933&lt;=60,imc05_l,imc519_l),MATCH($W933,IF($T933&lt;=60,imc05_k,imc519_k),1)),""))</f>
        <v/>
      </c>
      <c r="Z933">
        <f>IF($W933="","",IFERROR(INDEX(IF($T933&lt;=60,imc05_m,imc519_m),MATCH($W933,IF($T933&lt;=60,imc05_k,imc519_k),1)),""))</f>
        <v/>
      </c>
      <c r="AA933">
        <f>IF($W933="","",IFERROR(INDEX(IF($T933&lt;=60,imc05_s,imc519_s),MATCH($W933,IF($T933&lt;=60,imc05_k,imc519_k),1)),""))</f>
        <v/>
      </c>
      <c r="AB933">
        <f>IF($Y933="","",IF($Y933=0,LN($J933/$Z933)/$AA933,((($J933/$Z933)^$Y933)-1)/($Y933*$AA933)))</f>
        <v/>
      </c>
      <c r="AC933">
        <f>IF($Y933="","",IF($Y933=0,$Z933*EXP($AA933*2),$Z933*(1+$Y933*$AA933*2)^(1/$Y933)))</f>
        <v/>
      </c>
      <c r="AD933">
        <f>IF($Y933="","",IF($Y933=0,$Z933*EXP($AA933*3),$Z933*(1+$Y933*$AA933*3)^(1/$Y933)))</f>
        <v/>
      </c>
      <c r="AE933">
        <f>IF($Y933="","",IF($Y933=0,$Z933*EXP($AA933*-2),$Z933*(1+$Y933*$AA933*-2)^(1/$Y933)))</f>
        <v/>
      </c>
      <c r="AF933">
        <f>IF($Y933="","",IF($Y933=0,$Z933*EXP($AA933*-3),$Z933*(1+$Y933*$AA933*-3)^(1/$Y933)))</f>
        <v/>
      </c>
      <c r="AG933">
        <f>IF($W933="","",IFERROR(INDEX(IF($T933&lt;=60,est05_l,est519_l),MATCH($W933,IF($T933&lt;=60,est05_k,est519_k),1)),""))</f>
        <v/>
      </c>
      <c r="AH933">
        <f>IF($W933="","",IFERROR(INDEX(IF($T933&lt;=60,est05_m,est519_m),MATCH($W933,IF($T933&lt;=60,est05_k,est519_k),1)),""))</f>
        <v/>
      </c>
      <c r="AI933">
        <f>IF($W933="","",IFERROR(INDEX(IF($T933&lt;=60,est05_s,est519_s),MATCH($W933,IF($T933&lt;=60,est05_k,est519_k),1)),""))</f>
        <v/>
      </c>
      <c r="AJ933">
        <f>IF($W933="","",IFERROR(INDEX(IF($T933&lt;=60,peso05_l,peso510_l),MATCH($W933,IF($T933&lt;=60,peso05_k,peso510_k),1)),""))</f>
        <v/>
      </c>
      <c r="AK933">
        <f>IF($W933="","",IFERROR(INDEX(IF($T933&lt;=60,peso05_m,peso510_m),MATCH($W933,IF($T933&lt;=60,peso05_k,peso510_k),1)),""))</f>
        <v/>
      </c>
      <c r="AL933">
        <f>IF($W933="","",IFERROR(INDEX(IF($T933&lt;=60,peso05_s,peso510_s),MATCH($W933,IF($T933&lt;=60,peso05_k,peso510_k),1)),""))</f>
        <v/>
      </c>
      <c r="AM933">
        <f>IF($AJ933="","",IF($AJ933=0,LN($F933/$AK933)/$AL933,((($F933/$AK933)^$AJ933)-1)/($AJ933*$AL933)))</f>
        <v/>
      </c>
      <c r="AN933">
        <f>IF($AJ933="","",IF($AJ933=0,$AK933*EXP($AL933*2),$AK933*(1+$AJ933*$AL933*2)^(1/$AJ933)))</f>
        <v/>
      </c>
      <c r="AO933">
        <f>IF($AJ933="","",IF($AJ933=0,$AK933*EXP($AL933*3),$AK933*(1+$AJ933*$AL933*3)^(1/$AJ933)))</f>
        <v/>
      </c>
      <c r="AP933">
        <f>IF($AJ933="","",IF($AJ933=0,$AK933*EXP($AL933*-2),$AK933*(1+$AJ933*$AL933*-2)^(1/$AJ933)))</f>
        <v/>
      </c>
      <c r="AQ933">
        <f>IF($AJ933="","",IF($AJ933=0,$AK933*EXP($AL933*-3),$AK933*(1+$AJ933*$AL933*-3)^(1/$AJ933)))</f>
        <v/>
      </c>
      <c r="AR933">
        <f>IF(OR($X933="",$T933&gt;60),"",IFERROR(INDEX(IF($T933&lt;24,pcomp_l,palt_l),MATCH($X933,IF($T933&lt;24,pcomp_k,palt_k),1)),""))</f>
        <v/>
      </c>
      <c r="AS933">
        <f>IF(OR($X933="",$T933&gt;60),"",IFERROR(INDEX(IF($T933&lt;24,pcomp_m,palt_m),MATCH($X933,IF($T933&lt;24,pcomp_k,palt_k),1)),""))</f>
        <v/>
      </c>
      <c r="AT933">
        <f>IF(OR($X933="",$T933&gt;60),"",IFERROR(INDEX(IF($T933&lt;24,pcomp_s,palt_s),MATCH($X933,IF($T933&lt;24,pcomp_k,palt_k),1)),""))</f>
        <v/>
      </c>
      <c r="AU933">
        <f>IF($AR933="","",IF($AR933=0,LN($F933/$AS933)/$AT933,((($F933/$AS933)^$AR933)-1)/($AR933*$AT933)))</f>
        <v/>
      </c>
      <c r="AV933">
        <f>IF($AR933="","",IF($AR933=0,$AS933*EXP($AT933*2),$AS933*(1+$AR933*$AT933*2)^(1/$AR933)))</f>
        <v/>
      </c>
      <c r="AW933">
        <f>IF($AR933="","",IF($AR933=0,$AS933*EXP($AT933*3),$AS933*(1+$AR933*$AT933*3)^(1/$AR933)))</f>
        <v/>
      </c>
      <c r="AX933">
        <f>IF($AR933="","",IF($AR933=0,$AS933*EXP($AT933*-2),$AS933*(1+$AR933*$AT933*-2)^(1/$AR933)))</f>
        <v/>
      </c>
      <c r="AY933">
        <f>IF($AR933="","",IF($AR933=0,$AS933*EXP($AT933*-3),$AS933*(1+$AR933*$AT933*-3)^(1/$AR933)))</f>
        <v/>
      </c>
      <c r="AZ933">
        <f>IF(OR($A933="",$A933&lt;&gt;Ficha!$C$4),"",COUNTIF($A$2:$A933,Ficha!$C$4))</f>
        <v/>
      </c>
    </row>
    <row r="934">
      <c r="A934" s="8">
        <f>IF(INDEX(Banco!$A:$A,ROW())="","",INDEX(Banco!$A:$A,ROW()))</f>
        <v/>
      </c>
      <c r="B934" s="8">
        <f>IF(INDEX(Banco!$B:$B,ROW())="","",INDEX(Banco!$B:$B,ROW()))</f>
        <v/>
      </c>
      <c r="C934" s="8">
        <f>IF(INDEX(Banco!$C:$C,ROW())="","",INDEX(Banco!$C:$C,ROW()))</f>
        <v/>
      </c>
      <c r="D934" s="9">
        <f>IF(INDEX(Banco!$D:$D,ROW())="","",INDEX(Banco!$D:$D,ROW()))</f>
        <v/>
      </c>
      <c r="E934" s="9">
        <f>IF(INDEX(Banco!$E:$E,ROW())="","",INDEX(Banco!$E:$E,ROW()))</f>
        <v/>
      </c>
      <c r="F934" s="10">
        <f>IF(INDEX(Banco!$F:$F,ROW())="","",INDEX(Banco!$F:$F,ROW()))</f>
        <v/>
      </c>
      <c r="G934" s="10">
        <f>IF(INDEX(Banco!$G:$G,ROW())="","",INDEX(Banco!$G:$G,ROW()))</f>
        <v/>
      </c>
      <c r="H934" s="8">
        <f>IF(INDEX(Banco!$H:$H,ROW())="","",INDEX(Banco!$H:$H,ROW()))</f>
        <v/>
      </c>
      <c r="I934">
        <f>IF($T934="","",INT($T934/12)&amp;"a "&amp;MOD($T934,12)&amp;"m")</f>
        <v/>
      </c>
      <c r="J934" s="11">
        <f>IF(OR($F934="",$G934=""),"",ROUND($F934/($G934/100)^2,2))</f>
        <v/>
      </c>
      <c r="K934" s="12">
        <f>IF(OR($S934="",$J934="",$T934="",$T934&lt;0,$T934&gt;228,$Y934=""),"—",ROUND(IF(ABS($AB934)&lt;=3,$AB934,IF($AB934&gt;3,3+($J934-$AD934)/($AD934-$AC934),-3+($J934-$AF934)/($AE934-$AF934))),2))</f>
        <v/>
      </c>
      <c r="L934">
        <f>IF(OR($K934="",$K934="—"),"",IF($T934&lt;=60,IF($K934&lt;-3,"Magreza acentuada",IF($K934&lt;-2,"Magreza",IF($K934&lt;=1,"Eutrofia",IF($K934&lt;=2,"Risco de sobrepeso",IF($K934&lt;=3,"Sobrepeso","Obesidade"))))),IF($K934&lt;-3,"Magreza acentuada",IF($K934&lt;-2,"Magreza",IF($K934&lt;=1,"Eutrofia",IF($K934&lt;=2,"Sobrepeso",IF($K934&lt;=3,"Obesidade","Obesidade grave")))))))</f>
        <v/>
      </c>
      <c r="M934" s="12">
        <f>IF(OR($S934="",$V934="",$T934="",$T934&lt;0,$T934&gt;228,$AG934=""),"—",ROUND(IF($AG934=0,LN($V934/$AH934)/$AI934,((($V934/$AH934)^$AG934)-1)/($AG934*$AI934)),2))</f>
        <v/>
      </c>
      <c r="N934">
        <f>IF(OR($M934="",$M934="—"),"",IF($M934&lt;-3,"Muito baixa",IF($M934&lt;-2,"Baixa","Adequada")))</f>
        <v/>
      </c>
      <c r="O934" s="12">
        <f>IF(OR($S934="",$F934="",$T934="",$T934&lt;0,$T934&gt;120,$AJ934=""),"—",ROUND(IF(ABS($AM934)&lt;=3,$AM934,IF($AM934&gt;3,3+($F934-$AO934)/($AO934-$AN934),-3+($F934-$AQ934)/($AP934-$AQ934))),2))</f>
        <v/>
      </c>
      <c r="P934">
        <f>IF(OR($O934="",$O934="—"),"",IF($O934&lt;-3,"Muito baixo",IF($O934&lt;-2,"Baixo",IF($O934&lt;=2,"Adequado","Elevado"))))</f>
        <v/>
      </c>
      <c r="Q934" s="12">
        <f>IF(OR($S934="",$F934="",$T934="",$T934&lt;0,$T934&gt;60,$AR934=""),"—",ROUND(IF(ABS($AU934)&lt;=3,$AU934,IF($AU934&gt;3,3+($F934-$AW934)/($AW934-$AV934),-3+($F934-$AY934)/($AX934-$AY934))),2))</f>
        <v/>
      </c>
      <c r="R934">
        <f>IF(OR($Q934="",$Q934="—"),"",IF($Q934&lt;-3,"Magreza acentuada",IF($Q934&lt;-2,"Magreza",IF($Q934&lt;=1,"Eutrofia",IF($Q934&lt;=2,"Risco de sobrepeso",IF($Q934&lt;=3,"Sobrepeso","Obesidade"))))))</f>
        <v/>
      </c>
      <c r="S934">
        <f>IF($C934="","",IF(UPPER(LEFT($C934,1))="M",1,IF(UPPER(LEFT($C934,1))="F",2,"")))</f>
        <v/>
      </c>
      <c r="T934">
        <f>IF(OR($D934="",$E934=""),"",DATEDIF($D934,$E934,"m"))</f>
        <v/>
      </c>
      <c r="U934">
        <f>IF(OR($D934="",$E934=""),"",$E934-$D934)</f>
        <v/>
      </c>
      <c r="V934">
        <f>IF(OR($G934="",$T934=""),"",IF($T934&lt;24,IF(LEFT(LOWER($H934),4)="em p",$G934+0.7,$G934),IF(LEFT(LOWER($H934),4)="deit",$G934-0.7,$G934)))</f>
        <v/>
      </c>
      <c r="W934">
        <f>IF(OR($S934="",$T934=""),"",$S934*1000000+IF($T934&lt;=60,$U934,$T934))</f>
        <v/>
      </c>
      <c r="X934">
        <f>IF(OR($S934="",$V934="",$T934&gt;60,$T934=""),"",$S934*1000000+ROUND($V934*10,0))</f>
        <v/>
      </c>
      <c r="Y934">
        <f>IF($W934="","",IFERROR(INDEX(IF($T934&lt;=60,imc05_l,imc519_l),MATCH($W934,IF($T934&lt;=60,imc05_k,imc519_k),1)),""))</f>
        <v/>
      </c>
      <c r="Z934">
        <f>IF($W934="","",IFERROR(INDEX(IF($T934&lt;=60,imc05_m,imc519_m),MATCH($W934,IF($T934&lt;=60,imc05_k,imc519_k),1)),""))</f>
        <v/>
      </c>
      <c r="AA934">
        <f>IF($W934="","",IFERROR(INDEX(IF($T934&lt;=60,imc05_s,imc519_s),MATCH($W934,IF($T934&lt;=60,imc05_k,imc519_k),1)),""))</f>
        <v/>
      </c>
      <c r="AB934">
        <f>IF($Y934="","",IF($Y934=0,LN($J934/$Z934)/$AA934,((($J934/$Z934)^$Y934)-1)/($Y934*$AA934)))</f>
        <v/>
      </c>
      <c r="AC934">
        <f>IF($Y934="","",IF($Y934=0,$Z934*EXP($AA934*2),$Z934*(1+$Y934*$AA934*2)^(1/$Y934)))</f>
        <v/>
      </c>
      <c r="AD934">
        <f>IF($Y934="","",IF($Y934=0,$Z934*EXP($AA934*3),$Z934*(1+$Y934*$AA934*3)^(1/$Y934)))</f>
        <v/>
      </c>
      <c r="AE934">
        <f>IF($Y934="","",IF($Y934=0,$Z934*EXP($AA934*-2),$Z934*(1+$Y934*$AA934*-2)^(1/$Y934)))</f>
        <v/>
      </c>
      <c r="AF934">
        <f>IF($Y934="","",IF($Y934=0,$Z934*EXP($AA934*-3),$Z934*(1+$Y934*$AA934*-3)^(1/$Y934)))</f>
        <v/>
      </c>
      <c r="AG934">
        <f>IF($W934="","",IFERROR(INDEX(IF($T934&lt;=60,est05_l,est519_l),MATCH($W934,IF($T934&lt;=60,est05_k,est519_k),1)),""))</f>
        <v/>
      </c>
      <c r="AH934">
        <f>IF($W934="","",IFERROR(INDEX(IF($T934&lt;=60,est05_m,est519_m),MATCH($W934,IF($T934&lt;=60,est05_k,est519_k),1)),""))</f>
        <v/>
      </c>
      <c r="AI934">
        <f>IF($W934="","",IFERROR(INDEX(IF($T934&lt;=60,est05_s,est519_s),MATCH($W934,IF($T934&lt;=60,est05_k,est519_k),1)),""))</f>
        <v/>
      </c>
      <c r="AJ934">
        <f>IF($W934="","",IFERROR(INDEX(IF($T934&lt;=60,peso05_l,peso510_l),MATCH($W934,IF($T934&lt;=60,peso05_k,peso510_k),1)),""))</f>
        <v/>
      </c>
      <c r="AK934">
        <f>IF($W934="","",IFERROR(INDEX(IF($T934&lt;=60,peso05_m,peso510_m),MATCH($W934,IF($T934&lt;=60,peso05_k,peso510_k),1)),""))</f>
        <v/>
      </c>
      <c r="AL934">
        <f>IF($W934="","",IFERROR(INDEX(IF($T934&lt;=60,peso05_s,peso510_s),MATCH($W934,IF($T934&lt;=60,peso05_k,peso510_k),1)),""))</f>
        <v/>
      </c>
      <c r="AM934">
        <f>IF($AJ934="","",IF($AJ934=0,LN($F934/$AK934)/$AL934,((($F934/$AK934)^$AJ934)-1)/($AJ934*$AL934)))</f>
        <v/>
      </c>
      <c r="AN934">
        <f>IF($AJ934="","",IF($AJ934=0,$AK934*EXP($AL934*2),$AK934*(1+$AJ934*$AL934*2)^(1/$AJ934)))</f>
        <v/>
      </c>
      <c r="AO934">
        <f>IF($AJ934="","",IF($AJ934=0,$AK934*EXP($AL934*3),$AK934*(1+$AJ934*$AL934*3)^(1/$AJ934)))</f>
        <v/>
      </c>
      <c r="AP934">
        <f>IF($AJ934="","",IF($AJ934=0,$AK934*EXP($AL934*-2),$AK934*(1+$AJ934*$AL934*-2)^(1/$AJ934)))</f>
        <v/>
      </c>
      <c r="AQ934">
        <f>IF($AJ934="","",IF($AJ934=0,$AK934*EXP($AL934*-3),$AK934*(1+$AJ934*$AL934*-3)^(1/$AJ934)))</f>
        <v/>
      </c>
      <c r="AR934">
        <f>IF(OR($X934="",$T934&gt;60),"",IFERROR(INDEX(IF($T934&lt;24,pcomp_l,palt_l),MATCH($X934,IF($T934&lt;24,pcomp_k,palt_k),1)),""))</f>
        <v/>
      </c>
      <c r="AS934">
        <f>IF(OR($X934="",$T934&gt;60),"",IFERROR(INDEX(IF($T934&lt;24,pcomp_m,palt_m),MATCH($X934,IF($T934&lt;24,pcomp_k,palt_k),1)),""))</f>
        <v/>
      </c>
      <c r="AT934">
        <f>IF(OR($X934="",$T934&gt;60),"",IFERROR(INDEX(IF($T934&lt;24,pcomp_s,palt_s),MATCH($X934,IF($T934&lt;24,pcomp_k,palt_k),1)),""))</f>
        <v/>
      </c>
      <c r="AU934">
        <f>IF($AR934="","",IF($AR934=0,LN($F934/$AS934)/$AT934,((($F934/$AS934)^$AR934)-1)/($AR934*$AT934)))</f>
        <v/>
      </c>
      <c r="AV934">
        <f>IF($AR934="","",IF($AR934=0,$AS934*EXP($AT934*2),$AS934*(1+$AR934*$AT934*2)^(1/$AR934)))</f>
        <v/>
      </c>
      <c r="AW934">
        <f>IF($AR934="","",IF($AR934=0,$AS934*EXP($AT934*3),$AS934*(1+$AR934*$AT934*3)^(1/$AR934)))</f>
        <v/>
      </c>
      <c r="AX934">
        <f>IF($AR934="","",IF($AR934=0,$AS934*EXP($AT934*-2),$AS934*(1+$AR934*$AT934*-2)^(1/$AR934)))</f>
        <v/>
      </c>
      <c r="AY934">
        <f>IF($AR934="","",IF($AR934=0,$AS934*EXP($AT934*-3),$AS934*(1+$AR934*$AT934*-3)^(1/$AR934)))</f>
        <v/>
      </c>
      <c r="AZ934">
        <f>IF(OR($A934="",$A934&lt;&gt;Ficha!$C$4),"",COUNTIF($A$2:$A934,Ficha!$C$4))</f>
        <v/>
      </c>
    </row>
    <row r="935">
      <c r="A935" s="8">
        <f>IF(INDEX(Banco!$A:$A,ROW())="","",INDEX(Banco!$A:$A,ROW()))</f>
        <v/>
      </c>
      <c r="B935" s="8">
        <f>IF(INDEX(Banco!$B:$B,ROW())="","",INDEX(Banco!$B:$B,ROW()))</f>
        <v/>
      </c>
      <c r="C935" s="8">
        <f>IF(INDEX(Banco!$C:$C,ROW())="","",INDEX(Banco!$C:$C,ROW()))</f>
        <v/>
      </c>
      <c r="D935" s="9">
        <f>IF(INDEX(Banco!$D:$D,ROW())="","",INDEX(Banco!$D:$D,ROW()))</f>
        <v/>
      </c>
      <c r="E935" s="9">
        <f>IF(INDEX(Banco!$E:$E,ROW())="","",INDEX(Banco!$E:$E,ROW()))</f>
        <v/>
      </c>
      <c r="F935" s="10">
        <f>IF(INDEX(Banco!$F:$F,ROW())="","",INDEX(Banco!$F:$F,ROW()))</f>
        <v/>
      </c>
      <c r="G935" s="10">
        <f>IF(INDEX(Banco!$G:$G,ROW())="","",INDEX(Banco!$G:$G,ROW()))</f>
        <v/>
      </c>
      <c r="H935" s="8">
        <f>IF(INDEX(Banco!$H:$H,ROW())="","",INDEX(Banco!$H:$H,ROW()))</f>
        <v/>
      </c>
      <c r="I935">
        <f>IF($T935="","",INT($T935/12)&amp;"a "&amp;MOD($T935,12)&amp;"m")</f>
        <v/>
      </c>
      <c r="J935" s="11">
        <f>IF(OR($F935="",$G935=""),"",ROUND($F935/($G935/100)^2,2))</f>
        <v/>
      </c>
      <c r="K935" s="12">
        <f>IF(OR($S935="",$J935="",$T935="",$T935&lt;0,$T935&gt;228,$Y935=""),"—",ROUND(IF(ABS($AB935)&lt;=3,$AB935,IF($AB935&gt;3,3+($J935-$AD935)/($AD935-$AC935),-3+($J935-$AF935)/($AE935-$AF935))),2))</f>
        <v/>
      </c>
      <c r="L935">
        <f>IF(OR($K935="",$K935="—"),"",IF($T935&lt;=60,IF($K935&lt;-3,"Magreza acentuada",IF($K935&lt;-2,"Magreza",IF($K935&lt;=1,"Eutrofia",IF($K935&lt;=2,"Risco de sobrepeso",IF($K935&lt;=3,"Sobrepeso","Obesidade"))))),IF($K935&lt;-3,"Magreza acentuada",IF($K935&lt;-2,"Magreza",IF($K935&lt;=1,"Eutrofia",IF($K935&lt;=2,"Sobrepeso",IF($K935&lt;=3,"Obesidade","Obesidade grave")))))))</f>
        <v/>
      </c>
      <c r="M935" s="12">
        <f>IF(OR($S935="",$V935="",$T935="",$T935&lt;0,$T935&gt;228,$AG935=""),"—",ROUND(IF($AG935=0,LN($V935/$AH935)/$AI935,((($V935/$AH935)^$AG935)-1)/($AG935*$AI935)),2))</f>
        <v/>
      </c>
      <c r="N935">
        <f>IF(OR($M935="",$M935="—"),"",IF($M935&lt;-3,"Muito baixa",IF($M935&lt;-2,"Baixa","Adequada")))</f>
        <v/>
      </c>
      <c r="O935" s="12">
        <f>IF(OR($S935="",$F935="",$T935="",$T935&lt;0,$T935&gt;120,$AJ935=""),"—",ROUND(IF(ABS($AM935)&lt;=3,$AM935,IF($AM935&gt;3,3+($F935-$AO935)/($AO935-$AN935),-3+($F935-$AQ935)/($AP935-$AQ935))),2))</f>
        <v/>
      </c>
      <c r="P935">
        <f>IF(OR($O935="",$O935="—"),"",IF($O935&lt;-3,"Muito baixo",IF($O935&lt;-2,"Baixo",IF($O935&lt;=2,"Adequado","Elevado"))))</f>
        <v/>
      </c>
      <c r="Q935" s="12">
        <f>IF(OR($S935="",$F935="",$T935="",$T935&lt;0,$T935&gt;60,$AR935=""),"—",ROUND(IF(ABS($AU935)&lt;=3,$AU935,IF($AU935&gt;3,3+($F935-$AW935)/($AW935-$AV935),-3+($F935-$AY935)/($AX935-$AY935))),2))</f>
        <v/>
      </c>
      <c r="R935">
        <f>IF(OR($Q935="",$Q935="—"),"",IF($Q935&lt;-3,"Magreza acentuada",IF($Q935&lt;-2,"Magreza",IF($Q935&lt;=1,"Eutrofia",IF($Q935&lt;=2,"Risco de sobrepeso",IF($Q935&lt;=3,"Sobrepeso","Obesidade"))))))</f>
        <v/>
      </c>
      <c r="S935">
        <f>IF($C935="","",IF(UPPER(LEFT($C935,1))="M",1,IF(UPPER(LEFT($C935,1))="F",2,"")))</f>
        <v/>
      </c>
      <c r="T935">
        <f>IF(OR($D935="",$E935=""),"",DATEDIF($D935,$E935,"m"))</f>
        <v/>
      </c>
      <c r="U935">
        <f>IF(OR($D935="",$E935=""),"",$E935-$D935)</f>
        <v/>
      </c>
      <c r="V935">
        <f>IF(OR($G935="",$T935=""),"",IF($T935&lt;24,IF(LEFT(LOWER($H935),4)="em p",$G935+0.7,$G935),IF(LEFT(LOWER($H935),4)="deit",$G935-0.7,$G935)))</f>
        <v/>
      </c>
      <c r="W935">
        <f>IF(OR($S935="",$T935=""),"",$S935*1000000+IF($T935&lt;=60,$U935,$T935))</f>
        <v/>
      </c>
      <c r="X935">
        <f>IF(OR($S935="",$V935="",$T935&gt;60,$T935=""),"",$S935*1000000+ROUND($V935*10,0))</f>
        <v/>
      </c>
      <c r="Y935">
        <f>IF($W935="","",IFERROR(INDEX(IF($T935&lt;=60,imc05_l,imc519_l),MATCH($W935,IF($T935&lt;=60,imc05_k,imc519_k),1)),""))</f>
        <v/>
      </c>
      <c r="Z935">
        <f>IF($W935="","",IFERROR(INDEX(IF($T935&lt;=60,imc05_m,imc519_m),MATCH($W935,IF($T935&lt;=60,imc05_k,imc519_k),1)),""))</f>
        <v/>
      </c>
      <c r="AA935">
        <f>IF($W935="","",IFERROR(INDEX(IF($T935&lt;=60,imc05_s,imc519_s),MATCH($W935,IF($T935&lt;=60,imc05_k,imc519_k),1)),""))</f>
        <v/>
      </c>
      <c r="AB935">
        <f>IF($Y935="","",IF($Y935=0,LN($J935/$Z935)/$AA935,((($J935/$Z935)^$Y935)-1)/($Y935*$AA935)))</f>
        <v/>
      </c>
      <c r="AC935">
        <f>IF($Y935="","",IF($Y935=0,$Z935*EXP($AA935*2),$Z935*(1+$Y935*$AA935*2)^(1/$Y935)))</f>
        <v/>
      </c>
      <c r="AD935">
        <f>IF($Y935="","",IF($Y935=0,$Z935*EXP($AA935*3),$Z935*(1+$Y935*$AA935*3)^(1/$Y935)))</f>
        <v/>
      </c>
      <c r="AE935">
        <f>IF($Y935="","",IF($Y935=0,$Z935*EXP($AA935*-2),$Z935*(1+$Y935*$AA935*-2)^(1/$Y935)))</f>
        <v/>
      </c>
      <c r="AF935">
        <f>IF($Y935="","",IF($Y935=0,$Z935*EXP($AA935*-3),$Z935*(1+$Y935*$AA935*-3)^(1/$Y935)))</f>
        <v/>
      </c>
      <c r="AG935">
        <f>IF($W935="","",IFERROR(INDEX(IF($T935&lt;=60,est05_l,est519_l),MATCH($W935,IF($T935&lt;=60,est05_k,est519_k),1)),""))</f>
        <v/>
      </c>
      <c r="AH935">
        <f>IF($W935="","",IFERROR(INDEX(IF($T935&lt;=60,est05_m,est519_m),MATCH($W935,IF($T935&lt;=60,est05_k,est519_k),1)),""))</f>
        <v/>
      </c>
      <c r="AI935">
        <f>IF($W935="","",IFERROR(INDEX(IF($T935&lt;=60,est05_s,est519_s),MATCH($W935,IF($T935&lt;=60,est05_k,est519_k),1)),""))</f>
        <v/>
      </c>
      <c r="AJ935">
        <f>IF($W935="","",IFERROR(INDEX(IF($T935&lt;=60,peso05_l,peso510_l),MATCH($W935,IF($T935&lt;=60,peso05_k,peso510_k),1)),""))</f>
        <v/>
      </c>
      <c r="AK935">
        <f>IF($W935="","",IFERROR(INDEX(IF($T935&lt;=60,peso05_m,peso510_m),MATCH($W935,IF($T935&lt;=60,peso05_k,peso510_k),1)),""))</f>
        <v/>
      </c>
      <c r="AL935">
        <f>IF($W935="","",IFERROR(INDEX(IF($T935&lt;=60,peso05_s,peso510_s),MATCH($W935,IF($T935&lt;=60,peso05_k,peso510_k),1)),""))</f>
        <v/>
      </c>
      <c r="AM935">
        <f>IF($AJ935="","",IF($AJ935=0,LN($F935/$AK935)/$AL935,((($F935/$AK935)^$AJ935)-1)/($AJ935*$AL935)))</f>
        <v/>
      </c>
      <c r="AN935">
        <f>IF($AJ935="","",IF($AJ935=0,$AK935*EXP($AL935*2),$AK935*(1+$AJ935*$AL935*2)^(1/$AJ935)))</f>
        <v/>
      </c>
      <c r="AO935">
        <f>IF($AJ935="","",IF($AJ935=0,$AK935*EXP($AL935*3),$AK935*(1+$AJ935*$AL935*3)^(1/$AJ935)))</f>
        <v/>
      </c>
      <c r="AP935">
        <f>IF($AJ935="","",IF($AJ935=0,$AK935*EXP($AL935*-2),$AK935*(1+$AJ935*$AL935*-2)^(1/$AJ935)))</f>
        <v/>
      </c>
      <c r="AQ935">
        <f>IF($AJ935="","",IF($AJ935=0,$AK935*EXP($AL935*-3),$AK935*(1+$AJ935*$AL935*-3)^(1/$AJ935)))</f>
        <v/>
      </c>
      <c r="AR935">
        <f>IF(OR($X935="",$T935&gt;60),"",IFERROR(INDEX(IF($T935&lt;24,pcomp_l,palt_l),MATCH($X935,IF($T935&lt;24,pcomp_k,palt_k),1)),""))</f>
        <v/>
      </c>
      <c r="AS935">
        <f>IF(OR($X935="",$T935&gt;60),"",IFERROR(INDEX(IF($T935&lt;24,pcomp_m,palt_m),MATCH($X935,IF($T935&lt;24,pcomp_k,palt_k),1)),""))</f>
        <v/>
      </c>
      <c r="AT935">
        <f>IF(OR($X935="",$T935&gt;60),"",IFERROR(INDEX(IF($T935&lt;24,pcomp_s,palt_s),MATCH($X935,IF($T935&lt;24,pcomp_k,palt_k),1)),""))</f>
        <v/>
      </c>
      <c r="AU935">
        <f>IF($AR935="","",IF($AR935=0,LN($F935/$AS935)/$AT935,((($F935/$AS935)^$AR935)-1)/($AR935*$AT935)))</f>
        <v/>
      </c>
      <c r="AV935">
        <f>IF($AR935="","",IF($AR935=0,$AS935*EXP($AT935*2),$AS935*(1+$AR935*$AT935*2)^(1/$AR935)))</f>
        <v/>
      </c>
      <c r="AW935">
        <f>IF($AR935="","",IF($AR935=0,$AS935*EXP($AT935*3),$AS935*(1+$AR935*$AT935*3)^(1/$AR935)))</f>
        <v/>
      </c>
      <c r="AX935">
        <f>IF($AR935="","",IF($AR935=0,$AS935*EXP($AT935*-2),$AS935*(1+$AR935*$AT935*-2)^(1/$AR935)))</f>
        <v/>
      </c>
      <c r="AY935">
        <f>IF($AR935="","",IF($AR935=0,$AS935*EXP($AT935*-3),$AS935*(1+$AR935*$AT935*-3)^(1/$AR935)))</f>
        <v/>
      </c>
      <c r="AZ935">
        <f>IF(OR($A935="",$A935&lt;&gt;Ficha!$C$4),"",COUNTIF($A$2:$A935,Ficha!$C$4))</f>
        <v/>
      </c>
    </row>
    <row r="936">
      <c r="A936" s="8">
        <f>IF(INDEX(Banco!$A:$A,ROW())="","",INDEX(Banco!$A:$A,ROW()))</f>
        <v/>
      </c>
      <c r="B936" s="8">
        <f>IF(INDEX(Banco!$B:$B,ROW())="","",INDEX(Banco!$B:$B,ROW()))</f>
        <v/>
      </c>
      <c r="C936" s="8">
        <f>IF(INDEX(Banco!$C:$C,ROW())="","",INDEX(Banco!$C:$C,ROW()))</f>
        <v/>
      </c>
      <c r="D936" s="9">
        <f>IF(INDEX(Banco!$D:$D,ROW())="","",INDEX(Banco!$D:$D,ROW()))</f>
        <v/>
      </c>
      <c r="E936" s="9">
        <f>IF(INDEX(Banco!$E:$E,ROW())="","",INDEX(Banco!$E:$E,ROW()))</f>
        <v/>
      </c>
      <c r="F936" s="10">
        <f>IF(INDEX(Banco!$F:$F,ROW())="","",INDEX(Banco!$F:$F,ROW()))</f>
        <v/>
      </c>
      <c r="G936" s="10">
        <f>IF(INDEX(Banco!$G:$G,ROW())="","",INDEX(Banco!$G:$G,ROW()))</f>
        <v/>
      </c>
      <c r="H936" s="8">
        <f>IF(INDEX(Banco!$H:$H,ROW())="","",INDEX(Banco!$H:$H,ROW()))</f>
        <v/>
      </c>
      <c r="I936">
        <f>IF($T936="","",INT($T936/12)&amp;"a "&amp;MOD($T936,12)&amp;"m")</f>
        <v/>
      </c>
      <c r="J936" s="11">
        <f>IF(OR($F936="",$G936=""),"",ROUND($F936/($G936/100)^2,2))</f>
        <v/>
      </c>
      <c r="K936" s="12">
        <f>IF(OR($S936="",$J936="",$T936="",$T936&lt;0,$T936&gt;228,$Y936=""),"—",ROUND(IF(ABS($AB936)&lt;=3,$AB936,IF($AB936&gt;3,3+($J936-$AD936)/($AD936-$AC936),-3+($J936-$AF936)/($AE936-$AF936))),2))</f>
        <v/>
      </c>
      <c r="L936">
        <f>IF(OR($K936="",$K936="—"),"",IF($T936&lt;=60,IF($K936&lt;-3,"Magreza acentuada",IF($K936&lt;-2,"Magreza",IF($K936&lt;=1,"Eutrofia",IF($K936&lt;=2,"Risco de sobrepeso",IF($K936&lt;=3,"Sobrepeso","Obesidade"))))),IF($K936&lt;-3,"Magreza acentuada",IF($K936&lt;-2,"Magreza",IF($K936&lt;=1,"Eutrofia",IF($K936&lt;=2,"Sobrepeso",IF($K936&lt;=3,"Obesidade","Obesidade grave")))))))</f>
        <v/>
      </c>
      <c r="M936" s="12">
        <f>IF(OR($S936="",$V936="",$T936="",$T936&lt;0,$T936&gt;228,$AG936=""),"—",ROUND(IF($AG936=0,LN($V936/$AH936)/$AI936,((($V936/$AH936)^$AG936)-1)/($AG936*$AI936)),2))</f>
        <v/>
      </c>
      <c r="N936">
        <f>IF(OR($M936="",$M936="—"),"",IF($M936&lt;-3,"Muito baixa",IF($M936&lt;-2,"Baixa","Adequada")))</f>
        <v/>
      </c>
      <c r="O936" s="12">
        <f>IF(OR($S936="",$F936="",$T936="",$T936&lt;0,$T936&gt;120,$AJ936=""),"—",ROUND(IF(ABS($AM936)&lt;=3,$AM936,IF($AM936&gt;3,3+($F936-$AO936)/($AO936-$AN936),-3+($F936-$AQ936)/($AP936-$AQ936))),2))</f>
        <v/>
      </c>
      <c r="P936">
        <f>IF(OR($O936="",$O936="—"),"",IF($O936&lt;-3,"Muito baixo",IF($O936&lt;-2,"Baixo",IF($O936&lt;=2,"Adequado","Elevado"))))</f>
        <v/>
      </c>
      <c r="Q936" s="12">
        <f>IF(OR($S936="",$F936="",$T936="",$T936&lt;0,$T936&gt;60,$AR936=""),"—",ROUND(IF(ABS($AU936)&lt;=3,$AU936,IF($AU936&gt;3,3+($F936-$AW936)/($AW936-$AV936),-3+($F936-$AY936)/($AX936-$AY936))),2))</f>
        <v/>
      </c>
      <c r="R936">
        <f>IF(OR($Q936="",$Q936="—"),"",IF($Q936&lt;-3,"Magreza acentuada",IF($Q936&lt;-2,"Magreza",IF($Q936&lt;=1,"Eutrofia",IF($Q936&lt;=2,"Risco de sobrepeso",IF($Q936&lt;=3,"Sobrepeso","Obesidade"))))))</f>
        <v/>
      </c>
      <c r="S936">
        <f>IF($C936="","",IF(UPPER(LEFT($C936,1))="M",1,IF(UPPER(LEFT($C936,1))="F",2,"")))</f>
        <v/>
      </c>
      <c r="T936">
        <f>IF(OR($D936="",$E936=""),"",DATEDIF($D936,$E936,"m"))</f>
        <v/>
      </c>
      <c r="U936">
        <f>IF(OR($D936="",$E936=""),"",$E936-$D936)</f>
        <v/>
      </c>
      <c r="V936">
        <f>IF(OR($G936="",$T936=""),"",IF($T936&lt;24,IF(LEFT(LOWER($H936),4)="em p",$G936+0.7,$G936),IF(LEFT(LOWER($H936),4)="deit",$G936-0.7,$G936)))</f>
        <v/>
      </c>
      <c r="W936">
        <f>IF(OR($S936="",$T936=""),"",$S936*1000000+IF($T936&lt;=60,$U936,$T936))</f>
        <v/>
      </c>
      <c r="X936">
        <f>IF(OR($S936="",$V936="",$T936&gt;60,$T936=""),"",$S936*1000000+ROUND($V936*10,0))</f>
        <v/>
      </c>
      <c r="Y936">
        <f>IF($W936="","",IFERROR(INDEX(IF($T936&lt;=60,imc05_l,imc519_l),MATCH($W936,IF($T936&lt;=60,imc05_k,imc519_k),1)),""))</f>
        <v/>
      </c>
      <c r="Z936">
        <f>IF($W936="","",IFERROR(INDEX(IF($T936&lt;=60,imc05_m,imc519_m),MATCH($W936,IF($T936&lt;=60,imc05_k,imc519_k),1)),""))</f>
        <v/>
      </c>
      <c r="AA936">
        <f>IF($W936="","",IFERROR(INDEX(IF($T936&lt;=60,imc05_s,imc519_s),MATCH($W936,IF($T936&lt;=60,imc05_k,imc519_k),1)),""))</f>
        <v/>
      </c>
      <c r="AB936">
        <f>IF($Y936="","",IF($Y936=0,LN($J936/$Z936)/$AA936,((($J936/$Z936)^$Y936)-1)/($Y936*$AA936)))</f>
        <v/>
      </c>
      <c r="AC936">
        <f>IF($Y936="","",IF($Y936=0,$Z936*EXP($AA936*2),$Z936*(1+$Y936*$AA936*2)^(1/$Y936)))</f>
        <v/>
      </c>
      <c r="AD936">
        <f>IF($Y936="","",IF($Y936=0,$Z936*EXP($AA936*3),$Z936*(1+$Y936*$AA936*3)^(1/$Y936)))</f>
        <v/>
      </c>
      <c r="AE936">
        <f>IF($Y936="","",IF($Y936=0,$Z936*EXP($AA936*-2),$Z936*(1+$Y936*$AA936*-2)^(1/$Y936)))</f>
        <v/>
      </c>
      <c r="AF936">
        <f>IF($Y936="","",IF($Y936=0,$Z936*EXP($AA936*-3),$Z936*(1+$Y936*$AA936*-3)^(1/$Y936)))</f>
        <v/>
      </c>
      <c r="AG936">
        <f>IF($W936="","",IFERROR(INDEX(IF($T936&lt;=60,est05_l,est519_l),MATCH($W936,IF($T936&lt;=60,est05_k,est519_k),1)),""))</f>
        <v/>
      </c>
      <c r="AH936">
        <f>IF($W936="","",IFERROR(INDEX(IF($T936&lt;=60,est05_m,est519_m),MATCH($W936,IF($T936&lt;=60,est05_k,est519_k),1)),""))</f>
        <v/>
      </c>
      <c r="AI936">
        <f>IF($W936="","",IFERROR(INDEX(IF($T936&lt;=60,est05_s,est519_s),MATCH($W936,IF($T936&lt;=60,est05_k,est519_k),1)),""))</f>
        <v/>
      </c>
      <c r="AJ936">
        <f>IF($W936="","",IFERROR(INDEX(IF($T936&lt;=60,peso05_l,peso510_l),MATCH($W936,IF($T936&lt;=60,peso05_k,peso510_k),1)),""))</f>
        <v/>
      </c>
      <c r="AK936">
        <f>IF($W936="","",IFERROR(INDEX(IF($T936&lt;=60,peso05_m,peso510_m),MATCH($W936,IF($T936&lt;=60,peso05_k,peso510_k),1)),""))</f>
        <v/>
      </c>
      <c r="AL936">
        <f>IF($W936="","",IFERROR(INDEX(IF($T936&lt;=60,peso05_s,peso510_s),MATCH($W936,IF($T936&lt;=60,peso05_k,peso510_k),1)),""))</f>
        <v/>
      </c>
      <c r="AM936">
        <f>IF($AJ936="","",IF($AJ936=0,LN($F936/$AK936)/$AL936,((($F936/$AK936)^$AJ936)-1)/($AJ936*$AL936)))</f>
        <v/>
      </c>
      <c r="AN936">
        <f>IF($AJ936="","",IF($AJ936=0,$AK936*EXP($AL936*2),$AK936*(1+$AJ936*$AL936*2)^(1/$AJ936)))</f>
        <v/>
      </c>
      <c r="AO936">
        <f>IF($AJ936="","",IF($AJ936=0,$AK936*EXP($AL936*3),$AK936*(1+$AJ936*$AL936*3)^(1/$AJ936)))</f>
        <v/>
      </c>
      <c r="AP936">
        <f>IF($AJ936="","",IF($AJ936=0,$AK936*EXP($AL936*-2),$AK936*(1+$AJ936*$AL936*-2)^(1/$AJ936)))</f>
        <v/>
      </c>
      <c r="AQ936">
        <f>IF($AJ936="","",IF($AJ936=0,$AK936*EXP($AL936*-3),$AK936*(1+$AJ936*$AL936*-3)^(1/$AJ936)))</f>
        <v/>
      </c>
      <c r="AR936">
        <f>IF(OR($X936="",$T936&gt;60),"",IFERROR(INDEX(IF($T936&lt;24,pcomp_l,palt_l),MATCH($X936,IF($T936&lt;24,pcomp_k,palt_k),1)),""))</f>
        <v/>
      </c>
      <c r="AS936">
        <f>IF(OR($X936="",$T936&gt;60),"",IFERROR(INDEX(IF($T936&lt;24,pcomp_m,palt_m),MATCH($X936,IF($T936&lt;24,pcomp_k,palt_k),1)),""))</f>
        <v/>
      </c>
      <c r="AT936">
        <f>IF(OR($X936="",$T936&gt;60),"",IFERROR(INDEX(IF($T936&lt;24,pcomp_s,palt_s),MATCH($X936,IF($T936&lt;24,pcomp_k,palt_k),1)),""))</f>
        <v/>
      </c>
      <c r="AU936">
        <f>IF($AR936="","",IF($AR936=0,LN($F936/$AS936)/$AT936,((($F936/$AS936)^$AR936)-1)/($AR936*$AT936)))</f>
        <v/>
      </c>
      <c r="AV936">
        <f>IF($AR936="","",IF($AR936=0,$AS936*EXP($AT936*2),$AS936*(1+$AR936*$AT936*2)^(1/$AR936)))</f>
        <v/>
      </c>
      <c r="AW936">
        <f>IF($AR936="","",IF($AR936=0,$AS936*EXP($AT936*3),$AS936*(1+$AR936*$AT936*3)^(1/$AR936)))</f>
        <v/>
      </c>
      <c r="AX936">
        <f>IF($AR936="","",IF($AR936=0,$AS936*EXP($AT936*-2),$AS936*(1+$AR936*$AT936*-2)^(1/$AR936)))</f>
        <v/>
      </c>
      <c r="AY936">
        <f>IF($AR936="","",IF($AR936=0,$AS936*EXP($AT936*-3),$AS936*(1+$AR936*$AT936*-3)^(1/$AR936)))</f>
        <v/>
      </c>
      <c r="AZ936">
        <f>IF(OR($A936="",$A936&lt;&gt;Ficha!$C$4),"",COUNTIF($A$2:$A936,Ficha!$C$4))</f>
        <v/>
      </c>
    </row>
    <row r="937">
      <c r="A937" s="8">
        <f>IF(INDEX(Banco!$A:$A,ROW())="","",INDEX(Banco!$A:$A,ROW()))</f>
        <v/>
      </c>
      <c r="B937" s="8">
        <f>IF(INDEX(Banco!$B:$B,ROW())="","",INDEX(Banco!$B:$B,ROW()))</f>
        <v/>
      </c>
      <c r="C937" s="8">
        <f>IF(INDEX(Banco!$C:$C,ROW())="","",INDEX(Banco!$C:$C,ROW()))</f>
        <v/>
      </c>
      <c r="D937" s="9">
        <f>IF(INDEX(Banco!$D:$D,ROW())="","",INDEX(Banco!$D:$D,ROW()))</f>
        <v/>
      </c>
      <c r="E937" s="9">
        <f>IF(INDEX(Banco!$E:$E,ROW())="","",INDEX(Banco!$E:$E,ROW()))</f>
        <v/>
      </c>
      <c r="F937" s="10">
        <f>IF(INDEX(Banco!$F:$F,ROW())="","",INDEX(Banco!$F:$F,ROW()))</f>
        <v/>
      </c>
      <c r="G937" s="10">
        <f>IF(INDEX(Banco!$G:$G,ROW())="","",INDEX(Banco!$G:$G,ROW()))</f>
        <v/>
      </c>
      <c r="H937" s="8">
        <f>IF(INDEX(Banco!$H:$H,ROW())="","",INDEX(Banco!$H:$H,ROW()))</f>
        <v/>
      </c>
      <c r="I937">
        <f>IF($T937="","",INT($T937/12)&amp;"a "&amp;MOD($T937,12)&amp;"m")</f>
        <v/>
      </c>
      <c r="J937" s="11">
        <f>IF(OR($F937="",$G937=""),"",ROUND($F937/($G937/100)^2,2))</f>
        <v/>
      </c>
      <c r="K937" s="12">
        <f>IF(OR($S937="",$J937="",$T937="",$T937&lt;0,$T937&gt;228,$Y937=""),"—",ROUND(IF(ABS($AB937)&lt;=3,$AB937,IF($AB937&gt;3,3+($J937-$AD937)/($AD937-$AC937),-3+($J937-$AF937)/($AE937-$AF937))),2))</f>
        <v/>
      </c>
      <c r="L937">
        <f>IF(OR($K937="",$K937="—"),"",IF($T937&lt;=60,IF($K937&lt;-3,"Magreza acentuada",IF($K937&lt;-2,"Magreza",IF($K937&lt;=1,"Eutrofia",IF($K937&lt;=2,"Risco de sobrepeso",IF($K937&lt;=3,"Sobrepeso","Obesidade"))))),IF($K937&lt;-3,"Magreza acentuada",IF($K937&lt;-2,"Magreza",IF($K937&lt;=1,"Eutrofia",IF($K937&lt;=2,"Sobrepeso",IF($K937&lt;=3,"Obesidade","Obesidade grave")))))))</f>
        <v/>
      </c>
      <c r="M937" s="12">
        <f>IF(OR($S937="",$V937="",$T937="",$T937&lt;0,$T937&gt;228,$AG937=""),"—",ROUND(IF($AG937=0,LN($V937/$AH937)/$AI937,((($V937/$AH937)^$AG937)-1)/($AG937*$AI937)),2))</f>
        <v/>
      </c>
      <c r="N937">
        <f>IF(OR($M937="",$M937="—"),"",IF($M937&lt;-3,"Muito baixa",IF($M937&lt;-2,"Baixa","Adequada")))</f>
        <v/>
      </c>
      <c r="O937" s="12">
        <f>IF(OR($S937="",$F937="",$T937="",$T937&lt;0,$T937&gt;120,$AJ937=""),"—",ROUND(IF(ABS($AM937)&lt;=3,$AM937,IF($AM937&gt;3,3+($F937-$AO937)/($AO937-$AN937),-3+($F937-$AQ937)/($AP937-$AQ937))),2))</f>
        <v/>
      </c>
      <c r="P937">
        <f>IF(OR($O937="",$O937="—"),"",IF($O937&lt;-3,"Muito baixo",IF($O937&lt;-2,"Baixo",IF($O937&lt;=2,"Adequado","Elevado"))))</f>
        <v/>
      </c>
      <c r="Q937" s="12">
        <f>IF(OR($S937="",$F937="",$T937="",$T937&lt;0,$T937&gt;60,$AR937=""),"—",ROUND(IF(ABS($AU937)&lt;=3,$AU937,IF($AU937&gt;3,3+($F937-$AW937)/($AW937-$AV937),-3+($F937-$AY937)/($AX937-$AY937))),2))</f>
        <v/>
      </c>
      <c r="R937">
        <f>IF(OR($Q937="",$Q937="—"),"",IF($Q937&lt;-3,"Magreza acentuada",IF($Q937&lt;-2,"Magreza",IF($Q937&lt;=1,"Eutrofia",IF($Q937&lt;=2,"Risco de sobrepeso",IF($Q937&lt;=3,"Sobrepeso","Obesidade"))))))</f>
        <v/>
      </c>
      <c r="S937">
        <f>IF($C937="","",IF(UPPER(LEFT($C937,1))="M",1,IF(UPPER(LEFT($C937,1))="F",2,"")))</f>
        <v/>
      </c>
      <c r="T937">
        <f>IF(OR($D937="",$E937=""),"",DATEDIF($D937,$E937,"m"))</f>
        <v/>
      </c>
      <c r="U937">
        <f>IF(OR($D937="",$E937=""),"",$E937-$D937)</f>
        <v/>
      </c>
      <c r="V937">
        <f>IF(OR($G937="",$T937=""),"",IF($T937&lt;24,IF(LEFT(LOWER($H937),4)="em p",$G937+0.7,$G937),IF(LEFT(LOWER($H937),4)="deit",$G937-0.7,$G937)))</f>
        <v/>
      </c>
      <c r="W937">
        <f>IF(OR($S937="",$T937=""),"",$S937*1000000+IF($T937&lt;=60,$U937,$T937))</f>
        <v/>
      </c>
      <c r="X937">
        <f>IF(OR($S937="",$V937="",$T937&gt;60,$T937=""),"",$S937*1000000+ROUND($V937*10,0))</f>
        <v/>
      </c>
      <c r="Y937">
        <f>IF($W937="","",IFERROR(INDEX(IF($T937&lt;=60,imc05_l,imc519_l),MATCH($W937,IF($T937&lt;=60,imc05_k,imc519_k),1)),""))</f>
        <v/>
      </c>
      <c r="Z937">
        <f>IF($W937="","",IFERROR(INDEX(IF($T937&lt;=60,imc05_m,imc519_m),MATCH($W937,IF($T937&lt;=60,imc05_k,imc519_k),1)),""))</f>
        <v/>
      </c>
      <c r="AA937">
        <f>IF($W937="","",IFERROR(INDEX(IF($T937&lt;=60,imc05_s,imc519_s),MATCH($W937,IF($T937&lt;=60,imc05_k,imc519_k),1)),""))</f>
        <v/>
      </c>
      <c r="AB937">
        <f>IF($Y937="","",IF($Y937=0,LN($J937/$Z937)/$AA937,((($J937/$Z937)^$Y937)-1)/($Y937*$AA937)))</f>
        <v/>
      </c>
      <c r="AC937">
        <f>IF($Y937="","",IF($Y937=0,$Z937*EXP($AA937*2),$Z937*(1+$Y937*$AA937*2)^(1/$Y937)))</f>
        <v/>
      </c>
      <c r="AD937">
        <f>IF($Y937="","",IF($Y937=0,$Z937*EXP($AA937*3),$Z937*(1+$Y937*$AA937*3)^(1/$Y937)))</f>
        <v/>
      </c>
      <c r="AE937">
        <f>IF($Y937="","",IF($Y937=0,$Z937*EXP($AA937*-2),$Z937*(1+$Y937*$AA937*-2)^(1/$Y937)))</f>
        <v/>
      </c>
      <c r="AF937">
        <f>IF($Y937="","",IF($Y937=0,$Z937*EXP($AA937*-3),$Z937*(1+$Y937*$AA937*-3)^(1/$Y937)))</f>
        <v/>
      </c>
      <c r="AG937">
        <f>IF($W937="","",IFERROR(INDEX(IF($T937&lt;=60,est05_l,est519_l),MATCH($W937,IF($T937&lt;=60,est05_k,est519_k),1)),""))</f>
        <v/>
      </c>
      <c r="AH937">
        <f>IF($W937="","",IFERROR(INDEX(IF($T937&lt;=60,est05_m,est519_m),MATCH($W937,IF($T937&lt;=60,est05_k,est519_k),1)),""))</f>
        <v/>
      </c>
      <c r="AI937">
        <f>IF($W937="","",IFERROR(INDEX(IF($T937&lt;=60,est05_s,est519_s),MATCH($W937,IF($T937&lt;=60,est05_k,est519_k),1)),""))</f>
        <v/>
      </c>
      <c r="AJ937">
        <f>IF($W937="","",IFERROR(INDEX(IF($T937&lt;=60,peso05_l,peso510_l),MATCH($W937,IF($T937&lt;=60,peso05_k,peso510_k),1)),""))</f>
        <v/>
      </c>
      <c r="AK937">
        <f>IF($W937="","",IFERROR(INDEX(IF($T937&lt;=60,peso05_m,peso510_m),MATCH($W937,IF($T937&lt;=60,peso05_k,peso510_k),1)),""))</f>
        <v/>
      </c>
      <c r="AL937">
        <f>IF($W937="","",IFERROR(INDEX(IF($T937&lt;=60,peso05_s,peso510_s),MATCH($W937,IF($T937&lt;=60,peso05_k,peso510_k),1)),""))</f>
        <v/>
      </c>
      <c r="AM937">
        <f>IF($AJ937="","",IF($AJ937=0,LN($F937/$AK937)/$AL937,((($F937/$AK937)^$AJ937)-1)/($AJ937*$AL937)))</f>
        <v/>
      </c>
      <c r="AN937">
        <f>IF($AJ937="","",IF($AJ937=0,$AK937*EXP($AL937*2),$AK937*(1+$AJ937*$AL937*2)^(1/$AJ937)))</f>
        <v/>
      </c>
      <c r="AO937">
        <f>IF($AJ937="","",IF($AJ937=0,$AK937*EXP($AL937*3),$AK937*(1+$AJ937*$AL937*3)^(1/$AJ937)))</f>
        <v/>
      </c>
      <c r="AP937">
        <f>IF($AJ937="","",IF($AJ937=0,$AK937*EXP($AL937*-2),$AK937*(1+$AJ937*$AL937*-2)^(1/$AJ937)))</f>
        <v/>
      </c>
      <c r="AQ937">
        <f>IF($AJ937="","",IF($AJ937=0,$AK937*EXP($AL937*-3),$AK937*(1+$AJ937*$AL937*-3)^(1/$AJ937)))</f>
        <v/>
      </c>
      <c r="AR937">
        <f>IF(OR($X937="",$T937&gt;60),"",IFERROR(INDEX(IF($T937&lt;24,pcomp_l,palt_l),MATCH($X937,IF($T937&lt;24,pcomp_k,palt_k),1)),""))</f>
        <v/>
      </c>
      <c r="AS937">
        <f>IF(OR($X937="",$T937&gt;60),"",IFERROR(INDEX(IF($T937&lt;24,pcomp_m,palt_m),MATCH($X937,IF($T937&lt;24,pcomp_k,palt_k),1)),""))</f>
        <v/>
      </c>
      <c r="AT937">
        <f>IF(OR($X937="",$T937&gt;60),"",IFERROR(INDEX(IF($T937&lt;24,pcomp_s,palt_s),MATCH($X937,IF($T937&lt;24,pcomp_k,palt_k),1)),""))</f>
        <v/>
      </c>
      <c r="AU937">
        <f>IF($AR937="","",IF($AR937=0,LN($F937/$AS937)/$AT937,((($F937/$AS937)^$AR937)-1)/($AR937*$AT937)))</f>
        <v/>
      </c>
      <c r="AV937">
        <f>IF($AR937="","",IF($AR937=0,$AS937*EXP($AT937*2),$AS937*(1+$AR937*$AT937*2)^(1/$AR937)))</f>
        <v/>
      </c>
      <c r="AW937">
        <f>IF($AR937="","",IF($AR937=0,$AS937*EXP($AT937*3),$AS937*(1+$AR937*$AT937*3)^(1/$AR937)))</f>
        <v/>
      </c>
      <c r="AX937">
        <f>IF($AR937="","",IF($AR937=0,$AS937*EXP($AT937*-2),$AS937*(1+$AR937*$AT937*-2)^(1/$AR937)))</f>
        <v/>
      </c>
      <c r="AY937">
        <f>IF($AR937="","",IF($AR937=0,$AS937*EXP($AT937*-3),$AS937*(1+$AR937*$AT937*-3)^(1/$AR937)))</f>
        <v/>
      </c>
      <c r="AZ937">
        <f>IF(OR($A937="",$A937&lt;&gt;Ficha!$C$4),"",COUNTIF($A$2:$A937,Ficha!$C$4))</f>
        <v/>
      </c>
    </row>
    <row r="938">
      <c r="A938" s="8">
        <f>IF(INDEX(Banco!$A:$A,ROW())="","",INDEX(Banco!$A:$A,ROW()))</f>
        <v/>
      </c>
      <c r="B938" s="8">
        <f>IF(INDEX(Banco!$B:$B,ROW())="","",INDEX(Banco!$B:$B,ROW()))</f>
        <v/>
      </c>
      <c r="C938" s="8">
        <f>IF(INDEX(Banco!$C:$C,ROW())="","",INDEX(Banco!$C:$C,ROW()))</f>
        <v/>
      </c>
      <c r="D938" s="9">
        <f>IF(INDEX(Banco!$D:$D,ROW())="","",INDEX(Banco!$D:$D,ROW()))</f>
        <v/>
      </c>
      <c r="E938" s="9">
        <f>IF(INDEX(Banco!$E:$E,ROW())="","",INDEX(Banco!$E:$E,ROW()))</f>
        <v/>
      </c>
      <c r="F938" s="10">
        <f>IF(INDEX(Banco!$F:$F,ROW())="","",INDEX(Banco!$F:$F,ROW()))</f>
        <v/>
      </c>
      <c r="G938" s="10">
        <f>IF(INDEX(Banco!$G:$G,ROW())="","",INDEX(Banco!$G:$G,ROW()))</f>
        <v/>
      </c>
      <c r="H938" s="8">
        <f>IF(INDEX(Banco!$H:$H,ROW())="","",INDEX(Banco!$H:$H,ROW()))</f>
        <v/>
      </c>
      <c r="I938">
        <f>IF($T938="","",INT($T938/12)&amp;"a "&amp;MOD($T938,12)&amp;"m")</f>
        <v/>
      </c>
      <c r="J938" s="11">
        <f>IF(OR($F938="",$G938=""),"",ROUND($F938/($G938/100)^2,2))</f>
        <v/>
      </c>
      <c r="K938" s="12">
        <f>IF(OR($S938="",$J938="",$T938="",$T938&lt;0,$T938&gt;228,$Y938=""),"—",ROUND(IF(ABS($AB938)&lt;=3,$AB938,IF($AB938&gt;3,3+($J938-$AD938)/($AD938-$AC938),-3+($J938-$AF938)/($AE938-$AF938))),2))</f>
        <v/>
      </c>
      <c r="L938">
        <f>IF(OR($K938="",$K938="—"),"",IF($T938&lt;=60,IF($K938&lt;-3,"Magreza acentuada",IF($K938&lt;-2,"Magreza",IF($K938&lt;=1,"Eutrofia",IF($K938&lt;=2,"Risco de sobrepeso",IF($K938&lt;=3,"Sobrepeso","Obesidade"))))),IF($K938&lt;-3,"Magreza acentuada",IF($K938&lt;-2,"Magreza",IF($K938&lt;=1,"Eutrofia",IF($K938&lt;=2,"Sobrepeso",IF($K938&lt;=3,"Obesidade","Obesidade grave")))))))</f>
        <v/>
      </c>
      <c r="M938" s="12">
        <f>IF(OR($S938="",$V938="",$T938="",$T938&lt;0,$T938&gt;228,$AG938=""),"—",ROUND(IF($AG938=0,LN($V938/$AH938)/$AI938,((($V938/$AH938)^$AG938)-1)/($AG938*$AI938)),2))</f>
        <v/>
      </c>
      <c r="N938">
        <f>IF(OR($M938="",$M938="—"),"",IF($M938&lt;-3,"Muito baixa",IF($M938&lt;-2,"Baixa","Adequada")))</f>
        <v/>
      </c>
      <c r="O938" s="12">
        <f>IF(OR($S938="",$F938="",$T938="",$T938&lt;0,$T938&gt;120,$AJ938=""),"—",ROUND(IF(ABS($AM938)&lt;=3,$AM938,IF($AM938&gt;3,3+($F938-$AO938)/($AO938-$AN938),-3+($F938-$AQ938)/($AP938-$AQ938))),2))</f>
        <v/>
      </c>
      <c r="P938">
        <f>IF(OR($O938="",$O938="—"),"",IF($O938&lt;-3,"Muito baixo",IF($O938&lt;-2,"Baixo",IF($O938&lt;=2,"Adequado","Elevado"))))</f>
        <v/>
      </c>
      <c r="Q938" s="12">
        <f>IF(OR($S938="",$F938="",$T938="",$T938&lt;0,$T938&gt;60,$AR938=""),"—",ROUND(IF(ABS($AU938)&lt;=3,$AU938,IF($AU938&gt;3,3+($F938-$AW938)/($AW938-$AV938),-3+($F938-$AY938)/($AX938-$AY938))),2))</f>
        <v/>
      </c>
      <c r="R938">
        <f>IF(OR($Q938="",$Q938="—"),"",IF($Q938&lt;-3,"Magreza acentuada",IF($Q938&lt;-2,"Magreza",IF($Q938&lt;=1,"Eutrofia",IF($Q938&lt;=2,"Risco de sobrepeso",IF($Q938&lt;=3,"Sobrepeso","Obesidade"))))))</f>
        <v/>
      </c>
      <c r="S938">
        <f>IF($C938="","",IF(UPPER(LEFT($C938,1))="M",1,IF(UPPER(LEFT($C938,1))="F",2,"")))</f>
        <v/>
      </c>
      <c r="T938">
        <f>IF(OR($D938="",$E938=""),"",DATEDIF($D938,$E938,"m"))</f>
        <v/>
      </c>
      <c r="U938">
        <f>IF(OR($D938="",$E938=""),"",$E938-$D938)</f>
        <v/>
      </c>
      <c r="V938">
        <f>IF(OR($G938="",$T938=""),"",IF($T938&lt;24,IF(LEFT(LOWER($H938),4)="em p",$G938+0.7,$G938),IF(LEFT(LOWER($H938),4)="deit",$G938-0.7,$G938)))</f>
        <v/>
      </c>
      <c r="W938">
        <f>IF(OR($S938="",$T938=""),"",$S938*1000000+IF($T938&lt;=60,$U938,$T938))</f>
        <v/>
      </c>
      <c r="X938">
        <f>IF(OR($S938="",$V938="",$T938&gt;60,$T938=""),"",$S938*1000000+ROUND($V938*10,0))</f>
        <v/>
      </c>
      <c r="Y938">
        <f>IF($W938="","",IFERROR(INDEX(IF($T938&lt;=60,imc05_l,imc519_l),MATCH($W938,IF($T938&lt;=60,imc05_k,imc519_k),1)),""))</f>
        <v/>
      </c>
      <c r="Z938">
        <f>IF($W938="","",IFERROR(INDEX(IF($T938&lt;=60,imc05_m,imc519_m),MATCH($W938,IF($T938&lt;=60,imc05_k,imc519_k),1)),""))</f>
        <v/>
      </c>
      <c r="AA938">
        <f>IF($W938="","",IFERROR(INDEX(IF($T938&lt;=60,imc05_s,imc519_s),MATCH($W938,IF($T938&lt;=60,imc05_k,imc519_k),1)),""))</f>
        <v/>
      </c>
      <c r="AB938">
        <f>IF($Y938="","",IF($Y938=0,LN($J938/$Z938)/$AA938,((($J938/$Z938)^$Y938)-1)/($Y938*$AA938)))</f>
        <v/>
      </c>
      <c r="AC938">
        <f>IF($Y938="","",IF($Y938=0,$Z938*EXP($AA938*2),$Z938*(1+$Y938*$AA938*2)^(1/$Y938)))</f>
        <v/>
      </c>
      <c r="AD938">
        <f>IF($Y938="","",IF($Y938=0,$Z938*EXP($AA938*3),$Z938*(1+$Y938*$AA938*3)^(1/$Y938)))</f>
        <v/>
      </c>
      <c r="AE938">
        <f>IF($Y938="","",IF($Y938=0,$Z938*EXP($AA938*-2),$Z938*(1+$Y938*$AA938*-2)^(1/$Y938)))</f>
        <v/>
      </c>
      <c r="AF938">
        <f>IF($Y938="","",IF($Y938=0,$Z938*EXP($AA938*-3),$Z938*(1+$Y938*$AA938*-3)^(1/$Y938)))</f>
        <v/>
      </c>
      <c r="AG938">
        <f>IF($W938="","",IFERROR(INDEX(IF($T938&lt;=60,est05_l,est519_l),MATCH($W938,IF($T938&lt;=60,est05_k,est519_k),1)),""))</f>
        <v/>
      </c>
      <c r="AH938">
        <f>IF($W938="","",IFERROR(INDEX(IF($T938&lt;=60,est05_m,est519_m),MATCH($W938,IF($T938&lt;=60,est05_k,est519_k),1)),""))</f>
        <v/>
      </c>
      <c r="AI938">
        <f>IF($W938="","",IFERROR(INDEX(IF($T938&lt;=60,est05_s,est519_s),MATCH($W938,IF($T938&lt;=60,est05_k,est519_k),1)),""))</f>
        <v/>
      </c>
      <c r="AJ938">
        <f>IF($W938="","",IFERROR(INDEX(IF($T938&lt;=60,peso05_l,peso510_l),MATCH($W938,IF($T938&lt;=60,peso05_k,peso510_k),1)),""))</f>
        <v/>
      </c>
      <c r="AK938">
        <f>IF($W938="","",IFERROR(INDEX(IF($T938&lt;=60,peso05_m,peso510_m),MATCH($W938,IF($T938&lt;=60,peso05_k,peso510_k),1)),""))</f>
        <v/>
      </c>
      <c r="AL938">
        <f>IF($W938="","",IFERROR(INDEX(IF($T938&lt;=60,peso05_s,peso510_s),MATCH($W938,IF($T938&lt;=60,peso05_k,peso510_k),1)),""))</f>
        <v/>
      </c>
      <c r="AM938">
        <f>IF($AJ938="","",IF($AJ938=0,LN($F938/$AK938)/$AL938,((($F938/$AK938)^$AJ938)-1)/($AJ938*$AL938)))</f>
        <v/>
      </c>
      <c r="AN938">
        <f>IF($AJ938="","",IF($AJ938=0,$AK938*EXP($AL938*2),$AK938*(1+$AJ938*$AL938*2)^(1/$AJ938)))</f>
        <v/>
      </c>
      <c r="AO938">
        <f>IF($AJ938="","",IF($AJ938=0,$AK938*EXP($AL938*3),$AK938*(1+$AJ938*$AL938*3)^(1/$AJ938)))</f>
        <v/>
      </c>
      <c r="AP938">
        <f>IF($AJ938="","",IF($AJ938=0,$AK938*EXP($AL938*-2),$AK938*(1+$AJ938*$AL938*-2)^(1/$AJ938)))</f>
        <v/>
      </c>
      <c r="AQ938">
        <f>IF($AJ938="","",IF($AJ938=0,$AK938*EXP($AL938*-3),$AK938*(1+$AJ938*$AL938*-3)^(1/$AJ938)))</f>
        <v/>
      </c>
      <c r="AR938">
        <f>IF(OR($X938="",$T938&gt;60),"",IFERROR(INDEX(IF($T938&lt;24,pcomp_l,palt_l),MATCH($X938,IF($T938&lt;24,pcomp_k,palt_k),1)),""))</f>
        <v/>
      </c>
      <c r="AS938">
        <f>IF(OR($X938="",$T938&gt;60),"",IFERROR(INDEX(IF($T938&lt;24,pcomp_m,palt_m),MATCH($X938,IF($T938&lt;24,pcomp_k,palt_k),1)),""))</f>
        <v/>
      </c>
      <c r="AT938">
        <f>IF(OR($X938="",$T938&gt;60),"",IFERROR(INDEX(IF($T938&lt;24,pcomp_s,palt_s),MATCH($X938,IF($T938&lt;24,pcomp_k,palt_k),1)),""))</f>
        <v/>
      </c>
      <c r="AU938">
        <f>IF($AR938="","",IF($AR938=0,LN($F938/$AS938)/$AT938,((($F938/$AS938)^$AR938)-1)/($AR938*$AT938)))</f>
        <v/>
      </c>
      <c r="AV938">
        <f>IF($AR938="","",IF($AR938=0,$AS938*EXP($AT938*2),$AS938*(1+$AR938*$AT938*2)^(1/$AR938)))</f>
        <v/>
      </c>
      <c r="AW938">
        <f>IF($AR938="","",IF($AR938=0,$AS938*EXP($AT938*3),$AS938*(1+$AR938*$AT938*3)^(1/$AR938)))</f>
        <v/>
      </c>
      <c r="AX938">
        <f>IF($AR938="","",IF($AR938=0,$AS938*EXP($AT938*-2),$AS938*(1+$AR938*$AT938*-2)^(1/$AR938)))</f>
        <v/>
      </c>
      <c r="AY938">
        <f>IF($AR938="","",IF($AR938=0,$AS938*EXP($AT938*-3),$AS938*(1+$AR938*$AT938*-3)^(1/$AR938)))</f>
        <v/>
      </c>
      <c r="AZ938">
        <f>IF(OR($A938="",$A938&lt;&gt;Ficha!$C$4),"",COUNTIF($A$2:$A938,Ficha!$C$4))</f>
        <v/>
      </c>
    </row>
    <row r="939">
      <c r="A939" s="8">
        <f>IF(INDEX(Banco!$A:$A,ROW())="","",INDEX(Banco!$A:$A,ROW()))</f>
        <v/>
      </c>
      <c r="B939" s="8">
        <f>IF(INDEX(Banco!$B:$B,ROW())="","",INDEX(Banco!$B:$B,ROW()))</f>
        <v/>
      </c>
      <c r="C939" s="8">
        <f>IF(INDEX(Banco!$C:$C,ROW())="","",INDEX(Banco!$C:$C,ROW()))</f>
        <v/>
      </c>
      <c r="D939" s="9">
        <f>IF(INDEX(Banco!$D:$D,ROW())="","",INDEX(Banco!$D:$D,ROW()))</f>
        <v/>
      </c>
      <c r="E939" s="9">
        <f>IF(INDEX(Banco!$E:$E,ROW())="","",INDEX(Banco!$E:$E,ROW()))</f>
        <v/>
      </c>
      <c r="F939" s="10">
        <f>IF(INDEX(Banco!$F:$F,ROW())="","",INDEX(Banco!$F:$F,ROW()))</f>
        <v/>
      </c>
      <c r="G939" s="10">
        <f>IF(INDEX(Banco!$G:$G,ROW())="","",INDEX(Banco!$G:$G,ROW()))</f>
        <v/>
      </c>
      <c r="H939" s="8">
        <f>IF(INDEX(Banco!$H:$H,ROW())="","",INDEX(Banco!$H:$H,ROW()))</f>
        <v/>
      </c>
      <c r="I939">
        <f>IF($T939="","",INT($T939/12)&amp;"a "&amp;MOD($T939,12)&amp;"m")</f>
        <v/>
      </c>
      <c r="J939" s="11">
        <f>IF(OR($F939="",$G939=""),"",ROUND($F939/($G939/100)^2,2))</f>
        <v/>
      </c>
      <c r="K939" s="12">
        <f>IF(OR($S939="",$J939="",$T939="",$T939&lt;0,$T939&gt;228,$Y939=""),"—",ROUND(IF(ABS($AB939)&lt;=3,$AB939,IF($AB939&gt;3,3+($J939-$AD939)/($AD939-$AC939),-3+($J939-$AF939)/($AE939-$AF939))),2))</f>
        <v/>
      </c>
      <c r="L939">
        <f>IF(OR($K939="",$K939="—"),"",IF($T939&lt;=60,IF($K939&lt;-3,"Magreza acentuada",IF($K939&lt;-2,"Magreza",IF($K939&lt;=1,"Eutrofia",IF($K939&lt;=2,"Risco de sobrepeso",IF($K939&lt;=3,"Sobrepeso","Obesidade"))))),IF($K939&lt;-3,"Magreza acentuada",IF($K939&lt;-2,"Magreza",IF($K939&lt;=1,"Eutrofia",IF($K939&lt;=2,"Sobrepeso",IF($K939&lt;=3,"Obesidade","Obesidade grave")))))))</f>
        <v/>
      </c>
      <c r="M939" s="12">
        <f>IF(OR($S939="",$V939="",$T939="",$T939&lt;0,$T939&gt;228,$AG939=""),"—",ROUND(IF($AG939=0,LN($V939/$AH939)/$AI939,((($V939/$AH939)^$AG939)-1)/($AG939*$AI939)),2))</f>
        <v/>
      </c>
      <c r="N939">
        <f>IF(OR($M939="",$M939="—"),"",IF($M939&lt;-3,"Muito baixa",IF($M939&lt;-2,"Baixa","Adequada")))</f>
        <v/>
      </c>
      <c r="O939" s="12">
        <f>IF(OR($S939="",$F939="",$T939="",$T939&lt;0,$T939&gt;120,$AJ939=""),"—",ROUND(IF(ABS($AM939)&lt;=3,$AM939,IF($AM939&gt;3,3+($F939-$AO939)/($AO939-$AN939),-3+($F939-$AQ939)/($AP939-$AQ939))),2))</f>
        <v/>
      </c>
      <c r="P939">
        <f>IF(OR($O939="",$O939="—"),"",IF($O939&lt;-3,"Muito baixo",IF($O939&lt;-2,"Baixo",IF($O939&lt;=2,"Adequado","Elevado"))))</f>
        <v/>
      </c>
      <c r="Q939" s="12">
        <f>IF(OR($S939="",$F939="",$T939="",$T939&lt;0,$T939&gt;60,$AR939=""),"—",ROUND(IF(ABS($AU939)&lt;=3,$AU939,IF($AU939&gt;3,3+($F939-$AW939)/($AW939-$AV939),-3+($F939-$AY939)/($AX939-$AY939))),2))</f>
        <v/>
      </c>
      <c r="R939">
        <f>IF(OR($Q939="",$Q939="—"),"",IF($Q939&lt;-3,"Magreza acentuada",IF($Q939&lt;-2,"Magreza",IF($Q939&lt;=1,"Eutrofia",IF($Q939&lt;=2,"Risco de sobrepeso",IF($Q939&lt;=3,"Sobrepeso","Obesidade"))))))</f>
        <v/>
      </c>
      <c r="S939">
        <f>IF($C939="","",IF(UPPER(LEFT($C939,1))="M",1,IF(UPPER(LEFT($C939,1))="F",2,"")))</f>
        <v/>
      </c>
      <c r="T939">
        <f>IF(OR($D939="",$E939=""),"",DATEDIF($D939,$E939,"m"))</f>
        <v/>
      </c>
      <c r="U939">
        <f>IF(OR($D939="",$E939=""),"",$E939-$D939)</f>
        <v/>
      </c>
      <c r="V939">
        <f>IF(OR($G939="",$T939=""),"",IF($T939&lt;24,IF(LEFT(LOWER($H939),4)="em p",$G939+0.7,$G939),IF(LEFT(LOWER($H939),4)="deit",$G939-0.7,$G939)))</f>
        <v/>
      </c>
      <c r="W939">
        <f>IF(OR($S939="",$T939=""),"",$S939*1000000+IF($T939&lt;=60,$U939,$T939))</f>
        <v/>
      </c>
      <c r="X939">
        <f>IF(OR($S939="",$V939="",$T939&gt;60,$T939=""),"",$S939*1000000+ROUND($V939*10,0))</f>
        <v/>
      </c>
      <c r="Y939">
        <f>IF($W939="","",IFERROR(INDEX(IF($T939&lt;=60,imc05_l,imc519_l),MATCH($W939,IF($T939&lt;=60,imc05_k,imc519_k),1)),""))</f>
        <v/>
      </c>
      <c r="Z939">
        <f>IF($W939="","",IFERROR(INDEX(IF($T939&lt;=60,imc05_m,imc519_m),MATCH($W939,IF($T939&lt;=60,imc05_k,imc519_k),1)),""))</f>
        <v/>
      </c>
      <c r="AA939">
        <f>IF($W939="","",IFERROR(INDEX(IF($T939&lt;=60,imc05_s,imc519_s),MATCH($W939,IF($T939&lt;=60,imc05_k,imc519_k),1)),""))</f>
        <v/>
      </c>
      <c r="AB939">
        <f>IF($Y939="","",IF($Y939=0,LN($J939/$Z939)/$AA939,((($J939/$Z939)^$Y939)-1)/($Y939*$AA939)))</f>
        <v/>
      </c>
      <c r="AC939">
        <f>IF($Y939="","",IF($Y939=0,$Z939*EXP($AA939*2),$Z939*(1+$Y939*$AA939*2)^(1/$Y939)))</f>
        <v/>
      </c>
      <c r="AD939">
        <f>IF($Y939="","",IF($Y939=0,$Z939*EXP($AA939*3),$Z939*(1+$Y939*$AA939*3)^(1/$Y939)))</f>
        <v/>
      </c>
      <c r="AE939">
        <f>IF($Y939="","",IF($Y939=0,$Z939*EXP($AA939*-2),$Z939*(1+$Y939*$AA939*-2)^(1/$Y939)))</f>
        <v/>
      </c>
      <c r="AF939">
        <f>IF($Y939="","",IF($Y939=0,$Z939*EXP($AA939*-3),$Z939*(1+$Y939*$AA939*-3)^(1/$Y939)))</f>
        <v/>
      </c>
      <c r="AG939">
        <f>IF($W939="","",IFERROR(INDEX(IF($T939&lt;=60,est05_l,est519_l),MATCH($W939,IF($T939&lt;=60,est05_k,est519_k),1)),""))</f>
        <v/>
      </c>
      <c r="AH939">
        <f>IF($W939="","",IFERROR(INDEX(IF($T939&lt;=60,est05_m,est519_m),MATCH($W939,IF($T939&lt;=60,est05_k,est519_k),1)),""))</f>
        <v/>
      </c>
      <c r="AI939">
        <f>IF($W939="","",IFERROR(INDEX(IF($T939&lt;=60,est05_s,est519_s),MATCH($W939,IF($T939&lt;=60,est05_k,est519_k),1)),""))</f>
        <v/>
      </c>
      <c r="AJ939">
        <f>IF($W939="","",IFERROR(INDEX(IF($T939&lt;=60,peso05_l,peso510_l),MATCH($W939,IF($T939&lt;=60,peso05_k,peso510_k),1)),""))</f>
        <v/>
      </c>
      <c r="AK939">
        <f>IF($W939="","",IFERROR(INDEX(IF($T939&lt;=60,peso05_m,peso510_m),MATCH($W939,IF($T939&lt;=60,peso05_k,peso510_k),1)),""))</f>
        <v/>
      </c>
      <c r="AL939">
        <f>IF($W939="","",IFERROR(INDEX(IF($T939&lt;=60,peso05_s,peso510_s),MATCH($W939,IF($T939&lt;=60,peso05_k,peso510_k),1)),""))</f>
        <v/>
      </c>
      <c r="AM939">
        <f>IF($AJ939="","",IF($AJ939=0,LN($F939/$AK939)/$AL939,((($F939/$AK939)^$AJ939)-1)/($AJ939*$AL939)))</f>
        <v/>
      </c>
      <c r="AN939">
        <f>IF($AJ939="","",IF($AJ939=0,$AK939*EXP($AL939*2),$AK939*(1+$AJ939*$AL939*2)^(1/$AJ939)))</f>
        <v/>
      </c>
      <c r="AO939">
        <f>IF($AJ939="","",IF($AJ939=0,$AK939*EXP($AL939*3),$AK939*(1+$AJ939*$AL939*3)^(1/$AJ939)))</f>
        <v/>
      </c>
      <c r="AP939">
        <f>IF($AJ939="","",IF($AJ939=0,$AK939*EXP($AL939*-2),$AK939*(1+$AJ939*$AL939*-2)^(1/$AJ939)))</f>
        <v/>
      </c>
      <c r="AQ939">
        <f>IF($AJ939="","",IF($AJ939=0,$AK939*EXP($AL939*-3),$AK939*(1+$AJ939*$AL939*-3)^(1/$AJ939)))</f>
        <v/>
      </c>
      <c r="AR939">
        <f>IF(OR($X939="",$T939&gt;60),"",IFERROR(INDEX(IF($T939&lt;24,pcomp_l,palt_l),MATCH($X939,IF($T939&lt;24,pcomp_k,palt_k),1)),""))</f>
        <v/>
      </c>
      <c r="AS939">
        <f>IF(OR($X939="",$T939&gt;60),"",IFERROR(INDEX(IF($T939&lt;24,pcomp_m,palt_m),MATCH($X939,IF($T939&lt;24,pcomp_k,palt_k),1)),""))</f>
        <v/>
      </c>
      <c r="AT939">
        <f>IF(OR($X939="",$T939&gt;60),"",IFERROR(INDEX(IF($T939&lt;24,pcomp_s,palt_s),MATCH($X939,IF($T939&lt;24,pcomp_k,palt_k),1)),""))</f>
        <v/>
      </c>
      <c r="AU939">
        <f>IF($AR939="","",IF($AR939=0,LN($F939/$AS939)/$AT939,((($F939/$AS939)^$AR939)-1)/($AR939*$AT939)))</f>
        <v/>
      </c>
      <c r="AV939">
        <f>IF($AR939="","",IF($AR939=0,$AS939*EXP($AT939*2),$AS939*(1+$AR939*$AT939*2)^(1/$AR939)))</f>
        <v/>
      </c>
      <c r="AW939">
        <f>IF($AR939="","",IF($AR939=0,$AS939*EXP($AT939*3),$AS939*(1+$AR939*$AT939*3)^(1/$AR939)))</f>
        <v/>
      </c>
      <c r="AX939">
        <f>IF($AR939="","",IF($AR939=0,$AS939*EXP($AT939*-2),$AS939*(1+$AR939*$AT939*-2)^(1/$AR939)))</f>
        <v/>
      </c>
      <c r="AY939">
        <f>IF($AR939="","",IF($AR939=0,$AS939*EXP($AT939*-3),$AS939*(1+$AR939*$AT939*-3)^(1/$AR939)))</f>
        <v/>
      </c>
      <c r="AZ939">
        <f>IF(OR($A939="",$A939&lt;&gt;Ficha!$C$4),"",COUNTIF($A$2:$A939,Ficha!$C$4))</f>
        <v/>
      </c>
    </row>
    <row r="940">
      <c r="A940" s="8">
        <f>IF(INDEX(Banco!$A:$A,ROW())="","",INDEX(Banco!$A:$A,ROW()))</f>
        <v/>
      </c>
      <c r="B940" s="8">
        <f>IF(INDEX(Banco!$B:$B,ROW())="","",INDEX(Banco!$B:$B,ROW()))</f>
        <v/>
      </c>
      <c r="C940" s="8">
        <f>IF(INDEX(Banco!$C:$C,ROW())="","",INDEX(Banco!$C:$C,ROW()))</f>
        <v/>
      </c>
      <c r="D940" s="9">
        <f>IF(INDEX(Banco!$D:$D,ROW())="","",INDEX(Banco!$D:$D,ROW()))</f>
        <v/>
      </c>
      <c r="E940" s="9">
        <f>IF(INDEX(Banco!$E:$E,ROW())="","",INDEX(Banco!$E:$E,ROW()))</f>
        <v/>
      </c>
      <c r="F940" s="10">
        <f>IF(INDEX(Banco!$F:$F,ROW())="","",INDEX(Banco!$F:$F,ROW()))</f>
        <v/>
      </c>
      <c r="G940" s="10">
        <f>IF(INDEX(Banco!$G:$G,ROW())="","",INDEX(Banco!$G:$G,ROW()))</f>
        <v/>
      </c>
      <c r="H940" s="8">
        <f>IF(INDEX(Banco!$H:$H,ROW())="","",INDEX(Banco!$H:$H,ROW()))</f>
        <v/>
      </c>
      <c r="I940">
        <f>IF($T940="","",INT($T940/12)&amp;"a "&amp;MOD($T940,12)&amp;"m")</f>
        <v/>
      </c>
      <c r="J940" s="11">
        <f>IF(OR($F940="",$G940=""),"",ROUND($F940/($G940/100)^2,2))</f>
        <v/>
      </c>
      <c r="K940" s="12">
        <f>IF(OR($S940="",$J940="",$T940="",$T940&lt;0,$T940&gt;228,$Y940=""),"—",ROUND(IF(ABS($AB940)&lt;=3,$AB940,IF($AB940&gt;3,3+($J940-$AD940)/($AD940-$AC940),-3+($J940-$AF940)/($AE940-$AF940))),2))</f>
        <v/>
      </c>
      <c r="L940">
        <f>IF(OR($K940="",$K940="—"),"",IF($T940&lt;=60,IF($K940&lt;-3,"Magreza acentuada",IF($K940&lt;-2,"Magreza",IF($K940&lt;=1,"Eutrofia",IF($K940&lt;=2,"Risco de sobrepeso",IF($K940&lt;=3,"Sobrepeso","Obesidade"))))),IF($K940&lt;-3,"Magreza acentuada",IF($K940&lt;-2,"Magreza",IF($K940&lt;=1,"Eutrofia",IF($K940&lt;=2,"Sobrepeso",IF($K940&lt;=3,"Obesidade","Obesidade grave")))))))</f>
        <v/>
      </c>
      <c r="M940" s="12">
        <f>IF(OR($S940="",$V940="",$T940="",$T940&lt;0,$T940&gt;228,$AG940=""),"—",ROUND(IF($AG940=0,LN($V940/$AH940)/$AI940,((($V940/$AH940)^$AG940)-1)/($AG940*$AI940)),2))</f>
        <v/>
      </c>
      <c r="N940">
        <f>IF(OR($M940="",$M940="—"),"",IF($M940&lt;-3,"Muito baixa",IF($M940&lt;-2,"Baixa","Adequada")))</f>
        <v/>
      </c>
      <c r="O940" s="12">
        <f>IF(OR($S940="",$F940="",$T940="",$T940&lt;0,$T940&gt;120,$AJ940=""),"—",ROUND(IF(ABS($AM940)&lt;=3,$AM940,IF($AM940&gt;3,3+($F940-$AO940)/($AO940-$AN940),-3+($F940-$AQ940)/($AP940-$AQ940))),2))</f>
        <v/>
      </c>
      <c r="P940">
        <f>IF(OR($O940="",$O940="—"),"",IF($O940&lt;-3,"Muito baixo",IF($O940&lt;-2,"Baixo",IF($O940&lt;=2,"Adequado","Elevado"))))</f>
        <v/>
      </c>
      <c r="Q940" s="12">
        <f>IF(OR($S940="",$F940="",$T940="",$T940&lt;0,$T940&gt;60,$AR940=""),"—",ROUND(IF(ABS($AU940)&lt;=3,$AU940,IF($AU940&gt;3,3+($F940-$AW940)/($AW940-$AV940),-3+($F940-$AY940)/($AX940-$AY940))),2))</f>
        <v/>
      </c>
      <c r="R940">
        <f>IF(OR($Q940="",$Q940="—"),"",IF($Q940&lt;-3,"Magreza acentuada",IF($Q940&lt;-2,"Magreza",IF($Q940&lt;=1,"Eutrofia",IF($Q940&lt;=2,"Risco de sobrepeso",IF($Q940&lt;=3,"Sobrepeso","Obesidade"))))))</f>
        <v/>
      </c>
      <c r="S940">
        <f>IF($C940="","",IF(UPPER(LEFT($C940,1))="M",1,IF(UPPER(LEFT($C940,1))="F",2,"")))</f>
        <v/>
      </c>
      <c r="T940">
        <f>IF(OR($D940="",$E940=""),"",DATEDIF($D940,$E940,"m"))</f>
        <v/>
      </c>
      <c r="U940">
        <f>IF(OR($D940="",$E940=""),"",$E940-$D940)</f>
        <v/>
      </c>
      <c r="V940">
        <f>IF(OR($G940="",$T940=""),"",IF($T940&lt;24,IF(LEFT(LOWER($H940),4)="em p",$G940+0.7,$G940),IF(LEFT(LOWER($H940),4)="deit",$G940-0.7,$G940)))</f>
        <v/>
      </c>
      <c r="W940">
        <f>IF(OR($S940="",$T940=""),"",$S940*1000000+IF($T940&lt;=60,$U940,$T940))</f>
        <v/>
      </c>
      <c r="X940">
        <f>IF(OR($S940="",$V940="",$T940&gt;60,$T940=""),"",$S940*1000000+ROUND($V940*10,0))</f>
        <v/>
      </c>
      <c r="Y940">
        <f>IF($W940="","",IFERROR(INDEX(IF($T940&lt;=60,imc05_l,imc519_l),MATCH($W940,IF($T940&lt;=60,imc05_k,imc519_k),1)),""))</f>
        <v/>
      </c>
      <c r="Z940">
        <f>IF($W940="","",IFERROR(INDEX(IF($T940&lt;=60,imc05_m,imc519_m),MATCH($W940,IF($T940&lt;=60,imc05_k,imc519_k),1)),""))</f>
        <v/>
      </c>
      <c r="AA940">
        <f>IF($W940="","",IFERROR(INDEX(IF($T940&lt;=60,imc05_s,imc519_s),MATCH($W940,IF($T940&lt;=60,imc05_k,imc519_k),1)),""))</f>
        <v/>
      </c>
      <c r="AB940">
        <f>IF($Y940="","",IF($Y940=0,LN($J940/$Z940)/$AA940,((($J940/$Z940)^$Y940)-1)/($Y940*$AA940)))</f>
        <v/>
      </c>
      <c r="AC940">
        <f>IF($Y940="","",IF($Y940=0,$Z940*EXP($AA940*2),$Z940*(1+$Y940*$AA940*2)^(1/$Y940)))</f>
        <v/>
      </c>
      <c r="AD940">
        <f>IF($Y940="","",IF($Y940=0,$Z940*EXP($AA940*3),$Z940*(1+$Y940*$AA940*3)^(1/$Y940)))</f>
        <v/>
      </c>
      <c r="AE940">
        <f>IF($Y940="","",IF($Y940=0,$Z940*EXP($AA940*-2),$Z940*(1+$Y940*$AA940*-2)^(1/$Y940)))</f>
        <v/>
      </c>
      <c r="AF940">
        <f>IF($Y940="","",IF($Y940=0,$Z940*EXP($AA940*-3),$Z940*(1+$Y940*$AA940*-3)^(1/$Y940)))</f>
        <v/>
      </c>
      <c r="AG940">
        <f>IF($W940="","",IFERROR(INDEX(IF($T940&lt;=60,est05_l,est519_l),MATCH($W940,IF($T940&lt;=60,est05_k,est519_k),1)),""))</f>
        <v/>
      </c>
      <c r="AH940">
        <f>IF($W940="","",IFERROR(INDEX(IF($T940&lt;=60,est05_m,est519_m),MATCH($W940,IF($T940&lt;=60,est05_k,est519_k),1)),""))</f>
        <v/>
      </c>
      <c r="AI940">
        <f>IF($W940="","",IFERROR(INDEX(IF($T940&lt;=60,est05_s,est519_s),MATCH($W940,IF($T940&lt;=60,est05_k,est519_k),1)),""))</f>
        <v/>
      </c>
      <c r="AJ940">
        <f>IF($W940="","",IFERROR(INDEX(IF($T940&lt;=60,peso05_l,peso510_l),MATCH($W940,IF($T940&lt;=60,peso05_k,peso510_k),1)),""))</f>
        <v/>
      </c>
      <c r="AK940">
        <f>IF($W940="","",IFERROR(INDEX(IF($T940&lt;=60,peso05_m,peso510_m),MATCH($W940,IF($T940&lt;=60,peso05_k,peso510_k),1)),""))</f>
        <v/>
      </c>
      <c r="AL940">
        <f>IF($W940="","",IFERROR(INDEX(IF($T940&lt;=60,peso05_s,peso510_s),MATCH($W940,IF($T940&lt;=60,peso05_k,peso510_k),1)),""))</f>
        <v/>
      </c>
      <c r="AM940">
        <f>IF($AJ940="","",IF($AJ940=0,LN($F940/$AK940)/$AL940,((($F940/$AK940)^$AJ940)-1)/($AJ940*$AL940)))</f>
        <v/>
      </c>
      <c r="AN940">
        <f>IF($AJ940="","",IF($AJ940=0,$AK940*EXP($AL940*2),$AK940*(1+$AJ940*$AL940*2)^(1/$AJ940)))</f>
        <v/>
      </c>
      <c r="AO940">
        <f>IF($AJ940="","",IF($AJ940=0,$AK940*EXP($AL940*3),$AK940*(1+$AJ940*$AL940*3)^(1/$AJ940)))</f>
        <v/>
      </c>
      <c r="AP940">
        <f>IF($AJ940="","",IF($AJ940=0,$AK940*EXP($AL940*-2),$AK940*(1+$AJ940*$AL940*-2)^(1/$AJ940)))</f>
        <v/>
      </c>
      <c r="AQ940">
        <f>IF($AJ940="","",IF($AJ940=0,$AK940*EXP($AL940*-3),$AK940*(1+$AJ940*$AL940*-3)^(1/$AJ940)))</f>
        <v/>
      </c>
      <c r="AR940">
        <f>IF(OR($X940="",$T940&gt;60),"",IFERROR(INDEX(IF($T940&lt;24,pcomp_l,palt_l),MATCH($X940,IF($T940&lt;24,pcomp_k,palt_k),1)),""))</f>
        <v/>
      </c>
      <c r="AS940">
        <f>IF(OR($X940="",$T940&gt;60),"",IFERROR(INDEX(IF($T940&lt;24,pcomp_m,palt_m),MATCH($X940,IF($T940&lt;24,pcomp_k,palt_k),1)),""))</f>
        <v/>
      </c>
      <c r="AT940">
        <f>IF(OR($X940="",$T940&gt;60),"",IFERROR(INDEX(IF($T940&lt;24,pcomp_s,palt_s),MATCH($X940,IF($T940&lt;24,pcomp_k,palt_k),1)),""))</f>
        <v/>
      </c>
      <c r="AU940">
        <f>IF($AR940="","",IF($AR940=0,LN($F940/$AS940)/$AT940,((($F940/$AS940)^$AR940)-1)/($AR940*$AT940)))</f>
        <v/>
      </c>
      <c r="AV940">
        <f>IF($AR940="","",IF($AR940=0,$AS940*EXP($AT940*2),$AS940*(1+$AR940*$AT940*2)^(1/$AR940)))</f>
        <v/>
      </c>
      <c r="AW940">
        <f>IF($AR940="","",IF($AR940=0,$AS940*EXP($AT940*3),$AS940*(1+$AR940*$AT940*3)^(1/$AR940)))</f>
        <v/>
      </c>
      <c r="AX940">
        <f>IF($AR940="","",IF($AR940=0,$AS940*EXP($AT940*-2),$AS940*(1+$AR940*$AT940*-2)^(1/$AR940)))</f>
        <v/>
      </c>
      <c r="AY940">
        <f>IF($AR940="","",IF($AR940=0,$AS940*EXP($AT940*-3),$AS940*(1+$AR940*$AT940*-3)^(1/$AR940)))</f>
        <v/>
      </c>
      <c r="AZ940">
        <f>IF(OR($A940="",$A940&lt;&gt;Ficha!$C$4),"",COUNTIF($A$2:$A940,Ficha!$C$4))</f>
        <v/>
      </c>
    </row>
    <row r="941">
      <c r="A941" s="8">
        <f>IF(INDEX(Banco!$A:$A,ROW())="","",INDEX(Banco!$A:$A,ROW()))</f>
        <v/>
      </c>
      <c r="B941" s="8">
        <f>IF(INDEX(Banco!$B:$B,ROW())="","",INDEX(Banco!$B:$B,ROW()))</f>
        <v/>
      </c>
      <c r="C941" s="8">
        <f>IF(INDEX(Banco!$C:$C,ROW())="","",INDEX(Banco!$C:$C,ROW()))</f>
        <v/>
      </c>
      <c r="D941" s="9">
        <f>IF(INDEX(Banco!$D:$D,ROW())="","",INDEX(Banco!$D:$D,ROW()))</f>
        <v/>
      </c>
      <c r="E941" s="9">
        <f>IF(INDEX(Banco!$E:$E,ROW())="","",INDEX(Banco!$E:$E,ROW()))</f>
        <v/>
      </c>
      <c r="F941" s="10">
        <f>IF(INDEX(Banco!$F:$F,ROW())="","",INDEX(Banco!$F:$F,ROW()))</f>
        <v/>
      </c>
      <c r="G941" s="10">
        <f>IF(INDEX(Banco!$G:$G,ROW())="","",INDEX(Banco!$G:$G,ROW()))</f>
        <v/>
      </c>
      <c r="H941" s="8">
        <f>IF(INDEX(Banco!$H:$H,ROW())="","",INDEX(Banco!$H:$H,ROW()))</f>
        <v/>
      </c>
      <c r="I941">
        <f>IF($T941="","",INT($T941/12)&amp;"a "&amp;MOD($T941,12)&amp;"m")</f>
        <v/>
      </c>
      <c r="J941" s="11">
        <f>IF(OR($F941="",$G941=""),"",ROUND($F941/($G941/100)^2,2))</f>
        <v/>
      </c>
      <c r="K941" s="12">
        <f>IF(OR($S941="",$J941="",$T941="",$T941&lt;0,$T941&gt;228,$Y941=""),"—",ROUND(IF(ABS($AB941)&lt;=3,$AB941,IF($AB941&gt;3,3+($J941-$AD941)/($AD941-$AC941),-3+($J941-$AF941)/($AE941-$AF941))),2))</f>
        <v/>
      </c>
      <c r="L941">
        <f>IF(OR($K941="",$K941="—"),"",IF($T941&lt;=60,IF($K941&lt;-3,"Magreza acentuada",IF($K941&lt;-2,"Magreza",IF($K941&lt;=1,"Eutrofia",IF($K941&lt;=2,"Risco de sobrepeso",IF($K941&lt;=3,"Sobrepeso","Obesidade"))))),IF($K941&lt;-3,"Magreza acentuada",IF($K941&lt;-2,"Magreza",IF($K941&lt;=1,"Eutrofia",IF($K941&lt;=2,"Sobrepeso",IF($K941&lt;=3,"Obesidade","Obesidade grave")))))))</f>
        <v/>
      </c>
      <c r="M941" s="12">
        <f>IF(OR($S941="",$V941="",$T941="",$T941&lt;0,$T941&gt;228,$AG941=""),"—",ROUND(IF($AG941=0,LN($V941/$AH941)/$AI941,((($V941/$AH941)^$AG941)-1)/($AG941*$AI941)),2))</f>
        <v/>
      </c>
      <c r="N941">
        <f>IF(OR($M941="",$M941="—"),"",IF($M941&lt;-3,"Muito baixa",IF($M941&lt;-2,"Baixa","Adequada")))</f>
        <v/>
      </c>
      <c r="O941" s="12">
        <f>IF(OR($S941="",$F941="",$T941="",$T941&lt;0,$T941&gt;120,$AJ941=""),"—",ROUND(IF(ABS($AM941)&lt;=3,$AM941,IF($AM941&gt;3,3+($F941-$AO941)/($AO941-$AN941),-3+($F941-$AQ941)/($AP941-$AQ941))),2))</f>
        <v/>
      </c>
      <c r="P941">
        <f>IF(OR($O941="",$O941="—"),"",IF($O941&lt;-3,"Muito baixo",IF($O941&lt;-2,"Baixo",IF($O941&lt;=2,"Adequado","Elevado"))))</f>
        <v/>
      </c>
      <c r="Q941" s="12">
        <f>IF(OR($S941="",$F941="",$T941="",$T941&lt;0,$T941&gt;60,$AR941=""),"—",ROUND(IF(ABS($AU941)&lt;=3,$AU941,IF($AU941&gt;3,3+($F941-$AW941)/($AW941-$AV941),-3+($F941-$AY941)/($AX941-$AY941))),2))</f>
        <v/>
      </c>
      <c r="R941">
        <f>IF(OR($Q941="",$Q941="—"),"",IF($Q941&lt;-3,"Magreza acentuada",IF($Q941&lt;-2,"Magreza",IF($Q941&lt;=1,"Eutrofia",IF($Q941&lt;=2,"Risco de sobrepeso",IF($Q941&lt;=3,"Sobrepeso","Obesidade"))))))</f>
        <v/>
      </c>
      <c r="S941">
        <f>IF($C941="","",IF(UPPER(LEFT($C941,1))="M",1,IF(UPPER(LEFT($C941,1))="F",2,"")))</f>
        <v/>
      </c>
      <c r="T941">
        <f>IF(OR($D941="",$E941=""),"",DATEDIF($D941,$E941,"m"))</f>
        <v/>
      </c>
      <c r="U941">
        <f>IF(OR($D941="",$E941=""),"",$E941-$D941)</f>
        <v/>
      </c>
      <c r="V941">
        <f>IF(OR($G941="",$T941=""),"",IF($T941&lt;24,IF(LEFT(LOWER($H941),4)="em p",$G941+0.7,$G941),IF(LEFT(LOWER($H941),4)="deit",$G941-0.7,$G941)))</f>
        <v/>
      </c>
      <c r="W941">
        <f>IF(OR($S941="",$T941=""),"",$S941*1000000+IF($T941&lt;=60,$U941,$T941))</f>
        <v/>
      </c>
      <c r="X941">
        <f>IF(OR($S941="",$V941="",$T941&gt;60,$T941=""),"",$S941*1000000+ROUND($V941*10,0))</f>
        <v/>
      </c>
      <c r="Y941">
        <f>IF($W941="","",IFERROR(INDEX(IF($T941&lt;=60,imc05_l,imc519_l),MATCH($W941,IF($T941&lt;=60,imc05_k,imc519_k),1)),""))</f>
        <v/>
      </c>
      <c r="Z941">
        <f>IF($W941="","",IFERROR(INDEX(IF($T941&lt;=60,imc05_m,imc519_m),MATCH($W941,IF($T941&lt;=60,imc05_k,imc519_k),1)),""))</f>
        <v/>
      </c>
      <c r="AA941">
        <f>IF($W941="","",IFERROR(INDEX(IF($T941&lt;=60,imc05_s,imc519_s),MATCH($W941,IF($T941&lt;=60,imc05_k,imc519_k),1)),""))</f>
        <v/>
      </c>
      <c r="AB941">
        <f>IF($Y941="","",IF($Y941=0,LN($J941/$Z941)/$AA941,((($J941/$Z941)^$Y941)-1)/($Y941*$AA941)))</f>
        <v/>
      </c>
      <c r="AC941">
        <f>IF($Y941="","",IF($Y941=0,$Z941*EXP($AA941*2),$Z941*(1+$Y941*$AA941*2)^(1/$Y941)))</f>
        <v/>
      </c>
      <c r="AD941">
        <f>IF($Y941="","",IF($Y941=0,$Z941*EXP($AA941*3),$Z941*(1+$Y941*$AA941*3)^(1/$Y941)))</f>
        <v/>
      </c>
      <c r="AE941">
        <f>IF($Y941="","",IF($Y941=0,$Z941*EXP($AA941*-2),$Z941*(1+$Y941*$AA941*-2)^(1/$Y941)))</f>
        <v/>
      </c>
      <c r="AF941">
        <f>IF($Y941="","",IF($Y941=0,$Z941*EXP($AA941*-3),$Z941*(1+$Y941*$AA941*-3)^(1/$Y941)))</f>
        <v/>
      </c>
      <c r="AG941">
        <f>IF($W941="","",IFERROR(INDEX(IF($T941&lt;=60,est05_l,est519_l),MATCH($W941,IF($T941&lt;=60,est05_k,est519_k),1)),""))</f>
        <v/>
      </c>
      <c r="AH941">
        <f>IF($W941="","",IFERROR(INDEX(IF($T941&lt;=60,est05_m,est519_m),MATCH($W941,IF($T941&lt;=60,est05_k,est519_k),1)),""))</f>
        <v/>
      </c>
      <c r="AI941">
        <f>IF($W941="","",IFERROR(INDEX(IF($T941&lt;=60,est05_s,est519_s),MATCH($W941,IF($T941&lt;=60,est05_k,est519_k),1)),""))</f>
        <v/>
      </c>
      <c r="AJ941">
        <f>IF($W941="","",IFERROR(INDEX(IF($T941&lt;=60,peso05_l,peso510_l),MATCH($W941,IF($T941&lt;=60,peso05_k,peso510_k),1)),""))</f>
        <v/>
      </c>
      <c r="AK941">
        <f>IF($W941="","",IFERROR(INDEX(IF($T941&lt;=60,peso05_m,peso510_m),MATCH($W941,IF($T941&lt;=60,peso05_k,peso510_k),1)),""))</f>
        <v/>
      </c>
      <c r="AL941">
        <f>IF($W941="","",IFERROR(INDEX(IF($T941&lt;=60,peso05_s,peso510_s),MATCH($W941,IF($T941&lt;=60,peso05_k,peso510_k),1)),""))</f>
        <v/>
      </c>
      <c r="AM941">
        <f>IF($AJ941="","",IF($AJ941=0,LN($F941/$AK941)/$AL941,((($F941/$AK941)^$AJ941)-1)/($AJ941*$AL941)))</f>
        <v/>
      </c>
      <c r="AN941">
        <f>IF($AJ941="","",IF($AJ941=0,$AK941*EXP($AL941*2),$AK941*(1+$AJ941*$AL941*2)^(1/$AJ941)))</f>
        <v/>
      </c>
      <c r="AO941">
        <f>IF($AJ941="","",IF($AJ941=0,$AK941*EXP($AL941*3),$AK941*(1+$AJ941*$AL941*3)^(1/$AJ941)))</f>
        <v/>
      </c>
      <c r="AP941">
        <f>IF($AJ941="","",IF($AJ941=0,$AK941*EXP($AL941*-2),$AK941*(1+$AJ941*$AL941*-2)^(1/$AJ941)))</f>
        <v/>
      </c>
      <c r="AQ941">
        <f>IF($AJ941="","",IF($AJ941=0,$AK941*EXP($AL941*-3),$AK941*(1+$AJ941*$AL941*-3)^(1/$AJ941)))</f>
        <v/>
      </c>
      <c r="AR941">
        <f>IF(OR($X941="",$T941&gt;60),"",IFERROR(INDEX(IF($T941&lt;24,pcomp_l,palt_l),MATCH($X941,IF($T941&lt;24,pcomp_k,palt_k),1)),""))</f>
        <v/>
      </c>
      <c r="AS941">
        <f>IF(OR($X941="",$T941&gt;60),"",IFERROR(INDEX(IF($T941&lt;24,pcomp_m,palt_m),MATCH($X941,IF($T941&lt;24,pcomp_k,palt_k),1)),""))</f>
        <v/>
      </c>
      <c r="AT941">
        <f>IF(OR($X941="",$T941&gt;60),"",IFERROR(INDEX(IF($T941&lt;24,pcomp_s,palt_s),MATCH($X941,IF($T941&lt;24,pcomp_k,palt_k),1)),""))</f>
        <v/>
      </c>
      <c r="AU941">
        <f>IF($AR941="","",IF($AR941=0,LN($F941/$AS941)/$AT941,((($F941/$AS941)^$AR941)-1)/($AR941*$AT941)))</f>
        <v/>
      </c>
      <c r="AV941">
        <f>IF($AR941="","",IF($AR941=0,$AS941*EXP($AT941*2),$AS941*(1+$AR941*$AT941*2)^(1/$AR941)))</f>
        <v/>
      </c>
      <c r="AW941">
        <f>IF($AR941="","",IF($AR941=0,$AS941*EXP($AT941*3),$AS941*(1+$AR941*$AT941*3)^(1/$AR941)))</f>
        <v/>
      </c>
      <c r="AX941">
        <f>IF($AR941="","",IF($AR941=0,$AS941*EXP($AT941*-2),$AS941*(1+$AR941*$AT941*-2)^(1/$AR941)))</f>
        <v/>
      </c>
      <c r="AY941">
        <f>IF($AR941="","",IF($AR941=0,$AS941*EXP($AT941*-3),$AS941*(1+$AR941*$AT941*-3)^(1/$AR941)))</f>
        <v/>
      </c>
      <c r="AZ941">
        <f>IF(OR($A941="",$A941&lt;&gt;Ficha!$C$4),"",COUNTIF($A$2:$A941,Ficha!$C$4))</f>
        <v/>
      </c>
    </row>
    <row r="942">
      <c r="A942" s="8">
        <f>IF(INDEX(Banco!$A:$A,ROW())="","",INDEX(Banco!$A:$A,ROW()))</f>
        <v/>
      </c>
      <c r="B942" s="8">
        <f>IF(INDEX(Banco!$B:$B,ROW())="","",INDEX(Banco!$B:$B,ROW()))</f>
        <v/>
      </c>
      <c r="C942" s="8">
        <f>IF(INDEX(Banco!$C:$C,ROW())="","",INDEX(Banco!$C:$C,ROW()))</f>
        <v/>
      </c>
      <c r="D942" s="9">
        <f>IF(INDEX(Banco!$D:$D,ROW())="","",INDEX(Banco!$D:$D,ROW()))</f>
        <v/>
      </c>
      <c r="E942" s="9">
        <f>IF(INDEX(Banco!$E:$E,ROW())="","",INDEX(Banco!$E:$E,ROW()))</f>
        <v/>
      </c>
      <c r="F942" s="10">
        <f>IF(INDEX(Banco!$F:$F,ROW())="","",INDEX(Banco!$F:$F,ROW()))</f>
        <v/>
      </c>
      <c r="G942" s="10">
        <f>IF(INDEX(Banco!$G:$G,ROW())="","",INDEX(Banco!$G:$G,ROW()))</f>
        <v/>
      </c>
      <c r="H942" s="8">
        <f>IF(INDEX(Banco!$H:$H,ROW())="","",INDEX(Banco!$H:$H,ROW()))</f>
        <v/>
      </c>
      <c r="I942">
        <f>IF($T942="","",INT($T942/12)&amp;"a "&amp;MOD($T942,12)&amp;"m")</f>
        <v/>
      </c>
      <c r="J942" s="11">
        <f>IF(OR($F942="",$G942=""),"",ROUND($F942/($G942/100)^2,2))</f>
        <v/>
      </c>
      <c r="K942" s="12">
        <f>IF(OR($S942="",$J942="",$T942="",$T942&lt;0,$T942&gt;228,$Y942=""),"—",ROUND(IF(ABS($AB942)&lt;=3,$AB942,IF($AB942&gt;3,3+($J942-$AD942)/($AD942-$AC942),-3+($J942-$AF942)/($AE942-$AF942))),2))</f>
        <v/>
      </c>
      <c r="L942">
        <f>IF(OR($K942="",$K942="—"),"",IF($T942&lt;=60,IF($K942&lt;-3,"Magreza acentuada",IF($K942&lt;-2,"Magreza",IF($K942&lt;=1,"Eutrofia",IF($K942&lt;=2,"Risco de sobrepeso",IF($K942&lt;=3,"Sobrepeso","Obesidade"))))),IF($K942&lt;-3,"Magreza acentuada",IF($K942&lt;-2,"Magreza",IF($K942&lt;=1,"Eutrofia",IF($K942&lt;=2,"Sobrepeso",IF($K942&lt;=3,"Obesidade","Obesidade grave")))))))</f>
        <v/>
      </c>
      <c r="M942" s="12">
        <f>IF(OR($S942="",$V942="",$T942="",$T942&lt;0,$T942&gt;228,$AG942=""),"—",ROUND(IF($AG942=0,LN($V942/$AH942)/$AI942,((($V942/$AH942)^$AG942)-1)/($AG942*$AI942)),2))</f>
        <v/>
      </c>
      <c r="N942">
        <f>IF(OR($M942="",$M942="—"),"",IF($M942&lt;-3,"Muito baixa",IF($M942&lt;-2,"Baixa","Adequada")))</f>
        <v/>
      </c>
      <c r="O942" s="12">
        <f>IF(OR($S942="",$F942="",$T942="",$T942&lt;0,$T942&gt;120,$AJ942=""),"—",ROUND(IF(ABS($AM942)&lt;=3,$AM942,IF($AM942&gt;3,3+($F942-$AO942)/($AO942-$AN942),-3+($F942-$AQ942)/($AP942-$AQ942))),2))</f>
        <v/>
      </c>
      <c r="P942">
        <f>IF(OR($O942="",$O942="—"),"",IF($O942&lt;-3,"Muito baixo",IF($O942&lt;-2,"Baixo",IF($O942&lt;=2,"Adequado","Elevado"))))</f>
        <v/>
      </c>
      <c r="Q942" s="12">
        <f>IF(OR($S942="",$F942="",$T942="",$T942&lt;0,$T942&gt;60,$AR942=""),"—",ROUND(IF(ABS($AU942)&lt;=3,$AU942,IF($AU942&gt;3,3+($F942-$AW942)/($AW942-$AV942),-3+($F942-$AY942)/($AX942-$AY942))),2))</f>
        <v/>
      </c>
      <c r="R942">
        <f>IF(OR($Q942="",$Q942="—"),"",IF($Q942&lt;-3,"Magreza acentuada",IF($Q942&lt;-2,"Magreza",IF($Q942&lt;=1,"Eutrofia",IF($Q942&lt;=2,"Risco de sobrepeso",IF($Q942&lt;=3,"Sobrepeso","Obesidade"))))))</f>
        <v/>
      </c>
      <c r="S942">
        <f>IF($C942="","",IF(UPPER(LEFT($C942,1))="M",1,IF(UPPER(LEFT($C942,1))="F",2,"")))</f>
        <v/>
      </c>
      <c r="T942">
        <f>IF(OR($D942="",$E942=""),"",DATEDIF($D942,$E942,"m"))</f>
        <v/>
      </c>
      <c r="U942">
        <f>IF(OR($D942="",$E942=""),"",$E942-$D942)</f>
        <v/>
      </c>
      <c r="V942">
        <f>IF(OR($G942="",$T942=""),"",IF($T942&lt;24,IF(LEFT(LOWER($H942),4)="em p",$G942+0.7,$G942),IF(LEFT(LOWER($H942),4)="deit",$G942-0.7,$G942)))</f>
        <v/>
      </c>
      <c r="W942">
        <f>IF(OR($S942="",$T942=""),"",$S942*1000000+IF($T942&lt;=60,$U942,$T942))</f>
        <v/>
      </c>
      <c r="X942">
        <f>IF(OR($S942="",$V942="",$T942&gt;60,$T942=""),"",$S942*1000000+ROUND($V942*10,0))</f>
        <v/>
      </c>
      <c r="Y942">
        <f>IF($W942="","",IFERROR(INDEX(IF($T942&lt;=60,imc05_l,imc519_l),MATCH($W942,IF($T942&lt;=60,imc05_k,imc519_k),1)),""))</f>
        <v/>
      </c>
      <c r="Z942">
        <f>IF($W942="","",IFERROR(INDEX(IF($T942&lt;=60,imc05_m,imc519_m),MATCH($W942,IF($T942&lt;=60,imc05_k,imc519_k),1)),""))</f>
        <v/>
      </c>
      <c r="AA942">
        <f>IF($W942="","",IFERROR(INDEX(IF($T942&lt;=60,imc05_s,imc519_s),MATCH($W942,IF($T942&lt;=60,imc05_k,imc519_k),1)),""))</f>
        <v/>
      </c>
      <c r="AB942">
        <f>IF($Y942="","",IF($Y942=0,LN($J942/$Z942)/$AA942,((($J942/$Z942)^$Y942)-1)/($Y942*$AA942)))</f>
        <v/>
      </c>
      <c r="AC942">
        <f>IF($Y942="","",IF($Y942=0,$Z942*EXP($AA942*2),$Z942*(1+$Y942*$AA942*2)^(1/$Y942)))</f>
        <v/>
      </c>
      <c r="AD942">
        <f>IF($Y942="","",IF($Y942=0,$Z942*EXP($AA942*3),$Z942*(1+$Y942*$AA942*3)^(1/$Y942)))</f>
        <v/>
      </c>
      <c r="AE942">
        <f>IF($Y942="","",IF($Y942=0,$Z942*EXP($AA942*-2),$Z942*(1+$Y942*$AA942*-2)^(1/$Y942)))</f>
        <v/>
      </c>
      <c r="AF942">
        <f>IF($Y942="","",IF($Y942=0,$Z942*EXP($AA942*-3),$Z942*(1+$Y942*$AA942*-3)^(1/$Y942)))</f>
        <v/>
      </c>
      <c r="AG942">
        <f>IF($W942="","",IFERROR(INDEX(IF($T942&lt;=60,est05_l,est519_l),MATCH($W942,IF($T942&lt;=60,est05_k,est519_k),1)),""))</f>
        <v/>
      </c>
      <c r="AH942">
        <f>IF($W942="","",IFERROR(INDEX(IF($T942&lt;=60,est05_m,est519_m),MATCH($W942,IF($T942&lt;=60,est05_k,est519_k),1)),""))</f>
        <v/>
      </c>
      <c r="AI942">
        <f>IF($W942="","",IFERROR(INDEX(IF($T942&lt;=60,est05_s,est519_s),MATCH($W942,IF($T942&lt;=60,est05_k,est519_k),1)),""))</f>
        <v/>
      </c>
      <c r="AJ942">
        <f>IF($W942="","",IFERROR(INDEX(IF($T942&lt;=60,peso05_l,peso510_l),MATCH($W942,IF($T942&lt;=60,peso05_k,peso510_k),1)),""))</f>
        <v/>
      </c>
      <c r="AK942">
        <f>IF($W942="","",IFERROR(INDEX(IF($T942&lt;=60,peso05_m,peso510_m),MATCH($W942,IF($T942&lt;=60,peso05_k,peso510_k),1)),""))</f>
        <v/>
      </c>
      <c r="AL942">
        <f>IF($W942="","",IFERROR(INDEX(IF($T942&lt;=60,peso05_s,peso510_s),MATCH($W942,IF($T942&lt;=60,peso05_k,peso510_k),1)),""))</f>
        <v/>
      </c>
      <c r="AM942">
        <f>IF($AJ942="","",IF($AJ942=0,LN($F942/$AK942)/$AL942,((($F942/$AK942)^$AJ942)-1)/($AJ942*$AL942)))</f>
        <v/>
      </c>
      <c r="AN942">
        <f>IF($AJ942="","",IF($AJ942=0,$AK942*EXP($AL942*2),$AK942*(1+$AJ942*$AL942*2)^(1/$AJ942)))</f>
        <v/>
      </c>
      <c r="AO942">
        <f>IF($AJ942="","",IF($AJ942=0,$AK942*EXP($AL942*3),$AK942*(1+$AJ942*$AL942*3)^(1/$AJ942)))</f>
        <v/>
      </c>
      <c r="AP942">
        <f>IF($AJ942="","",IF($AJ942=0,$AK942*EXP($AL942*-2),$AK942*(1+$AJ942*$AL942*-2)^(1/$AJ942)))</f>
        <v/>
      </c>
      <c r="AQ942">
        <f>IF($AJ942="","",IF($AJ942=0,$AK942*EXP($AL942*-3),$AK942*(1+$AJ942*$AL942*-3)^(1/$AJ942)))</f>
        <v/>
      </c>
      <c r="AR942">
        <f>IF(OR($X942="",$T942&gt;60),"",IFERROR(INDEX(IF($T942&lt;24,pcomp_l,palt_l),MATCH($X942,IF($T942&lt;24,pcomp_k,palt_k),1)),""))</f>
        <v/>
      </c>
      <c r="AS942">
        <f>IF(OR($X942="",$T942&gt;60),"",IFERROR(INDEX(IF($T942&lt;24,pcomp_m,palt_m),MATCH($X942,IF($T942&lt;24,pcomp_k,palt_k),1)),""))</f>
        <v/>
      </c>
      <c r="AT942">
        <f>IF(OR($X942="",$T942&gt;60),"",IFERROR(INDEX(IF($T942&lt;24,pcomp_s,palt_s),MATCH($X942,IF($T942&lt;24,pcomp_k,palt_k),1)),""))</f>
        <v/>
      </c>
      <c r="AU942">
        <f>IF($AR942="","",IF($AR942=0,LN($F942/$AS942)/$AT942,((($F942/$AS942)^$AR942)-1)/($AR942*$AT942)))</f>
        <v/>
      </c>
      <c r="AV942">
        <f>IF($AR942="","",IF($AR942=0,$AS942*EXP($AT942*2),$AS942*(1+$AR942*$AT942*2)^(1/$AR942)))</f>
        <v/>
      </c>
      <c r="AW942">
        <f>IF($AR942="","",IF($AR942=0,$AS942*EXP($AT942*3),$AS942*(1+$AR942*$AT942*3)^(1/$AR942)))</f>
        <v/>
      </c>
      <c r="AX942">
        <f>IF($AR942="","",IF($AR942=0,$AS942*EXP($AT942*-2),$AS942*(1+$AR942*$AT942*-2)^(1/$AR942)))</f>
        <v/>
      </c>
      <c r="AY942">
        <f>IF($AR942="","",IF($AR942=0,$AS942*EXP($AT942*-3),$AS942*(1+$AR942*$AT942*-3)^(1/$AR942)))</f>
        <v/>
      </c>
      <c r="AZ942">
        <f>IF(OR($A942="",$A942&lt;&gt;Ficha!$C$4),"",COUNTIF($A$2:$A942,Ficha!$C$4))</f>
        <v/>
      </c>
    </row>
    <row r="943">
      <c r="A943" s="8">
        <f>IF(INDEX(Banco!$A:$A,ROW())="","",INDEX(Banco!$A:$A,ROW()))</f>
        <v/>
      </c>
      <c r="B943" s="8">
        <f>IF(INDEX(Banco!$B:$B,ROW())="","",INDEX(Banco!$B:$B,ROW()))</f>
        <v/>
      </c>
      <c r="C943" s="8">
        <f>IF(INDEX(Banco!$C:$C,ROW())="","",INDEX(Banco!$C:$C,ROW()))</f>
        <v/>
      </c>
      <c r="D943" s="9">
        <f>IF(INDEX(Banco!$D:$D,ROW())="","",INDEX(Banco!$D:$D,ROW()))</f>
        <v/>
      </c>
      <c r="E943" s="9">
        <f>IF(INDEX(Banco!$E:$E,ROW())="","",INDEX(Banco!$E:$E,ROW()))</f>
        <v/>
      </c>
      <c r="F943" s="10">
        <f>IF(INDEX(Banco!$F:$F,ROW())="","",INDEX(Banco!$F:$F,ROW()))</f>
        <v/>
      </c>
      <c r="G943" s="10">
        <f>IF(INDEX(Banco!$G:$G,ROW())="","",INDEX(Banco!$G:$G,ROW()))</f>
        <v/>
      </c>
      <c r="H943" s="8">
        <f>IF(INDEX(Banco!$H:$H,ROW())="","",INDEX(Banco!$H:$H,ROW()))</f>
        <v/>
      </c>
      <c r="I943">
        <f>IF($T943="","",INT($T943/12)&amp;"a "&amp;MOD($T943,12)&amp;"m")</f>
        <v/>
      </c>
      <c r="J943" s="11">
        <f>IF(OR($F943="",$G943=""),"",ROUND($F943/($G943/100)^2,2))</f>
        <v/>
      </c>
      <c r="K943" s="12">
        <f>IF(OR($S943="",$J943="",$T943="",$T943&lt;0,$T943&gt;228,$Y943=""),"—",ROUND(IF(ABS($AB943)&lt;=3,$AB943,IF($AB943&gt;3,3+($J943-$AD943)/($AD943-$AC943),-3+($J943-$AF943)/($AE943-$AF943))),2))</f>
        <v/>
      </c>
      <c r="L943">
        <f>IF(OR($K943="",$K943="—"),"",IF($T943&lt;=60,IF($K943&lt;-3,"Magreza acentuada",IF($K943&lt;-2,"Magreza",IF($K943&lt;=1,"Eutrofia",IF($K943&lt;=2,"Risco de sobrepeso",IF($K943&lt;=3,"Sobrepeso","Obesidade"))))),IF($K943&lt;-3,"Magreza acentuada",IF($K943&lt;-2,"Magreza",IF($K943&lt;=1,"Eutrofia",IF($K943&lt;=2,"Sobrepeso",IF($K943&lt;=3,"Obesidade","Obesidade grave")))))))</f>
        <v/>
      </c>
      <c r="M943" s="12">
        <f>IF(OR($S943="",$V943="",$T943="",$T943&lt;0,$T943&gt;228,$AG943=""),"—",ROUND(IF($AG943=0,LN($V943/$AH943)/$AI943,((($V943/$AH943)^$AG943)-1)/($AG943*$AI943)),2))</f>
        <v/>
      </c>
      <c r="N943">
        <f>IF(OR($M943="",$M943="—"),"",IF($M943&lt;-3,"Muito baixa",IF($M943&lt;-2,"Baixa","Adequada")))</f>
        <v/>
      </c>
      <c r="O943" s="12">
        <f>IF(OR($S943="",$F943="",$T943="",$T943&lt;0,$T943&gt;120,$AJ943=""),"—",ROUND(IF(ABS($AM943)&lt;=3,$AM943,IF($AM943&gt;3,3+($F943-$AO943)/($AO943-$AN943),-3+($F943-$AQ943)/($AP943-$AQ943))),2))</f>
        <v/>
      </c>
      <c r="P943">
        <f>IF(OR($O943="",$O943="—"),"",IF($O943&lt;-3,"Muito baixo",IF($O943&lt;-2,"Baixo",IF($O943&lt;=2,"Adequado","Elevado"))))</f>
        <v/>
      </c>
      <c r="Q943" s="12">
        <f>IF(OR($S943="",$F943="",$T943="",$T943&lt;0,$T943&gt;60,$AR943=""),"—",ROUND(IF(ABS($AU943)&lt;=3,$AU943,IF($AU943&gt;3,3+($F943-$AW943)/($AW943-$AV943),-3+($F943-$AY943)/($AX943-$AY943))),2))</f>
        <v/>
      </c>
      <c r="R943">
        <f>IF(OR($Q943="",$Q943="—"),"",IF($Q943&lt;-3,"Magreza acentuada",IF($Q943&lt;-2,"Magreza",IF($Q943&lt;=1,"Eutrofia",IF($Q943&lt;=2,"Risco de sobrepeso",IF($Q943&lt;=3,"Sobrepeso","Obesidade"))))))</f>
        <v/>
      </c>
      <c r="S943">
        <f>IF($C943="","",IF(UPPER(LEFT($C943,1))="M",1,IF(UPPER(LEFT($C943,1))="F",2,"")))</f>
        <v/>
      </c>
      <c r="T943">
        <f>IF(OR($D943="",$E943=""),"",DATEDIF($D943,$E943,"m"))</f>
        <v/>
      </c>
      <c r="U943">
        <f>IF(OR($D943="",$E943=""),"",$E943-$D943)</f>
        <v/>
      </c>
      <c r="V943">
        <f>IF(OR($G943="",$T943=""),"",IF($T943&lt;24,IF(LEFT(LOWER($H943),4)="em p",$G943+0.7,$G943),IF(LEFT(LOWER($H943),4)="deit",$G943-0.7,$G943)))</f>
        <v/>
      </c>
      <c r="W943">
        <f>IF(OR($S943="",$T943=""),"",$S943*1000000+IF($T943&lt;=60,$U943,$T943))</f>
        <v/>
      </c>
      <c r="X943">
        <f>IF(OR($S943="",$V943="",$T943&gt;60,$T943=""),"",$S943*1000000+ROUND($V943*10,0))</f>
        <v/>
      </c>
      <c r="Y943">
        <f>IF($W943="","",IFERROR(INDEX(IF($T943&lt;=60,imc05_l,imc519_l),MATCH($W943,IF($T943&lt;=60,imc05_k,imc519_k),1)),""))</f>
        <v/>
      </c>
      <c r="Z943">
        <f>IF($W943="","",IFERROR(INDEX(IF($T943&lt;=60,imc05_m,imc519_m),MATCH($W943,IF($T943&lt;=60,imc05_k,imc519_k),1)),""))</f>
        <v/>
      </c>
      <c r="AA943">
        <f>IF($W943="","",IFERROR(INDEX(IF($T943&lt;=60,imc05_s,imc519_s),MATCH($W943,IF($T943&lt;=60,imc05_k,imc519_k),1)),""))</f>
        <v/>
      </c>
      <c r="AB943">
        <f>IF($Y943="","",IF($Y943=0,LN($J943/$Z943)/$AA943,((($J943/$Z943)^$Y943)-1)/($Y943*$AA943)))</f>
        <v/>
      </c>
      <c r="AC943">
        <f>IF($Y943="","",IF($Y943=0,$Z943*EXP($AA943*2),$Z943*(1+$Y943*$AA943*2)^(1/$Y943)))</f>
        <v/>
      </c>
      <c r="AD943">
        <f>IF($Y943="","",IF($Y943=0,$Z943*EXP($AA943*3),$Z943*(1+$Y943*$AA943*3)^(1/$Y943)))</f>
        <v/>
      </c>
      <c r="AE943">
        <f>IF($Y943="","",IF($Y943=0,$Z943*EXP($AA943*-2),$Z943*(1+$Y943*$AA943*-2)^(1/$Y943)))</f>
        <v/>
      </c>
      <c r="AF943">
        <f>IF($Y943="","",IF($Y943=0,$Z943*EXP($AA943*-3),$Z943*(1+$Y943*$AA943*-3)^(1/$Y943)))</f>
        <v/>
      </c>
      <c r="AG943">
        <f>IF($W943="","",IFERROR(INDEX(IF($T943&lt;=60,est05_l,est519_l),MATCH($W943,IF($T943&lt;=60,est05_k,est519_k),1)),""))</f>
        <v/>
      </c>
      <c r="AH943">
        <f>IF($W943="","",IFERROR(INDEX(IF($T943&lt;=60,est05_m,est519_m),MATCH($W943,IF($T943&lt;=60,est05_k,est519_k),1)),""))</f>
        <v/>
      </c>
      <c r="AI943">
        <f>IF($W943="","",IFERROR(INDEX(IF($T943&lt;=60,est05_s,est519_s),MATCH($W943,IF($T943&lt;=60,est05_k,est519_k),1)),""))</f>
        <v/>
      </c>
      <c r="AJ943">
        <f>IF($W943="","",IFERROR(INDEX(IF($T943&lt;=60,peso05_l,peso510_l),MATCH($W943,IF($T943&lt;=60,peso05_k,peso510_k),1)),""))</f>
        <v/>
      </c>
      <c r="AK943">
        <f>IF($W943="","",IFERROR(INDEX(IF($T943&lt;=60,peso05_m,peso510_m),MATCH($W943,IF($T943&lt;=60,peso05_k,peso510_k),1)),""))</f>
        <v/>
      </c>
      <c r="AL943">
        <f>IF($W943="","",IFERROR(INDEX(IF($T943&lt;=60,peso05_s,peso510_s),MATCH($W943,IF($T943&lt;=60,peso05_k,peso510_k),1)),""))</f>
        <v/>
      </c>
      <c r="AM943">
        <f>IF($AJ943="","",IF($AJ943=0,LN($F943/$AK943)/$AL943,((($F943/$AK943)^$AJ943)-1)/($AJ943*$AL943)))</f>
        <v/>
      </c>
      <c r="AN943">
        <f>IF($AJ943="","",IF($AJ943=0,$AK943*EXP($AL943*2),$AK943*(1+$AJ943*$AL943*2)^(1/$AJ943)))</f>
        <v/>
      </c>
      <c r="AO943">
        <f>IF($AJ943="","",IF($AJ943=0,$AK943*EXP($AL943*3),$AK943*(1+$AJ943*$AL943*3)^(1/$AJ943)))</f>
        <v/>
      </c>
      <c r="AP943">
        <f>IF($AJ943="","",IF($AJ943=0,$AK943*EXP($AL943*-2),$AK943*(1+$AJ943*$AL943*-2)^(1/$AJ943)))</f>
        <v/>
      </c>
      <c r="AQ943">
        <f>IF($AJ943="","",IF($AJ943=0,$AK943*EXP($AL943*-3),$AK943*(1+$AJ943*$AL943*-3)^(1/$AJ943)))</f>
        <v/>
      </c>
      <c r="AR943">
        <f>IF(OR($X943="",$T943&gt;60),"",IFERROR(INDEX(IF($T943&lt;24,pcomp_l,palt_l),MATCH($X943,IF($T943&lt;24,pcomp_k,palt_k),1)),""))</f>
        <v/>
      </c>
      <c r="AS943">
        <f>IF(OR($X943="",$T943&gt;60),"",IFERROR(INDEX(IF($T943&lt;24,pcomp_m,palt_m),MATCH($X943,IF($T943&lt;24,pcomp_k,palt_k),1)),""))</f>
        <v/>
      </c>
      <c r="AT943">
        <f>IF(OR($X943="",$T943&gt;60),"",IFERROR(INDEX(IF($T943&lt;24,pcomp_s,palt_s),MATCH($X943,IF($T943&lt;24,pcomp_k,palt_k),1)),""))</f>
        <v/>
      </c>
      <c r="AU943">
        <f>IF($AR943="","",IF($AR943=0,LN($F943/$AS943)/$AT943,((($F943/$AS943)^$AR943)-1)/($AR943*$AT943)))</f>
        <v/>
      </c>
      <c r="AV943">
        <f>IF($AR943="","",IF($AR943=0,$AS943*EXP($AT943*2),$AS943*(1+$AR943*$AT943*2)^(1/$AR943)))</f>
        <v/>
      </c>
      <c r="AW943">
        <f>IF($AR943="","",IF($AR943=0,$AS943*EXP($AT943*3),$AS943*(1+$AR943*$AT943*3)^(1/$AR943)))</f>
        <v/>
      </c>
      <c r="AX943">
        <f>IF($AR943="","",IF($AR943=0,$AS943*EXP($AT943*-2),$AS943*(1+$AR943*$AT943*-2)^(1/$AR943)))</f>
        <v/>
      </c>
      <c r="AY943">
        <f>IF($AR943="","",IF($AR943=0,$AS943*EXP($AT943*-3),$AS943*(1+$AR943*$AT943*-3)^(1/$AR943)))</f>
        <v/>
      </c>
      <c r="AZ943">
        <f>IF(OR($A943="",$A943&lt;&gt;Ficha!$C$4),"",COUNTIF($A$2:$A943,Ficha!$C$4))</f>
        <v/>
      </c>
    </row>
    <row r="944">
      <c r="A944" s="8">
        <f>IF(INDEX(Banco!$A:$A,ROW())="","",INDEX(Banco!$A:$A,ROW()))</f>
        <v/>
      </c>
      <c r="B944" s="8">
        <f>IF(INDEX(Banco!$B:$B,ROW())="","",INDEX(Banco!$B:$B,ROW()))</f>
        <v/>
      </c>
      <c r="C944" s="8">
        <f>IF(INDEX(Banco!$C:$C,ROW())="","",INDEX(Banco!$C:$C,ROW()))</f>
        <v/>
      </c>
      <c r="D944" s="9">
        <f>IF(INDEX(Banco!$D:$D,ROW())="","",INDEX(Banco!$D:$D,ROW()))</f>
        <v/>
      </c>
      <c r="E944" s="9">
        <f>IF(INDEX(Banco!$E:$E,ROW())="","",INDEX(Banco!$E:$E,ROW()))</f>
        <v/>
      </c>
      <c r="F944" s="10">
        <f>IF(INDEX(Banco!$F:$F,ROW())="","",INDEX(Banco!$F:$F,ROW()))</f>
        <v/>
      </c>
      <c r="G944" s="10">
        <f>IF(INDEX(Banco!$G:$G,ROW())="","",INDEX(Banco!$G:$G,ROW()))</f>
        <v/>
      </c>
      <c r="H944" s="8">
        <f>IF(INDEX(Banco!$H:$H,ROW())="","",INDEX(Banco!$H:$H,ROW()))</f>
        <v/>
      </c>
      <c r="I944">
        <f>IF($T944="","",INT($T944/12)&amp;"a "&amp;MOD($T944,12)&amp;"m")</f>
        <v/>
      </c>
      <c r="J944" s="11">
        <f>IF(OR($F944="",$G944=""),"",ROUND($F944/($G944/100)^2,2))</f>
        <v/>
      </c>
      <c r="K944" s="12">
        <f>IF(OR($S944="",$J944="",$T944="",$T944&lt;0,$T944&gt;228,$Y944=""),"—",ROUND(IF(ABS($AB944)&lt;=3,$AB944,IF($AB944&gt;3,3+($J944-$AD944)/($AD944-$AC944),-3+($J944-$AF944)/($AE944-$AF944))),2))</f>
        <v/>
      </c>
      <c r="L944">
        <f>IF(OR($K944="",$K944="—"),"",IF($T944&lt;=60,IF($K944&lt;-3,"Magreza acentuada",IF($K944&lt;-2,"Magreza",IF($K944&lt;=1,"Eutrofia",IF($K944&lt;=2,"Risco de sobrepeso",IF($K944&lt;=3,"Sobrepeso","Obesidade"))))),IF($K944&lt;-3,"Magreza acentuada",IF($K944&lt;-2,"Magreza",IF($K944&lt;=1,"Eutrofia",IF($K944&lt;=2,"Sobrepeso",IF($K944&lt;=3,"Obesidade","Obesidade grave")))))))</f>
        <v/>
      </c>
      <c r="M944" s="12">
        <f>IF(OR($S944="",$V944="",$T944="",$T944&lt;0,$T944&gt;228,$AG944=""),"—",ROUND(IF($AG944=0,LN($V944/$AH944)/$AI944,((($V944/$AH944)^$AG944)-1)/($AG944*$AI944)),2))</f>
        <v/>
      </c>
      <c r="N944">
        <f>IF(OR($M944="",$M944="—"),"",IF($M944&lt;-3,"Muito baixa",IF($M944&lt;-2,"Baixa","Adequada")))</f>
        <v/>
      </c>
      <c r="O944" s="12">
        <f>IF(OR($S944="",$F944="",$T944="",$T944&lt;0,$T944&gt;120,$AJ944=""),"—",ROUND(IF(ABS($AM944)&lt;=3,$AM944,IF($AM944&gt;3,3+($F944-$AO944)/($AO944-$AN944),-3+($F944-$AQ944)/($AP944-$AQ944))),2))</f>
        <v/>
      </c>
      <c r="P944">
        <f>IF(OR($O944="",$O944="—"),"",IF($O944&lt;-3,"Muito baixo",IF($O944&lt;-2,"Baixo",IF($O944&lt;=2,"Adequado","Elevado"))))</f>
        <v/>
      </c>
      <c r="Q944" s="12">
        <f>IF(OR($S944="",$F944="",$T944="",$T944&lt;0,$T944&gt;60,$AR944=""),"—",ROUND(IF(ABS($AU944)&lt;=3,$AU944,IF($AU944&gt;3,3+($F944-$AW944)/($AW944-$AV944),-3+($F944-$AY944)/($AX944-$AY944))),2))</f>
        <v/>
      </c>
      <c r="R944">
        <f>IF(OR($Q944="",$Q944="—"),"",IF($Q944&lt;-3,"Magreza acentuada",IF($Q944&lt;-2,"Magreza",IF($Q944&lt;=1,"Eutrofia",IF($Q944&lt;=2,"Risco de sobrepeso",IF($Q944&lt;=3,"Sobrepeso","Obesidade"))))))</f>
        <v/>
      </c>
      <c r="S944">
        <f>IF($C944="","",IF(UPPER(LEFT($C944,1))="M",1,IF(UPPER(LEFT($C944,1))="F",2,"")))</f>
        <v/>
      </c>
      <c r="T944">
        <f>IF(OR($D944="",$E944=""),"",DATEDIF($D944,$E944,"m"))</f>
        <v/>
      </c>
      <c r="U944">
        <f>IF(OR($D944="",$E944=""),"",$E944-$D944)</f>
        <v/>
      </c>
      <c r="V944">
        <f>IF(OR($G944="",$T944=""),"",IF($T944&lt;24,IF(LEFT(LOWER($H944),4)="em p",$G944+0.7,$G944),IF(LEFT(LOWER($H944),4)="deit",$G944-0.7,$G944)))</f>
        <v/>
      </c>
      <c r="W944">
        <f>IF(OR($S944="",$T944=""),"",$S944*1000000+IF($T944&lt;=60,$U944,$T944))</f>
        <v/>
      </c>
      <c r="X944">
        <f>IF(OR($S944="",$V944="",$T944&gt;60,$T944=""),"",$S944*1000000+ROUND($V944*10,0))</f>
        <v/>
      </c>
      <c r="Y944">
        <f>IF($W944="","",IFERROR(INDEX(IF($T944&lt;=60,imc05_l,imc519_l),MATCH($W944,IF($T944&lt;=60,imc05_k,imc519_k),1)),""))</f>
        <v/>
      </c>
      <c r="Z944">
        <f>IF($W944="","",IFERROR(INDEX(IF($T944&lt;=60,imc05_m,imc519_m),MATCH($W944,IF($T944&lt;=60,imc05_k,imc519_k),1)),""))</f>
        <v/>
      </c>
      <c r="AA944">
        <f>IF($W944="","",IFERROR(INDEX(IF($T944&lt;=60,imc05_s,imc519_s),MATCH($W944,IF($T944&lt;=60,imc05_k,imc519_k),1)),""))</f>
        <v/>
      </c>
      <c r="AB944">
        <f>IF($Y944="","",IF($Y944=0,LN($J944/$Z944)/$AA944,((($J944/$Z944)^$Y944)-1)/($Y944*$AA944)))</f>
        <v/>
      </c>
      <c r="AC944">
        <f>IF($Y944="","",IF($Y944=0,$Z944*EXP($AA944*2),$Z944*(1+$Y944*$AA944*2)^(1/$Y944)))</f>
        <v/>
      </c>
      <c r="AD944">
        <f>IF($Y944="","",IF($Y944=0,$Z944*EXP($AA944*3),$Z944*(1+$Y944*$AA944*3)^(1/$Y944)))</f>
        <v/>
      </c>
      <c r="AE944">
        <f>IF($Y944="","",IF($Y944=0,$Z944*EXP($AA944*-2),$Z944*(1+$Y944*$AA944*-2)^(1/$Y944)))</f>
        <v/>
      </c>
      <c r="AF944">
        <f>IF($Y944="","",IF($Y944=0,$Z944*EXP($AA944*-3),$Z944*(1+$Y944*$AA944*-3)^(1/$Y944)))</f>
        <v/>
      </c>
      <c r="AG944">
        <f>IF($W944="","",IFERROR(INDEX(IF($T944&lt;=60,est05_l,est519_l),MATCH($W944,IF($T944&lt;=60,est05_k,est519_k),1)),""))</f>
        <v/>
      </c>
      <c r="AH944">
        <f>IF($W944="","",IFERROR(INDEX(IF($T944&lt;=60,est05_m,est519_m),MATCH($W944,IF($T944&lt;=60,est05_k,est519_k),1)),""))</f>
        <v/>
      </c>
      <c r="AI944">
        <f>IF($W944="","",IFERROR(INDEX(IF($T944&lt;=60,est05_s,est519_s),MATCH($W944,IF($T944&lt;=60,est05_k,est519_k),1)),""))</f>
        <v/>
      </c>
      <c r="AJ944">
        <f>IF($W944="","",IFERROR(INDEX(IF($T944&lt;=60,peso05_l,peso510_l),MATCH($W944,IF($T944&lt;=60,peso05_k,peso510_k),1)),""))</f>
        <v/>
      </c>
      <c r="AK944">
        <f>IF($W944="","",IFERROR(INDEX(IF($T944&lt;=60,peso05_m,peso510_m),MATCH($W944,IF($T944&lt;=60,peso05_k,peso510_k),1)),""))</f>
        <v/>
      </c>
      <c r="AL944">
        <f>IF($W944="","",IFERROR(INDEX(IF($T944&lt;=60,peso05_s,peso510_s),MATCH($W944,IF($T944&lt;=60,peso05_k,peso510_k),1)),""))</f>
        <v/>
      </c>
      <c r="AM944">
        <f>IF($AJ944="","",IF($AJ944=0,LN($F944/$AK944)/$AL944,((($F944/$AK944)^$AJ944)-1)/($AJ944*$AL944)))</f>
        <v/>
      </c>
      <c r="AN944">
        <f>IF($AJ944="","",IF($AJ944=0,$AK944*EXP($AL944*2),$AK944*(1+$AJ944*$AL944*2)^(1/$AJ944)))</f>
        <v/>
      </c>
      <c r="AO944">
        <f>IF($AJ944="","",IF($AJ944=0,$AK944*EXP($AL944*3),$AK944*(1+$AJ944*$AL944*3)^(1/$AJ944)))</f>
        <v/>
      </c>
      <c r="AP944">
        <f>IF($AJ944="","",IF($AJ944=0,$AK944*EXP($AL944*-2),$AK944*(1+$AJ944*$AL944*-2)^(1/$AJ944)))</f>
        <v/>
      </c>
      <c r="AQ944">
        <f>IF($AJ944="","",IF($AJ944=0,$AK944*EXP($AL944*-3),$AK944*(1+$AJ944*$AL944*-3)^(1/$AJ944)))</f>
        <v/>
      </c>
      <c r="AR944">
        <f>IF(OR($X944="",$T944&gt;60),"",IFERROR(INDEX(IF($T944&lt;24,pcomp_l,palt_l),MATCH($X944,IF($T944&lt;24,pcomp_k,palt_k),1)),""))</f>
        <v/>
      </c>
      <c r="AS944">
        <f>IF(OR($X944="",$T944&gt;60),"",IFERROR(INDEX(IF($T944&lt;24,pcomp_m,palt_m),MATCH($X944,IF($T944&lt;24,pcomp_k,palt_k),1)),""))</f>
        <v/>
      </c>
      <c r="AT944">
        <f>IF(OR($X944="",$T944&gt;60),"",IFERROR(INDEX(IF($T944&lt;24,pcomp_s,palt_s),MATCH($X944,IF($T944&lt;24,pcomp_k,palt_k),1)),""))</f>
        <v/>
      </c>
      <c r="AU944">
        <f>IF($AR944="","",IF($AR944=0,LN($F944/$AS944)/$AT944,((($F944/$AS944)^$AR944)-1)/($AR944*$AT944)))</f>
        <v/>
      </c>
      <c r="AV944">
        <f>IF($AR944="","",IF($AR944=0,$AS944*EXP($AT944*2),$AS944*(1+$AR944*$AT944*2)^(1/$AR944)))</f>
        <v/>
      </c>
      <c r="AW944">
        <f>IF($AR944="","",IF($AR944=0,$AS944*EXP($AT944*3),$AS944*(1+$AR944*$AT944*3)^(1/$AR944)))</f>
        <v/>
      </c>
      <c r="AX944">
        <f>IF($AR944="","",IF($AR944=0,$AS944*EXP($AT944*-2),$AS944*(1+$AR944*$AT944*-2)^(1/$AR944)))</f>
        <v/>
      </c>
      <c r="AY944">
        <f>IF($AR944="","",IF($AR944=0,$AS944*EXP($AT944*-3),$AS944*(1+$AR944*$AT944*-3)^(1/$AR944)))</f>
        <v/>
      </c>
      <c r="AZ944">
        <f>IF(OR($A944="",$A944&lt;&gt;Ficha!$C$4),"",COUNTIF($A$2:$A944,Ficha!$C$4))</f>
        <v/>
      </c>
    </row>
    <row r="945">
      <c r="A945" s="8">
        <f>IF(INDEX(Banco!$A:$A,ROW())="","",INDEX(Banco!$A:$A,ROW()))</f>
        <v/>
      </c>
      <c r="B945" s="8">
        <f>IF(INDEX(Banco!$B:$B,ROW())="","",INDEX(Banco!$B:$B,ROW()))</f>
        <v/>
      </c>
      <c r="C945" s="8">
        <f>IF(INDEX(Banco!$C:$C,ROW())="","",INDEX(Banco!$C:$C,ROW()))</f>
        <v/>
      </c>
      <c r="D945" s="9">
        <f>IF(INDEX(Banco!$D:$D,ROW())="","",INDEX(Banco!$D:$D,ROW()))</f>
        <v/>
      </c>
      <c r="E945" s="9">
        <f>IF(INDEX(Banco!$E:$E,ROW())="","",INDEX(Banco!$E:$E,ROW()))</f>
        <v/>
      </c>
      <c r="F945" s="10">
        <f>IF(INDEX(Banco!$F:$F,ROW())="","",INDEX(Banco!$F:$F,ROW()))</f>
        <v/>
      </c>
      <c r="G945" s="10">
        <f>IF(INDEX(Banco!$G:$G,ROW())="","",INDEX(Banco!$G:$G,ROW()))</f>
        <v/>
      </c>
      <c r="H945" s="8">
        <f>IF(INDEX(Banco!$H:$H,ROW())="","",INDEX(Banco!$H:$H,ROW()))</f>
        <v/>
      </c>
      <c r="I945">
        <f>IF($T945="","",INT($T945/12)&amp;"a "&amp;MOD($T945,12)&amp;"m")</f>
        <v/>
      </c>
      <c r="J945" s="11">
        <f>IF(OR($F945="",$G945=""),"",ROUND($F945/($G945/100)^2,2))</f>
        <v/>
      </c>
      <c r="K945" s="12">
        <f>IF(OR($S945="",$J945="",$T945="",$T945&lt;0,$T945&gt;228,$Y945=""),"—",ROUND(IF(ABS($AB945)&lt;=3,$AB945,IF($AB945&gt;3,3+($J945-$AD945)/($AD945-$AC945),-3+($J945-$AF945)/($AE945-$AF945))),2))</f>
        <v/>
      </c>
      <c r="L945">
        <f>IF(OR($K945="",$K945="—"),"",IF($T945&lt;=60,IF($K945&lt;-3,"Magreza acentuada",IF($K945&lt;-2,"Magreza",IF($K945&lt;=1,"Eutrofia",IF($K945&lt;=2,"Risco de sobrepeso",IF($K945&lt;=3,"Sobrepeso","Obesidade"))))),IF($K945&lt;-3,"Magreza acentuada",IF($K945&lt;-2,"Magreza",IF($K945&lt;=1,"Eutrofia",IF($K945&lt;=2,"Sobrepeso",IF($K945&lt;=3,"Obesidade","Obesidade grave")))))))</f>
        <v/>
      </c>
      <c r="M945" s="12">
        <f>IF(OR($S945="",$V945="",$T945="",$T945&lt;0,$T945&gt;228,$AG945=""),"—",ROUND(IF($AG945=0,LN($V945/$AH945)/$AI945,((($V945/$AH945)^$AG945)-1)/($AG945*$AI945)),2))</f>
        <v/>
      </c>
      <c r="N945">
        <f>IF(OR($M945="",$M945="—"),"",IF($M945&lt;-3,"Muito baixa",IF($M945&lt;-2,"Baixa","Adequada")))</f>
        <v/>
      </c>
      <c r="O945" s="12">
        <f>IF(OR($S945="",$F945="",$T945="",$T945&lt;0,$T945&gt;120,$AJ945=""),"—",ROUND(IF(ABS($AM945)&lt;=3,$AM945,IF($AM945&gt;3,3+($F945-$AO945)/($AO945-$AN945),-3+($F945-$AQ945)/($AP945-$AQ945))),2))</f>
        <v/>
      </c>
      <c r="P945">
        <f>IF(OR($O945="",$O945="—"),"",IF($O945&lt;-3,"Muito baixo",IF($O945&lt;-2,"Baixo",IF($O945&lt;=2,"Adequado","Elevado"))))</f>
        <v/>
      </c>
      <c r="Q945" s="12">
        <f>IF(OR($S945="",$F945="",$T945="",$T945&lt;0,$T945&gt;60,$AR945=""),"—",ROUND(IF(ABS($AU945)&lt;=3,$AU945,IF($AU945&gt;3,3+($F945-$AW945)/($AW945-$AV945),-3+($F945-$AY945)/($AX945-$AY945))),2))</f>
        <v/>
      </c>
      <c r="R945">
        <f>IF(OR($Q945="",$Q945="—"),"",IF($Q945&lt;-3,"Magreza acentuada",IF($Q945&lt;-2,"Magreza",IF($Q945&lt;=1,"Eutrofia",IF($Q945&lt;=2,"Risco de sobrepeso",IF($Q945&lt;=3,"Sobrepeso","Obesidade"))))))</f>
        <v/>
      </c>
      <c r="S945">
        <f>IF($C945="","",IF(UPPER(LEFT($C945,1))="M",1,IF(UPPER(LEFT($C945,1))="F",2,"")))</f>
        <v/>
      </c>
      <c r="T945">
        <f>IF(OR($D945="",$E945=""),"",DATEDIF($D945,$E945,"m"))</f>
        <v/>
      </c>
      <c r="U945">
        <f>IF(OR($D945="",$E945=""),"",$E945-$D945)</f>
        <v/>
      </c>
      <c r="V945">
        <f>IF(OR($G945="",$T945=""),"",IF($T945&lt;24,IF(LEFT(LOWER($H945),4)="em p",$G945+0.7,$G945),IF(LEFT(LOWER($H945),4)="deit",$G945-0.7,$G945)))</f>
        <v/>
      </c>
      <c r="W945">
        <f>IF(OR($S945="",$T945=""),"",$S945*1000000+IF($T945&lt;=60,$U945,$T945))</f>
        <v/>
      </c>
      <c r="X945">
        <f>IF(OR($S945="",$V945="",$T945&gt;60,$T945=""),"",$S945*1000000+ROUND($V945*10,0))</f>
        <v/>
      </c>
      <c r="Y945">
        <f>IF($W945="","",IFERROR(INDEX(IF($T945&lt;=60,imc05_l,imc519_l),MATCH($W945,IF($T945&lt;=60,imc05_k,imc519_k),1)),""))</f>
        <v/>
      </c>
      <c r="Z945">
        <f>IF($W945="","",IFERROR(INDEX(IF($T945&lt;=60,imc05_m,imc519_m),MATCH($W945,IF($T945&lt;=60,imc05_k,imc519_k),1)),""))</f>
        <v/>
      </c>
      <c r="AA945">
        <f>IF($W945="","",IFERROR(INDEX(IF($T945&lt;=60,imc05_s,imc519_s),MATCH($W945,IF($T945&lt;=60,imc05_k,imc519_k),1)),""))</f>
        <v/>
      </c>
      <c r="AB945">
        <f>IF($Y945="","",IF($Y945=0,LN($J945/$Z945)/$AA945,((($J945/$Z945)^$Y945)-1)/($Y945*$AA945)))</f>
        <v/>
      </c>
      <c r="AC945">
        <f>IF($Y945="","",IF($Y945=0,$Z945*EXP($AA945*2),$Z945*(1+$Y945*$AA945*2)^(1/$Y945)))</f>
        <v/>
      </c>
      <c r="AD945">
        <f>IF($Y945="","",IF($Y945=0,$Z945*EXP($AA945*3),$Z945*(1+$Y945*$AA945*3)^(1/$Y945)))</f>
        <v/>
      </c>
      <c r="AE945">
        <f>IF($Y945="","",IF($Y945=0,$Z945*EXP($AA945*-2),$Z945*(1+$Y945*$AA945*-2)^(1/$Y945)))</f>
        <v/>
      </c>
      <c r="AF945">
        <f>IF($Y945="","",IF($Y945=0,$Z945*EXP($AA945*-3),$Z945*(1+$Y945*$AA945*-3)^(1/$Y945)))</f>
        <v/>
      </c>
      <c r="AG945">
        <f>IF($W945="","",IFERROR(INDEX(IF($T945&lt;=60,est05_l,est519_l),MATCH($W945,IF($T945&lt;=60,est05_k,est519_k),1)),""))</f>
        <v/>
      </c>
      <c r="AH945">
        <f>IF($W945="","",IFERROR(INDEX(IF($T945&lt;=60,est05_m,est519_m),MATCH($W945,IF($T945&lt;=60,est05_k,est519_k),1)),""))</f>
        <v/>
      </c>
      <c r="AI945">
        <f>IF($W945="","",IFERROR(INDEX(IF($T945&lt;=60,est05_s,est519_s),MATCH($W945,IF($T945&lt;=60,est05_k,est519_k),1)),""))</f>
        <v/>
      </c>
      <c r="AJ945">
        <f>IF($W945="","",IFERROR(INDEX(IF($T945&lt;=60,peso05_l,peso510_l),MATCH($W945,IF($T945&lt;=60,peso05_k,peso510_k),1)),""))</f>
        <v/>
      </c>
      <c r="AK945">
        <f>IF($W945="","",IFERROR(INDEX(IF($T945&lt;=60,peso05_m,peso510_m),MATCH($W945,IF($T945&lt;=60,peso05_k,peso510_k),1)),""))</f>
        <v/>
      </c>
      <c r="AL945">
        <f>IF($W945="","",IFERROR(INDEX(IF($T945&lt;=60,peso05_s,peso510_s),MATCH($W945,IF($T945&lt;=60,peso05_k,peso510_k),1)),""))</f>
        <v/>
      </c>
      <c r="AM945">
        <f>IF($AJ945="","",IF($AJ945=0,LN($F945/$AK945)/$AL945,((($F945/$AK945)^$AJ945)-1)/($AJ945*$AL945)))</f>
        <v/>
      </c>
      <c r="AN945">
        <f>IF($AJ945="","",IF($AJ945=0,$AK945*EXP($AL945*2),$AK945*(1+$AJ945*$AL945*2)^(1/$AJ945)))</f>
        <v/>
      </c>
      <c r="AO945">
        <f>IF($AJ945="","",IF($AJ945=0,$AK945*EXP($AL945*3),$AK945*(1+$AJ945*$AL945*3)^(1/$AJ945)))</f>
        <v/>
      </c>
      <c r="AP945">
        <f>IF($AJ945="","",IF($AJ945=0,$AK945*EXP($AL945*-2),$AK945*(1+$AJ945*$AL945*-2)^(1/$AJ945)))</f>
        <v/>
      </c>
      <c r="AQ945">
        <f>IF($AJ945="","",IF($AJ945=0,$AK945*EXP($AL945*-3),$AK945*(1+$AJ945*$AL945*-3)^(1/$AJ945)))</f>
        <v/>
      </c>
      <c r="AR945">
        <f>IF(OR($X945="",$T945&gt;60),"",IFERROR(INDEX(IF($T945&lt;24,pcomp_l,palt_l),MATCH($X945,IF($T945&lt;24,pcomp_k,palt_k),1)),""))</f>
        <v/>
      </c>
      <c r="AS945">
        <f>IF(OR($X945="",$T945&gt;60),"",IFERROR(INDEX(IF($T945&lt;24,pcomp_m,palt_m),MATCH($X945,IF($T945&lt;24,pcomp_k,palt_k),1)),""))</f>
        <v/>
      </c>
      <c r="AT945">
        <f>IF(OR($X945="",$T945&gt;60),"",IFERROR(INDEX(IF($T945&lt;24,pcomp_s,palt_s),MATCH($X945,IF($T945&lt;24,pcomp_k,palt_k),1)),""))</f>
        <v/>
      </c>
      <c r="AU945">
        <f>IF($AR945="","",IF($AR945=0,LN($F945/$AS945)/$AT945,((($F945/$AS945)^$AR945)-1)/($AR945*$AT945)))</f>
        <v/>
      </c>
      <c r="AV945">
        <f>IF($AR945="","",IF($AR945=0,$AS945*EXP($AT945*2),$AS945*(1+$AR945*$AT945*2)^(1/$AR945)))</f>
        <v/>
      </c>
      <c r="AW945">
        <f>IF($AR945="","",IF($AR945=0,$AS945*EXP($AT945*3),$AS945*(1+$AR945*$AT945*3)^(1/$AR945)))</f>
        <v/>
      </c>
      <c r="AX945">
        <f>IF($AR945="","",IF($AR945=0,$AS945*EXP($AT945*-2),$AS945*(1+$AR945*$AT945*-2)^(1/$AR945)))</f>
        <v/>
      </c>
      <c r="AY945">
        <f>IF($AR945="","",IF($AR945=0,$AS945*EXP($AT945*-3),$AS945*(1+$AR945*$AT945*-3)^(1/$AR945)))</f>
        <v/>
      </c>
      <c r="AZ945">
        <f>IF(OR($A945="",$A945&lt;&gt;Ficha!$C$4),"",COUNTIF($A$2:$A945,Ficha!$C$4))</f>
        <v/>
      </c>
    </row>
    <row r="946">
      <c r="A946" s="8">
        <f>IF(INDEX(Banco!$A:$A,ROW())="","",INDEX(Banco!$A:$A,ROW()))</f>
        <v/>
      </c>
      <c r="B946" s="8">
        <f>IF(INDEX(Banco!$B:$B,ROW())="","",INDEX(Banco!$B:$B,ROW()))</f>
        <v/>
      </c>
      <c r="C946" s="8">
        <f>IF(INDEX(Banco!$C:$C,ROW())="","",INDEX(Banco!$C:$C,ROW()))</f>
        <v/>
      </c>
      <c r="D946" s="9">
        <f>IF(INDEX(Banco!$D:$D,ROW())="","",INDEX(Banco!$D:$D,ROW()))</f>
        <v/>
      </c>
      <c r="E946" s="9">
        <f>IF(INDEX(Banco!$E:$E,ROW())="","",INDEX(Banco!$E:$E,ROW()))</f>
        <v/>
      </c>
      <c r="F946" s="10">
        <f>IF(INDEX(Banco!$F:$F,ROW())="","",INDEX(Banco!$F:$F,ROW()))</f>
        <v/>
      </c>
      <c r="G946" s="10">
        <f>IF(INDEX(Banco!$G:$G,ROW())="","",INDEX(Banco!$G:$G,ROW()))</f>
        <v/>
      </c>
      <c r="H946" s="8">
        <f>IF(INDEX(Banco!$H:$H,ROW())="","",INDEX(Banco!$H:$H,ROW()))</f>
        <v/>
      </c>
      <c r="I946">
        <f>IF($T946="","",INT($T946/12)&amp;"a "&amp;MOD($T946,12)&amp;"m")</f>
        <v/>
      </c>
      <c r="J946" s="11">
        <f>IF(OR($F946="",$G946=""),"",ROUND($F946/($G946/100)^2,2))</f>
        <v/>
      </c>
      <c r="K946" s="12">
        <f>IF(OR($S946="",$J946="",$T946="",$T946&lt;0,$T946&gt;228,$Y946=""),"—",ROUND(IF(ABS($AB946)&lt;=3,$AB946,IF($AB946&gt;3,3+($J946-$AD946)/($AD946-$AC946),-3+($J946-$AF946)/($AE946-$AF946))),2))</f>
        <v/>
      </c>
      <c r="L946">
        <f>IF(OR($K946="",$K946="—"),"",IF($T946&lt;=60,IF($K946&lt;-3,"Magreza acentuada",IF($K946&lt;-2,"Magreza",IF($K946&lt;=1,"Eutrofia",IF($K946&lt;=2,"Risco de sobrepeso",IF($K946&lt;=3,"Sobrepeso","Obesidade"))))),IF($K946&lt;-3,"Magreza acentuada",IF($K946&lt;-2,"Magreza",IF($K946&lt;=1,"Eutrofia",IF($K946&lt;=2,"Sobrepeso",IF($K946&lt;=3,"Obesidade","Obesidade grave")))))))</f>
        <v/>
      </c>
      <c r="M946" s="12">
        <f>IF(OR($S946="",$V946="",$T946="",$T946&lt;0,$T946&gt;228,$AG946=""),"—",ROUND(IF($AG946=0,LN($V946/$AH946)/$AI946,((($V946/$AH946)^$AG946)-1)/($AG946*$AI946)),2))</f>
        <v/>
      </c>
      <c r="N946">
        <f>IF(OR($M946="",$M946="—"),"",IF($M946&lt;-3,"Muito baixa",IF($M946&lt;-2,"Baixa","Adequada")))</f>
        <v/>
      </c>
      <c r="O946" s="12">
        <f>IF(OR($S946="",$F946="",$T946="",$T946&lt;0,$T946&gt;120,$AJ946=""),"—",ROUND(IF(ABS($AM946)&lt;=3,$AM946,IF($AM946&gt;3,3+($F946-$AO946)/($AO946-$AN946),-3+($F946-$AQ946)/($AP946-$AQ946))),2))</f>
        <v/>
      </c>
      <c r="P946">
        <f>IF(OR($O946="",$O946="—"),"",IF($O946&lt;-3,"Muito baixo",IF($O946&lt;-2,"Baixo",IF($O946&lt;=2,"Adequado","Elevado"))))</f>
        <v/>
      </c>
      <c r="Q946" s="12">
        <f>IF(OR($S946="",$F946="",$T946="",$T946&lt;0,$T946&gt;60,$AR946=""),"—",ROUND(IF(ABS($AU946)&lt;=3,$AU946,IF($AU946&gt;3,3+($F946-$AW946)/($AW946-$AV946),-3+($F946-$AY946)/($AX946-$AY946))),2))</f>
        <v/>
      </c>
      <c r="R946">
        <f>IF(OR($Q946="",$Q946="—"),"",IF($Q946&lt;-3,"Magreza acentuada",IF($Q946&lt;-2,"Magreza",IF($Q946&lt;=1,"Eutrofia",IF($Q946&lt;=2,"Risco de sobrepeso",IF($Q946&lt;=3,"Sobrepeso","Obesidade"))))))</f>
        <v/>
      </c>
      <c r="S946">
        <f>IF($C946="","",IF(UPPER(LEFT($C946,1))="M",1,IF(UPPER(LEFT($C946,1))="F",2,"")))</f>
        <v/>
      </c>
      <c r="T946">
        <f>IF(OR($D946="",$E946=""),"",DATEDIF($D946,$E946,"m"))</f>
        <v/>
      </c>
      <c r="U946">
        <f>IF(OR($D946="",$E946=""),"",$E946-$D946)</f>
        <v/>
      </c>
      <c r="V946">
        <f>IF(OR($G946="",$T946=""),"",IF($T946&lt;24,IF(LEFT(LOWER($H946),4)="em p",$G946+0.7,$G946),IF(LEFT(LOWER($H946),4)="deit",$G946-0.7,$G946)))</f>
        <v/>
      </c>
      <c r="W946">
        <f>IF(OR($S946="",$T946=""),"",$S946*1000000+IF($T946&lt;=60,$U946,$T946))</f>
        <v/>
      </c>
      <c r="X946">
        <f>IF(OR($S946="",$V946="",$T946&gt;60,$T946=""),"",$S946*1000000+ROUND($V946*10,0))</f>
        <v/>
      </c>
      <c r="Y946">
        <f>IF($W946="","",IFERROR(INDEX(IF($T946&lt;=60,imc05_l,imc519_l),MATCH($W946,IF($T946&lt;=60,imc05_k,imc519_k),1)),""))</f>
        <v/>
      </c>
      <c r="Z946">
        <f>IF($W946="","",IFERROR(INDEX(IF($T946&lt;=60,imc05_m,imc519_m),MATCH($W946,IF($T946&lt;=60,imc05_k,imc519_k),1)),""))</f>
        <v/>
      </c>
      <c r="AA946">
        <f>IF($W946="","",IFERROR(INDEX(IF($T946&lt;=60,imc05_s,imc519_s),MATCH($W946,IF($T946&lt;=60,imc05_k,imc519_k),1)),""))</f>
        <v/>
      </c>
      <c r="AB946">
        <f>IF($Y946="","",IF($Y946=0,LN($J946/$Z946)/$AA946,((($J946/$Z946)^$Y946)-1)/($Y946*$AA946)))</f>
        <v/>
      </c>
      <c r="AC946">
        <f>IF($Y946="","",IF($Y946=0,$Z946*EXP($AA946*2),$Z946*(1+$Y946*$AA946*2)^(1/$Y946)))</f>
        <v/>
      </c>
      <c r="AD946">
        <f>IF($Y946="","",IF($Y946=0,$Z946*EXP($AA946*3),$Z946*(1+$Y946*$AA946*3)^(1/$Y946)))</f>
        <v/>
      </c>
      <c r="AE946">
        <f>IF($Y946="","",IF($Y946=0,$Z946*EXP($AA946*-2),$Z946*(1+$Y946*$AA946*-2)^(1/$Y946)))</f>
        <v/>
      </c>
      <c r="AF946">
        <f>IF($Y946="","",IF($Y946=0,$Z946*EXP($AA946*-3),$Z946*(1+$Y946*$AA946*-3)^(1/$Y946)))</f>
        <v/>
      </c>
      <c r="AG946">
        <f>IF($W946="","",IFERROR(INDEX(IF($T946&lt;=60,est05_l,est519_l),MATCH($W946,IF($T946&lt;=60,est05_k,est519_k),1)),""))</f>
        <v/>
      </c>
      <c r="AH946">
        <f>IF($W946="","",IFERROR(INDEX(IF($T946&lt;=60,est05_m,est519_m),MATCH($W946,IF($T946&lt;=60,est05_k,est519_k),1)),""))</f>
        <v/>
      </c>
      <c r="AI946">
        <f>IF($W946="","",IFERROR(INDEX(IF($T946&lt;=60,est05_s,est519_s),MATCH($W946,IF($T946&lt;=60,est05_k,est519_k),1)),""))</f>
        <v/>
      </c>
      <c r="AJ946">
        <f>IF($W946="","",IFERROR(INDEX(IF($T946&lt;=60,peso05_l,peso510_l),MATCH($W946,IF($T946&lt;=60,peso05_k,peso510_k),1)),""))</f>
        <v/>
      </c>
      <c r="AK946">
        <f>IF($W946="","",IFERROR(INDEX(IF($T946&lt;=60,peso05_m,peso510_m),MATCH($W946,IF($T946&lt;=60,peso05_k,peso510_k),1)),""))</f>
        <v/>
      </c>
      <c r="AL946">
        <f>IF($W946="","",IFERROR(INDEX(IF($T946&lt;=60,peso05_s,peso510_s),MATCH($W946,IF($T946&lt;=60,peso05_k,peso510_k),1)),""))</f>
        <v/>
      </c>
      <c r="AM946">
        <f>IF($AJ946="","",IF($AJ946=0,LN($F946/$AK946)/$AL946,((($F946/$AK946)^$AJ946)-1)/($AJ946*$AL946)))</f>
        <v/>
      </c>
      <c r="AN946">
        <f>IF($AJ946="","",IF($AJ946=0,$AK946*EXP($AL946*2),$AK946*(1+$AJ946*$AL946*2)^(1/$AJ946)))</f>
        <v/>
      </c>
      <c r="AO946">
        <f>IF($AJ946="","",IF($AJ946=0,$AK946*EXP($AL946*3),$AK946*(1+$AJ946*$AL946*3)^(1/$AJ946)))</f>
        <v/>
      </c>
      <c r="AP946">
        <f>IF($AJ946="","",IF($AJ946=0,$AK946*EXP($AL946*-2),$AK946*(1+$AJ946*$AL946*-2)^(1/$AJ946)))</f>
        <v/>
      </c>
      <c r="AQ946">
        <f>IF($AJ946="","",IF($AJ946=0,$AK946*EXP($AL946*-3),$AK946*(1+$AJ946*$AL946*-3)^(1/$AJ946)))</f>
        <v/>
      </c>
      <c r="AR946">
        <f>IF(OR($X946="",$T946&gt;60),"",IFERROR(INDEX(IF($T946&lt;24,pcomp_l,palt_l),MATCH($X946,IF($T946&lt;24,pcomp_k,palt_k),1)),""))</f>
        <v/>
      </c>
      <c r="AS946">
        <f>IF(OR($X946="",$T946&gt;60),"",IFERROR(INDEX(IF($T946&lt;24,pcomp_m,palt_m),MATCH($X946,IF($T946&lt;24,pcomp_k,palt_k),1)),""))</f>
        <v/>
      </c>
      <c r="AT946">
        <f>IF(OR($X946="",$T946&gt;60),"",IFERROR(INDEX(IF($T946&lt;24,pcomp_s,palt_s),MATCH($X946,IF($T946&lt;24,pcomp_k,palt_k),1)),""))</f>
        <v/>
      </c>
      <c r="AU946">
        <f>IF($AR946="","",IF($AR946=0,LN($F946/$AS946)/$AT946,((($F946/$AS946)^$AR946)-1)/($AR946*$AT946)))</f>
        <v/>
      </c>
      <c r="AV946">
        <f>IF($AR946="","",IF($AR946=0,$AS946*EXP($AT946*2),$AS946*(1+$AR946*$AT946*2)^(1/$AR946)))</f>
        <v/>
      </c>
      <c r="AW946">
        <f>IF($AR946="","",IF($AR946=0,$AS946*EXP($AT946*3),$AS946*(1+$AR946*$AT946*3)^(1/$AR946)))</f>
        <v/>
      </c>
      <c r="AX946">
        <f>IF($AR946="","",IF($AR946=0,$AS946*EXP($AT946*-2),$AS946*(1+$AR946*$AT946*-2)^(1/$AR946)))</f>
        <v/>
      </c>
      <c r="AY946">
        <f>IF($AR946="","",IF($AR946=0,$AS946*EXP($AT946*-3),$AS946*(1+$AR946*$AT946*-3)^(1/$AR946)))</f>
        <v/>
      </c>
      <c r="AZ946">
        <f>IF(OR($A946="",$A946&lt;&gt;Ficha!$C$4),"",COUNTIF($A$2:$A946,Ficha!$C$4))</f>
        <v/>
      </c>
    </row>
    <row r="947">
      <c r="A947" s="8">
        <f>IF(INDEX(Banco!$A:$A,ROW())="","",INDEX(Banco!$A:$A,ROW()))</f>
        <v/>
      </c>
      <c r="B947" s="8">
        <f>IF(INDEX(Banco!$B:$B,ROW())="","",INDEX(Banco!$B:$B,ROW()))</f>
        <v/>
      </c>
      <c r="C947" s="8">
        <f>IF(INDEX(Banco!$C:$C,ROW())="","",INDEX(Banco!$C:$C,ROW()))</f>
        <v/>
      </c>
      <c r="D947" s="9">
        <f>IF(INDEX(Banco!$D:$D,ROW())="","",INDEX(Banco!$D:$D,ROW()))</f>
        <v/>
      </c>
      <c r="E947" s="9">
        <f>IF(INDEX(Banco!$E:$E,ROW())="","",INDEX(Banco!$E:$E,ROW()))</f>
        <v/>
      </c>
      <c r="F947" s="10">
        <f>IF(INDEX(Banco!$F:$F,ROW())="","",INDEX(Banco!$F:$F,ROW()))</f>
        <v/>
      </c>
      <c r="G947" s="10">
        <f>IF(INDEX(Banco!$G:$G,ROW())="","",INDEX(Banco!$G:$G,ROW()))</f>
        <v/>
      </c>
      <c r="H947" s="8">
        <f>IF(INDEX(Banco!$H:$H,ROW())="","",INDEX(Banco!$H:$H,ROW()))</f>
        <v/>
      </c>
      <c r="I947">
        <f>IF($T947="","",INT($T947/12)&amp;"a "&amp;MOD($T947,12)&amp;"m")</f>
        <v/>
      </c>
      <c r="J947" s="11">
        <f>IF(OR($F947="",$G947=""),"",ROUND($F947/($G947/100)^2,2))</f>
        <v/>
      </c>
      <c r="K947" s="12">
        <f>IF(OR($S947="",$J947="",$T947="",$T947&lt;0,$T947&gt;228,$Y947=""),"—",ROUND(IF(ABS($AB947)&lt;=3,$AB947,IF($AB947&gt;3,3+($J947-$AD947)/($AD947-$AC947),-3+($J947-$AF947)/($AE947-$AF947))),2))</f>
        <v/>
      </c>
      <c r="L947">
        <f>IF(OR($K947="",$K947="—"),"",IF($T947&lt;=60,IF($K947&lt;-3,"Magreza acentuada",IF($K947&lt;-2,"Magreza",IF($K947&lt;=1,"Eutrofia",IF($K947&lt;=2,"Risco de sobrepeso",IF($K947&lt;=3,"Sobrepeso","Obesidade"))))),IF($K947&lt;-3,"Magreza acentuada",IF($K947&lt;-2,"Magreza",IF($K947&lt;=1,"Eutrofia",IF($K947&lt;=2,"Sobrepeso",IF($K947&lt;=3,"Obesidade","Obesidade grave")))))))</f>
        <v/>
      </c>
      <c r="M947" s="12">
        <f>IF(OR($S947="",$V947="",$T947="",$T947&lt;0,$T947&gt;228,$AG947=""),"—",ROUND(IF($AG947=0,LN($V947/$AH947)/$AI947,((($V947/$AH947)^$AG947)-1)/($AG947*$AI947)),2))</f>
        <v/>
      </c>
      <c r="N947">
        <f>IF(OR($M947="",$M947="—"),"",IF($M947&lt;-3,"Muito baixa",IF($M947&lt;-2,"Baixa","Adequada")))</f>
        <v/>
      </c>
      <c r="O947" s="12">
        <f>IF(OR($S947="",$F947="",$T947="",$T947&lt;0,$T947&gt;120,$AJ947=""),"—",ROUND(IF(ABS($AM947)&lt;=3,$AM947,IF($AM947&gt;3,3+($F947-$AO947)/($AO947-$AN947),-3+($F947-$AQ947)/($AP947-$AQ947))),2))</f>
        <v/>
      </c>
      <c r="P947">
        <f>IF(OR($O947="",$O947="—"),"",IF($O947&lt;-3,"Muito baixo",IF($O947&lt;-2,"Baixo",IF($O947&lt;=2,"Adequado","Elevado"))))</f>
        <v/>
      </c>
      <c r="Q947" s="12">
        <f>IF(OR($S947="",$F947="",$T947="",$T947&lt;0,$T947&gt;60,$AR947=""),"—",ROUND(IF(ABS($AU947)&lt;=3,$AU947,IF($AU947&gt;3,3+($F947-$AW947)/($AW947-$AV947),-3+($F947-$AY947)/($AX947-$AY947))),2))</f>
        <v/>
      </c>
      <c r="R947">
        <f>IF(OR($Q947="",$Q947="—"),"",IF($Q947&lt;-3,"Magreza acentuada",IF($Q947&lt;-2,"Magreza",IF($Q947&lt;=1,"Eutrofia",IF($Q947&lt;=2,"Risco de sobrepeso",IF($Q947&lt;=3,"Sobrepeso","Obesidade"))))))</f>
        <v/>
      </c>
      <c r="S947">
        <f>IF($C947="","",IF(UPPER(LEFT($C947,1))="M",1,IF(UPPER(LEFT($C947,1))="F",2,"")))</f>
        <v/>
      </c>
      <c r="T947">
        <f>IF(OR($D947="",$E947=""),"",DATEDIF($D947,$E947,"m"))</f>
        <v/>
      </c>
      <c r="U947">
        <f>IF(OR($D947="",$E947=""),"",$E947-$D947)</f>
        <v/>
      </c>
      <c r="V947">
        <f>IF(OR($G947="",$T947=""),"",IF($T947&lt;24,IF(LEFT(LOWER($H947),4)="em p",$G947+0.7,$G947),IF(LEFT(LOWER($H947),4)="deit",$G947-0.7,$G947)))</f>
        <v/>
      </c>
      <c r="W947">
        <f>IF(OR($S947="",$T947=""),"",$S947*1000000+IF($T947&lt;=60,$U947,$T947))</f>
        <v/>
      </c>
      <c r="X947">
        <f>IF(OR($S947="",$V947="",$T947&gt;60,$T947=""),"",$S947*1000000+ROUND($V947*10,0))</f>
        <v/>
      </c>
      <c r="Y947">
        <f>IF($W947="","",IFERROR(INDEX(IF($T947&lt;=60,imc05_l,imc519_l),MATCH($W947,IF($T947&lt;=60,imc05_k,imc519_k),1)),""))</f>
        <v/>
      </c>
      <c r="Z947">
        <f>IF($W947="","",IFERROR(INDEX(IF($T947&lt;=60,imc05_m,imc519_m),MATCH($W947,IF($T947&lt;=60,imc05_k,imc519_k),1)),""))</f>
        <v/>
      </c>
      <c r="AA947">
        <f>IF($W947="","",IFERROR(INDEX(IF($T947&lt;=60,imc05_s,imc519_s),MATCH($W947,IF($T947&lt;=60,imc05_k,imc519_k),1)),""))</f>
        <v/>
      </c>
      <c r="AB947">
        <f>IF($Y947="","",IF($Y947=0,LN($J947/$Z947)/$AA947,((($J947/$Z947)^$Y947)-1)/($Y947*$AA947)))</f>
        <v/>
      </c>
      <c r="AC947">
        <f>IF($Y947="","",IF($Y947=0,$Z947*EXP($AA947*2),$Z947*(1+$Y947*$AA947*2)^(1/$Y947)))</f>
        <v/>
      </c>
      <c r="AD947">
        <f>IF($Y947="","",IF($Y947=0,$Z947*EXP($AA947*3),$Z947*(1+$Y947*$AA947*3)^(1/$Y947)))</f>
        <v/>
      </c>
      <c r="AE947">
        <f>IF($Y947="","",IF($Y947=0,$Z947*EXP($AA947*-2),$Z947*(1+$Y947*$AA947*-2)^(1/$Y947)))</f>
        <v/>
      </c>
      <c r="AF947">
        <f>IF($Y947="","",IF($Y947=0,$Z947*EXP($AA947*-3),$Z947*(1+$Y947*$AA947*-3)^(1/$Y947)))</f>
        <v/>
      </c>
      <c r="AG947">
        <f>IF($W947="","",IFERROR(INDEX(IF($T947&lt;=60,est05_l,est519_l),MATCH($W947,IF($T947&lt;=60,est05_k,est519_k),1)),""))</f>
        <v/>
      </c>
      <c r="AH947">
        <f>IF($W947="","",IFERROR(INDEX(IF($T947&lt;=60,est05_m,est519_m),MATCH($W947,IF($T947&lt;=60,est05_k,est519_k),1)),""))</f>
        <v/>
      </c>
      <c r="AI947">
        <f>IF($W947="","",IFERROR(INDEX(IF($T947&lt;=60,est05_s,est519_s),MATCH($W947,IF($T947&lt;=60,est05_k,est519_k),1)),""))</f>
        <v/>
      </c>
      <c r="AJ947">
        <f>IF($W947="","",IFERROR(INDEX(IF($T947&lt;=60,peso05_l,peso510_l),MATCH($W947,IF($T947&lt;=60,peso05_k,peso510_k),1)),""))</f>
        <v/>
      </c>
      <c r="AK947">
        <f>IF($W947="","",IFERROR(INDEX(IF($T947&lt;=60,peso05_m,peso510_m),MATCH($W947,IF($T947&lt;=60,peso05_k,peso510_k),1)),""))</f>
        <v/>
      </c>
      <c r="AL947">
        <f>IF($W947="","",IFERROR(INDEX(IF($T947&lt;=60,peso05_s,peso510_s),MATCH($W947,IF($T947&lt;=60,peso05_k,peso510_k),1)),""))</f>
        <v/>
      </c>
      <c r="AM947">
        <f>IF($AJ947="","",IF($AJ947=0,LN($F947/$AK947)/$AL947,((($F947/$AK947)^$AJ947)-1)/($AJ947*$AL947)))</f>
        <v/>
      </c>
      <c r="AN947">
        <f>IF($AJ947="","",IF($AJ947=0,$AK947*EXP($AL947*2),$AK947*(1+$AJ947*$AL947*2)^(1/$AJ947)))</f>
        <v/>
      </c>
      <c r="AO947">
        <f>IF($AJ947="","",IF($AJ947=0,$AK947*EXP($AL947*3),$AK947*(1+$AJ947*$AL947*3)^(1/$AJ947)))</f>
        <v/>
      </c>
      <c r="AP947">
        <f>IF($AJ947="","",IF($AJ947=0,$AK947*EXP($AL947*-2),$AK947*(1+$AJ947*$AL947*-2)^(1/$AJ947)))</f>
        <v/>
      </c>
      <c r="AQ947">
        <f>IF($AJ947="","",IF($AJ947=0,$AK947*EXP($AL947*-3),$AK947*(1+$AJ947*$AL947*-3)^(1/$AJ947)))</f>
        <v/>
      </c>
      <c r="AR947">
        <f>IF(OR($X947="",$T947&gt;60),"",IFERROR(INDEX(IF($T947&lt;24,pcomp_l,palt_l),MATCH($X947,IF($T947&lt;24,pcomp_k,palt_k),1)),""))</f>
        <v/>
      </c>
      <c r="AS947">
        <f>IF(OR($X947="",$T947&gt;60),"",IFERROR(INDEX(IF($T947&lt;24,pcomp_m,palt_m),MATCH($X947,IF($T947&lt;24,pcomp_k,palt_k),1)),""))</f>
        <v/>
      </c>
      <c r="AT947">
        <f>IF(OR($X947="",$T947&gt;60),"",IFERROR(INDEX(IF($T947&lt;24,pcomp_s,palt_s),MATCH($X947,IF($T947&lt;24,pcomp_k,palt_k),1)),""))</f>
        <v/>
      </c>
      <c r="AU947">
        <f>IF($AR947="","",IF($AR947=0,LN($F947/$AS947)/$AT947,((($F947/$AS947)^$AR947)-1)/($AR947*$AT947)))</f>
        <v/>
      </c>
      <c r="AV947">
        <f>IF($AR947="","",IF($AR947=0,$AS947*EXP($AT947*2),$AS947*(1+$AR947*$AT947*2)^(1/$AR947)))</f>
        <v/>
      </c>
      <c r="AW947">
        <f>IF($AR947="","",IF($AR947=0,$AS947*EXP($AT947*3),$AS947*(1+$AR947*$AT947*3)^(1/$AR947)))</f>
        <v/>
      </c>
      <c r="AX947">
        <f>IF($AR947="","",IF($AR947=0,$AS947*EXP($AT947*-2),$AS947*(1+$AR947*$AT947*-2)^(1/$AR947)))</f>
        <v/>
      </c>
      <c r="AY947">
        <f>IF($AR947="","",IF($AR947=0,$AS947*EXP($AT947*-3),$AS947*(1+$AR947*$AT947*-3)^(1/$AR947)))</f>
        <v/>
      </c>
      <c r="AZ947">
        <f>IF(OR($A947="",$A947&lt;&gt;Ficha!$C$4),"",COUNTIF($A$2:$A947,Ficha!$C$4))</f>
        <v/>
      </c>
    </row>
    <row r="948">
      <c r="A948" s="8">
        <f>IF(INDEX(Banco!$A:$A,ROW())="","",INDEX(Banco!$A:$A,ROW()))</f>
        <v/>
      </c>
      <c r="B948" s="8">
        <f>IF(INDEX(Banco!$B:$B,ROW())="","",INDEX(Banco!$B:$B,ROW()))</f>
        <v/>
      </c>
      <c r="C948" s="8">
        <f>IF(INDEX(Banco!$C:$C,ROW())="","",INDEX(Banco!$C:$C,ROW()))</f>
        <v/>
      </c>
      <c r="D948" s="9">
        <f>IF(INDEX(Banco!$D:$D,ROW())="","",INDEX(Banco!$D:$D,ROW()))</f>
        <v/>
      </c>
      <c r="E948" s="9">
        <f>IF(INDEX(Banco!$E:$E,ROW())="","",INDEX(Banco!$E:$E,ROW()))</f>
        <v/>
      </c>
      <c r="F948" s="10">
        <f>IF(INDEX(Banco!$F:$F,ROW())="","",INDEX(Banco!$F:$F,ROW()))</f>
        <v/>
      </c>
      <c r="G948" s="10">
        <f>IF(INDEX(Banco!$G:$G,ROW())="","",INDEX(Banco!$G:$G,ROW()))</f>
        <v/>
      </c>
      <c r="H948" s="8">
        <f>IF(INDEX(Banco!$H:$H,ROW())="","",INDEX(Banco!$H:$H,ROW()))</f>
        <v/>
      </c>
      <c r="I948">
        <f>IF($T948="","",INT($T948/12)&amp;"a "&amp;MOD($T948,12)&amp;"m")</f>
        <v/>
      </c>
      <c r="J948" s="11">
        <f>IF(OR($F948="",$G948=""),"",ROUND($F948/($G948/100)^2,2))</f>
        <v/>
      </c>
      <c r="K948" s="12">
        <f>IF(OR($S948="",$J948="",$T948="",$T948&lt;0,$T948&gt;228,$Y948=""),"—",ROUND(IF(ABS($AB948)&lt;=3,$AB948,IF($AB948&gt;3,3+($J948-$AD948)/($AD948-$AC948),-3+($J948-$AF948)/($AE948-$AF948))),2))</f>
        <v/>
      </c>
      <c r="L948">
        <f>IF(OR($K948="",$K948="—"),"",IF($T948&lt;=60,IF($K948&lt;-3,"Magreza acentuada",IF($K948&lt;-2,"Magreza",IF($K948&lt;=1,"Eutrofia",IF($K948&lt;=2,"Risco de sobrepeso",IF($K948&lt;=3,"Sobrepeso","Obesidade"))))),IF($K948&lt;-3,"Magreza acentuada",IF($K948&lt;-2,"Magreza",IF($K948&lt;=1,"Eutrofia",IF($K948&lt;=2,"Sobrepeso",IF($K948&lt;=3,"Obesidade","Obesidade grave")))))))</f>
        <v/>
      </c>
      <c r="M948" s="12">
        <f>IF(OR($S948="",$V948="",$T948="",$T948&lt;0,$T948&gt;228,$AG948=""),"—",ROUND(IF($AG948=0,LN($V948/$AH948)/$AI948,((($V948/$AH948)^$AG948)-1)/($AG948*$AI948)),2))</f>
        <v/>
      </c>
      <c r="N948">
        <f>IF(OR($M948="",$M948="—"),"",IF($M948&lt;-3,"Muito baixa",IF($M948&lt;-2,"Baixa","Adequada")))</f>
        <v/>
      </c>
      <c r="O948" s="12">
        <f>IF(OR($S948="",$F948="",$T948="",$T948&lt;0,$T948&gt;120,$AJ948=""),"—",ROUND(IF(ABS($AM948)&lt;=3,$AM948,IF($AM948&gt;3,3+($F948-$AO948)/($AO948-$AN948),-3+($F948-$AQ948)/($AP948-$AQ948))),2))</f>
        <v/>
      </c>
      <c r="P948">
        <f>IF(OR($O948="",$O948="—"),"",IF($O948&lt;-3,"Muito baixo",IF($O948&lt;-2,"Baixo",IF($O948&lt;=2,"Adequado","Elevado"))))</f>
        <v/>
      </c>
      <c r="Q948" s="12">
        <f>IF(OR($S948="",$F948="",$T948="",$T948&lt;0,$T948&gt;60,$AR948=""),"—",ROUND(IF(ABS($AU948)&lt;=3,$AU948,IF($AU948&gt;3,3+($F948-$AW948)/($AW948-$AV948),-3+($F948-$AY948)/($AX948-$AY948))),2))</f>
        <v/>
      </c>
      <c r="R948">
        <f>IF(OR($Q948="",$Q948="—"),"",IF($Q948&lt;-3,"Magreza acentuada",IF($Q948&lt;-2,"Magreza",IF($Q948&lt;=1,"Eutrofia",IF($Q948&lt;=2,"Risco de sobrepeso",IF($Q948&lt;=3,"Sobrepeso","Obesidade"))))))</f>
        <v/>
      </c>
      <c r="S948">
        <f>IF($C948="","",IF(UPPER(LEFT($C948,1))="M",1,IF(UPPER(LEFT($C948,1))="F",2,"")))</f>
        <v/>
      </c>
      <c r="T948">
        <f>IF(OR($D948="",$E948=""),"",DATEDIF($D948,$E948,"m"))</f>
        <v/>
      </c>
      <c r="U948">
        <f>IF(OR($D948="",$E948=""),"",$E948-$D948)</f>
        <v/>
      </c>
      <c r="V948">
        <f>IF(OR($G948="",$T948=""),"",IF($T948&lt;24,IF(LEFT(LOWER($H948),4)="em p",$G948+0.7,$G948),IF(LEFT(LOWER($H948),4)="deit",$G948-0.7,$G948)))</f>
        <v/>
      </c>
      <c r="W948">
        <f>IF(OR($S948="",$T948=""),"",$S948*1000000+IF($T948&lt;=60,$U948,$T948))</f>
        <v/>
      </c>
      <c r="X948">
        <f>IF(OR($S948="",$V948="",$T948&gt;60,$T948=""),"",$S948*1000000+ROUND($V948*10,0))</f>
        <v/>
      </c>
      <c r="Y948">
        <f>IF($W948="","",IFERROR(INDEX(IF($T948&lt;=60,imc05_l,imc519_l),MATCH($W948,IF($T948&lt;=60,imc05_k,imc519_k),1)),""))</f>
        <v/>
      </c>
      <c r="Z948">
        <f>IF($W948="","",IFERROR(INDEX(IF($T948&lt;=60,imc05_m,imc519_m),MATCH($W948,IF($T948&lt;=60,imc05_k,imc519_k),1)),""))</f>
        <v/>
      </c>
      <c r="AA948">
        <f>IF($W948="","",IFERROR(INDEX(IF($T948&lt;=60,imc05_s,imc519_s),MATCH($W948,IF($T948&lt;=60,imc05_k,imc519_k),1)),""))</f>
        <v/>
      </c>
      <c r="AB948">
        <f>IF($Y948="","",IF($Y948=0,LN($J948/$Z948)/$AA948,((($J948/$Z948)^$Y948)-1)/($Y948*$AA948)))</f>
        <v/>
      </c>
      <c r="AC948">
        <f>IF($Y948="","",IF($Y948=0,$Z948*EXP($AA948*2),$Z948*(1+$Y948*$AA948*2)^(1/$Y948)))</f>
        <v/>
      </c>
      <c r="AD948">
        <f>IF($Y948="","",IF($Y948=0,$Z948*EXP($AA948*3),$Z948*(1+$Y948*$AA948*3)^(1/$Y948)))</f>
        <v/>
      </c>
      <c r="AE948">
        <f>IF($Y948="","",IF($Y948=0,$Z948*EXP($AA948*-2),$Z948*(1+$Y948*$AA948*-2)^(1/$Y948)))</f>
        <v/>
      </c>
      <c r="AF948">
        <f>IF($Y948="","",IF($Y948=0,$Z948*EXP($AA948*-3),$Z948*(1+$Y948*$AA948*-3)^(1/$Y948)))</f>
        <v/>
      </c>
      <c r="AG948">
        <f>IF($W948="","",IFERROR(INDEX(IF($T948&lt;=60,est05_l,est519_l),MATCH($W948,IF($T948&lt;=60,est05_k,est519_k),1)),""))</f>
        <v/>
      </c>
      <c r="AH948">
        <f>IF($W948="","",IFERROR(INDEX(IF($T948&lt;=60,est05_m,est519_m),MATCH($W948,IF($T948&lt;=60,est05_k,est519_k),1)),""))</f>
        <v/>
      </c>
      <c r="AI948">
        <f>IF($W948="","",IFERROR(INDEX(IF($T948&lt;=60,est05_s,est519_s),MATCH($W948,IF($T948&lt;=60,est05_k,est519_k),1)),""))</f>
        <v/>
      </c>
      <c r="AJ948">
        <f>IF($W948="","",IFERROR(INDEX(IF($T948&lt;=60,peso05_l,peso510_l),MATCH($W948,IF($T948&lt;=60,peso05_k,peso510_k),1)),""))</f>
        <v/>
      </c>
      <c r="AK948">
        <f>IF($W948="","",IFERROR(INDEX(IF($T948&lt;=60,peso05_m,peso510_m),MATCH($W948,IF($T948&lt;=60,peso05_k,peso510_k),1)),""))</f>
        <v/>
      </c>
      <c r="AL948">
        <f>IF($W948="","",IFERROR(INDEX(IF($T948&lt;=60,peso05_s,peso510_s),MATCH($W948,IF($T948&lt;=60,peso05_k,peso510_k),1)),""))</f>
        <v/>
      </c>
      <c r="AM948">
        <f>IF($AJ948="","",IF($AJ948=0,LN($F948/$AK948)/$AL948,((($F948/$AK948)^$AJ948)-1)/($AJ948*$AL948)))</f>
        <v/>
      </c>
      <c r="AN948">
        <f>IF($AJ948="","",IF($AJ948=0,$AK948*EXP($AL948*2),$AK948*(1+$AJ948*$AL948*2)^(1/$AJ948)))</f>
        <v/>
      </c>
      <c r="AO948">
        <f>IF($AJ948="","",IF($AJ948=0,$AK948*EXP($AL948*3),$AK948*(1+$AJ948*$AL948*3)^(1/$AJ948)))</f>
        <v/>
      </c>
      <c r="AP948">
        <f>IF($AJ948="","",IF($AJ948=0,$AK948*EXP($AL948*-2),$AK948*(1+$AJ948*$AL948*-2)^(1/$AJ948)))</f>
        <v/>
      </c>
      <c r="AQ948">
        <f>IF($AJ948="","",IF($AJ948=0,$AK948*EXP($AL948*-3),$AK948*(1+$AJ948*$AL948*-3)^(1/$AJ948)))</f>
        <v/>
      </c>
      <c r="AR948">
        <f>IF(OR($X948="",$T948&gt;60),"",IFERROR(INDEX(IF($T948&lt;24,pcomp_l,palt_l),MATCH($X948,IF($T948&lt;24,pcomp_k,palt_k),1)),""))</f>
        <v/>
      </c>
      <c r="AS948">
        <f>IF(OR($X948="",$T948&gt;60),"",IFERROR(INDEX(IF($T948&lt;24,pcomp_m,palt_m),MATCH($X948,IF($T948&lt;24,pcomp_k,palt_k),1)),""))</f>
        <v/>
      </c>
      <c r="AT948">
        <f>IF(OR($X948="",$T948&gt;60),"",IFERROR(INDEX(IF($T948&lt;24,pcomp_s,palt_s),MATCH($X948,IF($T948&lt;24,pcomp_k,palt_k),1)),""))</f>
        <v/>
      </c>
      <c r="AU948">
        <f>IF($AR948="","",IF($AR948=0,LN($F948/$AS948)/$AT948,((($F948/$AS948)^$AR948)-1)/($AR948*$AT948)))</f>
        <v/>
      </c>
      <c r="AV948">
        <f>IF($AR948="","",IF($AR948=0,$AS948*EXP($AT948*2),$AS948*(1+$AR948*$AT948*2)^(1/$AR948)))</f>
        <v/>
      </c>
      <c r="AW948">
        <f>IF($AR948="","",IF($AR948=0,$AS948*EXP($AT948*3),$AS948*(1+$AR948*$AT948*3)^(1/$AR948)))</f>
        <v/>
      </c>
      <c r="AX948">
        <f>IF($AR948="","",IF($AR948=0,$AS948*EXP($AT948*-2),$AS948*(1+$AR948*$AT948*-2)^(1/$AR948)))</f>
        <v/>
      </c>
      <c r="AY948">
        <f>IF($AR948="","",IF($AR948=0,$AS948*EXP($AT948*-3),$AS948*(1+$AR948*$AT948*-3)^(1/$AR948)))</f>
        <v/>
      </c>
      <c r="AZ948">
        <f>IF(OR($A948="",$A948&lt;&gt;Ficha!$C$4),"",COUNTIF($A$2:$A948,Ficha!$C$4))</f>
        <v/>
      </c>
    </row>
    <row r="949">
      <c r="A949" s="8">
        <f>IF(INDEX(Banco!$A:$A,ROW())="","",INDEX(Banco!$A:$A,ROW()))</f>
        <v/>
      </c>
      <c r="B949" s="8">
        <f>IF(INDEX(Banco!$B:$B,ROW())="","",INDEX(Banco!$B:$B,ROW()))</f>
        <v/>
      </c>
      <c r="C949" s="8">
        <f>IF(INDEX(Banco!$C:$C,ROW())="","",INDEX(Banco!$C:$C,ROW()))</f>
        <v/>
      </c>
      <c r="D949" s="9">
        <f>IF(INDEX(Banco!$D:$D,ROW())="","",INDEX(Banco!$D:$D,ROW()))</f>
        <v/>
      </c>
      <c r="E949" s="9">
        <f>IF(INDEX(Banco!$E:$E,ROW())="","",INDEX(Banco!$E:$E,ROW()))</f>
        <v/>
      </c>
      <c r="F949" s="10">
        <f>IF(INDEX(Banco!$F:$F,ROW())="","",INDEX(Banco!$F:$F,ROW()))</f>
        <v/>
      </c>
      <c r="G949" s="10">
        <f>IF(INDEX(Banco!$G:$G,ROW())="","",INDEX(Banco!$G:$G,ROW()))</f>
        <v/>
      </c>
      <c r="H949" s="8">
        <f>IF(INDEX(Banco!$H:$H,ROW())="","",INDEX(Banco!$H:$H,ROW()))</f>
        <v/>
      </c>
      <c r="I949">
        <f>IF($T949="","",INT($T949/12)&amp;"a "&amp;MOD($T949,12)&amp;"m")</f>
        <v/>
      </c>
      <c r="J949" s="11">
        <f>IF(OR($F949="",$G949=""),"",ROUND($F949/($G949/100)^2,2))</f>
        <v/>
      </c>
      <c r="K949" s="12">
        <f>IF(OR($S949="",$J949="",$T949="",$T949&lt;0,$T949&gt;228,$Y949=""),"—",ROUND(IF(ABS($AB949)&lt;=3,$AB949,IF($AB949&gt;3,3+($J949-$AD949)/($AD949-$AC949),-3+($J949-$AF949)/($AE949-$AF949))),2))</f>
        <v/>
      </c>
      <c r="L949">
        <f>IF(OR($K949="",$K949="—"),"",IF($T949&lt;=60,IF($K949&lt;-3,"Magreza acentuada",IF($K949&lt;-2,"Magreza",IF($K949&lt;=1,"Eutrofia",IF($K949&lt;=2,"Risco de sobrepeso",IF($K949&lt;=3,"Sobrepeso","Obesidade"))))),IF($K949&lt;-3,"Magreza acentuada",IF($K949&lt;-2,"Magreza",IF($K949&lt;=1,"Eutrofia",IF($K949&lt;=2,"Sobrepeso",IF($K949&lt;=3,"Obesidade","Obesidade grave")))))))</f>
        <v/>
      </c>
      <c r="M949" s="12">
        <f>IF(OR($S949="",$V949="",$T949="",$T949&lt;0,$T949&gt;228,$AG949=""),"—",ROUND(IF($AG949=0,LN($V949/$AH949)/$AI949,((($V949/$AH949)^$AG949)-1)/($AG949*$AI949)),2))</f>
        <v/>
      </c>
      <c r="N949">
        <f>IF(OR($M949="",$M949="—"),"",IF($M949&lt;-3,"Muito baixa",IF($M949&lt;-2,"Baixa","Adequada")))</f>
        <v/>
      </c>
      <c r="O949" s="12">
        <f>IF(OR($S949="",$F949="",$T949="",$T949&lt;0,$T949&gt;120,$AJ949=""),"—",ROUND(IF(ABS($AM949)&lt;=3,$AM949,IF($AM949&gt;3,3+($F949-$AO949)/($AO949-$AN949),-3+($F949-$AQ949)/($AP949-$AQ949))),2))</f>
        <v/>
      </c>
      <c r="P949">
        <f>IF(OR($O949="",$O949="—"),"",IF($O949&lt;-3,"Muito baixo",IF($O949&lt;-2,"Baixo",IF($O949&lt;=2,"Adequado","Elevado"))))</f>
        <v/>
      </c>
      <c r="Q949" s="12">
        <f>IF(OR($S949="",$F949="",$T949="",$T949&lt;0,$T949&gt;60,$AR949=""),"—",ROUND(IF(ABS($AU949)&lt;=3,$AU949,IF($AU949&gt;3,3+($F949-$AW949)/($AW949-$AV949),-3+($F949-$AY949)/($AX949-$AY949))),2))</f>
        <v/>
      </c>
      <c r="R949">
        <f>IF(OR($Q949="",$Q949="—"),"",IF($Q949&lt;-3,"Magreza acentuada",IF($Q949&lt;-2,"Magreza",IF($Q949&lt;=1,"Eutrofia",IF($Q949&lt;=2,"Risco de sobrepeso",IF($Q949&lt;=3,"Sobrepeso","Obesidade"))))))</f>
        <v/>
      </c>
      <c r="S949">
        <f>IF($C949="","",IF(UPPER(LEFT($C949,1))="M",1,IF(UPPER(LEFT($C949,1))="F",2,"")))</f>
        <v/>
      </c>
      <c r="T949">
        <f>IF(OR($D949="",$E949=""),"",DATEDIF($D949,$E949,"m"))</f>
        <v/>
      </c>
      <c r="U949">
        <f>IF(OR($D949="",$E949=""),"",$E949-$D949)</f>
        <v/>
      </c>
      <c r="V949">
        <f>IF(OR($G949="",$T949=""),"",IF($T949&lt;24,IF(LEFT(LOWER($H949),4)="em p",$G949+0.7,$G949),IF(LEFT(LOWER($H949),4)="deit",$G949-0.7,$G949)))</f>
        <v/>
      </c>
      <c r="W949">
        <f>IF(OR($S949="",$T949=""),"",$S949*1000000+IF($T949&lt;=60,$U949,$T949))</f>
        <v/>
      </c>
      <c r="X949">
        <f>IF(OR($S949="",$V949="",$T949&gt;60,$T949=""),"",$S949*1000000+ROUND($V949*10,0))</f>
        <v/>
      </c>
      <c r="Y949">
        <f>IF($W949="","",IFERROR(INDEX(IF($T949&lt;=60,imc05_l,imc519_l),MATCH($W949,IF($T949&lt;=60,imc05_k,imc519_k),1)),""))</f>
        <v/>
      </c>
      <c r="Z949">
        <f>IF($W949="","",IFERROR(INDEX(IF($T949&lt;=60,imc05_m,imc519_m),MATCH($W949,IF($T949&lt;=60,imc05_k,imc519_k),1)),""))</f>
        <v/>
      </c>
      <c r="AA949">
        <f>IF($W949="","",IFERROR(INDEX(IF($T949&lt;=60,imc05_s,imc519_s),MATCH($W949,IF($T949&lt;=60,imc05_k,imc519_k),1)),""))</f>
        <v/>
      </c>
      <c r="AB949">
        <f>IF($Y949="","",IF($Y949=0,LN($J949/$Z949)/$AA949,((($J949/$Z949)^$Y949)-1)/($Y949*$AA949)))</f>
        <v/>
      </c>
      <c r="AC949">
        <f>IF($Y949="","",IF($Y949=0,$Z949*EXP($AA949*2),$Z949*(1+$Y949*$AA949*2)^(1/$Y949)))</f>
        <v/>
      </c>
      <c r="AD949">
        <f>IF($Y949="","",IF($Y949=0,$Z949*EXP($AA949*3),$Z949*(1+$Y949*$AA949*3)^(1/$Y949)))</f>
        <v/>
      </c>
      <c r="AE949">
        <f>IF($Y949="","",IF($Y949=0,$Z949*EXP($AA949*-2),$Z949*(1+$Y949*$AA949*-2)^(1/$Y949)))</f>
        <v/>
      </c>
      <c r="AF949">
        <f>IF($Y949="","",IF($Y949=0,$Z949*EXP($AA949*-3),$Z949*(1+$Y949*$AA949*-3)^(1/$Y949)))</f>
        <v/>
      </c>
      <c r="AG949">
        <f>IF($W949="","",IFERROR(INDEX(IF($T949&lt;=60,est05_l,est519_l),MATCH($W949,IF($T949&lt;=60,est05_k,est519_k),1)),""))</f>
        <v/>
      </c>
      <c r="AH949">
        <f>IF($W949="","",IFERROR(INDEX(IF($T949&lt;=60,est05_m,est519_m),MATCH($W949,IF($T949&lt;=60,est05_k,est519_k),1)),""))</f>
        <v/>
      </c>
      <c r="AI949">
        <f>IF($W949="","",IFERROR(INDEX(IF($T949&lt;=60,est05_s,est519_s),MATCH($W949,IF($T949&lt;=60,est05_k,est519_k),1)),""))</f>
        <v/>
      </c>
      <c r="AJ949">
        <f>IF($W949="","",IFERROR(INDEX(IF($T949&lt;=60,peso05_l,peso510_l),MATCH($W949,IF($T949&lt;=60,peso05_k,peso510_k),1)),""))</f>
        <v/>
      </c>
      <c r="AK949">
        <f>IF($W949="","",IFERROR(INDEX(IF($T949&lt;=60,peso05_m,peso510_m),MATCH($W949,IF($T949&lt;=60,peso05_k,peso510_k),1)),""))</f>
        <v/>
      </c>
      <c r="AL949">
        <f>IF($W949="","",IFERROR(INDEX(IF($T949&lt;=60,peso05_s,peso510_s),MATCH($W949,IF($T949&lt;=60,peso05_k,peso510_k),1)),""))</f>
        <v/>
      </c>
      <c r="AM949">
        <f>IF($AJ949="","",IF($AJ949=0,LN($F949/$AK949)/$AL949,((($F949/$AK949)^$AJ949)-1)/($AJ949*$AL949)))</f>
        <v/>
      </c>
      <c r="AN949">
        <f>IF($AJ949="","",IF($AJ949=0,$AK949*EXP($AL949*2),$AK949*(1+$AJ949*$AL949*2)^(1/$AJ949)))</f>
        <v/>
      </c>
      <c r="AO949">
        <f>IF($AJ949="","",IF($AJ949=0,$AK949*EXP($AL949*3),$AK949*(1+$AJ949*$AL949*3)^(1/$AJ949)))</f>
        <v/>
      </c>
      <c r="AP949">
        <f>IF($AJ949="","",IF($AJ949=0,$AK949*EXP($AL949*-2),$AK949*(1+$AJ949*$AL949*-2)^(1/$AJ949)))</f>
        <v/>
      </c>
      <c r="AQ949">
        <f>IF($AJ949="","",IF($AJ949=0,$AK949*EXP($AL949*-3),$AK949*(1+$AJ949*$AL949*-3)^(1/$AJ949)))</f>
        <v/>
      </c>
      <c r="AR949">
        <f>IF(OR($X949="",$T949&gt;60),"",IFERROR(INDEX(IF($T949&lt;24,pcomp_l,palt_l),MATCH($X949,IF($T949&lt;24,pcomp_k,palt_k),1)),""))</f>
        <v/>
      </c>
      <c r="AS949">
        <f>IF(OR($X949="",$T949&gt;60),"",IFERROR(INDEX(IF($T949&lt;24,pcomp_m,palt_m),MATCH($X949,IF($T949&lt;24,pcomp_k,palt_k),1)),""))</f>
        <v/>
      </c>
      <c r="AT949">
        <f>IF(OR($X949="",$T949&gt;60),"",IFERROR(INDEX(IF($T949&lt;24,pcomp_s,palt_s),MATCH($X949,IF($T949&lt;24,pcomp_k,palt_k),1)),""))</f>
        <v/>
      </c>
      <c r="AU949">
        <f>IF($AR949="","",IF($AR949=0,LN($F949/$AS949)/$AT949,((($F949/$AS949)^$AR949)-1)/($AR949*$AT949)))</f>
        <v/>
      </c>
      <c r="AV949">
        <f>IF($AR949="","",IF($AR949=0,$AS949*EXP($AT949*2),$AS949*(1+$AR949*$AT949*2)^(1/$AR949)))</f>
        <v/>
      </c>
      <c r="AW949">
        <f>IF($AR949="","",IF($AR949=0,$AS949*EXP($AT949*3),$AS949*(1+$AR949*$AT949*3)^(1/$AR949)))</f>
        <v/>
      </c>
      <c r="AX949">
        <f>IF($AR949="","",IF($AR949=0,$AS949*EXP($AT949*-2),$AS949*(1+$AR949*$AT949*-2)^(1/$AR949)))</f>
        <v/>
      </c>
      <c r="AY949">
        <f>IF($AR949="","",IF($AR949=0,$AS949*EXP($AT949*-3),$AS949*(1+$AR949*$AT949*-3)^(1/$AR949)))</f>
        <v/>
      </c>
      <c r="AZ949">
        <f>IF(OR($A949="",$A949&lt;&gt;Ficha!$C$4),"",COUNTIF($A$2:$A949,Ficha!$C$4))</f>
        <v/>
      </c>
    </row>
    <row r="950">
      <c r="A950" s="8">
        <f>IF(INDEX(Banco!$A:$A,ROW())="","",INDEX(Banco!$A:$A,ROW()))</f>
        <v/>
      </c>
      <c r="B950" s="8">
        <f>IF(INDEX(Banco!$B:$B,ROW())="","",INDEX(Banco!$B:$B,ROW()))</f>
        <v/>
      </c>
      <c r="C950" s="8">
        <f>IF(INDEX(Banco!$C:$C,ROW())="","",INDEX(Banco!$C:$C,ROW()))</f>
        <v/>
      </c>
      <c r="D950" s="9">
        <f>IF(INDEX(Banco!$D:$D,ROW())="","",INDEX(Banco!$D:$D,ROW()))</f>
        <v/>
      </c>
      <c r="E950" s="9">
        <f>IF(INDEX(Banco!$E:$E,ROW())="","",INDEX(Banco!$E:$E,ROW()))</f>
        <v/>
      </c>
      <c r="F950" s="10">
        <f>IF(INDEX(Banco!$F:$F,ROW())="","",INDEX(Banco!$F:$F,ROW()))</f>
        <v/>
      </c>
      <c r="G950" s="10">
        <f>IF(INDEX(Banco!$G:$G,ROW())="","",INDEX(Banco!$G:$G,ROW()))</f>
        <v/>
      </c>
      <c r="H950" s="8">
        <f>IF(INDEX(Banco!$H:$H,ROW())="","",INDEX(Banco!$H:$H,ROW()))</f>
        <v/>
      </c>
      <c r="I950">
        <f>IF($T950="","",INT($T950/12)&amp;"a "&amp;MOD($T950,12)&amp;"m")</f>
        <v/>
      </c>
      <c r="J950" s="11">
        <f>IF(OR($F950="",$G950=""),"",ROUND($F950/($G950/100)^2,2))</f>
        <v/>
      </c>
      <c r="K950" s="12">
        <f>IF(OR($S950="",$J950="",$T950="",$T950&lt;0,$T950&gt;228,$Y950=""),"—",ROUND(IF(ABS($AB950)&lt;=3,$AB950,IF($AB950&gt;3,3+($J950-$AD950)/($AD950-$AC950),-3+($J950-$AF950)/($AE950-$AF950))),2))</f>
        <v/>
      </c>
      <c r="L950">
        <f>IF(OR($K950="",$K950="—"),"",IF($T950&lt;=60,IF($K950&lt;-3,"Magreza acentuada",IF($K950&lt;-2,"Magreza",IF($K950&lt;=1,"Eutrofia",IF($K950&lt;=2,"Risco de sobrepeso",IF($K950&lt;=3,"Sobrepeso","Obesidade"))))),IF($K950&lt;-3,"Magreza acentuada",IF($K950&lt;-2,"Magreza",IF($K950&lt;=1,"Eutrofia",IF($K950&lt;=2,"Sobrepeso",IF($K950&lt;=3,"Obesidade","Obesidade grave")))))))</f>
        <v/>
      </c>
      <c r="M950" s="12">
        <f>IF(OR($S950="",$V950="",$T950="",$T950&lt;0,$T950&gt;228,$AG950=""),"—",ROUND(IF($AG950=0,LN($V950/$AH950)/$AI950,((($V950/$AH950)^$AG950)-1)/($AG950*$AI950)),2))</f>
        <v/>
      </c>
      <c r="N950">
        <f>IF(OR($M950="",$M950="—"),"",IF($M950&lt;-3,"Muito baixa",IF($M950&lt;-2,"Baixa","Adequada")))</f>
        <v/>
      </c>
      <c r="O950" s="12">
        <f>IF(OR($S950="",$F950="",$T950="",$T950&lt;0,$T950&gt;120,$AJ950=""),"—",ROUND(IF(ABS($AM950)&lt;=3,$AM950,IF($AM950&gt;3,3+($F950-$AO950)/($AO950-$AN950),-3+($F950-$AQ950)/($AP950-$AQ950))),2))</f>
        <v/>
      </c>
      <c r="P950">
        <f>IF(OR($O950="",$O950="—"),"",IF($O950&lt;-3,"Muito baixo",IF($O950&lt;-2,"Baixo",IF($O950&lt;=2,"Adequado","Elevado"))))</f>
        <v/>
      </c>
      <c r="Q950" s="12">
        <f>IF(OR($S950="",$F950="",$T950="",$T950&lt;0,$T950&gt;60,$AR950=""),"—",ROUND(IF(ABS($AU950)&lt;=3,$AU950,IF($AU950&gt;3,3+($F950-$AW950)/($AW950-$AV950),-3+($F950-$AY950)/($AX950-$AY950))),2))</f>
        <v/>
      </c>
      <c r="R950">
        <f>IF(OR($Q950="",$Q950="—"),"",IF($Q950&lt;-3,"Magreza acentuada",IF($Q950&lt;-2,"Magreza",IF($Q950&lt;=1,"Eutrofia",IF($Q950&lt;=2,"Risco de sobrepeso",IF($Q950&lt;=3,"Sobrepeso","Obesidade"))))))</f>
        <v/>
      </c>
      <c r="S950">
        <f>IF($C950="","",IF(UPPER(LEFT($C950,1))="M",1,IF(UPPER(LEFT($C950,1))="F",2,"")))</f>
        <v/>
      </c>
      <c r="T950">
        <f>IF(OR($D950="",$E950=""),"",DATEDIF($D950,$E950,"m"))</f>
        <v/>
      </c>
      <c r="U950">
        <f>IF(OR($D950="",$E950=""),"",$E950-$D950)</f>
        <v/>
      </c>
      <c r="V950">
        <f>IF(OR($G950="",$T950=""),"",IF($T950&lt;24,IF(LEFT(LOWER($H950),4)="em p",$G950+0.7,$G950),IF(LEFT(LOWER($H950),4)="deit",$G950-0.7,$G950)))</f>
        <v/>
      </c>
      <c r="W950">
        <f>IF(OR($S950="",$T950=""),"",$S950*1000000+IF($T950&lt;=60,$U950,$T950))</f>
        <v/>
      </c>
      <c r="X950">
        <f>IF(OR($S950="",$V950="",$T950&gt;60,$T950=""),"",$S950*1000000+ROUND($V950*10,0))</f>
        <v/>
      </c>
      <c r="Y950">
        <f>IF($W950="","",IFERROR(INDEX(IF($T950&lt;=60,imc05_l,imc519_l),MATCH($W950,IF($T950&lt;=60,imc05_k,imc519_k),1)),""))</f>
        <v/>
      </c>
      <c r="Z950">
        <f>IF($W950="","",IFERROR(INDEX(IF($T950&lt;=60,imc05_m,imc519_m),MATCH($W950,IF($T950&lt;=60,imc05_k,imc519_k),1)),""))</f>
        <v/>
      </c>
      <c r="AA950">
        <f>IF($W950="","",IFERROR(INDEX(IF($T950&lt;=60,imc05_s,imc519_s),MATCH($W950,IF($T950&lt;=60,imc05_k,imc519_k),1)),""))</f>
        <v/>
      </c>
      <c r="AB950">
        <f>IF($Y950="","",IF($Y950=0,LN($J950/$Z950)/$AA950,((($J950/$Z950)^$Y950)-1)/($Y950*$AA950)))</f>
        <v/>
      </c>
      <c r="AC950">
        <f>IF($Y950="","",IF($Y950=0,$Z950*EXP($AA950*2),$Z950*(1+$Y950*$AA950*2)^(1/$Y950)))</f>
        <v/>
      </c>
      <c r="AD950">
        <f>IF($Y950="","",IF($Y950=0,$Z950*EXP($AA950*3),$Z950*(1+$Y950*$AA950*3)^(1/$Y950)))</f>
        <v/>
      </c>
      <c r="AE950">
        <f>IF($Y950="","",IF($Y950=0,$Z950*EXP($AA950*-2),$Z950*(1+$Y950*$AA950*-2)^(1/$Y950)))</f>
        <v/>
      </c>
      <c r="AF950">
        <f>IF($Y950="","",IF($Y950=0,$Z950*EXP($AA950*-3),$Z950*(1+$Y950*$AA950*-3)^(1/$Y950)))</f>
        <v/>
      </c>
      <c r="AG950">
        <f>IF($W950="","",IFERROR(INDEX(IF($T950&lt;=60,est05_l,est519_l),MATCH($W950,IF($T950&lt;=60,est05_k,est519_k),1)),""))</f>
        <v/>
      </c>
      <c r="AH950">
        <f>IF($W950="","",IFERROR(INDEX(IF($T950&lt;=60,est05_m,est519_m),MATCH($W950,IF($T950&lt;=60,est05_k,est519_k),1)),""))</f>
        <v/>
      </c>
      <c r="AI950">
        <f>IF($W950="","",IFERROR(INDEX(IF($T950&lt;=60,est05_s,est519_s),MATCH($W950,IF($T950&lt;=60,est05_k,est519_k),1)),""))</f>
        <v/>
      </c>
      <c r="AJ950">
        <f>IF($W950="","",IFERROR(INDEX(IF($T950&lt;=60,peso05_l,peso510_l),MATCH($W950,IF($T950&lt;=60,peso05_k,peso510_k),1)),""))</f>
        <v/>
      </c>
      <c r="AK950">
        <f>IF($W950="","",IFERROR(INDEX(IF($T950&lt;=60,peso05_m,peso510_m),MATCH($W950,IF($T950&lt;=60,peso05_k,peso510_k),1)),""))</f>
        <v/>
      </c>
      <c r="AL950">
        <f>IF($W950="","",IFERROR(INDEX(IF($T950&lt;=60,peso05_s,peso510_s),MATCH($W950,IF($T950&lt;=60,peso05_k,peso510_k),1)),""))</f>
        <v/>
      </c>
      <c r="AM950">
        <f>IF($AJ950="","",IF($AJ950=0,LN($F950/$AK950)/$AL950,((($F950/$AK950)^$AJ950)-1)/($AJ950*$AL950)))</f>
        <v/>
      </c>
      <c r="AN950">
        <f>IF($AJ950="","",IF($AJ950=0,$AK950*EXP($AL950*2),$AK950*(1+$AJ950*$AL950*2)^(1/$AJ950)))</f>
        <v/>
      </c>
      <c r="AO950">
        <f>IF($AJ950="","",IF($AJ950=0,$AK950*EXP($AL950*3),$AK950*(1+$AJ950*$AL950*3)^(1/$AJ950)))</f>
        <v/>
      </c>
      <c r="AP950">
        <f>IF($AJ950="","",IF($AJ950=0,$AK950*EXP($AL950*-2),$AK950*(1+$AJ950*$AL950*-2)^(1/$AJ950)))</f>
        <v/>
      </c>
      <c r="AQ950">
        <f>IF($AJ950="","",IF($AJ950=0,$AK950*EXP($AL950*-3),$AK950*(1+$AJ950*$AL950*-3)^(1/$AJ950)))</f>
        <v/>
      </c>
      <c r="AR950">
        <f>IF(OR($X950="",$T950&gt;60),"",IFERROR(INDEX(IF($T950&lt;24,pcomp_l,palt_l),MATCH($X950,IF($T950&lt;24,pcomp_k,palt_k),1)),""))</f>
        <v/>
      </c>
      <c r="AS950">
        <f>IF(OR($X950="",$T950&gt;60),"",IFERROR(INDEX(IF($T950&lt;24,pcomp_m,palt_m),MATCH($X950,IF($T950&lt;24,pcomp_k,palt_k),1)),""))</f>
        <v/>
      </c>
      <c r="AT950">
        <f>IF(OR($X950="",$T950&gt;60),"",IFERROR(INDEX(IF($T950&lt;24,pcomp_s,palt_s),MATCH($X950,IF($T950&lt;24,pcomp_k,palt_k),1)),""))</f>
        <v/>
      </c>
      <c r="AU950">
        <f>IF($AR950="","",IF($AR950=0,LN($F950/$AS950)/$AT950,((($F950/$AS950)^$AR950)-1)/($AR950*$AT950)))</f>
        <v/>
      </c>
      <c r="AV950">
        <f>IF($AR950="","",IF($AR950=0,$AS950*EXP($AT950*2),$AS950*(1+$AR950*$AT950*2)^(1/$AR950)))</f>
        <v/>
      </c>
      <c r="AW950">
        <f>IF($AR950="","",IF($AR950=0,$AS950*EXP($AT950*3),$AS950*(1+$AR950*$AT950*3)^(1/$AR950)))</f>
        <v/>
      </c>
      <c r="AX950">
        <f>IF($AR950="","",IF($AR950=0,$AS950*EXP($AT950*-2),$AS950*(1+$AR950*$AT950*-2)^(1/$AR950)))</f>
        <v/>
      </c>
      <c r="AY950">
        <f>IF($AR950="","",IF($AR950=0,$AS950*EXP($AT950*-3),$AS950*(1+$AR950*$AT950*-3)^(1/$AR950)))</f>
        <v/>
      </c>
      <c r="AZ950">
        <f>IF(OR($A950="",$A950&lt;&gt;Ficha!$C$4),"",COUNTIF($A$2:$A950,Ficha!$C$4))</f>
        <v/>
      </c>
    </row>
    <row r="951">
      <c r="A951" s="8">
        <f>IF(INDEX(Banco!$A:$A,ROW())="","",INDEX(Banco!$A:$A,ROW()))</f>
        <v/>
      </c>
      <c r="B951" s="8">
        <f>IF(INDEX(Banco!$B:$B,ROW())="","",INDEX(Banco!$B:$B,ROW()))</f>
        <v/>
      </c>
      <c r="C951" s="8">
        <f>IF(INDEX(Banco!$C:$C,ROW())="","",INDEX(Banco!$C:$C,ROW()))</f>
        <v/>
      </c>
      <c r="D951" s="9">
        <f>IF(INDEX(Banco!$D:$D,ROW())="","",INDEX(Banco!$D:$D,ROW()))</f>
        <v/>
      </c>
      <c r="E951" s="9">
        <f>IF(INDEX(Banco!$E:$E,ROW())="","",INDEX(Banco!$E:$E,ROW()))</f>
        <v/>
      </c>
      <c r="F951" s="10">
        <f>IF(INDEX(Banco!$F:$F,ROW())="","",INDEX(Banco!$F:$F,ROW()))</f>
        <v/>
      </c>
      <c r="G951" s="10">
        <f>IF(INDEX(Banco!$G:$G,ROW())="","",INDEX(Banco!$G:$G,ROW()))</f>
        <v/>
      </c>
      <c r="H951" s="8">
        <f>IF(INDEX(Banco!$H:$H,ROW())="","",INDEX(Banco!$H:$H,ROW()))</f>
        <v/>
      </c>
      <c r="I951">
        <f>IF($T951="","",INT($T951/12)&amp;"a "&amp;MOD($T951,12)&amp;"m")</f>
        <v/>
      </c>
      <c r="J951" s="11">
        <f>IF(OR($F951="",$G951=""),"",ROUND($F951/($G951/100)^2,2))</f>
        <v/>
      </c>
      <c r="K951" s="12">
        <f>IF(OR($S951="",$J951="",$T951="",$T951&lt;0,$T951&gt;228,$Y951=""),"—",ROUND(IF(ABS($AB951)&lt;=3,$AB951,IF($AB951&gt;3,3+($J951-$AD951)/($AD951-$AC951),-3+($J951-$AF951)/($AE951-$AF951))),2))</f>
        <v/>
      </c>
      <c r="L951">
        <f>IF(OR($K951="",$K951="—"),"",IF($T951&lt;=60,IF($K951&lt;-3,"Magreza acentuada",IF($K951&lt;-2,"Magreza",IF($K951&lt;=1,"Eutrofia",IF($K951&lt;=2,"Risco de sobrepeso",IF($K951&lt;=3,"Sobrepeso","Obesidade"))))),IF($K951&lt;-3,"Magreza acentuada",IF($K951&lt;-2,"Magreza",IF($K951&lt;=1,"Eutrofia",IF($K951&lt;=2,"Sobrepeso",IF($K951&lt;=3,"Obesidade","Obesidade grave")))))))</f>
        <v/>
      </c>
      <c r="M951" s="12">
        <f>IF(OR($S951="",$V951="",$T951="",$T951&lt;0,$T951&gt;228,$AG951=""),"—",ROUND(IF($AG951=0,LN($V951/$AH951)/$AI951,((($V951/$AH951)^$AG951)-1)/($AG951*$AI951)),2))</f>
        <v/>
      </c>
      <c r="N951">
        <f>IF(OR($M951="",$M951="—"),"",IF($M951&lt;-3,"Muito baixa",IF($M951&lt;-2,"Baixa","Adequada")))</f>
        <v/>
      </c>
      <c r="O951" s="12">
        <f>IF(OR($S951="",$F951="",$T951="",$T951&lt;0,$T951&gt;120,$AJ951=""),"—",ROUND(IF(ABS($AM951)&lt;=3,$AM951,IF($AM951&gt;3,3+($F951-$AO951)/($AO951-$AN951),-3+($F951-$AQ951)/($AP951-$AQ951))),2))</f>
        <v/>
      </c>
      <c r="P951">
        <f>IF(OR($O951="",$O951="—"),"",IF($O951&lt;-3,"Muito baixo",IF($O951&lt;-2,"Baixo",IF($O951&lt;=2,"Adequado","Elevado"))))</f>
        <v/>
      </c>
      <c r="Q951" s="12">
        <f>IF(OR($S951="",$F951="",$T951="",$T951&lt;0,$T951&gt;60,$AR951=""),"—",ROUND(IF(ABS($AU951)&lt;=3,$AU951,IF($AU951&gt;3,3+($F951-$AW951)/($AW951-$AV951),-3+($F951-$AY951)/($AX951-$AY951))),2))</f>
        <v/>
      </c>
      <c r="R951">
        <f>IF(OR($Q951="",$Q951="—"),"",IF($Q951&lt;-3,"Magreza acentuada",IF($Q951&lt;-2,"Magreza",IF($Q951&lt;=1,"Eutrofia",IF($Q951&lt;=2,"Risco de sobrepeso",IF($Q951&lt;=3,"Sobrepeso","Obesidade"))))))</f>
        <v/>
      </c>
      <c r="S951">
        <f>IF($C951="","",IF(UPPER(LEFT($C951,1))="M",1,IF(UPPER(LEFT($C951,1))="F",2,"")))</f>
        <v/>
      </c>
      <c r="T951">
        <f>IF(OR($D951="",$E951=""),"",DATEDIF($D951,$E951,"m"))</f>
        <v/>
      </c>
      <c r="U951">
        <f>IF(OR($D951="",$E951=""),"",$E951-$D951)</f>
        <v/>
      </c>
      <c r="V951">
        <f>IF(OR($G951="",$T951=""),"",IF($T951&lt;24,IF(LEFT(LOWER($H951),4)="em p",$G951+0.7,$G951),IF(LEFT(LOWER($H951),4)="deit",$G951-0.7,$G951)))</f>
        <v/>
      </c>
      <c r="W951">
        <f>IF(OR($S951="",$T951=""),"",$S951*1000000+IF($T951&lt;=60,$U951,$T951))</f>
        <v/>
      </c>
      <c r="X951">
        <f>IF(OR($S951="",$V951="",$T951&gt;60,$T951=""),"",$S951*1000000+ROUND($V951*10,0))</f>
        <v/>
      </c>
      <c r="Y951">
        <f>IF($W951="","",IFERROR(INDEX(IF($T951&lt;=60,imc05_l,imc519_l),MATCH($W951,IF($T951&lt;=60,imc05_k,imc519_k),1)),""))</f>
        <v/>
      </c>
      <c r="Z951">
        <f>IF($W951="","",IFERROR(INDEX(IF($T951&lt;=60,imc05_m,imc519_m),MATCH($W951,IF($T951&lt;=60,imc05_k,imc519_k),1)),""))</f>
        <v/>
      </c>
      <c r="AA951">
        <f>IF($W951="","",IFERROR(INDEX(IF($T951&lt;=60,imc05_s,imc519_s),MATCH($W951,IF($T951&lt;=60,imc05_k,imc519_k),1)),""))</f>
        <v/>
      </c>
      <c r="AB951">
        <f>IF($Y951="","",IF($Y951=0,LN($J951/$Z951)/$AA951,((($J951/$Z951)^$Y951)-1)/($Y951*$AA951)))</f>
        <v/>
      </c>
      <c r="AC951">
        <f>IF($Y951="","",IF($Y951=0,$Z951*EXP($AA951*2),$Z951*(1+$Y951*$AA951*2)^(1/$Y951)))</f>
        <v/>
      </c>
      <c r="AD951">
        <f>IF($Y951="","",IF($Y951=0,$Z951*EXP($AA951*3),$Z951*(1+$Y951*$AA951*3)^(1/$Y951)))</f>
        <v/>
      </c>
      <c r="AE951">
        <f>IF($Y951="","",IF($Y951=0,$Z951*EXP($AA951*-2),$Z951*(1+$Y951*$AA951*-2)^(1/$Y951)))</f>
        <v/>
      </c>
      <c r="AF951">
        <f>IF($Y951="","",IF($Y951=0,$Z951*EXP($AA951*-3),$Z951*(1+$Y951*$AA951*-3)^(1/$Y951)))</f>
        <v/>
      </c>
      <c r="AG951">
        <f>IF($W951="","",IFERROR(INDEX(IF($T951&lt;=60,est05_l,est519_l),MATCH($W951,IF($T951&lt;=60,est05_k,est519_k),1)),""))</f>
        <v/>
      </c>
      <c r="AH951">
        <f>IF($W951="","",IFERROR(INDEX(IF($T951&lt;=60,est05_m,est519_m),MATCH($W951,IF($T951&lt;=60,est05_k,est519_k),1)),""))</f>
        <v/>
      </c>
      <c r="AI951">
        <f>IF($W951="","",IFERROR(INDEX(IF($T951&lt;=60,est05_s,est519_s),MATCH($W951,IF($T951&lt;=60,est05_k,est519_k),1)),""))</f>
        <v/>
      </c>
      <c r="AJ951">
        <f>IF($W951="","",IFERROR(INDEX(IF($T951&lt;=60,peso05_l,peso510_l),MATCH($W951,IF($T951&lt;=60,peso05_k,peso510_k),1)),""))</f>
        <v/>
      </c>
      <c r="AK951">
        <f>IF($W951="","",IFERROR(INDEX(IF($T951&lt;=60,peso05_m,peso510_m),MATCH($W951,IF($T951&lt;=60,peso05_k,peso510_k),1)),""))</f>
        <v/>
      </c>
      <c r="AL951">
        <f>IF($W951="","",IFERROR(INDEX(IF($T951&lt;=60,peso05_s,peso510_s),MATCH($W951,IF($T951&lt;=60,peso05_k,peso510_k),1)),""))</f>
        <v/>
      </c>
      <c r="AM951">
        <f>IF($AJ951="","",IF($AJ951=0,LN($F951/$AK951)/$AL951,((($F951/$AK951)^$AJ951)-1)/($AJ951*$AL951)))</f>
        <v/>
      </c>
      <c r="AN951">
        <f>IF($AJ951="","",IF($AJ951=0,$AK951*EXP($AL951*2),$AK951*(1+$AJ951*$AL951*2)^(1/$AJ951)))</f>
        <v/>
      </c>
      <c r="AO951">
        <f>IF($AJ951="","",IF($AJ951=0,$AK951*EXP($AL951*3),$AK951*(1+$AJ951*$AL951*3)^(1/$AJ951)))</f>
        <v/>
      </c>
      <c r="AP951">
        <f>IF($AJ951="","",IF($AJ951=0,$AK951*EXP($AL951*-2),$AK951*(1+$AJ951*$AL951*-2)^(1/$AJ951)))</f>
        <v/>
      </c>
      <c r="AQ951">
        <f>IF($AJ951="","",IF($AJ951=0,$AK951*EXP($AL951*-3),$AK951*(1+$AJ951*$AL951*-3)^(1/$AJ951)))</f>
        <v/>
      </c>
      <c r="AR951">
        <f>IF(OR($X951="",$T951&gt;60),"",IFERROR(INDEX(IF($T951&lt;24,pcomp_l,palt_l),MATCH($X951,IF($T951&lt;24,pcomp_k,palt_k),1)),""))</f>
        <v/>
      </c>
      <c r="AS951">
        <f>IF(OR($X951="",$T951&gt;60),"",IFERROR(INDEX(IF($T951&lt;24,pcomp_m,palt_m),MATCH($X951,IF($T951&lt;24,pcomp_k,palt_k),1)),""))</f>
        <v/>
      </c>
      <c r="AT951">
        <f>IF(OR($X951="",$T951&gt;60),"",IFERROR(INDEX(IF($T951&lt;24,pcomp_s,palt_s),MATCH($X951,IF($T951&lt;24,pcomp_k,palt_k),1)),""))</f>
        <v/>
      </c>
      <c r="AU951">
        <f>IF($AR951="","",IF($AR951=0,LN($F951/$AS951)/$AT951,((($F951/$AS951)^$AR951)-1)/($AR951*$AT951)))</f>
        <v/>
      </c>
      <c r="AV951">
        <f>IF($AR951="","",IF($AR951=0,$AS951*EXP($AT951*2),$AS951*(1+$AR951*$AT951*2)^(1/$AR951)))</f>
        <v/>
      </c>
      <c r="AW951">
        <f>IF($AR951="","",IF($AR951=0,$AS951*EXP($AT951*3),$AS951*(1+$AR951*$AT951*3)^(1/$AR951)))</f>
        <v/>
      </c>
      <c r="AX951">
        <f>IF($AR951="","",IF($AR951=0,$AS951*EXP($AT951*-2),$AS951*(1+$AR951*$AT951*-2)^(1/$AR951)))</f>
        <v/>
      </c>
      <c r="AY951">
        <f>IF($AR951="","",IF($AR951=0,$AS951*EXP($AT951*-3),$AS951*(1+$AR951*$AT951*-3)^(1/$AR951)))</f>
        <v/>
      </c>
      <c r="AZ951">
        <f>IF(OR($A951="",$A951&lt;&gt;Ficha!$C$4),"",COUNTIF($A$2:$A951,Ficha!$C$4))</f>
        <v/>
      </c>
    </row>
    <row r="952">
      <c r="A952" s="8">
        <f>IF(INDEX(Banco!$A:$A,ROW())="","",INDEX(Banco!$A:$A,ROW()))</f>
        <v/>
      </c>
      <c r="B952" s="8">
        <f>IF(INDEX(Banco!$B:$B,ROW())="","",INDEX(Banco!$B:$B,ROW()))</f>
        <v/>
      </c>
      <c r="C952" s="8">
        <f>IF(INDEX(Banco!$C:$C,ROW())="","",INDEX(Banco!$C:$C,ROW()))</f>
        <v/>
      </c>
      <c r="D952" s="9">
        <f>IF(INDEX(Banco!$D:$D,ROW())="","",INDEX(Banco!$D:$D,ROW()))</f>
        <v/>
      </c>
      <c r="E952" s="9">
        <f>IF(INDEX(Banco!$E:$E,ROW())="","",INDEX(Banco!$E:$E,ROW()))</f>
        <v/>
      </c>
      <c r="F952" s="10">
        <f>IF(INDEX(Banco!$F:$F,ROW())="","",INDEX(Banco!$F:$F,ROW()))</f>
        <v/>
      </c>
      <c r="G952" s="10">
        <f>IF(INDEX(Banco!$G:$G,ROW())="","",INDEX(Banco!$G:$G,ROW()))</f>
        <v/>
      </c>
      <c r="H952" s="8">
        <f>IF(INDEX(Banco!$H:$H,ROW())="","",INDEX(Banco!$H:$H,ROW()))</f>
        <v/>
      </c>
      <c r="I952">
        <f>IF($T952="","",INT($T952/12)&amp;"a "&amp;MOD($T952,12)&amp;"m")</f>
        <v/>
      </c>
      <c r="J952" s="11">
        <f>IF(OR($F952="",$G952=""),"",ROUND($F952/($G952/100)^2,2))</f>
        <v/>
      </c>
      <c r="K952" s="12">
        <f>IF(OR($S952="",$J952="",$T952="",$T952&lt;0,$T952&gt;228,$Y952=""),"—",ROUND(IF(ABS($AB952)&lt;=3,$AB952,IF($AB952&gt;3,3+($J952-$AD952)/($AD952-$AC952),-3+($J952-$AF952)/($AE952-$AF952))),2))</f>
        <v/>
      </c>
      <c r="L952">
        <f>IF(OR($K952="",$K952="—"),"",IF($T952&lt;=60,IF($K952&lt;-3,"Magreza acentuada",IF($K952&lt;-2,"Magreza",IF($K952&lt;=1,"Eutrofia",IF($K952&lt;=2,"Risco de sobrepeso",IF($K952&lt;=3,"Sobrepeso","Obesidade"))))),IF($K952&lt;-3,"Magreza acentuada",IF($K952&lt;-2,"Magreza",IF($K952&lt;=1,"Eutrofia",IF($K952&lt;=2,"Sobrepeso",IF($K952&lt;=3,"Obesidade","Obesidade grave")))))))</f>
        <v/>
      </c>
      <c r="M952" s="12">
        <f>IF(OR($S952="",$V952="",$T952="",$T952&lt;0,$T952&gt;228,$AG952=""),"—",ROUND(IF($AG952=0,LN($V952/$AH952)/$AI952,((($V952/$AH952)^$AG952)-1)/($AG952*$AI952)),2))</f>
        <v/>
      </c>
      <c r="N952">
        <f>IF(OR($M952="",$M952="—"),"",IF($M952&lt;-3,"Muito baixa",IF($M952&lt;-2,"Baixa","Adequada")))</f>
        <v/>
      </c>
      <c r="O952" s="12">
        <f>IF(OR($S952="",$F952="",$T952="",$T952&lt;0,$T952&gt;120,$AJ952=""),"—",ROUND(IF(ABS($AM952)&lt;=3,$AM952,IF($AM952&gt;3,3+($F952-$AO952)/($AO952-$AN952),-3+($F952-$AQ952)/($AP952-$AQ952))),2))</f>
        <v/>
      </c>
      <c r="P952">
        <f>IF(OR($O952="",$O952="—"),"",IF($O952&lt;-3,"Muito baixo",IF($O952&lt;-2,"Baixo",IF($O952&lt;=2,"Adequado","Elevado"))))</f>
        <v/>
      </c>
      <c r="Q952" s="12">
        <f>IF(OR($S952="",$F952="",$T952="",$T952&lt;0,$T952&gt;60,$AR952=""),"—",ROUND(IF(ABS($AU952)&lt;=3,$AU952,IF($AU952&gt;3,3+($F952-$AW952)/($AW952-$AV952),-3+($F952-$AY952)/($AX952-$AY952))),2))</f>
        <v/>
      </c>
      <c r="R952">
        <f>IF(OR($Q952="",$Q952="—"),"",IF($Q952&lt;-3,"Magreza acentuada",IF($Q952&lt;-2,"Magreza",IF($Q952&lt;=1,"Eutrofia",IF($Q952&lt;=2,"Risco de sobrepeso",IF($Q952&lt;=3,"Sobrepeso","Obesidade"))))))</f>
        <v/>
      </c>
      <c r="S952">
        <f>IF($C952="","",IF(UPPER(LEFT($C952,1))="M",1,IF(UPPER(LEFT($C952,1))="F",2,"")))</f>
        <v/>
      </c>
      <c r="T952">
        <f>IF(OR($D952="",$E952=""),"",DATEDIF($D952,$E952,"m"))</f>
        <v/>
      </c>
      <c r="U952">
        <f>IF(OR($D952="",$E952=""),"",$E952-$D952)</f>
        <v/>
      </c>
      <c r="V952">
        <f>IF(OR($G952="",$T952=""),"",IF($T952&lt;24,IF(LEFT(LOWER($H952),4)="em p",$G952+0.7,$G952),IF(LEFT(LOWER($H952),4)="deit",$G952-0.7,$G952)))</f>
        <v/>
      </c>
      <c r="W952">
        <f>IF(OR($S952="",$T952=""),"",$S952*1000000+IF($T952&lt;=60,$U952,$T952))</f>
        <v/>
      </c>
      <c r="X952">
        <f>IF(OR($S952="",$V952="",$T952&gt;60,$T952=""),"",$S952*1000000+ROUND($V952*10,0))</f>
        <v/>
      </c>
      <c r="Y952">
        <f>IF($W952="","",IFERROR(INDEX(IF($T952&lt;=60,imc05_l,imc519_l),MATCH($W952,IF($T952&lt;=60,imc05_k,imc519_k),1)),""))</f>
        <v/>
      </c>
      <c r="Z952">
        <f>IF($W952="","",IFERROR(INDEX(IF($T952&lt;=60,imc05_m,imc519_m),MATCH($W952,IF($T952&lt;=60,imc05_k,imc519_k),1)),""))</f>
        <v/>
      </c>
      <c r="AA952">
        <f>IF($W952="","",IFERROR(INDEX(IF($T952&lt;=60,imc05_s,imc519_s),MATCH($W952,IF($T952&lt;=60,imc05_k,imc519_k),1)),""))</f>
        <v/>
      </c>
      <c r="AB952">
        <f>IF($Y952="","",IF($Y952=0,LN($J952/$Z952)/$AA952,((($J952/$Z952)^$Y952)-1)/($Y952*$AA952)))</f>
        <v/>
      </c>
      <c r="AC952">
        <f>IF($Y952="","",IF($Y952=0,$Z952*EXP($AA952*2),$Z952*(1+$Y952*$AA952*2)^(1/$Y952)))</f>
        <v/>
      </c>
      <c r="AD952">
        <f>IF($Y952="","",IF($Y952=0,$Z952*EXP($AA952*3),$Z952*(1+$Y952*$AA952*3)^(1/$Y952)))</f>
        <v/>
      </c>
      <c r="AE952">
        <f>IF($Y952="","",IF($Y952=0,$Z952*EXP($AA952*-2),$Z952*(1+$Y952*$AA952*-2)^(1/$Y952)))</f>
        <v/>
      </c>
      <c r="AF952">
        <f>IF($Y952="","",IF($Y952=0,$Z952*EXP($AA952*-3),$Z952*(1+$Y952*$AA952*-3)^(1/$Y952)))</f>
        <v/>
      </c>
      <c r="AG952">
        <f>IF($W952="","",IFERROR(INDEX(IF($T952&lt;=60,est05_l,est519_l),MATCH($W952,IF($T952&lt;=60,est05_k,est519_k),1)),""))</f>
        <v/>
      </c>
      <c r="AH952">
        <f>IF($W952="","",IFERROR(INDEX(IF($T952&lt;=60,est05_m,est519_m),MATCH($W952,IF($T952&lt;=60,est05_k,est519_k),1)),""))</f>
        <v/>
      </c>
      <c r="AI952">
        <f>IF($W952="","",IFERROR(INDEX(IF($T952&lt;=60,est05_s,est519_s),MATCH($W952,IF($T952&lt;=60,est05_k,est519_k),1)),""))</f>
        <v/>
      </c>
      <c r="AJ952">
        <f>IF($W952="","",IFERROR(INDEX(IF($T952&lt;=60,peso05_l,peso510_l),MATCH($W952,IF($T952&lt;=60,peso05_k,peso510_k),1)),""))</f>
        <v/>
      </c>
      <c r="AK952">
        <f>IF($W952="","",IFERROR(INDEX(IF($T952&lt;=60,peso05_m,peso510_m),MATCH($W952,IF($T952&lt;=60,peso05_k,peso510_k),1)),""))</f>
        <v/>
      </c>
      <c r="AL952">
        <f>IF($W952="","",IFERROR(INDEX(IF($T952&lt;=60,peso05_s,peso510_s),MATCH($W952,IF($T952&lt;=60,peso05_k,peso510_k),1)),""))</f>
        <v/>
      </c>
      <c r="AM952">
        <f>IF($AJ952="","",IF($AJ952=0,LN($F952/$AK952)/$AL952,((($F952/$AK952)^$AJ952)-1)/($AJ952*$AL952)))</f>
        <v/>
      </c>
      <c r="AN952">
        <f>IF($AJ952="","",IF($AJ952=0,$AK952*EXP($AL952*2),$AK952*(1+$AJ952*$AL952*2)^(1/$AJ952)))</f>
        <v/>
      </c>
      <c r="AO952">
        <f>IF($AJ952="","",IF($AJ952=0,$AK952*EXP($AL952*3),$AK952*(1+$AJ952*$AL952*3)^(1/$AJ952)))</f>
        <v/>
      </c>
      <c r="AP952">
        <f>IF($AJ952="","",IF($AJ952=0,$AK952*EXP($AL952*-2),$AK952*(1+$AJ952*$AL952*-2)^(1/$AJ952)))</f>
        <v/>
      </c>
      <c r="AQ952">
        <f>IF($AJ952="","",IF($AJ952=0,$AK952*EXP($AL952*-3),$AK952*(1+$AJ952*$AL952*-3)^(1/$AJ952)))</f>
        <v/>
      </c>
      <c r="AR952">
        <f>IF(OR($X952="",$T952&gt;60),"",IFERROR(INDEX(IF($T952&lt;24,pcomp_l,palt_l),MATCH($X952,IF($T952&lt;24,pcomp_k,palt_k),1)),""))</f>
        <v/>
      </c>
      <c r="AS952">
        <f>IF(OR($X952="",$T952&gt;60),"",IFERROR(INDEX(IF($T952&lt;24,pcomp_m,palt_m),MATCH($X952,IF($T952&lt;24,pcomp_k,palt_k),1)),""))</f>
        <v/>
      </c>
      <c r="AT952">
        <f>IF(OR($X952="",$T952&gt;60),"",IFERROR(INDEX(IF($T952&lt;24,pcomp_s,palt_s),MATCH($X952,IF($T952&lt;24,pcomp_k,palt_k),1)),""))</f>
        <v/>
      </c>
      <c r="AU952">
        <f>IF($AR952="","",IF($AR952=0,LN($F952/$AS952)/$AT952,((($F952/$AS952)^$AR952)-1)/($AR952*$AT952)))</f>
        <v/>
      </c>
      <c r="AV952">
        <f>IF($AR952="","",IF($AR952=0,$AS952*EXP($AT952*2),$AS952*(1+$AR952*$AT952*2)^(1/$AR952)))</f>
        <v/>
      </c>
      <c r="AW952">
        <f>IF($AR952="","",IF($AR952=0,$AS952*EXP($AT952*3),$AS952*(1+$AR952*$AT952*3)^(1/$AR952)))</f>
        <v/>
      </c>
      <c r="AX952">
        <f>IF($AR952="","",IF($AR952=0,$AS952*EXP($AT952*-2),$AS952*(1+$AR952*$AT952*-2)^(1/$AR952)))</f>
        <v/>
      </c>
      <c r="AY952">
        <f>IF($AR952="","",IF($AR952=0,$AS952*EXP($AT952*-3),$AS952*(1+$AR952*$AT952*-3)^(1/$AR952)))</f>
        <v/>
      </c>
      <c r="AZ952">
        <f>IF(OR($A952="",$A952&lt;&gt;Ficha!$C$4),"",COUNTIF($A$2:$A952,Ficha!$C$4))</f>
        <v/>
      </c>
    </row>
    <row r="953">
      <c r="A953" s="8">
        <f>IF(INDEX(Banco!$A:$A,ROW())="","",INDEX(Banco!$A:$A,ROW()))</f>
        <v/>
      </c>
      <c r="B953" s="8">
        <f>IF(INDEX(Banco!$B:$B,ROW())="","",INDEX(Banco!$B:$B,ROW()))</f>
        <v/>
      </c>
      <c r="C953" s="8">
        <f>IF(INDEX(Banco!$C:$C,ROW())="","",INDEX(Banco!$C:$C,ROW()))</f>
        <v/>
      </c>
      <c r="D953" s="9">
        <f>IF(INDEX(Banco!$D:$D,ROW())="","",INDEX(Banco!$D:$D,ROW()))</f>
        <v/>
      </c>
      <c r="E953" s="9">
        <f>IF(INDEX(Banco!$E:$E,ROW())="","",INDEX(Banco!$E:$E,ROW()))</f>
        <v/>
      </c>
      <c r="F953" s="10">
        <f>IF(INDEX(Banco!$F:$F,ROW())="","",INDEX(Banco!$F:$F,ROW()))</f>
        <v/>
      </c>
      <c r="G953" s="10">
        <f>IF(INDEX(Banco!$G:$G,ROW())="","",INDEX(Banco!$G:$G,ROW()))</f>
        <v/>
      </c>
      <c r="H953" s="8">
        <f>IF(INDEX(Banco!$H:$H,ROW())="","",INDEX(Banco!$H:$H,ROW()))</f>
        <v/>
      </c>
      <c r="I953">
        <f>IF($T953="","",INT($T953/12)&amp;"a "&amp;MOD($T953,12)&amp;"m")</f>
        <v/>
      </c>
      <c r="J953" s="11">
        <f>IF(OR($F953="",$G953=""),"",ROUND($F953/($G953/100)^2,2))</f>
        <v/>
      </c>
      <c r="K953" s="12">
        <f>IF(OR($S953="",$J953="",$T953="",$T953&lt;0,$T953&gt;228,$Y953=""),"—",ROUND(IF(ABS($AB953)&lt;=3,$AB953,IF($AB953&gt;3,3+($J953-$AD953)/($AD953-$AC953),-3+($J953-$AF953)/($AE953-$AF953))),2))</f>
        <v/>
      </c>
      <c r="L953">
        <f>IF(OR($K953="",$K953="—"),"",IF($T953&lt;=60,IF($K953&lt;-3,"Magreza acentuada",IF($K953&lt;-2,"Magreza",IF($K953&lt;=1,"Eutrofia",IF($K953&lt;=2,"Risco de sobrepeso",IF($K953&lt;=3,"Sobrepeso","Obesidade"))))),IF($K953&lt;-3,"Magreza acentuada",IF($K953&lt;-2,"Magreza",IF($K953&lt;=1,"Eutrofia",IF($K953&lt;=2,"Sobrepeso",IF($K953&lt;=3,"Obesidade","Obesidade grave")))))))</f>
        <v/>
      </c>
      <c r="M953" s="12">
        <f>IF(OR($S953="",$V953="",$T953="",$T953&lt;0,$T953&gt;228,$AG953=""),"—",ROUND(IF($AG953=0,LN($V953/$AH953)/$AI953,((($V953/$AH953)^$AG953)-1)/($AG953*$AI953)),2))</f>
        <v/>
      </c>
      <c r="N953">
        <f>IF(OR($M953="",$M953="—"),"",IF($M953&lt;-3,"Muito baixa",IF($M953&lt;-2,"Baixa","Adequada")))</f>
        <v/>
      </c>
      <c r="O953" s="12">
        <f>IF(OR($S953="",$F953="",$T953="",$T953&lt;0,$T953&gt;120,$AJ953=""),"—",ROUND(IF(ABS($AM953)&lt;=3,$AM953,IF($AM953&gt;3,3+($F953-$AO953)/($AO953-$AN953),-3+($F953-$AQ953)/($AP953-$AQ953))),2))</f>
        <v/>
      </c>
      <c r="P953">
        <f>IF(OR($O953="",$O953="—"),"",IF($O953&lt;-3,"Muito baixo",IF($O953&lt;-2,"Baixo",IF($O953&lt;=2,"Adequado","Elevado"))))</f>
        <v/>
      </c>
      <c r="Q953" s="12">
        <f>IF(OR($S953="",$F953="",$T953="",$T953&lt;0,$T953&gt;60,$AR953=""),"—",ROUND(IF(ABS($AU953)&lt;=3,$AU953,IF($AU953&gt;3,3+($F953-$AW953)/($AW953-$AV953),-3+($F953-$AY953)/($AX953-$AY953))),2))</f>
        <v/>
      </c>
      <c r="R953">
        <f>IF(OR($Q953="",$Q953="—"),"",IF($Q953&lt;-3,"Magreza acentuada",IF($Q953&lt;-2,"Magreza",IF($Q953&lt;=1,"Eutrofia",IF($Q953&lt;=2,"Risco de sobrepeso",IF($Q953&lt;=3,"Sobrepeso","Obesidade"))))))</f>
        <v/>
      </c>
      <c r="S953">
        <f>IF($C953="","",IF(UPPER(LEFT($C953,1))="M",1,IF(UPPER(LEFT($C953,1))="F",2,"")))</f>
        <v/>
      </c>
      <c r="T953">
        <f>IF(OR($D953="",$E953=""),"",DATEDIF($D953,$E953,"m"))</f>
        <v/>
      </c>
      <c r="U953">
        <f>IF(OR($D953="",$E953=""),"",$E953-$D953)</f>
        <v/>
      </c>
      <c r="V953">
        <f>IF(OR($G953="",$T953=""),"",IF($T953&lt;24,IF(LEFT(LOWER($H953),4)="em p",$G953+0.7,$G953),IF(LEFT(LOWER($H953),4)="deit",$G953-0.7,$G953)))</f>
        <v/>
      </c>
      <c r="W953">
        <f>IF(OR($S953="",$T953=""),"",$S953*1000000+IF($T953&lt;=60,$U953,$T953))</f>
        <v/>
      </c>
      <c r="X953">
        <f>IF(OR($S953="",$V953="",$T953&gt;60,$T953=""),"",$S953*1000000+ROUND($V953*10,0))</f>
        <v/>
      </c>
      <c r="Y953">
        <f>IF($W953="","",IFERROR(INDEX(IF($T953&lt;=60,imc05_l,imc519_l),MATCH($W953,IF($T953&lt;=60,imc05_k,imc519_k),1)),""))</f>
        <v/>
      </c>
      <c r="Z953">
        <f>IF($W953="","",IFERROR(INDEX(IF($T953&lt;=60,imc05_m,imc519_m),MATCH($W953,IF($T953&lt;=60,imc05_k,imc519_k),1)),""))</f>
        <v/>
      </c>
      <c r="AA953">
        <f>IF($W953="","",IFERROR(INDEX(IF($T953&lt;=60,imc05_s,imc519_s),MATCH($W953,IF($T953&lt;=60,imc05_k,imc519_k),1)),""))</f>
        <v/>
      </c>
      <c r="AB953">
        <f>IF($Y953="","",IF($Y953=0,LN($J953/$Z953)/$AA953,((($J953/$Z953)^$Y953)-1)/($Y953*$AA953)))</f>
        <v/>
      </c>
      <c r="AC953">
        <f>IF($Y953="","",IF($Y953=0,$Z953*EXP($AA953*2),$Z953*(1+$Y953*$AA953*2)^(1/$Y953)))</f>
        <v/>
      </c>
      <c r="AD953">
        <f>IF($Y953="","",IF($Y953=0,$Z953*EXP($AA953*3),$Z953*(1+$Y953*$AA953*3)^(1/$Y953)))</f>
        <v/>
      </c>
      <c r="AE953">
        <f>IF($Y953="","",IF($Y953=0,$Z953*EXP($AA953*-2),$Z953*(1+$Y953*$AA953*-2)^(1/$Y953)))</f>
        <v/>
      </c>
      <c r="AF953">
        <f>IF($Y953="","",IF($Y953=0,$Z953*EXP($AA953*-3),$Z953*(1+$Y953*$AA953*-3)^(1/$Y953)))</f>
        <v/>
      </c>
      <c r="AG953">
        <f>IF($W953="","",IFERROR(INDEX(IF($T953&lt;=60,est05_l,est519_l),MATCH($W953,IF($T953&lt;=60,est05_k,est519_k),1)),""))</f>
        <v/>
      </c>
      <c r="AH953">
        <f>IF($W953="","",IFERROR(INDEX(IF($T953&lt;=60,est05_m,est519_m),MATCH($W953,IF($T953&lt;=60,est05_k,est519_k),1)),""))</f>
        <v/>
      </c>
      <c r="AI953">
        <f>IF($W953="","",IFERROR(INDEX(IF($T953&lt;=60,est05_s,est519_s),MATCH($W953,IF($T953&lt;=60,est05_k,est519_k),1)),""))</f>
        <v/>
      </c>
      <c r="AJ953">
        <f>IF($W953="","",IFERROR(INDEX(IF($T953&lt;=60,peso05_l,peso510_l),MATCH($W953,IF($T953&lt;=60,peso05_k,peso510_k),1)),""))</f>
        <v/>
      </c>
      <c r="AK953">
        <f>IF($W953="","",IFERROR(INDEX(IF($T953&lt;=60,peso05_m,peso510_m),MATCH($W953,IF($T953&lt;=60,peso05_k,peso510_k),1)),""))</f>
        <v/>
      </c>
      <c r="AL953">
        <f>IF($W953="","",IFERROR(INDEX(IF($T953&lt;=60,peso05_s,peso510_s),MATCH($W953,IF($T953&lt;=60,peso05_k,peso510_k),1)),""))</f>
        <v/>
      </c>
      <c r="AM953">
        <f>IF($AJ953="","",IF($AJ953=0,LN($F953/$AK953)/$AL953,((($F953/$AK953)^$AJ953)-1)/($AJ953*$AL953)))</f>
        <v/>
      </c>
      <c r="AN953">
        <f>IF($AJ953="","",IF($AJ953=0,$AK953*EXP($AL953*2),$AK953*(1+$AJ953*$AL953*2)^(1/$AJ953)))</f>
        <v/>
      </c>
      <c r="AO953">
        <f>IF($AJ953="","",IF($AJ953=0,$AK953*EXP($AL953*3),$AK953*(1+$AJ953*$AL953*3)^(1/$AJ953)))</f>
        <v/>
      </c>
      <c r="AP953">
        <f>IF($AJ953="","",IF($AJ953=0,$AK953*EXP($AL953*-2),$AK953*(1+$AJ953*$AL953*-2)^(1/$AJ953)))</f>
        <v/>
      </c>
      <c r="AQ953">
        <f>IF($AJ953="","",IF($AJ953=0,$AK953*EXP($AL953*-3),$AK953*(1+$AJ953*$AL953*-3)^(1/$AJ953)))</f>
        <v/>
      </c>
      <c r="AR953">
        <f>IF(OR($X953="",$T953&gt;60),"",IFERROR(INDEX(IF($T953&lt;24,pcomp_l,palt_l),MATCH($X953,IF($T953&lt;24,pcomp_k,palt_k),1)),""))</f>
        <v/>
      </c>
      <c r="AS953">
        <f>IF(OR($X953="",$T953&gt;60),"",IFERROR(INDEX(IF($T953&lt;24,pcomp_m,palt_m),MATCH($X953,IF($T953&lt;24,pcomp_k,palt_k),1)),""))</f>
        <v/>
      </c>
      <c r="AT953">
        <f>IF(OR($X953="",$T953&gt;60),"",IFERROR(INDEX(IF($T953&lt;24,pcomp_s,palt_s),MATCH($X953,IF($T953&lt;24,pcomp_k,palt_k),1)),""))</f>
        <v/>
      </c>
      <c r="AU953">
        <f>IF($AR953="","",IF($AR953=0,LN($F953/$AS953)/$AT953,((($F953/$AS953)^$AR953)-1)/($AR953*$AT953)))</f>
        <v/>
      </c>
      <c r="AV953">
        <f>IF($AR953="","",IF($AR953=0,$AS953*EXP($AT953*2),$AS953*(1+$AR953*$AT953*2)^(1/$AR953)))</f>
        <v/>
      </c>
      <c r="AW953">
        <f>IF($AR953="","",IF($AR953=0,$AS953*EXP($AT953*3),$AS953*(1+$AR953*$AT953*3)^(1/$AR953)))</f>
        <v/>
      </c>
      <c r="AX953">
        <f>IF($AR953="","",IF($AR953=0,$AS953*EXP($AT953*-2),$AS953*(1+$AR953*$AT953*-2)^(1/$AR953)))</f>
        <v/>
      </c>
      <c r="AY953">
        <f>IF($AR953="","",IF($AR953=0,$AS953*EXP($AT953*-3),$AS953*(1+$AR953*$AT953*-3)^(1/$AR953)))</f>
        <v/>
      </c>
      <c r="AZ953">
        <f>IF(OR($A953="",$A953&lt;&gt;Ficha!$C$4),"",COUNTIF($A$2:$A953,Ficha!$C$4))</f>
        <v/>
      </c>
    </row>
    <row r="954">
      <c r="A954" s="8">
        <f>IF(INDEX(Banco!$A:$A,ROW())="","",INDEX(Banco!$A:$A,ROW()))</f>
        <v/>
      </c>
      <c r="B954" s="8">
        <f>IF(INDEX(Banco!$B:$B,ROW())="","",INDEX(Banco!$B:$B,ROW()))</f>
        <v/>
      </c>
      <c r="C954" s="8">
        <f>IF(INDEX(Banco!$C:$C,ROW())="","",INDEX(Banco!$C:$C,ROW()))</f>
        <v/>
      </c>
      <c r="D954" s="9">
        <f>IF(INDEX(Banco!$D:$D,ROW())="","",INDEX(Banco!$D:$D,ROW()))</f>
        <v/>
      </c>
      <c r="E954" s="9">
        <f>IF(INDEX(Banco!$E:$E,ROW())="","",INDEX(Banco!$E:$E,ROW()))</f>
        <v/>
      </c>
      <c r="F954" s="10">
        <f>IF(INDEX(Banco!$F:$F,ROW())="","",INDEX(Banco!$F:$F,ROW()))</f>
        <v/>
      </c>
      <c r="G954" s="10">
        <f>IF(INDEX(Banco!$G:$G,ROW())="","",INDEX(Banco!$G:$G,ROW()))</f>
        <v/>
      </c>
      <c r="H954" s="8">
        <f>IF(INDEX(Banco!$H:$H,ROW())="","",INDEX(Banco!$H:$H,ROW()))</f>
        <v/>
      </c>
      <c r="I954">
        <f>IF($T954="","",INT($T954/12)&amp;"a "&amp;MOD($T954,12)&amp;"m")</f>
        <v/>
      </c>
      <c r="J954" s="11">
        <f>IF(OR($F954="",$G954=""),"",ROUND($F954/($G954/100)^2,2))</f>
        <v/>
      </c>
      <c r="K954" s="12">
        <f>IF(OR($S954="",$J954="",$T954="",$T954&lt;0,$T954&gt;228,$Y954=""),"—",ROUND(IF(ABS($AB954)&lt;=3,$AB954,IF($AB954&gt;3,3+($J954-$AD954)/($AD954-$AC954),-3+($J954-$AF954)/($AE954-$AF954))),2))</f>
        <v/>
      </c>
      <c r="L954">
        <f>IF(OR($K954="",$K954="—"),"",IF($T954&lt;=60,IF($K954&lt;-3,"Magreza acentuada",IF($K954&lt;-2,"Magreza",IF($K954&lt;=1,"Eutrofia",IF($K954&lt;=2,"Risco de sobrepeso",IF($K954&lt;=3,"Sobrepeso","Obesidade"))))),IF($K954&lt;-3,"Magreza acentuada",IF($K954&lt;-2,"Magreza",IF($K954&lt;=1,"Eutrofia",IF($K954&lt;=2,"Sobrepeso",IF($K954&lt;=3,"Obesidade","Obesidade grave")))))))</f>
        <v/>
      </c>
      <c r="M954" s="12">
        <f>IF(OR($S954="",$V954="",$T954="",$T954&lt;0,$T954&gt;228,$AG954=""),"—",ROUND(IF($AG954=0,LN($V954/$AH954)/$AI954,((($V954/$AH954)^$AG954)-1)/($AG954*$AI954)),2))</f>
        <v/>
      </c>
      <c r="N954">
        <f>IF(OR($M954="",$M954="—"),"",IF($M954&lt;-3,"Muito baixa",IF($M954&lt;-2,"Baixa","Adequada")))</f>
        <v/>
      </c>
      <c r="O954" s="12">
        <f>IF(OR($S954="",$F954="",$T954="",$T954&lt;0,$T954&gt;120,$AJ954=""),"—",ROUND(IF(ABS($AM954)&lt;=3,$AM954,IF($AM954&gt;3,3+($F954-$AO954)/($AO954-$AN954),-3+($F954-$AQ954)/($AP954-$AQ954))),2))</f>
        <v/>
      </c>
      <c r="P954">
        <f>IF(OR($O954="",$O954="—"),"",IF($O954&lt;-3,"Muito baixo",IF($O954&lt;-2,"Baixo",IF($O954&lt;=2,"Adequado","Elevado"))))</f>
        <v/>
      </c>
      <c r="Q954" s="12">
        <f>IF(OR($S954="",$F954="",$T954="",$T954&lt;0,$T954&gt;60,$AR954=""),"—",ROUND(IF(ABS($AU954)&lt;=3,$AU954,IF($AU954&gt;3,3+($F954-$AW954)/($AW954-$AV954),-3+($F954-$AY954)/($AX954-$AY954))),2))</f>
        <v/>
      </c>
      <c r="R954">
        <f>IF(OR($Q954="",$Q954="—"),"",IF($Q954&lt;-3,"Magreza acentuada",IF($Q954&lt;-2,"Magreza",IF($Q954&lt;=1,"Eutrofia",IF($Q954&lt;=2,"Risco de sobrepeso",IF($Q954&lt;=3,"Sobrepeso","Obesidade"))))))</f>
        <v/>
      </c>
      <c r="S954">
        <f>IF($C954="","",IF(UPPER(LEFT($C954,1))="M",1,IF(UPPER(LEFT($C954,1))="F",2,"")))</f>
        <v/>
      </c>
      <c r="T954">
        <f>IF(OR($D954="",$E954=""),"",DATEDIF($D954,$E954,"m"))</f>
        <v/>
      </c>
      <c r="U954">
        <f>IF(OR($D954="",$E954=""),"",$E954-$D954)</f>
        <v/>
      </c>
      <c r="V954">
        <f>IF(OR($G954="",$T954=""),"",IF($T954&lt;24,IF(LEFT(LOWER($H954),4)="em p",$G954+0.7,$G954),IF(LEFT(LOWER($H954),4)="deit",$G954-0.7,$G954)))</f>
        <v/>
      </c>
      <c r="W954">
        <f>IF(OR($S954="",$T954=""),"",$S954*1000000+IF($T954&lt;=60,$U954,$T954))</f>
        <v/>
      </c>
      <c r="X954">
        <f>IF(OR($S954="",$V954="",$T954&gt;60,$T954=""),"",$S954*1000000+ROUND($V954*10,0))</f>
        <v/>
      </c>
      <c r="Y954">
        <f>IF($W954="","",IFERROR(INDEX(IF($T954&lt;=60,imc05_l,imc519_l),MATCH($W954,IF($T954&lt;=60,imc05_k,imc519_k),1)),""))</f>
        <v/>
      </c>
      <c r="Z954">
        <f>IF($W954="","",IFERROR(INDEX(IF($T954&lt;=60,imc05_m,imc519_m),MATCH($W954,IF($T954&lt;=60,imc05_k,imc519_k),1)),""))</f>
        <v/>
      </c>
      <c r="AA954">
        <f>IF($W954="","",IFERROR(INDEX(IF($T954&lt;=60,imc05_s,imc519_s),MATCH($W954,IF($T954&lt;=60,imc05_k,imc519_k),1)),""))</f>
        <v/>
      </c>
      <c r="AB954">
        <f>IF($Y954="","",IF($Y954=0,LN($J954/$Z954)/$AA954,((($J954/$Z954)^$Y954)-1)/($Y954*$AA954)))</f>
        <v/>
      </c>
      <c r="AC954">
        <f>IF($Y954="","",IF($Y954=0,$Z954*EXP($AA954*2),$Z954*(1+$Y954*$AA954*2)^(1/$Y954)))</f>
        <v/>
      </c>
      <c r="AD954">
        <f>IF($Y954="","",IF($Y954=0,$Z954*EXP($AA954*3),$Z954*(1+$Y954*$AA954*3)^(1/$Y954)))</f>
        <v/>
      </c>
      <c r="AE954">
        <f>IF($Y954="","",IF($Y954=0,$Z954*EXP($AA954*-2),$Z954*(1+$Y954*$AA954*-2)^(1/$Y954)))</f>
        <v/>
      </c>
      <c r="AF954">
        <f>IF($Y954="","",IF($Y954=0,$Z954*EXP($AA954*-3),$Z954*(1+$Y954*$AA954*-3)^(1/$Y954)))</f>
        <v/>
      </c>
      <c r="AG954">
        <f>IF($W954="","",IFERROR(INDEX(IF($T954&lt;=60,est05_l,est519_l),MATCH($W954,IF($T954&lt;=60,est05_k,est519_k),1)),""))</f>
        <v/>
      </c>
      <c r="AH954">
        <f>IF($W954="","",IFERROR(INDEX(IF($T954&lt;=60,est05_m,est519_m),MATCH($W954,IF($T954&lt;=60,est05_k,est519_k),1)),""))</f>
        <v/>
      </c>
      <c r="AI954">
        <f>IF($W954="","",IFERROR(INDEX(IF($T954&lt;=60,est05_s,est519_s),MATCH($W954,IF($T954&lt;=60,est05_k,est519_k),1)),""))</f>
        <v/>
      </c>
      <c r="AJ954">
        <f>IF($W954="","",IFERROR(INDEX(IF($T954&lt;=60,peso05_l,peso510_l),MATCH($W954,IF($T954&lt;=60,peso05_k,peso510_k),1)),""))</f>
        <v/>
      </c>
      <c r="AK954">
        <f>IF($W954="","",IFERROR(INDEX(IF($T954&lt;=60,peso05_m,peso510_m),MATCH($W954,IF($T954&lt;=60,peso05_k,peso510_k),1)),""))</f>
        <v/>
      </c>
      <c r="AL954">
        <f>IF($W954="","",IFERROR(INDEX(IF($T954&lt;=60,peso05_s,peso510_s),MATCH($W954,IF($T954&lt;=60,peso05_k,peso510_k),1)),""))</f>
        <v/>
      </c>
      <c r="AM954">
        <f>IF($AJ954="","",IF($AJ954=0,LN($F954/$AK954)/$AL954,((($F954/$AK954)^$AJ954)-1)/($AJ954*$AL954)))</f>
        <v/>
      </c>
      <c r="AN954">
        <f>IF($AJ954="","",IF($AJ954=0,$AK954*EXP($AL954*2),$AK954*(1+$AJ954*$AL954*2)^(1/$AJ954)))</f>
        <v/>
      </c>
      <c r="AO954">
        <f>IF($AJ954="","",IF($AJ954=0,$AK954*EXP($AL954*3),$AK954*(1+$AJ954*$AL954*3)^(1/$AJ954)))</f>
        <v/>
      </c>
      <c r="AP954">
        <f>IF($AJ954="","",IF($AJ954=0,$AK954*EXP($AL954*-2),$AK954*(1+$AJ954*$AL954*-2)^(1/$AJ954)))</f>
        <v/>
      </c>
      <c r="AQ954">
        <f>IF($AJ954="","",IF($AJ954=0,$AK954*EXP($AL954*-3),$AK954*(1+$AJ954*$AL954*-3)^(1/$AJ954)))</f>
        <v/>
      </c>
      <c r="AR954">
        <f>IF(OR($X954="",$T954&gt;60),"",IFERROR(INDEX(IF($T954&lt;24,pcomp_l,palt_l),MATCH($X954,IF($T954&lt;24,pcomp_k,palt_k),1)),""))</f>
        <v/>
      </c>
      <c r="AS954">
        <f>IF(OR($X954="",$T954&gt;60),"",IFERROR(INDEX(IF($T954&lt;24,pcomp_m,palt_m),MATCH($X954,IF($T954&lt;24,pcomp_k,palt_k),1)),""))</f>
        <v/>
      </c>
      <c r="AT954">
        <f>IF(OR($X954="",$T954&gt;60),"",IFERROR(INDEX(IF($T954&lt;24,pcomp_s,palt_s),MATCH($X954,IF($T954&lt;24,pcomp_k,palt_k),1)),""))</f>
        <v/>
      </c>
      <c r="AU954">
        <f>IF($AR954="","",IF($AR954=0,LN($F954/$AS954)/$AT954,((($F954/$AS954)^$AR954)-1)/($AR954*$AT954)))</f>
        <v/>
      </c>
      <c r="AV954">
        <f>IF($AR954="","",IF($AR954=0,$AS954*EXP($AT954*2),$AS954*(1+$AR954*$AT954*2)^(1/$AR954)))</f>
        <v/>
      </c>
      <c r="AW954">
        <f>IF($AR954="","",IF($AR954=0,$AS954*EXP($AT954*3),$AS954*(1+$AR954*$AT954*3)^(1/$AR954)))</f>
        <v/>
      </c>
      <c r="AX954">
        <f>IF($AR954="","",IF($AR954=0,$AS954*EXP($AT954*-2),$AS954*(1+$AR954*$AT954*-2)^(1/$AR954)))</f>
        <v/>
      </c>
      <c r="AY954">
        <f>IF($AR954="","",IF($AR954=0,$AS954*EXP($AT954*-3),$AS954*(1+$AR954*$AT954*-3)^(1/$AR954)))</f>
        <v/>
      </c>
      <c r="AZ954">
        <f>IF(OR($A954="",$A954&lt;&gt;Ficha!$C$4),"",COUNTIF($A$2:$A954,Ficha!$C$4))</f>
        <v/>
      </c>
    </row>
    <row r="955">
      <c r="A955" s="8">
        <f>IF(INDEX(Banco!$A:$A,ROW())="","",INDEX(Banco!$A:$A,ROW()))</f>
        <v/>
      </c>
      <c r="B955" s="8">
        <f>IF(INDEX(Banco!$B:$B,ROW())="","",INDEX(Banco!$B:$B,ROW()))</f>
        <v/>
      </c>
      <c r="C955" s="8">
        <f>IF(INDEX(Banco!$C:$C,ROW())="","",INDEX(Banco!$C:$C,ROW()))</f>
        <v/>
      </c>
      <c r="D955" s="9">
        <f>IF(INDEX(Banco!$D:$D,ROW())="","",INDEX(Banco!$D:$D,ROW()))</f>
        <v/>
      </c>
      <c r="E955" s="9">
        <f>IF(INDEX(Banco!$E:$E,ROW())="","",INDEX(Banco!$E:$E,ROW()))</f>
        <v/>
      </c>
      <c r="F955" s="10">
        <f>IF(INDEX(Banco!$F:$F,ROW())="","",INDEX(Banco!$F:$F,ROW()))</f>
        <v/>
      </c>
      <c r="G955" s="10">
        <f>IF(INDEX(Banco!$G:$G,ROW())="","",INDEX(Banco!$G:$G,ROW()))</f>
        <v/>
      </c>
      <c r="H955" s="8">
        <f>IF(INDEX(Banco!$H:$H,ROW())="","",INDEX(Banco!$H:$H,ROW()))</f>
        <v/>
      </c>
      <c r="I955">
        <f>IF($T955="","",INT($T955/12)&amp;"a "&amp;MOD($T955,12)&amp;"m")</f>
        <v/>
      </c>
      <c r="J955" s="11">
        <f>IF(OR($F955="",$G955=""),"",ROUND($F955/($G955/100)^2,2))</f>
        <v/>
      </c>
      <c r="K955" s="12">
        <f>IF(OR($S955="",$J955="",$T955="",$T955&lt;0,$T955&gt;228,$Y955=""),"—",ROUND(IF(ABS($AB955)&lt;=3,$AB955,IF($AB955&gt;3,3+($J955-$AD955)/($AD955-$AC955),-3+($J955-$AF955)/($AE955-$AF955))),2))</f>
        <v/>
      </c>
      <c r="L955">
        <f>IF(OR($K955="",$K955="—"),"",IF($T955&lt;=60,IF($K955&lt;-3,"Magreza acentuada",IF($K955&lt;-2,"Magreza",IF($K955&lt;=1,"Eutrofia",IF($K955&lt;=2,"Risco de sobrepeso",IF($K955&lt;=3,"Sobrepeso","Obesidade"))))),IF($K955&lt;-3,"Magreza acentuada",IF($K955&lt;-2,"Magreza",IF($K955&lt;=1,"Eutrofia",IF($K955&lt;=2,"Sobrepeso",IF($K955&lt;=3,"Obesidade","Obesidade grave")))))))</f>
        <v/>
      </c>
      <c r="M955" s="12">
        <f>IF(OR($S955="",$V955="",$T955="",$T955&lt;0,$T955&gt;228,$AG955=""),"—",ROUND(IF($AG955=0,LN($V955/$AH955)/$AI955,((($V955/$AH955)^$AG955)-1)/($AG955*$AI955)),2))</f>
        <v/>
      </c>
      <c r="N955">
        <f>IF(OR($M955="",$M955="—"),"",IF($M955&lt;-3,"Muito baixa",IF($M955&lt;-2,"Baixa","Adequada")))</f>
        <v/>
      </c>
      <c r="O955" s="12">
        <f>IF(OR($S955="",$F955="",$T955="",$T955&lt;0,$T955&gt;120,$AJ955=""),"—",ROUND(IF(ABS($AM955)&lt;=3,$AM955,IF($AM955&gt;3,3+($F955-$AO955)/($AO955-$AN955),-3+($F955-$AQ955)/($AP955-$AQ955))),2))</f>
        <v/>
      </c>
      <c r="P955">
        <f>IF(OR($O955="",$O955="—"),"",IF($O955&lt;-3,"Muito baixo",IF($O955&lt;-2,"Baixo",IF($O955&lt;=2,"Adequado","Elevado"))))</f>
        <v/>
      </c>
      <c r="Q955" s="12">
        <f>IF(OR($S955="",$F955="",$T955="",$T955&lt;0,$T955&gt;60,$AR955=""),"—",ROUND(IF(ABS($AU955)&lt;=3,$AU955,IF($AU955&gt;3,3+($F955-$AW955)/($AW955-$AV955),-3+($F955-$AY955)/($AX955-$AY955))),2))</f>
        <v/>
      </c>
      <c r="R955">
        <f>IF(OR($Q955="",$Q955="—"),"",IF($Q955&lt;-3,"Magreza acentuada",IF($Q955&lt;-2,"Magreza",IF($Q955&lt;=1,"Eutrofia",IF($Q955&lt;=2,"Risco de sobrepeso",IF($Q955&lt;=3,"Sobrepeso","Obesidade"))))))</f>
        <v/>
      </c>
      <c r="S955">
        <f>IF($C955="","",IF(UPPER(LEFT($C955,1))="M",1,IF(UPPER(LEFT($C955,1))="F",2,"")))</f>
        <v/>
      </c>
      <c r="T955">
        <f>IF(OR($D955="",$E955=""),"",DATEDIF($D955,$E955,"m"))</f>
        <v/>
      </c>
      <c r="U955">
        <f>IF(OR($D955="",$E955=""),"",$E955-$D955)</f>
        <v/>
      </c>
      <c r="V955">
        <f>IF(OR($G955="",$T955=""),"",IF($T955&lt;24,IF(LEFT(LOWER($H955),4)="em p",$G955+0.7,$G955),IF(LEFT(LOWER($H955),4)="deit",$G955-0.7,$G955)))</f>
        <v/>
      </c>
      <c r="W955">
        <f>IF(OR($S955="",$T955=""),"",$S955*1000000+IF($T955&lt;=60,$U955,$T955))</f>
        <v/>
      </c>
      <c r="X955">
        <f>IF(OR($S955="",$V955="",$T955&gt;60,$T955=""),"",$S955*1000000+ROUND($V955*10,0))</f>
        <v/>
      </c>
      <c r="Y955">
        <f>IF($W955="","",IFERROR(INDEX(IF($T955&lt;=60,imc05_l,imc519_l),MATCH($W955,IF($T955&lt;=60,imc05_k,imc519_k),1)),""))</f>
        <v/>
      </c>
      <c r="Z955">
        <f>IF($W955="","",IFERROR(INDEX(IF($T955&lt;=60,imc05_m,imc519_m),MATCH($W955,IF($T955&lt;=60,imc05_k,imc519_k),1)),""))</f>
        <v/>
      </c>
      <c r="AA955">
        <f>IF($W955="","",IFERROR(INDEX(IF($T955&lt;=60,imc05_s,imc519_s),MATCH($W955,IF($T955&lt;=60,imc05_k,imc519_k),1)),""))</f>
        <v/>
      </c>
      <c r="AB955">
        <f>IF($Y955="","",IF($Y955=0,LN($J955/$Z955)/$AA955,((($J955/$Z955)^$Y955)-1)/($Y955*$AA955)))</f>
        <v/>
      </c>
      <c r="AC955">
        <f>IF($Y955="","",IF($Y955=0,$Z955*EXP($AA955*2),$Z955*(1+$Y955*$AA955*2)^(1/$Y955)))</f>
        <v/>
      </c>
      <c r="AD955">
        <f>IF($Y955="","",IF($Y955=0,$Z955*EXP($AA955*3),$Z955*(1+$Y955*$AA955*3)^(1/$Y955)))</f>
        <v/>
      </c>
      <c r="AE955">
        <f>IF($Y955="","",IF($Y955=0,$Z955*EXP($AA955*-2),$Z955*(1+$Y955*$AA955*-2)^(1/$Y955)))</f>
        <v/>
      </c>
      <c r="AF955">
        <f>IF($Y955="","",IF($Y955=0,$Z955*EXP($AA955*-3),$Z955*(1+$Y955*$AA955*-3)^(1/$Y955)))</f>
        <v/>
      </c>
      <c r="AG955">
        <f>IF($W955="","",IFERROR(INDEX(IF($T955&lt;=60,est05_l,est519_l),MATCH($W955,IF($T955&lt;=60,est05_k,est519_k),1)),""))</f>
        <v/>
      </c>
      <c r="AH955">
        <f>IF($W955="","",IFERROR(INDEX(IF($T955&lt;=60,est05_m,est519_m),MATCH($W955,IF($T955&lt;=60,est05_k,est519_k),1)),""))</f>
        <v/>
      </c>
      <c r="AI955">
        <f>IF($W955="","",IFERROR(INDEX(IF($T955&lt;=60,est05_s,est519_s),MATCH($W955,IF($T955&lt;=60,est05_k,est519_k),1)),""))</f>
        <v/>
      </c>
      <c r="AJ955">
        <f>IF($W955="","",IFERROR(INDEX(IF($T955&lt;=60,peso05_l,peso510_l),MATCH($W955,IF($T955&lt;=60,peso05_k,peso510_k),1)),""))</f>
        <v/>
      </c>
      <c r="AK955">
        <f>IF($W955="","",IFERROR(INDEX(IF($T955&lt;=60,peso05_m,peso510_m),MATCH($W955,IF($T955&lt;=60,peso05_k,peso510_k),1)),""))</f>
        <v/>
      </c>
      <c r="AL955">
        <f>IF($W955="","",IFERROR(INDEX(IF($T955&lt;=60,peso05_s,peso510_s),MATCH($W955,IF($T955&lt;=60,peso05_k,peso510_k),1)),""))</f>
        <v/>
      </c>
      <c r="AM955">
        <f>IF($AJ955="","",IF($AJ955=0,LN($F955/$AK955)/$AL955,((($F955/$AK955)^$AJ955)-1)/($AJ955*$AL955)))</f>
        <v/>
      </c>
      <c r="AN955">
        <f>IF($AJ955="","",IF($AJ955=0,$AK955*EXP($AL955*2),$AK955*(1+$AJ955*$AL955*2)^(1/$AJ955)))</f>
        <v/>
      </c>
      <c r="AO955">
        <f>IF($AJ955="","",IF($AJ955=0,$AK955*EXP($AL955*3),$AK955*(1+$AJ955*$AL955*3)^(1/$AJ955)))</f>
        <v/>
      </c>
      <c r="AP955">
        <f>IF($AJ955="","",IF($AJ955=0,$AK955*EXP($AL955*-2),$AK955*(1+$AJ955*$AL955*-2)^(1/$AJ955)))</f>
        <v/>
      </c>
      <c r="AQ955">
        <f>IF($AJ955="","",IF($AJ955=0,$AK955*EXP($AL955*-3),$AK955*(1+$AJ955*$AL955*-3)^(1/$AJ955)))</f>
        <v/>
      </c>
      <c r="AR955">
        <f>IF(OR($X955="",$T955&gt;60),"",IFERROR(INDEX(IF($T955&lt;24,pcomp_l,palt_l),MATCH($X955,IF($T955&lt;24,pcomp_k,palt_k),1)),""))</f>
        <v/>
      </c>
      <c r="AS955">
        <f>IF(OR($X955="",$T955&gt;60),"",IFERROR(INDEX(IF($T955&lt;24,pcomp_m,palt_m),MATCH($X955,IF($T955&lt;24,pcomp_k,palt_k),1)),""))</f>
        <v/>
      </c>
      <c r="AT955">
        <f>IF(OR($X955="",$T955&gt;60),"",IFERROR(INDEX(IF($T955&lt;24,pcomp_s,palt_s),MATCH($X955,IF($T955&lt;24,pcomp_k,palt_k),1)),""))</f>
        <v/>
      </c>
      <c r="AU955">
        <f>IF($AR955="","",IF($AR955=0,LN($F955/$AS955)/$AT955,((($F955/$AS955)^$AR955)-1)/($AR955*$AT955)))</f>
        <v/>
      </c>
      <c r="AV955">
        <f>IF($AR955="","",IF($AR955=0,$AS955*EXP($AT955*2),$AS955*(1+$AR955*$AT955*2)^(1/$AR955)))</f>
        <v/>
      </c>
      <c r="AW955">
        <f>IF($AR955="","",IF($AR955=0,$AS955*EXP($AT955*3),$AS955*(1+$AR955*$AT955*3)^(1/$AR955)))</f>
        <v/>
      </c>
      <c r="AX955">
        <f>IF($AR955="","",IF($AR955=0,$AS955*EXP($AT955*-2),$AS955*(1+$AR955*$AT955*-2)^(1/$AR955)))</f>
        <v/>
      </c>
      <c r="AY955">
        <f>IF($AR955="","",IF($AR955=0,$AS955*EXP($AT955*-3),$AS955*(1+$AR955*$AT955*-3)^(1/$AR955)))</f>
        <v/>
      </c>
      <c r="AZ955">
        <f>IF(OR($A955="",$A955&lt;&gt;Ficha!$C$4),"",COUNTIF($A$2:$A955,Ficha!$C$4))</f>
        <v/>
      </c>
    </row>
    <row r="956">
      <c r="A956" s="8">
        <f>IF(INDEX(Banco!$A:$A,ROW())="","",INDEX(Banco!$A:$A,ROW()))</f>
        <v/>
      </c>
      <c r="B956" s="8">
        <f>IF(INDEX(Banco!$B:$B,ROW())="","",INDEX(Banco!$B:$B,ROW()))</f>
        <v/>
      </c>
      <c r="C956" s="8">
        <f>IF(INDEX(Banco!$C:$C,ROW())="","",INDEX(Banco!$C:$C,ROW()))</f>
        <v/>
      </c>
      <c r="D956" s="9">
        <f>IF(INDEX(Banco!$D:$D,ROW())="","",INDEX(Banco!$D:$D,ROW()))</f>
        <v/>
      </c>
      <c r="E956" s="9">
        <f>IF(INDEX(Banco!$E:$E,ROW())="","",INDEX(Banco!$E:$E,ROW()))</f>
        <v/>
      </c>
      <c r="F956" s="10">
        <f>IF(INDEX(Banco!$F:$F,ROW())="","",INDEX(Banco!$F:$F,ROW()))</f>
        <v/>
      </c>
      <c r="G956" s="10">
        <f>IF(INDEX(Banco!$G:$G,ROW())="","",INDEX(Banco!$G:$G,ROW()))</f>
        <v/>
      </c>
      <c r="H956" s="8">
        <f>IF(INDEX(Banco!$H:$H,ROW())="","",INDEX(Banco!$H:$H,ROW()))</f>
        <v/>
      </c>
      <c r="I956">
        <f>IF($T956="","",INT($T956/12)&amp;"a "&amp;MOD($T956,12)&amp;"m")</f>
        <v/>
      </c>
      <c r="J956" s="11">
        <f>IF(OR($F956="",$G956=""),"",ROUND($F956/($G956/100)^2,2))</f>
        <v/>
      </c>
      <c r="K956" s="12">
        <f>IF(OR($S956="",$J956="",$T956="",$T956&lt;0,$T956&gt;228,$Y956=""),"—",ROUND(IF(ABS($AB956)&lt;=3,$AB956,IF($AB956&gt;3,3+($J956-$AD956)/($AD956-$AC956),-3+($J956-$AF956)/($AE956-$AF956))),2))</f>
        <v/>
      </c>
      <c r="L956">
        <f>IF(OR($K956="",$K956="—"),"",IF($T956&lt;=60,IF($K956&lt;-3,"Magreza acentuada",IF($K956&lt;-2,"Magreza",IF($K956&lt;=1,"Eutrofia",IF($K956&lt;=2,"Risco de sobrepeso",IF($K956&lt;=3,"Sobrepeso","Obesidade"))))),IF($K956&lt;-3,"Magreza acentuada",IF($K956&lt;-2,"Magreza",IF($K956&lt;=1,"Eutrofia",IF($K956&lt;=2,"Sobrepeso",IF($K956&lt;=3,"Obesidade","Obesidade grave")))))))</f>
        <v/>
      </c>
      <c r="M956" s="12">
        <f>IF(OR($S956="",$V956="",$T956="",$T956&lt;0,$T956&gt;228,$AG956=""),"—",ROUND(IF($AG956=0,LN($V956/$AH956)/$AI956,((($V956/$AH956)^$AG956)-1)/($AG956*$AI956)),2))</f>
        <v/>
      </c>
      <c r="N956">
        <f>IF(OR($M956="",$M956="—"),"",IF($M956&lt;-3,"Muito baixa",IF($M956&lt;-2,"Baixa","Adequada")))</f>
        <v/>
      </c>
      <c r="O956" s="12">
        <f>IF(OR($S956="",$F956="",$T956="",$T956&lt;0,$T956&gt;120,$AJ956=""),"—",ROUND(IF(ABS($AM956)&lt;=3,$AM956,IF($AM956&gt;3,3+($F956-$AO956)/($AO956-$AN956),-3+($F956-$AQ956)/($AP956-$AQ956))),2))</f>
        <v/>
      </c>
      <c r="P956">
        <f>IF(OR($O956="",$O956="—"),"",IF($O956&lt;-3,"Muito baixo",IF($O956&lt;-2,"Baixo",IF($O956&lt;=2,"Adequado","Elevado"))))</f>
        <v/>
      </c>
      <c r="Q956" s="12">
        <f>IF(OR($S956="",$F956="",$T956="",$T956&lt;0,$T956&gt;60,$AR956=""),"—",ROUND(IF(ABS($AU956)&lt;=3,$AU956,IF($AU956&gt;3,3+($F956-$AW956)/($AW956-$AV956),-3+($F956-$AY956)/($AX956-$AY956))),2))</f>
        <v/>
      </c>
      <c r="R956">
        <f>IF(OR($Q956="",$Q956="—"),"",IF($Q956&lt;-3,"Magreza acentuada",IF($Q956&lt;-2,"Magreza",IF($Q956&lt;=1,"Eutrofia",IF($Q956&lt;=2,"Risco de sobrepeso",IF($Q956&lt;=3,"Sobrepeso","Obesidade"))))))</f>
        <v/>
      </c>
      <c r="S956">
        <f>IF($C956="","",IF(UPPER(LEFT($C956,1))="M",1,IF(UPPER(LEFT($C956,1))="F",2,"")))</f>
        <v/>
      </c>
      <c r="T956">
        <f>IF(OR($D956="",$E956=""),"",DATEDIF($D956,$E956,"m"))</f>
        <v/>
      </c>
      <c r="U956">
        <f>IF(OR($D956="",$E956=""),"",$E956-$D956)</f>
        <v/>
      </c>
      <c r="V956">
        <f>IF(OR($G956="",$T956=""),"",IF($T956&lt;24,IF(LEFT(LOWER($H956),4)="em p",$G956+0.7,$G956),IF(LEFT(LOWER($H956),4)="deit",$G956-0.7,$G956)))</f>
        <v/>
      </c>
      <c r="W956">
        <f>IF(OR($S956="",$T956=""),"",$S956*1000000+IF($T956&lt;=60,$U956,$T956))</f>
        <v/>
      </c>
      <c r="X956">
        <f>IF(OR($S956="",$V956="",$T956&gt;60,$T956=""),"",$S956*1000000+ROUND($V956*10,0))</f>
        <v/>
      </c>
      <c r="Y956">
        <f>IF($W956="","",IFERROR(INDEX(IF($T956&lt;=60,imc05_l,imc519_l),MATCH($W956,IF($T956&lt;=60,imc05_k,imc519_k),1)),""))</f>
        <v/>
      </c>
      <c r="Z956">
        <f>IF($W956="","",IFERROR(INDEX(IF($T956&lt;=60,imc05_m,imc519_m),MATCH($W956,IF($T956&lt;=60,imc05_k,imc519_k),1)),""))</f>
        <v/>
      </c>
      <c r="AA956">
        <f>IF($W956="","",IFERROR(INDEX(IF($T956&lt;=60,imc05_s,imc519_s),MATCH($W956,IF($T956&lt;=60,imc05_k,imc519_k),1)),""))</f>
        <v/>
      </c>
      <c r="AB956">
        <f>IF($Y956="","",IF($Y956=0,LN($J956/$Z956)/$AA956,((($J956/$Z956)^$Y956)-1)/($Y956*$AA956)))</f>
        <v/>
      </c>
      <c r="AC956">
        <f>IF($Y956="","",IF($Y956=0,$Z956*EXP($AA956*2),$Z956*(1+$Y956*$AA956*2)^(1/$Y956)))</f>
        <v/>
      </c>
      <c r="AD956">
        <f>IF($Y956="","",IF($Y956=0,$Z956*EXP($AA956*3),$Z956*(1+$Y956*$AA956*3)^(1/$Y956)))</f>
        <v/>
      </c>
      <c r="AE956">
        <f>IF($Y956="","",IF($Y956=0,$Z956*EXP($AA956*-2),$Z956*(1+$Y956*$AA956*-2)^(1/$Y956)))</f>
        <v/>
      </c>
      <c r="AF956">
        <f>IF($Y956="","",IF($Y956=0,$Z956*EXP($AA956*-3),$Z956*(1+$Y956*$AA956*-3)^(1/$Y956)))</f>
        <v/>
      </c>
      <c r="AG956">
        <f>IF($W956="","",IFERROR(INDEX(IF($T956&lt;=60,est05_l,est519_l),MATCH($W956,IF($T956&lt;=60,est05_k,est519_k),1)),""))</f>
        <v/>
      </c>
      <c r="AH956">
        <f>IF($W956="","",IFERROR(INDEX(IF($T956&lt;=60,est05_m,est519_m),MATCH($W956,IF($T956&lt;=60,est05_k,est519_k),1)),""))</f>
        <v/>
      </c>
      <c r="AI956">
        <f>IF($W956="","",IFERROR(INDEX(IF($T956&lt;=60,est05_s,est519_s),MATCH($W956,IF($T956&lt;=60,est05_k,est519_k),1)),""))</f>
        <v/>
      </c>
      <c r="AJ956">
        <f>IF($W956="","",IFERROR(INDEX(IF($T956&lt;=60,peso05_l,peso510_l),MATCH($W956,IF($T956&lt;=60,peso05_k,peso510_k),1)),""))</f>
        <v/>
      </c>
      <c r="AK956">
        <f>IF($W956="","",IFERROR(INDEX(IF($T956&lt;=60,peso05_m,peso510_m),MATCH($W956,IF($T956&lt;=60,peso05_k,peso510_k),1)),""))</f>
        <v/>
      </c>
      <c r="AL956">
        <f>IF($W956="","",IFERROR(INDEX(IF($T956&lt;=60,peso05_s,peso510_s),MATCH($W956,IF($T956&lt;=60,peso05_k,peso510_k),1)),""))</f>
        <v/>
      </c>
      <c r="AM956">
        <f>IF($AJ956="","",IF($AJ956=0,LN($F956/$AK956)/$AL956,((($F956/$AK956)^$AJ956)-1)/($AJ956*$AL956)))</f>
        <v/>
      </c>
      <c r="AN956">
        <f>IF($AJ956="","",IF($AJ956=0,$AK956*EXP($AL956*2),$AK956*(1+$AJ956*$AL956*2)^(1/$AJ956)))</f>
        <v/>
      </c>
      <c r="AO956">
        <f>IF($AJ956="","",IF($AJ956=0,$AK956*EXP($AL956*3),$AK956*(1+$AJ956*$AL956*3)^(1/$AJ956)))</f>
        <v/>
      </c>
      <c r="AP956">
        <f>IF($AJ956="","",IF($AJ956=0,$AK956*EXP($AL956*-2),$AK956*(1+$AJ956*$AL956*-2)^(1/$AJ956)))</f>
        <v/>
      </c>
      <c r="AQ956">
        <f>IF($AJ956="","",IF($AJ956=0,$AK956*EXP($AL956*-3),$AK956*(1+$AJ956*$AL956*-3)^(1/$AJ956)))</f>
        <v/>
      </c>
      <c r="AR956">
        <f>IF(OR($X956="",$T956&gt;60),"",IFERROR(INDEX(IF($T956&lt;24,pcomp_l,palt_l),MATCH($X956,IF($T956&lt;24,pcomp_k,palt_k),1)),""))</f>
        <v/>
      </c>
      <c r="AS956">
        <f>IF(OR($X956="",$T956&gt;60),"",IFERROR(INDEX(IF($T956&lt;24,pcomp_m,palt_m),MATCH($X956,IF($T956&lt;24,pcomp_k,palt_k),1)),""))</f>
        <v/>
      </c>
      <c r="AT956">
        <f>IF(OR($X956="",$T956&gt;60),"",IFERROR(INDEX(IF($T956&lt;24,pcomp_s,palt_s),MATCH($X956,IF($T956&lt;24,pcomp_k,palt_k),1)),""))</f>
        <v/>
      </c>
      <c r="AU956">
        <f>IF($AR956="","",IF($AR956=0,LN($F956/$AS956)/$AT956,((($F956/$AS956)^$AR956)-1)/($AR956*$AT956)))</f>
        <v/>
      </c>
      <c r="AV956">
        <f>IF($AR956="","",IF($AR956=0,$AS956*EXP($AT956*2),$AS956*(1+$AR956*$AT956*2)^(1/$AR956)))</f>
        <v/>
      </c>
      <c r="AW956">
        <f>IF($AR956="","",IF($AR956=0,$AS956*EXP($AT956*3),$AS956*(1+$AR956*$AT956*3)^(1/$AR956)))</f>
        <v/>
      </c>
      <c r="AX956">
        <f>IF($AR956="","",IF($AR956=0,$AS956*EXP($AT956*-2),$AS956*(1+$AR956*$AT956*-2)^(1/$AR956)))</f>
        <v/>
      </c>
      <c r="AY956">
        <f>IF($AR956="","",IF($AR956=0,$AS956*EXP($AT956*-3),$AS956*(1+$AR956*$AT956*-3)^(1/$AR956)))</f>
        <v/>
      </c>
      <c r="AZ956">
        <f>IF(OR($A956="",$A956&lt;&gt;Ficha!$C$4),"",COUNTIF($A$2:$A956,Ficha!$C$4))</f>
        <v/>
      </c>
    </row>
    <row r="957">
      <c r="A957" s="8">
        <f>IF(INDEX(Banco!$A:$A,ROW())="","",INDEX(Banco!$A:$A,ROW()))</f>
        <v/>
      </c>
      <c r="B957" s="8">
        <f>IF(INDEX(Banco!$B:$B,ROW())="","",INDEX(Banco!$B:$B,ROW()))</f>
        <v/>
      </c>
      <c r="C957" s="8">
        <f>IF(INDEX(Banco!$C:$C,ROW())="","",INDEX(Banco!$C:$C,ROW()))</f>
        <v/>
      </c>
      <c r="D957" s="9">
        <f>IF(INDEX(Banco!$D:$D,ROW())="","",INDEX(Banco!$D:$D,ROW()))</f>
        <v/>
      </c>
      <c r="E957" s="9">
        <f>IF(INDEX(Banco!$E:$E,ROW())="","",INDEX(Banco!$E:$E,ROW()))</f>
        <v/>
      </c>
      <c r="F957" s="10">
        <f>IF(INDEX(Banco!$F:$F,ROW())="","",INDEX(Banco!$F:$F,ROW()))</f>
        <v/>
      </c>
      <c r="G957" s="10">
        <f>IF(INDEX(Banco!$G:$G,ROW())="","",INDEX(Banco!$G:$G,ROW()))</f>
        <v/>
      </c>
      <c r="H957" s="8">
        <f>IF(INDEX(Banco!$H:$H,ROW())="","",INDEX(Banco!$H:$H,ROW()))</f>
        <v/>
      </c>
      <c r="I957">
        <f>IF($T957="","",INT($T957/12)&amp;"a "&amp;MOD($T957,12)&amp;"m")</f>
        <v/>
      </c>
      <c r="J957" s="11">
        <f>IF(OR($F957="",$G957=""),"",ROUND($F957/($G957/100)^2,2))</f>
        <v/>
      </c>
      <c r="K957" s="12">
        <f>IF(OR($S957="",$J957="",$T957="",$T957&lt;0,$T957&gt;228,$Y957=""),"—",ROUND(IF(ABS($AB957)&lt;=3,$AB957,IF($AB957&gt;3,3+($J957-$AD957)/($AD957-$AC957),-3+($J957-$AF957)/($AE957-$AF957))),2))</f>
        <v/>
      </c>
      <c r="L957">
        <f>IF(OR($K957="",$K957="—"),"",IF($T957&lt;=60,IF($K957&lt;-3,"Magreza acentuada",IF($K957&lt;-2,"Magreza",IF($K957&lt;=1,"Eutrofia",IF($K957&lt;=2,"Risco de sobrepeso",IF($K957&lt;=3,"Sobrepeso","Obesidade"))))),IF($K957&lt;-3,"Magreza acentuada",IF($K957&lt;-2,"Magreza",IF($K957&lt;=1,"Eutrofia",IF($K957&lt;=2,"Sobrepeso",IF($K957&lt;=3,"Obesidade","Obesidade grave")))))))</f>
        <v/>
      </c>
      <c r="M957" s="12">
        <f>IF(OR($S957="",$V957="",$T957="",$T957&lt;0,$T957&gt;228,$AG957=""),"—",ROUND(IF($AG957=0,LN($V957/$AH957)/$AI957,((($V957/$AH957)^$AG957)-1)/($AG957*$AI957)),2))</f>
        <v/>
      </c>
      <c r="N957">
        <f>IF(OR($M957="",$M957="—"),"",IF($M957&lt;-3,"Muito baixa",IF($M957&lt;-2,"Baixa","Adequada")))</f>
        <v/>
      </c>
      <c r="O957" s="12">
        <f>IF(OR($S957="",$F957="",$T957="",$T957&lt;0,$T957&gt;120,$AJ957=""),"—",ROUND(IF(ABS($AM957)&lt;=3,$AM957,IF($AM957&gt;3,3+($F957-$AO957)/($AO957-$AN957),-3+($F957-$AQ957)/($AP957-$AQ957))),2))</f>
        <v/>
      </c>
      <c r="P957">
        <f>IF(OR($O957="",$O957="—"),"",IF($O957&lt;-3,"Muito baixo",IF($O957&lt;-2,"Baixo",IF($O957&lt;=2,"Adequado","Elevado"))))</f>
        <v/>
      </c>
      <c r="Q957" s="12">
        <f>IF(OR($S957="",$F957="",$T957="",$T957&lt;0,$T957&gt;60,$AR957=""),"—",ROUND(IF(ABS($AU957)&lt;=3,$AU957,IF($AU957&gt;3,3+($F957-$AW957)/($AW957-$AV957),-3+($F957-$AY957)/($AX957-$AY957))),2))</f>
        <v/>
      </c>
      <c r="R957">
        <f>IF(OR($Q957="",$Q957="—"),"",IF($Q957&lt;-3,"Magreza acentuada",IF($Q957&lt;-2,"Magreza",IF($Q957&lt;=1,"Eutrofia",IF($Q957&lt;=2,"Risco de sobrepeso",IF($Q957&lt;=3,"Sobrepeso","Obesidade"))))))</f>
        <v/>
      </c>
      <c r="S957">
        <f>IF($C957="","",IF(UPPER(LEFT($C957,1))="M",1,IF(UPPER(LEFT($C957,1))="F",2,"")))</f>
        <v/>
      </c>
      <c r="T957">
        <f>IF(OR($D957="",$E957=""),"",DATEDIF($D957,$E957,"m"))</f>
        <v/>
      </c>
      <c r="U957">
        <f>IF(OR($D957="",$E957=""),"",$E957-$D957)</f>
        <v/>
      </c>
      <c r="V957">
        <f>IF(OR($G957="",$T957=""),"",IF($T957&lt;24,IF(LEFT(LOWER($H957),4)="em p",$G957+0.7,$G957),IF(LEFT(LOWER($H957),4)="deit",$G957-0.7,$G957)))</f>
        <v/>
      </c>
      <c r="W957">
        <f>IF(OR($S957="",$T957=""),"",$S957*1000000+IF($T957&lt;=60,$U957,$T957))</f>
        <v/>
      </c>
      <c r="X957">
        <f>IF(OR($S957="",$V957="",$T957&gt;60,$T957=""),"",$S957*1000000+ROUND($V957*10,0))</f>
        <v/>
      </c>
      <c r="Y957">
        <f>IF($W957="","",IFERROR(INDEX(IF($T957&lt;=60,imc05_l,imc519_l),MATCH($W957,IF($T957&lt;=60,imc05_k,imc519_k),1)),""))</f>
        <v/>
      </c>
      <c r="Z957">
        <f>IF($W957="","",IFERROR(INDEX(IF($T957&lt;=60,imc05_m,imc519_m),MATCH($W957,IF($T957&lt;=60,imc05_k,imc519_k),1)),""))</f>
        <v/>
      </c>
      <c r="AA957">
        <f>IF($W957="","",IFERROR(INDEX(IF($T957&lt;=60,imc05_s,imc519_s),MATCH($W957,IF($T957&lt;=60,imc05_k,imc519_k),1)),""))</f>
        <v/>
      </c>
      <c r="AB957">
        <f>IF($Y957="","",IF($Y957=0,LN($J957/$Z957)/$AA957,((($J957/$Z957)^$Y957)-1)/($Y957*$AA957)))</f>
        <v/>
      </c>
      <c r="AC957">
        <f>IF($Y957="","",IF($Y957=0,$Z957*EXP($AA957*2),$Z957*(1+$Y957*$AA957*2)^(1/$Y957)))</f>
        <v/>
      </c>
      <c r="AD957">
        <f>IF($Y957="","",IF($Y957=0,$Z957*EXP($AA957*3),$Z957*(1+$Y957*$AA957*3)^(1/$Y957)))</f>
        <v/>
      </c>
      <c r="AE957">
        <f>IF($Y957="","",IF($Y957=0,$Z957*EXP($AA957*-2),$Z957*(1+$Y957*$AA957*-2)^(1/$Y957)))</f>
        <v/>
      </c>
      <c r="AF957">
        <f>IF($Y957="","",IF($Y957=0,$Z957*EXP($AA957*-3),$Z957*(1+$Y957*$AA957*-3)^(1/$Y957)))</f>
        <v/>
      </c>
      <c r="AG957">
        <f>IF($W957="","",IFERROR(INDEX(IF($T957&lt;=60,est05_l,est519_l),MATCH($W957,IF($T957&lt;=60,est05_k,est519_k),1)),""))</f>
        <v/>
      </c>
      <c r="AH957">
        <f>IF($W957="","",IFERROR(INDEX(IF($T957&lt;=60,est05_m,est519_m),MATCH($W957,IF($T957&lt;=60,est05_k,est519_k),1)),""))</f>
        <v/>
      </c>
      <c r="AI957">
        <f>IF($W957="","",IFERROR(INDEX(IF($T957&lt;=60,est05_s,est519_s),MATCH($W957,IF($T957&lt;=60,est05_k,est519_k),1)),""))</f>
        <v/>
      </c>
      <c r="AJ957">
        <f>IF($W957="","",IFERROR(INDEX(IF($T957&lt;=60,peso05_l,peso510_l),MATCH($W957,IF($T957&lt;=60,peso05_k,peso510_k),1)),""))</f>
        <v/>
      </c>
      <c r="AK957">
        <f>IF($W957="","",IFERROR(INDEX(IF($T957&lt;=60,peso05_m,peso510_m),MATCH($W957,IF($T957&lt;=60,peso05_k,peso510_k),1)),""))</f>
        <v/>
      </c>
      <c r="AL957">
        <f>IF($W957="","",IFERROR(INDEX(IF($T957&lt;=60,peso05_s,peso510_s),MATCH($W957,IF($T957&lt;=60,peso05_k,peso510_k),1)),""))</f>
        <v/>
      </c>
      <c r="AM957">
        <f>IF($AJ957="","",IF($AJ957=0,LN($F957/$AK957)/$AL957,((($F957/$AK957)^$AJ957)-1)/($AJ957*$AL957)))</f>
        <v/>
      </c>
      <c r="AN957">
        <f>IF($AJ957="","",IF($AJ957=0,$AK957*EXP($AL957*2),$AK957*(1+$AJ957*$AL957*2)^(1/$AJ957)))</f>
        <v/>
      </c>
      <c r="AO957">
        <f>IF($AJ957="","",IF($AJ957=0,$AK957*EXP($AL957*3),$AK957*(1+$AJ957*$AL957*3)^(1/$AJ957)))</f>
        <v/>
      </c>
      <c r="AP957">
        <f>IF($AJ957="","",IF($AJ957=0,$AK957*EXP($AL957*-2),$AK957*(1+$AJ957*$AL957*-2)^(1/$AJ957)))</f>
        <v/>
      </c>
      <c r="AQ957">
        <f>IF($AJ957="","",IF($AJ957=0,$AK957*EXP($AL957*-3),$AK957*(1+$AJ957*$AL957*-3)^(1/$AJ957)))</f>
        <v/>
      </c>
      <c r="AR957">
        <f>IF(OR($X957="",$T957&gt;60),"",IFERROR(INDEX(IF($T957&lt;24,pcomp_l,palt_l),MATCH($X957,IF($T957&lt;24,pcomp_k,palt_k),1)),""))</f>
        <v/>
      </c>
      <c r="AS957">
        <f>IF(OR($X957="",$T957&gt;60),"",IFERROR(INDEX(IF($T957&lt;24,pcomp_m,palt_m),MATCH($X957,IF($T957&lt;24,pcomp_k,palt_k),1)),""))</f>
        <v/>
      </c>
      <c r="AT957">
        <f>IF(OR($X957="",$T957&gt;60),"",IFERROR(INDEX(IF($T957&lt;24,pcomp_s,palt_s),MATCH($X957,IF($T957&lt;24,pcomp_k,palt_k),1)),""))</f>
        <v/>
      </c>
      <c r="AU957">
        <f>IF($AR957="","",IF($AR957=0,LN($F957/$AS957)/$AT957,((($F957/$AS957)^$AR957)-1)/($AR957*$AT957)))</f>
        <v/>
      </c>
      <c r="AV957">
        <f>IF($AR957="","",IF($AR957=0,$AS957*EXP($AT957*2),$AS957*(1+$AR957*$AT957*2)^(1/$AR957)))</f>
        <v/>
      </c>
      <c r="AW957">
        <f>IF($AR957="","",IF($AR957=0,$AS957*EXP($AT957*3),$AS957*(1+$AR957*$AT957*3)^(1/$AR957)))</f>
        <v/>
      </c>
      <c r="AX957">
        <f>IF($AR957="","",IF($AR957=0,$AS957*EXP($AT957*-2),$AS957*(1+$AR957*$AT957*-2)^(1/$AR957)))</f>
        <v/>
      </c>
      <c r="AY957">
        <f>IF($AR957="","",IF($AR957=0,$AS957*EXP($AT957*-3),$AS957*(1+$AR957*$AT957*-3)^(1/$AR957)))</f>
        <v/>
      </c>
      <c r="AZ957">
        <f>IF(OR($A957="",$A957&lt;&gt;Ficha!$C$4),"",COUNTIF($A$2:$A957,Ficha!$C$4))</f>
        <v/>
      </c>
    </row>
    <row r="958">
      <c r="A958" s="8">
        <f>IF(INDEX(Banco!$A:$A,ROW())="","",INDEX(Banco!$A:$A,ROW()))</f>
        <v/>
      </c>
      <c r="B958" s="8">
        <f>IF(INDEX(Banco!$B:$B,ROW())="","",INDEX(Banco!$B:$B,ROW()))</f>
        <v/>
      </c>
      <c r="C958" s="8">
        <f>IF(INDEX(Banco!$C:$C,ROW())="","",INDEX(Banco!$C:$C,ROW()))</f>
        <v/>
      </c>
      <c r="D958" s="9">
        <f>IF(INDEX(Banco!$D:$D,ROW())="","",INDEX(Banco!$D:$D,ROW()))</f>
        <v/>
      </c>
      <c r="E958" s="9">
        <f>IF(INDEX(Banco!$E:$E,ROW())="","",INDEX(Banco!$E:$E,ROW()))</f>
        <v/>
      </c>
      <c r="F958" s="10">
        <f>IF(INDEX(Banco!$F:$F,ROW())="","",INDEX(Banco!$F:$F,ROW()))</f>
        <v/>
      </c>
      <c r="G958" s="10">
        <f>IF(INDEX(Banco!$G:$G,ROW())="","",INDEX(Banco!$G:$G,ROW()))</f>
        <v/>
      </c>
      <c r="H958" s="8">
        <f>IF(INDEX(Banco!$H:$H,ROW())="","",INDEX(Banco!$H:$H,ROW()))</f>
        <v/>
      </c>
      <c r="I958">
        <f>IF($T958="","",INT($T958/12)&amp;"a "&amp;MOD($T958,12)&amp;"m")</f>
        <v/>
      </c>
      <c r="J958" s="11">
        <f>IF(OR($F958="",$G958=""),"",ROUND($F958/($G958/100)^2,2))</f>
        <v/>
      </c>
      <c r="K958" s="12">
        <f>IF(OR($S958="",$J958="",$T958="",$T958&lt;0,$T958&gt;228,$Y958=""),"—",ROUND(IF(ABS($AB958)&lt;=3,$AB958,IF($AB958&gt;3,3+($J958-$AD958)/($AD958-$AC958),-3+($J958-$AF958)/($AE958-$AF958))),2))</f>
        <v/>
      </c>
      <c r="L958">
        <f>IF(OR($K958="",$K958="—"),"",IF($T958&lt;=60,IF($K958&lt;-3,"Magreza acentuada",IF($K958&lt;-2,"Magreza",IF($K958&lt;=1,"Eutrofia",IF($K958&lt;=2,"Risco de sobrepeso",IF($K958&lt;=3,"Sobrepeso","Obesidade"))))),IF($K958&lt;-3,"Magreza acentuada",IF($K958&lt;-2,"Magreza",IF($K958&lt;=1,"Eutrofia",IF($K958&lt;=2,"Sobrepeso",IF($K958&lt;=3,"Obesidade","Obesidade grave")))))))</f>
        <v/>
      </c>
      <c r="M958" s="12">
        <f>IF(OR($S958="",$V958="",$T958="",$T958&lt;0,$T958&gt;228,$AG958=""),"—",ROUND(IF($AG958=0,LN($V958/$AH958)/$AI958,((($V958/$AH958)^$AG958)-1)/($AG958*$AI958)),2))</f>
        <v/>
      </c>
      <c r="N958">
        <f>IF(OR($M958="",$M958="—"),"",IF($M958&lt;-3,"Muito baixa",IF($M958&lt;-2,"Baixa","Adequada")))</f>
        <v/>
      </c>
      <c r="O958" s="12">
        <f>IF(OR($S958="",$F958="",$T958="",$T958&lt;0,$T958&gt;120,$AJ958=""),"—",ROUND(IF(ABS($AM958)&lt;=3,$AM958,IF($AM958&gt;3,3+($F958-$AO958)/($AO958-$AN958),-3+($F958-$AQ958)/($AP958-$AQ958))),2))</f>
        <v/>
      </c>
      <c r="P958">
        <f>IF(OR($O958="",$O958="—"),"",IF($O958&lt;-3,"Muito baixo",IF($O958&lt;-2,"Baixo",IF($O958&lt;=2,"Adequado","Elevado"))))</f>
        <v/>
      </c>
      <c r="Q958" s="12">
        <f>IF(OR($S958="",$F958="",$T958="",$T958&lt;0,$T958&gt;60,$AR958=""),"—",ROUND(IF(ABS($AU958)&lt;=3,$AU958,IF($AU958&gt;3,3+($F958-$AW958)/($AW958-$AV958),-3+($F958-$AY958)/($AX958-$AY958))),2))</f>
        <v/>
      </c>
      <c r="R958">
        <f>IF(OR($Q958="",$Q958="—"),"",IF($Q958&lt;-3,"Magreza acentuada",IF($Q958&lt;-2,"Magreza",IF($Q958&lt;=1,"Eutrofia",IF($Q958&lt;=2,"Risco de sobrepeso",IF($Q958&lt;=3,"Sobrepeso","Obesidade"))))))</f>
        <v/>
      </c>
      <c r="S958">
        <f>IF($C958="","",IF(UPPER(LEFT($C958,1))="M",1,IF(UPPER(LEFT($C958,1))="F",2,"")))</f>
        <v/>
      </c>
      <c r="T958">
        <f>IF(OR($D958="",$E958=""),"",DATEDIF($D958,$E958,"m"))</f>
        <v/>
      </c>
      <c r="U958">
        <f>IF(OR($D958="",$E958=""),"",$E958-$D958)</f>
        <v/>
      </c>
      <c r="V958">
        <f>IF(OR($G958="",$T958=""),"",IF($T958&lt;24,IF(LEFT(LOWER($H958),4)="em p",$G958+0.7,$G958),IF(LEFT(LOWER($H958),4)="deit",$G958-0.7,$G958)))</f>
        <v/>
      </c>
      <c r="W958">
        <f>IF(OR($S958="",$T958=""),"",$S958*1000000+IF($T958&lt;=60,$U958,$T958))</f>
        <v/>
      </c>
      <c r="X958">
        <f>IF(OR($S958="",$V958="",$T958&gt;60,$T958=""),"",$S958*1000000+ROUND($V958*10,0))</f>
        <v/>
      </c>
      <c r="Y958">
        <f>IF($W958="","",IFERROR(INDEX(IF($T958&lt;=60,imc05_l,imc519_l),MATCH($W958,IF($T958&lt;=60,imc05_k,imc519_k),1)),""))</f>
        <v/>
      </c>
      <c r="Z958">
        <f>IF($W958="","",IFERROR(INDEX(IF($T958&lt;=60,imc05_m,imc519_m),MATCH($W958,IF($T958&lt;=60,imc05_k,imc519_k),1)),""))</f>
        <v/>
      </c>
      <c r="AA958">
        <f>IF($W958="","",IFERROR(INDEX(IF($T958&lt;=60,imc05_s,imc519_s),MATCH($W958,IF($T958&lt;=60,imc05_k,imc519_k),1)),""))</f>
        <v/>
      </c>
      <c r="AB958">
        <f>IF($Y958="","",IF($Y958=0,LN($J958/$Z958)/$AA958,((($J958/$Z958)^$Y958)-1)/($Y958*$AA958)))</f>
        <v/>
      </c>
      <c r="AC958">
        <f>IF($Y958="","",IF($Y958=0,$Z958*EXP($AA958*2),$Z958*(1+$Y958*$AA958*2)^(1/$Y958)))</f>
        <v/>
      </c>
      <c r="AD958">
        <f>IF($Y958="","",IF($Y958=0,$Z958*EXP($AA958*3),$Z958*(1+$Y958*$AA958*3)^(1/$Y958)))</f>
        <v/>
      </c>
      <c r="AE958">
        <f>IF($Y958="","",IF($Y958=0,$Z958*EXP($AA958*-2),$Z958*(1+$Y958*$AA958*-2)^(1/$Y958)))</f>
        <v/>
      </c>
      <c r="AF958">
        <f>IF($Y958="","",IF($Y958=0,$Z958*EXP($AA958*-3),$Z958*(1+$Y958*$AA958*-3)^(1/$Y958)))</f>
        <v/>
      </c>
      <c r="AG958">
        <f>IF($W958="","",IFERROR(INDEX(IF($T958&lt;=60,est05_l,est519_l),MATCH($W958,IF($T958&lt;=60,est05_k,est519_k),1)),""))</f>
        <v/>
      </c>
      <c r="AH958">
        <f>IF($W958="","",IFERROR(INDEX(IF($T958&lt;=60,est05_m,est519_m),MATCH($W958,IF($T958&lt;=60,est05_k,est519_k),1)),""))</f>
        <v/>
      </c>
      <c r="AI958">
        <f>IF($W958="","",IFERROR(INDEX(IF($T958&lt;=60,est05_s,est519_s),MATCH($W958,IF($T958&lt;=60,est05_k,est519_k),1)),""))</f>
        <v/>
      </c>
      <c r="AJ958">
        <f>IF($W958="","",IFERROR(INDEX(IF($T958&lt;=60,peso05_l,peso510_l),MATCH($W958,IF($T958&lt;=60,peso05_k,peso510_k),1)),""))</f>
        <v/>
      </c>
      <c r="AK958">
        <f>IF($W958="","",IFERROR(INDEX(IF($T958&lt;=60,peso05_m,peso510_m),MATCH($W958,IF($T958&lt;=60,peso05_k,peso510_k),1)),""))</f>
        <v/>
      </c>
      <c r="AL958">
        <f>IF($W958="","",IFERROR(INDEX(IF($T958&lt;=60,peso05_s,peso510_s),MATCH($W958,IF($T958&lt;=60,peso05_k,peso510_k),1)),""))</f>
        <v/>
      </c>
      <c r="AM958">
        <f>IF($AJ958="","",IF($AJ958=0,LN($F958/$AK958)/$AL958,((($F958/$AK958)^$AJ958)-1)/($AJ958*$AL958)))</f>
        <v/>
      </c>
      <c r="AN958">
        <f>IF($AJ958="","",IF($AJ958=0,$AK958*EXP($AL958*2),$AK958*(1+$AJ958*$AL958*2)^(1/$AJ958)))</f>
        <v/>
      </c>
      <c r="AO958">
        <f>IF($AJ958="","",IF($AJ958=0,$AK958*EXP($AL958*3),$AK958*(1+$AJ958*$AL958*3)^(1/$AJ958)))</f>
        <v/>
      </c>
      <c r="AP958">
        <f>IF($AJ958="","",IF($AJ958=0,$AK958*EXP($AL958*-2),$AK958*(1+$AJ958*$AL958*-2)^(1/$AJ958)))</f>
        <v/>
      </c>
      <c r="AQ958">
        <f>IF($AJ958="","",IF($AJ958=0,$AK958*EXP($AL958*-3),$AK958*(1+$AJ958*$AL958*-3)^(1/$AJ958)))</f>
        <v/>
      </c>
      <c r="AR958">
        <f>IF(OR($X958="",$T958&gt;60),"",IFERROR(INDEX(IF($T958&lt;24,pcomp_l,palt_l),MATCH($X958,IF($T958&lt;24,pcomp_k,palt_k),1)),""))</f>
        <v/>
      </c>
      <c r="AS958">
        <f>IF(OR($X958="",$T958&gt;60),"",IFERROR(INDEX(IF($T958&lt;24,pcomp_m,palt_m),MATCH($X958,IF($T958&lt;24,pcomp_k,palt_k),1)),""))</f>
        <v/>
      </c>
      <c r="AT958">
        <f>IF(OR($X958="",$T958&gt;60),"",IFERROR(INDEX(IF($T958&lt;24,pcomp_s,palt_s),MATCH($X958,IF($T958&lt;24,pcomp_k,palt_k),1)),""))</f>
        <v/>
      </c>
      <c r="AU958">
        <f>IF($AR958="","",IF($AR958=0,LN($F958/$AS958)/$AT958,((($F958/$AS958)^$AR958)-1)/($AR958*$AT958)))</f>
        <v/>
      </c>
      <c r="AV958">
        <f>IF($AR958="","",IF($AR958=0,$AS958*EXP($AT958*2),$AS958*(1+$AR958*$AT958*2)^(1/$AR958)))</f>
        <v/>
      </c>
      <c r="AW958">
        <f>IF($AR958="","",IF($AR958=0,$AS958*EXP($AT958*3),$AS958*(1+$AR958*$AT958*3)^(1/$AR958)))</f>
        <v/>
      </c>
      <c r="AX958">
        <f>IF($AR958="","",IF($AR958=0,$AS958*EXP($AT958*-2),$AS958*(1+$AR958*$AT958*-2)^(1/$AR958)))</f>
        <v/>
      </c>
      <c r="AY958">
        <f>IF($AR958="","",IF($AR958=0,$AS958*EXP($AT958*-3),$AS958*(1+$AR958*$AT958*-3)^(1/$AR958)))</f>
        <v/>
      </c>
      <c r="AZ958">
        <f>IF(OR($A958="",$A958&lt;&gt;Ficha!$C$4),"",COUNTIF($A$2:$A958,Ficha!$C$4))</f>
        <v/>
      </c>
    </row>
    <row r="959">
      <c r="A959" s="8">
        <f>IF(INDEX(Banco!$A:$A,ROW())="","",INDEX(Banco!$A:$A,ROW()))</f>
        <v/>
      </c>
      <c r="B959" s="8">
        <f>IF(INDEX(Banco!$B:$B,ROW())="","",INDEX(Banco!$B:$B,ROW()))</f>
        <v/>
      </c>
      <c r="C959" s="8">
        <f>IF(INDEX(Banco!$C:$C,ROW())="","",INDEX(Banco!$C:$C,ROW()))</f>
        <v/>
      </c>
      <c r="D959" s="9">
        <f>IF(INDEX(Banco!$D:$D,ROW())="","",INDEX(Banco!$D:$D,ROW()))</f>
        <v/>
      </c>
      <c r="E959" s="9">
        <f>IF(INDEX(Banco!$E:$E,ROW())="","",INDEX(Banco!$E:$E,ROW()))</f>
        <v/>
      </c>
      <c r="F959" s="10">
        <f>IF(INDEX(Banco!$F:$F,ROW())="","",INDEX(Banco!$F:$F,ROW()))</f>
        <v/>
      </c>
      <c r="G959" s="10">
        <f>IF(INDEX(Banco!$G:$G,ROW())="","",INDEX(Banco!$G:$G,ROW()))</f>
        <v/>
      </c>
      <c r="H959" s="8">
        <f>IF(INDEX(Banco!$H:$H,ROW())="","",INDEX(Banco!$H:$H,ROW()))</f>
        <v/>
      </c>
      <c r="I959">
        <f>IF($T959="","",INT($T959/12)&amp;"a "&amp;MOD($T959,12)&amp;"m")</f>
        <v/>
      </c>
      <c r="J959" s="11">
        <f>IF(OR($F959="",$G959=""),"",ROUND($F959/($G959/100)^2,2))</f>
        <v/>
      </c>
      <c r="K959" s="12">
        <f>IF(OR($S959="",$J959="",$T959="",$T959&lt;0,$T959&gt;228,$Y959=""),"—",ROUND(IF(ABS($AB959)&lt;=3,$AB959,IF($AB959&gt;3,3+($J959-$AD959)/($AD959-$AC959),-3+($J959-$AF959)/($AE959-$AF959))),2))</f>
        <v/>
      </c>
      <c r="L959">
        <f>IF(OR($K959="",$K959="—"),"",IF($T959&lt;=60,IF($K959&lt;-3,"Magreza acentuada",IF($K959&lt;-2,"Magreza",IF($K959&lt;=1,"Eutrofia",IF($K959&lt;=2,"Risco de sobrepeso",IF($K959&lt;=3,"Sobrepeso","Obesidade"))))),IF($K959&lt;-3,"Magreza acentuada",IF($K959&lt;-2,"Magreza",IF($K959&lt;=1,"Eutrofia",IF($K959&lt;=2,"Sobrepeso",IF($K959&lt;=3,"Obesidade","Obesidade grave")))))))</f>
        <v/>
      </c>
      <c r="M959" s="12">
        <f>IF(OR($S959="",$V959="",$T959="",$T959&lt;0,$T959&gt;228,$AG959=""),"—",ROUND(IF($AG959=0,LN($V959/$AH959)/$AI959,((($V959/$AH959)^$AG959)-1)/($AG959*$AI959)),2))</f>
        <v/>
      </c>
      <c r="N959">
        <f>IF(OR($M959="",$M959="—"),"",IF($M959&lt;-3,"Muito baixa",IF($M959&lt;-2,"Baixa","Adequada")))</f>
        <v/>
      </c>
      <c r="O959" s="12">
        <f>IF(OR($S959="",$F959="",$T959="",$T959&lt;0,$T959&gt;120,$AJ959=""),"—",ROUND(IF(ABS($AM959)&lt;=3,$AM959,IF($AM959&gt;3,3+($F959-$AO959)/($AO959-$AN959),-3+($F959-$AQ959)/($AP959-$AQ959))),2))</f>
        <v/>
      </c>
      <c r="P959">
        <f>IF(OR($O959="",$O959="—"),"",IF($O959&lt;-3,"Muito baixo",IF($O959&lt;-2,"Baixo",IF($O959&lt;=2,"Adequado","Elevado"))))</f>
        <v/>
      </c>
      <c r="Q959" s="12">
        <f>IF(OR($S959="",$F959="",$T959="",$T959&lt;0,$T959&gt;60,$AR959=""),"—",ROUND(IF(ABS($AU959)&lt;=3,$AU959,IF($AU959&gt;3,3+($F959-$AW959)/($AW959-$AV959),-3+($F959-$AY959)/($AX959-$AY959))),2))</f>
        <v/>
      </c>
      <c r="R959">
        <f>IF(OR($Q959="",$Q959="—"),"",IF($Q959&lt;-3,"Magreza acentuada",IF($Q959&lt;-2,"Magreza",IF($Q959&lt;=1,"Eutrofia",IF($Q959&lt;=2,"Risco de sobrepeso",IF($Q959&lt;=3,"Sobrepeso","Obesidade"))))))</f>
        <v/>
      </c>
      <c r="S959">
        <f>IF($C959="","",IF(UPPER(LEFT($C959,1))="M",1,IF(UPPER(LEFT($C959,1))="F",2,"")))</f>
        <v/>
      </c>
      <c r="T959">
        <f>IF(OR($D959="",$E959=""),"",DATEDIF($D959,$E959,"m"))</f>
        <v/>
      </c>
      <c r="U959">
        <f>IF(OR($D959="",$E959=""),"",$E959-$D959)</f>
        <v/>
      </c>
      <c r="V959">
        <f>IF(OR($G959="",$T959=""),"",IF($T959&lt;24,IF(LEFT(LOWER($H959),4)="em p",$G959+0.7,$G959),IF(LEFT(LOWER($H959),4)="deit",$G959-0.7,$G959)))</f>
        <v/>
      </c>
      <c r="W959">
        <f>IF(OR($S959="",$T959=""),"",$S959*1000000+IF($T959&lt;=60,$U959,$T959))</f>
        <v/>
      </c>
      <c r="X959">
        <f>IF(OR($S959="",$V959="",$T959&gt;60,$T959=""),"",$S959*1000000+ROUND($V959*10,0))</f>
        <v/>
      </c>
      <c r="Y959">
        <f>IF($W959="","",IFERROR(INDEX(IF($T959&lt;=60,imc05_l,imc519_l),MATCH($W959,IF($T959&lt;=60,imc05_k,imc519_k),1)),""))</f>
        <v/>
      </c>
      <c r="Z959">
        <f>IF($W959="","",IFERROR(INDEX(IF($T959&lt;=60,imc05_m,imc519_m),MATCH($W959,IF($T959&lt;=60,imc05_k,imc519_k),1)),""))</f>
        <v/>
      </c>
      <c r="AA959">
        <f>IF($W959="","",IFERROR(INDEX(IF($T959&lt;=60,imc05_s,imc519_s),MATCH($W959,IF($T959&lt;=60,imc05_k,imc519_k),1)),""))</f>
        <v/>
      </c>
      <c r="AB959">
        <f>IF($Y959="","",IF($Y959=0,LN($J959/$Z959)/$AA959,((($J959/$Z959)^$Y959)-1)/($Y959*$AA959)))</f>
        <v/>
      </c>
      <c r="AC959">
        <f>IF($Y959="","",IF($Y959=0,$Z959*EXP($AA959*2),$Z959*(1+$Y959*$AA959*2)^(1/$Y959)))</f>
        <v/>
      </c>
      <c r="AD959">
        <f>IF($Y959="","",IF($Y959=0,$Z959*EXP($AA959*3),$Z959*(1+$Y959*$AA959*3)^(1/$Y959)))</f>
        <v/>
      </c>
      <c r="AE959">
        <f>IF($Y959="","",IF($Y959=0,$Z959*EXP($AA959*-2),$Z959*(1+$Y959*$AA959*-2)^(1/$Y959)))</f>
        <v/>
      </c>
      <c r="AF959">
        <f>IF($Y959="","",IF($Y959=0,$Z959*EXP($AA959*-3),$Z959*(1+$Y959*$AA959*-3)^(1/$Y959)))</f>
        <v/>
      </c>
      <c r="AG959">
        <f>IF($W959="","",IFERROR(INDEX(IF($T959&lt;=60,est05_l,est519_l),MATCH($W959,IF($T959&lt;=60,est05_k,est519_k),1)),""))</f>
        <v/>
      </c>
      <c r="AH959">
        <f>IF($W959="","",IFERROR(INDEX(IF($T959&lt;=60,est05_m,est519_m),MATCH($W959,IF($T959&lt;=60,est05_k,est519_k),1)),""))</f>
        <v/>
      </c>
      <c r="AI959">
        <f>IF($W959="","",IFERROR(INDEX(IF($T959&lt;=60,est05_s,est519_s),MATCH($W959,IF($T959&lt;=60,est05_k,est519_k),1)),""))</f>
        <v/>
      </c>
      <c r="AJ959">
        <f>IF($W959="","",IFERROR(INDEX(IF($T959&lt;=60,peso05_l,peso510_l),MATCH($W959,IF($T959&lt;=60,peso05_k,peso510_k),1)),""))</f>
        <v/>
      </c>
      <c r="AK959">
        <f>IF($W959="","",IFERROR(INDEX(IF($T959&lt;=60,peso05_m,peso510_m),MATCH($W959,IF($T959&lt;=60,peso05_k,peso510_k),1)),""))</f>
        <v/>
      </c>
      <c r="AL959">
        <f>IF($W959="","",IFERROR(INDEX(IF($T959&lt;=60,peso05_s,peso510_s),MATCH($W959,IF($T959&lt;=60,peso05_k,peso510_k),1)),""))</f>
        <v/>
      </c>
      <c r="AM959">
        <f>IF($AJ959="","",IF($AJ959=0,LN($F959/$AK959)/$AL959,((($F959/$AK959)^$AJ959)-1)/($AJ959*$AL959)))</f>
        <v/>
      </c>
      <c r="AN959">
        <f>IF($AJ959="","",IF($AJ959=0,$AK959*EXP($AL959*2),$AK959*(1+$AJ959*$AL959*2)^(1/$AJ959)))</f>
        <v/>
      </c>
      <c r="AO959">
        <f>IF($AJ959="","",IF($AJ959=0,$AK959*EXP($AL959*3),$AK959*(1+$AJ959*$AL959*3)^(1/$AJ959)))</f>
        <v/>
      </c>
      <c r="AP959">
        <f>IF($AJ959="","",IF($AJ959=0,$AK959*EXP($AL959*-2),$AK959*(1+$AJ959*$AL959*-2)^(1/$AJ959)))</f>
        <v/>
      </c>
      <c r="AQ959">
        <f>IF($AJ959="","",IF($AJ959=0,$AK959*EXP($AL959*-3),$AK959*(1+$AJ959*$AL959*-3)^(1/$AJ959)))</f>
        <v/>
      </c>
      <c r="AR959">
        <f>IF(OR($X959="",$T959&gt;60),"",IFERROR(INDEX(IF($T959&lt;24,pcomp_l,palt_l),MATCH($X959,IF($T959&lt;24,pcomp_k,palt_k),1)),""))</f>
        <v/>
      </c>
      <c r="AS959">
        <f>IF(OR($X959="",$T959&gt;60),"",IFERROR(INDEX(IF($T959&lt;24,pcomp_m,palt_m),MATCH($X959,IF($T959&lt;24,pcomp_k,palt_k),1)),""))</f>
        <v/>
      </c>
      <c r="AT959">
        <f>IF(OR($X959="",$T959&gt;60),"",IFERROR(INDEX(IF($T959&lt;24,pcomp_s,palt_s),MATCH($X959,IF($T959&lt;24,pcomp_k,palt_k),1)),""))</f>
        <v/>
      </c>
      <c r="AU959">
        <f>IF($AR959="","",IF($AR959=0,LN($F959/$AS959)/$AT959,((($F959/$AS959)^$AR959)-1)/($AR959*$AT959)))</f>
        <v/>
      </c>
      <c r="AV959">
        <f>IF($AR959="","",IF($AR959=0,$AS959*EXP($AT959*2),$AS959*(1+$AR959*$AT959*2)^(1/$AR959)))</f>
        <v/>
      </c>
      <c r="AW959">
        <f>IF($AR959="","",IF($AR959=0,$AS959*EXP($AT959*3),$AS959*(1+$AR959*$AT959*3)^(1/$AR959)))</f>
        <v/>
      </c>
      <c r="AX959">
        <f>IF($AR959="","",IF($AR959=0,$AS959*EXP($AT959*-2),$AS959*(1+$AR959*$AT959*-2)^(1/$AR959)))</f>
        <v/>
      </c>
      <c r="AY959">
        <f>IF($AR959="","",IF($AR959=0,$AS959*EXP($AT959*-3),$AS959*(1+$AR959*$AT959*-3)^(1/$AR959)))</f>
        <v/>
      </c>
      <c r="AZ959">
        <f>IF(OR($A959="",$A959&lt;&gt;Ficha!$C$4),"",COUNTIF($A$2:$A959,Ficha!$C$4))</f>
        <v/>
      </c>
    </row>
    <row r="960">
      <c r="A960" s="8">
        <f>IF(INDEX(Banco!$A:$A,ROW())="","",INDEX(Banco!$A:$A,ROW()))</f>
        <v/>
      </c>
      <c r="B960" s="8">
        <f>IF(INDEX(Banco!$B:$B,ROW())="","",INDEX(Banco!$B:$B,ROW()))</f>
        <v/>
      </c>
      <c r="C960" s="8">
        <f>IF(INDEX(Banco!$C:$C,ROW())="","",INDEX(Banco!$C:$C,ROW()))</f>
        <v/>
      </c>
      <c r="D960" s="9">
        <f>IF(INDEX(Banco!$D:$D,ROW())="","",INDEX(Banco!$D:$D,ROW()))</f>
        <v/>
      </c>
      <c r="E960" s="9">
        <f>IF(INDEX(Banco!$E:$E,ROW())="","",INDEX(Banco!$E:$E,ROW()))</f>
        <v/>
      </c>
      <c r="F960" s="10">
        <f>IF(INDEX(Banco!$F:$F,ROW())="","",INDEX(Banco!$F:$F,ROW()))</f>
        <v/>
      </c>
      <c r="G960" s="10">
        <f>IF(INDEX(Banco!$G:$G,ROW())="","",INDEX(Banco!$G:$G,ROW()))</f>
        <v/>
      </c>
      <c r="H960" s="8">
        <f>IF(INDEX(Banco!$H:$H,ROW())="","",INDEX(Banco!$H:$H,ROW()))</f>
        <v/>
      </c>
      <c r="I960">
        <f>IF($T960="","",INT($T960/12)&amp;"a "&amp;MOD($T960,12)&amp;"m")</f>
        <v/>
      </c>
      <c r="J960" s="11">
        <f>IF(OR($F960="",$G960=""),"",ROUND($F960/($G960/100)^2,2))</f>
        <v/>
      </c>
      <c r="K960" s="12">
        <f>IF(OR($S960="",$J960="",$T960="",$T960&lt;0,$T960&gt;228,$Y960=""),"—",ROUND(IF(ABS($AB960)&lt;=3,$AB960,IF($AB960&gt;3,3+($J960-$AD960)/($AD960-$AC960),-3+($J960-$AF960)/($AE960-$AF960))),2))</f>
        <v/>
      </c>
      <c r="L960">
        <f>IF(OR($K960="",$K960="—"),"",IF($T960&lt;=60,IF($K960&lt;-3,"Magreza acentuada",IF($K960&lt;-2,"Magreza",IF($K960&lt;=1,"Eutrofia",IF($K960&lt;=2,"Risco de sobrepeso",IF($K960&lt;=3,"Sobrepeso","Obesidade"))))),IF($K960&lt;-3,"Magreza acentuada",IF($K960&lt;-2,"Magreza",IF($K960&lt;=1,"Eutrofia",IF($K960&lt;=2,"Sobrepeso",IF($K960&lt;=3,"Obesidade","Obesidade grave")))))))</f>
        <v/>
      </c>
      <c r="M960" s="12">
        <f>IF(OR($S960="",$V960="",$T960="",$T960&lt;0,$T960&gt;228,$AG960=""),"—",ROUND(IF($AG960=0,LN($V960/$AH960)/$AI960,((($V960/$AH960)^$AG960)-1)/($AG960*$AI960)),2))</f>
        <v/>
      </c>
      <c r="N960">
        <f>IF(OR($M960="",$M960="—"),"",IF($M960&lt;-3,"Muito baixa",IF($M960&lt;-2,"Baixa","Adequada")))</f>
        <v/>
      </c>
      <c r="O960" s="12">
        <f>IF(OR($S960="",$F960="",$T960="",$T960&lt;0,$T960&gt;120,$AJ960=""),"—",ROUND(IF(ABS($AM960)&lt;=3,$AM960,IF($AM960&gt;3,3+($F960-$AO960)/($AO960-$AN960),-3+($F960-$AQ960)/($AP960-$AQ960))),2))</f>
        <v/>
      </c>
      <c r="P960">
        <f>IF(OR($O960="",$O960="—"),"",IF($O960&lt;-3,"Muito baixo",IF($O960&lt;-2,"Baixo",IF($O960&lt;=2,"Adequado","Elevado"))))</f>
        <v/>
      </c>
      <c r="Q960" s="12">
        <f>IF(OR($S960="",$F960="",$T960="",$T960&lt;0,$T960&gt;60,$AR960=""),"—",ROUND(IF(ABS($AU960)&lt;=3,$AU960,IF($AU960&gt;3,3+($F960-$AW960)/($AW960-$AV960),-3+($F960-$AY960)/($AX960-$AY960))),2))</f>
        <v/>
      </c>
      <c r="R960">
        <f>IF(OR($Q960="",$Q960="—"),"",IF($Q960&lt;-3,"Magreza acentuada",IF($Q960&lt;-2,"Magreza",IF($Q960&lt;=1,"Eutrofia",IF($Q960&lt;=2,"Risco de sobrepeso",IF($Q960&lt;=3,"Sobrepeso","Obesidade"))))))</f>
        <v/>
      </c>
      <c r="S960">
        <f>IF($C960="","",IF(UPPER(LEFT($C960,1))="M",1,IF(UPPER(LEFT($C960,1))="F",2,"")))</f>
        <v/>
      </c>
      <c r="T960">
        <f>IF(OR($D960="",$E960=""),"",DATEDIF($D960,$E960,"m"))</f>
        <v/>
      </c>
      <c r="U960">
        <f>IF(OR($D960="",$E960=""),"",$E960-$D960)</f>
        <v/>
      </c>
      <c r="V960">
        <f>IF(OR($G960="",$T960=""),"",IF($T960&lt;24,IF(LEFT(LOWER($H960),4)="em p",$G960+0.7,$G960),IF(LEFT(LOWER($H960),4)="deit",$G960-0.7,$G960)))</f>
        <v/>
      </c>
      <c r="W960">
        <f>IF(OR($S960="",$T960=""),"",$S960*1000000+IF($T960&lt;=60,$U960,$T960))</f>
        <v/>
      </c>
      <c r="X960">
        <f>IF(OR($S960="",$V960="",$T960&gt;60,$T960=""),"",$S960*1000000+ROUND($V960*10,0))</f>
        <v/>
      </c>
      <c r="Y960">
        <f>IF($W960="","",IFERROR(INDEX(IF($T960&lt;=60,imc05_l,imc519_l),MATCH($W960,IF($T960&lt;=60,imc05_k,imc519_k),1)),""))</f>
        <v/>
      </c>
      <c r="Z960">
        <f>IF($W960="","",IFERROR(INDEX(IF($T960&lt;=60,imc05_m,imc519_m),MATCH($W960,IF($T960&lt;=60,imc05_k,imc519_k),1)),""))</f>
        <v/>
      </c>
      <c r="AA960">
        <f>IF($W960="","",IFERROR(INDEX(IF($T960&lt;=60,imc05_s,imc519_s),MATCH($W960,IF($T960&lt;=60,imc05_k,imc519_k),1)),""))</f>
        <v/>
      </c>
      <c r="AB960">
        <f>IF($Y960="","",IF($Y960=0,LN($J960/$Z960)/$AA960,((($J960/$Z960)^$Y960)-1)/($Y960*$AA960)))</f>
        <v/>
      </c>
      <c r="AC960">
        <f>IF($Y960="","",IF($Y960=0,$Z960*EXP($AA960*2),$Z960*(1+$Y960*$AA960*2)^(1/$Y960)))</f>
        <v/>
      </c>
      <c r="AD960">
        <f>IF($Y960="","",IF($Y960=0,$Z960*EXP($AA960*3),$Z960*(1+$Y960*$AA960*3)^(1/$Y960)))</f>
        <v/>
      </c>
      <c r="AE960">
        <f>IF($Y960="","",IF($Y960=0,$Z960*EXP($AA960*-2),$Z960*(1+$Y960*$AA960*-2)^(1/$Y960)))</f>
        <v/>
      </c>
      <c r="AF960">
        <f>IF($Y960="","",IF($Y960=0,$Z960*EXP($AA960*-3),$Z960*(1+$Y960*$AA960*-3)^(1/$Y960)))</f>
        <v/>
      </c>
      <c r="AG960">
        <f>IF($W960="","",IFERROR(INDEX(IF($T960&lt;=60,est05_l,est519_l),MATCH($W960,IF($T960&lt;=60,est05_k,est519_k),1)),""))</f>
        <v/>
      </c>
      <c r="AH960">
        <f>IF($W960="","",IFERROR(INDEX(IF($T960&lt;=60,est05_m,est519_m),MATCH($W960,IF($T960&lt;=60,est05_k,est519_k),1)),""))</f>
        <v/>
      </c>
      <c r="AI960">
        <f>IF($W960="","",IFERROR(INDEX(IF($T960&lt;=60,est05_s,est519_s),MATCH($W960,IF($T960&lt;=60,est05_k,est519_k),1)),""))</f>
        <v/>
      </c>
      <c r="AJ960">
        <f>IF($W960="","",IFERROR(INDEX(IF($T960&lt;=60,peso05_l,peso510_l),MATCH($W960,IF($T960&lt;=60,peso05_k,peso510_k),1)),""))</f>
        <v/>
      </c>
      <c r="AK960">
        <f>IF($W960="","",IFERROR(INDEX(IF($T960&lt;=60,peso05_m,peso510_m),MATCH($W960,IF($T960&lt;=60,peso05_k,peso510_k),1)),""))</f>
        <v/>
      </c>
      <c r="AL960">
        <f>IF($W960="","",IFERROR(INDEX(IF($T960&lt;=60,peso05_s,peso510_s),MATCH($W960,IF($T960&lt;=60,peso05_k,peso510_k),1)),""))</f>
        <v/>
      </c>
      <c r="AM960">
        <f>IF($AJ960="","",IF($AJ960=0,LN($F960/$AK960)/$AL960,((($F960/$AK960)^$AJ960)-1)/($AJ960*$AL960)))</f>
        <v/>
      </c>
      <c r="AN960">
        <f>IF($AJ960="","",IF($AJ960=0,$AK960*EXP($AL960*2),$AK960*(1+$AJ960*$AL960*2)^(1/$AJ960)))</f>
        <v/>
      </c>
      <c r="AO960">
        <f>IF($AJ960="","",IF($AJ960=0,$AK960*EXP($AL960*3),$AK960*(1+$AJ960*$AL960*3)^(1/$AJ960)))</f>
        <v/>
      </c>
      <c r="AP960">
        <f>IF($AJ960="","",IF($AJ960=0,$AK960*EXP($AL960*-2),$AK960*(1+$AJ960*$AL960*-2)^(1/$AJ960)))</f>
        <v/>
      </c>
      <c r="AQ960">
        <f>IF($AJ960="","",IF($AJ960=0,$AK960*EXP($AL960*-3),$AK960*(1+$AJ960*$AL960*-3)^(1/$AJ960)))</f>
        <v/>
      </c>
      <c r="AR960">
        <f>IF(OR($X960="",$T960&gt;60),"",IFERROR(INDEX(IF($T960&lt;24,pcomp_l,palt_l),MATCH($X960,IF($T960&lt;24,pcomp_k,palt_k),1)),""))</f>
        <v/>
      </c>
      <c r="AS960">
        <f>IF(OR($X960="",$T960&gt;60),"",IFERROR(INDEX(IF($T960&lt;24,pcomp_m,palt_m),MATCH($X960,IF($T960&lt;24,pcomp_k,palt_k),1)),""))</f>
        <v/>
      </c>
      <c r="AT960">
        <f>IF(OR($X960="",$T960&gt;60),"",IFERROR(INDEX(IF($T960&lt;24,pcomp_s,palt_s),MATCH($X960,IF($T960&lt;24,pcomp_k,palt_k),1)),""))</f>
        <v/>
      </c>
      <c r="AU960">
        <f>IF($AR960="","",IF($AR960=0,LN($F960/$AS960)/$AT960,((($F960/$AS960)^$AR960)-1)/($AR960*$AT960)))</f>
        <v/>
      </c>
      <c r="AV960">
        <f>IF($AR960="","",IF($AR960=0,$AS960*EXP($AT960*2),$AS960*(1+$AR960*$AT960*2)^(1/$AR960)))</f>
        <v/>
      </c>
      <c r="AW960">
        <f>IF($AR960="","",IF($AR960=0,$AS960*EXP($AT960*3),$AS960*(1+$AR960*$AT960*3)^(1/$AR960)))</f>
        <v/>
      </c>
      <c r="AX960">
        <f>IF($AR960="","",IF($AR960=0,$AS960*EXP($AT960*-2),$AS960*(1+$AR960*$AT960*-2)^(1/$AR960)))</f>
        <v/>
      </c>
      <c r="AY960">
        <f>IF($AR960="","",IF($AR960=0,$AS960*EXP($AT960*-3),$AS960*(1+$AR960*$AT960*-3)^(1/$AR960)))</f>
        <v/>
      </c>
      <c r="AZ960">
        <f>IF(OR($A960="",$A960&lt;&gt;Ficha!$C$4),"",COUNTIF($A$2:$A960,Ficha!$C$4))</f>
        <v/>
      </c>
    </row>
    <row r="961">
      <c r="A961" s="8">
        <f>IF(INDEX(Banco!$A:$A,ROW())="","",INDEX(Banco!$A:$A,ROW()))</f>
        <v/>
      </c>
      <c r="B961" s="8">
        <f>IF(INDEX(Banco!$B:$B,ROW())="","",INDEX(Banco!$B:$B,ROW()))</f>
        <v/>
      </c>
      <c r="C961" s="8">
        <f>IF(INDEX(Banco!$C:$C,ROW())="","",INDEX(Banco!$C:$C,ROW()))</f>
        <v/>
      </c>
      <c r="D961" s="9">
        <f>IF(INDEX(Banco!$D:$D,ROW())="","",INDEX(Banco!$D:$D,ROW()))</f>
        <v/>
      </c>
      <c r="E961" s="9">
        <f>IF(INDEX(Banco!$E:$E,ROW())="","",INDEX(Banco!$E:$E,ROW()))</f>
        <v/>
      </c>
      <c r="F961" s="10">
        <f>IF(INDEX(Banco!$F:$F,ROW())="","",INDEX(Banco!$F:$F,ROW()))</f>
        <v/>
      </c>
      <c r="G961" s="10">
        <f>IF(INDEX(Banco!$G:$G,ROW())="","",INDEX(Banco!$G:$G,ROW()))</f>
        <v/>
      </c>
      <c r="H961" s="8">
        <f>IF(INDEX(Banco!$H:$H,ROW())="","",INDEX(Banco!$H:$H,ROW()))</f>
        <v/>
      </c>
      <c r="I961">
        <f>IF($T961="","",INT($T961/12)&amp;"a "&amp;MOD($T961,12)&amp;"m")</f>
        <v/>
      </c>
      <c r="J961" s="11">
        <f>IF(OR($F961="",$G961=""),"",ROUND($F961/($G961/100)^2,2))</f>
        <v/>
      </c>
      <c r="K961" s="12">
        <f>IF(OR($S961="",$J961="",$T961="",$T961&lt;0,$T961&gt;228,$Y961=""),"—",ROUND(IF(ABS($AB961)&lt;=3,$AB961,IF($AB961&gt;3,3+($J961-$AD961)/($AD961-$AC961),-3+($J961-$AF961)/($AE961-$AF961))),2))</f>
        <v/>
      </c>
      <c r="L961">
        <f>IF(OR($K961="",$K961="—"),"",IF($T961&lt;=60,IF($K961&lt;-3,"Magreza acentuada",IF($K961&lt;-2,"Magreza",IF($K961&lt;=1,"Eutrofia",IF($K961&lt;=2,"Risco de sobrepeso",IF($K961&lt;=3,"Sobrepeso","Obesidade"))))),IF($K961&lt;-3,"Magreza acentuada",IF($K961&lt;-2,"Magreza",IF($K961&lt;=1,"Eutrofia",IF($K961&lt;=2,"Sobrepeso",IF($K961&lt;=3,"Obesidade","Obesidade grave")))))))</f>
        <v/>
      </c>
      <c r="M961" s="12">
        <f>IF(OR($S961="",$V961="",$T961="",$T961&lt;0,$T961&gt;228,$AG961=""),"—",ROUND(IF($AG961=0,LN($V961/$AH961)/$AI961,((($V961/$AH961)^$AG961)-1)/($AG961*$AI961)),2))</f>
        <v/>
      </c>
      <c r="N961">
        <f>IF(OR($M961="",$M961="—"),"",IF($M961&lt;-3,"Muito baixa",IF($M961&lt;-2,"Baixa","Adequada")))</f>
        <v/>
      </c>
      <c r="O961" s="12">
        <f>IF(OR($S961="",$F961="",$T961="",$T961&lt;0,$T961&gt;120,$AJ961=""),"—",ROUND(IF(ABS($AM961)&lt;=3,$AM961,IF($AM961&gt;3,3+($F961-$AO961)/($AO961-$AN961),-3+($F961-$AQ961)/($AP961-$AQ961))),2))</f>
        <v/>
      </c>
      <c r="P961">
        <f>IF(OR($O961="",$O961="—"),"",IF($O961&lt;-3,"Muito baixo",IF($O961&lt;-2,"Baixo",IF($O961&lt;=2,"Adequado","Elevado"))))</f>
        <v/>
      </c>
      <c r="Q961" s="12">
        <f>IF(OR($S961="",$F961="",$T961="",$T961&lt;0,$T961&gt;60,$AR961=""),"—",ROUND(IF(ABS($AU961)&lt;=3,$AU961,IF($AU961&gt;3,3+($F961-$AW961)/($AW961-$AV961),-3+($F961-$AY961)/($AX961-$AY961))),2))</f>
        <v/>
      </c>
      <c r="R961">
        <f>IF(OR($Q961="",$Q961="—"),"",IF($Q961&lt;-3,"Magreza acentuada",IF($Q961&lt;-2,"Magreza",IF($Q961&lt;=1,"Eutrofia",IF($Q961&lt;=2,"Risco de sobrepeso",IF($Q961&lt;=3,"Sobrepeso","Obesidade"))))))</f>
        <v/>
      </c>
      <c r="S961">
        <f>IF($C961="","",IF(UPPER(LEFT($C961,1))="M",1,IF(UPPER(LEFT($C961,1))="F",2,"")))</f>
        <v/>
      </c>
      <c r="T961">
        <f>IF(OR($D961="",$E961=""),"",DATEDIF($D961,$E961,"m"))</f>
        <v/>
      </c>
      <c r="U961">
        <f>IF(OR($D961="",$E961=""),"",$E961-$D961)</f>
        <v/>
      </c>
      <c r="V961">
        <f>IF(OR($G961="",$T961=""),"",IF($T961&lt;24,IF(LEFT(LOWER($H961),4)="em p",$G961+0.7,$G961),IF(LEFT(LOWER($H961),4)="deit",$G961-0.7,$G961)))</f>
        <v/>
      </c>
      <c r="W961">
        <f>IF(OR($S961="",$T961=""),"",$S961*1000000+IF($T961&lt;=60,$U961,$T961))</f>
        <v/>
      </c>
      <c r="X961">
        <f>IF(OR($S961="",$V961="",$T961&gt;60,$T961=""),"",$S961*1000000+ROUND($V961*10,0))</f>
        <v/>
      </c>
      <c r="Y961">
        <f>IF($W961="","",IFERROR(INDEX(IF($T961&lt;=60,imc05_l,imc519_l),MATCH($W961,IF($T961&lt;=60,imc05_k,imc519_k),1)),""))</f>
        <v/>
      </c>
      <c r="Z961">
        <f>IF($W961="","",IFERROR(INDEX(IF($T961&lt;=60,imc05_m,imc519_m),MATCH($W961,IF($T961&lt;=60,imc05_k,imc519_k),1)),""))</f>
        <v/>
      </c>
      <c r="AA961">
        <f>IF($W961="","",IFERROR(INDEX(IF($T961&lt;=60,imc05_s,imc519_s),MATCH($W961,IF($T961&lt;=60,imc05_k,imc519_k),1)),""))</f>
        <v/>
      </c>
      <c r="AB961">
        <f>IF($Y961="","",IF($Y961=0,LN($J961/$Z961)/$AA961,((($J961/$Z961)^$Y961)-1)/($Y961*$AA961)))</f>
        <v/>
      </c>
      <c r="AC961">
        <f>IF($Y961="","",IF($Y961=0,$Z961*EXP($AA961*2),$Z961*(1+$Y961*$AA961*2)^(1/$Y961)))</f>
        <v/>
      </c>
      <c r="AD961">
        <f>IF($Y961="","",IF($Y961=0,$Z961*EXP($AA961*3),$Z961*(1+$Y961*$AA961*3)^(1/$Y961)))</f>
        <v/>
      </c>
      <c r="AE961">
        <f>IF($Y961="","",IF($Y961=0,$Z961*EXP($AA961*-2),$Z961*(1+$Y961*$AA961*-2)^(1/$Y961)))</f>
        <v/>
      </c>
      <c r="AF961">
        <f>IF($Y961="","",IF($Y961=0,$Z961*EXP($AA961*-3),$Z961*(1+$Y961*$AA961*-3)^(1/$Y961)))</f>
        <v/>
      </c>
      <c r="AG961">
        <f>IF($W961="","",IFERROR(INDEX(IF($T961&lt;=60,est05_l,est519_l),MATCH($W961,IF($T961&lt;=60,est05_k,est519_k),1)),""))</f>
        <v/>
      </c>
      <c r="AH961">
        <f>IF($W961="","",IFERROR(INDEX(IF($T961&lt;=60,est05_m,est519_m),MATCH($W961,IF($T961&lt;=60,est05_k,est519_k),1)),""))</f>
        <v/>
      </c>
      <c r="AI961">
        <f>IF($W961="","",IFERROR(INDEX(IF($T961&lt;=60,est05_s,est519_s),MATCH($W961,IF($T961&lt;=60,est05_k,est519_k),1)),""))</f>
        <v/>
      </c>
      <c r="AJ961">
        <f>IF($W961="","",IFERROR(INDEX(IF($T961&lt;=60,peso05_l,peso510_l),MATCH($W961,IF($T961&lt;=60,peso05_k,peso510_k),1)),""))</f>
        <v/>
      </c>
      <c r="AK961">
        <f>IF($W961="","",IFERROR(INDEX(IF($T961&lt;=60,peso05_m,peso510_m),MATCH($W961,IF($T961&lt;=60,peso05_k,peso510_k),1)),""))</f>
        <v/>
      </c>
      <c r="AL961">
        <f>IF($W961="","",IFERROR(INDEX(IF($T961&lt;=60,peso05_s,peso510_s),MATCH($W961,IF($T961&lt;=60,peso05_k,peso510_k),1)),""))</f>
        <v/>
      </c>
      <c r="AM961">
        <f>IF($AJ961="","",IF($AJ961=0,LN($F961/$AK961)/$AL961,((($F961/$AK961)^$AJ961)-1)/($AJ961*$AL961)))</f>
        <v/>
      </c>
      <c r="AN961">
        <f>IF($AJ961="","",IF($AJ961=0,$AK961*EXP($AL961*2),$AK961*(1+$AJ961*$AL961*2)^(1/$AJ961)))</f>
        <v/>
      </c>
      <c r="AO961">
        <f>IF($AJ961="","",IF($AJ961=0,$AK961*EXP($AL961*3),$AK961*(1+$AJ961*$AL961*3)^(1/$AJ961)))</f>
        <v/>
      </c>
      <c r="AP961">
        <f>IF($AJ961="","",IF($AJ961=0,$AK961*EXP($AL961*-2),$AK961*(1+$AJ961*$AL961*-2)^(1/$AJ961)))</f>
        <v/>
      </c>
      <c r="AQ961">
        <f>IF($AJ961="","",IF($AJ961=0,$AK961*EXP($AL961*-3),$AK961*(1+$AJ961*$AL961*-3)^(1/$AJ961)))</f>
        <v/>
      </c>
      <c r="AR961">
        <f>IF(OR($X961="",$T961&gt;60),"",IFERROR(INDEX(IF($T961&lt;24,pcomp_l,palt_l),MATCH($X961,IF($T961&lt;24,pcomp_k,palt_k),1)),""))</f>
        <v/>
      </c>
      <c r="AS961">
        <f>IF(OR($X961="",$T961&gt;60),"",IFERROR(INDEX(IF($T961&lt;24,pcomp_m,palt_m),MATCH($X961,IF($T961&lt;24,pcomp_k,palt_k),1)),""))</f>
        <v/>
      </c>
      <c r="AT961">
        <f>IF(OR($X961="",$T961&gt;60),"",IFERROR(INDEX(IF($T961&lt;24,pcomp_s,palt_s),MATCH($X961,IF($T961&lt;24,pcomp_k,palt_k),1)),""))</f>
        <v/>
      </c>
      <c r="AU961">
        <f>IF($AR961="","",IF($AR961=0,LN($F961/$AS961)/$AT961,((($F961/$AS961)^$AR961)-1)/($AR961*$AT961)))</f>
        <v/>
      </c>
      <c r="AV961">
        <f>IF($AR961="","",IF($AR961=0,$AS961*EXP($AT961*2),$AS961*(1+$AR961*$AT961*2)^(1/$AR961)))</f>
        <v/>
      </c>
      <c r="AW961">
        <f>IF($AR961="","",IF($AR961=0,$AS961*EXP($AT961*3),$AS961*(1+$AR961*$AT961*3)^(1/$AR961)))</f>
        <v/>
      </c>
      <c r="AX961">
        <f>IF($AR961="","",IF($AR961=0,$AS961*EXP($AT961*-2),$AS961*(1+$AR961*$AT961*-2)^(1/$AR961)))</f>
        <v/>
      </c>
      <c r="AY961">
        <f>IF($AR961="","",IF($AR961=0,$AS961*EXP($AT961*-3),$AS961*(1+$AR961*$AT961*-3)^(1/$AR961)))</f>
        <v/>
      </c>
      <c r="AZ961">
        <f>IF(OR($A961="",$A961&lt;&gt;Ficha!$C$4),"",COUNTIF($A$2:$A961,Ficha!$C$4))</f>
        <v/>
      </c>
    </row>
    <row r="962">
      <c r="A962" s="8">
        <f>IF(INDEX(Banco!$A:$A,ROW())="","",INDEX(Banco!$A:$A,ROW()))</f>
        <v/>
      </c>
      <c r="B962" s="8">
        <f>IF(INDEX(Banco!$B:$B,ROW())="","",INDEX(Banco!$B:$B,ROW()))</f>
        <v/>
      </c>
      <c r="C962" s="8">
        <f>IF(INDEX(Banco!$C:$C,ROW())="","",INDEX(Banco!$C:$C,ROW()))</f>
        <v/>
      </c>
      <c r="D962" s="9">
        <f>IF(INDEX(Banco!$D:$D,ROW())="","",INDEX(Banco!$D:$D,ROW()))</f>
        <v/>
      </c>
      <c r="E962" s="9">
        <f>IF(INDEX(Banco!$E:$E,ROW())="","",INDEX(Banco!$E:$E,ROW()))</f>
        <v/>
      </c>
      <c r="F962" s="10">
        <f>IF(INDEX(Banco!$F:$F,ROW())="","",INDEX(Banco!$F:$F,ROW()))</f>
        <v/>
      </c>
      <c r="G962" s="10">
        <f>IF(INDEX(Banco!$G:$G,ROW())="","",INDEX(Banco!$G:$G,ROW()))</f>
        <v/>
      </c>
      <c r="H962" s="8">
        <f>IF(INDEX(Banco!$H:$H,ROW())="","",INDEX(Banco!$H:$H,ROW()))</f>
        <v/>
      </c>
      <c r="I962">
        <f>IF($T962="","",INT($T962/12)&amp;"a "&amp;MOD($T962,12)&amp;"m")</f>
        <v/>
      </c>
      <c r="J962" s="11">
        <f>IF(OR($F962="",$G962=""),"",ROUND($F962/($G962/100)^2,2))</f>
        <v/>
      </c>
      <c r="K962" s="12">
        <f>IF(OR($S962="",$J962="",$T962="",$T962&lt;0,$T962&gt;228,$Y962=""),"—",ROUND(IF(ABS($AB962)&lt;=3,$AB962,IF($AB962&gt;3,3+($J962-$AD962)/($AD962-$AC962),-3+($J962-$AF962)/($AE962-$AF962))),2))</f>
        <v/>
      </c>
      <c r="L962">
        <f>IF(OR($K962="",$K962="—"),"",IF($T962&lt;=60,IF($K962&lt;-3,"Magreza acentuada",IF($K962&lt;-2,"Magreza",IF($K962&lt;=1,"Eutrofia",IF($K962&lt;=2,"Risco de sobrepeso",IF($K962&lt;=3,"Sobrepeso","Obesidade"))))),IF($K962&lt;-3,"Magreza acentuada",IF($K962&lt;-2,"Magreza",IF($K962&lt;=1,"Eutrofia",IF($K962&lt;=2,"Sobrepeso",IF($K962&lt;=3,"Obesidade","Obesidade grave")))))))</f>
        <v/>
      </c>
      <c r="M962" s="12">
        <f>IF(OR($S962="",$V962="",$T962="",$T962&lt;0,$T962&gt;228,$AG962=""),"—",ROUND(IF($AG962=0,LN($V962/$AH962)/$AI962,((($V962/$AH962)^$AG962)-1)/($AG962*$AI962)),2))</f>
        <v/>
      </c>
      <c r="N962">
        <f>IF(OR($M962="",$M962="—"),"",IF($M962&lt;-3,"Muito baixa",IF($M962&lt;-2,"Baixa","Adequada")))</f>
        <v/>
      </c>
      <c r="O962" s="12">
        <f>IF(OR($S962="",$F962="",$T962="",$T962&lt;0,$T962&gt;120,$AJ962=""),"—",ROUND(IF(ABS($AM962)&lt;=3,$AM962,IF($AM962&gt;3,3+($F962-$AO962)/($AO962-$AN962),-3+($F962-$AQ962)/($AP962-$AQ962))),2))</f>
        <v/>
      </c>
      <c r="P962">
        <f>IF(OR($O962="",$O962="—"),"",IF($O962&lt;-3,"Muito baixo",IF($O962&lt;-2,"Baixo",IF($O962&lt;=2,"Adequado","Elevado"))))</f>
        <v/>
      </c>
      <c r="Q962" s="12">
        <f>IF(OR($S962="",$F962="",$T962="",$T962&lt;0,$T962&gt;60,$AR962=""),"—",ROUND(IF(ABS($AU962)&lt;=3,$AU962,IF($AU962&gt;3,3+($F962-$AW962)/($AW962-$AV962),-3+($F962-$AY962)/($AX962-$AY962))),2))</f>
        <v/>
      </c>
      <c r="R962">
        <f>IF(OR($Q962="",$Q962="—"),"",IF($Q962&lt;-3,"Magreza acentuada",IF($Q962&lt;-2,"Magreza",IF($Q962&lt;=1,"Eutrofia",IF($Q962&lt;=2,"Risco de sobrepeso",IF($Q962&lt;=3,"Sobrepeso","Obesidade"))))))</f>
        <v/>
      </c>
      <c r="S962">
        <f>IF($C962="","",IF(UPPER(LEFT($C962,1))="M",1,IF(UPPER(LEFT($C962,1))="F",2,"")))</f>
        <v/>
      </c>
      <c r="T962">
        <f>IF(OR($D962="",$E962=""),"",DATEDIF($D962,$E962,"m"))</f>
        <v/>
      </c>
      <c r="U962">
        <f>IF(OR($D962="",$E962=""),"",$E962-$D962)</f>
        <v/>
      </c>
      <c r="V962">
        <f>IF(OR($G962="",$T962=""),"",IF($T962&lt;24,IF(LEFT(LOWER($H962),4)="em p",$G962+0.7,$G962),IF(LEFT(LOWER($H962),4)="deit",$G962-0.7,$G962)))</f>
        <v/>
      </c>
      <c r="W962">
        <f>IF(OR($S962="",$T962=""),"",$S962*1000000+IF($T962&lt;=60,$U962,$T962))</f>
        <v/>
      </c>
      <c r="X962">
        <f>IF(OR($S962="",$V962="",$T962&gt;60,$T962=""),"",$S962*1000000+ROUND($V962*10,0))</f>
        <v/>
      </c>
      <c r="Y962">
        <f>IF($W962="","",IFERROR(INDEX(IF($T962&lt;=60,imc05_l,imc519_l),MATCH($W962,IF($T962&lt;=60,imc05_k,imc519_k),1)),""))</f>
        <v/>
      </c>
      <c r="Z962">
        <f>IF($W962="","",IFERROR(INDEX(IF($T962&lt;=60,imc05_m,imc519_m),MATCH($W962,IF($T962&lt;=60,imc05_k,imc519_k),1)),""))</f>
        <v/>
      </c>
      <c r="AA962">
        <f>IF($W962="","",IFERROR(INDEX(IF($T962&lt;=60,imc05_s,imc519_s),MATCH($W962,IF($T962&lt;=60,imc05_k,imc519_k),1)),""))</f>
        <v/>
      </c>
      <c r="AB962">
        <f>IF($Y962="","",IF($Y962=0,LN($J962/$Z962)/$AA962,((($J962/$Z962)^$Y962)-1)/($Y962*$AA962)))</f>
        <v/>
      </c>
      <c r="AC962">
        <f>IF($Y962="","",IF($Y962=0,$Z962*EXP($AA962*2),$Z962*(1+$Y962*$AA962*2)^(1/$Y962)))</f>
        <v/>
      </c>
      <c r="AD962">
        <f>IF($Y962="","",IF($Y962=0,$Z962*EXP($AA962*3),$Z962*(1+$Y962*$AA962*3)^(1/$Y962)))</f>
        <v/>
      </c>
      <c r="AE962">
        <f>IF($Y962="","",IF($Y962=0,$Z962*EXP($AA962*-2),$Z962*(1+$Y962*$AA962*-2)^(1/$Y962)))</f>
        <v/>
      </c>
      <c r="AF962">
        <f>IF($Y962="","",IF($Y962=0,$Z962*EXP($AA962*-3),$Z962*(1+$Y962*$AA962*-3)^(1/$Y962)))</f>
        <v/>
      </c>
      <c r="AG962">
        <f>IF($W962="","",IFERROR(INDEX(IF($T962&lt;=60,est05_l,est519_l),MATCH($W962,IF($T962&lt;=60,est05_k,est519_k),1)),""))</f>
        <v/>
      </c>
      <c r="AH962">
        <f>IF($W962="","",IFERROR(INDEX(IF($T962&lt;=60,est05_m,est519_m),MATCH($W962,IF($T962&lt;=60,est05_k,est519_k),1)),""))</f>
        <v/>
      </c>
      <c r="AI962">
        <f>IF($W962="","",IFERROR(INDEX(IF($T962&lt;=60,est05_s,est519_s),MATCH($W962,IF($T962&lt;=60,est05_k,est519_k),1)),""))</f>
        <v/>
      </c>
      <c r="AJ962">
        <f>IF($W962="","",IFERROR(INDEX(IF($T962&lt;=60,peso05_l,peso510_l),MATCH($W962,IF($T962&lt;=60,peso05_k,peso510_k),1)),""))</f>
        <v/>
      </c>
      <c r="AK962">
        <f>IF($W962="","",IFERROR(INDEX(IF($T962&lt;=60,peso05_m,peso510_m),MATCH($W962,IF($T962&lt;=60,peso05_k,peso510_k),1)),""))</f>
        <v/>
      </c>
      <c r="AL962">
        <f>IF($W962="","",IFERROR(INDEX(IF($T962&lt;=60,peso05_s,peso510_s),MATCH($W962,IF($T962&lt;=60,peso05_k,peso510_k),1)),""))</f>
        <v/>
      </c>
      <c r="AM962">
        <f>IF($AJ962="","",IF($AJ962=0,LN($F962/$AK962)/$AL962,((($F962/$AK962)^$AJ962)-1)/($AJ962*$AL962)))</f>
        <v/>
      </c>
      <c r="AN962">
        <f>IF($AJ962="","",IF($AJ962=0,$AK962*EXP($AL962*2),$AK962*(1+$AJ962*$AL962*2)^(1/$AJ962)))</f>
        <v/>
      </c>
      <c r="AO962">
        <f>IF($AJ962="","",IF($AJ962=0,$AK962*EXP($AL962*3),$AK962*(1+$AJ962*$AL962*3)^(1/$AJ962)))</f>
        <v/>
      </c>
      <c r="AP962">
        <f>IF($AJ962="","",IF($AJ962=0,$AK962*EXP($AL962*-2),$AK962*(1+$AJ962*$AL962*-2)^(1/$AJ962)))</f>
        <v/>
      </c>
      <c r="AQ962">
        <f>IF($AJ962="","",IF($AJ962=0,$AK962*EXP($AL962*-3),$AK962*(1+$AJ962*$AL962*-3)^(1/$AJ962)))</f>
        <v/>
      </c>
      <c r="AR962">
        <f>IF(OR($X962="",$T962&gt;60),"",IFERROR(INDEX(IF($T962&lt;24,pcomp_l,palt_l),MATCH($X962,IF($T962&lt;24,pcomp_k,palt_k),1)),""))</f>
        <v/>
      </c>
      <c r="AS962">
        <f>IF(OR($X962="",$T962&gt;60),"",IFERROR(INDEX(IF($T962&lt;24,pcomp_m,palt_m),MATCH($X962,IF($T962&lt;24,pcomp_k,palt_k),1)),""))</f>
        <v/>
      </c>
      <c r="AT962">
        <f>IF(OR($X962="",$T962&gt;60),"",IFERROR(INDEX(IF($T962&lt;24,pcomp_s,palt_s),MATCH($X962,IF($T962&lt;24,pcomp_k,palt_k),1)),""))</f>
        <v/>
      </c>
      <c r="AU962">
        <f>IF($AR962="","",IF($AR962=0,LN($F962/$AS962)/$AT962,((($F962/$AS962)^$AR962)-1)/($AR962*$AT962)))</f>
        <v/>
      </c>
      <c r="AV962">
        <f>IF($AR962="","",IF($AR962=0,$AS962*EXP($AT962*2),$AS962*(1+$AR962*$AT962*2)^(1/$AR962)))</f>
        <v/>
      </c>
      <c r="AW962">
        <f>IF($AR962="","",IF($AR962=0,$AS962*EXP($AT962*3),$AS962*(1+$AR962*$AT962*3)^(1/$AR962)))</f>
        <v/>
      </c>
      <c r="AX962">
        <f>IF($AR962="","",IF($AR962=0,$AS962*EXP($AT962*-2),$AS962*(1+$AR962*$AT962*-2)^(1/$AR962)))</f>
        <v/>
      </c>
      <c r="AY962">
        <f>IF($AR962="","",IF($AR962=0,$AS962*EXP($AT962*-3),$AS962*(1+$AR962*$AT962*-3)^(1/$AR962)))</f>
        <v/>
      </c>
      <c r="AZ962">
        <f>IF(OR($A962="",$A962&lt;&gt;Ficha!$C$4),"",COUNTIF($A$2:$A962,Ficha!$C$4))</f>
        <v/>
      </c>
    </row>
    <row r="963">
      <c r="A963" s="8">
        <f>IF(INDEX(Banco!$A:$A,ROW())="","",INDEX(Banco!$A:$A,ROW()))</f>
        <v/>
      </c>
      <c r="B963" s="8">
        <f>IF(INDEX(Banco!$B:$B,ROW())="","",INDEX(Banco!$B:$B,ROW()))</f>
        <v/>
      </c>
      <c r="C963" s="8">
        <f>IF(INDEX(Banco!$C:$C,ROW())="","",INDEX(Banco!$C:$C,ROW()))</f>
        <v/>
      </c>
      <c r="D963" s="9">
        <f>IF(INDEX(Banco!$D:$D,ROW())="","",INDEX(Banco!$D:$D,ROW()))</f>
        <v/>
      </c>
      <c r="E963" s="9">
        <f>IF(INDEX(Banco!$E:$E,ROW())="","",INDEX(Banco!$E:$E,ROW()))</f>
        <v/>
      </c>
      <c r="F963" s="10">
        <f>IF(INDEX(Banco!$F:$F,ROW())="","",INDEX(Banco!$F:$F,ROW()))</f>
        <v/>
      </c>
      <c r="G963" s="10">
        <f>IF(INDEX(Banco!$G:$G,ROW())="","",INDEX(Banco!$G:$G,ROW()))</f>
        <v/>
      </c>
      <c r="H963" s="8">
        <f>IF(INDEX(Banco!$H:$H,ROW())="","",INDEX(Banco!$H:$H,ROW()))</f>
        <v/>
      </c>
      <c r="I963">
        <f>IF($T963="","",INT($T963/12)&amp;"a "&amp;MOD($T963,12)&amp;"m")</f>
        <v/>
      </c>
      <c r="J963" s="11">
        <f>IF(OR($F963="",$G963=""),"",ROUND($F963/($G963/100)^2,2))</f>
        <v/>
      </c>
      <c r="K963" s="12">
        <f>IF(OR($S963="",$J963="",$T963="",$T963&lt;0,$T963&gt;228,$Y963=""),"—",ROUND(IF(ABS($AB963)&lt;=3,$AB963,IF($AB963&gt;3,3+($J963-$AD963)/($AD963-$AC963),-3+($J963-$AF963)/($AE963-$AF963))),2))</f>
        <v/>
      </c>
      <c r="L963">
        <f>IF(OR($K963="",$K963="—"),"",IF($T963&lt;=60,IF($K963&lt;-3,"Magreza acentuada",IF($K963&lt;-2,"Magreza",IF($K963&lt;=1,"Eutrofia",IF($K963&lt;=2,"Risco de sobrepeso",IF($K963&lt;=3,"Sobrepeso","Obesidade"))))),IF($K963&lt;-3,"Magreza acentuada",IF($K963&lt;-2,"Magreza",IF($K963&lt;=1,"Eutrofia",IF($K963&lt;=2,"Sobrepeso",IF($K963&lt;=3,"Obesidade","Obesidade grave")))))))</f>
        <v/>
      </c>
      <c r="M963" s="12">
        <f>IF(OR($S963="",$V963="",$T963="",$T963&lt;0,$T963&gt;228,$AG963=""),"—",ROUND(IF($AG963=0,LN($V963/$AH963)/$AI963,((($V963/$AH963)^$AG963)-1)/($AG963*$AI963)),2))</f>
        <v/>
      </c>
      <c r="N963">
        <f>IF(OR($M963="",$M963="—"),"",IF($M963&lt;-3,"Muito baixa",IF($M963&lt;-2,"Baixa","Adequada")))</f>
        <v/>
      </c>
      <c r="O963" s="12">
        <f>IF(OR($S963="",$F963="",$T963="",$T963&lt;0,$T963&gt;120,$AJ963=""),"—",ROUND(IF(ABS($AM963)&lt;=3,$AM963,IF($AM963&gt;3,3+($F963-$AO963)/($AO963-$AN963),-3+($F963-$AQ963)/($AP963-$AQ963))),2))</f>
        <v/>
      </c>
      <c r="P963">
        <f>IF(OR($O963="",$O963="—"),"",IF($O963&lt;-3,"Muito baixo",IF($O963&lt;-2,"Baixo",IF($O963&lt;=2,"Adequado","Elevado"))))</f>
        <v/>
      </c>
      <c r="Q963" s="12">
        <f>IF(OR($S963="",$F963="",$T963="",$T963&lt;0,$T963&gt;60,$AR963=""),"—",ROUND(IF(ABS($AU963)&lt;=3,$AU963,IF($AU963&gt;3,3+($F963-$AW963)/($AW963-$AV963),-3+($F963-$AY963)/($AX963-$AY963))),2))</f>
        <v/>
      </c>
      <c r="R963">
        <f>IF(OR($Q963="",$Q963="—"),"",IF($Q963&lt;-3,"Magreza acentuada",IF($Q963&lt;-2,"Magreza",IF($Q963&lt;=1,"Eutrofia",IF($Q963&lt;=2,"Risco de sobrepeso",IF($Q963&lt;=3,"Sobrepeso","Obesidade"))))))</f>
        <v/>
      </c>
      <c r="S963">
        <f>IF($C963="","",IF(UPPER(LEFT($C963,1))="M",1,IF(UPPER(LEFT($C963,1))="F",2,"")))</f>
        <v/>
      </c>
      <c r="T963">
        <f>IF(OR($D963="",$E963=""),"",DATEDIF($D963,$E963,"m"))</f>
        <v/>
      </c>
      <c r="U963">
        <f>IF(OR($D963="",$E963=""),"",$E963-$D963)</f>
        <v/>
      </c>
      <c r="V963">
        <f>IF(OR($G963="",$T963=""),"",IF($T963&lt;24,IF(LEFT(LOWER($H963),4)="em p",$G963+0.7,$G963),IF(LEFT(LOWER($H963),4)="deit",$G963-0.7,$G963)))</f>
        <v/>
      </c>
      <c r="W963">
        <f>IF(OR($S963="",$T963=""),"",$S963*1000000+IF($T963&lt;=60,$U963,$T963))</f>
        <v/>
      </c>
      <c r="X963">
        <f>IF(OR($S963="",$V963="",$T963&gt;60,$T963=""),"",$S963*1000000+ROUND($V963*10,0))</f>
        <v/>
      </c>
      <c r="Y963">
        <f>IF($W963="","",IFERROR(INDEX(IF($T963&lt;=60,imc05_l,imc519_l),MATCH($W963,IF($T963&lt;=60,imc05_k,imc519_k),1)),""))</f>
        <v/>
      </c>
      <c r="Z963">
        <f>IF($W963="","",IFERROR(INDEX(IF($T963&lt;=60,imc05_m,imc519_m),MATCH($W963,IF($T963&lt;=60,imc05_k,imc519_k),1)),""))</f>
        <v/>
      </c>
      <c r="AA963">
        <f>IF($W963="","",IFERROR(INDEX(IF($T963&lt;=60,imc05_s,imc519_s),MATCH($W963,IF($T963&lt;=60,imc05_k,imc519_k),1)),""))</f>
        <v/>
      </c>
      <c r="AB963">
        <f>IF($Y963="","",IF($Y963=0,LN($J963/$Z963)/$AA963,((($J963/$Z963)^$Y963)-1)/($Y963*$AA963)))</f>
        <v/>
      </c>
      <c r="AC963">
        <f>IF($Y963="","",IF($Y963=0,$Z963*EXP($AA963*2),$Z963*(1+$Y963*$AA963*2)^(1/$Y963)))</f>
        <v/>
      </c>
      <c r="AD963">
        <f>IF($Y963="","",IF($Y963=0,$Z963*EXP($AA963*3),$Z963*(1+$Y963*$AA963*3)^(1/$Y963)))</f>
        <v/>
      </c>
      <c r="AE963">
        <f>IF($Y963="","",IF($Y963=0,$Z963*EXP($AA963*-2),$Z963*(1+$Y963*$AA963*-2)^(1/$Y963)))</f>
        <v/>
      </c>
      <c r="AF963">
        <f>IF($Y963="","",IF($Y963=0,$Z963*EXP($AA963*-3),$Z963*(1+$Y963*$AA963*-3)^(1/$Y963)))</f>
        <v/>
      </c>
      <c r="AG963">
        <f>IF($W963="","",IFERROR(INDEX(IF($T963&lt;=60,est05_l,est519_l),MATCH($W963,IF($T963&lt;=60,est05_k,est519_k),1)),""))</f>
        <v/>
      </c>
      <c r="AH963">
        <f>IF($W963="","",IFERROR(INDEX(IF($T963&lt;=60,est05_m,est519_m),MATCH($W963,IF($T963&lt;=60,est05_k,est519_k),1)),""))</f>
        <v/>
      </c>
      <c r="AI963">
        <f>IF($W963="","",IFERROR(INDEX(IF($T963&lt;=60,est05_s,est519_s),MATCH($W963,IF($T963&lt;=60,est05_k,est519_k),1)),""))</f>
        <v/>
      </c>
      <c r="AJ963">
        <f>IF($W963="","",IFERROR(INDEX(IF($T963&lt;=60,peso05_l,peso510_l),MATCH($W963,IF($T963&lt;=60,peso05_k,peso510_k),1)),""))</f>
        <v/>
      </c>
      <c r="AK963">
        <f>IF($W963="","",IFERROR(INDEX(IF($T963&lt;=60,peso05_m,peso510_m),MATCH($W963,IF($T963&lt;=60,peso05_k,peso510_k),1)),""))</f>
        <v/>
      </c>
      <c r="AL963">
        <f>IF($W963="","",IFERROR(INDEX(IF($T963&lt;=60,peso05_s,peso510_s),MATCH($W963,IF($T963&lt;=60,peso05_k,peso510_k),1)),""))</f>
        <v/>
      </c>
      <c r="AM963">
        <f>IF($AJ963="","",IF($AJ963=0,LN($F963/$AK963)/$AL963,((($F963/$AK963)^$AJ963)-1)/($AJ963*$AL963)))</f>
        <v/>
      </c>
      <c r="AN963">
        <f>IF($AJ963="","",IF($AJ963=0,$AK963*EXP($AL963*2),$AK963*(1+$AJ963*$AL963*2)^(1/$AJ963)))</f>
        <v/>
      </c>
      <c r="AO963">
        <f>IF($AJ963="","",IF($AJ963=0,$AK963*EXP($AL963*3),$AK963*(1+$AJ963*$AL963*3)^(1/$AJ963)))</f>
        <v/>
      </c>
      <c r="AP963">
        <f>IF($AJ963="","",IF($AJ963=0,$AK963*EXP($AL963*-2),$AK963*(1+$AJ963*$AL963*-2)^(1/$AJ963)))</f>
        <v/>
      </c>
      <c r="AQ963">
        <f>IF($AJ963="","",IF($AJ963=0,$AK963*EXP($AL963*-3),$AK963*(1+$AJ963*$AL963*-3)^(1/$AJ963)))</f>
        <v/>
      </c>
      <c r="AR963">
        <f>IF(OR($X963="",$T963&gt;60),"",IFERROR(INDEX(IF($T963&lt;24,pcomp_l,palt_l),MATCH($X963,IF($T963&lt;24,pcomp_k,palt_k),1)),""))</f>
        <v/>
      </c>
      <c r="AS963">
        <f>IF(OR($X963="",$T963&gt;60),"",IFERROR(INDEX(IF($T963&lt;24,pcomp_m,palt_m),MATCH($X963,IF($T963&lt;24,pcomp_k,palt_k),1)),""))</f>
        <v/>
      </c>
      <c r="AT963">
        <f>IF(OR($X963="",$T963&gt;60),"",IFERROR(INDEX(IF($T963&lt;24,pcomp_s,palt_s),MATCH($X963,IF($T963&lt;24,pcomp_k,palt_k),1)),""))</f>
        <v/>
      </c>
      <c r="AU963">
        <f>IF($AR963="","",IF($AR963=0,LN($F963/$AS963)/$AT963,((($F963/$AS963)^$AR963)-1)/($AR963*$AT963)))</f>
        <v/>
      </c>
      <c r="AV963">
        <f>IF($AR963="","",IF($AR963=0,$AS963*EXP($AT963*2),$AS963*(1+$AR963*$AT963*2)^(1/$AR963)))</f>
        <v/>
      </c>
      <c r="AW963">
        <f>IF($AR963="","",IF($AR963=0,$AS963*EXP($AT963*3),$AS963*(1+$AR963*$AT963*3)^(1/$AR963)))</f>
        <v/>
      </c>
      <c r="AX963">
        <f>IF($AR963="","",IF($AR963=0,$AS963*EXP($AT963*-2),$AS963*(1+$AR963*$AT963*-2)^(1/$AR963)))</f>
        <v/>
      </c>
      <c r="AY963">
        <f>IF($AR963="","",IF($AR963=0,$AS963*EXP($AT963*-3),$AS963*(1+$AR963*$AT963*-3)^(1/$AR963)))</f>
        <v/>
      </c>
      <c r="AZ963">
        <f>IF(OR($A963="",$A963&lt;&gt;Ficha!$C$4),"",COUNTIF($A$2:$A963,Ficha!$C$4))</f>
        <v/>
      </c>
    </row>
    <row r="964">
      <c r="A964" s="8">
        <f>IF(INDEX(Banco!$A:$A,ROW())="","",INDEX(Banco!$A:$A,ROW()))</f>
        <v/>
      </c>
      <c r="B964" s="8">
        <f>IF(INDEX(Banco!$B:$B,ROW())="","",INDEX(Banco!$B:$B,ROW()))</f>
        <v/>
      </c>
      <c r="C964" s="8">
        <f>IF(INDEX(Banco!$C:$C,ROW())="","",INDEX(Banco!$C:$C,ROW()))</f>
        <v/>
      </c>
      <c r="D964" s="9">
        <f>IF(INDEX(Banco!$D:$D,ROW())="","",INDEX(Banco!$D:$D,ROW()))</f>
        <v/>
      </c>
      <c r="E964" s="9">
        <f>IF(INDEX(Banco!$E:$E,ROW())="","",INDEX(Banco!$E:$E,ROW()))</f>
        <v/>
      </c>
      <c r="F964" s="10">
        <f>IF(INDEX(Banco!$F:$F,ROW())="","",INDEX(Banco!$F:$F,ROW()))</f>
        <v/>
      </c>
      <c r="G964" s="10">
        <f>IF(INDEX(Banco!$G:$G,ROW())="","",INDEX(Banco!$G:$G,ROW()))</f>
        <v/>
      </c>
      <c r="H964" s="8">
        <f>IF(INDEX(Banco!$H:$H,ROW())="","",INDEX(Banco!$H:$H,ROW()))</f>
        <v/>
      </c>
      <c r="I964">
        <f>IF($T964="","",INT($T964/12)&amp;"a "&amp;MOD($T964,12)&amp;"m")</f>
        <v/>
      </c>
      <c r="J964" s="11">
        <f>IF(OR($F964="",$G964=""),"",ROUND($F964/($G964/100)^2,2))</f>
        <v/>
      </c>
      <c r="K964" s="12">
        <f>IF(OR($S964="",$J964="",$T964="",$T964&lt;0,$T964&gt;228,$Y964=""),"—",ROUND(IF(ABS($AB964)&lt;=3,$AB964,IF($AB964&gt;3,3+($J964-$AD964)/($AD964-$AC964),-3+($J964-$AF964)/($AE964-$AF964))),2))</f>
        <v/>
      </c>
      <c r="L964">
        <f>IF(OR($K964="",$K964="—"),"",IF($T964&lt;=60,IF($K964&lt;-3,"Magreza acentuada",IF($K964&lt;-2,"Magreza",IF($K964&lt;=1,"Eutrofia",IF($K964&lt;=2,"Risco de sobrepeso",IF($K964&lt;=3,"Sobrepeso","Obesidade"))))),IF($K964&lt;-3,"Magreza acentuada",IF($K964&lt;-2,"Magreza",IF($K964&lt;=1,"Eutrofia",IF($K964&lt;=2,"Sobrepeso",IF($K964&lt;=3,"Obesidade","Obesidade grave")))))))</f>
        <v/>
      </c>
      <c r="M964" s="12">
        <f>IF(OR($S964="",$V964="",$T964="",$T964&lt;0,$T964&gt;228,$AG964=""),"—",ROUND(IF($AG964=0,LN($V964/$AH964)/$AI964,((($V964/$AH964)^$AG964)-1)/($AG964*$AI964)),2))</f>
        <v/>
      </c>
      <c r="N964">
        <f>IF(OR($M964="",$M964="—"),"",IF($M964&lt;-3,"Muito baixa",IF($M964&lt;-2,"Baixa","Adequada")))</f>
        <v/>
      </c>
      <c r="O964" s="12">
        <f>IF(OR($S964="",$F964="",$T964="",$T964&lt;0,$T964&gt;120,$AJ964=""),"—",ROUND(IF(ABS($AM964)&lt;=3,$AM964,IF($AM964&gt;3,3+($F964-$AO964)/($AO964-$AN964),-3+($F964-$AQ964)/($AP964-$AQ964))),2))</f>
        <v/>
      </c>
      <c r="P964">
        <f>IF(OR($O964="",$O964="—"),"",IF($O964&lt;-3,"Muito baixo",IF($O964&lt;-2,"Baixo",IF($O964&lt;=2,"Adequado","Elevado"))))</f>
        <v/>
      </c>
      <c r="Q964" s="12">
        <f>IF(OR($S964="",$F964="",$T964="",$T964&lt;0,$T964&gt;60,$AR964=""),"—",ROUND(IF(ABS($AU964)&lt;=3,$AU964,IF($AU964&gt;3,3+($F964-$AW964)/($AW964-$AV964),-3+($F964-$AY964)/($AX964-$AY964))),2))</f>
        <v/>
      </c>
      <c r="R964">
        <f>IF(OR($Q964="",$Q964="—"),"",IF($Q964&lt;-3,"Magreza acentuada",IF($Q964&lt;-2,"Magreza",IF($Q964&lt;=1,"Eutrofia",IF($Q964&lt;=2,"Risco de sobrepeso",IF($Q964&lt;=3,"Sobrepeso","Obesidade"))))))</f>
        <v/>
      </c>
      <c r="S964">
        <f>IF($C964="","",IF(UPPER(LEFT($C964,1))="M",1,IF(UPPER(LEFT($C964,1))="F",2,"")))</f>
        <v/>
      </c>
      <c r="T964">
        <f>IF(OR($D964="",$E964=""),"",DATEDIF($D964,$E964,"m"))</f>
        <v/>
      </c>
      <c r="U964">
        <f>IF(OR($D964="",$E964=""),"",$E964-$D964)</f>
        <v/>
      </c>
      <c r="V964">
        <f>IF(OR($G964="",$T964=""),"",IF($T964&lt;24,IF(LEFT(LOWER($H964),4)="em p",$G964+0.7,$G964),IF(LEFT(LOWER($H964),4)="deit",$G964-0.7,$G964)))</f>
        <v/>
      </c>
      <c r="W964">
        <f>IF(OR($S964="",$T964=""),"",$S964*1000000+IF($T964&lt;=60,$U964,$T964))</f>
        <v/>
      </c>
      <c r="X964">
        <f>IF(OR($S964="",$V964="",$T964&gt;60,$T964=""),"",$S964*1000000+ROUND($V964*10,0))</f>
        <v/>
      </c>
      <c r="Y964">
        <f>IF($W964="","",IFERROR(INDEX(IF($T964&lt;=60,imc05_l,imc519_l),MATCH($W964,IF($T964&lt;=60,imc05_k,imc519_k),1)),""))</f>
        <v/>
      </c>
      <c r="Z964">
        <f>IF($W964="","",IFERROR(INDEX(IF($T964&lt;=60,imc05_m,imc519_m),MATCH($W964,IF($T964&lt;=60,imc05_k,imc519_k),1)),""))</f>
        <v/>
      </c>
      <c r="AA964">
        <f>IF($W964="","",IFERROR(INDEX(IF($T964&lt;=60,imc05_s,imc519_s),MATCH($W964,IF($T964&lt;=60,imc05_k,imc519_k),1)),""))</f>
        <v/>
      </c>
      <c r="AB964">
        <f>IF($Y964="","",IF($Y964=0,LN($J964/$Z964)/$AA964,((($J964/$Z964)^$Y964)-1)/($Y964*$AA964)))</f>
        <v/>
      </c>
      <c r="AC964">
        <f>IF($Y964="","",IF($Y964=0,$Z964*EXP($AA964*2),$Z964*(1+$Y964*$AA964*2)^(1/$Y964)))</f>
        <v/>
      </c>
      <c r="AD964">
        <f>IF($Y964="","",IF($Y964=0,$Z964*EXP($AA964*3),$Z964*(1+$Y964*$AA964*3)^(1/$Y964)))</f>
        <v/>
      </c>
      <c r="AE964">
        <f>IF($Y964="","",IF($Y964=0,$Z964*EXP($AA964*-2),$Z964*(1+$Y964*$AA964*-2)^(1/$Y964)))</f>
        <v/>
      </c>
      <c r="AF964">
        <f>IF($Y964="","",IF($Y964=0,$Z964*EXP($AA964*-3),$Z964*(1+$Y964*$AA964*-3)^(1/$Y964)))</f>
        <v/>
      </c>
      <c r="AG964">
        <f>IF($W964="","",IFERROR(INDEX(IF($T964&lt;=60,est05_l,est519_l),MATCH($W964,IF($T964&lt;=60,est05_k,est519_k),1)),""))</f>
        <v/>
      </c>
      <c r="AH964">
        <f>IF($W964="","",IFERROR(INDEX(IF($T964&lt;=60,est05_m,est519_m),MATCH($W964,IF($T964&lt;=60,est05_k,est519_k),1)),""))</f>
        <v/>
      </c>
      <c r="AI964">
        <f>IF($W964="","",IFERROR(INDEX(IF($T964&lt;=60,est05_s,est519_s),MATCH($W964,IF($T964&lt;=60,est05_k,est519_k),1)),""))</f>
        <v/>
      </c>
      <c r="AJ964">
        <f>IF($W964="","",IFERROR(INDEX(IF($T964&lt;=60,peso05_l,peso510_l),MATCH($W964,IF($T964&lt;=60,peso05_k,peso510_k),1)),""))</f>
        <v/>
      </c>
      <c r="AK964">
        <f>IF($W964="","",IFERROR(INDEX(IF($T964&lt;=60,peso05_m,peso510_m),MATCH($W964,IF($T964&lt;=60,peso05_k,peso510_k),1)),""))</f>
        <v/>
      </c>
      <c r="AL964">
        <f>IF($W964="","",IFERROR(INDEX(IF($T964&lt;=60,peso05_s,peso510_s),MATCH($W964,IF($T964&lt;=60,peso05_k,peso510_k),1)),""))</f>
        <v/>
      </c>
      <c r="AM964">
        <f>IF($AJ964="","",IF($AJ964=0,LN($F964/$AK964)/$AL964,((($F964/$AK964)^$AJ964)-1)/($AJ964*$AL964)))</f>
        <v/>
      </c>
      <c r="AN964">
        <f>IF($AJ964="","",IF($AJ964=0,$AK964*EXP($AL964*2),$AK964*(1+$AJ964*$AL964*2)^(1/$AJ964)))</f>
        <v/>
      </c>
      <c r="AO964">
        <f>IF($AJ964="","",IF($AJ964=0,$AK964*EXP($AL964*3),$AK964*(1+$AJ964*$AL964*3)^(1/$AJ964)))</f>
        <v/>
      </c>
      <c r="AP964">
        <f>IF($AJ964="","",IF($AJ964=0,$AK964*EXP($AL964*-2),$AK964*(1+$AJ964*$AL964*-2)^(1/$AJ964)))</f>
        <v/>
      </c>
      <c r="AQ964">
        <f>IF($AJ964="","",IF($AJ964=0,$AK964*EXP($AL964*-3),$AK964*(1+$AJ964*$AL964*-3)^(1/$AJ964)))</f>
        <v/>
      </c>
      <c r="AR964">
        <f>IF(OR($X964="",$T964&gt;60),"",IFERROR(INDEX(IF($T964&lt;24,pcomp_l,palt_l),MATCH($X964,IF($T964&lt;24,pcomp_k,palt_k),1)),""))</f>
        <v/>
      </c>
      <c r="AS964">
        <f>IF(OR($X964="",$T964&gt;60),"",IFERROR(INDEX(IF($T964&lt;24,pcomp_m,palt_m),MATCH($X964,IF($T964&lt;24,pcomp_k,palt_k),1)),""))</f>
        <v/>
      </c>
      <c r="AT964">
        <f>IF(OR($X964="",$T964&gt;60),"",IFERROR(INDEX(IF($T964&lt;24,pcomp_s,palt_s),MATCH($X964,IF($T964&lt;24,pcomp_k,palt_k),1)),""))</f>
        <v/>
      </c>
      <c r="AU964">
        <f>IF($AR964="","",IF($AR964=0,LN($F964/$AS964)/$AT964,((($F964/$AS964)^$AR964)-1)/($AR964*$AT964)))</f>
        <v/>
      </c>
      <c r="AV964">
        <f>IF($AR964="","",IF($AR964=0,$AS964*EXP($AT964*2),$AS964*(1+$AR964*$AT964*2)^(1/$AR964)))</f>
        <v/>
      </c>
      <c r="AW964">
        <f>IF($AR964="","",IF($AR964=0,$AS964*EXP($AT964*3),$AS964*(1+$AR964*$AT964*3)^(1/$AR964)))</f>
        <v/>
      </c>
      <c r="AX964">
        <f>IF($AR964="","",IF($AR964=0,$AS964*EXP($AT964*-2),$AS964*(1+$AR964*$AT964*-2)^(1/$AR964)))</f>
        <v/>
      </c>
      <c r="AY964">
        <f>IF($AR964="","",IF($AR964=0,$AS964*EXP($AT964*-3),$AS964*(1+$AR964*$AT964*-3)^(1/$AR964)))</f>
        <v/>
      </c>
      <c r="AZ964">
        <f>IF(OR($A964="",$A964&lt;&gt;Ficha!$C$4),"",COUNTIF($A$2:$A964,Ficha!$C$4))</f>
        <v/>
      </c>
    </row>
    <row r="965">
      <c r="A965" s="8">
        <f>IF(INDEX(Banco!$A:$A,ROW())="","",INDEX(Banco!$A:$A,ROW()))</f>
        <v/>
      </c>
      <c r="B965" s="8">
        <f>IF(INDEX(Banco!$B:$B,ROW())="","",INDEX(Banco!$B:$B,ROW()))</f>
        <v/>
      </c>
      <c r="C965" s="8">
        <f>IF(INDEX(Banco!$C:$C,ROW())="","",INDEX(Banco!$C:$C,ROW()))</f>
        <v/>
      </c>
      <c r="D965" s="9">
        <f>IF(INDEX(Banco!$D:$D,ROW())="","",INDEX(Banco!$D:$D,ROW()))</f>
        <v/>
      </c>
      <c r="E965" s="9">
        <f>IF(INDEX(Banco!$E:$E,ROW())="","",INDEX(Banco!$E:$E,ROW()))</f>
        <v/>
      </c>
      <c r="F965" s="10">
        <f>IF(INDEX(Banco!$F:$F,ROW())="","",INDEX(Banco!$F:$F,ROW()))</f>
        <v/>
      </c>
      <c r="G965" s="10">
        <f>IF(INDEX(Banco!$G:$G,ROW())="","",INDEX(Banco!$G:$G,ROW()))</f>
        <v/>
      </c>
      <c r="H965" s="8">
        <f>IF(INDEX(Banco!$H:$H,ROW())="","",INDEX(Banco!$H:$H,ROW()))</f>
        <v/>
      </c>
      <c r="I965">
        <f>IF($T965="","",INT($T965/12)&amp;"a "&amp;MOD($T965,12)&amp;"m")</f>
        <v/>
      </c>
      <c r="J965" s="11">
        <f>IF(OR($F965="",$G965=""),"",ROUND($F965/($G965/100)^2,2))</f>
        <v/>
      </c>
      <c r="K965" s="12">
        <f>IF(OR($S965="",$J965="",$T965="",$T965&lt;0,$T965&gt;228,$Y965=""),"—",ROUND(IF(ABS($AB965)&lt;=3,$AB965,IF($AB965&gt;3,3+($J965-$AD965)/($AD965-$AC965),-3+($J965-$AF965)/($AE965-$AF965))),2))</f>
        <v/>
      </c>
      <c r="L965">
        <f>IF(OR($K965="",$K965="—"),"",IF($T965&lt;=60,IF($K965&lt;-3,"Magreza acentuada",IF($K965&lt;-2,"Magreza",IF($K965&lt;=1,"Eutrofia",IF($K965&lt;=2,"Risco de sobrepeso",IF($K965&lt;=3,"Sobrepeso","Obesidade"))))),IF($K965&lt;-3,"Magreza acentuada",IF($K965&lt;-2,"Magreza",IF($K965&lt;=1,"Eutrofia",IF($K965&lt;=2,"Sobrepeso",IF($K965&lt;=3,"Obesidade","Obesidade grave")))))))</f>
        <v/>
      </c>
      <c r="M965" s="12">
        <f>IF(OR($S965="",$V965="",$T965="",$T965&lt;0,$T965&gt;228,$AG965=""),"—",ROUND(IF($AG965=0,LN($V965/$AH965)/$AI965,((($V965/$AH965)^$AG965)-1)/($AG965*$AI965)),2))</f>
        <v/>
      </c>
      <c r="N965">
        <f>IF(OR($M965="",$M965="—"),"",IF($M965&lt;-3,"Muito baixa",IF($M965&lt;-2,"Baixa","Adequada")))</f>
        <v/>
      </c>
      <c r="O965" s="12">
        <f>IF(OR($S965="",$F965="",$T965="",$T965&lt;0,$T965&gt;120,$AJ965=""),"—",ROUND(IF(ABS($AM965)&lt;=3,$AM965,IF($AM965&gt;3,3+($F965-$AO965)/($AO965-$AN965),-3+($F965-$AQ965)/($AP965-$AQ965))),2))</f>
        <v/>
      </c>
      <c r="P965">
        <f>IF(OR($O965="",$O965="—"),"",IF($O965&lt;-3,"Muito baixo",IF($O965&lt;-2,"Baixo",IF($O965&lt;=2,"Adequado","Elevado"))))</f>
        <v/>
      </c>
      <c r="Q965" s="12">
        <f>IF(OR($S965="",$F965="",$T965="",$T965&lt;0,$T965&gt;60,$AR965=""),"—",ROUND(IF(ABS($AU965)&lt;=3,$AU965,IF($AU965&gt;3,3+($F965-$AW965)/($AW965-$AV965),-3+($F965-$AY965)/($AX965-$AY965))),2))</f>
        <v/>
      </c>
      <c r="R965">
        <f>IF(OR($Q965="",$Q965="—"),"",IF($Q965&lt;-3,"Magreza acentuada",IF($Q965&lt;-2,"Magreza",IF($Q965&lt;=1,"Eutrofia",IF($Q965&lt;=2,"Risco de sobrepeso",IF($Q965&lt;=3,"Sobrepeso","Obesidade"))))))</f>
        <v/>
      </c>
      <c r="S965">
        <f>IF($C965="","",IF(UPPER(LEFT($C965,1))="M",1,IF(UPPER(LEFT($C965,1))="F",2,"")))</f>
        <v/>
      </c>
      <c r="T965">
        <f>IF(OR($D965="",$E965=""),"",DATEDIF($D965,$E965,"m"))</f>
        <v/>
      </c>
      <c r="U965">
        <f>IF(OR($D965="",$E965=""),"",$E965-$D965)</f>
        <v/>
      </c>
      <c r="V965">
        <f>IF(OR($G965="",$T965=""),"",IF($T965&lt;24,IF(LEFT(LOWER($H965),4)="em p",$G965+0.7,$G965),IF(LEFT(LOWER($H965),4)="deit",$G965-0.7,$G965)))</f>
        <v/>
      </c>
      <c r="W965">
        <f>IF(OR($S965="",$T965=""),"",$S965*1000000+IF($T965&lt;=60,$U965,$T965))</f>
        <v/>
      </c>
      <c r="X965">
        <f>IF(OR($S965="",$V965="",$T965&gt;60,$T965=""),"",$S965*1000000+ROUND($V965*10,0))</f>
        <v/>
      </c>
      <c r="Y965">
        <f>IF($W965="","",IFERROR(INDEX(IF($T965&lt;=60,imc05_l,imc519_l),MATCH($W965,IF($T965&lt;=60,imc05_k,imc519_k),1)),""))</f>
        <v/>
      </c>
      <c r="Z965">
        <f>IF($W965="","",IFERROR(INDEX(IF($T965&lt;=60,imc05_m,imc519_m),MATCH($W965,IF($T965&lt;=60,imc05_k,imc519_k),1)),""))</f>
        <v/>
      </c>
      <c r="AA965">
        <f>IF($W965="","",IFERROR(INDEX(IF($T965&lt;=60,imc05_s,imc519_s),MATCH($W965,IF($T965&lt;=60,imc05_k,imc519_k),1)),""))</f>
        <v/>
      </c>
      <c r="AB965">
        <f>IF($Y965="","",IF($Y965=0,LN($J965/$Z965)/$AA965,((($J965/$Z965)^$Y965)-1)/($Y965*$AA965)))</f>
        <v/>
      </c>
      <c r="AC965">
        <f>IF($Y965="","",IF($Y965=0,$Z965*EXP($AA965*2),$Z965*(1+$Y965*$AA965*2)^(1/$Y965)))</f>
        <v/>
      </c>
      <c r="AD965">
        <f>IF($Y965="","",IF($Y965=0,$Z965*EXP($AA965*3),$Z965*(1+$Y965*$AA965*3)^(1/$Y965)))</f>
        <v/>
      </c>
      <c r="AE965">
        <f>IF($Y965="","",IF($Y965=0,$Z965*EXP($AA965*-2),$Z965*(1+$Y965*$AA965*-2)^(1/$Y965)))</f>
        <v/>
      </c>
      <c r="AF965">
        <f>IF($Y965="","",IF($Y965=0,$Z965*EXP($AA965*-3),$Z965*(1+$Y965*$AA965*-3)^(1/$Y965)))</f>
        <v/>
      </c>
      <c r="AG965">
        <f>IF($W965="","",IFERROR(INDEX(IF($T965&lt;=60,est05_l,est519_l),MATCH($W965,IF($T965&lt;=60,est05_k,est519_k),1)),""))</f>
        <v/>
      </c>
      <c r="AH965">
        <f>IF($W965="","",IFERROR(INDEX(IF($T965&lt;=60,est05_m,est519_m),MATCH($W965,IF($T965&lt;=60,est05_k,est519_k),1)),""))</f>
        <v/>
      </c>
      <c r="AI965">
        <f>IF($W965="","",IFERROR(INDEX(IF($T965&lt;=60,est05_s,est519_s),MATCH($W965,IF($T965&lt;=60,est05_k,est519_k),1)),""))</f>
        <v/>
      </c>
      <c r="AJ965">
        <f>IF($W965="","",IFERROR(INDEX(IF($T965&lt;=60,peso05_l,peso510_l),MATCH($W965,IF($T965&lt;=60,peso05_k,peso510_k),1)),""))</f>
        <v/>
      </c>
      <c r="AK965">
        <f>IF($W965="","",IFERROR(INDEX(IF($T965&lt;=60,peso05_m,peso510_m),MATCH($W965,IF($T965&lt;=60,peso05_k,peso510_k),1)),""))</f>
        <v/>
      </c>
      <c r="AL965">
        <f>IF($W965="","",IFERROR(INDEX(IF($T965&lt;=60,peso05_s,peso510_s),MATCH($W965,IF($T965&lt;=60,peso05_k,peso510_k),1)),""))</f>
        <v/>
      </c>
      <c r="AM965">
        <f>IF($AJ965="","",IF($AJ965=0,LN($F965/$AK965)/$AL965,((($F965/$AK965)^$AJ965)-1)/($AJ965*$AL965)))</f>
        <v/>
      </c>
      <c r="AN965">
        <f>IF($AJ965="","",IF($AJ965=0,$AK965*EXP($AL965*2),$AK965*(1+$AJ965*$AL965*2)^(1/$AJ965)))</f>
        <v/>
      </c>
      <c r="AO965">
        <f>IF($AJ965="","",IF($AJ965=0,$AK965*EXP($AL965*3),$AK965*(1+$AJ965*$AL965*3)^(1/$AJ965)))</f>
        <v/>
      </c>
      <c r="AP965">
        <f>IF($AJ965="","",IF($AJ965=0,$AK965*EXP($AL965*-2),$AK965*(1+$AJ965*$AL965*-2)^(1/$AJ965)))</f>
        <v/>
      </c>
      <c r="AQ965">
        <f>IF($AJ965="","",IF($AJ965=0,$AK965*EXP($AL965*-3),$AK965*(1+$AJ965*$AL965*-3)^(1/$AJ965)))</f>
        <v/>
      </c>
      <c r="AR965">
        <f>IF(OR($X965="",$T965&gt;60),"",IFERROR(INDEX(IF($T965&lt;24,pcomp_l,palt_l),MATCH($X965,IF($T965&lt;24,pcomp_k,palt_k),1)),""))</f>
        <v/>
      </c>
      <c r="AS965">
        <f>IF(OR($X965="",$T965&gt;60),"",IFERROR(INDEX(IF($T965&lt;24,pcomp_m,palt_m),MATCH($X965,IF($T965&lt;24,pcomp_k,palt_k),1)),""))</f>
        <v/>
      </c>
      <c r="AT965">
        <f>IF(OR($X965="",$T965&gt;60),"",IFERROR(INDEX(IF($T965&lt;24,pcomp_s,palt_s),MATCH($X965,IF($T965&lt;24,pcomp_k,palt_k),1)),""))</f>
        <v/>
      </c>
      <c r="AU965">
        <f>IF($AR965="","",IF($AR965=0,LN($F965/$AS965)/$AT965,((($F965/$AS965)^$AR965)-1)/($AR965*$AT965)))</f>
        <v/>
      </c>
      <c r="AV965">
        <f>IF($AR965="","",IF($AR965=0,$AS965*EXP($AT965*2),$AS965*(1+$AR965*$AT965*2)^(1/$AR965)))</f>
        <v/>
      </c>
      <c r="AW965">
        <f>IF($AR965="","",IF($AR965=0,$AS965*EXP($AT965*3),$AS965*(1+$AR965*$AT965*3)^(1/$AR965)))</f>
        <v/>
      </c>
      <c r="AX965">
        <f>IF($AR965="","",IF($AR965=0,$AS965*EXP($AT965*-2),$AS965*(1+$AR965*$AT965*-2)^(1/$AR965)))</f>
        <v/>
      </c>
      <c r="AY965">
        <f>IF($AR965="","",IF($AR965=0,$AS965*EXP($AT965*-3),$AS965*(1+$AR965*$AT965*-3)^(1/$AR965)))</f>
        <v/>
      </c>
      <c r="AZ965">
        <f>IF(OR($A965="",$A965&lt;&gt;Ficha!$C$4),"",COUNTIF($A$2:$A965,Ficha!$C$4))</f>
        <v/>
      </c>
    </row>
    <row r="966">
      <c r="A966" s="8">
        <f>IF(INDEX(Banco!$A:$A,ROW())="","",INDEX(Banco!$A:$A,ROW()))</f>
        <v/>
      </c>
      <c r="B966" s="8">
        <f>IF(INDEX(Banco!$B:$B,ROW())="","",INDEX(Banco!$B:$B,ROW()))</f>
        <v/>
      </c>
      <c r="C966" s="8">
        <f>IF(INDEX(Banco!$C:$C,ROW())="","",INDEX(Banco!$C:$C,ROW()))</f>
        <v/>
      </c>
      <c r="D966" s="9">
        <f>IF(INDEX(Banco!$D:$D,ROW())="","",INDEX(Banco!$D:$D,ROW()))</f>
        <v/>
      </c>
      <c r="E966" s="9">
        <f>IF(INDEX(Banco!$E:$E,ROW())="","",INDEX(Banco!$E:$E,ROW()))</f>
        <v/>
      </c>
      <c r="F966" s="10">
        <f>IF(INDEX(Banco!$F:$F,ROW())="","",INDEX(Banco!$F:$F,ROW()))</f>
        <v/>
      </c>
      <c r="G966" s="10">
        <f>IF(INDEX(Banco!$G:$G,ROW())="","",INDEX(Banco!$G:$G,ROW()))</f>
        <v/>
      </c>
      <c r="H966" s="8">
        <f>IF(INDEX(Banco!$H:$H,ROW())="","",INDEX(Banco!$H:$H,ROW()))</f>
        <v/>
      </c>
      <c r="I966">
        <f>IF($T966="","",INT($T966/12)&amp;"a "&amp;MOD($T966,12)&amp;"m")</f>
        <v/>
      </c>
      <c r="J966" s="11">
        <f>IF(OR($F966="",$G966=""),"",ROUND($F966/($G966/100)^2,2))</f>
        <v/>
      </c>
      <c r="K966" s="12">
        <f>IF(OR($S966="",$J966="",$T966="",$T966&lt;0,$T966&gt;228,$Y966=""),"—",ROUND(IF(ABS($AB966)&lt;=3,$AB966,IF($AB966&gt;3,3+($J966-$AD966)/($AD966-$AC966),-3+($J966-$AF966)/($AE966-$AF966))),2))</f>
        <v/>
      </c>
      <c r="L966">
        <f>IF(OR($K966="",$K966="—"),"",IF($T966&lt;=60,IF($K966&lt;-3,"Magreza acentuada",IF($K966&lt;-2,"Magreza",IF($K966&lt;=1,"Eutrofia",IF($K966&lt;=2,"Risco de sobrepeso",IF($K966&lt;=3,"Sobrepeso","Obesidade"))))),IF($K966&lt;-3,"Magreza acentuada",IF($K966&lt;-2,"Magreza",IF($K966&lt;=1,"Eutrofia",IF($K966&lt;=2,"Sobrepeso",IF($K966&lt;=3,"Obesidade","Obesidade grave")))))))</f>
        <v/>
      </c>
      <c r="M966" s="12">
        <f>IF(OR($S966="",$V966="",$T966="",$T966&lt;0,$T966&gt;228,$AG966=""),"—",ROUND(IF($AG966=0,LN($V966/$AH966)/$AI966,((($V966/$AH966)^$AG966)-1)/($AG966*$AI966)),2))</f>
        <v/>
      </c>
      <c r="N966">
        <f>IF(OR($M966="",$M966="—"),"",IF($M966&lt;-3,"Muito baixa",IF($M966&lt;-2,"Baixa","Adequada")))</f>
        <v/>
      </c>
      <c r="O966" s="12">
        <f>IF(OR($S966="",$F966="",$T966="",$T966&lt;0,$T966&gt;120,$AJ966=""),"—",ROUND(IF(ABS($AM966)&lt;=3,$AM966,IF($AM966&gt;3,3+($F966-$AO966)/($AO966-$AN966),-3+($F966-$AQ966)/($AP966-$AQ966))),2))</f>
        <v/>
      </c>
      <c r="P966">
        <f>IF(OR($O966="",$O966="—"),"",IF($O966&lt;-3,"Muito baixo",IF($O966&lt;-2,"Baixo",IF($O966&lt;=2,"Adequado","Elevado"))))</f>
        <v/>
      </c>
      <c r="Q966" s="12">
        <f>IF(OR($S966="",$F966="",$T966="",$T966&lt;0,$T966&gt;60,$AR966=""),"—",ROUND(IF(ABS($AU966)&lt;=3,$AU966,IF($AU966&gt;3,3+($F966-$AW966)/($AW966-$AV966),-3+($F966-$AY966)/($AX966-$AY966))),2))</f>
        <v/>
      </c>
      <c r="R966">
        <f>IF(OR($Q966="",$Q966="—"),"",IF($Q966&lt;-3,"Magreza acentuada",IF($Q966&lt;-2,"Magreza",IF($Q966&lt;=1,"Eutrofia",IF($Q966&lt;=2,"Risco de sobrepeso",IF($Q966&lt;=3,"Sobrepeso","Obesidade"))))))</f>
        <v/>
      </c>
      <c r="S966">
        <f>IF($C966="","",IF(UPPER(LEFT($C966,1))="M",1,IF(UPPER(LEFT($C966,1))="F",2,"")))</f>
        <v/>
      </c>
      <c r="T966">
        <f>IF(OR($D966="",$E966=""),"",DATEDIF($D966,$E966,"m"))</f>
        <v/>
      </c>
      <c r="U966">
        <f>IF(OR($D966="",$E966=""),"",$E966-$D966)</f>
        <v/>
      </c>
      <c r="V966">
        <f>IF(OR($G966="",$T966=""),"",IF($T966&lt;24,IF(LEFT(LOWER($H966),4)="em p",$G966+0.7,$G966),IF(LEFT(LOWER($H966),4)="deit",$G966-0.7,$G966)))</f>
        <v/>
      </c>
      <c r="W966">
        <f>IF(OR($S966="",$T966=""),"",$S966*1000000+IF($T966&lt;=60,$U966,$T966))</f>
        <v/>
      </c>
      <c r="X966">
        <f>IF(OR($S966="",$V966="",$T966&gt;60,$T966=""),"",$S966*1000000+ROUND($V966*10,0))</f>
        <v/>
      </c>
      <c r="Y966">
        <f>IF($W966="","",IFERROR(INDEX(IF($T966&lt;=60,imc05_l,imc519_l),MATCH($W966,IF($T966&lt;=60,imc05_k,imc519_k),1)),""))</f>
        <v/>
      </c>
      <c r="Z966">
        <f>IF($W966="","",IFERROR(INDEX(IF($T966&lt;=60,imc05_m,imc519_m),MATCH($W966,IF($T966&lt;=60,imc05_k,imc519_k),1)),""))</f>
        <v/>
      </c>
      <c r="AA966">
        <f>IF($W966="","",IFERROR(INDEX(IF($T966&lt;=60,imc05_s,imc519_s),MATCH($W966,IF($T966&lt;=60,imc05_k,imc519_k),1)),""))</f>
        <v/>
      </c>
      <c r="AB966">
        <f>IF($Y966="","",IF($Y966=0,LN($J966/$Z966)/$AA966,((($J966/$Z966)^$Y966)-1)/($Y966*$AA966)))</f>
        <v/>
      </c>
      <c r="AC966">
        <f>IF($Y966="","",IF($Y966=0,$Z966*EXP($AA966*2),$Z966*(1+$Y966*$AA966*2)^(1/$Y966)))</f>
        <v/>
      </c>
      <c r="AD966">
        <f>IF($Y966="","",IF($Y966=0,$Z966*EXP($AA966*3),$Z966*(1+$Y966*$AA966*3)^(1/$Y966)))</f>
        <v/>
      </c>
      <c r="AE966">
        <f>IF($Y966="","",IF($Y966=0,$Z966*EXP($AA966*-2),$Z966*(1+$Y966*$AA966*-2)^(1/$Y966)))</f>
        <v/>
      </c>
      <c r="AF966">
        <f>IF($Y966="","",IF($Y966=0,$Z966*EXP($AA966*-3),$Z966*(1+$Y966*$AA966*-3)^(1/$Y966)))</f>
        <v/>
      </c>
      <c r="AG966">
        <f>IF($W966="","",IFERROR(INDEX(IF($T966&lt;=60,est05_l,est519_l),MATCH($W966,IF($T966&lt;=60,est05_k,est519_k),1)),""))</f>
        <v/>
      </c>
      <c r="AH966">
        <f>IF($W966="","",IFERROR(INDEX(IF($T966&lt;=60,est05_m,est519_m),MATCH($W966,IF($T966&lt;=60,est05_k,est519_k),1)),""))</f>
        <v/>
      </c>
      <c r="AI966">
        <f>IF($W966="","",IFERROR(INDEX(IF($T966&lt;=60,est05_s,est519_s),MATCH($W966,IF($T966&lt;=60,est05_k,est519_k),1)),""))</f>
        <v/>
      </c>
      <c r="AJ966">
        <f>IF($W966="","",IFERROR(INDEX(IF($T966&lt;=60,peso05_l,peso510_l),MATCH($W966,IF($T966&lt;=60,peso05_k,peso510_k),1)),""))</f>
        <v/>
      </c>
      <c r="AK966">
        <f>IF($W966="","",IFERROR(INDEX(IF($T966&lt;=60,peso05_m,peso510_m),MATCH($W966,IF($T966&lt;=60,peso05_k,peso510_k),1)),""))</f>
        <v/>
      </c>
      <c r="AL966">
        <f>IF($W966="","",IFERROR(INDEX(IF($T966&lt;=60,peso05_s,peso510_s),MATCH($W966,IF($T966&lt;=60,peso05_k,peso510_k),1)),""))</f>
        <v/>
      </c>
      <c r="AM966">
        <f>IF($AJ966="","",IF($AJ966=0,LN($F966/$AK966)/$AL966,((($F966/$AK966)^$AJ966)-1)/($AJ966*$AL966)))</f>
        <v/>
      </c>
      <c r="AN966">
        <f>IF($AJ966="","",IF($AJ966=0,$AK966*EXP($AL966*2),$AK966*(1+$AJ966*$AL966*2)^(1/$AJ966)))</f>
        <v/>
      </c>
      <c r="AO966">
        <f>IF($AJ966="","",IF($AJ966=0,$AK966*EXP($AL966*3),$AK966*(1+$AJ966*$AL966*3)^(1/$AJ966)))</f>
        <v/>
      </c>
      <c r="AP966">
        <f>IF($AJ966="","",IF($AJ966=0,$AK966*EXP($AL966*-2),$AK966*(1+$AJ966*$AL966*-2)^(1/$AJ966)))</f>
        <v/>
      </c>
      <c r="AQ966">
        <f>IF($AJ966="","",IF($AJ966=0,$AK966*EXP($AL966*-3),$AK966*(1+$AJ966*$AL966*-3)^(1/$AJ966)))</f>
        <v/>
      </c>
      <c r="AR966">
        <f>IF(OR($X966="",$T966&gt;60),"",IFERROR(INDEX(IF($T966&lt;24,pcomp_l,palt_l),MATCH($X966,IF($T966&lt;24,pcomp_k,palt_k),1)),""))</f>
        <v/>
      </c>
      <c r="AS966">
        <f>IF(OR($X966="",$T966&gt;60),"",IFERROR(INDEX(IF($T966&lt;24,pcomp_m,palt_m),MATCH($X966,IF($T966&lt;24,pcomp_k,palt_k),1)),""))</f>
        <v/>
      </c>
      <c r="AT966">
        <f>IF(OR($X966="",$T966&gt;60),"",IFERROR(INDEX(IF($T966&lt;24,pcomp_s,palt_s),MATCH($X966,IF($T966&lt;24,pcomp_k,palt_k),1)),""))</f>
        <v/>
      </c>
      <c r="AU966">
        <f>IF($AR966="","",IF($AR966=0,LN($F966/$AS966)/$AT966,((($F966/$AS966)^$AR966)-1)/($AR966*$AT966)))</f>
        <v/>
      </c>
      <c r="AV966">
        <f>IF($AR966="","",IF($AR966=0,$AS966*EXP($AT966*2),$AS966*(1+$AR966*$AT966*2)^(1/$AR966)))</f>
        <v/>
      </c>
      <c r="AW966">
        <f>IF($AR966="","",IF($AR966=0,$AS966*EXP($AT966*3),$AS966*(1+$AR966*$AT966*3)^(1/$AR966)))</f>
        <v/>
      </c>
      <c r="AX966">
        <f>IF($AR966="","",IF($AR966=0,$AS966*EXP($AT966*-2),$AS966*(1+$AR966*$AT966*-2)^(1/$AR966)))</f>
        <v/>
      </c>
      <c r="AY966">
        <f>IF($AR966="","",IF($AR966=0,$AS966*EXP($AT966*-3),$AS966*(1+$AR966*$AT966*-3)^(1/$AR966)))</f>
        <v/>
      </c>
      <c r="AZ966">
        <f>IF(OR($A966="",$A966&lt;&gt;Ficha!$C$4),"",COUNTIF($A$2:$A966,Ficha!$C$4))</f>
        <v/>
      </c>
    </row>
    <row r="967">
      <c r="A967" s="8">
        <f>IF(INDEX(Banco!$A:$A,ROW())="","",INDEX(Banco!$A:$A,ROW()))</f>
        <v/>
      </c>
      <c r="B967" s="8">
        <f>IF(INDEX(Banco!$B:$B,ROW())="","",INDEX(Banco!$B:$B,ROW()))</f>
        <v/>
      </c>
      <c r="C967" s="8">
        <f>IF(INDEX(Banco!$C:$C,ROW())="","",INDEX(Banco!$C:$C,ROW()))</f>
        <v/>
      </c>
      <c r="D967" s="9">
        <f>IF(INDEX(Banco!$D:$D,ROW())="","",INDEX(Banco!$D:$D,ROW()))</f>
        <v/>
      </c>
      <c r="E967" s="9">
        <f>IF(INDEX(Banco!$E:$E,ROW())="","",INDEX(Banco!$E:$E,ROW()))</f>
        <v/>
      </c>
      <c r="F967" s="10">
        <f>IF(INDEX(Banco!$F:$F,ROW())="","",INDEX(Banco!$F:$F,ROW()))</f>
        <v/>
      </c>
      <c r="G967" s="10">
        <f>IF(INDEX(Banco!$G:$G,ROW())="","",INDEX(Banco!$G:$G,ROW()))</f>
        <v/>
      </c>
      <c r="H967" s="8">
        <f>IF(INDEX(Banco!$H:$H,ROW())="","",INDEX(Banco!$H:$H,ROW()))</f>
        <v/>
      </c>
      <c r="I967">
        <f>IF($T967="","",INT($T967/12)&amp;"a "&amp;MOD($T967,12)&amp;"m")</f>
        <v/>
      </c>
      <c r="J967" s="11">
        <f>IF(OR($F967="",$G967=""),"",ROUND($F967/($G967/100)^2,2))</f>
        <v/>
      </c>
      <c r="K967" s="12">
        <f>IF(OR($S967="",$J967="",$T967="",$T967&lt;0,$T967&gt;228,$Y967=""),"—",ROUND(IF(ABS($AB967)&lt;=3,$AB967,IF($AB967&gt;3,3+($J967-$AD967)/($AD967-$AC967),-3+($J967-$AF967)/($AE967-$AF967))),2))</f>
        <v/>
      </c>
      <c r="L967">
        <f>IF(OR($K967="",$K967="—"),"",IF($T967&lt;=60,IF($K967&lt;-3,"Magreza acentuada",IF($K967&lt;-2,"Magreza",IF($K967&lt;=1,"Eutrofia",IF($K967&lt;=2,"Risco de sobrepeso",IF($K967&lt;=3,"Sobrepeso","Obesidade"))))),IF($K967&lt;-3,"Magreza acentuada",IF($K967&lt;-2,"Magreza",IF($K967&lt;=1,"Eutrofia",IF($K967&lt;=2,"Sobrepeso",IF($K967&lt;=3,"Obesidade","Obesidade grave")))))))</f>
        <v/>
      </c>
      <c r="M967" s="12">
        <f>IF(OR($S967="",$V967="",$T967="",$T967&lt;0,$T967&gt;228,$AG967=""),"—",ROUND(IF($AG967=0,LN($V967/$AH967)/$AI967,((($V967/$AH967)^$AG967)-1)/($AG967*$AI967)),2))</f>
        <v/>
      </c>
      <c r="N967">
        <f>IF(OR($M967="",$M967="—"),"",IF($M967&lt;-3,"Muito baixa",IF($M967&lt;-2,"Baixa","Adequada")))</f>
        <v/>
      </c>
      <c r="O967" s="12">
        <f>IF(OR($S967="",$F967="",$T967="",$T967&lt;0,$T967&gt;120,$AJ967=""),"—",ROUND(IF(ABS($AM967)&lt;=3,$AM967,IF($AM967&gt;3,3+($F967-$AO967)/($AO967-$AN967),-3+($F967-$AQ967)/($AP967-$AQ967))),2))</f>
        <v/>
      </c>
      <c r="P967">
        <f>IF(OR($O967="",$O967="—"),"",IF($O967&lt;-3,"Muito baixo",IF($O967&lt;-2,"Baixo",IF($O967&lt;=2,"Adequado","Elevado"))))</f>
        <v/>
      </c>
      <c r="Q967" s="12">
        <f>IF(OR($S967="",$F967="",$T967="",$T967&lt;0,$T967&gt;60,$AR967=""),"—",ROUND(IF(ABS($AU967)&lt;=3,$AU967,IF($AU967&gt;3,3+($F967-$AW967)/($AW967-$AV967),-3+($F967-$AY967)/($AX967-$AY967))),2))</f>
        <v/>
      </c>
      <c r="R967">
        <f>IF(OR($Q967="",$Q967="—"),"",IF($Q967&lt;-3,"Magreza acentuada",IF($Q967&lt;-2,"Magreza",IF($Q967&lt;=1,"Eutrofia",IF($Q967&lt;=2,"Risco de sobrepeso",IF($Q967&lt;=3,"Sobrepeso","Obesidade"))))))</f>
        <v/>
      </c>
      <c r="S967">
        <f>IF($C967="","",IF(UPPER(LEFT($C967,1))="M",1,IF(UPPER(LEFT($C967,1))="F",2,"")))</f>
        <v/>
      </c>
      <c r="T967">
        <f>IF(OR($D967="",$E967=""),"",DATEDIF($D967,$E967,"m"))</f>
        <v/>
      </c>
      <c r="U967">
        <f>IF(OR($D967="",$E967=""),"",$E967-$D967)</f>
        <v/>
      </c>
      <c r="V967">
        <f>IF(OR($G967="",$T967=""),"",IF($T967&lt;24,IF(LEFT(LOWER($H967),4)="em p",$G967+0.7,$G967),IF(LEFT(LOWER($H967),4)="deit",$G967-0.7,$G967)))</f>
        <v/>
      </c>
      <c r="W967">
        <f>IF(OR($S967="",$T967=""),"",$S967*1000000+IF($T967&lt;=60,$U967,$T967))</f>
        <v/>
      </c>
      <c r="X967">
        <f>IF(OR($S967="",$V967="",$T967&gt;60,$T967=""),"",$S967*1000000+ROUND($V967*10,0))</f>
        <v/>
      </c>
      <c r="Y967">
        <f>IF($W967="","",IFERROR(INDEX(IF($T967&lt;=60,imc05_l,imc519_l),MATCH($W967,IF($T967&lt;=60,imc05_k,imc519_k),1)),""))</f>
        <v/>
      </c>
      <c r="Z967">
        <f>IF($W967="","",IFERROR(INDEX(IF($T967&lt;=60,imc05_m,imc519_m),MATCH($W967,IF($T967&lt;=60,imc05_k,imc519_k),1)),""))</f>
        <v/>
      </c>
      <c r="AA967">
        <f>IF($W967="","",IFERROR(INDEX(IF($T967&lt;=60,imc05_s,imc519_s),MATCH($W967,IF($T967&lt;=60,imc05_k,imc519_k),1)),""))</f>
        <v/>
      </c>
      <c r="AB967">
        <f>IF($Y967="","",IF($Y967=0,LN($J967/$Z967)/$AA967,((($J967/$Z967)^$Y967)-1)/($Y967*$AA967)))</f>
        <v/>
      </c>
      <c r="AC967">
        <f>IF($Y967="","",IF($Y967=0,$Z967*EXP($AA967*2),$Z967*(1+$Y967*$AA967*2)^(1/$Y967)))</f>
        <v/>
      </c>
      <c r="AD967">
        <f>IF($Y967="","",IF($Y967=0,$Z967*EXP($AA967*3),$Z967*(1+$Y967*$AA967*3)^(1/$Y967)))</f>
        <v/>
      </c>
      <c r="AE967">
        <f>IF($Y967="","",IF($Y967=0,$Z967*EXP($AA967*-2),$Z967*(1+$Y967*$AA967*-2)^(1/$Y967)))</f>
        <v/>
      </c>
      <c r="AF967">
        <f>IF($Y967="","",IF($Y967=0,$Z967*EXP($AA967*-3),$Z967*(1+$Y967*$AA967*-3)^(1/$Y967)))</f>
        <v/>
      </c>
      <c r="AG967">
        <f>IF($W967="","",IFERROR(INDEX(IF($T967&lt;=60,est05_l,est519_l),MATCH($W967,IF($T967&lt;=60,est05_k,est519_k),1)),""))</f>
        <v/>
      </c>
      <c r="AH967">
        <f>IF($W967="","",IFERROR(INDEX(IF($T967&lt;=60,est05_m,est519_m),MATCH($W967,IF($T967&lt;=60,est05_k,est519_k),1)),""))</f>
        <v/>
      </c>
      <c r="AI967">
        <f>IF($W967="","",IFERROR(INDEX(IF($T967&lt;=60,est05_s,est519_s),MATCH($W967,IF($T967&lt;=60,est05_k,est519_k),1)),""))</f>
        <v/>
      </c>
      <c r="AJ967">
        <f>IF($W967="","",IFERROR(INDEX(IF($T967&lt;=60,peso05_l,peso510_l),MATCH($W967,IF($T967&lt;=60,peso05_k,peso510_k),1)),""))</f>
        <v/>
      </c>
      <c r="AK967">
        <f>IF($W967="","",IFERROR(INDEX(IF($T967&lt;=60,peso05_m,peso510_m),MATCH($W967,IF($T967&lt;=60,peso05_k,peso510_k),1)),""))</f>
        <v/>
      </c>
      <c r="AL967">
        <f>IF($W967="","",IFERROR(INDEX(IF($T967&lt;=60,peso05_s,peso510_s),MATCH($W967,IF($T967&lt;=60,peso05_k,peso510_k),1)),""))</f>
        <v/>
      </c>
      <c r="AM967">
        <f>IF($AJ967="","",IF($AJ967=0,LN($F967/$AK967)/$AL967,((($F967/$AK967)^$AJ967)-1)/($AJ967*$AL967)))</f>
        <v/>
      </c>
      <c r="AN967">
        <f>IF($AJ967="","",IF($AJ967=0,$AK967*EXP($AL967*2),$AK967*(1+$AJ967*$AL967*2)^(1/$AJ967)))</f>
        <v/>
      </c>
      <c r="AO967">
        <f>IF($AJ967="","",IF($AJ967=0,$AK967*EXP($AL967*3),$AK967*(1+$AJ967*$AL967*3)^(1/$AJ967)))</f>
        <v/>
      </c>
      <c r="AP967">
        <f>IF($AJ967="","",IF($AJ967=0,$AK967*EXP($AL967*-2),$AK967*(1+$AJ967*$AL967*-2)^(1/$AJ967)))</f>
        <v/>
      </c>
      <c r="AQ967">
        <f>IF($AJ967="","",IF($AJ967=0,$AK967*EXP($AL967*-3),$AK967*(1+$AJ967*$AL967*-3)^(1/$AJ967)))</f>
        <v/>
      </c>
      <c r="AR967">
        <f>IF(OR($X967="",$T967&gt;60),"",IFERROR(INDEX(IF($T967&lt;24,pcomp_l,palt_l),MATCH($X967,IF($T967&lt;24,pcomp_k,palt_k),1)),""))</f>
        <v/>
      </c>
      <c r="AS967">
        <f>IF(OR($X967="",$T967&gt;60),"",IFERROR(INDEX(IF($T967&lt;24,pcomp_m,palt_m),MATCH($X967,IF($T967&lt;24,pcomp_k,palt_k),1)),""))</f>
        <v/>
      </c>
      <c r="AT967">
        <f>IF(OR($X967="",$T967&gt;60),"",IFERROR(INDEX(IF($T967&lt;24,pcomp_s,palt_s),MATCH($X967,IF($T967&lt;24,pcomp_k,palt_k),1)),""))</f>
        <v/>
      </c>
      <c r="AU967">
        <f>IF($AR967="","",IF($AR967=0,LN($F967/$AS967)/$AT967,((($F967/$AS967)^$AR967)-1)/($AR967*$AT967)))</f>
        <v/>
      </c>
      <c r="AV967">
        <f>IF($AR967="","",IF($AR967=0,$AS967*EXP($AT967*2),$AS967*(1+$AR967*$AT967*2)^(1/$AR967)))</f>
        <v/>
      </c>
      <c r="AW967">
        <f>IF($AR967="","",IF($AR967=0,$AS967*EXP($AT967*3),$AS967*(1+$AR967*$AT967*3)^(1/$AR967)))</f>
        <v/>
      </c>
      <c r="AX967">
        <f>IF($AR967="","",IF($AR967=0,$AS967*EXP($AT967*-2),$AS967*(1+$AR967*$AT967*-2)^(1/$AR967)))</f>
        <v/>
      </c>
      <c r="AY967">
        <f>IF($AR967="","",IF($AR967=0,$AS967*EXP($AT967*-3),$AS967*(1+$AR967*$AT967*-3)^(1/$AR967)))</f>
        <v/>
      </c>
      <c r="AZ967">
        <f>IF(OR($A967="",$A967&lt;&gt;Ficha!$C$4),"",COUNTIF($A$2:$A967,Ficha!$C$4))</f>
        <v/>
      </c>
    </row>
    <row r="968">
      <c r="A968" s="8">
        <f>IF(INDEX(Banco!$A:$A,ROW())="","",INDEX(Banco!$A:$A,ROW()))</f>
        <v/>
      </c>
      <c r="B968" s="8">
        <f>IF(INDEX(Banco!$B:$B,ROW())="","",INDEX(Banco!$B:$B,ROW()))</f>
        <v/>
      </c>
      <c r="C968" s="8">
        <f>IF(INDEX(Banco!$C:$C,ROW())="","",INDEX(Banco!$C:$C,ROW()))</f>
        <v/>
      </c>
      <c r="D968" s="9">
        <f>IF(INDEX(Banco!$D:$D,ROW())="","",INDEX(Banco!$D:$D,ROW()))</f>
        <v/>
      </c>
      <c r="E968" s="9">
        <f>IF(INDEX(Banco!$E:$E,ROW())="","",INDEX(Banco!$E:$E,ROW()))</f>
        <v/>
      </c>
      <c r="F968" s="10">
        <f>IF(INDEX(Banco!$F:$F,ROW())="","",INDEX(Banco!$F:$F,ROW()))</f>
        <v/>
      </c>
      <c r="G968" s="10">
        <f>IF(INDEX(Banco!$G:$G,ROW())="","",INDEX(Banco!$G:$G,ROW()))</f>
        <v/>
      </c>
      <c r="H968" s="8">
        <f>IF(INDEX(Banco!$H:$H,ROW())="","",INDEX(Banco!$H:$H,ROW()))</f>
        <v/>
      </c>
      <c r="I968">
        <f>IF($T968="","",INT($T968/12)&amp;"a "&amp;MOD($T968,12)&amp;"m")</f>
        <v/>
      </c>
      <c r="J968" s="11">
        <f>IF(OR($F968="",$G968=""),"",ROUND($F968/($G968/100)^2,2))</f>
        <v/>
      </c>
      <c r="K968" s="12">
        <f>IF(OR($S968="",$J968="",$T968="",$T968&lt;0,$T968&gt;228,$Y968=""),"—",ROUND(IF(ABS($AB968)&lt;=3,$AB968,IF($AB968&gt;3,3+($J968-$AD968)/($AD968-$AC968),-3+($J968-$AF968)/($AE968-$AF968))),2))</f>
        <v/>
      </c>
      <c r="L968">
        <f>IF(OR($K968="",$K968="—"),"",IF($T968&lt;=60,IF($K968&lt;-3,"Magreza acentuada",IF($K968&lt;-2,"Magreza",IF($K968&lt;=1,"Eutrofia",IF($K968&lt;=2,"Risco de sobrepeso",IF($K968&lt;=3,"Sobrepeso","Obesidade"))))),IF($K968&lt;-3,"Magreza acentuada",IF($K968&lt;-2,"Magreza",IF($K968&lt;=1,"Eutrofia",IF($K968&lt;=2,"Sobrepeso",IF($K968&lt;=3,"Obesidade","Obesidade grave")))))))</f>
        <v/>
      </c>
      <c r="M968" s="12">
        <f>IF(OR($S968="",$V968="",$T968="",$T968&lt;0,$T968&gt;228,$AG968=""),"—",ROUND(IF($AG968=0,LN($V968/$AH968)/$AI968,((($V968/$AH968)^$AG968)-1)/($AG968*$AI968)),2))</f>
        <v/>
      </c>
      <c r="N968">
        <f>IF(OR($M968="",$M968="—"),"",IF($M968&lt;-3,"Muito baixa",IF($M968&lt;-2,"Baixa","Adequada")))</f>
        <v/>
      </c>
      <c r="O968" s="12">
        <f>IF(OR($S968="",$F968="",$T968="",$T968&lt;0,$T968&gt;120,$AJ968=""),"—",ROUND(IF(ABS($AM968)&lt;=3,$AM968,IF($AM968&gt;3,3+($F968-$AO968)/($AO968-$AN968),-3+($F968-$AQ968)/($AP968-$AQ968))),2))</f>
        <v/>
      </c>
      <c r="P968">
        <f>IF(OR($O968="",$O968="—"),"",IF($O968&lt;-3,"Muito baixo",IF($O968&lt;-2,"Baixo",IF($O968&lt;=2,"Adequado","Elevado"))))</f>
        <v/>
      </c>
      <c r="Q968" s="12">
        <f>IF(OR($S968="",$F968="",$T968="",$T968&lt;0,$T968&gt;60,$AR968=""),"—",ROUND(IF(ABS($AU968)&lt;=3,$AU968,IF($AU968&gt;3,3+($F968-$AW968)/($AW968-$AV968),-3+($F968-$AY968)/($AX968-$AY968))),2))</f>
        <v/>
      </c>
      <c r="R968">
        <f>IF(OR($Q968="",$Q968="—"),"",IF($Q968&lt;-3,"Magreza acentuada",IF($Q968&lt;-2,"Magreza",IF($Q968&lt;=1,"Eutrofia",IF($Q968&lt;=2,"Risco de sobrepeso",IF($Q968&lt;=3,"Sobrepeso","Obesidade"))))))</f>
        <v/>
      </c>
      <c r="S968">
        <f>IF($C968="","",IF(UPPER(LEFT($C968,1))="M",1,IF(UPPER(LEFT($C968,1))="F",2,"")))</f>
        <v/>
      </c>
      <c r="T968">
        <f>IF(OR($D968="",$E968=""),"",DATEDIF($D968,$E968,"m"))</f>
        <v/>
      </c>
      <c r="U968">
        <f>IF(OR($D968="",$E968=""),"",$E968-$D968)</f>
        <v/>
      </c>
      <c r="V968">
        <f>IF(OR($G968="",$T968=""),"",IF($T968&lt;24,IF(LEFT(LOWER($H968),4)="em p",$G968+0.7,$G968),IF(LEFT(LOWER($H968),4)="deit",$G968-0.7,$G968)))</f>
        <v/>
      </c>
      <c r="W968">
        <f>IF(OR($S968="",$T968=""),"",$S968*1000000+IF($T968&lt;=60,$U968,$T968))</f>
        <v/>
      </c>
      <c r="X968">
        <f>IF(OR($S968="",$V968="",$T968&gt;60,$T968=""),"",$S968*1000000+ROUND($V968*10,0))</f>
        <v/>
      </c>
      <c r="Y968">
        <f>IF($W968="","",IFERROR(INDEX(IF($T968&lt;=60,imc05_l,imc519_l),MATCH($W968,IF($T968&lt;=60,imc05_k,imc519_k),1)),""))</f>
        <v/>
      </c>
      <c r="Z968">
        <f>IF($W968="","",IFERROR(INDEX(IF($T968&lt;=60,imc05_m,imc519_m),MATCH($W968,IF($T968&lt;=60,imc05_k,imc519_k),1)),""))</f>
        <v/>
      </c>
      <c r="AA968">
        <f>IF($W968="","",IFERROR(INDEX(IF($T968&lt;=60,imc05_s,imc519_s),MATCH($W968,IF($T968&lt;=60,imc05_k,imc519_k),1)),""))</f>
        <v/>
      </c>
      <c r="AB968">
        <f>IF($Y968="","",IF($Y968=0,LN($J968/$Z968)/$AA968,((($J968/$Z968)^$Y968)-1)/($Y968*$AA968)))</f>
        <v/>
      </c>
      <c r="AC968">
        <f>IF($Y968="","",IF($Y968=0,$Z968*EXP($AA968*2),$Z968*(1+$Y968*$AA968*2)^(1/$Y968)))</f>
        <v/>
      </c>
      <c r="AD968">
        <f>IF($Y968="","",IF($Y968=0,$Z968*EXP($AA968*3),$Z968*(1+$Y968*$AA968*3)^(1/$Y968)))</f>
        <v/>
      </c>
      <c r="AE968">
        <f>IF($Y968="","",IF($Y968=0,$Z968*EXP($AA968*-2),$Z968*(1+$Y968*$AA968*-2)^(1/$Y968)))</f>
        <v/>
      </c>
      <c r="AF968">
        <f>IF($Y968="","",IF($Y968=0,$Z968*EXP($AA968*-3),$Z968*(1+$Y968*$AA968*-3)^(1/$Y968)))</f>
        <v/>
      </c>
      <c r="AG968">
        <f>IF($W968="","",IFERROR(INDEX(IF($T968&lt;=60,est05_l,est519_l),MATCH($W968,IF($T968&lt;=60,est05_k,est519_k),1)),""))</f>
        <v/>
      </c>
      <c r="AH968">
        <f>IF($W968="","",IFERROR(INDEX(IF($T968&lt;=60,est05_m,est519_m),MATCH($W968,IF($T968&lt;=60,est05_k,est519_k),1)),""))</f>
        <v/>
      </c>
      <c r="AI968">
        <f>IF($W968="","",IFERROR(INDEX(IF($T968&lt;=60,est05_s,est519_s),MATCH($W968,IF($T968&lt;=60,est05_k,est519_k),1)),""))</f>
        <v/>
      </c>
      <c r="AJ968">
        <f>IF($W968="","",IFERROR(INDEX(IF($T968&lt;=60,peso05_l,peso510_l),MATCH($W968,IF($T968&lt;=60,peso05_k,peso510_k),1)),""))</f>
        <v/>
      </c>
      <c r="AK968">
        <f>IF($W968="","",IFERROR(INDEX(IF($T968&lt;=60,peso05_m,peso510_m),MATCH($W968,IF($T968&lt;=60,peso05_k,peso510_k),1)),""))</f>
        <v/>
      </c>
      <c r="AL968">
        <f>IF($W968="","",IFERROR(INDEX(IF($T968&lt;=60,peso05_s,peso510_s),MATCH($W968,IF($T968&lt;=60,peso05_k,peso510_k),1)),""))</f>
        <v/>
      </c>
      <c r="AM968">
        <f>IF($AJ968="","",IF($AJ968=0,LN($F968/$AK968)/$AL968,((($F968/$AK968)^$AJ968)-1)/($AJ968*$AL968)))</f>
        <v/>
      </c>
      <c r="AN968">
        <f>IF($AJ968="","",IF($AJ968=0,$AK968*EXP($AL968*2),$AK968*(1+$AJ968*$AL968*2)^(1/$AJ968)))</f>
        <v/>
      </c>
      <c r="AO968">
        <f>IF($AJ968="","",IF($AJ968=0,$AK968*EXP($AL968*3),$AK968*(1+$AJ968*$AL968*3)^(1/$AJ968)))</f>
        <v/>
      </c>
      <c r="AP968">
        <f>IF($AJ968="","",IF($AJ968=0,$AK968*EXP($AL968*-2),$AK968*(1+$AJ968*$AL968*-2)^(1/$AJ968)))</f>
        <v/>
      </c>
      <c r="AQ968">
        <f>IF($AJ968="","",IF($AJ968=0,$AK968*EXP($AL968*-3),$AK968*(1+$AJ968*$AL968*-3)^(1/$AJ968)))</f>
        <v/>
      </c>
      <c r="AR968">
        <f>IF(OR($X968="",$T968&gt;60),"",IFERROR(INDEX(IF($T968&lt;24,pcomp_l,palt_l),MATCH($X968,IF($T968&lt;24,pcomp_k,palt_k),1)),""))</f>
        <v/>
      </c>
      <c r="AS968">
        <f>IF(OR($X968="",$T968&gt;60),"",IFERROR(INDEX(IF($T968&lt;24,pcomp_m,palt_m),MATCH($X968,IF($T968&lt;24,pcomp_k,palt_k),1)),""))</f>
        <v/>
      </c>
      <c r="AT968">
        <f>IF(OR($X968="",$T968&gt;60),"",IFERROR(INDEX(IF($T968&lt;24,pcomp_s,palt_s),MATCH($X968,IF($T968&lt;24,pcomp_k,palt_k),1)),""))</f>
        <v/>
      </c>
      <c r="AU968">
        <f>IF($AR968="","",IF($AR968=0,LN($F968/$AS968)/$AT968,((($F968/$AS968)^$AR968)-1)/($AR968*$AT968)))</f>
        <v/>
      </c>
      <c r="AV968">
        <f>IF($AR968="","",IF($AR968=0,$AS968*EXP($AT968*2),$AS968*(1+$AR968*$AT968*2)^(1/$AR968)))</f>
        <v/>
      </c>
      <c r="AW968">
        <f>IF($AR968="","",IF($AR968=0,$AS968*EXP($AT968*3),$AS968*(1+$AR968*$AT968*3)^(1/$AR968)))</f>
        <v/>
      </c>
      <c r="AX968">
        <f>IF($AR968="","",IF($AR968=0,$AS968*EXP($AT968*-2),$AS968*(1+$AR968*$AT968*-2)^(1/$AR968)))</f>
        <v/>
      </c>
      <c r="AY968">
        <f>IF($AR968="","",IF($AR968=0,$AS968*EXP($AT968*-3),$AS968*(1+$AR968*$AT968*-3)^(1/$AR968)))</f>
        <v/>
      </c>
      <c r="AZ968">
        <f>IF(OR($A968="",$A968&lt;&gt;Ficha!$C$4),"",COUNTIF($A$2:$A968,Ficha!$C$4))</f>
        <v/>
      </c>
    </row>
    <row r="969">
      <c r="A969" s="8">
        <f>IF(INDEX(Banco!$A:$A,ROW())="","",INDEX(Banco!$A:$A,ROW()))</f>
        <v/>
      </c>
      <c r="B969" s="8">
        <f>IF(INDEX(Banco!$B:$B,ROW())="","",INDEX(Banco!$B:$B,ROW()))</f>
        <v/>
      </c>
      <c r="C969" s="8">
        <f>IF(INDEX(Banco!$C:$C,ROW())="","",INDEX(Banco!$C:$C,ROW()))</f>
        <v/>
      </c>
      <c r="D969" s="9">
        <f>IF(INDEX(Banco!$D:$D,ROW())="","",INDEX(Banco!$D:$D,ROW()))</f>
        <v/>
      </c>
      <c r="E969" s="9">
        <f>IF(INDEX(Banco!$E:$E,ROW())="","",INDEX(Banco!$E:$E,ROW()))</f>
        <v/>
      </c>
      <c r="F969" s="10">
        <f>IF(INDEX(Banco!$F:$F,ROW())="","",INDEX(Banco!$F:$F,ROW()))</f>
        <v/>
      </c>
      <c r="G969" s="10">
        <f>IF(INDEX(Banco!$G:$G,ROW())="","",INDEX(Banco!$G:$G,ROW()))</f>
        <v/>
      </c>
      <c r="H969" s="8">
        <f>IF(INDEX(Banco!$H:$H,ROW())="","",INDEX(Banco!$H:$H,ROW()))</f>
        <v/>
      </c>
      <c r="I969">
        <f>IF($T969="","",INT($T969/12)&amp;"a "&amp;MOD($T969,12)&amp;"m")</f>
        <v/>
      </c>
      <c r="J969" s="11">
        <f>IF(OR($F969="",$G969=""),"",ROUND($F969/($G969/100)^2,2))</f>
        <v/>
      </c>
      <c r="K969" s="12">
        <f>IF(OR($S969="",$J969="",$T969="",$T969&lt;0,$T969&gt;228,$Y969=""),"—",ROUND(IF(ABS($AB969)&lt;=3,$AB969,IF($AB969&gt;3,3+($J969-$AD969)/($AD969-$AC969),-3+($J969-$AF969)/($AE969-$AF969))),2))</f>
        <v/>
      </c>
      <c r="L969">
        <f>IF(OR($K969="",$K969="—"),"",IF($T969&lt;=60,IF($K969&lt;-3,"Magreza acentuada",IF($K969&lt;-2,"Magreza",IF($K969&lt;=1,"Eutrofia",IF($K969&lt;=2,"Risco de sobrepeso",IF($K969&lt;=3,"Sobrepeso","Obesidade"))))),IF($K969&lt;-3,"Magreza acentuada",IF($K969&lt;-2,"Magreza",IF($K969&lt;=1,"Eutrofia",IF($K969&lt;=2,"Sobrepeso",IF($K969&lt;=3,"Obesidade","Obesidade grave")))))))</f>
        <v/>
      </c>
      <c r="M969" s="12">
        <f>IF(OR($S969="",$V969="",$T969="",$T969&lt;0,$T969&gt;228,$AG969=""),"—",ROUND(IF($AG969=0,LN($V969/$AH969)/$AI969,((($V969/$AH969)^$AG969)-1)/($AG969*$AI969)),2))</f>
        <v/>
      </c>
      <c r="N969">
        <f>IF(OR($M969="",$M969="—"),"",IF($M969&lt;-3,"Muito baixa",IF($M969&lt;-2,"Baixa","Adequada")))</f>
        <v/>
      </c>
      <c r="O969" s="12">
        <f>IF(OR($S969="",$F969="",$T969="",$T969&lt;0,$T969&gt;120,$AJ969=""),"—",ROUND(IF(ABS($AM969)&lt;=3,$AM969,IF($AM969&gt;3,3+($F969-$AO969)/($AO969-$AN969),-3+($F969-$AQ969)/($AP969-$AQ969))),2))</f>
        <v/>
      </c>
      <c r="P969">
        <f>IF(OR($O969="",$O969="—"),"",IF($O969&lt;-3,"Muito baixo",IF($O969&lt;-2,"Baixo",IF($O969&lt;=2,"Adequado","Elevado"))))</f>
        <v/>
      </c>
      <c r="Q969" s="12">
        <f>IF(OR($S969="",$F969="",$T969="",$T969&lt;0,$T969&gt;60,$AR969=""),"—",ROUND(IF(ABS($AU969)&lt;=3,$AU969,IF($AU969&gt;3,3+($F969-$AW969)/($AW969-$AV969),-3+($F969-$AY969)/($AX969-$AY969))),2))</f>
        <v/>
      </c>
      <c r="R969">
        <f>IF(OR($Q969="",$Q969="—"),"",IF($Q969&lt;-3,"Magreza acentuada",IF($Q969&lt;-2,"Magreza",IF($Q969&lt;=1,"Eutrofia",IF($Q969&lt;=2,"Risco de sobrepeso",IF($Q969&lt;=3,"Sobrepeso","Obesidade"))))))</f>
        <v/>
      </c>
      <c r="S969">
        <f>IF($C969="","",IF(UPPER(LEFT($C969,1))="M",1,IF(UPPER(LEFT($C969,1))="F",2,"")))</f>
        <v/>
      </c>
      <c r="T969">
        <f>IF(OR($D969="",$E969=""),"",DATEDIF($D969,$E969,"m"))</f>
        <v/>
      </c>
      <c r="U969">
        <f>IF(OR($D969="",$E969=""),"",$E969-$D969)</f>
        <v/>
      </c>
      <c r="V969">
        <f>IF(OR($G969="",$T969=""),"",IF($T969&lt;24,IF(LEFT(LOWER($H969),4)="em p",$G969+0.7,$G969),IF(LEFT(LOWER($H969),4)="deit",$G969-0.7,$G969)))</f>
        <v/>
      </c>
      <c r="W969">
        <f>IF(OR($S969="",$T969=""),"",$S969*1000000+IF($T969&lt;=60,$U969,$T969))</f>
        <v/>
      </c>
      <c r="X969">
        <f>IF(OR($S969="",$V969="",$T969&gt;60,$T969=""),"",$S969*1000000+ROUND($V969*10,0))</f>
        <v/>
      </c>
      <c r="Y969">
        <f>IF($W969="","",IFERROR(INDEX(IF($T969&lt;=60,imc05_l,imc519_l),MATCH($W969,IF($T969&lt;=60,imc05_k,imc519_k),1)),""))</f>
        <v/>
      </c>
      <c r="Z969">
        <f>IF($W969="","",IFERROR(INDEX(IF($T969&lt;=60,imc05_m,imc519_m),MATCH($W969,IF($T969&lt;=60,imc05_k,imc519_k),1)),""))</f>
        <v/>
      </c>
      <c r="AA969">
        <f>IF($W969="","",IFERROR(INDEX(IF($T969&lt;=60,imc05_s,imc519_s),MATCH($W969,IF($T969&lt;=60,imc05_k,imc519_k),1)),""))</f>
        <v/>
      </c>
      <c r="AB969">
        <f>IF($Y969="","",IF($Y969=0,LN($J969/$Z969)/$AA969,((($J969/$Z969)^$Y969)-1)/($Y969*$AA969)))</f>
        <v/>
      </c>
      <c r="AC969">
        <f>IF($Y969="","",IF($Y969=0,$Z969*EXP($AA969*2),$Z969*(1+$Y969*$AA969*2)^(1/$Y969)))</f>
        <v/>
      </c>
      <c r="AD969">
        <f>IF($Y969="","",IF($Y969=0,$Z969*EXP($AA969*3),$Z969*(1+$Y969*$AA969*3)^(1/$Y969)))</f>
        <v/>
      </c>
      <c r="AE969">
        <f>IF($Y969="","",IF($Y969=0,$Z969*EXP($AA969*-2),$Z969*(1+$Y969*$AA969*-2)^(1/$Y969)))</f>
        <v/>
      </c>
      <c r="AF969">
        <f>IF($Y969="","",IF($Y969=0,$Z969*EXP($AA969*-3),$Z969*(1+$Y969*$AA969*-3)^(1/$Y969)))</f>
        <v/>
      </c>
      <c r="AG969">
        <f>IF($W969="","",IFERROR(INDEX(IF($T969&lt;=60,est05_l,est519_l),MATCH($W969,IF($T969&lt;=60,est05_k,est519_k),1)),""))</f>
        <v/>
      </c>
      <c r="AH969">
        <f>IF($W969="","",IFERROR(INDEX(IF($T969&lt;=60,est05_m,est519_m),MATCH($W969,IF($T969&lt;=60,est05_k,est519_k),1)),""))</f>
        <v/>
      </c>
      <c r="AI969">
        <f>IF($W969="","",IFERROR(INDEX(IF($T969&lt;=60,est05_s,est519_s),MATCH($W969,IF($T969&lt;=60,est05_k,est519_k),1)),""))</f>
        <v/>
      </c>
      <c r="AJ969">
        <f>IF($W969="","",IFERROR(INDEX(IF($T969&lt;=60,peso05_l,peso510_l),MATCH($W969,IF($T969&lt;=60,peso05_k,peso510_k),1)),""))</f>
        <v/>
      </c>
      <c r="AK969">
        <f>IF($W969="","",IFERROR(INDEX(IF($T969&lt;=60,peso05_m,peso510_m),MATCH($W969,IF($T969&lt;=60,peso05_k,peso510_k),1)),""))</f>
        <v/>
      </c>
      <c r="AL969">
        <f>IF($W969="","",IFERROR(INDEX(IF($T969&lt;=60,peso05_s,peso510_s),MATCH($W969,IF($T969&lt;=60,peso05_k,peso510_k),1)),""))</f>
        <v/>
      </c>
      <c r="AM969">
        <f>IF($AJ969="","",IF($AJ969=0,LN($F969/$AK969)/$AL969,((($F969/$AK969)^$AJ969)-1)/($AJ969*$AL969)))</f>
        <v/>
      </c>
      <c r="AN969">
        <f>IF($AJ969="","",IF($AJ969=0,$AK969*EXP($AL969*2),$AK969*(1+$AJ969*$AL969*2)^(1/$AJ969)))</f>
        <v/>
      </c>
      <c r="AO969">
        <f>IF($AJ969="","",IF($AJ969=0,$AK969*EXP($AL969*3),$AK969*(1+$AJ969*$AL969*3)^(1/$AJ969)))</f>
        <v/>
      </c>
      <c r="AP969">
        <f>IF($AJ969="","",IF($AJ969=0,$AK969*EXP($AL969*-2),$AK969*(1+$AJ969*$AL969*-2)^(1/$AJ969)))</f>
        <v/>
      </c>
      <c r="AQ969">
        <f>IF($AJ969="","",IF($AJ969=0,$AK969*EXP($AL969*-3),$AK969*(1+$AJ969*$AL969*-3)^(1/$AJ969)))</f>
        <v/>
      </c>
      <c r="AR969">
        <f>IF(OR($X969="",$T969&gt;60),"",IFERROR(INDEX(IF($T969&lt;24,pcomp_l,palt_l),MATCH($X969,IF($T969&lt;24,pcomp_k,palt_k),1)),""))</f>
        <v/>
      </c>
      <c r="AS969">
        <f>IF(OR($X969="",$T969&gt;60),"",IFERROR(INDEX(IF($T969&lt;24,pcomp_m,palt_m),MATCH($X969,IF($T969&lt;24,pcomp_k,palt_k),1)),""))</f>
        <v/>
      </c>
      <c r="AT969">
        <f>IF(OR($X969="",$T969&gt;60),"",IFERROR(INDEX(IF($T969&lt;24,pcomp_s,palt_s),MATCH($X969,IF($T969&lt;24,pcomp_k,palt_k),1)),""))</f>
        <v/>
      </c>
      <c r="AU969">
        <f>IF($AR969="","",IF($AR969=0,LN($F969/$AS969)/$AT969,((($F969/$AS969)^$AR969)-1)/($AR969*$AT969)))</f>
        <v/>
      </c>
      <c r="AV969">
        <f>IF($AR969="","",IF($AR969=0,$AS969*EXP($AT969*2),$AS969*(1+$AR969*$AT969*2)^(1/$AR969)))</f>
        <v/>
      </c>
      <c r="AW969">
        <f>IF($AR969="","",IF($AR969=0,$AS969*EXP($AT969*3),$AS969*(1+$AR969*$AT969*3)^(1/$AR969)))</f>
        <v/>
      </c>
      <c r="AX969">
        <f>IF($AR969="","",IF($AR969=0,$AS969*EXP($AT969*-2),$AS969*(1+$AR969*$AT969*-2)^(1/$AR969)))</f>
        <v/>
      </c>
      <c r="AY969">
        <f>IF($AR969="","",IF($AR969=0,$AS969*EXP($AT969*-3),$AS969*(1+$AR969*$AT969*-3)^(1/$AR969)))</f>
        <v/>
      </c>
      <c r="AZ969">
        <f>IF(OR($A969="",$A969&lt;&gt;Ficha!$C$4),"",COUNTIF($A$2:$A969,Ficha!$C$4))</f>
        <v/>
      </c>
    </row>
    <row r="970">
      <c r="A970" s="8">
        <f>IF(INDEX(Banco!$A:$A,ROW())="","",INDEX(Banco!$A:$A,ROW()))</f>
        <v/>
      </c>
      <c r="B970" s="8">
        <f>IF(INDEX(Banco!$B:$B,ROW())="","",INDEX(Banco!$B:$B,ROW()))</f>
        <v/>
      </c>
      <c r="C970" s="8">
        <f>IF(INDEX(Banco!$C:$C,ROW())="","",INDEX(Banco!$C:$C,ROW()))</f>
        <v/>
      </c>
      <c r="D970" s="9">
        <f>IF(INDEX(Banco!$D:$D,ROW())="","",INDEX(Banco!$D:$D,ROW()))</f>
        <v/>
      </c>
      <c r="E970" s="9">
        <f>IF(INDEX(Banco!$E:$E,ROW())="","",INDEX(Banco!$E:$E,ROW()))</f>
        <v/>
      </c>
      <c r="F970" s="10">
        <f>IF(INDEX(Banco!$F:$F,ROW())="","",INDEX(Banco!$F:$F,ROW()))</f>
        <v/>
      </c>
      <c r="G970" s="10">
        <f>IF(INDEX(Banco!$G:$G,ROW())="","",INDEX(Banco!$G:$G,ROW()))</f>
        <v/>
      </c>
      <c r="H970" s="8">
        <f>IF(INDEX(Banco!$H:$H,ROW())="","",INDEX(Banco!$H:$H,ROW()))</f>
        <v/>
      </c>
      <c r="I970">
        <f>IF($T970="","",INT($T970/12)&amp;"a "&amp;MOD($T970,12)&amp;"m")</f>
        <v/>
      </c>
      <c r="J970" s="11">
        <f>IF(OR($F970="",$G970=""),"",ROUND($F970/($G970/100)^2,2))</f>
        <v/>
      </c>
      <c r="K970" s="12">
        <f>IF(OR($S970="",$J970="",$T970="",$T970&lt;0,$T970&gt;228,$Y970=""),"—",ROUND(IF(ABS($AB970)&lt;=3,$AB970,IF($AB970&gt;3,3+($J970-$AD970)/($AD970-$AC970),-3+($J970-$AF970)/($AE970-$AF970))),2))</f>
        <v/>
      </c>
      <c r="L970">
        <f>IF(OR($K970="",$K970="—"),"",IF($T970&lt;=60,IF($K970&lt;-3,"Magreza acentuada",IF($K970&lt;-2,"Magreza",IF($K970&lt;=1,"Eutrofia",IF($K970&lt;=2,"Risco de sobrepeso",IF($K970&lt;=3,"Sobrepeso","Obesidade"))))),IF($K970&lt;-3,"Magreza acentuada",IF($K970&lt;-2,"Magreza",IF($K970&lt;=1,"Eutrofia",IF($K970&lt;=2,"Sobrepeso",IF($K970&lt;=3,"Obesidade","Obesidade grave")))))))</f>
        <v/>
      </c>
      <c r="M970" s="12">
        <f>IF(OR($S970="",$V970="",$T970="",$T970&lt;0,$T970&gt;228,$AG970=""),"—",ROUND(IF($AG970=0,LN($V970/$AH970)/$AI970,((($V970/$AH970)^$AG970)-1)/($AG970*$AI970)),2))</f>
        <v/>
      </c>
      <c r="N970">
        <f>IF(OR($M970="",$M970="—"),"",IF($M970&lt;-3,"Muito baixa",IF($M970&lt;-2,"Baixa","Adequada")))</f>
        <v/>
      </c>
      <c r="O970" s="12">
        <f>IF(OR($S970="",$F970="",$T970="",$T970&lt;0,$T970&gt;120,$AJ970=""),"—",ROUND(IF(ABS($AM970)&lt;=3,$AM970,IF($AM970&gt;3,3+($F970-$AO970)/($AO970-$AN970),-3+($F970-$AQ970)/($AP970-$AQ970))),2))</f>
        <v/>
      </c>
      <c r="P970">
        <f>IF(OR($O970="",$O970="—"),"",IF($O970&lt;-3,"Muito baixo",IF($O970&lt;-2,"Baixo",IF($O970&lt;=2,"Adequado","Elevado"))))</f>
        <v/>
      </c>
      <c r="Q970" s="12">
        <f>IF(OR($S970="",$F970="",$T970="",$T970&lt;0,$T970&gt;60,$AR970=""),"—",ROUND(IF(ABS($AU970)&lt;=3,$AU970,IF($AU970&gt;3,3+($F970-$AW970)/($AW970-$AV970),-3+($F970-$AY970)/($AX970-$AY970))),2))</f>
        <v/>
      </c>
      <c r="R970">
        <f>IF(OR($Q970="",$Q970="—"),"",IF($Q970&lt;-3,"Magreza acentuada",IF($Q970&lt;-2,"Magreza",IF($Q970&lt;=1,"Eutrofia",IF($Q970&lt;=2,"Risco de sobrepeso",IF($Q970&lt;=3,"Sobrepeso","Obesidade"))))))</f>
        <v/>
      </c>
      <c r="S970">
        <f>IF($C970="","",IF(UPPER(LEFT($C970,1))="M",1,IF(UPPER(LEFT($C970,1))="F",2,"")))</f>
        <v/>
      </c>
      <c r="T970">
        <f>IF(OR($D970="",$E970=""),"",DATEDIF($D970,$E970,"m"))</f>
        <v/>
      </c>
      <c r="U970">
        <f>IF(OR($D970="",$E970=""),"",$E970-$D970)</f>
        <v/>
      </c>
      <c r="V970">
        <f>IF(OR($G970="",$T970=""),"",IF($T970&lt;24,IF(LEFT(LOWER($H970),4)="em p",$G970+0.7,$G970),IF(LEFT(LOWER($H970),4)="deit",$G970-0.7,$G970)))</f>
        <v/>
      </c>
      <c r="W970">
        <f>IF(OR($S970="",$T970=""),"",$S970*1000000+IF($T970&lt;=60,$U970,$T970))</f>
        <v/>
      </c>
      <c r="X970">
        <f>IF(OR($S970="",$V970="",$T970&gt;60,$T970=""),"",$S970*1000000+ROUND($V970*10,0))</f>
        <v/>
      </c>
      <c r="Y970">
        <f>IF($W970="","",IFERROR(INDEX(IF($T970&lt;=60,imc05_l,imc519_l),MATCH($W970,IF($T970&lt;=60,imc05_k,imc519_k),1)),""))</f>
        <v/>
      </c>
      <c r="Z970">
        <f>IF($W970="","",IFERROR(INDEX(IF($T970&lt;=60,imc05_m,imc519_m),MATCH($W970,IF($T970&lt;=60,imc05_k,imc519_k),1)),""))</f>
        <v/>
      </c>
      <c r="AA970">
        <f>IF($W970="","",IFERROR(INDEX(IF($T970&lt;=60,imc05_s,imc519_s),MATCH($W970,IF($T970&lt;=60,imc05_k,imc519_k),1)),""))</f>
        <v/>
      </c>
      <c r="AB970">
        <f>IF($Y970="","",IF($Y970=0,LN($J970/$Z970)/$AA970,((($J970/$Z970)^$Y970)-1)/($Y970*$AA970)))</f>
        <v/>
      </c>
      <c r="AC970">
        <f>IF($Y970="","",IF($Y970=0,$Z970*EXP($AA970*2),$Z970*(1+$Y970*$AA970*2)^(1/$Y970)))</f>
        <v/>
      </c>
      <c r="AD970">
        <f>IF($Y970="","",IF($Y970=0,$Z970*EXP($AA970*3),$Z970*(1+$Y970*$AA970*3)^(1/$Y970)))</f>
        <v/>
      </c>
      <c r="AE970">
        <f>IF($Y970="","",IF($Y970=0,$Z970*EXP($AA970*-2),$Z970*(1+$Y970*$AA970*-2)^(1/$Y970)))</f>
        <v/>
      </c>
      <c r="AF970">
        <f>IF($Y970="","",IF($Y970=0,$Z970*EXP($AA970*-3),$Z970*(1+$Y970*$AA970*-3)^(1/$Y970)))</f>
        <v/>
      </c>
      <c r="AG970">
        <f>IF($W970="","",IFERROR(INDEX(IF($T970&lt;=60,est05_l,est519_l),MATCH($W970,IF($T970&lt;=60,est05_k,est519_k),1)),""))</f>
        <v/>
      </c>
      <c r="AH970">
        <f>IF($W970="","",IFERROR(INDEX(IF($T970&lt;=60,est05_m,est519_m),MATCH($W970,IF($T970&lt;=60,est05_k,est519_k),1)),""))</f>
        <v/>
      </c>
      <c r="AI970">
        <f>IF($W970="","",IFERROR(INDEX(IF($T970&lt;=60,est05_s,est519_s),MATCH($W970,IF($T970&lt;=60,est05_k,est519_k),1)),""))</f>
        <v/>
      </c>
      <c r="AJ970">
        <f>IF($W970="","",IFERROR(INDEX(IF($T970&lt;=60,peso05_l,peso510_l),MATCH($W970,IF($T970&lt;=60,peso05_k,peso510_k),1)),""))</f>
        <v/>
      </c>
      <c r="AK970">
        <f>IF($W970="","",IFERROR(INDEX(IF($T970&lt;=60,peso05_m,peso510_m),MATCH($W970,IF($T970&lt;=60,peso05_k,peso510_k),1)),""))</f>
        <v/>
      </c>
      <c r="AL970">
        <f>IF($W970="","",IFERROR(INDEX(IF($T970&lt;=60,peso05_s,peso510_s),MATCH($W970,IF($T970&lt;=60,peso05_k,peso510_k),1)),""))</f>
        <v/>
      </c>
      <c r="AM970">
        <f>IF($AJ970="","",IF($AJ970=0,LN($F970/$AK970)/$AL970,((($F970/$AK970)^$AJ970)-1)/($AJ970*$AL970)))</f>
        <v/>
      </c>
      <c r="AN970">
        <f>IF($AJ970="","",IF($AJ970=0,$AK970*EXP($AL970*2),$AK970*(1+$AJ970*$AL970*2)^(1/$AJ970)))</f>
        <v/>
      </c>
      <c r="AO970">
        <f>IF($AJ970="","",IF($AJ970=0,$AK970*EXP($AL970*3),$AK970*(1+$AJ970*$AL970*3)^(1/$AJ970)))</f>
        <v/>
      </c>
      <c r="AP970">
        <f>IF($AJ970="","",IF($AJ970=0,$AK970*EXP($AL970*-2),$AK970*(1+$AJ970*$AL970*-2)^(1/$AJ970)))</f>
        <v/>
      </c>
      <c r="AQ970">
        <f>IF($AJ970="","",IF($AJ970=0,$AK970*EXP($AL970*-3),$AK970*(1+$AJ970*$AL970*-3)^(1/$AJ970)))</f>
        <v/>
      </c>
      <c r="AR970">
        <f>IF(OR($X970="",$T970&gt;60),"",IFERROR(INDEX(IF($T970&lt;24,pcomp_l,palt_l),MATCH($X970,IF($T970&lt;24,pcomp_k,palt_k),1)),""))</f>
        <v/>
      </c>
      <c r="AS970">
        <f>IF(OR($X970="",$T970&gt;60),"",IFERROR(INDEX(IF($T970&lt;24,pcomp_m,palt_m),MATCH($X970,IF($T970&lt;24,pcomp_k,palt_k),1)),""))</f>
        <v/>
      </c>
      <c r="AT970">
        <f>IF(OR($X970="",$T970&gt;60),"",IFERROR(INDEX(IF($T970&lt;24,pcomp_s,palt_s),MATCH($X970,IF($T970&lt;24,pcomp_k,palt_k),1)),""))</f>
        <v/>
      </c>
      <c r="AU970">
        <f>IF($AR970="","",IF($AR970=0,LN($F970/$AS970)/$AT970,((($F970/$AS970)^$AR970)-1)/($AR970*$AT970)))</f>
        <v/>
      </c>
      <c r="AV970">
        <f>IF($AR970="","",IF($AR970=0,$AS970*EXP($AT970*2),$AS970*(1+$AR970*$AT970*2)^(1/$AR970)))</f>
        <v/>
      </c>
      <c r="AW970">
        <f>IF($AR970="","",IF($AR970=0,$AS970*EXP($AT970*3),$AS970*(1+$AR970*$AT970*3)^(1/$AR970)))</f>
        <v/>
      </c>
      <c r="AX970">
        <f>IF($AR970="","",IF($AR970=0,$AS970*EXP($AT970*-2),$AS970*(1+$AR970*$AT970*-2)^(1/$AR970)))</f>
        <v/>
      </c>
      <c r="AY970">
        <f>IF($AR970="","",IF($AR970=0,$AS970*EXP($AT970*-3),$AS970*(1+$AR970*$AT970*-3)^(1/$AR970)))</f>
        <v/>
      </c>
      <c r="AZ970">
        <f>IF(OR($A970="",$A970&lt;&gt;Ficha!$C$4),"",COUNTIF($A$2:$A970,Ficha!$C$4))</f>
        <v/>
      </c>
    </row>
    <row r="971">
      <c r="A971" s="8">
        <f>IF(INDEX(Banco!$A:$A,ROW())="","",INDEX(Banco!$A:$A,ROW()))</f>
        <v/>
      </c>
      <c r="B971" s="8">
        <f>IF(INDEX(Banco!$B:$B,ROW())="","",INDEX(Banco!$B:$B,ROW()))</f>
        <v/>
      </c>
      <c r="C971" s="8">
        <f>IF(INDEX(Banco!$C:$C,ROW())="","",INDEX(Banco!$C:$C,ROW()))</f>
        <v/>
      </c>
      <c r="D971" s="9">
        <f>IF(INDEX(Banco!$D:$D,ROW())="","",INDEX(Banco!$D:$D,ROW()))</f>
        <v/>
      </c>
      <c r="E971" s="9">
        <f>IF(INDEX(Banco!$E:$E,ROW())="","",INDEX(Banco!$E:$E,ROW()))</f>
        <v/>
      </c>
      <c r="F971" s="10">
        <f>IF(INDEX(Banco!$F:$F,ROW())="","",INDEX(Banco!$F:$F,ROW()))</f>
        <v/>
      </c>
      <c r="G971" s="10">
        <f>IF(INDEX(Banco!$G:$G,ROW())="","",INDEX(Banco!$G:$G,ROW()))</f>
        <v/>
      </c>
      <c r="H971" s="8">
        <f>IF(INDEX(Banco!$H:$H,ROW())="","",INDEX(Banco!$H:$H,ROW()))</f>
        <v/>
      </c>
      <c r="I971">
        <f>IF($T971="","",INT($T971/12)&amp;"a "&amp;MOD($T971,12)&amp;"m")</f>
        <v/>
      </c>
      <c r="J971" s="11">
        <f>IF(OR($F971="",$G971=""),"",ROUND($F971/($G971/100)^2,2))</f>
        <v/>
      </c>
      <c r="K971" s="12">
        <f>IF(OR($S971="",$J971="",$T971="",$T971&lt;0,$T971&gt;228,$Y971=""),"—",ROUND(IF(ABS($AB971)&lt;=3,$AB971,IF($AB971&gt;3,3+($J971-$AD971)/($AD971-$AC971),-3+($J971-$AF971)/($AE971-$AF971))),2))</f>
        <v/>
      </c>
      <c r="L971">
        <f>IF(OR($K971="",$K971="—"),"",IF($T971&lt;=60,IF($K971&lt;-3,"Magreza acentuada",IF($K971&lt;-2,"Magreza",IF($K971&lt;=1,"Eutrofia",IF($K971&lt;=2,"Risco de sobrepeso",IF($K971&lt;=3,"Sobrepeso","Obesidade"))))),IF($K971&lt;-3,"Magreza acentuada",IF($K971&lt;-2,"Magreza",IF($K971&lt;=1,"Eutrofia",IF($K971&lt;=2,"Sobrepeso",IF($K971&lt;=3,"Obesidade","Obesidade grave")))))))</f>
        <v/>
      </c>
      <c r="M971" s="12">
        <f>IF(OR($S971="",$V971="",$T971="",$T971&lt;0,$T971&gt;228,$AG971=""),"—",ROUND(IF($AG971=0,LN($V971/$AH971)/$AI971,((($V971/$AH971)^$AG971)-1)/($AG971*$AI971)),2))</f>
        <v/>
      </c>
      <c r="N971">
        <f>IF(OR($M971="",$M971="—"),"",IF($M971&lt;-3,"Muito baixa",IF($M971&lt;-2,"Baixa","Adequada")))</f>
        <v/>
      </c>
      <c r="O971" s="12">
        <f>IF(OR($S971="",$F971="",$T971="",$T971&lt;0,$T971&gt;120,$AJ971=""),"—",ROUND(IF(ABS($AM971)&lt;=3,$AM971,IF($AM971&gt;3,3+($F971-$AO971)/($AO971-$AN971),-3+($F971-$AQ971)/($AP971-$AQ971))),2))</f>
        <v/>
      </c>
      <c r="P971">
        <f>IF(OR($O971="",$O971="—"),"",IF($O971&lt;-3,"Muito baixo",IF($O971&lt;-2,"Baixo",IF($O971&lt;=2,"Adequado","Elevado"))))</f>
        <v/>
      </c>
      <c r="Q971" s="12">
        <f>IF(OR($S971="",$F971="",$T971="",$T971&lt;0,$T971&gt;60,$AR971=""),"—",ROUND(IF(ABS($AU971)&lt;=3,$AU971,IF($AU971&gt;3,3+($F971-$AW971)/($AW971-$AV971),-3+($F971-$AY971)/($AX971-$AY971))),2))</f>
        <v/>
      </c>
      <c r="R971">
        <f>IF(OR($Q971="",$Q971="—"),"",IF($Q971&lt;-3,"Magreza acentuada",IF($Q971&lt;-2,"Magreza",IF($Q971&lt;=1,"Eutrofia",IF($Q971&lt;=2,"Risco de sobrepeso",IF($Q971&lt;=3,"Sobrepeso","Obesidade"))))))</f>
        <v/>
      </c>
      <c r="S971">
        <f>IF($C971="","",IF(UPPER(LEFT($C971,1))="M",1,IF(UPPER(LEFT($C971,1))="F",2,"")))</f>
        <v/>
      </c>
      <c r="T971">
        <f>IF(OR($D971="",$E971=""),"",DATEDIF($D971,$E971,"m"))</f>
        <v/>
      </c>
      <c r="U971">
        <f>IF(OR($D971="",$E971=""),"",$E971-$D971)</f>
        <v/>
      </c>
      <c r="V971">
        <f>IF(OR($G971="",$T971=""),"",IF($T971&lt;24,IF(LEFT(LOWER($H971),4)="em p",$G971+0.7,$G971),IF(LEFT(LOWER($H971),4)="deit",$G971-0.7,$G971)))</f>
        <v/>
      </c>
      <c r="W971">
        <f>IF(OR($S971="",$T971=""),"",$S971*1000000+IF($T971&lt;=60,$U971,$T971))</f>
        <v/>
      </c>
      <c r="X971">
        <f>IF(OR($S971="",$V971="",$T971&gt;60,$T971=""),"",$S971*1000000+ROUND($V971*10,0))</f>
        <v/>
      </c>
      <c r="Y971">
        <f>IF($W971="","",IFERROR(INDEX(IF($T971&lt;=60,imc05_l,imc519_l),MATCH($W971,IF($T971&lt;=60,imc05_k,imc519_k),1)),""))</f>
        <v/>
      </c>
      <c r="Z971">
        <f>IF($W971="","",IFERROR(INDEX(IF($T971&lt;=60,imc05_m,imc519_m),MATCH($W971,IF($T971&lt;=60,imc05_k,imc519_k),1)),""))</f>
        <v/>
      </c>
      <c r="AA971">
        <f>IF($W971="","",IFERROR(INDEX(IF($T971&lt;=60,imc05_s,imc519_s),MATCH($W971,IF($T971&lt;=60,imc05_k,imc519_k),1)),""))</f>
        <v/>
      </c>
      <c r="AB971">
        <f>IF($Y971="","",IF($Y971=0,LN($J971/$Z971)/$AA971,((($J971/$Z971)^$Y971)-1)/($Y971*$AA971)))</f>
        <v/>
      </c>
      <c r="AC971">
        <f>IF($Y971="","",IF($Y971=0,$Z971*EXP($AA971*2),$Z971*(1+$Y971*$AA971*2)^(1/$Y971)))</f>
        <v/>
      </c>
      <c r="AD971">
        <f>IF($Y971="","",IF($Y971=0,$Z971*EXP($AA971*3),$Z971*(1+$Y971*$AA971*3)^(1/$Y971)))</f>
        <v/>
      </c>
      <c r="AE971">
        <f>IF($Y971="","",IF($Y971=0,$Z971*EXP($AA971*-2),$Z971*(1+$Y971*$AA971*-2)^(1/$Y971)))</f>
        <v/>
      </c>
      <c r="AF971">
        <f>IF($Y971="","",IF($Y971=0,$Z971*EXP($AA971*-3),$Z971*(1+$Y971*$AA971*-3)^(1/$Y971)))</f>
        <v/>
      </c>
      <c r="AG971">
        <f>IF($W971="","",IFERROR(INDEX(IF($T971&lt;=60,est05_l,est519_l),MATCH($W971,IF($T971&lt;=60,est05_k,est519_k),1)),""))</f>
        <v/>
      </c>
      <c r="AH971">
        <f>IF($W971="","",IFERROR(INDEX(IF($T971&lt;=60,est05_m,est519_m),MATCH($W971,IF($T971&lt;=60,est05_k,est519_k),1)),""))</f>
        <v/>
      </c>
      <c r="AI971">
        <f>IF($W971="","",IFERROR(INDEX(IF($T971&lt;=60,est05_s,est519_s),MATCH($W971,IF($T971&lt;=60,est05_k,est519_k),1)),""))</f>
        <v/>
      </c>
      <c r="AJ971">
        <f>IF($W971="","",IFERROR(INDEX(IF($T971&lt;=60,peso05_l,peso510_l),MATCH($W971,IF($T971&lt;=60,peso05_k,peso510_k),1)),""))</f>
        <v/>
      </c>
      <c r="AK971">
        <f>IF($W971="","",IFERROR(INDEX(IF($T971&lt;=60,peso05_m,peso510_m),MATCH($W971,IF($T971&lt;=60,peso05_k,peso510_k),1)),""))</f>
        <v/>
      </c>
      <c r="AL971">
        <f>IF($W971="","",IFERROR(INDEX(IF($T971&lt;=60,peso05_s,peso510_s),MATCH($W971,IF($T971&lt;=60,peso05_k,peso510_k),1)),""))</f>
        <v/>
      </c>
      <c r="AM971">
        <f>IF($AJ971="","",IF($AJ971=0,LN($F971/$AK971)/$AL971,((($F971/$AK971)^$AJ971)-1)/($AJ971*$AL971)))</f>
        <v/>
      </c>
      <c r="AN971">
        <f>IF($AJ971="","",IF($AJ971=0,$AK971*EXP($AL971*2),$AK971*(1+$AJ971*$AL971*2)^(1/$AJ971)))</f>
        <v/>
      </c>
      <c r="AO971">
        <f>IF($AJ971="","",IF($AJ971=0,$AK971*EXP($AL971*3),$AK971*(1+$AJ971*$AL971*3)^(1/$AJ971)))</f>
        <v/>
      </c>
      <c r="AP971">
        <f>IF($AJ971="","",IF($AJ971=0,$AK971*EXP($AL971*-2),$AK971*(1+$AJ971*$AL971*-2)^(1/$AJ971)))</f>
        <v/>
      </c>
      <c r="AQ971">
        <f>IF($AJ971="","",IF($AJ971=0,$AK971*EXP($AL971*-3),$AK971*(1+$AJ971*$AL971*-3)^(1/$AJ971)))</f>
        <v/>
      </c>
      <c r="AR971">
        <f>IF(OR($X971="",$T971&gt;60),"",IFERROR(INDEX(IF($T971&lt;24,pcomp_l,palt_l),MATCH($X971,IF($T971&lt;24,pcomp_k,palt_k),1)),""))</f>
        <v/>
      </c>
      <c r="AS971">
        <f>IF(OR($X971="",$T971&gt;60),"",IFERROR(INDEX(IF($T971&lt;24,pcomp_m,palt_m),MATCH($X971,IF($T971&lt;24,pcomp_k,palt_k),1)),""))</f>
        <v/>
      </c>
      <c r="AT971">
        <f>IF(OR($X971="",$T971&gt;60),"",IFERROR(INDEX(IF($T971&lt;24,pcomp_s,palt_s),MATCH($X971,IF($T971&lt;24,pcomp_k,palt_k),1)),""))</f>
        <v/>
      </c>
      <c r="AU971">
        <f>IF($AR971="","",IF($AR971=0,LN($F971/$AS971)/$AT971,((($F971/$AS971)^$AR971)-1)/($AR971*$AT971)))</f>
        <v/>
      </c>
      <c r="AV971">
        <f>IF($AR971="","",IF($AR971=0,$AS971*EXP($AT971*2),$AS971*(1+$AR971*$AT971*2)^(1/$AR971)))</f>
        <v/>
      </c>
      <c r="AW971">
        <f>IF($AR971="","",IF($AR971=0,$AS971*EXP($AT971*3),$AS971*(1+$AR971*$AT971*3)^(1/$AR971)))</f>
        <v/>
      </c>
      <c r="AX971">
        <f>IF($AR971="","",IF($AR971=0,$AS971*EXP($AT971*-2),$AS971*(1+$AR971*$AT971*-2)^(1/$AR971)))</f>
        <v/>
      </c>
      <c r="AY971">
        <f>IF($AR971="","",IF($AR971=0,$AS971*EXP($AT971*-3),$AS971*(1+$AR971*$AT971*-3)^(1/$AR971)))</f>
        <v/>
      </c>
      <c r="AZ971">
        <f>IF(OR($A971="",$A971&lt;&gt;Ficha!$C$4),"",COUNTIF($A$2:$A971,Ficha!$C$4))</f>
        <v/>
      </c>
    </row>
    <row r="972">
      <c r="A972" s="8">
        <f>IF(INDEX(Banco!$A:$A,ROW())="","",INDEX(Banco!$A:$A,ROW()))</f>
        <v/>
      </c>
      <c r="B972" s="8">
        <f>IF(INDEX(Banco!$B:$B,ROW())="","",INDEX(Banco!$B:$B,ROW()))</f>
        <v/>
      </c>
      <c r="C972" s="8">
        <f>IF(INDEX(Banco!$C:$C,ROW())="","",INDEX(Banco!$C:$C,ROW()))</f>
        <v/>
      </c>
      <c r="D972" s="9">
        <f>IF(INDEX(Banco!$D:$D,ROW())="","",INDEX(Banco!$D:$D,ROW()))</f>
        <v/>
      </c>
      <c r="E972" s="9">
        <f>IF(INDEX(Banco!$E:$E,ROW())="","",INDEX(Banco!$E:$E,ROW()))</f>
        <v/>
      </c>
      <c r="F972" s="10">
        <f>IF(INDEX(Banco!$F:$F,ROW())="","",INDEX(Banco!$F:$F,ROW()))</f>
        <v/>
      </c>
      <c r="G972" s="10">
        <f>IF(INDEX(Banco!$G:$G,ROW())="","",INDEX(Banco!$G:$G,ROW()))</f>
        <v/>
      </c>
      <c r="H972" s="8">
        <f>IF(INDEX(Banco!$H:$H,ROW())="","",INDEX(Banco!$H:$H,ROW()))</f>
        <v/>
      </c>
      <c r="I972">
        <f>IF($T972="","",INT($T972/12)&amp;"a "&amp;MOD($T972,12)&amp;"m")</f>
        <v/>
      </c>
      <c r="J972" s="11">
        <f>IF(OR($F972="",$G972=""),"",ROUND($F972/($G972/100)^2,2))</f>
        <v/>
      </c>
      <c r="K972" s="12">
        <f>IF(OR($S972="",$J972="",$T972="",$T972&lt;0,$T972&gt;228,$Y972=""),"—",ROUND(IF(ABS($AB972)&lt;=3,$AB972,IF($AB972&gt;3,3+($J972-$AD972)/($AD972-$AC972),-3+($J972-$AF972)/($AE972-$AF972))),2))</f>
        <v/>
      </c>
      <c r="L972">
        <f>IF(OR($K972="",$K972="—"),"",IF($T972&lt;=60,IF($K972&lt;-3,"Magreza acentuada",IF($K972&lt;-2,"Magreza",IF($K972&lt;=1,"Eutrofia",IF($K972&lt;=2,"Risco de sobrepeso",IF($K972&lt;=3,"Sobrepeso","Obesidade"))))),IF($K972&lt;-3,"Magreza acentuada",IF($K972&lt;-2,"Magreza",IF($K972&lt;=1,"Eutrofia",IF($K972&lt;=2,"Sobrepeso",IF($K972&lt;=3,"Obesidade","Obesidade grave")))))))</f>
        <v/>
      </c>
      <c r="M972" s="12">
        <f>IF(OR($S972="",$V972="",$T972="",$T972&lt;0,$T972&gt;228,$AG972=""),"—",ROUND(IF($AG972=0,LN($V972/$AH972)/$AI972,((($V972/$AH972)^$AG972)-1)/($AG972*$AI972)),2))</f>
        <v/>
      </c>
      <c r="N972">
        <f>IF(OR($M972="",$M972="—"),"",IF($M972&lt;-3,"Muito baixa",IF($M972&lt;-2,"Baixa","Adequada")))</f>
        <v/>
      </c>
      <c r="O972" s="12">
        <f>IF(OR($S972="",$F972="",$T972="",$T972&lt;0,$T972&gt;120,$AJ972=""),"—",ROUND(IF(ABS($AM972)&lt;=3,$AM972,IF($AM972&gt;3,3+($F972-$AO972)/($AO972-$AN972),-3+($F972-$AQ972)/($AP972-$AQ972))),2))</f>
        <v/>
      </c>
      <c r="P972">
        <f>IF(OR($O972="",$O972="—"),"",IF($O972&lt;-3,"Muito baixo",IF($O972&lt;-2,"Baixo",IF($O972&lt;=2,"Adequado","Elevado"))))</f>
        <v/>
      </c>
      <c r="Q972" s="12">
        <f>IF(OR($S972="",$F972="",$T972="",$T972&lt;0,$T972&gt;60,$AR972=""),"—",ROUND(IF(ABS($AU972)&lt;=3,$AU972,IF($AU972&gt;3,3+($F972-$AW972)/($AW972-$AV972),-3+($F972-$AY972)/($AX972-$AY972))),2))</f>
        <v/>
      </c>
      <c r="R972">
        <f>IF(OR($Q972="",$Q972="—"),"",IF($Q972&lt;-3,"Magreza acentuada",IF($Q972&lt;-2,"Magreza",IF($Q972&lt;=1,"Eutrofia",IF($Q972&lt;=2,"Risco de sobrepeso",IF($Q972&lt;=3,"Sobrepeso","Obesidade"))))))</f>
        <v/>
      </c>
      <c r="S972">
        <f>IF($C972="","",IF(UPPER(LEFT($C972,1))="M",1,IF(UPPER(LEFT($C972,1))="F",2,"")))</f>
        <v/>
      </c>
      <c r="T972">
        <f>IF(OR($D972="",$E972=""),"",DATEDIF($D972,$E972,"m"))</f>
        <v/>
      </c>
      <c r="U972">
        <f>IF(OR($D972="",$E972=""),"",$E972-$D972)</f>
        <v/>
      </c>
      <c r="V972">
        <f>IF(OR($G972="",$T972=""),"",IF($T972&lt;24,IF(LEFT(LOWER($H972),4)="em p",$G972+0.7,$G972),IF(LEFT(LOWER($H972),4)="deit",$G972-0.7,$G972)))</f>
        <v/>
      </c>
      <c r="W972">
        <f>IF(OR($S972="",$T972=""),"",$S972*1000000+IF($T972&lt;=60,$U972,$T972))</f>
        <v/>
      </c>
      <c r="X972">
        <f>IF(OR($S972="",$V972="",$T972&gt;60,$T972=""),"",$S972*1000000+ROUND($V972*10,0))</f>
        <v/>
      </c>
      <c r="Y972">
        <f>IF($W972="","",IFERROR(INDEX(IF($T972&lt;=60,imc05_l,imc519_l),MATCH($W972,IF($T972&lt;=60,imc05_k,imc519_k),1)),""))</f>
        <v/>
      </c>
      <c r="Z972">
        <f>IF($W972="","",IFERROR(INDEX(IF($T972&lt;=60,imc05_m,imc519_m),MATCH($W972,IF($T972&lt;=60,imc05_k,imc519_k),1)),""))</f>
        <v/>
      </c>
      <c r="AA972">
        <f>IF($W972="","",IFERROR(INDEX(IF($T972&lt;=60,imc05_s,imc519_s),MATCH($W972,IF($T972&lt;=60,imc05_k,imc519_k),1)),""))</f>
        <v/>
      </c>
      <c r="AB972">
        <f>IF($Y972="","",IF($Y972=0,LN($J972/$Z972)/$AA972,((($J972/$Z972)^$Y972)-1)/($Y972*$AA972)))</f>
        <v/>
      </c>
      <c r="AC972">
        <f>IF($Y972="","",IF($Y972=0,$Z972*EXP($AA972*2),$Z972*(1+$Y972*$AA972*2)^(1/$Y972)))</f>
        <v/>
      </c>
      <c r="AD972">
        <f>IF($Y972="","",IF($Y972=0,$Z972*EXP($AA972*3),$Z972*(1+$Y972*$AA972*3)^(1/$Y972)))</f>
        <v/>
      </c>
      <c r="AE972">
        <f>IF($Y972="","",IF($Y972=0,$Z972*EXP($AA972*-2),$Z972*(1+$Y972*$AA972*-2)^(1/$Y972)))</f>
        <v/>
      </c>
      <c r="AF972">
        <f>IF($Y972="","",IF($Y972=0,$Z972*EXP($AA972*-3),$Z972*(1+$Y972*$AA972*-3)^(1/$Y972)))</f>
        <v/>
      </c>
      <c r="AG972">
        <f>IF($W972="","",IFERROR(INDEX(IF($T972&lt;=60,est05_l,est519_l),MATCH($W972,IF($T972&lt;=60,est05_k,est519_k),1)),""))</f>
        <v/>
      </c>
      <c r="AH972">
        <f>IF($W972="","",IFERROR(INDEX(IF($T972&lt;=60,est05_m,est519_m),MATCH($W972,IF($T972&lt;=60,est05_k,est519_k),1)),""))</f>
        <v/>
      </c>
      <c r="AI972">
        <f>IF($W972="","",IFERROR(INDEX(IF($T972&lt;=60,est05_s,est519_s),MATCH($W972,IF($T972&lt;=60,est05_k,est519_k),1)),""))</f>
        <v/>
      </c>
      <c r="AJ972">
        <f>IF($W972="","",IFERROR(INDEX(IF($T972&lt;=60,peso05_l,peso510_l),MATCH($W972,IF($T972&lt;=60,peso05_k,peso510_k),1)),""))</f>
        <v/>
      </c>
      <c r="AK972">
        <f>IF($W972="","",IFERROR(INDEX(IF($T972&lt;=60,peso05_m,peso510_m),MATCH($W972,IF($T972&lt;=60,peso05_k,peso510_k),1)),""))</f>
        <v/>
      </c>
      <c r="AL972">
        <f>IF($W972="","",IFERROR(INDEX(IF($T972&lt;=60,peso05_s,peso510_s),MATCH($W972,IF($T972&lt;=60,peso05_k,peso510_k),1)),""))</f>
        <v/>
      </c>
      <c r="AM972">
        <f>IF($AJ972="","",IF($AJ972=0,LN($F972/$AK972)/$AL972,((($F972/$AK972)^$AJ972)-1)/($AJ972*$AL972)))</f>
        <v/>
      </c>
      <c r="AN972">
        <f>IF($AJ972="","",IF($AJ972=0,$AK972*EXP($AL972*2),$AK972*(1+$AJ972*$AL972*2)^(1/$AJ972)))</f>
        <v/>
      </c>
      <c r="AO972">
        <f>IF($AJ972="","",IF($AJ972=0,$AK972*EXP($AL972*3),$AK972*(1+$AJ972*$AL972*3)^(1/$AJ972)))</f>
        <v/>
      </c>
      <c r="AP972">
        <f>IF($AJ972="","",IF($AJ972=0,$AK972*EXP($AL972*-2),$AK972*(1+$AJ972*$AL972*-2)^(1/$AJ972)))</f>
        <v/>
      </c>
      <c r="AQ972">
        <f>IF($AJ972="","",IF($AJ972=0,$AK972*EXP($AL972*-3),$AK972*(1+$AJ972*$AL972*-3)^(1/$AJ972)))</f>
        <v/>
      </c>
      <c r="AR972">
        <f>IF(OR($X972="",$T972&gt;60),"",IFERROR(INDEX(IF($T972&lt;24,pcomp_l,palt_l),MATCH($X972,IF($T972&lt;24,pcomp_k,palt_k),1)),""))</f>
        <v/>
      </c>
      <c r="AS972">
        <f>IF(OR($X972="",$T972&gt;60),"",IFERROR(INDEX(IF($T972&lt;24,pcomp_m,palt_m),MATCH($X972,IF($T972&lt;24,pcomp_k,palt_k),1)),""))</f>
        <v/>
      </c>
      <c r="AT972">
        <f>IF(OR($X972="",$T972&gt;60),"",IFERROR(INDEX(IF($T972&lt;24,pcomp_s,palt_s),MATCH($X972,IF($T972&lt;24,pcomp_k,palt_k),1)),""))</f>
        <v/>
      </c>
      <c r="AU972">
        <f>IF($AR972="","",IF($AR972=0,LN($F972/$AS972)/$AT972,((($F972/$AS972)^$AR972)-1)/($AR972*$AT972)))</f>
        <v/>
      </c>
      <c r="AV972">
        <f>IF($AR972="","",IF($AR972=0,$AS972*EXP($AT972*2),$AS972*(1+$AR972*$AT972*2)^(1/$AR972)))</f>
        <v/>
      </c>
      <c r="AW972">
        <f>IF($AR972="","",IF($AR972=0,$AS972*EXP($AT972*3),$AS972*(1+$AR972*$AT972*3)^(1/$AR972)))</f>
        <v/>
      </c>
      <c r="AX972">
        <f>IF($AR972="","",IF($AR972=0,$AS972*EXP($AT972*-2),$AS972*(1+$AR972*$AT972*-2)^(1/$AR972)))</f>
        <v/>
      </c>
      <c r="AY972">
        <f>IF($AR972="","",IF($AR972=0,$AS972*EXP($AT972*-3),$AS972*(1+$AR972*$AT972*-3)^(1/$AR972)))</f>
        <v/>
      </c>
      <c r="AZ972">
        <f>IF(OR($A972="",$A972&lt;&gt;Ficha!$C$4),"",COUNTIF($A$2:$A972,Ficha!$C$4))</f>
        <v/>
      </c>
    </row>
    <row r="973">
      <c r="A973" s="8">
        <f>IF(INDEX(Banco!$A:$A,ROW())="","",INDEX(Banco!$A:$A,ROW()))</f>
        <v/>
      </c>
      <c r="B973" s="8">
        <f>IF(INDEX(Banco!$B:$B,ROW())="","",INDEX(Banco!$B:$B,ROW()))</f>
        <v/>
      </c>
      <c r="C973" s="8">
        <f>IF(INDEX(Banco!$C:$C,ROW())="","",INDEX(Banco!$C:$C,ROW()))</f>
        <v/>
      </c>
      <c r="D973" s="9">
        <f>IF(INDEX(Banco!$D:$D,ROW())="","",INDEX(Banco!$D:$D,ROW()))</f>
        <v/>
      </c>
      <c r="E973" s="9">
        <f>IF(INDEX(Banco!$E:$E,ROW())="","",INDEX(Banco!$E:$E,ROW()))</f>
        <v/>
      </c>
      <c r="F973" s="10">
        <f>IF(INDEX(Banco!$F:$F,ROW())="","",INDEX(Banco!$F:$F,ROW()))</f>
        <v/>
      </c>
      <c r="G973" s="10">
        <f>IF(INDEX(Banco!$G:$G,ROW())="","",INDEX(Banco!$G:$G,ROW()))</f>
        <v/>
      </c>
      <c r="H973" s="8">
        <f>IF(INDEX(Banco!$H:$H,ROW())="","",INDEX(Banco!$H:$H,ROW()))</f>
        <v/>
      </c>
      <c r="I973">
        <f>IF($T973="","",INT($T973/12)&amp;"a "&amp;MOD($T973,12)&amp;"m")</f>
        <v/>
      </c>
      <c r="J973" s="11">
        <f>IF(OR($F973="",$G973=""),"",ROUND($F973/($G973/100)^2,2))</f>
        <v/>
      </c>
      <c r="K973" s="12">
        <f>IF(OR($S973="",$J973="",$T973="",$T973&lt;0,$T973&gt;228,$Y973=""),"—",ROUND(IF(ABS($AB973)&lt;=3,$AB973,IF($AB973&gt;3,3+($J973-$AD973)/($AD973-$AC973),-3+($J973-$AF973)/($AE973-$AF973))),2))</f>
        <v/>
      </c>
      <c r="L973">
        <f>IF(OR($K973="",$K973="—"),"",IF($T973&lt;=60,IF($K973&lt;-3,"Magreza acentuada",IF($K973&lt;-2,"Magreza",IF($K973&lt;=1,"Eutrofia",IF($K973&lt;=2,"Risco de sobrepeso",IF($K973&lt;=3,"Sobrepeso","Obesidade"))))),IF($K973&lt;-3,"Magreza acentuada",IF($K973&lt;-2,"Magreza",IF($K973&lt;=1,"Eutrofia",IF($K973&lt;=2,"Sobrepeso",IF($K973&lt;=3,"Obesidade","Obesidade grave")))))))</f>
        <v/>
      </c>
      <c r="M973" s="12">
        <f>IF(OR($S973="",$V973="",$T973="",$T973&lt;0,$T973&gt;228,$AG973=""),"—",ROUND(IF($AG973=0,LN($V973/$AH973)/$AI973,((($V973/$AH973)^$AG973)-1)/($AG973*$AI973)),2))</f>
        <v/>
      </c>
      <c r="N973">
        <f>IF(OR($M973="",$M973="—"),"",IF($M973&lt;-3,"Muito baixa",IF($M973&lt;-2,"Baixa","Adequada")))</f>
        <v/>
      </c>
      <c r="O973" s="12">
        <f>IF(OR($S973="",$F973="",$T973="",$T973&lt;0,$T973&gt;120,$AJ973=""),"—",ROUND(IF(ABS($AM973)&lt;=3,$AM973,IF($AM973&gt;3,3+($F973-$AO973)/($AO973-$AN973),-3+($F973-$AQ973)/($AP973-$AQ973))),2))</f>
        <v/>
      </c>
      <c r="P973">
        <f>IF(OR($O973="",$O973="—"),"",IF($O973&lt;-3,"Muito baixo",IF($O973&lt;-2,"Baixo",IF($O973&lt;=2,"Adequado","Elevado"))))</f>
        <v/>
      </c>
      <c r="Q973" s="12">
        <f>IF(OR($S973="",$F973="",$T973="",$T973&lt;0,$T973&gt;60,$AR973=""),"—",ROUND(IF(ABS($AU973)&lt;=3,$AU973,IF($AU973&gt;3,3+($F973-$AW973)/($AW973-$AV973),-3+($F973-$AY973)/($AX973-$AY973))),2))</f>
        <v/>
      </c>
      <c r="R973">
        <f>IF(OR($Q973="",$Q973="—"),"",IF($Q973&lt;-3,"Magreza acentuada",IF($Q973&lt;-2,"Magreza",IF($Q973&lt;=1,"Eutrofia",IF($Q973&lt;=2,"Risco de sobrepeso",IF($Q973&lt;=3,"Sobrepeso","Obesidade"))))))</f>
        <v/>
      </c>
      <c r="S973">
        <f>IF($C973="","",IF(UPPER(LEFT($C973,1))="M",1,IF(UPPER(LEFT($C973,1))="F",2,"")))</f>
        <v/>
      </c>
      <c r="T973">
        <f>IF(OR($D973="",$E973=""),"",DATEDIF($D973,$E973,"m"))</f>
        <v/>
      </c>
      <c r="U973">
        <f>IF(OR($D973="",$E973=""),"",$E973-$D973)</f>
        <v/>
      </c>
      <c r="V973">
        <f>IF(OR($G973="",$T973=""),"",IF($T973&lt;24,IF(LEFT(LOWER($H973),4)="em p",$G973+0.7,$G973),IF(LEFT(LOWER($H973),4)="deit",$G973-0.7,$G973)))</f>
        <v/>
      </c>
      <c r="W973">
        <f>IF(OR($S973="",$T973=""),"",$S973*1000000+IF($T973&lt;=60,$U973,$T973))</f>
        <v/>
      </c>
      <c r="X973">
        <f>IF(OR($S973="",$V973="",$T973&gt;60,$T973=""),"",$S973*1000000+ROUND($V973*10,0))</f>
        <v/>
      </c>
      <c r="Y973">
        <f>IF($W973="","",IFERROR(INDEX(IF($T973&lt;=60,imc05_l,imc519_l),MATCH($W973,IF($T973&lt;=60,imc05_k,imc519_k),1)),""))</f>
        <v/>
      </c>
      <c r="Z973">
        <f>IF($W973="","",IFERROR(INDEX(IF($T973&lt;=60,imc05_m,imc519_m),MATCH($W973,IF($T973&lt;=60,imc05_k,imc519_k),1)),""))</f>
        <v/>
      </c>
      <c r="AA973">
        <f>IF($W973="","",IFERROR(INDEX(IF($T973&lt;=60,imc05_s,imc519_s),MATCH($W973,IF($T973&lt;=60,imc05_k,imc519_k),1)),""))</f>
        <v/>
      </c>
      <c r="AB973">
        <f>IF($Y973="","",IF($Y973=0,LN($J973/$Z973)/$AA973,((($J973/$Z973)^$Y973)-1)/($Y973*$AA973)))</f>
        <v/>
      </c>
      <c r="AC973">
        <f>IF($Y973="","",IF($Y973=0,$Z973*EXP($AA973*2),$Z973*(1+$Y973*$AA973*2)^(1/$Y973)))</f>
        <v/>
      </c>
      <c r="AD973">
        <f>IF($Y973="","",IF($Y973=0,$Z973*EXP($AA973*3),$Z973*(1+$Y973*$AA973*3)^(1/$Y973)))</f>
        <v/>
      </c>
      <c r="AE973">
        <f>IF($Y973="","",IF($Y973=0,$Z973*EXP($AA973*-2),$Z973*(1+$Y973*$AA973*-2)^(1/$Y973)))</f>
        <v/>
      </c>
      <c r="AF973">
        <f>IF($Y973="","",IF($Y973=0,$Z973*EXP($AA973*-3),$Z973*(1+$Y973*$AA973*-3)^(1/$Y973)))</f>
        <v/>
      </c>
      <c r="AG973">
        <f>IF($W973="","",IFERROR(INDEX(IF($T973&lt;=60,est05_l,est519_l),MATCH($W973,IF($T973&lt;=60,est05_k,est519_k),1)),""))</f>
        <v/>
      </c>
      <c r="AH973">
        <f>IF($W973="","",IFERROR(INDEX(IF($T973&lt;=60,est05_m,est519_m),MATCH($W973,IF($T973&lt;=60,est05_k,est519_k),1)),""))</f>
        <v/>
      </c>
      <c r="AI973">
        <f>IF($W973="","",IFERROR(INDEX(IF($T973&lt;=60,est05_s,est519_s),MATCH($W973,IF($T973&lt;=60,est05_k,est519_k),1)),""))</f>
        <v/>
      </c>
      <c r="AJ973">
        <f>IF($W973="","",IFERROR(INDEX(IF($T973&lt;=60,peso05_l,peso510_l),MATCH($W973,IF($T973&lt;=60,peso05_k,peso510_k),1)),""))</f>
        <v/>
      </c>
      <c r="AK973">
        <f>IF($W973="","",IFERROR(INDEX(IF($T973&lt;=60,peso05_m,peso510_m),MATCH($W973,IF($T973&lt;=60,peso05_k,peso510_k),1)),""))</f>
        <v/>
      </c>
      <c r="AL973">
        <f>IF($W973="","",IFERROR(INDEX(IF($T973&lt;=60,peso05_s,peso510_s),MATCH($W973,IF($T973&lt;=60,peso05_k,peso510_k),1)),""))</f>
        <v/>
      </c>
      <c r="AM973">
        <f>IF($AJ973="","",IF($AJ973=0,LN($F973/$AK973)/$AL973,((($F973/$AK973)^$AJ973)-1)/($AJ973*$AL973)))</f>
        <v/>
      </c>
      <c r="AN973">
        <f>IF($AJ973="","",IF($AJ973=0,$AK973*EXP($AL973*2),$AK973*(1+$AJ973*$AL973*2)^(1/$AJ973)))</f>
        <v/>
      </c>
      <c r="AO973">
        <f>IF($AJ973="","",IF($AJ973=0,$AK973*EXP($AL973*3),$AK973*(1+$AJ973*$AL973*3)^(1/$AJ973)))</f>
        <v/>
      </c>
      <c r="AP973">
        <f>IF($AJ973="","",IF($AJ973=0,$AK973*EXP($AL973*-2),$AK973*(1+$AJ973*$AL973*-2)^(1/$AJ973)))</f>
        <v/>
      </c>
      <c r="AQ973">
        <f>IF($AJ973="","",IF($AJ973=0,$AK973*EXP($AL973*-3),$AK973*(1+$AJ973*$AL973*-3)^(1/$AJ973)))</f>
        <v/>
      </c>
      <c r="AR973">
        <f>IF(OR($X973="",$T973&gt;60),"",IFERROR(INDEX(IF($T973&lt;24,pcomp_l,palt_l),MATCH($X973,IF($T973&lt;24,pcomp_k,palt_k),1)),""))</f>
        <v/>
      </c>
      <c r="AS973">
        <f>IF(OR($X973="",$T973&gt;60),"",IFERROR(INDEX(IF($T973&lt;24,pcomp_m,palt_m),MATCH($X973,IF($T973&lt;24,pcomp_k,palt_k),1)),""))</f>
        <v/>
      </c>
      <c r="AT973">
        <f>IF(OR($X973="",$T973&gt;60),"",IFERROR(INDEX(IF($T973&lt;24,pcomp_s,palt_s),MATCH($X973,IF($T973&lt;24,pcomp_k,palt_k),1)),""))</f>
        <v/>
      </c>
      <c r="AU973">
        <f>IF($AR973="","",IF($AR973=0,LN($F973/$AS973)/$AT973,((($F973/$AS973)^$AR973)-1)/($AR973*$AT973)))</f>
        <v/>
      </c>
      <c r="AV973">
        <f>IF($AR973="","",IF($AR973=0,$AS973*EXP($AT973*2),$AS973*(1+$AR973*$AT973*2)^(1/$AR973)))</f>
        <v/>
      </c>
      <c r="AW973">
        <f>IF($AR973="","",IF($AR973=0,$AS973*EXP($AT973*3),$AS973*(1+$AR973*$AT973*3)^(1/$AR973)))</f>
        <v/>
      </c>
      <c r="AX973">
        <f>IF($AR973="","",IF($AR973=0,$AS973*EXP($AT973*-2),$AS973*(1+$AR973*$AT973*-2)^(1/$AR973)))</f>
        <v/>
      </c>
      <c r="AY973">
        <f>IF($AR973="","",IF($AR973=0,$AS973*EXP($AT973*-3),$AS973*(1+$AR973*$AT973*-3)^(1/$AR973)))</f>
        <v/>
      </c>
      <c r="AZ973">
        <f>IF(OR($A973="",$A973&lt;&gt;Ficha!$C$4),"",COUNTIF($A$2:$A973,Ficha!$C$4))</f>
        <v/>
      </c>
    </row>
    <row r="974">
      <c r="A974" s="8">
        <f>IF(INDEX(Banco!$A:$A,ROW())="","",INDEX(Banco!$A:$A,ROW()))</f>
        <v/>
      </c>
      <c r="B974" s="8">
        <f>IF(INDEX(Banco!$B:$B,ROW())="","",INDEX(Banco!$B:$B,ROW()))</f>
        <v/>
      </c>
      <c r="C974" s="8">
        <f>IF(INDEX(Banco!$C:$C,ROW())="","",INDEX(Banco!$C:$C,ROW()))</f>
        <v/>
      </c>
      <c r="D974" s="9">
        <f>IF(INDEX(Banco!$D:$D,ROW())="","",INDEX(Banco!$D:$D,ROW()))</f>
        <v/>
      </c>
      <c r="E974" s="9">
        <f>IF(INDEX(Banco!$E:$E,ROW())="","",INDEX(Banco!$E:$E,ROW()))</f>
        <v/>
      </c>
      <c r="F974" s="10">
        <f>IF(INDEX(Banco!$F:$F,ROW())="","",INDEX(Banco!$F:$F,ROW()))</f>
        <v/>
      </c>
      <c r="G974" s="10">
        <f>IF(INDEX(Banco!$G:$G,ROW())="","",INDEX(Banco!$G:$G,ROW()))</f>
        <v/>
      </c>
      <c r="H974" s="8">
        <f>IF(INDEX(Banco!$H:$H,ROW())="","",INDEX(Banco!$H:$H,ROW()))</f>
        <v/>
      </c>
      <c r="I974">
        <f>IF($T974="","",INT($T974/12)&amp;"a "&amp;MOD($T974,12)&amp;"m")</f>
        <v/>
      </c>
      <c r="J974" s="11">
        <f>IF(OR($F974="",$G974=""),"",ROUND($F974/($G974/100)^2,2))</f>
        <v/>
      </c>
      <c r="K974" s="12">
        <f>IF(OR($S974="",$J974="",$T974="",$T974&lt;0,$T974&gt;228,$Y974=""),"—",ROUND(IF(ABS($AB974)&lt;=3,$AB974,IF($AB974&gt;3,3+($J974-$AD974)/($AD974-$AC974),-3+($J974-$AF974)/($AE974-$AF974))),2))</f>
        <v/>
      </c>
      <c r="L974">
        <f>IF(OR($K974="",$K974="—"),"",IF($T974&lt;=60,IF($K974&lt;-3,"Magreza acentuada",IF($K974&lt;-2,"Magreza",IF($K974&lt;=1,"Eutrofia",IF($K974&lt;=2,"Risco de sobrepeso",IF($K974&lt;=3,"Sobrepeso","Obesidade"))))),IF($K974&lt;-3,"Magreza acentuada",IF($K974&lt;-2,"Magreza",IF($K974&lt;=1,"Eutrofia",IF($K974&lt;=2,"Sobrepeso",IF($K974&lt;=3,"Obesidade","Obesidade grave")))))))</f>
        <v/>
      </c>
      <c r="M974" s="12">
        <f>IF(OR($S974="",$V974="",$T974="",$T974&lt;0,$T974&gt;228,$AG974=""),"—",ROUND(IF($AG974=0,LN($V974/$AH974)/$AI974,((($V974/$AH974)^$AG974)-1)/($AG974*$AI974)),2))</f>
        <v/>
      </c>
      <c r="N974">
        <f>IF(OR($M974="",$M974="—"),"",IF($M974&lt;-3,"Muito baixa",IF($M974&lt;-2,"Baixa","Adequada")))</f>
        <v/>
      </c>
      <c r="O974" s="12">
        <f>IF(OR($S974="",$F974="",$T974="",$T974&lt;0,$T974&gt;120,$AJ974=""),"—",ROUND(IF(ABS($AM974)&lt;=3,$AM974,IF($AM974&gt;3,3+($F974-$AO974)/($AO974-$AN974),-3+($F974-$AQ974)/($AP974-$AQ974))),2))</f>
        <v/>
      </c>
      <c r="P974">
        <f>IF(OR($O974="",$O974="—"),"",IF($O974&lt;-3,"Muito baixo",IF($O974&lt;-2,"Baixo",IF($O974&lt;=2,"Adequado","Elevado"))))</f>
        <v/>
      </c>
      <c r="Q974" s="12">
        <f>IF(OR($S974="",$F974="",$T974="",$T974&lt;0,$T974&gt;60,$AR974=""),"—",ROUND(IF(ABS($AU974)&lt;=3,$AU974,IF($AU974&gt;3,3+($F974-$AW974)/($AW974-$AV974),-3+($F974-$AY974)/($AX974-$AY974))),2))</f>
        <v/>
      </c>
      <c r="R974">
        <f>IF(OR($Q974="",$Q974="—"),"",IF($Q974&lt;-3,"Magreza acentuada",IF($Q974&lt;-2,"Magreza",IF($Q974&lt;=1,"Eutrofia",IF($Q974&lt;=2,"Risco de sobrepeso",IF($Q974&lt;=3,"Sobrepeso","Obesidade"))))))</f>
        <v/>
      </c>
      <c r="S974">
        <f>IF($C974="","",IF(UPPER(LEFT($C974,1))="M",1,IF(UPPER(LEFT($C974,1))="F",2,"")))</f>
        <v/>
      </c>
      <c r="T974">
        <f>IF(OR($D974="",$E974=""),"",DATEDIF($D974,$E974,"m"))</f>
        <v/>
      </c>
      <c r="U974">
        <f>IF(OR($D974="",$E974=""),"",$E974-$D974)</f>
        <v/>
      </c>
      <c r="V974">
        <f>IF(OR($G974="",$T974=""),"",IF($T974&lt;24,IF(LEFT(LOWER($H974),4)="em p",$G974+0.7,$G974),IF(LEFT(LOWER($H974),4)="deit",$G974-0.7,$G974)))</f>
        <v/>
      </c>
      <c r="W974">
        <f>IF(OR($S974="",$T974=""),"",$S974*1000000+IF($T974&lt;=60,$U974,$T974))</f>
        <v/>
      </c>
      <c r="X974">
        <f>IF(OR($S974="",$V974="",$T974&gt;60,$T974=""),"",$S974*1000000+ROUND($V974*10,0))</f>
        <v/>
      </c>
      <c r="Y974">
        <f>IF($W974="","",IFERROR(INDEX(IF($T974&lt;=60,imc05_l,imc519_l),MATCH($W974,IF($T974&lt;=60,imc05_k,imc519_k),1)),""))</f>
        <v/>
      </c>
      <c r="Z974">
        <f>IF($W974="","",IFERROR(INDEX(IF($T974&lt;=60,imc05_m,imc519_m),MATCH($W974,IF($T974&lt;=60,imc05_k,imc519_k),1)),""))</f>
        <v/>
      </c>
      <c r="AA974">
        <f>IF($W974="","",IFERROR(INDEX(IF($T974&lt;=60,imc05_s,imc519_s),MATCH($W974,IF($T974&lt;=60,imc05_k,imc519_k),1)),""))</f>
        <v/>
      </c>
      <c r="AB974">
        <f>IF($Y974="","",IF($Y974=0,LN($J974/$Z974)/$AA974,((($J974/$Z974)^$Y974)-1)/($Y974*$AA974)))</f>
        <v/>
      </c>
      <c r="AC974">
        <f>IF($Y974="","",IF($Y974=0,$Z974*EXP($AA974*2),$Z974*(1+$Y974*$AA974*2)^(1/$Y974)))</f>
        <v/>
      </c>
      <c r="AD974">
        <f>IF($Y974="","",IF($Y974=0,$Z974*EXP($AA974*3),$Z974*(1+$Y974*$AA974*3)^(1/$Y974)))</f>
        <v/>
      </c>
      <c r="AE974">
        <f>IF($Y974="","",IF($Y974=0,$Z974*EXP($AA974*-2),$Z974*(1+$Y974*$AA974*-2)^(1/$Y974)))</f>
        <v/>
      </c>
      <c r="AF974">
        <f>IF($Y974="","",IF($Y974=0,$Z974*EXP($AA974*-3),$Z974*(1+$Y974*$AA974*-3)^(1/$Y974)))</f>
        <v/>
      </c>
      <c r="AG974">
        <f>IF($W974="","",IFERROR(INDEX(IF($T974&lt;=60,est05_l,est519_l),MATCH($W974,IF($T974&lt;=60,est05_k,est519_k),1)),""))</f>
        <v/>
      </c>
      <c r="AH974">
        <f>IF($W974="","",IFERROR(INDEX(IF($T974&lt;=60,est05_m,est519_m),MATCH($W974,IF($T974&lt;=60,est05_k,est519_k),1)),""))</f>
        <v/>
      </c>
      <c r="AI974">
        <f>IF($W974="","",IFERROR(INDEX(IF($T974&lt;=60,est05_s,est519_s),MATCH($W974,IF($T974&lt;=60,est05_k,est519_k),1)),""))</f>
        <v/>
      </c>
      <c r="AJ974">
        <f>IF($W974="","",IFERROR(INDEX(IF($T974&lt;=60,peso05_l,peso510_l),MATCH($W974,IF($T974&lt;=60,peso05_k,peso510_k),1)),""))</f>
        <v/>
      </c>
      <c r="AK974">
        <f>IF($W974="","",IFERROR(INDEX(IF($T974&lt;=60,peso05_m,peso510_m),MATCH($W974,IF($T974&lt;=60,peso05_k,peso510_k),1)),""))</f>
        <v/>
      </c>
      <c r="AL974">
        <f>IF($W974="","",IFERROR(INDEX(IF($T974&lt;=60,peso05_s,peso510_s),MATCH($W974,IF($T974&lt;=60,peso05_k,peso510_k),1)),""))</f>
        <v/>
      </c>
      <c r="AM974">
        <f>IF($AJ974="","",IF($AJ974=0,LN($F974/$AK974)/$AL974,((($F974/$AK974)^$AJ974)-1)/($AJ974*$AL974)))</f>
        <v/>
      </c>
      <c r="AN974">
        <f>IF($AJ974="","",IF($AJ974=0,$AK974*EXP($AL974*2),$AK974*(1+$AJ974*$AL974*2)^(1/$AJ974)))</f>
        <v/>
      </c>
      <c r="AO974">
        <f>IF($AJ974="","",IF($AJ974=0,$AK974*EXP($AL974*3),$AK974*(1+$AJ974*$AL974*3)^(1/$AJ974)))</f>
        <v/>
      </c>
      <c r="AP974">
        <f>IF($AJ974="","",IF($AJ974=0,$AK974*EXP($AL974*-2),$AK974*(1+$AJ974*$AL974*-2)^(1/$AJ974)))</f>
        <v/>
      </c>
      <c r="AQ974">
        <f>IF($AJ974="","",IF($AJ974=0,$AK974*EXP($AL974*-3),$AK974*(1+$AJ974*$AL974*-3)^(1/$AJ974)))</f>
        <v/>
      </c>
      <c r="AR974">
        <f>IF(OR($X974="",$T974&gt;60),"",IFERROR(INDEX(IF($T974&lt;24,pcomp_l,palt_l),MATCH($X974,IF($T974&lt;24,pcomp_k,palt_k),1)),""))</f>
        <v/>
      </c>
      <c r="AS974">
        <f>IF(OR($X974="",$T974&gt;60),"",IFERROR(INDEX(IF($T974&lt;24,pcomp_m,palt_m),MATCH($X974,IF($T974&lt;24,pcomp_k,palt_k),1)),""))</f>
        <v/>
      </c>
      <c r="AT974">
        <f>IF(OR($X974="",$T974&gt;60),"",IFERROR(INDEX(IF($T974&lt;24,pcomp_s,palt_s),MATCH($X974,IF($T974&lt;24,pcomp_k,palt_k),1)),""))</f>
        <v/>
      </c>
      <c r="AU974">
        <f>IF($AR974="","",IF($AR974=0,LN($F974/$AS974)/$AT974,((($F974/$AS974)^$AR974)-1)/($AR974*$AT974)))</f>
        <v/>
      </c>
      <c r="AV974">
        <f>IF($AR974="","",IF($AR974=0,$AS974*EXP($AT974*2),$AS974*(1+$AR974*$AT974*2)^(1/$AR974)))</f>
        <v/>
      </c>
      <c r="AW974">
        <f>IF($AR974="","",IF($AR974=0,$AS974*EXP($AT974*3),$AS974*(1+$AR974*$AT974*3)^(1/$AR974)))</f>
        <v/>
      </c>
      <c r="AX974">
        <f>IF($AR974="","",IF($AR974=0,$AS974*EXP($AT974*-2),$AS974*(1+$AR974*$AT974*-2)^(1/$AR974)))</f>
        <v/>
      </c>
      <c r="AY974">
        <f>IF($AR974="","",IF($AR974=0,$AS974*EXP($AT974*-3),$AS974*(1+$AR974*$AT974*-3)^(1/$AR974)))</f>
        <v/>
      </c>
      <c r="AZ974">
        <f>IF(OR($A974="",$A974&lt;&gt;Ficha!$C$4),"",COUNTIF($A$2:$A974,Ficha!$C$4))</f>
        <v/>
      </c>
    </row>
    <row r="975">
      <c r="A975" s="8">
        <f>IF(INDEX(Banco!$A:$A,ROW())="","",INDEX(Banco!$A:$A,ROW()))</f>
        <v/>
      </c>
      <c r="B975" s="8">
        <f>IF(INDEX(Banco!$B:$B,ROW())="","",INDEX(Banco!$B:$B,ROW()))</f>
        <v/>
      </c>
      <c r="C975" s="8">
        <f>IF(INDEX(Banco!$C:$C,ROW())="","",INDEX(Banco!$C:$C,ROW()))</f>
        <v/>
      </c>
      <c r="D975" s="9">
        <f>IF(INDEX(Banco!$D:$D,ROW())="","",INDEX(Banco!$D:$D,ROW()))</f>
        <v/>
      </c>
      <c r="E975" s="9">
        <f>IF(INDEX(Banco!$E:$E,ROW())="","",INDEX(Banco!$E:$E,ROW()))</f>
        <v/>
      </c>
      <c r="F975" s="10">
        <f>IF(INDEX(Banco!$F:$F,ROW())="","",INDEX(Banco!$F:$F,ROW()))</f>
        <v/>
      </c>
      <c r="G975" s="10">
        <f>IF(INDEX(Banco!$G:$G,ROW())="","",INDEX(Banco!$G:$G,ROW()))</f>
        <v/>
      </c>
      <c r="H975" s="8">
        <f>IF(INDEX(Banco!$H:$H,ROW())="","",INDEX(Banco!$H:$H,ROW()))</f>
        <v/>
      </c>
      <c r="I975">
        <f>IF($T975="","",INT($T975/12)&amp;"a "&amp;MOD($T975,12)&amp;"m")</f>
        <v/>
      </c>
      <c r="J975" s="11">
        <f>IF(OR($F975="",$G975=""),"",ROUND($F975/($G975/100)^2,2))</f>
        <v/>
      </c>
      <c r="K975" s="12">
        <f>IF(OR($S975="",$J975="",$T975="",$T975&lt;0,$T975&gt;228,$Y975=""),"—",ROUND(IF(ABS($AB975)&lt;=3,$AB975,IF($AB975&gt;3,3+($J975-$AD975)/($AD975-$AC975),-3+($J975-$AF975)/($AE975-$AF975))),2))</f>
        <v/>
      </c>
      <c r="L975">
        <f>IF(OR($K975="",$K975="—"),"",IF($T975&lt;=60,IF($K975&lt;-3,"Magreza acentuada",IF($K975&lt;-2,"Magreza",IF($K975&lt;=1,"Eutrofia",IF($K975&lt;=2,"Risco de sobrepeso",IF($K975&lt;=3,"Sobrepeso","Obesidade"))))),IF($K975&lt;-3,"Magreza acentuada",IF($K975&lt;-2,"Magreza",IF($K975&lt;=1,"Eutrofia",IF($K975&lt;=2,"Sobrepeso",IF($K975&lt;=3,"Obesidade","Obesidade grave")))))))</f>
        <v/>
      </c>
      <c r="M975" s="12">
        <f>IF(OR($S975="",$V975="",$T975="",$T975&lt;0,$T975&gt;228,$AG975=""),"—",ROUND(IF($AG975=0,LN($V975/$AH975)/$AI975,((($V975/$AH975)^$AG975)-1)/($AG975*$AI975)),2))</f>
        <v/>
      </c>
      <c r="N975">
        <f>IF(OR($M975="",$M975="—"),"",IF($M975&lt;-3,"Muito baixa",IF($M975&lt;-2,"Baixa","Adequada")))</f>
        <v/>
      </c>
      <c r="O975" s="12">
        <f>IF(OR($S975="",$F975="",$T975="",$T975&lt;0,$T975&gt;120,$AJ975=""),"—",ROUND(IF(ABS($AM975)&lt;=3,$AM975,IF($AM975&gt;3,3+($F975-$AO975)/($AO975-$AN975),-3+($F975-$AQ975)/($AP975-$AQ975))),2))</f>
        <v/>
      </c>
      <c r="P975">
        <f>IF(OR($O975="",$O975="—"),"",IF($O975&lt;-3,"Muito baixo",IF($O975&lt;-2,"Baixo",IF($O975&lt;=2,"Adequado","Elevado"))))</f>
        <v/>
      </c>
      <c r="Q975" s="12">
        <f>IF(OR($S975="",$F975="",$T975="",$T975&lt;0,$T975&gt;60,$AR975=""),"—",ROUND(IF(ABS($AU975)&lt;=3,$AU975,IF($AU975&gt;3,3+($F975-$AW975)/($AW975-$AV975),-3+($F975-$AY975)/($AX975-$AY975))),2))</f>
        <v/>
      </c>
      <c r="R975">
        <f>IF(OR($Q975="",$Q975="—"),"",IF($Q975&lt;-3,"Magreza acentuada",IF($Q975&lt;-2,"Magreza",IF($Q975&lt;=1,"Eutrofia",IF($Q975&lt;=2,"Risco de sobrepeso",IF($Q975&lt;=3,"Sobrepeso","Obesidade"))))))</f>
        <v/>
      </c>
      <c r="S975">
        <f>IF($C975="","",IF(UPPER(LEFT($C975,1))="M",1,IF(UPPER(LEFT($C975,1))="F",2,"")))</f>
        <v/>
      </c>
      <c r="T975">
        <f>IF(OR($D975="",$E975=""),"",DATEDIF($D975,$E975,"m"))</f>
        <v/>
      </c>
      <c r="U975">
        <f>IF(OR($D975="",$E975=""),"",$E975-$D975)</f>
        <v/>
      </c>
      <c r="V975">
        <f>IF(OR($G975="",$T975=""),"",IF($T975&lt;24,IF(LEFT(LOWER($H975),4)="em p",$G975+0.7,$G975),IF(LEFT(LOWER($H975),4)="deit",$G975-0.7,$G975)))</f>
        <v/>
      </c>
      <c r="W975">
        <f>IF(OR($S975="",$T975=""),"",$S975*1000000+IF($T975&lt;=60,$U975,$T975))</f>
        <v/>
      </c>
      <c r="X975">
        <f>IF(OR($S975="",$V975="",$T975&gt;60,$T975=""),"",$S975*1000000+ROUND($V975*10,0))</f>
        <v/>
      </c>
      <c r="Y975">
        <f>IF($W975="","",IFERROR(INDEX(IF($T975&lt;=60,imc05_l,imc519_l),MATCH($W975,IF($T975&lt;=60,imc05_k,imc519_k),1)),""))</f>
        <v/>
      </c>
      <c r="Z975">
        <f>IF($W975="","",IFERROR(INDEX(IF($T975&lt;=60,imc05_m,imc519_m),MATCH($W975,IF($T975&lt;=60,imc05_k,imc519_k),1)),""))</f>
        <v/>
      </c>
      <c r="AA975">
        <f>IF($W975="","",IFERROR(INDEX(IF($T975&lt;=60,imc05_s,imc519_s),MATCH($W975,IF($T975&lt;=60,imc05_k,imc519_k),1)),""))</f>
        <v/>
      </c>
      <c r="AB975">
        <f>IF($Y975="","",IF($Y975=0,LN($J975/$Z975)/$AA975,((($J975/$Z975)^$Y975)-1)/($Y975*$AA975)))</f>
        <v/>
      </c>
      <c r="AC975">
        <f>IF($Y975="","",IF($Y975=0,$Z975*EXP($AA975*2),$Z975*(1+$Y975*$AA975*2)^(1/$Y975)))</f>
        <v/>
      </c>
      <c r="AD975">
        <f>IF($Y975="","",IF($Y975=0,$Z975*EXP($AA975*3),$Z975*(1+$Y975*$AA975*3)^(1/$Y975)))</f>
        <v/>
      </c>
      <c r="AE975">
        <f>IF($Y975="","",IF($Y975=0,$Z975*EXP($AA975*-2),$Z975*(1+$Y975*$AA975*-2)^(1/$Y975)))</f>
        <v/>
      </c>
      <c r="AF975">
        <f>IF($Y975="","",IF($Y975=0,$Z975*EXP($AA975*-3),$Z975*(1+$Y975*$AA975*-3)^(1/$Y975)))</f>
        <v/>
      </c>
      <c r="AG975">
        <f>IF($W975="","",IFERROR(INDEX(IF($T975&lt;=60,est05_l,est519_l),MATCH($W975,IF($T975&lt;=60,est05_k,est519_k),1)),""))</f>
        <v/>
      </c>
      <c r="AH975">
        <f>IF($W975="","",IFERROR(INDEX(IF($T975&lt;=60,est05_m,est519_m),MATCH($W975,IF($T975&lt;=60,est05_k,est519_k),1)),""))</f>
        <v/>
      </c>
      <c r="AI975">
        <f>IF($W975="","",IFERROR(INDEX(IF($T975&lt;=60,est05_s,est519_s),MATCH($W975,IF($T975&lt;=60,est05_k,est519_k),1)),""))</f>
        <v/>
      </c>
      <c r="AJ975">
        <f>IF($W975="","",IFERROR(INDEX(IF($T975&lt;=60,peso05_l,peso510_l),MATCH($W975,IF($T975&lt;=60,peso05_k,peso510_k),1)),""))</f>
        <v/>
      </c>
      <c r="AK975">
        <f>IF($W975="","",IFERROR(INDEX(IF($T975&lt;=60,peso05_m,peso510_m),MATCH($W975,IF($T975&lt;=60,peso05_k,peso510_k),1)),""))</f>
        <v/>
      </c>
      <c r="AL975">
        <f>IF($W975="","",IFERROR(INDEX(IF($T975&lt;=60,peso05_s,peso510_s),MATCH($W975,IF($T975&lt;=60,peso05_k,peso510_k),1)),""))</f>
        <v/>
      </c>
      <c r="AM975">
        <f>IF($AJ975="","",IF($AJ975=0,LN($F975/$AK975)/$AL975,((($F975/$AK975)^$AJ975)-1)/($AJ975*$AL975)))</f>
        <v/>
      </c>
      <c r="AN975">
        <f>IF($AJ975="","",IF($AJ975=0,$AK975*EXP($AL975*2),$AK975*(1+$AJ975*$AL975*2)^(1/$AJ975)))</f>
        <v/>
      </c>
      <c r="AO975">
        <f>IF($AJ975="","",IF($AJ975=0,$AK975*EXP($AL975*3),$AK975*(1+$AJ975*$AL975*3)^(1/$AJ975)))</f>
        <v/>
      </c>
      <c r="AP975">
        <f>IF($AJ975="","",IF($AJ975=0,$AK975*EXP($AL975*-2),$AK975*(1+$AJ975*$AL975*-2)^(1/$AJ975)))</f>
        <v/>
      </c>
      <c r="AQ975">
        <f>IF($AJ975="","",IF($AJ975=0,$AK975*EXP($AL975*-3),$AK975*(1+$AJ975*$AL975*-3)^(1/$AJ975)))</f>
        <v/>
      </c>
      <c r="AR975">
        <f>IF(OR($X975="",$T975&gt;60),"",IFERROR(INDEX(IF($T975&lt;24,pcomp_l,palt_l),MATCH($X975,IF($T975&lt;24,pcomp_k,palt_k),1)),""))</f>
        <v/>
      </c>
      <c r="AS975">
        <f>IF(OR($X975="",$T975&gt;60),"",IFERROR(INDEX(IF($T975&lt;24,pcomp_m,palt_m),MATCH($X975,IF($T975&lt;24,pcomp_k,palt_k),1)),""))</f>
        <v/>
      </c>
      <c r="AT975">
        <f>IF(OR($X975="",$T975&gt;60),"",IFERROR(INDEX(IF($T975&lt;24,pcomp_s,palt_s),MATCH($X975,IF($T975&lt;24,pcomp_k,palt_k),1)),""))</f>
        <v/>
      </c>
      <c r="AU975">
        <f>IF($AR975="","",IF($AR975=0,LN($F975/$AS975)/$AT975,((($F975/$AS975)^$AR975)-1)/($AR975*$AT975)))</f>
        <v/>
      </c>
      <c r="AV975">
        <f>IF($AR975="","",IF($AR975=0,$AS975*EXP($AT975*2),$AS975*(1+$AR975*$AT975*2)^(1/$AR975)))</f>
        <v/>
      </c>
      <c r="AW975">
        <f>IF($AR975="","",IF($AR975=0,$AS975*EXP($AT975*3),$AS975*(1+$AR975*$AT975*3)^(1/$AR975)))</f>
        <v/>
      </c>
      <c r="AX975">
        <f>IF($AR975="","",IF($AR975=0,$AS975*EXP($AT975*-2),$AS975*(1+$AR975*$AT975*-2)^(1/$AR975)))</f>
        <v/>
      </c>
      <c r="AY975">
        <f>IF($AR975="","",IF($AR975=0,$AS975*EXP($AT975*-3),$AS975*(1+$AR975*$AT975*-3)^(1/$AR975)))</f>
        <v/>
      </c>
      <c r="AZ975">
        <f>IF(OR($A975="",$A975&lt;&gt;Ficha!$C$4),"",COUNTIF($A$2:$A975,Ficha!$C$4))</f>
        <v/>
      </c>
    </row>
    <row r="976">
      <c r="A976" s="8">
        <f>IF(INDEX(Banco!$A:$A,ROW())="","",INDEX(Banco!$A:$A,ROW()))</f>
        <v/>
      </c>
      <c r="B976" s="8">
        <f>IF(INDEX(Banco!$B:$B,ROW())="","",INDEX(Banco!$B:$B,ROW()))</f>
        <v/>
      </c>
      <c r="C976" s="8">
        <f>IF(INDEX(Banco!$C:$C,ROW())="","",INDEX(Banco!$C:$C,ROW()))</f>
        <v/>
      </c>
      <c r="D976" s="9">
        <f>IF(INDEX(Banco!$D:$D,ROW())="","",INDEX(Banco!$D:$D,ROW()))</f>
        <v/>
      </c>
      <c r="E976" s="9">
        <f>IF(INDEX(Banco!$E:$E,ROW())="","",INDEX(Banco!$E:$E,ROW()))</f>
        <v/>
      </c>
      <c r="F976" s="10">
        <f>IF(INDEX(Banco!$F:$F,ROW())="","",INDEX(Banco!$F:$F,ROW()))</f>
        <v/>
      </c>
      <c r="G976" s="10">
        <f>IF(INDEX(Banco!$G:$G,ROW())="","",INDEX(Banco!$G:$G,ROW()))</f>
        <v/>
      </c>
      <c r="H976" s="8">
        <f>IF(INDEX(Banco!$H:$H,ROW())="","",INDEX(Banco!$H:$H,ROW()))</f>
        <v/>
      </c>
      <c r="I976">
        <f>IF($T976="","",INT($T976/12)&amp;"a "&amp;MOD($T976,12)&amp;"m")</f>
        <v/>
      </c>
      <c r="J976" s="11">
        <f>IF(OR($F976="",$G976=""),"",ROUND($F976/($G976/100)^2,2))</f>
        <v/>
      </c>
      <c r="K976" s="12">
        <f>IF(OR($S976="",$J976="",$T976="",$T976&lt;0,$T976&gt;228,$Y976=""),"—",ROUND(IF(ABS($AB976)&lt;=3,$AB976,IF($AB976&gt;3,3+($J976-$AD976)/($AD976-$AC976),-3+($J976-$AF976)/($AE976-$AF976))),2))</f>
        <v/>
      </c>
      <c r="L976">
        <f>IF(OR($K976="",$K976="—"),"",IF($T976&lt;=60,IF($K976&lt;-3,"Magreza acentuada",IF($K976&lt;-2,"Magreza",IF($K976&lt;=1,"Eutrofia",IF($K976&lt;=2,"Risco de sobrepeso",IF($K976&lt;=3,"Sobrepeso","Obesidade"))))),IF($K976&lt;-3,"Magreza acentuada",IF($K976&lt;-2,"Magreza",IF($K976&lt;=1,"Eutrofia",IF($K976&lt;=2,"Sobrepeso",IF($K976&lt;=3,"Obesidade","Obesidade grave")))))))</f>
        <v/>
      </c>
      <c r="M976" s="12">
        <f>IF(OR($S976="",$V976="",$T976="",$T976&lt;0,$T976&gt;228,$AG976=""),"—",ROUND(IF($AG976=0,LN($V976/$AH976)/$AI976,((($V976/$AH976)^$AG976)-1)/($AG976*$AI976)),2))</f>
        <v/>
      </c>
      <c r="N976">
        <f>IF(OR($M976="",$M976="—"),"",IF($M976&lt;-3,"Muito baixa",IF($M976&lt;-2,"Baixa","Adequada")))</f>
        <v/>
      </c>
      <c r="O976" s="12">
        <f>IF(OR($S976="",$F976="",$T976="",$T976&lt;0,$T976&gt;120,$AJ976=""),"—",ROUND(IF(ABS($AM976)&lt;=3,$AM976,IF($AM976&gt;3,3+($F976-$AO976)/($AO976-$AN976),-3+($F976-$AQ976)/($AP976-$AQ976))),2))</f>
        <v/>
      </c>
      <c r="P976">
        <f>IF(OR($O976="",$O976="—"),"",IF($O976&lt;-3,"Muito baixo",IF($O976&lt;-2,"Baixo",IF($O976&lt;=2,"Adequado","Elevado"))))</f>
        <v/>
      </c>
      <c r="Q976" s="12">
        <f>IF(OR($S976="",$F976="",$T976="",$T976&lt;0,$T976&gt;60,$AR976=""),"—",ROUND(IF(ABS($AU976)&lt;=3,$AU976,IF($AU976&gt;3,3+($F976-$AW976)/($AW976-$AV976),-3+($F976-$AY976)/($AX976-$AY976))),2))</f>
        <v/>
      </c>
      <c r="R976">
        <f>IF(OR($Q976="",$Q976="—"),"",IF($Q976&lt;-3,"Magreza acentuada",IF($Q976&lt;-2,"Magreza",IF($Q976&lt;=1,"Eutrofia",IF($Q976&lt;=2,"Risco de sobrepeso",IF($Q976&lt;=3,"Sobrepeso","Obesidade"))))))</f>
        <v/>
      </c>
      <c r="S976">
        <f>IF($C976="","",IF(UPPER(LEFT($C976,1))="M",1,IF(UPPER(LEFT($C976,1))="F",2,"")))</f>
        <v/>
      </c>
      <c r="T976">
        <f>IF(OR($D976="",$E976=""),"",DATEDIF($D976,$E976,"m"))</f>
        <v/>
      </c>
      <c r="U976">
        <f>IF(OR($D976="",$E976=""),"",$E976-$D976)</f>
        <v/>
      </c>
      <c r="V976">
        <f>IF(OR($G976="",$T976=""),"",IF($T976&lt;24,IF(LEFT(LOWER($H976),4)="em p",$G976+0.7,$G976),IF(LEFT(LOWER($H976),4)="deit",$G976-0.7,$G976)))</f>
        <v/>
      </c>
      <c r="W976">
        <f>IF(OR($S976="",$T976=""),"",$S976*1000000+IF($T976&lt;=60,$U976,$T976))</f>
        <v/>
      </c>
      <c r="X976">
        <f>IF(OR($S976="",$V976="",$T976&gt;60,$T976=""),"",$S976*1000000+ROUND($V976*10,0))</f>
        <v/>
      </c>
      <c r="Y976">
        <f>IF($W976="","",IFERROR(INDEX(IF($T976&lt;=60,imc05_l,imc519_l),MATCH($W976,IF($T976&lt;=60,imc05_k,imc519_k),1)),""))</f>
        <v/>
      </c>
      <c r="Z976">
        <f>IF($W976="","",IFERROR(INDEX(IF($T976&lt;=60,imc05_m,imc519_m),MATCH($W976,IF($T976&lt;=60,imc05_k,imc519_k),1)),""))</f>
        <v/>
      </c>
      <c r="AA976">
        <f>IF($W976="","",IFERROR(INDEX(IF($T976&lt;=60,imc05_s,imc519_s),MATCH($W976,IF($T976&lt;=60,imc05_k,imc519_k),1)),""))</f>
        <v/>
      </c>
      <c r="AB976">
        <f>IF($Y976="","",IF($Y976=0,LN($J976/$Z976)/$AA976,((($J976/$Z976)^$Y976)-1)/($Y976*$AA976)))</f>
        <v/>
      </c>
      <c r="AC976">
        <f>IF($Y976="","",IF($Y976=0,$Z976*EXP($AA976*2),$Z976*(1+$Y976*$AA976*2)^(1/$Y976)))</f>
        <v/>
      </c>
      <c r="AD976">
        <f>IF($Y976="","",IF($Y976=0,$Z976*EXP($AA976*3),$Z976*(1+$Y976*$AA976*3)^(1/$Y976)))</f>
        <v/>
      </c>
      <c r="AE976">
        <f>IF($Y976="","",IF($Y976=0,$Z976*EXP($AA976*-2),$Z976*(1+$Y976*$AA976*-2)^(1/$Y976)))</f>
        <v/>
      </c>
      <c r="AF976">
        <f>IF($Y976="","",IF($Y976=0,$Z976*EXP($AA976*-3),$Z976*(1+$Y976*$AA976*-3)^(1/$Y976)))</f>
        <v/>
      </c>
      <c r="AG976">
        <f>IF($W976="","",IFERROR(INDEX(IF($T976&lt;=60,est05_l,est519_l),MATCH($W976,IF($T976&lt;=60,est05_k,est519_k),1)),""))</f>
        <v/>
      </c>
      <c r="AH976">
        <f>IF($W976="","",IFERROR(INDEX(IF($T976&lt;=60,est05_m,est519_m),MATCH($W976,IF($T976&lt;=60,est05_k,est519_k),1)),""))</f>
        <v/>
      </c>
      <c r="AI976">
        <f>IF($W976="","",IFERROR(INDEX(IF($T976&lt;=60,est05_s,est519_s),MATCH($W976,IF($T976&lt;=60,est05_k,est519_k),1)),""))</f>
        <v/>
      </c>
      <c r="AJ976">
        <f>IF($W976="","",IFERROR(INDEX(IF($T976&lt;=60,peso05_l,peso510_l),MATCH($W976,IF($T976&lt;=60,peso05_k,peso510_k),1)),""))</f>
        <v/>
      </c>
      <c r="AK976">
        <f>IF($W976="","",IFERROR(INDEX(IF($T976&lt;=60,peso05_m,peso510_m),MATCH($W976,IF($T976&lt;=60,peso05_k,peso510_k),1)),""))</f>
        <v/>
      </c>
      <c r="AL976">
        <f>IF($W976="","",IFERROR(INDEX(IF($T976&lt;=60,peso05_s,peso510_s),MATCH($W976,IF($T976&lt;=60,peso05_k,peso510_k),1)),""))</f>
        <v/>
      </c>
      <c r="AM976">
        <f>IF($AJ976="","",IF($AJ976=0,LN($F976/$AK976)/$AL976,((($F976/$AK976)^$AJ976)-1)/($AJ976*$AL976)))</f>
        <v/>
      </c>
      <c r="AN976">
        <f>IF($AJ976="","",IF($AJ976=0,$AK976*EXP($AL976*2),$AK976*(1+$AJ976*$AL976*2)^(1/$AJ976)))</f>
        <v/>
      </c>
      <c r="AO976">
        <f>IF($AJ976="","",IF($AJ976=0,$AK976*EXP($AL976*3),$AK976*(1+$AJ976*$AL976*3)^(1/$AJ976)))</f>
        <v/>
      </c>
      <c r="AP976">
        <f>IF($AJ976="","",IF($AJ976=0,$AK976*EXP($AL976*-2),$AK976*(1+$AJ976*$AL976*-2)^(1/$AJ976)))</f>
        <v/>
      </c>
      <c r="AQ976">
        <f>IF($AJ976="","",IF($AJ976=0,$AK976*EXP($AL976*-3),$AK976*(1+$AJ976*$AL976*-3)^(1/$AJ976)))</f>
        <v/>
      </c>
      <c r="AR976">
        <f>IF(OR($X976="",$T976&gt;60),"",IFERROR(INDEX(IF($T976&lt;24,pcomp_l,palt_l),MATCH($X976,IF($T976&lt;24,pcomp_k,palt_k),1)),""))</f>
        <v/>
      </c>
      <c r="AS976">
        <f>IF(OR($X976="",$T976&gt;60),"",IFERROR(INDEX(IF($T976&lt;24,pcomp_m,palt_m),MATCH($X976,IF($T976&lt;24,pcomp_k,palt_k),1)),""))</f>
        <v/>
      </c>
      <c r="AT976">
        <f>IF(OR($X976="",$T976&gt;60),"",IFERROR(INDEX(IF($T976&lt;24,pcomp_s,palt_s),MATCH($X976,IF($T976&lt;24,pcomp_k,palt_k),1)),""))</f>
        <v/>
      </c>
      <c r="AU976">
        <f>IF($AR976="","",IF($AR976=0,LN($F976/$AS976)/$AT976,((($F976/$AS976)^$AR976)-1)/($AR976*$AT976)))</f>
        <v/>
      </c>
      <c r="AV976">
        <f>IF($AR976="","",IF($AR976=0,$AS976*EXP($AT976*2),$AS976*(1+$AR976*$AT976*2)^(1/$AR976)))</f>
        <v/>
      </c>
      <c r="AW976">
        <f>IF($AR976="","",IF($AR976=0,$AS976*EXP($AT976*3),$AS976*(1+$AR976*$AT976*3)^(1/$AR976)))</f>
        <v/>
      </c>
      <c r="AX976">
        <f>IF($AR976="","",IF($AR976=0,$AS976*EXP($AT976*-2),$AS976*(1+$AR976*$AT976*-2)^(1/$AR976)))</f>
        <v/>
      </c>
      <c r="AY976">
        <f>IF($AR976="","",IF($AR976=0,$AS976*EXP($AT976*-3),$AS976*(1+$AR976*$AT976*-3)^(1/$AR976)))</f>
        <v/>
      </c>
      <c r="AZ976">
        <f>IF(OR($A976="",$A976&lt;&gt;Ficha!$C$4),"",COUNTIF($A$2:$A976,Ficha!$C$4))</f>
        <v/>
      </c>
    </row>
    <row r="977">
      <c r="A977" s="8">
        <f>IF(INDEX(Banco!$A:$A,ROW())="","",INDEX(Banco!$A:$A,ROW()))</f>
        <v/>
      </c>
      <c r="B977" s="8">
        <f>IF(INDEX(Banco!$B:$B,ROW())="","",INDEX(Banco!$B:$B,ROW()))</f>
        <v/>
      </c>
      <c r="C977" s="8">
        <f>IF(INDEX(Banco!$C:$C,ROW())="","",INDEX(Banco!$C:$C,ROW()))</f>
        <v/>
      </c>
      <c r="D977" s="9">
        <f>IF(INDEX(Banco!$D:$D,ROW())="","",INDEX(Banco!$D:$D,ROW()))</f>
        <v/>
      </c>
      <c r="E977" s="9">
        <f>IF(INDEX(Banco!$E:$E,ROW())="","",INDEX(Banco!$E:$E,ROW()))</f>
        <v/>
      </c>
      <c r="F977" s="10">
        <f>IF(INDEX(Banco!$F:$F,ROW())="","",INDEX(Banco!$F:$F,ROW()))</f>
        <v/>
      </c>
      <c r="G977" s="10">
        <f>IF(INDEX(Banco!$G:$G,ROW())="","",INDEX(Banco!$G:$G,ROW()))</f>
        <v/>
      </c>
      <c r="H977" s="8">
        <f>IF(INDEX(Banco!$H:$H,ROW())="","",INDEX(Banco!$H:$H,ROW()))</f>
        <v/>
      </c>
      <c r="I977">
        <f>IF($T977="","",INT($T977/12)&amp;"a "&amp;MOD($T977,12)&amp;"m")</f>
        <v/>
      </c>
      <c r="J977" s="11">
        <f>IF(OR($F977="",$G977=""),"",ROUND($F977/($G977/100)^2,2))</f>
        <v/>
      </c>
      <c r="K977" s="12">
        <f>IF(OR($S977="",$J977="",$T977="",$T977&lt;0,$T977&gt;228,$Y977=""),"—",ROUND(IF(ABS($AB977)&lt;=3,$AB977,IF($AB977&gt;3,3+($J977-$AD977)/($AD977-$AC977),-3+($J977-$AF977)/($AE977-$AF977))),2))</f>
        <v/>
      </c>
      <c r="L977">
        <f>IF(OR($K977="",$K977="—"),"",IF($T977&lt;=60,IF($K977&lt;-3,"Magreza acentuada",IF($K977&lt;-2,"Magreza",IF($K977&lt;=1,"Eutrofia",IF($K977&lt;=2,"Risco de sobrepeso",IF($K977&lt;=3,"Sobrepeso","Obesidade"))))),IF($K977&lt;-3,"Magreza acentuada",IF($K977&lt;-2,"Magreza",IF($K977&lt;=1,"Eutrofia",IF($K977&lt;=2,"Sobrepeso",IF($K977&lt;=3,"Obesidade","Obesidade grave")))))))</f>
        <v/>
      </c>
      <c r="M977" s="12">
        <f>IF(OR($S977="",$V977="",$T977="",$T977&lt;0,$T977&gt;228,$AG977=""),"—",ROUND(IF($AG977=0,LN($V977/$AH977)/$AI977,((($V977/$AH977)^$AG977)-1)/($AG977*$AI977)),2))</f>
        <v/>
      </c>
      <c r="N977">
        <f>IF(OR($M977="",$M977="—"),"",IF($M977&lt;-3,"Muito baixa",IF($M977&lt;-2,"Baixa","Adequada")))</f>
        <v/>
      </c>
      <c r="O977" s="12">
        <f>IF(OR($S977="",$F977="",$T977="",$T977&lt;0,$T977&gt;120,$AJ977=""),"—",ROUND(IF(ABS($AM977)&lt;=3,$AM977,IF($AM977&gt;3,3+($F977-$AO977)/($AO977-$AN977),-3+($F977-$AQ977)/($AP977-$AQ977))),2))</f>
        <v/>
      </c>
      <c r="P977">
        <f>IF(OR($O977="",$O977="—"),"",IF($O977&lt;-3,"Muito baixo",IF($O977&lt;-2,"Baixo",IF($O977&lt;=2,"Adequado","Elevado"))))</f>
        <v/>
      </c>
      <c r="Q977" s="12">
        <f>IF(OR($S977="",$F977="",$T977="",$T977&lt;0,$T977&gt;60,$AR977=""),"—",ROUND(IF(ABS($AU977)&lt;=3,$AU977,IF($AU977&gt;3,3+($F977-$AW977)/($AW977-$AV977),-3+($F977-$AY977)/($AX977-$AY977))),2))</f>
        <v/>
      </c>
      <c r="R977">
        <f>IF(OR($Q977="",$Q977="—"),"",IF($Q977&lt;-3,"Magreza acentuada",IF($Q977&lt;-2,"Magreza",IF($Q977&lt;=1,"Eutrofia",IF($Q977&lt;=2,"Risco de sobrepeso",IF($Q977&lt;=3,"Sobrepeso","Obesidade"))))))</f>
        <v/>
      </c>
      <c r="S977">
        <f>IF($C977="","",IF(UPPER(LEFT($C977,1))="M",1,IF(UPPER(LEFT($C977,1))="F",2,"")))</f>
        <v/>
      </c>
      <c r="T977">
        <f>IF(OR($D977="",$E977=""),"",DATEDIF($D977,$E977,"m"))</f>
        <v/>
      </c>
      <c r="U977">
        <f>IF(OR($D977="",$E977=""),"",$E977-$D977)</f>
        <v/>
      </c>
      <c r="V977">
        <f>IF(OR($G977="",$T977=""),"",IF($T977&lt;24,IF(LEFT(LOWER($H977),4)="em p",$G977+0.7,$G977),IF(LEFT(LOWER($H977),4)="deit",$G977-0.7,$G977)))</f>
        <v/>
      </c>
      <c r="W977">
        <f>IF(OR($S977="",$T977=""),"",$S977*1000000+IF($T977&lt;=60,$U977,$T977))</f>
        <v/>
      </c>
      <c r="X977">
        <f>IF(OR($S977="",$V977="",$T977&gt;60,$T977=""),"",$S977*1000000+ROUND($V977*10,0))</f>
        <v/>
      </c>
      <c r="Y977">
        <f>IF($W977="","",IFERROR(INDEX(IF($T977&lt;=60,imc05_l,imc519_l),MATCH($W977,IF($T977&lt;=60,imc05_k,imc519_k),1)),""))</f>
        <v/>
      </c>
      <c r="Z977">
        <f>IF($W977="","",IFERROR(INDEX(IF($T977&lt;=60,imc05_m,imc519_m),MATCH($W977,IF($T977&lt;=60,imc05_k,imc519_k),1)),""))</f>
        <v/>
      </c>
      <c r="AA977">
        <f>IF($W977="","",IFERROR(INDEX(IF($T977&lt;=60,imc05_s,imc519_s),MATCH($W977,IF($T977&lt;=60,imc05_k,imc519_k),1)),""))</f>
        <v/>
      </c>
      <c r="AB977">
        <f>IF($Y977="","",IF($Y977=0,LN($J977/$Z977)/$AA977,((($J977/$Z977)^$Y977)-1)/($Y977*$AA977)))</f>
        <v/>
      </c>
      <c r="AC977">
        <f>IF($Y977="","",IF($Y977=0,$Z977*EXP($AA977*2),$Z977*(1+$Y977*$AA977*2)^(1/$Y977)))</f>
        <v/>
      </c>
      <c r="AD977">
        <f>IF($Y977="","",IF($Y977=0,$Z977*EXP($AA977*3),$Z977*(1+$Y977*$AA977*3)^(1/$Y977)))</f>
        <v/>
      </c>
      <c r="AE977">
        <f>IF($Y977="","",IF($Y977=0,$Z977*EXP($AA977*-2),$Z977*(1+$Y977*$AA977*-2)^(1/$Y977)))</f>
        <v/>
      </c>
      <c r="AF977">
        <f>IF($Y977="","",IF($Y977=0,$Z977*EXP($AA977*-3),$Z977*(1+$Y977*$AA977*-3)^(1/$Y977)))</f>
        <v/>
      </c>
      <c r="AG977">
        <f>IF($W977="","",IFERROR(INDEX(IF($T977&lt;=60,est05_l,est519_l),MATCH($W977,IF($T977&lt;=60,est05_k,est519_k),1)),""))</f>
        <v/>
      </c>
      <c r="AH977">
        <f>IF($W977="","",IFERROR(INDEX(IF($T977&lt;=60,est05_m,est519_m),MATCH($W977,IF($T977&lt;=60,est05_k,est519_k),1)),""))</f>
        <v/>
      </c>
      <c r="AI977">
        <f>IF($W977="","",IFERROR(INDEX(IF($T977&lt;=60,est05_s,est519_s),MATCH($W977,IF($T977&lt;=60,est05_k,est519_k),1)),""))</f>
        <v/>
      </c>
      <c r="AJ977">
        <f>IF($W977="","",IFERROR(INDEX(IF($T977&lt;=60,peso05_l,peso510_l),MATCH($W977,IF($T977&lt;=60,peso05_k,peso510_k),1)),""))</f>
        <v/>
      </c>
      <c r="AK977">
        <f>IF($W977="","",IFERROR(INDEX(IF($T977&lt;=60,peso05_m,peso510_m),MATCH($W977,IF($T977&lt;=60,peso05_k,peso510_k),1)),""))</f>
        <v/>
      </c>
      <c r="AL977">
        <f>IF($W977="","",IFERROR(INDEX(IF($T977&lt;=60,peso05_s,peso510_s),MATCH($W977,IF($T977&lt;=60,peso05_k,peso510_k),1)),""))</f>
        <v/>
      </c>
      <c r="AM977">
        <f>IF($AJ977="","",IF($AJ977=0,LN($F977/$AK977)/$AL977,((($F977/$AK977)^$AJ977)-1)/($AJ977*$AL977)))</f>
        <v/>
      </c>
      <c r="AN977">
        <f>IF($AJ977="","",IF($AJ977=0,$AK977*EXP($AL977*2),$AK977*(1+$AJ977*$AL977*2)^(1/$AJ977)))</f>
        <v/>
      </c>
      <c r="AO977">
        <f>IF($AJ977="","",IF($AJ977=0,$AK977*EXP($AL977*3),$AK977*(1+$AJ977*$AL977*3)^(1/$AJ977)))</f>
        <v/>
      </c>
      <c r="AP977">
        <f>IF($AJ977="","",IF($AJ977=0,$AK977*EXP($AL977*-2),$AK977*(1+$AJ977*$AL977*-2)^(1/$AJ977)))</f>
        <v/>
      </c>
      <c r="AQ977">
        <f>IF($AJ977="","",IF($AJ977=0,$AK977*EXP($AL977*-3),$AK977*(1+$AJ977*$AL977*-3)^(1/$AJ977)))</f>
        <v/>
      </c>
      <c r="AR977">
        <f>IF(OR($X977="",$T977&gt;60),"",IFERROR(INDEX(IF($T977&lt;24,pcomp_l,palt_l),MATCH($X977,IF($T977&lt;24,pcomp_k,palt_k),1)),""))</f>
        <v/>
      </c>
      <c r="AS977">
        <f>IF(OR($X977="",$T977&gt;60),"",IFERROR(INDEX(IF($T977&lt;24,pcomp_m,palt_m),MATCH($X977,IF($T977&lt;24,pcomp_k,palt_k),1)),""))</f>
        <v/>
      </c>
      <c r="AT977">
        <f>IF(OR($X977="",$T977&gt;60),"",IFERROR(INDEX(IF($T977&lt;24,pcomp_s,palt_s),MATCH($X977,IF($T977&lt;24,pcomp_k,palt_k),1)),""))</f>
        <v/>
      </c>
      <c r="AU977">
        <f>IF($AR977="","",IF($AR977=0,LN($F977/$AS977)/$AT977,((($F977/$AS977)^$AR977)-1)/($AR977*$AT977)))</f>
        <v/>
      </c>
      <c r="AV977">
        <f>IF($AR977="","",IF($AR977=0,$AS977*EXP($AT977*2),$AS977*(1+$AR977*$AT977*2)^(1/$AR977)))</f>
        <v/>
      </c>
      <c r="AW977">
        <f>IF($AR977="","",IF($AR977=0,$AS977*EXP($AT977*3),$AS977*(1+$AR977*$AT977*3)^(1/$AR977)))</f>
        <v/>
      </c>
      <c r="AX977">
        <f>IF($AR977="","",IF($AR977=0,$AS977*EXP($AT977*-2),$AS977*(1+$AR977*$AT977*-2)^(1/$AR977)))</f>
        <v/>
      </c>
      <c r="AY977">
        <f>IF($AR977="","",IF($AR977=0,$AS977*EXP($AT977*-3),$AS977*(1+$AR977*$AT977*-3)^(1/$AR977)))</f>
        <v/>
      </c>
      <c r="AZ977">
        <f>IF(OR($A977="",$A977&lt;&gt;Ficha!$C$4),"",COUNTIF($A$2:$A977,Ficha!$C$4))</f>
        <v/>
      </c>
    </row>
    <row r="978">
      <c r="A978" s="8">
        <f>IF(INDEX(Banco!$A:$A,ROW())="","",INDEX(Banco!$A:$A,ROW()))</f>
        <v/>
      </c>
      <c r="B978" s="8">
        <f>IF(INDEX(Banco!$B:$B,ROW())="","",INDEX(Banco!$B:$B,ROW()))</f>
        <v/>
      </c>
      <c r="C978" s="8">
        <f>IF(INDEX(Banco!$C:$C,ROW())="","",INDEX(Banco!$C:$C,ROW()))</f>
        <v/>
      </c>
      <c r="D978" s="9">
        <f>IF(INDEX(Banco!$D:$D,ROW())="","",INDEX(Banco!$D:$D,ROW()))</f>
        <v/>
      </c>
      <c r="E978" s="9">
        <f>IF(INDEX(Banco!$E:$E,ROW())="","",INDEX(Banco!$E:$E,ROW()))</f>
        <v/>
      </c>
      <c r="F978" s="10">
        <f>IF(INDEX(Banco!$F:$F,ROW())="","",INDEX(Banco!$F:$F,ROW()))</f>
        <v/>
      </c>
      <c r="G978" s="10">
        <f>IF(INDEX(Banco!$G:$G,ROW())="","",INDEX(Banco!$G:$G,ROW()))</f>
        <v/>
      </c>
      <c r="H978" s="8">
        <f>IF(INDEX(Banco!$H:$H,ROW())="","",INDEX(Banco!$H:$H,ROW()))</f>
        <v/>
      </c>
      <c r="I978">
        <f>IF($T978="","",INT($T978/12)&amp;"a "&amp;MOD($T978,12)&amp;"m")</f>
        <v/>
      </c>
      <c r="J978" s="11">
        <f>IF(OR($F978="",$G978=""),"",ROUND($F978/($G978/100)^2,2))</f>
        <v/>
      </c>
      <c r="K978" s="12">
        <f>IF(OR($S978="",$J978="",$T978="",$T978&lt;0,$T978&gt;228,$Y978=""),"—",ROUND(IF(ABS($AB978)&lt;=3,$AB978,IF($AB978&gt;3,3+($J978-$AD978)/($AD978-$AC978),-3+($J978-$AF978)/($AE978-$AF978))),2))</f>
        <v/>
      </c>
      <c r="L978">
        <f>IF(OR($K978="",$K978="—"),"",IF($T978&lt;=60,IF($K978&lt;-3,"Magreza acentuada",IF($K978&lt;-2,"Magreza",IF($K978&lt;=1,"Eutrofia",IF($K978&lt;=2,"Risco de sobrepeso",IF($K978&lt;=3,"Sobrepeso","Obesidade"))))),IF($K978&lt;-3,"Magreza acentuada",IF($K978&lt;-2,"Magreza",IF($K978&lt;=1,"Eutrofia",IF($K978&lt;=2,"Sobrepeso",IF($K978&lt;=3,"Obesidade","Obesidade grave")))))))</f>
        <v/>
      </c>
      <c r="M978" s="12">
        <f>IF(OR($S978="",$V978="",$T978="",$T978&lt;0,$T978&gt;228,$AG978=""),"—",ROUND(IF($AG978=0,LN($V978/$AH978)/$AI978,((($V978/$AH978)^$AG978)-1)/($AG978*$AI978)),2))</f>
        <v/>
      </c>
      <c r="N978">
        <f>IF(OR($M978="",$M978="—"),"",IF($M978&lt;-3,"Muito baixa",IF($M978&lt;-2,"Baixa","Adequada")))</f>
        <v/>
      </c>
      <c r="O978" s="12">
        <f>IF(OR($S978="",$F978="",$T978="",$T978&lt;0,$T978&gt;120,$AJ978=""),"—",ROUND(IF(ABS($AM978)&lt;=3,$AM978,IF($AM978&gt;3,3+($F978-$AO978)/($AO978-$AN978),-3+($F978-$AQ978)/($AP978-$AQ978))),2))</f>
        <v/>
      </c>
      <c r="P978">
        <f>IF(OR($O978="",$O978="—"),"",IF($O978&lt;-3,"Muito baixo",IF($O978&lt;-2,"Baixo",IF($O978&lt;=2,"Adequado","Elevado"))))</f>
        <v/>
      </c>
      <c r="Q978" s="12">
        <f>IF(OR($S978="",$F978="",$T978="",$T978&lt;0,$T978&gt;60,$AR978=""),"—",ROUND(IF(ABS($AU978)&lt;=3,$AU978,IF($AU978&gt;3,3+($F978-$AW978)/($AW978-$AV978),-3+($F978-$AY978)/($AX978-$AY978))),2))</f>
        <v/>
      </c>
      <c r="R978">
        <f>IF(OR($Q978="",$Q978="—"),"",IF($Q978&lt;-3,"Magreza acentuada",IF($Q978&lt;-2,"Magreza",IF($Q978&lt;=1,"Eutrofia",IF($Q978&lt;=2,"Risco de sobrepeso",IF($Q978&lt;=3,"Sobrepeso","Obesidade"))))))</f>
        <v/>
      </c>
      <c r="S978">
        <f>IF($C978="","",IF(UPPER(LEFT($C978,1))="M",1,IF(UPPER(LEFT($C978,1))="F",2,"")))</f>
        <v/>
      </c>
      <c r="T978">
        <f>IF(OR($D978="",$E978=""),"",DATEDIF($D978,$E978,"m"))</f>
        <v/>
      </c>
      <c r="U978">
        <f>IF(OR($D978="",$E978=""),"",$E978-$D978)</f>
        <v/>
      </c>
      <c r="V978">
        <f>IF(OR($G978="",$T978=""),"",IF($T978&lt;24,IF(LEFT(LOWER($H978),4)="em p",$G978+0.7,$G978),IF(LEFT(LOWER($H978),4)="deit",$G978-0.7,$G978)))</f>
        <v/>
      </c>
      <c r="W978">
        <f>IF(OR($S978="",$T978=""),"",$S978*1000000+IF($T978&lt;=60,$U978,$T978))</f>
        <v/>
      </c>
      <c r="X978">
        <f>IF(OR($S978="",$V978="",$T978&gt;60,$T978=""),"",$S978*1000000+ROUND($V978*10,0))</f>
        <v/>
      </c>
      <c r="Y978">
        <f>IF($W978="","",IFERROR(INDEX(IF($T978&lt;=60,imc05_l,imc519_l),MATCH($W978,IF($T978&lt;=60,imc05_k,imc519_k),1)),""))</f>
        <v/>
      </c>
      <c r="Z978">
        <f>IF($W978="","",IFERROR(INDEX(IF($T978&lt;=60,imc05_m,imc519_m),MATCH($W978,IF($T978&lt;=60,imc05_k,imc519_k),1)),""))</f>
        <v/>
      </c>
      <c r="AA978">
        <f>IF($W978="","",IFERROR(INDEX(IF($T978&lt;=60,imc05_s,imc519_s),MATCH($W978,IF($T978&lt;=60,imc05_k,imc519_k),1)),""))</f>
        <v/>
      </c>
      <c r="AB978">
        <f>IF($Y978="","",IF($Y978=0,LN($J978/$Z978)/$AA978,((($J978/$Z978)^$Y978)-1)/($Y978*$AA978)))</f>
        <v/>
      </c>
      <c r="AC978">
        <f>IF($Y978="","",IF($Y978=0,$Z978*EXP($AA978*2),$Z978*(1+$Y978*$AA978*2)^(1/$Y978)))</f>
        <v/>
      </c>
      <c r="AD978">
        <f>IF($Y978="","",IF($Y978=0,$Z978*EXP($AA978*3),$Z978*(1+$Y978*$AA978*3)^(1/$Y978)))</f>
        <v/>
      </c>
      <c r="AE978">
        <f>IF($Y978="","",IF($Y978=0,$Z978*EXP($AA978*-2),$Z978*(1+$Y978*$AA978*-2)^(1/$Y978)))</f>
        <v/>
      </c>
      <c r="AF978">
        <f>IF($Y978="","",IF($Y978=0,$Z978*EXP($AA978*-3),$Z978*(1+$Y978*$AA978*-3)^(1/$Y978)))</f>
        <v/>
      </c>
      <c r="AG978">
        <f>IF($W978="","",IFERROR(INDEX(IF($T978&lt;=60,est05_l,est519_l),MATCH($W978,IF($T978&lt;=60,est05_k,est519_k),1)),""))</f>
        <v/>
      </c>
      <c r="AH978">
        <f>IF($W978="","",IFERROR(INDEX(IF($T978&lt;=60,est05_m,est519_m),MATCH($W978,IF($T978&lt;=60,est05_k,est519_k),1)),""))</f>
        <v/>
      </c>
      <c r="AI978">
        <f>IF($W978="","",IFERROR(INDEX(IF($T978&lt;=60,est05_s,est519_s),MATCH($W978,IF($T978&lt;=60,est05_k,est519_k),1)),""))</f>
        <v/>
      </c>
      <c r="AJ978">
        <f>IF($W978="","",IFERROR(INDEX(IF($T978&lt;=60,peso05_l,peso510_l),MATCH($W978,IF($T978&lt;=60,peso05_k,peso510_k),1)),""))</f>
        <v/>
      </c>
      <c r="AK978">
        <f>IF($W978="","",IFERROR(INDEX(IF($T978&lt;=60,peso05_m,peso510_m),MATCH($W978,IF($T978&lt;=60,peso05_k,peso510_k),1)),""))</f>
        <v/>
      </c>
      <c r="AL978">
        <f>IF($W978="","",IFERROR(INDEX(IF($T978&lt;=60,peso05_s,peso510_s),MATCH($W978,IF($T978&lt;=60,peso05_k,peso510_k),1)),""))</f>
        <v/>
      </c>
      <c r="AM978">
        <f>IF($AJ978="","",IF($AJ978=0,LN($F978/$AK978)/$AL978,((($F978/$AK978)^$AJ978)-1)/($AJ978*$AL978)))</f>
        <v/>
      </c>
      <c r="AN978">
        <f>IF($AJ978="","",IF($AJ978=0,$AK978*EXP($AL978*2),$AK978*(1+$AJ978*$AL978*2)^(1/$AJ978)))</f>
        <v/>
      </c>
      <c r="AO978">
        <f>IF($AJ978="","",IF($AJ978=0,$AK978*EXP($AL978*3),$AK978*(1+$AJ978*$AL978*3)^(1/$AJ978)))</f>
        <v/>
      </c>
      <c r="AP978">
        <f>IF($AJ978="","",IF($AJ978=0,$AK978*EXP($AL978*-2),$AK978*(1+$AJ978*$AL978*-2)^(1/$AJ978)))</f>
        <v/>
      </c>
      <c r="AQ978">
        <f>IF($AJ978="","",IF($AJ978=0,$AK978*EXP($AL978*-3),$AK978*(1+$AJ978*$AL978*-3)^(1/$AJ978)))</f>
        <v/>
      </c>
      <c r="AR978">
        <f>IF(OR($X978="",$T978&gt;60),"",IFERROR(INDEX(IF($T978&lt;24,pcomp_l,palt_l),MATCH($X978,IF($T978&lt;24,pcomp_k,palt_k),1)),""))</f>
        <v/>
      </c>
      <c r="AS978">
        <f>IF(OR($X978="",$T978&gt;60),"",IFERROR(INDEX(IF($T978&lt;24,pcomp_m,palt_m),MATCH($X978,IF($T978&lt;24,pcomp_k,palt_k),1)),""))</f>
        <v/>
      </c>
      <c r="AT978">
        <f>IF(OR($X978="",$T978&gt;60),"",IFERROR(INDEX(IF($T978&lt;24,pcomp_s,palt_s),MATCH($X978,IF($T978&lt;24,pcomp_k,palt_k),1)),""))</f>
        <v/>
      </c>
      <c r="AU978">
        <f>IF($AR978="","",IF($AR978=0,LN($F978/$AS978)/$AT978,((($F978/$AS978)^$AR978)-1)/($AR978*$AT978)))</f>
        <v/>
      </c>
      <c r="AV978">
        <f>IF($AR978="","",IF($AR978=0,$AS978*EXP($AT978*2),$AS978*(1+$AR978*$AT978*2)^(1/$AR978)))</f>
        <v/>
      </c>
      <c r="AW978">
        <f>IF($AR978="","",IF($AR978=0,$AS978*EXP($AT978*3),$AS978*(1+$AR978*$AT978*3)^(1/$AR978)))</f>
        <v/>
      </c>
      <c r="AX978">
        <f>IF($AR978="","",IF($AR978=0,$AS978*EXP($AT978*-2),$AS978*(1+$AR978*$AT978*-2)^(1/$AR978)))</f>
        <v/>
      </c>
      <c r="AY978">
        <f>IF($AR978="","",IF($AR978=0,$AS978*EXP($AT978*-3),$AS978*(1+$AR978*$AT978*-3)^(1/$AR978)))</f>
        <v/>
      </c>
      <c r="AZ978">
        <f>IF(OR($A978="",$A978&lt;&gt;Ficha!$C$4),"",COUNTIF($A$2:$A978,Ficha!$C$4))</f>
        <v/>
      </c>
    </row>
    <row r="979">
      <c r="A979" s="8">
        <f>IF(INDEX(Banco!$A:$A,ROW())="","",INDEX(Banco!$A:$A,ROW()))</f>
        <v/>
      </c>
      <c r="B979" s="8">
        <f>IF(INDEX(Banco!$B:$B,ROW())="","",INDEX(Banco!$B:$B,ROW()))</f>
        <v/>
      </c>
      <c r="C979" s="8">
        <f>IF(INDEX(Banco!$C:$C,ROW())="","",INDEX(Banco!$C:$C,ROW()))</f>
        <v/>
      </c>
      <c r="D979" s="9">
        <f>IF(INDEX(Banco!$D:$D,ROW())="","",INDEX(Banco!$D:$D,ROW()))</f>
        <v/>
      </c>
      <c r="E979" s="9">
        <f>IF(INDEX(Banco!$E:$E,ROW())="","",INDEX(Banco!$E:$E,ROW()))</f>
        <v/>
      </c>
      <c r="F979" s="10">
        <f>IF(INDEX(Banco!$F:$F,ROW())="","",INDEX(Banco!$F:$F,ROW()))</f>
        <v/>
      </c>
      <c r="G979" s="10">
        <f>IF(INDEX(Banco!$G:$G,ROW())="","",INDEX(Banco!$G:$G,ROW()))</f>
        <v/>
      </c>
      <c r="H979" s="8">
        <f>IF(INDEX(Banco!$H:$H,ROW())="","",INDEX(Banco!$H:$H,ROW()))</f>
        <v/>
      </c>
      <c r="I979">
        <f>IF($T979="","",INT($T979/12)&amp;"a "&amp;MOD($T979,12)&amp;"m")</f>
        <v/>
      </c>
      <c r="J979" s="11">
        <f>IF(OR($F979="",$G979=""),"",ROUND($F979/($G979/100)^2,2))</f>
        <v/>
      </c>
      <c r="K979" s="12">
        <f>IF(OR($S979="",$J979="",$T979="",$T979&lt;0,$T979&gt;228,$Y979=""),"—",ROUND(IF(ABS($AB979)&lt;=3,$AB979,IF($AB979&gt;3,3+($J979-$AD979)/($AD979-$AC979),-3+($J979-$AF979)/($AE979-$AF979))),2))</f>
        <v/>
      </c>
      <c r="L979">
        <f>IF(OR($K979="",$K979="—"),"",IF($T979&lt;=60,IF($K979&lt;-3,"Magreza acentuada",IF($K979&lt;-2,"Magreza",IF($K979&lt;=1,"Eutrofia",IF($K979&lt;=2,"Risco de sobrepeso",IF($K979&lt;=3,"Sobrepeso","Obesidade"))))),IF($K979&lt;-3,"Magreza acentuada",IF($K979&lt;-2,"Magreza",IF($K979&lt;=1,"Eutrofia",IF($K979&lt;=2,"Sobrepeso",IF($K979&lt;=3,"Obesidade","Obesidade grave")))))))</f>
        <v/>
      </c>
      <c r="M979" s="12">
        <f>IF(OR($S979="",$V979="",$T979="",$T979&lt;0,$T979&gt;228,$AG979=""),"—",ROUND(IF($AG979=0,LN($V979/$AH979)/$AI979,((($V979/$AH979)^$AG979)-1)/($AG979*$AI979)),2))</f>
        <v/>
      </c>
      <c r="N979">
        <f>IF(OR($M979="",$M979="—"),"",IF($M979&lt;-3,"Muito baixa",IF($M979&lt;-2,"Baixa","Adequada")))</f>
        <v/>
      </c>
      <c r="O979" s="12">
        <f>IF(OR($S979="",$F979="",$T979="",$T979&lt;0,$T979&gt;120,$AJ979=""),"—",ROUND(IF(ABS($AM979)&lt;=3,$AM979,IF($AM979&gt;3,3+($F979-$AO979)/($AO979-$AN979),-3+($F979-$AQ979)/($AP979-$AQ979))),2))</f>
        <v/>
      </c>
      <c r="P979">
        <f>IF(OR($O979="",$O979="—"),"",IF($O979&lt;-3,"Muito baixo",IF($O979&lt;-2,"Baixo",IF($O979&lt;=2,"Adequado","Elevado"))))</f>
        <v/>
      </c>
      <c r="Q979" s="12">
        <f>IF(OR($S979="",$F979="",$T979="",$T979&lt;0,$T979&gt;60,$AR979=""),"—",ROUND(IF(ABS($AU979)&lt;=3,$AU979,IF($AU979&gt;3,3+($F979-$AW979)/($AW979-$AV979),-3+($F979-$AY979)/($AX979-$AY979))),2))</f>
        <v/>
      </c>
      <c r="R979">
        <f>IF(OR($Q979="",$Q979="—"),"",IF($Q979&lt;-3,"Magreza acentuada",IF($Q979&lt;-2,"Magreza",IF($Q979&lt;=1,"Eutrofia",IF($Q979&lt;=2,"Risco de sobrepeso",IF($Q979&lt;=3,"Sobrepeso","Obesidade"))))))</f>
        <v/>
      </c>
      <c r="S979">
        <f>IF($C979="","",IF(UPPER(LEFT($C979,1))="M",1,IF(UPPER(LEFT($C979,1))="F",2,"")))</f>
        <v/>
      </c>
      <c r="T979">
        <f>IF(OR($D979="",$E979=""),"",DATEDIF($D979,$E979,"m"))</f>
        <v/>
      </c>
      <c r="U979">
        <f>IF(OR($D979="",$E979=""),"",$E979-$D979)</f>
        <v/>
      </c>
      <c r="V979">
        <f>IF(OR($G979="",$T979=""),"",IF($T979&lt;24,IF(LEFT(LOWER($H979),4)="em p",$G979+0.7,$G979),IF(LEFT(LOWER($H979),4)="deit",$G979-0.7,$G979)))</f>
        <v/>
      </c>
      <c r="W979">
        <f>IF(OR($S979="",$T979=""),"",$S979*1000000+IF($T979&lt;=60,$U979,$T979))</f>
        <v/>
      </c>
      <c r="X979">
        <f>IF(OR($S979="",$V979="",$T979&gt;60,$T979=""),"",$S979*1000000+ROUND($V979*10,0))</f>
        <v/>
      </c>
      <c r="Y979">
        <f>IF($W979="","",IFERROR(INDEX(IF($T979&lt;=60,imc05_l,imc519_l),MATCH($W979,IF($T979&lt;=60,imc05_k,imc519_k),1)),""))</f>
        <v/>
      </c>
      <c r="Z979">
        <f>IF($W979="","",IFERROR(INDEX(IF($T979&lt;=60,imc05_m,imc519_m),MATCH($W979,IF($T979&lt;=60,imc05_k,imc519_k),1)),""))</f>
        <v/>
      </c>
      <c r="AA979">
        <f>IF($W979="","",IFERROR(INDEX(IF($T979&lt;=60,imc05_s,imc519_s),MATCH($W979,IF($T979&lt;=60,imc05_k,imc519_k),1)),""))</f>
        <v/>
      </c>
      <c r="AB979">
        <f>IF($Y979="","",IF($Y979=0,LN($J979/$Z979)/$AA979,((($J979/$Z979)^$Y979)-1)/($Y979*$AA979)))</f>
        <v/>
      </c>
      <c r="AC979">
        <f>IF($Y979="","",IF($Y979=0,$Z979*EXP($AA979*2),$Z979*(1+$Y979*$AA979*2)^(1/$Y979)))</f>
        <v/>
      </c>
      <c r="AD979">
        <f>IF($Y979="","",IF($Y979=0,$Z979*EXP($AA979*3),$Z979*(1+$Y979*$AA979*3)^(1/$Y979)))</f>
        <v/>
      </c>
      <c r="AE979">
        <f>IF($Y979="","",IF($Y979=0,$Z979*EXP($AA979*-2),$Z979*(1+$Y979*$AA979*-2)^(1/$Y979)))</f>
        <v/>
      </c>
      <c r="AF979">
        <f>IF($Y979="","",IF($Y979=0,$Z979*EXP($AA979*-3),$Z979*(1+$Y979*$AA979*-3)^(1/$Y979)))</f>
        <v/>
      </c>
      <c r="AG979">
        <f>IF($W979="","",IFERROR(INDEX(IF($T979&lt;=60,est05_l,est519_l),MATCH($W979,IF($T979&lt;=60,est05_k,est519_k),1)),""))</f>
        <v/>
      </c>
      <c r="AH979">
        <f>IF($W979="","",IFERROR(INDEX(IF($T979&lt;=60,est05_m,est519_m),MATCH($W979,IF($T979&lt;=60,est05_k,est519_k),1)),""))</f>
        <v/>
      </c>
      <c r="AI979">
        <f>IF($W979="","",IFERROR(INDEX(IF($T979&lt;=60,est05_s,est519_s),MATCH($W979,IF($T979&lt;=60,est05_k,est519_k),1)),""))</f>
        <v/>
      </c>
      <c r="AJ979">
        <f>IF($W979="","",IFERROR(INDEX(IF($T979&lt;=60,peso05_l,peso510_l),MATCH($W979,IF($T979&lt;=60,peso05_k,peso510_k),1)),""))</f>
        <v/>
      </c>
      <c r="AK979">
        <f>IF($W979="","",IFERROR(INDEX(IF($T979&lt;=60,peso05_m,peso510_m),MATCH($W979,IF($T979&lt;=60,peso05_k,peso510_k),1)),""))</f>
        <v/>
      </c>
      <c r="AL979">
        <f>IF($W979="","",IFERROR(INDEX(IF($T979&lt;=60,peso05_s,peso510_s),MATCH($W979,IF($T979&lt;=60,peso05_k,peso510_k),1)),""))</f>
        <v/>
      </c>
      <c r="AM979">
        <f>IF($AJ979="","",IF($AJ979=0,LN($F979/$AK979)/$AL979,((($F979/$AK979)^$AJ979)-1)/($AJ979*$AL979)))</f>
        <v/>
      </c>
      <c r="AN979">
        <f>IF($AJ979="","",IF($AJ979=0,$AK979*EXP($AL979*2),$AK979*(1+$AJ979*$AL979*2)^(1/$AJ979)))</f>
        <v/>
      </c>
      <c r="AO979">
        <f>IF($AJ979="","",IF($AJ979=0,$AK979*EXP($AL979*3),$AK979*(1+$AJ979*$AL979*3)^(1/$AJ979)))</f>
        <v/>
      </c>
      <c r="AP979">
        <f>IF($AJ979="","",IF($AJ979=0,$AK979*EXP($AL979*-2),$AK979*(1+$AJ979*$AL979*-2)^(1/$AJ979)))</f>
        <v/>
      </c>
      <c r="AQ979">
        <f>IF($AJ979="","",IF($AJ979=0,$AK979*EXP($AL979*-3),$AK979*(1+$AJ979*$AL979*-3)^(1/$AJ979)))</f>
        <v/>
      </c>
      <c r="AR979">
        <f>IF(OR($X979="",$T979&gt;60),"",IFERROR(INDEX(IF($T979&lt;24,pcomp_l,palt_l),MATCH($X979,IF($T979&lt;24,pcomp_k,palt_k),1)),""))</f>
        <v/>
      </c>
      <c r="AS979">
        <f>IF(OR($X979="",$T979&gt;60),"",IFERROR(INDEX(IF($T979&lt;24,pcomp_m,palt_m),MATCH($X979,IF($T979&lt;24,pcomp_k,palt_k),1)),""))</f>
        <v/>
      </c>
      <c r="AT979">
        <f>IF(OR($X979="",$T979&gt;60),"",IFERROR(INDEX(IF($T979&lt;24,pcomp_s,palt_s),MATCH($X979,IF($T979&lt;24,pcomp_k,palt_k),1)),""))</f>
        <v/>
      </c>
      <c r="AU979">
        <f>IF($AR979="","",IF($AR979=0,LN($F979/$AS979)/$AT979,((($F979/$AS979)^$AR979)-1)/($AR979*$AT979)))</f>
        <v/>
      </c>
      <c r="AV979">
        <f>IF($AR979="","",IF($AR979=0,$AS979*EXP($AT979*2),$AS979*(1+$AR979*$AT979*2)^(1/$AR979)))</f>
        <v/>
      </c>
      <c r="AW979">
        <f>IF($AR979="","",IF($AR979=0,$AS979*EXP($AT979*3),$AS979*(1+$AR979*$AT979*3)^(1/$AR979)))</f>
        <v/>
      </c>
      <c r="AX979">
        <f>IF($AR979="","",IF($AR979=0,$AS979*EXP($AT979*-2),$AS979*(1+$AR979*$AT979*-2)^(1/$AR979)))</f>
        <v/>
      </c>
      <c r="AY979">
        <f>IF($AR979="","",IF($AR979=0,$AS979*EXP($AT979*-3),$AS979*(1+$AR979*$AT979*-3)^(1/$AR979)))</f>
        <v/>
      </c>
      <c r="AZ979">
        <f>IF(OR($A979="",$A979&lt;&gt;Ficha!$C$4),"",COUNTIF($A$2:$A979,Ficha!$C$4))</f>
        <v/>
      </c>
    </row>
    <row r="980">
      <c r="A980" s="8">
        <f>IF(INDEX(Banco!$A:$A,ROW())="","",INDEX(Banco!$A:$A,ROW()))</f>
        <v/>
      </c>
      <c r="B980" s="8">
        <f>IF(INDEX(Banco!$B:$B,ROW())="","",INDEX(Banco!$B:$B,ROW()))</f>
        <v/>
      </c>
      <c r="C980" s="8">
        <f>IF(INDEX(Banco!$C:$C,ROW())="","",INDEX(Banco!$C:$C,ROW()))</f>
        <v/>
      </c>
      <c r="D980" s="9">
        <f>IF(INDEX(Banco!$D:$D,ROW())="","",INDEX(Banco!$D:$D,ROW()))</f>
        <v/>
      </c>
      <c r="E980" s="9">
        <f>IF(INDEX(Banco!$E:$E,ROW())="","",INDEX(Banco!$E:$E,ROW()))</f>
        <v/>
      </c>
      <c r="F980" s="10">
        <f>IF(INDEX(Banco!$F:$F,ROW())="","",INDEX(Banco!$F:$F,ROW()))</f>
        <v/>
      </c>
      <c r="G980" s="10">
        <f>IF(INDEX(Banco!$G:$G,ROW())="","",INDEX(Banco!$G:$G,ROW()))</f>
        <v/>
      </c>
      <c r="H980" s="8">
        <f>IF(INDEX(Banco!$H:$H,ROW())="","",INDEX(Banco!$H:$H,ROW()))</f>
        <v/>
      </c>
      <c r="I980">
        <f>IF($T980="","",INT($T980/12)&amp;"a "&amp;MOD($T980,12)&amp;"m")</f>
        <v/>
      </c>
      <c r="J980" s="11">
        <f>IF(OR($F980="",$G980=""),"",ROUND($F980/($G980/100)^2,2))</f>
        <v/>
      </c>
      <c r="K980" s="12">
        <f>IF(OR($S980="",$J980="",$T980="",$T980&lt;0,$T980&gt;228,$Y980=""),"—",ROUND(IF(ABS($AB980)&lt;=3,$AB980,IF($AB980&gt;3,3+($J980-$AD980)/($AD980-$AC980),-3+($J980-$AF980)/($AE980-$AF980))),2))</f>
        <v/>
      </c>
      <c r="L980">
        <f>IF(OR($K980="",$K980="—"),"",IF($T980&lt;=60,IF($K980&lt;-3,"Magreza acentuada",IF($K980&lt;-2,"Magreza",IF($K980&lt;=1,"Eutrofia",IF($K980&lt;=2,"Risco de sobrepeso",IF($K980&lt;=3,"Sobrepeso","Obesidade"))))),IF($K980&lt;-3,"Magreza acentuada",IF($K980&lt;-2,"Magreza",IF($K980&lt;=1,"Eutrofia",IF($K980&lt;=2,"Sobrepeso",IF($K980&lt;=3,"Obesidade","Obesidade grave")))))))</f>
        <v/>
      </c>
      <c r="M980" s="12">
        <f>IF(OR($S980="",$V980="",$T980="",$T980&lt;0,$T980&gt;228,$AG980=""),"—",ROUND(IF($AG980=0,LN($V980/$AH980)/$AI980,((($V980/$AH980)^$AG980)-1)/($AG980*$AI980)),2))</f>
        <v/>
      </c>
      <c r="N980">
        <f>IF(OR($M980="",$M980="—"),"",IF($M980&lt;-3,"Muito baixa",IF($M980&lt;-2,"Baixa","Adequada")))</f>
        <v/>
      </c>
      <c r="O980" s="12">
        <f>IF(OR($S980="",$F980="",$T980="",$T980&lt;0,$T980&gt;120,$AJ980=""),"—",ROUND(IF(ABS($AM980)&lt;=3,$AM980,IF($AM980&gt;3,3+($F980-$AO980)/($AO980-$AN980),-3+($F980-$AQ980)/($AP980-$AQ980))),2))</f>
        <v/>
      </c>
      <c r="P980">
        <f>IF(OR($O980="",$O980="—"),"",IF($O980&lt;-3,"Muito baixo",IF($O980&lt;-2,"Baixo",IF($O980&lt;=2,"Adequado","Elevado"))))</f>
        <v/>
      </c>
      <c r="Q980" s="12">
        <f>IF(OR($S980="",$F980="",$T980="",$T980&lt;0,$T980&gt;60,$AR980=""),"—",ROUND(IF(ABS($AU980)&lt;=3,$AU980,IF($AU980&gt;3,3+($F980-$AW980)/($AW980-$AV980),-3+($F980-$AY980)/($AX980-$AY980))),2))</f>
        <v/>
      </c>
      <c r="R980">
        <f>IF(OR($Q980="",$Q980="—"),"",IF($Q980&lt;-3,"Magreza acentuada",IF($Q980&lt;-2,"Magreza",IF($Q980&lt;=1,"Eutrofia",IF($Q980&lt;=2,"Risco de sobrepeso",IF($Q980&lt;=3,"Sobrepeso","Obesidade"))))))</f>
        <v/>
      </c>
      <c r="S980">
        <f>IF($C980="","",IF(UPPER(LEFT($C980,1))="M",1,IF(UPPER(LEFT($C980,1))="F",2,"")))</f>
        <v/>
      </c>
      <c r="T980">
        <f>IF(OR($D980="",$E980=""),"",DATEDIF($D980,$E980,"m"))</f>
        <v/>
      </c>
      <c r="U980">
        <f>IF(OR($D980="",$E980=""),"",$E980-$D980)</f>
        <v/>
      </c>
      <c r="V980">
        <f>IF(OR($G980="",$T980=""),"",IF($T980&lt;24,IF(LEFT(LOWER($H980),4)="em p",$G980+0.7,$G980),IF(LEFT(LOWER($H980),4)="deit",$G980-0.7,$G980)))</f>
        <v/>
      </c>
      <c r="W980">
        <f>IF(OR($S980="",$T980=""),"",$S980*1000000+IF($T980&lt;=60,$U980,$T980))</f>
        <v/>
      </c>
      <c r="X980">
        <f>IF(OR($S980="",$V980="",$T980&gt;60,$T980=""),"",$S980*1000000+ROUND($V980*10,0))</f>
        <v/>
      </c>
      <c r="Y980">
        <f>IF($W980="","",IFERROR(INDEX(IF($T980&lt;=60,imc05_l,imc519_l),MATCH($W980,IF($T980&lt;=60,imc05_k,imc519_k),1)),""))</f>
        <v/>
      </c>
      <c r="Z980">
        <f>IF($W980="","",IFERROR(INDEX(IF($T980&lt;=60,imc05_m,imc519_m),MATCH($W980,IF($T980&lt;=60,imc05_k,imc519_k),1)),""))</f>
        <v/>
      </c>
      <c r="AA980">
        <f>IF($W980="","",IFERROR(INDEX(IF($T980&lt;=60,imc05_s,imc519_s),MATCH($W980,IF($T980&lt;=60,imc05_k,imc519_k),1)),""))</f>
        <v/>
      </c>
      <c r="AB980">
        <f>IF($Y980="","",IF($Y980=0,LN($J980/$Z980)/$AA980,((($J980/$Z980)^$Y980)-1)/($Y980*$AA980)))</f>
        <v/>
      </c>
      <c r="AC980">
        <f>IF($Y980="","",IF($Y980=0,$Z980*EXP($AA980*2),$Z980*(1+$Y980*$AA980*2)^(1/$Y980)))</f>
        <v/>
      </c>
      <c r="AD980">
        <f>IF($Y980="","",IF($Y980=0,$Z980*EXP($AA980*3),$Z980*(1+$Y980*$AA980*3)^(1/$Y980)))</f>
        <v/>
      </c>
      <c r="AE980">
        <f>IF($Y980="","",IF($Y980=0,$Z980*EXP($AA980*-2),$Z980*(1+$Y980*$AA980*-2)^(1/$Y980)))</f>
        <v/>
      </c>
      <c r="AF980">
        <f>IF($Y980="","",IF($Y980=0,$Z980*EXP($AA980*-3),$Z980*(1+$Y980*$AA980*-3)^(1/$Y980)))</f>
        <v/>
      </c>
      <c r="AG980">
        <f>IF($W980="","",IFERROR(INDEX(IF($T980&lt;=60,est05_l,est519_l),MATCH($W980,IF($T980&lt;=60,est05_k,est519_k),1)),""))</f>
        <v/>
      </c>
      <c r="AH980">
        <f>IF($W980="","",IFERROR(INDEX(IF($T980&lt;=60,est05_m,est519_m),MATCH($W980,IF($T980&lt;=60,est05_k,est519_k),1)),""))</f>
        <v/>
      </c>
      <c r="AI980">
        <f>IF($W980="","",IFERROR(INDEX(IF($T980&lt;=60,est05_s,est519_s),MATCH($W980,IF($T980&lt;=60,est05_k,est519_k),1)),""))</f>
        <v/>
      </c>
      <c r="AJ980">
        <f>IF($W980="","",IFERROR(INDEX(IF($T980&lt;=60,peso05_l,peso510_l),MATCH($W980,IF($T980&lt;=60,peso05_k,peso510_k),1)),""))</f>
        <v/>
      </c>
      <c r="AK980">
        <f>IF($W980="","",IFERROR(INDEX(IF($T980&lt;=60,peso05_m,peso510_m),MATCH($W980,IF($T980&lt;=60,peso05_k,peso510_k),1)),""))</f>
        <v/>
      </c>
      <c r="AL980">
        <f>IF($W980="","",IFERROR(INDEX(IF($T980&lt;=60,peso05_s,peso510_s),MATCH($W980,IF($T980&lt;=60,peso05_k,peso510_k),1)),""))</f>
        <v/>
      </c>
      <c r="AM980">
        <f>IF($AJ980="","",IF($AJ980=0,LN($F980/$AK980)/$AL980,((($F980/$AK980)^$AJ980)-1)/($AJ980*$AL980)))</f>
        <v/>
      </c>
      <c r="AN980">
        <f>IF($AJ980="","",IF($AJ980=0,$AK980*EXP($AL980*2),$AK980*(1+$AJ980*$AL980*2)^(1/$AJ980)))</f>
        <v/>
      </c>
      <c r="AO980">
        <f>IF($AJ980="","",IF($AJ980=0,$AK980*EXP($AL980*3),$AK980*(1+$AJ980*$AL980*3)^(1/$AJ980)))</f>
        <v/>
      </c>
      <c r="AP980">
        <f>IF($AJ980="","",IF($AJ980=0,$AK980*EXP($AL980*-2),$AK980*(1+$AJ980*$AL980*-2)^(1/$AJ980)))</f>
        <v/>
      </c>
      <c r="AQ980">
        <f>IF($AJ980="","",IF($AJ980=0,$AK980*EXP($AL980*-3),$AK980*(1+$AJ980*$AL980*-3)^(1/$AJ980)))</f>
        <v/>
      </c>
      <c r="AR980">
        <f>IF(OR($X980="",$T980&gt;60),"",IFERROR(INDEX(IF($T980&lt;24,pcomp_l,palt_l),MATCH($X980,IF($T980&lt;24,pcomp_k,palt_k),1)),""))</f>
        <v/>
      </c>
      <c r="AS980">
        <f>IF(OR($X980="",$T980&gt;60),"",IFERROR(INDEX(IF($T980&lt;24,pcomp_m,palt_m),MATCH($X980,IF($T980&lt;24,pcomp_k,palt_k),1)),""))</f>
        <v/>
      </c>
      <c r="AT980">
        <f>IF(OR($X980="",$T980&gt;60),"",IFERROR(INDEX(IF($T980&lt;24,pcomp_s,palt_s),MATCH($X980,IF($T980&lt;24,pcomp_k,palt_k),1)),""))</f>
        <v/>
      </c>
      <c r="AU980">
        <f>IF($AR980="","",IF($AR980=0,LN($F980/$AS980)/$AT980,((($F980/$AS980)^$AR980)-1)/($AR980*$AT980)))</f>
        <v/>
      </c>
      <c r="AV980">
        <f>IF($AR980="","",IF($AR980=0,$AS980*EXP($AT980*2),$AS980*(1+$AR980*$AT980*2)^(1/$AR980)))</f>
        <v/>
      </c>
      <c r="AW980">
        <f>IF($AR980="","",IF($AR980=0,$AS980*EXP($AT980*3),$AS980*(1+$AR980*$AT980*3)^(1/$AR980)))</f>
        <v/>
      </c>
      <c r="AX980">
        <f>IF($AR980="","",IF($AR980=0,$AS980*EXP($AT980*-2),$AS980*(1+$AR980*$AT980*-2)^(1/$AR980)))</f>
        <v/>
      </c>
      <c r="AY980">
        <f>IF($AR980="","",IF($AR980=0,$AS980*EXP($AT980*-3),$AS980*(1+$AR980*$AT980*-3)^(1/$AR980)))</f>
        <v/>
      </c>
      <c r="AZ980">
        <f>IF(OR($A980="",$A980&lt;&gt;Ficha!$C$4),"",COUNTIF($A$2:$A980,Ficha!$C$4))</f>
        <v/>
      </c>
    </row>
    <row r="981">
      <c r="A981" s="8">
        <f>IF(INDEX(Banco!$A:$A,ROW())="","",INDEX(Banco!$A:$A,ROW()))</f>
        <v/>
      </c>
      <c r="B981" s="8">
        <f>IF(INDEX(Banco!$B:$B,ROW())="","",INDEX(Banco!$B:$B,ROW()))</f>
        <v/>
      </c>
      <c r="C981" s="8">
        <f>IF(INDEX(Banco!$C:$C,ROW())="","",INDEX(Banco!$C:$C,ROW()))</f>
        <v/>
      </c>
      <c r="D981" s="9">
        <f>IF(INDEX(Banco!$D:$D,ROW())="","",INDEX(Banco!$D:$D,ROW()))</f>
        <v/>
      </c>
      <c r="E981" s="9">
        <f>IF(INDEX(Banco!$E:$E,ROW())="","",INDEX(Banco!$E:$E,ROW()))</f>
        <v/>
      </c>
      <c r="F981" s="10">
        <f>IF(INDEX(Banco!$F:$F,ROW())="","",INDEX(Banco!$F:$F,ROW()))</f>
        <v/>
      </c>
      <c r="G981" s="10">
        <f>IF(INDEX(Banco!$G:$G,ROW())="","",INDEX(Banco!$G:$G,ROW()))</f>
        <v/>
      </c>
      <c r="H981" s="8">
        <f>IF(INDEX(Banco!$H:$H,ROW())="","",INDEX(Banco!$H:$H,ROW()))</f>
        <v/>
      </c>
      <c r="I981">
        <f>IF($T981="","",INT($T981/12)&amp;"a "&amp;MOD($T981,12)&amp;"m")</f>
        <v/>
      </c>
      <c r="J981" s="11">
        <f>IF(OR($F981="",$G981=""),"",ROUND($F981/($G981/100)^2,2))</f>
        <v/>
      </c>
      <c r="K981" s="12">
        <f>IF(OR($S981="",$J981="",$T981="",$T981&lt;0,$T981&gt;228,$Y981=""),"—",ROUND(IF(ABS($AB981)&lt;=3,$AB981,IF($AB981&gt;3,3+($J981-$AD981)/($AD981-$AC981),-3+($J981-$AF981)/($AE981-$AF981))),2))</f>
        <v/>
      </c>
      <c r="L981">
        <f>IF(OR($K981="",$K981="—"),"",IF($T981&lt;=60,IF($K981&lt;-3,"Magreza acentuada",IF($K981&lt;-2,"Magreza",IF($K981&lt;=1,"Eutrofia",IF($K981&lt;=2,"Risco de sobrepeso",IF($K981&lt;=3,"Sobrepeso","Obesidade"))))),IF($K981&lt;-3,"Magreza acentuada",IF($K981&lt;-2,"Magreza",IF($K981&lt;=1,"Eutrofia",IF($K981&lt;=2,"Sobrepeso",IF($K981&lt;=3,"Obesidade","Obesidade grave")))))))</f>
        <v/>
      </c>
      <c r="M981" s="12">
        <f>IF(OR($S981="",$V981="",$T981="",$T981&lt;0,$T981&gt;228,$AG981=""),"—",ROUND(IF($AG981=0,LN($V981/$AH981)/$AI981,((($V981/$AH981)^$AG981)-1)/($AG981*$AI981)),2))</f>
        <v/>
      </c>
      <c r="N981">
        <f>IF(OR($M981="",$M981="—"),"",IF($M981&lt;-3,"Muito baixa",IF($M981&lt;-2,"Baixa","Adequada")))</f>
        <v/>
      </c>
      <c r="O981" s="12">
        <f>IF(OR($S981="",$F981="",$T981="",$T981&lt;0,$T981&gt;120,$AJ981=""),"—",ROUND(IF(ABS($AM981)&lt;=3,$AM981,IF($AM981&gt;3,3+($F981-$AO981)/($AO981-$AN981),-3+($F981-$AQ981)/($AP981-$AQ981))),2))</f>
        <v/>
      </c>
      <c r="P981">
        <f>IF(OR($O981="",$O981="—"),"",IF($O981&lt;-3,"Muito baixo",IF($O981&lt;-2,"Baixo",IF($O981&lt;=2,"Adequado","Elevado"))))</f>
        <v/>
      </c>
      <c r="Q981" s="12">
        <f>IF(OR($S981="",$F981="",$T981="",$T981&lt;0,$T981&gt;60,$AR981=""),"—",ROUND(IF(ABS($AU981)&lt;=3,$AU981,IF($AU981&gt;3,3+($F981-$AW981)/($AW981-$AV981),-3+($F981-$AY981)/($AX981-$AY981))),2))</f>
        <v/>
      </c>
      <c r="R981">
        <f>IF(OR($Q981="",$Q981="—"),"",IF($Q981&lt;-3,"Magreza acentuada",IF($Q981&lt;-2,"Magreza",IF($Q981&lt;=1,"Eutrofia",IF($Q981&lt;=2,"Risco de sobrepeso",IF($Q981&lt;=3,"Sobrepeso","Obesidade"))))))</f>
        <v/>
      </c>
      <c r="S981">
        <f>IF($C981="","",IF(UPPER(LEFT($C981,1))="M",1,IF(UPPER(LEFT($C981,1))="F",2,"")))</f>
        <v/>
      </c>
      <c r="T981">
        <f>IF(OR($D981="",$E981=""),"",DATEDIF($D981,$E981,"m"))</f>
        <v/>
      </c>
      <c r="U981">
        <f>IF(OR($D981="",$E981=""),"",$E981-$D981)</f>
        <v/>
      </c>
      <c r="V981">
        <f>IF(OR($G981="",$T981=""),"",IF($T981&lt;24,IF(LEFT(LOWER($H981),4)="em p",$G981+0.7,$G981),IF(LEFT(LOWER($H981),4)="deit",$G981-0.7,$G981)))</f>
        <v/>
      </c>
      <c r="W981">
        <f>IF(OR($S981="",$T981=""),"",$S981*1000000+IF($T981&lt;=60,$U981,$T981))</f>
        <v/>
      </c>
      <c r="X981">
        <f>IF(OR($S981="",$V981="",$T981&gt;60,$T981=""),"",$S981*1000000+ROUND($V981*10,0))</f>
        <v/>
      </c>
      <c r="Y981">
        <f>IF($W981="","",IFERROR(INDEX(IF($T981&lt;=60,imc05_l,imc519_l),MATCH($W981,IF($T981&lt;=60,imc05_k,imc519_k),1)),""))</f>
        <v/>
      </c>
      <c r="Z981">
        <f>IF($W981="","",IFERROR(INDEX(IF($T981&lt;=60,imc05_m,imc519_m),MATCH($W981,IF($T981&lt;=60,imc05_k,imc519_k),1)),""))</f>
        <v/>
      </c>
      <c r="AA981">
        <f>IF($W981="","",IFERROR(INDEX(IF($T981&lt;=60,imc05_s,imc519_s),MATCH($W981,IF($T981&lt;=60,imc05_k,imc519_k),1)),""))</f>
        <v/>
      </c>
      <c r="AB981">
        <f>IF($Y981="","",IF($Y981=0,LN($J981/$Z981)/$AA981,((($J981/$Z981)^$Y981)-1)/($Y981*$AA981)))</f>
        <v/>
      </c>
      <c r="AC981">
        <f>IF($Y981="","",IF($Y981=0,$Z981*EXP($AA981*2),$Z981*(1+$Y981*$AA981*2)^(1/$Y981)))</f>
        <v/>
      </c>
      <c r="AD981">
        <f>IF($Y981="","",IF($Y981=0,$Z981*EXP($AA981*3),$Z981*(1+$Y981*$AA981*3)^(1/$Y981)))</f>
        <v/>
      </c>
      <c r="AE981">
        <f>IF($Y981="","",IF($Y981=0,$Z981*EXP($AA981*-2),$Z981*(1+$Y981*$AA981*-2)^(1/$Y981)))</f>
        <v/>
      </c>
      <c r="AF981">
        <f>IF($Y981="","",IF($Y981=0,$Z981*EXP($AA981*-3),$Z981*(1+$Y981*$AA981*-3)^(1/$Y981)))</f>
        <v/>
      </c>
      <c r="AG981">
        <f>IF($W981="","",IFERROR(INDEX(IF($T981&lt;=60,est05_l,est519_l),MATCH($W981,IF($T981&lt;=60,est05_k,est519_k),1)),""))</f>
        <v/>
      </c>
      <c r="AH981">
        <f>IF($W981="","",IFERROR(INDEX(IF($T981&lt;=60,est05_m,est519_m),MATCH($W981,IF($T981&lt;=60,est05_k,est519_k),1)),""))</f>
        <v/>
      </c>
      <c r="AI981">
        <f>IF($W981="","",IFERROR(INDEX(IF($T981&lt;=60,est05_s,est519_s),MATCH($W981,IF($T981&lt;=60,est05_k,est519_k),1)),""))</f>
        <v/>
      </c>
      <c r="AJ981">
        <f>IF($W981="","",IFERROR(INDEX(IF($T981&lt;=60,peso05_l,peso510_l),MATCH($W981,IF($T981&lt;=60,peso05_k,peso510_k),1)),""))</f>
        <v/>
      </c>
      <c r="AK981">
        <f>IF($W981="","",IFERROR(INDEX(IF($T981&lt;=60,peso05_m,peso510_m),MATCH($W981,IF($T981&lt;=60,peso05_k,peso510_k),1)),""))</f>
        <v/>
      </c>
      <c r="AL981">
        <f>IF($W981="","",IFERROR(INDEX(IF($T981&lt;=60,peso05_s,peso510_s),MATCH($W981,IF($T981&lt;=60,peso05_k,peso510_k),1)),""))</f>
        <v/>
      </c>
      <c r="AM981">
        <f>IF($AJ981="","",IF($AJ981=0,LN($F981/$AK981)/$AL981,((($F981/$AK981)^$AJ981)-1)/($AJ981*$AL981)))</f>
        <v/>
      </c>
      <c r="AN981">
        <f>IF($AJ981="","",IF($AJ981=0,$AK981*EXP($AL981*2),$AK981*(1+$AJ981*$AL981*2)^(1/$AJ981)))</f>
        <v/>
      </c>
      <c r="AO981">
        <f>IF($AJ981="","",IF($AJ981=0,$AK981*EXP($AL981*3),$AK981*(1+$AJ981*$AL981*3)^(1/$AJ981)))</f>
        <v/>
      </c>
      <c r="AP981">
        <f>IF($AJ981="","",IF($AJ981=0,$AK981*EXP($AL981*-2),$AK981*(1+$AJ981*$AL981*-2)^(1/$AJ981)))</f>
        <v/>
      </c>
      <c r="AQ981">
        <f>IF($AJ981="","",IF($AJ981=0,$AK981*EXP($AL981*-3),$AK981*(1+$AJ981*$AL981*-3)^(1/$AJ981)))</f>
        <v/>
      </c>
      <c r="AR981">
        <f>IF(OR($X981="",$T981&gt;60),"",IFERROR(INDEX(IF($T981&lt;24,pcomp_l,palt_l),MATCH($X981,IF($T981&lt;24,pcomp_k,palt_k),1)),""))</f>
        <v/>
      </c>
      <c r="AS981">
        <f>IF(OR($X981="",$T981&gt;60),"",IFERROR(INDEX(IF($T981&lt;24,pcomp_m,palt_m),MATCH($X981,IF($T981&lt;24,pcomp_k,palt_k),1)),""))</f>
        <v/>
      </c>
      <c r="AT981">
        <f>IF(OR($X981="",$T981&gt;60),"",IFERROR(INDEX(IF($T981&lt;24,pcomp_s,palt_s),MATCH($X981,IF($T981&lt;24,pcomp_k,palt_k),1)),""))</f>
        <v/>
      </c>
      <c r="AU981">
        <f>IF($AR981="","",IF($AR981=0,LN($F981/$AS981)/$AT981,((($F981/$AS981)^$AR981)-1)/($AR981*$AT981)))</f>
        <v/>
      </c>
      <c r="AV981">
        <f>IF($AR981="","",IF($AR981=0,$AS981*EXP($AT981*2),$AS981*(1+$AR981*$AT981*2)^(1/$AR981)))</f>
        <v/>
      </c>
      <c r="AW981">
        <f>IF($AR981="","",IF($AR981=0,$AS981*EXP($AT981*3),$AS981*(1+$AR981*$AT981*3)^(1/$AR981)))</f>
        <v/>
      </c>
      <c r="AX981">
        <f>IF($AR981="","",IF($AR981=0,$AS981*EXP($AT981*-2),$AS981*(1+$AR981*$AT981*-2)^(1/$AR981)))</f>
        <v/>
      </c>
      <c r="AY981">
        <f>IF($AR981="","",IF($AR981=0,$AS981*EXP($AT981*-3),$AS981*(1+$AR981*$AT981*-3)^(1/$AR981)))</f>
        <v/>
      </c>
      <c r="AZ981">
        <f>IF(OR($A981="",$A981&lt;&gt;Ficha!$C$4),"",COUNTIF($A$2:$A981,Ficha!$C$4))</f>
        <v/>
      </c>
    </row>
    <row r="982">
      <c r="A982" s="8">
        <f>IF(INDEX(Banco!$A:$A,ROW())="","",INDEX(Banco!$A:$A,ROW()))</f>
        <v/>
      </c>
      <c r="B982" s="8">
        <f>IF(INDEX(Banco!$B:$B,ROW())="","",INDEX(Banco!$B:$B,ROW()))</f>
        <v/>
      </c>
      <c r="C982" s="8">
        <f>IF(INDEX(Banco!$C:$C,ROW())="","",INDEX(Banco!$C:$C,ROW()))</f>
        <v/>
      </c>
      <c r="D982" s="9">
        <f>IF(INDEX(Banco!$D:$D,ROW())="","",INDEX(Banco!$D:$D,ROW()))</f>
        <v/>
      </c>
      <c r="E982" s="9">
        <f>IF(INDEX(Banco!$E:$E,ROW())="","",INDEX(Banco!$E:$E,ROW()))</f>
        <v/>
      </c>
      <c r="F982" s="10">
        <f>IF(INDEX(Banco!$F:$F,ROW())="","",INDEX(Banco!$F:$F,ROW()))</f>
        <v/>
      </c>
      <c r="G982" s="10">
        <f>IF(INDEX(Banco!$G:$G,ROW())="","",INDEX(Banco!$G:$G,ROW()))</f>
        <v/>
      </c>
      <c r="H982" s="8">
        <f>IF(INDEX(Banco!$H:$H,ROW())="","",INDEX(Banco!$H:$H,ROW()))</f>
        <v/>
      </c>
      <c r="I982">
        <f>IF($T982="","",INT($T982/12)&amp;"a "&amp;MOD($T982,12)&amp;"m")</f>
        <v/>
      </c>
      <c r="J982" s="11">
        <f>IF(OR($F982="",$G982=""),"",ROUND($F982/($G982/100)^2,2))</f>
        <v/>
      </c>
      <c r="K982" s="12">
        <f>IF(OR($S982="",$J982="",$T982="",$T982&lt;0,$T982&gt;228,$Y982=""),"—",ROUND(IF(ABS($AB982)&lt;=3,$AB982,IF($AB982&gt;3,3+($J982-$AD982)/($AD982-$AC982),-3+($J982-$AF982)/($AE982-$AF982))),2))</f>
        <v/>
      </c>
      <c r="L982">
        <f>IF(OR($K982="",$K982="—"),"",IF($T982&lt;=60,IF($K982&lt;-3,"Magreza acentuada",IF($K982&lt;-2,"Magreza",IF($K982&lt;=1,"Eutrofia",IF($K982&lt;=2,"Risco de sobrepeso",IF($K982&lt;=3,"Sobrepeso","Obesidade"))))),IF($K982&lt;-3,"Magreza acentuada",IF($K982&lt;-2,"Magreza",IF($K982&lt;=1,"Eutrofia",IF($K982&lt;=2,"Sobrepeso",IF($K982&lt;=3,"Obesidade","Obesidade grave")))))))</f>
        <v/>
      </c>
      <c r="M982" s="12">
        <f>IF(OR($S982="",$V982="",$T982="",$T982&lt;0,$T982&gt;228,$AG982=""),"—",ROUND(IF($AG982=0,LN($V982/$AH982)/$AI982,((($V982/$AH982)^$AG982)-1)/($AG982*$AI982)),2))</f>
        <v/>
      </c>
      <c r="N982">
        <f>IF(OR($M982="",$M982="—"),"",IF($M982&lt;-3,"Muito baixa",IF($M982&lt;-2,"Baixa","Adequada")))</f>
        <v/>
      </c>
      <c r="O982" s="12">
        <f>IF(OR($S982="",$F982="",$T982="",$T982&lt;0,$T982&gt;120,$AJ982=""),"—",ROUND(IF(ABS($AM982)&lt;=3,$AM982,IF($AM982&gt;3,3+($F982-$AO982)/($AO982-$AN982),-3+($F982-$AQ982)/($AP982-$AQ982))),2))</f>
        <v/>
      </c>
      <c r="P982">
        <f>IF(OR($O982="",$O982="—"),"",IF($O982&lt;-3,"Muito baixo",IF($O982&lt;-2,"Baixo",IF($O982&lt;=2,"Adequado","Elevado"))))</f>
        <v/>
      </c>
      <c r="Q982" s="12">
        <f>IF(OR($S982="",$F982="",$T982="",$T982&lt;0,$T982&gt;60,$AR982=""),"—",ROUND(IF(ABS($AU982)&lt;=3,$AU982,IF($AU982&gt;3,3+($F982-$AW982)/($AW982-$AV982),-3+($F982-$AY982)/($AX982-$AY982))),2))</f>
        <v/>
      </c>
      <c r="R982">
        <f>IF(OR($Q982="",$Q982="—"),"",IF($Q982&lt;-3,"Magreza acentuada",IF($Q982&lt;-2,"Magreza",IF($Q982&lt;=1,"Eutrofia",IF($Q982&lt;=2,"Risco de sobrepeso",IF($Q982&lt;=3,"Sobrepeso","Obesidade"))))))</f>
        <v/>
      </c>
      <c r="S982">
        <f>IF($C982="","",IF(UPPER(LEFT($C982,1))="M",1,IF(UPPER(LEFT($C982,1))="F",2,"")))</f>
        <v/>
      </c>
      <c r="T982">
        <f>IF(OR($D982="",$E982=""),"",DATEDIF($D982,$E982,"m"))</f>
        <v/>
      </c>
      <c r="U982">
        <f>IF(OR($D982="",$E982=""),"",$E982-$D982)</f>
        <v/>
      </c>
      <c r="V982">
        <f>IF(OR($G982="",$T982=""),"",IF($T982&lt;24,IF(LEFT(LOWER($H982),4)="em p",$G982+0.7,$G982),IF(LEFT(LOWER($H982),4)="deit",$G982-0.7,$G982)))</f>
        <v/>
      </c>
      <c r="W982">
        <f>IF(OR($S982="",$T982=""),"",$S982*1000000+IF($T982&lt;=60,$U982,$T982))</f>
        <v/>
      </c>
      <c r="X982">
        <f>IF(OR($S982="",$V982="",$T982&gt;60,$T982=""),"",$S982*1000000+ROUND($V982*10,0))</f>
        <v/>
      </c>
      <c r="Y982">
        <f>IF($W982="","",IFERROR(INDEX(IF($T982&lt;=60,imc05_l,imc519_l),MATCH($W982,IF($T982&lt;=60,imc05_k,imc519_k),1)),""))</f>
        <v/>
      </c>
      <c r="Z982">
        <f>IF($W982="","",IFERROR(INDEX(IF($T982&lt;=60,imc05_m,imc519_m),MATCH($W982,IF($T982&lt;=60,imc05_k,imc519_k),1)),""))</f>
        <v/>
      </c>
      <c r="AA982">
        <f>IF($W982="","",IFERROR(INDEX(IF($T982&lt;=60,imc05_s,imc519_s),MATCH($W982,IF($T982&lt;=60,imc05_k,imc519_k),1)),""))</f>
        <v/>
      </c>
      <c r="AB982">
        <f>IF($Y982="","",IF($Y982=0,LN($J982/$Z982)/$AA982,((($J982/$Z982)^$Y982)-1)/($Y982*$AA982)))</f>
        <v/>
      </c>
      <c r="AC982">
        <f>IF($Y982="","",IF($Y982=0,$Z982*EXP($AA982*2),$Z982*(1+$Y982*$AA982*2)^(1/$Y982)))</f>
        <v/>
      </c>
      <c r="AD982">
        <f>IF($Y982="","",IF($Y982=0,$Z982*EXP($AA982*3),$Z982*(1+$Y982*$AA982*3)^(1/$Y982)))</f>
        <v/>
      </c>
      <c r="AE982">
        <f>IF($Y982="","",IF($Y982=0,$Z982*EXP($AA982*-2),$Z982*(1+$Y982*$AA982*-2)^(1/$Y982)))</f>
        <v/>
      </c>
      <c r="AF982">
        <f>IF($Y982="","",IF($Y982=0,$Z982*EXP($AA982*-3),$Z982*(1+$Y982*$AA982*-3)^(1/$Y982)))</f>
        <v/>
      </c>
      <c r="AG982">
        <f>IF($W982="","",IFERROR(INDEX(IF($T982&lt;=60,est05_l,est519_l),MATCH($W982,IF($T982&lt;=60,est05_k,est519_k),1)),""))</f>
        <v/>
      </c>
      <c r="AH982">
        <f>IF($W982="","",IFERROR(INDEX(IF($T982&lt;=60,est05_m,est519_m),MATCH($W982,IF($T982&lt;=60,est05_k,est519_k),1)),""))</f>
        <v/>
      </c>
      <c r="AI982">
        <f>IF($W982="","",IFERROR(INDEX(IF($T982&lt;=60,est05_s,est519_s),MATCH($W982,IF($T982&lt;=60,est05_k,est519_k),1)),""))</f>
        <v/>
      </c>
      <c r="AJ982">
        <f>IF($W982="","",IFERROR(INDEX(IF($T982&lt;=60,peso05_l,peso510_l),MATCH($W982,IF($T982&lt;=60,peso05_k,peso510_k),1)),""))</f>
        <v/>
      </c>
      <c r="AK982">
        <f>IF($W982="","",IFERROR(INDEX(IF($T982&lt;=60,peso05_m,peso510_m),MATCH($W982,IF($T982&lt;=60,peso05_k,peso510_k),1)),""))</f>
        <v/>
      </c>
      <c r="AL982">
        <f>IF($W982="","",IFERROR(INDEX(IF($T982&lt;=60,peso05_s,peso510_s),MATCH($W982,IF($T982&lt;=60,peso05_k,peso510_k),1)),""))</f>
        <v/>
      </c>
      <c r="AM982">
        <f>IF($AJ982="","",IF($AJ982=0,LN($F982/$AK982)/$AL982,((($F982/$AK982)^$AJ982)-1)/($AJ982*$AL982)))</f>
        <v/>
      </c>
      <c r="AN982">
        <f>IF($AJ982="","",IF($AJ982=0,$AK982*EXP($AL982*2),$AK982*(1+$AJ982*$AL982*2)^(1/$AJ982)))</f>
        <v/>
      </c>
      <c r="AO982">
        <f>IF($AJ982="","",IF($AJ982=0,$AK982*EXP($AL982*3),$AK982*(1+$AJ982*$AL982*3)^(1/$AJ982)))</f>
        <v/>
      </c>
      <c r="AP982">
        <f>IF($AJ982="","",IF($AJ982=0,$AK982*EXP($AL982*-2),$AK982*(1+$AJ982*$AL982*-2)^(1/$AJ982)))</f>
        <v/>
      </c>
      <c r="AQ982">
        <f>IF($AJ982="","",IF($AJ982=0,$AK982*EXP($AL982*-3),$AK982*(1+$AJ982*$AL982*-3)^(1/$AJ982)))</f>
        <v/>
      </c>
      <c r="AR982">
        <f>IF(OR($X982="",$T982&gt;60),"",IFERROR(INDEX(IF($T982&lt;24,pcomp_l,palt_l),MATCH($X982,IF($T982&lt;24,pcomp_k,palt_k),1)),""))</f>
        <v/>
      </c>
      <c r="AS982">
        <f>IF(OR($X982="",$T982&gt;60),"",IFERROR(INDEX(IF($T982&lt;24,pcomp_m,palt_m),MATCH($X982,IF($T982&lt;24,pcomp_k,palt_k),1)),""))</f>
        <v/>
      </c>
      <c r="AT982">
        <f>IF(OR($X982="",$T982&gt;60),"",IFERROR(INDEX(IF($T982&lt;24,pcomp_s,palt_s),MATCH($X982,IF($T982&lt;24,pcomp_k,palt_k),1)),""))</f>
        <v/>
      </c>
      <c r="AU982">
        <f>IF($AR982="","",IF($AR982=0,LN($F982/$AS982)/$AT982,((($F982/$AS982)^$AR982)-1)/($AR982*$AT982)))</f>
        <v/>
      </c>
      <c r="AV982">
        <f>IF($AR982="","",IF($AR982=0,$AS982*EXP($AT982*2),$AS982*(1+$AR982*$AT982*2)^(1/$AR982)))</f>
        <v/>
      </c>
      <c r="AW982">
        <f>IF($AR982="","",IF($AR982=0,$AS982*EXP($AT982*3),$AS982*(1+$AR982*$AT982*3)^(1/$AR982)))</f>
        <v/>
      </c>
      <c r="AX982">
        <f>IF($AR982="","",IF($AR982=0,$AS982*EXP($AT982*-2),$AS982*(1+$AR982*$AT982*-2)^(1/$AR982)))</f>
        <v/>
      </c>
      <c r="AY982">
        <f>IF($AR982="","",IF($AR982=0,$AS982*EXP($AT982*-3),$AS982*(1+$AR982*$AT982*-3)^(1/$AR982)))</f>
        <v/>
      </c>
      <c r="AZ982">
        <f>IF(OR($A982="",$A982&lt;&gt;Ficha!$C$4),"",COUNTIF($A$2:$A982,Ficha!$C$4))</f>
        <v/>
      </c>
    </row>
    <row r="983">
      <c r="A983" s="8">
        <f>IF(INDEX(Banco!$A:$A,ROW())="","",INDEX(Banco!$A:$A,ROW()))</f>
        <v/>
      </c>
      <c r="B983" s="8">
        <f>IF(INDEX(Banco!$B:$B,ROW())="","",INDEX(Banco!$B:$B,ROW()))</f>
        <v/>
      </c>
      <c r="C983" s="8">
        <f>IF(INDEX(Banco!$C:$C,ROW())="","",INDEX(Banco!$C:$C,ROW()))</f>
        <v/>
      </c>
      <c r="D983" s="9">
        <f>IF(INDEX(Banco!$D:$D,ROW())="","",INDEX(Banco!$D:$D,ROW()))</f>
        <v/>
      </c>
      <c r="E983" s="9">
        <f>IF(INDEX(Banco!$E:$E,ROW())="","",INDEX(Banco!$E:$E,ROW()))</f>
        <v/>
      </c>
      <c r="F983" s="10">
        <f>IF(INDEX(Banco!$F:$F,ROW())="","",INDEX(Banco!$F:$F,ROW()))</f>
        <v/>
      </c>
      <c r="G983" s="10">
        <f>IF(INDEX(Banco!$G:$G,ROW())="","",INDEX(Banco!$G:$G,ROW()))</f>
        <v/>
      </c>
      <c r="H983" s="8">
        <f>IF(INDEX(Banco!$H:$H,ROW())="","",INDEX(Banco!$H:$H,ROW()))</f>
        <v/>
      </c>
      <c r="I983">
        <f>IF($T983="","",INT($T983/12)&amp;"a "&amp;MOD($T983,12)&amp;"m")</f>
        <v/>
      </c>
      <c r="J983" s="11">
        <f>IF(OR($F983="",$G983=""),"",ROUND($F983/($G983/100)^2,2))</f>
        <v/>
      </c>
      <c r="K983" s="12">
        <f>IF(OR($S983="",$J983="",$T983="",$T983&lt;0,$T983&gt;228,$Y983=""),"—",ROUND(IF(ABS($AB983)&lt;=3,$AB983,IF($AB983&gt;3,3+($J983-$AD983)/($AD983-$AC983),-3+($J983-$AF983)/($AE983-$AF983))),2))</f>
        <v/>
      </c>
      <c r="L983">
        <f>IF(OR($K983="",$K983="—"),"",IF($T983&lt;=60,IF($K983&lt;-3,"Magreza acentuada",IF($K983&lt;-2,"Magreza",IF($K983&lt;=1,"Eutrofia",IF($K983&lt;=2,"Risco de sobrepeso",IF($K983&lt;=3,"Sobrepeso","Obesidade"))))),IF($K983&lt;-3,"Magreza acentuada",IF($K983&lt;-2,"Magreza",IF($K983&lt;=1,"Eutrofia",IF($K983&lt;=2,"Sobrepeso",IF($K983&lt;=3,"Obesidade","Obesidade grave")))))))</f>
        <v/>
      </c>
      <c r="M983" s="12">
        <f>IF(OR($S983="",$V983="",$T983="",$T983&lt;0,$T983&gt;228,$AG983=""),"—",ROUND(IF($AG983=0,LN($V983/$AH983)/$AI983,((($V983/$AH983)^$AG983)-1)/($AG983*$AI983)),2))</f>
        <v/>
      </c>
      <c r="N983">
        <f>IF(OR($M983="",$M983="—"),"",IF($M983&lt;-3,"Muito baixa",IF($M983&lt;-2,"Baixa","Adequada")))</f>
        <v/>
      </c>
      <c r="O983" s="12">
        <f>IF(OR($S983="",$F983="",$T983="",$T983&lt;0,$T983&gt;120,$AJ983=""),"—",ROUND(IF(ABS($AM983)&lt;=3,$AM983,IF($AM983&gt;3,3+($F983-$AO983)/($AO983-$AN983),-3+($F983-$AQ983)/($AP983-$AQ983))),2))</f>
        <v/>
      </c>
      <c r="P983">
        <f>IF(OR($O983="",$O983="—"),"",IF($O983&lt;-3,"Muito baixo",IF($O983&lt;-2,"Baixo",IF($O983&lt;=2,"Adequado","Elevado"))))</f>
        <v/>
      </c>
      <c r="Q983" s="12">
        <f>IF(OR($S983="",$F983="",$T983="",$T983&lt;0,$T983&gt;60,$AR983=""),"—",ROUND(IF(ABS($AU983)&lt;=3,$AU983,IF($AU983&gt;3,3+($F983-$AW983)/($AW983-$AV983),-3+($F983-$AY983)/($AX983-$AY983))),2))</f>
        <v/>
      </c>
      <c r="R983">
        <f>IF(OR($Q983="",$Q983="—"),"",IF($Q983&lt;-3,"Magreza acentuada",IF($Q983&lt;-2,"Magreza",IF($Q983&lt;=1,"Eutrofia",IF($Q983&lt;=2,"Risco de sobrepeso",IF($Q983&lt;=3,"Sobrepeso","Obesidade"))))))</f>
        <v/>
      </c>
      <c r="S983">
        <f>IF($C983="","",IF(UPPER(LEFT($C983,1))="M",1,IF(UPPER(LEFT($C983,1))="F",2,"")))</f>
        <v/>
      </c>
      <c r="T983">
        <f>IF(OR($D983="",$E983=""),"",DATEDIF($D983,$E983,"m"))</f>
        <v/>
      </c>
      <c r="U983">
        <f>IF(OR($D983="",$E983=""),"",$E983-$D983)</f>
        <v/>
      </c>
      <c r="V983">
        <f>IF(OR($G983="",$T983=""),"",IF($T983&lt;24,IF(LEFT(LOWER($H983),4)="em p",$G983+0.7,$G983),IF(LEFT(LOWER($H983),4)="deit",$G983-0.7,$G983)))</f>
        <v/>
      </c>
      <c r="W983">
        <f>IF(OR($S983="",$T983=""),"",$S983*1000000+IF($T983&lt;=60,$U983,$T983))</f>
        <v/>
      </c>
      <c r="X983">
        <f>IF(OR($S983="",$V983="",$T983&gt;60,$T983=""),"",$S983*1000000+ROUND($V983*10,0))</f>
        <v/>
      </c>
      <c r="Y983">
        <f>IF($W983="","",IFERROR(INDEX(IF($T983&lt;=60,imc05_l,imc519_l),MATCH($W983,IF($T983&lt;=60,imc05_k,imc519_k),1)),""))</f>
        <v/>
      </c>
      <c r="Z983">
        <f>IF($W983="","",IFERROR(INDEX(IF($T983&lt;=60,imc05_m,imc519_m),MATCH($W983,IF($T983&lt;=60,imc05_k,imc519_k),1)),""))</f>
        <v/>
      </c>
      <c r="AA983">
        <f>IF($W983="","",IFERROR(INDEX(IF($T983&lt;=60,imc05_s,imc519_s),MATCH($W983,IF($T983&lt;=60,imc05_k,imc519_k),1)),""))</f>
        <v/>
      </c>
      <c r="AB983">
        <f>IF($Y983="","",IF($Y983=0,LN($J983/$Z983)/$AA983,((($J983/$Z983)^$Y983)-1)/($Y983*$AA983)))</f>
        <v/>
      </c>
      <c r="AC983">
        <f>IF($Y983="","",IF($Y983=0,$Z983*EXP($AA983*2),$Z983*(1+$Y983*$AA983*2)^(1/$Y983)))</f>
        <v/>
      </c>
      <c r="AD983">
        <f>IF($Y983="","",IF($Y983=0,$Z983*EXP($AA983*3),$Z983*(1+$Y983*$AA983*3)^(1/$Y983)))</f>
        <v/>
      </c>
      <c r="AE983">
        <f>IF($Y983="","",IF($Y983=0,$Z983*EXP($AA983*-2),$Z983*(1+$Y983*$AA983*-2)^(1/$Y983)))</f>
        <v/>
      </c>
      <c r="AF983">
        <f>IF($Y983="","",IF($Y983=0,$Z983*EXP($AA983*-3),$Z983*(1+$Y983*$AA983*-3)^(1/$Y983)))</f>
        <v/>
      </c>
      <c r="AG983">
        <f>IF($W983="","",IFERROR(INDEX(IF($T983&lt;=60,est05_l,est519_l),MATCH($W983,IF($T983&lt;=60,est05_k,est519_k),1)),""))</f>
        <v/>
      </c>
      <c r="AH983">
        <f>IF($W983="","",IFERROR(INDEX(IF($T983&lt;=60,est05_m,est519_m),MATCH($W983,IF($T983&lt;=60,est05_k,est519_k),1)),""))</f>
        <v/>
      </c>
      <c r="AI983">
        <f>IF($W983="","",IFERROR(INDEX(IF($T983&lt;=60,est05_s,est519_s),MATCH($W983,IF($T983&lt;=60,est05_k,est519_k),1)),""))</f>
        <v/>
      </c>
      <c r="AJ983">
        <f>IF($W983="","",IFERROR(INDEX(IF($T983&lt;=60,peso05_l,peso510_l),MATCH($W983,IF($T983&lt;=60,peso05_k,peso510_k),1)),""))</f>
        <v/>
      </c>
      <c r="AK983">
        <f>IF($W983="","",IFERROR(INDEX(IF($T983&lt;=60,peso05_m,peso510_m),MATCH($W983,IF($T983&lt;=60,peso05_k,peso510_k),1)),""))</f>
        <v/>
      </c>
      <c r="AL983">
        <f>IF($W983="","",IFERROR(INDEX(IF($T983&lt;=60,peso05_s,peso510_s),MATCH($W983,IF($T983&lt;=60,peso05_k,peso510_k),1)),""))</f>
        <v/>
      </c>
      <c r="AM983">
        <f>IF($AJ983="","",IF($AJ983=0,LN($F983/$AK983)/$AL983,((($F983/$AK983)^$AJ983)-1)/($AJ983*$AL983)))</f>
        <v/>
      </c>
      <c r="AN983">
        <f>IF($AJ983="","",IF($AJ983=0,$AK983*EXP($AL983*2),$AK983*(1+$AJ983*$AL983*2)^(1/$AJ983)))</f>
        <v/>
      </c>
      <c r="AO983">
        <f>IF($AJ983="","",IF($AJ983=0,$AK983*EXP($AL983*3),$AK983*(1+$AJ983*$AL983*3)^(1/$AJ983)))</f>
        <v/>
      </c>
      <c r="AP983">
        <f>IF($AJ983="","",IF($AJ983=0,$AK983*EXP($AL983*-2),$AK983*(1+$AJ983*$AL983*-2)^(1/$AJ983)))</f>
        <v/>
      </c>
      <c r="AQ983">
        <f>IF($AJ983="","",IF($AJ983=0,$AK983*EXP($AL983*-3),$AK983*(1+$AJ983*$AL983*-3)^(1/$AJ983)))</f>
        <v/>
      </c>
      <c r="AR983">
        <f>IF(OR($X983="",$T983&gt;60),"",IFERROR(INDEX(IF($T983&lt;24,pcomp_l,palt_l),MATCH($X983,IF($T983&lt;24,pcomp_k,palt_k),1)),""))</f>
        <v/>
      </c>
      <c r="AS983">
        <f>IF(OR($X983="",$T983&gt;60),"",IFERROR(INDEX(IF($T983&lt;24,pcomp_m,palt_m),MATCH($X983,IF($T983&lt;24,pcomp_k,palt_k),1)),""))</f>
        <v/>
      </c>
      <c r="AT983">
        <f>IF(OR($X983="",$T983&gt;60),"",IFERROR(INDEX(IF($T983&lt;24,pcomp_s,palt_s),MATCH($X983,IF($T983&lt;24,pcomp_k,palt_k),1)),""))</f>
        <v/>
      </c>
      <c r="AU983">
        <f>IF($AR983="","",IF($AR983=0,LN($F983/$AS983)/$AT983,((($F983/$AS983)^$AR983)-1)/($AR983*$AT983)))</f>
        <v/>
      </c>
      <c r="AV983">
        <f>IF($AR983="","",IF($AR983=0,$AS983*EXP($AT983*2),$AS983*(1+$AR983*$AT983*2)^(1/$AR983)))</f>
        <v/>
      </c>
      <c r="AW983">
        <f>IF($AR983="","",IF($AR983=0,$AS983*EXP($AT983*3),$AS983*(1+$AR983*$AT983*3)^(1/$AR983)))</f>
        <v/>
      </c>
      <c r="AX983">
        <f>IF($AR983="","",IF($AR983=0,$AS983*EXP($AT983*-2),$AS983*(1+$AR983*$AT983*-2)^(1/$AR983)))</f>
        <v/>
      </c>
      <c r="AY983">
        <f>IF($AR983="","",IF($AR983=0,$AS983*EXP($AT983*-3),$AS983*(1+$AR983*$AT983*-3)^(1/$AR983)))</f>
        <v/>
      </c>
      <c r="AZ983">
        <f>IF(OR($A983="",$A983&lt;&gt;Ficha!$C$4),"",COUNTIF($A$2:$A983,Ficha!$C$4))</f>
        <v/>
      </c>
    </row>
    <row r="984">
      <c r="A984" s="8">
        <f>IF(INDEX(Banco!$A:$A,ROW())="","",INDEX(Banco!$A:$A,ROW()))</f>
        <v/>
      </c>
      <c r="B984" s="8">
        <f>IF(INDEX(Banco!$B:$B,ROW())="","",INDEX(Banco!$B:$B,ROW()))</f>
        <v/>
      </c>
      <c r="C984" s="8">
        <f>IF(INDEX(Banco!$C:$C,ROW())="","",INDEX(Banco!$C:$C,ROW()))</f>
        <v/>
      </c>
      <c r="D984" s="9">
        <f>IF(INDEX(Banco!$D:$D,ROW())="","",INDEX(Banco!$D:$D,ROW()))</f>
        <v/>
      </c>
      <c r="E984" s="9">
        <f>IF(INDEX(Banco!$E:$E,ROW())="","",INDEX(Banco!$E:$E,ROW()))</f>
        <v/>
      </c>
      <c r="F984" s="10">
        <f>IF(INDEX(Banco!$F:$F,ROW())="","",INDEX(Banco!$F:$F,ROW()))</f>
        <v/>
      </c>
      <c r="G984" s="10">
        <f>IF(INDEX(Banco!$G:$G,ROW())="","",INDEX(Banco!$G:$G,ROW()))</f>
        <v/>
      </c>
      <c r="H984" s="8">
        <f>IF(INDEX(Banco!$H:$H,ROW())="","",INDEX(Banco!$H:$H,ROW()))</f>
        <v/>
      </c>
      <c r="I984">
        <f>IF($T984="","",INT($T984/12)&amp;"a "&amp;MOD($T984,12)&amp;"m")</f>
        <v/>
      </c>
      <c r="J984" s="11">
        <f>IF(OR($F984="",$G984=""),"",ROUND($F984/($G984/100)^2,2))</f>
        <v/>
      </c>
      <c r="K984" s="12">
        <f>IF(OR($S984="",$J984="",$T984="",$T984&lt;0,$T984&gt;228,$Y984=""),"—",ROUND(IF(ABS($AB984)&lt;=3,$AB984,IF($AB984&gt;3,3+($J984-$AD984)/($AD984-$AC984),-3+($J984-$AF984)/($AE984-$AF984))),2))</f>
        <v/>
      </c>
      <c r="L984">
        <f>IF(OR($K984="",$K984="—"),"",IF($T984&lt;=60,IF($K984&lt;-3,"Magreza acentuada",IF($K984&lt;-2,"Magreza",IF($K984&lt;=1,"Eutrofia",IF($K984&lt;=2,"Risco de sobrepeso",IF($K984&lt;=3,"Sobrepeso","Obesidade"))))),IF($K984&lt;-3,"Magreza acentuada",IF($K984&lt;-2,"Magreza",IF($K984&lt;=1,"Eutrofia",IF($K984&lt;=2,"Sobrepeso",IF($K984&lt;=3,"Obesidade","Obesidade grave")))))))</f>
        <v/>
      </c>
      <c r="M984" s="12">
        <f>IF(OR($S984="",$V984="",$T984="",$T984&lt;0,$T984&gt;228,$AG984=""),"—",ROUND(IF($AG984=0,LN($V984/$AH984)/$AI984,((($V984/$AH984)^$AG984)-1)/($AG984*$AI984)),2))</f>
        <v/>
      </c>
      <c r="N984">
        <f>IF(OR($M984="",$M984="—"),"",IF($M984&lt;-3,"Muito baixa",IF($M984&lt;-2,"Baixa","Adequada")))</f>
        <v/>
      </c>
      <c r="O984" s="12">
        <f>IF(OR($S984="",$F984="",$T984="",$T984&lt;0,$T984&gt;120,$AJ984=""),"—",ROUND(IF(ABS($AM984)&lt;=3,$AM984,IF($AM984&gt;3,3+($F984-$AO984)/($AO984-$AN984),-3+($F984-$AQ984)/($AP984-$AQ984))),2))</f>
        <v/>
      </c>
      <c r="P984">
        <f>IF(OR($O984="",$O984="—"),"",IF($O984&lt;-3,"Muito baixo",IF($O984&lt;-2,"Baixo",IF($O984&lt;=2,"Adequado","Elevado"))))</f>
        <v/>
      </c>
      <c r="Q984" s="12">
        <f>IF(OR($S984="",$F984="",$T984="",$T984&lt;0,$T984&gt;60,$AR984=""),"—",ROUND(IF(ABS($AU984)&lt;=3,$AU984,IF($AU984&gt;3,3+($F984-$AW984)/($AW984-$AV984),-3+($F984-$AY984)/($AX984-$AY984))),2))</f>
        <v/>
      </c>
      <c r="R984">
        <f>IF(OR($Q984="",$Q984="—"),"",IF($Q984&lt;-3,"Magreza acentuada",IF($Q984&lt;-2,"Magreza",IF($Q984&lt;=1,"Eutrofia",IF($Q984&lt;=2,"Risco de sobrepeso",IF($Q984&lt;=3,"Sobrepeso","Obesidade"))))))</f>
        <v/>
      </c>
      <c r="S984">
        <f>IF($C984="","",IF(UPPER(LEFT($C984,1))="M",1,IF(UPPER(LEFT($C984,1))="F",2,"")))</f>
        <v/>
      </c>
      <c r="T984">
        <f>IF(OR($D984="",$E984=""),"",DATEDIF($D984,$E984,"m"))</f>
        <v/>
      </c>
      <c r="U984">
        <f>IF(OR($D984="",$E984=""),"",$E984-$D984)</f>
        <v/>
      </c>
      <c r="V984">
        <f>IF(OR($G984="",$T984=""),"",IF($T984&lt;24,IF(LEFT(LOWER($H984),4)="em p",$G984+0.7,$G984),IF(LEFT(LOWER($H984),4)="deit",$G984-0.7,$G984)))</f>
        <v/>
      </c>
      <c r="W984">
        <f>IF(OR($S984="",$T984=""),"",$S984*1000000+IF($T984&lt;=60,$U984,$T984))</f>
        <v/>
      </c>
      <c r="X984">
        <f>IF(OR($S984="",$V984="",$T984&gt;60,$T984=""),"",$S984*1000000+ROUND($V984*10,0))</f>
        <v/>
      </c>
      <c r="Y984">
        <f>IF($W984="","",IFERROR(INDEX(IF($T984&lt;=60,imc05_l,imc519_l),MATCH($W984,IF($T984&lt;=60,imc05_k,imc519_k),1)),""))</f>
        <v/>
      </c>
      <c r="Z984">
        <f>IF($W984="","",IFERROR(INDEX(IF($T984&lt;=60,imc05_m,imc519_m),MATCH($W984,IF($T984&lt;=60,imc05_k,imc519_k),1)),""))</f>
        <v/>
      </c>
      <c r="AA984">
        <f>IF($W984="","",IFERROR(INDEX(IF($T984&lt;=60,imc05_s,imc519_s),MATCH($W984,IF($T984&lt;=60,imc05_k,imc519_k),1)),""))</f>
        <v/>
      </c>
      <c r="AB984">
        <f>IF($Y984="","",IF($Y984=0,LN($J984/$Z984)/$AA984,((($J984/$Z984)^$Y984)-1)/($Y984*$AA984)))</f>
        <v/>
      </c>
      <c r="AC984">
        <f>IF($Y984="","",IF($Y984=0,$Z984*EXP($AA984*2),$Z984*(1+$Y984*$AA984*2)^(1/$Y984)))</f>
        <v/>
      </c>
      <c r="AD984">
        <f>IF($Y984="","",IF($Y984=0,$Z984*EXP($AA984*3),$Z984*(1+$Y984*$AA984*3)^(1/$Y984)))</f>
        <v/>
      </c>
      <c r="AE984">
        <f>IF($Y984="","",IF($Y984=0,$Z984*EXP($AA984*-2),$Z984*(1+$Y984*$AA984*-2)^(1/$Y984)))</f>
        <v/>
      </c>
      <c r="AF984">
        <f>IF($Y984="","",IF($Y984=0,$Z984*EXP($AA984*-3),$Z984*(1+$Y984*$AA984*-3)^(1/$Y984)))</f>
        <v/>
      </c>
      <c r="AG984">
        <f>IF($W984="","",IFERROR(INDEX(IF($T984&lt;=60,est05_l,est519_l),MATCH($W984,IF($T984&lt;=60,est05_k,est519_k),1)),""))</f>
        <v/>
      </c>
      <c r="AH984">
        <f>IF($W984="","",IFERROR(INDEX(IF($T984&lt;=60,est05_m,est519_m),MATCH($W984,IF($T984&lt;=60,est05_k,est519_k),1)),""))</f>
        <v/>
      </c>
      <c r="AI984">
        <f>IF($W984="","",IFERROR(INDEX(IF($T984&lt;=60,est05_s,est519_s),MATCH($W984,IF($T984&lt;=60,est05_k,est519_k),1)),""))</f>
        <v/>
      </c>
      <c r="AJ984">
        <f>IF($W984="","",IFERROR(INDEX(IF($T984&lt;=60,peso05_l,peso510_l),MATCH($W984,IF($T984&lt;=60,peso05_k,peso510_k),1)),""))</f>
        <v/>
      </c>
      <c r="AK984">
        <f>IF($W984="","",IFERROR(INDEX(IF($T984&lt;=60,peso05_m,peso510_m),MATCH($W984,IF($T984&lt;=60,peso05_k,peso510_k),1)),""))</f>
        <v/>
      </c>
      <c r="AL984">
        <f>IF($W984="","",IFERROR(INDEX(IF($T984&lt;=60,peso05_s,peso510_s),MATCH($W984,IF($T984&lt;=60,peso05_k,peso510_k),1)),""))</f>
        <v/>
      </c>
      <c r="AM984">
        <f>IF($AJ984="","",IF($AJ984=0,LN($F984/$AK984)/$AL984,((($F984/$AK984)^$AJ984)-1)/($AJ984*$AL984)))</f>
        <v/>
      </c>
      <c r="AN984">
        <f>IF($AJ984="","",IF($AJ984=0,$AK984*EXP($AL984*2),$AK984*(1+$AJ984*$AL984*2)^(1/$AJ984)))</f>
        <v/>
      </c>
      <c r="AO984">
        <f>IF($AJ984="","",IF($AJ984=0,$AK984*EXP($AL984*3),$AK984*(1+$AJ984*$AL984*3)^(1/$AJ984)))</f>
        <v/>
      </c>
      <c r="AP984">
        <f>IF($AJ984="","",IF($AJ984=0,$AK984*EXP($AL984*-2),$AK984*(1+$AJ984*$AL984*-2)^(1/$AJ984)))</f>
        <v/>
      </c>
      <c r="AQ984">
        <f>IF($AJ984="","",IF($AJ984=0,$AK984*EXP($AL984*-3),$AK984*(1+$AJ984*$AL984*-3)^(1/$AJ984)))</f>
        <v/>
      </c>
      <c r="AR984">
        <f>IF(OR($X984="",$T984&gt;60),"",IFERROR(INDEX(IF($T984&lt;24,pcomp_l,palt_l),MATCH($X984,IF($T984&lt;24,pcomp_k,palt_k),1)),""))</f>
        <v/>
      </c>
      <c r="AS984">
        <f>IF(OR($X984="",$T984&gt;60),"",IFERROR(INDEX(IF($T984&lt;24,pcomp_m,palt_m),MATCH($X984,IF($T984&lt;24,pcomp_k,palt_k),1)),""))</f>
        <v/>
      </c>
      <c r="AT984">
        <f>IF(OR($X984="",$T984&gt;60),"",IFERROR(INDEX(IF($T984&lt;24,pcomp_s,palt_s),MATCH($X984,IF($T984&lt;24,pcomp_k,palt_k),1)),""))</f>
        <v/>
      </c>
      <c r="AU984">
        <f>IF($AR984="","",IF($AR984=0,LN($F984/$AS984)/$AT984,((($F984/$AS984)^$AR984)-1)/($AR984*$AT984)))</f>
        <v/>
      </c>
      <c r="AV984">
        <f>IF($AR984="","",IF($AR984=0,$AS984*EXP($AT984*2),$AS984*(1+$AR984*$AT984*2)^(1/$AR984)))</f>
        <v/>
      </c>
      <c r="AW984">
        <f>IF($AR984="","",IF($AR984=0,$AS984*EXP($AT984*3),$AS984*(1+$AR984*$AT984*3)^(1/$AR984)))</f>
        <v/>
      </c>
      <c r="AX984">
        <f>IF($AR984="","",IF($AR984=0,$AS984*EXP($AT984*-2),$AS984*(1+$AR984*$AT984*-2)^(1/$AR984)))</f>
        <v/>
      </c>
      <c r="AY984">
        <f>IF($AR984="","",IF($AR984=0,$AS984*EXP($AT984*-3),$AS984*(1+$AR984*$AT984*-3)^(1/$AR984)))</f>
        <v/>
      </c>
      <c r="AZ984">
        <f>IF(OR($A984="",$A984&lt;&gt;Ficha!$C$4),"",COUNTIF($A$2:$A984,Ficha!$C$4))</f>
        <v/>
      </c>
    </row>
    <row r="985">
      <c r="A985" s="8">
        <f>IF(INDEX(Banco!$A:$A,ROW())="","",INDEX(Banco!$A:$A,ROW()))</f>
        <v/>
      </c>
      <c r="B985" s="8">
        <f>IF(INDEX(Banco!$B:$B,ROW())="","",INDEX(Banco!$B:$B,ROW()))</f>
        <v/>
      </c>
      <c r="C985" s="8">
        <f>IF(INDEX(Banco!$C:$C,ROW())="","",INDEX(Banco!$C:$C,ROW()))</f>
        <v/>
      </c>
      <c r="D985" s="9">
        <f>IF(INDEX(Banco!$D:$D,ROW())="","",INDEX(Banco!$D:$D,ROW()))</f>
        <v/>
      </c>
      <c r="E985" s="9">
        <f>IF(INDEX(Banco!$E:$E,ROW())="","",INDEX(Banco!$E:$E,ROW()))</f>
        <v/>
      </c>
      <c r="F985" s="10">
        <f>IF(INDEX(Banco!$F:$F,ROW())="","",INDEX(Banco!$F:$F,ROW()))</f>
        <v/>
      </c>
      <c r="G985" s="10">
        <f>IF(INDEX(Banco!$G:$G,ROW())="","",INDEX(Banco!$G:$G,ROW()))</f>
        <v/>
      </c>
      <c r="H985" s="8">
        <f>IF(INDEX(Banco!$H:$H,ROW())="","",INDEX(Banco!$H:$H,ROW()))</f>
        <v/>
      </c>
      <c r="I985">
        <f>IF($T985="","",INT($T985/12)&amp;"a "&amp;MOD($T985,12)&amp;"m")</f>
        <v/>
      </c>
      <c r="J985" s="11">
        <f>IF(OR($F985="",$G985=""),"",ROUND($F985/($G985/100)^2,2))</f>
        <v/>
      </c>
      <c r="K985" s="12">
        <f>IF(OR($S985="",$J985="",$T985="",$T985&lt;0,$T985&gt;228,$Y985=""),"—",ROUND(IF(ABS($AB985)&lt;=3,$AB985,IF($AB985&gt;3,3+($J985-$AD985)/($AD985-$AC985),-3+($J985-$AF985)/($AE985-$AF985))),2))</f>
        <v/>
      </c>
      <c r="L985">
        <f>IF(OR($K985="",$K985="—"),"",IF($T985&lt;=60,IF($K985&lt;-3,"Magreza acentuada",IF($K985&lt;-2,"Magreza",IF($K985&lt;=1,"Eutrofia",IF($K985&lt;=2,"Risco de sobrepeso",IF($K985&lt;=3,"Sobrepeso","Obesidade"))))),IF($K985&lt;-3,"Magreza acentuada",IF($K985&lt;-2,"Magreza",IF($K985&lt;=1,"Eutrofia",IF($K985&lt;=2,"Sobrepeso",IF($K985&lt;=3,"Obesidade","Obesidade grave")))))))</f>
        <v/>
      </c>
      <c r="M985" s="12">
        <f>IF(OR($S985="",$V985="",$T985="",$T985&lt;0,$T985&gt;228,$AG985=""),"—",ROUND(IF($AG985=0,LN($V985/$AH985)/$AI985,((($V985/$AH985)^$AG985)-1)/($AG985*$AI985)),2))</f>
        <v/>
      </c>
      <c r="N985">
        <f>IF(OR($M985="",$M985="—"),"",IF($M985&lt;-3,"Muito baixa",IF($M985&lt;-2,"Baixa","Adequada")))</f>
        <v/>
      </c>
      <c r="O985" s="12">
        <f>IF(OR($S985="",$F985="",$T985="",$T985&lt;0,$T985&gt;120,$AJ985=""),"—",ROUND(IF(ABS($AM985)&lt;=3,$AM985,IF($AM985&gt;3,3+($F985-$AO985)/($AO985-$AN985),-3+($F985-$AQ985)/($AP985-$AQ985))),2))</f>
        <v/>
      </c>
      <c r="P985">
        <f>IF(OR($O985="",$O985="—"),"",IF($O985&lt;-3,"Muito baixo",IF($O985&lt;-2,"Baixo",IF($O985&lt;=2,"Adequado","Elevado"))))</f>
        <v/>
      </c>
      <c r="Q985" s="12">
        <f>IF(OR($S985="",$F985="",$T985="",$T985&lt;0,$T985&gt;60,$AR985=""),"—",ROUND(IF(ABS($AU985)&lt;=3,$AU985,IF($AU985&gt;3,3+($F985-$AW985)/($AW985-$AV985),-3+($F985-$AY985)/($AX985-$AY985))),2))</f>
        <v/>
      </c>
      <c r="R985">
        <f>IF(OR($Q985="",$Q985="—"),"",IF($Q985&lt;-3,"Magreza acentuada",IF($Q985&lt;-2,"Magreza",IF($Q985&lt;=1,"Eutrofia",IF($Q985&lt;=2,"Risco de sobrepeso",IF($Q985&lt;=3,"Sobrepeso","Obesidade"))))))</f>
        <v/>
      </c>
      <c r="S985">
        <f>IF($C985="","",IF(UPPER(LEFT($C985,1))="M",1,IF(UPPER(LEFT($C985,1))="F",2,"")))</f>
        <v/>
      </c>
      <c r="T985">
        <f>IF(OR($D985="",$E985=""),"",DATEDIF($D985,$E985,"m"))</f>
        <v/>
      </c>
      <c r="U985">
        <f>IF(OR($D985="",$E985=""),"",$E985-$D985)</f>
        <v/>
      </c>
      <c r="V985">
        <f>IF(OR($G985="",$T985=""),"",IF($T985&lt;24,IF(LEFT(LOWER($H985),4)="em p",$G985+0.7,$G985),IF(LEFT(LOWER($H985),4)="deit",$G985-0.7,$G985)))</f>
        <v/>
      </c>
      <c r="W985">
        <f>IF(OR($S985="",$T985=""),"",$S985*1000000+IF($T985&lt;=60,$U985,$T985))</f>
        <v/>
      </c>
      <c r="X985">
        <f>IF(OR($S985="",$V985="",$T985&gt;60,$T985=""),"",$S985*1000000+ROUND($V985*10,0))</f>
        <v/>
      </c>
      <c r="Y985">
        <f>IF($W985="","",IFERROR(INDEX(IF($T985&lt;=60,imc05_l,imc519_l),MATCH($W985,IF($T985&lt;=60,imc05_k,imc519_k),1)),""))</f>
        <v/>
      </c>
      <c r="Z985">
        <f>IF($W985="","",IFERROR(INDEX(IF($T985&lt;=60,imc05_m,imc519_m),MATCH($W985,IF($T985&lt;=60,imc05_k,imc519_k),1)),""))</f>
        <v/>
      </c>
      <c r="AA985">
        <f>IF($W985="","",IFERROR(INDEX(IF($T985&lt;=60,imc05_s,imc519_s),MATCH($W985,IF($T985&lt;=60,imc05_k,imc519_k),1)),""))</f>
        <v/>
      </c>
      <c r="AB985">
        <f>IF($Y985="","",IF($Y985=0,LN($J985/$Z985)/$AA985,((($J985/$Z985)^$Y985)-1)/($Y985*$AA985)))</f>
        <v/>
      </c>
      <c r="AC985">
        <f>IF($Y985="","",IF($Y985=0,$Z985*EXP($AA985*2),$Z985*(1+$Y985*$AA985*2)^(1/$Y985)))</f>
        <v/>
      </c>
      <c r="AD985">
        <f>IF($Y985="","",IF($Y985=0,$Z985*EXP($AA985*3),$Z985*(1+$Y985*$AA985*3)^(1/$Y985)))</f>
        <v/>
      </c>
      <c r="AE985">
        <f>IF($Y985="","",IF($Y985=0,$Z985*EXP($AA985*-2),$Z985*(1+$Y985*$AA985*-2)^(1/$Y985)))</f>
        <v/>
      </c>
      <c r="AF985">
        <f>IF($Y985="","",IF($Y985=0,$Z985*EXP($AA985*-3),$Z985*(1+$Y985*$AA985*-3)^(1/$Y985)))</f>
        <v/>
      </c>
      <c r="AG985">
        <f>IF($W985="","",IFERROR(INDEX(IF($T985&lt;=60,est05_l,est519_l),MATCH($W985,IF($T985&lt;=60,est05_k,est519_k),1)),""))</f>
        <v/>
      </c>
      <c r="AH985">
        <f>IF($W985="","",IFERROR(INDEX(IF($T985&lt;=60,est05_m,est519_m),MATCH($W985,IF($T985&lt;=60,est05_k,est519_k),1)),""))</f>
        <v/>
      </c>
      <c r="AI985">
        <f>IF($W985="","",IFERROR(INDEX(IF($T985&lt;=60,est05_s,est519_s),MATCH($W985,IF($T985&lt;=60,est05_k,est519_k),1)),""))</f>
        <v/>
      </c>
      <c r="AJ985">
        <f>IF($W985="","",IFERROR(INDEX(IF($T985&lt;=60,peso05_l,peso510_l),MATCH($W985,IF($T985&lt;=60,peso05_k,peso510_k),1)),""))</f>
        <v/>
      </c>
      <c r="AK985">
        <f>IF($W985="","",IFERROR(INDEX(IF($T985&lt;=60,peso05_m,peso510_m),MATCH($W985,IF($T985&lt;=60,peso05_k,peso510_k),1)),""))</f>
        <v/>
      </c>
      <c r="AL985">
        <f>IF($W985="","",IFERROR(INDEX(IF($T985&lt;=60,peso05_s,peso510_s),MATCH($W985,IF($T985&lt;=60,peso05_k,peso510_k),1)),""))</f>
        <v/>
      </c>
      <c r="AM985">
        <f>IF($AJ985="","",IF($AJ985=0,LN($F985/$AK985)/$AL985,((($F985/$AK985)^$AJ985)-1)/($AJ985*$AL985)))</f>
        <v/>
      </c>
      <c r="AN985">
        <f>IF($AJ985="","",IF($AJ985=0,$AK985*EXP($AL985*2),$AK985*(1+$AJ985*$AL985*2)^(1/$AJ985)))</f>
        <v/>
      </c>
      <c r="AO985">
        <f>IF($AJ985="","",IF($AJ985=0,$AK985*EXP($AL985*3),$AK985*(1+$AJ985*$AL985*3)^(1/$AJ985)))</f>
        <v/>
      </c>
      <c r="AP985">
        <f>IF($AJ985="","",IF($AJ985=0,$AK985*EXP($AL985*-2),$AK985*(1+$AJ985*$AL985*-2)^(1/$AJ985)))</f>
        <v/>
      </c>
      <c r="AQ985">
        <f>IF($AJ985="","",IF($AJ985=0,$AK985*EXP($AL985*-3),$AK985*(1+$AJ985*$AL985*-3)^(1/$AJ985)))</f>
        <v/>
      </c>
      <c r="AR985">
        <f>IF(OR($X985="",$T985&gt;60),"",IFERROR(INDEX(IF($T985&lt;24,pcomp_l,palt_l),MATCH($X985,IF($T985&lt;24,pcomp_k,palt_k),1)),""))</f>
        <v/>
      </c>
      <c r="AS985">
        <f>IF(OR($X985="",$T985&gt;60),"",IFERROR(INDEX(IF($T985&lt;24,pcomp_m,palt_m),MATCH($X985,IF($T985&lt;24,pcomp_k,palt_k),1)),""))</f>
        <v/>
      </c>
      <c r="AT985">
        <f>IF(OR($X985="",$T985&gt;60),"",IFERROR(INDEX(IF($T985&lt;24,pcomp_s,palt_s),MATCH($X985,IF($T985&lt;24,pcomp_k,palt_k),1)),""))</f>
        <v/>
      </c>
      <c r="AU985">
        <f>IF($AR985="","",IF($AR985=0,LN($F985/$AS985)/$AT985,((($F985/$AS985)^$AR985)-1)/($AR985*$AT985)))</f>
        <v/>
      </c>
      <c r="AV985">
        <f>IF($AR985="","",IF($AR985=0,$AS985*EXP($AT985*2),$AS985*(1+$AR985*$AT985*2)^(1/$AR985)))</f>
        <v/>
      </c>
      <c r="AW985">
        <f>IF($AR985="","",IF($AR985=0,$AS985*EXP($AT985*3),$AS985*(1+$AR985*$AT985*3)^(1/$AR985)))</f>
        <v/>
      </c>
      <c r="AX985">
        <f>IF($AR985="","",IF($AR985=0,$AS985*EXP($AT985*-2),$AS985*(1+$AR985*$AT985*-2)^(1/$AR985)))</f>
        <v/>
      </c>
      <c r="AY985">
        <f>IF($AR985="","",IF($AR985=0,$AS985*EXP($AT985*-3),$AS985*(1+$AR985*$AT985*-3)^(1/$AR985)))</f>
        <v/>
      </c>
      <c r="AZ985">
        <f>IF(OR($A985="",$A985&lt;&gt;Ficha!$C$4),"",COUNTIF($A$2:$A985,Ficha!$C$4))</f>
        <v/>
      </c>
    </row>
    <row r="986">
      <c r="A986" s="8">
        <f>IF(INDEX(Banco!$A:$A,ROW())="","",INDEX(Banco!$A:$A,ROW()))</f>
        <v/>
      </c>
      <c r="B986" s="8">
        <f>IF(INDEX(Banco!$B:$B,ROW())="","",INDEX(Banco!$B:$B,ROW()))</f>
        <v/>
      </c>
      <c r="C986" s="8">
        <f>IF(INDEX(Banco!$C:$C,ROW())="","",INDEX(Banco!$C:$C,ROW()))</f>
        <v/>
      </c>
      <c r="D986" s="9">
        <f>IF(INDEX(Banco!$D:$D,ROW())="","",INDEX(Banco!$D:$D,ROW()))</f>
        <v/>
      </c>
      <c r="E986" s="9">
        <f>IF(INDEX(Banco!$E:$E,ROW())="","",INDEX(Banco!$E:$E,ROW()))</f>
        <v/>
      </c>
      <c r="F986" s="10">
        <f>IF(INDEX(Banco!$F:$F,ROW())="","",INDEX(Banco!$F:$F,ROW()))</f>
        <v/>
      </c>
      <c r="G986" s="10">
        <f>IF(INDEX(Banco!$G:$G,ROW())="","",INDEX(Banco!$G:$G,ROW()))</f>
        <v/>
      </c>
      <c r="H986" s="8">
        <f>IF(INDEX(Banco!$H:$H,ROW())="","",INDEX(Banco!$H:$H,ROW()))</f>
        <v/>
      </c>
      <c r="I986">
        <f>IF($T986="","",INT($T986/12)&amp;"a "&amp;MOD($T986,12)&amp;"m")</f>
        <v/>
      </c>
      <c r="J986" s="11">
        <f>IF(OR($F986="",$G986=""),"",ROUND($F986/($G986/100)^2,2))</f>
        <v/>
      </c>
      <c r="K986" s="12">
        <f>IF(OR($S986="",$J986="",$T986="",$T986&lt;0,$T986&gt;228,$Y986=""),"—",ROUND(IF(ABS($AB986)&lt;=3,$AB986,IF($AB986&gt;3,3+($J986-$AD986)/($AD986-$AC986),-3+($J986-$AF986)/($AE986-$AF986))),2))</f>
        <v/>
      </c>
      <c r="L986">
        <f>IF(OR($K986="",$K986="—"),"",IF($T986&lt;=60,IF($K986&lt;-3,"Magreza acentuada",IF($K986&lt;-2,"Magreza",IF($K986&lt;=1,"Eutrofia",IF($K986&lt;=2,"Risco de sobrepeso",IF($K986&lt;=3,"Sobrepeso","Obesidade"))))),IF($K986&lt;-3,"Magreza acentuada",IF($K986&lt;-2,"Magreza",IF($K986&lt;=1,"Eutrofia",IF($K986&lt;=2,"Sobrepeso",IF($K986&lt;=3,"Obesidade","Obesidade grave")))))))</f>
        <v/>
      </c>
      <c r="M986" s="12">
        <f>IF(OR($S986="",$V986="",$T986="",$T986&lt;0,$T986&gt;228,$AG986=""),"—",ROUND(IF($AG986=0,LN($V986/$AH986)/$AI986,((($V986/$AH986)^$AG986)-1)/($AG986*$AI986)),2))</f>
        <v/>
      </c>
      <c r="N986">
        <f>IF(OR($M986="",$M986="—"),"",IF($M986&lt;-3,"Muito baixa",IF($M986&lt;-2,"Baixa","Adequada")))</f>
        <v/>
      </c>
      <c r="O986" s="12">
        <f>IF(OR($S986="",$F986="",$T986="",$T986&lt;0,$T986&gt;120,$AJ986=""),"—",ROUND(IF(ABS($AM986)&lt;=3,$AM986,IF($AM986&gt;3,3+($F986-$AO986)/($AO986-$AN986),-3+($F986-$AQ986)/($AP986-$AQ986))),2))</f>
        <v/>
      </c>
      <c r="P986">
        <f>IF(OR($O986="",$O986="—"),"",IF($O986&lt;-3,"Muito baixo",IF($O986&lt;-2,"Baixo",IF($O986&lt;=2,"Adequado","Elevado"))))</f>
        <v/>
      </c>
      <c r="Q986" s="12">
        <f>IF(OR($S986="",$F986="",$T986="",$T986&lt;0,$T986&gt;60,$AR986=""),"—",ROUND(IF(ABS($AU986)&lt;=3,$AU986,IF($AU986&gt;3,3+($F986-$AW986)/($AW986-$AV986),-3+($F986-$AY986)/($AX986-$AY986))),2))</f>
        <v/>
      </c>
      <c r="R986">
        <f>IF(OR($Q986="",$Q986="—"),"",IF($Q986&lt;-3,"Magreza acentuada",IF($Q986&lt;-2,"Magreza",IF($Q986&lt;=1,"Eutrofia",IF($Q986&lt;=2,"Risco de sobrepeso",IF($Q986&lt;=3,"Sobrepeso","Obesidade"))))))</f>
        <v/>
      </c>
      <c r="S986">
        <f>IF($C986="","",IF(UPPER(LEFT($C986,1))="M",1,IF(UPPER(LEFT($C986,1))="F",2,"")))</f>
        <v/>
      </c>
      <c r="T986">
        <f>IF(OR($D986="",$E986=""),"",DATEDIF($D986,$E986,"m"))</f>
        <v/>
      </c>
      <c r="U986">
        <f>IF(OR($D986="",$E986=""),"",$E986-$D986)</f>
        <v/>
      </c>
      <c r="V986">
        <f>IF(OR($G986="",$T986=""),"",IF($T986&lt;24,IF(LEFT(LOWER($H986),4)="em p",$G986+0.7,$G986),IF(LEFT(LOWER($H986),4)="deit",$G986-0.7,$G986)))</f>
        <v/>
      </c>
      <c r="W986">
        <f>IF(OR($S986="",$T986=""),"",$S986*1000000+IF($T986&lt;=60,$U986,$T986))</f>
        <v/>
      </c>
      <c r="X986">
        <f>IF(OR($S986="",$V986="",$T986&gt;60,$T986=""),"",$S986*1000000+ROUND($V986*10,0))</f>
        <v/>
      </c>
      <c r="Y986">
        <f>IF($W986="","",IFERROR(INDEX(IF($T986&lt;=60,imc05_l,imc519_l),MATCH($W986,IF($T986&lt;=60,imc05_k,imc519_k),1)),""))</f>
        <v/>
      </c>
      <c r="Z986">
        <f>IF($W986="","",IFERROR(INDEX(IF($T986&lt;=60,imc05_m,imc519_m),MATCH($W986,IF($T986&lt;=60,imc05_k,imc519_k),1)),""))</f>
        <v/>
      </c>
      <c r="AA986">
        <f>IF($W986="","",IFERROR(INDEX(IF($T986&lt;=60,imc05_s,imc519_s),MATCH($W986,IF($T986&lt;=60,imc05_k,imc519_k),1)),""))</f>
        <v/>
      </c>
      <c r="AB986">
        <f>IF($Y986="","",IF($Y986=0,LN($J986/$Z986)/$AA986,((($J986/$Z986)^$Y986)-1)/($Y986*$AA986)))</f>
        <v/>
      </c>
      <c r="AC986">
        <f>IF($Y986="","",IF($Y986=0,$Z986*EXP($AA986*2),$Z986*(1+$Y986*$AA986*2)^(1/$Y986)))</f>
        <v/>
      </c>
      <c r="AD986">
        <f>IF($Y986="","",IF($Y986=0,$Z986*EXP($AA986*3),$Z986*(1+$Y986*$AA986*3)^(1/$Y986)))</f>
        <v/>
      </c>
      <c r="AE986">
        <f>IF($Y986="","",IF($Y986=0,$Z986*EXP($AA986*-2),$Z986*(1+$Y986*$AA986*-2)^(1/$Y986)))</f>
        <v/>
      </c>
      <c r="AF986">
        <f>IF($Y986="","",IF($Y986=0,$Z986*EXP($AA986*-3),$Z986*(1+$Y986*$AA986*-3)^(1/$Y986)))</f>
        <v/>
      </c>
      <c r="AG986">
        <f>IF($W986="","",IFERROR(INDEX(IF($T986&lt;=60,est05_l,est519_l),MATCH($W986,IF($T986&lt;=60,est05_k,est519_k),1)),""))</f>
        <v/>
      </c>
      <c r="AH986">
        <f>IF($W986="","",IFERROR(INDEX(IF($T986&lt;=60,est05_m,est519_m),MATCH($W986,IF($T986&lt;=60,est05_k,est519_k),1)),""))</f>
        <v/>
      </c>
      <c r="AI986">
        <f>IF($W986="","",IFERROR(INDEX(IF($T986&lt;=60,est05_s,est519_s),MATCH($W986,IF($T986&lt;=60,est05_k,est519_k),1)),""))</f>
        <v/>
      </c>
      <c r="AJ986">
        <f>IF($W986="","",IFERROR(INDEX(IF($T986&lt;=60,peso05_l,peso510_l),MATCH($W986,IF($T986&lt;=60,peso05_k,peso510_k),1)),""))</f>
        <v/>
      </c>
      <c r="AK986">
        <f>IF($W986="","",IFERROR(INDEX(IF($T986&lt;=60,peso05_m,peso510_m),MATCH($W986,IF($T986&lt;=60,peso05_k,peso510_k),1)),""))</f>
        <v/>
      </c>
      <c r="AL986">
        <f>IF($W986="","",IFERROR(INDEX(IF($T986&lt;=60,peso05_s,peso510_s),MATCH($W986,IF($T986&lt;=60,peso05_k,peso510_k),1)),""))</f>
        <v/>
      </c>
      <c r="AM986">
        <f>IF($AJ986="","",IF($AJ986=0,LN($F986/$AK986)/$AL986,((($F986/$AK986)^$AJ986)-1)/($AJ986*$AL986)))</f>
        <v/>
      </c>
      <c r="AN986">
        <f>IF($AJ986="","",IF($AJ986=0,$AK986*EXP($AL986*2),$AK986*(1+$AJ986*$AL986*2)^(1/$AJ986)))</f>
        <v/>
      </c>
      <c r="AO986">
        <f>IF($AJ986="","",IF($AJ986=0,$AK986*EXP($AL986*3),$AK986*(1+$AJ986*$AL986*3)^(1/$AJ986)))</f>
        <v/>
      </c>
      <c r="AP986">
        <f>IF($AJ986="","",IF($AJ986=0,$AK986*EXP($AL986*-2),$AK986*(1+$AJ986*$AL986*-2)^(1/$AJ986)))</f>
        <v/>
      </c>
      <c r="AQ986">
        <f>IF($AJ986="","",IF($AJ986=0,$AK986*EXP($AL986*-3),$AK986*(1+$AJ986*$AL986*-3)^(1/$AJ986)))</f>
        <v/>
      </c>
      <c r="AR986">
        <f>IF(OR($X986="",$T986&gt;60),"",IFERROR(INDEX(IF($T986&lt;24,pcomp_l,palt_l),MATCH($X986,IF($T986&lt;24,pcomp_k,palt_k),1)),""))</f>
        <v/>
      </c>
      <c r="AS986">
        <f>IF(OR($X986="",$T986&gt;60),"",IFERROR(INDEX(IF($T986&lt;24,pcomp_m,palt_m),MATCH($X986,IF($T986&lt;24,pcomp_k,palt_k),1)),""))</f>
        <v/>
      </c>
      <c r="AT986">
        <f>IF(OR($X986="",$T986&gt;60),"",IFERROR(INDEX(IF($T986&lt;24,pcomp_s,palt_s),MATCH($X986,IF($T986&lt;24,pcomp_k,palt_k),1)),""))</f>
        <v/>
      </c>
      <c r="AU986">
        <f>IF($AR986="","",IF($AR986=0,LN($F986/$AS986)/$AT986,((($F986/$AS986)^$AR986)-1)/($AR986*$AT986)))</f>
        <v/>
      </c>
      <c r="AV986">
        <f>IF($AR986="","",IF($AR986=0,$AS986*EXP($AT986*2),$AS986*(1+$AR986*$AT986*2)^(1/$AR986)))</f>
        <v/>
      </c>
      <c r="AW986">
        <f>IF($AR986="","",IF($AR986=0,$AS986*EXP($AT986*3),$AS986*(1+$AR986*$AT986*3)^(1/$AR986)))</f>
        <v/>
      </c>
      <c r="AX986">
        <f>IF($AR986="","",IF($AR986=0,$AS986*EXP($AT986*-2),$AS986*(1+$AR986*$AT986*-2)^(1/$AR986)))</f>
        <v/>
      </c>
      <c r="AY986">
        <f>IF($AR986="","",IF($AR986=0,$AS986*EXP($AT986*-3),$AS986*(1+$AR986*$AT986*-3)^(1/$AR986)))</f>
        <v/>
      </c>
      <c r="AZ986">
        <f>IF(OR($A986="",$A986&lt;&gt;Ficha!$C$4),"",COUNTIF($A$2:$A986,Ficha!$C$4))</f>
        <v/>
      </c>
    </row>
    <row r="987">
      <c r="A987" s="8">
        <f>IF(INDEX(Banco!$A:$A,ROW())="","",INDEX(Banco!$A:$A,ROW()))</f>
        <v/>
      </c>
      <c r="B987" s="8">
        <f>IF(INDEX(Banco!$B:$B,ROW())="","",INDEX(Banco!$B:$B,ROW()))</f>
        <v/>
      </c>
      <c r="C987" s="8">
        <f>IF(INDEX(Banco!$C:$C,ROW())="","",INDEX(Banco!$C:$C,ROW()))</f>
        <v/>
      </c>
      <c r="D987" s="9">
        <f>IF(INDEX(Banco!$D:$D,ROW())="","",INDEX(Banco!$D:$D,ROW()))</f>
        <v/>
      </c>
      <c r="E987" s="9">
        <f>IF(INDEX(Banco!$E:$E,ROW())="","",INDEX(Banco!$E:$E,ROW()))</f>
        <v/>
      </c>
      <c r="F987" s="10">
        <f>IF(INDEX(Banco!$F:$F,ROW())="","",INDEX(Banco!$F:$F,ROW()))</f>
        <v/>
      </c>
      <c r="G987" s="10">
        <f>IF(INDEX(Banco!$G:$G,ROW())="","",INDEX(Banco!$G:$G,ROW()))</f>
        <v/>
      </c>
      <c r="H987" s="8">
        <f>IF(INDEX(Banco!$H:$H,ROW())="","",INDEX(Banco!$H:$H,ROW()))</f>
        <v/>
      </c>
      <c r="I987">
        <f>IF($T987="","",INT($T987/12)&amp;"a "&amp;MOD($T987,12)&amp;"m")</f>
        <v/>
      </c>
      <c r="J987" s="11">
        <f>IF(OR($F987="",$G987=""),"",ROUND($F987/($G987/100)^2,2))</f>
        <v/>
      </c>
      <c r="K987" s="12">
        <f>IF(OR($S987="",$J987="",$T987="",$T987&lt;0,$T987&gt;228,$Y987=""),"—",ROUND(IF(ABS($AB987)&lt;=3,$AB987,IF($AB987&gt;3,3+($J987-$AD987)/($AD987-$AC987),-3+($J987-$AF987)/($AE987-$AF987))),2))</f>
        <v/>
      </c>
      <c r="L987">
        <f>IF(OR($K987="",$K987="—"),"",IF($T987&lt;=60,IF($K987&lt;-3,"Magreza acentuada",IF($K987&lt;-2,"Magreza",IF($K987&lt;=1,"Eutrofia",IF($K987&lt;=2,"Risco de sobrepeso",IF($K987&lt;=3,"Sobrepeso","Obesidade"))))),IF($K987&lt;-3,"Magreza acentuada",IF($K987&lt;-2,"Magreza",IF($K987&lt;=1,"Eutrofia",IF($K987&lt;=2,"Sobrepeso",IF($K987&lt;=3,"Obesidade","Obesidade grave")))))))</f>
        <v/>
      </c>
      <c r="M987" s="12">
        <f>IF(OR($S987="",$V987="",$T987="",$T987&lt;0,$T987&gt;228,$AG987=""),"—",ROUND(IF($AG987=0,LN($V987/$AH987)/$AI987,((($V987/$AH987)^$AG987)-1)/($AG987*$AI987)),2))</f>
        <v/>
      </c>
      <c r="N987">
        <f>IF(OR($M987="",$M987="—"),"",IF($M987&lt;-3,"Muito baixa",IF($M987&lt;-2,"Baixa","Adequada")))</f>
        <v/>
      </c>
      <c r="O987" s="12">
        <f>IF(OR($S987="",$F987="",$T987="",$T987&lt;0,$T987&gt;120,$AJ987=""),"—",ROUND(IF(ABS($AM987)&lt;=3,$AM987,IF($AM987&gt;3,3+($F987-$AO987)/($AO987-$AN987),-3+($F987-$AQ987)/($AP987-$AQ987))),2))</f>
        <v/>
      </c>
      <c r="P987">
        <f>IF(OR($O987="",$O987="—"),"",IF($O987&lt;-3,"Muito baixo",IF($O987&lt;-2,"Baixo",IF($O987&lt;=2,"Adequado","Elevado"))))</f>
        <v/>
      </c>
      <c r="Q987" s="12">
        <f>IF(OR($S987="",$F987="",$T987="",$T987&lt;0,$T987&gt;60,$AR987=""),"—",ROUND(IF(ABS($AU987)&lt;=3,$AU987,IF($AU987&gt;3,3+($F987-$AW987)/($AW987-$AV987),-3+($F987-$AY987)/($AX987-$AY987))),2))</f>
        <v/>
      </c>
      <c r="R987">
        <f>IF(OR($Q987="",$Q987="—"),"",IF($Q987&lt;-3,"Magreza acentuada",IF($Q987&lt;-2,"Magreza",IF($Q987&lt;=1,"Eutrofia",IF($Q987&lt;=2,"Risco de sobrepeso",IF($Q987&lt;=3,"Sobrepeso","Obesidade"))))))</f>
        <v/>
      </c>
      <c r="S987">
        <f>IF($C987="","",IF(UPPER(LEFT($C987,1))="M",1,IF(UPPER(LEFT($C987,1))="F",2,"")))</f>
        <v/>
      </c>
      <c r="T987">
        <f>IF(OR($D987="",$E987=""),"",DATEDIF($D987,$E987,"m"))</f>
        <v/>
      </c>
      <c r="U987">
        <f>IF(OR($D987="",$E987=""),"",$E987-$D987)</f>
        <v/>
      </c>
      <c r="V987">
        <f>IF(OR($G987="",$T987=""),"",IF($T987&lt;24,IF(LEFT(LOWER($H987),4)="em p",$G987+0.7,$G987),IF(LEFT(LOWER($H987),4)="deit",$G987-0.7,$G987)))</f>
        <v/>
      </c>
      <c r="W987">
        <f>IF(OR($S987="",$T987=""),"",$S987*1000000+IF($T987&lt;=60,$U987,$T987))</f>
        <v/>
      </c>
      <c r="X987">
        <f>IF(OR($S987="",$V987="",$T987&gt;60,$T987=""),"",$S987*1000000+ROUND($V987*10,0))</f>
        <v/>
      </c>
      <c r="Y987">
        <f>IF($W987="","",IFERROR(INDEX(IF($T987&lt;=60,imc05_l,imc519_l),MATCH($W987,IF($T987&lt;=60,imc05_k,imc519_k),1)),""))</f>
        <v/>
      </c>
      <c r="Z987">
        <f>IF($W987="","",IFERROR(INDEX(IF($T987&lt;=60,imc05_m,imc519_m),MATCH($W987,IF($T987&lt;=60,imc05_k,imc519_k),1)),""))</f>
        <v/>
      </c>
      <c r="AA987">
        <f>IF($W987="","",IFERROR(INDEX(IF($T987&lt;=60,imc05_s,imc519_s),MATCH($W987,IF($T987&lt;=60,imc05_k,imc519_k),1)),""))</f>
        <v/>
      </c>
      <c r="AB987">
        <f>IF($Y987="","",IF($Y987=0,LN($J987/$Z987)/$AA987,((($J987/$Z987)^$Y987)-1)/($Y987*$AA987)))</f>
        <v/>
      </c>
      <c r="AC987">
        <f>IF($Y987="","",IF($Y987=0,$Z987*EXP($AA987*2),$Z987*(1+$Y987*$AA987*2)^(1/$Y987)))</f>
        <v/>
      </c>
      <c r="AD987">
        <f>IF($Y987="","",IF($Y987=0,$Z987*EXP($AA987*3),$Z987*(1+$Y987*$AA987*3)^(1/$Y987)))</f>
        <v/>
      </c>
      <c r="AE987">
        <f>IF($Y987="","",IF($Y987=0,$Z987*EXP($AA987*-2),$Z987*(1+$Y987*$AA987*-2)^(1/$Y987)))</f>
        <v/>
      </c>
      <c r="AF987">
        <f>IF($Y987="","",IF($Y987=0,$Z987*EXP($AA987*-3),$Z987*(1+$Y987*$AA987*-3)^(1/$Y987)))</f>
        <v/>
      </c>
      <c r="AG987">
        <f>IF($W987="","",IFERROR(INDEX(IF($T987&lt;=60,est05_l,est519_l),MATCH($W987,IF($T987&lt;=60,est05_k,est519_k),1)),""))</f>
        <v/>
      </c>
      <c r="AH987">
        <f>IF($W987="","",IFERROR(INDEX(IF($T987&lt;=60,est05_m,est519_m),MATCH($W987,IF($T987&lt;=60,est05_k,est519_k),1)),""))</f>
        <v/>
      </c>
      <c r="AI987">
        <f>IF($W987="","",IFERROR(INDEX(IF($T987&lt;=60,est05_s,est519_s),MATCH($W987,IF($T987&lt;=60,est05_k,est519_k),1)),""))</f>
        <v/>
      </c>
      <c r="AJ987">
        <f>IF($W987="","",IFERROR(INDEX(IF($T987&lt;=60,peso05_l,peso510_l),MATCH($W987,IF($T987&lt;=60,peso05_k,peso510_k),1)),""))</f>
        <v/>
      </c>
      <c r="AK987">
        <f>IF($W987="","",IFERROR(INDEX(IF($T987&lt;=60,peso05_m,peso510_m),MATCH($W987,IF($T987&lt;=60,peso05_k,peso510_k),1)),""))</f>
        <v/>
      </c>
      <c r="AL987">
        <f>IF($W987="","",IFERROR(INDEX(IF($T987&lt;=60,peso05_s,peso510_s),MATCH($W987,IF($T987&lt;=60,peso05_k,peso510_k),1)),""))</f>
        <v/>
      </c>
      <c r="AM987">
        <f>IF($AJ987="","",IF($AJ987=0,LN($F987/$AK987)/$AL987,((($F987/$AK987)^$AJ987)-1)/($AJ987*$AL987)))</f>
        <v/>
      </c>
      <c r="AN987">
        <f>IF($AJ987="","",IF($AJ987=0,$AK987*EXP($AL987*2),$AK987*(1+$AJ987*$AL987*2)^(1/$AJ987)))</f>
        <v/>
      </c>
      <c r="AO987">
        <f>IF($AJ987="","",IF($AJ987=0,$AK987*EXP($AL987*3),$AK987*(1+$AJ987*$AL987*3)^(1/$AJ987)))</f>
        <v/>
      </c>
      <c r="AP987">
        <f>IF($AJ987="","",IF($AJ987=0,$AK987*EXP($AL987*-2),$AK987*(1+$AJ987*$AL987*-2)^(1/$AJ987)))</f>
        <v/>
      </c>
      <c r="AQ987">
        <f>IF($AJ987="","",IF($AJ987=0,$AK987*EXP($AL987*-3),$AK987*(1+$AJ987*$AL987*-3)^(1/$AJ987)))</f>
        <v/>
      </c>
      <c r="AR987">
        <f>IF(OR($X987="",$T987&gt;60),"",IFERROR(INDEX(IF($T987&lt;24,pcomp_l,palt_l),MATCH($X987,IF($T987&lt;24,pcomp_k,palt_k),1)),""))</f>
        <v/>
      </c>
      <c r="AS987">
        <f>IF(OR($X987="",$T987&gt;60),"",IFERROR(INDEX(IF($T987&lt;24,pcomp_m,palt_m),MATCH($X987,IF($T987&lt;24,pcomp_k,palt_k),1)),""))</f>
        <v/>
      </c>
      <c r="AT987">
        <f>IF(OR($X987="",$T987&gt;60),"",IFERROR(INDEX(IF($T987&lt;24,pcomp_s,palt_s),MATCH($X987,IF($T987&lt;24,pcomp_k,palt_k),1)),""))</f>
        <v/>
      </c>
      <c r="AU987">
        <f>IF($AR987="","",IF($AR987=0,LN($F987/$AS987)/$AT987,((($F987/$AS987)^$AR987)-1)/($AR987*$AT987)))</f>
        <v/>
      </c>
      <c r="AV987">
        <f>IF($AR987="","",IF($AR987=0,$AS987*EXP($AT987*2),$AS987*(1+$AR987*$AT987*2)^(1/$AR987)))</f>
        <v/>
      </c>
      <c r="AW987">
        <f>IF($AR987="","",IF($AR987=0,$AS987*EXP($AT987*3),$AS987*(1+$AR987*$AT987*3)^(1/$AR987)))</f>
        <v/>
      </c>
      <c r="AX987">
        <f>IF($AR987="","",IF($AR987=0,$AS987*EXP($AT987*-2),$AS987*(1+$AR987*$AT987*-2)^(1/$AR987)))</f>
        <v/>
      </c>
      <c r="AY987">
        <f>IF($AR987="","",IF($AR987=0,$AS987*EXP($AT987*-3),$AS987*(1+$AR987*$AT987*-3)^(1/$AR987)))</f>
        <v/>
      </c>
      <c r="AZ987">
        <f>IF(OR($A987="",$A987&lt;&gt;Ficha!$C$4),"",COUNTIF($A$2:$A987,Ficha!$C$4))</f>
        <v/>
      </c>
    </row>
    <row r="988">
      <c r="A988" s="8">
        <f>IF(INDEX(Banco!$A:$A,ROW())="","",INDEX(Banco!$A:$A,ROW()))</f>
        <v/>
      </c>
      <c r="B988" s="8">
        <f>IF(INDEX(Banco!$B:$B,ROW())="","",INDEX(Banco!$B:$B,ROW()))</f>
        <v/>
      </c>
      <c r="C988" s="8">
        <f>IF(INDEX(Banco!$C:$C,ROW())="","",INDEX(Banco!$C:$C,ROW()))</f>
        <v/>
      </c>
      <c r="D988" s="9">
        <f>IF(INDEX(Banco!$D:$D,ROW())="","",INDEX(Banco!$D:$D,ROW()))</f>
        <v/>
      </c>
      <c r="E988" s="9">
        <f>IF(INDEX(Banco!$E:$E,ROW())="","",INDEX(Banco!$E:$E,ROW()))</f>
        <v/>
      </c>
      <c r="F988" s="10">
        <f>IF(INDEX(Banco!$F:$F,ROW())="","",INDEX(Banco!$F:$F,ROW()))</f>
        <v/>
      </c>
      <c r="G988" s="10">
        <f>IF(INDEX(Banco!$G:$G,ROW())="","",INDEX(Banco!$G:$G,ROW()))</f>
        <v/>
      </c>
      <c r="H988" s="8">
        <f>IF(INDEX(Banco!$H:$H,ROW())="","",INDEX(Banco!$H:$H,ROW()))</f>
        <v/>
      </c>
      <c r="I988">
        <f>IF($T988="","",INT($T988/12)&amp;"a "&amp;MOD($T988,12)&amp;"m")</f>
        <v/>
      </c>
      <c r="J988" s="11">
        <f>IF(OR($F988="",$G988=""),"",ROUND($F988/($G988/100)^2,2))</f>
        <v/>
      </c>
      <c r="K988" s="12">
        <f>IF(OR($S988="",$J988="",$T988="",$T988&lt;0,$T988&gt;228,$Y988=""),"—",ROUND(IF(ABS($AB988)&lt;=3,$AB988,IF($AB988&gt;3,3+($J988-$AD988)/($AD988-$AC988),-3+($J988-$AF988)/($AE988-$AF988))),2))</f>
        <v/>
      </c>
      <c r="L988">
        <f>IF(OR($K988="",$K988="—"),"",IF($T988&lt;=60,IF($K988&lt;-3,"Magreza acentuada",IF($K988&lt;-2,"Magreza",IF($K988&lt;=1,"Eutrofia",IF($K988&lt;=2,"Risco de sobrepeso",IF($K988&lt;=3,"Sobrepeso","Obesidade"))))),IF($K988&lt;-3,"Magreza acentuada",IF($K988&lt;-2,"Magreza",IF($K988&lt;=1,"Eutrofia",IF($K988&lt;=2,"Sobrepeso",IF($K988&lt;=3,"Obesidade","Obesidade grave")))))))</f>
        <v/>
      </c>
      <c r="M988" s="12">
        <f>IF(OR($S988="",$V988="",$T988="",$T988&lt;0,$T988&gt;228,$AG988=""),"—",ROUND(IF($AG988=0,LN($V988/$AH988)/$AI988,((($V988/$AH988)^$AG988)-1)/($AG988*$AI988)),2))</f>
        <v/>
      </c>
      <c r="N988">
        <f>IF(OR($M988="",$M988="—"),"",IF($M988&lt;-3,"Muito baixa",IF($M988&lt;-2,"Baixa","Adequada")))</f>
        <v/>
      </c>
      <c r="O988" s="12">
        <f>IF(OR($S988="",$F988="",$T988="",$T988&lt;0,$T988&gt;120,$AJ988=""),"—",ROUND(IF(ABS($AM988)&lt;=3,$AM988,IF($AM988&gt;3,3+($F988-$AO988)/($AO988-$AN988),-3+($F988-$AQ988)/($AP988-$AQ988))),2))</f>
        <v/>
      </c>
      <c r="P988">
        <f>IF(OR($O988="",$O988="—"),"",IF($O988&lt;-3,"Muito baixo",IF($O988&lt;-2,"Baixo",IF($O988&lt;=2,"Adequado","Elevado"))))</f>
        <v/>
      </c>
      <c r="Q988" s="12">
        <f>IF(OR($S988="",$F988="",$T988="",$T988&lt;0,$T988&gt;60,$AR988=""),"—",ROUND(IF(ABS($AU988)&lt;=3,$AU988,IF($AU988&gt;3,3+($F988-$AW988)/($AW988-$AV988),-3+($F988-$AY988)/($AX988-$AY988))),2))</f>
        <v/>
      </c>
      <c r="R988">
        <f>IF(OR($Q988="",$Q988="—"),"",IF($Q988&lt;-3,"Magreza acentuada",IF($Q988&lt;-2,"Magreza",IF($Q988&lt;=1,"Eutrofia",IF($Q988&lt;=2,"Risco de sobrepeso",IF($Q988&lt;=3,"Sobrepeso","Obesidade"))))))</f>
        <v/>
      </c>
      <c r="S988">
        <f>IF($C988="","",IF(UPPER(LEFT($C988,1))="M",1,IF(UPPER(LEFT($C988,1))="F",2,"")))</f>
        <v/>
      </c>
      <c r="T988">
        <f>IF(OR($D988="",$E988=""),"",DATEDIF($D988,$E988,"m"))</f>
        <v/>
      </c>
      <c r="U988">
        <f>IF(OR($D988="",$E988=""),"",$E988-$D988)</f>
        <v/>
      </c>
      <c r="V988">
        <f>IF(OR($G988="",$T988=""),"",IF($T988&lt;24,IF(LEFT(LOWER($H988),4)="em p",$G988+0.7,$G988),IF(LEFT(LOWER($H988),4)="deit",$G988-0.7,$G988)))</f>
        <v/>
      </c>
      <c r="W988">
        <f>IF(OR($S988="",$T988=""),"",$S988*1000000+IF($T988&lt;=60,$U988,$T988))</f>
        <v/>
      </c>
      <c r="X988">
        <f>IF(OR($S988="",$V988="",$T988&gt;60,$T988=""),"",$S988*1000000+ROUND($V988*10,0))</f>
        <v/>
      </c>
      <c r="Y988">
        <f>IF($W988="","",IFERROR(INDEX(IF($T988&lt;=60,imc05_l,imc519_l),MATCH($W988,IF($T988&lt;=60,imc05_k,imc519_k),1)),""))</f>
        <v/>
      </c>
      <c r="Z988">
        <f>IF($W988="","",IFERROR(INDEX(IF($T988&lt;=60,imc05_m,imc519_m),MATCH($W988,IF($T988&lt;=60,imc05_k,imc519_k),1)),""))</f>
        <v/>
      </c>
      <c r="AA988">
        <f>IF($W988="","",IFERROR(INDEX(IF($T988&lt;=60,imc05_s,imc519_s),MATCH($W988,IF($T988&lt;=60,imc05_k,imc519_k),1)),""))</f>
        <v/>
      </c>
      <c r="AB988">
        <f>IF($Y988="","",IF($Y988=0,LN($J988/$Z988)/$AA988,((($J988/$Z988)^$Y988)-1)/($Y988*$AA988)))</f>
        <v/>
      </c>
      <c r="AC988">
        <f>IF($Y988="","",IF($Y988=0,$Z988*EXP($AA988*2),$Z988*(1+$Y988*$AA988*2)^(1/$Y988)))</f>
        <v/>
      </c>
      <c r="AD988">
        <f>IF($Y988="","",IF($Y988=0,$Z988*EXP($AA988*3),$Z988*(1+$Y988*$AA988*3)^(1/$Y988)))</f>
        <v/>
      </c>
      <c r="AE988">
        <f>IF($Y988="","",IF($Y988=0,$Z988*EXP($AA988*-2),$Z988*(1+$Y988*$AA988*-2)^(1/$Y988)))</f>
        <v/>
      </c>
      <c r="AF988">
        <f>IF($Y988="","",IF($Y988=0,$Z988*EXP($AA988*-3),$Z988*(1+$Y988*$AA988*-3)^(1/$Y988)))</f>
        <v/>
      </c>
      <c r="AG988">
        <f>IF($W988="","",IFERROR(INDEX(IF($T988&lt;=60,est05_l,est519_l),MATCH($W988,IF($T988&lt;=60,est05_k,est519_k),1)),""))</f>
        <v/>
      </c>
      <c r="AH988">
        <f>IF($W988="","",IFERROR(INDEX(IF($T988&lt;=60,est05_m,est519_m),MATCH($W988,IF($T988&lt;=60,est05_k,est519_k),1)),""))</f>
        <v/>
      </c>
      <c r="AI988">
        <f>IF($W988="","",IFERROR(INDEX(IF($T988&lt;=60,est05_s,est519_s),MATCH($W988,IF($T988&lt;=60,est05_k,est519_k),1)),""))</f>
        <v/>
      </c>
      <c r="AJ988">
        <f>IF($W988="","",IFERROR(INDEX(IF($T988&lt;=60,peso05_l,peso510_l),MATCH($W988,IF($T988&lt;=60,peso05_k,peso510_k),1)),""))</f>
        <v/>
      </c>
      <c r="AK988">
        <f>IF($W988="","",IFERROR(INDEX(IF($T988&lt;=60,peso05_m,peso510_m),MATCH($W988,IF($T988&lt;=60,peso05_k,peso510_k),1)),""))</f>
        <v/>
      </c>
      <c r="AL988">
        <f>IF($W988="","",IFERROR(INDEX(IF($T988&lt;=60,peso05_s,peso510_s),MATCH($W988,IF($T988&lt;=60,peso05_k,peso510_k),1)),""))</f>
        <v/>
      </c>
      <c r="AM988">
        <f>IF($AJ988="","",IF($AJ988=0,LN($F988/$AK988)/$AL988,((($F988/$AK988)^$AJ988)-1)/($AJ988*$AL988)))</f>
        <v/>
      </c>
      <c r="AN988">
        <f>IF($AJ988="","",IF($AJ988=0,$AK988*EXP($AL988*2),$AK988*(1+$AJ988*$AL988*2)^(1/$AJ988)))</f>
        <v/>
      </c>
      <c r="AO988">
        <f>IF($AJ988="","",IF($AJ988=0,$AK988*EXP($AL988*3),$AK988*(1+$AJ988*$AL988*3)^(1/$AJ988)))</f>
        <v/>
      </c>
      <c r="AP988">
        <f>IF($AJ988="","",IF($AJ988=0,$AK988*EXP($AL988*-2),$AK988*(1+$AJ988*$AL988*-2)^(1/$AJ988)))</f>
        <v/>
      </c>
      <c r="AQ988">
        <f>IF($AJ988="","",IF($AJ988=0,$AK988*EXP($AL988*-3),$AK988*(1+$AJ988*$AL988*-3)^(1/$AJ988)))</f>
        <v/>
      </c>
      <c r="AR988">
        <f>IF(OR($X988="",$T988&gt;60),"",IFERROR(INDEX(IF($T988&lt;24,pcomp_l,palt_l),MATCH($X988,IF($T988&lt;24,pcomp_k,palt_k),1)),""))</f>
        <v/>
      </c>
      <c r="AS988">
        <f>IF(OR($X988="",$T988&gt;60),"",IFERROR(INDEX(IF($T988&lt;24,pcomp_m,palt_m),MATCH($X988,IF($T988&lt;24,pcomp_k,palt_k),1)),""))</f>
        <v/>
      </c>
      <c r="AT988">
        <f>IF(OR($X988="",$T988&gt;60),"",IFERROR(INDEX(IF($T988&lt;24,pcomp_s,palt_s),MATCH($X988,IF($T988&lt;24,pcomp_k,palt_k),1)),""))</f>
        <v/>
      </c>
      <c r="AU988">
        <f>IF($AR988="","",IF($AR988=0,LN($F988/$AS988)/$AT988,((($F988/$AS988)^$AR988)-1)/($AR988*$AT988)))</f>
        <v/>
      </c>
      <c r="AV988">
        <f>IF($AR988="","",IF($AR988=0,$AS988*EXP($AT988*2),$AS988*(1+$AR988*$AT988*2)^(1/$AR988)))</f>
        <v/>
      </c>
      <c r="AW988">
        <f>IF($AR988="","",IF($AR988=0,$AS988*EXP($AT988*3),$AS988*(1+$AR988*$AT988*3)^(1/$AR988)))</f>
        <v/>
      </c>
      <c r="AX988">
        <f>IF($AR988="","",IF($AR988=0,$AS988*EXP($AT988*-2),$AS988*(1+$AR988*$AT988*-2)^(1/$AR988)))</f>
        <v/>
      </c>
      <c r="AY988">
        <f>IF($AR988="","",IF($AR988=0,$AS988*EXP($AT988*-3),$AS988*(1+$AR988*$AT988*-3)^(1/$AR988)))</f>
        <v/>
      </c>
      <c r="AZ988">
        <f>IF(OR($A988="",$A988&lt;&gt;Ficha!$C$4),"",COUNTIF($A$2:$A988,Ficha!$C$4))</f>
        <v/>
      </c>
    </row>
    <row r="989">
      <c r="A989" s="8">
        <f>IF(INDEX(Banco!$A:$A,ROW())="","",INDEX(Banco!$A:$A,ROW()))</f>
        <v/>
      </c>
      <c r="B989" s="8">
        <f>IF(INDEX(Banco!$B:$B,ROW())="","",INDEX(Banco!$B:$B,ROW()))</f>
        <v/>
      </c>
      <c r="C989" s="8">
        <f>IF(INDEX(Banco!$C:$C,ROW())="","",INDEX(Banco!$C:$C,ROW()))</f>
        <v/>
      </c>
      <c r="D989" s="9">
        <f>IF(INDEX(Banco!$D:$D,ROW())="","",INDEX(Banco!$D:$D,ROW()))</f>
        <v/>
      </c>
      <c r="E989" s="9">
        <f>IF(INDEX(Banco!$E:$E,ROW())="","",INDEX(Banco!$E:$E,ROW()))</f>
        <v/>
      </c>
      <c r="F989" s="10">
        <f>IF(INDEX(Banco!$F:$F,ROW())="","",INDEX(Banco!$F:$F,ROW()))</f>
        <v/>
      </c>
      <c r="G989" s="10">
        <f>IF(INDEX(Banco!$G:$G,ROW())="","",INDEX(Banco!$G:$G,ROW()))</f>
        <v/>
      </c>
      <c r="H989" s="8">
        <f>IF(INDEX(Banco!$H:$H,ROW())="","",INDEX(Banco!$H:$H,ROW()))</f>
        <v/>
      </c>
      <c r="I989">
        <f>IF($T989="","",INT($T989/12)&amp;"a "&amp;MOD($T989,12)&amp;"m")</f>
        <v/>
      </c>
      <c r="J989" s="11">
        <f>IF(OR($F989="",$G989=""),"",ROUND($F989/($G989/100)^2,2))</f>
        <v/>
      </c>
      <c r="K989" s="12">
        <f>IF(OR($S989="",$J989="",$T989="",$T989&lt;0,$T989&gt;228,$Y989=""),"—",ROUND(IF(ABS($AB989)&lt;=3,$AB989,IF($AB989&gt;3,3+($J989-$AD989)/($AD989-$AC989),-3+($J989-$AF989)/($AE989-$AF989))),2))</f>
        <v/>
      </c>
      <c r="L989">
        <f>IF(OR($K989="",$K989="—"),"",IF($T989&lt;=60,IF($K989&lt;-3,"Magreza acentuada",IF($K989&lt;-2,"Magreza",IF($K989&lt;=1,"Eutrofia",IF($K989&lt;=2,"Risco de sobrepeso",IF($K989&lt;=3,"Sobrepeso","Obesidade"))))),IF($K989&lt;-3,"Magreza acentuada",IF($K989&lt;-2,"Magreza",IF($K989&lt;=1,"Eutrofia",IF($K989&lt;=2,"Sobrepeso",IF($K989&lt;=3,"Obesidade","Obesidade grave")))))))</f>
        <v/>
      </c>
      <c r="M989" s="12">
        <f>IF(OR($S989="",$V989="",$T989="",$T989&lt;0,$T989&gt;228,$AG989=""),"—",ROUND(IF($AG989=0,LN($V989/$AH989)/$AI989,((($V989/$AH989)^$AG989)-1)/($AG989*$AI989)),2))</f>
        <v/>
      </c>
      <c r="N989">
        <f>IF(OR($M989="",$M989="—"),"",IF($M989&lt;-3,"Muito baixa",IF($M989&lt;-2,"Baixa","Adequada")))</f>
        <v/>
      </c>
      <c r="O989" s="12">
        <f>IF(OR($S989="",$F989="",$T989="",$T989&lt;0,$T989&gt;120,$AJ989=""),"—",ROUND(IF(ABS($AM989)&lt;=3,$AM989,IF($AM989&gt;3,3+($F989-$AO989)/($AO989-$AN989),-3+($F989-$AQ989)/($AP989-$AQ989))),2))</f>
        <v/>
      </c>
      <c r="P989">
        <f>IF(OR($O989="",$O989="—"),"",IF($O989&lt;-3,"Muito baixo",IF($O989&lt;-2,"Baixo",IF($O989&lt;=2,"Adequado","Elevado"))))</f>
        <v/>
      </c>
      <c r="Q989" s="12">
        <f>IF(OR($S989="",$F989="",$T989="",$T989&lt;0,$T989&gt;60,$AR989=""),"—",ROUND(IF(ABS($AU989)&lt;=3,$AU989,IF($AU989&gt;3,3+($F989-$AW989)/($AW989-$AV989),-3+($F989-$AY989)/($AX989-$AY989))),2))</f>
        <v/>
      </c>
      <c r="R989">
        <f>IF(OR($Q989="",$Q989="—"),"",IF($Q989&lt;-3,"Magreza acentuada",IF($Q989&lt;-2,"Magreza",IF($Q989&lt;=1,"Eutrofia",IF($Q989&lt;=2,"Risco de sobrepeso",IF($Q989&lt;=3,"Sobrepeso","Obesidade"))))))</f>
        <v/>
      </c>
      <c r="S989">
        <f>IF($C989="","",IF(UPPER(LEFT($C989,1))="M",1,IF(UPPER(LEFT($C989,1))="F",2,"")))</f>
        <v/>
      </c>
      <c r="T989">
        <f>IF(OR($D989="",$E989=""),"",DATEDIF($D989,$E989,"m"))</f>
        <v/>
      </c>
      <c r="U989">
        <f>IF(OR($D989="",$E989=""),"",$E989-$D989)</f>
        <v/>
      </c>
      <c r="V989">
        <f>IF(OR($G989="",$T989=""),"",IF($T989&lt;24,IF(LEFT(LOWER($H989),4)="em p",$G989+0.7,$G989),IF(LEFT(LOWER($H989),4)="deit",$G989-0.7,$G989)))</f>
        <v/>
      </c>
      <c r="W989">
        <f>IF(OR($S989="",$T989=""),"",$S989*1000000+IF($T989&lt;=60,$U989,$T989))</f>
        <v/>
      </c>
      <c r="X989">
        <f>IF(OR($S989="",$V989="",$T989&gt;60,$T989=""),"",$S989*1000000+ROUND($V989*10,0))</f>
        <v/>
      </c>
      <c r="Y989">
        <f>IF($W989="","",IFERROR(INDEX(IF($T989&lt;=60,imc05_l,imc519_l),MATCH($W989,IF($T989&lt;=60,imc05_k,imc519_k),1)),""))</f>
        <v/>
      </c>
      <c r="Z989">
        <f>IF($W989="","",IFERROR(INDEX(IF($T989&lt;=60,imc05_m,imc519_m),MATCH($W989,IF($T989&lt;=60,imc05_k,imc519_k),1)),""))</f>
        <v/>
      </c>
      <c r="AA989">
        <f>IF($W989="","",IFERROR(INDEX(IF($T989&lt;=60,imc05_s,imc519_s),MATCH($W989,IF($T989&lt;=60,imc05_k,imc519_k),1)),""))</f>
        <v/>
      </c>
      <c r="AB989">
        <f>IF($Y989="","",IF($Y989=0,LN($J989/$Z989)/$AA989,((($J989/$Z989)^$Y989)-1)/($Y989*$AA989)))</f>
        <v/>
      </c>
      <c r="AC989">
        <f>IF($Y989="","",IF($Y989=0,$Z989*EXP($AA989*2),$Z989*(1+$Y989*$AA989*2)^(1/$Y989)))</f>
        <v/>
      </c>
      <c r="AD989">
        <f>IF($Y989="","",IF($Y989=0,$Z989*EXP($AA989*3),$Z989*(1+$Y989*$AA989*3)^(1/$Y989)))</f>
        <v/>
      </c>
      <c r="AE989">
        <f>IF($Y989="","",IF($Y989=0,$Z989*EXP($AA989*-2),$Z989*(1+$Y989*$AA989*-2)^(1/$Y989)))</f>
        <v/>
      </c>
      <c r="AF989">
        <f>IF($Y989="","",IF($Y989=0,$Z989*EXP($AA989*-3),$Z989*(1+$Y989*$AA989*-3)^(1/$Y989)))</f>
        <v/>
      </c>
      <c r="AG989">
        <f>IF($W989="","",IFERROR(INDEX(IF($T989&lt;=60,est05_l,est519_l),MATCH($W989,IF($T989&lt;=60,est05_k,est519_k),1)),""))</f>
        <v/>
      </c>
      <c r="AH989">
        <f>IF($W989="","",IFERROR(INDEX(IF($T989&lt;=60,est05_m,est519_m),MATCH($W989,IF($T989&lt;=60,est05_k,est519_k),1)),""))</f>
        <v/>
      </c>
      <c r="AI989">
        <f>IF($W989="","",IFERROR(INDEX(IF($T989&lt;=60,est05_s,est519_s),MATCH($W989,IF($T989&lt;=60,est05_k,est519_k),1)),""))</f>
        <v/>
      </c>
      <c r="AJ989">
        <f>IF($W989="","",IFERROR(INDEX(IF($T989&lt;=60,peso05_l,peso510_l),MATCH($W989,IF($T989&lt;=60,peso05_k,peso510_k),1)),""))</f>
        <v/>
      </c>
      <c r="AK989">
        <f>IF($W989="","",IFERROR(INDEX(IF($T989&lt;=60,peso05_m,peso510_m),MATCH($W989,IF($T989&lt;=60,peso05_k,peso510_k),1)),""))</f>
        <v/>
      </c>
      <c r="AL989">
        <f>IF($W989="","",IFERROR(INDEX(IF($T989&lt;=60,peso05_s,peso510_s),MATCH($W989,IF($T989&lt;=60,peso05_k,peso510_k),1)),""))</f>
        <v/>
      </c>
      <c r="AM989">
        <f>IF($AJ989="","",IF($AJ989=0,LN($F989/$AK989)/$AL989,((($F989/$AK989)^$AJ989)-1)/($AJ989*$AL989)))</f>
        <v/>
      </c>
      <c r="AN989">
        <f>IF($AJ989="","",IF($AJ989=0,$AK989*EXP($AL989*2),$AK989*(1+$AJ989*$AL989*2)^(1/$AJ989)))</f>
        <v/>
      </c>
      <c r="AO989">
        <f>IF($AJ989="","",IF($AJ989=0,$AK989*EXP($AL989*3),$AK989*(1+$AJ989*$AL989*3)^(1/$AJ989)))</f>
        <v/>
      </c>
      <c r="AP989">
        <f>IF($AJ989="","",IF($AJ989=0,$AK989*EXP($AL989*-2),$AK989*(1+$AJ989*$AL989*-2)^(1/$AJ989)))</f>
        <v/>
      </c>
      <c r="AQ989">
        <f>IF($AJ989="","",IF($AJ989=0,$AK989*EXP($AL989*-3),$AK989*(1+$AJ989*$AL989*-3)^(1/$AJ989)))</f>
        <v/>
      </c>
      <c r="AR989">
        <f>IF(OR($X989="",$T989&gt;60),"",IFERROR(INDEX(IF($T989&lt;24,pcomp_l,palt_l),MATCH($X989,IF($T989&lt;24,pcomp_k,palt_k),1)),""))</f>
        <v/>
      </c>
      <c r="AS989">
        <f>IF(OR($X989="",$T989&gt;60),"",IFERROR(INDEX(IF($T989&lt;24,pcomp_m,palt_m),MATCH($X989,IF($T989&lt;24,pcomp_k,palt_k),1)),""))</f>
        <v/>
      </c>
      <c r="AT989">
        <f>IF(OR($X989="",$T989&gt;60),"",IFERROR(INDEX(IF($T989&lt;24,pcomp_s,palt_s),MATCH($X989,IF($T989&lt;24,pcomp_k,palt_k),1)),""))</f>
        <v/>
      </c>
      <c r="AU989">
        <f>IF($AR989="","",IF($AR989=0,LN($F989/$AS989)/$AT989,((($F989/$AS989)^$AR989)-1)/($AR989*$AT989)))</f>
        <v/>
      </c>
      <c r="AV989">
        <f>IF($AR989="","",IF($AR989=0,$AS989*EXP($AT989*2),$AS989*(1+$AR989*$AT989*2)^(1/$AR989)))</f>
        <v/>
      </c>
      <c r="AW989">
        <f>IF($AR989="","",IF($AR989=0,$AS989*EXP($AT989*3),$AS989*(1+$AR989*$AT989*3)^(1/$AR989)))</f>
        <v/>
      </c>
      <c r="AX989">
        <f>IF($AR989="","",IF($AR989=0,$AS989*EXP($AT989*-2),$AS989*(1+$AR989*$AT989*-2)^(1/$AR989)))</f>
        <v/>
      </c>
      <c r="AY989">
        <f>IF($AR989="","",IF($AR989=0,$AS989*EXP($AT989*-3),$AS989*(1+$AR989*$AT989*-3)^(1/$AR989)))</f>
        <v/>
      </c>
      <c r="AZ989">
        <f>IF(OR($A989="",$A989&lt;&gt;Ficha!$C$4),"",COUNTIF($A$2:$A989,Ficha!$C$4))</f>
        <v/>
      </c>
    </row>
    <row r="990">
      <c r="A990" s="8">
        <f>IF(INDEX(Banco!$A:$A,ROW())="","",INDEX(Banco!$A:$A,ROW()))</f>
        <v/>
      </c>
      <c r="B990" s="8">
        <f>IF(INDEX(Banco!$B:$B,ROW())="","",INDEX(Banco!$B:$B,ROW()))</f>
        <v/>
      </c>
      <c r="C990" s="8">
        <f>IF(INDEX(Banco!$C:$C,ROW())="","",INDEX(Banco!$C:$C,ROW()))</f>
        <v/>
      </c>
      <c r="D990" s="9">
        <f>IF(INDEX(Banco!$D:$D,ROW())="","",INDEX(Banco!$D:$D,ROW()))</f>
        <v/>
      </c>
      <c r="E990" s="9">
        <f>IF(INDEX(Banco!$E:$E,ROW())="","",INDEX(Banco!$E:$E,ROW()))</f>
        <v/>
      </c>
      <c r="F990" s="10">
        <f>IF(INDEX(Banco!$F:$F,ROW())="","",INDEX(Banco!$F:$F,ROW()))</f>
        <v/>
      </c>
      <c r="G990" s="10">
        <f>IF(INDEX(Banco!$G:$G,ROW())="","",INDEX(Banco!$G:$G,ROW()))</f>
        <v/>
      </c>
      <c r="H990" s="8">
        <f>IF(INDEX(Banco!$H:$H,ROW())="","",INDEX(Banco!$H:$H,ROW()))</f>
        <v/>
      </c>
      <c r="I990">
        <f>IF($T990="","",INT($T990/12)&amp;"a "&amp;MOD($T990,12)&amp;"m")</f>
        <v/>
      </c>
      <c r="J990" s="11">
        <f>IF(OR($F990="",$G990=""),"",ROUND($F990/($G990/100)^2,2))</f>
        <v/>
      </c>
      <c r="K990" s="12">
        <f>IF(OR($S990="",$J990="",$T990="",$T990&lt;0,$T990&gt;228,$Y990=""),"—",ROUND(IF(ABS($AB990)&lt;=3,$AB990,IF($AB990&gt;3,3+($J990-$AD990)/($AD990-$AC990),-3+($J990-$AF990)/($AE990-$AF990))),2))</f>
        <v/>
      </c>
      <c r="L990">
        <f>IF(OR($K990="",$K990="—"),"",IF($T990&lt;=60,IF($K990&lt;-3,"Magreza acentuada",IF($K990&lt;-2,"Magreza",IF($K990&lt;=1,"Eutrofia",IF($K990&lt;=2,"Risco de sobrepeso",IF($K990&lt;=3,"Sobrepeso","Obesidade"))))),IF($K990&lt;-3,"Magreza acentuada",IF($K990&lt;-2,"Magreza",IF($K990&lt;=1,"Eutrofia",IF($K990&lt;=2,"Sobrepeso",IF($K990&lt;=3,"Obesidade","Obesidade grave")))))))</f>
        <v/>
      </c>
      <c r="M990" s="12">
        <f>IF(OR($S990="",$V990="",$T990="",$T990&lt;0,$T990&gt;228,$AG990=""),"—",ROUND(IF($AG990=0,LN($V990/$AH990)/$AI990,((($V990/$AH990)^$AG990)-1)/($AG990*$AI990)),2))</f>
        <v/>
      </c>
      <c r="N990">
        <f>IF(OR($M990="",$M990="—"),"",IF($M990&lt;-3,"Muito baixa",IF($M990&lt;-2,"Baixa","Adequada")))</f>
        <v/>
      </c>
      <c r="O990" s="12">
        <f>IF(OR($S990="",$F990="",$T990="",$T990&lt;0,$T990&gt;120,$AJ990=""),"—",ROUND(IF(ABS($AM990)&lt;=3,$AM990,IF($AM990&gt;3,3+($F990-$AO990)/($AO990-$AN990),-3+($F990-$AQ990)/($AP990-$AQ990))),2))</f>
        <v/>
      </c>
      <c r="P990">
        <f>IF(OR($O990="",$O990="—"),"",IF($O990&lt;-3,"Muito baixo",IF($O990&lt;-2,"Baixo",IF($O990&lt;=2,"Adequado","Elevado"))))</f>
        <v/>
      </c>
      <c r="Q990" s="12">
        <f>IF(OR($S990="",$F990="",$T990="",$T990&lt;0,$T990&gt;60,$AR990=""),"—",ROUND(IF(ABS($AU990)&lt;=3,$AU990,IF($AU990&gt;3,3+($F990-$AW990)/($AW990-$AV990),-3+($F990-$AY990)/($AX990-$AY990))),2))</f>
        <v/>
      </c>
      <c r="R990">
        <f>IF(OR($Q990="",$Q990="—"),"",IF($Q990&lt;-3,"Magreza acentuada",IF($Q990&lt;-2,"Magreza",IF($Q990&lt;=1,"Eutrofia",IF($Q990&lt;=2,"Risco de sobrepeso",IF($Q990&lt;=3,"Sobrepeso","Obesidade"))))))</f>
        <v/>
      </c>
      <c r="S990">
        <f>IF($C990="","",IF(UPPER(LEFT($C990,1))="M",1,IF(UPPER(LEFT($C990,1))="F",2,"")))</f>
        <v/>
      </c>
      <c r="T990">
        <f>IF(OR($D990="",$E990=""),"",DATEDIF($D990,$E990,"m"))</f>
        <v/>
      </c>
      <c r="U990">
        <f>IF(OR($D990="",$E990=""),"",$E990-$D990)</f>
        <v/>
      </c>
      <c r="V990">
        <f>IF(OR($G990="",$T990=""),"",IF($T990&lt;24,IF(LEFT(LOWER($H990),4)="em p",$G990+0.7,$G990),IF(LEFT(LOWER($H990),4)="deit",$G990-0.7,$G990)))</f>
        <v/>
      </c>
      <c r="W990">
        <f>IF(OR($S990="",$T990=""),"",$S990*1000000+IF($T990&lt;=60,$U990,$T990))</f>
        <v/>
      </c>
      <c r="X990">
        <f>IF(OR($S990="",$V990="",$T990&gt;60,$T990=""),"",$S990*1000000+ROUND($V990*10,0))</f>
        <v/>
      </c>
      <c r="Y990">
        <f>IF($W990="","",IFERROR(INDEX(IF($T990&lt;=60,imc05_l,imc519_l),MATCH($W990,IF($T990&lt;=60,imc05_k,imc519_k),1)),""))</f>
        <v/>
      </c>
      <c r="Z990">
        <f>IF($W990="","",IFERROR(INDEX(IF($T990&lt;=60,imc05_m,imc519_m),MATCH($W990,IF($T990&lt;=60,imc05_k,imc519_k),1)),""))</f>
        <v/>
      </c>
      <c r="AA990">
        <f>IF($W990="","",IFERROR(INDEX(IF($T990&lt;=60,imc05_s,imc519_s),MATCH($W990,IF($T990&lt;=60,imc05_k,imc519_k),1)),""))</f>
        <v/>
      </c>
      <c r="AB990">
        <f>IF($Y990="","",IF($Y990=0,LN($J990/$Z990)/$AA990,((($J990/$Z990)^$Y990)-1)/($Y990*$AA990)))</f>
        <v/>
      </c>
      <c r="AC990">
        <f>IF($Y990="","",IF($Y990=0,$Z990*EXP($AA990*2),$Z990*(1+$Y990*$AA990*2)^(1/$Y990)))</f>
        <v/>
      </c>
      <c r="AD990">
        <f>IF($Y990="","",IF($Y990=0,$Z990*EXP($AA990*3),$Z990*(1+$Y990*$AA990*3)^(1/$Y990)))</f>
        <v/>
      </c>
      <c r="AE990">
        <f>IF($Y990="","",IF($Y990=0,$Z990*EXP($AA990*-2),$Z990*(1+$Y990*$AA990*-2)^(1/$Y990)))</f>
        <v/>
      </c>
      <c r="AF990">
        <f>IF($Y990="","",IF($Y990=0,$Z990*EXP($AA990*-3),$Z990*(1+$Y990*$AA990*-3)^(1/$Y990)))</f>
        <v/>
      </c>
      <c r="AG990">
        <f>IF($W990="","",IFERROR(INDEX(IF($T990&lt;=60,est05_l,est519_l),MATCH($W990,IF($T990&lt;=60,est05_k,est519_k),1)),""))</f>
        <v/>
      </c>
      <c r="AH990">
        <f>IF($W990="","",IFERROR(INDEX(IF($T990&lt;=60,est05_m,est519_m),MATCH($W990,IF($T990&lt;=60,est05_k,est519_k),1)),""))</f>
        <v/>
      </c>
      <c r="AI990">
        <f>IF($W990="","",IFERROR(INDEX(IF($T990&lt;=60,est05_s,est519_s),MATCH($W990,IF($T990&lt;=60,est05_k,est519_k),1)),""))</f>
        <v/>
      </c>
      <c r="AJ990">
        <f>IF($W990="","",IFERROR(INDEX(IF($T990&lt;=60,peso05_l,peso510_l),MATCH($W990,IF($T990&lt;=60,peso05_k,peso510_k),1)),""))</f>
        <v/>
      </c>
      <c r="AK990">
        <f>IF($W990="","",IFERROR(INDEX(IF($T990&lt;=60,peso05_m,peso510_m),MATCH($W990,IF($T990&lt;=60,peso05_k,peso510_k),1)),""))</f>
        <v/>
      </c>
      <c r="AL990">
        <f>IF($W990="","",IFERROR(INDEX(IF($T990&lt;=60,peso05_s,peso510_s),MATCH($W990,IF($T990&lt;=60,peso05_k,peso510_k),1)),""))</f>
        <v/>
      </c>
      <c r="AM990">
        <f>IF($AJ990="","",IF($AJ990=0,LN($F990/$AK990)/$AL990,((($F990/$AK990)^$AJ990)-1)/($AJ990*$AL990)))</f>
        <v/>
      </c>
      <c r="AN990">
        <f>IF($AJ990="","",IF($AJ990=0,$AK990*EXP($AL990*2),$AK990*(1+$AJ990*$AL990*2)^(1/$AJ990)))</f>
        <v/>
      </c>
      <c r="AO990">
        <f>IF($AJ990="","",IF($AJ990=0,$AK990*EXP($AL990*3),$AK990*(1+$AJ990*$AL990*3)^(1/$AJ990)))</f>
        <v/>
      </c>
      <c r="AP990">
        <f>IF($AJ990="","",IF($AJ990=0,$AK990*EXP($AL990*-2),$AK990*(1+$AJ990*$AL990*-2)^(1/$AJ990)))</f>
        <v/>
      </c>
      <c r="AQ990">
        <f>IF($AJ990="","",IF($AJ990=0,$AK990*EXP($AL990*-3),$AK990*(1+$AJ990*$AL990*-3)^(1/$AJ990)))</f>
        <v/>
      </c>
      <c r="AR990">
        <f>IF(OR($X990="",$T990&gt;60),"",IFERROR(INDEX(IF($T990&lt;24,pcomp_l,palt_l),MATCH($X990,IF($T990&lt;24,pcomp_k,palt_k),1)),""))</f>
        <v/>
      </c>
      <c r="AS990">
        <f>IF(OR($X990="",$T990&gt;60),"",IFERROR(INDEX(IF($T990&lt;24,pcomp_m,palt_m),MATCH($X990,IF($T990&lt;24,pcomp_k,palt_k),1)),""))</f>
        <v/>
      </c>
      <c r="AT990">
        <f>IF(OR($X990="",$T990&gt;60),"",IFERROR(INDEX(IF($T990&lt;24,pcomp_s,palt_s),MATCH($X990,IF($T990&lt;24,pcomp_k,palt_k),1)),""))</f>
        <v/>
      </c>
      <c r="AU990">
        <f>IF($AR990="","",IF($AR990=0,LN($F990/$AS990)/$AT990,((($F990/$AS990)^$AR990)-1)/($AR990*$AT990)))</f>
        <v/>
      </c>
      <c r="AV990">
        <f>IF($AR990="","",IF($AR990=0,$AS990*EXP($AT990*2),$AS990*(1+$AR990*$AT990*2)^(1/$AR990)))</f>
        <v/>
      </c>
      <c r="AW990">
        <f>IF($AR990="","",IF($AR990=0,$AS990*EXP($AT990*3),$AS990*(1+$AR990*$AT990*3)^(1/$AR990)))</f>
        <v/>
      </c>
      <c r="AX990">
        <f>IF($AR990="","",IF($AR990=0,$AS990*EXP($AT990*-2),$AS990*(1+$AR990*$AT990*-2)^(1/$AR990)))</f>
        <v/>
      </c>
      <c r="AY990">
        <f>IF($AR990="","",IF($AR990=0,$AS990*EXP($AT990*-3),$AS990*(1+$AR990*$AT990*-3)^(1/$AR990)))</f>
        <v/>
      </c>
      <c r="AZ990">
        <f>IF(OR($A990="",$A990&lt;&gt;Ficha!$C$4),"",COUNTIF($A$2:$A990,Ficha!$C$4))</f>
        <v/>
      </c>
    </row>
    <row r="991">
      <c r="A991" s="8">
        <f>IF(INDEX(Banco!$A:$A,ROW())="","",INDEX(Banco!$A:$A,ROW()))</f>
        <v/>
      </c>
      <c r="B991" s="8">
        <f>IF(INDEX(Banco!$B:$B,ROW())="","",INDEX(Banco!$B:$B,ROW()))</f>
        <v/>
      </c>
      <c r="C991" s="8">
        <f>IF(INDEX(Banco!$C:$C,ROW())="","",INDEX(Banco!$C:$C,ROW()))</f>
        <v/>
      </c>
      <c r="D991" s="9">
        <f>IF(INDEX(Banco!$D:$D,ROW())="","",INDEX(Banco!$D:$D,ROW()))</f>
        <v/>
      </c>
      <c r="E991" s="9">
        <f>IF(INDEX(Banco!$E:$E,ROW())="","",INDEX(Banco!$E:$E,ROW()))</f>
        <v/>
      </c>
      <c r="F991" s="10">
        <f>IF(INDEX(Banco!$F:$F,ROW())="","",INDEX(Banco!$F:$F,ROW()))</f>
        <v/>
      </c>
      <c r="G991" s="10">
        <f>IF(INDEX(Banco!$G:$G,ROW())="","",INDEX(Banco!$G:$G,ROW()))</f>
        <v/>
      </c>
      <c r="H991" s="8">
        <f>IF(INDEX(Banco!$H:$H,ROW())="","",INDEX(Banco!$H:$H,ROW()))</f>
        <v/>
      </c>
      <c r="I991">
        <f>IF($T991="","",INT($T991/12)&amp;"a "&amp;MOD($T991,12)&amp;"m")</f>
        <v/>
      </c>
      <c r="J991" s="11">
        <f>IF(OR($F991="",$G991=""),"",ROUND($F991/($G991/100)^2,2))</f>
        <v/>
      </c>
      <c r="K991" s="12">
        <f>IF(OR($S991="",$J991="",$T991="",$T991&lt;0,$T991&gt;228,$Y991=""),"—",ROUND(IF(ABS($AB991)&lt;=3,$AB991,IF($AB991&gt;3,3+($J991-$AD991)/($AD991-$AC991),-3+($J991-$AF991)/($AE991-$AF991))),2))</f>
        <v/>
      </c>
      <c r="L991">
        <f>IF(OR($K991="",$K991="—"),"",IF($T991&lt;=60,IF($K991&lt;-3,"Magreza acentuada",IF($K991&lt;-2,"Magreza",IF($K991&lt;=1,"Eutrofia",IF($K991&lt;=2,"Risco de sobrepeso",IF($K991&lt;=3,"Sobrepeso","Obesidade"))))),IF($K991&lt;-3,"Magreza acentuada",IF($K991&lt;-2,"Magreza",IF($K991&lt;=1,"Eutrofia",IF($K991&lt;=2,"Sobrepeso",IF($K991&lt;=3,"Obesidade","Obesidade grave")))))))</f>
        <v/>
      </c>
      <c r="M991" s="12">
        <f>IF(OR($S991="",$V991="",$T991="",$T991&lt;0,$T991&gt;228,$AG991=""),"—",ROUND(IF($AG991=0,LN($V991/$AH991)/$AI991,((($V991/$AH991)^$AG991)-1)/($AG991*$AI991)),2))</f>
        <v/>
      </c>
      <c r="N991">
        <f>IF(OR($M991="",$M991="—"),"",IF($M991&lt;-3,"Muito baixa",IF($M991&lt;-2,"Baixa","Adequada")))</f>
        <v/>
      </c>
      <c r="O991" s="12">
        <f>IF(OR($S991="",$F991="",$T991="",$T991&lt;0,$T991&gt;120,$AJ991=""),"—",ROUND(IF(ABS($AM991)&lt;=3,$AM991,IF($AM991&gt;3,3+($F991-$AO991)/($AO991-$AN991),-3+($F991-$AQ991)/($AP991-$AQ991))),2))</f>
        <v/>
      </c>
      <c r="P991">
        <f>IF(OR($O991="",$O991="—"),"",IF($O991&lt;-3,"Muito baixo",IF($O991&lt;-2,"Baixo",IF($O991&lt;=2,"Adequado","Elevado"))))</f>
        <v/>
      </c>
      <c r="Q991" s="12">
        <f>IF(OR($S991="",$F991="",$T991="",$T991&lt;0,$T991&gt;60,$AR991=""),"—",ROUND(IF(ABS($AU991)&lt;=3,$AU991,IF($AU991&gt;3,3+($F991-$AW991)/($AW991-$AV991),-3+($F991-$AY991)/($AX991-$AY991))),2))</f>
        <v/>
      </c>
      <c r="R991">
        <f>IF(OR($Q991="",$Q991="—"),"",IF($Q991&lt;-3,"Magreza acentuada",IF($Q991&lt;-2,"Magreza",IF($Q991&lt;=1,"Eutrofia",IF($Q991&lt;=2,"Risco de sobrepeso",IF($Q991&lt;=3,"Sobrepeso","Obesidade"))))))</f>
        <v/>
      </c>
      <c r="S991">
        <f>IF($C991="","",IF(UPPER(LEFT($C991,1))="M",1,IF(UPPER(LEFT($C991,1))="F",2,"")))</f>
        <v/>
      </c>
      <c r="T991">
        <f>IF(OR($D991="",$E991=""),"",DATEDIF($D991,$E991,"m"))</f>
        <v/>
      </c>
      <c r="U991">
        <f>IF(OR($D991="",$E991=""),"",$E991-$D991)</f>
        <v/>
      </c>
      <c r="V991">
        <f>IF(OR($G991="",$T991=""),"",IF($T991&lt;24,IF(LEFT(LOWER($H991),4)="em p",$G991+0.7,$G991),IF(LEFT(LOWER($H991),4)="deit",$G991-0.7,$G991)))</f>
        <v/>
      </c>
      <c r="W991">
        <f>IF(OR($S991="",$T991=""),"",$S991*1000000+IF($T991&lt;=60,$U991,$T991))</f>
        <v/>
      </c>
      <c r="X991">
        <f>IF(OR($S991="",$V991="",$T991&gt;60,$T991=""),"",$S991*1000000+ROUND($V991*10,0))</f>
        <v/>
      </c>
      <c r="Y991">
        <f>IF($W991="","",IFERROR(INDEX(IF($T991&lt;=60,imc05_l,imc519_l),MATCH($W991,IF($T991&lt;=60,imc05_k,imc519_k),1)),""))</f>
        <v/>
      </c>
      <c r="Z991">
        <f>IF($W991="","",IFERROR(INDEX(IF($T991&lt;=60,imc05_m,imc519_m),MATCH($W991,IF($T991&lt;=60,imc05_k,imc519_k),1)),""))</f>
        <v/>
      </c>
      <c r="AA991">
        <f>IF($W991="","",IFERROR(INDEX(IF($T991&lt;=60,imc05_s,imc519_s),MATCH($W991,IF($T991&lt;=60,imc05_k,imc519_k),1)),""))</f>
        <v/>
      </c>
      <c r="AB991">
        <f>IF($Y991="","",IF($Y991=0,LN($J991/$Z991)/$AA991,((($J991/$Z991)^$Y991)-1)/($Y991*$AA991)))</f>
        <v/>
      </c>
      <c r="AC991">
        <f>IF($Y991="","",IF($Y991=0,$Z991*EXP($AA991*2),$Z991*(1+$Y991*$AA991*2)^(1/$Y991)))</f>
        <v/>
      </c>
      <c r="AD991">
        <f>IF($Y991="","",IF($Y991=0,$Z991*EXP($AA991*3),$Z991*(1+$Y991*$AA991*3)^(1/$Y991)))</f>
        <v/>
      </c>
      <c r="AE991">
        <f>IF($Y991="","",IF($Y991=0,$Z991*EXP($AA991*-2),$Z991*(1+$Y991*$AA991*-2)^(1/$Y991)))</f>
        <v/>
      </c>
      <c r="AF991">
        <f>IF($Y991="","",IF($Y991=0,$Z991*EXP($AA991*-3),$Z991*(1+$Y991*$AA991*-3)^(1/$Y991)))</f>
        <v/>
      </c>
      <c r="AG991">
        <f>IF($W991="","",IFERROR(INDEX(IF($T991&lt;=60,est05_l,est519_l),MATCH($W991,IF($T991&lt;=60,est05_k,est519_k),1)),""))</f>
        <v/>
      </c>
      <c r="AH991">
        <f>IF($W991="","",IFERROR(INDEX(IF($T991&lt;=60,est05_m,est519_m),MATCH($W991,IF($T991&lt;=60,est05_k,est519_k),1)),""))</f>
        <v/>
      </c>
      <c r="AI991">
        <f>IF($W991="","",IFERROR(INDEX(IF($T991&lt;=60,est05_s,est519_s),MATCH($W991,IF($T991&lt;=60,est05_k,est519_k),1)),""))</f>
        <v/>
      </c>
      <c r="AJ991">
        <f>IF($W991="","",IFERROR(INDEX(IF($T991&lt;=60,peso05_l,peso510_l),MATCH($W991,IF($T991&lt;=60,peso05_k,peso510_k),1)),""))</f>
        <v/>
      </c>
      <c r="AK991">
        <f>IF($W991="","",IFERROR(INDEX(IF($T991&lt;=60,peso05_m,peso510_m),MATCH($W991,IF($T991&lt;=60,peso05_k,peso510_k),1)),""))</f>
        <v/>
      </c>
      <c r="AL991">
        <f>IF($W991="","",IFERROR(INDEX(IF($T991&lt;=60,peso05_s,peso510_s),MATCH($W991,IF($T991&lt;=60,peso05_k,peso510_k),1)),""))</f>
        <v/>
      </c>
      <c r="AM991">
        <f>IF($AJ991="","",IF($AJ991=0,LN($F991/$AK991)/$AL991,((($F991/$AK991)^$AJ991)-1)/($AJ991*$AL991)))</f>
        <v/>
      </c>
      <c r="AN991">
        <f>IF($AJ991="","",IF($AJ991=0,$AK991*EXP($AL991*2),$AK991*(1+$AJ991*$AL991*2)^(1/$AJ991)))</f>
        <v/>
      </c>
      <c r="AO991">
        <f>IF($AJ991="","",IF($AJ991=0,$AK991*EXP($AL991*3),$AK991*(1+$AJ991*$AL991*3)^(1/$AJ991)))</f>
        <v/>
      </c>
      <c r="AP991">
        <f>IF($AJ991="","",IF($AJ991=0,$AK991*EXP($AL991*-2),$AK991*(1+$AJ991*$AL991*-2)^(1/$AJ991)))</f>
        <v/>
      </c>
      <c r="AQ991">
        <f>IF($AJ991="","",IF($AJ991=0,$AK991*EXP($AL991*-3),$AK991*(1+$AJ991*$AL991*-3)^(1/$AJ991)))</f>
        <v/>
      </c>
      <c r="AR991">
        <f>IF(OR($X991="",$T991&gt;60),"",IFERROR(INDEX(IF($T991&lt;24,pcomp_l,palt_l),MATCH($X991,IF($T991&lt;24,pcomp_k,palt_k),1)),""))</f>
        <v/>
      </c>
      <c r="AS991">
        <f>IF(OR($X991="",$T991&gt;60),"",IFERROR(INDEX(IF($T991&lt;24,pcomp_m,palt_m),MATCH($X991,IF($T991&lt;24,pcomp_k,palt_k),1)),""))</f>
        <v/>
      </c>
      <c r="AT991">
        <f>IF(OR($X991="",$T991&gt;60),"",IFERROR(INDEX(IF($T991&lt;24,pcomp_s,palt_s),MATCH($X991,IF($T991&lt;24,pcomp_k,palt_k),1)),""))</f>
        <v/>
      </c>
      <c r="AU991">
        <f>IF($AR991="","",IF($AR991=0,LN($F991/$AS991)/$AT991,((($F991/$AS991)^$AR991)-1)/($AR991*$AT991)))</f>
        <v/>
      </c>
      <c r="AV991">
        <f>IF($AR991="","",IF($AR991=0,$AS991*EXP($AT991*2),$AS991*(1+$AR991*$AT991*2)^(1/$AR991)))</f>
        <v/>
      </c>
      <c r="AW991">
        <f>IF($AR991="","",IF($AR991=0,$AS991*EXP($AT991*3),$AS991*(1+$AR991*$AT991*3)^(1/$AR991)))</f>
        <v/>
      </c>
      <c r="AX991">
        <f>IF($AR991="","",IF($AR991=0,$AS991*EXP($AT991*-2),$AS991*(1+$AR991*$AT991*-2)^(1/$AR991)))</f>
        <v/>
      </c>
      <c r="AY991">
        <f>IF($AR991="","",IF($AR991=0,$AS991*EXP($AT991*-3),$AS991*(1+$AR991*$AT991*-3)^(1/$AR991)))</f>
        <v/>
      </c>
      <c r="AZ991">
        <f>IF(OR($A991="",$A991&lt;&gt;Ficha!$C$4),"",COUNTIF($A$2:$A991,Ficha!$C$4))</f>
        <v/>
      </c>
    </row>
    <row r="992">
      <c r="A992" s="8">
        <f>IF(INDEX(Banco!$A:$A,ROW())="","",INDEX(Banco!$A:$A,ROW()))</f>
        <v/>
      </c>
      <c r="B992" s="8">
        <f>IF(INDEX(Banco!$B:$B,ROW())="","",INDEX(Banco!$B:$B,ROW()))</f>
        <v/>
      </c>
      <c r="C992" s="8">
        <f>IF(INDEX(Banco!$C:$C,ROW())="","",INDEX(Banco!$C:$C,ROW()))</f>
        <v/>
      </c>
      <c r="D992" s="9">
        <f>IF(INDEX(Banco!$D:$D,ROW())="","",INDEX(Banco!$D:$D,ROW()))</f>
        <v/>
      </c>
      <c r="E992" s="9">
        <f>IF(INDEX(Banco!$E:$E,ROW())="","",INDEX(Banco!$E:$E,ROW()))</f>
        <v/>
      </c>
      <c r="F992" s="10">
        <f>IF(INDEX(Banco!$F:$F,ROW())="","",INDEX(Banco!$F:$F,ROW()))</f>
        <v/>
      </c>
      <c r="G992" s="10">
        <f>IF(INDEX(Banco!$G:$G,ROW())="","",INDEX(Banco!$G:$G,ROW()))</f>
        <v/>
      </c>
      <c r="H992" s="8">
        <f>IF(INDEX(Banco!$H:$H,ROW())="","",INDEX(Banco!$H:$H,ROW()))</f>
        <v/>
      </c>
      <c r="I992">
        <f>IF($T992="","",INT($T992/12)&amp;"a "&amp;MOD($T992,12)&amp;"m")</f>
        <v/>
      </c>
      <c r="J992" s="11">
        <f>IF(OR($F992="",$G992=""),"",ROUND($F992/($G992/100)^2,2))</f>
        <v/>
      </c>
      <c r="K992" s="12">
        <f>IF(OR($S992="",$J992="",$T992="",$T992&lt;0,$T992&gt;228,$Y992=""),"—",ROUND(IF(ABS($AB992)&lt;=3,$AB992,IF($AB992&gt;3,3+($J992-$AD992)/($AD992-$AC992),-3+($J992-$AF992)/($AE992-$AF992))),2))</f>
        <v/>
      </c>
      <c r="L992">
        <f>IF(OR($K992="",$K992="—"),"",IF($T992&lt;=60,IF($K992&lt;-3,"Magreza acentuada",IF($K992&lt;-2,"Magreza",IF($K992&lt;=1,"Eutrofia",IF($K992&lt;=2,"Risco de sobrepeso",IF($K992&lt;=3,"Sobrepeso","Obesidade"))))),IF($K992&lt;-3,"Magreza acentuada",IF($K992&lt;-2,"Magreza",IF($K992&lt;=1,"Eutrofia",IF($K992&lt;=2,"Sobrepeso",IF($K992&lt;=3,"Obesidade","Obesidade grave")))))))</f>
        <v/>
      </c>
      <c r="M992" s="12">
        <f>IF(OR($S992="",$V992="",$T992="",$T992&lt;0,$T992&gt;228,$AG992=""),"—",ROUND(IF($AG992=0,LN($V992/$AH992)/$AI992,((($V992/$AH992)^$AG992)-1)/($AG992*$AI992)),2))</f>
        <v/>
      </c>
      <c r="N992">
        <f>IF(OR($M992="",$M992="—"),"",IF($M992&lt;-3,"Muito baixa",IF($M992&lt;-2,"Baixa","Adequada")))</f>
        <v/>
      </c>
      <c r="O992" s="12">
        <f>IF(OR($S992="",$F992="",$T992="",$T992&lt;0,$T992&gt;120,$AJ992=""),"—",ROUND(IF(ABS($AM992)&lt;=3,$AM992,IF($AM992&gt;3,3+($F992-$AO992)/($AO992-$AN992),-3+($F992-$AQ992)/($AP992-$AQ992))),2))</f>
        <v/>
      </c>
      <c r="P992">
        <f>IF(OR($O992="",$O992="—"),"",IF($O992&lt;-3,"Muito baixo",IF($O992&lt;-2,"Baixo",IF($O992&lt;=2,"Adequado","Elevado"))))</f>
        <v/>
      </c>
      <c r="Q992" s="12">
        <f>IF(OR($S992="",$F992="",$T992="",$T992&lt;0,$T992&gt;60,$AR992=""),"—",ROUND(IF(ABS($AU992)&lt;=3,$AU992,IF($AU992&gt;3,3+($F992-$AW992)/($AW992-$AV992),-3+($F992-$AY992)/($AX992-$AY992))),2))</f>
        <v/>
      </c>
      <c r="R992">
        <f>IF(OR($Q992="",$Q992="—"),"",IF($Q992&lt;-3,"Magreza acentuada",IF($Q992&lt;-2,"Magreza",IF($Q992&lt;=1,"Eutrofia",IF($Q992&lt;=2,"Risco de sobrepeso",IF($Q992&lt;=3,"Sobrepeso","Obesidade"))))))</f>
        <v/>
      </c>
      <c r="S992">
        <f>IF($C992="","",IF(UPPER(LEFT($C992,1))="M",1,IF(UPPER(LEFT($C992,1))="F",2,"")))</f>
        <v/>
      </c>
      <c r="T992">
        <f>IF(OR($D992="",$E992=""),"",DATEDIF($D992,$E992,"m"))</f>
        <v/>
      </c>
      <c r="U992">
        <f>IF(OR($D992="",$E992=""),"",$E992-$D992)</f>
        <v/>
      </c>
      <c r="V992">
        <f>IF(OR($G992="",$T992=""),"",IF($T992&lt;24,IF(LEFT(LOWER($H992),4)="em p",$G992+0.7,$G992),IF(LEFT(LOWER($H992),4)="deit",$G992-0.7,$G992)))</f>
        <v/>
      </c>
      <c r="W992">
        <f>IF(OR($S992="",$T992=""),"",$S992*1000000+IF($T992&lt;=60,$U992,$T992))</f>
        <v/>
      </c>
      <c r="X992">
        <f>IF(OR($S992="",$V992="",$T992&gt;60,$T992=""),"",$S992*1000000+ROUND($V992*10,0))</f>
        <v/>
      </c>
      <c r="Y992">
        <f>IF($W992="","",IFERROR(INDEX(IF($T992&lt;=60,imc05_l,imc519_l),MATCH($W992,IF($T992&lt;=60,imc05_k,imc519_k),1)),""))</f>
        <v/>
      </c>
      <c r="Z992">
        <f>IF($W992="","",IFERROR(INDEX(IF($T992&lt;=60,imc05_m,imc519_m),MATCH($W992,IF($T992&lt;=60,imc05_k,imc519_k),1)),""))</f>
        <v/>
      </c>
      <c r="AA992">
        <f>IF($W992="","",IFERROR(INDEX(IF($T992&lt;=60,imc05_s,imc519_s),MATCH($W992,IF($T992&lt;=60,imc05_k,imc519_k),1)),""))</f>
        <v/>
      </c>
      <c r="AB992">
        <f>IF($Y992="","",IF($Y992=0,LN($J992/$Z992)/$AA992,((($J992/$Z992)^$Y992)-1)/($Y992*$AA992)))</f>
        <v/>
      </c>
      <c r="AC992">
        <f>IF($Y992="","",IF($Y992=0,$Z992*EXP($AA992*2),$Z992*(1+$Y992*$AA992*2)^(1/$Y992)))</f>
        <v/>
      </c>
      <c r="AD992">
        <f>IF($Y992="","",IF($Y992=0,$Z992*EXP($AA992*3),$Z992*(1+$Y992*$AA992*3)^(1/$Y992)))</f>
        <v/>
      </c>
      <c r="AE992">
        <f>IF($Y992="","",IF($Y992=0,$Z992*EXP($AA992*-2),$Z992*(1+$Y992*$AA992*-2)^(1/$Y992)))</f>
        <v/>
      </c>
      <c r="AF992">
        <f>IF($Y992="","",IF($Y992=0,$Z992*EXP($AA992*-3),$Z992*(1+$Y992*$AA992*-3)^(1/$Y992)))</f>
        <v/>
      </c>
      <c r="AG992">
        <f>IF($W992="","",IFERROR(INDEX(IF($T992&lt;=60,est05_l,est519_l),MATCH($W992,IF($T992&lt;=60,est05_k,est519_k),1)),""))</f>
        <v/>
      </c>
      <c r="AH992">
        <f>IF($W992="","",IFERROR(INDEX(IF($T992&lt;=60,est05_m,est519_m),MATCH($W992,IF($T992&lt;=60,est05_k,est519_k),1)),""))</f>
        <v/>
      </c>
      <c r="AI992">
        <f>IF($W992="","",IFERROR(INDEX(IF($T992&lt;=60,est05_s,est519_s),MATCH($W992,IF($T992&lt;=60,est05_k,est519_k),1)),""))</f>
        <v/>
      </c>
      <c r="AJ992">
        <f>IF($W992="","",IFERROR(INDEX(IF($T992&lt;=60,peso05_l,peso510_l),MATCH($W992,IF($T992&lt;=60,peso05_k,peso510_k),1)),""))</f>
        <v/>
      </c>
      <c r="AK992">
        <f>IF($W992="","",IFERROR(INDEX(IF($T992&lt;=60,peso05_m,peso510_m),MATCH($W992,IF($T992&lt;=60,peso05_k,peso510_k),1)),""))</f>
        <v/>
      </c>
      <c r="AL992">
        <f>IF($W992="","",IFERROR(INDEX(IF($T992&lt;=60,peso05_s,peso510_s),MATCH($W992,IF($T992&lt;=60,peso05_k,peso510_k),1)),""))</f>
        <v/>
      </c>
      <c r="AM992">
        <f>IF($AJ992="","",IF($AJ992=0,LN($F992/$AK992)/$AL992,((($F992/$AK992)^$AJ992)-1)/($AJ992*$AL992)))</f>
        <v/>
      </c>
      <c r="AN992">
        <f>IF($AJ992="","",IF($AJ992=0,$AK992*EXP($AL992*2),$AK992*(1+$AJ992*$AL992*2)^(1/$AJ992)))</f>
        <v/>
      </c>
      <c r="AO992">
        <f>IF($AJ992="","",IF($AJ992=0,$AK992*EXP($AL992*3),$AK992*(1+$AJ992*$AL992*3)^(1/$AJ992)))</f>
        <v/>
      </c>
      <c r="AP992">
        <f>IF($AJ992="","",IF($AJ992=0,$AK992*EXP($AL992*-2),$AK992*(1+$AJ992*$AL992*-2)^(1/$AJ992)))</f>
        <v/>
      </c>
      <c r="AQ992">
        <f>IF($AJ992="","",IF($AJ992=0,$AK992*EXP($AL992*-3),$AK992*(1+$AJ992*$AL992*-3)^(1/$AJ992)))</f>
        <v/>
      </c>
      <c r="AR992">
        <f>IF(OR($X992="",$T992&gt;60),"",IFERROR(INDEX(IF($T992&lt;24,pcomp_l,palt_l),MATCH($X992,IF($T992&lt;24,pcomp_k,palt_k),1)),""))</f>
        <v/>
      </c>
      <c r="AS992">
        <f>IF(OR($X992="",$T992&gt;60),"",IFERROR(INDEX(IF($T992&lt;24,pcomp_m,palt_m),MATCH($X992,IF($T992&lt;24,pcomp_k,palt_k),1)),""))</f>
        <v/>
      </c>
      <c r="AT992">
        <f>IF(OR($X992="",$T992&gt;60),"",IFERROR(INDEX(IF($T992&lt;24,pcomp_s,palt_s),MATCH($X992,IF($T992&lt;24,pcomp_k,palt_k),1)),""))</f>
        <v/>
      </c>
      <c r="AU992">
        <f>IF($AR992="","",IF($AR992=0,LN($F992/$AS992)/$AT992,((($F992/$AS992)^$AR992)-1)/($AR992*$AT992)))</f>
        <v/>
      </c>
      <c r="AV992">
        <f>IF($AR992="","",IF($AR992=0,$AS992*EXP($AT992*2),$AS992*(1+$AR992*$AT992*2)^(1/$AR992)))</f>
        <v/>
      </c>
      <c r="AW992">
        <f>IF($AR992="","",IF($AR992=0,$AS992*EXP($AT992*3),$AS992*(1+$AR992*$AT992*3)^(1/$AR992)))</f>
        <v/>
      </c>
      <c r="AX992">
        <f>IF($AR992="","",IF($AR992=0,$AS992*EXP($AT992*-2),$AS992*(1+$AR992*$AT992*-2)^(1/$AR992)))</f>
        <v/>
      </c>
      <c r="AY992">
        <f>IF($AR992="","",IF($AR992=0,$AS992*EXP($AT992*-3),$AS992*(1+$AR992*$AT992*-3)^(1/$AR992)))</f>
        <v/>
      </c>
      <c r="AZ992">
        <f>IF(OR($A992="",$A992&lt;&gt;Ficha!$C$4),"",COUNTIF($A$2:$A992,Ficha!$C$4))</f>
        <v/>
      </c>
    </row>
    <row r="993">
      <c r="A993" s="8">
        <f>IF(INDEX(Banco!$A:$A,ROW())="","",INDEX(Banco!$A:$A,ROW()))</f>
        <v/>
      </c>
      <c r="B993" s="8">
        <f>IF(INDEX(Banco!$B:$B,ROW())="","",INDEX(Banco!$B:$B,ROW()))</f>
        <v/>
      </c>
      <c r="C993" s="8">
        <f>IF(INDEX(Banco!$C:$C,ROW())="","",INDEX(Banco!$C:$C,ROW()))</f>
        <v/>
      </c>
      <c r="D993" s="9">
        <f>IF(INDEX(Banco!$D:$D,ROW())="","",INDEX(Banco!$D:$D,ROW()))</f>
        <v/>
      </c>
      <c r="E993" s="9">
        <f>IF(INDEX(Banco!$E:$E,ROW())="","",INDEX(Banco!$E:$E,ROW()))</f>
        <v/>
      </c>
      <c r="F993" s="10">
        <f>IF(INDEX(Banco!$F:$F,ROW())="","",INDEX(Banco!$F:$F,ROW()))</f>
        <v/>
      </c>
      <c r="G993" s="10">
        <f>IF(INDEX(Banco!$G:$G,ROW())="","",INDEX(Banco!$G:$G,ROW()))</f>
        <v/>
      </c>
      <c r="H993" s="8">
        <f>IF(INDEX(Banco!$H:$H,ROW())="","",INDEX(Banco!$H:$H,ROW()))</f>
        <v/>
      </c>
      <c r="I993">
        <f>IF($T993="","",INT($T993/12)&amp;"a "&amp;MOD($T993,12)&amp;"m")</f>
        <v/>
      </c>
      <c r="J993" s="11">
        <f>IF(OR($F993="",$G993=""),"",ROUND($F993/($G993/100)^2,2))</f>
        <v/>
      </c>
      <c r="K993" s="12">
        <f>IF(OR($S993="",$J993="",$T993="",$T993&lt;0,$T993&gt;228,$Y993=""),"—",ROUND(IF(ABS($AB993)&lt;=3,$AB993,IF($AB993&gt;3,3+($J993-$AD993)/($AD993-$AC993),-3+($J993-$AF993)/($AE993-$AF993))),2))</f>
        <v/>
      </c>
      <c r="L993">
        <f>IF(OR($K993="",$K993="—"),"",IF($T993&lt;=60,IF($K993&lt;-3,"Magreza acentuada",IF($K993&lt;-2,"Magreza",IF($K993&lt;=1,"Eutrofia",IF($K993&lt;=2,"Risco de sobrepeso",IF($K993&lt;=3,"Sobrepeso","Obesidade"))))),IF($K993&lt;-3,"Magreza acentuada",IF($K993&lt;-2,"Magreza",IF($K993&lt;=1,"Eutrofia",IF($K993&lt;=2,"Sobrepeso",IF($K993&lt;=3,"Obesidade","Obesidade grave")))))))</f>
        <v/>
      </c>
      <c r="M993" s="12">
        <f>IF(OR($S993="",$V993="",$T993="",$T993&lt;0,$T993&gt;228,$AG993=""),"—",ROUND(IF($AG993=0,LN($V993/$AH993)/$AI993,((($V993/$AH993)^$AG993)-1)/($AG993*$AI993)),2))</f>
        <v/>
      </c>
      <c r="N993">
        <f>IF(OR($M993="",$M993="—"),"",IF($M993&lt;-3,"Muito baixa",IF($M993&lt;-2,"Baixa","Adequada")))</f>
        <v/>
      </c>
      <c r="O993" s="12">
        <f>IF(OR($S993="",$F993="",$T993="",$T993&lt;0,$T993&gt;120,$AJ993=""),"—",ROUND(IF(ABS($AM993)&lt;=3,$AM993,IF($AM993&gt;3,3+($F993-$AO993)/($AO993-$AN993),-3+($F993-$AQ993)/($AP993-$AQ993))),2))</f>
        <v/>
      </c>
      <c r="P993">
        <f>IF(OR($O993="",$O993="—"),"",IF($O993&lt;-3,"Muito baixo",IF($O993&lt;-2,"Baixo",IF($O993&lt;=2,"Adequado","Elevado"))))</f>
        <v/>
      </c>
      <c r="Q993" s="12">
        <f>IF(OR($S993="",$F993="",$T993="",$T993&lt;0,$T993&gt;60,$AR993=""),"—",ROUND(IF(ABS($AU993)&lt;=3,$AU993,IF($AU993&gt;3,3+($F993-$AW993)/($AW993-$AV993),-3+($F993-$AY993)/($AX993-$AY993))),2))</f>
        <v/>
      </c>
      <c r="R993">
        <f>IF(OR($Q993="",$Q993="—"),"",IF($Q993&lt;-3,"Magreza acentuada",IF($Q993&lt;-2,"Magreza",IF($Q993&lt;=1,"Eutrofia",IF($Q993&lt;=2,"Risco de sobrepeso",IF($Q993&lt;=3,"Sobrepeso","Obesidade"))))))</f>
        <v/>
      </c>
      <c r="S993">
        <f>IF($C993="","",IF(UPPER(LEFT($C993,1))="M",1,IF(UPPER(LEFT($C993,1))="F",2,"")))</f>
        <v/>
      </c>
      <c r="T993">
        <f>IF(OR($D993="",$E993=""),"",DATEDIF($D993,$E993,"m"))</f>
        <v/>
      </c>
      <c r="U993">
        <f>IF(OR($D993="",$E993=""),"",$E993-$D993)</f>
        <v/>
      </c>
      <c r="V993">
        <f>IF(OR($G993="",$T993=""),"",IF($T993&lt;24,IF(LEFT(LOWER($H993),4)="em p",$G993+0.7,$G993),IF(LEFT(LOWER($H993),4)="deit",$G993-0.7,$G993)))</f>
        <v/>
      </c>
      <c r="W993">
        <f>IF(OR($S993="",$T993=""),"",$S993*1000000+IF($T993&lt;=60,$U993,$T993))</f>
        <v/>
      </c>
      <c r="X993">
        <f>IF(OR($S993="",$V993="",$T993&gt;60,$T993=""),"",$S993*1000000+ROUND($V993*10,0))</f>
        <v/>
      </c>
      <c r="Y993">
        <f>IF($W993="","",IFERROR(INDEX(IF($T993&lt;=60,imc05_l,imc519_l),MATCH($W993,IF($T993&lt;=60,imc05_k,imc519_k),1)),""))</f>
        <v/>
      </c>
      <c r="Z993">
        <f>IF($W993="","",IFERROR(INDEX(IF($T993&lt;=60,imc05_m,imc519_m),MATCH($W993,IF($T993&lt;=60,imc05_k,imc519_k),1)),""))</f>
        <v/>
      </c>
      <c r="AA993">
        <f>IF($W993="","",IFERROR(INDEX(IF($T993&lt;=60,imc05_s,imc519_s),MATCH($W993,IF($T993&lt;=60,imc05_k,imc519_k),1)),""))</f>
        <v/>
      </c>
      <c r="AB993">
        <f>IF($Y993="","",IF($Y993=0,LN($J993/$Z993)/$AA993,((($J993/$Z993)^$Y993)-1)/($Y993*$AA993)))</f>
        <v/>
      </c>
      <c r="AC993">
        <f>IF($Y993="","",IF($Y993=0,$Z993*EXP($AA993*2),$Z993*(1+$Y993*$AA993*2)^(1/$Y993)))</f>
        <v/>
      </c>
      <c r="AD993">
        <f>IF($Y993="","",IF($Y993=0,$Z993*EXP($AA993*3),$Z993*(1+$Y993*$AA993*3)^(1/$Y993)))</f>
        <v/>
      </c>
      <c r="AE993">
        <f>IF($Y993="","",IF($Y993=0,$Z993*EXP($AA993*-2),$Z993*(1+$Y993*$AA993*-2)^(1/$Y993)))</f>
        <v/>
      </c>
      <c r="AF993">
        <f>IF($Y993="","",IF($Y993=0,$Z993*EXP($AA993*-3),$Z993*(1+$Y993*$AA993*-3)^(1/$Y993)))</f>
        <v/>
      </c>
      <c r="AG993">
        <f>IF($W993="","",IFERROR(INDEX(IF($T993&lt;=60,est05_l,est519_l),MATCH($W993,IF($T993&lt;=60,est05_k,est519_k),1)),""))</f>
        <v/>
      </c>
      <c r="AH993">
        <f>IF($W993="","",IFERROR(INDEX(IF($T993&lt;=60,est05_m,est519_m),MATCH($W993,IF($T993&lt;=60,est05_k,est519_k),1)),""))</f>
        <v/>
      </c>
      <c r="AI993">
        <f>IF($W993="","",IFERROR(INDEX(IF($T993&lt;=60,est05_s,est519_s),MATCH($W993,IF($T993&lt;=60,est05_k,est519_k),1)),""))</f>
        <v/>
      </c>
      <c r="AJ993">
        <f>IF($W993="","",IFERROR(INDEX(IF($T993&lt;=60,peso05_l,peso510_l),MATCH($W993,IF($T993&lt;=60,peso05_k,peso510_k),1)),""))</f>
        <v/>
      </c>
      <c r="AK993">
        <f>IF($W993="","",IFERROR(INDEX(IF($T993&lt;=60,peso05_m,peso510_m),MATCH($W993,IF($T993&lt;=60,peso05_k,peso510_k),1)),""))</f>
        <v/>
      </c>
      <c r="AL993">
        <f>IF($W993="","",IFERROR(INDEX(IF($T993&lt;=60,peso05_s,peso510_s),MATCH($W993,IF($T993&lt;=60,peso05_k,peso510_k),1)),""))</f>
        <v/>
      </c>
      <c r="AM993">
        <f>IF($AJ993="","",IF($AJ993=0,LN($F993/$AK993)/$AL993,((($F993/$AK993)^$AJ993)-1)/($AJ993*$AL993)))</f>
        <v/>
      </c>
      <c r="AN993">
        <f>IF($AJ993="","",IF($AJ993=0,$AK993*EXP($AL993*2),$AK993*(1+$AJ993*$AL993*2)^(1/$AJ993)))</f>
        <v/>
      </c>
      <c r="AO993">
        <f>IF($AJ993="","",IF($AJ993=0,$AK993*EXP($AL993*3),$AK993*(1+$AJ993*$AL993*3)^(1/$AJ993)))</f>
        <v/>
      </c>
      <c r="AP993">
        <f>IF($AJ993="","",IF($AJ993=0,$AK993*EXP($AL993*-2),$AK993*(1+$AJ993*$AL993*-2)^(1/$AJ993)))</f>
        <v/>
      </c>
      <c r="AQ993">
        <f>IF($AJ993="","",IF($AJ993=0,$AK993*EXP($AL993*-3),$AK993*(1+$AJ993*$AL993*-3)^(1/$AJ993)))</f>
        <v/>
      </c>
      <c r="AR993">
        <f>IF(OR($X993="",$T993&gt;60),"",IFERROR(INDEX(IF($T993&lt;24,pcomp_l,palt_l),MATCH($X993,IF($T993&lt;24,pcomp_k,palt_k),1)),""))</f>
        <v/>
      </c>
      <c r="AS993">
        <f>IF(OR($X993="",$T993&gt;60),"",IFERROR(INDEX(IF($T993&lt;24,pcomp_m,palt_m),MATCH($X993,IF($T993&lt;24,pcomp_k,palt_k),1)),""))</f>
        <v/>
      </c>
      <c r="AT993">
        <f>IF(OR($X993="",$T993&gt;60),"",IFERROR(INDEX(IF($T993&lt;24,pcomp_s,palt_s),MATCH($X993,IF($T993&lt;24,pcomp_k,palt_k),1)),""))</f>
        <v/>
      </c>
      <c r="AU993">
        <f>IF($AR993="","",IF($AR993=0,LN($F993/$AS993)/$AT993,((($F993/$AS993)^$AR993)-1)/($AR993*$AT993)))</f>
        <v/>
      </c>
      <c r="AV993">
        <f>IF($AR993="","",IF($AR993=0,$AS993*EXP($AT993*2),$AS993*(1+$AR993*$AT993*2)^(1/$AR993)))</f>
        <v/>
      </c>
      <c r="AW993">
        <f>IF($AR993="","",IF($AR993=0,$AS993*EXP($AT993*3),$AS993*(1+$AR993*$AT993*3)^(1/$AR993)))</f>
        <v/>
      </c>
      <c r="AX993">
        <f>IF($AR993="","",IF($AR993=0,$AS993*EXP($AT993*-2),$AS993*(1+$AR993*$AT993*-2)^(1/$AR993)))</f>
        <v/>
      </c>
      <c r="AY993">
        <f>IF($AR993="","",IF($AR993=0,$AS993*EXP($AT993*-3),$AS993*(1+$AR993*$AT993*-3)^(1/$AR993)))</f>
        <v/>
      </c>
      <c r="AZ993">
        <f>IF(OR($A993="",$A993&lt;&gt;Ficha!$C$4),"",COUNTIF($A$2:$A993,Ficha!$C$4))</f>
        <v/>
      </c>
    </row>
    <row r="994">
      <c r="A994" s="8">
        <f>IF(INDEX(Banco!$A:$A,ROW())="","",INDEX(Banco!$A:$A,ROW()))</f>
        <v/>
      </c>
      <c r="B994" s="8">
        <f>IF(INDEX(Banco!$B:$B,ROW())="","",INDEX(Banco!$B:$B,ROW()))</f>
        <v/>
      </c>
      <c r="C994" s="8">
        <f>IF(INDEX(Banco!$C:$C,ROW())="","",INDEX(Banco!$C:$C,ROW()))</f>
        <v/>
      </c>
      <c r="D994" s="9">
        <f>IF(INDEX(Banco!$D:$D,ROW())="","",INDEX(Banco!$D:$D,ROW()))</f>
        <v/>
      </c>
      <c r="E994" s="9">
        <f>IF(INDEX(Banco!$E:$E,ROW())="","",INDEX(Banco!$E:$E,ROW()))</f>
        <v/>
      </c>
      <c r="F994" s="10">
        <f>IF(INDEX(Banco!$F:$F,ROW())="","",INDEX(Banco!$F:$F,ROW()))</f>
        <v/>
      </c>
      <c r="G994" s="10">
        <f>IF(INDEX(Banco!$G:$G,ROW())="","",INDEX(Banco!$G:$G,ROW()))</f>
        <v/>
      </c>
      <c r="H994" s="8">
        <f>IF(INDEX(Banco!$H:$H,ROW())="","",INDEX(Banco!$H:$H,ROW()))</f>
        <v/>
      </c>
      <c r="I994">
        <f>IF($T994="","",INT($T994/12)&amp;"a "&amp;MOD($T994,12)&amp;"m")</f>
        <v/>
      </c>
      <c r="J994" s="11">
        <f>IF(OR($F994="",$G994=""),"",ROUND($F994/($G994/100)^2,2))</f>
        <v/>
      </c>
      <c r="K994" s="12">
        <f>IF(OR($S994="",$J994="",$T994="",$T994&lt;0,$T994&gt;228,$Y994=""),"—",ROUND(IF(ABS($AB994)&lt;=3,$AB994,IF($AB994&gt;3,3+($J994-$AD994)/($AD994-$AC994),-3+($J994-$AF994)/($AE994-$AF994))),2))</f>
        <v/>
      </c>
      <c r="L994">
        <f>IF(OR($K994="",$K994="—"),"",IF($T994&lt;=60,IF($K994&lt;-3,"Magreza acentuada",IF($K994&lt;-2,"Magreza",IF($K994&lt;=1,"Eutrofia",IF($K994&lt;=2,"Risco de sobrepeso",IF($K994&lt;=3,"Sobrepeso","Obesidade"))))),IF($K994&lt;-3,"Magreza acentuada",IF($K994&lt;-2,"Magreza",IF($K994&lt;=1,"Eutrofia",IF($K994&lt;=2,"Sobrepeso",IF($K994&lt;=3,"Obesidade","Obesidade grave")))))))</f>
        <v/>
      </c>
      <c r="M994" s="12">
        <f>IF(OR($S994="",$V994="",$T994="",$T994&lt;0,$T994&gt;228,$AG994=""),"—",ROUND(IF($AG994=0,LN($V994/$AH994)/$AI994,((($V994/$AH994)^$AG994)-1)/($AG994*$AI994)),2))</f>
        <v/>
      </c>
      <c r="N994">
        <f>IF(OR($M994="",$M994="—"),"",IF($M994&lt;-3,"Muito baixa",IF($M994&lt;-2,"Baixa","Adequada")))</f>
        <v/>
      </c>
      <c r="O994" s="12">
        <f>IF(OR($S994="",$F994="",$T994="",$T994&lt;0,$T994&gt;120,$AJ994=""),"—",ROUND(IF(ABS($AM994)&lt;=3,$AM994,IF($AM994&gt;3,3+($F994-$AO994)/($AO994-$AN994),-3+($F994-$AQ994)/($AP994-$AQ994))),2))</f>
        <v/>
      </c>
      <c r="P994">
        <f>IF(OR($O994="",$O994="—"),"",IF($O994&lt;-3,"Muito baixo",IF($O994&lt;-2,"Baixo",IF($O994&lt;=2,"Adequado","Elevado"))))</f>
        <v/>
      </c>
      <c r="Q994" s="12">
        <f>IF(OR($S994="",$F994="",$T994="",$T994&lt;0,$T994&gt;60,$AR994=""),"—",ROUND(IF(ABS($AU994)&lt;=3,$AU994,IF($AU994&gt;3,3+($F994-$AW994)/($AW994-$AV994),-3+($F994-$AY994)/($AX994-$AY994))),2))</f>
        <v/>
      </c>
      <c r="R994">
        <f>IF(OR($Q994="",$Q994="—"),"",IF($Q994&lt;-3,"Magreza acentuada",IF($Q994&lt;-2,"Magreza",IF($Q994&lt;=1,"Eutrofia",IF($Q994&lt;=2,"Risco de sobrepeso",IF($Q994&lt;=3,"Sobrepeso","Obesidade"))))))</f>
        <v/>
      </c>
      <c r="S994">
        <f>IF($C994="","",IF(UPPER(LEFT($C994,1))="M",1,IF(UPPER(LEFT($C994,1))="F",2,"")))</f>
        <v/>
      </c>
      <c r="T994">
        <f>IF(OR($D994="",$E994=""),"",DATEDIF($D994,$E994,"m"))</f>
        <v/>
      </c>
      <c r="U994">
        <f>IF(OR($D994="",$E994=""),"",$E994-$D994)</f>
        <v/>
      </c>
      <c r="V994">
        <f>IF(OR($G994="",$T994=""),"",IF($T994&lt;24,IF(LEFT(LOWER($H994),4)="em p",$G994+0.7,$G994),IF(LEFT(LOWER($H994),4)="deit",$G994-0.7,$G994)))</f>
        <v/>
      </c>
      <c r="W994">
        <f>IF(OR($S994="",$T994=""),"",$S994*1000000+IF($T994&lt;=60,$U994,$T994))</f>
        <v/>
      </c>
      <c r="X994">
        <f>IF(OR($S994="",$V994="",$T994&gt;60,$T994=""),"",$S994*1000000+ROUND($V994*10,0))</f>
        <v/>
      </c>
      <c r="Y994">
        <f>IF($W994="","",IFERROR(INDEX(IF($T994&lt;=60,imc05_l,imc519_l),MATCH($W994,IF($T994&lt;=60,imc05_k,imc519_k),1)),""))</f>
        <v/>
      </c>
      <c r="Z994">
        <f>IF($W994="","",IFERROR(INDEX(IF($T994&lt;=60,imc05_m,imc519_m),MATCH($W994,IF($T994&lt;=60,imc05_k,imc519_k),1)),""))</f>
        <v/>
      </c>
      <c r="AA994">
        <f>IF($W994="","",IFERROR(INDEX(IF($T994&lt;=60,imc05_s,imc519_s),MATCH($W994,IF($T994&lt;=60,imc05_k,imc519_k),1)),""))</f>
        <v/>
      </c>
      <c r="AB994">
        <f>IF($Y994="","",IF($Y994=0,LN($J994/$Z994)/$AA994,((($J994/$Z994)^$Y994)-1)/($Y994*$AA994)))</f>
        <v/>
      </c>
      <c r="AC994">
        <f>IF($Y994="","",IF($Y994=0,$Z994*EXP($AA994*2),$Z994*(1+$Y994*$AA994*2)^(1/$Y994)))</f>
        <v/>
      </c>
      <c r="AD994">
        <f>IF($Y994="","",IF($Y994=0,$Z994*EXP($AA994*3),$Z994*(1+$Y994*$AA994*3)^(1/$Y994)))</f>
        <v/>
      </c>
      <c r="AE994">
        <f>IF($Y994="","",IF($Y994=0,$Z994*EXP($AA994*-2),$Z994*(1+$Y994*$AA994*-2)^(1/$Y994)))</f>
        <v/>
      </c>
      <c r="AF994">
        <f>IF($Y994="","",IF($Y994=0,$Z994*EXP($AA994*-3),$Z994*(1+$Y994*$AA994*-3)^(1/$Y994)))</f>
        <v/>
      </c>
      <c r="AG994">
        <f>IF($W994="","",IFERROR(INDEX(IF($T994&lt;=60,est05_l,est519_l),MATCH($W994,IF($T994&lt;=60,est05_k,est519_k),1)),""))</f>
        <v/>
      </c>
      <c r="AH994">
        <f>IF($W994="","",IFERROR(INDEX(IF($T994&lt;=60,est05_m,est519_m),MATCH($W994,IF($T994&lt;=60,est05_k,est519_k),1)),""))</f>
        <v/>
      </c>
      <c r="AI994">
        <f>IF($W994="","",IFERROR(INDEX(IF($T994&lt;=60,est05_s,est519_s),MATCH($W994,IF($T994&lt;=60,est05_k,est519_k),1)),""))</f>
        <v/>
      </c>
      <c r="AJ994">
        <f>IF($W994="","",IFERROR(INDEX(IF($T994&lt;=60,peso05_l,peso510_l),MATCH($W994,IF($T994&lt;=60,peso05_k,peso510_k),1)),""))</f>
        <v/>
      </c>
      <c r="AK994">
        <f>IF($W994="","",IFERROR(INDEX(IF($T994&lt;=60,peso05_m,peso510_m),MATCH($W994,IF($T994&lt;=60,peso05_k,peso510_k),1)),""))</f>
        <v/>
      </c>
      <c r="AL994">
        <f>IF($W994="","",IFERROR(INDEX(IF($T994&lt;=60,peso05_s,peso510_s),MATCH($W994,IF($T994&lt;=60,peso05_k,peso510_k),1)),""))</f>
        <v/>
      </c>
      <c r="AM994">
        <f>IF($AJ994="","",IF($AJ994=0,LN($F994/$AK994)/$AL994,((($F994/$AK994)^$AJ994)-1)/($AJ994*$AL994)))</f>
        <v/>
      </c>
      <c r="AN994">
        <f>IF($AJ994="","",IF($AJ994=0,$AK994*EXP($AL994*2),$AK994*(1+$AJ994*$AL994*2)^(1/$AJ994)))</f>
        <v/>
      </c>
      <c r="AO994">
        <f>IF($AJ994="","",IF($AJ994=0,$AK994*EXP($AL994*3),$AK994*(1+$AJ994*$AL994*3)^(1/$AJ994)))</f>
        <v/>
      </c>
      <c r="AP994">
        <f>IF($AJ994="","",IF($AJ994=0,$AK994*EXP($AL994*-2),$AK994*(1+$AJ994*$AL994*-2)^(1/$AJ994)))</f>
        <v/>
      </c>
      <c r="AQ994">
        <f>IF($AJ994="","",IF($AJ994=0,$AK994*EXP($AL994*-3),$AK994*(1+$AJ994*$AL994*-3)^(1/$AJ994)))</f>
        <v/>
      </c>
      <c r="AR994">
        <f>IF(OR($X994="",$T994&gt;60),"",IFERROR(INDEX(IF($T994&lt;24,pcomp_l,palt_l),MATCH($X994,IF($T994&lt;24,pcomp_k,palt_k),1)),""))</f>
        <v/>
      </c>
      <c r="AS994">
        <f>IF(OR($X994="",$T994&gt;60),"",IFERROR(INDEX(IF($T994&lt;24,pcomp_m,palt_m),MATCH($X994,IF($T994&lt;24,pcomp_k,palt_k),1)),""))</f>
        <v/>
      </c>
      <c r="AT994">
        <f>IF(OR($X994="",$T994&gt;60),"",IFERROR(INDEX(IF($T994&lt;24,pcomp_s,palt_s),MATCH($X994,IF($T994&lt;24,pcomp_k,palt_k),1)),""))</f>
        <v/>
      </c>
      <c r="AU994">
        <f>IF($AR994="","",IF($AR994=0,LN($F994/$AS994)/$AT994,((($F994/$AS994)^$AR994)-1)/($AR994*$AT994)))</f>
        <v/>
      </c>
      <c r="AV994">
        <f>IF($AR994="","",IF($AR994=0,$AS994*EXP($AT994*2),$AS994*(1+$AR994*$AT994*2)^(1/$AR994)))</f>
        <v/>
      </c>
      <c r="AW994">
        <f>IF($AR994="","",IF($AR994=0,$AS994*EXP($AT994*3),$AS994*(1+$AR994*$AT994*3)^(1/$AR994)))</f>
        <v/>
      </c>
      <c r="AX994">
        <f>IF($AR994="","",IF($AR994=0,$AS994*EXP($AT994*-2),$AS994*(1+$AR994*$AT994*-2)^(1/$AR994)))</f>
        <v/>
      </c>
      <c r="AY994">
        <f>IF($AR994="","",IF($AR994=0,$AS994*EXP($AT994*-3),$AS994*(1+$AR994*$AT994*-3)^(1/$AR994)))</f>
        <v/>
      </c>
      <c r="AZ994">
        <f>IF(OR($A994="",$A994&lt;&gt;Ficha!$C$4),"",COUNTIF($A$2:$A994,Ficha!$C$4))</f>
        <v/>
      </c>
    </row>
    <row r="995">
      <c r="A995" s="8">
        <f>IF(INDEX(Banco!$A:$A,ROW())="","",INDEX(Banco!$A:$A,ROW()))</f>
        <v/>
      </c>
      <c r="B995" s="8">
        <f>IF(INDEX(Banco!$B:$B,ROW())="","",INDEX(Banco!$B:$B,ROW()))</f>
        <v/>
      </c>
      <c r="C995" s="8">
        <f>IF(INDEX(Banco!$C:$C,ROW())="","",INDEX(Banco!$C:$C,ROW()))</f>
        <v/>
      </c>
      <c r="D995" s="9">
        <f>IF(INDEX(Banco!$D:$D,ROW())="","",INDEX(Banco!$D:$D,ROW()))</f>
        <v/>
      </c>
      <c r="E995" s="9">
        <f>IF(INDEX(Banco!$E:$E,ROW())="","",INDEX(Banco!$E:$E,ROW()))</f>
        <v/>
      </c>
      <c r="F995" s="10">
        <f>IF(INDEX(Banco!$F:$F,ROW())="","",INDEX(Banco!$F:$F,ROW()))</f>
        <v/>
      </c>
      <c r="G995" s="10">
        <f>IF(INDEX(Banco!$G:$G,ROW())="","",INDEX(Banco!$G:$G,ROW()))</f>
        <v/>
      </c>
      <c r="H995" s="8">
        <f>IF(INDEX(Banco!$H:$H,ROW())="","",INDEX(Banco!$H:$H,ROW()))</f>
        <v/>
      </c>
      <c r="I995">
        <f>IF($T995="","",INT($T995/12)&amp;"a "&amp;MOD($T995,12)&amp;"m")</f>
        <v/>
      </c>
      <c r="J995" s="11">
        <f>IF(OR($F995="",$G995=""),"",ROUND($F995/($G995/100)^2,2))</f>
        <v/>
      </c>
      <c r="K995" s="12">
        <f>IF(OR($S995="",$J995="",$T995="",$T995&lt;0,$T995&gt;228,$Y995=""),"—",ROUND(IF(ABS($AB995)&lt;=3,$AB995,IF($AB995&gt;3,3+($J995-$AD995)/($AD995-$AC995),-3+($J995-$AF995)/($AE995-$AF995))),2))</f>
        <v/>
      </c>
      <c r="L995">
        <f>IF(OR($K995="",$K995="—"),"",IF($T995&lt;=60,IF($K995&lt;-3,"Magreza acentuada",IF($K995&lt;-2,"Magreza",IF($K995&lt;=1,"Eutrofia",IF($K995&lt;=2,"Risco de sobrepeso",IF($K995&lt;=3,"Sobrepeso","Obesidade"))))),IF($K995&lt;-3,"Magreza acentuada",IF($K995&lt;-2,"Magreza",IF($K995&lt;=1,"Eutrofia",IF($K995&lt;=2,"Sobrepeso",IF($K995&lt;=3,"Obesidade","Obesidade grave")))))))</f>
        <v/>
      </c>
      <c r="M995" s="12">
        <f>IF(OR($S995="",$V995="",$T995="",$T995&lt;0,$T995&gt;228,$AG995=""),"—",ROUND(IF($AG995=0,LN($V995/$AH995)/$AI995,((($V995/$AH995)^$AG995)-1)/($AG995*$AI995)),2))</f>
        <v/>
      </c>
      <c r="N995">
        <f>IF(OR($M995="",$M995="—"),"",IF($M995&lt;-3,"Muito baixa",IF($M995&lt;-2,"Baixa","Adequada")))</f>
        <v/>
      </c>
      <c r="O995" s="12">
        <f>IF(OR($S995="",$F995="",$T995="",$T995&lt;0,$T995&gt;120,$AJ995=""),"—",ROUND(IF(ABS($AM995)&lt;=3,$AM995,IF($AM995&gt;3,3+($F995-$AO995)/($AO995-$AN995),-3+($F995-$AQ995)/($AP995-$AQ995))),2))</f>
        <v/>
      </c>
      <c r="P995">
        <f>IF(OR($O995="",$O995="—"),"",IF($O995&lt;-3,"Muito baixo",IF($O995&lt;-2,"Baixo",IF($O995&lt;=2,"Adequado","Elevado"))))</f>
        <v/>
      </c>
      <c r="Q995" s="12">
        <f>IF(OR($S995="",$F995="",$T995="",$T995&lt;0,$T995&gt;60,$AR995=""),"—",ROUND(IF(ABS($AU995)&lt;=3,$AU995,IF($AU995&gt;3,3+($F995-$AW995)/($AW995-$AV995),-3+($F995-$AY995)/($AX995-$AY995))),2))</f>
        <v/>
      </c>
      <c r="R995">
        <f>IF(OR($Q995="",$Q995="—"),"",IF($Q995&lt;-3,"Magreza acentuada",IF($Q995&lt;-2,"Magreza",IF($Q995&lt;=1,"Eutrofia",IF($Q995&lt;=2,"Risco de sobrepeso",IF($Q995&lt;=3,"Sobrepeso","Obesidade"))))))</f>
        <v/>
      </c>
      <c r="S995">
        <f>IF($C995="","",IF(UPPER(LEFT($C995,1))="M",1,IF(UPPER(LEFT($C995,1))="F",2,"")))</f>
        <v/>
      </c>
      <c r="T995">
        <f>IF(OR($D995="",$E995=""),"",DATEDIF($D995,$E995,"m"))</f>
        <v/>
      </c>
      <c r="U995">
        <f>IF(OR($D995="",$E995=""),"",$E995-$D995)</f>
        <v/>
      </c>
      <c r="V995">
        <f>IF(OR($G995="",$T995=""),"",IF($T995&lt;24,IF(LEFT(LOWER($H995),4)="em p",$G995+0.7,$G995),IF(LEFT(LOWER($H995),4)="deit",$G995-0.7,$G995)))</f>
        <v/>
      </c>
      <c r="W995">
        <f>IF(OR($S995="",$T995=""),"",$S995*1000000+IF($T995&lt;=60,$U995,$T995))</f>
        <v/>
      </c>
      <c r="X995">
        <f>IF(OR($S995="",$V995="",$T995&gt;60,$T995=""),"",$S995*1000000+ROUND($V995*10,0))</f>
        <v/>
      </c>
      <c r="Y995">
        <f>IF($W995="","",IFERROR(INDEX(IF($T995&lt;=60,imc05_l,imc519_l),MATCH($W995,IF($T995&lt;=60,imc05_k,imc519_k),1)),""))</f>
        <v/>
      </c>
      <c r="Z995">
        <f>IF($W995="","",IFERROR(INDEX(IF($T995&lt;=60,imc05_m,imc519_m),MATCH($W995,IF($T995&lt;=60,imc05_k,imc519_k),1)),""))</f>
        <v/>
      </c>
      <c r="AA995">
        <f>IF($W995="","",IFERROR(INDEX(IF($T995&lt;=60,imc05_s,imc519_s),MATCH($W995,IF($T995&lt;=60,imc05_k,imc519_k),1)),""))</f>
        <v/>
      </c>
      <c r="AB995">
        <f>IF($Y995="","",IF($Y995=0,LN($J995/$Z995)/$AA995,((($J995/$Z995)^$Y995)-1)/($Y995*$AA995)))</f>
        <v/>
      </c>
      <c r="AC995">
        <f>IF($Y995="","",IF($Y995=0,$Z995*EXP($AA995*2),$Z995*(1+$Y995*$AA995*2)^(1/$Y995)))</f>
        <v/>
      </c>
      <c r="AD995">
        <f>IF($Y995="","",IF($Y995=0,$Z995*EXP($AA995*3),$Z995*(1+$Y995*$AA995*3)^(1/$Y995)))</f>
        <v/>
      </c>
      <c r="AE995">
        <f>IF($Y995="","",IF($Y995=0,$Z995*EXP($AA995*-2),$Z995*(1+$Y995*$AA995*-2)^(1/$Y995)))</f>
        <v/>
      </c>
      <c r="AF995">
        <f>IF($Y995="","",IF($Y995=0,$Z995*EXP($AA995*-3),$Z995*(1+$Y995*$AA995*-3)^(1/$Y995)))</f>
        <v/>
      </c>
      <c r="AG995">
        <f>IF($W995="","",IFERROR(INDEX(IF($T995&lt;=60,est05_l,est519_l),MATCH($W995,IF($T995&lt;=60,est05_k,est519_k),1)),""))</f>
        <v/>
      </c>
      <c r="AH995">
        <f>IF($W995="","",IFERROR(INDEX(IF($T995&lt;=60,est05_m,est519_m),MATCH($W995,IF($T995&lt;=60,est05_k,est519_k),1)),""))</f>
        <v/>
      </c>
      <c r="AI995">
        <f>IF($W995="","",IFERROR(INDEX(IF($T995&lt;=60,est05_s,est519_s),MATCH($W995,IF($T995&lt;=60,est05_k,est519_k),1)),""))</f>
        <v/>
      </c>
      <c r="AJ995">
        <f>IF($W995="","",IFERROR(INDEX(IF($T995&lt;=60,peso05_l,peso510_l),MATCH($W995,IF($T995&lt;=60,peso05_k,peso510_k),1)),""))</f>
        <v/>
      </c>
      <c r="AK995">
        <f>IF($W995="","",IFERROR(INDEX(IF($T995&lt;=60,peso05_m,peso510_m),MATCH($W995,IF($T995&lt;=60,peso05_k,peso510_k),1)),""))</f>
        <v/>
      </c>
      <c r="AL995">
        <f>IF($W995="","",IFERROR(INDEX(IF($T995&lt;=60,peso05_s,peso510_s),MATCH($W995,IF($T995&lt;=60,peso05_k,peso510_k),1)),""))</f>
        <v/>
      </c>
      <c r="AM995">
        <f>IF($AJ995="","",IF($AJ995=0,LN($F995/$AK995)/$AL995,((($F995/$AK995)^$AJ995)-1)/($AJ995*$AL995)))</f>
        <v/>
      </c>
      <c r="AN995">
        <f>IF($AJ995="","",IF($AJ995=0,$AK995*EXP($AL995*2),$AK995*(1+$AJ995*$AL995*2)^(1/$AJ995)))</f>
        <v/>
      </c>
      <c r="AO995">
        <f>IF($AJ995="","",IF($AJ995=0,$AK995*EXP($AL995*3),$AK995*(1+$AJ995*$AL995*3)^(1/$AJ995)))</f>
        <v/>
      </c>
      <c r="AP995">
        <f>IF($AJ995="","",IF($AJ995=0,$AK995*EXP($AL995*-2),$AK995*(1+$AJ995*$AL995*-2)^(1/$AJ995)))</f>
        <v/>
      </c>
      <c r="AQ995">
        <f>IF($AJ995="","",IF($AJ995=0,$AK995*EXP($AL995*-3),$AK995*(1+$AJ995*$AL995*-3)^(1/$AJ995)))</f>
        <v/>
      </c>
      <c r="AR995">
        <f>IF(OR($X995="",$T995&gt;60),"",IFERROR(INDEX(IF($T995&lt;24,pcomp_l,palt_l),MATCH($X995,IF($T995&lt;24,pcomp_k,palt_k),1)),""))</f>
        <v/>
      </c>
      <c r="AS995">
        <f>IF(OR($X995="",$T995&gt;60),"",IFERROR(INDEX(IF($T995&lt;24,pcomp_m,palt_m),MATCH($X995,IF($T995&lt;24,pcomp_k,palt_k),1)),""))</f>
        <v/>
      </c>
      <c r="AT995">
        <f>IF(OR($X995="",$T995&gt;60),"",IFERROR(INDEX(IF($T995&lt;24,pcomp_s,palt_s),MATCH($X995,IF($T995&lt;24,pcomp_k,palt_k),1)),""))</f>
        <v/>
      </c>
      <c r="AU995">
        <f>IF($AR995="","",IF($AR995=0,LN($F995/$AS995)/$AT995,((($F995/$AS995)^$AR995)-1)/($AR995*$AT995)))</f>
        <v/>
      </c>
      <c r="AV995">
        <f>IF($AR995="","",IF($AR995=0,$AS995*EXP($AT995*2),$AS995*(1+$AR995*$AT995*2)^(1/$AR995)))</f>
        <v/>
      </c>
      <c r="AW995">
        <f>IF($AR995="","",IF($AR995=0,$AS995*EXP($AT995*3),$AS995*(1+$AR995*$AT995*3)^(1/$AR995)))</f>
        <v/>
      </c>
      <c r="AX995">
        <f>IF($AR995="","",IF($AR995=0,$AS995*EXP($AT995*-2),$AS995*(1+$AR995*$AT995*-2)^(1/$AR995)))</f>
        <v/>
      </c>
      <c r="AY995">
        <f>IF($AR995="","",IF($AR995=0,$AS995*EXP($AT995*-3),$AS995*(1+$AR995*$AT995*-3)^(1/$AR995)))</f>
        <v/>
      </c>
      <c r="AZ995">
        <f>IF(OR($A995="",$A995&lt;&gt;Ficha!$C$4),"",COUNTIF($A$2:$A995,Ficha!$C$4))</f>
        <v/>
      </c>
    </row>
    <row r="996">
      <c r="A996" s="8">
        <f>IF(INDEX(Banco!$A:$A,ROW())="","",INDEX(Banco!$A:$A,ROW()))</f>
        <v/>
      </c>
      <c r="B996" s="8">
        <f>IF(INDEX(Banco!$B:$B,ROW())="","",INDEX(Banco!$B:$B,ROW()))</f>
        <v/>
      </c>
      <c r="C996" s="8">
        <f>IF(INDEX(Banco!$C:$C,ROW())="","",INDEX(Banco!$C:$C,ROW()))</f>
        <v/>
      </c>
      <c r="D996" s="9">
        <f>IF(INDEX(Banco!$D:$D,ROW())="","",INDEX(Banco!$D:$D,ROW()))</f>
        <v/>
      </c>
      <c r="E996" s="9">
        <f>IF(INDEX(Banco!$E:$E,ROW())="","",INDEX(Banco!$E:$E,ROW()))</f>
        <v/>
      </c>
      <c r="F996" s="10">
        <f>IF(INDEX(Banco!$F:$F,ROW())="","",INDEX(Banco!$F:$F,ROW()))</f>
        <v/>
      </c>
      <c r="G996" s="10">
        <f>IF(INDEX(Banco!$G:$G,ROW())="","",INDEX(Banco!$G:$G,ROW()))</f>
        <v/>
      </c>
      <c r="H996" s="8">
        <f>IF(INDEX(Banco!$H:$H,ROW())="","",INDEX(Banco!$H:$H,ROW()))</f>
        <v/>
      </c>
      <c r="I996">
        <f>IF($T996="","",INT($T996/12)&amp;"a "&amp;MOD($T996,12)&amp;"m")</f>
        <v/>
      </c>
      <c r="J996" s="11">
        <f>IF(OR($F996="",$G996=""),"",ROUND($F996/($G996/100)^2,2))</f>
        <v/>
      </c>
      <c r="K996" s="12">
        <f>IF(OR($S996="",$J996="",$T996="",$T996&lt;0,$T996&gt;228,$Y996=""),"—",ROUND(IF(ABS($AB996)&lt;=3,$AB996,IF($AB996&gt;3,3+($J996-$AD996)/($AD996-$AC996),-3+($J996-$AF996)/($AE996-$AF996))),2))</f>
        <v/>
      </c>
      <c r="L996">
        <f>IF(OR($K996="",$K996="—"),"",IF($T996&lt;=60,IF($K996&lt;-3,"Magreza acentuada",IF($K996&lt;-2,"Magreza",IF($K996&lt;=1,"Eutrofia",IF($K996&lt;=2,"Risco de sobrepeso",IF($K996&lt;=3,"Sobrepeso","Obesidade"))))),IF($K996&lt;-3,"Magreza acentuada",IF($K996&lt;-2,"Magreza",IF($K996&lt;=1,"Eutrofia",IF($K996&lt;=2,"Sobrepeso",IF($K996&lt;=3,"Obesidade","Obesidade grave")))))))</f>
        <v/>
      </c>
      <c r="M996" s="12">
        <f>IF(OR($S996="",$V996="",$T996="",$T996&lt;0,$T996&gt;228,$AG996=""),"—",ROUND(IF($AG996=0,LN($V996/$AH996)/$AI996,((($V996/$AH996)^$AG996)-1)/($AG996*$AI996)),2))</f>
        <v/>
      </c>
      <c r="N996">
        <f>IF(OR($M996="",$M996="—"),"",IF($M996&lt;-3,"Muito baixa",IF($M996&lt;-2,"Baixa","Adequada")))</f>
        <v/>
      </c>
      <c r="O996" s="12">
        <f>IF(OR($S996="",$F996="",$T996="",$T996&lt;0,$T996&gt;120,$AJ996=""),"—",ROUND(IF(ABS($AM996)&lt;=3,$AM996,IF($AM996&gt;3,3+($F996-$AO996)/($AO996-$AN996),-3+($F996-$AQ996)/($AP996-$AQ996))),2))</f>
        <v/>
      </c>
      <c r="P996">
        <f>IF(OR($O996="",$O996="—"),"",IF($O996&lt;-3,"Muito baixo",IF($O996&lt;-2,"Baixo",IF($O996&lt;=2,"Adequado","Elevado"))))</f>
        <v/>
      </c>
      <c r="Q996" s="12">
        <f>IF(OR($S996="",$F996="",$T996="",$T996&lt;0,$T996&gt;60,$AR996=""),"—",ROUND(IF(ABS($AU996)&lt;=3,$AU996,IF($AU996&gt;3,3+($F996-$AW996)/($AW996-$AV996),-3+($F996-$AY996)/($AX996-$AY996))),2))</f>
        <v/>
      </c>
      <c r="R996">
        <f>IF(OR($Q996="",$Q996="—"),"",IF($Q996&lt;-3,"Magreza acentuada",IF($Q996&lt;-2,"Magreza",IF($Q996&lt;=1,"Eutrofia",IF($Q996&lt;=2,"Risco de sobrepeso",IF($Q996&lt;=3,"Sobrepeso","Obesidade"))))))</f>
        <v/>
      </c>
      <c r="S996">
        <f>IF($C996="","",IF(UPPER(LEFT($C996,1))="M",1,IF(UPPER(LEFT($C996,1))="F",2,"")))</f>
        <v/>
      </c>
      <c r="T996">
        <f>IF(OR($D996="",$E996=""),"",DATEDIF($D996,$E996,"m"))</f>
        <v/>
      </c>
      <c r="U996">
        <f>IF(OR($D996="",$E996=""),"",$E996-$D996)</f>
        <v/>
      </c>
      <c r="V996">
        <f>IF(OR($G996="",$T996=""),"",IF($T996&lt;24,IF(LEFT(LOWER($H996),4)="em p",$G996+0.7,$G996),IF(LEFT(LOWER($H996),4)="deit",$G996-0.7,$G996)))</f>
        <v/>
      </c>
      <c r="W996">
        <f>IF(OR($S996="",$T996=""),"",$S996*1000000+IF($T996&lt;=60,$U996,$T996))</f>
        <v/>
      </c>
      <c r="X996">
        <f>IF(OR($S996="",$V996="",$T996&gt;60,$T996=""),"",$S996*1000000+ROUND($V996*10,0))</f>
        <v/>
      </c>
      <c r="Y996">
        <f>IF($W996="","",IFERROR(INDEX(IF($T996&lt;=60,imc05_l,imc519_l),MATCH($W996,IF($T996&lt;=60,imc05_k,imc519_k),1)),""))</f>
        <v/>
      </c>
      <c r="Z996">
        <f>IF($W996="","",IFERROR(INDEX(IF($T996&lt;=60,imc05_m,imc519_m),MATCH($W996,IF($T996&lt;=60,imc05_k,imc519_k),1)),""))</f>
        <v/>
      </c>
      <c r="AA996">
        <f>IF($W996="","",IFERROR(INDEX(IF($T996&lt;=60,imc05_s,imc519_s),MATCH($W996,IF($T996&lt;=60,imc05_k,imc519_k),1)),""))</f>
        <v/>
      </c>
      <c r="AB996">
        <f>IF($Y996="","",IF($Y996=0,LN($J996/$Z996)/$AA996,((($J996/$Z996)^$Y996)-1)/($Y996*$AA996)))</f>
        <v/>
      </c>
      <c r="AC996">
        <f>IF($Y996="","",IF($Y996=0,$Z996*EXP($AA996*2),$Z996*(1+$Y996*$AA996*2)^(1/$Y996)))</f>
        <v/>
      </c>
      <c r="AD996">
        <f>IF($Y996="","",IF($Y996=0,$Z996*EXP($AA996*3),$Z996*(1+$Y996*$AA996*3)^(1/$Y996)))</f>
        <v/>
      </c>
      <c r="AE996">
        <f>IF($Y996="","",IF($Y996=0,$Z996*EXP($AA996*-2),$Z996*(1+$Y996*$AA996*-2)^(1/$Y996)))</f>
        <v/>
      </c>
      <c r="AF996">
        <f>IF($Y996="","",IF($Y996=0,$Z996*EXP($AA996*-3),$Z996*(1+$Y996*$AA996*-3)^(1/$Y996)))</f>
        <v/>
      </c>
      <c r="AG996">
        <f>IF($W996="","",IFERROR(INDEX(IF($T996&lt;=60,est05_l,est519_l),MATCH($W996,IF($T996&lt;=60,est05_k,est519_k),1)),""))</f>
        <v/>
      </c>
      <c r="AH996">
        <f>IF($W996="","",IFERROR(INDEX(IF($T996&lt;=60,est05_m,est519_m),MATCH($W996,IF($T996&lt;=60,est05_k,est519_k),1)),""))</f>
        <v/>
      </c>
      <c r="AI996">
        <f>IF($W996="","",IFERROR(INDEX(IF($T996&lt;=60,est05_s,est519_s),MATCH($W996,IF($T996&lt;=60,est05_k,est519_k),1)),""))</f>
        <v/>
      </c>
      <c r="AJ996">
        <f>IF($W996="","",IFERROR(INDEX(IF($T996&lt;=60,peso05_l,peso510_l),MATCH($W996,IF($T996&lt;=60,peso05_k,peso510_k),1)),""))</f>
        <v/>
      </c>
      <c r="AK996">
        <f>IF($W996="","",IFERROR(INDEX(IF($T996&lt;=60,peso05_m,peso510_m),MATCH($W996,IF($T996&lt;=60,peso05_k,peso510_k),1)),""))</f>
        <v/>
      </c>
      <c r="AL996">
        <f>IF($W996="","",IFERROR(INDEX(IF($T996&lt;=60,peso05_s,peso510_s),MATCH($W996,IF($T996&lt;=60,peso05_k,peso510_k),1)),""))</f>
        <v/>
      </c>
      <c r="AM996">
        <f>IF($AJ996="","",IF($AJ996=0,LN($F996/$AK996)/$AL996,((($F996/$AK996)^$AJ996)-1)/($AJ996*$AL996)))</f>
        <v/>
      </c>
      <c r="AN996">
        <f>IF($AJ996="","",IF($AJ996=0,$AK996*EXP($AL996*2),$AK996*(1+$AJ996*$AL996*2)^(1/$AJ996)))</f>
        <v/>
      </c>
      <c r="AO996">
        <f>IF($AJ996="","",IF($AJ996=0,$AK996*EXP($AL996*3),$AK996*(1+$AJ996*$AL996*3)^(1/$AJ996)))</f>
        <v/>
      </c>
      <c r="AP996">
        <f>IF($AJ996="","",IF($AJ996=0,$AK996*EXP($AL996*-2),$AK996*(1+$AJ996*$AL996*-2)^(1/$AJ996)))</f>
        <v/>
      </c>
      <c r="AQ996">
        <f>IF($AJ996="","",IF($AJ996=0,$AK996*EXP($AL996*-3),$AK996*(1+$AJ996*$AL996*-3)^(1/$AJ996)))</f>
        <v/>
      </c>
      <c r="AR996">
        <f>IF(OR($X996="",$T996&gt;60),"",IFERROR(INDEX(IF($T996&lt;24,pcomp_l,palt_l),MATCH($X996,IF($T996&lt;24,pcomp_k,palt_k),1)),""))</f>
        <v/>
      </c>
      <c r="AS996">
        <f>IF(OR($X996="",$T996&gt;60),"",IFERROR(INDEX(IF($T996&lt;24,pcomp_m,palt_m),MATCH($X996,IF($T996&lt;24,pcomp_k,palt_k),1)),""))</f>
        <v/>
      </c>
      <c r="AT996">
        <f>IF(OR($X996="",$T996&gt;60),"",IFERROR(INDEX(IF($T996&lt;24,pcomp_s,palt_s),MATCH($X996,IF($T996&lt;24,pcomp_k,palt_k),1)),""))</f>
        <v/>
      </c>
      <c r="AU996">
        <f>IF($AR996="","",IF($AR996=0,LN($F996/$AS996)/$AT996,((($F996/$AS996)^$AR996)-1)/($AR996*$AT996)))</f>
        <v/>
      </c>
      <c r="AV996">
        <f>IF($AR996="","",IF($AR996=0,$AS996*EXP($AT996*2),$AS996*(1+$AR996*$AT996*2)^(1/$AR996)))</f>
        <v/>
      </c>
      <c r="AW996">
        <f>IF($AR996="","",IF($AR996=0,$AS996*EXP($AT996*3),$AS996*(1+$AR996*$AT996*3)^(1/$AR996)))</f>
        <v/>
      </c>
      <c r="AX996">
        <f>IF($AR996="","",IF($AR996=0,$AS996*EXP($AT996*-2),$AS996*(1+$AR996*$AT996*-2)^(1/$AR996)))</f>
        <v/>
      </c>
      <c r="AY996">
        <f>IF($AR996="","",IF($AR996=0,$AS996*EXP($AT996*-3),$AS996*(1+$AR996*$AT996*-3)^(1/$AR996)))</f>
        <v/>
      </c>
      <c r="AZ996">
        <f>IF(OR($A996="",$A996&lt;&gt;Ficha!$C$4),"",COUNTIF($A$2:$A996,Ficha!$C$4))</f>
        <v/>
      </c>
    </row>
    <row r="997">
      <c r="A997" s="8">
        <f>IF(INDEX(Banco!$A:$A,ROW())="","",INDEX(Banco!$A:$A,ROW()))</f>
        <v/>
      </c>
      <c r="B997" s="8">
        <f>IF(INDEX(Banco!$B:$B,ROW())="","",INDEX(Banco!$B:$B,ROW()))</f>
        <v/>
      </c>
      <c r="C997" s="8">
        <f>IF(INDEX(Banco!$C:$C,ROW())="","",INDEX(Banco!$C:$C,ROW()))</f>
        <v/>
      </c>
      <c r="D997" s="9">
        <f>IF(INDEX(Banco!$D:$D,ROW())="","",INDEX(Banco!$D:$D,ROW()))</f>
        <v/>
      </c>
      <c r="E997" s="9">
        <f>IF(INDEX(Banco!$E:$E,ROW())="","",INDEX(Banco!$E:$E,ROW()))</f>
        <v/>
      </c>
      <c r="F997" s="10">
        <f>IF(INDEX(Banco!$F:$F,ROW())="","",INDEX(Banco!$F:$F,ROW()))</f>
        <v/>
      </c>
      <c r="G997" s="10">
        <f>IF(INDEX(Banco!$G:$G,ROW())="","",INDEX(Banco!$G:$G,ROW()))</f>
        <v/>
      </c>
      <c r="H997" s="8">
        <f>IF(INDEX(Banco!$H:$H,ROW())="","",INDEX(Banco!$H:$H,ROW()))</f>
        <v/>
      </c>
      <c r="I997">
        <f>IF($T997="","",INT($T997/12)&amp;"a "&amp;MOD($T997,12)&amp;"m")</f>
        <v/>
      </c>
      <c r="J997" s="11">
        <f>IF(OR($F997="",$G997=""),"",ROUND($F997/($G997/100)^2,2))</f>
        <v/>
      </c>
      <c r="K997" s="12">
        <f>IF(OR($S997="",$J997="",$T997="",$T997&lt;0,$T997&gt;228,$Y997=""),"—",ROUND(IF(ABS($AB997)&lt;=3,$AB997,IF($AB997&gt;3,3+($J997-$AD997)/($AD997-$AC997),-3+($J997-$AF997)/($AE997-$AF997))),2))</f>
        <v/>
      </c>
      <c r="L997">
        <f>IF(OR($K997="",$K997="—"),"",IF($T997&lt;=60,IF($K997&lt;-3,"Magreza acentuada",IF($K997&lt;-2,"Magreza",IF($K997&lt;=1,"Eutrofia",IF($K997&lt;=2,"Risco de sobrepeso",IF($K997&lt;=3,"Sobrepeso","Obesidade"))))),IF($K997&lt;-3,"Magreza acentuada",IF($K997&lt;-2,"Magreza",IF($K997&lt;=1,"Eutrofia",IF($K997&lt;=2,"Sobrepeso",IF($K997&lt;=3,"Obesidade","Obesidade grave")))))))</f>
        <v/>
      </c>
      <c r="M997" s="12">
        <f>IF(OR($S997="",$V997="",$T997="",$T997&lt;0,$T997&gt;228,$AG997=""),"—",ROUND(IF($AG997=0,LN($V997/$AH997)/$AI997,((($V997/$AH997)^$AG997)-1)/($AG997*$AI997)),2))</f>
        <v/>
      </c>
      <c r="N997">
        <f>IF(OR($M997="",$M997="—"),"",IF($M997&lt;-3,"Muito baixa",IF($M997&lt;-2,"Baixa","Adequada")))</f>
        <v/>
      </c>
      <c r="O997" s="12">
        <f>IF(OR($S997="",$F997="",$T997="",$T997&lt;0,$T997&gt;120,$AJ997=""),"—",ROUND(IF(ABS($AM997)&lt;=3,$AM997,IF($AM997&gt;3,3+($F997-$AO997)/($AO997-$AN997),-3+($F997-$AQ997)/($AP997-$AQ997))),2))</f>
        <v/>
      </c>
      <c r="P997">
        <f>IF(OR($O997="",$O997="—"),"",IF($O997&lt;-3,"Muito baixo",IF($O997&lt;-2,"Baixo",IF($O997&lt;=2,"Adequado","Elevado"))))</f>
        <v/>
      </c>
      <c r="Q997" s="12">
        <f>IF(OR($S997="",$F997="",$T997="",$T997&lt;0,$T997&gt;60,$AR997=""),"—",ROUND(IF(ABS($AU997)&lt;=3,$AU997,IF($AU997&gt;3,3+($F997-$AW997)/($AW997-$AV997),-3+($F997-$AY997)/($AX997-$AY997))),2))</f>
        <v/>
      </c>
      <c r="R997">
        <f>IF(OR($Q997="",$Q997="—"),"",IF($Q997&lt;-3,"Magreza acentuada",IF($Q997&lt;-2,"Magreza",IF($Q997&lt;=1,"Eutrofia",IF($Q997&lt;=2,"Risco de sobrepeso",IF($Q997&lt;=3,"Sobrepeso","Obesidade"))))))</f>
        <v/>
      </c>
      <c r="S997">
        <f>IF($C997="","",IF(UPPER(LEFT($C997,1))="M",1,IF(UPPER(LEFT($C997,1))="F",2,"")))</f>
        <v/>
      </c>
      <c r="T997">
        <f>IF(OR($D997="",$E997=""),"",DATEDIF($D997,$E997,"m"))</f>
        <v/>
      </c>
      <c r="U997">
        <f>IF(OR($D997="",$E997=""),"",$E997-$D997)</f>
        <v/>
      </c>
      <c r="V997">
        <f>IF(OR($G997="",$T997=""),"",IF($T997&lt;24,IF(LEFT(LOWER($H997),4)="em p",$G997+0.7,$G997),IF(LEFT(LOWER($H997),4)="deit",$G997-0.7,$G997)))</f>
        <v/>
      </c>
      <c r="W997">
        <f>IF(OR($S997="",$T997=""),"",$S997*1000000+IF($T997&lt;=60,$U997,$T997))</f>
        <v/>
      </c>
      <c r="X997">
        <f>IF(OR($S997="",$V997="",$T997&gt;60,$T997=""),"",$S997*1000000+ROUND($V997*10,0))</f>
        <v/>
      </c>
      <c r="Y997">
        <f>IF($W997="","",IFERROR(INDEX(IF($T997&lt;=60,imc05_l,imc519_l),MATCH($W997,IF($T997&lt;=60,imc05_k,imc519_k),1)),""))</f>
        <v/>
      </c>
      <c r="Z997">
        <f>IF($W997="","",IFERROR(INDEX(IF($T997&lt;=60,imc05_m,imc519_m),MATCH($W997,IF($T997&lt;=60,imc05_k,imc519_k),1)),""))</f>
        <v/>
      </c>
      <c r="AA997">
        <f>IF($W997="","",IFERROR(INDEX(IF($T997&lt;=60,imc05_s,imc519_s),MATCH($W997,IF($T997&lt;=60,imc05_k,imc519_k),1)),""))</f>
        <v/>
      </c>
      <c r="AB997">
        <f>IF($Y997="","",IF($Y997=0,LN($J997/$Z997)/$AA997,((($J997/$Z997)^$Y997)-1)/($Y997*$AA997)))</f>
        <v/>
      </c>
      <c r="AC997">
        <f>IF($Y997="","",IF($Y997=0,$Z997*EXP($AA997*2),$Z997*(1+$Y997*$AA997*2)^(1/$Y997)))</f>
        <v/>
      </c>
      <c r="AD997">
        <f>IF($Y997="","",IF($Y997=0,$Z997*EXP($AA997*3),$Z997*(1+$Y997*$AA997*3)^(1/$Y997)))</f>
        <v/>
      </c>
      <c r="AE997">
        <f>IF($Y997="","",IF($Y997=0,$Z997*EXP($AA997*-2),$Z997*(1+$Y997*$AA997*-2)^(1/$Y997)))</f>
        <v/>
      </c>
      <c r="AF997">
        <f>IF($Y997="","",IF($Y997=0,$Z997*EXP($AA997*-3),$Z997*(1+$Y997*$AA997*-3)^(1/$Y997)))</f>
        <v/>
      </c>
      <c r="AG997">
        <f>IF($W997="","",IFERROR(INDEX(IF($T997&lt;=60,est05_l,est519_l),MATCH($W997,IF($T997&lt;=60,est05_k,est519_k),1)),""))</f>
        <v/>
      </c>
      <c r="AH997">
        <f>IF($W997="","",IFERROR(INDEX(IF($T997&lt;=60,est05_m,est519_m),MATCH($W997,IF($T997&lt;=60,est05_k,est519_k),1)),""))</f>
        <v/>
      </c>
      <c r="AI997">
        <f>IF($W997="","",IFERROR(INDEX(IF($T997&lt;=60,est05_s,est519_s),MATCH($W997,IF($T997&lt;=60,est05_k,est519_k),1)),""))</f>
        <v/>
      </c>
      <c r="AJ997">
        <f>IF($W997="","",IFERROR(INDEX(IF($T997&lt;=60,peso05_l,peso510_l),MATCH($W997,IF($T997&lt;=60,peso05_k,peso510_k),1)),""))</f>
        <v/>
      </c>
      <c r="AK997">
        <f>IF($W997="","",IFERROR(INDEX(IF($T997&lt;=60,peso05_m,peso510_m),MATCH($W997,IF($T997&lt;=60,peso05_k,peso510_k),1)),""))</f>
        <v/>
      </c>
      <c r="AL997">
        <f>IF($W997="","",IFERROR(INDEX(IF($T997&lt;=60,peso05_s,peso510_s),MATCH($W997,IF($T997&lt;=60,peso05_k,peso510_k),1)),""))</f>
        <v/>
      </c>
      <c r="AM997">
        <f>IF($AJ997="","",IF($AJ997=0,LN($F997/$AK997)/$AL997,((($F997/$AK997)^$AJ997)-1)/($AJ997*$AL997)))</f>
        <v/>
      </c>
      <c r="AN997">
        <f>IF($AJ997="","",IF($AJ997=0,$AK997*EXP($AL997*2),$AK997*(1+$AJ997*$AL997*2)^(1/$AJ997)))</f>
        <v/>
      </c>
      <c r="AO997">
        <f>IF($AJ997="","",IF($AJ997=0,$AK997*EXP($AL997*3),$AK997*(1+$AJ997*$AL997*3)^(1/$AJ997)))</f>
        <v/>
      </c>
      <c r="AP997">
        <f>IF($AJ997="","",IF($AJ997=0,$AK997*EXP($AL997*-2),$AK997*(1+$AJ997*$AL997*-2)^(1/$AJ997)))</f>
        <v/>
      </c>
      <c r="AQ997">
        <f>IF($AJ997="","",IF($AJ997=0,$AK997*EXP($AL997*-3),$AK997*(1+$AJ997*$AL997*-3)^(1/$AJ997)))</f>
        <v/>
      </c>
      <c r="AR997">
        <f>IF(OR($X997="",$T997&gt;60),"",IFERROR(INDEX(IF($T997&lt;24,pcomp_l,palt_l),MATCH($X997,IF($T997&lt;24,pcomp_k,palt_k),1)),""))</f>
        <v/>
      </c>
      <c r="AS997">
        <f>IF(OR($X997="",$T997&gt;60),"",IFERROR(INDEX(IF($T997&lt;24,pcomp_m,palt_m),MATCH($X997,IF($T997&lt;24,pcomp_k,palt_k),1)),""))</f>
        <v/>
      </c>
      <c r="AT997">
        <f>IF(OR($X997="",$T997&gt;60),"",IFERROR(INDEX(IF($T997&lt;24,pcomp_s,palt_s),MATCH($X997,IF($T997&lt;24,pcomp_k,palt_k),1)),""))</f>
        <v/>
      </c>
      <c r="AU997">
        <f>IF($AR997="","",IF($AR997=0,LN($F997/$AS997)/$AT997,((($F997/$AS997)^$AR997)-1)/($AR997*$AT997)))</f>
        <v/>
      </c>
      <c r="AV997">
        <f>IF($AR997="","",IF($AR997=0,$AS997*EXP($AT997*2),$AS997*(1+$AR997*$AT997*2)^(1/$AR997)))</f>
        <v/>
      </c>
      <c r="AW997">
        <f>IF($AR997="","",IF($AR997=0,$AS997*EXP($AT997*3),$AS997*(1+$AR997*$AT997*3)^(1/$AR997)))</f>
        <v/>
      </c>
      <c r="AX997">
        <f>IF($AR997="","",IF($AR997=0,$AS997*EXP($AT997*-2),$AS997*(1+$AR997*$AT997*-2)^(1/$AR997)))</f>
        <v/>
      </c>
      <c r="AY997">
        <f>IF($AR997="","",IF($AR997=0,$AS997*EXP($AT997*-3),$AS997*(1+$AR997*$AT997*-3)^(1/$AR997)))</f>
        <v/>
      </c>
      <c r="AZ997">
        <f>IF(OR($A997="",$A997&lt;&gt;Ficha!$C$4),"",COUNTIF($A$2:$A997,Ficha!$C$4))</f>
        <v/>
      </c>
    </row>
    <row r="998">
      <c r="A998" s="8">
        <f>IF(INDEX(Banco!$A:$A,ROW())="","",INDEX(Banco!$A:$A,ROW()))</f>
        <v/>
      </c>
      <c r="B998" s="8">
        <f>IF(INDEX(Banco!$B:$B,ROW())="","",INDEX(Banco!$B:$B,ROW()))</f>
        <v/>
      </c>
      <c r="C998" s="8">
        <f>IF(INDEX(Banco!$C:$C,ROW())="","",INDEX(Banco!$C:$C,ROW()))</f>
        <v/>
      </c>
      <c r="D998" s="9">
        <f>IF(INDEX(Banco!$D:$D,ROW())="","",INDEX(Banco!$D:$D,ROW()))</f>
        <v/>
      </c>
      <c r="E998" s="9">
        <f>IF(INDEX(Banco!$E:$E,ROW())="","",INDEX(Banco!$E:$E,ROW()))</f>
        <v/>
      </c>
      <c r="F998" s="10">
        <f>IF(INDEX(Banco!$F:$F,ROW())="","",INDEX(Banco!$F:$F,ROW()))</f>
        <v/>
      </c>
      <c r="G998" s="10">
        <f>IF(INDEX(Banco!$G:$G,ROW())="","",INDEX(Banco!$G:$G,ROW()))</f>
        <v/>
      </c>
      <c r="H998" s="8">
        <f>IF(INDEX(Banco!$H:$H,ROW())="","",INDEX(Banco!$H:$H,ROW()))</f>
        <v/>
      </c>
      <c r="I998">
        <f>IF($T998="","",INT($T998/12)&amp;"a "&amp;MOD($T998,12)&amp;"m")</f>
        <v/>
      </c>
      <c r="J998" s="11">
        <f>IF(OR($F998="",$G998=""),"",ROUND($F998/($G998/100)^2,2))</f>
        <v/>
      </c>
      <c r="K998" s="12">
        <f>IF(OR($S998="",$J998="",$T998="",$T998&lt;0,$T998&gt;228,$Y998=""),"—",ROUND(IF(ABS($AB998)&lt;=3,$AB998,IF($AB998&gt;3,3+($J998-$AD998)/($AD998-$AC998),-3+($J998-$AF998)/($AE998-$AF998))),2))</f>
        <v/>
      </c>
      <c r="L998">
        <f>IF(OR($K998="",$K998="—"),"",IF($T998&lt;=60,IF($K998&lt;-3,"Magreza acentuada",IF($K998&lt;-2,"Magreza",IF($K998&lt;=1,"Eutrofia",IF($K998&lt;=2,"Risco de sobrepeso",IF($K998&lt;=3,"Sobrepeso","Obesidade"))))),IF($K998&lt;-3,"Magreza acentuada",IF($K998&lt;-2,"Magreza",IF($K998&lt;=1,"Eutrofia",IF($K998&lt;=2,"Sobrepeso",IF($K998&lt;=3,"Obesidade","Obesidade grave")))))))</f>
        <v/>
      </c>
      <c r="M998" s="12">
        <f>IF(OR($S998="",$V998="",$T998="",$T998&lt;0,$T998&gt;228,$AG998=""),"—",ROUND(IF($AG998=0,LN($V998/$AH998)/$AI998,((($V998/$AH998)^$AG998)-1)/($AG998*$AI998)),2))</f>
        <v/>
      </c>
      <c r="N998">
        <f>IF(OR($M998="",$M998="—"),"",IF($M998&lt;-3,"Muito baixa",IF($M998&lt;-2,"Baixa","Adequada")))</f>
        <v/>
      </c>
      <c r="O998" s="12">
        <f>IF(OR($S998="",$F998="",$T998="",$T998&lt;0,$T998&gt;120,$AJ998=""),"—",ROUND(IF(ABS($AM998)&lt;=3,$AM998,IF($AM998&gt;3,3+($F998-$AO998)/($AO998-$AN998),-3+($F998-$AQ998)/($AP998-$AQ998))),2))</f>
        <v/>
      </c>
      <c r="P998">
        <f>IF(OR($O998="",$O998="—"),"",IF($O998&lt;-3,"Muito baixo",IF($O998&lt;-2,"Baixo",IF($O998&lt;=2,"Adequado","Elevado"))))</f>
        <v/>
      </c>
      <c r="Q998" s="12">
        <f>IF(OR($S998="",$F998="",$T998="",$T998&lt;0,$T998&gt;60,$AR998=""),"—",ROUND(IF(ABS($AU998)&lt;=3,$AU998,IF($AU998&gt;3,3+($F998-$AW998)/($AW998-$AV998),-3+($F998-$AY998)/($AX998-$AY998))),2))</f>
        <v/>
      </c>
      <c r="R998">
        <f>IF(OR($Q998="",$Q998="—"),"",IF($Q998&lt;-3,"Magreza acentuada",IF($Q998&lt;-2,"Magreza",IF($Q998&lt;=1,"Eutrofia",IF($Q998&lt;=2,"Risco de sobrepeso",IF($Q998&lt;=3,"Sobrepeso","Obesidade"))))))</f>
        <v/>
      </c>
      <c r="S998">
        <f>IF($C998="","",IF(UPPER(LEFT($C998,1))="M",1,IF(UPPER(LEFT($C998,1))="F",2,"")))</f>
        <v/>
      </c>
      <c r="T998">
        <f>IF(OR($D998="",$E998=""),"",DATEDIF($D998,$E998,"m"))</f>
        <v/>
      </c>
      <c r="U998">
        <f>IF(OR($D998="",$E998=""),"",$E998-$D998)</f>
        <v/>
      </c>
      <c r="V998">
        <f>IF(OR($G998="",$T998=""),"",IF($T998&lt;24,IF(LEFT(LOWER($H998),4)="em p",$G998+0.7,$G998),IF(LEFT(LOWER($H998),4)="deit",$G998-0.7,$G998)))</f>
        <v/>
      </c>
      <c r="W998">
        <f>IF(OR($S998="",$T998=""),"",$S998*1000000+IF($T998&lt;=60,$U998,$T998))</f>
        <v/>
      </c>
      <c r="X998">
        <f>IF(OR($S998="",$V998="",$T998&gt;60,$T998=""),"",$S998*1000000+ROUND($V998*10,0))</f>
        <v/>
      </c>
      <c r="Y998">
        <f>IF($W998="","",IFERROR(INDEX(IF($T998&lt;=60,imc05_l,imc519_l),MATCH($W998,IF($T998&lt;=60,imc05_k,imc519_k),1)),""))</f>
        <v/>
      </c>
      <c r="Z998">
        <f>IF($W998="","",IFERROR(INDEX(IF($T998&lt;=60,imc05_m,imc519_m),MATCH($W998,IF($T998&lt;=60,imc05_k,imc519_k),1)),""))</f>
        <v/>
      </c>
      <c r="AA998">
        <f>IF($W998="","",IFERROR(INDEX(IF($T998&lt;=60,imc05_s,imc519_s),MATCH($W998,IF($T998&lt;=60,imc05_k,imc519_k),1)),""))</f>
        <v/>
      </c>
      <c r="AB998">
        <f>IF($Y998="","",IF($Y998=0,LN($J998/$Z998)/$AA998,((($J998/$Z998)^$Y998)-1)/($Y998*$AA998)))</f>
        <v/>
      </c>
      <c r="AC998">
        <f>IF($Y998="","",IF($Y998=0,$Z998*EXP($AA998*2),$Z998*(1+$Y998*$AA998*2)^(1/$Y998)))</f>
        <v/>
      </c>
      <c r="AD998">
        <f>IF($Y998="","",IF($Y998=0,$Z998*EXP($AA998*3),$Z998*(1+$Y998*$AA998*3)^(1/$Y998)))</f>
        <v/>
      </c>
      <c r="AE998">
        <f>IF($Y998="","",IF($Y998=0,$Z998*EXP($AA998*-2),$Z998*(1+$Y998*$AA998*-2)^(1/$Y998)))</f>
        <v/>
      </c>
      <c r="AF998">
        <f>IF($Y998="","",IF($Y998=0,$Z998*EXP($AA998*-3),$Z998*(1+$Y998*$AA998*-3)^(1/$Y998)))</f>
        <v/>
      </c>
      <c r="AG998">
        <f>IF($W998="","",IFERROR(INDEX(IF($T998&lt;=60,est05_l,est519_l),MATCH($W998,IF($T998&lt;=60,est05_k,est519_k),1)),""))</f>
        <v/>
      </c>
      <c r="AH998">
        <f>IF($W998="","",IFERROR(INDEX(IF($T998&lt;=60,est05_m,est519_m),MATCH($W998,IF($T998&lt;=60,est05_k,est519_k),1)),""))</f>
        <v/>
      </c>
      <c r="AI998">
        <f>IF($W998="","",IFERROR(INDEX(IF($T998&lt;=60,est05_s,est519_s),MATCH($W998,IF($T998&lt;=60,est05_k,est519_k),1)),""))</f>
        <v/>
      </c>
      <c r="AJ998">
        <f>IF($W998="","",IFERROR(INDEX(IF($T998&lt;=60,peso05_l,peso510_l),MATCH($W998,IF($T998&lt;=60,peso05_k,peso510_k),1)),""))</f>
        <v/>
      </c>
      <c r="AK998">
        <f>IF($W998="","",IFERROR(INDEX(IF($T998&lt;=60,peso05_m,peso510_m),MATCH($W998,IF($T998&lt;=60,peso05_k,peso510_k),1)),""))</f>
        <v/>
      </c>
      <c r="AL998">
        <f>IF($W998="","",IFERROR(INDEX(IF($T998&lt;=60,peso05_s,peso510_s),MATCH($W998,IF($T998&lt;=60,peso05_k,peso510_k),1)),""))</f>
        <v/>
      </c>
      <c r="AM998">
        <f>IF($AJ998="","",IF($AJ998=0,LN($F998/$AK998)/$AL998,((($F998/$AK998)^$AJ998)-1)/($AJ998*$AL998)))</f>
        <v/>
      </c>
      <c r="AN998">
        <f>IF($AJ998="","",IF($AJ998=0,$AK998*EXP($AL998*2),$AK998*(1+$AJ998*$AL998*2)^(1/$AJ998)))</f>
        <v/>
      </c>
      <c r="AO998">
        <f>IF($AJ998="","",IF($AJ998=0,$AK998*EXP($AL998*3),$AK998*(1+$AJ998*$AL998*3)^(1/$AJ998)))</f>
        <v/>
      </c>
      <c r="AP998">
        <f>IF($AJ998="","",IF($AJ998=0,$AK998*EXP($AL998*-2),$AK998*(1+$AJ998*$AL998*-2)^(1/$AJ998)))</f>
        <v/>
      </c>
      <c r="AQ998">
        <f>IF($AJ998="","",IF($AJ998=0,$AK998*EXP($AL998*-3),$AK998*(1+$AJ998*$AL998*-3)^(1/$AJ998)))</f>
        <v/>
      </c>
      <c r="AR998">
        <f>IF(OR($X998="",$T998&gt;60),"",IFERROR(INDEX(IF($T998&lt;24,pcomp_l,palt_l),MATCH($X998,IF($T998&lt;24,pcomp_k,palt_k),1)),""))</f>
        <v/>
      </c>
      <c r="AS998">
        <f>IF(OR($X998="",$T998&gt;60),"",IFERROR(INDEX(IF($T998&lt;24,pcomp_m,palt_m),MATCH($X998,IF($T998&lt;24,pcomp_k,palt_k),1)),""))</f>
        <v/>
      </c>
      <c r="AT998">
        <f>IF(OR($X998="",$T998&gt;60),"",IFERROR(INDEX(IF($T998&lt;24,pcomp_s,palt_s),MATCH($X998,IF($T998&lt;24,pcomp_k,palt_k),1)),""))</f>
        <v/>
      </c>
      <c r="AU998">
        <f>IF($AR998="","",IF($AR998=0,LN($F998/$AS998)/$AT998,((($F998/$AS998)^$AR998)-1)/($AR998*$AT998)))</f>
        <v/>
      </c>
      <c r="AV998">
        <f>IF($AR998="","",IF($AR998=0,$AS998*EXP($AT998*2),$AS998*(1+$AR998*$AT998*2)^(1/$AR998)))</f>
        <v/>
      </c>
      <c r="AW998">
        <f>IF($AR998="","",IF($AR998=0,$AS998*EXP($AT998*3),$AS998*(1+$AR998*$AT998*3)^(1/$AR998)))</f>
        <v/>
      </c>
      <c r="AX998">
        <f>IF($AR998="","",IF($AR998=0,$AS998*EXP($AT998*-2),$AS998*(1+$AR998*$AT998*-2)^(1/$AR998)))</f>
        <v/>
      </c>
      <c r="AY998">
        <f>IF($AR998="","",IF($AR998=0,$AS998*EXP($AT998*-3),$AS998*(1+$AR998*$AT998*-3)^(1/$AR998)))</f>
        <v/>
      </c>
      <c r="AZ998">
        <f>IF(OR($A998="",$A998&lt;&gt;Ficha!$C$4),"",COUNTIF($A$2:$A998,Ficha!$C$4))</f>
        <v/>
      </c>
    </row>
    <row r="999">
      <c r="A999" s="8">
        <f>IF(INDEX(Banco!$A:$A,ROW())="","",INDEX(Banco!$A:$A,ROW()))</f>
        <v/>
      </c>
      <c r="B999" s="8">
        <f>IF(INDEX(Banco!$B:$B,ROW())="","",INDEX(Banco!$B:$B,ROW()))</f>
        <v/>
      </c>
      <c r="C999" s="8">
        <f>IF(INDEX(Banco!$C:$C,ROW())="","",INDEX(Banco!$C:$C,ROW()))</f>
        <v/>
      </c>
      <c r="D999" s="9">
        <f>IF(INDEX(Banco!$D:$D,ROW())="","",INDEX(Banco!$D:$D,ROW()))</f>
        <v/>
      </c>
      <c r="E999" s="9">
        <f>IF(INDEX(Banco!$E:$E,ROW())="","",INDEX(Banco!$E:$E,ROW()))</f>
        <v/>
      </c>
      <c r="F999" s="10">
        <f>IF(INDEX(Banco!$F:$F,ROW())="","",INDEX(Banco!$F:$F,ROW()))</f>
        <v/>
      </c>
      <c r="G999" s="10">
        <f>IF(INDEX(Banco!$G:$G,ROW())="","",INDEX(Banco!$G:$G,ROW()))</f>
        <v/>
      </c>
      <c r="H999" s="8">
        <f>IF(INDEX(Banco!$H:$H,ROW())="","",INDEX(Banco!$H:$H,ROW()))</f>
        <v/>
      </c>
      <c r="I999">
        <f>IF($T999="","",INT($T999/12)&amp;"a "&amp;MOD($T999,12)&amp;"m")</f>
        <v/>
      </c>
      <c r="J999" s="11">
        <f>IF(OR($F999="",$G999=""),"",ROUND($F999/($G999/100)^2,2))</f>
        <v/>
      </c>
      <c r="K999" s="12">
        <f>IF(OR($S999="",$J999="",$T999="",$T999&lt;0,$T999&gt;228,$Y999=""),"—",ROUND(IF(ABS($AB999)&lt;=3,$AB999,IF($AB999&gt;3,3+($J999-$AD999)/($AD999-$AC999),-3+($J999-$AF999)/($AE999-$AF999))),2))</f>
        <v/>
      </c>
      <c r="L999">
        <f>IF(OR($K999="",$K999="—"),"",IF($T999&lt;=60,IF($K999&lt;-3,"Magreza acentuada",IF($K999&lt;-2,"Magreza",IF($K999&lt;=1,"Eutrofia",IF($K999&lt;=2,"Risco de sobrepeso",IF($K999&lt;=3,"Sobrepeso","Obesidade"))))),IF($K999&lt;-3,"Magreza acentuada",IF($K999&lt;-2,"Magreza",IF($K999&lt;=1,"Eutrofia",IF($K999&lt;=2,"Sobrepeso",IF($K999&lt;=3,"Obesidade","Obesidade grave")))))))</f>
        <v/>
      </c>
      <c r="M999" s="12">
        <f>IF(OR($S999="",$V999="",$T999="",$T999&lt;0,$T999&gt;228,$AG999=""),"—",ROUND(IF($AG999=0,LN($V999/$AH999)/$AI999,((($V999/$AH999)^$AG999)-1)/($AG999*$AI999)),2))</f>
        <v/>
      </c>
      <c r="N999">
        <f>IF(OR($M999="",$M999="—"),"",IF($M999&lt;-3,"Muito baixa",IF($M999&lt;-2,"Baixa","Adequada")))</f>
        <v/>
      </c>
      <c r="O999" s="12">
        <f>IF(OR($S999="",$F999="",$T999="",$T999&lt;0,$T999&gt;120,$AJ999=""),"—",ROUND(IF(ABS($AM999)&lt;=3,$AM999,IF($AM999&gt;3,3+($F999-$AO999)/($AO999-$AN999),-3+($F999-$AQ999)/($AP999-$AQ999))),2))</f>
        <v/>
      </c>
      <c r="P999">
        <f>IF(OR($O999="",$O999="—"),"",IF($O999&lt;-3,"Muito baixo",IF($O999&lt;-2,"Baixo",IF($O999&lt;=2,"Adequado","Elevado"))))</f>
        <v/>
      </c>
      <c r="Q999" s="12">
        <f>IF(OR($S999="",$F999="",$T999="",$T999&lt;0,$T999&gt;60,$AR999=""),"—",ROUND(IF(ABS($AU999)&lt;=3,$AU999,IF($AU999&gt;3,3+($F999-$AW999)/($AW999-$AV999),-3+($F999-$AY999)/($AX999-$AY999))),2))</f>
        <v/>
      </c>
      <c r="R999">
        <f>IF(OR($Q999="",$Q999="—"),"",IF($Q999&lt;-3,"Magreza acentuada",IF($Q999&lt;-2,"Magreza",IF($Q999&lt;=1,"Eutrofia",IF($Q999&lt;=2,"Risco de sobrepeso",IF($Q999&lt;=3,"Sobrepeso","Obesidade"))))))</f>
        <v/>
      </c>
      <c r="S999">
        <f>IF($C999="","",IF(UPPER(LEFT($C999,1))="M",1,IF(UPPER(LEFT($C999,1))="F",2,"")))</f>
        <v/>
      </c>
      <c r="T999">
        <f>IF(OR($D999="",$E999=""),"",DATEDIF($D999,$E999,"m"))</f>
        <v/>
      </c>
      <c r="U999">
        <f>IF(OR($D999="",$E999=""),"",$E999-$D999)</f>
        <v/>
      </c>
      <c r="V999">
        <f>IF(OR($G999="",$T999=""),"",IF($T999&lt;24,IF(LEFT(LOWER($H999),4)="em p",$G999+0.7,$G999),IF(LEFT(LOWER($H999),4)="deit",$G999-0.7,$G999)))</f>
        <v/>
      </c>
      <c r="W999">
        <f>IF(OR($S999="",$T999=""),"",$S999*1000000+IF($T999&lt;=60,$U999,$T999))</f>
        <v/>
      </c>
      <c r="X999">
        <f>IF(OR($S999="",$V999="",$T999&gt;60,$T999=""),"",$S999*1000000+ROUND($V999*10,0))</f>
        <v/>
      </c>
      <c r="Y999">
        <f>IF($W999="","",IFERROR(INDEX(IF($T999&lt;=60,imc05_l,imc519_l),MATCH($W999,IF($T999&lt;=60,imc05_k,imc519_k),1)),""))</f>
        <v/>
      </c>
      <c r="Z999">
        <f>IF($W999="","",IFERROR(INDEX(IF($T999&lt;=60,imc05_m,imc519_m),MATCH($W999,IF($T999&lt;=60,imc05_k,imc519_k),1)),""))</f>
        <v/>
      </c>
      <c r="AA999">
        <f>IF($W999="","",IFERROR(INDEX(IF($T999&lt;=60,imc05_s,imc519_s),MATCH($W999,IF($T999&lt;=60,imc05_k,imc519_k),1)),""))</f>
        <v/>
      </c>
      <c r="AB999">
        <f>IF($Y999="","",IF($Y999=0,LN($J999/$Z999)/$AA999,((($J999/$Z999)^$Y999)-1)/($Y999*$AA999)))</f>
        <v/>
      </c>
      <c r="AC999">
        <f>IF($Y999="","",IF($Y999=0,$Z999*EXP($AA999*2),$Z999*(1+$Y999*$AA999*2)^(1/$Y999)))</f>
        <v/>
      </c>
      <c r="AD999">
        <f>IF($Y999="","",IF($Y999=0,$Z999*EXP($AA999*3),$Z999*(1+$Y999*$AA999*3)^(1/$Y999)))</f>
        <v/>
      </c>
      <c r="AE999">
        <f>IF($Y999="","",IF($Y999=0,$Z999*EXP($AA999*-2),$Z999*(1+$Y999*$AA999*-2)^(1/$Y999)))</f>
        <v/>
      </c>
      <c r="AF999">
        <f>IF($Y999="","",IF($Y999=0,$Z999*EXP($AA999*-3),$Z999*(1+$Y999*$AA999*-3)^(1/$Y999)))</f>
        <v/>
      </c>
      <c r="AG999">
        <f>IF($W999="","",IFERROR(INDEX(IF($T999&lt;=60,est05_l,est519_l),MATCH($W999,IF($T999&lt;=60,est05_k,est519_k),1)),""))</f>
        <v/>
      </c>
      <c r="AH999">
        <f>IF($W999="","",IFERROR(INDEX(IF($T999&lt;=60,est05_m,est519_m),MATCH($W999,IF($T999&lt;=60,est05_k,est519_k),1)),""))</f>
        <v/>
      </c>
      <c r="AI999">
        <f>IF($W999="","",IFERROR(INDEX(IF($T999&lt;=60,est05_s,est519_s),MATCH($W999,IF($T999&lt;=60,est05_k,est519_k),1)),""))</f>
        <v/>
      </c>
      <c r="AJ999">
        <f>IF($W999="","",IFERROR(INDEX(IF($T999&lt;=60,peso05_l,peso510_l),MATCH($W999,IF($T999&lt;=60,peso05_k,peso510_k),1)),""))</f>
        <v/>
      </c>
      <c r="AK999">
        <f>IF($W999="","",IFERROR(INDEX(IF($T999&lt;=60,peso05_m,peso510_m),MATCH($W999,IF($T999&lt;=60,peso05_k,peso510_k),1)),""))</f>
        <v/>
      </c>
      <c r="AL999">
        <f>IF($W999="","",IFERROR(INDEX(IF($T999&lt;=60,peso05_s,peso510_s),MATCH($W999,IF($T999&lt;=60,peso05_k,peso510_k),1)),""))</f>
        <v/>
      </c>
      <c r="AM999">
        <f>IF($AJ999="","",IF($AJ999=0,LN($F999/$AK999)/$AL999,((($F999/$AK999)^$AJ999)-1)/($AJ999*$AL999)))</f>
        <v/>
      </c>
      <c r="AN999">
        <f>IF($AJ999="","",IF($AJ999=0,$AK999*EXP($AL999*2),$AK999*(1+$AJ999*$AL999*2)^(1/$AJ999)))</f>
        <v/>
      </c>
      <c r="AO999">
        <f>IF($AJ999="","",IF($AJ999=0,$AK999*EXP($AL999*3),$AK999*(1+$AJ999*$AL999*3)^(1/$AJ999)))</f>
        <v/>
      </c>
      <c r="AP999">
        <f>IF($AJ999="","",IF($AJ999=0,$AK999*EXP($AL999*-2),$AK999*(1+$AJ999*$AL999*-2)^(1/$AJ999)))</f>
        <v/>
      </c>
      <c r="AQ999">
        <f>IF($AJ999="","",IF($AJ999=0,$AK999*EXP($AL999*-3),$AK999*(1+$AJ999*$AL999*-3)^(1/$AJ999)))</f>
        <v/>
      </c>
      <c r="AR999">
        <f>IF(OR($X999="",$T999&gt;60),"",IFERROR(INDEX(IF($T999&lt;24,pcomp_l,palt_l),MATCH($X999,IF($T999&lt;24,pcomp_k,palt_k),1)),""))</f>
        <v/>
      </c>
      <c r="AS999">
        <f>IF(OR($X999="",$T999&gt;60),"",IFERROR(INDEX(IF($T999&lt;24,pcomp_m,palt_m),MATCH($X999,IF($T999&lt;24,pcomp_k,palt_k),1)),""))</f>
        <v/>
      </c>
      <c r="AT999">
        <f>IF(OR($X999="",$T999&gt;60),"",IFERROR(INDEX(IF($T999&lt;24,pcomp_s,palt_s),MATCH($X999,IF($T999&lt;24,pcomp_k,palt_k),1)),""))</f>
        <v/>
      </c>
      <c r="AU999">
        <f>IF($AR999="","",IF($AR999=0,LN($F999/$AS999)/$AT999,((($F999/$AS999)^$AR999)-1)/($AR999*$AT999)))</f>
        <v/>
      </c>
      <c r="AV999">
        <f>IF($AR999="","",IF($AR999=0,$AS999*EXP($AT999*2),$AS999*(1+$AR999*$AT999*2)^(1/$AR999)))</f>
        <v/>
      </c>
      <c r="AW999">
        <f>IF($AR999="","",IF($AR999=0,$AS999*EXP($AT999*3),$AS999*(1+$AR999*$AT999*3)^(1/$AR999)))</f>
        <v/>
      </c>
      <c r="AX999">
        <f>IF($AR999="","",IF($AR999=0,$AS999*EXP($AT999*-2),$AS999*(1+$AR999*$AT999*-2)^(1/$AR999)))</f>
        <v/>
      </c>
      <c r="AY999">
        <f>IF($AR999="","",IF($AR999=0,$AS999*EXP($AT999*-3),$AS999*(1+$AR999*$AT999*-3)^(1/$AR999)))</f>
        <v/>
      </c>
      <c r="AZ999">
        <f>IF(OR($A999="",$A999&lt;&gt;Ficha!$C$4),"",COUNTIF($A$2:$A999,Ficha!$C$4))</f>
        <v/>
      </c>
    </row>
    <row r="1000">
      <c r="A1000" s="8">
        <f>IF(INDEX(Banco!$A:$A,ROW())="","",INDEX(Banco!$A:$A,ROW()))</f>
        <v/>
      </c>
      <c r="B1000" s="8">
        <f>IF(INDEX(Banco!$B:$B,ROW())="","",INDEX(Banco!$B:$B,ROW()))</f>
        <v/>
      </c>
      <c r="C1000" s="8">
        <f>IF(INDEX(Banco!$C:$C,ROW())="","",INDEX(Banco!$C:$C,ROW()))</f>
        <v/>
      </c>
      <c r="D1000" s="9">
        <f>IF(INDEX(Banco!$D:$D,ROW())="","",INDEX(Banco!$D:$D,ROW()))</f>
        <v/>
      </c>
      <c r="E1000" s="9">
        <f>IF(INDEX(Banco!$E:$E,ROW())="","",INDEX(Banco!$E:$E,ROW()))</f>
        <v/>
      </c>
      <c r="F1000" s="10">
        <f>IF(INDEX(Banco!$F:$F,ROW())="","",INDEX(Banco!$F:$F,ROW()))</f>
        <v/>
      </c>
      <c r="G1000" s="10">
        <f>IF(INDEX(Banco!$G:$G,ROW())="","",INDEX(Banco!$G:$G,ROW()))</f>
        <v/>
      </c>
      <c r="H1000" s="8">
        <f>IF(INDEX(Banco!$H:$H,ROW())="","",INDEX(Banco!$H:$H,ROW()))</f>
        <v/>
      </c>
      <c r="I1000">
        <f>IF($T1000="","",INT($T1000/12)&amp;"a "&amp;MOD($T1000,12)&amp;"m")</f>
        <v/>
      </c>
      <c r="J1000" s="11">
        <f>IF(OR($F1000="",$G1000=""),"",ROUND($F1000/($G1000/100)^2,2))</f>
        <v/>
      </c>
      <c r="K1000" s="12">
        <f>IF(OR($S1000="",$J1000="",$T1000="",$T1000&lt;0,$T1000&gt;228,$Y1000=""),"—",ROUND(IF(ABS($AB1000)&lt;=3,$AB1000,IF($AB1000&gt;3,3+($J1000-$AD1000)/($AD1000-$AC1000),-3+($J1000-$AF1000)/($AE1000-$AF1000))),2))</f>
        <v/>
      </c>
      <c r="L1000">
        <f>IF(OR($K1000="",$K1000="—"),"",IF($T1000&lt;=60,IF($K1000&lt;-3,"Magreza acentuada",IF($K1000&lt;-2,"Magreza",IF($K1000&lt;=1,"Eutrofia",IF($K1000&lt;=2,"Risco de sobrepeso",IF($K1000&lt;=3,"Sobrepeso","Obesidade"))))),IF($K1000&lt;-3,"Magreza acentuada",IF($K1000&lt;-2,"Magreza",IF($K1000&lt;=1,"Eutrofia",IF($K1000&lt;=2,"Sobrepeso",IF($K1000&lt;=3,"Obesidade","Obesidade grave")))))))</f>
        <v/>
      </c>
      <c r="M1000" s="12">
        <f>IF(OR($S1000="",$V1000="",$T1000="",$T1000&lt;0,$T1000&gt;228,$AG1000=""),"—",ROUND(IF($AG1000=0,LN($V1000/$AH1000)/$AI1000,((($V1000/$AH1000)^$AG1000)-1)/($AG1000*$AI1000)),2))</f>
        <v/>
      </c>
      <c r="N1000">
        <f>IF(OR($M1000="",$M1000="—"),"",IF($M1000&lt;-3,"Muito baixa",IF($M1000&lt;-2,"Baixa","Adequada")))</f>
        <v/>
      </c>
      <c r="O1000" s="12">
        <f>IF(OR($S1000="",$F1000="",$T1000="",$T1000&lt;0,$T1000&gt;120,$AJ1000=""),"—",ROUND(IF(ABS($AM1000)&lt;=3,$AM1000,IF($AM1000&gt;3,3+($F1000-$AO1000)/($AO1000-$AN1000),-3+($F1000-$AQ1000)/($AP1000-$AQ1000))),2))</f>
        <v/>
      </c>
      <c r="P1000">
        <f>IF(OR($O1000="",$O1000="—"),"",IF($O1000&lt;-3,"Muito baixo",IF($O1000&lt;-2,"Baixo",IF($O1000&lt;=2,"Adequado","Elevado"))))</f>
        <v/>
      </c>
      <c r="Q1000" s="12">
        <f>IF(OR($S1000="",$F1000="",$T1000="",$T1000&lt;0,$T1000&gt;60,$AR1000=""),"—",ROUND(IF(ABS($AU1000)&lt;=3,$AU1000,IF($AU1000&gt;3,3+($F1000-$AW1000)/($AW1000-$AV1000),-3+($F1000-$AY1000)/($AX1000-$AY1000))),2))</f>
        <v/>
      </c>
      <c r="R1000">
        <f>IF(OR($Q1000="",$Q1000="—"),"",IF($Q1000&lt;-3,"Magreza acentuada",IF($Q1000&lt;-2,"Magreza",IF($Q1000&lt;=1,"Eutrofia",IF($Q1000&lt;=2,"Risco de sobrepeso",IF($Q1000&lt;=3,"Sobrepeso","Obesidade"))))))</f>
        <v/>
      </c>
      <c r="S1000">
        <f>IF($C1000="","",IF(UPPER(LEFT($C1000,1))="M",1,IF(UPPER(LEFT($C1000,1))="F",2,"")))</f>
        <v/>
      </c>
      <c r="T1000">
        <f>IF(OR($D1000="",$E1000=""),"",DATEDIF($D1000,$E1000,"m"))</f>
        <v/>
      </c>
      <c r="U1000">
        <f>IF(OR($D1000="",$E1000=""),"",$E1000-$D1000)</f>
        <v/>
      </c>
      <c r="V1000">
        <f>IF(OR($G1000="",$T1000=""),"",IF($T1000&lt;24,IF(LEFT(LOWER($H1000),4)="em p",$G1000+0.7,$G1000),IF(LEFT(LOWER($H1000),4)="deit",$G1000-0.7,$G1000)))</f>
        <v/>
      </c>
      <c r="W1000">
        <f>IF(OR($S1000="",$T1000=""),"",$S1000*1000000+IF($T1000&lt;=60,$U1000,$T1000))</f>
        <v/>
      </c>
      <c r="X1000">
        <f>IF(OR($S1000="",$V1000="",$T1000&gt;60,$T1000=""),"",$S1000*1000000+ROUND($V1000*10,0))</f>
        <v/>
      </c>
      <c r="Y1000">
        <f>IF($W1000="","",IFERROR(INDEX(IF($T1000&lt;=60,imc05_l,imc519_l),MATCH($W1000,IF($T1000&lt;=60,imc05_k,imc519_k),1)),""))</f>
        <v/>
      </c>
      <c r="Z1000">
        <f>IF($W1000="","",IFERROR(INDEX(IF($T1000&lt;=60,imc05_m,imc519_m),MATCH($W1000,IF($T1000&lt;=60,imc05_k,imc519_k),1)),""))</f>
        <v/>
      </c>
      <c r="AA1000">
        <f>IF($W1000="","",IFERROR(INDEX(IF($T1000&lt;=60,imc05_s,imc519_s),MATCH($W1000,IF($T1000&lt;=60,imc05_k,imc519_k),1)),""))</f>
        <v/>
      </c>
      <c r="AB1000">
        <f>IF($Y1000="","",IF($Y1000=0,LN($J1000/$Z1000)/$AA1000,((($J1000/$Z1000)^$Y1000)-1)/($Y1000*$AA1000)))</f>
        <v/>
      </c>
      <c r="AC1000">
        <f>IF($Y1000="","",IF($Y1000=0,$Z1000*EXP($AA1000*2),$Z1000*(1+$Y1000*$AA1000*2)^(1/$Y1000)))</f>
        <v/>
      </c>
      <c r="AD1000">
        <f>IF($Y1000="","",IF($Y1000=0,$Z1000*EXP($AA1000*3),$Z1000*(1+$Y1000*$AA1000*3)^(1/$Y1000)))</f>
        <v/>
      </c>
      <c r="AE1000">
        <f>IF($Y1000="","",IF($Y1000=0,$Z1000*EXP($AA1000*-2),$Z1000*(1+$Y1000*$AA1000*-2)^(1/$Y1000)))</f>
        <v/>
      </c>
      <c r="AF1000">
        <f>IF($Y1000="","",IF($Y1000=0,$Z1000*EXP($AA1000*-3),$Z1000*(1+$Y1000*$AA1000*-3)^(1/$Y1000)))</f>
        <v/>
      </c>
      <c r="AG1000">
        <f>IF($W1000="","",IFERROR(INDEX(IF($T1000&lt;=60,est05_l,est519_l),MATCH($W1000,IF($T1000&lt;=60,est05_k,est519_k),1)),""))</f>
        <v/>
      </c>
      <c r="AH1000">
        <f>IF($W1000="","",IFERROR(INDEX(IF($T1000&lt;=60,est05_m,est519_m),MATCH($W1000,IF($T1000&lt;=60,est05_k,est519_k),1)),""))</f>
        <v/>
      </c>
      <c r="AI1000">
        <f>IF($W1000="","",IFERROR(INDEX(IF($T1000&lt;=60,est05_s,est519_s),MATCH($W1000,IF($T1000&lt;=60,est05_k,est519_k),1)),""))</f>
        <v/>
      </c>
      <c r="AJ1000">
        <f>IF($W1000="","",IFERROR(INDEX(IF($T1000&lt;=60,peso05_l,peso510_l),MATCH($W1000,IF($T1000&lt;=60,peso05_k,peso510_k),1)),""))</f>
        <v/>
      </c>
      <c r="AK1000">
        <f>IF($W1000="","",IFERROR(INDEX(IF($T1000&lt;=60,peso05_m,peso510_m),MATCH($W1000,IF($T1000&lt;=60,peso05_k,peso510_k),1)),""))</f>
        <v/>
      </c>
      <c r="AL1000">
        <f>IF($W1000="","",IFERROR(INDEX(IF($T1000&lt;=60,peso05_s,peso510_s),MATCH($W1000,IF($T1000&lt;=60,peso05_k,peso510_k),1)),""))</f>
        <v/>
      </c>
      <c r="AM1000">
        <f>IF($AJ1000="","",IF($AJ1000=0,LN($F1000/$AK1000)/$AL1000,((($F1000/$AK1000)^$AJ1000)-1)/($AJ1000*$AL1000)))</f>
        <v/>
      </c>
      <c r="AN1000">
        <f>IF($AJ1000="","",IF($AJ1000=0,$AK1000*EXP($AL1000*2),$AK1000*(1+$AJ1000*$AL1000*2)^(1/$AJ1000)))</f>
        <v/>
      </c>
      <c r="AO1000">
        <f>IF($AJ1000="","",IF($AJ1000=0,$AK1000*EXP($AL1000*3),$AK1000*(1+$AJ1000*$AL1000*3)^(1/$AJ1000)))</f>
        <v/>
      </c>
      <c r="AP1000">
        <f>IF($AJ1000="","",IF($AJ1000=0,$AK1000*EXP($AL1000*-2),$AK1000*(1+$AJ1000*$AL1000*-2)^(1/$AJ1000)))</f>
        <v/>
      </c>
      <c r="AQ1000">
        <f>IF($AJ1000="","",IF($AJ1000=0,$AK1000*EXP($AL1000*-3),$AK1000*(1+$AJ1000*$AL1000*-3)^(1/$AJ1000)))</f>
        <v/>
      </c>
      <c r="AR1000">
        <f>IF(OR($X1000="",$T1000&gt;60),"",IFERROR(INDEX(IF($T1000&lt;24,pcomp_l,palt_l),MATCH($X1000,IF($T1000&lt;24,pcomp_k,palt_k),1)),""))</f>
        <v/>
      </c>
      <c r="AS1000">
        <f>IF(OR($X1000="",$T1000&gt;60),"",IFERROR(INDEX(IF($T1000&lt;24,pcomp_m,palt_m),MATCH($X1000,IF($T1000&lt;24,pcomp_k,palt_k),1)),""))</f>
        <v/>
      </c>
      <c r="AT1000">
        <f>IF(OR($X1000="",$T1000&gt;60),"",IFERROR(INDEX(IF($T1000&lt;24,pcomp_s,palt_s),MATCH($X1000,IF($T1000&lt;24,pcomp_k,palt_k),1)),""))</f>
        <v/>
      </c>
      <c r="AU1000">
        <f>IF($AR1000="","",IF($AR1000=0,LN($F1000/$AS1000)/$AT1000,((($F1000/$AS1000)^$AR1000)-1)/($AR1000*$AT1000)))</f>
        <v/>
      </c>
      <c r="AV1000">
        <f>IF($AR1000="","",IF($AR1000=0,$AS1000*EXP($AT1000*2),$AS1000*(1+$AR1000*$AT1000*2)^(1/$AR1000)))</f>
        <v/>
      </c>
      <c r="AW1000">
        <f>IF($AR1000="","",IF($AR1000=0,$AS1000*EXP($AT1000*3),$AS1000*(1+$AR1000*$AT1000*3)^(1/$AR1000)))</f>
        <v/>
      </c>
      <c r="AX1000">
        <f>IF($AR1000="","",IF($AR1000=0,$AS1000*EXP($AT1000*-2),$AS1000*(1+$AR1000*$AT1000*-2)^(1/$AR1000)))</f>
        <v/>
      </c>
      <c r="AY1000">
        <f>IF($AR1000="","",IF($AR1000=0,$AS1000*EXP($AT1000*-3),$AS1000*(1+$AR1000*$AT1000*-3)^(1/$AR1000)))</f>
        <v/>
      </c>
      <c r="AZ1000">
        <f>IF(OR($A1000="",$A1000&lt;&gt;Ficha!$C$4),"",COUNTIF($A$2:$A1000,Ficha!$C$4))</f>
        <v/>
      </c>
    </row>
    <row r="1001">
      <c r="A1001" s="8">
        <f>IF(INDEX(Banco!$A:$A,ROW())="","",INDEX(Banco!$A:$A,ROW()))</f>
        <v/>
      </c>
      <c r="B1001" s="8">
        <f>IF(INDEX(Banco!$B:$B,ROW())="","",INDEX(Banco!$B:$B,ROW()))</f>
        <v/>
      </c>
      <c r="C1001" s="8">
        <f>IF(INDEX(Banco!$C:$C,ROW())="","",INDEX(Banco!$C:$C,ROW()))</f>
        <v/>
      </c>
      <c r="D1001" s="9">
        <f>IF(INDEX(Banco!$D:$D,ROW())="","",INDEX(Banco!$D:$D,ROW()))</f>
        <v/>
      </c>
      <c r="E1001" s="9">
        <f>IF(INDEX(Banco!$E:$E,ROW())="","",INDEX(Banco!$E:$E,ROW()))</f>
        <v/>
      </c>
      <c r="F1001" s="10">
        <f>IF(INDEX(Banco!$F:$F,ROW())="","",INDEX(Banco!$F:$F,ROW()))</f>
        <v/>
      </c>
      <c r="G1001" s="10">
        <f>IF(INDEX(Banco!$G:$G,ROW())="","",INDEX(Banco!$G:$G,ROW()))</f>
        <v/>
      </c>
      <c r="H1001" s="8">
        <f>IF(INDEX(Banco!$H:$H,ROW())="","",INDEX(Banco!$H:$H,ROW()))</f>
        <v/>
      </c>
      <c r="I1001">
        <f>IF($T1001="","",INT($T1001/12)&amp;"a "&amp;MOD($T1001,12)&amp;"m")</f>
        <v/>
      </c>
      <c r="J1001" s="11">
        <f>IF(OR($F1001="",$G1001=""),"",ROUND($F1001/($G1001/100)^2,2))</f>
        <v/>
      </c>
      <c r="K1001" s="12">
        <f>IF(OR($S1001="",$J1001="",$T1001="",$T1001&lt;0,$T1001&gt;228,$Y1001=""),"—",ROUND(IF(ABS($AB1001)&lt;=3,$AB1001,IF($AB1001&gt;3,3+($J1001-$AD1001)/($AD1001-$AC1001),-3+($J1001-$AF1001)/($AE1001-$AF1001))),2))</f>
        <v/>
      </c>
      <c r="L1001">
        <f>IF(OR($K1001="",$K1001="—"),"",IF($T1001&lt;=60,IF($K1001&lt;-3,"Magreza acentuada",IF($K1001&lt;-2,"Magreza",IF($K1001&lt;=1,"Eutrofia",IF($K1001&lt;=2,"Risco de sobrepeso",IF($K1001&lt;=3,"Sobrepeso","Obesidade"))))),IF($K1001&lt;-3,"Magreza acentuada",IF($K1001&lt;-2,"Magreza",IF($K1001&lt;=1,"Eutrofia",IF($K1001&lt;=2,"Sobrepeso",IF($K1001&lt;=3,"Obesidade","Obesidade grave")))))))</f>
        <v/>
      </c>
      <c r="M1001" s="12">
        <f>IF(OR($S1001="",$V1001="",$T1001="",$T1001&lt;0,$T1001&gt;228,$AG1001=""),"—",ROUND(IF($AG1001=0,LN($V1001/$AH1001)/$AI1001,((($V1001/$AH1001)^$AG1001)-1)/($AG1001*$AI1001)),2))</f>
        <v/>
      </c>
      <c r="N1001">
        <f>IF(OR($M1001="",$M1001="—"),"",IF($M1001&lt;-3,"Muito baixa",IF($M1001&lt;-2,"Baixa","Adequada")))</f>
        <v/>
      </c>
      <c r="O1001" s="12">
        <f>IF(OR($S1001="",$F1001="",$T1001="",$T1001&lt;0,$T1001&gt;120,$AJ1001=""),"—",ROUND(IF(ABS($AM1001)&lt;=3,$AM1001,IF($AM1001&gt;3,3+($F1001-$AO1001)/($AO1001-$AN1001),-3+($F1001-$AQ1001)/($AP1001-$AQ1001))),2))</f>
        <v/>
      </c>
      <c r="P1001">
        <f>IF(OR($O1001="",$O1001="—"),"",IF($O1001&lt;-3,"Muito baixo",IF($O1001&lt;-2,"Baixo",IF($O1001&lt;=2,"Adequado","Elevado"))))</f>
        <v/>
      </c>
      <c r="Q1001" s="12">
        <f>IF(OR($S1001="",$F1001="",$T1001="",$T1001&lt;0,$T1001&gt;60,$AR1001=""),"—",ROUND(IF(ABS($AU1001)&lt;=3,$AU1001,IF($AU1001&gt;3,3+($F1001-$AW1001)/($AW1001-$AV1001),-3+($F1001-$AY1001)/($AX1001-$AY1001))),2))</f>
        <v/>
      </c>
      <c r="R1001">
        <f>IF(OR($Q1001="",$Q1001="—"),"",IF($Q1001&lt;-3,"Magreza acentuada",IF($Q1001&lt;-2,"Magreza",IF($Q1001&lt;=1,"Eutrofia",IF($Q1001&lt;=2,"Risco de sobrepeso",IF($Q1001&lt;=3,"Sobrepeso","Obesidade"))))))</f>
        <v/>
      </c>
      <c r="S1001">
        <f>IF($C1001="","",IF(UPPER(LEFT($C1001,1))="M",1,IF(UPPER(LEFT($C1001,1))="F",2,"")))</f>
        <v/>
      </c>
      <c r="T1001">
        <f>IF(OR($D1001="",$E1001=""),"",DATEDIF($D1001,$E1001,"m"))</f>
        <v/>
      </c>
      <c r="U1001">
        <f>IF(OR($D1001="",$E1001=""),"",$E1001-$D1001)</f>
        <v/>
      </c>
      <c r="V1001">
        <f>IF(OR($G1001="",$T1001=""),"",IF($T1001&lt;24,IF(LEFT(LOWER($H1001),4)="em p",$G1001+0.7,$G1001),IF(LEFT(LOWER($H1001),4)="deit",$G1001-0.7,$G1001)))</f>
        <v/>
      </c>
      <c r="W1001">
        <f>IF(OR($S1001="",$T1001=""),"",$S1001*1000000+IF($T1001&lt;=60,$U1001,$T1001))</f>
        <v/>
      </c>
      <c r="X1001">
        <f>IF(OR($S1001="",$V1001="",$T1001&gt;60,$T1001=""),"",$S1001*1000000+ROUND($V1001*10,0))</f>
        <v/>
      </c>
      <c r="Y1001">
        <f>IF($W1001="","",IFERROR(INDEX(IF($T1001&lt;=60,imc05_l,imc519_l),MATCH($W1001,IF($T1001&lt;=60,imc05_k,imc519_k),1)),""))</f>
        <v/>
      </c>
      <c r="Z1001">
        <f>IF($W1001="","",IFERROR(INDEX(IF($T1001&lt;=60,imc05_m,imc519_m),MATCH($W1001,IF($T1001&lt;=60,imc05_k,imc519_k),1)),""))</f>
        <v/>
      </c>
      <c r="AA1001">
        <f>IF($W1001="","",IFERROR(INDEX(IF($T1001&lt;=60,imc05_s,imc519_s),MATCH($W1001,IF($T1001&lt;=60,imc05_k,imc519_k),1)),""))</f>
        <v/>
      </c>
      <c r="AB1001">
        <f>IF($Y1001="","",IF($Y1001=0,LN($J1001/$Z1001)/$AA1001,((($J1001/$Z1001)^$Y1001)-1)/($Y1001*$AA1001)))</f>
        <v/>
      </c>
      <c r="AC1001">
        <f>IF($Y1001="","",IF($Y1001=0,$Z1001*EXP($AA1001*2),$Z1001*(1+$Y1001*$AA1001*2)^(1/$Y1001)))</f>
        <v/>
      </c>
      <c r="AD1001">
        <f>IF($Y1001="","",IF($Y1001=0,$Z1001*EXP($AA1001*3),$Z1001*(1+$Y1001*$AA1001*3)^(1/$Y1001)))</f>
        <v/>
      </c>
      <c r="AE1001">
        <f>IF($Y1001="","",IF($Y1001=0,$Z1001*EXP($AA1001*-2),$Z1001*(1+$Y1001*$AA1001*-2)^(1/$Y1001)))</f>
        <v/>
      </c>
      <c r="AF1001">
        <f>IF($Y1001="","",IF($Y1001=0,$Z1001*EXP($AA1001*-3),$Z1001*(1+$Y1001*$AA1001*-3)^(1/$Y1001)))</f>
        <v/>
      </c>
      <c r="AG1001">
        <f>IF($W1001="","",IFERROR(INDEX(IF($T1001&lt;=60,est05_l,est519_l),MATCH($W1001,IF($T1001&lt;=60,est05_k,est519_k),1)),""))</f>
        <v/>
      </c>
      <c r="AH1001">
        <f>IF($W1001="","",IFERROR(INDEX(IF($T1001&lt;=60,est05_m,est519_m),MATCH($W1001,IF($T1001&lt;=60,est05_k,est519_k),1)),""))</f>
        <v/>
      </c>
      <c r="AI1001">
        <f>IF($W1001="","",IFERROR(INDEX(IF($T1001&lt;=60,est05_s,est519_s),MATCH($W1001,IF($T1001&lt;=60,est05_k,est519_k),1)),""))</f>
        <v/>
      </c>
      <c r="AJ1001">
        <f>IF($W1001="","",IFERROR(INDEX(IF($T1001&lt;=60,peso05_l,peso510_l),MATCH($W1001,IF($T1001&lt;=60,peso05_k,peso510_k),1)),""))</f>
        <v/>
      </c>
      <c r="AK1001">
        <f>IF($W1001="","",IFERROR(INDEX(IF($T1001&lt;=60,peso05_m,peso510_m),MATCH($W1001,IF($T1001&lt;=60,peso05_k,peso510_k),1)),""))</f>
        <v/>
      </c>
      <c r="AL1001">
        <f>IF($W1001="","",IFERROR(INDEX(IF($T1001&lt;=60,peso05_s,peso510_s),MATCH($W1001,IF($T1001&lt;=60,peso05_k,peso510_k),1)),""))</f>
        <v/>
      </c>
      <c r="AM1001">
        <f>IF($AJ1001="","",IF($AJ1001=0,LN($F1001/$AK1001)/$AL1001,((($F1001/$AK1001)^$AJ1001)-1)/($AJ1001*$AL1001)))</f>
        <v/>
      </c>
      <c r="AN1001">
        <f>IF($AJ1001="","",IF($AJ1001=0,$AK1001*EXP($AL1001*2),$AK1001*(1+$AJ1001*$AL1001*2)^(1/$AJ1001)))</f>
        <v/>
      </c>
      <c r="AO1001">
        <f>IF($AJ1001="","",IF($AJ1001=0,$AK1001*EXP($AL1001*3),$AK1001*(1+$AJ1001*$AL1001*3)^(1/$AJ1001)))</f>
        <v/>
      </c>
      <c r="AP1001">
        <f>IF($AJ1001="","",IF($AJ1001=0,$AK1001*EXP($AL1001*-2),$AK1001*(1+$AJ1001*$AL1001*-2)^(1/$AJ1001)))</f>
        <v/>
      </c>
      <c r="AQ1001">
        <f>IF($AJ1001="","",IF($AJ1001=0,$AK1001*EXP($AL1001*-3),$AK1001*(1+$AJ1001*$AL1001*-3)^(1/$AJ1001)))</f>
        <v/>
      </c>
      <c r="AR1001">
        <f>IF(OR($X1001="",$T1001&gt;60),"",IFERROR(INDEX(IF($T1001&lt;24,pcomp_l,palt_l),MATCH($X1001,IF($T1001&lt;24,pcomp_k,palt_k),1)),""))</f>
        <v/>
      </c>
      <c r="AS1001">
        <f>IF(OR($X1001="",$T1001&gt;60),"",IFERROR(INDEX(IF($T1001&lt;24,pcomp_m,palt_m),MATCH($X1001,IF($T1001&lt;24,pcomp_k,palt_k),1)),""))</f>
        <v/>
      </c>
      <c r="AT1001">
        <f>IF(OR($X1001="",$T1001&gt;60),"",IFERROR(INDEX(IF($T1001&lt;24,pcomp_s,palt_s),MATCH($X1001,IF($T1001&lt;24,pcomp_k,palt_k),1)),""))</f>
        <v/>
      </c>
      <c r="AU1001">
        <f>IF($AR1001="","",IF($AR1001=0,LN($F1001/$AS1001)/$AT1001,((($F1001/$AS1001)^$AR1001)-1)/($AR1001*$AT1001)))</f>
        <v/>
      </c>
      <c r="AV1001">
        <f>IF($AR1001="","",IF($AR1001=0,$AS1001*EXP($AT1001*2),$AS1001*(1+$AR1001*$AT1001*2)^(1/$AR1001)))</f>
        <v/>
      </c>
      <c r="AW1001">
        <f>IF($AR1001="","",IF($AR1001=0,$AS1001*EXP($AT1001*3),$AS1001*(1+$AR1001*$AT1001*3)^(1/$AR1001)))</f>
        <v/>
      </c>
      <c r="AX1001">
        <f>IF($AR1001="","",IF($AR1001=0,$AS1001*EXP($AT1001*-2),$AS1001*(1+$AR1001*$AT1001*-2)^(1/$AR1001)))</f>
        <v/>
      </c>
      <c r="AY1001">
        <f>IF($AR1001="","",IF($AR1001=0,$AS1001*EXP($AT1001*-3),$AS1001*(1+$AR1001*$AT1001*-3)^(1/$AR1001)))</f>
        <v/>
      </c>
      <c r="AZ1001">
        <f>IF(OR($A1001="",$A1001&lt;&gt;Ficha!$C$4),"",COUNTIF($A$2:$A1001,Ficha!$C$4))</f>
        <v/>
      </c>
    </row>
    <row r="1002">
      <c r="A1002" s="8">
        <f>IF(INDEX(Banco!$A:$A,ROW())="","",INDEX(Banco!$A:$A,ROW()))</f>
        <v/>
      </c>
      <c r="B1002" s="8">
        <f>IF(INDEX(Banco!$B:$B,ROW())="","",INDEX(Banco!$B:$B,ROW()))</f>
        <v/>
      </c>
      <c r="C1002" s="8">
        <f>IF(INDEX(Banco!$C:$C,ROW())="","",INDEX(Banco!$C:$C,ROW()))</f>
        <v/>
      </c>
      <c r="D1002" s="9">
        <f>IF(INDEX(Banco!$D:$D,ROW())="","",INDEX(Banco!$D:$D,ROW()))</f>
        <v/>
      </c>
      <c r="E1002" s="9">
        <f>IF(INDEX(Banco!$E:$E,ROW())="","",INDEX(Banco!$E:$E,ROW()))</f>
        <v/>
      </c>
      <c r="F1002" s="10">
        <f>IF(INDEX(Banco!$F:$F,ROW())="","",INDEX(Banco!$F:$F,ROW()))</f>
        <v/>
      </c>
      <c r="G1002" s="10">
        <f>IF(INDEX(Banco!$G:$G,ROW())="","",INDEX(Banco!$G:$G,ROW()))</f>
        <v/>
      </c>
      <c r="H1002" s="8">
        <f>IF(INDEX(Banco!$H:$H,ROW())="","",INDEX(Banco!$H:$H,ROW()))</f>
        <v/>
      </c>
      <c r="I1002">
        <f>IF($T1002="","",INT($T1002/12)&amp;"a "&amp;MOD($T1002,12)&amp;"m")</f>
        <v/>
      </c>
      <c r="J1002" s="11">
        <f>IF(OR($F1002="",$G1002=""),"",ROUND($F1002/($G1002/100)^2,2))</f>
        <v/>
      </c>
      <c r="K1002" s="12">
        <f>IF(OR($S1002="",$J1002="",$T1002="",$T1002&lt;0,$T1002&gt;228,$Y1002=""),"—",ROUND(IF(ABS($AB1002)&lt;=3,$AB1002,IF($AB1002&gt;3,3+($J1002-$AD1002)/($AD1002-$AC1002),-3+($J1002-$AF1002)/($AE1002-$AF1002))),2))</f>
        <v/>
      </c>
      <c r="L1002">
        <f>IF(OR($K1002="",$K1002="—"),"",IF($T1002&lt;=60,IF($K1002&lt;-3,"Magreza acentuada",IF($K1002&lt;-2,"Magreza",IF($K1002&lt;=1,"Eutrofia",IF($K1002&lt;=2,"Risco de sobrepeso",IF($K1002&lt;=3,"Sobrepeso","Obesidade"))))),IF($K1002&lt;-3,"Magreza acentuada",IF($K1002&lt;-2,"Magreza",IF($K1002&lt;=1,"Eutrofia",IF($K1002&lt;=2,"Sobrepeso",IF($K1002&lt;=3,"Obesidade","Obesidade grave")))))))</f>
        <v/>
      </c>
      <c r="M1002" s="12">
        <f>IF(OR($S1002="",$V1002="",$T1002="",$T1002&lt;0,$T1002&gt;228,$AG1002=""),"—",ROUND(IF($AG1002=0,LN($V1002/$AH1002)/$AI1002,((($V1002/$AH1002)^$AG1002)-1)/($AG1002*$AI1002)),2))</f>
        <v/>
      </c>
      <c r="N1002">
        <f>IF(OR($M1002="",$M1002="—"),"",IF($M1002&lt;-3,"Muito baixa",IF($M1002&lt;-2,"Baixa","Adequada")))</f>
        <v/>
      </c>
      <c r="O1002" s="12">
        <f>IF(OR($S1002="",$F1002="",$T1002="",$T1002&lt;0,$T1002&gt;120,$AJ1002=""),"—",ROUND(IF(ABS($AM1002)&lt;=3,$AM1002,IF($AM1002&gt;3,3+($F1002-$AO1002)/($AO1002-$AN1002),-3+($F1002-$AQ1002)/($AP1002-$AQ1002))),2))</f>
        <v/>
      </c>
      <c r="P1002">
        <f>IF(OR($O1002="",$O1002="—"),"",IF($O1002&lt;-3,"Muito baixo",IF($O1002&lt;-2,"Baixo",IF($O1002&lt;=2,"Adequado","Elevado"))))</f>
        <v/>
      </c>
      <c r="Q1002" s="12">
        <f>IF(OR($S1002="",$F1002="",$T1002="",$T1002&lt;0,$T1002&gt;60,$AR1002=""),"—",ROUND(IF(ABS($AU1002)&lt;=3,$AU1002,IF($AU1002&gt;3,3+($F1002-$AW1002)/($AW1002-$AV1002),-3+($F1002-$AY1002)/($AX1002-$AY1002))),2))</f>
        <v/>
      </c>
      <c r="R1002">
        <f>IF(OR($Q1002="",$Q1002="—"),"",IF($Q1002&lt;-3,"Magreza acentuada",IF($Q1002&lt;-2,"Magreza",IF($Q1002&lt;=1,"Eutrofia",IF($Q1002&lt;=2,"Risco de sobrepeso",IF($Q1002&lt;=3,"Sobrepeso","Obesidade"))))))</f>
        <v/>
      </c>
      <c r="S1002">
        <f>IF($C1002="","",IF(UPPER(LEFT($C1002,1))="M",1,IF(UPPER(LEFT($C1002,1))="F",2,"")))</f>
        <v/>
      </c>
      <c r="T1002">
        <f>IF(OR($D1002="",$E1002=""),"",DATEDIF($D1002,$E1002,"m"))</f>
        <v/>
      </c>
      <c r="U1002">
        <f>IF(OR($D1002="",$E1002=""),"",$E1002-$D1002)</f>
        <v/>
      </c>
      <c r="V1002">
        <f>IF(OR($G1002="",$T1002=""),"",IF($T1002&lt;24,IF(LEFT(LOWER($H1002),4)="em p",$G1002+0.7,$G1002),IF(LEFT(LOWER($H1002),4)="deit",$G1002-0.7,$G1002)))</f>
        <v/>
      </c>
      <c r="W1002">
        <f>IF(OR($S1002="",$T1002=""),"",$S1002*1000000+IF($T1002&lt;=60,$U1002,$T1002))</f>
        <v/>
      </c>
      <c r="X1002">
        <f>IF(OR($S1002="",$V1002="",$T1002&gt;60,$T1002=""),"",$S1002*1000000+ROUND($V1002*10,0))</f>
        <v/>
      </c>
      <c r="Y1002">
        <f>IF($W1002="","",IFERROR(INDEX(IF($T1002&lt;=60,imc05_l,imc519_l),MATCH($W1002,IF($T1002&lt;=60,imc05_k,imc519_k),1)),""))</f>
        <v/>
      </c>
      <c r="Z1002">
        <f>IF($W1002="","",IFERROR(INDEX(IF($T1002&lt;=60,imc05_m,imc519_m),MATCH($W1002,IF($T1002&lt;=60,imc05_k,imc519_k),1)),""))</f>
        <v/>
      </c>
      <c r="AA1002">
        <f>IF($W1002="","",IFERROR(INDEX(IF($T1002&lt;=60,imc05_s,imc519_s),MATCH($W1002,IF($T1002&lt;=60,imc05_k,imc519_k),1)),""))</f>
        <v/>
      </c>
      <c r="AB1002">
        <f>IF($Y1002="","",IF($Y1002=0,LN($J1002/$Z1002)/$AA1002,((($J1002/$Z1002)^$Y1002)-1)/($Y1002*$AA1002)))</f>
        <v/>
      </c>
      <c r="AC1002">
        <f>IF($Y1002="","",IF($Y1002=0,$Z1002*EXP($AA1002*2),$Z1002*(1+$Y1002*$AA1002*2)^(1/$Y1002)))</f>
        <v/>
      </c>
      <c r="AD1002">
        <f>IF($Y1002="","",IF($Y1002=0,$Z1002*EXP($AA1002*3),$Z1002*(1+$Y1002*$AA1002*3)^(1/$Y1002)))</f>
        <v/>
      </c>
      <c r="AE1002">
        <f>IF($Y1002="","",IF($Y1002=0,$Z1002*EXP($AA1002*-2),$Z1002*(1+$Y1002*$AA1002*-2)^(1/$Y1002)))</f>
        <v/>
      </c>
      <c r="AF1002">
        <f>IF($Y1002="","",IF($Y1002=0,$Z1002*EXP($AA1002*-3),$Z1002*(1+$Y1002*$AA1002*-3)^(1/$Y1002)))</f>
        <v/>
      </c>
      <c r="AG1002">
        <f>IF($W1002="","",IFERROR(INDEX(IF($T1002&lt;=60,est05_l,est519_l),MATCH($W1002,IF($T1002&lt;=60,est05_k,est519_k),1)),""))</f>
        <v/>
      </c>
      <c r="AH1002">
        <f>IF($W1002="","",IFERROR(INDEX(IF($T1002&lt;=60,est05_m,est519_m),MATCH($W1002,IF($T1002&lt;=60,est05_k,est519_k),1)),""))</f>
        <v/>
      </c>
      <c r="AI1002">
        <f>IF($W1002="","",IFERROR(INDEX(IF($T1002&lt;=60,est05_s,est519_s),MATCH($W1002,IF($T1002&lt;=60,est05_k,est519_k),1)),""))</f>
        <v/>
      </c>
      <c r="AJ1002">
        <f>IF($W1002="","",IFERROR(INDEX(IF($T1002&lt;=60,peso05_l,peso510_l),MATCH($W1002,IF($T1002&lt;=60,peso05_k,peso510_k),1)),""))</f>
        <v/>
      </c>
      <c r="AK1002">
        <f>IF($W1002="","",IFERROR(INDEX(IF($T1002&lt;=60,peso05_m,peso510_m),MATCH($W1002,IF($T1002&lt;=60,peso05_k,peso510_k),1)),""))</f>
        <v/>
      </c>
      <c r="AL1002">
        <f>IF($W1002="","",IFERROR(INDEX(IF($T1002&lt;=60,peso05_s,peso510_s),MATCH($W1002,IF($T1002&lt;=60,peso05_k,peso510_k),1)),""))</f>
        <v/>
      </c>
      <c r="AM1002">
        <f>IF($AJ1002="","",IF($AJ1002=0,LN($F1002/$AK1002)/$AL1002,((($F1002/$AK1002)^$AJ1002)-1)/($AJ1002*$AL1002)))</f>
        <v/>
      </c>
      <c r="AN1002">
        <f>IF($AJ1002="","",IF($AJ1002=0,$AK1002*EXP($AL1002*2),$AK1002*(1+$AJ1002*$AL1002*2)^(1/$AJ1002)))</f>
        <v/>
      </c>
      <c r="AO1002">
        <f>IF($AJ1002="","",IF($AJ1002=0,$AK1002*EXP($AL1002*3),$AK1002*(1+$AJ1002*$AL1002*3)^(1/$AJ1002)))</f>
        <v/>
      </c>
      <c r="AP1002">
        <f>IF($AJ1002="","",IF($AJ1002=0,$AK1002*EXP($AL1002*-2),$AK1002*(1+$AJ1002*$AL1002*-2)^(1/$AJ1002)))</f>
        <v/>
      </c>
      <c r="AQ1002">
        <f>IF($AJ1002="","",IF($AJ1002=0,$AK1002*EXP($AL1002*-3),$AK1002*(1+$AJ1002*$AL1002*-3)^(1/$AJ1002)))</f>
        <v/>
      </c>
      <c r="AR1002">
        <f>IF(OR($X1002="",$T1002&gt;60),"",IFERROR(INDEX(IF($T1002&lt;24,pcomp_l,palt_l),MATCH($X1002,IF($T1002&lt;24,pcomp_k,palt_k),1)),""))</f>
        <v/>
      </c>
      <c r="AS1002">
        <f>IF(OR($X1002="",$T1002&gt;60),"",IFERROR(INDEX(IF($T1002&lt;24,pcomp_m,palt_m),MATCH($X1002,IF($T1002&lt;24,pcomp_k,palt_k),1)),""))</f>
        <v/>
      </c>
      <c r="AT1002">
        <f>IF(OR($X1002="",$T1002&gt;60),"",IFERROR(INDEX(IF($T1002&lt;24,pcomp_s,palt_s),MATCH($X1002,IF($T1002&lt;24,pcomp_k,palt_k),1)),""))</f>
        <v/>
      </c>
      <c r="AU1002">
        <f>IF($AR1002="","",IF($AR1002=0,LN($F1002/$AS1002)/$AT1002,((($F1002/$AS1002)^$AR1002)-1)/($AR1002*$AT1002)))</f>
        <v/>
      </c>
      <c r="AV1002">
        <f>IF($AR1002="","",IF($AR1002=0,$AS1002*EXP($AT1002*2),$AS1002*(1+$AR1002*$AT1002*2)^(1/$AR1002)))</f>
        <v/>
      </c>
      <c r="AW1002">
        <f>IF($AR1002="","",IF($AR1002=0,$AS1002*EXP($AT1002*3),$AS1002*(1+$AR1002*$AT1002*3)^(1/$AR1002)))</f>
        <v/>
      </c>
      <c r="AX1002">
        <f>IF($AR1002="","",IF($AR1002=0,$AS1002*EXP($AT1002*-2),$AS1002*(1+$AR1002*$AT1002*-2)^(1/$AR1002)))</f>
        <v/>
      </c>
      <c r="AY1002">
        <f>IF($AR1002="","",IF($AR1002=0,$AS1002*EXP($AT1002*-3),$AS1002*(1+$AR1002*$AT1002*-3)^(1/$AR1002)))</f>
        <v/>
      </c>
      <c r="AZ1002">
        <f>IF(OR($A1002="",$A1002&lt;&gt;Ficha!$C$4),"",COUNTIF($A$2:$A1002,Ficha!$C$4))</f>
        <v/>
      </c>
    </row>
    <row r="1003">
      <c r="A1003" s="8">
        <f>IF(INDEX(Banco!$A:$A,ROW())="","",INDEX(Banco!$A:$A,ROW()))</f>
        <v/>
      </c>
      <c r="B1003" s="8">
        <f>IF(INDEX(Banco!$B:$B,ROW())="","",INDEX(Banco!$B:$B,ROW()))</f>
        <v/>
      </c>
      <c r="C1003" s="8">
        <f>IF(INDEX(Banco!$C:$C,ROW())="","",INDEX(Banco!$C:$C,ROW()))</f>
        <v/>
      </c>
      <c r="D1003" s="9">
        <f>IF(INDEX(Banco!$D:$D,ROW())="","",INDEX(Banco!$D:$D,ROW()))</f>
        <v/>
      </c>
      <c r="E1003" s="9">
        <f>IF(INDEX(Banco!$E:$E,ROW())="","",INDEX(Banco!$E:$E,ROW()))</f>
        <v/>
      </c>
      <c r="F1003" s="10">
        <f>IF(INDEX(Banco!$F:$F,ROW())="","",INDEX(Banco!$F:$F,ROW()))</f>
        <v/>
      </c>
      <c r="G1003" s="10">
        <f>IF(INDEX(Banco!$G:$G,ROW())="","",INDEX(Banco!$G:$G,ROW()))</f>
        <v/>
      </c>
      <c r="H1003" s="8">
        <f>IF(INDEX(Banco!$H:$H,ROW())="","",INDEX(Banco!$H:$H,ROW()))</f>
        <v/>
      </c>
      <c r="I1003">
        <f>IF($T1003="","",INT($T1003/12)&amp;"a "&amp;MOD($T1003,12)&amp;"m")</f>
        <v/>
      </c>
      <c r="J1003" s="11">
        <f>IF(OR($F1003="",$G1003=""),"",ROUND($F1003/($G1003/100)^2,2))</f>
        <v/>
      </c>
      <c r="K1003" s="12">
        <f>IF(OR($S1003="",$J1003="",$T1003="",$T1003&lt;0,$T1003&gt;228,$Y1003=""),"—",ROUND(IF(ABS($AB1003)&lt;=3,$AB1003,IF($AB1003&gt;3,3+($J1003-$AD1003)/($AD1003-$AC1003),-3+($J1003-$AF1003)/($AE1003-$AF1003))),2))</f>
        <v/>
      </c>
      <c r="L1003">
        <f>IF(OR($K1003="",$K1003="—"),"",IF($T1003&lt;=60,IF($K1003&lt;-3,"Magreza acentuada",IF($K1003&lt;-2,"Magreza",IF($K1003&lt;=1,"Eutrofia",IF($K1003&lt;=2,"Risco de sobrepeso",IF($K1003&lt;=3,"Sobrepeso","Obesidade"))))),IF($K1003&lt;-3,"Magreza acentuada",IF($K1003&lt;-2,"Magreza",IF($K1003&lt;=1,"Eutrofia",IF($K1003&lt;=2,"Sobrepeso",IF($K1003&lt;=3,"Obesidade","Obesidade grave")))))))</f>
        <v/>
      </c>
      <c r="M1003" s="12">
        <f>IF(OR($S1003="",$V1003="",$T1003="",$T1003&lt;0,$T1003&gt;228,$AG1003=""),"—",ROUND(IF($AG1003=0,LN($V1003/$AH1003)/$AI1003,((($V1003/$AH1003)^$AG1003)-1)/($AG1003*$AI1003)),2))</f>
        <v/>
      </c>
      <c r="N1003">
        <f>IF(OR($M1003="",$M1003="—"),"",IF($M1003&lt;-3,"Muito baixa",IF($M1003&lt;-2,"Baixa","Adequada")))</f>
        <v/>
      </c>
      <c r="O1003" s="12">
        <f>IF(OR($S1003="",$F1003="",$T1003="",$T1003&lt;0,$T1003&gt;120,$AJ1003=""),"—",ROUND(IF(ABS($AM1003)&lt;=3,$AM1003,IF($AM1003&gt;3,3+($F1003-$AO1003)/($AO1003-$AN1003),-3+($F1003-$AQ1003)/($AP1003-$AQ1003))),2))</f>
        <v/>
      </c>
      <c r="P1003">
        <f>IF(OR($O1003="",$O1003="—"),"",IF($O1003&lt;-3,"Muito baixo",IF($O1003&lt;-2,"Baixo",IF($O1003&lt;=2,"Adequado","Elevado"))))</f>
        <v/>
      </c>
      <c r="Q1003" s="12">
        <f>IF(OR($S1003="",$F1003="",$T1003="",$T1003&lt;0,$T1003&gt;60,$AR1003=""),"—",ROUND(IF(ABS($AU1003)&lt;=3,$AU1003,IF($AU1003&gt;3,3+($F1003-$AW1003)/($AW1003-$AV1003),-3+($F1003-$AY1003)/($AX1003-$AY1003))),2))</f>
        <v/>
      </c>
      <c r="R1003">
        <f>IF(OR($Q1003="",$Q1003="—"),"",IF($Q1003&lt;-3,"Magreza acentuada",IF($Q1003&lt;-2,"Magreza",IF($Q1003&lt;=1,"Eutrofia",IF($Q1003&lt;=2,"Risco de sobrepeso",IF($Q1003&lt;=3,"Sobrepeso","Obesidade"))))))</f>
        <v/>
      </c>
      <c r="S1003">
        <f>IF($C1003="","",IF(UPPER(LEFT($C1003,1))="M",1,IF(UPPER(LEFT($C1003,1))="F",2,"")))</f>
        <v/>
      </c>
      <c r="T1003">
        <f>IF(OR($D1003="",$E1003=""),"",DATEDIF($D1003,$E1003,"m"))</f>
        <v/>
      </c>
      <c r="U1003">
        <f>IF(OR($D1003="",$E1003=""),"",$E1003-$D1003)</f>
        <v/>
      </c>
      <c r="V1003">
        <f>IF(OR($G1003="",$T1003=""),"",IF($T1003&lt;24,IF(LEFT(LOWER($H1003),4)="em p",$G1003+0.7,$G1003),IF(LEFT(LOWER($H1003),4)="deit",$G1003-0.7,$G1003)))</f>
        <v/>
      </c>
      <c r="W1003">
        <f>IF(OR($S1003="",$T1003=""),"",$S1003*1000000+IF($T1003&lt;=60,$U1003,$T1003))</f>
        <v/>
      </c>
      <c r="X1003">
        <f>IF(OR($S1003="",$V1003="",$T1003&gt;60,$T1003=""),"",$S1003*1000000+ROUND($V1003*10,0))</f>
        <v/>
      </c>
      <c r="Y1003">
        <f>IF($W1003="","",IFERROR(INDEX(IF($T1003&lt;=60,imc05_l,imc519_l),MATCH($W1003,IF($T1003&lt;=60,imc05_k,imc519_k),1)),""))</f>
        <v/>
      </c>
      <c r="Z1003">
        <f>IF($W1003="","",IFERROR(INDEX(IF($T1003&lt;=60,imc05_m,imc519_m),MATCH($W1003,IF($T1003&lt;=60,imc05_k,imc519_k),1)),""))</f>
        <v/>
      </c>
      <c r="AA1003">
        <f>IF($W1003="","",IFERROR(INDEX(IF($T1003&lt;=60,imc05_s,imc519_s),MATCH($W1003,IF($T1003&lt;=60,imc05_k,imc519_k),1)),""))</f>
        <v/>
      </c>
      <c r="AB1003">
        <f>IF($Y1003="","",IF($Y1003=0,LN($J1003/$Z1003)/$AA1003,((($J1003/$Z1003)^$Y1003)-1)/($Y1003*$AA1003)))</f>
        <v/>
      </c>
      <c r="AC1003">
        <f>IF($Y1003="","",IF($Y1003=0,$Z1003*EXP($AA1003*2),$Z1003*(1+$Y1003*$AA1003*2)^(1/$Y1003)))</f>
        <v/>
      </c>
      <c r="AD1003">
        <f>IF($Y1003="","",IF($Y1003=0,$Z1003*EXP($AA1003*3),$Z1003*(1+$Y1003*$AA1003*3)^(1/$Y1003)))</f>
        <v/>
      </c>
      <c r="AE1003">
        <f>IF($Y1003="","",IF($Y1003=0,$Z1003*EXP($AA1003*-2),$Z1003*(1+$Y1003*$AA1003*-2)^(1/$Y1003)))</f>
        <v/>
      </c>
      <c r="AF1003">
        <f>IF($Y1003="","",IF($Y1003=0,$Z1003*EXP($AA1003*-3),$Z1003*(1+$Y1003*$AA1003*-3)^(1/$Y1003)))</f>
        <v/>
      </c>
      <c r="AG1003">
        <f>IF($W1003="","",IFERROR(INDEX(IF($T1003&lt;=60,est05_l,est519_l),MATCH($W1003,IF($T1003&lt;=60,est05_k,est519_k),1)),""))</f>
        <v/>
      </c>
      <c r="AH1003">
        <f>IF($W1003="","",IFERROR(INDEX(IF($T1003&lt;=60,est05_m,est519_m),MATCH($W1003,IF($T1003&lt;=60,est05_k,est519_k),1)),""))</f>
        <v/>
      </c>
      <c r="AI1003">
        <f>IF($W1003="","",IFERROR(INDEX(IF($T1003&lt;=60,est05_s,est519_s),MATCH($W1003,IF($T1003&lt;=60,est05_k,est519_k),1)),""))</f>
        <v/>
      </c>
      <c r="AJ1003">
        <f>IF($W1003="","",IFERROR(INDEX(IF($T1003&lt;=60,peso05_l,peso510_l),MATCH($W1003,IF($T1003&lt;=60,peso05_k,peso510_k),1)),""))</f>
        <v/>
      </c>
      <c r="AK1003">
        <f>IF($W1003="","",IFERROR(INDEX(IF($T1003&lt;=60,peso05_m,peso510_m),MATCH($W1003,IF($T1003&lt;=60,peso05_k,peso510_k),1)),""))</f>
        <v/>
      </c>
      <c r="AL1003">
        <f>IF($W1003="","",IFERROR(INDEX(IF($T1003&lt;=60,peso05_s,peso510_s),MATCH($W1003,IF($T1003&lt;=60,peso05_k,peso510_k),1)),""))</f>
        <v/>
      </c>
      <c r="AM1003">
        <f>IF($AJ1003="","",IF($AJ1003=0,LN($F1003/$AK1003)/$AL1003,((($F1003/$AK1003)^$AJ1003)-1)/($AJ1003*$AL1003)))</f>
        <v/>
      </c>
      <c r="AN1003">
        <f>IF($AJ1003="","",IF($AJ1003=0,$AK1003*EXP($AL1003*2),$AK1003*(1+$AJ1003*$AL1003*2)^(1/$AJ1003)))</f>
        <v/>
      </c>
      <c r="AO1003">
        <f>IF($AJ1003="","",IF($AJ1003=0,$AK1003*EXP($AL1003*3),$AK1003*(1+$AJ1003*$AL1003*3)^(1/$AJ1003)))</f>
        <v/>
      </c>
      <c r="AP1003">
        <f>IF($AJ1003="","",IF($AJ1003=0,$AK1003*EXP($AL1003*-2),$AK1003*(1+$AJ1003*$AL1003*-2)^(1/$AJ1003)))</f>
        <v/>
      </c>
      <c r="AQ1003">
        <f>IF($AJ1003="","",IF($AJ1003=0,$AK1003*EXP($AL1003*-3),$AK1003*(1+$AJ1003*$AL1003*-3)^(1/$AJ1003)))</f>
        <v/>
      </c>
      <c r="AR1003">
        <f>IF(OR($X1003="",$T1003&gt;60),"",IFERROR(INDEX(IF($T1003&lt;24,pcomp_l,palt_l),MATCH($X1003,IF($T1003&lt;24,pcomp_k,palt_k),1)),""))</f>
        <v/>
      </c>
      <c r="AS1003">
        <f>IF(OR($X1003="",$T1003&gt;60),"",IFERROR(INDEX(IF($T1003&lt;24,pcomp_m,palt_m),MATCH($X1003,IF($T1003&lt;24,pcomp_k,palt_k),1)),""))</f>
        <v/>
      </c>
      <c r="AT1003">
        <f>IF(OR($X1003="",$T1003&gt;60),"",IFERROR(INDEX(IF($T1003&lt;24,pcomp_s,palt_s),MATCH($X1003,IF($T1003&lt;24,pcomp_k,palt_k),1)),""))</f>
        <v/>
      </c>
      <c r="AU1003">
        <f>IF($AR1003="","",IF($AR1003=0,LN($F1003/$AS1003)/$AT1003,((($F1003/$AS1003)^$AR1003)-1)/($AR1003*$AT1003)))</f>
        <v/>
      </c>
      <c r="AV1003">
        <f>IF($AR1003="","",IF($AR1003=0,$AS1003*EXP($AT1003*2),$AS1003*(1+$AR1003*$AT1003*2)^(1/$AR1003)))</f>
        <v/>
      </c>
      <c r="AW1003">
        <f>IF($AR1003="","",IF($AR1003=0,$AS1003*EXP($AT1003*3),$AS1003*(1+$AR1003*$AT1003*3)^(1/$AR1003)))</f>
        <v/>
      </c>
      <c r="AX1003">
        <f>IF($AR1003="","",IF($AR1003=0,$AS1003*EXP($AT1003*-2),$AS1003*(1+$AR1003*$AT1003*-2)^(1/$AR1003)))</f>
        <v/>
      </c>
      <c r="AY1003">
        <f>IF($AR1003="","",IF($AR1003=0,$AS1003*EXP($AT1003*-3),$AS1003*(1+$AR1003*$AT1003*-3)^(1/$AR1003)))</f>
        <v/>
      </c>
      <c r="AZ1003">
        <f>IF(OR($A1003="",$A1003&lt;&gt;Ficha!$C$4),"",COUNTIF($A$2:$A1003,Ficha!$C$4))</f>
        <v/>
      </c>
    </row>
    <row r="1004">
      <c r="A1004" s="8">
        <f>IF(INDEX(Banco!$A:$A,ROW())="","",INDEX(Banco!$A:$A,ROW()))</f>
        <v/>
      </c>
      <c r="B1004" s="8">
        <f>IF(INDEX(Banco!$B:$B,ROW())="","",INDEX(Banco!$B:$B,ROW()))</f>
        <v/>
      </c>
      <c r="C1004" s="8">
        <f>IF(INDEX(Banco!$C:$C,ROW())="","",INDEX(Banco!$C:$C,ROW()))</f>
        <v/>
      </c>
      <c r="D1004" s="9">
        <f>IF(INDEX(Banco!$D:$D,ROW())="","",INDEX(Banco!$D:$D,ROW()))</f>
        <v/>
      </c>
      <c r="E1004" s="9">
        <f>IF(INDEX(Banco!$E:$E,ROW())="","",INDEX(Banco!$E:$E,ROW()))</f>
        <v/>
      </c>
      <c r="F1004" s="10">
        <f>IF(INDEX(Banco!$F:$F,ROW())="","",INDEX(Banco!$F:$F,ROW()))</f>
        <v/>
      </c>
      <c r="G1004" s="10">
        <f>IF(INDEX(Banco!$G:$G,ROW())="","",INDEX(Banco!$G:$G,ROW()))</f>
        <v/>
      </c>
      <c r="H1004" s="8">
        <f>IF(INDEX(Banco!$H:$H,ROW())="","",INDEX(Banco!$H:$H,ROW()))</f>
        <v/>
      </c>
      <c r="I1004">
        <f>IF($T1004="","",INT($T1004/12)&amp;"a "&amp;MOD($T1004,12)&amp;"m")</f>
        <v/>
      </c>
      <c r="J1004" s="11">
        <f>IF(OR($F1004="",$G1004=""),"",ROUND($F1004/($G1004/100)^2,2))</f>
        <v/>
      </c>
      <c r="K1004" s="12">
        <f>IF(OR($S1004="",$J1004="",$T1004="",$T1004&lt;0,$T1004&gt;228,$Y1004=""),"—",ROUND(IF(ABS($AB1004)&lt;=3,$AB1004,IF($AB1004&gt;3,3+($J1004-$AD1004)/($AD1004-$AC1004),-3+($J1004-$AF1004)/($AE1004-$AF1004))),2))</f>
        <v/>
      </c>
      <c r="L1004">
        <f>IF(OR($K1004="",$K1004="—"),"",IF($T1004&lt;=60,IF($K1004&lt;-3,"Magreza acentuada",IF($K1004&lt;-2,"Magreza",IF($K1004&lt;=1,"Eutrofia",IF($K1004&lt;=2,"Risco de sobrepeso",IF($K1004&lt;=3,"Sobrepeso","Obesidade"))))),IF($K1004&lt;-3,"Magreza acentuada",IF($K1004&lt;-2,"Magreza",IF($K1004&lt;=1,"Eutrofia",IF($K1004&lt;=2,"Sobrepeso",IF($K1004&lt;=3,"Obesidade","Obesidade grave")))))))</f>
        <v/>
      </c>
      <c r="M1004" s="12">
        <f>IF(OR($S1004="",$V1004="",$T1004="",$T1004&lt;0,$T1004&gt;228,$AG1004=""),"—",ROUND(IF($AG1004=0,LN($V1004/$AH1004)/$AI1004,((($V1004/$AH1004)^$AG1004)-1)/($AG1004*$AI1004)),2))</f>
        <v/>
      </c>
      <c r="N1004">
        <f>IF(OR($M1004="",$M1004="—"),"",IF($M1004&lt;-3,"Muito baixa",IF($M1004&lt;-2,"Baixa","Adequada")))</f>
        <v/>
      </c>
      <c r="O1004" s="12">
        <f>IF(OR($S1004="",$F1004="",$T1004="",$T1004&lt;0,$T1004&gt;120,$AJ1004=""),"—",ROUND(IF(ABS($AM1004)&lt;=3,$AM1004,IF($AM1004&gt;3,3+($F1004-$AO1004)/($AO1004-$AN1004),-3+($F1004-$AQ1004)/($AP1004-$AQ1004))),2))</f>
        <v/>
      </c>
      <c r="P1004">
        <f>IF(OR($O1004="",$O1004="—"),"",IF($O1004&lt;-3,"Muito baixo",IF($O1004&lt;-2,"Baixo",IF($O1004&lt;=2,"Adequado","Elevado"))))</f>
        <v/>
      </c>
      <c r="Q1004" s="12">
        <f>IF(OR($S1004="",$F1004="",$T1004="",$T1004&lt;0,$T1004&gt;60,$AR1004=""),"—",ROUND(IF(ABS($AU1004)&lt;=3,$AU1004,IF($AU1004&gt;3,3+($F1004-$AW1004)/($AW1004-$AV1004),-3+($F1004-$AY1004)/($AX1004-$AY1004))),2))</f>
        <v/>
      </c>
      <c r="R1004">
        <f>IF(OR($Q1004="",$Q1004="—"),"",IF($Q1004&lt;-3,"Magreza acentuada",IF($Q1004&lt;-2,"Magreza",IF($Q1004&lt;=1,"Eutrofia",IF($Q1004&lt;=2,"Risco de sobrepeso",IF($Q1004&lt;=3,"Sobrepeso","Obesidade"))))))</f>
        <v/>
      </c>
      <c r="S1004">
        <f>IF($C1004="","",IF(UPPER(LEFT($C1004,1))="M",1,IF(UPPER(LEFT($C1004,1))="F",2,"")))</f>
        <v/>
      </c>
      <c r="T1004">
        <f>IF(OR($D1004="",$E1004=""),"",DATEDIF($D1004,$E1004,"m"))</f>
        <v/>
      </c>
      <c r="U1004">
        <f>IF(OR($D1004="",$E1004=""),"",$E1004-$D1004)</f>
        <v/>
      </c>
      <c r="V1004">
        <f>IF(OR($G1004="",$T1004=""),"",IF($T1004&lt;24,IF(LEFT(LOWER($H1004),4)="em p",$G1004+0.7,$G1004),IF(LEFT(LOWER($H1004),4)="deit",$G1004-0.7,$G1004)))</f>
        <v/>
      </c>
      <c r="W1004">
        <f>IF(OR($S1004="",$T1004=""),"",$S1004*1000000+IF($T1004&lt;=60,$U1004,$T1004))</f>
        <v/>
      </c>
      <c r="X1004">
        <f>IF(OR($S1004="",$V1004="",$T1004&gt;60,$T1004=""),"",$S1004*1000000+ROUND($V1004*10,0))</f>
        <v/>
      </c>
      <c r="Y1004">
        <f>IF($W1004="","",IFERROR(INDEX(IF($T1004&lt;=60,imc05_l,imc519_l),MATCH($W1004,IF($T1004&lt;=60,imc05_k,imc519_k),1)),""))</f>
        <v/>
      </c>
      <c r="Z1004">
        <f>IF($W1004="","",IFERROR(INDEX(IF($T1004&lt;=60,imc05_m,imc519_m),MATCH($W1004,IF($T1004&lt;=60,imc05_k,imc519_k),1)),""))</f>
        <v/>
      </c>
      <c r="AA1004">
        <f>IF($W1004="","",IFERROR(INDEX(IF($T1004&lt;=60,imc05_s,imc519_s),MATCH($W1004,IF($T1004&lt;=60,imc05_k,imc519_k),1)),""))</f>
        <v/>
      </c>
      <c r="AB1004">
        <f>IF($Y1004="","",IF($Y1004=0,LN($J1004/$Z1004)/$AA1004,((($J1004/$Z1004)^$Y1004)-1)/($Y1004*$AA1004)))</f>
        <v/>
      </c>
      <c r="AC1004">
        <f>IF($Y1004="","",IF($Y1004=0,$Z1004*EXP($AA1004*2),$Z1004*(1+$Y1004*$AA1004*2)^(1/$Y1004)))</f>
        <v/>
      </c>
      <c r="AD1004">
        <f>IF($Y1004="","",IF($Y1004=0,$Z1004*EXP($AA1004*3),$Z1004*(1+$Y1004*$AA1004*3)^(1/$Y1004)))</f>
        <v/>
      </c>
      <c r="AE1004">
        <f>IF($Y1004="","",IF($Y1004=0,$Z1004*EXP($AA1004*-2),$Z1004*(1+$Y1004*$AA1004*-2)^(1/$Y1004)))</f>
        <v/>
      </c>
      <c r="AF1004">
        <f>IF($Y1004="","",IF($Y1004=0,$Z1004*EXP($AA1004*-3),$Z1004*(1+$Y1004*$AA1004*-3)^(1/$Y1004)))</f>
        <v/>
      </c>
      <c r="AG1004">
        <f>IF($W1004="","",IFERROR(INDEX(IF($T1004&lt;=60,est05_l,est519_l),MATCH($W1004,IF($T1004&lt;=60,est05_k,est519_k),1)),""))</f>
        <v/>
      </c>
      <c r="AH1004">
        <f>IF($W1004="","",IFERROR(INDEX(IF($T1004&lt;=60,est05_m,est519_m),MATCH($W1004,IF($T1004&lt;=60,est05_k,est519_k),1)),""))</f>
        <v/>
      </c>
      <c r="AI1004">
        <f>IF($W1004="","",IFERROR(INDEX(IF($T1004&lt;=60,est05_s,est519_s),MATCH($W1004,IF($T1004&lt;=60,est05_k,est519_k),1)),""))</f>
        <v/>
      </c>
      <c r="AJ1004">
        <f>IF($W1004="","",IFERROR(INDEX(IF($T1004&lt;=60,peso05_l,peso510_l),MATCH($W1004,IF($T1004&lt;=60,peso05_k,peso510_k),1)),""))</f>
        <v/>
      </c>
      <c r="AK1004">
        <f>IF($W1004="","",IFERROR(INDEX(IF($T1004&lt;=60,peso05_m,peso510_m),MATCH($W1004,IF($T1004&lt;=60,peso05_k,peso510_k),1)),""))</f>
        <v/>
      </c>
      <c r="AL1004">
        <f>IF($W1004="","",IFERROR(INDEX(IF($T1004&lt;=60,peso05_s,peso510_s),MATCH($W1004,IF($T1004&lt;=60,peso05_k,peso510_k),1)),""))</f>
        <v/>
      </c>
      <c r="AM1004">
        <f>IF($AJ1004="","",IF($AJ1004=0,LN($F1004/$AK1004)/$AL1004,((($F1004/$AK1004)^$AJ1004)-1)/($AJ1004*$AL1004)))</f>
        <v/>
      </c>
      <c r="AN1004">
        <f>IF($AJ1004="","",IF($AJ1004=0,$AK1004*EXP($AL1004*2),$AK1004*(1+$AJ1004*$AL1004*2)^(1/$AJ1004)))</f>
        <v/>
      </c>
      <c r="AO1004">
        <f>IF($AJ1004="","",IF($AJ1004=0,$AK1004*EXP($AL1004*3),$AK1004*(1+$AJ1004*$AL1004*3)^(1/$AJ1004)))</f>
        <v/>
      </c>
      <c r="AP1004">
        <f>IF($AJ1004="","",IF($AJ1004=0,$AK1004*EXP($AL1004*-2),$AK1004*(1+$AJ1004*$AL1004*-2)^(1/$AJ1004)))</f>
        <v/>
      </c>
      <c r="AQ1004">
        <f>IF($AJ1004="","",IF($AJ1004=0,$AK1004*EXP($AL1004*-3),$AK1004*(1+$AJ1004*$AL1004*-3)^(1/$AJ1004)))</f>
        <v/>
      </c>
      <c r="AR1004">
        <f>IF(OR($X1004="",$T1004&gt;60),"",IFERROR(INDEX(IF($T1004&lt;24,pcomp_l,palt_l),MATCH($X1004,IF($T1004&lt;24,pcomp_k,palt_k),1)),""))</f>
        <v/>
      </c>
      <c r="AS1004">
        <f>IF(OR($X1004="",$T1004&gt;60),"",IFERROR(INDEX(IF($T1004&lt;24,pcomp_m,palt_m),MATCH($X1004,IF($T1004&lt;24,pcomp_k,palt_k),1)),""))</f>
        <v/>
      </c>
      <c r="AT1004">
        <f>IF(OR($X1004="",$T1004&gt;60),"",IFERROR(INDEX(IF($T1004&lt;24,pcomp_s,palt_s),MATCH($X1004,IF($T1004&lt;24,pcomp_k,palt_k),1)),""))</f>
        <v/>
      </c>
      <c r="AU1004">
        <f>IF($AR1004="","",IF($AR1004=0,LN($F1004/$AS1004)/$AT1004,((($F1004/$AS1004)^$AR1004)-1)/($AR1004*$AT1004)))</f>
        <v/>
      </c>
      <c r="AV1004">
        <f>IF($AR1004="","",IF($AR1004=0,$AS1004*EXP($AT1004*2),$AS1004*(1+$AR1004*$AT1004*2)^(1/$AR1004)))</f>
        <v/>
      </c>
      <c r="AW1004">
        <f>IF($AR1004="","",IF($AR1004=0,$AS1004*EXP($AT1004*3),$AS1004*(1+$AR1004*$AT1004*3)^(1/$AR1004)))</f>
        <v/>
      </c>
      <c r="AX1004">
        <f>IF($AR1004="","",IF($AR1004=0,$AS1004*EXP($AT1004*-2),$AS1004*(1+$AR1004*$AT1004*-2)^(1/$AR1004)))</f>
        <v/>
      </c>
      <c r="AY1004">
        <f>IF($AR1004="","",IF($AR1004=0,$AS1004*EXP($AT1004*-3),$AS1004*(1+$AR1004*$AT1004*-3)^(1/$AR1004)))</f>
        <v/>
      </c>
      <c r="AZ1004">
        <f>IF(OR($A1004="",$A1004&lt;&gt;Ficha!$C$4),"",COUNTIF($A$2:$A1004,Ficha!$C$4))</f>
        <v/>
      </c>
    </row>
    <row r="1005">
      <c r="A1005" s="8">
        <f>IF(INDEX(Banco!$A:$A,ROW())="","",INDEX(Banco!$A:$A,ROW()))</f>
        <v/>
      </c>
      <c r="B1005" s="8">
        <f>IF(INDEX(Banco!$B:$B,ROW())="","",INDEX(Banco!$B:$B,ROW()))</f>
        <v/>
      </c>
      <c r="C1005" s="8">
        <f>IF(INDEX(Banco!$C:$C,ROW())="","",INDEX(Banco!$C:$C,ROW()))</f>
        <v/>
      </c>
      <c r="D1005" s="9">
        <f>IF(INDEX(Banco!$D:$D,ROW())="","",INDEX(Banco!$D:$D,ROW()))</f>
        <v/>
      </c>
      <c r="E1005" s="9">
        <f>IF(INDEX(Banco!$E:$E,ROW())="","",INDEX(Banco!$E:$E,ROW()))</f>
        <v/>
      </c>
      <c r="F1005" s="10">
        <f>IF(INDEX(Banco!$F:$F,ROW())="","",INDEX(Banco!$F:$F,ROW()))</f>
        <v/>
      </c>
      <c r="G1005" s="10">
        <f>IF(INDEX(Banco!$G:$G,ROW())="","",INDEX(Banco!$G:$G,ROW()))</f>
        <v/>
      </c>
      <c r="H1005" s="8">
        <f>IF(INDEX(Banco!$H:$H,ROW())="","",INDEX(Banco!$H:$H,ROW()))</f>
        <v/>
      </c>
      <c r="I1005">
        <f>IF($T1005="","",INT($T1005/12)&amp;"a "&amp;MOD($T1005,12)&amp;"m")</f>
        <v/>
      </c>
      <c r="J1005" s="11">
        <f>IF(OR($F1005="",$G1005=""),"",ROUND($F1005/($G1005/100)^2,2))</f>
        <v/>
      </c>
      <c r="K1005" s="12">
        <f>IF(OR($S1005="",$J1005="",$T1005="",$T1005&lt;0,$T1005&gt;228,$Y1005=""),"—",ROUND(IF(ABS($AB1005)&lt;=3,$AB1005,IF($AB1005&gt;3,3+($J1005-$AD1005)/($AD1005-$AC1005),-3+($J1005-$AF1005)/($AE1005-$AF1005))),2))</f>
        <v/>
      </c>
      <c r="L1005">
        <f>IF(OR($K1005="",$K1005="—"),"",IF($T1005&lt;=60,IF($K1005&lt;-3,"Magreza acentuada",IF($K1005&lt;-2,"Magreza",IF($K1005&lt;=1,"Eutrofia",IF($K1005&lt;=2,"Risco de sobrepeso",IF($K1005&lt;=3,"Sobrepeso","Obesidade"))))),IF($K1005&lt;-3,"Magreza acentuada",IF($K1005&lt;-2,"Magreza",IF($K1005&lt;=1,"Eutrofia",IF($K1005&lt;=2,"Sobrepeso",IF($K1005&lt;=3,"Obesidade","Obesidade grave")))))))</f>
        <v/>
      </c>
      <c r="M1005" s="12">
        <f>IF(OR($S1005="",$V1005="",$T1005="",$T1005&lt;0,$T1005&gt;228,$AG1005=""),"—",ROUND(IF($AG1005=0,LN($V1005/$AH1005)/$AI1005,((($V1005/$AH1005)^$AG1005)-1)/($AG1005*$AI1005)),2))</f>
        <v/>
      </c>
      <c r="N1005">
        <f>IF(OR($M1005="",$M1005="—"),"",IF($M1005&lt;-3,"Muito baixa",IF($M1005&lt;-2,"Baixa","Adequada")))</f>
        <v/>
      </c>
      <c r="O1005" s="12">
        <f>IF(OR($S1005="",$F1005="",$T1005="",$T1005&lt;0,$T1005&gt;120,$AJ1005=""),"—",ROUND(IF(ABS($AM1005)&lt;=3,$AM1005,IF($AM1005&gt;3,3+($F1005-$AO1005)/($AO1005-$AN1005),-3+($F1005-$AQ1005)/($AP1005-$AQ1005))),2))</f>
        <v/>
      </c>
      <c r="P1005">
        <f>IF(OR($O1005="",$O1005="—"),"",IF($O1005&lt;-3,"Muito baixo",IF($O1005&lt;-2,"Baixo",IF($O1005&lt;=2,"Adequado","Elevado"))))</f>
        <v/>
      </c>
      <c r="Q1005" s="12">
        <f>IF(OR($S1005="",$F1005="",$T1005="",$T1005&lt;0,$T1005&gt;60,$AR1005=""),"—",ROUND(IF(ABS($AU1005)&lt;=3,$AU1005,IF($AU1005&gt;3,3+($F1005-$AW1005)/($AW1005-$AV1005),-3+($F1005-$AY1005)/($AX1005-$AY1005))),2))</f>
        <v/>
      </c>
      <c r="R1005">
        <f>IF(OR($Q1005="",$Q1005="—"),"",IF($Q1005&lt;-3,"Magreza acentuada",IF($Q1005&lt;-2,"Magreza",IF($Q1005&lt;=1,"Eutrofia",IF($Q1005&lt;=2,"Risco de sobrepeso",IF($Q1005&lt;=3,"Sobrepeso","Obesidade"))))))</f>
        <v/>
      </c>
      <c r="S1005">
        <f>IF($C1005="","",IF(UPPER(LEFT($C1005,1))="M",1,IF(UPPER(LEFT($C1005,1))="F",2,"")))</f>
        <v/>
      </c>
      <c r="T1005">
        <f>IF(OR($D1005="",$E1005=""),"",DATEDIF($D1005,$E1005,"m"))</f>
        <v/>
      </c>
      <c r="U1005">
        <f>IF(OR($D1005="",$E1005=""),"",$E1005-$D1005)</f>
        <v/>
      </c>
      <c r="V1005">
        <f>IF(OR($G1005="",$T1005=""),"",IF($T1005&lt;24,IF(LEFT(LOWER($H1005),4)="em p",$G1005+0.7,$G1005),IF(LEFT(LOWER($H1005),4)="deit",$G1005-0.7,$G1005)))</f>
        <v/>
      </c>
      <c r="W1005">
        <f>IF(OR($S1005="",$T1005=""),"",$S1005*1000000+IF($T1005&lt;=60,$U1005,$T1005))</f>
        <v/>
      </c>
      <c r="X1005">
        <f>IF(OR($S1005="",$V1005="",$T1005&gt;60,$T1005=""),"",$S1005*1000000+ROUND($V1005*10,0))</f>
        <v/>
      </c>
      <c r="Y1005">
        <f>IF($W1005="","",IFERROR(INDEX(IF($T1005&lt;=60,imc05_l,imc519_l),MATCH($W1005,IF($T1005&lt;=60,imc05_k,imc519_k),1)),""))</f>
        <v/>
      </c>
      <c r="Z1005">
        <f>IF($W1005="","",IFERROR(INDEX(IF($T1005&lt;=60,imc05_m,imc519_m),MATCH($W1005,IF($T1005&lt;=60,imc05_k,imc519_k),1)),""))</f>
        <v/>
      </c>
      <c r="AA1005">
        <f>IF($W1005="","",IFERROR(INDEX(IF($T1005&lt;=60,imc05_s,imc519_s),MATCH($W1005,IF($T1005&lt;=60,imc05_k,imc519_k),1)),""))</f>
        <v/>
      </c>
      <c r="AB1005">
        <f>IF($Y1005="","",IF($Y1005=0,LN($J1005/$Z1005)/$AA1005,((($J1005/$Z1005)^$Y1005)-1)/($Y1005*$AA1005)))</f>
        <v/>
      </c>
      <c r="AC1005">
        <f>IF($Y1005="","",IF($Y1005=0,$Z1005*EXP($AA1005*2),$Z1005*(1+$Y1005*$AA1005*2)^(1/$Y1005)))</f>
        <v/>
      </c>
      <c r="AD1005">
        <f>IF($Y1005="","",IF($Y1005=0,$Z1005*EXP($AA1005*3),$Z1005*(1+$Y1005*$AA1005*3)^(1/$Y1005)))</f>
        <v/>
      </c>
      <c r="AE1005">
        <f>IF($Y1005="","",IF($Y1005=0,$Z1005*EXP($AA1005*-2),$Z1005*(1+$Y1005*$AA1005*-2)^(1/$Y1005)))</f>
        <v/>
      </c>
      <c r="AF1005">
        <f>IF($Y1005="","",IF($Y1005=0,$Z1005*EXP($AA1005*-3),$Z1005*(1+$Y1005*$AA1005*-3)^(1/$Y1005)))</f>
        <v/>
      </c>
      <c r="AG1005">
        <f>IF($W1005="","",IFERROR(INDEX(IF($T1005&lt;=60,est05_l,est519_l),MATCH($W1005,IF($T1005&lt;=60,est05_k,est519_k),1)),""))</f>
        <v/>
      </c>
      <c r="AH1005">
        <f>IF($W1005="","",IFERROR(INDEX(IF($T1005&lt;=60,est05_m,est519_m),MATCH($W1005,IF($T1005&lt;=60,est05_k,est519_k),1)),""))</f>
        <v/>
      </c>
      <c r="AI1005">
        <f>IF($W1005="","",IFERROR(INDEX(IF($T1005&lt;=60,est05_s,est519_s),MATCH($W1005,IF($T1005&lt;=60,est05_k,est519_k),1)),""))</f>
        <v/>
      </c>
      <c r="AJ1005">
        <f>IF($W1005="","",IFERROR(INDEX(IF($T1005&lt;=60,peso05_l,peso510_l),MATCH($W1005,IF($T1005&lt;=60,peso05_k,peso510_k),1)),""))</f>
        <v/>
      </c>
      <c r="AK1005">
        <f>IF($W1005="","",IFERROR(INDEX(IF($T1005&lt;=60,peso05_m,peso510_m),MATCH($W1005,IF($T1005&lt;=60,peso05_k,peso510_k),1)),""))</f>
        <v/>
      </c>
      <c r="AL1005">
        <f>IF($W1005="","",IFERROR(INDEX(IF($T1005&lt;=60,peso05_s,peso510_s),MATCH($W1005,IF($T1005&lt;=60,peso05_k,peso510_k),1)),""))</f>
        <v/>
      </c>
      <c r="AM1005">
        <f>IF($AJ1005="","",IF($AJ1005=0,LN($F1005/$AK1005)/$AL1005,((($F1005/$AK1005)^$AJ1005)-1)/($AJ1005*$AL1005)))</f>
        <v/>
      </c>
      <c r="AN1005">
        <f>IF($AJ1005="","",IF($AJ1005=0,$AK1005*EXP($AL1005*2),$AK1005*(1+$AJ1005*$AL1005*2)^(1/$AJ1005)))</f>
        <v/>
      </c>
      <c r="AO1005">
        <f>IF($AJ1005="","",IF($AJ1005=0,$AK1005*EXP($AL1005*3),$AK1005*(1+$AJ1005*$AL1005*3)^(1/$AJ1005)))</f>
        <v/>
      </c>
      <c r="AP1005">
        <f>IF($AJ1005="","",IF($AJ1005=0,$AK1005*EXP($AL1005*-2),$AK1005*(1+$AJ1005*$AL1005*-2)^(1/$AJ1005)))</f>
        <v/>
      </c>
      <c r="AQ1005">
        <f>IF($AJ1005="","",IF($AJ1005=0,$AK1005*EXP($AL1005*-3),$AK1005*(1+$AJ1005*$AL1005*-3)^(1/$AJ1005)))</f>
        <v/>
      </c>
      <c r="AR1005">
        <f>IF(OR($X1005="",$T1005&gt;60),"",IFERROR(INDEX(IF($T1005&lt;24,pcomp_l,palt_l),MATCH($X1005,IF($T1005&lt;24,pcomp_k,palt_k),1)),""))</f>
        <v/>
      </c>
      <c r="AS1005">
        <f>IF(OR($X1005="",$T1005&gt;60),"",IFERROR(INDEX(IF($T1005&lt;24,pcomp_m,palt_m),MATCH($X1005,IF($T1005&lt;24,pcomp_k,palt_k),1)),""))</f>
        <v/>
      </c>
      <c r="AT1005">
        <f>IF(OR($X1005="",$T1005&gt;60),"",IFERROR(INDEX(IF($T1005&lt;24,pcomp_s,palt_s),MATCH($X1005,IF($T1005&lt;24,pcomp_k,palt_k),1)),""))</f>
        <v/>
      </c>
      <c r="AU1005">
        <f>IF($AR1005="","",IF($AR1005=0,LN($F1005/$AS1005)/$AT1005,((($F1005/$AS1005)^$AR1005)-1)/($AR1005*$AT1005)))</f>
        <v/>
      </c>
      <c r="AV1005">
        <f>IF($AR1005="","",IF($AR1005=0,$AS1005*EXP($AT1005*2),$AS1005*(1+$AR1005*$AT1005*2)^(1/$AR1005)))</f>
        <v/>
      </c>
      <c r="AW1005">
        <f>IF($AR1005="","",IF($AR1005=0,$AS1005*EXP($AT1005*3),$AS1005*(1+$AR1005*$AT1005*3)^(1/$AR1005)))</f>
        <v/>
      </c>
      <c r="AX1005">
        <f>IF($AR1005="","",IF($AR1005=0,$AS1005*EXP($AT1005*-2),$AS1005*(1+$AR1005*$AT1005*-2)^(1/$AR1005)))</f>
        <v/>
      </c>
      <c r="AY1005">
        <f>IF($AR1005="","",IF($AR1005=0,$AS1005*EXP($AT1005*-3),$AS1005*(1+$AR1005*$AT1005*-3)^(1/$AR1005)))</f>
        <v/>
      </c>
      <c r="AZ1005">
        <f>IF(OR($A1005="",$A1005&lt;&gt;Ficha!$C$4),"",COUNTIF($A$2:$A1005,Ficha!$C$4))</f>
        <v/>
      </c>
    </row>
    <row r="1006">
      <c r="A1006" s="8">
        <f>IF(INDEX(Banco!$A:$A,ROW())="","",INDEX(Banco!$A:$A,ROW()))</f>
        <v/>
      </c>
      <c r="B1006" s="8">
        <f>IF(INDEX(Banco!$B:$B,ROW())="","",INDEX(Banco!$B:$B,ROW()))</f>
        <v/>
      </c>
      <c r="C1006" s="8">
        <f>IF(INDEX(Banco!$C:$C,ROW())="","",INDEX(Banco!$C:$C,ROW()))</f>
        <v/>
      </c>
      <c r="D1006" s="9">
        <f>IF(INDEX(Banco!$D:$D,ROW())="","",INDEX(Banco!$D:$D,ROW()))</f>
        <v/>
      </c>
      <c r="E1006" s="9">
        <f>IF(INDEX(Banco!$E:$E,ROW())="","",INDEX(Banco!$E:$E,ROW()))</f>
        <v/>
      </c>
      <c r="F1006" s="10">
        <f>IF(INDEX(Banco!$F:$F,ROW())="","",INDEX(Banco!$F:$F,ROW()))</f>
        <v/>
      </c>
      <c r="G1006" s="10">
        <f>IF(INDEX(Banco!$G:$G,ROW())="","",INDEX(Banco!$G:$G,ROW()))</f>
        <v/>
      </c>
      <c r="H1006" s="8">
        <f>IF(INDEX(Banco!$H:$H,ROW())="","",INDEX(Banco!$H:$H,ROW()))</f>
        <v/>
      </c>
      <c r="I1006">
        <f>IF($T1006="","",INT($T1006/12)&amp;"a "&amp;MOD($T1006,12)&amp;"m")</f>
        <v/>
      </c>
      <c r="J1006" s="11">
        <f>IF(OR($F1006="",$G1006=""),"",ROUND($F1006/($G1006/100)^2,2))</f>
        <v/>
      </c>
      <c r="K1006" s="12">
        <f>IF(OR($S1006="",$J1006="",$T1006="",$T1006&lt;0,$T1006&gt;228,$Y1006=""),"—",ROUND(IF(ABS($AB1006)&lt;=3,$AB1006,IF($AB1006&gt;3,3+($J1006-$AD1006)/($AD1006-$AC1006),-3+($J1006-$AF1006)/($AE1006-$AF1006))),2))</f>
        <v/>
      </c>
      <c r="L1006">
        <f>IF(OR($K1006="",$K1006="—"),"",IF($T1006&lt;=60,IF($K1006&lt;-3,"Magreza acentuada",IF($K1006&lt;-2,"Magreza",IF($K1006&lt;=1,"Eutrofia",IF($K1006&lt;=2,"Risco de sobrepeso",IF($K1006&lt;=3,"Sobrepeso","Obesidade"))))),IF($K1006&lt;-3,"Magreza acentuada",IF($K1006&lt;-2,"Magreza",IF($K1006&lt;=1,"Eutrofia",IF($K1006&lt;=2,"Sobrepeso",IF($K1006&lt;=3,"Obesidade","Obesidade grave")))))))</f>
        <v/>
      </c>
      <c r="M1006" s="12">
        <f>IF(OR($S1006="",$V1006="",$T1006="",$T1006&lt;0,$T1006&gt;228,$AG1006=""),"—",ROUND(IF($AG1006=0,LN($V1006/$AH1006)/$AI1006,((($V1006/$AH1006)^$AG1006)-1)/($AG1006*$AI1006)),2))</f>
        <v/>
      </c>
      <c r="N1006">
        <f>IF(OR($M1006="",$M1006="—"),"",IF($M1006&lt;-3,"Muito baixa",IF($M1006&lt;-2,"Baixa","Adequada")))</f>
        <v/>
      </c>
      <c r="O1006" s="12">
        <f>IF(OR($S1006="",$F1006="",$T1006="",$T1006&lt;0,$T1006&gt;120,$AJ1006=""),"—",ROUND(IF(ABS($AM1006)&lt;=3,$AM1006,IF($AM1006&gt;3,3+($F1006-$AO1006)/($AO1006-$AN1006),-3+($F1006-$AQ1006)/($AP1006-$AQ1006))),2))</f>
        <v/>
      </c>
      <c r="P1006">
        <f>IF(OR($O1006="",$O1006="—"),"",IF($O1006&lt;-3,"Muito baixo",IF($O1006&lt;-2,"Baixo",IF($O1006&lt;=2,"Adequado","Elevado"))))</f>
        <v/>
      </c>
      <c r="Q1006" s="12">
        <f>IF(OR($S1006="",$F1006="",$T1006="",$T1006&lt;0,$T1006&gt;60,$AR1006=""),"—",ROUND(IF(ABS($AU1006)&lt;=3,$AU1006,IF($AU1006&gt;3,3+($F1006-$AW1006)/($AW1006-$AV1006),-3+($F1006-$AY1006)/($AX1006-$AY1006))),2))</f>
        <v/>
      </c>
      <c r="R1006">
        <f>IF(OR($Q1006="",$Q1006="—"),"",IF($Q1006&lt;-3,"Magreza acentuada",IF($Q1006&lt;-2,"Magreza",IF($Q1006&lt;=1,"Eutrofia",IF($Q1006&lt;=2,"Risco de sobrepeso",IF($Q1006&lt;=3,"Sobrepeso","Obesidade"))))))</f>
        <v/>
      </c>
      <c r="S1006">
        <f>IF($C1006="","",IF(UPPER(LEFT($C1006,1))="M",1,IF(UPPER(LEFT($C1006,1))="F",2,"")))</f>
        <v/>
      </c>
      <c r="T1006">
        <f>IF(OR($D1006="",$E1006=""),"",DATEDIF($D1006,$E1006,"m"))</f>
        <v/>
      </c>
      <c r="U1006">
        <f>IF(OR($D1006="",$E1006=""),"",$E1006-$D1006)</f>
        <v/>
      </c>
      <c r="V1006">
        <f>IF(OR($G1006="",$T1006=""),"",IF($T1006&lt;24,IF(LEFT(LOWER($H1006),4)="em p",$G1006+0.7,$G1006),IF(LEFT(LOWER($H1006),4)="deit",$G1006-0.7,$G1006)))</f>
        <v/>
      </c>
      <c r="W1006">
        <f>IF(OR($S1006="",$T1006=""),"",$S1006*1000000+IF($T1006&lt;=60,$U1006,$T1006))</f>
        <v/>
      </c>
      <c r="X1006">
        <f>IF(OR($S1006="",$V1006="",$T1006&gt;60,$T1006=""),"",$S1006*1000000+ROUND($V1006*10,0))</f>
        <v/>
      </c>
      <c r="Y1006">
        <f>IF($W1006="","",IFERROR(INDEX(IF($T1006&lt;=60,imc05_l,imc519_l),MATCH($W1006,IF($T1006&lt;=60,imc05_k,imc519_k),1)),""))</f>
        <v/>
      </c>
      <c r="Z1006">
        <f>IF($W1006="","",IFERROR(INDEX(IF($T1006&lt;=60,imc05_m,imc519_m),MATCH($W1006,IF($T1006&lt;=60,imc05_k,imc519_k),1)),""))</f>
        <v/>
      </c>
      <c r="AA1006">
        <f>IF($W1006="","",IFERROR(INDEX(IF($T1006&lt;=60,imc05_s,imc519_s),MATCH($W1006,IF($T1006&lt;=60,imc05_k,imc519_k),1)),""))</f>
        <v/>
      </c>
      <c r="AB1006">
        <f>IF($Y1006="","",IF($Y1006=0,LN($J1006/$Z1006)/$AA1006,((($J1006/$Z1006)^$Y1006)-1)/($Y1006*$AA1006)))</f>
        <v/>
      </c>
      <c r="AC1006">
        <f>IF($Y1006="","",IF($Y1006=0,$Z1006*EXP($AA1006*2),$Z1006*(1+$Y1006*$AA1006*2)^(1/$Y1006)))</f>
        <v/>
      </c>
      <c r="AD1006">
        <f>IF($Y1006="","",IF($Y1006=0,$Z1006*EXP($AA1006*3),$Z1006*(1+$Y1006*$AA1006*3)^(1/$Y1006)))</f>
        <v/>
      </c>
      <c r="AE1006">
        <f>IF($Y1006="","",IF($Y1006=0,$Z1006*EXP($AA1006*-2),$Z1006*(1+$Y1006*$AA1006*-2)^(1/$Y1006)))</f>
        <v/>
      </c>
      <c r="AF1006">
        <f>IF($Y1006="","",IF($Y1006=0,$Z1006*EXP($AA1006*-3),$Z1006*(1+$Y1006*$AA1006*-3)^(1/$Y1006)))</f>
        <v/>
      </c>
      <c r="AG1006">
        <f>IF($W1006="","",IFERROR(INDEX(IF($T1006&lt;=60,est05_l,est519_l),MATCH($W1006,IF($T1006&lt;=60,est05_k,est519_k),1)),""))</f>
        <v/>
      </c>
      <c r="AH1006">
        <f>IF($W1006="","",IFERROR(INDEX(IF($T1006&lt;=60,est05_m,est519_m),MATCH($W1006,IF($T1006&lt;=60,est05_k,est519_k),1)),""))</f>
        <v/>
      </c>
      <c r="AI1006">
        <f>IF($W1006="","",IFERROR(INDEX(IF($T1006&lt;=60,est05_s,est519_s),MATCH($W1006,IF($T1006&lt;=60,est05_k,est519_k),1)),""))</f>
        <v/>
      </c>
      <c r="AJ1006">
        <f>IF($W1006="","",IFERROR(INDEX(IF($T1006&lt;=60,peso05_l,peso510_l),MATCH($W1006,IF($T1006&lt;=60,peso05_k,peso510_k),1)),""))</f>
        <v/>
      </c>
      <c r="AK1006">
        <f>IF($W1006="","",IFERROR(INDEX(IF($T1006&lt;=60,peso05_m,peso510_m),MATCH($W1006,IF($T1006&lt;=60,peso05_k,peso510_k),1)),""))</f>
        <v/>
      </c>
      <c r="AL1006">
        <f>IF($W1006="","",IFERROR(INDEX(IF($T1006&lt;=60,peso05_s,peso510_s),MATCH($W1006,IF($T1006&lt;=60,peso05_k,peso510_k),1)),""))</f>
        <v/>
      </c>
      <c r="AM1006">
        <f>IF($AJ1006="","",IF($AJ1006=0,LN($F1006/$AK1006)/$AL1006,((($F1006/$AK1006)^$AJ1006)-1)/($AJ1006*$AL1006)))</f>
        <v/>
      </c>
      <c r="AN1006">
        <f>IF($AJ1006="","",IF($AJ1006=0,$AK1006*EXP($AL1006*2),$AK1006*(1+$AJ1006*$AL1006*2)^(1/$AJ1006)))</f>
        <v/>
      </c>
      <c r="AO1006">
        <f>IF($AJ1006="","",IF($AJ1006=0,$AK1006*EXP($AL1006*3),$AK1006*(1+$AJ1006*$AL1006*3)^(1/$AJ1006)))</f>
        <v/>
      </c>
      <c r="AP1006">
        <f>IF($AJ1006="","",IF($AJ1006=0,$AK1006*EXP($AL1006*-2),$AK1006*(1+$AJ1006*$AL1006*-2)^(1/$AJ1006)))</f>
        <v/>
      </c>
      <c r="AQ1006">
        <f>IF($AJ1006="","",IF($AJ1006=0,$AK1006*EXP($AL1006*-3),$AK1006*(1+$AJ1006*$AL1006*-3)^(1/$AJ1006)))</f>
        <v/>
      </c>
      <c r="AR1006">
        <f>IF(OR($X1006="",$T1006&gt;60),"",IFERROR(INDEX(IF($T1006&lt;24,pcomp_l,palt_l),MATCH($X1006,IF($T1006&lt;24,pcomp_k,palt_k),1)),""))</f>
        <v/>
      </c>
      <c r="AS1006">
        <f>IF(OR($X1006="",$T1006&gt;60),"",IFERROR(INDEX(IF($T1006&lt;24,pcomp_m,palt_m),MATCH($X1006,IF($T1006&lt;24,pcomp_k,palt_k),1)),""))</f>
        <v/>
      </c>
      <c r="AT1006">
        <f>IF(OR($X1006="",$T1006&gt;60),"",IFERROR(INDEX(IF($T1006&lt;24,pcomp_s,palt_s),MATCH($X1006,IF($T1006&lt;24,pcomp_k,palt_k),1)),""))</f>
        <v/>
      </c>
      <c r="AU1006">
        <f>IF($AR1006="","",IF($AR1006=0,LN($F1006/$AS1006)/$AT1006,((($F1006/$AS1006)^$AR1006)-1)/($AR1006*$AT1006)))</f>
        <v/>
      </c>
      <c r="AV1006">
        <f>IF($AR1006="","",IF($AR1006=0,$AS1006*EXP($AT1006*2),$AS1006*(1+$AR1006*$AT1006*2)^(1/$AR1006)))</f>
        <v/>
      </c>
      <c r="AW1006">
        <f>IF($AR1006="","",IF($AR1006=0,$AS1006*EXP($AT1006*3),$AS1006*(1+$AR1006*$AT1006*3)^(1/$AR1006)))</f>
        <v/>
      </c>
      <c r="AX1006">
        <f>IF($AR1006="","",IF($AR1006=0,$AS1006*EXP($AT1006*-2),$AS1006*(1+$AR1006*$AT1006*-2)^(1/$AR1006)))</f>
        <v/>
      </c>
      <c r="AY1006">
        <f>IF($AR1006="","",IF($AR1006=0,$AS1006*EXP($AT1006*-3),$AS1006*(1+$AR1006*$AT1006*-3)^(1/$AR1006)))</f>
        <v/>
      </c>
      <c r="AZ1006">
        <f>IF(OR($A1006="",$A1006&lt;&gt;Ficha!$C$4),"",COUNTIF($A$2:$A1006,Ficha!$C$4))</f>
        <v/>
      </c>
    </row>
    <row r="1007">
      <c r="A1007" s="8">
        <f>IF(INDEX(Banco!$A:$A,ROW())="","",INDEX(Banco!$A:$A,ROW()))</f>
        <v/>
      </c>
      <c r="B1007" s="8">
        <f>IF(INDEX(Banco!$B:$B,ROW())="","",INDEX(Banco!$B:$B,ROW()))</f>
        <v/>
      </c>
      <c r="C1007" s="8">
        <f>IF(INDEX(Banco!$C:$C,ROW())="","",INDEX(Banco!$C:$C,ROW()))</f>
        <v/>
      </c>
      <c r="D1007" s="9">
        <f>IF(INDEX(Banco!$D:$D,ROW())="","",INDEX(Banco!$D:$D,ROW()))</f>
        <v/>
      </c>
      <c r="E1007" s="9">
        <f>IF(INDEX(Banco!$E:$E,ROW())="","",INDEX(Banco!$E:$E,ROW()))</f>
        <v/>
      </c>
      <c r="F1007" s="10">
        <f>IF(INDEX(Banco!$F:$F,ROW())="","",INDEX(Banco!$F:$F,ROW()))</f>
        <v/>
      </c>
      <c r="G1007" s="10">
        <f>IF(INDEX(Banco!$G:$G,ROW())="","",INDEX(Banco!$G:$G,ROW()))</f>
        <v/>
      </c>
      <c r="H1007" s="8">
        <f>IF(INDEX(Banco!$H:$H,ROW())="","",INDEX(Banco!$H:$H,ROW()))</f>
        <v/>
      </c>
      <c r="I1007">
        <f>IF($T1007="","",INT($T1007/12)&amp;"a "&amp;MOD($T1007,12)&amp;"m")</f>
        <v/>
      </c>
      <c r="J1007" s="11">
        <f>IF(OR($F1007="",$G1007=""),"",ROUND($F1007/($G1007/100)^2,2))</f>
        <v/>
      </c>
      <c r="K1007" s="12">
        <f>IF(OR($S1007="",$J1007="",$T1007="",$T1007&lt;0,$T1007&gt;228,$Y1007=""),"—",ROUND(IF(ABS($AB1007)&lt;=3,$AB1007,IF($AB1007&gt;3,3+($J1007-$AD1007)/($AD1007-$AC1007),-3+($J1007-$AF1007)/($AE1007-$AF1007))),2))</f>
        <v/>
      </c>
      <c r="L1007">
        <f>IF(OR($K1007="",$K1007="—"),"",IF($T1007&lt;=60,IF($K1007&lt;-3,"Magreza acentuada",IF($K1007&lt;-2,"Magreza",IF($K1007&lt;=1,"Eutrofia",IF($K1007&lt;=2,"Risco de sobrepeso",IF($K1007&lt;=3,"Sobrepeso","Obesidade"))))),IF($K1007&lt;-3,"Magreza acentuada",IF($K1007&lt;-2,"Magreza",IF($K1007&lt;=1,"Eutrofia",IF($K1007&lt;=2,"Sobrepeso",IF($K1007&lt;=3,"Obesidade","Obesidade grave")))))))</f>
        <v/>
      </c>
      <c r="M1007" s="12">
        <f>IF(OR($S1007="",$V1007="",$T1007="",$T1007&lt;0,$T1007&gt;228,$AG1007=""),"—",ROUND(IF($AG1007=0,LN($V1007/$AH1007)/$AI1007,((($V1007/$AH1007)^$AG1007)-1)/($AG1007*$AI1007)),2))</f>
        <v/>
      </c>
      <c r="N1007">
        <f>IF(OR($M1007="",$M1007="—"),"",IF($M1007&lt;-3,"Muito baixa",IF($M1007&lt;-2,"Baixa","Adequada")))</f>
        <v/>
      </c>
      <c r="O1007" s="12">
        <f>IF(OR($S1007="",$F1007="",$T1007="",$T1007&lt;0,$T1007&gt;120,$AJ1007=""),"—",ROUND(IF(ABS($AM1007)&lt;=3,$AM1007,IF($AM1007&gt;3,3+($F1007-$AO1007)/($AO1007-$AN1007),-3+($F1007-$AQ1007)/($AP1007-$AQ1007))),2))</f>
        <v/>
      </c>
      <c r="P1007">
        <f>IF(OR($O1007="",$O1007="—"),"",IF($O1007&lt;-3,"Muito baixo",IF($O1007&lt;-2,"Baixo",IF($O1007&lt;=2,"Adequado","Elevado"))))</f>
        <v/>
      </c>
      <c r="Q1007" s="12">
        <f>IF(OR($S1007="",$F1007="",$T1007="",$T1007&lt;0,$T1007&gt;60,$AR1007=""),"—",ROUND(IF(ABS($AU1007)&lt;=3,$AU1007,IF($AU1007&gt;3,3+($F1007-$AW1007)/($AW1007-$AV1007),-3+($F1007-$AY1007)/($AX1007-$AY1007))),2))</f>
        <v/>
      </c>
      <c r="R1007">
        <f>IF(OR($Q1007="",$Q1007="—"),"",IF($Q1007&lt;-3,"Magreza acentuada",IF($Q1007&lt;-2,"Magreza",IF($Q1007&lt;=1,"Eutrofia",IF($Q1007&lt;=2,"Risco de sobrepeso",IF($Q1007&lt;=3,"Sobrepeso","Obesidade"))))))</f>
        <v/>
      </c>
      <c r="S1007">
        <f>IF($C1007="","",IF(UPPER(LEFT($C1007,1))="M",1,IF(UPPER(LEFT($C1007,1))="F",2,"")))</f>
        <v/>
      </c>
      <c r="T1007">
        <f>IF(OR($D1007="",$E1007=""),"",DATEDIF($D1007,$E1007,"m"))</f>
        <v/>
      </c>
      <c r="U1007">
        <f>IF(OR($D1007="",$E1007=""),"",$E1007-$D1007)</f>
        <v/>
      </c>
      <c r="V1007">
        <f>IF(OR($G1007="",$T1007=""),"",IF($T1007&lt;24,IF(LEFT(LOWER($H1007),4)="em p",$G1007+0.7,$G1007),IF(LEFT(LOWER($H1007),4)="deit",$G1007-0.7,$G1007)))</f>
        <v/>
      </c>
      <c r="W1007">
        <f>IF(OR($S1007="",$T1007=""),"",$S1007*1000000+IF($T1007&lt;=60,$U1007,$T1007))</f>
        <v/>
      </c>
      <c r="X1007">
        <f>IF(OR($S1007="",$V1007="",$T1007&gt;60,$T1007=""),"",$S1007*1000000+ROUND($V1007*10,0))</f>
        <v/>
      </c>
      <c r="Y1007">
        <f>IF($W1007="","",IFERROR(INDEX(IF($T1007&lt;=60,imc05_l,imc519_l),MATCH($W1007,IF($T1007&lt;=60,imc05_k,imc519_k),1)),""))</f>
        <v/>
      </c>
      <c r="Z1007">
        <f>IF($W1007="","",IFERROR(INDEX(IF($T1007&lt;=60,imc05_m,imc519_m),MATCH($W1007,IF($T1007&lt;=60,imc05_k,imc519_k),1)),""))</f>
        <v/>
      </c>
      <c r="AA1007">
        <f>IF($W1007="","",IFERROR(INDEX(IF($T1007&lt;=60,imc05_s,imc519_s),MATCH($W1007,IF($T1007&lt;=60,imc05_k,imc519_k),1)),""))</f>
        <v/>
      </c>
      <c r="AB1007">
        <f>IF($Y1007="","",IF($Y1007=0,LN($J1007/$Z1007)/$AA1007,((($J1007/$Z1007)^$Y1007)-1)/($Y1007*$AA1007)))</f>
        <v/>
      </c>
      <c r="AC1007">
        <f>IF($Y1007="","",IF($Y1007=0,$Z1007*EXP($AA1007*2),$Z1007*(1+$Y1007*$AA1007*2)^(1/$Y1007)))</f>
        <v/>
      </c>
      <c r="AD1007">
        <f>IF($Y1007="","",IF($Y1007=0,$Z1007*EXP($AA1007*3),$Z1007*(1+$Y1007*$AA1007*3)^(1/$Y1007)))</f>
        <v/>
      </c>
      <c r="AE1007">
        <f>IF($Y1007="","",IF($Y1007=0,$Z1007*EXP($AA1007*-2),$Z1007*(1+$Y1007*$AA1007*-2)^(1/$Y1007)))</f>
        <v/>
      </c>
      <c r="AF1007">
        <f>IF($Y1007="","",IF($Y1007=0,$Z1007*EXP($AA1007*-3),$Z1007*(1+$Y1007*$AA1007*-3)^(1/$Y1007)))</f>
        <v/>
      </c>
      <c r="AG1007">
        <f>IF($W1007="","",IFERROR(INDEX(IF($T1007&lt;=60,est05_l,est519_l),MATCH($W1007,IF($T1007&lt;=60,est05_k,est519_k),1)),""))</f>
        <v/>
      </c>
      <c r="AH1007">
        <f>IF($W1007="","",IFERROR(INDEX(IF($T1007&lt;=60,est05_m,est519_m),MATCH($W1007,IF($T1007&lt;=60,est05_k,est519_k),1)),""))</f>
        <v/>
      </c>
      <c r="AI1007">
        <f>IF($W1007="","",IFERROR(INDEX(IF($T1007&lt;=60,est05_s,est519_s),MATCH($W1007,IF($T1007&lt;=60,est05_k,est519_k),1)),""))</f>
        <v/>
      </c>
      <c r="AJ1007">
        <f>IF($W1007="","",IFERROR(INDEX(IF($T1007&lt;=60,peso05_l,peso510_l),MATCH($W1007,IF($T1007&lt;=60,peso05_k,peso510_k),1)),""))</f>
        <v/>
      </c>
      <c r="AK1007">
        <f>IF($W1007="","",IFERROR(INDEX(IF($T1007&lt;=60,peso05_m,peso510_m),MATCH($W1007,IF($T1007&lt;=60,peso05_k,peso510_k),1)),""))</f>
        <v/>
      </c>
      <c r="AL1007">
        <f>IF($W1007="","",IFERROR(INDEX(IF($T1007&lt;=60,peso05_s,peso510_s),MATCH($W1007,IF($T1007&lt;=60,peso05_k,peso510_k),1)),""))</f>
        <v/>
      </c>
      <c r="AM1007">
        <f>IF($AJ1007="","",IF($AJ1007=0,LN($F1007/$AK1007)/$AL1007,((($F1007/$AK1007)^$AJ1007)-1)/($AJ1007*$AL1007)))</f>
        <v/>
      </c>
      <c r="AN1007">
        <f>IF($AJ1007="","",IF($AJ1007=0,$AK1007*EXP($AL1007*2),$AK1007*(1+$AJ1007*$AL1007*2)^(1/$AJ1007)))</f>
        <v/>
      </c>
      <c r="AO1007">
        <f>IF($AJ1007="","",IF($AJ1007=0,$AK1007*EXP($AL1007*3),$AK1007*(1+$AJ1007*$AL1007*3)^(1/$AJ1007)))</f>
        <v/>
      </c>
      <c r="AP1007">
        <f>IF($AJ1007="","",IF($AJ1007=0,$AK1007*EXP($AL1007*-2),$AK1007*(1+$AJ1007*$AL1007*-2)^(1/$AJ1007)))</f>
        <v/>
      </c>
      <c r="AQ1007">
        <f>IF($AJ1007="","",IF($AJ1007=0,$AK1007*EXP($AL1007*-3),$AK1007*(1+$AJ1007*$AL1007*-3)^(1/$AJ1007)))</f>
        <v/>
      </c>
      <c r="AR1007">
        <f>IF(OR($X1007="",$T1007&gt;60),"",IFERROR(INDEX(IF($T1007&lt;24,pcomp_l,palt_l),MATCH($X1007,IF($T1007&lt;24,pcomp_k,palt_k),1)),""))</f>
        <v/>
      </c>
      <c r="AS1007">
        <f>IF(OR($X1007="",$T1007&gt;60),"",IFERROR(INDEX(IF($T1007&lt;24,pcomp_m,palt_m),MATCH($X1007,IF($T1007&lt;24,pcomp_k,palt_k),1)),""))</f>
        <v/>
      </c>
      <c r="AT1007">
        <f>IF(OR($X1007="",$T1007&gt;60),"",IFERROR(INDEX(IF($T1007&lt;24,pcomp_s,palt_s),MATCH($X1007,IF($T1007&lt;24,pcomp_k,palt_k),1)),""))</f>
        <v/>
      </c>
      <c r="AU1007">
        <f>IF($AR1007="","",IF($AR1007=0,LN($F1007/$AS1007)/$AT1007,((($F1007/$AS1007)^$AR1007)-1)/($AR1007*$AT1007)))</f>
        <v/>
      </c>
      <c r="AV1007">
        <f>IF($AR1007="","",IF($AR1007=0,$AS1007*EXP($AT1007*2),$AS1007*(1+$AR1007*$AT1007*2)^(1/$AR1007)))</f>
        <v/>
      </c>
      <c r="AW1007">
        <f>IF($AR1007="","",IF($AR1007=0,$AS1007*EXP($AT1007*3),$AS1007*(1+$AR1007*$AT1007*3)^(1/$AR1007)))</f>
        <v/>
      </c>
      <c r="AX1007">
        <f>IF($AR1007="","",IF($AR1007=0,$AS1007*EXP($AT1007*-2),$AS1007*(1+$AR1007*$AT1007*-2)^(1/$AR1007)))</f>
        <v/>
      </c>
      <c r="AY1007">
        <f>IF($AR1007="","",IF($AR1007=0,$AS1007*EXP($AT1007*-3),$AS1007*(1+$AR1007*$AT1007*-3)^(1/$AR1007)))</f>
        <v/>
      </c>
      <c r="AZ1007">
        <f>IF(OR($A1007="",$A1007&lt;&gt;Ficha!$C$4),"",COUNTIF($A$2:$A1007,Ficha!$C$4))</f>
        <v/>
      </c>
    </row>
    <row r="1008">
      <c r="A1008" s="8">
        <f>IF(INDEX(Banco!$A:$A,ROW())="","",INDEX(Banco!$A:$A,ROW()))</f>
        <v/>
      </c>
      <c r="B1008" s="8">
        <f>IF(INDEX(Banco!$B:$B,ROW())="","",INDEX(Banco!$B:$B,ROW()))</f>
        <v/>
      </c>
      <c r="C1008" s="8">
        <f>IF(INDEX(Banco!$C:$C,ROW())="","",INDEX(Banco!$C:$C,ROW()))</f>
        <v/>
      </c>
      <c r="D1008" s="9">
        <f>IF(INDEX(Banco!$D:$D,ROW())="","",INDEX(Banco!$D:$D,ROW()))</f>
        <v/>
      </c>
      <c r="E1008" s="9">
        <f>IF(INDEX(Banco!$E:$E,ROW())="","",INDEX(Banco!$E:$E,ROW()))</f>
        <v/>
      </c>
      <c r="F1008" s="10">
        <f>IF(INDEX(Banco!$F:$F,ROW())="","",INDEX(Banco!$F:$F,ROW()))</f>
        <v/>
      </c>
      <c r="G1008" s="10">
        <f>IF(INDEX(Banco!$G:$G,ROW())="","",INDEX(Banco!$G:$G,ROW()))</f>
        <v/>
      </c>
      <c r="H1008" s="8">
        <f>IF(INDEX(Banco!$H:$H,ROW())="","",INDEX(Banco!$H:$H,ROW()))</f>
        <v/>
      </c>
      <c r="I1008">
        <f>IF($T1008="","",INT($T1008/12)&amp;"a "&amp;MOD($T1008,12)&amp;"m")</f>
        <v/>
      </c>
      <c r="J1008" s="11">
        <f>IF(OR($F1008="",$G1008=""),"",ROUND($F1008/($G1008/100)^2,2))</f>
        <v/>
      </c>
      <c r="K1008" s="12">
        <f>IF(OR($S1008="",$J1008="",$T1008="",$T1008&lt;0,$T1008&gt;228,$Y1008=""),"—",ROUND(IF(ABS($AB1008)&lt;=3,$AB1008,IF($AB1008&gt;3,3+($J1008-$AD1008)/($AD1008-$AC1008),-3+($J1008-$AF1008)/($AE1008-$AF1008))),2))</f>
        <v/>
      </c>
      <c r="L1008">
        <f>IF(OR($K1008="",$K1008="—"),"",IF($T1008&lt;=60,IF($K1008&lt;-3,"Magreza acentuada",IF($K1008&lt;-2,"Magreza",IF($K1008&lt;=1,"Eutrofia",IF($K1008&lt;=2,"Risco de sobrepeso",IF($K1008&lt;=3,"Sobrepeso","Obesidade"))))),IF($K1008&lt;-3,"Magreza acentuada",IF($K1008&lt;-2,"Magreza",IF($K1008&lt;=1,"Eutrofia",IF($K1008&lt;=2,"Sobrepeso",IF($K1008&lt;=3,"Obesidade","Obesidade grave")))))))</f>
        <v/>
      </c>
      <c r="M1008" s="12">
        <f>IF(OR($S1008="",$V1008="",$T1008="",$T1008&lt;0,$T1008&gt;228,$AG1008=""),"—",ROUND(IF($AG1008=0,LN($V1008/$AH1008)/$AI1008,((($V1008/$AH1008)^$AG1008)-1)/($AG1008*$AI1008)),2))</f>
        <v/>
      </c>
      <c r="N1008">
        <f>IF(OR($M1008="",$M1008="—"),"",IF($M1008&lt;-3,"Muito baixa",IF($M1008&lt;-2,"Baixa","Adequada")))</f>
        <v/>
      </c>
      <c r="O1008" s="12">
        <f>IF(OR($S1008="",$F1008="",$T1008="",$T1008&lt;0,$T1008&gt;120,$AJ1008=""),"—",ROUND(IF(ABS($AM1008)&lt;=3,$AM1008,IF($AM1008&gt;3,3+($F1008-$AO1008)/($AO1008-$AN1008),-3+($F1008-$AQ1008)/($AP1008-$AQ1008))),2))</f>
        <v/>
      </c>
      <c r="P1008">
        <f>IF(OR($O1008="",$O1008="—"),"",IF($O1008&lt;-3,"Muito baixo",IF($O1008&lt;-2,"Baixo",IF($O1008&lt;=2,"Adequado","Elevado"))))</f>
        <v/>
      </c>
      <c r="Q1008" s="12">
        <f>IF(OR($S1008="",$F1008="",$T1008="",$T1008&lt;0,$T1008&gt;60,$AR1008=""),"—",ROUND(IF(ABS($AU1008)&lt;=3,$AU1008,IF($AU1008&gt;3,3+($F1008-$AW1008)/($AW1008-$AV1008),-3+($F1008-$AY1008)/($AX1008-$AY1008))),2))</f>
        <v/>
      </c>
      <c r="R1008">
        <f>IF(OR($Q1008="",$Q1008="—"),"",IF($Q1008&lt;-3,"Magreza acentuada",IF($Q1008&lt;-2,"Magreza",IF($Q1008&lt;=1,"Eutrofia",IF($Q1008&lt;=2,"Risco de sobrepeso",IF($Q1008&lt;=3,"Sobrepeso","Obesidade"))))))</f>
        <v/>
      </c>
      <c r="S1008">
        <f>IF($C1008="","",IF(UPPER(LEFT($C1008,1))="M",1,IF(UPPER(LEFT($C1008,1))="F",2,"")))</f>
        <v/>
      </c>
      <c r="T1008">
        <f>IF(OR($D1008="",$E1008=""),"",DATEDIF($D1008,$E1008,"m"))</f>
        <v/>
      </c>
      <c r="U1008">
        <f>IF(OR($D1008="",$E1008=""),"",$E1008-$D1008)</f>
        <v/>
      </c>
      <c r="V1008">
        <f>IF(OR($G1008="",$T1008=""),"",IF($T1008&lt;24,IF(LEFT(LOWER($H1008),4)="em p",$G1008+0.7,$G1008),IF(LEFT(LOWER($H1008),4)="deit",$G1008-0.7,$G1008)))</f>
        <v/>
      </c>
      <c r="W1008">
        <f>IF(OR($S1008="",$T1008=""),"",$S1008*1000000+IF($T1008&lt;=60,$U1008,$T1008))</f>
        <v/>
      </c>
      <c r="X1008">
        <f>IF(OR($S1008="",$V1008="",$T1008&gt;60,$T1008=""),"",$S1008*1000000+ROUND($V1008*10,0))</f>
        <v/>
      </c>
      <c r="Y1008">
        <f>IF($W1008="","",IFERROR(INDEX(IF($T1008&lt;=60,imc05_l,imc519_l),MATCH($W1008,IF($T1008&lt;=60,imc05_k,imc519_k),1)),""))</f>
        <v/>
      </c>
      <c r="Z1008">
        <f>IF($W1008="","",IFERROR(INDEX(IF($T1008&lt;=60,imc05_m,imc519_m),MATCH($W1008,IF($T1008&lt;=60,imc05_k,imc519_k),1)),""))</f>
        <v/>
      </c>
      <c r="AA1008">
        <f>IF($W1008="","",IFERROR(INDEX(IF($T1008&lt;=60,imc05_s,imc519_s),MATCH($W1008,IF($T1008&lt;=60,imc05_k,imc519_k),1)),""))</f>
        <v/>
      </c>
      <c r="AB1008">
        <f>IF($Y1008="","",IF($Y1008=0,LN($J1008/$Z1008)/$AA1008,((($J1008/$Z1008)^$Y1008)-1)/($Y1008*$AA1008)))</f>
        <v/>
      </c>
      <c r="AC1008">
        <f>IF($Y1008="","",IF($Y1008=0,$Z1008*EXP($AA1008*2),$Z1008*(1+$Y1008*$AA1008*2)^(1/$Y1008)))</f>
        <v/>
      </c>
      <c r="AD1008">
        <f>IF($Y1008="","",IF($Y1008=0,$Z1008*EXP($AA1008*3),$Z1008*(1+$Y1008*$AA1008*3)^(1/$Y1008)))</f>
        <v/>
      </c>
      <c r="AE1008">
        <f>IF($Y1008="","",IF($Y1008=0,$Z1008*EXP($AA1008*-2),$Z1008*(1+$Y1008*$AA1008*-2)^(1/$Y1008)))</f>
        <v/>
      </c>
      <c r="AF1008">
        <f>IF($Y1008="","",IF($Y1008=0,$Z1008*EXP($AA1008*-3),$Z1008*(1+$Y1008*$AA1008*-3)^(1/$Y1008)))</f>
        <v/>
      </c>
      <c r="AG1008">
        <f>IF($W1008="","",IFERROR(INDEX(IF($T1008&lt;=60,est05_l,est519_l),MATCH($W1008,IF($T1008&lt;=60,est05_k,est519_k),1)),""))</f>
        <v/>
      </c>
      <c r="AH1008">
        <f>IF($W1008="","",IFERROR(INDEX(IF($T1008&lt;=60,est05_m,est519_m),MATCH($W1008,IF($T1008&lt;=60,est05_k,est519_k),1)),""))</f>
        <v/>
      </c>
      <c r="AI1008">
        <f>IF($W1008="","",IFERROR(INDEX(IF($T1008&lt;=60,est05_s,est519_s),MATCH($W1008,IF($T1008&lt;=60,est05_k,est519_k),1)),""))</f>
        <v/>
      </c>
      <c r="AJ1008">
        <f>IF($W1008="","",IFERROR(INDEX(IF($T1008&lt;=60,peso05_l,peso510_l),MATCH($W1008,IF($T1008&lt;=60,peso05_k,peso510_k),1)),""))</f>
        <v/>
      </c>
      <c r="AK1008">
        <f>IF($W1008="","",IFERROR(INDEX(IF($T1008&lt;=60,peso05_m,peso510_m),MATCH($W1008,IF($T1008&lt;=60,peso05_k,peso510_k),1)),""))</f>
        <v/>
      </c>
      <c r="AL1008">
        <f>IF($W1008="","",IFERROR(INDEX(IF($T1008&lt;=60,peso05_s,peso510_s),MATCH($W1008,IF($T1008&lt;=60,peso05_k,peso510_k),1)),""))</f>
        <v/>
      </c>
      <c r="AM1008">
        <f>IF($AJ1008="","",IF($AJ1008=0,LN($F1008/$AK1008)/$AL1008,((($F1008/$AK1008)^$AJ1008)-1)/($AJ1008*$AL1008)))</f>
        <v/>
      </c>
      <c r="AN1008">
        <f>IF($AJ1008="","",IF($AJ1008=0,$AK1008*EXP($AL1008*2),$AK1008*(1+$AJ1008*$AL1008*2)^(1/$AJ1008)))</f>
        <v/>
      </c>
      <c r="AO1008">
        <f>IF($AJ1008="","",IF($AJ1008=0,$AK1008*EXP($AL1008*3),$AK1008*(1+$AJ1008*$AL1008*3)^(1/$AJ1008)))</f>
        <v/>
      </c>
      <c r="AP1008">
        <f>IF($AJ1008="","",IF($AJ1008=0,$AK1008*EXP($AL1008*-2),$AK1008*(1+$AJ1008*$AL1008*-2)^(1/$AJ1008)))</f>
        <v/>
      </c>
      <c r="AQ1008">
        <f>IF($AJ1008="","",IF($AJ1008=0,$AK1008*EXP($AL1008*-3),$AK1008*(1+$AJ1008*$AL1008*-3)^(1/$AJ1008)))</f>
        <v/>
      </c>
      <c r="AR1008">
        <f>IF(OR($X1008="",$T1008&gt;60),"",IFERROR(INDEX(IF($T1008&lt;24,pcomp_l,palt_l),MATCH($X1008,IF($T1008&lt;24,pcomp_k,palt_k),1)),""))</f>
        <v/>
      </c>
      <c r="AS1008">
        <f>IF(OR($X1008="",$T1008&gt;60),"",IFERROR(INDEX(IF($T1008&lt;24,pcomp_m,palt_m),MATCH($X1008,IF($T1008&lt;24,pcomp_k,palt_k),1)),""))</f>
        <v/>
      </c>
      <c r="AT1008">
        <f>IF(OR($X1008="",$T1008&gt;60),"",IFERROR(INDEX(IF($T1008&lt;24,pcomp_s,palt_s),MATCH($X1008,IF($T1008&lt;24,pcomp_k,palt_k),1)),""))</f>
        <v/>
      </c>
      <c r="AU1008">
        <f>IF($AR1008="","",IF($AR1008=0,LN($F1008/$AS1008)/$AT1008,((($F1008/$AS1008)^$AR1008)-1)/($AR1008*$AT1008)))</f>
        <v/>
      </c>
      <c r="AV1008">
        <f>IF($AR1008="","",IF($AR1008=0,$AS1008*EXP($AT1008*2),$AS1008*(1+$AR1008*$AT1008*2)^(1/$AR1008)))</f>
        <v/>
      </c>
      <c r="AW1008">
        <f>IF($AR1008="","",IF($AR1008=0,$AS1008*EXP($AT1008*3),$AS1008*(1+$AR1008*$AT1008*3)^(1/$AR1008)))</f>
        <v/>
      </c>
      <c r="AX1008">
        <f>IF($AR1008="","",IF($AR1008=0,$AS1008*EXP($AT1008*-2),$AS1008*(1+$AR1008*$AT1008*-2)^(1/$AR1008)))</f>
        <v/>
      </c>
      <c r="AY1008">
        <f>IF($AR1008="","",IF($AR1008=0,$AS1008*EXP($AT1008*-3),$AS1008*(1+$AR1008*$AT1008*-3)^(1/$AR1008)))</f>
        <v/>
      </c>
      <c r="AZ1008">
        <f>IF(OR($A1008="",$A1008&lt;&gt;Ficha!$C$4),"",COUNTIF($A$2:$A1008,Ficha!$C$4))</f>
        <v/>
      </c>
    </row>
    <row r="1009">
      <c r="A1009" s="8">
        <f>IF(INDEX(Banco!$A:$A,ROW())="","",INDEX(Banco!$A:$A,ROW()))</f>
        <v/>
      </c>
      <c r="B1009" s="8">
        <f>IF(INDEX(Banco!$B:$B,ROW())="","",INDEX(Banco!$B:$B,ROW()))</f>
        <v/>
      </c>
      <c r="C1009" s="8">
        <f>IF(INDEX(Banco!$C:$C,ROW())="","",INDEX(Banco!$C:$C,ROW()))</f>
        <v/>
      </c>
      <c r="D1009" s="9">
        <f>IF(INDEX(Banco!$D:$D,ROW())="","",INDEX(Banco!$D:$D,ROW()))</f>
        <v/>
      </c>
      <c r="E1009" s="9">
        <f>IF(INDEX(Banco!$E:$E,ROW())="","",INDEX(Banco!$E:$E,ROW()))</f>
        <v/>
      </c>
      <c r="F1009" s="10">
        <f>IF(INDEX(Banco!$F:$F,ROW())="","",INDEX(Banco!$F:$F,ROW()))</f>
        <v/>
      </c>
      <c r="G1009" s="10">
        <f>IF(INDEX(Banco!$G:$G,ROW())="","",INDEX(Banco!$G:$G,ROW()))</f>
        <v/>
      </c>
      <c r="H1009" s="8">
        <f>IF(INDEX(Banco!$H:$H,ROW())="","",INDEX(Banco!$H:$H,ROW()))</f>
        <v/>
      </c>
      <c r="I1009">
        <f>IF($T1009="","",INT($T1009/12)&amp;"a "&amp;MOD($T1009,12)&amp;"m")</f>
        <v/>
      </c>
      <c r="J1009" s="11">
        <f>IF(OR($F1009="",$G1009=""),"",ROUND($F1009/($G1009/100)^2,2))</f>
        <v/>
      </c>
      <c r="K1009" s="12">
        <f>IF(OR($S1009="",$J1009="",$T1009="",$T1009&lt;0,$T1009&gt;228,$Y1009=""),"—",ROUND(IF(ABS($AB1009)&lt;=3,$AB1009,IF($AB1009&gt;3,3+($J1009-$AD1009)/($AD1009-$AC1009),-3+($J1009-$AF1009)/($AE1009-$AF1009))),2))</f>
        <v/>
      </c>
      <c r="L1009">
        <f>IF(OR($K1009="",$K1009="—"),"",IF($T1009&lt;=60,IF($K1009&lt;-3,"Magreza acentuada",IF($K1009&lt;-2,"Magreza",IF($K1009&lt;=1,"Eutrofia",IF($K1009&lt;=2,"Risco de sobrepeso",IF($K1009&lt;=3,"Sobrepeso","Obesidade"))))),IF($K1009&lt;-3,"Magreza acentuada",IF($K1009&lt;-2,"Magreza",IF($K1009&lt;=1,"Eutrofia",IF($K1009&lt;=2,"Sobrepeso",IF($K1009&lt;=3,"Obesidade","Obesidade grave")))))))</f>
        <v/>
      </c>
      <c r="M1009" s="12">
        <f>IF(OR($S1009="",$V1009="",$T1009="",$T1009&lt;0,$T1009&gt;228,$AG1009=""),"—",ROUND(IF($AG1009=0,LN($V1009/$AH1009)/$AI1009,((($V1009/$AH1009)^$AG1009)-1)/($AG1009*$AI1009)),2))</f>
        <v/>
      </c>
      <c r="N1009">
        <f>IF(OR($M1009="",$M1009="—"),"",IF($M1009&lt;-3,"Muito baixa",IF($M1009&lt;-2,"Baixa","Adequada")))</f>
        <v/>
      </c>
      <c r="O1009" s="12">
        <f>IF(OR($S1009="",$F1009="",$T1009="",$T1009&lt;0,$T1009&gt;120,$AJ1009=""),"—",ROUND(IF(ABS($AM1009)&lt;=3,$AM1009,IF($AM1009&gt;3,3+($F1009-$AO1009)/($AO1009-$AN1009),-3+($F1009-$AQ1009)/($AP1009-$AQ1009))),2))</f>
        <v/>
      </c>
      <c r="P1009">
        <f>IF(OR($O1009="",$O1009="—"),"",IF($O1009&lt;-3,"Muito baixo",IF($O1009&lt;-2,"Baixo",IF($O1009&lt;=2,"Adequado","Elevado"))))</f>
        <v/>
      </c>
      <c r="Q1009" s="12">
        <f>IF(OR($S1009="",$F1009="",$T1009="",$T1009&lt;0,$T1009&gt;60,$AR1009=""),"—",ROUND(IF(ABS($AU1009)&lt;=3,$AU1009,IF($AU1009&gt;3,3+($F1009-$AW1009)/($AW1009-$AV1009),-3+($F1009-$AY1009)/($AX1009-$AY1009))),2))</f>
        <v/>
      </c>
      <c r="R1009">
        <f>IF(OR($Q1009="",$Q1009="—"),"",IF($Q1009&lt;-3,"Magreza acentuada",IF($Q1009&lt;-2,"Magreza",IF($Q1009&lt;=1,"Eutrofia",IF($Q1009&lt;=2,"Risco de sobrepeso",IF($Q1009&lt;=3,"Sobrepeso","Obesidade"))))))</f>
        <v/>
      </c>
      <c r="S1009">
        <f>IF($C1009="","",IF(UPPER(LEFT($C1009,1))="M",1,IF(UPPER(LEFT($C1009,1))="F",2,"")))</f>
        <v/>
      </c>
      <c r="T1009">
        <f>IF(OR($D1009="",$E1009=""),"",DATEDIF($D1009,$E1009,"m"))</f>
        <v/>
      </c>
      <c r="U1009">
        <f>IF(OR($D1009="",$E1009=""),"",$E1009-$D1009)</f>
        <v/>
      </c>
      <c r="V1009">
        <f>IF(OR($G1009="",$T1009=""),"",IF($T1009&lt;24,IF(LEFT(LOWER($H1009),4)="em p",$G1009+0.7,$G1009),IF(LEFT(LOWER($H1009),4)="deit",$G1009-0.7,$G1009)))</f>
        <v/>
      </c>
      <c r="W1009">
        <f>IF(OR($S1009="",$T1009=""),"",$S1009*1000000+IF($T1009&lt;=60,$U1009,$T1009))</f>
        <v/>
      </c>
      <c r="X1009">
        <f>IF(OR($S1009="",$V1009="",$T1009&gt;60,$T1009=""),"",$S1009*1000000+ROUND($V1009*10,0))</f>
        <v/>
      </c>
      <c r="Y1009">
        <f>IF($W1009="","",IFERROR(INDEX(IF($T1009&lt;=60,imc05_l,imc519_l),MATCH($W1009,IF($T1009&lt;=60,imc05_k,imc519_k),1)),""))</f>
        <v/>
      </c>
      <c r="Z1009">
        <f>IF($W1009="","",IFERROR(INDEX(IF($T1009&lt;=60,imc05_m,imc519_m),MATCH($W1009,IF($T1009&lt;=60,imc05_k,imc519_k),1)),""))</f>
        <v/>
      </c>
      <c r="AA1009">
        <f>IF($W1009="","",IFERROR(INDEX(IF($T1009&lt;=60,imc05_s,imc519_s),MATCH($W1009,IF($T1009&lt;=60,imc05_k,imc519_k),1)),""))</f>
        <v/>
      </c>
      <c r="AB1009">
        <f>IF($Y1009="","",IF($Y1009=0,LN($J1009/$Z1009)/$AA1009,((($J1009/$Z1009)^$Y1009)-1)/($Y1009*$AA1009)))</f>
        <v/>
      </c>
      <c r="AC1009">
        <f>IF($Y1009="","",IF($Y1009=0,$Z1009*EXP($AA1009*2),$Z1009*(1+$Y1009*$AA1009*2)^(1/$Y1009)))</f>
        <v/>
      </c>
      <c r="AD1009">
        <f>IF($Y1009="","",IF($Y1009=0,$Z1009*EXP($AA1009*3),$Z1009*(1+$Y1009*$AA1009*3)^(1/$Y1009)))</f>
        <v/>
      </c>
      <c r="AE1009">
        <f>IF($Y1009="","",IF($Y1009=0,$Z1009*EXP($AA1009*-2),$Z1009*(1+$Y1009*$AA1009*-2)^(1/$Y1009)))</f>
        <v/>
      </c>
      <c r="AF1009">
        <f>IF($Y1009="","",IF($Y1009=0,$Z1009*EXP($AA1009*-3),$Z1009*(1+$Y1009*$AA1009*-3)^(1/$Y1009)))</f>
        <v/>
      </c>
      <c r="AG1009">
        <f>IF($W1009="","",IFERROR(INDEX(IF($T1009&lt;=60,est05_l,est519_l),MATCH($W1009,IF($T1009&lt;=60,est05_k,est519_k),1)),""))</f>
        <v/>
      </c>
      <c r="AH1009">
        <f>IF($W1009="","",IFERROR(INDEX(IF($T1009&lt;=60,est05_m,est519_m),MATCH($W1009,IF($T1009&lt;=60,est05_k,est519_k),1)),""))</f>
        <v/>
      </c>
      <c r="AI1009">
        <f>IF($W1009="","",IFERROR(INDEX(IF($T1009&lt;=60,est05_s,est519_s),MATCH($W1009,IF($T1009&lt;=60,est05_k,est519_k),1)),""))</f>
        <v/>
      </c>
      <c r="AJ1009">
        <f>IF($W1009="","",IFERROR(INDEX(IF($T1009&lt;=60,peso05_l,peso510_l),MATCH($W1009,IF($T1009&lt;=60,peso05_k,peso510_k),1)),""))</f>
        <v/>
      </c>
      <c r="AK1009">
        <f>IF($W1009="","",IFERROR(INDEX(IF($T1009&lt;=60,peso05_m,peso510_m),MATCH($W1009,IF($T1009&lt;=60,peso05_k,peso510_k),1)),""))</f>
        <v/>
      </c>
      <c r="AL1009">
        <f>IF($W1009="","",IFERROR(INDEX(IF($T1009&lt;=60,peso05_s,peso510_s),MATCH($W1009,IF($T1009&lt;=60,peso05_k,peso510_k),1)),""))</f>
        <v/>
      </c>
      <c r="AM1009">
        <f>IF($AJ1009="","",IF($AJ1009=0,LN($F1009/$AK1009)/$AL1009,((($F1009/$AK1009)^$AJ1009)-1)/($AJ1009*$AL1009)))</f>
        <v/>
      </c>
      <c r="AN1009">
        <f>IF($AJ1009="","",IF($AJ1009=0,$AK1009*EXP($AL1009*2),$AK1009*(1+$AJ1009*$AL1009*2)^(1/$AJ1009)))</f>
        <v/>
      </c>
      <c r="AO1009">
        <f>IF($AJ1009="","",IF($AJ1009=0,$AK1009*EXP($AL1009*3),$AK1009*(1+$AJ1009*$AL1009*3)^(1/$AJ1009)))</f>
        <v/>
      </c>
      <c r="AP1009">
        <f>IF($AJ1009="","",IF($AJ1009=0,$AK1009*EXP($AL1009*-2),$AK1009*(1+$AJ1009*$AL1009*-2)^(1/$AJ1009)))</f>
        <v/>
      </c>
      <c r="AQ1009">
        <f>IF($AJ1009="","",IF($AJ1009=0,$AK1009*EXP($AL1009*-3),$AK1009*(1+$AJ1009*$AL1009*-3)^(1/$AJ1009)))</f>
        <v/>
      </c>
      <c r="AR1009">
        <f>IF(OR($X1009="",$T1009&gt;60),"",IFERROR(INDEX(IF($T1009&lt;24,pcomp_l,palt_l),MATCH($X1009,IF($T1009&lt;24,pcomp_k,palt_k),1)),""))</f>
        <v/>
      </c>
      <c r="AS1009">
        <f>IF(OR($X1009="",$T1009&gt;60),"",IFERROR(INDEX(IF($T1009&lt;24,pcomp_m,palt_m),MATCH($X1009,IF($T1009&lt;24,pcomp_k,palt_k),1)),""))</f>
        <v/>
      </c>
      <c r="AT1009">
        <f>IF(OR($X1009="",$T1009&gt;60),"",IFERROR(INDEX(IF($T1009&lt;24,pcomp_s,palt_s),MATCH($X1009,IF($T1009&lt;24,pcomp_k,palt_k),1)),""))</f>
        <v/>
      </c>
      <c r="AU1009">
        <f>IF($AR1009="","",IF($AR1009=0,LN($F1009/$AS1009)/$AT1009,((($F1009/$AS1009)^$AR1009)-1)/($AR1009*$AT1009)))</f>
        <v/>
      </c>
      <c r="AV1009">
        <f>IF($AR1009="","",IF($AR1009=0,$AS1009*EXP($AT1009*2),$AS1009*(1+$AR1009*$AT1009*2)^(1/$AR1009)))</f>
        <v/>
      </c>
      <c r="AW1009">
        <f>IF($AR1009="","",IF($AR1009=0,$AS1009*EXP($AT1009*3),$AS1009*(1+$AR1009*$AT1009*3)^(1/$AR1009)))</f>
        <v/>
      </c>
      <c r="AX1009">
        <f>IF($AR1009="","",IF($AR1009=0,$AS1009*EXP($AT1009*-2),$AS1009*(1+$AR1009*$AT1009*-2)^(1/$AR1009)))</f>
        <v/>
      </c>
      <c r="AY1009">
        <f>IF($AR1009="","",IF($AR1009=0,$AS1009*EXP($AT1009*-3),$AS1009*(1+$AR1009*$AT1009*-3)^(1/$AR1009)))</f>
        <v/>
      </c>
      <c r="AZ1009">
        <f>IF(OR($A1009="",$A1009&lt;&gt;Ficha!$C$4),"",COUNTIF($A$2:$A1009,Ficha!$C$4))</f>
        <v/>
      </c>
    </row>
    <row r="1010">
      <c r="A1010" s="8">
        <f>IF(INDEX(Banco!$A:$A,ROW())="","",INDEX(Banco!$A:$A,ROW()))</f>
        <v/>
      </c>
      <c r="B1010" s="8">
        <f>IF(INDEX(Banco!$B:$B,ROW())="","",INDEX(Banco!$B:$B,ROW()))</f>
        <v/>
      </c>
      <c r="C1010" s="8">
        <f>IF(INDEX(Banco!$C:$C,ROW())="","",INDEX(Banco!$C:$C,ROW()))</f>
        <v/>
      </c>
      <c r="D1010" s="9">
        <f>IF(INDEX(Banco!$D:$D,ROW())="","",INDEX(Banco!$D:$D,ROW()))</f>
        <v/>
      </c>
      <c r="E1010" s="9">
        <f>IF(INDEX(Banco!$E:$E,ROW())="","",INDEX(Banco!$E:$E,ROW()))</f>
        <v/>
      </c>
      <c r="F1010" s="10">
        <f>IF(INDEX(Banco!$F:$F,ROW())="","",INDEX(Banco!$F:$F,ROW()))</f>
        <v/>
      </c>
      <c r="G1010" s="10">
        <f>IF(INDEX(Banco!$G:$G,ROW())="","",INDEX(Banco!$G:$G,ROW()))</f>
        <v/>
      </c>
      <c r="H1010" s="8">
        <f>IF(INDEX(Banco!$H:$H,ROW())="","",INDEX(Banco!$H:$H,ROW()))</f>
        <v/>
      </c>
      <c r="I1010">
        <f>IF($T1010="","",INT($T1010/12)&amp;"a "&amp;MOD($T1010,12)&amp;"m")</f>
        <v/>
      </c>
      <c r="J1010" s="11">
        <f>IF(OR($F1010="",$G1010=""),"",ROUND($F1010/($G1010/100)^2,2))</f>
        <v/>
      </c>
      <c r="K1010" s="12">
        <f>IF(OR($S1010="",$J1010="",$T1010="",$T1010&lt;0,$T1010&gt;228,$Y1010=""),"—",ROUND(IF(ABS($AB1010)&lt;=3,$AB1010,IF($AB1010&gt;3,3+($J1010-$AD1010)/($AD1010-$AC1010),-3+($J1010-$AF1010)/($AE1010-$AF1010))),2))</f>
        <v/>
      </c>
      <c r="L1010">
        <f>IF(OR($K1010="",$K1010="—"),"",IF($T1010&lt;=60,IF($K1010&lt;-3,"Magreza acentuada",IF($K1010&lt;-2,"Magreza",IF($K1010&lt;=1,"Eutrofia",IF($K1010&lt;=2,"Risco de sobrepeso",IF($K1010&lt;=3,"Sobrepeso","Obesidade"))))),IF($K1010&lt;-3,"Magreza acentuada",IF($K1010&lt;-2,"Magreza",IF($K1010&lt;=1,"Eutrofia",IF($K1010&lt;=2,"Sobrepeso",IF($K1010&lt;=3,"Obesidade","Obesidade grave")))))))</f>
        <v/>
      </c>
      <c r="M1010" s="12">
        <f>IF(OR($S1010="",$V1010="",$T1010="",$T1010&lt;0,$T1010&gt;228,$AG1010=""),"—",ROUND(IF($AG1010=0,LN($V1010/$AH1010)/$AI1010,((($V1010/$AH1010)^$AG1010)-1)/($AG1010*$AI1010)),2))</f>
        <v/>
      </c>
      <c r="N1010">
        <f>IF(OR($M1010="",$M1010="—"),"",IF($M1010&lt;-3,"Muito baixa",IF($M1010&lt;-2,"Baixa","Adequada")))</f>
        <v/>
      </c>
      <c r="O1010" s="12">
        <f>IF(OR($S1010="",$F1010="",$T1010="",$T1010&lt;0,$T1010&gt;120,$AJ1010=""),"—",ROUND(IF(ABS($AM1010)&lt;=3,$AM1010,IF($AM1010&gt;3,3+($F1010-$AO1010)/($AO1010-$AN1010),-3+($F1010-$AQ1010)/($AP1010-$AQ1010))),2))</f>
        <v/>
      </c>
      <c r="P1010">
        <f>IF(OR($O1010="",$O1010="—"),"",IF($O1010&lt;-3,"Muito baixo",IF($O1010&lt;-2,"Baixo",IF($O1010&lt;=2,"Adequado","Elevado"))))</f>
        <v/>
      </c>
      <c r="Q1010" s="12">
        <f>IF(OR($S1010="",$F1010="",$T1010="",$T1010&lt;0,$T1010&gt;60,$AR1010=""),"—",ROUND(IF(ABS($AU1010)&lt;=3,$AU1010,IF($AU1010&gt;3,3+($F1010-$AW1010)/($AW1010-$AV1010),-3+($F1010-$AY1010)/($AX1010-$AY1010))),2))</f>
        <v/>
      </c>
      <c r="R1010">
        <f>IF(OR($Q1010="",$Q1010="—"),"",IF($Q1010&lt;-3,"Magreza acentuada",IF($Q1010&lt;-2,"Magreza",IF($Q1010&lt;=1,"Eutrofia",IF($Q1010&lt;=2,"Risco de sobrepeso",IF($Q1010&lt;=3,"Sobrepeso","Obesidade"))))))</f>
        <v/>
      </c>
      <c r="S1010">
        <f>IF($C1010="","",IF(UPPER(LEFT($C1010,1))="M",1,IF(UPPER(LEFT($C1010,1))="F",2,"")))</f>
        <v/>
      </c>
      <c r="T1010">
        <f>IF(OR($D1010="",$E1010=""),"",DATEDIF($D1010,$E1010,"m"))</f>
        <v/>
      </c>
      <c r="U1010">
        <f>IF(OR($D1010="",$E1010=""),"",$E1010-$D1010)</f>
        <v/>
      </c>
      <c r="V1010">
        <f>IF(OR($G1010="",$T1010=""),"",IF($T1010&lt;24,IF(LEFT(LOWER($H1010),4)="em p",$G1010+0.7,$G1010),IF(LEFT(LOWER($H1010),4)="deit",$G1010-0.7,$G1010)))</f>
        <v/>
      </c>
      <c r="W1010">
        <f>IF(OR($S1010="",$T1010=""),"",$S1010*1000000+IF($T1010&lt;=60,$U1010,$T1010))</f>
        <v/>
      </c>
      <c r="X1010">
        <f>IF(OR($S1010="",$V1010="",$T1010&gt;60,$T1010=""),"",$S1010*1000000+ROUND($V1010*10,0))</f>
        <v/>
      </c>
      <c r="Y1010">
        <f>IF($W1010="","",IFERROR(INDEX(IF($T1010&lt;=60,imc05_l,imc519_l),MATCH($W1010,IF($T1010&lt;=60,imc05_k,imc519_k),1)),""))</f>
        <v/>
      </c>
      <c r="Z1010">
        <f>IF($W1010="","",IFERROR(INDEX(IF($T1010&lt;=60,imc05_m,imc519_m),MATCH($W1010,IF($T1010&lt;=60,imc05_k,imc519_k),1)),""))</f>
        <v/>
      </c>
      <c r="AA1010">
        <f>IF($W1010="","",IFERROR(INDEX(IF($T1010&lt;=60,imc05_s,imc519_s),MATCH($W1010,IF($T1010&lt;=60,imc05_k,imc519_k),1)),""))</f>
        <v/>
      </c>
      <c r="AB1010">
        <f>IF($Y1010="","",IF($Y1010=0,LN($J1010/$Z1010)/$AA1010,((($J1010/$Z1010)^$Y1010)-1)/($Y1010*$AA1010)))</f>
        <v/>
      </c>
      <c r="AC1010">
        <f>IF($Y1010="","",IF($Y1010=0,$Z1010*EXP($AA1010*2),$Z1010*(1+$Y1010*$AA1010*2)^(1/$Y1010)))</f>
        <v/>
      </c>
      <c r="AD1010">
        <f>IF($Y1010="","",IF($Y1010=0,$Z1010*EXP($AA1010*3),$Z1010*(1+$Y1010*$AA1010*3)^(1/$Y1010)))</f>
        <v/>
      </c>
      <c r="AE1010">
        <f>IF($Y1010="","",IF($Y1010=0,$Z1010*EXP($AA1010*-2),$Z1010*(1+$Y1010*$AA1010*-2)^(1/$Y1010)))</f>
        <v/>
      </c>
      <c r="AF1010">
        <f>IF($Y1010="","",IF($Y1010=0,$Z1010*EXP($AA1010*-3),$Z1010*(1+$Y1010*$AA1010*-3)^(1/$Y1010)))</f>
        <v/>
      </c>
      <c r="AG1010">
        <f>IF($W1010="","",IFERROR(INDEX(IF($T1010&lt;=60,est05_l,est519_l),MATCH($W1010,IF($T1010&lt;=60,est05_k,est519_k),1)),""))</f>
        <v/>
      </c>
      <c r="AH1010">
        <f>IF($W1010="","",IFERROR(INDEX(IF($T1010&lt;=60,est05_m,est519_m),MATCH($W1010,IF($T1010&lt;=60,est05_k,est519_k),1)),""))</f>
        <v/>
      </c>
      <c r="AI1010">
        <f>IF($W1010="","",IFERROR(INDEX(IF($T1010&lt;=60,est05_s,est519_s),MATCH($W1010,IF($T1010&lt;=60,est05_k,est519_k),1)),""))</f>
        <v/>
      </c>
      <c r="AJ1010">
        <f>IF($W1010="","",IFERROR(INDEX(IF($T1010&lt;=60,peso05_l,peso510_l),MATCH($W1010,IF($T1010&lt;=60,peso05_k,peso510_k),1)),""))</f>
        <v/>
      </c>
      <c r="AK1010">
        <f>IF($W1010="","",IFERROR(INDEX(IF($T1010&lt;=60,peso05_m,peso510_m),MATCH($W1010,IF($T1010&lt;=60,peso05_k,peso510_k),1)),""))</f>
        <v/>
      </c>
      <c r="AL1010">
        <f>IF($W1010="","",IFERROR(INDEX(IF($T1010&lt;=60,peso05_s,peso510_s),MATCH($W1010,IF($T1010&lt;=60,peso05_k,peso510_k),1)),""))</f>
        <v/>
      </c>
      <c r="AM1010">
        <f>IF($AJ1010="","",IF($AJ1010=0,LN($F1010/$AK1010)/$AL1010,((($F1010/$AK1010)^$AJ1010)-1)/($AJ1010*$AL1010)))</f>
        <v/>
      </c>
      <c r="AN1010">
        <f>IF($AJ1010="","",IF($AJ1010=0,$AK1010*EXP($AL1010*2),$AK1010*(1+$AJ1010*$AL1010*2)^(1/$AJ1010)))</f>
        <v/>
      </c>
      <c r="AO1010">
        <f>IF($AJ1010="","",IF($AJ1010=0,$AK1010*EXP($AL1010*3),$AK1010*(1+$AJ1010*$AL1010*3)^(1/$AJ1010)))</f>
        <v/>
      </c>
      <c r="AP1010">
        <f>IF($AJ1010="","",IF($AJ1010=0,$AK1010*EXP($AL1010*-2),$AK1010*(1+$AJ1010*$AL1010*-2)^(1/$AJ1010)))</f>
        <v/>
      </c>
      <c r="AQ1010">
        <f>IF($AJ1010="","",IF($AJ1010=0,$AK1010*EXP($AL1010*-3),$AK1010*(1+$AJ1010*$AL1010*-3)^(1/$AJ1010)))</f>
        <v/>
      </c>
      <c r="AR1010">
        <f>IF(OR($X1010="",$T1010&gt;60),"",IFERROR(INDEX(IF($T1010&lt;24,pcomp_l,palt_l),MATCH($X1010,IF($T1010&lt;24,pcomp_k,palt_k),1)),""))</f>
        <v/>
      </c>
      <c r="AS1010">
        <f>IF(OR($X1010="",$T1010&gt;60),"",IFERROR(INDEX(IF($T1010&lt;24,pcomp_m,palt_m),MATCH($X1010,IF($T1010&lt;24,pcomp_k,palt_k),1)),""))</f>
        <v/>
      </c>
      <c r="AT1010">
        <f>IF(OR($X1010="",$T1010&gt;60),"",IFERROR(INDEX(IF($T1010&lt;24,pcomp_s,palt_s),MATCH($X1010,IF($T1010&lt;24,pcomp_k,palt_k),1)),""))</f>
        <v/>
      </c>
      <c r="AU1010">
        <f>IF($AR1010="","",IF($AR1010=0,LN($F1010/$AS1010)/$AT1010,((($F1010/$AS1010)^$AR1010)-1)/($AR1010*$AT1010)))</f>
        <v/>
      </c>
      <c r="AV1010">
        <f>IF($AR1010="","",IF($AR1010=0,$AS1010*EXP($AT1010*2),$AS1010*(1+$AR1010*$AT1010*2)^(1/$AR1010)))</f>
        <v/>
      </c>
      <c r="AW1010">
        <f>IF($AR1010="","",IF($AR1010=0,$AS1010*EXP($AT1010*3),$AS1010*(1+$AR1010*$AT1010*3)^(1/$AR1010)))</f>
        <v/>
      </c>
      <c r="AX1010">
        <f>IF($AR1010="","",IF($AR1010=0,$AS1010*EXP($AT1010*-2),$AS1010*(1+$AR1010*$AT1010*-2)^(1/$AR1010)))</f>
        <v/>
      </c>
      <c r="AY1010">
        <f>IF($AR1010="","",IF($AR1010=0,$AS1010*EXP($AT1010*-3),$AS1010*(1+$AR1010*$AT1010*-3)^(1/$AR1010)))</f>
        <v/>
      </c>
      <c r="AZ1010">
        <f>IF(OR($A1010="",$A1010&lt;&gt;Ficha!$C$4),"",COUNTIF($A$2:$A1010,Ficha!$C$4))</f>
        <v/>
      </c>
    </row>
    <row r="1011">
      <c r="A1011" s="8">
        <f>IF(INDEX(Banco!$A:$A,ROW())="","",INDEX(Banco!$A:$A,ROW()))</f>
        <v/>
      </c>
      <c r="B1011" s="8">
        <f>IF(INDEX(Banco!$B:$B,ROW())="","",INDEX(Banco!$B:$B,ROW()))</f>
        <v/>
      </c>
      <c r="C1011" s="8">
        <f>IF(INDEX(Banco!$C:$C,ROW())="","",INDEX(Banco!$C:$C,ROW()))</f>
        <v/>
      </c>
      <c r="D1011" s="9">
        <f>IF(INDEX(Banco!$D:$D,ROW())="","",INDEX(Banco!$D:$D,ROW()))</f>
        <v/>
      </c>
      <c r="E1011" s="9">
        <f>IF(INDEX(Banco!$E:$E,ROW())="","",INDEX(Banco!$E:$E,ROW()))</f>
        <v/>
      </c>
      <c r="F1011" s="10">
        <f>IF(INDEX(Banco!$F:$F,ROW())="","",INDEX(Banco!$F:$F,ROW()))</f>
        <v/>
      </c>
      <c r="G1011" s="10">
        <f>IF(INDEX(Banco!$G:$G,ROW())="","",INDEX(Banco!$G:$G,ROW()))</f>
        <v/>
      </c>
      <c r="H1011" s="8">
        <f>IF(INDEX(Banco!$H:$H,ROW())="","",INDEX(Banco!$H:$H,ROW()))</f>
        <v/>
      </c>
      <c r="I1011">
        <f>IF($T1011="","",INT($T1011/12)&amp;"a "&amp;MOD($T1011,12)&amp;"m")</f>
        <v/>
      </c>
      <c r="J1011" s="11">
        <f>IF(OR($F1011="",$G1011=""),"",ROUND($F1011/($G1011/100)^2,2))</f>
        <v/>
      </c>
      <c r="K1011" s="12">
        <f>IF(OR($S1011="",$J1011="",$T1011="",$T1011&lt;0,$T1011&gt;228,$Y1011=""),"—",ROUND(IF(ABS($AB1011)&lt;=3,$AB1011,IF($AB1011&gt;3,3+($J1011-$AD1011)/($AD1011-$AC1011),-3+($J1011-$AF1011)/($AE1011-$AF1011))),2))</f>
        <v/>
      </c>
      <c r="L1011">
        <f>IF(OR($K1011="",$K1011="—"),"",IF($T1011&lt;=60,IF($K1011&lt;-3,"Magreza acentuada",IF($K1011&lt;-2,"Magreza",IF($K1011&lt;=1,"Eutrofia",IF($K1011&lt;=2,"Risco de sobrepeso",IF($K1011&lt;=3,"Sobrepeso","Obesidade"))))),IF($K1011&lt;-3,"Magreza acentuada",IF($K1011&lt;-2,"Magreza",IF($K1011&lt;=1,"Eutrofia",IF($K1011&lt;=2,"Sobrepeso",IF($K1011&lt;=3,"Obesidade","Obesidade grave")))))))</f>
        <v/>
      </c>
      <c r="M1011" s="12">
        <f>IF(OR($S1011="",$V1011="",$T1011="",$T1011&lt;0,$T1011&gt;228,$AG1011=""),"—",ROUND(IF($AG1011=0,LN($V1011/$AH1011)/$AI1011,((($V1011/$AH1011)^$AG1011)-1)/($AG1011*$AI1011)),2))</f>
        <v/>
      </c>
      <c r="N1011">
        <f>IF(OR($M1011="",$M1011="—"),"",IF($M1011&lt;-3,"Muito baixa",IF($M1011&lt;-2,"Baixa","Adequada")))</f>
        <v/>
      </c>
      <c r="O1011" s="12">
        <f>IF(OR($S1011="",$F1011="",$T1011="",$T1011&lt;0,$T1011&gt;120,$AJ1011=""),"—",ROUND(IF(ABS($AM1011)&lt;=3,$AM1011,IF($AM1011&gt;3,3+($F1011-$AO1011)/($AO1011-$AN1011),-3+($F1011-$AQ1011)/($AP1011-$AQ1011))),2))</f>
        <v/>
      </c>
      <c r="P1011">
        <f>IF(OR($O1011="",$O1011="—"),"",IF($O1011&lt;-3,"Muito baixo",IF($O1011&lt;-2,"Baixo",IF($O1011&lt;=2,"Adequado","Elevado"))))</f>
        <v/>
      </c>
      <c r="Q1011" s="12">
        <f>IF(OR($S1011="",$F1011="",$T1011="",$T1011&lt;0,$T1011&gt;60,$AR1011=""),"—",ROUND(IF(ABS($AU1011)&lt;=3,$AU1011,IF($AU1011&gt;3,3+($F1011-$AW1011)/($AW1011-$AV1011),-3+($F1011-$AY1011)/($AX1011-$AY1011))),2))</f>
        <v/>
      </c>
      <c r="R1011">
        <f>IF(OR($Q1011="",$Q1011="—"),"",IF($Q1011&lt;-3,"Magreza acentuada",IF($Q1011&lt;-2,"Magreza",IF($Q1011&lt;=1,"Eutrofia",IF($Q1011&lt;=2,"Risco de sobrepeso",IF($Q1011&lt;=3,"Sobrepeso","Obesidade"))))))</f>
        <v/>
      </c>
      <c r="S1011">
        <f>IF($C1011="","",IF(UPPER(LEFT($C1011,1))="M",1,IF(UPPER(LEFT($C1011,1))="F",2,"")))</f>
        <v/>
      </c>
      <c r="T1011">
        <f>IF(OR($D1011="",$E1011=""),"",DATEDIF($D1011,$E1011,"m"))</f>
        <v/>
      </c>
      <c r="U1011">
        <f>IF(OR($D1011="",$E1011=""),"",$E1011-$D1011)</f>
        <v/>
      </c>
      <c r="V1011">
        <f>IF(OR($G1011="",$T1011=""),"",IF($T1011&lt;24,IF(LEFT(LOWER($H1011),4)="em p",$G1011+0.7,$G1011),IF(LEFT(LOWER($H1011),4)="deit",$G1011-0.7,$G1011)))</f>
        <v/>
      </c>
      <c r="W1011">
        <f>IF(OR($S1011="",$T1011=""),"",$S1011*1000000+IF($T1011&lt;=60,$U1011,$T1011))</f>
        <v/>
      </c>
      <c r="X1011">
        <f>IF(OR($S1011="",$V1011="",$T1011&gt;60,$T1011=""),"",$S1011*1000000+ROUND($V1011*10,0))</f>
        <v/>
      </c>
      <c r="Y1011">
        <f>IF($W1011="","",IFERROR(INDEX(IF($T1011&lt;=60,imc05_l,imc519_l),MATCH($W1011,IF($T1011&lt;=60,imc05_k,imc519_k),1)),""))</f>
        <v/>
      </c>
      <c r="Z1011">
        <f>IF($W1011="","",IFERROR(INDEX(IF($T1011&lt;=60,imc05_m,imc519_m),MATCH($W1011,IF($T1011&lt;=60,imc05_k,imc519_k),1)),""))</f>
        <v/>
      </c>
      <c r="AA1011">
        <f>IF($W1011="","",IFERROR(INDEX(IF($T1011&lt;=60,imc05_s,imc519_s),MATCH($W1011,IF($T1011&lt;=60,imc05_k,imc519_k),1)),""))</f>
        <v/>
      </c>
      <c r="AB1011">
        <f>IF($Y1011="","",IF($Y1011=0,LN($J1011/$Z1011)/$AA1011,((($J1011/$Z1011)^$Y1011)-1)/($Y1011*$AA1011)))</f>
        <v/>
      </c>
      <c r="AC1011">
        <f>IF($Y1011="","",IF($Y1011=0,$Z1011*EXP($AA1011*2),$Z1011*(1+$Y1011*$AA1011*2)^(1/$Y1011)))</f>
        <v/>
      </c>
      <c r="AD1011">
        <f>IF($Y1011="","",IF($Y1011=0,$Z1011*EXP($AA1011*3),$Z1011*(1+$Y1011*$AA1011*3)^(1/$Y1011)))</f>
        <v/>
      </c>
      <c r="AE1011">
        <f>IF($Y1011="","",IF($Y1011=0,$Z1011*EXP($AA1011*-2),$Z1011*(1+$Y1011*$AA1011*-2)^(1/$Y1011)))</f>
        <v/>
      </c>
      <c r="AF1011">
        <f>IF($Y1011="","",IF($Y1011=0,$Z1011*EXP($AA1011*-3),$Z1011*(1+$Y1011*$AA1011*-3)^(1/$Y1011)))</f>
        <v/>
      </c>
      <c r="AG1011">
        <f>IF($W1011="","",IFERROR(INDEX(IF($T1011&lt;=60,est05_l,est519_l),MATCH($W1011,IF($T1011&lt;=60,est05_k,est519_k),1)),""))</f>
        <v/>
      </c>
      <c r="AH1011">
        <f>IF($W1011="","",IFERROR(INDEX(IF($T1011&lt;=60,est05_m,est519_m),MATCH($W1011,IF($T1011&lt;=60,est05_k,est519_k),1)),""))</f>
        <v/>
      </c>
      <c r="AI1011">
        <f>IF($W1011="","",IFERROR(INDEX(IF($T1011&lt;=60,est05_s,est519_s),MATCH($W1011,IF($T1011&lt;=60,est05_k,est519_k),1)),""))</f>
        <v/>
      </c>
      <c r="AJ1011">
        <f>IF($W1011="","",IFERROR(INDEX(IF($T1011&lt;=60,peso05_l,peso510_l),MATCH($W1011,IF($T1011&lt;=60,peso05_k,peso510_k),1)),""))</f>
        <v/>
      </c>
      <c r="AK1011">
        <f>IF($W1011="","",IFERROR(INDEX(IF($T1011&lt;=60,peso05_m,peso510_m),MATCH($W1011,IF($T1011&lt;=60,peso05_k,peso510_k),1)),""))</f>
        <v/>
      </c>
      <c r="AL1011">
        <f>IF($W1011="","",IFERROR(INDEX(IF($T1011&lt;=60,peso05_s,peso510_s),MATCH($W1011,IF($T1011&lt;=60,peso05_k,peso510_k),1)),""))</f>
        <v/>
      </c>
      <c r="AM1011">
        <f>IF($AJ1011="","",IF($AJ1011=0,LN($F1011/$AK1011)/$AL1011,((($F1011/$AK1011)^$AJ1011)-1)/($AJ1011*$AL1011)))</f>
        <v/>
      </c>
      <c r="AN1011">
        <f>IF($AJ1011="","",IF($AJ1011=0,$AK1011*EXP($AL1011*2),$AK1011*(1+$AJ1011*$AL1011*2)^(1/$AJ1011)))</f>
        <v/>
      </c>
      <c r="AO1011">
        <f>IF($AJ1011="","",IF($AJ1011=0,$AK1011*EXP($AL1011*3),$AK1011*(1+$AJ1011*$AL1011*3)^(1/$AJ1011)))</f>
        <v/>
      </c>
      <c r="AP1011">
        <f>IF($AJ1011="","",IF($AJ1011=0,$AK1011*EXP($AL1011*-2),$AK1011*(1+$AJ1011*$AL1011*-2)^(1/$AJ1011)))</f>
        <v/>
      </c>
      <c r="AQ1011">
        <f>IF($AJ1011="","",IF($AJ1011=0,$AK1011*EXP($AL1011*-3),$AK1011*(1+$AJ1011*$AL1011*-3)^(1/$AJ1011)))</f>
        <v/>
      </c>
      <c r="AR1011">
        <f>IF(OR($X1011="",$T1011&gt;60),"",IFERROR(INDEX(IF($T1011&lt;24,pcomp_l,palt_l),MATCH($X1011,IF($T1011&lt;24,pcomp_k,palt_k),1)),""))</f>
        <v/>
      </c>
      <c r="AS1011">
        <f>IF(OR($X1011="",$T1011&gt;60),"",IFERROR(INDEX(IF($T1011&lt;24,pcomp_m,palt_m),MATCH($X1011,IF($T1011&lt;24,pcomp_k,palt_k),1)),""))</f>
        <v/>
      </c>
      <c r="AT1011">
        <f>IF(OR($X1011="",$T1011&gt;60),"",IFERROR(INDEX(IF($T1011&lt;24,pcomp_s,palt_s),MATCH($X1011,IF($T1011&lt;24,pcomp_k,palt_k),1)),""))</f>
        <v/>
      </c>
      <c r="AU1011">
        <f>IF($AR1011="","",IF($AR1011=0,LN($F1011/$AS1011)/$AT1011,((($F1011/$AS1011)^$AR1011)-1)/($AR1011*$AT1011)))</f>
        <v/>
      </c>
      <c r="AV1011">
        <f>IF($AR1011="","",IF($AR1011=0,$AS1011*EXP($AT1011*2),$AS1011*(1+$AR1011*$AT1011*2)^(1/$AR1011)))</f>
        <v/>
      </c>
      <c r="AW1011">
        <f>IF($AR1011="","",IF($AR1011=0,$AS1011*EXP($AT1011*3),$AS1011*(1+$AR1011*$AT1011*3)^(1/$AR1011)))</f>
        <v/>
      </c>
      <c r="AX1011">
        <f>IF($AR1011="","",IF($AR1011=0,$AS1011*EXP($AT1011*-2),$AS1011*(1+$AR1011*$AT1011*-2)^(1/$AR1011)))</f>
        <v/>
      </c>
      <c r="AY1011">
        <f>IF($AR1011="","",IF($AR1011=0,$AS1011*EXP($AT1011*-3),$AS1011*(1+$AR1011*$AT1011*-3)^(1/$AR1011)))</f>
        <v/>
      </c>
      <c r="AZ1011">
        <f>IF(OR($A1011="",$A1011&lt;&gt;Ficha!$C$4),"",COUNTIF($A$2:$A1011,Ficha!$C$4))</f>
        <v/>
      </c>
    </row>
    <row r="1012">
      <c r="A1012" s="8">
        <f>IF(INDEX(Banco!$A:$A,ROW())="","",INDEX(Banco!$A:$A,ROW()))</f>
        <v/>
      </c>
      <c r="B1012" s="8">
        <f>IF(INDEX(Banco!$B:$B,ROW())="","",INDEX(Banco!$B:$B,ROW()))</f>
        <v/>
      </c>
      <c r="C1012" s="8">
        <f>IF(INDEX(Banco!$C:$C,ROW())="","",INDEX(Banco!$C:$C,ROW()))</f>
        <v/>
      </c>
      <c r="D1012" s="9">
        <f>IF(INDEX(Banco!$D:$D,ROW())="","",INDEX(Banco!$D:$D,ROW()))</f>
        <v/>
      </c>
      <c r="E1012" s="9">
        <f>IF(INDEX(Banco!$E:$E,ROW())="","",INDEX(Banco!$E:$E,ROW()))</f>
        <v/>
      </c>
      <c r="F1012" s="10">
        <f>IF(INDEX(Banco!$F:$F,ROW())="","",INDEX(Banco!$F:$F,ROW()))</f>
        <v/>
      </c>
      <c r="G1012" s="10">
        <f>IF(INDEX(Banco!$G:$G,ROW())="","",INDEX(Banco!$G:$G,ROW()))</f>
        <v/>
      </c>
      <c r="H1012" s="8">
        <f>IF(INDEX(Banco!$H:$H,ROW())="","",INDEX(Banco!$H:$H,ROW()))</f>
        <v/>
      </c>
      <c r="I1012">
        <f>IF($T1012="","",INT($T1012/12)&amp;"a "&amp;MOD($T1012,12)&amp;"m")</f>
        <v/>
      </c>
      <c r="J1012" s="11">
        <f>IF(OR($F1012="",$G1012=""),"",ROUND($F1012/($G1012/100)^2,2))</f>
        <v/>
      </c>
      <c r="K1012" s="12">
        <f>IF(OR($S1012="",$J1012="",$T1012="",$T1012&lt;0,$T1012&gt;228,$Y1012=""),"—",ROUND(IF(ABS($AB1012)&lt;=3,$AB1012,IF($AB1012&gt;3,3+($J1012-$AD1012)/($AD1012-$AC1012),-3+($J1012-$AF1012)/($AE1012-$AF1012))),2))</f>
        <v/>
      </c>
      <c r="L1012">
        <f>IF(OR($K1012="",$K1012="—"),"",IF($T1012&lt;=60,IF($K1012&lt;-3,"Magreza acentuada",IF($K1012&lt;-2,"Magreza",IF($K1012&lt;=1,"Eutrofia",IF($K1012&lt;=2,"Risco de sobrepeso",IF($K1012&lt;=3,"Sobrepeso","Obesidade"))))),IF($K1012&lt;-3,"Magreza acentuada",IF($K1012&lt;-2,"Magreza",IF($K1012&lt;=1,"Eutrofia",IF($K1012&lt;=2,"Sobrepeso",IF($K1012&lt;=3,"Obesidade","Obesidade grave")))))))</f>
        <v/>
      </c>
      <c r="M1012" s="12">
        <f>IF(OR($S1012="",$V1012="",$T1012="",$T1012&lt;0,$T1012&gt;228,$AG1012=""),"—",ROUND(IF($AG1012=0,LN($V1012/$AH1012)/$AI1012,((($V1012/$AH1012)^$AG1012)-1)/($AG1012*$AI1012)),2))</f>
        <v/>
      </c>
      <c r="N1012">
        <f>IF(OR($M1012="",$M1012="—"),"",IF($M1012&lt;-3,"Muito baixa",IF($M1012&lt;-2,"Baixa","Adequada")))</f>
        <v/>
      </c>
      <c r="O1012" s="12">
        <f>IF(OR($S1012="",$F1012="",$T1012="",$T1012&lt;0,$T1012&gt;120,$AJ1012=""),"—",ROUND(IF(ABS($AM1012)&lt;=3,$AM1012,IF($AM1012&gt;3,3+($F1012-$AO1012)/($AO1012-$AN1012),-3+($F1012-$AQ1012)/($AP1012-$AQ1012))),2))</f>
        <v/>
      </c>
      <c r="P1012">
        <f>IF(OR($O1012="",$O1012="—"),"",IF($O1012&lt;-3,"Muito baixo",IF($O1012&lt;-2,"Baixo",IF($O1012&lt;=2,"Adequado","Elevado"))))</f>
        <v/>
      </c>
      <c r="Q1012" s="12">
        <f>IF(OR($S1012="",$F1012="",$T1012="",$T1012&lt;0,$T1012&gt;60,$AR1012=""),"—",ROUND(IF(ABS($AU1012)&lt;=3,$AU1012,IF($AU1012&gt;3,3+($F1012-$AW1012)/($AW1012-$AV1012),-3+($F1012-$AY1012)/($AX1012-$AY1012))),2))</f>
        <v/>
      </c>
      <c r="R1012">
        <f>IF(OR($Q1012="",$Q1012="—"),"",IF($Q1012&lt;-3,"Magreza acentuada",IF($Q1012&lt;-2,"Magreza",IF($Q1012&lt;=1,"Eutrofia",IF($Q1012&lt;=2,"Risco de sobrepeso",IF($Q1012&lt;=3,"Sobrepeso","Obesidade"))))))</f>
        <v/>
      </c>
      <c r="S1012">
        <f>IF($C1012="","",IF(UPPER(LEFT($C1012,1))="M",1,IF(UPPER(LEFT($C1012,1))="F",2,"")))</f>
        <v/>
      </c>
      <c r="T1012">
        <f>IF(OR($D1012="",$E1012=""),"",DATEDIF($D1012,$E1012,"m"))</f>
        <v/>
      </c>
      <c r="U1012">
        <f>IF(OR($D1012="",$E1012=""),"",$E1012-$D1012)</f>
        <v/>
      </c>
      <c r="V1012">
        <f>IF(OR($G1012="",$T1012=""),"",IF($T1012&lt;24,IF(LEFT(LOWER($H1012),4)="em p",$G1012+0.7,$G1012),IF(LEFT(LOWER($H1012),4)="deit",$G1012-0.7,$G1012)))</f>
        <v/>
      </c>
      <c r="W1012">
        <f>IF(OR($S1012="",$T1012=""),"",$S1012*1000000+IF($T1012&lt;=60,$U1012,$T1012))</f>
        <v/>
      </c>
      <c r="X1012">
        <f>IF(OR($S1012="",$V1012="",$T1012&gt;60,$T1012=""),"",$S1012*1000000+ROUND($V1012*10,0))</f>
        <v/>
      </c>
      <c r="Y1012">
        <f>IF($W1012="","",IFERROR(INDEX(IF($T1012&lt;=60,imc05_l,imc519_l),MATCH($W1012,IF($T1012&lt;=60,imc05_k,imc519_k),1)),""))</f>
        <v/>
      </c>
      <c r="Z1012">
        <f>IF($W1012="","",IFERROR(INDEX(IF($T1012&lt;=60,imc05_m,imc519_m),MATCH($W1012,IF($T1012&lt;=60,imc05_k,imc519_k),1)),""))</f>
        <v/>
      </c>
      <c r="AA1012">
        <f>IF($W1012="","",IFERROR(INDEX(IF($T1012&lt;=60,imc05_s,imc519_s),MATCH($W1012,IF($T1012&lt;=60,imc05_k,imc519_k),1)),""))</f>
        <v/>
      </c>
      <c r="AB1012">
        <f>IF($Y1012="","",IF($Y1012=0,LN($J1012/$Z1012)/$AA1012,((($J1012/$Z1012)^$Y1012)-1)/($Y1012*$AA1012)))</f>
        <v/>
      </c>
      <c r="AC1012">
        <f>IF($Y1012="","",IF($Y1012=0,$Z1012*EXP($AA1012*2),$Z1012*(1+$Y1012*$AA1012*2)^(1/$Y1012)))</f>
        <v/>
      </c>
      <c r="AD1012">
        <f>IF($Y1012="","",IF($Y1012=0,$Z1012*EXP($AA1012*3),$Z1012*(1+$Y1012*$AA1012*3)^(1/$Y1012)))</f>
        <v/>
      </c>
      <c r="AE1012">
        <f>IF($Y1012="","",IF($Y1012=0,$Z1012*EXP($AA1012*-2),$Z1012*(1+$Y1012*$AA1012*-2)^(1/$Y1012)))</f>
        <v/>
      </c>
      <c r="AF1012">
        <f>IF($Y1012="","",IF($Y1012=0,$Z1012*EXP($AA1012*-3),$Z1012*(1+$Y1012*$AA1012*-3)^(1/$Y1012)))</f>
        <v/>
      </c>
      <c r="AG1012">
        <f>IF($W1012="","",IFERROR(INDEX(IF($T1012&lt;=60,est05_l,est519_l),MATCH($W1012,IF($T1012&lt;=60,est05_k,est519_k),1)),""))</f>
        <v/>
      </c>
      <c r="AH1012">
        <f>IF($W1012="","",IFERROR(INDEX(IF($T1012&lt;=60,est05_m,est519_m),MATCH($W1012,IF($T1012&lt;=60,est05_k,est519_k),1)),""))</f>
        <v/>
      </c>
      <c r="AI1012">
        <f>IF($W1012="","",IFERROR(INDEX(IF($T1012&lt;=60,est05_s,est519_s),MATCH($W1012,IF($T1012&lt;=60,est05_k,est519_k),1)),""))</f>
        <v/>
      </c>
      <c r="AJ1012">
        <f>IF($W1012="","",IFERROR(INDEX(IF($T1012&lt;=60,peso05_l,peso510_l),MATCH($W1012,IF($T1012&lt;=60,peso05_k,peso510_k),1)),""))</f>
        <v/>
      </c>
      <c r="AK1012">
        <f>IF($W1012="","",IFERROR(INDEX(IF($T1012&lt;=60,peso05_m,peso510_m),MATCH($W1012,IF($T1012&lt;=60,peso05_k,peso510_k),1)),""))</f>
        <v/>
      </c>
      <c r="AL1012">
        <f>IF($W1012="","",IFERROR(INDEX(IF($T1012&lt;=60,peso05_s,peso510_s),MATCH($W1012,IF($T1012&lt;=60,peso05_k,peso510_k),1)),""))</f>
        <v/>
      </c>
      <c r="AM1012">
        <f>IF($AJ1012="","",IF($AJ1012=0,LN($F1012/$AK1012)/$AL1012,((($F1012/$AK1012)^$AJ1012)-1)/($AJ1012*$AL1012)))</f>
        <v/>
      </c>
      <c r="AN1012">
        <f>IF($AJ1012="","",IF($AJ1012=0,$AK1012*EXP($AL1012*2),$AK1012*(1+$AJ1012*$AL1012*2)^(1/$AJ1012)))</f>
        <v/>
      </c>
      <c r="AO1012">
        <f>IF($AJ1012="","",IF($AJ1012=0,$AK1012*EXP($AL1012*3),$AK1012*(1+$AJ1012*$AL1012*3)^(1/$AJ1012)))</f>
        <v/>
      </c>
      <c r="AP1012">
        <f>IF($AJ1012="","",IF($AJ1012=0,$AK1012*EXP($AL1012*-2),$AK1012*(1+$AJ1012*$AL1012*-2)^(1/$AJ1012)))</f>
        <v/>
      </c>
      <c r="AQ1012">
        <f>IF($AJ1012="","",IF($AJ1012=0,$AK1012*EXP($AL1012*-3),$AK1012*(1+$AJ1012*$AL1012*-3)^(1/$AJ1012)))</f>
        <v/>
      </c>
      <c r="AR1012">
        <f>IF(OR($X1012="",$T1012&gt;60),"",IFERROR(INDEX(IF($T1012&lt;24,pcomp_l,palt_l),MATCH($X1012,IF($T1012&lt;24,pcomp_k,palt_k),1)),""))</f>
        <v/>
      </c>
      <c r="AS1012">
        <f>IF(OR($X1012="",$T1012&gt;60),"",IFERROR(INDEX(IF($T1012&lt;24,pcomp_m,palt_m),MATCH($X1012,IF($T1012&lt;24,pcomp_k,palt_k),1)),""))</f>
        <v/>
      </c>
      <c r="AT1012">
        <f>IF(OR($X1012="",$T1012&gt;60),"",IFERROR(INDEX(IF($T1012&lt;24,pcomp_s,palt_s),MATCH($X1012,IF($T1012&lt;24,pcomp_k,palt_k),1)),""))</f>
        <v/>
      </c>
      <c r="AU1012">
        <f>IF($AR1012="","",IF($AR1012=0,LN($F1012/$AS1012)/$AT1012,((($F1012/$AS1012)^$AR1012)-1)/($AR1012*$AT1012)))</f>
        <v/>
      </c>
      <c r="AV1012">
        <f>IF($AR1012="","",IF($AR1012=0,$AS1012*EXP($AT1012*2),$AS1012*(1+$AR1012*$AT1012*2)^(1/$AR1012)))</f>
        <v/>
      </c>
      <c r="AW1012">
        <f>IF($AR1012="","",IF($AR1012=0,$AS1012*EXP($AT1012*3),$AS1012*(1+$AR1012*$AT1012*3)^(1/$AR1012)))</f>
        <v/>
      </c>
      <c r="AX1012">
        <f>IF($AR1012="","",IF($AR1012=0,$AS1012*EXP($AT1012*-2),$AS1012*(1+$AR1012*$AT1012*-2)^(1/$AR1012)))</f>
        <v/>
      </c>
      <c r="AY1012">
        <f>IF($AR1012="","",IF($AR1012=0,$AS1012*EXP($AT1012*-3),$AS1012*(1+$AR1012*$AT1012*-3)^(1/$AR1012)))</f>
        <v/>
      </c>
      <c r="AZ1012">
        <f>IF(OR($A1012="",$A1012&lt;&gt;Ficha!$C$4),"",COUNTIF($A$2:$A1012,Ficha!$C$4))</f>
        <v/>
      </c>
    </row>
    <row r="1013">
      <c r="A1013" s="8">
        <f>IF(INDEX(Banco!$A:$A,ROW())="","",INDEX(Banco!$A:$A,ROW()))</f>
        <v/>
      </c>
      <c r="B1013" s="8">
        <f>IF(INDEX(Banco!$B:$B,ROW())="","",INDEX(Banco!$B:$B,ROW()))</f>
        <v/>
      </c>
      <c r="C1013" s="8">
        <f>IF(INDEX(Banco!$C:$C,ROW())="","",INDEX(Banco!$C:$C,ROW()))</f>
        <v/>
      </c>
      <c r="D1013" s="9">
        <f>IF(INDEX(Banco!$D:$D,ROW())="","",INDEX(Banco!$D:$D,ROW()))</f>
        <v/>
      </c>
      <c r="E1013" s="9">
        <f>IF(INDEX(Banco!$E:$E,ROW())="","",INDEX(Banco!$E:$E,ROW()))</f>
        <v/>
      </c>
      <c r="F1013" s="10">
        <f>IF(INDEX(Banco!$F:$F,ROW())="","",INDEX(Banco!$F:$F,ROW()))</f>
        <v/>
      </c>
      <c r="G1013" s="10">
        <f>IF(INDEX(Banco!$G:$G,ROW())="","",INDEX(Banco!$G:$G,ROW()))</f>
        <v/>
      </c>
      <c r="H1013" s="8">
        <f>IF(INDEX(Banco!$H:$H,ROW())="","",INDEX(Banco!$H:$H,ROW()))</f>
        <v/>
      </c>
      <c r="I1013">
        <f>IF($T1013="","",INT($T1013/12)&amp;"a "&amp;MOD($T1013,12)&amp;"m")</f>
        <v/>
      </c>
      <c r="J1013" s="11">
        <f>IF(OR($F1013="",$G1013=""),"",ROUND($F1013/($G1013/100)^2,2))</f>
        <v/>
      </c>
      <c r="K1013" s="12">
        <f>IF(OR($S1013="",$J1013="",$T1013="",$T1013&lt;0,$T1013&gt;228,$Y1013=""),"—",ROUND(IF(ABS($AB1013)&lt;=3,$AB1013,IF($AB1013&gt;3,3+($J1013-$AD1013)/($AD1013-$AC1013),-3+($J1013-$AF1013)/($AE1013-$AF1013))),2))</f>
        <v/>
      </c>
      <c r="L1013">
        <f>IF(OR($K1013="",$K1013="—"),"",IF($T1013&lt;=60,IF($K1013&lt;-3,"Magreza acentuada",IF($K1013&lt;-2,"Magreza",IF($K1013&lt;=1,"Eutrofia",IF($K1013&lt;=2,"Risco de sobrepeso",IF($K1013&lt;=3,"Sobrepeso","Obesidade"))))),IF($K1013&lt;-3,"Magreza acentuada",IF($K1013&lt;-2,"Magreza",IF($K1013&lt;=1,"Eutrofia",IF($K1013&lt;=2,"Sobrepeso",IF($K1013&lt;=3,"Obesidade","Obesidade grave")))))))</f>
        <v/>
      </c>
      <c r="M1013" s="12">
        <f>IF(OR($S1013="",$V1013="",$T1013="",$T1013&lt;0,$T1013&gt;228,$AG1013=""),"—",ROUND(IF($AG1013=0,LN($V1013/$AH1013)/$AI1013,((($V1013/$AH1013)^$AG1013)-1)/($AG1013*$AI1013)),2))</f>
        <v/>
      </c>
      <c r="N1013">
        <f>IF(OR($M1013="",$M1013="—"),"",IF($M1013&lt;-3,"Muito baixa",IF($M1013&lt;-2,"Baixa","Adequada")))</f>
        <v/>
      </c>
      <c r="O1013" s="12">
        <f>IF(OR($S1013="",$F1013="",$T1013="",$T1013&lt;0,$T1013&gt;120,$AJ1013=""),"—",ROUND(IF(ABS($AM1013)&lt;=3,$AM1013,IF($AM1013&gt;3,3+($F1013-$AO1013)/($AO1013-$AN1013),-3+($F1013-$AQ1013)/($AP1013-$AQ1013))),2))</f>
        <v/>
      </c>
      <c r="P1013">
        <f>IF(OR($O1013="",$O1013="—"),"",IF($O1013&lt;-3,"Muito baixo",IF($O1013&lt;-2,"Baixo",IF($O1013&lt;=2,"Adequado","Elevado"))))</f>
        <v/>
      </c>
      <c r="Q1013" s="12">
        <f>IF(OR($S1013="",$F1013="",$T1013="",$T1013&lt;0,$T1013&gt;60,$AR1013=""),"—",ROUND(IF(ABS($AU1013)&lt;=3,$AU1013,IF($AU1013&gt;3,3+($F1013-$AW1013)/($AW1013-$AV1013),-3+($F1013-$AY1013)/($AX1013-$AY1013))),2))</f>
        <v/>
      </c>
      <c r="R1013">
        <f>IF(OR($Q1013="",$Q1013="—"),"",IF($Q1013&lt;-3,"Magreza acentuada",IF($Q1013&lt;-2,"Magreza",IF($Q1013&lt;=1,"Eutrofia",IF($Q1013&lt;=2,"Risco de sobrepeso",IF($Q1013&lt;=3,"Sobrepeso","Obesidade"))))))</f>
        <v/>
      </c>
      <c r="S1013">
        <f>IF($C1013="","",IF(UPPER(LEFT($C1013,1))="M",1,IF(UPPER(LEFT($C1013,1))="F",2,"")))</f>
        <v/>
      </c>
      <c r="T1013">
        <f>IF(OR($D1013="",$E1013=""),"",DATEDIF($D1013,$E1013,"m"))</f>
        <v/>
      </c>
      <c r="U1013">
        <f>IF(OR($D1013="",$E1013=""),"",$E1013-$D1013)</f>
        <v/>
      </c>
      <c r="V1013">
        <f>IF(OR($G1013="",$T1013=""),"",IF($T1013&lt;24,IF(LEFT(LOWER($H1013),4)="em p",$G1013+0.7,$G1013),IF(LEFT(LOWER($H1013),4)="deit",$G1013-0.7,$G1013)))</f>
        <v/>
      </c>
      <c r="W1013">
        <f>IF(OR($S1013="",$T1013=""),"",$S1013*1000000+IF($T1013&lt;=60,$U1013,$T1013))</f>
        <v/>
      </c>
      <c r="X1013">
        <f>IF(OR($S1013="",$V1013="",$T1013&gt;60,$T1013=""),"",$S1013*1000000+ROUND($V1013*10,0))</f>
        <v/>
      </c>
      <c r="Y1013">
        <f>IF($W1013="","",IFERROR(INDEX(IF($T1013&lt;=60,imc05_l,imc519_l),MATCH($W1013,IF($T1013&lt;=60,imc05_k,imc519_k),1)),""))</f>
        <v/>
      </c>
      <c r="Z1013">
        <f>IF($W1013="","",IFERROR(INDEX(IF($T1013&lt;=60,imc05_m,imc519_m),MATCH($W1013,IF($T1013&lt;=60,imc05_k,imc519_k),1)),""))</f>
        <v/>
      </c>
      <c r="AA1013">
        <f>IF($W1013="","",IFERROR(INDEX(IF($T1013&lt;=60,imc05_s,imc519_s),MATCH($W1013,IF($T1013&lt;=60,imc05_k,imc519_k),1)),""))</f>
        <v/>
      </c>
      <c r="AB1013">
        <f>IF($Y1013="","",IF($Y1013=0,LN($J1013/$Z1013)/$AA1013,((($J1013/$Z1013)^$Y1013)-1)/($Y1013*$AA1013)))</f>
        <v/>
      </c>
      <c r="AC1013">
        <f>IF($Y1013="","",IF($Y1013=0,$Z1013*EXP($AA1013*2),$Z1013*(1+$Y1013*$AA1013*2)^(1/$Y1013)))</f>
        <v/>
      </c>
      <c r="AD1013">
        <f>IF($Y1013="","",IF($Y1013=0,$Z1013*EXP($AA1013*3),$Z1013*(1+$Y1013*$AA1013*3)^(1/$Y1013)))</f>
        <v/>
      </c>
      <c r="AE1013">
        <f>IF($Y1013="","",IF($Y1013=0,$Z1013*EXP($AA1013*-2),$Z1013*(1+$Y1013*$AA1013*-2)^(1/$Y1013)))</f>
        <v/>
      </c>
      <c r="AF1013">
        <f>IF($Y1013="","",IF($Y1013=0,$Z1013*EXP($AA1013*-3),$Z1013*(1+$Y1013*$AA1013*-3)^(1/$Y1013)))</f>
        <v/>
      </c>
      <c r="AG1013">
        <f>IF($W1013="","",IFERROR(INDEX(IF($T1013&lt;=60,est05_l,est519_l),MATCH($W1013,IF($T1013&lt;=60,est05_k,est519_k),1)),""))</f>
        <v/>
      </c>
      <c r="AH1013">
        <f>IF($W1013="","",IFERROR(INDEX(IF($T1013&lt;=60,est05_m,est519_m),MATCH($W1013,IF($T1013&lt;=60,est05_k,est519_k),1)),""))</f>
        <v/>
      </c>
      <c r="AI1013">
        <f>IF($W1013="","",IFERROR(INDEX(IF($T1013&lt;=60,est05_s,est519_s),MATCH($W1013,IF($T1013&lt;=60,est05_k,est519_k),1)),""))</f>
        <v/>
      </c>
      <c r="AJ1013">
        <f>IF($W1013="","",IFERROR(INDEX(IF($T1013&lt;=60,peso05_l,peso510_l),MATCH($W1013,IF($T1013&lt;=60,peso05_k,peso510_k),1)),""))</f>
        <v/>
      </c>
      <c r="AK1013">
        <f>IF($W1013="","",IFERROR(INDEX(IF($T1013&lt;=60,peso05_m,peso510_m),MATCH($W1013,IF($T1013&lt;=60,peso05_k,peso510_k),1)),""))</f>
        <v/>
      </c>
      <c r="AL1013">
        <f>IF($W1013="","",IFERROR(INDEX(IF($T1013&lt;=60,peso05_s,peso510_s),MATCH($W1013,IF($T1013&lt;=60,peso05_k,peso510_k),1)),""))</f>
        <v/>
      </c>
      <c r="AM1013">
        <f>IF($AJ1013="","",IF($AJ1013=0,LN($F1013/$AK1013)/$AL1013,((($F1013/$AK1013)^$AJ1013)-1)/($AJ1013*$AL1013)))</f>
        <v/>
      </c>
      <c r="AN1013">
        <f>IF($AJ1013="","",IF($AJ1013=0,$AK1013*EXP($AL1013*2),$AK1013*(1+$AJ1013*$AL1013*2)^(1/$AJ1013)))</f>
        <v/>
      </c>
      <c r="AO1013">
        <f>IF($AJ1013="","",IF($AJ1013=0,$AK1013*EXP($AL1013*3),$AK1013*(1+$AJ1013*$AL1013*3)^(1/$AJ1013)))</f>
        <v/>
      </c>
      <c r="AP1013">
        <f>IF($AJ1013="","",IF($AJ1013=0,$AK1013*EXP($AL1013*-2),$AK1013*(1+$AJ1013*$AL1013*-2)^(1/$AJ1013)))</f>
        <v/>
      </c>
      <c r="AQ1013">
        <f>IF($AJ1013="","",IF($AJ1013=0,$AK1013*EXP($AL1013*-3),$AK1013*(1+$AJ1013*$AL1013*-3)^(1/$AJ1013)))</f>
        <v/>
      </c>
      <c r="AR1013">
        <f>IF(OR($X1013="",$T1013&gt;60),"",IFERROR(INDEX(IF($T1013&lt;24,pcomp_l,palt_l),MATCH($X1013,IF($T1013&lt;24,pcomp_k,palt_k),1)),""))</f>
        <v/>
      </c>
      <c r="AS1013">
        <f>IF(OR($X1013="",$T1013&gt;60),"",IFERROR(INDEX(IF($T1013&lt;24,pcomp_m,palt_m),MATCH($X1013,IF($T1013&lt;24,pcomp_k,palt_k),1)),""))</f>
        <v/>
      </c>
      <c r="AT1013">
        <f>IF(OR($X1013="",$T1013&gt;60),"",IFERROR(INDEX(IF($T1013&lt;24,pcomp_s,palt_s),MATCH($X1013,IF($T1013&lt;24,pcomp_k,palt_k),1)),""))</f>
        <v/>
      </c>
      <c r="AU1013">
        <f>IF($AR1013="","",IF($AR1013=0,LN($F1013/$AS1013)/$AT1013,((($F1013/$AS1013)^$AR1013)-1)/($AR1013*$AT1013)))</f>
        <v/>
      </c>
      <c r="AV1013">
        <f>IF($AR1013="","",IF($AR1013=0,$AS1013*EXP($AT1013*2),$AS1013*(1+$AR1013*$AT1013*2)^(1/$AR1013)))</f>
        <v/>
      </c>
      <c r="AW1013">
        <f>IF($AR1013="","",IF($AR1013=0,$AS1013*EXP($AT1013*3),$AS1013*(1+$AR1013*$AT1013*3)^(1/$AR1013)))</f>
        <v/>
      </c>
      <c r="AX1013">
        <f>IF($AR1013="","",IF($AR1013=0,$AS1013*EXP($AT1013*-2),$AS1013*(1+$AR1013*$AT1013*-2)^(1/$AR1013)))</f>
        <v/>
      </c>
      <c r="AY1013">
        <f>IF($AR1013="","",IF($AR1013=0,$AS1013*EXP($AT1013*-3),$AS1013*(1+$AR1013*$AT1013*-3)^(1/$AR1013)))</f>
        <v/>
      </c>
      <c r="AZ1013">
        <f>IF(OR($A1013="",$A1013&lt;&gt;Ficha!$C$4),"",COUNTIF($A$2:$A1013,Ficha!$C$4))</f>
        <v/>
      </c>
    </row>
    <row r="1014">
      <c r="A1014" s="8">
        <f>IF(INDEX(Banco!$A:$A,ROW())="","",INDEX(Banco!$A:$A,ROW()))</f>
        <v/>
      </c>
      <c r="B1014" s="8">
        <f>IF(INDEX(Banco!$B:$B,ROW())="","",INDEX(Banco!$B:$B,ROW()))</f>
        <v/>
      </c>
      <c r="C1014" s="8">
        <f>IF(INDEX(Banco!$C:$C,ROW())="","",INDEX(Banco!$C:$C,ROW()))</f>
        <v/>
      </c>
      <c r="D1014" s="9">
        <f>IF(INDEX(Banco!$D:$D,ROW())="","",INDEX(Banco!$D:$D,ROW()))</f>
        <v/>
      </c>
      <c r="E1014" s="9">
        <f>IF(INDEX(Banco!$E:$E,ROW())="","",INDEX(Banco!$E:$E,ROW()))</f>
        <v/>
      </c>
      <c r="F1014" s="10">
        <f>IF(INDEX(Banco!$F:$F,ROW())="","",INDEX(Banco!$F:$F,ROW()))</f>
        <v/>
      </c>
      <c r="G1014" s="10">
        <f>IF(INDEX(Banco!$G:$G,ROW())="","",INDEX(Banco!$G:$G,ROW()))</f>
        <v/>
      </c>
      <c r="H1014" s="8">
        <f>IF(INDEX(Banco!$H:$H,ROW())="","",INDEX(Banco!$H:$H,ROW()))</f>
        <v/>
      </c>
      <c r="I1014">
        <f>IF($T1014="","",INT($T1014/12)&amp;"a "&amp;MOD($T1014,12)&amp;"m")</f>
        <v/>
      </c>
      <c r="J1014" s="11">
        <f>IF(OR($F1014="",$G1014=""),"",ROUND($F1014/($G1014/100)^2,2))</f>
        <v/>
      </c>
      <c r="K1014" s="12">
        <f>IF(OR($S1014="",$J1014="",$T1014="",$T1014&lt;0,$T1014&gt;228,$Y1014=""),"—",ROUND(IF(ABS($AB1014)&lt;=3,$AB1014,IF($AB1014&gt;3,3+($J1014-$AD1014)/($AD1014-$AC1014),-3+($J1014-$AF1014)/($AE1014-$AF1014))),2))</f>
        <v/>
      </c>
      <c r="L1014">
        <f>IF(OR($K1014="",$K1014="—"),"",IF($T1014&lt;=60,IF($K1014&lt;-3,"Magreza acentuada",IF($K1014&lt;-2,"Magreza",IF($K1014&lt;=1,"Eutrofia",IF($K1014&lt;=2,"Risco de sobrepeso",IF($K1014&lt;=3,"Sobrepeso","Obesidade"))))),IF($K1014&lt;-3,"Magreza acentuada",IF($K1014&lt;-2,"Magreza",IF($K1014&lt;=1,"Eutrofia",IF($K1014&lt;=2,"Sobrepeso",IF($K1014&lt;=3,"Obesidade","Obesidade grave")))))))</f>
        <v/>
      </c>
      <c r="M1014" s="12">
        <f>IF(OR($S1014="",$V1014="",$T1014="",$T1014&lt;0,$T1014&gt;228,$AG1014=""),"—",ROUND(IF($AG1014=0,LN($V1014/$AH1014)/$AI1014,((($V1014/$AH1014)^$AG1014)-1)/($AG1014*$AI1014)),2))</f>
        <v/>
      </c>
      <c r="N1014">
        <f>IF(OR($M1014="",$M1014="—"),"",IF($M1014&lt;-3,"Muito baixa",IF($M1014&lt;-2,"Baixa","Adequada")))</f>
        <v/>
      </c>
      <c r="O1014" s="12">
        <f>IF(OR($S1014="",$F1014="",$T1014="",$T1014&lt;0,$T1014&gt;120,$AJ1014=""),"—",ROUND(IF(ABS($AM1014)&lt;=3,$AM1014,IF($AM1014&gt;3,3+($F1014-$AO1014)/($AO1014-$AN1014),-3+($F1014-$AQ1014)/($AP1014-$AQ1014))),2))</f>
        <v/>
      </c>
      <c r="P1014">
        <f>IF(OR($O1014="",$O1014="—"),"",IF($O1014&lt;-3,"Muito baixo",IF($O1014&lt;-2,"Baixo",IF($O1014&lt;=2,"Adequado","Elevado"))))</f>
        <v/>
      </c>
      <c r="Q1014" s="12">
        <f>IF(OR($S1014="",$F1014="",$T1014="",$T1014&lt;0,$T1014&gt;60,$AR1014=""),"—",ROUND(IF(ABS($AU1014)&lt;=3,$AU1014,IF($AU1014&gt;3,3+($F1014-$AW1014)/($AW1014-$AV1014),-3+($F1014-$AY1014)/($AX1014-$AY1014))),2))</f>
        <v/>
      </c>
      <c r="R1014">
        <f>IF(OR($Q1014="",$Q1014="—"),"",IF($Q1014&lt;-3,"Magreza acentuada",IF($Q1014&lt;-2,"Magreza",IF($Q1014&lt;=1,"Eutrofia",IF($Q1014&lt;=2,"Risco de sobrepeso",IF($Q1014&lt;=3,"Sobrepeso","Obesidade"))))))</f>
        <v/>
      </c>
      <c r="S1014">
        <f>IF($C1014="","",IF(UPPER(LEFT($C1014,1))="M",1,IF(UPPER(LEFT($C1014,1))="F",2,"")))</f>
        <v/>
      </c>
      <c r="T1014">
        <f>IF(OR($D1014="",$E1014=""),"",DATEDIF($D1014,$E1014,"m"))</f>
        <v/>
      </c>
      <c r="U1014">
        <f>IF(OR($D1014="",$E1014=""),"",$E1014-$D1014)</f>
        <v/>
      </c>
      <c r="V1014">
        <f>IF(OR($G1014="",$T1014=""),"",IF($T1014&lt;24,IF(LEFT(LOWER($H1014),4)="em p",$G1014+0.7,$G1014),IF(LEFT(LOWER($H1014),4)="deit",$G1014-0.7,$G1014)))</f>
        <v/>
      </c>
      <c r="W1014">
        <f>IF(OR($S1014="",$T1014=""),"",$S1014*1000000+IF($T1014&lt;=60,$U1014,$T1014))</f>
        <v/>
      </c>
      <c r="X1014">
        <f>IF(OR($S1014="",$V1014="",$T1014&gt;60,$T1014=""),"",$S1014*1000000+ROUND($V1014*10,0))</f>
        <v/>
      </c>
      <c r="Y1014">
        <f>IF($W1014="","",IFERROR(INDEX(IF($T1014&lt;=60,imc05_l,imc519_l),MATCH($W1014,IF($T1014&lt;=60,imc05_k,imc519_k),1)),""))</f>
        <v/>
      </c>
      <c r="Z1014">
        <f>IF($W1014="","",IFERROR(INDEX(IF($T1014&lt;=60,imc05_m,imc519_m),MATCH($W1014,IF($T1014&lt;=60,imc05_k,imc519_k),1)),""))</f>
        <v/>
      </c>
      <c r="AA1014">
        <f>IF($W1014="","",IFERROR(INDEX(IF($T1014&lt;=60,imc05_s,imc519_s),MATCH($W1014,IF($T1014&lt;=60,imc05_k,imc519_k),1)),""))</f>
        <v/>
      </c>
      <c r="AB1014">
        <f>IF($Y1014="","",IF($Y1014=0,LN($J1014/$Z1014)/$AA1014,((($J1014/$Z1014)^$Y1014)-1)/($Y1014*$AA1014)))</f>
        <v/>
      </c>
      <c r="AC1014">
        <f>IF($Y1014="","",IF($Y1014=0,$Z1014*EXP($AA1014*2),$Z1014*(1+$Y1014*$AA1014*2)^(1/$Y1014)))</f>
        <v/>
      </c>
      <c r="AD1014">
        <f>IF($Y1014="","",IF($Y1014=0,$Z1014*EXP($AA1014*3),$Z1014*(1+$Y1014*$AA1014*3)^(1/$Y1014)))</f>
        <v/>
      </c>
      <c r="AE1014">
        <f>IF($Y1014="","",IF($Y1014=0,$Z1014*EXP($AA1014*-2),$Z1014*(1+$Y1014*$AA1014*-2)^(1/$Y1014)))</f>
        <v/>
      </c>
      <c r="AF1014">
        <f>IF($Y1014="","",IF($Y1014=0,$Z1014*EXP($AA1014*-3),$Z1014*(1+$Y1014*$AA1014*-3)^(1/$Y1014)))</f>
        <v/>
      </c>
      <c r="AG1014">
        <f>IF($W1014="","",IFERROR(INDEX(IF($T1014&lt;=60,est05_l,est519_l),MATCH($W1014,IF($T1014&lt;=60,est05_k,est519_k),1)),""))</f>
        <v/>
      </c>
      <c r="AH1014">
        <f>IF($W1014="","",IFERROR(INDEX(IF($T1014&lt;=60,est05_m,est519_m),MATCH($W1014,IF($T1014&lt;=60,est05_k,est519_k),1)),""))</f>
        <v/>
      </c>
      <c r="AI1014">
        <f>IF($W1014="","",IFERROR(INDEX(IF($T1014&lt;=60,est05_s,est519_s),MATCH($W1014,IF($T1014&lt;=60,est05_k,est519_k),1)),""))</f>
        <v/>
      </c>
      <c r="AJ1014">
        <f>IF($W1014="","",IFERROR(INDEX(IF($T1014&lt;=60,peso05_l,peso510_l),MATCH($W1014,IF($T1014&lt;=60,peso05_k,peso510_k),1)),""))</f>
        <v/>
      </c>
      <c r="AK1014">
        <f>IF($W1014="","",IFERROR(INDEX(IF($T1014&lt;=60,peso05_m,peso510_m),MATCH($W1014,IF($T1014&lt;=60,peso05_k,peso510_k),1)),""))</f>
        <v/>
      </c>
      <c r="AL1014">
        <f>IF($W1014="","",IFERROR(INDEX(IF($T1014&lt;=60,peso05_s,peso510_s),MATCH($W1014,IF($T1014&lt;=60,peso05_k,peso510_k),1)),""))</f>
        <v/>
      </c>
      <c r="AM1014">
        <f>IF($AJ1014="","",IF($AJ1014=0,LN($F1014/$AK1014)/$AL1014,((($F1014/$AK1014)^$AJ1014)-1)/($AJ1014*$AL1014)))</f>
        <v/>
      </c>
      <c r="AN1014">
        <f>IF($AJ1014="","",IF($AJ1014=0,$AK1014*EXP($AL1014*2),$AK1014*(1+$AJ1014*$AL1014*2)^(1/$AJ1014)))</f>
        <v/>
      </c>
      <c r="AO1014">
        <f>IF($AJ1014="","",IF($AJ1014=0,$AK1014*EXP($AL1014*3),$AK1014*(1+$AJ1014*$AL1014*3)^(1/$AJ1014)))</f>
        <v/>
      </c>
      <c r="AP1014">
        <f>IF($AJ1014="","",IF($AJ1014=0,$AK1014*EXP($AL1014*-2),$AK1014*(1+$AJ1014*$AL1014*-2)^(1/$AJ1014)))</f>
        <v/>
      </c>
      <c r="AQ1014">
        <f>IF($AJ1014="","",IF($AJ1014=0,$AK1014*EXP($AL1014*-3),$AK1014*(1+$AJ1014*$AL1014*-3)^(1/$AJ1014)))</f>
        <v/>
      </c>
      <c r="AR1014">
        <f>IF(OR($X1014="",$T1014&gt;60),"",IFERROR(INDEX(IF($T1014&lt;24,pcomp_l,palt_l),MATCH($X1014,IF($T1014&lt;24,pcomp_k,palt_k),1)),""))</f>
        <v/>
      </c>
      <c r="AS1014">
        <f>IF(OR($X1014="",$T1014&gt;60),"",IFERROR(INDEX(IF($T1014&lt;24,pcomp_m,palt_m),MATCH($X1014,IF($T1014&lt;24,pcomp_k,palt_k),1)),""))</f>
        <v/>
      </c>
      <c r="AT1014">
        <f>IF(OR($X1014="",$T1014&gt;60),"",IFERROR(INDEX(IF($T1014&lt;24,pcomp_s,palt_s),MATCH($X1014,IF($T1014&lt;24,pcomp_k,palt_k),1)),""))</f>
        <v/>
      </c>
      <c r="AU1014">
        <f>IF($AR1014="","",IF($AR1014=0,LN($F1014/$AS1014)/$AT1014,((($F1014/$AS1014)^$AR1014)-1)/($AR1014*$AT1014)))</f>
        <v/>
      </c>
      <c r="AV1014">
        <f>IF($AR1014="","",IF($AR1014=0,$AS1014*EXP($AT1014*2),$AS1014*(1+$AR1014*$AT1014*2)^(1/$AR1014)))</f>
        <v/>
      </c>
      <c r="AW1014">
        <f>IF($AR1014="","",IF($AR1014=0,$AS1014*EXP($AT1014*3),$AS1014*(1+$AR1014*$AT1014*3)^(1/$AR1014)))</f>
        <v/>
      </c>
      <c r="AX1014">
        <f>IF($AR1014="","",IF($AR1014=0,$AS1014*EXP($AT1014*-2),$AS1014*(1+$AR1014*$AT1014*-2)^(1/$AR1014)))</f>
        <v/>
      </c>
      <c r="AY1014">
        <f>IF($AR1014="","",IF($AR1014=0,$AS1014*EXP($AT1014*-3),$AS1014*(1+$AR1014*$AT1014*-3)^(1/$AR1014)))</f>
        <v/>
      </c>
      <c r="AZ1014">
        <f>IF(OR($A1014="",$A1014&lt;&gt;Ficha!$C$4),"",COUNTIF($A$2:$A1014,Ficha!$C$4))</f>
        <v/>
      </c>
    </row>
    <row r="1015">
      <c r="A1015" s="8">
        <f>IF(INDEX(Banco!$A:$A,ROW())="","",INDEX(Banco!$A:$A,ROW()))</f>
        <v/>
      </c>
      <c r="B1015" s="8">
        <f>IF(INDEX(Banco!$B:$B,ROW())="","",INDEX(Banco!$B:$B,ROW()))</f>
        <v/>
      </c>
      <c r="C1015" s="8">
        <f>IF(INDEX(Banco!$C:$C,ROW())="","",INDEX(Banco!$C:$C,ROW()))</f>
        <v/>
      </c>
      <c r="D1015" s="9">
        <f>IF(INDEX(Banco!$D:$D,ROW())="","",INDEX(Banco!$D:$D,ROW()))</f>
        <v/>
      </c>
      <c r="E1015" s="9">
        <f>IF(INDEX(Banco!$E:$E,ROW())="","",INDEX(Banco!$E:$E,ROW()))</f>
        <v/>
      </c>
      <c r="F1015" s="10">
        <f>IF(INDEX(Banco!$F:$F,ROW())="","",INDEX(Banco!$F:$F,ROW()))</f>
        <v/>
      </c>
      <c r="G1015" s="10">
        <f>IF(INDEX(Banco!$G:$G,ROW())="","",INDEX(Banco!$G:$G,ROW()))</f>
        <v/>
      </c>
      <c r="H1015" s="8">
        <f>IF(INDEX(Banco!$H:$H,ROW())="","",INDEX(Banco!$H:$H,ROW()))</f>
        <v/>
      </c>
      <c r="I1015">
        <f>IF($T1015="","",INT($T1015/12)&amp;"a "&amp;MOD($T1015,12)&amp;"m")</f>
        <v/>
      </c>
      <c r="J1015" s="11">
        <f>IF(OR($F1015="",$G1015=""),"",ROUND($F1015/($G1015/100)^2,2))</f>
        <v/>
      </c>
      <c r="K1015" s="12">
        <f>IF(OR($S1015="",$J1015="",$T1015="",$T1015&lt;0,$T1015&gt;228,$Y1015=""),"—",ROUND(IF(ABS($AB1015)&lt;=3,$AB1015,IF($AB1015&gt;3,3+($J1015-$AD1015)/($AD1015-$AC1015),-3+($J1015-$AF1015)/($AE1015-$AF1015))),2))</f>
        <v/>
      </c>
      <c r="L1015">
        <f>IF(OR($K1015="",$K1015="—"),"",IF($T1015&lt;=60,IF($K1015&lt;-3,"Magreza acentuada",IF($K1015&lt;-2,"Magreza",IF($K1015&lt;=1,"Eutrofia",IF($K1015&lt;=2,"Risco de sobrepeso",IF($K1015&lt;=3,"Sobrepeso","Obesidade"))))),IF($K1015&lt;-3,"Magreza acentuada",IF($K1015&lt;-2,"Magreza",IF($K1015&lt;=1,"Eutrofia",IF($K1015&lt;=2,"Sobrepeso",IF($K1015&lt;=3,"Obesidade","Obesidade grave")))))))</f>
        <v/>
      </c>
      <c r="M1015" s="12">
        <f>IF(OR($S1015="",$V1015="",$T1015="",$T1015&lt;0,$T1015&gt;228,$AG1015=""),"—",ROUND(IF($AG1015=0,LN($V1015/$AH1015)/$AI1015,((($V1015/$AH1015)^$AG1015)-1)/($AG1015*$AI1015)),2))</f>
        <v/>
      </c>
      <c r="N1015">
        <f>IF(OR($M1015="",$M1015="—"),"",IF($M1015&lt;-3,"Muito baixa",IF($M1015&lt;-2,"Baixa","Adequada")))</f>
        <v/>
      </c>
      <c r="O1015" s="12">
        <f>IF(OR($S1015="",$F1015="",$T1015="",$T1015&lt;0,$T1015&gt;120,$AJ1015=""),"—",ROUND(IF(ABS($AM1015)&lt;=3,$AM1015,IF($AM1015&gt;3,3+($F1015-$AO1015)/($AO1015-$AN1015),-3+($F1015-$AQ1015)/($AP1015-$AQ1015))),2))</f>
        <v/>
      </c>
      <c r="P1015">
        <f>IF(OR($O1015="",$O1015="—"),"",IF($O1015&lt;-3,"Muito baixo",IF($O1015&lt;-2,"Baixo",IF($O1015&lt;=2,"Adequado","Elevado"))))</f>
        <v/>
      </c>
      <c r="Q1015" s="12">
        <f>IF(OR($S1015="",$F1015="",$T1015="",$T1015&lt;0,$T1015&gt;60,$AR1015=""),"—",ROUND(IF(ABS($AU1015)&lt;=3,$AU1015,IF($AU1015&gt;3,3+($F1015-$AW1015)/($AW1015-$AV1015),-3+($F1015-$AY1015)/($AX1015-$AY1015))),2))</f>
        <v/>
      </c>
      <c r="R1015">
        <f>IF(OR($Q1015="",$Q1015="—"),"",IF($Q1015&lt;-3,"Magreza acentuada",IF($Q1015&lt;-2,"Magreza",IF($Q1015&lt;=1,"Eutrofia",IF($Q1015&lt;=2,"Risco de sobrepeso",IF($Q1015&lt;=3,"Sobrepeso","Obesidade"))))))</f>
        <v/>
      </c>
      <c r="S1015">
        <f>IF($C1015="","",IF(UPPER(LEFT($C1015,1))="M",1,IF(UPPER(LEFT($C1015,1))="F",2,"")))</f>
        <v/>
      </c>
      <c r="T1015">
        <f>IF(OR($D1015="",$E1015=""),"",DATEDIF($D1015,$E1015,"m"))</f>
        <v/>
      </c>
      <c r="U1015">
        <f>IF(OR($D1015="",$E1015=""),"",$E1015-$D1015)</f>
        <v/>
      </c>
      <c r="V1015">
        <f>IF(OR($G1015="",$T1015=""),"",IF($T1015&lt;24,IF(LEFT(LOWER($H1015),4)="em p",$G1015+0.7,$G1015),IF(LEFT(LOWER($H1015),4)="deit",$G1015-0.7,$G1015)))</f>
        <v/>
      </c>
      <c r="W1015">
        <f>IF(OR($S1015="",$T1015=""),"",$S1015*1000000+IF($T1015&lt;=60,$U1015,$T1015))</f>
        <v/>
      </c>
      <c r="X1015">
        <f>IF(OR($S1015="",$V1015="",$T1015&gt;60,$T1015=""),"",$S1015*1000000+ROUND($V1015*10,0))</f>
        <v/>
      </c>
      <c r="Y1015">
        <f>IF($W1015="","",IFERROR(INDEX(IF($T1015&lt;=60,imc05_l,imc519_l),MATCH($W1015,IF($T1015&lt;=60,imc05_k,imc519_k),1)),""))</f>
        <v/>
      </c>
      <c r="Z1015">
        <f>IF($W1015="","",IFERROR(INDEX(IF($T1015&lt;=60,imc05_m,imc519_m),MATCH($W1015,IF($T1015&lt;=60,imc05_k,imc519_k),1)),""))</f>
        <v/>
      </c>
      <c r="AA1015">
        <f>IF($W1015="","",IFERROR(INDEX(IF($T1015&lt;=60,imc05_s,imc519_s),MATCH($W1015,IF($T1015&lt;=60,imc05_k,imc519_k),1)),""))</f>
        <v/>
      </c>
      <c r="AB1015">
        <f>IF($Y1015="","",IF($Y1015=0,LN($J1015/$Z1015)/$AA1015,((($J1015/$Z1015)^$Y1015)-1)/($Y1015*$AA1015)))</f>
        <v/>
      </c>
      <c r="AC1015">
        <f>IF($Y1015="","",IF($Y1015=0,$Z1015*EXP($AA1015*2),$Z1015*(1+$Y1015*$AA1015*2)^(1/$Y1015)))</f>
        <v/>
      </c>
      <c r="AD1015">
        <f>IF($Y1015="","",IF($Y1015=0,$Z1015*EXP($AA1015*3),$Z1015*(1+$Y1015*$AA1015*3)^(1/$Y1015)))</f>
        <v/>
      </c>
      <c r="AE1015">
        <f>IF($Y1015="","",IF($Y1015=0,$Z1015*EXP($AA1015*-2),$Z1015*(1+$Y1015*$AA1015*-2)^(1/$Y1015)))</f>
        <v/>
      </c>
      <c r="AF1015">
        <f>IF($Y1015="","",IF($Y1015=0,$Z1015*EXP($AA1015*-3),$Z1015*(1+$Y1015*$AA1015*-3)^(1/$Y1015)))</f>
        <v/>
      </c>
      <c r="AG1015">
        <f>IF($W1015="","",IFERROR(INDEX(IF($T1015&lt;=60,est05_l,est519_l),MATCH($W1015,IF($T1015&lt;=60,est05_k,est519_k),1)),""))</f>
        <v/>
      </c>
      <c r="AH1015">
        <f>IF($W1015="","",IFERROR(INDEX(IF($T1015&lt;=60,est05_m,est519_m),MATCH($W1015,IF($T1015&lt;=60,est05_k,est519_k),1)),""))</f>
        <v/>
      </c>
      <c r="AI1015">
        <f>IF($W1015="","",IFERROR(INDEX(IF($T1015&lt;=60,est05_s,est519_s),MATCH($W1015,IF($T1015&lt;=60,est05_k,est519_k),1)),""))</f>
        <v/>
      </c>
      <c r="AJ1015">
        <f>IF($W1015="","",IFERROR(INDEX(IF($T1015&lt;=60,peso05_l,peso510_l),MATCH($W1015,IF($T1015&lt;=60,peso05_k,peso510_k),1)),""))</f>
        <v/>
      </c>
      <c r="AK1015">
        <f>IF($W1015="","",IFERROR(INDEX(IF($T1015&lt;=60,peso05_m,peso510_m),MATCH($W1015,IF($T1015&lt;=60,peso05_k,peso510_k),1)),""))</f>
        <v/>
      </c>
      <c r="AL1015">
        <f>IF($W1015="","",IFERROR(INDEX(IF($T1015&lt;=60,peso05_s,peso510_s),MATCH($W1015,IF($T1015&lt;=60,peso05_k,peso510_k),1)),""))</f>
        <v/>
      </c>
      <c r="AM1015">
        <f>IF($AJ1015="","",IF($AJ1015=0,LN($F1015/$AK1015)/$AL1015,((($F1015/$AK1015)^$AJ1015)-1)/($AJ1015*$AL1015)))</f>
        <v/>
      </c>
      <c r="AN1015">
        <f>IF($AJ1015="","",IF($AJ1015=0,$AK1015*EXP($AL1015*2),$AK1015*(1+$AJ1015*$AL1015*2)^(1/$AJ1015)))</f>
        <v/>
      </c>
      <c r="AO1015">
        <f>IF($AJ1015="","",IF($AJ1015=0,$AK1015*EXP($AL1015*3),$AK1015*(1+$AJ1015*$AL1015*3)^(1/$AJ1015)))</f>
        <v/>
      </c>
      <c r="AP1015">
        <f>IF($AJ1015="","",IF($AJ1015=0,$AK1015*EXP($AL1015*-2),$AK1015*(1+$AJ1015*$AL1015*-2)^(1/$AJ1015)))</f>
        <v/>
      </c>
      <c r="AQ1015">
        <f>IF($AJ1015="","",IF($AJ1015=0,$AK1015*EXP($AL1015*-3),$AK1015*(1+$AJ1015*$AL1015*-3)^(1/$AJ1015)))</f>
        <v/>
      </c>
      <c r="AR1015">
        <f>IF(OR($X1015="",$T1015&gt;60),"",IFERROR(INDEX(IF($T1015&lt;24,pcomp_l,palt_l),MATCH($X1015,IF($T1015&lt;24,pcomp_k,palt_k),1)),""))</f>
        <v/>
      </c>
      <c r="AS1015">
        <f>IF(OR($X1015="",$T1015&gt;60),"",IFERROR(INDEX(IF($T1015&lt;24,pcomp_m,palt_m),MATCH($X1015,IF($T1015&lt;24,pcomp_k,palt_k),1)),""))</f>
        <v/>
      </c>
      <c r="AT1015">
        <f>IF(OR($X1015="",$T1015&gt;60),"",IFERROR(INDEX(IF($T1015&lt;24,pcomp_s,palt_s),MATCH($X1015,IF($T1015&lt;24,pcomp_k,palt_k),1)),""))</f>
        <v/>
      </c>
      <c r="AU1015">
        <f>IF($AR1015="","",IF($AR1015=0,LN($F1015/$AS1015)/$AT1015,((($F1015/$AS1015)^$AR1015)-1)/($AR1015*$AT1015)))</f>
        <v/>
      </c>
      <c r="AV1015">
        <f>IF($AR1015="","",IF($AR1015=0,$AS1015*EXP($AT1015*2),$AS1015*(1+$AR1015*$AT1015*2)^(1/$AR1015)))</f>
        <v/>
      </c>
      <c r="AW1015">
        <f>IF($AR1015="","",IF($AR1015=0,$AS1015*EXP($AT1015*3),$AS1015*(1+$AR1015*$AT1015*3)^(1/$AR1015)))</f>
        <v/>
      </c>
      <c r="AX1015">
        <f>IF($AR1015="","",IF($AR1015=0,$AS1015*EXP($AT1015*-2),$AS1015*(1+$AR1015*$AT1015*-2)^(1/$AR1015)))</f>
        <v/>
      </c>
      <c r="AY1015">
        <f>IF($AR1015="","",IF($AR1015=0,$AS1015*EXP($AT1015*-3),$AS1015*(1+$AR1015*$AT1015*-3)^(1/$AR1015)))</f>
        <v/>
      </c>
      <c r="AZ1015">
        <f>IF(OR($A1015="",$A1015&lt;&gt;Ficha!$C$4),"",COUNTIF($A$2:$A1015,Ficha!$C$4))</f>
        <v/>
      </c>
    </row>
    <row r="1016">
      <c r="A1016" s="8">
        <f>IF(INDEX(Banco!$A:$A,ROW())="","",INDEX(Banco!$A:$A,ROW()))</f>
        <v/>
      </c>
      <c r="B1016" s="8">
        <f>IF(INDEX(Banco!$B:$B,ROW())="","",INDEX(Banco!$B:$B,ROW()))</f>
        <v/>
      </c>
      <c r="C1016" s="8">
        <f>IF(INDEX(Banco!$C:$C,ROW())="","",INDEX(Banco!$C:$C,ROW()))</f>
        <v/>
      </c>
      <c r="D1016" s="9">
        <f>IF(INDEX(Banco!$D:$D,ROW())="","",INDEX(Banco!$D:$D,ROW()))</f>
        <v/>
      </c>
      <c r="E1016" s="9">
        <f>IF(INDEX(Banco!$E:$E,ROW())="","",INDEX(Banco!$E:$E,ROW()))</f>
        <v/>
      </c>
      <c r="F1016" s="10">
        <f>IF(INDEX(Banco!$F:$F,ROW())="","",INDEX(Banco!$F:$F,ROW()))</f>
        <v/>
      </c>
      <c r="G1016" s="10">
        <f>IF(INDEX(Banco!$G:$G,ROW())="","",INDEX(Banco!$G:$G,ROW()))</f>
        <v/>
      </c>
      <c r="H1016" s="8">
        <f>IF(INDEX(Banco!$H:$H,ROW())="","",INDEX(Banco!$H:$H,ROW()))</f>
        <v/>
      </c>
      <c r="I1016">
        <f>IF($T1016="","",INT($T1016/12)&amp;"a "&amp;MOD($T1016,12)&amp;"m")</f>
        <v/>
      </c>
      <c r="J1016" s="11">
        <f>IF(OR($F1016="",$G1016=""),"",ROUND($F1016/($G1016/100)^2,2))</f>
        <v/>
      </c>
      <c r="K1016" s="12">
        <f>IF(OR($S1016="",$J1016="",$T1016="",$T1016&lt;0,$T1016&gt;228,$Y1016=""),"—",ROUND(IF(ABS($AB1016)&lt;=3,$AB1016,IF($AB1016&gt;3,3+($J1016-$AD1016)/($AD1016-$AC1016),-3+($J1016-$AF1016)/($AE1016-$AF1016))),2))</f>
        <v/>
      </c>
      <c r="L1016">
        <f>IF(OR($K1016="",$K1016="—"),"",IF($T1016&lt;=60,IF($K1016&lt;-3,"Magreza acentuada",IF($K1016&lt;-2,"Magreza",IF($K1016&lt;=1,"Eutrofia",IF($K1016&lt;=2,"Risco de sobrepeso",IF($K1016&lt;=3,"Sobrepeso","Obesidade"))))),IF($K1016&lt;-3,"Magreza acentuada",IF($K1016&lt;-2,"Magreza",IF($K1016&lt;=1,"Eutrofia",IF($K1016&lt;=2,"Sobrepeso",IF($K1016&lt;=3,"Obesidade","Obesidade grave")))))))</f>
        <v/>
      </c>
      <c r="M1016" s="12">
        <f>IF(OR($S1016="",$V1016="",$T1016="",$T1016&lt;0,$T1016&gt;228,$AG1016=""),"—",ROUND(IF($AG1016=0,LN($V1016/$AH1016)/$AI1016,((($V1016/$AH1016)^$AG1016)-1)/($AG1016*$AI1016)),2))</f>
        <v/>
      </c>
      <c r="N1016">
        <f>IF(OR($M1016="",$M1016="—"),"",IF($M1016&lt;-3,"Muito baixa",IF($M1016&lt;-2,"Baixa","Adequada")))</f>
        <v/>
      </c>
      <c r="O1016" s="12">
        <f>IF(OR($S1016="",$F1016="",$T1016="",$T1016&lt;0,$T1016&gt;120,$AJ1016=""),"—",ROUND(IF(ABS($AM1016)&lt;=3,$AM1016,IF($AM1016&gt;3,3+($F1016-$AO1016)/($AO1016-$AN1016),-3+($F1016-$AQ1016)/($AP1016-$AQ1016))),2))</f>
        <v/>
      </c>
      <c r="P1016">
        <f>IF(OR($O1016="",$O1016="—"),"",IF($O1016&lt;-3,"Muito baixo",IF($O1016&lt;-2,"Baixo",IF($O1016&lt;=2,"Adequado","Elevado"))))</f>
        <v/>
      </c>
      <c r="Q1016" s="12">
        <f>IF(OR($S1016="",$F1016="",$T1016="",$T1016&lt;0,$T1016&gt;60,$AR1016=""),"—",ROUND(IF(ABS($AU1016)&lt;=3,$AU1016,IF($AU1016&gt;3,3+($F1016-$AW1016)/($AW1016-$AV1016),-3+($F1016-$AY1016)/($AX1016-$AY1016))),2))</f>
        <v/>
      </c>
      <c r="R1016">
        <f>IF(OR($Q1016="",$Q1016="—"),"",IF($Q1016&lt;-3,"Magreza acentuada",IF($Q1016&lt;-2,"Magreza",IF($Q1016&lt;=1,"Eutrofia",IF($Q1016&lt;=2,"Risco de sobrepeso",IF($Q1016&lt;=3,"Sobrepeso","Obesidade"))))))</f>
        <v/>
      </c>
      <c r="S1016">
        <f>IF($C1016="","",IF(UPPER(LEFT($C1016,1))="M",1,IF(UPPER(LEFT($C1016,1))="F",2,"")))</f>
        <v/>
      </c>
      <c r="T1016">
        <f>IF(OR($D1016="",$E1016=""),"",DATEDIF($D1016,$E1016,"m"))</f>
        <v/>
      </c>
      <c r="U1016">
        <f>IF(OR($D1016="",$E1016=""),"",$E1016-$D1016)</f>
        <v/>
      </c>
      <c r="V1016">
        <f>IF(OR($G1016="",$T1016=""),"",IF($T1016&lt;24,IF(LEFT(LOWER($H1016),4)="em p",$G1016+0.7,$G1016),IF(LEFT(LOWER($H1016),4)="deit",$G1016-0.7,$G1016)))</f>
        <v/>
      </c>
      <c r="W1016">
        <f>IF(OR($S1016="",$T1016=""),"",$S1016*1000000+IF($T1016&lt;=60,$U1016,$T1016))</f>
        <v/>
      </c>
      <c r="X1016">
        <f>IF(OR($S1016="",$V1016="",$T1016&gt;60,$T1016=""),"",$S1016*1000000+ROUND($V1016*10,0))</f>
        <v/>
      </c>
      <c r="Y1016">
        <f>IF($W1016="","",IFERROR(INDEX(IF($T1016&lt;=60,imc05_l,imc519_l),MATCH($W1016,IF($T1016&lt;=60,imc05_k,imc519_k),1)),""))</f>
        <v/>
      </c>
      <c r="Z1016">
        <f>IF($W1016="","",IFERROR(INDEX(IF($T1016&lt;=60,imc05_m,imc519_m),MATCH($W1016,IF($T1016&lt;=60,imc05_k,imc519_k),1)),""))</f>
        <v/>
      </c>
      <c r="AA1016">
        <f>IF($W1016="","",IFERROR(INDEX(IF($T1016&lt;=60,imc05_s,imc519_s),MATCH($W1016,IF($T1016&lt;=60,imc05_k,imc519_k),1)),""))</f>
        <v/>
      </c>
      <c r="AB1016">
        <f>IF($Y1016="","",IF($Y1016=0,LN($J1016/$Z1016)/$AA1016,((($J1016/$Z1016)^$Y1016)-1)/($Y1016*$AA1016)))</f>
        <v/>
      </c>
      <c r="AC1016">
        <f>IF($Y1016="","",IF($Y1016=0,$Z1016*EXP($AA1016*2),$Z1016*(1+$Y1016*$AA1016*2)^(1/$Y1016)))</f>
        <v/>
      </c>
      <c r="AD1016">
        <f>IF($Y1016="","",IF($Y1016=0,$Z1016*EXP($AA1016*3),$Z1016*(1+$Y1016*$AA1016*3)^(1/$Y1016)))</f>
        <v/>
      </c>
      <c r="AE1016">
        <f>IF($Y1016="","",IF($Y1016=0,$Z1016*EXP($AA1016*-2),$Z1016*(1+$Y1016*$AA1016*-2)^(1/$Y1016)))</f>
        <v/>
      </c>
      <c r="AF1016">
        <f>IF($Y1016="","",IF($Y1016=0,$Z1016*EXP($AA1016*-3),$Z1016*(1+$Y1016*$AA1016*-3)^(1/$Y1016)))</f>
        <v/>
      </c>
      <c r="AG1016">
        <f>IF($W1016="","",IFERROR(INDEX(IF($T1016&lt;=60,est05_l,est519_l),MATCH($W1016,IF($T1016&lt;=60,est05_k,est519_k),1)),""))</f>
        <v/>
      </c>
      <c r="AH1016">
        <f>IF($W1016="","",IFERROR(INDEX(IF($T1016&lt;=60,est05_m,est519_m),MATCH($W1016,IF($T1016&lt;=60,est05_k,est519_k),1)),""))</f>
        <v/>
      </c>
      <c r="AI1016">
        <f>IF($W1016="","",IFERROR(INDEX(IF($T1016&lt;=60,est05_s,est519_s),MATCH($W1016,IF($T1016&lt;=60,est05_k,est519_k),1)),""))</f>
        <v/>
      </c>
      <c r="AJ1016">
        <f>IF($W1016="","",IFERROR(INDEX(IF($T1016&lt;=60,peso05_l,peso510_l),MATCH($W1016,IF($T1016&lt;=60,peso05_k,peso510_k),1)),""))</f>
        <v/>
      </c>
      <c r="AK1016">
        <f>IF($W1016="","",IFERROR(INDEX(IF($T1016&lt;=60,peso05_m,peso510_m),MATCH($W1016,IF($T1016&lt;=60,peso05_k,peso510_k),1)),""))</f>
        <v/>
      </c>
      <c r="AL1016">
        <f>IF($W1016="","",IFERROR(INDEX(IF($T1016&lt;=60,peso05_s,peso510_s),MATCH($W1016,IF($T1016&lt;=60,peso05_k,peso510_k),1)),""))</f>
        <v/>
      </c>
      <c r="AM1016">
        <f>IF($AJ1016="","",IF($AJ1016=0,LN($F1016/$AK1016)/$AL1016,((($F1016/$AK1016)^$AJ1016)-1)/($AJ1016*$AL1016)))</f>
        <v/>
      </c>
      <c r="AN1016">
        <f>IF($AJ1016="","",IF($AJ1016=0,$AK1016*EXP($AL1016*2),$AK1016*(1+$AJ1016*$AL1016*2)^(1/$AJ1016)))</f>
        <v/>
      </c>
      <c r="AO1016">
        <f>IF($AJ1016="","",IF($AJ1016=0,$AK1016*EXP($AL1016*3),$AK1016*(1+$AJ1016*$AL1016*3)^(1/$AJ1016)))</f>
        <v/>
      </c>
      <c r="AP1016">
        <f>IF($AJ1016="","",IF($AJ1016=0,$AK1016*EXP($AL1016*-2),$AK1016*(1+$AJ1016*$AL1016*-2)^(1/$AJ1016)))</f>
        <v/>
      </c>
      <c r="AQ1016">
        <f>IF($AJ1016="","",IF($AJ1016=0,$AK1016*EXP($AL1016*-3),$AK1016*(1+$AJ1016*$AL1016*-3)^(1/$AJ1016)))</f>
        <v/>
      </c>
      <c r="AR1016">
        <f>IF(OR($X1016="",$T1016&gt;60),"",IFERROR(INDEX(IF($T1016&lt;24,pcomp_l,palt_l),MATCH($X1016,IF($T1016&lt;24,pcomp_k,palt_k),1)),""))</f>
        <v/>
      </c>
      <c r="AS1016">
        <f>IF(OR($X1016="",$T1016&gt;60),"",IFERROR(INDEX(IF($T1016&lt;24,pcomp_m,palt_m),MATCH($X1016,IF($T1016&lt;24,pcomp_k,palt_k),1)),""))</f>
        <v/>
      </c>
      <c r="AT1016">
        <f>IF(OR($X1016="",$T1016&gt;60),"",IFERROR(INDEX(IF($T1016&lt;24,pcomp_s,palt_s),MATCH($X1016,IF($T1016&lt;24,pcomp_k,palt_k),1)),""))</f>
        <v/>
      </c>
      <c r="AU1016">
        <f>IF($AR1016="","",IF($AR1016=0,LN($F1016/$AS1016)/$AT1016,((($F1016/$AS1016)^$AR1016)-1)/($AR1016*$AT1016)))</f>
        <v/>
      </c>
      <c r="AV1016">
        <f>IF($AR1016="","",IF($AR1016=0,$AS1016*EXP($AT1016*2),$AS1016*(1+$AR1016*$AT1016*2)^(1/$AR1016)))</f>
        <v/>
      </c>
      <c r="AW1016">
        <f>IF($AR1016="","",IF($AR1016=0,$AS1016*EXP($AT1016*3),$AS1016*(1+$AR1016*$AT1016*3)^(1/$AR1016)))</f>
        <v/>
      </c>
      <c r="AX1016">
        <f>IF($AR1016="","",IF($AR1016=0,$AS1016*EXP($AT1016*-2),$AS1016*(1+$AR1016*$AT1016*-2)^(1/$AR1016)))</f>
        <v/>
      </c>
      <c r="AY1016">
        <f>IF($AR1016="","",IF($AR1016=0,$AS1016*EXP($AT1016*-3),$AS1016*(1+$AR1016*$AT1016*-3)^(1/$AR1016)))</f>
        <v/>
      </c>
      <c r="AZ1016">
        <f>IF(OR($A1016="",$A1016&lt;&gt;Ficha!$C$4),"",COUNTIF($A$2:$A1016,Ficha!$C$4))</f>
        <v/>
      </c>
    </row>
    <row r="1017">
      <c r="A1017" s="8">
        <f>IF(INDEX(Banco!$A:$A,ROW())="","",INDEX(Banco!$A:$A,ROW()))</f>
        <v/>
      </c>
      <c r="B1017" s="8">
        <f>IF(INDEX(Banco!$B:$B,ROW())="","",INDEX(Banco!$B:$B,ROW()))</f>
        <v/>
      </c>
      <c r="C1017" s="8">
        <f>IF(INDEX(Banco!$C:$C,ROW())="","",INDEX(Banco!$C:$C,ROW()))</f>
        <v/>
      </c>
      <c r="D1017" s="9">
        <f>IF(INDEX(Banco!$D:$D,ROW())="","",INDEX(Banco!$D:$D,ROW()))</f>
        <v/>
      </c>
      <c r="E1017" s="9">
        <f>IF(INDEX(Banco!$E:$E,ROW())="","",INDEX(Banco!$E:$E,ROW()))</f>
        <v/>
      </c>
      <c r="F1017" s="10">
        <f>IF(INDEX(Banco!$F:$F,ROW())="","",INDEX(Banco!$F:$F,ROW()))</f>
        <v/>
      </c>
      <c r="G1017" s="10">
        <f>IF(INDEX(Banco!$G:$G,ROW())="","",INDEX(Banco!$G:$G,ROW()))</f>
        <v/>
      </c>
      <c r="H1017" s="8">
        <f>IF(INDEX(Banco!$H:$H,ROW())="","",INDEX(Banco!$H:$H,ROW()))</f>
        <v/>
      </c>
      <c r="I1017">
        <f>IF($T1017="","",INT($T1017/12)&amp;"a "&amp;MOD($T1017,12)&amp;"m")</f>
        <v/>
      </c>
      <c r="J1017" s="11">
        <f>IF(OR($F1017="",$G1017=""),"",ROUND($F1017/($G1017/100)^2,2))</f>
        <v/>
      </c>
      <c r="K1017" s="12">
        <f>IF(OR($S1017="",$J1017="",$T1017="",$T1017&lt;0,$T1017&gt;228,$Y1017=""),"—",ROUND(IF(ABS($AB1017)&lt;=3,$AB1017,IF($AB1017&gt;3,3+($J1017-$AD1017)/($AD1017-$AC1017),-3+($J1017-$AF1017)/($AE1017-$AF1017))),2))</f>
        <v/>
      </c>
      <c r="L1017">
        <f>IF(OR($K1017="",$K1017="—"),"",IF($T1017&lt;=60,IF($K1017&lt;-3,"Magreza acentuada",IF($K1017&lt;-2,"Magreza",IF($K1017&lt;=1,"Eutrofia",IF($K1017&lt;=2,"Risco de sobrepeso",IF($K1017&lt;=3,"Sobrepeso","Obesidade"))))),IF($K1017&lt;-3,"Magreza acentuada",IF($K1017&lt;-2,"Magreza",IF($K1017&lt;=1,"Eutrofia",IF($K1017&lt;=2,"Sobrepeso",IF($K1017&lt;=3,"Obesidade","Obesidade grave")))))))</f>
        <v/>
      </c>
      <c r="M1017" s="12">
        <f>IF(OR($S1017="",$V1017="",$T1017="",$T1017&lt;0,$T1017&gt;228,$AG1017=""),"—",ROUND(IF($AG1017=0,LN($V1017/$AH1017)/$AI1017,((($V1017/$AH1017)^$AG1017)-1)/($AG1017*$AI1017)),2))</f>
        <v/>
      </c>
      <c r="N1017">
        <f>IF(OR($M1017="",$M1017="—"),"",IF($M1017&lt;-3,"Muito baixa",IF($M1017&lt;-2,"Baixa","Adequada")))</f>
        <v/>
      </c>
      <c r="O1017" s="12">
        <f>IF(OR($S1017="",$F1017="",$T1017="",$T1017&lt;0,$T1017&gt;120,$AJ1017=""),"—",ROUND(IF(ABS($AM1017)&lt;=3,$AM1017,IF($AM1017&gt;3,3+($F1017-$AO1017)/($AO1017-$AN1017),-3+($F1017-$AQ1017)/($AP1017-$AQ1017))),2))</f>
        <v/>
      </c>
      <c r="P1017">
        <f>IF(OR($O1017="",$O1017="—"),"",IF($O1017&lt;-3,"Muito baixo",IF($O1017&lt;-2,"Baixo",IF($O1017&lt;=2,"Adequado","Elevado"))))</f>
        <v/>
      </c>
      <c r="Q1017" s="12">
        <f>IF(OR($S1017="",$F1017="",$T1017="",$T1017&lt;0,$T1017&gt;60,$AR1017=""),"—",ROUND(IF(ABS($AU1017)&lt;=3,$AU1017,IF($AU1017&gt;3,3+($F1017-$AW1017)/($AW1017-$AV1017),-3+($F1017-$AY1017)/($AX1017-$AY1017))),2))</f>
        <v/>
      </c>
      <c r="R1017">
        <f>IF(OR($Q1017="",$Q1017="—"),"",IF($Q1017&lt;-3,"Magreza acentuada",IF($Q1017&lt;-2,"Magreza",IF($Q1017&lt;=1,"Eutrofia",IF($Q1017&lt;=2,"Risco de sobrepeso",IF($Q1017&lt;=3,"Sobrepeso","Obesidade"))))))</f>
        <v/>
      </c>
      <c r="S1017">
        <f>IF($C1017="","",IF(UPPER(LEFT($C1017,1))="M",1,IF(UPPER(LEFT($C1017,1))="F",2,"")))</f>
        <v/>
      </c>
      <c r="T1017">
        <f>IF(OR($D1017="",$E1017=""),"",DATEDIF($D1017,$E1017,"m"))</f>
        <v/>
      </c>
      <c r="U1017">
        <f>IF(OR($D1017="",$E1017=""),"",$E1017-$D1017)</f>
        <v/>
      </c>
      <c r="V1017">
        <f>IF(OR($G1017="",$T1017=""),"",IF($T1017&lt;24,IF(LEFT(LOWER($H1017),4)="em p",$G1017+0.7,$G1017),IF(LEFT(LOWER($H1017),4)="deit",$G1017-0.7,$G1017)))</f>
        <v/>
      </c>
      <c r="W1017">
        <f>IF(OR($S1017="",$T1017=""),"",$S1017*1000000+IF($T1017&lt;=60,$U1017,$T1017))</f>
        <v/>
      </c>
      <c r="X1017">
        <f>IF(OR($S1017="",$V1017="",$T1017&gt;60,$T1017=""),"",$S1017*1000000+ROUND($V1017*10,0))</f>
        <v/>
      </c>
      <c r="Y1017">
        <f>IF($W1017="","",IFERROR(INDEX(IF($T1017&lt;=60,imc05_l,imc519_l),MATCH($W1017,IF($T1017&lt;=60,imc05_k,imc519_k),1)),""))</f>
        <v/>
      </c>
      <c r="Z1017">
        <f>IF($W1017="","",IFERROR(INDEX(IF($T1017&lt;=60,imc05_m,imc519_m),MATCH($W1017,IF($T1017&lt;=60,imc05_k,imc519_k),1)),""))</f>
        <v/>
      </c>
      <c r="AA1017">
        <f>IF($W1017="","",IFERROR(INDEX(IF($T1017&lt;=60,imc05_s,imc519_s),MATCH($W1017,IF($T1017&lt;=60,imc05_k,imc519_k),1)),""))</f>
        <v/>
      </c>
      <c r="AB1017">
        <f>IF($Y1017="","",IF($Y1017=0,LN($J1017/$Z1017)/$AA1017,((($J1017/$Z1017)^$Y1017)-1)/($Y1017*$AA1017)))</f>
        <v/>
      </c>
      <c r="AC1017">
        <f>IF($Y1017="","",IF($Y1017=0,$Z1017*EXP($AA1017*2),$Z1017*(1+$Y1017*$AA1017*2)^(1/$Y1017)))</f>
        <v/>
      </c>
      <c r="AD1017">
        <f>IF($Y1017="","",IF($Y1017=0,$Z1017*EXP($AA1017*3),$Z1017*(1+$Y1017*$AA1017*3)^(1/$Y1017)))</f>
        <v/>
      </c>
      <c r="AE1017">
        <f>IF($Y1017="","",IF($Y1017=0,$Z1017*EXP($AA1017*-2),$Z1017*(1+$Y1017*$AA1017*-2)^(1/$Y1017)))</f>
        <v/>
      </c>
      <c r="AF1017">
        <f>IF($Y1017="","",IF($Y1017=0,$Z1017*EXP($AA1017*-3),$Z1017*(1+$Y1017*$AA1017*-3)^(1/$Y1017)))</f>
        <v/>
      </c>
      <c r="AG1017">
        <f>IF($W1017="","",IFERROR(INDEX(IF($T1017&lt;=60,est05_l,est519_l),MATCH($W1017,IF($T1017&lt;=60,est05_k,est519_k),1)),""))</f>
        <v/>
      </c>
      <c r="AH1017">
        <f>IF($W1017="","",IFERROR(INDEX(IF($T1017&lt;=60,est05_m,est519_m),MATCH($W1017,IF($T1017&lt;=60,est05_k,est519_k),1)),""))</f>
        <v/>
      </c>
      <c r="AI1017">
        <f>IF($W1017="","",IFERROR(INDEX(IF($T1017&lt;=60,est05_s,est519_s),MATCH($W1017,IF($T1017&lt;=60,est05_k,est519_k),1)),""))</f>
        <v/>
      </c>
      <c r="AJ1017">
        <f>IF($W1017="","",IFERROR(INDEX(IF($T1017&lt;=60,peso05_l,peso510_l),MATCH($W1017,IF($T1017&lt;=60,peso05_k,peso510_k),1)),""))</f>
        <v/>
      </c>
      <c r="AK1017">
        <f>IF($W1017="","",IFERROR(INDEX(IF($T1017&lt;=60,peso05_m,peso510_m),MATCH($W1017,IF($T1017&lt;=60,peso05_k,peso510_k),1)),""))</f>
        <v/>
      </c>
      <c r="AL1017">
        <f>IF($W1017="","",IFERROR(INDEX(IF($T1017&lt;=60,peso05_s,peso510_s),MATCH($W1017,IF($T1017&lt;=60,peso05_k,peso510_k),1)),""))</f>
        <v/>
      </c>
      <c r="AM1017">
        <f>IF($AJ1017="","",IF($AJ1017=0,LN($F1017/$AK1017)/$AL1017,((($F1017/$AK1017)^$AJ1017)-1)/($AJ1017*$AL1017)))</f>
        <v/>
      </c>
      <c r="AN1017">
        <f>IF($AJ1017="","",IF($AJ1017=0,$AK1017*EXP($AL1017*2),$AK1017*(1+$AJ1017*$AL1017*2)^(1/$AJ1017)))</f>
        <v/>
      </c>
      <c r="AO1017">
        <f>IF($AJ1017="","",IF($AJ1017=0,$AK1017*EXP($AL1017*3),$AK1017*(1+$AJ1017*$AL1017*3)^(1/$AJ1017)))</f>
        <v/>
      </c>
      <c r="AP1017">
        <f>IF($AJ1017="","",IF($AJ1017=0,$AK1017*EXP($AL1017*-2),$AK1017*(1+$AJ1017*$AL1017*-2)^(1/$AJ1017)))</f>
        <v/>
      </c>
      <c r="AQ1017">
        <f>IF($AJ1017="","",IF($AJ1017=0,$AK1017*EXP($AL1017*-3),$AK1017*(1+$AJ1017*$AL1017*-3)^(1/$AJ1017)))</f>
        <v/>
      </c>
      <c r="AR1017">
        <f>IF(OR($X1017="",$T1017&gt;60),"",IFERROR(INDEX(IF($T1017&lt;24,pcomp_l,palt_l),MATCH($X1017,IF($T1017&lt;24,pcomp_k,palt_k),1)),""))</f>
        <v/>
      </c>
      <c r="AS1017">
        <f>IF(OR($X1017="",$T1017&gt;60),"",IFERROR(INDEX(IF($T1017&lt;24,pcomp_m,palt_m),MATCH($X1017,IF($T1017&lt;24,pcomp_k,palt_k),1)),""))</f>
        <v/>
      </c>
      <c r="AT1017">
        <f>IF(OR($X1017="",$T1017&gt;60),"",IFERROR(INDEX(IF($T1017&lt;24,pcomp_s,palt_s),MATCH($X1017,IF($T1017&lt;24,pcomp_k,palt_k),1)),""))</f>
        <v/>
      </c>
      <c r="AU1017">
        <f>IF($AR1017="","",IF($AR1017=0,LN($F1017/$AS1017)/$AT1017,((($F1017/$AS1017)^$AR1017)-1)/($AR1017*$AT1017)))</f>
        <v/>
      </c>
      <c r="AV1017">
        <f>IF($AR1017="","",IF($AR1017=0,$AS1017*EXP($AT1017*2),$AS1017*(1+$AR1017*$AT1017*2)^(1/$AR1017)))</f>
        <v/>
      </c>
      <c r="AW1017">
        <f>IF($AR1017="","",IF($AR1017=0,$AS1017*EXP($AT1017*3),$AS1017*(1+$AR1017*$AT1017*3)^(1/$AR1017)))</f>
        <v/>
      </c>
      <c r="AX1017">
        <f>IF($AR1017="","",IF($AR1017=0,$AS1017*EXP($AT1017*-2),$AS1017*(1+$AR1017*$AT1017*-2)^(1/$AR1017)))</f>
        <v/>
      </c>
      <c r="AY1017">
        <f>IF($AR1017="","",IF($AR1017=0,$AS1017*EXP($AT1017*-3),$AS1017*(1+$AR1017*$AT1017*-3)^(1/$AR1017)))</f>
        <v/>
      </c>
      <c r="AZ1017">
        <f>IF(OR($A1017="",$A1017&lt;&gt;Ficha!$C$4),"",COUNTIF($A$2:$A1017,Ficha!$C$4))</f>
        <v/>
      </c>
    </row>
    <row r="1018">
      <c r="A1018" s="8">
        <f>IF(INDEX(Banco!$A:$A,ROW())="","",INDEX(Banco!$A:$A,ROW()))</f>
        <v/>
      </c>
      <c r="B1018" s="8">
        <f>IF(INDEX(Banco!$B:$B,ROW())="","",INDEX(Banco!$B:$B,ROW()))</f>
        <v/>
      </c>
      <c r="C1018" s="8">
        <f>IF(INDEX(Banco!$C:$C,ROW())="","",INDEX(Banco!$C:$C,ROW()))</f>
        <v/>
      </c>
      <c r="D1018" s="9">
        <f>IF(INDEX(Banco!$D:$D,ROW())="","",INDEX(Banco!$D:$D,ROW()))</f>
        <v/>
      </c>
      <c r="E1018" s="9">
        <f>IF(INDEX(Banco!$E:$E,ROW())="","",INDEX(Banco!$E:$E,ROW()))</f>
        <v/>
      </c>
      <c r="F1018" s="10">
        <f>IF(INDEX(Banco!$F:$F,ROW())="","",INDEX(Banco!$F:$F,ROW()))</f>
        <v/>
      </c>
      <c r="G1018" s="10">
        <f>IF(INDEX(Banco!$G:$G,ROW())="","",INDEX(Banco!$G:$G,ROW()))</f>
        <v/>
      </c>
      <c r="H1018" s="8">
        <f>IF(INDEX(Banco!$H:$H,ROW())="","",INDEX(Banco!$H:$H,ROW()))</f>
        <v/>
      </c>
      <c r="I1018">
        <f>IF($T1018="","",INT($T1018/12)&amp;"a "&amp;MOD($T1018,12)&amp;"m")</f>
        <v/>
      </c>
      <c r="J1018" s="11">
        <f>IF(OR($F1018="",$G1018=""),"",ROUND($F1018/($G1018/100)^2,2))</f>
        <v/>
      </c>
      <c r="K1018" s="12">
        <f>IF(OR($S1018="",$J1018="",$T1018="",$T1018&lt;0,$T1018&gt;228,$Y1018=""),"—",ROUND(IF(ABS($AB1018)&lt;=3,$AB1018,IF($AB1018&gt;3,3+($J1018-$AD1018)/($AD1018-$AC1018),-3+($J1018-$AF1018)/($AE1018-$AF1018))),2))</f>
        <v/>
      </c>
      <c r="L1018">
        <f>IF(OR($K1018="",$K1018="—"),"",IF($T1018&lt;=60,IF($K1018&lt;-3,"Magreza acentuada",IF($K1018&lt;-2,"Magreza",IF($K1018&lt;=1,"Eutrofia",IF($K1018&lt;=2,"Risco de sobrepeso",IF($K1018&lt;=3,"Sobrepeso","Obesidade"))))),IF($K1018&lt;-3,"Magreza acentuada",IF($K1018&lt;-2,"Magreza",IF($K1018&lt;=1,"Eutrofia",IF($K1018&lt;=2,"Sobrepeso",IF($K1018&lt;=3,"Obesidade","Obesidade grave")))))))</f>
        <v/>
      </c>
      <c r="M1018" s="12">
        <f>IF(OR($S1018="",$V1018="",$T1018="",$T1018&lt;0,$T1018&gt;228,$AG1018=""),"—",ROUND(IF($AG1018=0,LN($V1018/$AH1018)/$AI1018,((($V1018/$AH1018)^$AG1018)-1)/($AG1018*$AI1018)),2))</f>
        <v/>
      </c>
      <c r="N1018">
        <f>IF(OR($M1018="",$M1018="—"),"",IF($M1018&lt;-3,"Muito baixa",IF($M1018&lt;-2,"Baixa","Adequada")))</f>
        <v/>
      </c>
      <c r="O1018" s="12">
        <f>IF(OR($S1018="",$F1018="",$T1018="",$T1018&lt;0,$T1018&gt;120,$AJ1018=""),"—",ROUND(IF(ABS($AM1018)&lt;=3,$AM1018,IF($AM1018&gt;3,3+($F1018-$AO1018)/($AO1018-$AN1018),-3+($F1018-$AQ1018)/($AP1018-$AQ1018))),2))</f>
        <v/>
      </c>
      <c r="P1018">
        <f>IF(OR($O1018="",$O1018="—"),"",IF($O1018&lt;-3,"Muito baixo",IF($O1018&lt;-2,"Baixo",IF($O1018&lt;=2,"Adequado","Elevado"))))</f>
        <v/>
      </c>
      <c r="Q1018" s="12">
        <f>IF(OR($S1018="",$F1018="",$T1018="",$T1018&lt;0,$T1018&gt;60,$AR1018=""),"—",ROUND(IF(ABS($AU1018)&lt;=3,$AU1018,IF($AU1018&gt;3,3+($F1018-$AW1018)/($AW1018-$AV1018),-3+($F1018-$AY1018)/($AX1018-$AY1018))),2))</f>
        <v/>
      </c>
      <c r="R1018">
        <f>IF(OR($Q1018="",$Q1018="—"),"",IF($Q1018&lt;-3,"Magreza acentuada",IF($Q1018&lt;-2,"Magreza",IF($Q1018&lt;=1,"Eutrofia",IF($Q1018&lt;=2,"Risco de sobrepeso",IF($Q1018&lt;=3,"Sobrepeso","Obesidade"))))))</f>
        <v/>
      </c>
      <c r="S1018">
        <f>IF($C1018="","",IF(UPPER(LEFT($C1018,1))="M",1,IF(UPPER(LEFT($C1018,1))="F",2,"")))</f>
        <v/>
      </c>
      <c r="T1018">
        <f>IF(OR($D1018="",$E1018=""),"",DATEDIF($D1018,$E1018,"m"))</f>
        <v/>
      </c>
      <c r="U1018">
        <f>IF(OR($D1018="",$E1018=""),"",$E1018-$D1018)</f>
        <v/>
      </c>
      <c r="V1018">
        <f>IF(OR($G1018="",$T1018=""),"",IF($T1018&lt;24,IF(LEFT(LOWER($H1018),4)="em p",$G1018+0.7,$G1018),IF(LEFT(LOWER($H1018),4)="deit",$G1018-0.7,$G1018)))</f>
        <v/>
      </c>
      <c r="W1018">
        <f>IF(OR($S1018="",$T1018=""),"",$S1018*1000000+IF($T1018&lt;=60,$U1018,$T1018))</f>
        <v/>
      </c>
      <c r="X1018">
        <f>IF(OR($S1018="",$V1018="",$T1018&gt;60,$T1018=""),"",$S1018*1000000+ROUND($V1018*10,0))</f>
        <v/>
      </c>
      <c r="Y1018">
        <f>IF($W1018="","",IFERROR(INDEX(IF($T1018&lt;=60,imc05_l,imc519_l),MATCH($W1018,IF($T1018&lt;=60,imc05_k,imc519_k),1)),""))</f>
        <v/>
      </c>
      <c r="Z1018">
        <f>IF($W1018="","",IFERROR(INDEX(IF($T1018&lt;=60,imc05_m,imc519_m),MATCH($W1018,IF($T1018&lt;=60,imc05_k,imc519_k),1)),""))</f>
        <v/>
      </c>
      <c r="AA1018">
        <f>IF($W1018="","",IFERROR(INDEX(IF($T1018&lt;=60,imc05_s,imc519_s),MATCH($W1018,IF($T1018&lt;=60,imc05_k,imc519_k),1)),""))</f>
        <v/>
      </c>
      <c r="AB1018">
        <f>IF($Y1018="","",IF($Y1018=0,LN($J1018/$Z1018)/$AA1018,((($J1018/$Z1018)^$Y1018)-1)/($Y1018*$AA1018)))</f>
        <v/>
      </c>
      <c r="AC1018">
        <f>IF($Y1018="","",IF($Y1018=0,$Z1018*EXP($AA1018*2),$Z1018*(1+$Y1018*$AA1018*2)^(1/$Y1018)))</f>
        <v/>
      </c>
      <c r="AD1018">
        <f>IF($Y1018="","",IF($Y1018=0,$Z1018*EXP($AA1018*3),$Z1018*(1+$Y1018*$AA1018*3)^(1/$Y1018)))</f>
        <v/>
      </c>
      <c r="AE1018">
        <f>IF($Y1018="","",IF($Y1018=0,$Z1018*EXP($AA1018*-2),$Z1018*(1+$Y1018*$AA1018*-2)^(1/$Y1018)))</f>
        <v/>
      </c>
      <c r="AF1018">
        <f>IF($Y1018="","",IF($Y1018=0,$Z1018*EXP($AA1018*-3),$Z1018*(1+$Y1018*$AA1018*-3)^(1/$Y1018)))</f>
        <v/>
      </c>
      <c r="AG1018">
        <f>IF($W1018="","",IFERROR(INDEX(IF($T1018&lt;=60,est05_l,est519_l),MATCH($W1018,IF($T1018&lt;=60,est05_k,est519_k),1)),""))</f>
        <v/>
      </c>
      <c r="AH1018">
        <f>IF($W1018="","",IFERROR(INDEX(IF($T1018&lt;=60,est05_m,est519_m),MATCH($W1018,IF($T1018&lt;=60,est05_k,est519_k),1)),""))</f>
        <v/>
      </c>
      <c r="AI1018">
        <f>IF($W1018="","",IFERROR(INDEX(IF($T1018&lt;=60,est05_s,est519_s),MATCH($W1018,IF($T1018&lt;=60,est05_k,est519_k),1)),""))</f>
        <v/>
      </c>
      <c r="AJ1018">
        <f>IF($W1018="","",IFERROR(INDEX(IF($T1018&lt;=60,peso05_l,peso510_l),MATCH($W1018,IF($T1018&lt;=60,peso05_k,peso510_k),1)),""))</f>
        <v/>
      </c>
      <c r="AK1018">
        <f>IF($W1018="","",IFERROR(INDEX(IF($T1018&lt;=60,peso05_m,peso510_m),MATCH($W1018,IF($T1018&lt;=60,peso05_k,peso510_k),1)),""))</f>
        <v/>
      </c>
      <c r="AL1018">
        <f>IF($W1018="","",IFERROR(INDEX(IF($T1018&lt;=60,peso05_s,peso510_s),MATCH($W1018,IF($T1018&lt;=60,peso05_k,peso510_k),1)),""))</f>
        <v/>
      </c>
      <c r="AM1018">
        <f>IF($AJ1018="","",IF($AJ1018=0,LN($F1018/$AK1018)/$AL1018,((($F1018/$AK1018)^$AJ1018)-1)/($AJ1018*$AL1018)))</f>
        <v/>
      </c>
      <c r="AN1018">
        <f>IF($AJ1018="","",IF($AJ1018=0,$AK1018*EXP($AL1018*2),$AK1018*(1+$AJ1018*$AL1018*2)^(1/$AJ1018)))</f>
        <v/>
      </c>
      <c r="AO1018">
        <f>IF($AJ1018="","",IF($AJ1018=0,$AK1018*EXP($AL1018*3),$AK1018*(1+$AJ1018*$AL1018*3)^(1/$AJ1018)))</f>
        <v/>
      </c>
      <c r="AP1018">
        <f>IF($AJ1018="","",IF($AJ1018=0,$AK1018*EXP($AL1018*-2),$AK1018*(1+$AJ1018*$AL1018*-2)^(1/$AJ1018)))</f>
        <v/>
      </c>
      <c r="AQ1018">
        <f>IF($AJ1018="","",IF($AJ1018=0,$AK1018*EXP($AL1018*-3),$AK1018*(1+$AJ1018*$AL1018*-3)^(1/$AJ1018)))</f>
        <v/>
      </c>
      <c r="AR1018">
        <f>IF(OR($X1018="",$T1018&gt;60),"",IFERROR(INDEX(IF($T1018&lt;24,pcomp_l,palt_l),MATCH($X1018,IF($T1018&lt;24,pcomp_k,palt_k),1)),""))</f>
        <v/>
      </c>
      <c r="AS1018">
        <f>IF(OR($X1018="",$T1018&gt;60),"",IFERROR(INDEX(IF($T1018&lt;24,pcomp_m,palt_m),MATCH($X1018,IF($T1018&lt;24,pcomp_k,palt_k),1)),""))</f>
        <v/>
      </c>
      <c r="AT1018">
        <f>IF(OR($X1018="",$T1018&gt;60),"",IFERROR(INDEX(IF($T1018&lt;24,pcomp_s,palt_s),MATCH($X1018,IF($T1018&lt;24,pcomp_k,palt_k),1)),""))</f>
        <v/>
      </c>
      <c r="AU1018">
        <f>IF($AR1018="","",IF($AR1018=0,LN($F1018/$AS1018)/$AT1018,((($F1018/$AS1018)^$AR1018)-1)/($AR1018*$AT1018)))</f>
        <v/>
      </c>
      <c r="AV1018">
        <f>IF($AR1018="","",IF($AR1018=0,$AS1018*EXP($AT1018*2),$AS1018*(1+$AR1018*$AT1018*2)^(1/$AR1018)))</f>
        <v/>
      </c>
      <c r="AW1018">
        <f>IF($AR1018="","",IF($AR1018=0,$AS1018*EXP($AT1018*3),$AS1018*(1+$AR1018*$AT1018*3)^(1/$AR1018)))</f>
        <v/>
      </c>
      <c r="AX1018">
        <f>IF($AR1018="","",IF($AR1018=0,$AS1018*EXP($AT1018*-2),$AS1018*(1+$AR1018*$AT1018*-2)^(1/$AR1018)))</f>
        <v/>
      </c>
      <c r="AY1018">
        <f>IF($AR1018="","",IF($AR1018=0,$AS1018*EXP($AT1018*-3),$AS1018*(1+$AR1018*$AT1018*-3)^(1/$AR1018)))</f>
        <v/>
      </c>
      <c r="AZ1018">
        <f>IF(OR($A1018="",$A1018&lt;&gt;Ficha!$C$4),"",COUNTIF($A$2:$A1018,Ficha!$C$4))</f>
        <v/>
      </c>
    </row>
    <row r="1019">
      <c r="A1019" s="8">
        <f>IF(INDEX(Banco!$A:$A,ROW())="","",INDEX(Banco!$A:$A,ROW()))</f>
        <v/>
      </c>
      <c r="B1019" s="8">
        <f>IF(INDEX(Banco!$B:$B,ROW())="","",INDEX(Banco!$B:$B,ROW()))</f>
        <v/>
      </c>
      <c r="C1019" s="8">
        <f>IF(INDEX(Banco!$C:$C,ROW())="","",INDEX(Banco!$C:$C,ROW()))</f>
        <v/>
      </c>
      <c r="D1019" s="9">
        <f>IF(INDEX(Banco!$D:$D,ROW())="","",INDEX(Banco!$D:$D,ROW()))</f>
        <v/>
      </c>
      <c r="E1019" s="9">
        <f>IF(INDEX(Banco!$E:$E,ROW())="","",INDEX(Banco!$E:$E,ROW()))</f>
        <v/>
      </c>
      <c r="F1019" s="10">
        <f>IF(INDEX(Banco!$F:$F,ROW())="","",INDEX(Banco!$F:$F,ROW()))</f>
        <v/>
      </c>
      <c r="G1019" s="10">
        <f>IF(INDEX(Banco!$G:$G,ROW())="","",INDEX(Banco!$G:$G,ROW()))</f>
        <v/>
      </c>
      <c r="H1019" s="8">
        <f>IF(INDEX(Banco!$H:$H,ROW())="","",INDEX(Banco!$H:$H,ROW()))</f>
        <v/>
      </c>
      <c r="I1019">
        <f>IF($T1019="","",INT($T1019/12)&amp;"a "&amp;MOD($T1019,12)&amp;"m")</f>
        <v/>
      </c>
      <c r="J1019" s="11">
        <f>IF(OR($F1019="",$G1019=""),"",ROUND($F1019/($G1019/100)^2,2))</f>
        <v/>
      </c>
      <c r="K1019" s="12">
        <f>IF(OR($S1019="",$J1019="",$T1019="",$T1019&lt;0,$T1019&gt;228,$Y1019=""),"—",ROUND(IF(ABS($AB1019)&lt;=3,$AB1019,IF($AB1019&gt;3,3+($J1019-$AD1019)/($AD1019-$AC1019),-3+($J1019-$AF1019)/($AE1019-$AF1019))),2))</f>
        <v/>
      </c>
      <c r="L1019">
        <f>IF(OR($K1019="",$K1019="—"),"",IF($T1019&lt;=60,IF($K1019&lt;-3,"Magreza acentuada",IF($K1019&lt;-2,"Magreza",IF($K1019&lt;=1,"Eutrofia",IF($K1019&lt;=2,"Risco de sobrepeso",IF($K1019&lt;=3,"Sobrepeso","Obesidade"))))),IF($K1019&lt;-3,"Magreza acentuada",IF($K1019&lt;-2,"Magreza",IF($K1019&lt;=1,"Eutrofia",IF($K1019&lt;=2,"Sobrepeso",IF($K1019&lt;=3,"Obesidade","Obesidade grave")))))))</f>
        <v/>
      </c>
      <c r="M1019" s="12">
        <f>IF(OR($S1019="",$V1019="",$T1019="",$T1019&lt;0,$T1019&gt;228,$AG1019=""),"—",ROUND(IF($AG1019=0,LN($V1019/$AH1019)/$AI1019,((($V1019/$AH1019)^$AG1019)-1)/($AG1019*$AI1019)),2))</f>
        <v/>
      </c>
      <c r="N1019">
        <f>IF(OR($M1019="",$M1019="—"),"",IF($M1019&lt;-3,"Muito baixa",IF($M1019&lt;-2,"Baixa","Adequada")))</f>
        <v/>
      </c>
      <c r="O1019" s="12">
        <f>IF(OR($S1019="",$F1019="",$T1019="",$T1019&lt;0,$T1019&gt;120,$AJ1019=""),"—",ROUND(IF(ABS($AM1019)&lt;=3,$AM1019,IF($AM1019&gt;3,3+($F1019-$AO1019)/($AO1019-$AN1019),-3+($F1019-$AQ1019)/($AP1019-$AQ1019))),2))</f>
        <v/>
      </c>
      <c r="P1019">
        <f>IF(OR($O1019="",$O1019="—"),"",IF($O1019&lt;-3,"Muito baixo",IF($O1019&lt;-2,"Baixo",IF($O1019&lt;=2,"Adequado","Elevado"))))</f>
        <v/>
      </c>
      <c r="Q1019" s="12">
        <f>IF(OR($S1019="",$F1019="",$T1019="",$T1019&lt;0,$T1019&gt;60,$AR1019=""),"—",ROUND(IF(ABS($AU1019)&lt;=3,$AU1019,IF($AU1019&gt;3,3+($F1019-$AW1019)/($AW1019-$AV1019),-3+($F1019-$AY1019)/($AX1019-$AY1019))),2))</f>
        <v/>
      </c>
      <c r="R1019">
        <f>IF(OR($Q1019="",$Q1019="—"),"",IF($Q1019&lt;-3,"Magreza acentuada",IF($Q1019&lt;-2,"Magreza",IF($Q1019&lt;=1,"Eutrofia",IF($Q1019&lt;=2,"Risco de sobrepeso",IF($Q1019&lt;=3,"Sobrepeso","Obesidade"))))))</f>
        <v/>
      </c>
      <c r="S1019">
        <f>IF($C1019="","",IF(UPPER(LEFT($C1019,1))="M",1,IF(UPPER(LEFT($C1019,1))="F",2,"")))</f>
        <v/>
      </c>
      <c r="T1019">
        <f>IF(OR($D1019="",$E1019=""),"",DATEDIF($D1019,$E1019,"m"))</f>
        <v/>
      </c>
      <c r="U1019">
        <f>IF(OR($D1019="",$E1019=""),"",$E1019-$D1019)</f>
        <v/>
      </c>
      <c r="V1019">
        <f>IF(OR($G1019="",$T1019=""),"",IF($T1019&lt;24,IF(LEFT(LOWER($H1019),4)="em p",$G1019+0.7,$G1019),IF(LEFT(LOWER($H1019),4)="deit",$G1019-0.7,$G1019)))</f>
        <v/>
      </c>
      <c r="W1019">
        <f>IF(OR($S1019="",$T1019=""),"",$S1019*1000000+IF($T1019&lt;=60,$U1019,$T1019))</f>
        <v/>
      </c>
      <c r="X1019">
        <f>IF(OR($S1019="",$V1019="",$T1019&gt;60,$T1019=""),"",$S1019*1000000+ROUND($V1019*10,0))</f>
        <v/>
      </c>
      <c r="Y1019">
        <f>IF($W1019="","",IFERROR(INDEX(IF($T1019&lt;=60,imc05_l,imc519_l),MATCH($W1019,IF($T1019&lt;=60,imc05_k,imc519_k),1)),""))</f>
        <v/>
      </c>
      <c r="Z1019">
        <f>IF($W1019="","",IFERROR(INDEX(IF($T1019&lt;=60,imc05_m,imc519_m),MATCH($W1019,IF($T1019&lt;=60,imc05_k,imc519_k),1)),""))</f>
        <v/>
      </c>
      <c r="AA1019">
        <f>IF($W1019="","",IFERROR(INDEX(IF($T1019&lt;=60,imc05_s,imc519_s),MATCH($W1019,IF($T1019&lt;=60,imc05_k,imc519_k),1)),""))</f>
        <v/>
      </c>
      <c r="AB1019">
        <f>IF($Y1019="","",IF($Y1019=0,LN($J1019/$Z1019)/$AA1019,((($J1019/$Z1019)^$Y1019)-1)/($Y1019*$AA1019)))</f>
        <v/>
      </c>
      <c r="AC1019">
        <f>IF($Y1019="","",IF($Y1019=0,$Z1019*EXP($AA1019*2),$Z1019*(1+$Y1019*$AA1019*2)^(1/$Y1019)))</f>
        <v/>
      </c>
      <c r="AD1019">
        <f>IF($Y1019="","",IF($Y1019=0,$Z1019*EXP($AA1019*3),$Z1019*(1+$Y1019*$AA1019*3)^(1/$Y1019)))</f>
        <v/>
      </c>
      <c r="AE1019">
        <f>IF($Y1019="","",IF($Y1019=0,$Z1019*EXP($AA1019*-2),$Z1019*(1+$Y1019*$AA1019*-2)^(1/$Y1019)))</f>
        <v/>
      </c>
      <c r="AF1019">
        <f>IF($Y1019="","",IF($Y1019=0,$Z1019*EXP($AA1019*-3),$Z1019*(1+$Y1019*$AA1019*-3)^(1/$Y1019)))</f>
        <v/>
      </c>
      <c r="AG1019">
        <f>IF($W1019="","",IFERROR(INDEX(IF($T1019&lt;=60,est05_l,est519_l),MATCH($W1019,IF($T1019&lt;=60,est05_k,est519_k),1)),""))</f>
        <v/>
      </c>
      <c r="AH1019">
        <f>IF($W1019="","",IFERROR(INDEX(IF($T1019&lt;=60,est05_m,est519_m),MATCH($W1019,IF($T1019&lt;=60,est05_k,est519_k),1)),""))</f>
        <v/>
      </c>
      <c r="AI1019">
        <f>IF($W1019="","",IFERROR(INDEX(IF($T1019&lt;=60,est05_s,est519_s),MATCH($W1019,IF($T1019&lt;=60,est05_k,est519_k),1)),""))</f>
        <v/>
      </c>
      <c r="AJ1019">
        <f>IF($W1019="","",IFERROR(INDEX(IF($T1019&lt;=60,peso05_l,peso510_l),MATCH($W1019,IF($T1019&lt;=60,peso05_k,peso510_k),1)),""))</f>
        <v/>
      </c>
      <c r="AK1019">
        <f>IF($W1019="","",IFERROR(INDEX(IF($T1019&lt;=60,peso05_m,peso510_m),MATCH($W1019,IF($T1019&lt;=60,peso05_k,peso510_k),1)),""))</f>
        <v/>
      </c>
      <c r="AL1019">
        <f>IF($W1019="","",IFERROR(INDEX(IF($T1019&lt;=60,peso05_s,peso510_s),MATCH($W1019,IF($T1019&lt;=60,peso05_k,peso510_k),1)),""))</f>
        <v/>
      </c>
      <c r="AM1019">
        <f>IF($AJ1019="","",IF($AJ1019=0,LN($F1019/$AK1019)/$AL1019,((($F1019/$AK1019)^$AJ1019)-1)/($AJ1019*$AL1019)))</f>
        <v/>
      </c>
      <c r="AN1019">
        <f>IF($AJ1019="","",IF($AJ1019=0,$AK1019*EXP($AL1019*2),$AK1019*(1+$AJ1019*$AL1019*2)^(1/$AJ1019)))</f>
        <v/>
      </c>
      <c r="AO1019">
        <f>IF($AJ1019="","",IF($AJ1019=0,$AK1019*EXP($AL1019*3),$AK1019*(1+$AJ1019*$AL1019*3)^(1/$AJ1019)))</f>
        <v/>
      </c>
      <c r="AP1019">
        <f>IF($AJ1019="","",IF($AJ1019=0,$AK1019*EXP($AL1019*-2),$AK1019*(1+$AJ1019*$AL1019*-2)^(1/$AJ1019)))</f>
        <v/>
      </c>
      <c r="AQ1019">
        <f>IF($AJ1019="","",IF($AJ1019=0,$AK1019*EXP($AL1019*-3),$AK1019*(1+$AJ1019*$AL1019*-3)^(1/$AJ1019)))</f>
        <v/>
      </c>
      <c r="AR1019">
        <f>IF(OR($X1019="",$T1019&gt;60),"",IFERROR(INDEX(IF($T1019&lt;24,pcomp_l,palt_l),MATCH($X1019,IF($T1019&lt;24,pcomp_k,palt_k),1)),""))</f>
        <v/>
      </c>
      <c r="AS1019">
        <f>IF(OR($X1019="",$T1019&gt;60),"",IFERROR(INDEX(IF($T1019&lt;24,pcomp_m,palt_m),MATCH($X1019,IF($T1019&lt;24,pcomp_k,palt_k),1)),""))</f>
        <v/>
      </c>
      <c r="AT1019">
        <f>IF(OR($X1019="",$T1019&gt;60),"",IFERROR(INDEX(IF($T1019&lt;24,pcomp_s,palt_s),MATCH($X1019,IF($T1019&lt;24,pcomp_k,palt_k),1)),""))</f>
        <v/>
      </c>
      <c r="AU1019">
        <f>IF($AR1019="","",IF($AR1019=0,LN($F1019/$AS1019)/$AT1019,((($F1019/$AS1019)^$AR1019)-1)/($AR1019*$AT1019)))</f>
        <v/>
      </c>
      <c r="AV1019">
        <f>IF($AR1019="","",IF($AR1019=0,$AS1019*EXP($AT1019*2),$AS1019*(1+$AR1019*$AT1019*2)^(1/$AR1019)))</f>
        <v/>
      </c>
      <c r="AW1019">
        <f>IF($AR1019="","",IF($AR1019=0,$AS1019*EXP($AT1019*3),$AS1019*(1+$AR1019*$AT1019*3)^(1/$AR1019)))</f>
        <v/>
      </c>
      <c r="AX1019">
        <f>IF($AR1019="","",IF($AR1019=0,$AS1019*EXP($AT1019*-2),$AS1019*(1+$AR1019*$AT1019*-2)^(1/$AR1019)))</f>
        <v/>
      </c>
      <c r="AY1019">
        <f>IF($AR1019="","",IF($AR1019=0,$AS1019*EXP($AT1019*-3),$AS1019*(1+$AR1019*$AT1019*-3)^(1/$AR1019)))</f>
        <v/>
      </c>
      <c r="AZ1019">
        <f>IF(OR($A1019="",$A1019&lt;&gt;Ficha!$C$4),"",COUNTIF($A$2:$A1019,Ficha!$C$4))</f>
        <v/>
      </c>
    </row>
    <row r="1020">
      <c r="A1020" s="8">
        <f>IF(INDEX(Banco!$A:$A,ROW())="","",INDEX(Banco!$A:$A,ROW()))</f>
        <v/>
      </c>
      <c r="B1020" s="8">
        <f>IF(INDEX(Banco!$B:$B,ROW())="","",INDEX(Banco!$B:$B,ROW()))</f>
        <v/>
      </c>
      <c r="C1020" s="8">
        <f>IF(INDEX(Banco!$C:$C,ROW())="","",INDEX(Banco!$C:$C,ROW()))</f>
        <v/>
      </c>
      <c r="D1020" s="9">
        <f>IF(INDEX(Banco!$D:$D,ROW())="","",INDEX(Banco!$D:$D,ROW()))</f>
        <v/>
      </c>
      <c r="E1020" s="9">
        <f>IF(INDEX(Banco!$E:$E,ROW())="","",INDEX(Banco!$E:$E,ROW()))</f>
        <v/>
      </c>
      <c r="F1020" s="10">
        <f>IF(INDEX(Banco!$F:$F,ROW())="","",INDEX(Banco!$F:$F,ROW()))</f>
        <v/>
      </c>
      <c r="G1020" s="10">
        <f>IF(INDEX(Banco!$G:$G,ROW())="","",INDEX(Banco!$G:$G,ROW()))</f>
        <v/>
      </c>
      <c r="H1020" s="8">
        <f>IF(INDEX(Banco!$H:$H,ROW())="","",INDEX(Banco!$H:$H,ROW()))</f>
        <v/>
      </c>
      <c r="I1020">
        <f>IF($T1020="","",INT($T1020/12)&amp;"a "&amp;MOD($T1020,12)&amp;"m")</f>
        <v/>
      </c>
      <c r="J1020" s="11">
        <f>IF(OR($F1020="",$G1020=""),"",ROUND($F1020/($G1020/100)^2,2))</f>
        <v/>
      </c>
      <c r="K1020" s="12">
        <f>IF(OR($S1020="",$J1020="",$T1020="",$T1020&lt;0,$T1020&gt;228,$Y1020=""),"—",ROUND(IF(ABS($AB1020)&lt;=3,$AB1020,IF($AB1020&gt;3,3+($J1020-$AD1020)/($AD1020-$AC1020),-3+($J1020-$AF1020)/($AE1020-$AF1020))),2))</f>
        <v/>
      </c>
      <c r="L1020">
        <f>IF(OR($K1020="",$K1020="—"),"",IF($T1020&lt;=60,IF($K1020&lt;-3,"Magreza acentuada",IF($K1020&lt;-2,"Magreza",IF($K1020&lt;=1,"Eutrofia",IF($K1020&lt;=2,"Risco de sobrepeso",IF($K1020&lt;=3,"Sobrepeso","Obesidade"))))),IF($K1020&lt;-3,"Magreza acentuada",IF($K1020&lt;-2,"Magreza",IF($K1020&lt;=1,"Eutrofia",IF($K1020&lt;=2,"Sobrepeso",IF($K1020&lt;=3,"Obesidade","Obesidade grave")))))))</f>
        <v/>
      </c>
      <c r="M1020" s="12">
        <f>IF(OR($S1020="",$V1020="",$T1020="",$T1020&lt;0,$T1020&gt;228,$AG1020=""),"—",ROUND(IF($AG1020=0,LN($V1020/$AH1020)/$AI1020,((($V1020/$AH1020)^$AG1020)-1)/($AG1020*$AI1020)),2))</f>
        <v/>
      </c>
      <c r="N1020">
        <f>IF(OR($M1020="",$M1020="—"),"",IF($M1020&lt;-3,"Muito baixa",IF($M1020&lt;-2,"Baixa","Adequada")))</f>
        <v/>
      </c>
      <c r="O1020" s="12">
        <f>IF(OR($S1020="",$F1020="",$T1020="",$T1020&lt;0,$T1020&gt;120,$AJ1020=""),"—",ROUND(IF(ABS($AM1020)&lt;=3,$AM1020,IF($AM1020&gt;3,3+($F1020-$AO1020)/($AO1020-$AN1020),-3+($F1020-$AQ1020)/($AP1020-$AQ1020))),2))</f>
        <v/>
      </c>
      <c r="P1020">
        <f>IF(OR($O1020="",$O1020="—"),"",IF($O1020&lt;-3,"Muito baixo",IF($O1020&lt;-2,"Baixo",IF($O1020&lt;=2,"Adequado","Elevado"))))</f>
        <v/>
      </c>
      <c r="Q1020" s="12">
        <f>IF(OR($S1020="",$F1020="",$T1020="",$T1020&lt;0,$T1020&gt;60,$AR1020=""),"—",ROUND(IF(ABS($AU1020)&lt;=3,$AU1020,IF($AU1020&gt;3,3+($F1020-$AW1020)/($AW1020-$AV1020),-3+($F1020-$AY1020)/($AX1020-$AY1020))),2))</f>
        <v/>
      </c>
      <c r="R1020">
        <f>IF(OR($Q1020="",$Q1020="—"),"",IF($Q1020&lt;-3,"Magreza acentuada",IF($Q1020&lt;-2,"Magreza",IF($Q1020&lt;=1,"Eutrofia",IF($Q1020&lt;=2,"Risco de sobrepeso",IF($Q1020&lt;=3,"Sobrepeso","Obesidade"))))))</f>
        <v/>
      </c>
      <c r="S1020">
        <f>IF($C1020="","",IF(UPPER(LEFT($C1020,1))="M",1,IF(UPPER(LEFT($C1020,1))="F",2,"")))</f>
        <v/>
      </c>
      <c r="T1020">
        <f>IF(OR($D1020="",$E1020=""),"",DATEDIF($D1020,$E1020,"m"))</f>
        <v/>
      </c>
      <c r="U1020">
        <f>IF(OR($D1020="",$E1020=""),"",$E1020-$D1020)</f>
        <v/>
      </c>
      <c r="V1020">
        <f>IF(OR($G1020="",$T1020=""),"",IF($T1020&lt;24,IF(LEFT(LOWER($H1020),4)="em p",$G1020+0.7,$G1020),IF(LEFT(LOWER($H1020),4)="deit",$G1020-0.7,$G1020)))</f>
        <v/>
      </c>
      <c r="W1020">
        <f>IF(OR($S1020="",$T1020=""),"",$S1020*1000000+IF($T1020&lt;=60,$U1020,$T1020))</f>
        <v/>
      </c>
      <c r="X1020">
        <f>IF(OR($S1020="",$V1020="",$T1020&gt;60,$T1020=""),"",$S1020*1000000+ROUND($V1020*10,0))</f>
        <v/>
      </c>
      <c r="Y1020">
        <f>IF($W1020="","",IFERROR(INDEX(IF($T1020&lt;=60,imc05_l,imc519_l),MATCH($W1020,IF($T1020&lt;=60,imc05_k,imc519_k),1)),""))</f>
        <v/>
      </c>
      <c r="Z1020">
        <f>IF($W1020="","",IFERROR(INDEX(IF($T1020&lt;=60,imc05_m,imc519_m),MATCH($W1020,IF($T1020&lt;=60,imc05_k,imc519_k),1)),""))</f>
        <v/>
      </c>
      <c r="AA1020">
        <f>IF($W1020="","",IFERROR(INDEX(IF($T1020&lt;=60,imc05_s,imc519_s),MATCH($W1020,IF($T1020&lt;=60,imc05_k,imc519_k),1)),""))</f>
        <v/>
      </c>
      <c r="AB1020">
        <f>IF($Y1020="","",IF($Y1020=0,LN($J1020/$Z1020)/$AA1020,((($J1020/$Z1020)^$Y1020)-1)/($Y1020*$AA1020)))</f>
        <v/>
      </c>
      <c r="AC1020">
        <f>IF($Y1020="","",IF($Y1020=0,$Z1020*EXP($AA1020*2),$Z1020*(1+$Y1020*$AA1020*2)^(1/$Y1020)))</f>
        <v/>
      </c>
      <c r="AD1020">
        <f>IF($Y1020="","",IF($Y1020=0,$Z1020*EXP($AA1020*3),$Z1020*(1+$Y1020*$AA1020*3)^(1/$Y1020)))</f>
        <v/>
      </c>
      <c r="AE1020">
        <f>IF($Y1020="","",IF($Y1020=0,$Z1020*EXP($AA1020*-2),$Z1020*(1+$Y1020*$AA1020*-2)^(1/$Y1020)))</f>
        <v/>
      </c>
      <c r="AF1020">
        <f>IF($Y1020="","",IF($Y1020=0,$Z1020*EXP($AA1020*-3),$Z1020*(1+$Y1020*$AA1020*-3)^(1/$Y1020)))</f>
        <v/>
      </c>
      <c r="AG1020">
        <f>IF($W1020="","",IFERROR(INDEX(IF($T1020&lt;=60,est05_l,est519_l),MATCH($W1020,IF($T1020&lt;=60,est05_k,est519_k),1)),""))</f>
        <v/>
      </c>
      <c r="AH1020">
        <f>IF($W1020="","",IFERROR(INDEX(IF($T1020&lt;=60,est05_m,est519_m),MATCH($W1020,IF($T1020&lt;=60,est05_k,est519_k),1)),""))</f>
        <v/>
      </c>
      <c r="AI1020">
        <f>IF($W1020="","",IFERROR(INDEX(IF($T1020&lt;=60,est05_s,est519_s),MATCH($W1020,IF($T1020&lt;=60,est05_k,est519_k),1)),""))</f>
        <v/>
      </c>
      <c r="AJ1020">
        <f>IF($W1020="","",IFERROR(INDEX(IF($T1020&lt;=60,peso05_l,peso510_l),MATCH($W1020,IF($T1020&lt;=60,peso05_k,peso510_k),1)),""))</f>
        <v/>
      </c>
      <c r="AK1020">
        <f>IF($W1020="","",IFERROR(INDEX(IF($T1020&lt;=60,peso05_m,peso510_m),MATCH($W1020,IF($T1020&lt;=60,peso05_k,peso510_k),1)),""))</f>
        <v/>
      </c>
      <c r="AL1020">
        <f>IF($W1020="","",IFERROR(INDEX(IF($T1020&lt;=60,peso05_s,peso510_s),MATCH($W1020,IF($T1020&lt;=60,peso05_k,peso510_k),1)),""))</f>
        <v/>
      </c>
      <c r="AM1020">
        <f>IF($AJ1020="","",IF($AJ1020=0,LN($F1020/$AK1020)/$AL1020,((($F1020/$AK1020)^$AJ1020)-1)/($AJ1020*$AL1020)))</f>
        <v/>
      </c>
      <c r="AN1020">
        <f>IF($AJ1020="","",IF($AJ1020=0,$AK1020*EXP($AL1020*2),$AK1020*(1+$AJ1020*$AL1020*2)^(1/$AJ1020)))</f>
        <v/>
      </c>
      <c r="AO1020">
        <f>IF($AJ1020="","",IF($AJ1020=0,$AK1020*EXP($AL1020*3),$AK1020*(1+$AJ1020*$AL1020*3)^(1/$AJ1020)))</f>
        <v/>
      </c>
      <c r="AP1020">
        <f>IF($AJ1020="","",IF($AJ1020=0,$AK1020*EXP($AL1020*-2),$AK1020*(1+$AJ1020*$AL1020*-2)^(1/$AJ1020)))</f>
        <v/>
      </c>
      <c r="AQ1020">
        <f>IF($AJ1020="","",IF($AJ1020=0,$AK1020*EXP($AL1020*-3),$AK1020*(1+$AJ1020*$AL1020*-3)^(1/$AJ1020)))</f>
        <v/>
      </c>
      <c r="AR1020">
        <f>IF(OR($X1020="",$T1020&gt;60),"",IFERROR(INDEX(IF($T1020&lt;24,pcomp_l,palt_l),MATCH($X1020,IF($T1020&lt;24,pcomp_k,palt_k),1)),""))</f>
        <v/>
      </c>
      <c r="AS1020">
        <f>IF(OR($X1020="",$T1020&gt;60),"",IFERROR(INDEX(IF($T1020&lt;24,pcomp_m,palt_m),MATCH($X1020,IF($T1020&lt;24,pcomp_k,palt_k),1)),""))</f>
        <v/>
      </c>
      <c r="AT1020">
        <f>IF(OR($X1020="",$T1020&gt;60),"",IFERROR(INDEX(IF($T1020&lt;24,pcomp_s,palt_s),MATCH($X1020,IF($T1020&lt;24,pcomp_k,palt_k),1)),""))</f>
        <v/>
      </c>
      <c r="AU1020">
        <f>IF($AR1020="","",IF($AR1020=0,LN($F1020/$AS1020)/$AT1020,((($F1020/$AS1020)^$AR1020)-1)/($AR1020*$AT1020)))</f>
        <v/>
      </c>
      <c r="AV1020">
        <f>IF($AR1020="","",IF($AR1020=0,$AS1020*EXP($AT1020*2),$AS1020*(1+$AR1020*$AT1020*2)^(1/$AR1020)))</f>
        <v/>
      </c>
      <c r="AW1020">
        <f>IF($AR1020="","",IF($AR1020=0,$AS1020*EXP($AT1020*3),$AS1020*(1+$AR1020*$AT1020*3)^(1/$AR1020)))</f>
        <v/>
      </c>
      <c r="AX1020">
        <f>IF($AR1020="","",IF($AR1020=0,$AS1020*EXP($AT1020*-2),$AS1020*(1+$AR1020*$AT1020*-2)^(1/$AR1020)))</f>
        <v/>
      </c>
      <c r="AY1020">
        <f>IF($AR1020="","",IF($AR1020=0,$AS1020*EXP($AT1020*-3),$AS1020*(1+$AR1020*$AT1020*-3)^(1/$AR1020)))</f>
        <v/>
      </c>
      <c r="AZ1020">
        <f>IF(OR($A1020="",$A1020&lt;&gt;Ficha!$C$4),"",COUNTIF($A$2:$A1020,Ficha!$C$4))</f>
        <v/>
      </c>
    </row>
    <row r="1021">
      <c r="A1021" s="8">
        <f>IF(INDEX(Banco!$A:$A,ROW())="","",INDEX(Banco!$A:$A,ROW()))</f>
        <v/>
      </c>
      <c r="B1021" s="8">
        <f>IF(INDEX(Banco!$B:$B,ROW())="","",INDEX(Banco!$B:$B,ROW()))</f>
        <v/>
      </c>
      <c r="C1021" s="8">
        <f>IF(INDEX(Banco!$C:$C,ROW())="","",INDEX(Banco!$C:$C,ROW()))</f>
        <v/>
      </c>
      <c r="D1021" s="9">
        <f>IF(INDEX(Banco!$D:$D,ROW())="","",INDEX(Banco!$D:$D,ROW()))</f>
        <v/>
      </c>
      <c r="E1021" s="9">
        <f>IF(INDEX(Banco!$E:$E,ROW())="","",INDEX(Banco!$E:$E,ROW()))</f>
        <v/>
      </c>
      <c r="F1021" s="10">
        <f>IF(INDEX(Banco!$F:$F,ROW())="","",INDEX(Banco!$F:$F,ROW()))</f>
        <v/>
      </c>
      <c r="G1021" s="10">
        <f>IF(INDEX(Banco!$G:$G,ROW())="","",INDEX(Banco!$G:$G,ROW()))</f>
        <v/>
      </c>
      <c r="H1021" s="8">
        <f>IF(INDEX(Banco!$H:$H,ROW())="","",INDEX(Banco!$H:$H,ROW()))</f>
        <v/>
      </c>
      <c r="I1021">
        <f>IF($T1021="","",INT($T1021/12)&amp;"a "&amp;MOD($T1021,12)&amp;"m")</f>
        <v/>
      </c>
      <c r="J1021" s="11">
        <f>IF(OR($F1021="",$G1021=""),"",ROUND($F1021/($G1021/100)^2,2))</f>
        <v/>
      </c>
      <c r="K1021" s="12">
        <f>IF(OR($S1021="",$J1021="",$T1021="",$T1021&lt;0,$T1021&gt;228,$Y1021=""),"—",ROUND(IF(ABS($AB1021)&lt;=3,$AB1021,IF($AB1021&gt;3,3+($J1021-$AD1021)/($AD1021-$AC1021),-3+($J1021-$AF1021)/($AE1021-$AF1021))),2))</f>
        <v/>
      </c>
      <c r="L1021">
        <f>IF(OR($K1021="",$K1021="—"),"",IF($T1021&lt;=60,IF($K1021&lt;-3,"Magreza acentuada",IF($K1021&lt;-2,"Magreza",IF($K1021&lt;=1,"Eutrofia",IF($K1021&lt;=2,"Risco de sobrepeso",IF($K1021&lt;=3,"Sobrepeso","Obesidade"))))),IF($K1021&lt;-3,"Magreza acentuada",IF($K1021&lt;-2,"Magreza",IF($K1021&lt;=1,"Eutrofia",IF($K1021&lt;=2,"Sobrepeso",IF($K1021&lt;=3,"Obesidade","Obesidade grave")))))))</f>
        <v/>
      </c>
      <c r="M1021" s="12">
        <f>IF(OR($S1021="",$V1021="",$T1021="",$T1021&lt;0,$T1021&gt;228,$AG1021=""),"—",ROUND(IF($AG1021=0,LN($V1021/$AH1021)/$AI1021,((($V1021/$AH1021)^$AG1021)-1)/($AG1021*$AI1021)),2))</f>
        <v/>
      </c>
      <c r="N1021">
        <f>IF(OR($M1021="",$M1021="—"),"",IF($M1021&lt;-3,"Muito baixa",IF($M1021&lt;-2,"Baixa","Adequada")))</f>
        <v/>
      </c>
      <c r="O1021" s="12">
        <f>IF(OR($S1021="",$F1021="",$T1021="",$T1021&lt;0,$T1021&gt;120,$AJ1021=""),"—",ROUND(IF(ABS($AM1021)&lt;=3,$AM1021,IF($AM1021&gt;3,3+($F1021-$AO1021)/($AO1021-$AN1021),-3+($F1021-$AQ1021)/($AP1021-$AQ1021))),2))</f>
        <v/>
      </c>
      <c r="P1021">
        <f>IF(OR($O1021="",$O1021="—"),"",IF($O1021&lt;-3,"Muito baixo",IF($O1021&lt;-2,"Baixo",IF($O1021&lt;=2,"Adequado","Elevado"))))</f>
        <v/>
      </c>
      <c r="Q1021" s="12">
        <f>IF(OR($S1021="",$F1021="",$T1021="",$T1021&lt;0,$T1021&gt;60,$AR1021=""),"—",ROUND(IF(ABS($AU1021)&lt;=3,$AU1021,IF($AU1021&gt;3,3+($F1021-$AW1021)/($AW1021-$AV1021),-3+($F1021-$AY1021)/($AX1021-$AY1021))),2))</f>
        <v/>
      </c>
      <c r="R1021">
        <f>IF(OR($Q1021="",$Q1021="—"),"",IF($Q1021&lt;-3,"Magreza acentuada",IF($Q1021&lt;-2,"Magreza",IF($Q1021&lt;=1,"Eutrofia",IF($Q1021&lt;=2,"Risco de sobrepeso",IF($Q1021&lt;=3,"Sobrepeso","Obesidade"))))))</f>
        <v/>
      </c>
      <c r="S1021">
        <f>IF($C1021="","",IF(UPPER(LEFT($C1021,1))="M",1,IF(UPPER(LEFT($C1021,1))="F",2,"")))</f>
        <v/>
      </c>
      <c r="T1021">
        <f>IF(OR($D1021="",$E1021=""),"",DATEDIF($D1021,$E1021,"m"))</f>
        <v/>
      </c>
      <c r="U1021">
        <f>IF(OR($D1021="",$E1021=""),"",$E1021-$D1021)</f>
        <v/>
      </c>
      <c r="V1021">
        <f>IF(OR($G1021="",$T1021=""),"",IF($T1021&lt;24,IF(LEFT(LOWER($H1021),4)="em p",$G1021+0.7,$G1021),IF(LEFT(LOWER($H1021),4)="deit",$G1021-0.7,$G1021)))</f>
        <v/>
      </c>
      <c r="W1021">
        <f>IF(OR($S1021="",$T1021=""),"",$S1021*1000000+IF($T1021&lt;=60,$U1021,$T1021))</f>
        <v/>
      </c>
      <c r="X1021">
        <f>IF(OR($S1021="",$V1021="",$T1021&gt;60,$T1021=""),"",$S1021*1000000+ROUND($V1021*10,0))</f>
        <v/>
      </c>
      <c r="Y1021">
        <f>IF($W1021="","",IFERROR(INDEX(IF($T1021&lt;=60,imc05_l,imc519_l),MATCH($W1021,IF($T1021&lt;=60,imc05_k,imc519_k),1)),""))</f>
        <v/>
      </c>
      <c r="Z1021">
        <f>IF($W1021="","",IFERROR(INDEX(IF($T1021&lt;=60,imc05_m,imc519_m),MATCH($W1021,IF($T1021&lt;=60,imc05_k,imc519_k),1)),""))</f>
        <v/>
      </c>
      <c r="AA1021">
        <f>IF($W1021="","",IFERROR(INDEX(IF($T1021&lt;=60,imc05_s,imc519_s),MATCH($W1021,IF($T1021&lt;=60,imc05_k,imc519_k),1)),""))</f>
        <v/>
      </c>
      <c r="AB1021">
        <f>IF($Y1021="","",IF($Y1021=0,LN($J1021/$Z1021)/$AA1021,((($J1021/$Z1021)^$Y1021)-1)/($Y1021*$AA1021)))</f>
        <v/>
      </c>
      <c r="AC1021">
        <f>IF($Y1021="","",IF($Y1021=0,$Z1021*EXP($AA1021*2),$Z1021*(1+$Y1021*$AA1021*2)^(1/$Y1021)))</f>
        <v/>
      </c>
      <c r="AD1021">
        <f>IF($Y1021="","",IF($Y1021=0,$Z1021*EXP($AA1021*3),$Z1021*(1+$Y1021*$AA1021*3)^(1/$Y1021)))</f>
        <v/>
      </c>
      <c r="AE1021">
        <f>IF($Y1021="","",IF($Y1021=0,$Z1021*EXP($AA1021*-2),$Z1021*(1+$Y1021*$AA1021*-2)^(1/$Y1021)))</f>
        <v/>
      </c>
      <c r="AF1021">
        <f>IF($Y1021="","",IF($Y1021=0,$Z1021*EXP($AA1021*-3),$Z1021*(1+$Y1021*$AA1021*-3)^(1/$Y1021)))</f>
        <v/>
      </c>
      <c r="AG1021">
        <f>IF($W1021="","",IFERROR(INDEX(IF($T1021&lt;=60,est05_l,est519_l),MATCH($W1021,IF($T1021&lt;=60,est05_k,est519_k),1)),""))</f>
        <v/>
      </c>
      <c r="AH1021">
        <f>IF($W1021="","",IFERROR(INDEX(IF($T1021&lt;=60,est05_m,est519_m),MATCH($W1021,IF($T1021&lt;=60,est05_k,est519_k),1)),""))</f>
        <v/>
      </c>
      <c r="AI1021">
        <f>IF($W1021="","",IFERROR(INDEX(IF($T1021&lt;=60,est05_s,est519_s),MATCH($W1021,IF($T1021&lt;=60,est05_k,est519_k),1)),""))</f>
        <v/>
      </c>
      <c r="AJ1021">
        <f>IF($W1021="","",IFERROR(INDEX(IF($T1021&lt;=60,peso05_l,peso510_l),MATCH($W1021,IF($T1021&lt;=60,peso05_k,peso510_k),1)),""))</f>
        <v/>
      </c>
      <c r="AK1021">
        <f>IF($W1021="","",IFERROR(INDEX(IF($T1021&lt;=60,peso05_m,peso510_m),MATCH($W1021,IF($T1021&lt;=60,peso05_k,peso510_k),1)),""))</f>
        <v/>
      </c>
      <c r="AL1021">
        <f>IF($W1021="","",IFERROR(INDEX(IF($T1021&lt;=60,peso05_s,peso510_s),MATCH($W1021,IF($T1021&lt;=60,peso05_k,peso510_k),1)),""))</f>
        <v/>
      </c>
      <c r="AM1021">
        <f>IF($AJ1021="","",IF($AJ1021=0,LN($F1021/$AK1021)/$AL1021,((($F1021/$AK1021)^$AJ1021)-1)/($AJ1021*$AL1021)))</f>
        <v/>
      </c>
      <c r="AN1021">
        <f>IF($AJ1021="","",IF($AJ1021=0,$AK1021*EXP($AL1021*2),$AK1021*(1+$AJ1021*$AL1021*2)^(1/$AJ1021)))</f>
        <v/>
      </c>
      <c r="AO1021">
        <f>IF($AJ1021="","",IF($AJ1021=0,$AK1021*EXP($AL1021*3),$AK1021*(1+$AJ1021*$AL1021*3)^(1/$AJ1021)))</f>
        <v/>
      </c>
      <c r="AP1021">
        <f>IF($AJ1021="","",IF($AJ1021=0,$AK1021*EXP($AL1021*-2),$AK1021*(1+$AJ1021*$AL1021*-2)^(1/$AJ1021)))</f>
        <v/>
      </c>
      <c r="AQ1021">
        <f>IF($AJ1021="","",IF($AJ1021=0,$AK1021*EXP($AL1021*-3),$AK1021*(1+$AJ1021*$AL1021*-3)^(1/$AJ1021)))</f>
        <v/>
      </c>
      <c r="AR1021">
        <f>IF(OR($X1021="",$T1021&gt;60),"",IFERROR(INDEX(IF($T1021&lt;24,pcomp_l,palt_l),MATCH($X1021,IF($T1021&lt;24,pcomp_k,palt_k),1)),""))</f>
        <v/>
      </c>
      <c r="AS1021">
        <f>IF(OR($X1021="",$T1021&gt;60),"",IFERROR(INDEX(IF($T1021&lt;24,pcomp_m,palt_m),MATCH($X1021,IF($T1021&lt;24,pcomp_k,palt_k),1)),""))</f>
        <v/>
      </c>
      <c r="AT1021">
        <f>IF(OR($X1021="",$T1021&gt;60),"",IFERROR(INDEX(IF($T1021&lt;24,pcomp_s,palt_s),MATCH($X1021,IF($T1021&lt;24,pcomp_k,palt_k),1)),""))</f>
        <v/>
      </c>
      <c r="AU1021">
        <f>IF($AR1021="","",IF($AR1021=0,LN($F1021/$AS1021)/$AT1021,((($F1021/$AS1021)^$AR1021)-1)/($AR1021*$AT1021)))</f>
        <v/>
      </c>
      <c r="AV1021">
        <f>IF($AR1021="","",IF($AR1021=0,$AS1021*EXP($AT1021*2),$AS1021*(1+$AR1021*$AT1021*2)^(1/$AR1021)))</f>
        <v/>
      </c>
      <c r="AW1021">
        <f>IF($AR1021="","",IF($AR1021=0,$AS1021*EXP($AT1021*3),$AS1021*(1+$AR1021*$AT1021*3)^(1/$AR1021)))</f>
        <v/>
      </c>
      <c r="AX1021">
        <f>IF($AR1021="","",IF($AR1021=0,$AS1021*EXP($AT1021*-2),$AS1021*(1+$AR1021*$AT1021*-2)^(1/$AR1021)))</f>
        <v/>
      </c>
      <c r="AY1021">
        <f>IF($AR1021="","",IF($AR1021=0,$AS1021*EXP($AT1021*-3),$AS1021*(1+$AR1021*$AT1021*-3)^(1/$AR1021)))</f>
        <v/>
      </c>
      <c r="AZ1021">
        <f>IF(OR($A1021="",$A1021&lt;&gt;Ficha!$C$4),"",COUNTIF($A$2:$A1021,Ficha!$C$4))</f>
        <v/>
      </c>
    </row>
    <row r="1022">
      <c r="A1022" s="8">
        <f>IF(INDEX(Banco!$A:$A,ROW())="","",INDEX(Banco!$A:$A,ROW()))</f>
        <v/>
      </c>
      <c r="B1022" s="8">
        <f>IF(INDEX(Banco!$B:$B,ROW())="","",INDEX(Banco!$B:$B,ROW()))</f>
        <v/>
      </c>
      <c r="C1022" s="8">
        <f>IF(INDEX(Banco!$C:$C,ROW())="","",INDEX(Banco!$C:$C,ROW()))</f>
        <v/>
      </c>
      <c r="D1022" s="9">
        <f>IF(INDEX(Banco!$D:$D,ROW())="","",INDEX(Banco!$D:$D,ROW()))</f>
        <v/>
      </c>
      <c r="E1022" s="9">
        <f>IF(INDEX(Banco!$E:$E,ROW())="","",INDEX(Banco!$E:$E,ROW()))</f>
        <v/>
      </c>
      <c r="F1022" s="10">
        <f>IF(INDEX(Banco!$F:$F,ROW())="","",INDEX(Banco!$F:$F,ROW()))</f>
        <v/>
      </c>
      <c r="G1022" s="10">
        <f>IF(INDEX(Banco!$G:$G,ROW())="","",INDEX(Banco!$G:$G,ROW()))</f>
        <v/>
      </c>
      <c r="H1022" s="8">
        <f>IF(INDEX(Banco!$H:$H,ROW())="","",INDEX(Banco!$H:$H,ROW()))</f>
        <v/>
      </c>
      <c r="I1022">
        <f>IF($T1022="","",INT($T1022/12)&amp;"a "&amp;MOD($T1022,12)&amp;"m")</f>
        <v/>
      </c>
      <c r="J1022" s="11">
        <f>IF(OR($F1022="",$G1022=""),"",ROUND($F1022/($G1022/100)^2,2))</f>
        <v/>
      </c>
      <c r="K1022" s="12">
        <f>IF(OR($S1022="",$J1022="",$T1022="",$T1022&lt;0,$T1022&gt;228,$Y1022=""),"—",ROUND(IF(ABS($AB1022)&lt;=3,$AB1022,IF($AB1022&gt;3,3+($J1022-$AD1022)/($AD1022-$AC1022),-3+($J1022-$AF1022)/($AE1022-$AF1022))),2))</f>
        <v/>
      </c>
      <c r="L1022">
        <f>IF(OR($K1022="",$K1022="—"),"",IF($T1022&lt;=60,IF($K1022&lt;-3,"Magreza acentuada",IF($K1022&lt;-2,"Magreza",IF($K1022&lt;=1,"Eutrofia",IF($K1022&lt;=2,"Risco de sobrepeso",IF($K1022&lt;=3,"Sobrepeso","Obesidade"))))),IF($K1022&lt;-3,"Magreza acentuada",IF($K1022&lt;-2,"Magreza",IF($K1022&lt;=1,"Eutrofia",IF($K1022&lt;=2,"Sobrepeso",IF($K1022&lt;=3,"Obesidade","Obesidade grave")))))))</f>
        <v/>
      </c>
      <c r="M1022" s="12">
        <f>IF(OR($S1022="",$V1022="",$T1022="",$T1022&lt;0,$T1022&gt;228,$AG1022=""),"—",ROUND(IF($AG1022=0,LN($V1022/$AH1022)/$AI1022,((($V1022/$AH1022)^$AG1022)-1)/($AG1022*$AI1022)),2))</f>
        <v/>
      </c>
      <c r="N1022">
        <f>IF(OR($M1022="",$M1022="—"),"",IF($M1022&lt;-3,"Muito baixa",IF($M1022&lt;-2,"Baixa","Adequada")))</f>
        <v/>
      </c>
      <c r="O1022" s="12">
        <f>IF(OR($S1022="",$F1022="",$T1022="",$T1022&lt;0,$T1022&gt;120,$AJ1022=""),"—",ROUND(IF(ABS($AM1022)&lt;=3,$AM1022,IF($AM1022&gt;3,3+($F1022-$AO1022)/($AO1022-$AN1022),-3+($F1022-$AQ1022)/($AP1022-$AQ1022))),2))</f>
        <v/>
      </c>
      <c r="P1022">
        <f>IF(OR($O1022="",$O1022="—"),"",IF($O1022&lt;-3,"Muito baixo",IF($O1022&lt;-2,"Baixo",IF($O1022&lt;=2,"Adequado","Elevado"))))</f>
        <v/>
      </c>
      <c r="Q1022" s="12">
        <f>IF(OR($S1022="",$F1022="",$T1022="",$T1022&lt;0,$T1022&gt;60,$AR1022=""),"—",ROUND(IF(ABS($AU1022)&lt;=3,$AU1022,IF($AU1022&gt;3,3+($F1022-$AW1022)/($AW1022-$AV1022),-3+($F1022-$AY1022)/($AX1022-$AY1022))),2))</f>
        <v/>
      </c>
      <c r="R1022">
        <f>IF(OR($Q1022="",$Q1022="—"),"",IF($Q1022&lt;-3,"Magreza acentuada",IF($Q1022&lt;-2,"Magreza",IF($Q1022&lt;=1,"Eutrofia",IF($Q1022&lt;=2,"Risco de sobrepeso",IF($Q1022&lt;=3,"Sobrepeso","Obesidade"))))))</f>
        <v/>
      </c>
      <c r="S1022">
        <f>IF($C1022="","",IF(UPPER(LEFT($C1022,1))="M",1,IF(UPPER(LEFT($C1022,1))="F",2,"")))</f>
        <v/>
      </c>
      <c r="T1022">
        <f>IF(OR($D1022="",$E1022=""),"",DATEDIF($D1022,$E1022,"m"))</f>
        <v/>
      </c>
      <c r="U1022">
        <f>IF(OR($D1022="",$E1022=""),"",$E1022-$D1022)</f>
        <v/>
      </c>
      <c r="V1022">
        <f>IF(OR($G1022="",$T1022=""),"",IF($T1022&lt;24,IF(LEFT(LOWER($H1022),4)="em p",$G1022+0.7,$G1022),IF(LEFT(LOWER($H1022),4)="deit",$G1022-0.7,$G1022)))</f>
        <v/>
      </c>
      <c r="W1022">
        <f>IF(OR($S1022="",$T1022=""),"",$S1022*1000000+IF($T1022&lt;=60,$U1022,$T1022))</f>
        <v/>
      </c>
      <c r="X1022">
        <f>IF(OR($S1022="",$V1022="",$T1022&gt;60,$T1022=""),"",$S1022*1000000+ROUND($V1022*10,0))</f>
        <v/>
      </c>
      <c r="Y1022">
        <f>IF($W1022="","",IFERROR(INDEX(IF($T1022&lt;=60,imc05_l,imc519_l),MATCH($W1022,IF($T1022&lt;=60,imc05_k,imc519_k),1)),""))</f>
        <v/>
      </c>
      <c r="Z1022">
        <f>IF($W1022="","",IFERROR(INDEX(IF($T1022&lt;=60,imc05_m,imc519_m),MATCH($W1022,IF($T1022&lt;=60,imc05_k,imc519_k),1)),""))</f>
        <v/>
      </c>
      <c r="AA1022">
        <f>IF($W1022="","",IFERROR(INDEX(IF($T1022&lt;=60,imc05_s,imc519_s),MATCH($W1022,IF($T1022&lt;=60,imc05_k,imc519_k),1)),""))</f>
        <v/>
      </c>
      <c r="AB1022">
        <f>IF($Y1022="","",IF($Y1022=0,LN($J1022/$Z1022)/$AA1022,((($J1022/$Z1022)^$Y1022)-1)/($Y1022*$AA1022)))</f>
        <v/>
      </c>
      <c r="AC1022">
        <f>IF($Y1022="","",IF($Y1022=0,$Z1022*EXP($AA1022*2),$Z1022*(1+$Y1022*$AA1022*2)^(1/$Y1022)))</f>
        <v/>
      </c>
      <c r="AD1022">
        <f>IF($Y1022="","",IF($Y1022=0,$Z1022*EXP($AA1022*3),$Z1022*(1+$Y1022*$AA1022*3)^(1/$Y1022)))</f>
        <v/>
      </c>
      <c r="AE1022">
        <f>IF($Y1022="","",IF($Y1022=0,$Z1022*EXP($AA1022*-2),$Z1022*(1+$Y1022*$AA1022*-2)^(1/$Y1022)))</f>
        <v/>
      </c>
      <c r="AF1022">
        <f>IF($Y1022="","",IF($Y1022=0,$Z1022*EXP($AA1022*-3),$Z1022*(1+$Y1022*$AA1022*-3)^(1/$Y1022)))</f>
        <v/>
      </c>
      <c r="AG1022">
        <f>IF($W1022="","",IFERROR(INDEX(IF($T1022&lt;=60,est05_l,est519_l),MATCH($W1022,IF($T1022&lt;=60,est05_k,est519_k),1)),""))</f>
        <v/>
      </c>
      <c r="AH1022">
        <f>IF($W1022="","",IFERROR(INDEX(IF($T1022&lt;=60,est05_m,est519_m),MATCH($W1022,IF($T1022&lt;=60,est05_k,est519_k),1)),""))</f>
        <v/>
      </c>
      <c r="AI1022">
        <f>IF($W1022="","",IFERROR(INDEX(IF($T1022&lt;=60,est05_s,est519_s),MATCH($W1022,IF($T1022&lt;=60,est05_k,est519_k),1)),""))</f>
        <v/>
      </c>
      <c r="AJ1022">
        <f>IF($W1022="","",IFERROR(INDEX(IF($T1022&lt;=60,peso05_l,peso510_l),MATCH($W1022,IF($T1022&lt;=60,peso05_k,peso510_k),1)),""))</f>
        <v/>
      </c>
      <c r="AK1022">
        <f>IF($W1022="","",IFERROR(INDEX(IF($T1022&lt;=60,peso05_m,peso510_m),MATCH($W1022,IF($T1022&lt;=60,peso05_k,peso510_k),1)),""))</f>
        <v/>
      </c>
      <c r="AL1022">
        <f>IF($W1022="","",IFERROR(INDEX(IF($T1022&lt;=60,peso05_s,peso510_s),MATCH($W1022,IF($T1022&lt;=60,peso05_k,peso510_k),1)),""))</f>
        <v/>
      </c>
      <c r="AM1022">
        <f>IF($AJ1022="","",IF($AJ1022=0,LN($F1022/$AK1022)/$AL1022,((($F1022/$AK1022)^$AJ1022)-1)/($AJ1022*$AL1022)))</f>
        <v/>
      </c>
      <c r="AN1022">
        <f>IF($AJ1022="","",IF($AJ1022=0,$AK1022*EXP($AL1022*2),$AK1022*(1+$AJ1022*$AL1022*2)^(1/$AJ1022)))</f>
        <v/>
      </c>
      <c r="AO1022">
        <f>IF($AJ1022="","",IF($AJ1022=0,$AK1022*EXP($AL1022*3),$AK1022*(1+$AJ1022*$AL1022*3)^(1/$AJ1022)))</f>
        <v/>
      </c>
      <c r="AP1022">
        <f>IF($AJ1022="","",IF($AJ1022=0,$AK1022*EXP($AL1022*-2),$AK1022*(1+$AJ1022*$AL1022*-2)^(1/$AJ1022)))</f>
        <v/>
      </c>
      <c r="AQ1022">
        <f>IF($AJ1022="","",IF($AJ1022=0,$AK1022*EXP($AL1022*-3),$AK1022*(1+$AJ1022*$AL1022*-3)^(1/$AJ1022)))</f>
        <v/>
      </c>
      <c r="AR1022">
        <f>IF(OR($X1022="",$T1022&gt;60),"",IFERROR(INDEX(IF($T1022&lt;24,pcomp_l,palt_l),MATCH($X1022,IF($T1022&lt;24,pcomp_k,palt_k),1)),""))</f>
        <v/>
      </c>
      <c r="AS1022">
        <f>IF(OR($X1022="",$T1022&gt;60),"",IFERROR(INDEX(IF($T1022&lt;24,pcomp_m,palt_m),MATCH($X1022,IF($T1022&lt;24,pcomp_k,palt_k),1)),""))</f>
        <v/>
      </c>
      <c r="AT1022">
        <f>IF(OR($X1022="",$T1022&gt;60),"",IFERROR(INDEX(IF($T1022&lt;24,pcomp_s,palt_s),MATCH($X1022,IF($T1022&lt;24,pcomp_k,palt_k),1)),""))</f>
        <v/>
      </c>
      <c r="AU1022">
        <f>IF($AR1022="","",IF($AR1022=0,LN($F1022/$AS1022)/$AT1022,((($F1022/$AS1022)^$AR1022)-1)/($AR1022*$AT1022)))</f>
        <v/>
      </c>
      <c r="AV1022">
        <f>IF($AR1022="","",IF($AR1022=0,$AS1022*EXP($AT1022*2),$AS1022*(1+$AR1022*$AT1022*2)^(1/$AR1022)))</f>
        <v/>
      </c>
      <c r="AW1022">
        <f>IF($AR1022="","",IF($AR1022=0,$AS1022*EXP($AT1022*3),$AS1022*(1+$AR1022*$AT1022*3)^(1/$AR1022)))</f>
        <v/>
      </c>
      <c r="AX1022">
        <f>IF($AR1022="","",IF($AR1022=0,$AS1022*EXP($AT1022*-2),$AS1022*(1+$AR1022*$AT1022*-2)^(1/$AR1022)))</f>
        <v/>
      </c>
      <c r="AY1022">
        <f>IF($AR1022="","",IF($AR1022=0,$AS1022*EXP($AT1022*-3),$AS1022*(1+$AR1022*$AT1022*-3)^(1/$AR1022)))</f>
        <v/>
      </c>
      <c r="AZ1022">
        <f>IF(OR($A1022="",$A1022&lt;&gt;Ficha!$C$4),"",COUNTIF($A$2:$A1022,Ficha!$C$4))</f>
        <v/>
      </c>
    </row>
    <row r="1023">
      <c r="A1023" s="8">
        <f>IF(INDEX(Banco!$A:$A,ROW())="","",INDEX(Banco!$A:$A,ROW()))</f>
        <v/>
      </c>
      <c r="B1023" s="8">
        <f>IF(INDEX(Banco!$B:$B,ROW())="","",INDEX(Banco!$B:$B,ROW()))</f>
        <v/>
      </c>
      <c r="C1023" s="8">
        <f>IF(INDEX(Banco!$C:$C,ROW())="","",INDEX(Banco!$C:$C,ROW()))</f>
        <v/>
      </c>
      <c r="D1023" s="9">
        <f>IF(INDEX(Banco!$D:$D,ROW())="","",INDEX(Banco!$D:$D,ROW()))</f>
        <v/>
      </c>
      <c r="E1023" s="9">
        <f>IF(INDEX(Banco!$E:$E,ROW())="","",INDEX(Banco!$E:$E,ROW()))</f>
        <v/>
      </c>
      <c r="F1023" s="10">
        <f>IF(INDEX(Banco!$F:$F,ROW())="","",INDEX(Banco!$F:$F,ROW()))</f>
        <v/>
      </c>
      <c r="G1023" s="10">
        <f>IF(INDEX(Banco!$G:$G,ROW())="","",INDEX(Banco!$G:$G,ROW()))</f>
        <v/>
      </c>
      <c r="H1023" s="8">
        <f>IF(INDEX(Banco!$H:$H,ROW())="","",INDEX(Banco!$H:$H,ROW()))</f>
        <v/>
      </c>
      <c r="I1023">
        <f>IF($T1023="","",INT($T1023/12)&amp;"a "&amp;MOD($T1023,12)&amp;"m")</f>
        <v/>
      </c>
      <c r="J1023" s="11">
        <f>IF(OR($F1023="",$G1023=""),"",ROUND($F1023/($G1023/100)^2,2))</f>
        <v/>
      </c>
      <c r="K1023" s="12">
        <f>IF(OR($S1023="",$J1023="",$T1023="",$T1023&lt;0,$T1023&gt;228,$Y1023=""),"—",ROUND(IF(ABS($AB1023)&lt;=3,$AB1023,IF($AB1023&gt;3,3+($J1023-$AD1023)/($AD1023-$AC1023),-3+($J1023-$AF1023)/($AE1023-$AF1023))),2))</f>
        <v/>
      </c>
      <c r="L1023">
        <f>IF(OR($K1023="",$K1023="—"),"",IF($T1023&lt;=60,IF($K1023&lt;-3,"Magreza acentuada",IF($K1023&lt;-2,"Magreza",IF($K1023&lt;=1,"Eutrofia",IF($K1023&lt;=2,"Risco de sobrepeso",IF($K1023&lt;=3,"Sobrepeso","Obesidade"))))),IF($K1023&lt;-3,"Magreza acentuada",IF($K1023&lt;-2,"Magreza",IF($K1023&lt;=1,"Eutrofia",IF($K1023&lt;=2,"Sobrepeso",IF($K1023&lt;=3,"Obesidade","Obesidade grave")))))))</f>
        <v/>
      </c>
      <c r="M1023" s="12">
        <f>IF(OR($S1023="",$V1023="",$T1023="",$T1023&lt;0,$T1023&gt;228,$AG1023=""),"—",ROUND(IF($AG1023=0,LN($V1023/$AH1023)/$AI1023,((($V1023/$AH1023)^$AG1023)-1)/($AG1023*$AI1023)),2))</f>
        <v/>
      </c>
      <c r="N1023">
        <f>IF(OR($M1023="",$M1023="—"),"",IF($M1023&lt;-3,"Muito baixa",IF($M1023&lt;-2,"Baixa","Adequada")))</f>
        <v/>
      </c>
      <c r="O1023" s="12">
        <f>IF(OR($S1023="",$F1023="",$T1023="",$T1023&lt;0,$T1023&gt;120,$AJ1023=""),"—",ROUND(IF(ABS($AM1023)&lt;=3,$AM1023,IF($AM1023&gt;3,3+($F1023-$AO1023)/($AO1023-$AN1023),-3+($F1023-$AQ1023)/($AP1023-$AQ1023))),2))</f>
        <v/>
      </c>
      <c r="P1023">
        <f>IF(OR($O1023="",$O1023="—"),"",IF($O1023&lt;-3,"Muito baixo",IF($O1023&lt;-2,"Baixo",IF($O1023&lt;=2,"Adequado","Elevado"))))</f>
        <v/>
      </c>
      <c r="Q1023" s="12">
        <f>IF(OR($S1023="",$F1023="",$T1023="",$T1023&lt;0,$T1023&gt;60,$AR1023=""),"—",ROUND(IF(ABS($AU1023)&lt;=3,$AU1023,IF($AU1023&gt;3,3+($F1023-$AW1023)/($AW1023-$AV1023),-3+($F1023-$AY1023)/($AX1023-$AY1023))),2))</f>
        <v/>
      </c>
      <c r="R1023">
        <f>IF(OR($Q1023="",$Q1023="—"),"",IF($Q1023&lt;-3,"Magreza acentuada",IF($Q1023&lt;-2,"Magreza",IF($Q1023&lt;=1,"Eutrofia",IF($Q1023&lt;=2,"Risco de sobrepeso",IF($Q1023&lt;=3,"Sobrepeso","Obesidade"))))))</f>
        <v/>
      </c>
      <c r="S1023">
        <f>IF($C1023="","",IF(UPPER(LEFT($C1023,1))="M",1,IF(UPPER(LEFT($C1023,1))="F",2,"")))</f>
        <v/>
      </c>
      <c r="T1023">
        <f>IF(OR($D1023="",$E1023=""),"",DATEDIF($D1023,$E1023,"m"))</f>
        <v/>
      </c>
      <c r="U1023">
        <f>IF(OR($D1023="",$E1023=""),"",$E1023-$D1023)</f>
        <v/>
      </c>
      <c r="V1023">
        <f>IF(OR($G1023="",$T1023=""),"",IF($T1023&lt;24,IF(LEFT(LOWER($H1023),4)="em p",$G1023+0.7,$G1023),IF(LEFT(LOWER($H1023),4)="deit",$G1023-0.7,$G1023)))</f>
        <v/>
      </c>
      <c r="W1023">
        <f>IF(OR($S1023="",$T1023=""),"",$S1023*1000000+IF($T1023&lt;=60,$U1023,$T1023))</f>
        <v/>
      </c>
      <c r="X1023">
        <f>IF(OR($S1023="",$V1023="",$T1023&gt;60,$T1023=""),"",$S1023*1000000+ROUND($V1023*10,0))</f>
        <v/>
      </c>
      <c r="Y1023">
        <f>IF($W1023="","",IFERROR(INDEX(IF($T1023&lt;=60,imc05_l,imc519_l),MATCH($W1023,IF($T1023&lt;=60,imc05_k,imc519_k),1)),""))</f>
        <v/>
      </c>
      <c r="Z1023">
        <f>IF($W1023="","",IFERROR(INDEX(IF($T1023&lt;=60,imc05_m,imc519_m),MATCH($W1023,IF($T1023&lt;=60,imc05_k,imc519_k),1)),""))</f>
        <v/>
      </c>
      <c r="AA1023">
        <f>IF($W1023="","",IFERROR(INDEX(IF($T1023&lt;=60,imc05_s,imc519_s),MATCH($W1023,IF($T1023&lt;=60,imc05_k,imc519_k),1)),""))</f>
        <v/>
      </c>
      <c r="AB1023">
        <f>IF($Y1023="","",IF($Y1023=0,LN($J1023/$Z1023)/$AA1023,((($J1023/$Z1023)^$Y1023)-1)/($Y1023*$AA1023)))</f>
        <v/>
      </c>
      <c r="AC1023">
        <f>IF($Y1023="","",IF($Y1023=0,$Z1023*EXP($AA1023*2),$Z1023*(1+$Y1023*$AA1023*2)^(1/$Y1023)))</f>
        <v/>
      </c>
      <c r="AD1023">
        <f>IF($Y1023="","",IF($Y1023=0,$Z1023*EXP($AA1023*3),$Z1023*(1+$Y1023*$AA1023*3)^(1/$Y1023)))</f>
        <v/>
      </c>
      <c r="AE1023">
        <f>IF($Y1023="","",IF($Y1023=0,$Z1023*EXP($AA1023*-2),$Z1023*(1+$Y1023*$AA1023*-2)^(1/$Y1023)))</f>
        <v/>
      </c>
      <c r="AF1023">
        <f>IF($Y1023="","",IF($Y1023=0,$Z1023*EXP($AA1023*-3),$Z1023*(1+$Y1023*$AA1023*-3)^(1/$Y1023)))</f>
        <v/>
      </c>
      <c r="AG1023">
        <f>IF($W1023="","",IFERROR(INDEX(IF($T1023&lt;=60,est05_l,est519_l),MATCH($W1023,IF($T1023&lt;=60,est05_k,est519_k),1)),""))</f>
        <v/>
      </c>
      <c r="AH1023">
        <f>IF($W1023="","",IFERROR(INDEX(IF($T1023&lt;=60,est05_m,est519_m),MATCH($W1023,IF($T1023&lt;=60,est05_k,est519_k),1)),""))</f>
        <v/>
      </c>
      <c r="AI1023">
        <f>IF($W1023="","",IFERROR(INDEX(IF($T1023&lt;=60,est05_s,est519_s),MATCH($W1023,IF($T1023&lt;=60,est05_k,est519_k),1)),""))</f>
        <v/>
      </c>
      <c r="AJ1023">
        <f>IF($W1023="","",IFERROR(INDEX(IF($T1023&lt;=60,peso05_l,peso510_l),MATCH($W1023,IF($T1023&lt;=60,peso05_k,peso510_k),1)),""))</f>
        <v/>
      </c>
      <c r="AK1023">
        <f>IF($W1023="","",IFERROR(INDEX(IF($T1023&lt;=60,peso05_m,peso510_m),MATCH($W1023,IF($T1023&lt;=60,peso05_k,peso510_k),1)),""))</f>
        <v/>
      </c>
      <c r="AL1023">
        <f>IF($W1023="","",IFERROR(INDEX(IF($T1023&lt;=60,peso05_s,peso510_s),MATCH($W1023,IF($T1023&lt;=60,peso05_k,peso510_k),1)),""))</f>
        <v/>
      </c>
      <c r="AM1023">
        <f>IF($AJ1023="","",IF($AJ1023=0,LN($F1023/$AK1023)/$AL1023,((($F1023/$AK1023)^$AJ1023)-1)/($AJ1023*$AL1023)))</f>
        <v/>
      </c>
      <c r="AN1023">
        <f>IF($AJ1023="","",IF($AJ1023=0,$AK1023*EXP($AL1023*2),$AK1023*(1+$AJ1023*$AL1023*2)^(1/$AJ1023)))</f>
        <v/>
      </c>
      <c r="AO1023">
        <f>IF($AJ1023="","",IF($AJ1023=0,$AK1023*EXP($AL1023*3),$AK1023*(1+$AJ1023*$AL1023*3)^(1/$AJ1023)))</f>
        <v/>
      </c>
      <c r="AP1023">
        <f>IF($AJ1023="","",IF($AJ1023=0,$AK1023*EXP($AL1023*-2),$AK1023*(1+$AJ1023*$AL1023*-2)^(1/$AJ1023)))</f>
        <v/>
      </c>
      <c r="AQ1023">
        <f>IF($AJ1023="","",IF($AJ1023=0,$AK1023*EXP($AL1023*-3),$AK1023*(1+$AJ1023*$AL1023*-3)^(1/$AJ1023)))</f>
        <v/>
      </c>
      <c r="AR1023">
        <f>IF(OR($X1023="",$T1023&gt;60),"",IFERROR(INDEX(IF($T1023&lt;24,pcomp_l,palt_l),MATCH($X1023,IF($T1023&lt;24,pcomp_k,palt_k),1)),""))</f>
        <v/>
      </c>
      <c r="AS1023">
        <f>IF(OR($X1023="",$T1023&gt;60),"",IFERROR(INDEX(IF($T1023&lt;24,pcomp_m,palt_m),MATCH($X1023,IF($T1023&lt;24,pcomp_k,palt_k),1)),""))</f>
        <v/>
      </c>
      <c r="AT1023">
        <f>IF(OR($X1023="",$T1023&gt;60),"",IFERROR(INDEX(IF($T1023&lt;24,pcomp_s,palt_s),MATCH($X1023,IF($T1023&lt;24,pcomp_k,palt_k),1)),""))</f>
        <v/>
      </c>
      <c r="AU1023">
        <f>IF($AR1023="","",IF($AR1023=0,LN($F1023/$AS1023)/$AT1023,((($F1023/$AS1023)^$AR1023)-1)/($AR1023*$AT1023)))</f>
        <v/>
      </c>
      <c r="AV1023">
        <f>IF($AR1023="","",IF($AR1023=0,$AS1023*EXP($AT1023*2),$AS1023*(1+$AR1023*$AT1023*2)^(1/$AR1023)))</f>
        <v/>
      </c>
      <c r="AW1023">
        <f>IF($AR1023="","",IF($AR1023=0,$AS1023*EXP($AT1023*3),$AS1023*(1+$AR1023*$AT1023*3)^(1/$AR1023)))</f>
        <v/>
      </c>
      <c r="AX1023">
        <f>IF($AR1023="","",IF($AR1023=0,$AS1023*EXP($AT1023*-2),$AS1023*(1+$AR1023*$AT1023*-2)^(1/$AR1023)))</f>
        <v/>
      </c>
      <c r="AY1023">
        <f>IF($AR1023="","",IF($AR1023=0,$AS1023*EXP($AT1023*-3),$AS1023*(1+$AR1023*$AT1023*-3)^(1/$AR1023)))</f>
        <v/>
      </c>
      <c r="AZ1023">
        <f>IF(OR($A1023="",$A1023&lt;&gt;Ficha!$C$4),"",COUNTIF($A$2:$A1023,Ficha!$C$4))</f>
        <v/>
      </c>
    </row>
    <row r="1024">
      <c r="A1024" s="8">
        <f>IF(INDEX(Banco!$A:$A,ROW())="","",INDEX(Banco!$A:$A,ROW()))</f>
        <v/>
      </c>
      <c r="B1024" s="8">
        <f>IF(INDEX(Banco!$B:$B,ROW())="","",INDEX(Banco!$B:$B,ROW()))</f>
        <v/>
      </c>
      <c r="C1024" s="8">
        <f>IF(INDEX(Banco!$C:$C,ROW())="","",INDEX(Banco!$C:$C,ROW()))</f>
        <v/>
      </c>
      <c r="D1024" s="9">
        <f>IF(INDEX(Banco!$D:$D,ROW())="","",INDEX(Banco!$D:$D,ROW()))</f>
        <v/>
      </c>
      <c r="E1024" s="9">
        <f>IF(INDEX(Banco!$E:$E,ROW())="","",INDEX(Banco!$E:$E,ROW()))</f>
        <v/>
      </c>
      <c r="F1024" s="10">
        <f>IF(INDEX(Banco!$F:$F,ROW())="","",INDEX(Banco!$F:$F,ROW()))</f>
        <v/>
      </c>
      <c r="G1024" s="10">
        <f>IF(INDEX(Banco!$G:$G,ROW())="","",INDEX(Banco!$G:$G,ROW()))</f>
        <v/>
      </c>
      <c r="H1024" s="8">
        <f>IF(INDEX(Banco!$H:$H,ROW())="","",INDEX(Banco!$H:$H,ROW()))</f>
        <v/>
      </c>
      <c r="I1024">
        <f>IF($T1024="","",INT($T1024/12)&amp;"a "&amp;MOD($T1024,12)&amp;"m")</f>
        <v/>
      </c>
      <c r="J1024" s="11">
        <f>IF(OR($F1024="",$G1024=""),"",ROUND($F1024/($G1024/100)^2,2))</f>
        <v/>
      </c>
      <c r="K1024" s="12">
        <f>IF(OR($S1024="",$J1024="",$T1024="",$T1024&lt;0,$T1024&gt;228,$Y1024=""),"—",ROUND(IF(ABS($AB1024)&lt;=3,$AB1024,IF($AB1024&gt;3,3+($J1024-$AD1024)/($AD1024-$AC1024),-3+($J1024-$AF1024)/($AE1024-$AF1024))),2))</f>
        <v/>
      </c>
      <c r="L1024">
        <f>IF(OR($K1024="",$K1024="—"),"",IF($T1024&lt;=60,IF($K1024&lt;-3,"Magreza acentuada",IF($K1024&lt;-2,"Magreza",IF($K1024&lt;=1,"Eutrofia",IF($K1024&lt;=2,"Risco de sobrepeso",IF($K1024&lt;=3,"Sobrepeso","Obesidade"))))),IF($K1024&lt;-3,"Magreza acentuada",IF($K1024&lt;-2,"Magreza",IF($K1024&lt;=1,"Eutrofia",IF($K1024&lt;=2,"Sobrepeso",IF($K1024&lt;=3,"Obesidade","Obesidade grave")))))))</f>
        <v/>
      </c>
      <c r="M1024" s="12">
        <f>IF(OR($S1024="",$V1024="",$T1024="",$T1024&lt;0,$T1024&gt;228,$AG1024=""),"—",ROUND(IF($AG1024=0,LN($V1024/$AH1024)/$AI1024,((($V1024/$AH1024)^$AG1024)-1)/($AG1024*$AI1024)),2))</f>
        <v/>
      </c>
      <c r="N1024">
        <f>IF(OR($M1024="",$M1024="—"),"",IF($M1024&lt;-3,"Muito baixa",IF($M1024&lt;-2,"Baixa","Adequada")))</f>
        <v/>
      </c>
      <c r="O1024" s="12">
        <f>IF(OR($S1024="",$F1024="",$T1024="",$T1024&lt;0,$T1024&gt;120,$AJ1024=""),"—",ROUND(IF(ABS($AM1024)&lt;=3,$AM1024,IF($AM1024&gt;3,3+($F1024-$AO1024)/($AO1024-$AN1024),-3+($F1024-$AQ1024)/($AP1024-$AQ1024))),2))</f>
        <v/>
      </c>
      <c r="P1024">
        <f>IF(OR($O1024="",$O1024="—"),"",IF($O1024&lt;-3,"Muito baixo",IF($O1024&lt;-2,"Baixo",IF($O1024&lt;=2,"Adequado","Elevado"))))</f>
        <v/>
      </c>
      <c r="Q1024" s="12">
        <f>IF(OR($S1024="",$F1024="",$T1024="",$T1024&lt;0,$T1024&gt;60,$AR1024=""),"—",ROUND(IF(ABS($AU1024)&lt;=3,$AU1024,IF($AU1024&gt;3,3+($F1024-$AW1024)/($AW1024-$AV1024),-3+($F1024-$AY1024)/($AX1024-$AY1024))),2))</f>
        <v/>
      </c>
      <c r="R1024">
        <f>IF(OR($Q1024="",$Q1024="—"),"",IF($Q1024&lt;-3,"Magreza acentuada",IF($Q1024&lt;-2,"Magreza",IF($Q1024&lt;=1,"Eutrofia",IF($Q1024&lt;=2,"Risco de sobrepeso",IF($Q1024&lt;=3,"Sobrepeso","Obesidade"))))))</f>
        <v/>
      </c>
      <c r="S1024">
        <f>IF($C1024="","",IF(UPPER(LEFT($C1024,1))="M",1,IF(UPPER(LEFT($C1024,1))="F",2,"")))</f>
        <v/>
      </c>
      <c r="T1024">
        <f>IF(OR($D1024="",$E1024=""),"",DATEDIF($D1024,$E1024,"m"))</f>
        <v/>
      </c>
      <c r="U1024">
        <f>IF(OR($D1024="",$E1024=""),"",$E1024-$D1024)</f>
        <v/>
      </c>
      <c r="V1024">
        <f>IF(OR($G1024="",$T1024=""),"",IF($T1024&lt;24,IF(LEFT(LOWER($H1024),4)="em p",$G1024+0.7,$G1024),IF(LEFT(LOWER($H1024),4)="deit",$G1024-0.7,$G1024)))</f>
        <v/>
      </c>
      <c r="W1024">
        <f>IF(OR($S1024="",$T1024=""),"",$S1024*1000000+IF($T1024&lt;=60,$U1024,$T1024))</f>
        <v/>
      </c>
      <c r="X1024">
        <f>IF(OR($S1024="",$V1024="",$T1024&gt;60,$T1024=""),"",$S1024*1000000+ROUND($V1024*10,0))</f>
        <v/>
      </c>
      <c r="Y1024">
        <f>IF($W1024="","",IFERROR(INDEX(IF($T1024&lt;=60,imc05_l,imc519_l),MATCH($W1024,IF($T1024&lt;=60,imc05_k,imc519_k),1)),""))</f>
        <v/>
      </c>
      <c r="Z1024">
        <f>IF($W1024="","",IFERROR(INDEX(IF($T1024&lt;=60,imc05_m,imc519_m),MATCH($W1024,IF($T1024&lt;=60,imc05_k,imc519_k),1)),""))</f>
        <v/>
      </c>
      <c r="AA1024">
        <f>IF($W1024="","",IFERROR(INDEX(IF($T1024&lt;=60,imc05_s,imc519_s),MATCH($W1024,IF($T1024&lt;=60,imc05_k,imc519_k),1)),""))</f>
        <v/>
      </c>
      <c r="AB1024">
        <f>IF($Y1024="","",IF($Y1024=0,LN($J1024/$Z1024)/$AA1024,((($J1024/$Z1024)^$Y1024)-1)/($Y1024*$AA1024)))</f>
        <v/>
      </c>
      <c r="AC1024">
        <f>IF($Y1024="","",IF($Y1024=0,$Z1024*EXP($AA1024*2),$Z1024*(1+$Y1024*$AA1024*2)^(1/$Y1024)))</f>
        <v/>
      </c>
      <c r="AD1024">
        <f>IF($Y1024="","",IF($Y1024=0,$Z1024*EXP($AA1024*3),$Z1024*(1+$Y1024*$AA1024*3)^(1/$Y1024)))</f>
        <v/>
      </c>
      <c r="AE1024">
        <f>IF($Y1024="","",IF($Y1024=0,$Z1024*EXP($AA1024*-2),$Z1024*(1+$Y1024*$AA1024*-2)^(1/$Y1024)))</f>
        <v/>
      </c>
      <c r="AF1024">
        <f>IF($Y1024="","",IF($Y1024=0,$Z1024*EXP($AA1024*-3),$Z1024*(1+$Y1024*$AA1024*-3)^(1/$Y1024)))</f>
        <v/>
      </c>
      <c r="AG1024">
        <f>IF($W1024="","",IFERROR(INDEX(IF($T1024&lt;=60,est05_l,est519_l),MATCH($W1024,IF($T1024&lt;=60,est05_k,est519_k),1)),""))</f>
        <v/>
      </c>
      <c r="AH1024">
        <f>IF($W1024="","",IFERROR(INDEX(IF($T1024&lt;=60,est05_m,est519_m),MATCH($W1024,IF($T1024&lt;=60,est05_k,est519_k),1)),""))</f>
        <v/>
      </c>
      <c r="AI1024">
        <f>IF($W1024="","",IFERROR(INDEX(IF($T1024&lt;=60,est05_s,est519_s),MATCH($W1024,IF($T1024&lt;=60,est05_k,est519_k),1)),""))</f>
        <v/>
      </c>
      <c r="AJ1024">
        <f>IF($W1024="","",IFERROR(INDEX(IF($T1024&lt;=60,peso05_l,peso510_l),MATCH($W1024,IF($T1024&lt;=60,peso05_k,peso510_k),1)),""))</f>
        <v/>
      </c>
      <c r="AK1024">
        <f>IF($W1024="","",IFERROR(INDEX(IF($T1024&lt;=60,peso05_m,peso510_m),MATCH($W1024,IF($T1024&lt;=60,peso05_k,peso510_k),1)),""))</f>
        <v/>
      </c>
      <c r="AL1024">
        <f>IF($W1024="","",IFERROR(INDEX(IF($T1024&lt;=60,peso05_s,peso510_s),MATCH($W1024,IF($T1024&lt;=60,peso05_k,peso510_k),1)),""))</f>
        <v/>
      </c>
      <c r="AM1024">
        <f>IF($AJ1024="","",IF($AJ1024=0,LN($F1024/$AK1024)/$AL1024,((($F1024/$AK1024)^$AJ1024)-1)/($AJ1024*$AL1024)))</f>
        <v/>
      </c>
      <c r="AN1024">
        <f>IF($AJ1024="","",IF($AJ1024=0,$AK1024*EXP($AL1024*2),$AK1024*(1+$AJ1024*$AL1024*2)^(1/$AJ1024)))</f>
        <v/>
      </c>
      <c r="AO1024">
        <f>IF($AJ1024="","",IF($AJ1024=0,$AK1024*EXP($AL1024*3),$AK1024*(1+$AJ1024*$AL1024*3)^(1/$AJ1024)))</f>
        <v/>
      </c>
      <c r="AP1024">
        <f>IF($AJ1024="","",IF($AJ1024=0,$AK1024*EXP($AL1024*-2),$AK1024*(1+$AJ1024*$AL1024*-2)^(1/$AJ1024)))</f>
        <v/>
      </c>
      <c r="AQ1024">
        <f>IF($AJ1024="","",IF($AJ1024=0,$AK1024*EXP($AL1024*-3),$AK1024*(1+$AJ1024*$AL1024*-3)^(1/$AJ1024)))</f>
        <v/>
      </c>
      <c r="AR1024">
        <f>IF(OR($X1024="",$T1024&gt;60),"",IFERROR(INDEX(IF($T1024&lt;24,pcomp_l,palt_l),MATCH($X1024,IF($T1024&lt;24,pcomp_k,palt_k),1)),""))</f>
        <v/>
      </c>
      <c r="AS1024">
        <f>IF(OR($X1024="",$T1024&gt;60),"",IFERROR(INDEX(IF($T1024&lt;24,pcomp_m,palt_m),MATCH($X1024,IF($T1024&lt;24,pcomp_k,palt_k),1)),""))</f>
        <v/>
      </c>
      <c r="AT1024">
        <f>IF(OR($X1024="",$T1024&gt;60),"",IFERROR(INDEX(IF($T1024&lt;24,pcomp_s,palt_s),MATCH($X1024,IF($T1024&lt;24,pcomp_k,palt_k),1)),""))</f>
        <v/>
      </c>
      <c r="AU1024">
        <f>IF($AR1024="","",IF($AR1024=0,LN($F1024/$AS1024)/$AT1024,((($F1024/$AS1024)^$AR1024)-1)/($AR1024*$AT1024)))</f>
        <v/>
      </c>
      <c r="AV1024">
        <f>IF($AR1024="","",IF($AR1024=0,$AS1024*EXP($AT1024*2),$AS1024*(1+$AR1024*$AT1024*2)^(1/$AR1024)))</f>
        <v/>
      </c>
      <c r="AW1024">
        <f>IF($AR1024="","",IF($AR1024=0,$AS1024*EXP($AT1024*3),$AS1024*(1+$AR1024*$AT1024*3)^(1/$AR1024)))</f>
        <v/>
      </c>
      <c r="AX1024">
        <f>IF($AR1024="","",IF($AR1024=0,$AS1024*EXP($AT1024*-2),$AS1024*(1+$AR1024*$AT1024*-2)^(1/$AR1024)))</f>
        <v/>
      </c>
      <c r="AY1024">
        <f>IF($AR1024="","",IF($AR1024=0,$AS1024*EXP($AT1024*-3),$AS1024*(1+$AR1024*$AT1024*-3)^(1/$AR1024)))</f>
        <v/>
      </c>
      <c r="AZ1024">
        <f>IF(OR($A1024="",$A1024&lt;&gt;Ficha!$C$4),"",COUNTIF($A$2:$A1024,Ficha!$C$4))</f>
        <v/>
      </c>
    </row>
    <row r="1025">
      <c r="A1025" s="8">
        <f>IF(INDEX(Banco!$A:$A,ROW())="","",INDEX(Banco!$A:$A,ROW()))</f>
        <v/>
      </c>
      <c r="B1025" s="8">
        <f>IF(INDEX(Banco!$B:$B,ROW())="","",INDEX(Banco!$B:$B,ROW()))</f>
        <v/>
      </c>
      <c r="C1025" s="8">
        <f>IF(INDEX(Banco!$C:$C,ROW())="","",INDEX(Banco!$C:$C,ROW()))</f>
        <v/>
      </c>
      <c r="D1025" s="9">
        <f>IF(INDEX(Banco!$D:$D,ROW())="","",INDEX(Banco!$D:$D,ROW()))</f>
        <v/>
      </c>
      <c r="E1025" s="9">
        <f>IF(INDEX(Banco!$E:$E,ROW())="","",INDEX(Banco!$E:$E,ROW()))</f>
        <v/>
      </c>
      <c r="F1025" s="10">
        <f>IF(INDEX(Banco!$F:$F,ROW())="","",INDEX(Banco!$F:$F,ROW()))</f>
        <v/>
      </c>
      <c r="G1025" s="10">
        <f>IF(INDEX(Banco!$G:$G,ROW())="","",INDEX(Banco!$G:$G,ROW()))</f>
        <v/>
      </c>
      <c r="H1025" s="8">
        <f>IF(INDEX(Banco!$H:$H,ROW())="","",INDEX(Banco!$H:$H,ROW()))</f>
        <v/>
      </c>
      <c r="I1025">
        <f>IF($T1025="","",INT($T1025/12)&amp;"a "&amp;MOD($T1025,12)&amp;"m")</f>
        <v/>
      </c>
      <c r="J1025" s="11">
        <f>IF(OR($F1025="",$G1025=""),"",ROUND($F1025/($G1025/100)^2,2))</f>
        <v/>
      </c>
      <c r="K1025" s="12">
        <f>IF(OR($S1025="",$J1025="",$T1025="",$T1025&lt;0,$T1025&gt;228,$Y1025=""),"—",ROUND(IF(ABS($AB1025)&lt;=3,$AB1025,IF($AB1025&gt;3,3+($J1025-$AD1025)/($AD1025-$AC1025),-3+($J1025-$AF1025)/($AE1025-$AF1025))),2))</f>
        <v/>
      </c>
      <c r="L1025">
        <f>IF(OR($K1025="",$K1025="—"),"",IF($T1025&lt;=60,IF($K1025&lt;-3,"Magreza acentuada",IF($K1025&lt;-2,"Magreza",IF($K1025&lt;=1,"Eutrofia",IF($K1025&lt;=2,"Risco de sobrepeso",IF($K1025&lt;=3,"Sobrepeso","Obesidade"))))),IF($K1025&lt;-3,"Magreza acentuada",IF($K1025&lt;-2,"Magreza",IF($K1025&lt;=1,"Eutrofia",IF($K1025&lt;=2,"Sobrepeso",IF($K1025&lt;=3,"Obesidade","Obesidade grave")))))))</f>
        <v/>
      </c>
      <c r="M1025" s="12">
        <f>IF(OR($S1025="",$V1025="",$T1025="",$T1025&lt;0,$T1025&gt;228,$AG1025=""),"—",ROUND(IF($AG1025=0,LN($V1025/$AH1025)/$AI1025,((($V1025/$AH1025)^$AG1025)-1)/($AG1025*$AI1025)),2))</f>
        <v/>
      </c>
      <c r="N1025">
        <f>IF(OR($M1025="",$M1025="—"),"",IF($M1025&lt;-3,"Muito baixa",IF($M1025&lt;-2,"Baixa","Adequada")))</f>
        <v/>
      </c>
      <c r="O1025" s="12">
        <f>IF(OR($S1025="",$F1025="",$T1025="",$T1025&lt;0,$T1025&gt;120,$AJ1025=""),"—",ROUND(IF(ABS($AM1025)&lt;=3,$AM1025,IF($AM1025&gt;3,3+($F1025-$AO1025)/($AO1025-$AN1025),-3+($F1025-$AQ1025)/($AP1025-$AQ1025))),2))</f>
        <v/>
      </c>
      <c r="P1025">
        <f>IF(OR($O1025="",$O1025="—"),"",IF($O1025&lt;-3,"Muito baixo",IF($O1025&lt;-2,"Baixo",IF($O1025&lt;=2,"Adequado","Elevado"))))</f>
        <v/>
      </c>
      <c r="Q1025" s="12">
        <f>IF(OR($S1025="",$F1025="",$T1025="",$T1025&lt;0,$T1025&gt;60,$AR1025=""),"—",ROUND(IF(ABS($AU1025)&lt;=3,$AU1025,IF($AU1025&gt;3,3+($F1025-$AW1025)/($AW1025-$AV1025),-3+($F1025-$AY1025)/($AX1025-$AY1025))),2))</f>
        <v/>
      </c>
      <c r="R1025">
        <f>IF(OR($Q1025="",$Q1025="—"),"",IF($Q1025&lt;-3,"Magreza acentuada",IF($Q1025&lt;-2,"Magreza",IF($Q1025&lt;=1,"Eutrofia",IF($Q1025&lt;=2,"Risco de sobrepeso",IF($Q1025&lt;=3,"Sobrepeso","Obesidade"))))))</f>
        <v/>
      </c>
      <c r="S1025">
        <f>IF($C1025="","",IF(UPPER(LEFT($C1025,1))="M",1,IF(UPPER(LEFT($C1025,1))="F",2,"")))</f>
        <v/>
      </c>
      <c r="T1025">
        <f>IF(OR($D1025="",$E1025=""),"",DATEDIF($D1025,$E1025,"m"))</f>
        <v/>
      </c>
      <c r="U1025">
        <f>IF(OR($D1025="",$E1025=""),"",$E1025-$D1025)</f>
        <v/>
      </c>
      <c r="V1025">
        <f>IF(OR($G1025="",$T1025=""),"",IF($T1025&lt;24,IF(LEFT(LOWER($H1025),4)="em p",$G1025+0.7,$G1025),IF(LEFT(LOWER($H1025),4)="deit",$G1025-0.7,$G1025)))</f>
        <v/>
      </c>
      <c r="W1025">
        <f>IF(OR($S1025="",$T1025=""),"",$S1025*1000000+IF($T1025&lt;=60,$U1025,$T1025))</f>
        <v/>
      </c>
      <c r="X1025">
        <f>IF(OR($S1025="",$V1025="",$T1025&gt;60,$T1025=""),"",$S1025*1000000+ROUND($V1025*10,0))</f>
        <v/>
      </c>
      <c r="Y1025">
        <f>IF($W1025="","",IFERROR(INDEX(IF($T1025&lt;=60,imc05_l,imc519_l),MATCH($W1025,IF($T1025&lt;=60,imc05_k,imc519_k),1)),""))</f>
        <v/>
      </c>
      <c r="Z1025">
        <f>IF($W1025="","",IFERROR(INDEX(IF($T1025&lt;=60,imc05_m,imc519_m),MATCH($W1025,IF($T1025&lt;=60,imc05_k,imc519_k),1)),""))</f>
        <v/>
      </c>
      <c r="AA1025">
        <f>IF($W1025="","",IFERROR(INDEX(IF($T1025&lt;=60,imc05_s,imc519_s),MATCH($W1025,IF($T1025&lt;=60,imc05_k,imc519_k),1)),""))</f>
        <v/>
      </c>
      <c r="AB1025">
        <f>IF($Y1025="","",IF($Y1025=0,LN($J1025/$Z1025)/$AA1025,((($J1025/$Z1025)^$Y1025)-1)/($Y1025*$AA1025)))</f>
        <v/>
      </c>
      <c r="AC1025">
        <f>IF($Y1025="","",IF($Y1025=0,$Z1025*EXP($AA1025*2),$Z1025*(1+$Y1025*$AA1025*2)^(1/$Y1025)))</f>
        <v/>
      </c>
      <c r="AD1025">
        <f>IF($Y1025="","",IF($Y1025=0,$Z1025*EXP($AA1025*3),$Z1025*(1+$Y1025*$AA1025*3)^(1/$Y1025)))</f>
        <v/>
      </c>
      <c r="AE1025">
        <f>IF($Y1025="","",IF($Y1025=0,$Z1025*EXP($AA1025*-2),$Z1025*(1+$Y1025*$AA1025*-2)^(1/$Y1025)))</f>
        <v/>
      </c>
      <c r="AF1025">
        <f>IF($Y1025="","",IF($Y1025=0,$Z1025*EXP($AA1025*-3),$Z1025*(1+$Y1025*$AA1025*-3)^(1/$Y1025)))</f>
        <v/>
      </c>
      <c r="AG1025">
        <f>IF($W1025="","",IFERROR(INDEX(IF($T1025&lt;=60,est05_l,est519_l),MATCH($W1025,IF($T1025&lt;=60,est05_k,est519_k),1)),""))</f>
        <v/>
      </c>
      <c r="AH1025">
        <f>IF($W1025="","",IFERROR(INDEX(IF($T1025&lt;=60,est05_m,est519_m),MATCH($W1025,IF($T1025&lt;=60,est05_k,est519_k),1)),""))</f>
        <v/>
      </c>
      <c r="AI1025">
        <f>IF($W1025="","",IFERROR(INDEX(IF($T1025&lt;=60,est05_s,est519_s),MATCH($W1025,IF($T1025&lt;=60,est05_k,est519_k),1)),""))</f>
        <v/>
      </c>
      <c r="AJ1025">
        <f>IF($W1025="","",IFERROR(INDEX(IF($T1025&lt;=60,peso05_l,peso510_l),MATCH($W1025,IF($T1025&lt;=60,peso05_k,peso510_k),1)),""))</f>
        <v/>
      </c>
      <c r="AK1025">
        <f>IF($W1025="","",IFERROR(INDEX(IF($T1025&lt;=60,peso05_m,peso510_m),MATCH($W1025,IF($T1025&lt;=60,peso05_k,peso510_k),1)),""))</f>
        <v/>
      </c>
      <c r="AL1025">
        <f>IF($W1025="","",IFERROR(INDEX(IF($T1025&lt;=60,peso05_s,peso510_s),MATCH($W1025,IF($T1025&lt;=60,peso05_k,peso510_k),1)),""))</f>
        <v/>
      </c>
      <c r="AM1025">
        <f>IF($AJ1025="","",IF($AJ1025=0,LN($F1025/$AK1025)/$AL1025,((($F1025/$AK1025)^$AJ1025)-1)/($AJ1025*$AL1025)))</f>
        <v/>
      </c>
      <c r="AN1025">
        <f>IF($AJ1025="","",IF($AJ1025=0,$AK1025*EXP($AL1025*2),$AK1025*(1+$AJ1025*$AL1025*2)^(1/$AJ1025)))</f>
        <v/>
      </c>
      <c r="AO1025">
        <f>IF($AJ1025="","",IF($AJ1025=0,$AK1025*EXP($AL1025*3),$AK1025*(1+$AJ1025*$AL1025*3)^(1/$AJ1025)))</f>
        <v/>
      </c>
      <c r="AP1025">
        <f>IF($AJ1025="","",IF($AJ1025=0,$AK1025*EXP($AL1025*-2),$AK1025*(1+$AJ1025*$AL1025*-2)^(1/$AJ1025)))</f>
        <v/>
      </c>
      <c r="AQ1025">
        <f>IF($AJ1025="","",IF($AJ1025=0,$AK1025*EXP($AL1025*-3),$AK1025*(1+$AJ1025*$AL1025*-3)^(1/$AJ1025)))</f>
        <v/>
      </c>
      <c r="AR1025">
        <f>IF(OR($X1025="",$T1025&gt;60),"",IFERROR(INDEX(IF($T1025&lt;24,pcomp_l,palt_l),MATCH($X1025,IF($T1025&lt;24,pcomp_k,palt_k),1)),""))</f>
        <v/>
      </c>
      <c r="AS1025">
        <f>IF(OR($X1025="",$T1025&gt;60),"",IFERROR(INDEX(IF($T1025&lt;24,pcomp_m,palt_m),MATCH($X1025,IF($T1025&lt;24,pcomp_k,palt_k),1)),""))</f>
        <v/>
      </c>
      <c r="AT1025">
        <f>IF(OR($X1025="",$T1025&gt;60),"",IFERROR(INDEX(IF($T1025&lt;24,pcomp_s,palt_s),MATCH($X1025,IF($T1025&lt;24,pcomp_k,palt_k),1)),""))</f>
        <v/>
      </c>
      <c r="AU1025">
        <f>IF($AR1025="","",IF($AR1025=0,LN($F1025/$AS1025)/$AT1025,((($F1025/$AS1025)^$AR1025)-1)/($AR1025*$AT1025)))</f>
        <v/>
      </c>
      <c r="AV1025">
        <f>IF($AR1025="","",IF($AR1025=0,$AS1025*EXP($AT1025*2),$AS1025*(1+$AR1025*$AT1025*2)^(1/$AR1025)))</f>
        <v/>
      </c>
      <c r="AW1025">
        <f>IF($AR1025="","",IF($AR1025=0,$AS1025*EXP($AT1025*3),$AS1025*(1+$AR1025*$AT1025*3)^(1/$AR1025)))</f>
        <v/>
      </c>
      <c r="AX1025">
        <f>IF($AR1025="","",IF($AR1025=0,$AS1025*EXP($AT1025*-2),$AS1025*(1+$AR1025*$AT1025*-2)^(1/$AR1025)))</f>
        <v/>
      </c>
      <c r="AY1025">
        <f>IF($AR1025="","",IF($AR1025=0,$AS1025*EXP($AT1025*-3),$AS1025*(1+$AR1025*$AT1025*-3)^(1/$AR1025)))</f>
        <v/>
      </c>
      <c r="AZ1025">
        <f>IF(OR($A1025="",$A1025&lt;&gt;Ficha!$C$4),"",COUNTIF($A$2:$A1025,Ficha!$C$4))</f>
        <v/>
      </c>
    </row>
    <row r="1026">
      <c r="A1026" s="8">
        <f>IF(INDEX(Banco!$A:$A,ROW())="","",INDEX(Banco!$A:$A,ROW()))</f>
        <v/>
      </c>
      <c r="B1026" s="8">
        <f>IF(INDEX(Banco!$B:$B,ROW())="","",INDEX(Banco!$B:$B,ROW()))</f>
        <v/>
      </c>
      <c r="C1026" s="8">
        <f>IF(INDEX(Banco!$C:$C,ROW())="","",INDEX(Banco!$C:$C,ROW()))</f>
        <v/>
      </c>
      <c r="D1026" s="9">
        <f>IF(INDEX(Banco!$D:$D,ROW())="","",INDEX(Banco!$D:$D,ROW()))</f>
        <v/>
      </c>
      <c r="E1026" s="9">
        <f>IF(INDEX(Banco!$E:$E,ROW())="","",INDEX(Banco!$E:$E,ROW()))</f>
        <v/>
      </c>
      <c r="F1026" s="10">
        <f>IF(INDEX(Banco!$F:$F,ROW())="","",INDEX(Banco!$F:$F,ROW()))</f>
        <v/>
      </c>
      <c r="G1026" s="10">
        <f>IF(INDEX(Banco!$G:$G,ROW())="","",INDEX(Banco!$G:$G,ROW()))</f>
        <v/>
      </c>
      <c r="H1026" s="8">
        <f>IF(INDEX(Banco!$H:$H,ROW())="","",INDEX(Banco!$H:$H,ROW()))</f>
        <v/>
      </c>
      <c r="I1026">
        <f>IF($T1026="","",INT($T1026/12)&amp;"a "&amp;MOD($T1026,12)&amp;"m")</f>
        <v/>
      </c>
      <c r="J1026" s="11">
        <f>IF(OR($F1026="",$G1026=""),"",ROUND($F1026/($G1026/100)^2,2))</f>
        <v/>
      </c>
      <c r="K1026" s="12">
        <f>IF(OR($S1026="",$J1026="",$T1026="",$T1026&lt;0,$T1026&gt;228,$Y1026=""),"—",ROUND(IF(ABS($AB1026)&lt;=3,$AB1026,IF($AB1026&gt;3,3+($J1026-$AD1026)/($AD1026-$AC1026),-3+($J1026-$AF1026)/($AE1026-$AF1026))),2))</f>
        <v/>
      </c>
      <c r="L1026">
        <f>IF(OR($K1026="",$K1026="—"),"",IF($T1026&lt;=60,IF($K1026&lt;-3,"Magreza acentuada",IF($K1026&lt;-2,"Magreza",IF($K1026&lt;=1,"Eutrofia",IF($K1026&lt;=2,"Risco de sobrepeso",IF($K1026&lt;=3,"Sobrepeso","Obesidade"))))),IF($K1026&lt;-3,"Magreza acentuada",IF($K1026&lt;-2,"Magreza",IF($K1026&lt;=1,"Eutrofia",IF($K1026&lt;=2,"Sobrepeso",IF($K1026&lt;=3,"Obesidade","Obesidade grave")))))))</f>
        <v/>
      </c>
      <c r="M1026" s="12">
        <f>IF(OR($S1026="",$V1026="",$T1026="",$T1026&lt;0,$T1026&gt;228,$AG1026=""),"—",ROUND(IF($AG1026=0,LN($V1026/$AH1026)/$AI1026,((($V1026/$AH1026)^$AG1026)-1)/($AG1026*$AI1026)),2))</f>
        <v/>
      </c>
      <c r="N1026">
        <f>IF(OR($M1026="",$M1026="—"),"",IF($M1026&lt;-3,"Muito baixa",IF($M1026&lt;-2,"Baixa","Adequada")))</f>
        <v/>
      </c>
      <c r="O1026" s="12">
        <f>IF(OR($S1026="",$F1026="",$T1026="",$T1026&lt;0,$T1026&gt;120,$AJ1026=""),"—",ROUND(IF(ABS($AM1026)&lt;=3,$AM1026,IF($AM1026&gt;3,3+($F1026-$AO1026)/($AO1026-$AN1026),-3+($F1026-$AQ1026)/($AP1026-$AQ1026))),2))</f>
        <v/>
      </c>
      <c r="P1026">
        <f>IF(OR($O1026="",$O1026="—"),"",IF($O1026&lt;-3,"Muito baixo",IF($O1026&lt;-2,"Baixo",IF($O1026&lt;=2,"Adequado","Elevado"))))</f>
        <v/>
      </c>
      <c r="Q1026" s="12">
        <f>IF(OR($S1026="",$F1026="",$T1026="",$T1026&lt;0,$T1026&gt;60,$AR1026=""),"—",ROUND(IF(ABS($AU1026)&lt;=3,$AU1026,IF($AU1026&gt;3,3+($F1026-$AW1026)/($AW1026-$AV1026),-3+($F1026-$AY1026)/($AX1026-$AY1026))),2))</f>
        <v/>
      </c>
      <c r="R1026">
        <f>IF(OR($Q1026="",$Q1026="—"),"",IF($Q1026&lt;-3,"Magreza acentuada",IF($Q1026&lt;-2,"Magreza",IF($Q1026&lt;=1,"Eutrofia",IF($Q1026&lt;=2,"Risco de sobrepeso",IF($Q1026&lt;=3,"Sobrepeso","Obesidade"))))))</f>
        <v/>
      </c>
      <c r="S1026">
        <f>IF($C1026="","",IF(UPPER(LEFT($C1026,1))="M",1,IF(UPPER(LEFT($C1026,1))="F",2,"")))</f>
        <v/>
      </c>
      <c r="T1026">
        <f>IF(OR($D1026="",$E1026=""),"",DATEDIF($D1026,$E1026,"m"))</f>
        <v/>
      </c>
      <c r="U1026">
        <f>IF(OR($D1026="",$E1026=""),"",$E1026-$D1026)</f>
        <v/>
      </c>
      <c r="V1026">
        <f>IF(OR($G1026="",$T1026=""),"",IF($T1026&lt;24,IF(LEFT(LOWER($H1026),4)="em p",$G1026+0.7,$G1026),IF(LEFT(LOWER($H1026),4)="deit",$G1026-0.7,$G1026)))</f>
        <v/>
      </c>
      <c r="W1026">
        <f>IF(OR($S1026="",$T1026=""),"",$S1026*1000000+IF($T1026&lt;=60,$U1026,$T1026))</f>
        <v/>
      </c>
      <c r="X1026">
        <f>IF(OR($S1026="",$V1026="",$T1026&gt;60,$T1026=""),"",$S1026*1000000+ROUND($V1026*10,0))</f>
        <v/>
      </c>
      <c r="Y1026">
        <f>IF($W1026="","",IFERROR(INDEX(IF($T1026&lt;=60,imc05_l,imc519_l),MATCH($W1026,IF($T1026&lt;=60,imc05_k,imc519_k),1)),""))</f>
        <v/>
      </c>
      <c r="Z1026">
        <f>IF($W1026="","",IFERROR(INDEX(IF($T1026&lt;=60,imc05_m,imc519_m),MATCH($W1026,IF($T1026&lt;=60,imc05_k,imc519_k),1)),""))</f>
        <v/>
      </c>
      <c r="AA1026">
        <f>IF($W1026="","",IFERROR(INDEX(IF($T1026&lt;=60,imc05_s,imc519_s),MATCH($W1026,IF($T1026&lt;=60,imc05_k,imc519_k),1)),""))</f>
        <v/>
      </c>
      <c r="AB1026">
        <f>IF($Y1026="","",IF($Y1026=0,LN($J1026/$Z1026)/$AA1026,((($J1026/$Z1026)^$Y1026)-1)/($Y1026*$AA1026)))</f>
        <v/>
      </c>
      <c r="AC1026">
        <f>IF($Y1026="","",IF($Y1026=0,$Z1026*EXP($AA1026*2),$Z1026*(1+$Y1026*$AA1026*2)^(1/$Y1026)))</f>
        <v/>
      </c>
      <c r="AD1026">
        <f>IF($Y1026="","",IF($Y1026=0,$Z1026*EXP($AA1026*3),$Z1026*(1+$Y1026*$AA1026*3)^(1/$Y1026)))</f>
        <v/>
      </c>
      <c r="AE1026">
        <f>IF($Y1026="","",IF($Y1026=0,$Z1026*EXP($AA1026*-2),$Z1026*(1+$Y1026*$AA1026*-2)^(1/$Y1026)))</f>
        <v/>
      </c>
      <c r="AF1026">
        <f>IF($Y1026="","",IF($Y1026=0,$Z1026*EXP($AA1026*-3),$Z1026*(1+$Y1026*$AA1026*-3)^(1/$Y1026)))</f>
        <v/>
      </c>
      <c r="AG1026">
        <f>IF($W1026="","",IFERROR(INDEX(IF($T1026&lt;=60,est05_l,est519_l),MATCH($W1026,IF($T1026&lt;=60,est05_k,est519_k),1)),""))</f>
        <v/>
      </c>
      <c r="AH1026">
        <f>IF($W1026="","",IFERROR(INDEX(IF($T1026&lt;=60,est05_m,est519_m),MATCH($W1026,IF($T1026&lt;=60,est05_k,est519_k),1)),""))</f>
        <v/>
      </c>
      <c r="AI1026">
        <f>IF($W1026="","",IFERROR(INDEX(IF($T1026&lt;=60,est05_s,est519_s),MATCH($W1026,IF($T1026&lt;=60,est05_k,est519_k),1)),""))</f>
        <v/>
      </c>
      <c r="AJ1026">
        <f>IF($W1026="","",IFERROR(INDEX(IF($T1026&lt;=60,peso05_l,peso510_l),MATCH($W1026,IF($T1026&lt;=60,peso05_k,peso510_k),1)),""))</f>
        <v/>
      </c>
      <c r="AK1026">
        <f>IF($W1026="","",IFERROR(INDEX(IF($T1026&lt;=60,peso05_m,peso510_m),MATCH($W1026,IF($T1026&lt;=60,peso05_k,peso510_k),1)),""))</f>
        <v/>
      </c>
      <c r="AL1026">
        <f>IF($W1026="","",IFERROR(INDEX(IF($T1026&lt;=60,peso05_s,peso510_s),MATCH($W1026,IF($T1026&lt;=60,peso05_k,peso510_k),1)),""))</f>
        <v/>
      </c>
      <c r="AM1026">
        <f>IF($AJ1026="","",IF($AJ1026=0,LN($F1026/$AK1026)/$AL1026,((($F1026/$AK1026)^$AJ1026)-1)/($AJ1026*$AL1026)))</f>
        <v/>
      </c>
      <c r="AN1026">
        <f>IF($AJ1026="","",IF($AJ1026=0,$AK1026*EXP($AL1026*2),$AK1026*(1+$AJ1026*$AL1026*2)^(1/$AJ1026)))</f>
        <v/>
      </c>
      <c r="AO1026">
        <f>IF($AJ1026="","",IF($AJ1026=0,$AK1026*EXP($AL1026*3),$AK1026*(1+$AJ1026*$AL1026*3)^(1/$AJ1026)))</f>
        <v/>
      </c>
      <c r="AP1026">
        <f>IF($AJ1026="","",IF($AJ1026=0,$AK1026*EXP($AL1026*-2),$AK1026*(1+$AJ1026*$AL1026*-2)^(1/$AJ1026)))</f>
        <v/>
      </c>
      <c r="AQ1026">
        <f>IF($AJ1026="","",IF($AJ1026=0,$AK1026*EXP($AL1026*-3),$AK1026*(1+$AJ1026*$AL1026*-3)^(1/$AJ1026)))</f>
        <v/>
      </c>
      <c r="AR1026">
        <f>IF(OR($X1026="",$T1026&gt;60),"",IFERROR(INDEX(IF($T1026&lt;24,pcomp_l,palt_l),MATCH($X1026,IF($T1026&lt;24,pcomp_k,palt_k),1)),""))</f>
        <v/>
      </c>
      <c r="AS1026">
        <f>IF(OR($X1026="",$T1026&gt;60),"",IFERROR(INDEX(IF($T1026&lt;24,pcomp_m,palt_m),MATCH($X1026,IF($T1026&lt;24,pcomp_k,palt_k),1)),""))</f>
        <v/>
      </c>
      <c r="AT1026">
        <f>IF(OR($X1026="",$T1026&gt;60),"",IFERROR(INDEX(IF($T1026&lt;24,pcomp_s,palt_s),MATCH($X1026,IF($T1026&lt;24,pcomp_k,palt_k),1)),""))</f>
        <v/>
      </c>
      <c r="AU1026">
        <f>IF($AR1026="","",IF($AR1026=0,LN($F1026/$AS1026)/$AT1026,((($F1026/$AS1026)^$AR1026)-1)/($AR1026*$AT1026)))</f>
        <v/>
      </c>
      <c r="AV1026">
        <f>IF($AR1026="","",IF($AR1026=0,$AS1026*EXP($AT1026*2),$AS1026*(1+$AR1026*$AT1026*2)^(1/$AR1026)))</f>
        <v/>
      </c>
      <c r="AW1026">
        <f>IF($AR1026="","",IF($AR1026=0,$AS1026*EXP($AT1026*3),$AS1026*(1+$AR1026*$AT1026*3)^(1/$AR1026)))</f>
        <v/>
      </c>
      <c r="AX1026">
        <f>IF($AR1026="","",IF($AR1026=0,$AS1026*EXP($AT1026*-2),$AS1026*(1+$AR1026*$AT1026*-2)^(1/$AR1026)))</f>
        <v/>
      </c>
      <c r="AY1026">
        <f>IF($AR1026="","",IF($AR1026=0,$AS1026*EXP($AT1026*-3),$AS1026*(1+$AR1026*$AT1026*-3)^(1/$AR1026)))</f>
        <v/>
      </c>
      <c r="AZ1026">
        <f>IF(OR($A1026="",$A1026&lt;&gt;Ficha!$C$4),"",COUNTIF($A$2:$A1026,Ficha!$C$4))</f>
        <v/>
      </c>
    </row>
    <row r="1027">
      <c r="A1027" s="8">
        <f>IF(INDEX(Banco!$A:$A,ROW())="","",INDEX(Banco!$A:$A,ROW()))</f>
        <v/>
      </c>
      <c r="B1027" s="8">
        <f>IF(INDEX(Banco!$B:$B,ROW())="","",INDEX(Banco!$B:$B,ROW()))</f>
        <v/>
      </c>
      <c r="C1027" s="8">
        <f>IF(INDEX(Banco!$C:$C,ROW())="","",INDEX(Banco!$C:$C,ROW()))</f>
        <v/>
      </c>
      <c r="D1027" s="9">
        <f>IF(INDEX(Banco!$D:$D,ROW())="","",INDEX(Banco!$D:$D,ROW()))</f>
        <v/>
      </c>
      <c r="E1027" s="9">
        <f>IF(INDEX(Banco!$E:$E,ROW())="","",INDEX(Banco!$E:$E,ROW()))</f>
        <v/>
      </c>
      <c r="F1027" s="10">
        <f>IF(INDEX(Banco!$F:$F,ROW())="","",INDEX(Banco!$F:$F,ROW()))</f>
        <v/>
      </c>
      <c r="G1027" s="10">
        <f>IF(INDEX(Banco!$G:$G,ROW())="","",INDEX(Banco!$G:$G,ROW()))</f>
        <v/>
      </c>
      <c r="H1027" s="8">
        <f>IF(INDEX(Banco!$H:$H,ROW())="","",INDEX(Banco!$H:$H,ROW()))</f>
        <v/>
      </c>
      <c r="I1027">
        <f>IF($T1027="","",INT($T1027/12)&amp;"a "&amp;MOD($T1027,12)&amp;"m")</f>
        <v/>
      </c>
      <c r="J1027" s="11">
        <f>IF(OR($F1027="",$G1027=""),"",ROUND($F1027/($G1027/100)^2,2))</f>
        <v/>
      </c>
      <c r="K1027" s="12">
        <f>IF(OR($S1027="",$J1027="",$T1027="",$T1027&lt;0,$T1027&gt;228,$Y1027=""),"—",ROUND(IF(ABS($AB1027)&lt;=3,$AB1027,IF($AB1027&gt;3,3+($J1027-$AD1027)/($AD1027-$AC1027),-3+($J1027-$AF1027)/($AE1027-$AF1027))),2))</f>
        <v/>
      </c>
      <c r="L1027">
        <f>IF(OR($K1027="",$K1027="—"),"",IF($T1027&lt;=60,IF($K1027&lt;-3,"Magreza acentuada",IF($K1027&lt;-2,"Magreza",IF($K1027&lt;=1,"Eutrofia",IF($K1027&lt;=2,"Risco de sobrepeso",IF($K1027&lt;=3,"Sobrepeso","Obesidade"))))),IF($K1027&lt;-3,"Magreza acentuada",IF($K1027&lt;-2,"Magreza",IF($K1027&lt;=1,"Eutrofia",IF($K1027&lt;=2,"Sobrepeso",IF($K1027&lt;=3,"Obesidade","Obesidade grave")))))))</f>
        <v/>
      </c>
      <c r="M1027" s="12">
        <f>IF(OR($S1027="",$V1027="",$T1027="",$T1027&lt;0,$T1027&gt;228,$AG1027=""),"—",ROUND(IF($AG1027=0,LN($V1027/$AH1027)/$AI1027,((($V1027/$AH1027)^$AG1027)-1)/($AG1027*$AI1027)),2))</f>
        <v/>
      </c>
      <c r="N1027">
        <f>IF(OR($M1027="",$M1027="—"),"",IF($M1027&lt;-3,"Muito baixa",IF($M1027&lt;-2,"Baixa","Adequada")))</f>
        <v/>
      </c>
      <c r="O1027" s="12">
        <f>IF(OR($S1027="",$F1027="",$T1027="",$T1027&lt;0,$T1027&gt;120,$AJ1027=""),"—",ROUND(IF(ABS($AM1027)&lt;=3,$AM1027,IF($AM1027&gt;3,3+($F1027-$AO1027)/($AO1027-$AN1027),-3+($F1027-$AQ1027)/($AP1027-$AQ1027))),2))</f>
        <v/>
      </c>
      <c r="P1027">
        <f>IF(OR($O1027="",$O1027="—"),"",IF($O1027&lt;-3,"Muito baixo",IF($O1027&lt;-2,"Baixo",IF($O1027&lt;=2,"Adequado","Elevado"))))</f>
        <v/>
      </c>
      <c r="Q1027" s="12">
        <f>IF(OR($S1027="",$F1027="",$T1027="",$T1027&lt;0,$T1027&gt;60,$AR1027=""),"—",ROUND(IF(ABS($AU1027)&lt;=3,$AU1027,IF($AU1027&gt;3,3+($F1027-$AW1027)/($AW1027-$AV1027),-3+($F1027-$AY1027)/($AX1027-$AY1027))),2))</f>
        <v/>
      </c>
      <c r="R1027">
        <f>IF(OR($Q1027="",$Q1027="—"),"",IF($Q1027&lt;-3,"Magreza acentuada",IF($Q1027&lt;-2,"Magreza",IF($Q1027&lt;=1,"Eutrofia",IF($Q1027&lt;=2,"Risco de sobrepeso",IF($Q1027&lt;=3,"Sobrepeso","Obesidade"))))))</f>
        <v/>
      </c>
      <c r="S1027">
        <f>IF($C1027="","",IF(UPPER(LEFT($C1027,1))="M",1,IF(UPPER(LEFT($C1027,1))="F",2,"")))</f>
        <v/>
      </c>
      <c r="T1027">
        <f>IF(OR($D1027="",$E1027=""),"",DATEDIF($D1027,$E1027,"m"))</f>
        <v/>
      </c>
      <c r="U1027">
        <f>IF(OR($D1027="",$E1027=""),"",$E1027-$D1027)</f>
        <v/>
      </c>
      <c r="V1027">
        <f>IF(OR($G1027="",$T1027=""),"",IF($T1027&lt;24,IF(LEFT(LOWER($H1027),4)="em p",$G1027+0.7,$G1027),IF(LEFT(LOWER($H1027),4)="deit",$G1027-0.7,$G1027)))</f>
        <v/>
      </c>
      <c r="W1027">
        <f>IF(OR($S1027="",$T1027=""),"",$S1027*1000000+IF($T1027&lt;=60,$U1027,$T1027))</f>
        <v/>
      </c>
      <c r="X1027">
        <f>IF(OR($S1027="",$V1027="",$T1027&gt;60,$T1027=""),"",$S1027*1000000+ROUND($V1027*10,0))</f>
        <v/>
      </c>
      <c r="Y1027">
        <f>IF($W1027="","",IFERROR(INDEX(IF($T1027&lt;=60,imc05_l,imc519_l),MATCH($W1027,IF($T1027&lt;=60,imc05_k,imc519_k),1)),""))</f>
        <v/>
      </c>
      <c r="Z1027">
        <f>IF($W1027="","",IFERROR(INDEX(IF($T1027&lt;=60,imc05_m,imc519_m),MATCH($W1027,IF($T1027&lt;=60,imc05_k,imc519_k),1)),""))</f>
        <v/>
      </c>
      <c r="AA1027">
        <f>IF($W1027="","",IFERROR(INDEX(IF($T1027&lt;=60,imc05_s,imc519_s),MATCH($W1027,IF($T1027&lt;=60,imc05_k,imc519_k),1)),""))</f>
        <v/>
      </c>
      <c r="AB1027">
        <f>IF($Y1027="","",IF($Y1027=0,LN($J1027/$Z1027)/$AA1027,((($J1027/$Z1027)^$Y1027)-1)/($Y1027*$AA1027)))</f>
        <v/>
      </c>
      <c r="AC1027">
        <f>IF($Y1027="","",IF($Y1027=0,$Z1027*EXP($AA1027*2),$Z1027*(1+$Y1027*$AA1027*2)^(1/$Y1027)))</f>
        <v/>
      </c>
      <c r="AD1027">
        <f>IF($Y1027="","",IF($Y1027=0,$Z1027*EXP($AA1027*3),$Z1027*(1+$Y1027*$AA1027*3)^(1/$Y1027)))</f>
        <v/>
      </c>
      <c r="AE1027">
        <f>IF($Y1027="","",IF($Y1027=0,$Z1027*EXP($AA1027*-2),$Z1027*(1+$Y1027*$AA1027*-2)^(1/$Y1027)))</f>
        <v/>
      </c>
      <c r="AF1027">
        <f>IF($Y1027="","",IF($Y1027=0,$Z1027*EXP($AA1027*-3),$Z1027*(1+$Y1027*$AA1027*-3)^(1/$Y1027)))</f>
        <v/>
      </c>
      <c r="AG1027">
        <f>IF($W1027="","",IFERROR(INDEX(IF($T1027&lt;=60,est05_l,est519_l),MATCH($W1027,IF($T1027&lt;=60,est05_k,est519_k),1)),""))</f>
        <v/>
      </c>
      <c r="AH1027">
        <f>IF($W1027="","",IFERROR(INDEX(IF($T1027&lt;=60,est05_m,est519_m),MATCH($W1027,IF($T1027&lt;=60,est05_k,est519_k),1)),""))</f>
        <v/>
      </c>
      <c r="AI1027">
        <f>IF($W1027="","",IFERROR(INDEX(IF($T1027&lt;=60,est05_s,est519_s),MATCH($W1027,IF($T1027&lt;=60,est05_k,est519_k),1)),""))</f>
        <v/>
      </c>
      <c r="AJ1027">
        <f>IF($W1027="","",IFERROR(INDEX(IF($T1027&lt;=60,peso05_l,peso510_l),MATCH($W1027,IF($T1027&lt;=60,peso05_k,peso510_k),1)),""))</f>
        <v/>
      </c>
      <c r="AK1027">
        <f>IF($W1027="","",IFERROR(INDEX(IF($T1027&lt;=60,peso05_m,peso510_m),MATCH($W1027,IF($T1027&lt;=60,peso05_k,peso510_k),1)),""))</f>
        <v/>
      </c>
      <c r="AL1027">
        <f>IF($W1027="","",IFERROR(INDEX(IF($T1027&lt;=60,peso05_s,peso510_s),MATCH($W1027,IF($T1027&lt;=60,peso05_k,peso510_k),1)),""))</f>
        <v/>
      </c>
      <c r="AM1027">
        <f>IF($AJ1027="","",IF($AJ1027=0,LN($F1027/$AK1027)/$AL1027,((($F1027/$AK1027)^$AJ1027)-1)/($AJ1027*$AL1027)))</f>
        <v/>
      </c>
      <c r="AN1027">
        <f>IF($AJ1027="","",IF($AJ1027=0,$AK1027*EXP($AL1027*2),$AK1027*(1+$AJ1027*$AL1027*2)^(1/$AJ1027)))</f>
        <v/>
      </c>
      <c r="AO1027">
        <f>IF($AJ1027="","",IF($AJ1027=0,$AK1027*EXP($AL1027*3),$AK1027*(1+$AJ1027*$AL1027*3)^(1/$AJ1027)))</f>
        <v/>
      </c>
      <c r="AP1027">
        <f>IF($AJ1027="","",IF($AJ1027=0,$AK1027*EXP($AL1027*-2),$AK1027*(1+$AJ1027*$AL1027*-2)^(1/$AJ1027)))</f>
        <v/>
      </c>
      <c r="AQ1027">
        <f>IF($AJ1027="","",IF($AJ1027=0,$AK1027*EXP($AL1027*-3),$AK1027*(1+$AJ1027*$AL1027*-3)^(1/$AJ1027)))</f>
        <v/>
      </c>
      <c r="AR1027">
        <f>IF(OR($X1027="",$T1027&gt;60),"",IFERROR(INDEX(IF($T1027&lt;24,pcomp_l,palt_l),MATCH($X1027,IF($T1027&lt;24,pcomp_k,palt_k),1)),""))</f>
        <v/>
      </c>
      <c r="AS1027">
        <f>IF(OR($X1027="",$T1027&gt;60),"",IFERROR(INDEX(IF($T1027&lt;24,pcomp_m,palt_m),MATCH($X1027,IF($T1027&lt;24,pcomp_k,palt_k),1)),""))</f>
        <v/>
      </c>
      <c r="AT1027">
        <f>IF(OR($X1027="",$T1027&gt;60),"",IFERROR(INDEX(IF($T1027&lt;24,pcomp_s,palt_s),MATCH($X1027,IF($T1027&lt;24,pcomp_k,palt_k),1)),""))</f>
        <v/>
      </c>
      <c r="AU1027">
        <f>IF($AR1027="","",IF($AR1027=0,LN($F1027/$AS1027)/$AT1027,((($F1027/$AS1027)^$AR1027)-1)/($AR1027*$AT1027)))</f>
        <v/>
      </c>
      <c r="AV1027">
        <f>IF($AR1027="","",IF($AR1027=0,$AS1027*EXP($AT1027*2),$AS1027*(1+$AR1027*$AT1027*2)^(1/$AR1027)))</f>
        <v/>
      </c>
      <c r="AW1027">
        <f>IF($AR1027="","",IF($AR1027=0,$AS1027*EXP($AT1027*3),$AS1027*(1+$AR1027*$AT1027*3)^(1/$AR1027)))</f>
        <v/>
      </c>
      <c r="AX1027">
        <f>IF($AR1027="","",IF($AR1027=0,$AS1027*EXP($AT1027*-2),$AS1027*(1+$AR1027*$AT1027*-2)^(1/$AR1027)))</f>
        <v/>
      </c>
      <c r="AY1027">
        <f>IF($AR1027="","",IF($AR1027=0,$AS1027*EXP($AT1027*-3),$AS1027*(1+$AR1027*$AT1027*-3)^(1/$AR1027)))</f>
        <v/>
      </c>
      <c r="AZ1027">
        <f>IF(OR($A1027="",$A1027&lt;&gt;Ficha!$C$4),"",COUNTIF($A$2:$A1027,Ficha!$C$4))</f>
        <v/>
      </c>
    </row>
    <row r="1028">
      <c r="A1028" s="8">
        <f>IF(INDEX(Banco!$A:$A,ROW())="","",INDEX(Banco!$A:$A,ROW()))</f>
        <v/>
      </c>
      <c r="B1028" s="8">
        <f>IF(INDEX(Banco!$B:$B,ROW())="","",INDEX(Banco!$B:$B,ROW()))</f>
        <v/>
      </c>
      <c r="C1028" s="8">
        <f>IF(INDEX(Banco!$C:$C,ROW())="","",INDEX(Banco!$C:$C,ROW()))</f>
        <v/>
      </c>
      <c r="D1028" s="9">
        <f>IF(INDEX(Banco!$D:$D,ROW())="","",INDEX(Banco!$D:$D,ROW()))</f>
        <v/>
      </c>
      <c r="E1028" s="9">
        <f>IF(INDEX(Banco!$E:$E,ROW())="","",INDEX(Banco!$E:$E,ROW()))</f>
        <v/>
      </c>
      <c r="F1028" s="10">
        <f>IF(INDEX(Banco!$F:$F,ROW())="","",INDEX(Banco!$F:$F,ROW()))</f>
        <v/>
      </c>
      <c r="G1028" s="10">
        <f>IF(INDEX(Banco!$G:$G,ROW())="","",INDEX(Banco!$G:$G,ROW()))</f>
        <v/>
      </c>
      <c r="H1028" s="8">
        <f>IF(INDEX(Banco!$H:$H,ROW())="","",INDEX(Banco!$H:$H,ROW()))</f>
        <v/>
      </c>
      <c r="I1028">
        <f>IF($T1028="","",INT($T1028/12)&amp;"a "&amp;MOD($T1028,12)&amp;"m")</f>
        <v/>
      </c>
      <c r="J1028" s="11">
        <f>IF(OR($F1028="",$G1028=""),"",ROUND($F1028/($G1028/100)^2,2))</f>
        <v/>
      </c>
      <c r="K1028" s="12">
        <f>IF(OR($S1028="",$J1028="",$T1028="",$T1028&lt;0,$T1028&gt;228,$Y1028=""),"—",ROUND(IF(ABS($AB1028)&lt;=3,$AB1028,IF($AB1028&gt;3,3+($J1028-$AD1028)/($AD1028-$AC1028),-3+($J1028-$AF1028)/($AE1028-$AF1028))),2))</f>
        <v/>
      </c>
      <c r="L1028">
        <f>IF(OR($K1028="",$K1028="—"),"",IF($T1028&lt;=60,IF($K1028&lt;-3,"Magreza acentuada",IF($K1028&lt;-2,"Magreza",IF($K1028&lt;=1,"Eutrofia",IF($K1028&lt;=2,"Risco de sobrepeso",IF($K1028&lt;=3,"Sobrepeso","Obesidade"))))),IF($K1028&lt;-3,"Magreza acentuada",IF($K1028&lt;-2,"Magreza",IF($K1028&lt;=1,"Eutrofia",IF($K1028&lt;=2,"Sobrepeso",IF($K1028&lt;=3,"Obesidade","Obesidade grave")))))))</f>
        <v/>
      </c>
      <c r="M1028" s="12">
        <f>IF(OR($S1028="",$V1028="",$T1028="",$T1028&lt;0,$T1028&gt;228,$AG1028=""),"—",ROUND(IF($AG1028=0,LN($V1028/$AH1028)/$AI1028,((($V1028/$AH1028)^$AG1028)-1)/($AG1028*$AI1028)),2))</f>
        <v/>
      </c>
      <c r="N1028">
        <f>IF(OR($M1028="",$M1028="—"),"",IF($M1028&lt;-3,"Muito baixa",IF($M1028&lt;-2,"Baixa","Adequada")))</f>
        <v/>
      </c>
      <c r="O1028" s="12">
        <f>IF(OR($S1028="",$F1028="",$T1028="",$T1028&lt;0,$T1028&gt;120,$AJ1028=""),"—",ROUND(IF(ABS($AM1028)&lt;=3,$AM1028,IF($AM1028&gt;3,3+($F1028-$AO1028)/($AO1028-$AN1028),-3+($F1028-$AQ1028)/($AP1028-$AQ1028))),2))</f>
        <v/>
      </c>
      <c r="P1028">
        <f>IF(OR($O1028="",$O1028="—"),"",IF($O1028&lt;-3,"Muito baixo",IF($O1028&lt;-2,"Baixo",IF($O1028&lt;=2,"Adequado","Elevado"))))</f>
        <v/>
      </c>
      <c r="Q1028" s="12">
        <f>IF(OR($S1028="",$F1028="",$T1028="",$T1028&lt;0,$T1028&gt;60,$AR1028=""),"—",ROUND(IF(ABS($AU1028)&lt;=3,$AU1028,IF($AU1028&gt;3,3+($F1028-$AW1028)/($AW1028-$AV1028),-3+($F1028-$AY1028)/($AX1028-$AY1028))),2))</f>
        <v/>
      </c>
      <c r="R1028">
        <f>IF(OR($Q1028="",$Q1028="—"),"",IF($Q1028&lt;-3,"Magreza acentuada",IF($Q1028&lt;-2,"Magreza",IF($Q1028&lt;=1,"Eutrofia",IF($Q1028&lt;=2,"Risco de sobrepeso",IF($Q1028&lt;=3,"Sobrepeso","Obesidade"))))))</f>
        <v/>
      </c>
      <c r="S1028">
        <f>IF($C1028="","",IF(UPPER(LEFT($C1028,1))="M",1,IF(UPPER(LEFT($C1028,1))="F",2,"")))</f>
        <v/>
      </c>
      <c r="T1028">
        <f>IF(OR($D1028="",$E1028=""),"",DATEDIF($D1028,$E1028,"m"))</f>
        <v/>
      </c>
      <c r="U1028">
        <f>IF(OR($D1028="",$E1028=""),"",$E1028-$D1028)</f>
        <v/>
      </c>
      <c r="V1028">
        <f>IF(OR($G1028="",$T1028=""),"",IF($T1028&lt;24,IF(LEFT(LOWER($H1028),4)="em p",$G1028+0.7,$G1028),IF(LEFT(LOWER($H1028),4)="deit",$G1028-0.7,$G1028)))</f>
        <v/>
      </c>
      <c r="W1028">
        <f>IF(OR($S1028="",$T1028=""),"",$S1028*1000000+IF($T1028&lt;=60,$U1028,$T1028))</f>
        <v/>
      </c>
      <c r="X1028">
        <f>IF(OR($S1028="",$V1028="",$T1028&gt;60,$T1028=""),"",$S1028*1000000+ROUND($V1028*10,0))</f>
        <v/>
      </c>
      <c r="Y1028">
        <f>IF($W1028="","",IFERROR(INDEX(IF($T1028&lt;=60,imc05_l,imc519_l),MATCH($W1028,IF($T1028&lt;=60,imc05_k,imc519_k),1)),""))</f>
        <v/>
      </c>
      <c r="Z1028">
        <f>IF($W1028="","",IFERROR(INDEX(IF($T1028&lt;=60,imc05_m,imc519_m),MATCH($W1028,IF($T1028&lt;=60,imc05_k,imc519_k),1)),""))</f>
        <v/>
      </c>
      <c r="AA1028">
        <f>IF($W1028="","",IFERROR(INDEX(IF($T1028&lt;=60,imc05_s,imc519_s),MATCH($W1028,IF($T1028&lt;=60,imc05_k,imc519_k),1)),""))</f>
        <v/>
      </c>
      <c r="AB1028">
        <f>IF($Y1028="","",IF($Y1028=0,LN($J1028/$Z1028)/$AA1028,((($J1028/$Z1028)^$Y1028)-1)/($Y1028*$AA1028)))</f>
        <v/>
      </c>
      <c r="AC1028">
        <f>IF($Y1028="","",IF($Y1028=0,$Z1028*EXP($AA1028*2),$Z1028*(1+$Y1028*$AA1028*2)^(1/$Y1028)))</f>
        <v/>
      </c>
      <c r="AD1028">
        <f>IF($Y1028="","",IF($Y1028=0,$Z1028*EXP($AA1028*3),$Z1028*(1+$Y1028*$AA1028*3)^(1/$Y1028)))</f>
        <v/>
      </c>
      <c r="AE1028">
        <f>IF($Y1028="","",IF($Y1028=0,$Z1028*EXP($AA1028*-2),$Z1028*(1+$Y1028*$AA1028*-2)^(1/$Y1028)))</f>
        <v/>
      </c>
      <c r="AF1028">
        <f>IF($Y1028="","",IF($Y1028=0,$Z1028*EXP($AA1028*-3),$Z1028*(1+$Y1028*$AA1028*-3)^(1/$Y1028)))</f>
        <v/>
      </c>
      <c r="AG1028">
        <f>IF($W1028="","",IFERROR(INDEX(IF($T1028&lt;=60,est05_l,est519_l),MATCH($W1028,IF($T1028&lt;=60,est05_k,est519_k),1)),""))</f>
        <v/>
      </c>
      <c r="AH1028">
        <f>IF($W1028="","",IFERROR(INDEX(IF($T1028&lt;=60,est05_m,est519_m),MATCH($W1028,IF($T1028&lt;=60,est05_k,est519_k),1)),""))</f>
        <v/>
      </c>
      <c r="AI1028">
        <f>IF($W1028="","",IFERROR(INDEX(IF($T1028&lt;=60,est05_s,est519_s),MATCH($W1028,IF($T1028&lt;=60,est05_k,est519_k),1)),""))</f>
        <v/>
      </c>
      <c r="AJ1028">
        <f>IF($W1028="","",IFERROR(INDEX(IF($T1028&lt;=60,peso05_l,peso510_l),MATCH($W1028,IF($T1028&lt;=60,peso05_k,peso510_k),1)),""))</f>
        <v/>
      </c>
      <c r="AK1028">
        <f>IF($W1028="","",IFERROR(INDEX(IF($T1028&lt;=60,peso05_m,peso510_m),MATCH($W1028,IF($T1028&lt;=60,peso05_k,peso510_k),1)),""))</f>
        <v/>
      </c>
      <c r="AL1028">
        <f>IF($W1028="","",IFERROR(INDEX(IF($T1028&lt;=60,peso05_s,peso510_s),MATCH($W1028,IF($T1028&lt;=60,peso05_k,peso510_k),1)),""))</f>
        <v/>
      </c>
      <c r="AM1028">
        <f>IF($AJ1028="","",IF($AJ1028=0,LN($F1028/$AK1028)/$AL1028,((($F1028/$AK1028)^$AJ1028)-1)/($AJ1028*$AL1028)))</f>
        <v/>
      </c>
      <c r="AN1028">
        <f>IF($AJ1028="","",IF($AJ1028=0,$AK1028*EXP($AL1028*2),$AK1028*(1+$AJ1028*$AL1028*2)^(1/$AJ1028)))</f>
        <v/>
      </c>
      <c r="AO1028">
        <f>IF($AJ1028="","",IF($AJ1028=0,$AK1028*EXP($AL1028*3),$AK1028*(1+$AJ1028*$AL1028*3)^(1/$AJ1028)))</f>
        <v/>
      </c>
      <c r="AP1028">
        <f>IF($AJ1028="","",IF($AJ1028=0,$AK1028*EXP($AL1028*-2),$AK1028*(1+$AJ1028*$AL1028*-2)^(1/$AJ1028)))</f>
        <v/>
      </c>
      <c r="AQ1028">
        <f>IF($AJ1028="","",IF($AJ1028=0,$AK1028*EXP($AL1028*-3),$AK1028*(1+$AJ1028*$AL1028*-3)^(1/$AJ1028)))</f>
        <v/>
      </c>
      <c r="AR1028">
        <f>IF(OR($X1028="",$T1028&gt;60),"",IFERROR(INDEX(IF($T1028&lt;24,pcomp_l,palt_l),MATCH($X1028,IF($T1028&lt;24,pcomp_k,palt_k),1)),""))</f>
        <v/>
      </c>
      <c r="AS1028">
        <f>IF(OR($X1028="",$T1028&gt;60),"",IFERROR(INDEX(IF($T1028&lt;24,pcomp_m,palt_m),MATCH($X1028,IF($T1028&lt;24,pcomp_k,palt_k),1)),""))</f>
        <v/>
      </c>
      <c r="AT1028">
        <f>IF(OR($X1028="",$T1028&gt;60),"",IFERROR(INDEX(IF($T1028&lt;24,pcomp_s,palt_s),MATCH($X1028,IF($T1028&lt;24,pcomp_k,palt_k),1)),""))</f>
        <v/>
      </c>
      <c r="AU1028">
        <f>IF($AR1028="","",IF($AR1028=0,LN($F1028/$AS1028)/$AT1028,((($F1028/$AS1028)^$AR1028)-1)/($AR1028*$AT1028)))</f>
        <v/>
      </c>
      <c r="AV1028">
        <f>IF($AR1028="","",IF($AR1028=0,$AS1028*EXP($AT1028*2),$AS1028*(1+$AR1028*$AT1028*2)^(1/$AR1028)))</f>
        <v/>
      </c>
      <c r="AW1028">
        <f>IF($AR1028="","",IF($AR1028=0,$AS1028*EXP($AT1028*3),$AS1028*(1+$AR1028*$AT1028*3)^(1/$AR1028)))</f>
        <v/>
      </c>
      <c r="AX1028">
        <f>IF($AR1028="","",IF($AR1028=0,$AS1028*EXP($AT1028*-2),$AS1028*(1+$AR1028*$AT1028*-2)^(1/$AR1028)))</f>
        <v/>
      </c>
      <c r="AY1028">
        <f>IF($AR1028="","",IF($AR1028=0,$AS1028*EXP($AT1028*-3),$AS1028*(1+$AR1028*$AT1028*-3)^(1/$AR1028)))</f>
        <v/>
      </c>
      <c r="AZ1028">
        <f>IF(OR($A1028="",$A1028&lt;&gt;Ficha!$C$4),"",COUNTIF($A$2:$A1028,Ficha!$C$4))</f>
        <v/>
      </c>
    </row>
    <row r="1029">
      <c r="A1029" s="8">
        <f>IF(INDEX(Banco!$A:$A,ROW())="","",INDEX(Banco!$A:$A,ROW()))</f>
        <v/>
      </c>
      <c r="B1029" s="8">
        <f>IF(INDEX(Banco!$B:$B,ROW())="","",INDEX(Banco!$B:$B,ROW()))</f>
        <v/>
      </c>
      <c r="C1029" s="8">
        <f>IF(INDEX(Banco!$C:$C,ROW())="","",INDEX(Banco!$C:$C,ROW()))</f>
        <v/>
      </c>
      <c r="D1029" s="9">
        <f>IF(INDEX(Banco!$D:$D,ROW())="","",INDEX(Banco!$D:$D,ROW()))</f>
        <v/>
      </c>
      <c r="E1029" s="9">
        <f>IF(INDEX(Banco!$E:$E,ROW())="","",INDEX(Banco!$E:$E,ROW()))</f>
        <v/>
      </c>
      <c r="F1029" s="10">
        <f>IF(INDEX(Banco!$F:$F,ROW())="","",INDEX(Banco!$F:$F,ROW()))</f>
        <v/>
      </c>
      <c r="G1029" s="10">
        <f>IF(INDEX(Banco!$G:$G,ROW())="","",INDEX(Banco!$G:$G,ROW()))</f>
        <v/>
      </c>
      <c r="H1029" s="8">
        <f>IF(INDEX(Banco!$H:$H,ROW())="","",INDEX(Banco!$H:$H,ROW()))</f>
        <v/>
      </c>
      <c r="I1029">
        <f>IF($T1029="","",INT($T1029/12)&amp;"a "&amp;MOD($T1029,12)&amp;"m")</f>
        <v/>
      </c>
      <c r="J1029" s="11">
        <f>IF(OR($F1029="",$G1029=""),"",ROUND($F1029/($G1029/100)^2,2))</f>
        <v/>
      </c>
      <c r="K1029" s="12">
        <f>IF(OR($S1029="",$J1029="",$T1029="",$T1029&lt;0,$T1029&gt;228,$Y1029=""),"—",ROUND(IF(ABS($AB1029)&lt;=3,$AB1029,IF($AB1029&gt;3,3+($J1029-$AD1029)/($AD1029-$AC1029),-3+($J1029-$AF1029)/($AE1029-$AF1029))),2))</f>
        <v/>
      </c>
      <c r="L1029">
        <f>IF(OR($K1029="",$K1029="—"),"",IF($T1029&lt;=60,IF($K1029&lt;-3,"Magreza acentuada",IF($K1029&lt;-2,"Magreza",IF($K1029&lt;=1,"Eutrofia",IF($K1029&lt;=2,"Risco de sobrepeso",IF($K1029&lt;=3,"Sobrepeso","Obesidade"))))),IF($K1029&lt;-3,"Magreza acentuada",IF($K1029&lt;-2,"Magreza",IF($K1029&lt;=1,"Eutrofia",IF($K1029&lt;=2,"Sobrepeso",IF($K1029&lt;=3,"Obesidade","Obesidade grave")))))))</f>
        <v/>
      </c>
      <c r="M1029" s="12">
        <f>IF(OR($S1029="",$V1029="",$T1029="",$T1029&lt;0,$T1029&gt;228,$AG1029=""),"—",ROUND(IF($AG1029=0,LN($V1029/$AH1029)/$AI1029,((($V1029/$AH1029)^$AG1029)-1)/($AG1029*$AI1029)),2))</f>
        <v/>
      </c>
      <c r="N1029">
        <f>IF(OR($M1029="",$M1029="—"),"",IF($M1029&lt;-3,"Muito baixa",IF($M1029&lt;-2,"Baixa","Adequada")))</f>
        <v/>
      </c>
      <c r="O1029" s="12">
        <f>IF(OR($S1029="",$F1029="",$T1029="",$T1029&lt;0,$T1029&gt;120,$AJ1029=""),"—",ROUND(IF(ABS($AM1029)&lt;=3,$AM1029,IF($AM1029&gt;3,3+($F1029-$AO1029)/($AO1029-$AN1029),-3+($F1029-$AQ1029)/($AP1029-$AQ1029))),2))</f>
        <v/>
      </c>
      <c r="P1029">
        <f>IF(OR($O1029="",$O1029="—"),"",IF($O1029&lt;-3,"Muito baixo",IF($O1029&lt;-2,"Baixo",IF($O1029&lt;=2,"Adequado","Elevado"))))</f>
        <v/>
      </c>
      <c r="Q1029" s="12">
        <f>IF(OR($S1029="",$F1029="",$T1029="",$T1029&lt;0,$T1029&gt;60,$AR1029=""),"—",ROUND(IF(ABS($AU1029)&lt;=3,$AU1029,IF($AU1029&gt;3,3+($F1029-$AW1029)/($AW1029-$AV1029),-3+($F1029-$AY1029)/($AX1029-$AY1029))),2))</f>
        <v/>
      </c>
      <c r="R1029">
        <f>IF(OR($Q1029="",$Q1029="—"),"",IF($Q1029&lt;-3,"Magreza acentuada",IF($Q1029&lt;-2,"Magreza",IF($Q1029&lt;=1,"Eutrofia",IF($Q1029&lt;=2,"Risco de sobrepeso",IF($Q1029&lt;=3,"Sobrepeso","Obesidade"))))))</f>
        <v/>
      </c>
      <c r="S1029">
        <f>IF($C1029="","",IF(UPPER(LEFT($C1029,1))="M",1,IF(UPPER(LEFT($C1029,1))="F",2,"")))</f>
        <v/>
      </c>
      <c r="T1029">
        <f>IF(OR($D1029="",$E1029=""),"",DATEDIF($D1029,$E1029,"m"))</f>
        <v/>
      </c>
      <c r="U1029">
        <f>IF(OR($D1029="",$E1029=""),"",$E1029-$D1029)</f>
        <v/>
      </c>
      <c r="V1029">
        <f>IF(OR($G1029="",$T1029=""),"",IF($T1029&lt;24,IF(LEFT(LOWER($H1029),4)="em p",$G1029+0.7,$G1029),IF(LEFT(LOWER($H1029),4)="deit",$G1029-0.7,$G1029)))</f>
        <v/>
      </c>
      <c r="W1029">
        <f>IF(OR($S1029="",$T1029=""),"",$S1029*1000000+IF($T1029&lt;=60,$U1029,$T1029))</f>
        <v/>
      </c>
      <c r="X1029">
        <f>IF(OR($S1029="",$V1029="",$T1029&gt;60,$T1029=""),"",$S1029*1000000+ROUND($V1029*10,0))</f>
        <v/>
      </c>
      <c r="Y1029">
        <f>IF($W1029="","",IFERROR(INDEX(IF($T1029&lt;=60,imc05_l,imc519_l),MATCH($W1029,IF($T1029&lt;=60,imc05_k,imc519_k),1)),""))</f>
        <v/>
      </c>
      <c r="Z1029">
        <f>IF($W1029="","",IFERROR(INDEX(IF($T1029&lt;=60,imc05_m,imc519_m),MATCH($W1029,IF($T1029&lt;=60,imc05_k,imc519_k),1)),""))</f>
        <v/>
      </c>
      <c r="AA1029">
        <f>IF($W1029="","",IFERROR(INDEX(IF($T1029&lt;=60,imc05_s,imc519_s),MATCH($W1029,IF($T1029&lt;=60,imc05_k,imc519_k),1)),""))</f>
        <v/>
      </c>
      <c r="AB1029">
        <f>IF($Y1029="","",IF($Y1029=0,LN($J1029/$Z1029)/$AA1029,((($J1029/$Z1029)^$Y1029)-1)/($Y1029*$AA1029)))</f>
        <v/>
      </c>
      <c r="AC1029">
        <f>IF($Y1029="","",IF($Y1029=0,$Z1029*EXP($AA1029*2),$Z1029*(1+$Y1029*$AA1029*2)^(1/$Y1029)))</f>
        <v/>
      </c>
      <c r="AD1029">
        <f>IF($Y1029="","",IF($Y1029=0,$Z1029*EXP($AA1029*3),$Z1029*(1+$Y1029*$AA1029*3)^(1/$Y1029)))</f>
        <v/>
      </c>
      <c r="AE1029">
        <f>IF($Y1029="","",IF($Y1029=0,$Z1029*EXP($AA1029*-2),$Z1029*(1+$Y1029*$AA1029*-2)^(1/$Y1029)))</f>
        <v/>
      </c>
      <c r="AF1029">
        <f>IF($Y1029="","",IF($Y1029=0,$Z1029*EXP($AA1029*-3),$Z1029*(1+$Y1029*$AA1029*-3)^(1/$Y1029)))</f>
        <v/>
      </c>
      <c r="AG1029">
        <f>IF($W1029="","",IFERROR(INDEX(IF($T1029&lt;=60,est05_l,est519_l),MATCH($W1029,IF($T1029&lt;=60,est05_k,est519_k),1)),""))</f>
        <v/>
      </c>
      <c r="AH1029">
        <f>IF($W1029="","",IFERROR(INDEX(IF($T1029&lt;=60,est05_m,est519_m),MATCH($W1029,IF($T1029&lt;=60,est05_k,est519_k),1)),""))</f>
        <v/>
      </c>
      <c r="AI1029">
        <f>IF($W1029="","",IFERROR(INDEX(IF($T1029&lt;=60,est05_s,est519_s),MATCH($W1029,IF($T1029&lt;=60,est05_k,est519_k),1)),""))</f>
        <v/>
      </c>
      <c r="AJ1029">
        <f>IF($W1029="","",IFERROR(INDEX(IF($T1029&lt;=60,peso05_l,peso510_l),MATCH($W1029,IF($T1029&lt;=60,peso05_k,peso510_k),1)),""))</f>
        <v/>
      </c>
      <c r="AK1029">
        <f>IF($W1029="","",IFERROR(INDEX(IF($T1029&lt;=60,peso05_m,peso510_m),MATCH($W1029,IF($T1029&lt;=60,peso05_k,peso510_k),1)),""))</f>
        <v/>
      </c>
      <c r="AL1029">
        <f>IF($W1029="","",IFERROR(INDEX(IF($T1029&lt;=60,peso05_s,peso510_s),MATCH($W1029,IF($T1029&lt;=60,peso05_k,peso510_k),1)),""))</f>
        <v/>
      </c>
      <c r="AM1029">
        <f>IF($AJ1029="","",IF($AJ1029=0,LN($F1029/$AK1029)/$AL1029,((($F1029/$AK1029)^$AJ1029)-1)/($AJ1029*$AL1029)))</f>
        <v/>
      </c>
      <c r="AN1029">
        <f>IF($AJ1029="","",IF($AJ1029=0,$AK1029*EXP($AL1029*2),$AK1029*(1+$AJ1029*$AL1029*2)^(1/$AJ1029)))</f>
        <v/>
      </c>
      <c r="AO1029">
        <f>IF($AJ1029="","",IF($AJ1029=0,$AK1029*EXP($AL1029*3),$AK1029*(1+$AJ1029*$AL1029*3)^(1/$AJ1029)))</f>
        <v/>
      </c>
      <c r="AP1029">
        <f>IF($AJ1029="","",IF($AJ1029=0,$AK1029*EXP($AL1029*-2),$AK1029*(1+$AJ1029*$AL1029*-2)^(1/$AJ1029)))</f>
        <v/>
      </c>
      <c r="AQ1029">
        <f>IF($AJ1029="","",IF($AJ1029=0,$AK1029*EXP($AL1029*-3),$AK1029*(1+$AJ1029*$AL1029*-3)^(1/$AJ1029)))</f>
        <v/>
      </c>
      <c r="AR1029">
        <f>IF(OR($X1029="",$T1029&gt;60),"",IFERROR(INDEX(IF($T1029&lt;24,pcomp_l,palt_l),MATCH($X1029,IF($T1029&lt;24,pcomp_k,palt_k),1)),""))</f>
        <v/>
      </c>
      <c r="AS1029">
        <f>IF(OR($X1029="",$T1029&gt;60),"",IFERROR(INDEX(IF($T1029&lt;24,pcomp_m,palt_m),MATCH($X1029,IF($T1029&lt;24,pcomp_k,palt_k),1)),""))</f>
        <v/>
      </c>
      <c r="AT1029">
        <f>IF(OR($X1029="",$T1029&gt;60),"",IFERROR(INDEX(IF($T1029&lt;24,pcomp_s,palt_s),MATCH($X1029,IF($T1029&lt;24,pcomp_k,palt_k),1)),""))</f>
        <v/>
      </c>
      <c r="AU1029">
        <f>IF($AR1029="","",IF($AR1029=0,LN($F1029/$AS1029)/$AT1029,((($F1029/$AS1029)^$AR1029)-1)/($AR1029*$AT1029)))</f>
        <v/>
      </c>
      <c r="AV1029">
        <f>IF($AR1029="","",IF($AR1029=0,$AS1029*EXP($AT1029*2),$AS1029*(1+$AR1029*$AT1029*2)^(1/$AR1029)))</f>
        <v/>
      </c>
      <c r="AW1029">
        <f>IF($AR1029="","",IF($AR1029=0,$AS1029*EXP($AT1029*3),$AS1029*(1+$AR1029*$AT1029*3)^(1/$AR1029)))</f>
        <v/>
      </c>
      <c r="AX1029">
        <f>IF($AR1029="","",IF($AR1029=0,$AS1029*EXP($AT1029*-2),$AS1029*(1+$AR1029*$AT1029*-2)^(1/$AR1029)))</f>
        <v/>
      </c>
      <c r="AY1029">
        <f>IF($AR1029="","",IF($AR1029=0,$AS1029*EXP($AT1029*-3),$AS1029*(1+$AR1029*$AT1029*-3)^(1/$AR1029)))</f>
        <v/>
      </c>
      <c r="AZ1029">
        <f>IF(OR($A1029="",$A1029&lt;&gt;Ficha!$C$4),"",COUNTIF($A$2:$A1029,Ficha!$C$4))</f>
        <v/>
      </c>
    </row>
    <row r="1030">
      <c r="A1030" s="8">
        <f>IF(INDEX(Banco!$A:$A,ROW())="","",INDEX(Banco!$A:$A,ROW()))</f>
        <v/>
      </c>
      <c r="B1030" s="8">
        <f>IF(INDEX(Banco!$B:$B,ROW())="","",INDEX(Banco!$B:$B,ROW()))</f>
        <v/>
      </c>
      <c r="C1030" s="8">
        <f>IF(INDEX(Banco!$C:$C,ROW())="","",INDEX(Banco!$C:$C,ROW()))</f>
        <v/>
      </c>
      <c r="D1030" s="9">
        <f>IF(INDEX(Banco!$D:$D,ROW())="","",INDEX(Banco!$D:$D,ROW()))</f>
        <v/>
      </c>
      <c r="E1030" s="9">
        <f>IF(INDEX(Banco!$E:$E,ROW())="","",INDEX(Banco!$E:$E,ROW()))</f>
        <v/>
      </c>
      <c r="F1030" s="10">
        <f>IF(INDEX(Banco!$F:$F,ROW())="","",INDEX(Banco!$F:$F,ROW()))</f>
        <v/>
      </c>
      <c r="G1030" s="10">
        <f>IF(INDEX(Banco!$G:$G,ROW())="","",INDEX(Banco!$G:$G,ROW()))</f>
        <v/>
      </c>
      <c r="H1030" s="8">
        <f>IF(INDEX(Banco!$H:$H,ROW())="","",INDEX(Banco!$H:$H,ROW()))</f>
        <v/>
      </c>
      <c r="I1030">
        <f>IF($T1030="","",INT($T1030/12)&amp;"a "&amp;MOD($T1030,12)&amp;"m")</f>
        <v/>
      </c>
      <c r="J1030" s="11">
        <f>IF(OR($F1030="",$G1030=""),"",ROUND($F1030/($G1030/100)^2,2))</f>
        <v/>
      </c>
      <c r="K1030" s="12">
        <f>IF(OR($S1030="",$J1030="",$T1030="",$T1030&lt;0,$T1030&gt;228,$Y1030=""),"—",ROUND(IF(ABS($AB1030)&lt;=3,$AB1030,IF($AB1030&gt;3,3+($J1030-$AD1030)/($AD1030-$AC1030),-3+($J1030-$AF1030)/($AE1030-$AF1030))),2))</f>
        <v/>
      </c>
      <c r="L1030">
        <f>IF(OR($K1030="",$K1030="—"),"",IF($T1030&lt;=60,IF($K1030&lt;-3,"Magreza acentuada",IF($K1030&lt;-2,"Magreza",IF($K1030&lt;=1,"Eutrofia",IF($K1030&lt;=2,"Risco de sobrepeso",IF($K1030&lt;=3,"Sobrepeso","Obesidade"))))),IF($K1030&lt;-3,"Magreza acentuada",IF($K1030&lt;-2,"Magreza",IF($K1030&lt;=1,"Eutrofia",IF($K1030&lt;=2,"Sobrepeso",IF($K1030&lt;=3,"Obesidade","Obesidade grave")))))))</f>
        <v/>
      </c>
      <c r="M1030" s="12">
        <f>IF(OR($S1030="",$V1030="",$T1030="",$T1030&lt;0,$T1030&gt;228,$AG1030=""),"—",ROUND(IF($AG1030=0,LN($V1030/$AH1030)/$AI1030,((($V1030/$AH1030)^$AG1030)-1)/($AG1030*$AI1030)),2))</f>
        <v/>
      </c>
      <c r="N1030">
        <f>IF(OR($M1030="",$M1030="—"),"",IF($M1030&lt;-3,"Muito baixa",IF($M1030&lt;-2,"Baixa","Adequada")))</f>
        <v/>
      </c>
      <c r="O1030" s="12">
        <f>IF(OR($S1030="",$F1030="",$T1030="",$T1030&lt;0,$T1030&gt;120,$AJ1030=""),"—",ROUND(IF(ABS($AM1030)&lt;=3,$AM1030,IF($AM1030&gt;3,3+($F1030-$AO1030)/($AO1030-$AN1030),-3+($F1030-$AQ1030)/($AP1030-$AQ1030))),2))</f>
        <v/>
      </c>
      <c r="P1030">
        <f>IF(OR($O1030="",$O1030="—"),"",IF($O1030&lt;-3,"Muito baixo",IF($O1030&lt;-2,"Baixo",IF($O1030&lt;=2,"Adequado","Elevado"))))</f>
        <v/>
      </c>
      <c r="Q1030" s="12">
        <f>IF(OR($S1030="",$F1030="",$T1030="",$T1030&lt;0,$T1030&gt;60,$AR1030=""),"—",ROUND(IF(ABS($AU1030)&lt;=3,$AU1030,IF($AU1030&gt;3,3+($F1030-$AW1030)/($AW1030-$AV1030),-3+($F1030-$AY1030)/($AX1030-$AY1030))),2))</f>
        <v/>
      </c>
      <c r="R1030">
        <f>IF(OR($Q1030="",$Q1030="—"),"",IF($Q1030&lt;-3,"Magreza acentuada",IF($Q1030&lt;-2,"Magreza",IF($Q1030&lt;=1,"Eutrofia",IF($Q1030&lt;=2,"Risco de sobrepeso",IF($Q1030&lt;=3,"Sobrepeso","Obesidade"))))))</f>
        <v/>
      </c>
      <c r="S1030">
        <f>IF($C1030="","",IF(UPPER(LEFT($C1030,1))="M",1,IF(UPPER(LEFT($C1030,1))="F",2,"")))</f>
        <v/>
      </c>
      <c r="T1030">
        <f>IF(OR($D1030="",$E1030=""),"",DATEDIF($D1030,$E1030,"m"))</f>
        <v/>
      </c>
      <c r="U1030">
        <f>IF(OR($D1030="",$E1030=""),"",$E1030-$D1030)</f>
        <v/>
      </c>
      <c r="V1030">
        <f>IF(OR($G1030="",$T1030=""),"",IF($T1030&lt;24,IF(LEFT(LOWER($H1030),4)="em p",$G1030+0.7,$G1030),IF(LEFT(LOWER($H1030),4)="deit",$G1030-0.7,$G1030)))</f>
        <v/>
      </c>
      <c r="W1030">
        <f>IF(OR($S1030="",$T1030=""),"",$S1030*1000000+IF($T1030&lt;=60,$U1030,$T1030))</f>
        <v/>
      </c>
      <c r="X1030">
        <f>IF(OR($S1030="",$V1030="",$T1030&gt;60,$T1030=""),"",$S1030*1000000+ROUND($V1030*10,0))</f>
        <v/>
      </c>
      <c r="Y1030">
        <f>IF($W1030="","",IFERROR(INDEX(IF($T1030&lt;=60,imc05_l,imc519_l),MATCH($W1030,IF($T1030&lt;=60,imc05_k,imc519_k),1)),""))</f>
        <v/>
      </c>
      <c r="Z1030">
        <f>IF($W1030="","",IFERROR(INDEX(IF($T1030&lt;=60,imc05_m,imc519_m),MATCH($W1030,IF($T1030&lt;=60,imc05_k,imc519_k),1)),""))</f>
        <v/>
      </c>
      <c r="AA1030">
        <f>IF($W1030="","",IFERROR(INDEX(IF($T1030&lt;=60,imc05_s,imc519_s),MATCH($W1030,IF($T1030&lt;=60,imc05_k,imc519_k),1)),""))</f>
        <v/>
      </c>
      <c r="AB1030">
        <f>IF($Y1030="","",IF($Y1030=0,LN($J1030/$Z1030)/$AA1030,((($J1030/$Z1030)^$Y1030)-1)/($Y1030*$AA1030)))</f>
        <v/>
      </c>
      <c r="AC1030">
        <f>IF($Y1030="","",IF($Y1030=0,$Z1030*EXP($AA1030*2),$Z1030*(1+$Y1030*$AA1030*2)^(1/$Y1030)))</f>
        <v/>
      </c>
      <c r="AD1030">
        <f>IF($Y1030="","",IF($Y1030=0,$Z1030*EXP($AA1030*3),$Z1030*(1+$Y1030*$AA1030*3)^(1/$Y1030)))</f>
        <v/>
      </c>
      <c r="AE1030">
        <f>IF($Y1030="","",IF($Y1030=0,$Z1030*EXP($AA1030*-2),$Z1030*(1+$Y1030*$AA1030*-2)^(1/$Y1030)))</f>
        <v/>
      </c>
      <c r="AF1030">
        <f>IF($Y1030="","",IF($Y1030=0,$Z1030*EXP($AA1030*-3),$Z1030*(1+$Y1030*$AA1030*-3)^(1/$Y1030)))</f>
        <v/>
      </c>
      <c r="AG1030">
        <f>IF($W1030="","",IFERROR(INDEX(IF($T1030&lt;=60,est05_l,est519_l),MATCH($W1030,IF($T1030&lt;=60,est05_k,est519_k),1)),""))</f>
        <v/>
      </c>
      <c r="AH1030">
        <f>IF($W1030="","",IFERROR(INDEX(IF($T1030&lt;=60,est05_m,est519_m),MATCH($W1030,IF($T1030&lt;=60,est05_k,est519_k),1)),""))</f>
        <v/>
      </c>
      <c r="AI1030">
        <f>IF($W1030="","",IFERROR(INDEX(IF($T1030&lt;=60,est05_s,est519_s),MATCH($W1030,IF($T1030&lt;=60,est05_k,est519_k),1)),""))</f>
        <v/>
      </c>
      <c r="AJ1030">
        <f>IF($W1030="","",IFERROR(INDEX(IF($T1030&lt;=60,peso05_l,peso510_l),MATCH($W1030,IF($T1030&lt;=60,peso05_k,peso510_k),1)),""))</f>
        <v/>
      </c>
      <c r="AK1030">
        <f>IF($W1030="","",IFERROR(INDEX(IF($T1030&lt;=60,peso05_m,peso510_m),MATCH($W1030,IF($T1030&lt;=60,peso05_k,peso510_k),1)),""))</f>
        <v/>
      </c>
      <c r="AL1030">
        <f>IF($W1030="","",IFERROR(INDEX(IF($T1030&lt;=60,peso05_s,peso510_s),MATCH($W1030,IF($T1030&lt;=60,peso05_k,peso510_k),1)),""))</f>
        <v/>
      </c>
      <c r="AM1030">
        <f>IF($AJ1030="","",IF($AJ1030=0,LN($F1030/$AK1030)/$AL1030,((($F1030/$AK1030)^$AJ1030)-1)/($AJ1030*$AL1030)))</f>
        <v/>
      </c>
      <c r="AN1030">
        <f>IF($AJ1030="","",IF($AJ1030=0,$AK1030*EXP($AL1030*2),$AK1030*(1+$AJ1030*$AL1030*2)^(1/$AJ1030)))</f>
        <v/>
      </c>
      <c r="AO1030">
        <f>IF($AJ1030="","",IF($AJ1030=0,$AK1030*EXP($AL1030*3),$AK1030*(1+$AJ1030*$AL1030*3)^(1/$AJ1030)))</f>
        <v/>
      </c>
      <c r="AP1030">
        <f>IF($AJ1030="","",IF($AJ1030=0,$AK1030*EXP($AL1030*-2),$AK1030*(1+$AJ1030*$AL1030*-2)^(1/$AJ1030)))</f>
        <v/>
      </c>
      <c r="AQ1030">
        <f>IF($AJ1030="","",IF($AJ1030=0,$AK1030*EXP($AL1030*-3),$AK1030*(1+$AJ1030*$AL1030*-3)^(1/$AJ1030)))</f>
        <v/>
      </c>
      <c r="AR1030">
        <f>IF(OR($X1030="",$T1030&gt;60),"",IFERROR(INDEX(IF($T1030&lt;24,pcomp_l,palt_l),MATCH($X1030,IF($T1030&lt;24,pcomp_k,palt_k),1)),""))</f>
        <v/>
      </c>
      <c r="AS1030">
        <f>IF(OR($X1030="",$T1030&gt;60),"",IFERROR(INDEX(IF($T1030&lt;24,pcomp_m,palt_m),MATCH($X1030,IF($T1030&lt;24,pcomp_k,palt_k),1)),""))</f>
        <v/>
      </c>
      <c r="AT1030">
        <f>IF(OR($X1030="",$T1030&gt;60),"",IFERROR(INDEX(IF($T1030&lt;24,pcomp_s,palt_s),MATCH($X1030,IF($T1030&lt;24,pcomp_k,palt_k),1)),""))</f>
        <v/>
      </c>
      <c r="AU1030">
        <f>IF($AR1030="","",IF($AR1030=0,LN($F1030/$AS1030)/$AT1030,((($F1030/$AS1030)^$AR1030)-1)/($AR1030*$AT1030)))</f>
        <v/>
      </c>
      <c r="AV1030">
        <f>IF($AR1030="","",IF($AR1030=0,$AS1030*EXP($AT1030*2),$AS1030*(1+$AR1030*$AT1030*2)^(1/$AR1030)))</f>
        <v/>
      </c>
      <c r="AW1030">
        <f>IF($AR1030="","",IF($AR1030=0,$AS1030*EXP($AT1030*3),$AS1030*(1+$AR1030*$AT1030*3)^(1/$AR1030)))</f>
        <v/>
      </c>
      <c r="AX1030">
        <f>IF($AR1030="","",IF($AR1030=0,$AS1030*EXP($AT1030*-2),$AS1030*(1+$AR1030*$AT1030*-2)^(1/$AR1030)))</f>
        <v/>
      </c>
      <c r="AY1030">
        <f>IF($AR1030="","",IF($AR1030=0,$AS1030*EXP($AT1030*-3),$AS1030*(1+$AR1030*$AT1030*-3)^(1/$AR1030)))</f>
        <v/>
      </c>
      <c r="AZ1030">
        <f>IF(OR($A1030="",$A1030&lt;&gt;Ficha!$C$4),"",COUNTIF($A$2:$A1030,Ficha!$C$4))</f>
        <v/>
      </c>
    </row>
    <row r="1031">
      <c r="A1031" s="8">
        <f>IF(INDEX(Banco!$A:$A,ROW())="","",INDEX(Banco!$A:$A,ROW()))</f>
        <v/>
      </c>
      <c r="B1031" s="8">
        <f>IF(INDEX(Banco!$B:$B,ROW())="","",INDEX(Banco!$B:$B,ROW()))</f>
        <v/>
      </c>
      <c r="C1031" s="8">
        <f>IF(INDEX(Banco!$C:$C,ROW())="","",INDEX(Banco!$C:$C,ROW()))</f>
        <v/>
      </c>
      <c r="D1031" s="9">
        <f>IF(INDEX(Banco!$D:$D,ROW())="","",INDEX(Banco!$D:$D,ROW()))</f>
        <v/>
      </c>
      <c r="E1031" s="9">
        <f>IF(INDEX(Banco!$E:$E,ROW())="","",INDEX(Banco!$E:$E,ROW()))</f>
        <v/>
      </c>
      <c r="F1031" s="10">
        <f>IF(INDEX(Banco!$F:$F,ROW())="","",INDEX(Banco!$F:$F,ROW()))</f>
        <v/>
      </c>
      <c r="G1031" s="10">
        <f>IF(INDEX(Banco!$G:$G,ROW())="","",INDEX(Banco!$G:$G,ROW()))</f>
        <v/>
      </c>
      <c r="H1031" s="8">
        <f>IF(INDEX(Banco!$H:$H,ROW())="","",INDEX(Banco!$H:$H,ROW()))</f>
        <v/>
      </c>
      <c r="I1031">
        <f>IF($T1031="","",INT($T1031/12)&amp;"a "&amp;MOD($T1031,12)&amp;"m")</f>
        <v/>
      </c>
      <c r="J1031" s="11">
        <f>IF(OR($F1031="",$G1031=""),"",ROUND($F1031/($G1031/100)^2,2))</f>
        <v/>
      </c>
      <c r="K1031" s="12">
        <f>IF(OR($S1031="",$J1031="",$T1031="",$T1031&lt;0,$T1031&gt;228,$Y1031=""),"—",ROUND(IF(ABS($AB1031)&lt;=3,$AB1031,IF($AB1031&gt;3,3+($J1031-$AD1031)/($AD1031-$AC1031),-3+($J1031-$AF1031)/($AE1031-$AF1031))),2))</f>
        <v/>
      </c>
      <c r="L1031">
        <f>IF(OR($K1031="",$K1031="—"),"",IF($T1031&lt;=60,IF($K1031&lt;-3,"Magreza acentuada",IF($K1031&lt;-2,"Magreza",IF($K1031&lt;=1,"Eutrofia",IF($K1031&lt;=2,"Risco de sobrepeso",IF($K1031&lt;=3,"Sobrepeso","Obesidade"))))),IF($K1031&lt;-3,"Magreza acentuada",IF($K1031&lt;-2,"Magreza",IF($K1031&lt;=1,"Eutrofia",IF($K1031&lt;=2,"Sobrepeso",IF($K1031&lt;=3,"Obesidade","Obesidade grave")))))))</f>
        <v/>
      </c>
      <c r="M1031" s="12">
        <f>IF(OR($S1031="",$V1031="",$T1031="",$T1031&lt;0,$T1031&gt;228,$AG1031=""),"—",ROUND(IF($AG1031=0,LN($V1031/$AH1031)/$AI1031,((($V1031/$AH1031)^$AG1031)-1)/($AG1031*$AI1031)),2))</f>
        <v/>
      </c>
      <c r="N1031">
        <f>IF(OR($M1031="",$M1031="—"),"",IF($M1031&lt;-3,"Muito baixa",IF($M1031&lt;-2,"Baixa","Adequada")))</f>
        <v/>
      </c>
      <c r="O1031" s="12">
        <f>IF(OR($S1031="",$F1031="",$T1031="",$T1031&lt;0,$T1031&gt;120,$AJ1031=""),"—",ROUND(IF(ABS($AM1031)&lt;=3,$AM1031,IF($AM1031&gt;3,3+($F1031-$AO1031)/($AO1031-$AN1031),-3+($F1031-$AQ1031)/($AP1031-$AQ1031))),2))</f>
        <v/>
      </c>
      <c r="P1031">
        <f>IF(OR($O1031="",$O1031="—"),"",IF($O1031&lt;-3,"Muito baixo",IF($O1031&lt;-2,"Baixo",IF($O1031&lt;=2,"Adequado","Elevado"))))</f>
        <v/>
      </c>
      <c r="Q1031" s="12">
        <f>IF(OR($S1031="",$F1031="",$T1031="",$T1031&lt;0,$T1031&gt;60,$AR1031=""),"—",ROUND(IF(ABS($AU1031)&lt;=3,$AU1031,IF($AU1031&gt;3,3+($F1031-$AW1031)/($AW1031-$AV1031),-3+($F1031-$AY1031)/($AX1031-$AY1031))),2))</f>
        <v/>
      </c>
      <c r="R1031">
        <f>IF(OR($Q1031="",$Q1031="—"),"",IF($Q1031&lt;-3,"Magreza acentuada",IF($Q1031&lt;-2,"Magreza",IF($Q1031&lt;=1,"Eutrofia",IF($Q1031&lt;=2,"Risco de sobrepeso",IF($Q1031&lt;=3,"Sobrepeso","Obesidade"))))))</f>
        <v/>
      </c>
      <c r="S1031">
        <f>IF($C1031="","",IF(UPPER(LEFT($C1031,1))="M",1,IF(UPPER(LEFT($C1031,1))="F",2,"")))</f>
        <v/>
      </c>
      <c r="T1031">
        <f>IF(OR($D1031="",$E1031=""),"",DATEDIF($D1031,$E1031,"m"))</f>
        <v/>
      </c>
      <c r="U1031">
        <f>IF(OR($D1031="",$E1031=""),"",$E1031-$D1031)</f>
        <v/>
      </c>
      <c r="V1031">
        <f>IF(OR($G1031="",$T1031=""),"",IF($T1031&lt;24,IF(LEFT(LOWER($H1031),4)="em p",$G1031+0.7,$G1031),IF(LEFT(LOWER($H1031),4)="deit",$G1031-0.7,$G1031)))</f>
        <v/>
      </c>
      <c r="W1031">
        <f>IF(OR($S1031="",$T1031=""),"",$S1031*1000000+IF($T1031&lt;=60,$U1031,$T1031))</f>
        <v/>
      </c>
      <c r="X1031">
        <f>IF(OR($S1031="",$V1031="",$T1031&gt;60,$T1031=""),"",$S1031*1000000+ROUND($V1031*10,0))</f>
        <v/>
      </c>
      <c r="Y1031">
        <f>IF($W1031="","",IFERROR(INDEX(IF($T1031&lt;=60,imc05_l,imc519_l),MATCH($W1031,IF($T1031&lt;=60,imc05_k,imc519_k),1)),""))</f>
        <v/>
      </c>
      <c r="Z1031">
        <f>IF($W1031="","",IFERROR(INDEX(IF($T1031&lt;=60,imc05_m,imc519_m),MATCH($W1031,IF($T1031&lt;=60,imc05_k,imc519_k),1)),""))</f>
        <v/>
      </c>
      <c r="AA1031">
        <f>IF($W1031="","",IFERROR(INDEX(IF($T1031&lt;=60,imc05_s,imc519_s),MATCH($W1031,IF($T1031&lt;=60,imc05_k,imc519_k),1)),""))</f>
        <v/>
      </c>
      <c r="AB1031">
        <f>IF($Y1031="","",IF($Y1031=0,LN($J1031/$Z1031)/$AA1031,((($J1031/$Z1031)^$Y1031)-1)/($Y1031*$AA1031)))</f>
        <v/>
      </c>
      <c r="AC1031">
        <f>IF($Y1031="","",IF($Y1031=0,$Z1031*EXP($AA1031*2),$Z1031*(1+$Y1031*$AA1031*2)^(1/$Y1031)))</f>
        <v/>
      </c>
      <c r="AD1031">
        <f>IF($Y1031="","",IF($Y1031=0,$Z1031*EXP($AA1031*3),$Z1031*(1+$Y1031*$AA1031*3)^(1/$Y1031)))</f>
        <v/>
      </c>
      <c r="AE1031">
        <f>IF($Y1031="","",IF($Y1031=0,$Z1031*EXP($AA1031*-2),$Z1031*(1+$Y1031*$AA1031*-2)^(1/$Y1031)))</f>
        <v/>
      </c>
      <c r="AF1031">
        <f>IF($Y1031="","",IF($Y1031=0,$Z1031*EXP($AA1031*-3),$Z1031*(1+$Y1031*$AA1031*-3)^(1/$Y1031)))</f>
        <v/>
      </c>
      <c r="AG1031">
        <f>IF($W1031="","",IFERROR(INDEX(IF($T1031&lt;=60,est05_l,est519_l),MATCH($W1031,IF($T1031&lt;=60,est05_k,est519_k),1)),""))</f>
        <v/>
      </c>
      <c r="AH1031">
        <f>IF($W1031="","",IFERROR(INDEX(IF($T1031&lt;=60,est05_m,est519_m),MATCH($W1031,IF($T1031&lt;=60,est05_k,est519_k),1)),""))</f>
        <v/>
      </c>
      <c r="AI1031">
        <f>IF($W1031="","",IFERROR(INDEX(IF($T1031&lt;=60,est05_s,est519_s),MATCH($W1031,IF($T1031&lt;=60,est05_k,est519_k),1)),""))</f>
        <v/>
      </c>
      <c r="AJ1031">
        <f>IF($W1031="","",IFERROR(INDEX(IF($T1031&lt;=60,peso05_l,peso510_l),MATCH($W1031,IF($T1031&lt;=60,peso05_k,peso510_k),1)),""))</f>
        <v/>
      </c>
      <c r="AK1031">
        <f>IF($W1031="","",IFERROR(INDEX(IF($T1031&lt;=60,peso05_m,peso510_m),MATCH($W1031,IF($T1031&lt;=60,peso05_k,peso510_k),1)),""))</f>
        <v/>
      </c>
      <c r="AL1031">
        <f>IF($W1031="","",IFERROR(INDEX(IF($T1031&lt;=60,peso05_s,peso510_s),MATCH($W1031,IF($T1031&lt;=60,peso05_k,peso510_k),1)),""))</f>
        <v/>
      </c>
      <c r="AM1031">
        <f>IF($AJ1031="","",IF($AJ1031=0,LN($F1031/$AK1031)/$AL1031,((($F1031/$AK1031)^$AJ1031)-1)/($AJ1031*$AL1031)))</f>
        <v/>
      </c>
      <c r="AN1031">
        <f>IF($AJ1031="","",IF($AJ1031=0,$AK1031*EXP($AL1031*2),$AK1031*(1+$AJ1031*$AL1031*2)^(1/$AJ1031)))</f>
        <v/>
      </c>
      <c r="AO1031">
        <f>IF($AJ1031="","",IF($AJ1031=0,$AK1031*EXP($AL1031*3),$AK1031*(1+$AJ1031*$AL1031*3)^(1/$AJ1031)))</f>
        <v/>
      </c>
      <c r="AP1031">
        <f>IF($AJ1031="","",IF($AJ1031=0,$AK1031*EXP($AL1031*-2),$AK1031*(1+$AJ1031*$AL1031*-2)^(1/$AJ1031)))</f>
        <v/>
      </c>
      <c r="AQ1031">
        <f>IF($AJ1031="","",IF($AJ1031=0,$AK1031*EXP($AL1031*-3),$AK1031*(1+$AJ1031*$AL1031*-3)^(1/$AJ1031)))</f>
        <v/>
      </c>
      <c r="AR1031">
        <f>IF(OR($X1031="",$T1031&gt;60),"",IFERROR(INDEX(IF($T1031&lt;24,pcomp_l,palt_l),MATCH($X1031,IF($T1031&lt;24,pcomp_k,palt_k),1)),""))</f>
        <v/>
      </c>
      <c r="AS1031">
        <f>IF(OR($X1031="",$T1031&gt;60),"",IFERROR(INDEX(IF($T1031&lt;24,pcomp_m,palt_m),MATCH($X1031,IF($T1031&lt;24,pcomp_k,palt_k),1)),""))</f>
        <v/>
      </c>
      <c r="AT1031">
        <f>IF(OR($X1031="",$T1031&gt;60),"",IFERROR(INDEX(IF($T1031&lt;24,pcomp_s,palt_s),MATCH($X1031,IF($T1031&lt;24,pcomp_k,palt_k),1)),""))</f>
        <v/>
      </c>
      <c r="AU1031">
        <f>IF($AR1031="","",IF($AR1031=0,LN($F1031/$AS1031)/$AT1031,((($F1031/$AS1031)^$AR1031)-1)/($AR1031*$AT1031)))</f>
        <v/>
      </c>
      <c r="AV1031">
        <f>IF($AR1031="","",IF($AR1031=0,$AS1031*EXP($AT1031*2),$AS1031*(1+$AR1031*$AT1031*2)^(1/$AR1031)))</f>
        <v/>
      </c>
      <c r="AW1031">
        <f>IF($AR1031="","",IF($AR1031=0,$AS1031*EXP($AT1031*3),$AS1031*(1+$AR1031*$AT1031*3)^(1/$AR1031)))</f>
        <v/>
      </c>
      <c r="AX1031">
        <f>IF($AR1031="","",IF($AR1031=0,$AS1031*EXP($AT1031*-2),$AS1031*(1+$AR1031*$AT1031*-2)^(1/$AR1031)))</f>
        <v/>
      </c>
      <c r="AY1031">
        <f>IF($AR1031="","",IF($AR1031=0,$AS1031*EXP($AT1031*-3),$AS1031*(1+$AR1031*$AT1031*-3)^(1/$AR1031)))</f>
        <v/>
      </c>
      <c r="AZ1031">
        <f>IF(OR($A1031="",$A1031&lt;&gt;Ficha!$C$4),"",COUNTIF($A$2:$A1031,Ficha!$C$4))</f>
        <v/>
      </c>
    </row>
    <row r="1032">
      <c r="A1032" s="8">
        <f>IF(INDEX(Banco!$A:$A,ROW())="","",INDEX(Banco!$A:$A,ROW()))</f>
        <v/>
      </c>
      <c r="B1032" s="8">
        <f>IF(INDEX(Banco!$B:$B,ROW())="","",INDEX(Banco!$B:$B,ROW()))</f>
        <v/>
      </c>
      <c r="C1032" s="8">
        <f>IF(INDEX(Banco!$C:$C,ROW())="","",INDEX(Banco!$C:$C,ROW()))</f>
        <v/>
      </c>
      <c r="D1032" s="9">
        <f>IF(INDEX(Banco!$D:$D,ROW())="","",INDEX(Banco!$D:$D,ROW()))</f>
        <v/>
      </c>
      <c r="E1032" s="9">
        <f>IF(INDEX(Banco!$E:$E,ROW())="","",INDEX(Banco!$E:$E,ROW()))</f>
        <v/>
      </c>
      <c r="F1032" s="10">
        <f>IF(INDEX(Banco!$F:$F,ROW())="","",INDEX(Banco!$F:$F,ROW()))</f>
        <v/>
      </c>
      <c r="G1032" s="10">
        <f>IF(INDEX(Banco!$G:$G,ROW())="","",INDEX(Banco!$G:$G,ROW()))</f>
        <v/>
      </c>
      <c r="H1032" s="8">
        <f>IF(INDEX(Banco!$H:$H,ROW())="","",INDEX(Banco!$H:$H,ROW()))</f>
        <v/>
      </c>
      <c r="I1032">
        <f>IF($T1032="","",INT($T1032/12)&amp;"a "&amp;MOD($T1032,12)&amp;"m")</f>
        <v/>
      </c>
      <c r="J1032" s="11">
        <f>IF(OR($F1032="",$G1032=""),"",ROUND($F1032/($G1032/100)^2,2))</f>
        <v/>
      </c>
      <c r="K1032" s="12">
        <f>IF(OR($S1032="",$J1032="",$T1032="",$T1032&lt;0,$T1032&gt;228,$Y1032=""),"—",ROUND(IF(ABS($AB1032)&lt;=3,$AB1032,IF($AB1032&gt;3,3+($J1032-$AD1032)/($AD1032-$AC1032),-3+($J1032-$AF1032)/($AE1032-$AF1032))),2))</f>
        <v/>
      </c>
      <c r="L1032">
        <f>IF(OR($K1032="",$K1032="—"),"",IF($T1032&lt;=60,IF($K1032&lt;-3,"Magreza acentuada",IF($K1032&lt;-2,"Magreza",IF($K1032&lt;=1,"Eutrofia",IF($K1032&lt;=2,"Risco de sobrepeso",IF($K1032&lt;=3,"Sobrepeso","Obesidade"))))),IF($K1032&lt;-3,"Magreza acentuada",IF($K1032&lt;-2,"Magreza",IF($K1032&lt;=1,"Eutrofia",IF($K1032&lt;=2,"Sobrepeso",IF($K1032&lt;=3,"Obesidade","Obesidade grave")))))))</f>
        <v/>
      </c>
      <c r="M1032" s="12">
        <f>IF(OR($S1032="",$V1032="",$T1032="",$T1032&lt;0,$T1032&gt;228,$AG1032=""),"—",ROUND(IF($AG1032=0,LN($V1032/$AH1032)/$AI1032,((($V1032/$AH1032)^$AG1032)-1)/($AG1032*$AI1032)),2))</f>
        <v/>
      </c>
      <c r="N1032">
        <f>IF(OR($M1032="",$M1032="—"),"",IF($M1032&lt;-3,"Muito baixa",IF($M1032&lt;-2,"Baixa","Adequada")))</f>
        <v/>
      </c>
      <c r="O1032" s="12">
        <f>IF(OR($S1032="",$F1032="",$T1032="",$T1032&lt;0,$T1032&gt;120,$AJ1032=""),"—",ROUND(IF(ABS($AM1032)&lt;=3,$AM1032,IF($AM1032&gt;3,3+($F1032-$AO1032)/($AO1032-$AN1032),-3+($F1032-$AQ1032)/($AP1032-$AQ1032))),2))</f>
        <v/>
      </c>
      <c r="P1032">
        <f>IF(OR($O1032="",$O1032="—"),"",IF($O1032&lt;-3,"Muito baixo",IF($O1032&lt;-2,"Baixo",IF($O1032&lt;=2,"Adequado","Elevado"))))</f>
        <v/>
      </c>
      <c r="Q1032" s="12">
        <f>IF(OR($S1032="",$F1032="",$T1032="",$T1032&lt;0,$T1032&gt;60,$AR1032=""),"—",ROUND(IF(ABS($AU1032)&lt;=3,$AU1032,IF($AU1032&gt;3,3+($F1032-$AW1032)/($AW1032-$AV1032),-3+($F1032-$AY1032)/($AX1032-$AY1032))),2))</f>
        <v/>
      </c>
      <c r="R1032">
        <f>IF(OR($Q1032="",$Q1032="—"),"",IF($Q1032&lt;-3,"Magreza acentuada",IF($Q1032&lt;-2,"Magreza",IF($Q1032&lt;=1,"Eutrofia",IF($Q1032&lt;=2,"Risco de sobrepeso",IF($Q1032&lt;=3,"Sobrepeso","Obesidade"))))))</f>
        <v/>
      </c>
      <c r="S1032">
        <f>IF($C1032="","",IF(UPPER(LEFT($C1032,1))="M",1,IF(UPPER(LEFT($C1032,1))="F",2,"")))</f>
        <v/>
      </c>
      <c r="T1032">
        <f>IF(OR($D1032="",$E1032=""),"",DATEDIF($D1032,$E1032,"m"))</f>
        <v/>
      </c>
      <c r="U1032">
        <f>IF(OR($D1032="",$E1032=""),"",$E1032-$D1032)</f>
        <v/>
      </c>
      <c r="V1032">
        <f>IF(OR($G1032="",$T1032=""),"",IF($T1032&lt;24,IF(LEFT(LOWER($H1032),4)="em p",$G1032+0.7,$G1032),IF(LEFT(LOWER($H1032),4)="deit",$G1032-0.7,$G1032)))</f>
        <v/>
      </c>
      <c r="W1032">
        <f>IF(OR($S1032="",$T1032=""),"",$S1032*1000000+IF($T1032&lt;=60,$U1032,$T1032))</f>
        <v/>
      </c>
      <c r="X1032">
        <f>IF(OR($S1032="",$V1032="",$T1032&gt;60,$T1032=""),"",$S1032*1000000+ROUND($V1032*10,0))</f>
        <v/>
      </c>
      <c r="Y1032">
        <f>IF($W1032="","",IFERROR(INDEX(IF($T1032&lt;=60,imc05_l,imc519_l),MATCH($W1032,IF($T1032&lt;=60,imc05_k,imc519_k),1)),""))</f>
        <v/>
      </c>
      <c r="Z1032">
        <f>IF($W1032="","",IFERROR(INDEX(IF($T1032&lt;=60,imc05_m,imc519_m),MATCH($W1032,IF($T1032&lt;=60,imc05_k,imc519_k),1)),""))</f>
        <v/>
      </c>
      <c r="AA1032">
        <f>IF($W1032="","",IFERROR(INDEX(IF($T1032&lt;=60,imc05_s,imc519_s),MATCH($W1032,IF($T1032&lt;=60,imc05_k,imc519_k),1)),""))</f>
        <v/>
      </c>
      <c r="AB1032">
        <f>IF($Y1032="","",IF($Y1032=0,LN($J1032/$Z1032)/$AA1032,((($J1032/$Z1032)^$Y1032)-1)/($Y1032*$AA1032)))</f>
        <v/>
      </c>
      <c r="AC1032">
        <f>IF($Y1032="","",IF($Y1032=0,$Z1032*EXP($AA1032*2),$Z1032*(1+$Y1032*$AA1032*2)^(1/$Y1032)))</f>
        <v/>
      </c>
      <c r="AD1032">
        <f>IF($Y1032="","",IF($Y1032=0,$Z1032*EXP($AA1032*3),$Z1032*(1+$Y1032*$AA1032*3)^(1/$Y1032)))</f>
        <v/>
      </c>
      <c r="AE1032">
        <f>IF($Y1032="","",IF($Y1032=0,$Z1032*EXP($AA1032*-2),$Z1032*(1+$Y1032*$AA1032*-2)^(1/$Y1032)))</f>
        <v/>
      </c>
      <c r="AF1032">
        <f>IF($Y1032="","",IF($Y1032=0,$Z1032*EXP($AA1032*-3),$Z1032*(1+$Y1032*$AA1032*-3)^(1/$Y1032)))</f>
        <v/>
      </c>
      <c r="AG1032">
        <f>IF($W1032="","",IFERROR(INDEX(IF($T1032&lt;=60,est05_l,est519_l),MATCH($W1032,IF($T1032&lt;=60,est05_k,est519_k),1)),""))</f>
        <v/>
      </c>
      <c r="AH1032">
        <f>IF($W1032="","",IFERROR(INDEX(IF($T1032&lt;=60,est05_m,est519_m),MATCH($W1032,IF($T1032&lt;=60,est05_k,est519_k),1)),""))</f>
        <v/>
      </c>
      <c r="AI1032">
        <f>IF($W1032="","",IFERROR(INDEX(IF($T1032&lt;=60,est05_s,est519_s),MATCH($W1032,IF($T1032&lt;=60,est05_k,est519_k),1)),""))</f>
        <v/>
      </c>
      <c r="AJ1032">
        <f>IF($W1032="","",IFERROR(INDEX(IF($T1032&lt;=60,peso05_l,peso510_l),MATCH($W1032,IF($T1032&lt;=60,peso05_k,peso510_k),1)),""))</f>
        <v/>
      </c>
      <c r="AK1032">
        <f>IF($W1032="","",IFERROR(INDEX(IF($T1032&lt;=60,peso05_m,peso510_m),MATCH($W1032,IF($T1032&lt;=60,peso05_k,peso510_k),1)),""))</f>
        <v/>
      </c>
      <c r="AL1032">
        <f>IF($W1032="","",IFERROR(INDEX(IF($T1032&lt;=60,peso05_s,peso510_s),MATCH($W1032,IF($T1032&lt;=60,peso05_k,peso510_k),1)),""))</f>
        <v/>
      </c>
      <c r="AM1032">
        <f>IF($AJ1032="","",IF($AJ1032=0,LN($F1032/$AK1032)/$AL1032,((($F1032/$AK1032)^$AJ1032)-1)/($AJ1032*$AL1032)))</f>
        <v/>
      </c>
      <c r="AN1032">
        <f>IF($AJ1032="","",IF($AJ1032=0,$AK1032*EXP($AL1032*2),$AK1032*(1+$AJ1032*$AL1032*2)^(1/$AJ1032)))</f>
        <v/>
      </c>
      <c r="AO1032">
        <f>IF($AJ1032="","",IF($AJ1032=0,$AK1032*EXP($AL1032*3),$AK1032*(1+$AJ1032*$AL1032*3)^(1/$AJ1032)))</f>
        <v/>
      </c>
      <c r="AP1032">
        <f>IF($AJ1032="","",IF($AJ1032=0,$AK1032*EXP($AL1032*-2),$AK1032*(1+$AJ1032*$AL1032*-2)^(1/$AJ1032)))</f>
        <v/>
      </c>
      <c r="AQ1032">
        <f>IF($AJ1032="","",IF($AJ1032=0,$AK1032*EXP($AL1032*-3),$AK1032*(1+$AJ1032*$AL1032*-3)^(1/$AJ1032)))</f>
        <v/>
      </c>
      <c r="AR1032">
        <f>IF(OR($X1032="",$T1032&gt;60),"",IFERROR(INDEX(IF($T1032&lt;24,pcomp_l,palt_l),MATCH($X1032,IF($T1032&lt;24,pcomp_k,palt_k),1)),""))</f>
        <v/>
      </c>
      <c r="AS1032">
        <f>IF(OR($X1032="",$T1032&gt;60),"",IFERROR(INDEX(IF($T1032&lt;24,pcomp_m,palt_m),MATCH($X1032,IF($T1032&lt;24,pcomp_k,palt_k),1)),""))</f>
        <v/>
      </c>
      <c r="AT1032">
        <f>IF(OR($X1032="",$T1032&gt;60),"",IFERROR(INDEX(IF($T1032&lt;24,pcomp_s,palt_s),MATCH($X1032,IF($T1032&lt;24,pcomp_k,palt_k),1)),""))</f>
        <v/>
      </c>
      <c r="AU1032">
        <f>IF($AR1032="","",IF($AR1032=0,LN($F1032/$AS1032)/$AT1032,((($F1032/$AS1032)^$AR1032)-1)/($AR1032*$AT1032)))</f>
        <v/>
      </c>
      <c r="AV1032">
        <f>IF($AR1032="","",IF($AR1032=0,$AS1032*EXP($AT1032*2),$AS1032*(1+$AR1032*$AT1032*2)^(1/$AR1032)))</f>
        <v/>
      </c>
      <c r="AW1032">
        <f>IF($AR1032="","",IF($AR1032=0,$AS1032*EXP($AT1032*3),$AS1032*(1+$AR1032*$AT1032*3)^(1/$AR1032)))</f>
        <v/>
      </c>
      <c r="AX1032">
        <f>IF($AR1032="","",IF($AR1032=0,$AS1032*EXP($AT1032*-2),$AS1032*(1+$AR1032*$AT1032*-2)^(1/$AR1032)))</f>
        <v/>
      </c>
      <c r="AY1032">
        <f>IF($AR1032="","",IF($AR1032=0,$AS1032*EXP($AT1032*-3),$AS1032*(1+$AR1032*$AT1032*-3)^(1/$AR1032)))</f>
        <v/>
      </c>
      <c r="AZ1032">
        <f>IF(OR($A1032="",$A1032&lt;&gt;Ficha!$C$4),"",COUNTIF($A$2:$A1032,Ficha!$C$4))</f>
        <v/>
      </c>
    </row>
    <row r="1033">
      <c r="A1033" s="8">
        <f>IF(INDEX(Banco!$A:$A,ROW())="","",INDEX(Banco!$A:$A,ROW()))</f>
        <v/>
      </c>
      <c r="B1033" s="8">
        <f>IF(INDEX(Banco!$B:$B,ROW())="","",INDEX(Banco!$B:$B,ROW()))</f>
        <v/>
      </c>
      <c r="C1033" s="8">
        <f>IF(INDEX(Banco!$C:$C,ROW())="","",INDEX(Banco!$C:$C,ROW()))</f>
        <v/>
      </c>
      <c r="D1033" s="9">
        <f>IF(INDEX(Banco!$D:$D,ROW())="","",INDEX(Banco!$D:$D,ROW()))</f>
        <v/>
      </c>
      <c r="E1033" s="9">
        <f>IF(INDEX(Banco!$E:$E,ROW())="","",INDEX(Banco!$E:$E,ROW()))</f>
        <v/>
      </c>
      <c r="F1033" s="10">
        <f>IF(INDEX(Banco!$F:$F,ROW())="","",INDEX(Banco!$F:$F,ROW()))</f>
        <v/>
      </c>
      <c r="G1033" s="10">
        <f>IF(INDEX(Banco!$G:$G,ROW())="","",INDEX(Banco!$G:$G,ROW()))</f>
        <v/>
      </c>
      <c r="H1033" s="8">
        <f>IF(INDEX(Banco!$H:$H,ROW())="","",INDEX(Banco!$H:$H,ROW()))</f>
        <v/>
      </c>
      <c r="I1033">
        <f>IF($T1033="","",INT($T1033/12)&amp;"a "&amp;MOD($T1033,12)&amp;"m")</f>
        <v/>
      </c>
      <c r="J1033" s="11">
        <f>IF(OR($F1033="",$G1033=""),"",ROUND($F1033/($G1033/100)^2,2))</f>
        <v/>
      </c>
      <c r="K1033" s="12">
        <f>IF(OR($S1033="",$J1033="",$T1033="",$T1033&lt;0,$T1033&gt;228,$Y1033=""),"—",ROUND(IF(ABS($AB1033)&lt;=3,$AB1033,IF($AB1033&gt;3,3+($J1033-$AD1033)/($AD1033-$AC1033),-3+($J1033-$AF1033)/($AE1033-$AF1033))),2))</f>
        <v/>
      </c>
      <c r="L1033">
        <f>IF(OR($K1033="",$K1033="—"),"",IF($T1033&lt;=60,IF($K1033&lt;-3,"Magreza acentuada",IF($K1033&lt;-2,"Magreza",IF($K1033&lt;=1,"Eutrofia",IF($K1033&lt;=2,"Risco de sobrepeso",IF($K1033&lt;=3,"Sobrepeso","Obesidade"))))),IF($K1033&lt;-3,"Magreza acentuada",IF($K1033&lt;-2,"Magreza",IF($K1033&lt;=1,"Eutrofia",IF($K1033&lt;=2,"Sobrepeso",IF($K1033&lt;=3,"Obesidade","Obesidade grave")))))))</f>
        <v/>
      </c>
      <c r="M1033" s="12">
        <f>IF(OR($S1033="",$V1033="",$T1033="",$T1033&lt;0,$T1033&gt;228,$AG1033=""),"—",ROUND(IF($AG1033=0,LN($V1033/$AH1033)/$AI1033,((($V1033/$AH1033)^$AG1033)-1)/($AG1033*$AI1033)),2))</f>
        <v/>
      </c>
      <c r="N1033">
        <f>IF(OR($M1033="",$M1033="—"),"",IF($M1033&lt;-3,"Muito baixa",IF($M1033&lt;-2,"Baixa","Adequada")))</f>
        <v/>
      </c>
      <c r="O1033" s="12">
        <f>IF(OR($S1033="",$F1033="",$T1033="",$T1033&lt;0,$T1033&gt;120,$AJ1033=""),"—",ROUND(IF(ABS($AM1033)&lt;=3,$AM1033,IF($AM1033&gt;3,3+($F1033-$AO1033)/($AO1033-$AN1033),-3+($F1033-$AQ1033)/($AP1033-$AQ1033))),2))</f>
        <v/>
      </c>
      <c r="P1033">
        <f>IF(OR($O1033="",$O1033="—"),"",IF($O1033&lt;-3,"Muito baixo",IF($O1033&lt;-2,"Baixo",IF($O1033&lt;=2,"Adequado","Elevado"))))</f>
        <v/>
      </c>
      <c r="Q1033" s="12">
        <f>IF(OR($S1033="",$F1033="",$T1033="",$T1033&lt;0,$T1033&gt;60,$AR1033=""),"—",ROUND(IF(ABS($AU1033)&lt;=3,$AU1033,IF($AU1033&gt;3,3+($F1033-$AW1033)/($AW1033-$AV1033),-3+($F1033-$AY1033)/($AX1033-$AY1033))),2))</f>
        <v/>
      </c>
      <c r="R1033">
        <f>IF(OR($Q1033="",$Q1033="—"),"",IF($Q1033&lt;-3,"Magreza acentuada",IF($Q1033&lt;-2,"Magreza",IF($Q1033&lt;=1,"Eutrofia",IF($Q1033&lt;=2,"Risco de sobrepeso",IF($Q1033&lt;=3,"Sobrepeso","Obesidade"))))))</f>
        <v/>
      </c>
      <c r="S1033">
        <f>IF($C1033="","",IF(UPPER(LEFT($C1033,1))="M",1,IF(UPPER(LEFT($C1033,1))="F",2,"")))</f>
        <v/>
      </c>
      <c r="T1033">
        <f>IF(OR($D1033="",$E1033=""),"",DATEDIF($D1033,$E1033,"m"))</f>
        <v/>
      </c>
      <c r="U1033">
        <f>IF(OR($D1033="",$E1033=""),"",$E1033-$D1033)</f>
        <v/>
      </c>
      <c r="V1033">
        <f>IF(OR($G1033="",$T1033=""),"",IF($T1033&lt;24,IF(LEFT(LOWER($H1033),4)="em p",$G1033+0.7,$G1033),IF(LEFT(LOWER($H1033),4)="deit",$G1033-0.7,$G1033)))</f>
        <v/>
      </c>
      <c r="W1033">
        <f>IF(OR($S1033="",$T1033=""),"",$S1033*1000000+IF($T1033&lt;=60,$U1033,$T1033))</f>
        <v/>
      </c>
      <c r="X1033">
        <f>IF(OR($S1033="",$V1033="",$T1033&gt;60,$T1033=""),"",$S1033*1000000+ROUND($V1033*10,0))</f>
        <v/>
      </c>
      <c r="Y1033">
        <f>IF($W1033="","",IFERROR(INDEX(IF($T1033&lt;=60,imc05_l,imc519_l),MATCH($W1033,IF($T1033&lt;=60,imc05_k,imc519_k),1)),""))</f>
        <v/>
      </c>
      <c r="Z1033">
        <f>IF($W1033="","",IFERROR(INDEX(IF($T1033&lt;=60,imc05_m,imc519_m),MATCH($W1033,IF($T1033&lt;=60,imc05_k,imc519_k),1)),""))</f>
        <v/>
      </c>
      <c r="AA1033">
        <f>IF($W1033="","",IFERROR(INDEX(IF($T1033&lt;=60,imc05_s,imc519_s),MATCH($W1033,IF($T1033&lt;=60,imc05_k,imc519_k),1)),""))</f>
        <v/>
      </c>
      <c r="AB1033">
        <f>IF($Y1033="","",IF($Y1033=0,LN($J1033/$Z1033)/$AA1033,((($J1033/$Z1033)^$Y1033)-1)/($Y1033*$AA1033)))</f>
        <v/>
      </c>
      <c r="AC1033">
        <f>IF($Y1033="","",IF($Y1033=0,$Z1033*EXP($AA1033*2),$Z1033*(1+$Y1033*$AA1033*2)^(1/$Y1033)))</f>
        <v/>
      </c>
      <c r="AD1033">
        <f>IF($Y1033="","",IF($Y1033=0,$Z1033*EXP($AA1033*3),$Z1033*(1+$Y1033*$AA1033*3)^(1/$Y1033)))</f>
        <v/>
      </c>
      <c r="AE1033">
        <f>IF($Y1033="","",IF($Y1033=0,$Z1033*EXP($AA1033*-2),$Z1033*(1+$Y1033*$AA1033*-2)^(1/$Y1033)))</f>
        <v/>
      </c>
      <c r="AF1033">
        <f>IF($Y1033="","",IF($Y1033=0,$Z1033*EXP($AA1033*-3),$Z1033*(1+$Y1033*$AA1033*-3)^(1/$Y1033)))</f>
        <v/>
      </c>
      <c r="AG1033">
        <f>IF($W1033="","",IFERROR(INDEX(IF($T1033&lt;=60,est05_l,est519_l),MATCH($W1033,IF($T1033&lt;=60,est05_k,est519_k),1)),""))</f>
        <v/>
      </c>
      <c r="AH1033">
        <f>IF($W1033="","",IFERROR(INDEX(IF($T1033&lt;=60,est05_m,est519_m),MATCH($W1033,IF($T1033&lt;=60,est05_k,est519_k),1)),""))</f>
        <v/>
      </c>
      <c r="AI1033">
        <f>IF($W1033="","",IFERROR(INDEX(IF($T1033&lt;=60,est05_s,est519_s),MATCH($W1033,IF($T1033&lt;=60,est05_k,est519_k),1)),""))</f>
        <v/>
      </c>
      <c r="AJ1033">
        <f>IF($W1033="","",IFERROR(INDEX(IF($T1033&lt;=60,peso05_l,peso510_l),MATCH($W1033,IF($T1033&lt;=60,peso05_k,peso510_k),1)),""))</f>
        <v/>
      </c>
      <c r="AK1033">
        <f>IF($W1033="","",IFERROR(INDEX(IF($T1033&lt;=60,peso05_m,peso510_m),MATCH($W1033,IF($T1033&lt;=60,peso05_k,peso510_k),1)),""))</f>
        <v/>
      </c>
      <c r="AL1033">
        <f>IF($W1033="","",IFERROR(INDEX(IF($T1033&lt;=60,peso05_s,peso510_s),MATCH($W1033,IF($T1033&lt;=60,peso05_k,peso510_k),1)),""))</f>
        <v/>
      </c>
      <c r="AM1033">
        <f>IF($AJ1033="","",IF($AJ1033=0,LN($F1033/$AK1033)/$AL1033,((($F1033/$AK1033)^$AJ1033)-1)/($AJ1033*$AL1033)))</f>
        <v/>
      </c>
      <c r="AN1033">
        <f>IF($AJ1033="","",IF($AJ1033=0,$AK1033*EXP($AL1033*2),$AK1033*(1+$AJ1033*$AL1033*2)^(1/$AJ1033)))</f>
        <v/>
      </c>
      <c r="AO1033">
        <f>IF($AJ1033="","",IF($AJ1033=0,$AK1033*EXP($AL1033*3),$AK1033*(1+$AJ1033*$AL1033*3)^(1/$AJ1033)))</f>
        <v/>
      </c>
      <c r="AP1033">
        <f>IF($AJ1033="","",IF($AJ1033=0,$AK1033*EXP($AL1033*-2),$AK1033*(1+$AJ1033*$AL1033*-2)^(1/$AJ1033)))</f>
        <v/>
      </c>
      <c r="AQ1033">
        <f>IF($AJ1033="","",IF($AJ1033=0,$AK1033*EXP($AL1033*-3),$AK1033*(1+$AJ1033*$AL1033*-3)^(1/$AJ1033)))</f>
        <v/>
      </c>
      <c r="AR1033">
        <f>IF(OR($X1033="",$T1033&gt;60),"",IFERROR(INDEX(IF($T1033&lt;24,pcomp_l,palt_l),MATCH($X1033,IF($T1033&lt;24,pcomp_k,palt_k),1)),""))</f>
        <v/>
      </c>
      <c r="AS1033">
        <f>IF(OR($X1033="",$T1033&gt;60),"",IFERROR(INDEX(IF($T1033&lt;24,pcomp_m,palt_m),MATCH($X1033,IF($T1033&lt;24,pcomp_k,palt_k),1)),""))</f>
        <v/>
      </c>
      <c r="AT1033">
        <f>IF(OR($X1033="",$T1033&gt;60),"",IFERROR(INDEX(IF($T1033&lt;24,pcomp_s,palt_s),MATCH($X1033,IF($T1033&lt;24,pcomp_k,palt_k),1)),""))</f>
        <v/>
      </c>
      <c r="AU1033">
        <f>IF($AR1033="","",IF($AR1033=0,LN($F1033/$AS1033)/$AT1033,((($F1033/$AS1033)^$AR1033)-1)/($AR1033*$AT1033)))</f>
        <v/>
      </c>
      <c r="AV1033">
        <f>IF($AR1033="","",IF($AR1033=0,$AS1033*EXP($AT1033*2),$AS1033*(1+$AR1033*$AT1033*2)^(1/$AR1033)))</f>
        <v/>
      </c>
      <c r="AW1033">
        <f>IF($AR1033="","",IF($AR1033=0,$AS1033*EXP($AT1033*3),$AS1033*(1+$AR1033*$AT1033*3)^(1/$AR1033)))</f>
        <v/>
      </c>
      <c r="AX1033">
        <f>IF($AR1033="","",IF($AR1033=0,$AS1033*EXP($AT1033*-2),$AS1033*(1+$AR1033*$AT1033*-2)^(1/$AR1033)))</f>
        <v/>
      </c>
      <c r="AY1033">
        <f>IF($AR1033="","",IF($AR1033=0,$AS1033*EXP($AT1033*-3),$AS1033*(1+$AR1033*$AT1033*-3)^(1/$AR1033)))</f>
        <v/>
      </c>
      <c r="AZ1033">
        <f>IF(OR($A1033="",$A1033&lt;&gt;Ficha!$C$4),"",COUNTIF($A$2:$A1033,Ficha!$C$4))</f>
        <v/>
      </c>
    </row>
    <row r="1034">
      <c r="A1034" s="8">
        <f>IF(INDEX(Banco!$A:$A,ROW())="","",INDEX(Banco!$A:$A,ROW()))</f>
        <v/>
      </c>
      <c r="B1034" s="8">
        <f>IF(INDEX(Banco!$B:$B,ROW())="","",INDEX(Banco!$B:$B,ROW()))</f>
        <v/>
      </c>
      <c r="C1034" s="8">
        <f>IF(INDEX(Banco!$C:$C,ROW())="","",INDEX(Banco!$C:$C,ROW()))</f>
        <v/>
      </c>
      <c r="D1034" s="9">
        <f>IF(INDEX(Banco!$D:$D,ROW())="","",INDEX(Banco!$D:$D,ROW()))</f>
        <v/>
      </c>
      <c r="E1034" s="9">
        <f>IF(INDEX(Banco!$E:$E,ROW())="","",INDEX(Banco!$E:$E,ROW()))</f>
        <v/>
      </c>
      <c r="F1034" s="10">
        <f>IF(INDEX(Banco!$F:$F,ROW())="","",INDEX(Banco!$F:$F,ROW()))</f>
        <v/>
      </c>
      <c r="G1034" s="10">
        <f>IF(INDEX(Banco!$G:$G,ROW())="","",INDEX(Banco!$G:$G,ROW()))</f>
        <v/>
      </c>
      <c r="H1034" s="8">
        <f>IF(INDEX(Banco!$H:$H,ROW())="","",INDEX(Banco!$H:$H,ROW()))</f>
        <v/>
      </c>
      <c r="I1034">
        <f>IF($T1034="","",INT($T1034/12)&amp;"a "&amp;MOD($T1034,12)&amp;"m")</f>
        <v/>
      </c>
      <c r="J1034" s="11">
        <f>IF(OR($F1034="",$G1034=""),"",ROUND($F1034/($G1034/100)^2,2))</f>
        <v/>
      </c>
      <c r="K1034" s="12">
        <f>IF(OR($S1034="",$J1034="",$T1034="",$T1034&lt;0,$T1034&gt;228,$Y1034=""),"—",ROUND(IF(ABS($AB1034)&lt;=3,$AB1034,IF($AB1034&gt;3,3+($J1034-$AD1034)/($AD1034-$AC1034),-3+($J1034-$AF1034)/($AE1034-$AF1034))),2))</f>
        <v/>
      </c>
      <c r="L1034">
        <f>IF(OR($K1034="",$K1034="—"),"",IF($T1034&lt;=60,IF($K1034&lt;-3,"Magreza acentuada",IF($K1034&lt;-2,"Magreza",IF($K1034&lt;=1,"Eutrofia",IF($K1034&lt;=2,"Risco de sobrepeso",IF($K1034&lt;=3,"Sobrepeso","Obesidade"))))),IF($K1034&lt;-3,"Magreza acentuada",IF($K1034&lt;-2,"Magreza",IF($K1034&lt;=1,"Eutrofia",IF($K1034&lt;=2,"Sobrepeso",IF($K1034&lt;=3,"Obesidade","Obesidade grave")))))))</f>
        <v/>
      </c>
      <c r="M1034" s="12">
        <f>IF(OR($S1034="",$V1034="",$T1034="",$T1034&lt;0,$T1034&gt;228,$AG1034=""),"—",ROUND(IF($AG1034=0,LN($V1034/$AH1034)/$AI1034,((($V1034/$AH1034)^$AG1034)-1)/($AG1034*$AI1034)),2))</f>
        <v/>
      </c>
      <c r="N1034">
        <f>IF(OR($M1034="",$M1034="—"),"",IF($M1034&lt;-3,"Muito baixa",IF($M1034&lt;-2,"Baixa","Adequada")))</f>
        <v/>
      </c>
      <c r="O1034" s="12">
        <f>IF(OR($S1034="",$F1034="",$T1034="",$T1034&lt;0,$T1034&gt;120,$AJ1034=""),"—",ROUND(IF(ABS($AM1034)&lt;=3,$AM1034,IF($AM1034&gt;3,3+($F1034-$AO1034)/($AO1034-$AN1034),-3+($F1034-$AQ1034)/($AP1034-$AQ1034))),2))</f>
        <v/>
      </c>
      <c r="P1034">
        <f>IF(OR($O1034="",$O1034="—"),"",IF($O1034&lt;-3,"Muito baixo",IF($O1034&lt;-2,"Baixo",IF($O1034&lt;=2,"Adequado","Elevado"))))</f>
        <v/>
      </c>
      <c r="Q1034" s="12">
        <f>IF(OR($S1034="",$F1034="",$T1034="",$T1034&lt;0,$T1034&gt;60,$AR1034=""),"—",ROUND(IF(ABS($AU1034)&lt;=3,$AU1034,IF($AU1034&gt;3,3+($F1034-$AW1034)/($AW1034-$AV1034),-3+($F1034-$AY1034)/($AX1034-$AY1034))),2))</f>
        <v/>
      </c>
      <c r="R1034">
        <f>IF(OR($Q1034="",$Q1034="—"),"",IF($Q1034&lt;-3,"Magreza acentuada",IF($Q1034&lt;-2,"Magreza",IF($Q1034&lt;=1,"Eutrofia",IF($Q1034&lt;=2,"Risco de sobrepeso",IF($Q1034&lt;=3,"Sobrepeso","Obesidade"))))))</f>
        <v/>
      </c>
      <c r="S1034">
        <f>IF($C1034="","",IF(UPPER(LEFT($C1034,1))="M",1,IF(UPPER(LEFT($C1034,1))="F",2,"")))</f>
        <v/>
      </c>
      <c r="T1034">
        <f>IF(OR($D1034="",$E1034=""),"",DATEDIF($D1034,$E1034,"m"))</f>
        <v/>
      </c>
      <c r="U1034">
        <f>IF(OR($D1034="",$E1034=""),"",$E1034-$D1034)</f>
        <v/>
      </c>
      <c r="V1034">
        <f>IF(OR($G1034="",$T1034=""),"",IF($T1034&lt;24,IF(LEFT(LOWER($H1034),4)="em p",$G1034+0.7,$G1034),IF(LEFT(LOWER($H1034),4)="deit",$G1034-0.7,$G1034)))</f>
        <v/>
      </c>
      <c r="W1034">
        <f>IF(OR($S1034="",$T1034=""),"",$S1034*1000000+IF($T1034&lt;=60,$U1034,$T1034))</f>
        <v/>
      </c>
      <c r="X1034">
        <f>IF(OR($S1034="",$V1034="",$T1034&gt;60,$T1034=""),"",$S1034*1000000+ROUND($V1034*10,0))</f>
        <v/>
      </c>
      <c r="Y1034">
        <f>IF($W1034="","",IFERROR(INDEX(IF($T1034&lt;=60,imc05_l,imc519_l),MATCH($W1034,IF($T1034&lt;=60,imc05_k,imc519_k),1)),""))</f>
        <v/>
      </c>
      <c r="Z1034">
        <f>IF($W1034="","",IFERROR(INDEX(IF($T1034&lt;=60,imc05_m,imc519_m),MATCH($W1034,IF($T1034&lt;=60,imc05_k,imc519_k),1)),""))</f>
        <v/>
      </c>
      <c r="AA1034">
        <f>IF($W1034="","",IFERROR(INDEX(IF($T1034&lt;=60,imc05_s,imc519_s),MATCH($W1034,IF($T1034&lt;=60,imc05_k,imc519_k),1)),""))</f>
        <v/>
      </c>
      <c r="AB1034">
        <f>IF($Y1034="","",IF($Y1034=0,LN($J1034/$Z1034)/$AA1034,((($J1034/$Z1034)^$Y1034)-1)/($Y1034*$AA1034)))</f>
        <v/>
      </c>
      <c r="AC1034">
        <f>IF($Y1034="","",IF($Y1034=0,$Z1034*EXP($AA1034*2),$Z1034*(1+$Y1034*$AA1034*2)^(1/$Y1034)))</f>
        <v/>
      </c>
      <c r="AD1034">
        <f>IF($Y1034="","",IF($Y1034=0,$Z1034*EXP($AA1034*3),$Z1034*(1+$Y1034*$AA1034*3)^(1/$Y1034)))</f>
        <v/>
      </c>
      <c r="AE1034">
        <f>IF($Y1034="","",IF($Y1034=0,$Z1034*EXP($AA1034*-2),$Z1034*(1+$Y1034*$AA1034*-2)^(1/$Y1034)))</f>
        <v/>
      </c>
      <c r="AF1034">
        <f>IF($Y1034="","",IF($Y1034=0,$Z1034*EXP($AA1034*-3),$Z1034*(1+$Y1034*$AA1034*-3)^(1/$Y1034)))</f>
        <v/>
      </c>
      <c r="AG1034">
        <f>IF($W1034="","",IFERROR(INDEX(IF($T1034&lt;=60,est05_l,est519_l),MATCH($W1034,IF($T1034&lt;=60,est05_k,est519_k),1)),""))</f>
        <v/>
      </c>
      <c r="AH1034">
        <f>IF($W1034="","",IFERROR(INDEX(IF($T1034&lt;=60,est05_m,est519_m),MATCH($W1034,IF($T1034&lt;=60,est05_k,est519_k),1)),""))</f>
        <v/>
      </c>
      <c r="AI1034">
        <f>IF($W1034="","",IFERROR(INDEX(IF($T1034&lt;=60,est05_s,est519_s),MATCH($W1034,IF($T1034&lt;=60,est05_k,est519_k),1)),""))</f>
        <v/>
      </c>
      <c r="AJ1034">
        <f>IF($W1034="","",IFERROR(INDEX(IF($T1034&lt;=60,peso05_l,peso510_l),MATCH($W1034,IF($T1034&lt;=60,peso05_k,peso510_k),1)),""))</f>
        <v/>
      </c>
      <c r="AK1034">
        <f>IF($W1034="","",IFERROR(INDEX(IF($T1034&lt;=60,peso05_m,peso510_m),MATCH($W1034,IF($T1034&lt;=60,peso05_k,peso510_k),1)),""))</f>
        <v/>
      </c>
      <c r="AL1034">
        <f>IF($W1034="","",IFERROR(INDEX(IF($T1034&lt;=60,peso05_s,peso510_s),MATCH($W1034,IF($T1034&lt;=60,peso05_k,peso510_k),1)),""))</f>
        <v/>
      </c>
      <c r="AM1034">
        <f>IF($AJ1034="","",IF($AJ1034=0,LN($F1034/$AK1034)/$AL1034,((($F1034/$AK1034)^$AJ1034)-1)/($AJ1034*$AL1034)))</f>
        <v/>
      </c>
      <c r="AN1034">
        <f>IF($AJ1034="","",IF($AJ1034=0,$AK1034*EXP($AL1034*2),$AK1034*(1+$AJ1034*$AL1034*2)^(1/$AJ1034)))</f>
        <v/>
      </c>
      <c r="AO1034">
        <f>IF($AJ1034="","",IF($AJ1034=0,$AK1034*EXP($AL1034*3),$AK1034*(1+$AJ1034*$AL1034*3)^(1/$AJ1034)))</f>
        <v/>
      </c>
      <c r="AP1034">
        <f>IF($AJ1034="","",IF($AJ1034=0,$AK1034*EXP($AL1034*-2),$AK1034*(1+$AJ1034*$AL1034*-2)^(1/$AJ1034)))</f>
        <v/>
      </c>
      <c r="AQ1034">
        <f>IF($AJ1034="","",IF($AJ1034=0,$AK1034*EXP($AL1034*-3),$AK1034*(1+$AJ1034*$AL1034*-3)^(1/$AJ1034)))</f>
        <v/>
      </c>
      <c r="AR1034">
        <f>IF(OR($X1034="",$T1034&gt;60),"",IFERROR(INDEX(IF($T1034&lt;24,pcomp_l,palt_l),MATCH($X1034,IF($T1034&lt;24,pcomp_k,palt_k),1)),""))</f>
        <v/>
      </c>
      <c r="AS1034">
        <f>IF(OR($X1034="",$T1034&gt;60),"",IFERROR(INDEX(IF($T1034&lt;24,pcomp_m,palt_m),MATCH($X1034,IF($T1034&lt;24,pcomp_k,palt_k),1)),""))</f>
        <v/>
      </c>
      <c r="AT1034">
        <f>IF(OR($X1034="",$T1034&gt;60),"",IFERROR(INDEX(IF($T1034&lt;24,pcomp_s,palt_s),MATCH($X1034,IF($T1034&lt;24,pcomp_k,palt_k),1)),""))</f>
        <v/>
      </c>
      <c r="AU1034">
        <f>IF($AR1034="","",IF($AR1034=0,LN($F1034/$AS1034)/$AT1034,((($F1034/$AS1034)^$AR1034)-1)/($AR1034*$AT1034)))</f>
        <v/>
      </c>
      <c r="AV1034">
        <f>IF($AR1034="","",IF($AR1034=0,$AS1034*EXP($AT1034*2),$AS1034*(1+$AR1034*$AT1034*2)^(1/$AR1034)))</f>
        <v/>
      </c>
      <c r="AW1034">
        <f>IF($AR1034="","",IF($AR1034=0,$AS1034*EXP($AT1034*3),$AS1034*(1+$AR1034*$AT1034*3)^(1/$AR1034)))</f>
        <v/>
      </c>
      <c r="AX1034">
        <f>IF($AR1034="","",IF($AR1034=0,$AS1034*EXP($AT1034*-2),$AS1034*(1+$AR1034*$AT1034*-2)^(1/$AR1034)))</f>
        <v/>
      </c>
      <c r="AY1034">
        <f>IF($AR1034="","",IF($AR1034=0,$AS1034*EXP($AT1034*-3),$AS1034*(1+$AR1034*$AT1034*-3)^(1/$AR1034)))</f>
        <v/>
      </c>
      <c r="AZ1034">
        <f>IF(OR($A1034="",$A1034&lt;&gt;Ficha!$C$4),"",COUNTIF($A$2:$A1034,Ficha!$C$4))</f>
        <v/>
      </c>
    </row>
    <row r="1035">
      <c r="A1035" s="8">
        <f>IF(INDEX(Banco!$A:$A,ROW())="","",INDEX(Banco!$A:$A,ROW()))</f>
        <v/>
      </c>
      <c r="B1035" s="8">
        <f>IF(INDEX(Banco!$B:$B,ROW())="","",INDEX(Banco!$B:$B,ROW()))</f>
        <v/>
      </c>
      <c r="C1035" s="8">
        <f>IF(INDEX(Banco!$C:$C,ROW())="","",INDEX(Banco!$C:$C,ROW()))</f>
        <v/>
      </c>
      <c r="D1035" s="9">
        <f>IF(INDEX(Banco!$D:$D,ROW())="","",INDEX(Banco!$D:$D,ROW()))</f>
        <v/>
      </c>
      <c r="E1035" s="9">
        <f>IF(INDEX(Banco!$E:$E,ROW())="","",INDEX(Banco!$E:$E,ROW()))</f>
        <v/>
      </c>
      <c r="F1035" s="10">
        <f>IF(INDEX(Banco!$F:$F,ROW())="","",INDEX(Banco!$F:$F,ROW()))</f>
        <v/>
      </c>
      <c r="G1035" s="10">
        <f>IF(INDEX(Banco!$G:$G,ROW())="","",INDEX(Banco!$G:$G,ROW()))</f>
        <v/>
      </c>
      <c r="H1035" s="8">
        <f>IF(INDEX(Banco!$H:$H,ROW())="","",INDEX(Banco!$H:$H,ROW()))</f>
        <v/>
      </c>
      <c r="I1035">
        <f>IF($T1035="","",INT($T1035/12)&amp;"a "&amp;MOD($T1035,12)&amp;"m")</f>
        <v/>
      </c>
      <c r="J1035" s="11">
        <f>IF(OR($F1035="",$G1035=""),"",ROUND($F1035/($G1035/100)^2,2))</f>
        <v/>
      </c>
      <c r="K1035" s="12">
        <f>IF(OR($S1035="",$J1035="",$T1035="",$T1035&lt;0,$T1035&gt;228,$Y1035=""),"—",ROUND(IF(ABS($AB1035)&lt;=3,$AB1035,IF($AB1035&gt;3,3+($J1035-$AD1035)/($AD1035-$AC1035),-3+($J1035-$AF1035)/($AE1035-$AF1035))),2))</f>
        <v/>
      </c>
      <c r="L1035">
        <f>IF(OR($K1035="",$K1035="—"),"",IF($T1035&lt;=60,IF($K1035&lt;-3,"Magreza acentuada",IF($K1035&lt;-2,"Magreza",IF($K1035&lt;=1,"Eutrofia",IF($K1035&lt;=2,"Risco de sobrepeso",IF($K1035&lt;=3,"Sobrepeso","Obesidade"))))),IF($K1035&lt;-3,"Magreza acentuada",IF($K1035&lt;-2,"Magreza",IF($K1035&lt;=1,"Eutrofia",IF($K1035&lt;=2,"Sobrepeso",IF($K1035&lt;=3,"Obesidade","Obesidade grave")))))))</f>
        <v/>
      </c>
      <c r="M1035" s="12">
        <f>IF(OR($S1035="",$V1035="",$T1035="",$T1035&lt;0,$T1035&gt;228,$AG1035=""),"—",ROUND(IF($AG1035=0,LN($V1035/$AH1035)/$AI1035,((($V1035/$AH1035)^$AG1035)-1)/($AG1035*$AI1035)),2))</f>
        <v/>
      </c>
      <c r="N1035">
        <f>IF(OR($M1035="",$M1035="—"),"",IF($M1035&lt;-3,"Muito baixa",IF($M1035&lt;-2,"Baixa","Adequada")))</f>
        <v/>
      </c>
      <c r="O1035" s="12">
        <f>IF(OR($S1035="",$F1035="",$T1035="",$T1035&lt;0,$T1035&gt;120,$AJ1035=""),"—",ROUND(IF(ABS($AM1035)&lt;=3,$AM1035,IF($AM1035&gt;3,3+($F1035-$AO1035)/($AO1035-$AN1035),-3+($F1035-$AQ1035)/($AP1035-$AQ1035))),2))</f>
        <v/>
      </c>
      <c r="P1035">
        <f>IF(OR($O1035="",$O1035="—"),"",IF($O1035&lt;-3,"Muito baixo",IF($O1035&lt;-2,"Baixo",IF($O1035&lt;=2,"Adequado","Elevado"))))</f>
        <v/>
      </c>
      <c r="Q1035" s="12">
        <f>IF(OR($S1035="",$F1035="",$T1035="",$T1035&lt;0,$T1035&gt;60,$AR1035=""),"—",ROUND(IF(ABS($AU1035)&lt;=3,$AU1035,IF($AU1035&gt;3,3+($F1035-$AW1035)/($AW1035-$AV1035),-3+($F1035-$AY1035)/($AX1035-$AY1035))),2))</f>
        <v/>
      </c>
      <c r="R1035">
        <f>IF(OR($Q1035="",$Q1035="—"),"",IF($Q1035&lt;-3,"Magreza acentuada",IF($Q1035&lt;-2,"Magreza",IF($Q1035&lt;=1,"Eutrofia",IF($Q1035&lt;=2,"Risco de sobrepeso",IF($Q1035&lt;=3,"Sobrepeso","Obesidade"))))))</f>
        <v/>
      </c>
      <c r="S1035">
        <f>IF($C1035="","",IF(UPPER(LEFT($C1035,1))="M",1,IF(UPPER(LEFT($C1035,1))="F",2,"")))</f>
        <v/>
      </c>
      <c r="T1035">
        <f>IF(OR($D1035="",$E1035=""),"",DATEDIF($D1035,$E1035,"m"))</f>
        <v/>
      </c>
      <c r="U1035">
        <f>IF(OR($D1035="",$E1035=""),"",$E1035-$D1035)</f>
        <v/>
      </c>
      <c r="V1035">
        <f>IF(OR($G1035="",$T1035=""),"",IF($T1035&lt;24,IF(LEFT(LOWER($H1035),4)="em p",$G1035+0.7,$G1035),IF(LEFT(LOWER($H1035),4)="deit",$G1035-0.7,$G1035)))</f>
        <v/>
      </c>
      <c r="W1035">
        <f>IF(OR($S1035="",$T1035=""),"",$S1035*1000000+IF($T1035&lt;=60,$U1035,$T1035))</f>
        <v/>
      </c>
      <c r="X1035">
        <f>IF(OR($S1035="",$V1035="",$T1035&gt;60,$T1035=""),"",$S1035*1000000+ROUND($V1035*10,0))</f>
        <v/>
      </c>
      <c r="Y1035">
        <f>IF($W1035="","",IFERROR(INDEX(IF($T1035&lt;=60,imc05_l,imc519_l),MATCH($W1035,IF($T1035&lt;=60,imc05_k,imc519_k),1)),""))</f>
        <v/>
      </c>
      <c r="Z1035">
        <f>IF($W1035="","",IFERROR(INDEX(IF($T1035&lt;=60,imc05_m,imc519_m),MATCH($W1035,IF($T1035&lt;=60,imc05_k,imc519_k),1)),""))</f>
        <v/>
      </c>
      <c r="AA1035">
        <f>IF($W1035="","",IFERROR(INDEX(IF($T1035&lt;=60,imc05_s,imc519_s),MATCH($W1035,IF($T1035&lt;=60,imc05_k,imc519_k),1)),""))</f>
        <v/>
      </c>
      <c r="AB1035">
        <f>IF($Y1035="","",IF($Y1035=0,LN($J1035/$Z1035)/$AA1035,((($J1035/$Z1035)^$Y1035)-1)/($Y1035*$AA1035)))</f>
        <v/>
      </c>
      <c r="AC1035">
        <f>IF($Y1035="","",IF($Y1035=0,$Z1035*EXP($AA1035*2),$Z1035*(1+$Y1035*$AA1035*2)^(1/$Y1035)))</f>
        <v/>
      </c>
      <c r="AD1035">
        <f>IF($Y1035="","",IF($Y1035=0,$Z1035*EXP($AA1035*3),$Z1035*(1+$Y1035*$AA1035*3)^(1/$Y1035)))</f>
        <v/>
      </c>
      <c r="AE1035">
        <f>IF($Y1035="","",IF($Y1035=0,$Z1035*EXP($AA1035*-2),$Z1035*(1+$Y1035*$AA1035*-2)^(1/$Y1035)))</f>
        <v/>
      </c>
      <c r="AF1035">
        <f>IF($Y1035="","",IF($Y1035=0,$Z1035*EXP($AA1035*-3),$Z1035*(1+$Y1035*$AA1035*-3)^(1/$Y1035)))</f>
        <v/>
      </c>
      <c r="AG1035">
        <f>IF($W1035="","",IFERROR(INDEX(IF($T1035&lt;=60,est05_l,est519_l),MATCH($W1035,IF($T1035&lt;=60,est05_k,est519_k),1)),""))</f>
        <v/>
      </c>
      <c r="AH1035">
        <f>IF($W1035="","",IFERROR(INDEX(IF($T1035&lt;=60,est05_m,est519_m),MATCH($W1035,IF($T1035&lt;=60,est05_k,est519_k),1)),""))</f>
        <v/>
      </c>
      <c r="AI1035">
        <f>IF($W1035="","",IFERROR(INDEX(IF($T1035&lt;=60,est05_s,est519_s),MATCH($W1035,IF($T1035&lt;=60,est05_k,est519_k),1)),""))</f>
        <v/>
      </c>
      <c r="AJ1035">
        <f>IF($W1035="","",IFERROR(INDEX(IF($T1035&lt;=60,peso05_l,peso510_l),MATCH($W1035,IF($T1035&lt;=60,peso05_k,peso510_k),1)),""))</f>
        <v/>
      </c>
      <c r="AK1035">
        <f>IF($W1035="","",IFERROR(INDEX(IF($T1035&lt;=60,peso05_m,peso510_m),MATCH($W1035,IF($T1035&lt;=60,peso05_k,peso510_k),1)),""))</f>
        <v/>
      </c>
      <c r="AL1035">
        <f>IF($W1035="","",IFERROR(INDEX(IF($T1035&lt;=60,peso05_s,peso510_s),MATCH($W1035,IF($T1035&lt;=60,peso05_k,peso510_k),1)),""))</f>
        <v/>
      </c>
      <c r="AM1035">
        <f>IF($AJ1035="","",IF($AJ1035=0,LN($F1035/$AK1035)/$AL1035,((($F1035/$AK1035)^$AJ1035)-1)/($AJ1035*$AL1035)))</f>
        <v/>
      </c>
      <c r="AN1035">
        <f>IF($AJ1035="","",IF($AJ1035=0,$AK1035*EXP($AL1035*2),$AK1035*(1+$AJ1035*$AL1035*2)^(1/$AJ1035)))</f>
        <v/>
      </c>
      <c r="AO1035">
        <f>IF($AJ1035="","",IF($AJ1035=0,$AK1035*EXP($AL1035*3),$AK1035*(1+$AJ1035*$AL1035*3)^(1/$AJ1035)))</f>
        <v/>
      </c>
      <c r="AP1035">
        <f>IF($AJ1035="","",IF($AJ1035=0,$AK1035*EXP($AL1035*-2),$AK1035*(1+$AJ1035*$AL1035*-2)^(1/$AJ1035)))</f>
        <v/>
      </c>
      <c r="AQ1035">
        <f>IF($AJ1035="","",IF($AJ1035=0,$AK1035*EXP($AL1035*-3),$AK1035*(1+$AJ1035*$AL1035*-3)^(1/$AJ1035)))</f>
        <v/>
      </c>
      <c r="AR1035">
        <f>IF(OR($X1035="",$T1035&gt;60),"",IFERROR(INDEX(IF($T1035&lt;24,pcomp_l,palt_l),MATCH($X1035,IF($T1035&lt;24,pcomp_k,palt_k),1)),""))</f>
        <v/>
      </c>
      <c r="AS1035">
        <f>IF(OR($X1035="",$T1035&gt;60),"",IFERROR(INDEX(IF($T1035&lt;24,pcomp_m,palt_m),MATCH($X1035,IF($T1035&lt;24,pcomp_k,palt_k),1)),""))</f>
        <v/>
      </c>
      <c r="AT1035">
        <f>IF(OR($X1035="",$T1035&gt;60),"",IFERROR(INDEX(IF($T1035&lt;24,pcomp_s,palt_s),MATCH($X1035,IF($T1035&lt;24,pcomp_k,palt_k),1)),""))</f>
        <v/>
      </c>
      <c r="AU1035">
        <f>IF($AR1035="","",IF($AR1035=0,LN($F1035/$AS1035)/$AT1035,((($F1035/$AS1035)^$AR1035)-1)/($AR1035*$AT1035)))</f>
        <v/>
      </c>
      <c r="AV1035">
        <f>IF($AR1035="","",IF($AR1035=0,$AS1035*EXP($AT1035*2),$AS1035*(1+$AR1035*$AT1035*2)^(1/$AR1035)))</f>
        <v/>
      </c>
      <c r="AW1035">
        <f>IF($AR1035="","",IF($AR1035=0,$AS1035*EXP($AT1035*3),$AS1035*(1+$AR1035*$AT1035*3)^(1/$AR1035)))</f>
        <v/>
      </c>
      <c r="AX1035">
        <f>IF($AR1035="","",IF($AR1035=0,$AS1035*EXP($AT1035*-2),$AS1035*(1+$AR1035*$AT1035*-2)^(1/$AR1035)))</f>
        <v/>
      </c>
      <c r="AY1035">
        <f>IF($AR1035="","",IF($AR1035=0,$AS1035*EXP($AT1035*-3),$AS1035*(1+$AR1035*$AT1035*-3)^(1/$AR1035)))</f>
        <v/>
      </c>
      <c r="AZ1035">
        <f>IF(OR($A1035="",$A1035&lt;&gt;Ficha!$C$4),"",COUNTIF($A$2:$A1035,Ficha!$C$4))</f>
        <v/>
      </c>
    </row>
    <row r="1036">
      <c r="A1036" s="8">
        <f>IF(INDEX(Banco!$A:$A,ROW())="","",INDEX(Banco!$A:$A,ROW()))</f>
        <v/>
      </c>
      <c r="B1036" s="8">
        <f>IF(INDEX(Banco!$B:$B,ROW())="","",INDEX(Banco!$B:$B,ROW()))</f>
        <v/>
      </c>
      <c r="C1036" s="8">
        <f>IF(INDEX(Banco!$C:$C,ROW())="","",INDEX(Banco!$C:$C,ROW()))</f>
        <v/>
      </c>
      <c r="D1036" s="9">
        <f>IF(INDEX(Banco!$D:$D,ROW())="","",INDEX(Banco!$D:$D,ROW()))</f>
        <v/>
      </c>
      <c r="E1036" s="9">
        <f>IF(INDEX(Banco!$E:$E,ROW())="","",INDEX(Banco!$E:$E,ROW()))</f>
        <v/>
      </c>
      <c r="F1036" s="10">
        <f>IF(INDEX(Banco!$F:$F,ROW())="","",INDEX(Banco!$F:$F,ROW()))</f>
        <v/>
      </c>
      <c r="G1036" s="10">
        <f>IF(INDEX(Banco!$G:$G,ROW())="","",INDEX(Banco!$G:$G,ROW()))</f>
        <v/>
      </c>
      <c r="H1036" s="8">
        <f>IF(INDEX(Banco!$H:$H,ROW())="","",INDEX(Banco!$H:$H,ROW()))</f>
        <v/>
      </c>
      <c r="I1036">
        <f>IF($T1036="","",INT($T1036/12)&amp;"a "&amp;MOD($T1036,12)&amp;"m")</f>
        <v/>
      </c>
      <c r="J1036" s="11">
        <f>IF(OR($F1036="",$G1036=""),"",ROUND($F1036/($G1036/100)^2,2))</f>
        <v/>
      </c>
      <c r="K1036" s="12">
        <f>IF(OR($S1036="",$J1036="",$T1036="",$T1036&lt;0,$T1036&gt;228,$Y1036=""),"—",ROUND(IF(ABS($AB1036)&lt;=3,$AB1036,IF($AB1036&gt;3,3+($J1036-$AD1036)/($AD1036-$AC1036),-3+($J1036-$AF1036)/($AE1036-$AF1036))),2))</f>
        <v/>
      </c>
      <c r="L1036">
        <f>IF(OR($K1036="",$K1036="—"),"",IF($T1036&lt;=60,IF($K1036&lt;-3,"Magreza acentuada",IF($K1036&lt;-2,"Magreza",IF($K1036&lt;=1,"Eutrofia",IF($K1036&lt;=2,"Risco de sobrepeso",IF($K1036&lt;=3,"Sobrepeso","Obesidade"))))),IF($K1036&lt;-3,"Magreza acentuada",IF($K1036&lt;-2,"Magreza",IF($K1036&lt;=1,"Eutrofia",IF($K1036&lt;=2,"Sobrepeso",IF($K1036&lt;=3,"Obesidade","Obesidade grave")))))))</f>
        <v/>
      </c>
      <c r="M1036" s="12">
        <f>IF(OR($S1036="",$V1036="",$T1036="",$T1036&lt;0,$T1036&gt;228,$AG1036=""),"—",ROUND(IF($AG1036=0,LN($V1036/$AH1036)/$AI1036,((($V1036/$AH1036)^$AG1036)-1)/($AG1036*$AI1036)),2))</f>
        <v/>
      </c>
      <c r="N1036">
        <f>IF(OR($M1036="",$M1036="—"),"",IF($M1036&lt;-3,"Muito baixa",IF($M1036&lt;-2,"Baixa","Adequada")))</f>
        <v/>
      </c>
      <c r="O1036" s="12">
        <f>IF(OR($S1036="",$F1036="",$T1036="",$T1036&lt;0,$T1036&gt;120,$AJ1036=""),"—",ROUND(IF(ABS($AM1036)&lt;=3,$AM1036,IF($AM1036&gt;3,3+($F1036-$AO1036)/($AO1036-$AN1036),-3+($F1036-$AQ1036)/($AP1036-$AQ1036))),2))</f>
        <v/>
      </c>
      <c r="P1036">
        <f>IF(OR($O1036="",$O1036="—"),"",IF($O1036&lt;-3,"Muito baixo",IF($O1036&lt;-2,"Baixo",IF($O1036&lt;=2,"Adequado","Elevado"))))</f>
        <v/>
      </c>
      <c r="Q1036" s="12">
        <f>IF(OR($S1036="",$F1036="",$T1036="",$T1036&lt;0,$T1036&gt;60,$AR1036=""),"—",ROUND(IF(ABS($AU1036)&lt;=3,$AU1036,IF($AU1036&gt;3,3+($F1036-$AW1036)/($AW1036-$AV1036),-3+($F1036-$AY1036)/($AX1036-$AY1036))),2))</f>
        <v/>
      </c>
      <c r="R1036">
        <f>IF(OR($Q1036="",$Q1036="—"),"",IF($Q1036&lt;-3,"Magreza acentuada",IF($Q1036&lt;-2,"Magreza",IF($Q1036&lt;=1,"Eutrofia",IF($Q1036&lt;=2,"Risco de sobrepeso",IF($Q1036&lt;=3,"Sobrepeso","Obesidade"))))))</f>
        <v/>
      </c>
      <c r="S1036">
        <f>IF($C1036="","",IF(UPPER(LEFT($C1036,1))="M",1,IF(UPPER(LEFT($C1036,1))="F",2,"")))</f>
        <v/>
      </c>
      <c r="T1036">
        <f>IF(OR($D1036="",$E1036=""),"",DATEDIF($D1036,$E1036,"m"))</f>
        <v/>
      </c>
      <c r="U1036">
        <f>IF(OR($D1036="",$E1036=""),"",$E1036-$D1036)</f>
        <v/>
      </c>
      <c r="V1036">
        <f>IF(OR($G1036="",$T1036=""),"",IF($T1036&lt;24,IF(LEFT(LOWER($H1036),4)="em p",$G1036+0.7,$G1036),IF(LEFT(LOWER($H1036),4)="deit",$G1036-0.7,$G1036)))</f>
        <v/>
      </c>
      <c r="W1036">
        <f>IF(OR($S1036="",$T1036=""),"",$S1036*1000000+IF($T1036&lt;=60,$U1036,$T1036))</f>
        <v/>
      </c>
      <c r="X1036">
        <f>IF(OR($S1036="",$V1036="",$T1036&gt;60,$T1036=""),"",$S1036*1000000+ROUND($V1036*10,0))</f>
        <v/>
      </c>
      <c r="Y1036">
        <f>IF($W1036="","",IFERROR(INDEX(IF($T1036&lt;=60,imc05_l,imc519_l),MATCH($W1036,IF($T1036&lt;=60,imc05_k,imc519_k),1)),""))</f>
        <v/>
      </c>
      <c r="Z1036">
        <f>IF($W1036="","",IFERROR(INDEX(IF($T1036&lt;=60,imc05_m,imc519_m),MATCH($W1036,IF($T1036&lt;=60,imc05_k,imc519_k),1)),""))</f>
        <v/>
      </c>
      <c r="AA1036">
        <f>IF($W1036="","",IFERROR(INDEX(IF($T1036&lt;=60,imc05_s,imc519_s),MATCH($W1036,IF($T1036&lt;=60,imc05_k,imc519_k),1)),""))</f>
        <v/>
      </c>
      <c r="AB1036">
        <f>IF($Y1036="","",IF($Y1036=0,LN($J1036/$Z1036)/$AA1036,((($J1036/$Z1036)^$Y1036)-1)/($Y1036*$AA1036)))</f>
        <v/>
      </c>
      <c r="AC1036">
        <f>IF($Y1036="","",IF($Y1036=0,$Z1036*EXP($AA1036*2),$Z1036*(1+$Y1036*$AA1036*2)^(1/$Y1036)))</f>
        <v/>
      </c>
      <c r="AD1036">
        <f>IF($Y1036="","",IF($Y1036=0,$Z1036*EXP($AA1036*3),$Z1036*(1+$Y1036*$AA1036*3)^(1/$Y1036)))</f>
        <v/>
      </c>
      <c r="AE1036">
        <f>IF($Y1036="","",IF($Y1036=0,$Z1036*EXP($AA1036*-2),$Z1036*(1+$Y1036*$AA1036*-2)^(1/$Y1036)))</f>
        <v/>
      </c>
      <c r="AF1036">
        <f>IF($Y1036="","",IF($Y1036=0,$Z1036*EXP($AA1036*-3),$Z1036*(1+$Y1036*$AA1036*-3)^(1/$Y1036)))</f>
        <v/>
      </c>
      <c r="AG1036">
        <f>IF($W1036="","",IFERROR(INDEX(IF($T1036&lt;=60,est05_l,est519_l),MATCH($W1036,IF($T1036&lt;=60,est05_k,est519_k),1)),""))</f>
        <v/>
      </c>
      <c r="AH1036">
        <f>IF($W1036="","",IFERROR(INDEX(IF($T1036&lt;=60,est05_m,est519_m),MATCH($W1036,IF($T1036&lt;=60,est05_k,est519_k),1)),""))</f>
        <v/>
      </c>
      <c r="AI1036">
        <f>IF($W1036="","",IFERROR(INDEX(IF($T1036&lt;=60,est05_s,est519_s),MATCH($W1036,IF($T1036&lt;=60,est05_k,est519_k),1)),""))</f>
        <v/>
      </c>
      <c r="AJ1036">
        <f>IF($W1036="","",IFERROR(INDEX(IF($T1036&lt;=60,peso05_l,peso510_l),MATCH($W1036,IF($T1036&lt;=60,peso05_k,peso510_k),1)),""))</f>
        <v/>
      </c>
      <c r="AK1036">
        <f>IF($W1036="","",IFERROR(INDEX(IF($T1036&lt;=60,peso05_m,peso510_m),MATCH($W1036,IF($T1036&lt;=60,peso05_k,peso510_k),1)),""))</f>
        <v/>
      </c>
      <c r="AL1036">
        <f>IF($W1036="","",IFERROR(INDEX(IF($T1036&lt;=60,peso05_s,peso510_s),MATCH($W1036,IF($T1036&lt;=60,peso05_k,peso510_k),1)),""))</f>
        <v/>
      </c>
      <c r="AM1036">
        <f>IF($AJ1036="","",IF($AJ1036=0,LN($F1036/$AK1036)/$AL1036,((($F1036/$AK1036)^$AJ1036)-1)/($AJ1036*$AL1036)))</f>
        <v/>
      </c>
      <c r="AN1036">
        <f>IF($AJ1036="","",IF($AJ1036=0,$AK1036*EXP($AL1036*2),$AK1036*(1+$AJ1036*$AL1036*2)^(1/$AJ1036)))</f>
        <v/>
      </c>
      <c r="AO1036">
        <f>IF($AJ1036="","",IF($AJ1036=0,$AK1036*EXP($AL1036*3),$AK1036*(1+$AJ1036*$AL1036*3)^(1/$AJ1036)))</f>
        <v/>
      </c>
      <c r="AP1036">
        <f>IF($AJ1036="","",IF($AJ1036=0,$AK1036*EXP($AL1036*-2),$AK1036*(1+$AJ1036*$AL1036*-2)^(1/$AJ1036)))</f>
        <v/>
      </c>
      <c r="AQ1036">
        <f>IF($AJ1036="","",IF($AJ1036=0,$AK1036*EXP($AL1036*-3),$AK1036*(1+$AJ1036*$AL1036*-3)^(1/$AJ1036)))</f>
        <v/>
      </c>
      <c r="AR1036">
        <f>IF(OR($X1036="",$T1036&gt;60),"",IFERROR(INDEX(IF($T1036&lt;24,pcomp_l,palt_l),MATCH($X1036,IF($T1036&lt;24,pcomp_k,palt_k),1)),""))</f>
        <v/>
      </c>
      <c r="AS1036">
        <f>IF(OR($X1036="",$T1036&gt;60),"",IFERROR(INDEX(IF($T1036&lt;24,pcomp_m,palt_m),MATCH($X1036,IF($T1036&lt;24,pcomp_k,palt_k),1)),""))</f>
        <v/>
      </c>
      <c r="AT1036">
        <f>IF(OR($X1036="",$T1036&gt;60),"",IFERROR(INDEX(IF($T1036&lt;24,pcomp_s,palt_s),MATCH($X1036,IF($T1036&lt;24,pcomp_k,palt_k),1)),""))</f>
        <v/>
      </c>
      <c r="AU1036">
        <f>IF($AR1036="","",IF($AR1036=0,LN($F1036/$AS1036)/$AT1036,((($F1036/$AS1036)^$AR1036)-1)/($AR1036*$AT1036)))</f>
        <v/>
      </c>
      <c r="AV1036">
        <f>IF($AR1036="","",IF($AR1036=0,$AS1036*EXP($AT1036*2),$AS1036*(1+$AR1036*$AT1036*2)^(1/$AR1036)))</f>
        <v/>
      </c>
      <c r="AW1036">
        <f>IF($AR1036="","",IF($AR1036=0,$AS1036*EXP($AT1036*3),$AS1036*(1+$AR1036*$AT1036*3)^(1/$AR1036)))</f>
        <v/>
      </c>
      <c r="AX1036">
        <f>IF($AR1036="","",IF($AR1036=0,$AS1036*EXP($AT1036*-2),$AS1036*(1+$AR1036*$AT1036*-2)^(1/$AR1036)))</f>
        <v/>
      </c>
      <c r="AY1036">
        <f>IF($AR1036="","",IF($AR1036=0,$AS1036*EXP($AT1036*-3),$AS1036*(1+$AR1036*$AT1036*-3)^(1/$AR1036)))</f>
        <v/>
      </c>
      <c r="AZ1036">
        <f>IF(OR($A1036="",$A1036&lt;&gt;Ficha!$C$4),"",COUNTIF($A$2:$A1036,Ficha!$C$4))</f>
        <v/>
      </c>
    </row>
    <row r="1037">
      <c r="A1037" s="8">
        <f>IF(INDEX(Banco!$A:$A,ROW())="","",INDEX(Banco!$A:$A,ROW()))</f>
        <v/>
      </c>
      <c r="B1037" s="8">
        <f>IF(INDEX(Banco!$B:$B,ROW())="","",INDEX(Banco!$B:$B,ROW()))</f>
        <v/>
      </c>
      <c r="C1037" s="8">
        <f>IF(INDEX(Banco!$C:$C,ROW())="","",INDEX(Banco!$C:$C,ROW()))</f>
        <v/>
      </c>
      <c r="D1037" s="9">
        <f>IF(INDEX(Banco!$D:$D,ROW())="","",INDEX(Banco!$D:$D,ROW()))</f>
        <v/>
      </c>
      <c r="E1037" s="9">
        <f>IF(INDEX(Banco!$E:$E,ROW())="","",INDEX(Banco!$E:$E,ROW()))</f>
        <v/>
      </c>
      <c r="F1037" s="10">
        <f>IF(INDEX(Banco!$F:$F,ROW())="","",INDEX(Banco!$F:$F,ROW()))</f>
        <v/>
      </c>
      <c r="G1037" s="10">
        <f>IF(INDEX(Banco!$G:$G,ROW())="","",INDEX(Banco!$G:$G,ROW()))</f>
        <v/>
      </c>
      <c r="H1037" s="8">
        <f>IF(INDEX(Banco!$H:$H,ROW())="","",INDEX(Banco!$H:$H,ROW()))</f>
        <v/>
      </c>
      <c r="I1037">
        <f>IF($T1037="","",INT($T1037/12)&amp;"a "&amp;MOD($T1037,12)&amp;"m")</f>
        <v/>
      </c>
      <c r="J1037" s="11">
        <f>IF(OR($F1037="",$G1037=""),"",ROUND($F1037/($G1037/100)^2,2))</f>
        <v/>
      </c>
      <c r="K1037" s="12">
        <f>IF(OR($S1037="",$J1037="",$T1037="",$T1037&lt;0,$T1037&gt;228,$Y1037=""),"—",ROUND(IF(ABS($AB1037)&lt;=3,$AB1037,IF($AB1037&gt;3,3+($J1037-$AD1037)/($AD1037-$AC1037),-3+($J1037-$AF1037)/($AE1037-$AF1037))),2))</f>
        <v/>
      </c>
      <c r="L1037">
        <f>IF(OR($K1037="",$K1037="—"),"",IF($T1037&lt;=60,IF($K1037&lt;-3,"Magreza acentuada",IF($K1037&lt;-2,"Magreza",IF($K1037&lt;=1,"Eutrofia",IF($K1037&lt;=2,"Risco de sobrepeso",IF($K1037&lt;=3,"Sobrepeso","Obesidade"))))),IF($K1037&lt;-3,"Magreza acentuada",IF($K1037&lt;-2,"Magreza",IF($K1037&lt;=1,"Eutrofia",IF($K1037&lt;=2,"Sobrepeso",IF($K1037&lt;=3,"Obesidade","Obesidade grave")))))))</f>
        <v/>
      </c>
      <c r="M1037" s="12">
        <f>IF(OR($S1037="",$V1037="",$T1037="",$T1037&lt;0,$T1037&gt;228,$AG1037=""),"—",ROUND(IF($AG1037=0,LN($V1037/$AH1037)/$AI1037,((($V1037/$AH1037)^$AG1037)-1)/($AG1037*$AI1037)),2))</f>
        <v/>
      </c>
      <c r="N1037">
        <f>IF(OR($M1037="",$M1037="—"),"",IF($M1037&lt;-3,"Muito baixa",IF($M1037&lt;-2,"Baixa","Adequada")))</f>
        <v/>
      </c>
      <c r="O1037" s="12">
        <f>IF(OR($S1037="",$F1037="",$T1037="",$T1037&lt;0,$T1037&gt;120,$AJ1037=""),"—",ROUND(IF(ABS($AM1037)&lt;=3,$AM1037,IF($AM1037&gt;3,3+($F1037-$AO1037)/($AO1037-$AN1037),-3+($F1037-$AQ1037)/($AP1037-$AQ1037))),2))</f>
        <v/>
      </c>
      <c r="P1037">
        <f>IF(OR($O1037="",$O1037="—"),"",IF($O1037&lt;-3,"Muito baixo",IF($O1037&lt;-2,"Baixo",IF($O1037&lt;=2,"Adequado","Elevado"))))</f>
        <v/>
      </c>
      <c r="Q1037" s="12">
        <f>IF(OR($S1037="",$F1037="",$T1037="",$T1037&lt;0,$T1037&gt;60,$AR1037=""),"—",ROUND(IF(ABS($AU1037)&lt;=3,$AU1037,IF($AU1037&gt;3,3+($F1037-$AW1037)/($AW1037-$AV1037),-3+($F1037-$AY1037)/($AX1037-$AY1037))),2))</f>
        <v/>
      </c>
      <c r="R1037">
        <f>IF(OR($Q1037="",$Q1037="—"),"",IF($Q1037&lt;-3,"Magreza acentuada",IF($Q1037&lt;-2,"Magreza",IF($Q1037&lt;=1,"Eutrofia",IF($Q1037&lt;=2,"Risco de sobrepeso",IF($Q1037&lt;=3,"Sobrepeso","Obesidade"))))))</f>
        <v/>
      </c>
      <c r="S1037">
        <f>IF($C1037="","",IF(UPPER(LEFT($C1037,1))="M",1,IF(UPPER(LEFT($C1037,1))="F",2,"")))</f>
        <v/>
      </c>
      <c r="T1037">
        <f>IF(OR($D1037="",$E1037=""),"",DATEDIF($D1037,$E1037,"m"))</f>
        <v/>
      </c>
      <c r="U1037">
        <f>IF(OR($D1037="",$E1037=""),"",$E1037-$D1037)</f>
        <v/>
      </c>
      <c r="V1037">
        <f>IF(OR($G1037="",$T1037=""),"",IF($T1037&lt;24,IF(LEFT(LOWER($H1037),4)="em p",$G1037+0.7,$G1037),IF(LEFT(LOWER($H1037),4)="deit",$G1037-0.7,$G1037)))</f>
        <v/>
      </c>
      <c r="W1037">
        <f>IF(OR($S1037="",$T1037=""),"",$S1037*1000000+IF($T1037&lt;=60,$U1037,$T1037))</f>
        <v/>
      </c>
      <c r="X1037">
        <f>IF(OR($S1037="",$V1037="",$T1037&gt;60,$T1037=""),"",$S1037*1000000+ROUND($V1037*10,0))</f>
        <v/>
      </c>
      <c r="Y1037">
        <f>IF($W1037="","",IFERROR(INDEX(IF($T1037&lt;=60,imc05_l,imc519_l),MATCH($W1037,IF($T1037&lt;=60,imc05_k,imc519_k),1)),""))</f>
        <v/>
      </c>
      <c r="Z1037">
        <f>IF($W1037="","",IFERROR(INDEX(IF($T1037&lt;=60,imc05_m,imc519_m),MATCH($W1037,IF($T1037&lt;=60,imc05_k,imc519_k),1)),""))</f>
        <v/>
      </c>
      <c r="AA1037">
        <f>IF($W1037="","",IFERROR(INDEX(IF($T1037&lt;=60,imc05_s,imc519_s),MATCH($W1037,IF($T1037&lt;=60,imc05_k,imc519_k),1)),""))</f>
        <v/>
      </c>
      <c r="AB1037">
        <f>IF($Y1037="","",IF($Y1037=0,LN($J1037/$Z1037)/$AA1037,((($J1037/$Z1037)^$Y1037)-1)/($Y1037*$AA1037)))</f>
        <v/>
      </c>
      <c r="AC1037">
        <f>IF($Y1037="","",IF($Y1037=0,$Z1037*EXP($AA1037*2),$Z1037*(1+$Y1037*$AA1037*2)^(1/$Y1037)))</f>
        <v/>
      </c>
      <c r="AD1037">
        <f>IF($Y1037="","",IF($Y1037=0,$Z1037*EXP($AA1037*3),$Z1037*(1+$Y1037*$AA1037*3)^(1/$Y1037)))</f>
        <v/>
      </c>
      <c r="AE1037">
        <f>IF($Y1037="","",IF($Y1037=0,$Z1037*EXP($AA1037*-2),$Z1037*(1+$Y1037*$AA1037*-2)^(1/$Y1037)))</f>
        <v/>
      </c>
      <c r="AF1037">
        <f>IF($Y1037="","",IF($Y1037=0,$Z1037*EXP($AA1037*-3),$Z1037*(1+$Y1037*$AA1037*-3)^(1/$Y1037)))</f>
        <v/>
      </c>
      <c r="AG1037">
        <f>IF($W1037="","",IFERROR(INDEX(IF($T1037&lt;=60,est05_l,est519_l),MATCH($W1037,IF($T1037&lt;=60,est05_k,est519_k),1)),""))</f>
        <v/>
      </c>
      <c r="AH1037">
        <f>IF($W1037="","",IFERROR(INDEX(IF($T1037&lt;=60,est05_m,est519_m),MATCH($W1037,IF($T1037&lt;=60,est05_k,est519_k),1)),""))</f>
        <v/>
      </c>
      <c r="AI1037">
        <f>IF($W1037="","",IFERROR(INDEX(IF($T1037&lt;=60,est05_s,est519_s),MATCH($W1037,IF($T1037&lt;=60,est05_k,est519_k),1)),""))</f>
        <v/>
      </c>
      <c r="AJ1037">
        <f>IF($W1037="","",IFERROR(INDEX(IF($T1037&lt;=60,peso05_l,peso510_l),MATCH($W1037,IF($T1037&lt;=60,peso05_k,peso510_k),1)),""))</f>
        <v/>
      </c>
      <c r="AK1037">
        <f>IF($W1037="","",IFERROR(INDEX(IF($T1037&lt;=60,peso05_m,peso510_m),MATCH($W1037,IF($T1037&lt;=60,peso05_k,peso510_k),1)),""))</f>
        <v/>
      </c>
      <c r="AL1037">
        <f>IF($W1037="","",IFERROR(INDEX(IF($T1037&lt;=60,peso05_s,peso510_s),MATCH($W1037,IF($T1037&lt;=60,peso05_k,peso510_k),1)),""))</f>
        <v/>
      </c>
      <c r="AM1037">
        <f>IF($AJ1037="","",IF($AJ1037=0,LN($F1037/$AK1037)/$AL1037,((($F1037/$AK1037)^$AJ1037)-1)/($AJ1037*$AL1037)))</f>
        <v/>
      </c>
      <c r="AN1037">
        <f>IF($AJ1037="","",IF($AJ1037=0,$AK1037*EXP($AL1037*2),$AK1037*(1+$AJ1037*$AL1037*2)^(1/$AJ1037)))</f>
        <v/>
      </c>
      <c r="AO1037">
        <f>IF($AJ1037="","",IF($AJ1037=0,$AK1037*EXP($AL1037*3),$AK1037*(1+$AJ1037*$AL1037*3)^(1/$AJ1037)))</f>
        <v/>
      </c>
      <c r="AP1037">
        <f>IF($AJ1037="","",IF($AJ1037=0,$AK1037*EXP($AL1037*-2),$AK1037*(1+$AJ1037*$AL1037*-2)^(1/$AJ1037)))</f>
        <v/>
      </c>
      <c r="AQ1037">
        <f>IF($AJ1037="","",IF($AJ1037=0,$AK1037*EXP($AL1037*-3),$AK1037*(1+$AJ1037*$AL1037*-3)^(1/$AJ1037)))</f>
        <v/>
      </c>
      <c r="AR1037">
        <f>IF(OR($X1037="",$T1037&gt;60),"",IFERROR(INDEX(IF($T1037&lt;24,pcomp_l,palt_l),MATCH($X1037,IF($T1037&lt;24,pcomp_k,palt_k),1)),""))</f>
        <v/>
      </c>
      <c r="AS1037">
        <f>IF(OR($X1037="",$T1037&gt;60),"",IFERROR(INDEX(IF($T1037&lt;24,pcomp_m,palt_m),MATCH($X1037,IF($T1037&lt;24,pcomp_k,palt_k),1)),""))</f>
        <v/>
      </c>
      <c r="AT1037">
        <f>IF(OR($X1037="",$T1037&gt;60),"",IFERROR(INDEX(IF($T1037&lt;24,pcomp_s,palt_s),MATCH($X1037,IF($T1037&lt;24,pcomp_k,palt_k),1)),""))</f>
        <v/>
      </c>
      <c r="AU1037">
        <f>IF($AR1037="","",IF($AR1037=0,LN($F1037/$AS1037)/$AT1037,((($F1037/$AS1037)^$AR1037)-1)/($AR1037*$AT1037)))</f>
        <v/>
      </c>
      <c r="AV1037">
        <f>IF($AR1037="","",IF($AR1037=0,$AS1037*EXP($AT1037*2),$AS1037*(1+$AR1037*$AT1037*2)^(1/$AR1037)))</f>
        <v/>
      </c>
      <c r="AW1037">
        <f>IF($AR1037="","",IF($AR1037=0,$AS1037*EXP($AT1037*3),$AS1037*(1+$AR1037*$AT1037*3)^(1/$AR1037)))</f>
        <v/>
      </c>
      <c r="AX1037">
        <f>IF($AR1037="","",IF($AR1037=0,$AS1037*EXP($AT1037*-2),$AS1037*(1+$AR1037*$AT1037*-2)^(1/$AR1037)))</f>
        <v/>
      </c>
      <c r="AY1037">
        <f>IF($AR1037="","",IF($AR1037=0,$AS1037*EXP($AT1037*-3),$AS1037*(1+$AR1037*$AT1037*-3)^(1/$AR1037)))</f>
        <v/>
      </c>
      <c r="AZ1037">
        <f>IF(OR($A1037="",$A1037&lt;&gt;Ficha!$C$4),"",COUNTIF($A$2:$A1037,Ficha!$C$4))</f>
        <v/>
      </c>
    </row>
    <row r="1038">
      <c r="A1038" s="8">
        <f>IF(INDEX(Banco!$A:$A,ROW())="","",INDEX(Banco!$A:$A,ROW()))</f>
        <v/>
      </c>
      <c r="B1038" s="8">
        <f>IF(INDEX(Banco!$B:$B,ROW())="","",INDEX(Banco!$B:$B,ROW()))</f>
        <v/>
      </c>
      <c r="C1038" s="8">
        <f>IF(INDEX(Banco!$C:$C,ROW())="","",INDEX(Banco!$C:$C,ROW()))</f>
        <v/>
      </c>
      <c r="D1038" s="9">
        <f>IF(INDEX(Banco!$D:$D,ROW())="","",INDEX(Banco!$D:$D,ROW()))</f>
        <v/>
      </c>
      <c r="E1038" s="9">
        <f>IF(INDEX(Banco!$E:$E,ROW())="","",INDEX(Banco!$E:$E,ROW()))</f>
        <v/>
      </c>
      <c r="F1038" s="10">
        <f>IF(INDEX(Banco!$F:$F,ROW())="","",INDEX(Banco!$F:$F,ROW()))</f>
        <v/>
      </c>
      <c r="G1038" s="10">
        <f>IF(INDEX(Banco!$G:$G,ROW())="","",INDEX(Banco!$G:$G,ROW()))</f>
        <v/>
      </c>
      <c r="H1038" s="8">
        <f>IF(INDEX(Banco!$H:$H,ROW())="","",INDEX(Banco!$H:$H,ROW()))</f>
        <v/>
      </c>
      <c r="I1038">
        <f>IF($T1038="","",INT($T1038/12)&amp;"a "&amp;MOD($T1038,12)&amp;"m")</f>
        <v/>
      </c>
      <c r="J1038" s="11">
        <f>IF(OR($F1038="",$G1038=""),"",ROUND($F1038/($G1038/100)^2,2))</f>
        <v/>
      </c>
      <c r="K1038" s="12">
        <f>IF(OR($S1038="",$J1038="",$T1038="",$T1038&lt;0,$T1038&gt;228,$Y1038=""),"—",ROUND(IF(ABS($AB1038)&lt;=3,$AB1038,IF($AB1038&gt;3,3+($J1038-$AD1038)/($AD1038-$AC1038),-3+($J1038-$AF1038)/($AE1038-$AF1038))),2))</f>
        <v/>
      </c>
      <c r="L1038">
        <f>IF(OR($K1038="",$K1038="—"),"",IF($T1038&lt;=60,IF($K1038&lt;-3,"Magreza acentuada",IF($K1038&lt;-2,"Magreza",IF($K1038&lt;=1,"Eutrofia",IF($K1038&lt;=2,"Risco de sobrepeso",IF($K1038&lt;=3,"Sobrepeso","Obesidade"))))),IF($K1038&lt;-3,"Magreza acentuada",IF($K1038&lt;-2,"Magreza",IF($K1038&lt;=1,"Eutrofia",IF($K1038&lt;=2,"Sobrepeso",IF($K1038&lt;=3,"Obesidade","Obesidade grave")))))))</f>
        <v/>
      </c>
      <c r="M1038" s="12">
        <f>IF(OR($S1038="",$V1038="",$T1038="",$T1038&lt;0,$T1038&gt;228,$AG1038=""),"—",ROUND(IF($AG1038=0,LN($V1038/$AH1038)/$AI1038,((($V1038/$AH1038)^$AG1038)-1)/($AG1038*$AI1038)),2))</f>
        <v/>
      </c>
      <c r="N1038">
        <f>IF(OR($M1038="",$M1038="—"),"",IF($M1038&lt;-3,"Muito baixa",IF($M1038&lt;-2,"Baixa","Adequada")))</f>
        <v/>
      </c>
      <c r="O1038" s="12">
        <f>IF(OR($S1038="",$F1038="",$T1038="",$T1038&lt;0,$T1038&gt;120,$AJ1038=""),"—",ROUND(IF(ABS($AM1038)&lt;=3,$AM1038,IF($AM1038&gt;3,3+($F1038-$AO1038)/($AO1038-$AN1038),-3+($F1038-$AQ1038)/($AP1038-$AQ1038))),2))</f>
        <v/>
      </c>
      <c r="P1038">
        <f>IF(OR($O1038="",$O1038="—"),"",IF($O1038&lt;-3,"Muito baixo",IF($O1038&lt;-2,"Baixo",IF($O1038&lt;=2,"Adequado","Elevado"))))</f>
        <v/>
      </c>
      <c r="Q1038" s="12">
        <f>IF(OR($S1038="",$F1038="",$T1038="",$T1038&lt;0,$T1038&gt;60,$AR1038=""),"—",ROUND(IF(ABS($AU1038)&lt;=3,$AU1038,IF($AU1038&gt;3,3+($F1038-$AW1038)/($AW1038-$AV1038),-3+($F1038-$AY1038)/($AX1038-$AY1038))),2))</f>
        <v/>
      </c>
      <c r="R1038">
        <f>IF(OR($Q1038="",$Q1038="—"),"",IF($Q1038&lt;-3,"Magreza acentuada",IF($Q1038&lt;-2,"Magreza",IF($Q1038&lt;=1,"Eutrofia",IF($Q1038&lt;=2,"Risco de sobrepeso",IF($Q1038&lt;=3,"Sobrepeso","Obesidade"))))))</f>
        <v/>
      </c>
      <c r="S1038">
        <f>IF($C1038="","",IF(UPPER(LEFT($C1038,1))="M",1,IF(UPPER(LEFT($C1038,1))="F",2,"")))</f>
        <v/>
      </c>
      <c r="T1038">
        <f>IF(OR($D1038="",$E1038=""),"",DATEDIF($D1038,$E1038,"m"))</f>
        <v/>
      </c>
      <c r="U1038">
        <f>IF(OR($D1038="",$E1038=""),"",$E1038-$D1038)</f>
        <v/>
      </c>
      <c r="V1038">
        <f>IF(OR($G1038="",$T1038=""),"",IF($T1038&lt;24,IF(LEFT(LOWER($H1038),4)="em p",$G1038+0.7,$G1038),IF(LEFT(LOWER($H1038),4)="deit",$G1038-0.7,$G1038)))</f>
        <v/>
      </c>
      <c r="W1038">
        <f>IF(OR($S1038="",$T1038=""),"",$S1038*1000000+IF($T1038&lt;=60,$U1038,$T1038))</f>
        <v/>
      </c>
      <c r="X1038">
        <f>IF(OR($S1038="",$V1038="",$T1038&gt;60,$T1038=""),"",$S1038*1000000+ROUND($V1038*10,0))</f>
        <v/>
      </c>
      <c r="Y1038">
        <f>IF($W1038="","",IFERROR(INDEX(IF($T1038&lt;=60,imc05_l,imc519_l),MATCH($W1038,IF($T1038&lt;=60,imc05_k,imc519_k),1)),""))</f>
        <v/>
      </c>
      <c r="Z1038">
        <f>IF($W1038="","",IFERROR(INDEX(IF($T1038&lt;=60,imc05_m,imc519_m),MATCH($W1038,IF($T1038&lt;=60,imc05_k,imc519_k),1)),""))</f>
        <v/>
      </c>
      <c r="AA1038">
        <f>IF($W1038="","",IFERROR(INDEX(IF($T1038&lt;=60,imc05_s,imc519_s),MATCH($W1038,IF($T1038&lt;=60,imc05_k,imc519_k),1)),""))</f>
        <v/>
      </c>
      <c r="AB1038">
        <f>IF($Y1038="","",IF($Y1038=0,LN($J1038/$Z1038)/$AA1038,((($J1038/$Z1038)^$Y1038)-1)/($Y1038*$AA1038)))</f>
        <v/>
      </c>
      <c r="AC1038">
        <f>IF($Y1038="","",IF($Y1038=0,$Z1038*EXP($AA1038*2),$Z1038*(1+$Y1038*$AA1038*2)^(1/$Y1038)))</f>
        <v/>
      </c>
      <c r="AD1038">
        <f>IF($Y1038="","",IF($Y1038=0,$Z1038*EXP($AA1038*3),$Z1038*(1+$Y1038*$AA1038*3)^(1/$Y1038)))</f>
        <v/>
      </c>
      <c r="AE1038">
        <f>IF($Y1038="","",IF($Y1038=0,$Z1038*EXP($AA1038*-2),$Z1038*(1+$Y1038*$AA1038*-2)^(1/$Y1038)))</f>
        <v/>
      </c>
      <c r="AF1038">
        <f>IF($Y1038="","",IF($Y1038=0,$Z1038*EXP($AA1038*-3),$Z1038*(1+$Y1038*$AA1038*-3)^(1/$Y1038)))</f>
        <v/>
      </c>
      <c r="AG1038">
        <f>IF($W1038="","",IFERROR(INDEX(IF($T1038&lt;=60,est05_l,est519_l),MATCH($W1038,IF($T1038&lt;=60,est05_k,est519_k),1)),""))</f>
        <v/>
      </c>
      <c r="AH1038">
        <f>IF($W1038="","",IFERROR(INDEX(IF($T1038&lt;=60,est05_m,est519_m),MATCH($W1038,IF($T1038&lt;=60,est05_k,est519_k),1)),""))</f>
        <v/>
      </c>
      <c r="AI1038">
        <f>IF($W1038="","",IFERROR(INDEX(IF($T1038&lt;=60,est05_s,est519_s),MATCH($W1038,IF($T1038&lt;=60,est05_k,est519_k),1)),""))</f>
        <v/>
      </c>
      <c r="AJ1038">
        <f>IF($W1038="","",IFERROR(INDEX(IF($T1038&lt;=60,peso05_l,peso510_l),MATCH($W1038,IF($T1038&lt;=60,peso05_k,peso510_k),1)),""))</f>
        <v/>
      </c>
      <c r="AK1038">
        <f>IF($W1038="","",IFERROR(INDEX(IF($T1038&lt;=60,peso05_m,peso510_m),MATCH($W1038,IF($T1038&lt;=60,peso05_k,peso510_k),1)),""))</f>
        <v/>
      </c>
      <c r="AL1038">
        <f>IF($W1038="","",IFERROR(INDEX(IF($T1038&lt;=60,peso05_s,peso510_s),MATCH($W1038,IF($T1038&lt;=60,peso05_k,peso510_k),1)),""))</f>
        <v/>
      </c>
      <c r="AM1038">
        <f>IF($AJ1038="","",IF($AJ1038=0,LN($F1038/$AK1038)/$AL1038,((($F1038/$AK1038)^$AJ1038)-1)/($AJ1038*$AL1038)))</f>
        <v/>
      </c>
      <c r="AN1038">
        <f>IF($AJ1038="","",IF($AJ1038=0,$AK1038*EXP($AL1038*2),$AK1038*(1+$AJ1038*$AL1038*2)^(1/$AJ1038)))</f>
        <v/>
      </c>
      <c r="AO1038">
        <f>IF($AJ1038="","",IF($AJ1038=0,$AK1038*EXP($AL1038*3),$AK1038*(1+$AJ1038*$AL1038*3)^(1/$AJ1038)))</f>
        <v/>
      </c>
      <c r="AP1038">
        <f>IF($AJ1038="","",IF($AJ1038=0,$AK1038*EXP($AL1038*-2),$AK1038*(1+$AJ1038*$AL1038*-2)^(1/$AJ1038)))</f>
        <v/>
      </c>
      <c r="AQ1038">
        <f>IF($AJ1038="","",IF($AJ1038=0,$AK1038*EXP($AL1038*-3),$AK1038*(1+$AJ1038*$AL1038*-3)^(1/$AJ1038)))</f>
        <v/>
      </c>
      <c r="AR1038">
        <f>IF(OR($X1038="",$T1038&gt;60),"",IFERROR(INDEX(IF($T1038&lt;24,pcomp_l,palt_l),MATCH($X1038,IF($T1038&lt;24,pcomp_k,palt_k),1)),""))</f>
        <v/>
      </c>
      <c r="AS1038">
        <f>IF(OR($X1038="",$T1038&gt;60),"",IFERROR(INDEX(IF($T1038&lt;24,pcomp_m,palt_m),MATCH($X1038,IF($T1038&lt;24,pcomp_k,palt_k),1)),""))</f>
        <v/>
      </c>
      <c r="AT1038">
        <f>IF(OR($X1038="",$T1038&gt;60),"",IFERROR(INDEX(IF($T1038&lt;24,pcomp_s,palt_s),MATCH($X1038,IF($T1038&lt;24,pcomp_k,palt_k),1)),""))</f>
        <v/>
      </c>
      <c r="AU1038">
        <f>IF($AR1038="","",IF($AR1038=0,LN($F1038/$AS1038)/$AT1038,((($F1038/$AS1038)^$AR1038)-1)/($AR1038*$AT1038)))</f>
        <v/>
      </c>
      <c r="AV1038">
        <f>IF($AR1038="","",IF($AR1038=0,$AS1038*EXP($AT1038*2),$AS1038*(1+$AR1038*$AT1038*2)^(1/$AR1038)))</f>
        <v/>
      </c>
      <c r="AW1038">
        <f>IF($AR1038="","",IF($AR1038=0,$AS1038*EXP($AT1038*3),$AS1038*(1+$AR1038*$AT1038*3)^(1/$AR1038)))</f>
        <v/>
      </c>
      <c r="AX1038">
        <f>IF($AR1038="","",IF($AR1038=0,$AS1038*EXP($AT1038*-2),$AS1038*(1+$AR1038*$AT1038*-2)^(1/$AR1038)))</f>
        <v/>
      </c>
      <c r="AY1038">
        <f>IF($AR1038="","",IF($AR1038=0,$AS1038*EXP($AT1038*-3),$AS1038*(1+$AR1038*$AT1038*-3)^(1/$AR1038)))</f>
        <v/>
      </c>
      <c r="AZ1038">
        <f>IF(OR($A1038="",$A1038&lt;&gt;Ficha!$C$4),"",COUNTIF($A$2:$A1038,Ficha!$C$4))</f>
        <v/>
      </c>
    </row>
    <row r="1039">
      <c r="A1039" s="8">
        <f>IF(INDEX(Banco!$A:$A,ROW())="","",INDEX(Banco!$A:$A,ROW()))</f>
        <v/>
      </c>
      <c r="B1039" s="8">
        <f>IF(INDEX(Banco!$B:$B,ROW())="","",INDEX(Banco!$B:$B,ROW()))</f>
        <v/>
      </c>
      <c r="C1039" s="8">
        <f>IF(INDEX(Banco!$C:$C,ROW())="","",INDEX(Banco!$C:$C,ROW()))</f>
        <v/>
      </c>
      <c r="D1039" s="9">
        <f>IF(INDEX(Banco!$D:$D,ROW())="","",INDEX(Banco!$D:$D,ROW()))</f>
        <v/>
      </c>
      <c r="E1039" s="9">
        <f>IF(INDEX(Banco!$E:$E,ROW())="","",INDEX(Banco!$E:$E,ROW()))</f>
        <v/>
      </c>
      <c r="F1039" s="10">
        <f>IF(INDEX(Banco!$F:$F,ROW())="","",INDEX(Banco!$F:$F,ROW()))</f>
        <v/>
      </c>
      <c r="G1039" s="10">
        <f>IF(INDEX(Banco!$G:$G,ROW())="","",INDEX(Banco!$G:$G,ROW()))</f>
        <v/>
      </c>
      <c r="H1039" s="8">
        <f>IF(INDEX(Banco!$H:$H,ROW())="","",INDEX(Banco!$H:$H,ROW()))</f>
        <v/>
      </c>
      <c r="I1039">
        <f>IF($T1039="","",INT($T1039/12)&amp;"a "&amp;MOD($T1039,12)&amp;"m")</f>
        <v/>
      </c>
      <c r="J1039" s="11">
        <f>IF(OR($F1039="",$G1039=""),"",ROUND($F1039/($G1039/100)^2,2))</f>
        <v/>
      </c>
      <c r="K1039" s="12">
        <f>IF(OR($S1039="",$J1039="",$T1039="",$T1039&lt;0,$T1039&gt;228,$Y1039=""),"—",ROUND(IF(ABS($AB1039)&lt;=3,$AB1039,IF($AB1039&gt;3,3+($J1039-$AD1039)/($AD1039-$AC1039),-3+($J1039-$AF1039)/($AE1039-$AF1039))),2))</f>
        <v/>
      </c>
      <c r="L1039">
        <f>IF(OR($K1039="",$K1039="—"),"",IF($T1039&lt;=60,IF($K1039&lt;-3,"Magreza acentuada",IF($K1039&lt;-2,"Magreza",IF($K1039&lt;=1,"Eutrofia",IF($K1039&lt;=2,"Risco de sobrepeso",IF($K1039&lt;=3,"Sobrepeso","Obesidade"))))),IF($K1039&lt;-3,"Magreza acentuada",IF($K1039&lt;-2,"Magreza",IF($K1039&lt;=1,"Eutrofia",IF($K1039&lt;=2,"Sobrepeso",IF($K1039&lt;=3,"Obesidade","Obesidade grave")))))))</f>
        <v/>
      </c>
      <c r="M1039" s="12">
        <f>IF(OR($S1039="",$V1039="",$T1039="",$T1039&lt;0,$T1039&gt;228,$AG1039=""),"—",ROUND(IF($AG1039=0,LN($V1039/$AH1039)/$AI1039,((($V1039/$AH1039)^$AG1039)-1)/($AG1039*$AI1039)),2))</f>
        <v/>
      </c>
      <c r="N1039">
        <f>IF(OR($M1039="",$M1039="—"),"",IF($M1039&lt;-3,"Muito baixa",IF($M1039&lt;-2,"Baixa","Adequada")))</f>
        <v/>
      </c>
      <c r="O1039" s="12">
        <f>IF(OR($S1039="",$F1039="",$T1039="",$T1039&lt;0,$T1039&gt;120,$AJ1039=""),"—",ROUND(IF(ABS($AM1039)&lt;=3,$AM1039,IF($AM1039&gt;3,3+($F1039-$AO1039)/($AO1039-$AN1039),-3+($F1039-$AQ1039)/($AP1039-$AQ1039))),2))</f>
        <v/>
      </c>
      <c r="P1039">
        <f>IF(OR($O1039="",$O1039="—"),"",IF($O1039&lt;-3,"Muito baixo",IF($O1039&lt;-2,"Baixo",IF($O1039&lt;=2,"Adequado","Elevado"))))</f>
        <v/>
      </c>
      <c r="Q1039" s="12">
        <f>IF(OR($S1039="",$F1039="",$T1039="",$T1039&lt;0,$T1039&gt;60,$AR1039=""),"—",ROUND(IF(ABS($AU1039)&lt;=3,$AU1039,IF($AU1039&gt;3,3+($F1039-$AW1039)/($AW1039-$AV1039),-3+($F1039-$AY1039)/($AX1039-$AY1039))),2))</f>
        <v/>
      </c>
      <c r="R1039">
        <f>IF(OR($Q1039="",$Q1039="—"),"",IF($Q1039&lt;-3,"Magreza acentuada",IF($Q1039&lt;-2,"Magreza",IF($Q1039&lt;=1,"Eutrofia",IF($Q1039&lt;=2,"Risco de sobrepeso",IF($Q1039&lt;=3,"Sobrepeso","Obesidade"))))))</f>
        <v/>
      </c>
      <c r="S1039">
        <f>IF($C1039="","",IF(UPPER(LEFT($C1039,1))="M",1,IF(UPPER(LEFT($C1039,1))="F",2,"")))</f>
        <v/>
      </c>
      <c r="T1039">
        <f>IF(OR($D1039="",$E1039=""),"",DATEDIF($D1039,$E1039,"m"))</f>
        <v/>
      </c>
      <c r="U1039">
        <f>IF(OR($D1039="",$E1039=""),"",$E1039-$D1039)</f>
        <v/>
      </c>
      <c r="V1039">
        <f>IF(OR($G1039="",$T1039=""),"",IF($T1039&lt;24,IF(LEFT(LOWER($H1039),4)="em p",$G1039+0.7,$G1039),IF(LEFT(LOWER($H1039),4)="deit",$G1039-0.7,$G1039)))</f>
        <v/>
      </c>
      <c r="W1039">
        <f>IF(OR($S1039="",$T1039=""),"",$S1039*1000000+IF($T1039&lt;=60,$U1039,$T1039))</f>
        <v/>
      </c>
      <c r="X1039">
        <f>IF(OR($S1039="",$V1039="",$T1039&gt;60,$T1039=""),"",$S1039*1000000+ROUND($V1039*10,0))</f>
        <v/>
      </c>
      <c r="Y1039">
        <f>IF($W1039="","",IFERROR(INDEX(IF($T1039&lt;=60,imc05_l,imc519_l),MATCH($W1039,IF($T1039&lt;=60,imc05_k,imc519_k),1)),""))</f>
        <v/>
      </c>
      <c r="Z1039">
        <f>IF($W1039="","",IFERROR(INDEX(IF($T1039&lt;=60,imc05_m,imc519_m),MATCH($W1039,IF($T1039&lt;=60,imc05_k,imc519_k),1)),""))</f>
        <v/>
      </c>
      <c r="AA1039">
        <f>IF($W1039="","",IFERROR(INDEX(IF($T1039&lt;=60,imc05_s,imc519_s),MATCH($W1039,IF($T1039&lt;=60,imc05_k,imc519_k),1)),""))</f>
        <v/>
      </c>
      <c r="AB1039">
        <f>IF($Y1039="","",IF($Y1039=0,LN($J1039/$Z1039)/$AA1039,((($J1039/$Z1039)^$Y1039)-1)/($Y1039*$AA1039)))</f>
        <v/>
      </c>
      <c r="AC1039">
        <f>IF($Y1039="","",IF($Y1039=0,$Z1039*EXP($AA1039*2),$Z1039*(1+$Y1039*$AA1039*2)^(1/$Y1039)))</f>
        <v/>
      </c>
      <c r="AD1039">
        <f>IF($Y1039="","",IF($Y1039=0,$Z1039*EXP($AA1039*3),$Z1039*(1+$Y1039*$AA1039*3)^(1/$Y1039)))</f>
        <v/>
      </c>
      <c r="AE1039">
        <f>IF($Y1039="","",IF($Y1039=0,$Z1039*EXP($AA1039*-2),$Z1039*(1+$Y1039*$AA1039*-2)^(1/$Y1039)))</f>
        <v/>
      </c>
      <c r="AF1039">
        <f>IF($Y1039="","",IF($Y1039=0,$Z1039*EXP($AA1039*-3),$Z1039*(1+$Y1039*$AA1039*-3)^(1/$Y1039)))</f>
        <v/>
      </c>
      <c r="AG1039">
        <f>IF($W1039="","",IFERROR(INDEX(IF($T1039&lt;=60,est05_l,est519_l),MATCH($W1039,IF($T1039&lt;=60,est05_k,est519_k),1)),""))</f>
        <v/>
      </c>
      <c r="AH1039">
        <f>IF($W1039="","",IFERROR(INDEX(IF($T1039&lt;=60,est05_m,est519_m),MATCH($W1039,IF($T1039&lt;=60,est05_k,est519_k),1)),""))</f>
        <v/>
      </c>
      <c r="AI1039">
        <f>IF($W1039="","",IFERROR(INDEX(IF($T1039&lt;=60,est05_s,est519_s),MATCH($W1039,IF($T1039&lt;=60,est05_k,est519_k),1)),""))</f>
        <v/>
      </c>
      <c r="AJ1039">
        <f>IF($W1039="","",IFERROR(INDEX(IF($T1039&lt;=60,peso05_l,peso510_l),MATCH($W1039,IF($T1039&lt;=60,peso05_k,peso510_k),1)),""))</f>
        <v/>
      </c>
      <c r="AK1039">
        <f>IF($W1039="","",IFERROR(INDEX(IF($T1039&lt;=60,peso05_m,peso510_m),MATCH($W1039,IF($T1039&lt;=60,peso05_k,peso510_k),1)),""))</f>
        <v/>
      </c>
      <c r="AL1039">
        <f>IF($W1039="","",IFERROR(INDEX(IF($T1039&lt;=60,peso05_s,peso510_s),MATCH($W1039,IF($T1039&lt;=60,peso05_k,peso510_k),1)),""))</f>
        <v/>
      </c>
      <c r="AM1039">
        <f>IF($AJ1039="","",IF($AJ1039=0,LN($F1039/$AK1039)/$AL1039,((($F1039/$AK1039)^$AJ1039)-1)/($AJ1039*$AL1039)))</f>
        <v/>
      </c>
      <c r="AN1039">
        <f>IF($AJ1039="","",IF($AJ1039=0,$AK1039*EXP($AL1039*2),$AK1039*(1+$AJ1039*$AL1039*2)^(1/$AJ1039)))</f>
        <v/>
      </c>
      <c r="AO1039">
        <f>IF($AJ1039="","",IF($AJ1039=0,$AK1039*EXP($AL1039*3),$AK1039*(1+$AJ1039*$AL1039*3)^(1/$AJ1039)))</f>
        <v/>
      </c>
      <c r="AP1039">
        <f>IF($AJ1039="","",IF($AJ1039=0,$AK1039*EXP($AL1039*-2),$AK1039*(1+$AJ1039*$AL1039*-2)^(1/$AJ1039)))</f>
        <v/>
      </c>
      <c r="AQ1039">
        <f>IF($AJ1039="","",IF($AJ1039=0,$AK1039*EXP($AL1039*-3),$AK1039*(1+$AJ1039*$AL1039*-3)^(1/$AJ1039)))</f>
        <v/>
      </c>
      <c r="AR1039">
        <f>IF(OR($X1039="",$T1039&gt;60),"",IFERROR(INDEX(IF($T1039&lt;24,pcomp_l,palt_l),MATCH($X1039,IF($T1039&lt;24,pcomp_k,palt_k),1)),""))</f>
        <v/>
      </c>
      <c r="AS1039">
        <f>IF(OR($X1039="",$T1039&gt;60),"",IFERROR(INDEX(IF($T1039&lt;24,pcomp_m,palt_m),MATCH($X1039,IF($T1039&lt;24,pcomp_k,palt_k),1)),""))</f>
        <v/>
      </c>
      <c r="AT1039">
        <f>IF(OR($X1039="",$T1039&gt;60),"",IFERROR(INDEX(IF($T1039&lt;24,pcomp_s,palt_s),MATCH($X1039,IF($T1039&lt;24,pcomp_k,palt_k),1)),""))</f>
        <v/>
      </c>
      <c r="AU1039">
        <f>IF($AR1039="","",IF($AR1039=0,LN($F1039/$AS1039)/$AT1039,((($F1039/$AS1039)^$AR1039)-1)/($AR1039*$AT1039)))</f>
        <v/>
      </c>
      <c r="AV1039">
        <f>IF($AR1039="","",IF($AR1039=0,$AS1039*EXP($AT1039*2),$AS1039*(1+$AR1039*$AT1039*2)^(1/$AR1039)))</f>
        <v/>
      </c>
      <c r="AW1039">
        <f>IF($AR1039="","",IF($AR1039=0,$AS1039*EXP($AT1039*3),$AS1039*(1+$AR1039*$AT1039*3)^(1/$AR1039)))</f>
        <v/>
      </c>
      <c r="AX1039">
        <f>IF($AR1039="","",IF($AR1039=0,$AS1039*EXP($AT1039*-2),$AS1039*(1+$AR1039*$AT1039*-2)^(1/$AR1039)))</f>
        <v/>
      </c>
      <c r="AY1039">
        <f>IF($AR1039="","",IF($AR1039=0,$AS1039*EXP($AT1039*-3),$AS1039*(1+$AR1039*$AT1039*-3)^(1/$AR1039)))</f>
        <v/>
      </c>
      <c r="AZ1039">
        <f>IF(OR($A1039="",$A1039&lt;&gt;Ficha!$C$4),"",COUNTIF($A$2:$A1039,Ficha!$C$4))</f>
        <v/>
      </c>
    </row>
    <row r="1040">
      <c r="A1040" s="8">
        <f>IF(INDEX(Banco!$A:$A,ROW())="","",INDEX(Banco!$A:$A,ROW()))</f>
        <v/>
      </c>
      <c r="B1040" s="8">
        <f>IF(INDEX(Banco!$B:$B,ROW())="","",INDEX(Banco!$B:$B,ROW()))</f>
        <v/>
      </c>
      <c r="C1040" s="8">
        <f>IF(INDEX(Banco!$C:$C,ROW())="","",INDEX(Banco!$C:$C,ROW()))</f>
        <v/>
      </c>
      <c r="D1040" s="9">
        <f>IF(INDEX(Banco!$D:$D,ROW())="","",INDEX(Banco!$D:$D,ROW()))</f>
        <v/>
      </c>
      <c r="E1040" s="9">
        <f>IF(INDEX(Banco!$E:$E,ROW())="","",INDEX(Banco!$E:$E,ROW()))</f>
        <v/>
      </c>
      <c r="F1040" s="10">
        <f>IF(INDEX(Banco!$F:$F,ROW())="","",INDEX(Banco!$F:$F,ROW()))</f>
        <v/>
      </c>
      <c r="G1040" s="10">
        <f>IF(INDEX(Banco!$G:$G,ROW())="","",INDEX(Banco!$G:$G,ROW()))</f>
        <v/>
      </c>
      <c r="H1040" s="8">
        <f>IF(INDEX(Banco!$H:$H,ROW())="","",INDEX(Banco!$H:$H,ROW()))</f>
        <v/>
      </c>
      <c r="I1040">
        <f>IF($T1040="","",INT($T1040/12)&amp;"a "&amp;MOD($T1040,12)&amp;"m")</f>
        <v/>
      </c>
      <c r="J1040" s="11">
        <f>IF(OR($F1040="",$G1040=""),"",ROUND($F1040/($G1040/100)^2,2))</f>
        <v/>
      </c>
      <c r="K1040" s="12">
        <f>IF(OR($S1040="",$J1040="",$T1040="",$T1040&lt;0,$T1040&gt;228,$Y1040=""),"—",ROUND(IF(ABS($AB1040)&lt;=3,$AB1040,IF($AB1040&gt;3,3+($J1040-$AD1040)/($AD1040-$AC1040),-3+($J1040-$AF1040)/($AE1040-$AF1040))),2))</f>
        <v/>
      </c>
      <c r="L1040">
        <f>IF(OR($K1040="",$K1040="—"),"",IF($T1040&lt;=60,IF($K1040&lt;-3,"Magreza acentuada",IF($K1040&lt;-2,"Magreza",IF($K1040&lt;=1,"Eutrofia",IF($K1040&lt;=2,"Risco de sobrepeso",IF($K1040&lt;=3,"Sobrepeso","Obesidade"))))),IF($K1040&lt;-3,"Magreza acentuada",IF($K1040&lt;-2,"Magreza",IF($K1040&lt;=1,"Eutrofia",IF($K1040&lt;=2,"Sobrepeso",IF($K1040&lt;=3,"Obesidade","Obesidade grave")))))))</f>
        <v/>
      </c>
      <c r="M1040" s="12">
        <f>IF(OR($S1040="",$V1040="",$T1040="",$T1040&lt;0,$T1040&gt;228,$AG1040=""),"—",ROUND(IF($AG1040=0,LN($V1040/$AH1040)/$AI1040,((($V1040/$AH1040)^$AG1040)-1)/($AG1040*$AI1040)),2))</f>
        <v/>
      </c>
      <c r="N1040">
        <f>IF(OR($M1040="",$M1040="—"),"",IF($M1040&lt;-3,"Muito baixa",IF($M1040&lt;-2,"Baixa","Adequada")))</f>
        <v/>
      </c>
      <c r="O1040" s="12">
        <f>IF(OR($S1040="",$F1040="",$T1040="",$T1040&lt;0,$T1040&gt;120,$AJ1040=""),"—",ROUND(IF(ABS($AM1040)&lt;=3,$AM1040,IF($AM1040&gt;3,3+($F1040-$AO1040)/($AO1040-$AN1040),-3+($F1040-$AQ1040)/($AP1040-$AQ1040))),2))</f>
        <v/>
      </c>
      <c r="P1040">
        <f>IF(OR($O1040="",$O1040="—"),"",IF($O1040&lt;-3,"Muito baixo",IF($O1040&lt;-2,"Baixo",IF($O1040&lt;=2,"Adequado","Elevado"))))</f>
        <v/>
      </c>
      <c r="Q1040" s="12">
        <f>IF(OR($S1040="",$F1040="",$T1040="",$T1040&lt;0,$T1040&gt;60,$AR1040=""),"—",ROUND(IF(ABS($AU1040)&lt;=3,$AU1040,IF($AU1040&gt;3,3+($F1040-$AW1040)/($AW1040-$AV1040),-3+($F1040-$AY1040)/($AX1040-$AY1040))),2))</f>
        <v/>
      </c>
      <c r="R1040">
        <f>IF(OR($Q1040="",$Q1040="—"),"",IF($Q1040&lt;-3,"Magreza acentuada",IF($Q1040&lt;-2,"Magreza",IF($Q1040&lt;=1,"Eutrofia",IF($Q1040&lt;=2,"Risco de sobrepeso",IF($Q1040&lt;=3,"Sobrepeso","Obesidade"))))))</f>
        <v/>
      </c>
      <c r="S1040">
        <f>IF($C1040="","",IF(UPPER(LEFT($C1040,1))="M",1,IF(UPPER(LEFT($C1040,1))="F",2,"")))</f>
        <v/>
      </c>
      <c r="T1040">
        <f>IF(OR($D1040="",$E1040=""),"",DATEDIF($D1040,$E1040,"m"))</f>
        <v/>
      </c>
      <c r="U1040">
        <f>IF(OR($D1040="",$E1040=""),"",$E1040-$D1040)</f>
        <v/>
      </c>
      <c r="V1040">
        <f>IF(OR($G1040="",$T1040=""),"",IF($T1040&lt;24,IF(LEFT(LOWER($H1040),4)="em p",$G1040+0.7,$G1040),IF(LEFT(LOWER($H1040),4)="deit",$G1040-0.7,$G1040)))</f>
        <v/>
      </c>
      <c r="W1040">
        <f>IF(OR($S1040="",$T1040=""),"",$S1040*1000000+IF($T1040&lt;=60,$U1040,$T1040))</f>
        <v/>
      </c>
      <c r="X1040">
        <f>IF(OR($S1040="",$V1040="",$T1040&gt;60,$T1040=""),"",$S1040*1000000+ROUND($V1040*10,0))</f>
        <v/>
      </c>
      <c r="Y1040">
        <f>IF($W1040="","",IFERROR(INDEX(IF($T1040&lt;=60,imc05_l,imc519_l),MATCH($W1040,IF($T1040&lt;=60,imc05_k,imc519_k),1)),""))</f>
        <v/>
      </c>
      <c r="Z1040">
        <f>IF($W1040="","",IFERROR(INDEX(IF($T1040&lt;=60,imc05_m,imc519_m),MATCH($W1040,IF($T1040&lt;=60,imc05_k,imc519_k),1)),""))</f>
        <v/>
      </c>
      <c r="AA1040">
        <f>IF($W1040="","",IFERROR(INDEX(IF($T1040&lt;=60,imc05_s,imc519_s),MATCH($W1040,IF($T1040&lt;=60,imc05_k,imc519_k),1)),""))</f>
        <v/>
      </c>
      <c r="AB1040">
        <f>IF($Y1040="","",IF($Y1040=0,LN($J1040/$Z1040)/$AA1040,((($J1040/$Z1040)^$Y1040)-1)/($Y1040*$AA1040)))</f>
        <v/>
      </c>
      <c r="AC1040">
        <f>IF($Y1040="","",IF($Y1040=0,$Z1040*EXP($AA1040*2),$Z1040*(1+$Y1040*$AA1040*2)^(1/$Y1040)))</f>
        <v/>
      </c>
      <c r="AD1040">
        <f>IF($Y1040="","",IF($Y1040=0,$Z1040*EXP($AA1040*3),$Z1040*(1+$Y1040*$AA1040*3)^(1/$Y1040)))</f>
        <v/>
      </c>
      <c r="AE1040">
        <f>IF($Y1040="","",IF($Y1040=0,$Z1040*EXP($AA1040*-2),$Z1040*(1+$Y1040*$AA1040*-2)^(1/$Y1040)))</f>
        <v/>
      </c>
      <c r="AF1040">
        <f>IF($Y1040="","",IF($Y1040=0,$Z1040*EXP($AA1040*-3),$Z1040*(1+$Y1040*$AA1040*-3)^(1/$Y1040)))</f>
        <v/>
      </c>
      <c r="AG1040">
        <f>IF($W1040="","",IFERROR(INDEX(IF($T1040&lt;=60,est05_l,est519_l),MATCH($W1040,IF($T1040&lt;=60,est05_k,est519_k),1)),""))</f>
        <v/>
      </c>
      <c r="AH1040">
        <f>IF($W1040="","",IFERROR(INDEX(IF($T1040&lt;=60,est05_m,est519_m),MATCH($W1040,IF($T1040&lt;=60,est05_k,est519_k),1)),""))</f>
        <v/>
      </c>
      <c r="AI1040">
        <f>IF($W1040="","",IFERROR(INDEX(IF($T1040&lt;=60,est05_s,est519_s),MATCH($W1040,IF($T1040&lt;=60,est05_k,est519_k),1)),""))</f>
        <v/>
      </c>
      <c r="AJ1040">
        <f>IF($W1040="","",IFERROR(INDEX(IF($T1040&lt;=60,peso05_l,peso510_l),MATCH($W1040,IF($T1040&lt;=60,peso05_k,peso510_k),1)),""))</f>
        <v/>
      </c>
      <c r="AK1040">
        <f>IF($W1040="","",IFERROR(INDEX(IF($T1040&lt;=60,peso05_m,peso510_m),MATCH($W1040,IF($T1040&lt;=60,peso05_k,peso510_k),1)),""))</f>
        <v/>
      </c>
      <c r="AL1040">
        <f>IF($W1040="","",IFERROR(INDEX(IF($T1040&lt;=60,peso05_s,peso510_s),MATCH($W1040,IF($T1040&lt;=60,peso05_k,peso510_k),1)),""))</f>
        <v/>
      </c>
      <c r="AM1040">
        <f>IF($AJ1040="","",IF($AJ1040=0,LN($F1040/$AK1040)/$AL1040,((($F1040/$AK1040)^$AJ1040)-1)/($AJ1040*$AL1040)))</f>
        <v/>
      </c>
      <c r="AN1040">
        <f>IF($AJ1040="","",IF($AJ1040=0,$AK1040*EXP($AL1040*2),$AK1040*(1+$AJ1040*$AL1040*2)^(1/$AJ1040)))</f>
        <v/>
      </c>
      <c r="AO1040">
        <f>IF($AJ1040="","",IF($AJ1040=0,$AK1040*EXP($AL1040*3),$AK1040*(1+$AJ1040*$AL1040*3)^(1/$AJ1040)))</f>
        <v/>
      </c>
      <c r="AP1040">
        <f>IF($AJ1040="","",IF($AJ1040=0,$AK1040*EXP($AL1040*-2),$AK1040*(1+$AJ1040*$AL1040*-2)^(1/$AJ1040)))</f>
        <v/>
      </c>
      <c r="AQ1040">
        <f>IF($AJ1040="","",IF($AJ1040=0,$AK1040*EXP($AL1040*-3),$AK1040*(1+$AJ1040*$AL1040*-3)^(1/$AJ1040)))</f>
        <v/>
      </c>
      <c r="AR1040">
        <f>IF(OR($X1040="",$T1040&gt;60),"",IFERROR(INDEX(IF($T1040&lt;24,pcomp_l,palt_l),MATCH($X1040,IF($T1040&lt;24,pcomp_k,palt_k),1)),""))</f>
        <v/>
      </c>
      <c r="AS1040">
        <f>IF(OR($X1040="",$T1040&gt;60),"",IFERROR(INDEX(IF($T1040&lt;24,pcomp_m,palt_m),MATCH($X1040,IF($T1040&lt;24,pcomp_k,palt_k),1)),""))</f>
        <v/>
      </c>
      <c r="AT1040">
        <f>IF(OR($X1040="",$T1040&gt;60),"",IFERROR(INDEX(IF($T1040&lt;24,pcomp_s,palt_s),MATCH($X1040,IF($T1040&lt;24,pcomp_k,palt_k),1)),""))</f>
        <v/>
      </c>
      <c r="AU1040">
        <f>IF($AR1040="","",IF($AR1040=0,LN($F1040/$AS1040)/$AT1040,((($F1040/$AS1040)^$AR1040)-1)/($AR1040*$AT1040)))</f>
        <v/>
      </c>
      <c r="AV1040">
        <f>IF($AR1040="","",IF($AR1040=0,$AS1040*EXP($AT1040*2),$AS1040*(1+$AR1040*$AT1040*2)^(1/$AR1040)))</f>
        <v/>
      </c>
      <c r="AW1040">
        <f>IF($AR1040="","",IF($AR1040=0,$AS1040*EXP($AT1040*3),$AS1040*(1+$AR1040*$AT1040*3)^(1/$AR1040)))</f>
        <v/>
      </c>
      <c r="AX1040">
        <f>IF($AR1040="","",IF($AR1040=0,$AS1040*EXP($AT1040*-2),$AS1040*(1+$AR1040*$AT1040*-2)^(1/$AR1040)))</f>
        <v/>
      </c>
      <c r="AY1040">
        <f>IF($AR1040="","",IF($AR1040=0,$AS1040*EXP($AT1040*-3),$AS1040*(1+$AR1040*$AT1040*-3)^(1/$AR1040)))</f>
        <v/>
      </c>
      <c r="AZ1040">
        <f>IF(OR($A1040="",$A1040&lt;&gt;Ficha!$C$4),"",COUNTIF($A$2:$A1040,Ficha!$C$4))</f>
        <v/>
      </c>
    </row>
    <row r="1041">
      <c r="A1041" s="8">
        <f>IF(INDEX(Banco!$A:$A,ROW())="","",INDEX(Banco!$A:$A,ROW()))</f>
        <v/>
      </c>
      <c r="B1041" s="8">
        <f>IF(INDEX(Banco!$B:$B,ROW())="","",INDEX(Banco!$B:$B,ROW()))</f>
        <v/>
      </c>
      <c r="C1041" s="8">
        <f>IF(INDEX(Banco!$C:$C,ROW())="","",INDEX(Banco!$C:$C,ROW()))</f>
        <v/>
      </c>
      <c r="D1041" s="9">
        <f>IF(INDEX(Banco!$D:$D,ROW())="","",INDEX(Banco!$D:$D,ROW()))</f>
        <v/>
      </c>
      <c r="E1041" s="9">
        <f>IF(INDEX(Banco!$E:$E,ROW())="","",INDEX(Banco!$E:$E,ROW()))</f>
        <v/>
      </c>
      <c r="F1041" s="10">
        <f>IF(INDEX(Banco!$F:$F,ROW())="","",INDEX(Banco!$F:$F,ROW()))</f>
        <v/>
      </c>
      <c r="G1041" s="10">
        <f>IF(INDEX(Banco!$G:$G,ROW())="","",INDEX(Banco!$G:$G,ROW()))</f>
        <v/>
      </c>
      <c r="H1041" s="8">
        <f>IF(INDEX(Banco!$H:$H,ROW())="","",INDEX(Banco!$H:$H,ROW()))</f>
        <v/>
      </c>
      <c r="I1041">
        <f>IF($T1041="","",INT($T1041/12)&amp;"a "&amp;MOD($T1041,12)&amp;"m")</f>
        <v/>
      </c>
      <c r="J1041" s="11">
        <f>IF(OR($F1041="",$G1041=""),"",ROUND($F1041/($G1041/100)^2,2))</f>
        <v/>
      </c>
      <c r="K1041" s="12">
        <f>IF(OR($S1041="",$J1041="",$T1041="",$T1041&lt;0,$T1041&gt;228,$Y1041=""),"—",ROUND(IF(ABS($AB1041)&lt;=3,$AB1041,IF($AB1041&gt;3,3+($J1041-$AD1041)/($AD1041-$AC1041),-3+($J1041-$AF1041)/($AE1041-$AF1041))),2))</f>
        <v/>
      </c>
      <c r="L1041">
        <f>IF(OR($K1041="",$K1041="—"),"",IF($T1041&lt;=60,IF($K1041&lt;-3,"Magreza acentuada",IF($K1041&lt;-2,"Magreza",IF($K1041&lt;=1,"Eutrofia",IF($K1041&lt;=2,"Risco de sobrepeso",IF($K1041&lt;=3,"Sobrepeso","Obesidade"))))),IF($K1041&lt;-3,"Magreza acentuada",IF($K1041&lt;-2,"Magreza",IF($K1041&lt;=1,"Eutrofia",IF($K1041&lt;=2,"Sobrepeso",IF($K1041&lt;=3,"Obesidade","Obesidade grave")))))))</f>
        <v/>
      </c>
      <c r="M1041" s="12">
        <f>IF(OR($S1041="",$V1041="",$T1041="",$T1041&lt;0,$T1041&gt;228,$AG1041=""),"—",ROUND(IF($AG1041=0,LN($V1041/$AH1041)/$AI1041,((($V1041/$AH1041)^$AG1041)-1)/($AG1041*$AI1041)),2))</f>
        <v/>
      </c>
      <c r="N1041">
        <f>IF(OR($M1041="",$M1041="—"),"",IF($M1041&lt;-3,"Muito baixa",IF($M1041&lt;-2,"Baixa","Adequada")))</f>
        <v/>
      </c>
      <c r="O1041" s="12">
        <f>IF(OR($S1041="",$F1041="",$T1041="",$T1041&lt;0,$T1041&gt;120,$AJ1041=""),"—",ROUND(IF(ABS($AM1041)&lt;=3,$AM1041,IF($AM1041&gt;3,3+($F1041-$AO1041)/($AO1041-$AN1041),-3+($F1041-$AQ1041)/($AP1041-$AQ1041))),2))</f>
        <v/>
      </c>
      <c r="P1041">
        <f>IF(OR($O1041="",$O1041="—"),"",IF($O1041&lt;-3,"Muito baixo",IF($O1041&lt;-2,"Baixo",IF($O1041&lt;=2,"Adequado","Elevado"))))</f>
        <v/>
      </c>
      <c r="Q1041" s="12">
        <f>IF(OR($S1041="",$F1041="",$T1041="",$T1041&lt;0,$T1041&gt;60,$AR1041=""),"—",ROUND(IF(ABS($AU1041)&lt;=3,$AU1041,IF($AU1041&gt;3,3+($F1041-$AW1041)/($AW1041-$AV1041),-3+($F1041-$AY1041)/($AX1041-$AY1041))),2))</f>
        <v/>
      </c>
      <c r="R1041">
        <f>IF(OR($Q1041="",$Q1041="—"),"",IF($Q1041&lt;-3,"Magreza acentuada",IF($Q1041&lt;-2,"Magreza",IF($Q1041&lt;=1,"Eutrofia",IF($Q1041&lt;=2,"Risco de sobrepeso",IF($Q1041&lt;=3,"Sobrepeso","Obesidade"))))))</f>
        <v/>
      </c>
      <c r="S1041">
        <f>IF($C1041="","",IF(UPPER(LEFT($C1041,1))="M",1,IF(UPPER(LEFT($C1041,1))="F",2,"")))</f>
        <v/>
      </c>
      <c r="T1041">
        <f>IF(OR($D1041="",$E1041=""),"",DATEDIF($D1041,$E1041,"m"))</f>
        <v/>
      </c>
      <c r="U1041">
        <f>IF(OR($D1041="",$E1041=""),"",$E1041-$D1041)</f>
        <v/>
      </c>
      <c r="V1041">
        <f>IF(OR($G1041="",$T1041=""),"",IF($T1041&lt;24,IF(LEFT(LOWER($H1041),4)="em p",$G1041+0.7,$G1041),IF(LEFT(LOWER($H1041),4)="deit",$G1041-0.7,$G1041)))</f>
        <v/>
      </c>
      <c r="W1041">
        <f>IF(OR($S1041="",$T1041=""),"",$S1041*1000000+IF($T1041&lt;=60,$U1041,$T1041))</f>
        <v/>
      </c>
      <c r="X1041">
        <f>IF(OR($S1041="",$V1041="",$T1041&gt;60,$T1041=""),"",$S1041*1000000+ROUND($V1041*10,0))</f>
        <v/>
      </c>
      <c r="Y1041">
        <f>IF($W1041="","",IFERROR(INDEX(IF($T1041&lt;=60,imc05_l,imc519_l),MATCH($W1041,IF($T1041&lt;=60,imc05_k,imc519_k),1)),""))</f>
        <v/>
      </c>
      <c r="Z1041">
        <f>IF($W1041="","",IFERROR(INDEX(IF($T1041&lt;=60,imc05_m,imc519_m),MATCH($W1041,IF($T1041&lt;=60,imc05_k,imc519_k),1)),""))</f>
        <v/>
      </c>
      <c r="AA1041">
        <f>IF($W1041="","",IFERROR(INDEX(IF($T1041&lt;=60,imc05_s,imc519_s),MATCH($W1041,IF($T1041&lt;=60,imc05_k,imc519_k),1)),""))</f>
        <v/>
      </c>
      <c r="AB1041">
        <f>IF($Y1041="","",IF($Y1041=0,LN($J1041/$Z1041)/$AA1041,((($J1041/$Z1041)^$Y1041)-1)/($Y1041*$AA1041)))</f>
        <v/>
      </c>
      <c r="AC1041">
        <f>IF($Y1041="","",IF($Y1041=0,$Z1041*EXP($AA1041*2),$Z1041*(1+$Y1041*$AA1041*2)^(1/$Y1041)))</f>
        <v/>
      </c>
      <c r="AD1041">
        <f>IF($Y1041="","",IF($Y1041=0,$Z1041*EXP($AA1041*3),$Z1041*(1+$Y1041*$AA1041*3)^(1/$Y1041)))</f>
        <v/>
      </c>
      <c r="AE1041">
        <f>IF($Y1041="","",IF($Y1041=0,$Z1041*EXP($AA1041*-2),$Z1041*(1+$Y1041*$AA1041*-2)^(1/$Y1041)))</f>
        <v/>
      </c>
      <c r="AF1041">
        <f>IF($Y1041="","",IF($Y1041=0,$Z1041*EXP($AA1041*-3),$Z1041*(1+$Y1041*$AA1041*-3)^(1/$Y1041)))</f>
        <v/>
      </c>
      <c r="AG1041">
        <f>IF($W1041="","",IFERROR(INDEX(IF($T1041&lt;=60,est05_l,est519_l),MATCH($W1041,IF($T1041&lt;=60,est05_k,est519_k),1)),""))</f>
        <v/>
      </c>
      <c r="AH1041">
        <f>IF($W1041="","",IFERROR(INDEX(IF($T1041&lt;=60,est05_m,est519_m),MATCH($W1041,IF($T1041&lt;=60,est05_k,est519_k),1)),""))</f>
        <v/>
      </c>
      <c r="AI1041">
        <f>IF($W1041="","",IFERROR(INDEX(IF($T1041&lt;=60,est05_s,est519_s),MATCH($W1041,IF($T1041&lt;=60,est05_k,est519_k),1)),""))</f>
        <v/>
      </c>
      <c r="AJ1041">
        <f>IF($W1041="","",IFERROR(INDEX(IF($T1041&lt;=60,peso05_l,peso510_l),MATCH($W1041,IF($T1041&lt;=60,peso05_k,peso510_k),1)),""))</f>
        <v/>
      </c>
      <c r="AK1041">
        <f>IF($W1041="","",IFERROR(INDEX(IF($T1041&lt;=60,peso05_m,peso510_m),MATCH($W1041,IF($T1041&lt;=60,peso05_k,peso510_k),1)),""))</f>
        <v/>
      </c>
      <c r="AL1041">
        <f>IF($W1041="","",IFERROR(INDEX(IF($T1041&lt;=60,peso05_s,peso510_s),MATCH($W1041,IF($T1041&lt;=60,peso05_k,peso510_k),1)),""))</f>
        <v/>
      </c>
      <c r="AM1041">
        <f>IF($AJ1041="","",IF($AJ1041=0,LN($F1041/$AK1041)/$AL1041,((($F1041/$AK1041)^$AJ1041)-1)/($AJ1041*$AL1041)))</f>
        <v/>
      </c>
      <c r="AN1041">
        <f>IF($AJ1041="","",IF($AJ1041=0,$AK1041*EXP($AL1041*2),$AK1041*(1+$AJ1041*$AL1041*2)^(1/$AJ1041)))</f>
        <v/>
      </c>
      <c r="AO1041">
        <f>IF($AJ1041="","",IF($AJ1041=0,$AK1041*EXP($AL1041*3),$AK1041*(1+$AJ1041*$AL1041*3)^(1/$AJ1041)))</f>
        <v/>
      </c>
      <c r="AP1041">
        <f>IF($AJ1041="","",IF($AJ1041=0,$AK1041*EXP($AL1041*-2),$AK1041*(1+$AJ1041*$AL1041*-2)^(1/$AJ1041)))</f>
        <v/>
      </c>
      <c r="AQ1041">
        <f>IF($AJ1041="","",IF($AJ1041=0,$AK1041*EXP($AL1041*-3),$AK1041*(1+$AJ1041*$AL1041*-3)^(1/$AJ1041)))</f>
        <v/>
      </c>
      <c r="AR1041">
        <f>IF(OR($X1041="",$T1041&gt;60),"",IFERROR(INDEX(IF($T1041&lt;24,pcomp_l,palt_l),MATCH($X1041,IF($T1041&lt;24,pcomp_k,palt_k),1)),""))</f>
        <v/>
      </c>
      <c r="AS1041">
        <f>IF(OR($X1041="",$T1041&gt;60),"",IFERROR(INDEX(IF($T1041&lt;24,pcomp_m,palt_m),MATCH($X1041,IF($T1041&lt;24,pcomp_k,palt_k),1)),""))</f>
        <v/>
      </c>
      <c r="AT1041">
        <f>IF(OR($X1041="",$T1041&gt;60),"",IFERROR(INDEX(IF($T1041&lt;24,pcomp_s,palt_s),MATCH($X1041,IF($T1041&lt;24,pcomp_k,palt_k),1)),""))</f>
        <v/>
      </c>
      <c r="AU1041">
        <f>IF($AR1041="","",IF($AR1041=0,LN($F1041/$AS1041)/$AT1041,((($F1041/$AS1041)^$AR1041)-1)/($AR1041*$AT1041)))</f>
        <v/>
      </c>
      <c r="AV1041">
        <f>IF($AR1041="","",IF($AR1041=0,$AS1041*EXP($AT1041*2),$AS1041*(1+$AR1041*$AT1041*2)^(1/$AR1041)))</f>
        <v/>
      </c>
      <c r="AW1041">
        <f>IF($AR1041="","",IF($AR1041=0,$AS1041*EXP($AT1041*3),$AS1041*(1+$AR1041*$AT1041*3)^(1/$AR1041)))</f>
        <v/>
      </c>
      <c r="AX1041">
        <f>IF($AR1041="","",IF($AR1041=0,$AS1041*EXP($AT1041*-2),$AS1041*(1+$AR1041*$AT1041*-2)^(1/$AR1041)))</f>
        <v/>
      </c>
      <c r="AY1041">
        <f>IF($AR1041="","",IF($AR1041=0,$AS1041*EXP($AT1041*-3),$AS1041*(1+$AR1041*$AT1041*-3)^(1/$AR1041)))</f>
        <v/>
      </c>
      <c r="AZ1041">
        <f>IF(OR($A1041="",$A1041&lt;&gt;Ficha!$C$4),"",COUNTIF($A$2:$A1041,Ficha!$C$4))</f>
        <v/>
      </c>
    </row>
    <row r="1042">
      <c r="A1042" s="8">
        <f>IF(INDEX(Banco!$A:$A,ROW())="","",INDEX(Banco!$A:$A,ROW()))</f>
        <v/>
      </c>
      <c r="B1042" s="8">
        <f>IF(INDEX(Banco!$B:$B,ROW())="","",INDEX(Banco!$B:$B,ROW()))</f>
        <v/>
      </c>
      <c r="C1042" s="8">
        <f>IF(INDEX(Banco!$C:$C,ROW())="","",INDEX(Banco!$C:$C,ROW()))</f>
        <v/>
      </c>
      <c r="D1042" s="9">
        <f>IF(INDEX(Banco!$D:$D,ROW())="","",INDEX(Banco!$D:$D,ROW()))</f>
        <v/>
      </c>
      <c r="E1042" s="9">
        <f>IF(INDEX(Banco!$E:$E,ROW())="","",INDEX(Banco!$E:$E,ROW()))</f>
        <v/>
      </c>
      <c r="F1042" s="10">
        <f>IF(INDEX(Banco!$F:$F,ROW())="","",INDEX(Banco!$F:$F,ROW()))</f>
        <v/>
      </c>
      <c r="G1042" s="10">
        <f>IF(INDEX(Banco!$G:$G,ROW())="","",INDEX(Banco!$G:$G,ROW()))</f>
        <v/>
      </c>
      <c r="H1042" s="8">
        <f>IF(INDEX(Banco!$H:$H,ROW())="","",INDEX(Banco!$H:$H,ROW()))</f>
        <v/>
      </c>
      <c r="I1042">
        <f>IF($T1042="","",INT($T1042/12)&amp;"a "&amp;MOD($T1042,12)&amp;"m")</f>
        <v/>
      </c>
      <c r="J1042" s="11">
        <f>IF(OR($F1042="",$G1042=""),"",ROUND($F1042/($G1042/100)^2,2))</f>
        <v/>
      </c>
      <c r="K1042" s="12">
        <f>IF(OR($S1042="",$J1042="",$T1042="",$T1042&lt;0,$T1042&gt;228,$Y1042=""),"—",ROUND(IF(ABS($AB1042)&lt;=3,$AB1042,IF($AB1042&gt;3,3+($J1042-$AD1042)/($AD1042-$AC1042),-3+($J1042-$AF1042)/($AE1042-$AF1042))),2))</f>
        <v/>
      </c>
      <c r="L1042">
        <f>IF(OR($K1042="",$K1042="—"),"",IF($T1042&lt;=60,IF($K1042&lt;-3,"Magreza acentuada",IF($K1042&lt;-2,"Magreza",IF($K1042&lt;=1,"Eutrofia",IF($K1042&lt;=2,"Risco de sobrepeso",IF($K1042&lt;=3,"Sobrepeso","Obesidade"))))),IF($K1042&lt;-3,"Magreza acentuada",IF($K1042&lt;-2,"Magreza",IF($K1042&lt;=1,"Eutrofia",IF($K1042&lt;=2,"Sobrepeso",IF($K1042&lt;=3,"Obesidade","Obesidade grave")))))))</f>
        <v/>
      </c>
      <c r="M1042" s="12">
        <f>IF(OR($S1042="",$V1042="",$T1042="",$T1042&lt;0,$T1042&gt;228,$AG1042=""),"—",ROUND(IF($AG1042=0,LN($V1042/$AH1042)/$AI1042,((($V1042/$AH1042)^$AG1042)-1)/($AG1042*$AI1042)),2))</f>
        <v/>
      </c>
      <c r="N1042">
        <f>IF(OR($M1042="",$M1042="—"),"",IF($M1042&lt;-3,"Muito baixa",IF($M1042&lt;-2,"Baixa","Adequada")))</f>
        <v/>
      </c>
      <c r="O1042" s="12">
        <f>IF(OR($S1042="",$F1042="",$T1042="",$T1042&lt;0,$T1042&gt;120,$AJ1042=""),"—",ROUND(IF(ABS($AM1042)&lt;=3,$AM1042,IF($AM1042&gt;3,3+($F1042-$AO1042)/($AO1042-$AN1042),-3+($F1042-$AQ1042)/($AP1042-$AQ1042))),2))</f>
        <v/>
      </c>
      <c r="P1042">
        <f>IF(OR($O1042="",$O1042="—"),"",IF($O1042&lt;-3,"Muito baixo",IF($O1042&lt;-2,"Baixo",IF($O1042&lt;=2,"Adequado","Elevado"))))</f>
        <v/>
      </c>
      <c r="Q1042" s="12">
        <f>IF(OR($S1042="",$F1042="",$T1042="",$T1042&lt;0,$T1042&gt;60,$AR1042=""),"—",ROUND(IF(ABS($AU1042)&lt;=3,$AU1042,IF($AU1042&gt;3,3+($F1042-$AW1042)/($AW1042-$AV1042),-3+($F1042-$AY1042)/($AX1042-$AY1042))),2))</f>
        <v/>
      </c>
      <c r="R1042">
        <f>IF(OR($Q1042="",$Q1042="—"),"",IF($Q1042&lt;-3,"Magreza acentuada",IF($Q1042&lt;-2,"Magreza",IF($Q1042&lt;=1,"Eutrofia",IF($Q1042&lt;=2,"Risco de sobrepeso",IF($Q1042&lt;=3,"Sobrepeso","Obesidade"))))))</f>
        <v/>
      </c>
      <c r="S1042">
        <f>IF($C1042="","",IF(UPPER(LEFT($C1042,1))="M",1,IF(UPPER(LEFT($C1042,1))="F",2,"")))</f>
        <v/>
      </c>
      <c r="T1042">
        <f>IF(OR($D1042="",$E1042=""),"",DATEDIF($D1042,$E1042,"m"))</f>
        <v/>
      </c>
      <c r="U1042">
        <f>IF(OR($D1042="",$E1042=""),"",$E1042-$D1042)</f>
        <v/>
      </c>
      <c r="V1042">
        <f>IF(OR($G1042="",$T1042=""),"",IF($T1042&lt;24,IF(LEFT(LOWER($H1042),4)="em p",$G1042+0.7,$G1042),IF(LEFT(LOWER($H1042),4)="deit",$G1042-0.7,$G1042)))</f>
        <v/>
      </c>
      <c r="W1042">
        <f>IF(OR($S1042="",$T1042=""),"",$S1042*1000000+IF($T1042&lt;=60,$U1042,$T1042))</f>
        <v/>
      </c>
      <c r="X1042">
        <f>IF(OR($S1042="",$V1042="",$T1042&gt;60,$T1042=""),"",$S1042*1000000+ROUND($V1042*10,0))</f>
        <v/>
      </c>
      <c r="Y1042">
        <f>IF($W1042="","",IFERROR(INDEX(IF($T1042&lt;=60,imc05_l,imc519_l),MATCH($W1042,IF($T1042&lt;=60,imc05_k,imc519_k),1)),""))</f>
        <v/>
      </c>
      <c r="Z1042">
        <f>IF($W1042="","",IFERROR(INDEX(IF($T1042&lt;=60,imc05_m,imc519_m),MATCH($W1042,IF($T1042&lt;=60,imc05_k,imc519_k),1)),""))</f>
        <v/>
      </c>
      <c r="AA1042">
        <f>IF($W1042="","",IFERROR(INDEX(IF($T1042&lt;=60,imc05_s,imc519_s),MATCH($W1042,IF($T1042&lt;=60,imc05_k,imc519_k),1)),""))</f>
        <v/>
      </c>
      <c r="AB1042">
        <f>IF($Y1042="","",IF($Y1042=0,LN($J1042/$Z1042)/$AA1042,((($J1042/$Z1042)^$Y1042)-1)/($Y1042*$AA1042)))</f>
        <v/>
      </c>
      <c r="AC1042">
        <f>IF($Y1042="","",IF($Y1042=0,$Z1042*EXP($AA1042*2),$Z1042*(1+$Y1042*$AA1042*2)^(1/$Y1042)))</f>
        <v/>
      </c>
      <c r="AD1042">
        <f>IF($Y1042="","",IF($Y1042=0,$Z1042*EXP($AA1042*3),$Z1042*(1+$Y1042*$AA1042*3)^(1/$Y1042)))</f>
        <v/>
      </c>
      <c r="AE1042">
        <f>IF($Y1042="","",IF($Y1042=0,$Z1042*EXP($AA1042*-2),$Z1042*(1+$Y1042*$AA1042*-2)^(1/$Y1042)))</f>
        <v/>
      </c>
      <c r="AF1042">
        <f>IF($Y1042="","",IF($Y1042=0,$Z1042*EXP($AA1042*-3),$Z1042*(1+$Y1042*$AA1042*-3)^(1/$Y1042)))</f>
        <v/>
      </c>
      <c r="AG1042">
        <f>IF($W1042="","",IFERROR(INDEX(IF($T1042&lt;=60,est05_l,est519_l),MATCH($W1042,IF($T1042&lt;=60,est05_k,est519_k),1)),""))</f>
        <v/>
      </c>
      <c r="AH1042">
        <f>IF($W1042="","",IFERROR(INDEX(IF($T1042&lt;=60,est05_m,est519_m),MATCH($W1042,IF($T1042&lt;=60,est05_k,est519_k),1)),""))</f>
        <v/>
      </c>
      <c r="AI1042">
        <f>IF($W1042="","",IFERROR(INDEX(IF($T1042&lt;=60,est05_s,est519_s),MATCH($W1042,IF($T1042&lt;=60,est05_k,est519_k),1)),""))</f>
        <v/>
      </c>
      <c r="AJ1042">
        <f>IF($W1042="","",IFERROR(INDEX(IF($T1042&lt;=60,peso05_l,peso510_l),MATCH($W1042,IF($T1042&lt;=60,peso05_k,peso510_k),1)),""))</f>
        <v/>
      </c>
      <c r="AK1042">
        <f>IF($W1042="","",IFERROR(INDEX(IF($T1042&lt;=60,peso05_m,peso510_m),MATCH($W1042,IF($T1042&lt;=60,peso05_k,peso510_k),1)),""))</f>
        <v/>
      </c>
      <c r="AL1042">
        <f>IF($W1042="","",IFERROR(INDEX(IF($T1042&lt;=60,peso05_s,peso510_s),MATCH($W1042,IF($T1042&lt;=60,peso05_k,peso510_k),1)),""))</f>
        <v/>
      </c>
      <c r="AM1042">
        <f>IF($AJ1042="","",IF($AJ1042=0,LN($F1042/$AK1042)/$AL1042,((($F1042/$AK1042)^$AJ1042)-1)/($AJ1042*$AL1042)))</f>
        <v/>
      </c>
      <c r="AN1042">
        <f>IF($AJ1042="","",IF($AJ1042=0,$AK1042*EXP($AL1042*2),$AK1042*(1+$AJ1042*$AL1042*2)^(1/$AJ1042)))</f>
        <v/>
      </c>
      <c r="AO1042">
        <f>IF($AJ1042="","",IF($AJ1042=0,$AK1042*EXP($AL1042*3),$AK1042*(1+$AJ1042*$AL1042*3)^(1/$AJ1042)))</f>
        <v/>
      </c>
      <c r="AP1042">
        <f>IF($AJ1042="","",IF($AJ1042=0,$AK1042*EXP($AL1042*-2),$AK1042*(1+$AJ1042*$AL1042*-2)^(1/$AJ1042)))</f>
        <v/>
      </c>
      <c r="AQ1042">
        <f>IF($AJ1042="","",IF($AJ1042=0,$AK1042*EXP($AL1042*-3),$AK1042*(1+$AJ1042*$AL1042*-3)^(1/$AJ1042)))</f>
        <v/>
      </c>
      <c r="AR1042">
        <f>IF(OR($X1042="",$T1042&gt;60),"",IFERROR(INDEX(IF($T1042&lt;24,pcomp_l,palt_l),MATCH($X1042,IF($T1042&lt;24,pcomp_k,palt_k),1)),""))</f>
        <v/>
      </c>
      <c r="AS1042">
        <f>IF(OR($X1042="",$T1042&gt;60),"",IFERROR(INDEX(IF($T1042&lt;24,pcomp_m,palt_m),MATCH($X1042,IF($T1042&lt;24,pcomp_k,palt_k),1)),""))</f>
        <v/>
      </c>
      <c r="AT1042">
        <f>IF(OR($X1042="",$T1042&gt;60),"",IFERROR(INDEX(IF($T1042&lt;24,pcomp_s,palt_s),MATCH($X1042,IF($T1042&lt;24,pcomp_k,palt_k),1)),""))</f>
        <v/>
      </c>
      <c r="AU1042">
        <f>IF($AR1042="","",IF($AR1042=0,LN($F1042/$AS1042)/$AT1042,((($F1042/$AS1042)^$AR1042)-1)/($AR1042*$AT1042)))</f>
        <v/>
      </c>
      <c r="AV1042">
        <f>IF($AR1042="","",IF($AR1042=0,$AS1042*EXP($AT1042*2),$AS1042*(1+$AR1042*$AT1042*2)^(1/$AR1042)))</f>
        <v/>
      </c>
      <c r="AW1042">
        <f>IF($AR1042="","",IF($AR1042=0,$AS1042*EXP($AT1042*3),$AS1042*(1+$AR1042*$AT1042*3)^(1/$AR1042)))</f>
        <v/>
      </c>
      <c r="AX1042">
        <f>IF($AR1042="","",IF($AR1042=0,$AS1042*EXP($AT1042*-2),$AS1042*(1+$AR1042*$AT1042*-2)^(1/$AR1042)))</f>
        <v/>
      </c>
      <c r="AY1042">
        <f>IF($AR1042="","",IF($AR1042=0,$AS1042*EXP($AT1042*-3),$AS1042*(1+$AR1042*$AT1042*-3)^(1/$AR1042)))</f>
        <v/>
      </c>
      <c r="AZ1042">
        <f>IF(OR($A1042="",$A1042&lt;&gt;Ficha!$C$4),"",COUNTIF($A$2:$A1042,Ficha!$C$4))</f>
        <v/>
      </c>
    </row>
    <row r="1043">
      <c r="A1043" s="8">
        <f>IF(INDEX(Banco!$A:$A,ROW())="","",INDEX(Banco!$A:$A,ROW()))</f>
        <v/>
      </c>
      <c r="B1043" s="8">
        <f>IF(INDEX(Banco!$B:$B,ROW())="","",INDEX(Banco!$B:$B,ROW()))</f>
        <v/>
      </c>
      <c r="C1043" s="8">
        <f>IF(INDEX(Banco!$C:$C,ROW())="","",INDEX(Banco!$C:$C,ROW()))</f>
        <v/>
      </c>
      <c r="D1043" s="9">
        <f>IF(INDEX(Banco!$D:$D,ROW())="","",INDEX(Banco!$D:$D,ROW()))</f>
        <v/>
      </c>
      <c r="E1043" s="9">
        <f>IF(INDEX(Banco!$E:$E,ROW())="","",INDEX(Banco!$E:$E,ROW()))</f>
        <v/>
      </c>
      <c r="F1043" s="10">
        <f>IF(INDEX(Banco!$F:$F,ROW())="","",INDEX(Banco!$F:$F,ROW()))</f>
        <v/>
      </c>
      <c r="G1043" s="10">
        <f>IF(INDEX(Banco!$G:$G,ROW())="","",INDEX(Banco!$G:$G,ROW()))</f>
        <v/>
      </c>
      <c r="H1043" s="8">
        <f>IF(INDEX(Banco!$H:$H,ROW())="","",INDEX(Banco!$H:$H,ROW()))</f>
        <v/>
      </c>
      <c r="I1043">
        <f>IF($T1043="","",INT($T1043/12)&amp;"a "&amp;MOD($T1043,12)&amp;"m")</f>
        <v/>
      </c>
      <c r="J1043" s="11">
        <f>IF(OR($F1043="",$G1043=""),"",ROUND($F1043/($G1043/100)^2,2))</f>
        <v/>
      </c>
      <c r="K1043" s="12">
        <f>IF(OR($S1043="",$J1043="",$T1043="",$T1043&lt;0,$T1043&gt;228,$Y1043=""),"—",ROUND(IF(ABS($AB1043)&lt;=3,$AB1043,IF($AB1043&gt;3,3+($J1043-$AD1043)/($AD1043-$AC1043),-3+($J1043-$AF1043)/($AE1043-$AF1043))),2))</f>
        <v/>
      </c>
      <c r="L1043">
        <f>IF(OR($K1043="",$K1043="—"),"",IF($T1043&lt;=60,IF($K1043&lt;-3,"Magreza acentuada",IF($K1043&lt;-2,"Magreza",IF($K1043&lt;=1,"Eutrofia",IF($K1043&lt;=2,"Risco de sobrepeso",IF($K1043&lt;=3,"Sobrepeso","Obesidade"))))),IF($K1043&lt;-3,"Magreza acentuada",IF($K1043&lt;-2,"Magreza",IF($K1043&lt;=1,"Eutrofia",IF($K1043&lt;=2,"Sobrepeso",IF($K1043&lt;=3,"Obesidade","Obesidade grave")))))))</f>
        <v/>
      </c>
      <c r="M1043" s="12">
        <f>IF(OR($S1043="",$V1043="",$T1043="",$T1043&lt;0,$T1043&gt;228,$AG1043=""),"—",ROUND(IF($AG1043=0,LN($V1043/$AH1043)/$AI1043,((($V1043/$AH1043)^$AG1043)-1)/($AG1043*$AI1043)),2))</f>
        <v/>
      </c>
      <c r="N1043">
        <f>IF(OR($M1043="",$M1043="—"),"",IF($M1043&lt;-3,"Muito baixa",IF($M1043&lt;-2,"Baixa","Adequada")))</f>
        <v/>
      </c>
      <c r="O1043" s="12">
        <f>IF(OR($S1043="",$F1043="",$T1043="",$T1043&lt;0,$T1043&gt;120,$AJ1043=""),"—",ROUND(IF(ABS($AM1043)&lt;=3,$AM1043,IF($AM1043&gt;3,3+($F1043-$AO1043)/($AO1043-$AN1043),-3+($F1043-$AQ1043)/($AP1043-$AQ1043))),2))</f>
        <v/>
      </c>
      <c r="P1043">
        <f>IF(OR($O1043="",$O1043="—"),"",IF($O1043&lt;-3,"Muito baixo",IF($O1043&lt;-2,"Baixo",IF($O1043&lt;=2,"Adequado","Elevado"))))</f>
        <v/>
      </c>
      <c r="Q1043" s="12">
        <f>IF(OR($S1043="",$F1043="",$T1043="",$T1043&lt;0,$T1043&gt;60,$AR1043=""),"—",ROUND(IF(ABS($AU1043)&lt;=3,$AU1043,IF($AU1043&gt;3,3+($F1043-$AW1043)/($AW1043-$AV1043),-3+($F1043-$AY1043)/($AX1043-$AY1043))),2))</f>
        <v/>
      </c>
      <c r="R1043">
        <f>IF(OR($Q1043="",$Q1043="—"),"",IF($Q1043&lt;-3,"Magreza acentuada",IF($Q1043&lt;-2,"Magreza",IF($Q1043&lt;=1,"Eutrofia",IF($Q1043&lt;=2,"Risco de sobrepeso",IF($Q1043&lt;=3,"Sobrepeso","Obesidade"))))))</f>
        <v/>
      </c>
      <c r="S1043">
        <f>IF($C1043="","",IF(UPPER(LEFT($C1043,1))="M",1,IF(UPPER(LEFT($C1043,1))="F",2,"")))</f>
        <v/>
      </c>
      <c r="T1043">
        <f>IF(OR($D1043="",$E1043=""),"",DATEDIF($D1043,$E1043,"m"))</f>
        <v/>
      </c>
      <c r="U1043">
        <f>IF(OR($D1043="",$E1043=""),"",$E1043-$D1043)</f>
        <v/>
      </c>
      <c r="V1043">
        <f>IF(OR($G1043="",$T1043=""),"",IF($T1043&lt;24,IF(LEFT(LOWER($H1043),4)="em p",$G1043+0.7,$G1043),IF(LEFT(LOWER($H1043),4)="deit",$G1043-0.7,$G1043)))</f>
        <v/>
      </c>
      <c r="W1043">
        <f>IF(OR($S1043="",$T1043=""),"",$S1043*1000000+IF($T1043&lt;=60,$U1043,$T1043))</f>
        <v/>
      </c>
      <c r="X1043">
        <f>IF(OR($S1043="",$V1043="",$T1043&gt;60,$T1043=""),"",$S1043*1000000+ROUND($V1043*10,0))</f>
        <v/>
      </c>
      <c r="Y1043">
        <f>IF($W1043="","",IFERROR(INDEX(IF($T1043&lt;=60,imc05_l,imc519_l),MATCH($W1043,IF($T1043&lt;=60,imc05_k,imc519_k),1)),""))</f>
        <v/>
      </c>
      <c r="Z1043">
        <f>IF($W1043="","",IFERROR(INDEX(IF($T1043&lt;=60,imc05_m,imc519_m),MATCH($W1043,IF($T1043&lt;=60,imc05_k,imc519_k),1)),""))</f>
        <v/>
      </c>
      <c r="AA1043">
        <f>IF($W1043="","",IFERROR(INDEX(IF($T1043&lt;=60,imc05_s,imc519_s),MATCH($W1043,IF($T1043&lt;=60,imc05_k,imc519_k),1)),""))</f>
        <v/>
      </c>
      <c r="AB1043">
        <f>IF($Y1043="","",IF($Y1043=0,LN($J1043/$Z1043)/$AA1043,((($J1043/$Z1043)^$Y1043)-1)/($Y1043*$AA1043)))</f>
        <v/>
      </c>
      <c r="AC1043">
        <f>IF($Y1043="","",IF($Y1043=0,$Z1043*EXP($AA1043*2),$Z1043*(1+$Y1043*$AA1043*2)^(1/$Y1043)))</f>
        <v/>
      </c>
      <c r="AD1043">
        <f>IF($Y1043="","",IF($Y1043=0,$Z1043*EXP($AA1043*3),$Z1043*(1+$Y1043*$AA1043*3)^(1/$Y1043)))</f>
        <v/>
      </c>
      <c r="AE1043">
        <f>IF($Y1043="","",IF($Y1043=0,$Z1043*EXP($AA1043*-2),$Z1043*(1+$Y1043*$AA1043*-2)^(1/$Y1043)))</f>
        <v/>
      </c>
      <c r="AF1043">
        <f>IF($Y1043="","",IF($Y1043=0,$Z1043*EXP($AA1043*-3),$Z1043*(1+$Y1043*$AA1043*-3)^(1/$Y1043)))</f>
        <v/>
      </c>
      <c r="AG1043">
        <f>IF($W1043="","",IFERROR(INDEX(IF($T1043&lt;=60,est05_l,est519_l),MATCH($W1043,IF($T1043&lt;=60,est05_k,est519_k),1)),""))</f>
        <v/>
      </c>
      <c r="AH1043">
        <f>IF($W1043="","",IFERROR(INDEX(IF($T1043&lt;=60,est05_m,est519_m),MATCH($W1043,IF($T1043&lt;=60,est05_k,est519_k),1)),""))</f>
        <v/>
      </c>
      <c r="AI1043">
        <f>IF($W1043="","",IFERROR(INDEX(IF($T1043&lt;=60,est05_s,est519_s),MATCH($W1043,IF($T1043&lt;=60,est05_k,est519_k),1)),""))</f>
        <v/>
      </c>
      <c r="AJ1043">
        <f>IF($W1043="","",IFERROR(INDEX(IF($T1043&lt;=60,peso05_l,peso510_l),MATCH($W1043,IF($T1043&lt;=60,peso05_k,peso510_k),1)),""))</f>
        <v/>
      </c>
      <c r="AK1043">
        <f>IF($W1043="","",IFERROR(INDEX(IF($T1043&lt;=60,peso05_m,peso510_m),MATCH($W1043,IF($T1043&lt;=60,peso05_k,peso510_k),1)),""))</f>
        <v/>
      </c>
      <c r="AL1043">
        <f>IF($W1043="","",IFERROR(INDEX(IF($T1043&lt;=60,peso05_s,peso510_s),MATCH($W1043,IF($T1043&lt;=60,peso05_k,peso510_k),1)),""))</f>
        <v/>
      </c>
      <c r="AM1043">
        <f>IF($AJ1043="","",IF($AJ1043=0,LN($F1043/$AK1043)/$AL1043,((($F1043/$AK1043)^$AJ1043)-1)/($AJ1043*$AL1043)))</f>
        <v/>
      </c>
      <c r="AN1043">
        <f>IF($AJ1043="","",IF($AJ1043=0,$AK1043*EXP($AL1043*2),$AK1043*(1+$AJ1043*$AL1043*2)^(1/$AJ1043)))</f>
        <v/>
      </c>
      <c r="AO1043">
        <f>IF($AJ1043="","",IF($AJ1043=0,$AK1043*EXP($AL1043*3),$AK1043*(1+$AJ1043*$AL1043*3)^(1/$AJ1043)))</f>
        <v/>
      </c>
      <c r="AP1043">
        <f>IF($AJ1043="","",IF($AJ1043=0,$AK1043*EXP($AL1043*-2),$AK1043*(1+$AJ1043*$AL1043*-2)^(1/$AJ1043)))</f>
        <v/>
      </c>
      <c r="AQ1043">
        <f>IF($AJ1043="","",IF($AJ1043=0,$AK1043*EXP($AL1043*-3),$AK1043*(1+$AJ1043*$AL1043*-3)^(1/$AJ1043)))</f>
        <v/>
      </c>
      <c r="AR1043">
        <f>IF(OR($X1043="",$T1043&gt;60),"",IFERROR(INDEX(IF($T1043&lt;24,pcomp_l,palt_l),MATCH($X1043,IF($T1043&lt;24,pcomp_k,palt_k),1)),""))</f>
        <v/>
      </c>
      <c r="AS1043">
        <f>IF(OR($X1043="",$T1043&gt;60),"",IFERROR(INDEX(IF($T1043&lt;24,pcomp_m,palt_m),MATCH($X1043,IF($T1043&lt;24,pcomp_k,palt_k),1)),""))</f>
        <v/>
      </c>
      <c r="AT1043">
        <f>IF(OR($X1043="",$T1043&gt;60),"",IFERROR(INDEX(IF($T1043&lt;24,pcomp_s,palt_s),MATCH($X1043,IF($T1043&lt;24,pcomp_k,palt_k),1)),""))</f>
        <v/>
      </c>
      <c r="AU1043">
        <f>IF($AR1043="","",IF($AR1043=0,LN($F1043/$AS1043)/$AT1043,((($F1043/$AS1043)^$AR1043)-1)/($AR1043*$AT1043)))</f>
        <v/>
      </c>
      <c r="AV1043">
        <f>IF($AR1043="","",IF($AR1043=0,$AS1043*EXP($AT1043*2),$AS1043*(1+$AR1043*$AT1043*2)^(1/$AR1043)))</f>
        <v/>
      </c>
      <c r="AW1043">
        <f>IF($AR1043="","",IF($AR1043=0,$AS1043*EXP($AT1043*3),$AS1043*(1+$AR1043*$AT1043*3)^(1/$AR1043)))</f>
        <v/>
      </c>
      <c r="AX1043">
        <f>IF($AR1043="","",IF($AR1043=0,$AS1043*EXP($AT1043*-2),$AS1043*(1+$AR1043*$AT1043*-2)^(1/$AR1043)))</f>
        <v/>
      </c>
      <c r="AY1043">
        <f>IF($AR1043="","",IF($AR1043=0,$AS1043*EXP($AT1043*-3),$AS1043*(1+$AR1043*$AT1043*-3)^(1/$AR1043)))</f>
        <v/>
      </c>
      <c r="AZ1043">
        <f>IF(OR($A1043="",$A1043&lt;&gt;Ficha!$C$4),"",COUNTIF($A$2:$A1043,Ficha!$C$4))</f>
        <v/>
      </c>
    </row>
    <row r="1044">
      <c r="A1044" s="8">
        <f>IF(INDEX(Banco!$A:$A,ROW())="","",INDEX(Banco!$A:$A,ROW()))</f>
        <v/>
      </c>
      <c r="B1044" s="8">
        <f>IF(INDEX(Banco!$B:$B,ROW())="","",INDEX(Banco!$B:$B,ROW()))</f>
        <v/>
      </c>
      <c r="C1044" s="8">
        <f>IF(INDEX(Banco!$C:$C,ROW())="","",INDEX(Banco!$C:$C,ROW()))</f>
        <v/>
      </c>
      <c r="D1044" s="9">
        <f>IF(INDEX(Banco!$D:$D,ROW())="","",INDEX(Banco!$D:$D,ROW()))</f>
        <v/>
      </c>
      <c r="E1044" s="9">
        <f>IF(INDEX(Banco!$E:$E,ROW())="","",INDEX(Banco!$E:$E,ROW()))</f>
        <v/>
      </c>
      <c r="F1044" s="10">
        <f>IF(INDEX(Banco!$F:$F,ROW())="","",INDEX(Banco!$F:$F,ROW()))</f>
        <v/>
      </c>
      <c r="G1044" s="10">
        <f>IF(INDEX(Banco!$G:$G,ROW())="","",INDEX(Banco!$G:$G,ROW()))</f>
        <v/>
      </c>
      <c r="H1044" s="8">
        <f>IF(INDEX(Banco!$H:$H,ROW())="","",INDEX(Banco!$H:$H,ROW()))</f>
        <v/>
      </c>
      <c r="I1044">
        <f>IF($T1044="","",INT($T1044/12)&amp;"a "&amp;MOD($T1044,12)&amp;"m")</f>
        <v/>
      </c>
      <c r="J1044" s="11">
        <f>IF(OR($F1044="",$G1044=""),"",ROUND($F1044/($G1044/100)^2,2))</f>
        <v/>
      </c>
      <c r="K1044" s="12">
        <f>IF(OR($S1044="",$J1044="",$T1044="",$T1044&lt;0,$T1044&gt;228,$Y1044=""),"—",ROUND(IF(ABS($AB1044)&lt;=3,$AB1044,IF($AB1044&gt;3,3+($J1044-$AD1044)/($AD1044-$AC1044),-3+($J1044-$AF1044)/($AE1044-$AF1044))),2))</f>
        <v/>
      </c>
      <c r="L1044">
        <f>IF(OR($K1044="",$K1044="—"),"",IF($T1044&lt;=60,IF($K1044&lt;-3,"Magreza acentuada",IF($K1044&lt;-2,"Magreza",IF($K1044&lt;=1,"Eutrofia",IF($K1044&lt;=2,"Risco de sobrepeso",IF($K1044&lt;=3,"Sobrepeso","Obesidade"))))),IF($K1044&lt;-3,"Magreza acentuada",IF($K1044&lt;-2,"Magreza",IF($K1044&lt;=1,"Eutrofia",IF($K1044&lt;=2,"Sobrepeso",IF($K1044&lt;=3,"Obesidade","Obesidade grave")))))))</f>
        <v/>
      </c>
      <c r="M1044" s="12">
        <f>IF(OR($S1044="",$V1044="",$T1044="",$T1044&lt;0,$T1044&gt;228,$AG1044=""),"—",ROUND(IF($AG1044=0,LN($V1044/$AH1044)/$AI1044,((($V1044/$AH1044)^$AG1044)-1)/($AG1044*$AI1044)),2))</f>
        <v/>
      </c>
      <c r="N1044">
        <f>IF(OR($M1044="",$M1044="—"),"",IF($M1044&lt;-3,"Muito baixa",IF($M1044&lt;-2,"Baixa","Adequada")))</f>
        <v/>
      </c>
      <c r="O1044" s="12">
        <f>IF(OR($S1044="",$F1044="",$T1044="",$T1044&lt;0,$T1044&gt;120,$AJ1044=""),"—",ROUND(IF(ABS($AM1044)&lt;=3,$AM1044,IF($AM1044&gt;3,3+($F1044-$AO1044)/($AO1044-$AN1044),-3+($F1044-$AQ1044)/($AP1044-$AQ1044))),2))</f>
        <v/>
      </c>
      <c r="P1044">
        <f>IF(OR($O1044="",$O1044="—"),"",IF($O1044&lt;-3,"Muito baixo",IF($O1044&lt;-2,"Baixo",IF($O1044&lt;=2,"Adequado","Elevado"))))</f>
        <v/>
      </c>
      <c r="Q1044" s="12">
        <f>IF(OR($S1044="",$F1044="",$T1044="",$T1044&lt;0,$T1044&gt;60,$AR1044=""),"—",ROUND(IF(ABS($AU1044)&lt;=3,$AU1044,IF($AU1044&gt;3,3+($F1044-$AW1044)/($AW1044-$AV1044),-3+($F1044-$AY1044)/($AX1044-$AY1044))),2))</f>
        <v/>
      </c>
      <c r="R1044">
        <f>IF(OR($Q1044="",$Q1044="—"),"",IF($Q1044&lt;-3,"Magreza acentuada",IF($Q1044&lt;-2,"Magreza",IF($Q1044&lt;=1,"Eutrofia",IF($Q1044&lt;=2,"Risco de sobrepeso",IF($Q1044&lt;=3,"Sobrepeso","Obesidade"))))))</f>
        <v/>
      </c>
      <c r="S1044">
        <f>IF($C1044="","",IF(UPPER(LEFT($C1044,1))="M",1,IF(UPPER(LEFT($C1044,1))="F",2,"")))</f>
        <v/>
      </c>
      <c r="T1044">
        <f>IF(OR($D1044="",$E1044=""),"",DATEDIF($D1044,$E1044,"m"))</f>
        <v/>
      </c>
      <c r="U1044">
        <f>IF(OR($D1044="",$E1044=""),"",$E1044-$D1044)</f>
        <v/>
      </c>
      <c r="V1044">
        <f>IF(OR($G1044="",$T1044=""),"",IF($T1044&lt;24,IF(LEFT(LOWER($H1044),4)="em p",$G1044+0.7,$G1044),IF(LEFT(LOWER($H1044),4)="deit",$G1044-0.7,$G1044)))</f>
        <v/>
      </c>
      <c r="W1044">
        <f>IF(OR($S1044="",$T1044=""),"",$S1044*1000000+IF($T1044&lt;=60,$U1044,$T1044))</f>
        <v/>
      </c>
      <c r="X1044">
        <f>IF(OR($S1044="",$V1044="",$T1044&gt;60,$T1044=""),"",$S1044*1000000+ROUND($V1044*10,0))</f>
        <v/>
      </c>
      <c r="Y1044">
        <f>IF($W1044="","",IFERROR(INDEX(IF($T1044&lt;=60,imc05_l,imc519_l),MATCH($W1044,IF($T1044&lt;=60,imc05_k,imc519_k),1)),""))</f>
        <v/>
      </c>
      <c r="Z1044">
        <f>IF($W1044="","",IFERROR(INDEX(IF($T1044&lt;=60,imc05_m,imc519_m),MATCH($W1044,IF($T1044&lt;=60,imc05_k,imc519_k),1)),""))</f>
        <v/>
      </c>
      <c r="AA1044">
        <f>IF($W1044="","",IFERROR(INDEX(IF($T1044&lt;=60,imc05_s,imc519_s),MATCH($W1044,IF($T1044&lt;=60,imc05_k,imc519_k),1)),""))</f>
        <v/>
      </c>
      <c r="AB1044">
        <f>IF($Y1044="","",IF($Y1044=0,LN($J1044/$Z1044)/$AA1044,((($J1044/$Z1044)^$Y1044)-1)/($Y1044*$AA1044)))</f>
        <v/>
      </c>
      <c r="AC1044">
        <f>IF($Y1044="","",IF($Y1044=0,$Z1044*EXP($AA1044*2),$Z1044*(1+$Y1044*$AA1044*2)^(1/$Y1044)))</f>
        <v/>
      </c>
      <c r="AD1044">
        <f>IF($Y1044="","",IF($Y1044=0,$Z1044*EXP($AA1044*3),$Z1044*(1+$Y1044*$AA1044*3)^(1/$Y1044)))</f>
        <v/>
      </c>
      <c r="AE1044">
        <f>IF($Y1044="","",IF($Y1044=0,$Z1044*EXP($AA1044*-2),$Z1044*(1+$Y1044*$AA1044*-2)^(1/$Y1044)))</f>
        <v/>
      </c>
      <c r="AF1044">
        <f>IF($Y1044="","",IF($Y1044=0,$Z1044*EXP($AA1044*-3),$Z1044*(1+$Y1044*$AA1044*-3)^(1/$Y1044)))</f>
        <v/>
      </c>
      <c r="AG1044">
        <f>IF($W1044="","",IFERROR(INDEX(IF($T1044&lt;=60,est05_l,est519_l),MATCH($W1044,IF($T1044&lt;=60,est05_k,est519_k),1)),""))</f>
        <v/>
      </c>
      <c r="AH1044">
        <f>IF($W1044="","",IFERROR(INDEX(IF($T1044&lt;=60,est05_m,est519_m),MATCH($W1044,IF($T1044&lt;=60,est05_k,est519_k),1)),""))</f>
        <v/>
      </c>
      <c r="AI1044">
        <f>IF($W1044="","",IFERROR(INDEX(IF($T1044&lt;=60,est05_s,est519_s),MATCH($W1044,IF($T1044&lt;=60,est05_k,est519_k),1)),""))</f>
        <v/>
      </c>
      <c r="AJ1044">
        <f>IF($W1044="","",IFERROR(INDEX(IF($T1044&lt;=60,peso05_l,peso510_l),MATCH($W1044,IF($T1044&lt;=60,peso05_k,peso510_k),1)),""))</f>
        <v/>
      </c>
      <c r="AK1044">
        <f>IF($W1044="","",IFERROR(INDEX(IF($T1044&lt;=60,peso05_m,peso510_m),MATCH($W1044,IF($T1044&lt;=60,peso05_k,peso510_k),1)),""))</f>
        <v/>
      </c>
      <c r="AL1044">
        <f>IF($W1044="","",IFERROR(INDEX(IF($T1044&lt;=60,peso05_s,peso510_s),MATCH($W1044,IF($T1044&lt;=60,peso05_k,peso510_k),1)),""))</f>
        <v/>
      </c>
      <c r="AM1044">
        <f>IF($AJ1044="","",IF($AJ1044=0,LN($F1044/$AK1044)/$AL1044,((($F1044/$AK1044)^$AJ1044)-1)/($AJ1044*$AL1044)))</f>
        <v/>
      </c>
      <c r="AN1044">
        <f>IF($AJ1044="","",IF($AJ1044=0,$AK1044*EXP($AL1044*2),$AK1044*(1+$AJ1044*$AL1044*2)^(1/$AJ1044)))</f>
        <v/>
      </c>
      <c r="AO1044">
        <f>IF($AJ1044="","",IF($AJ1044=0,$AK1044*EXP($AL1044*3),$AK1044*(1+$AJ1044*$AL1044*3)^(1/$AJ1044)))</f>
        <v/>
      </c>
      <c r="AP1044">
        <f>IF($AJ1044="","",IF($AJ1044=0,$AK1044*EXP($AL1044*-2),$AK1044*(1+$AJ1044*$AL1044*-2)^(1/$AJ1044)))</f>
        <v/>
      </c>
      <c r="AQ1044">
        <f>IF($AJ1044="","",IF($AJ1044=0,$AK1044*EXP($AL1044*-3),$AK1044*(1+$AJ1044*$AL1044*-3)^(1/$AJ1044)))</f>
        <v/>
      </c>
      <c r="AR1044">
        <f>IF(OR($X1044="",$T1044&gt;60),"",IFERROR(INDEX(IF($T1044&lt;24,pcomp_l,palt_l),MATCH($X1044,IF($T1044&lt;24,pcomp_k,palt_k),1)),""))</f>
        <v/>
      </c>
      <c r="AS1044">
        <f>IF(OR($X1044="",$T1044&gt;60),"",IFERROR(INDEX(IF($T1044&lt;24,pcomp_m,palt_m),MATCH($X1044,IF($T1044&lt;24,pcomp_k,palt_k),1)),""))</f>
        <v/>
      </c>
      <c r="AT1044">
        <f>IF(OR($X1044="",$T1044&gt;60),"",IFERROR(INDEX(IF($T1044&lt;24,pcomp_s,palt_s),MATCH($X1044,IF($T1044&lt;24,pcomp_k,palt_k),1)),""))</f>
        <v/>
      </c>
      <c r="AU1044">
        <f>IF($AR1044="","",IF($AR1044=0,LN($F1044/$AS1044)/$AT1044,((($F1044/$AS1044)^$AR1044)-1)/($AR1044*$AT1044)))</f>
        <v/>
      </c>
      <c r="AV1044">
        <f>IF($AR1044="","",IF($AR1044=0,$AS1044*EXP($AT1044*2),$AS1044*(1+$AR1044*$AT1044*2)^(1/$AR1044)))</f>
        <v/>
      </c>
      <c r="AW1044">
        <f>IF($AR1044="","",IF($AR1044=0,$AS1044*EXP($AT1044*3),$AS1044*(1+$AR1044*$AT1044*3)^(1/$AR1044)))</f>
        <v/>
      </c>
      <c r="AX1044">
        <f>IF($AR1044="","",IF($AR1044=0,$AS1044*EXP($AT1044*-2),$AS1044*(1+$AR1044*$AT1044*-2)^(1/$AR1044)))</f>
        <v/>
      </c>
      <c r="AY1044">
        <f>IF($AR1044="","",IF($AR1044=0,$AS1044*EXP($AT1044*-3),$AS1044*(1+$AR1044*$AT1044*-3)^(1/$AR1044)))</f>
        <v/>
      </c>
      <c r="AZ1044">
        <f>IF(OR($A1044="",$A1044&lt;&gt;Ficha!$C$4),"",COUNTIF($A$2:$A1044,Ficha!$C$4))</f>
        <v/>
      </c>
    </row>
    <row r="1045">
      <c r="A1045" s="8">
        <f>IF(INDEX(Banco!$A:$A,ROW())="","",INDEX(Banco!$A:$A,ROW()))</f>
        <v/>
      </c>
      <c r="B1045" s="8">
        <f>IF(INDEX(Banco!$B:$B,ROW())="","",INDEX(Banco!$B:$B,ROW()))</f>
        <v/>
      </c>
      <c r="C1045" s="8">
        <f>IF(INDEX(Banco!$C:$C,ROW())="","",INDEX(Banco!$C:$C,ROW()))</f>
        <v/>
      </c>
      <c r="D1045" s="9">
        <f>IF(INDEX(Banco!$D:$D,ROW())="","",INDEX(Banco!$D:$D,ROW()))</f>
        <v/>
      </c>
      <c r="E1045" s="9">
        <f>IF(INDEX(Banco!$E:$E,ROW())="","",INDEX(Banco!$E:$E,ROW()))</f>
        <v/>
      </c>
      <c r="F1045" s="10">
        <f>IF(INDEX(Banco!$F:$F,ROW())="","",INDEX(Banco!$F:$F,ROW()))</f>
        <v/>
      </c>
      <c r="G1045" s="10">
        <f>IF(INDEX(Banco!$G:$G,ROW())="","",INDEX(Banco!$G:$G,ROW()))</f>
        <v/>
      </c>
      <c r="H1045" s="8">
        <f>IF(INDEX(Banco!$H:$H,ROW())="","",INDEX(Banco!$H:$H,ROW()))</f>
        <v/>
      </c>
      <c r="I1045">
        <f>IF($T1045="","",INT($T1045/12)&amp;"a "&amp;MOD($T1045,12)&amp;"m")</f>
        <v/>
      </c>
      <c r="J1045" s="11">
        <f>IF(OR($F1045="",$G1045=""),"",ROUND($F1045/($G1045/100)^2,2))</f>
        <v/>
      </c>
      <c r="K1045" s="12">
        <f>IF(OR($S1045="",$J1045="",$T1045="",$T1045&lt;0,$T1045&gt;228,$Y1045=""),"—",ROUND(IF(ABS($AB1045)&lt;=3,$AB1045,IF($AB1045&gt;3,3+($J1045-$AD1045)/($AD1045-$AC1045),-3+($J1045-$AF1045)/($AE1045-$AF1045))),2))</f>
        <v/>
      </c>
      <c r="L1045">
        <f>IF(OR($K1045="",$K1045="—"),"",IF($T1045&lt;=60,IF($K1045&lt;-3,"Magreza acentuada",IF($K1045&lt;-2,"Magreza",IF($K1045&lt;=1,"Eutrofia",IF($K1045&lt;=2,"Risco de sobrepeso",IF($K1045&lt;=3,"Sobrepeso","Obesidade"))))),IF($K1045&lt;-3,"Magreza acentuada",IF($K1045&lt;-2,"Magreza",IF($K1045&lt;=1,"Eutrofia",IF($K1045&lt;=2,"Sobrepeso",IF($K1045&lt;=3,"Obesidade","Obesidade grave")))))))</f>
        <v/>
      </c>
      <c r="M1045" s="12">
        <f>IF(OR($S1045="",$V1045="",$T1045="",$T1045&lt;0,$T1045&gt;228,$AG1045=""),"—",ROUND(IF($AG1045=0,LN($V1045/$AH1045)/$AI1045,((($V1045/$AH1045)^$AG1045)-1)/($AG1045*$AI1045)),2))</f>
        <v/>
      </c>
      <c r="N1045">
        <f>IF(OR($M1045="",$M1045="—"),"",IF($M1045&lt;-3,"Muito baixa",IF($M1045&lt;-2,"Baixa","Adequada")))</f>
        <v/>
      </c>
      <c r="O1045" s="12">
        <f>IF(OR($S1045="",$F1045="",$T1045="",$T1045&lt;0,$T1045&gt;120,$AJ1045=""),"—",ROUND(IF(ABS($AM1045)&lt;=3,$AM1045,IF($AM1045&gt;3,3+($F1045-$AO1045)/($AO1045-$AN1045),-3+($F1045-$AQ1045)/($AP1045-$AQ1045))),2))</f>
        <v/>
      </c>
      <c r="P1045">
        <f>IF(OR($O1045="",$O1045="—"),"",IF($O1045&lt;-3,"Muito baixo",IF($O1045&lt;-2,"Baixo",IF($O1045&lt;=2,"Adequado","Elevado"))))</f>
        <v/>
      </c>
      <c r="Q1045" s="12">
        <f>IF(OR($S1045="",$F1045="",$T1045="",$T1045&lt;0,$T1045&gt;60,$AR1045=""),"—",ROUND(IF(ABS($AU1045)&lt;=3,$AU1045,IF($AU1045&gt;3,3+($F1045-$AW1045)/($AW1045-$AV1045),-3+($F1045-$AY1045)/($AX1045-$AY1045))),2))</f>
        <v/>
      </c>
      <c r="R1045">
        <f>IF(OR($Q1045="",$Q1045="—"),"",IF($Q1045&lt;-3,"Magreza acentuada",IF($Q1045&lt;-2,"Magreza",IF($Q1045&lt;=1,"Eutrofia",IF($Q1045&lt;=2,"Risco de sobrepeso",IF($Q1045&lt;=3,"Sobrepeso","Obesidade"))))))</f>
        <v/>
      </c>
      <c r="S1045">
        <f>IF($C1045="","",IF(UPPER(LEFT($C1045,1))="M",1,IF(UPPER(LEFT($C1045,1))="F",2,"")))</f>
        <v/>
      </c>
      <c r="T1045">
        <f>IF(OR($D1045="",$E1045=""),"",DATEDIF($D1045,$E1045,"m"))</f>
        <v/>
      </c>
      <c r="U1045">
        <f>IF(OR($D1045="",$E1045=""),"",$E1045-$D1045)</f>
        <v/>
      </c>
      <c r="V1045">
        <f>IF(OR($G1045="",$T1045=""),"",IF($T1045&lt;24,IF(LEFT(LOWER($H1045),4)="em p",$G1045+0.7,$G1045),IF(LEFT(LOWER($H1045),4)="deit",$G1045-0.7,$G1045)))</f>
        <v/>
      </c>
      <c r="W1045">
        <f>IF(OR($S1045="",$T1045=""),"",$S1045*1000000+IF($T1045&lt;=60,$U1045,$T1045))</f>
        <v/>
      </c>
      <c r="X1045">
        <f>IF(OR($S1045="",$V1045="",$T1045&gt;60,$T1045=""),"",$S1045*1000000+ROUND($V1045*10,0))</f>
        <v/>
      </c>
      <c r="Y1045">
        <f>IF($W1045="","",IFERROR(INDEX(IF($T1045&lt;=60,imc05_l,imc519_l),MATCH($W1045,IF($T1045&lt;=60,imc05_k,imc519_k),1)),""))</f>
        <v/>
      </c>
      <c r="Z1045">
        <f>IF($W1045="","",IFERROR(INDEX(IF($T1045&lt;=60,imc05_m,imc519_m),MATCH($W1045,IF($T1045&lt;=60,imc05_k,imc519_k),1)),""))</f>
        <v/>
      </c>
      <c r="AA1045">
        <f>IF($W1045="","",IFERROR(INDEX(IF($T1045&lt;=60,imc05_s,imc519_s),MATCH($W1045,IF($T1045&lt;=60,imc05_k,imc519_k),1)),""))</f>
        <v/>
      </c>
      <c r="AB1045">
        <f>IF($Y1045="","",IF($Y1045=0,LN($J1045/$Z1045)/$AA1045,((($J1045/$Z1045)^$Y1045)-1)/($Y1045*$AA1045)))</f>
        <v/>
      </c>
      <c r="AC1045">
        <f>IF($Y1045="","",IF($Y1045=0,$Z1045*EXP($AA1045*2),$Z1045*(1+$Y1045*$AA1045*2)^(1/$Y1045)))</f>
        <v/>
      </c>
      <c r="AD1045">
        <f>IF($Y1045="","",IF($Y1045=0,$Z1045*EXP($AA1045*3),$Z1045*(1+$Y1045*$AA1045*3)^(1/$Y1045)))</f>
        <v/>
      </c>
      <c r="AE1045">
        <f>IF($Y1045="","",IF($Y1045=0,$Z1045*EXP($AA1045*-2),$Z1045*(1+$Y1045*$AA1045*-2)^(1/$Y1045)))</f>
        <v/>
      </c>
      <c r="AF1045">
        <f>IF($Y1045="","",IF($Y1045=0,$Z1045*EXP($AA1045*-3),$Z1045*(1+$Y1045*$AA1045*-3)^(1/$Y1045)))</f>
        <v/>
      </c>
      <c r="AG1045">
        <f>IF($W1045="","",IFERROR(INDEX(IF($T1045&lt;=60,est05_l,est519_l),MATCH($W1045,IF($T1045&lt;=60,est05_k,est519_k),1)),""))</f>
        <v/>
      </c>
      <c r="AH1045">
        <f>IF($W1045="","",IFERROR(INDEX(IF($T1045&lt;=60,est05_m,est519_m),MATCH($W1045,IF($T1045&lt;=60,est05_k,est519_k),1)),""))</f>
        <v/>
      </c>
      <c r="AI1045">
        <f>IF($W1045="","",IFERROR(INDEX(IF($T1045&lt;=60,est05_s,est519_s),MATCH($W1045,IF($T1045&lt;=60,est05_k,est519_k),1)),""))</f>
        <v/>
      </c>
      <c r="AJ1045">
        <f>IF($W1045="","",IFERROR(INDEX(IF($T1045&lt;=60,peso05_l,peso510_l),MATCH($W1045,IF($T1045&lt;=60,peso05_k,peso510_k),1)),""))</f>
        <v/>
      </c>
      <c r="AK1045">
        <f>IF($W1045="","",IFERROR(INDEX(IF($T1045&lt;=60,peso05_m,peso510_m),MATCH($W1045,IF($T1045&lt;=60,peso05_k,peso510_k),1)),""))</f>
        <v/>
      </c>
      <c r="AL1045">
        <f>IF($W1045="","",IFERROR(INDEX(IF($T1045&lt;=60,peso05_s,peso510_s),MATCH($W1045,IF($T1045&lt;=60,peso05_k,peso510_k),1)),""))</f>
        <v/>
      </c>
      <c r="AM1045">
        <f>IF($AJ1045="","",IF($AJ1045=0,LN($F1045/$AK1045)/$AL1045,((($F1045/$AK1045)^$AJ1045)-1)/($AJ1045*$AL1045)))</f>
        <v/>
      </c>
      <c r="AN1045">
        <f>IF($AJ1045="","",IF($AJ1045=0,$AK1045*EXP($AL1045*2),$AK1045*(1+$AJ1045*$AL1045*2)^(1/$AJ1045)))</f>
        <v/>
      </c>
      <c r="AO1045">
        <f>IF($AJ1045="","",IF($AJ1045=0,$AK1045*EXP($AL1045*3),$AK1045*(1+$AJ1045*$AL1045*3)^(1/$AJ1045)))</f>
        <v/>
      </c>
      <c r="AP1045">
        <f>IF($AJ1045="","",IF($AJ1045=0,$AK1045*EXP($AL1045*-2),$AK1045*(1+$AJ1045*$AL1045*-2)^(1/$AJ1045)))</f>
        <v/>
      </c>
      <c r="AQ1045">
        <f>IF($AJ1045="","",IF($AJ1045=0,$AK1045*EXP($AL1045*-3),$AK1045*(1+$AJ1045*$AL1045*-3)^(1/$AJ1045)))</f>
        <v/>
      </c>
      <c r="AR1045">
        <f>IF(OR($X1045="",$T1045&gt;60),"",IFERROR(INDEX(IF($T1045&lt;24,pcomp_l,palt_l),MATCH($X1045,IF($T1045&lt;24,pcomp_k,palt_k),1)),""))</f>
        <v/>
      </c>
      <c r="AS1045">
        <f>IF(OR($X1045="",$T1045&gt;60),"",IFERROR(INDEX(IF($T1045&lt;24,pcomp_m,palt_m),MATCH($X1045,IF($T1045&lt;24,pcomp_k,palt_k),1)),""))</f>
        <v/>
      </c>
      <c r="AT1045">
        <f>IF(OR($X1045="",$T1045&gt;60),"",IFERROR(INDEX(IF($T1045&lt;24,pcomp_s,palt_s),MATCH($X1045,IF($T1045&lt;24,pcomp_k,palt_k),1)),""))</f>
        <v/>
      </c>
      <c r="AU1045">
        <f>IF($AR1045="","",IF($AR1045=0,LN($F1045/$AS1045)/$AT1045,((($F1045/$AS1045)^$AR1045)-1)/($AR1045*$AT1045)))</f>
        <v/>
      </c>
      <c r="AV1045">
        <f>IF($AR1045="","",IF($AR1045=0,$AS1045*EXP($AT1045*2),$AS1045*(1+$AR1045*$AT1045*2)^(1/$AR1045)))</f>
        <v/>
      </c>
      <c r="AW1045">
        <f>IF($AR1045="","",IF($AR1045=0,$AS1045*EXP($AT1045*3),$AS1045*(1+$AR1045*$AT1045*3)^(1/$AR1045)))</f>
        <v/>
      </c>
      <c r="AX1045">
        <f>IF($AR1045="","",IF($AR1045=0,$AS1045*EXP($AT1045*-2),$AS1045*(1+$AR1045*$AT1045*-2)^(1/$AR1045)))</f>
        <v/>
      </c>
      <c r="AY1045">
        <f>IF($AR1045="","",IF($AR1045=0,$AS1045*EXP($AT1045*-3),$AS1045*(1+$AR1045*$AT1045*-3)^(1/$AR1045)))</f>
        <v/>
      </c>
      <c r="AZ1045">
        <f>IF(OR($A1045="",$A1045&lt;&gt;Ficha!$C$4),"",COUNTIF($A$2:$A1045,Ficha!$C$4))</f>
        <v/>
      </c>
    </row>
    <row r="1046">
      <c r="A1046" s="8">
        <f>IF(INDEX(Banco!$A:$A,ROW())="","",INDEX(Banco!$A:$A,ROW()))</f>
        <v/>
      </c>
      <c r="B1046" s="8">
        <f>IF(INDEX(Banco!$B:$B,ROW())="","",INDEX(Banco!$B:$B,ROW()))</f>
        <v/>
      </c>
      <c r="C1046" s="8">
        <f>IF(INDEX(Banco!$C:$C,ROW())="","",INDEX(Banco!$C:$C,ROW()))</f>
        <v/>
      </c>
      <c r="D1046" s="9">
        <f>IF(INDEX(Banco!$D:$D,ROW())="","",INDEX(Banco!$D:$D,ROW()))</f>
        <v/>
      </c>
      <c r="E1046" s="9">
        <f>IF(INDEX(Banco!$E:$E,ROW())="","",INDEX(Banco!$E:$E,ROW()))</f>
        <v/>
      </c>
      <c r="F1046" s="10">
        <f>IF(INDEX(Banco!$F:$F,ROW())="","",INDEX(Banco!$F:$F,ROW()))</f>
        <v/>
      </c>
      <c r="G1046" s="10">
        <f>IF(INDEX(Banco!$G:$G,ROW())="","",INDEX(Banco!$G:$G,ROW()))</f>
        <v/>
      </c>
      <c r="H1046" s="8">
        <f>IF(INDEX(Banco!$H:$H,ROW())="","",INDEX(Banco!$H:$H,ROW()))</f>
        <v/>
      </c>
      <c r="I1046">
        <f>IF($T1046="","",INT($T1046/12)&amp;"a "&amp;MOD($T1046,12)&amp;"m")</f>
        <v/>
      </c>
      <c r="J1046" s="11">
        <f>IF(OR($F1046="",$G1046=""),"",ROUND($F1046/($G1046/100)^2,2))</f>
        <v/>
      </c>
      <c r="K1046" s="12">
        <f>IF(OR($S1046="",$J1046="",$T1046="",$T1046&lt;0,$T1046&gt;228,$Y1046=""),"—",ROUND(IF(ABS($AB1046)&lt;=3,$AB1046,IF($AB1046&gt;3,3+($J1046-$AD1046)/($AD1046-$AC1046),-3+($J1046-$AF1046)/($AE1046-$AF1046))),2))</f>
        <v/>
      </c>
      <c r="L1046">
        <f>IF(OR($K1046="",$K1046="—"),"",IF($T1046&lt;=60,IF($K1046&lt;-3,"Magreza acentuada",IF($K1046&lt;-2,"Magreza",IF($K1046&lt;=1,"Eutrofia",IF($K1046&lt;=2,"Risco de sobrepeso",IF($K1046&lt;=3,"Sobrepeso","Obesidade"))))),IF($K1046&lt;-3,"Magreza acentuada",IF($K1046&lt;-2,"Magreza",IF($K1046&lt;=1,"Eutrofia",IF($K1046&lt;=2,"Sobrepeso",IF($K1046&lt;=3,"Obesidade","Obesidade grave")))))))</f>
        <v/>
      </c>
      <c r="M1046" s="12">
        <f>IF(OR($S1046="",$V1046="",$T1046="",$T1046&lt;0,$T1046&gt;228,$AG1046=""),"—",ROUND(IF($AG1046=0,LN($V1046/$AH1046)/$AI1046,((($V1046/$AH1046)^$AG1046)-1)/($AG1046*$AI1046)),2))</f>
        <v/>
      </c>
      <c r="N1046">
        <f>IF(OR($M1046="",$M1046="—"),"",IF($M1046&lt;-3,"Muito baixa",IF($M1046&lt;-2,"Baixa","Adequada")))</f>
        <v/>
      </c>
      <c r="O1046" s="12">
        <f>IF(OR($S1046="",$F1046="",$T1046="",$T1046&lt;0,$T1046&gt;120,$AJ1046=""),"—",ROUND(IF(ABS($AM1046)&lt;=3,$AM1046,IF($AM1046&gt;3,3+($F1046-$AO1046)/($AO1046-$AN1046),-3+($F1046-$AQ1046)/($AP1046-$AQ1046))),2))</f>
        <v/>
      </c>
      <c r="P1046">
        <f>IF(OR($O1046="",$O1046="—"),"",IF($O1046&lt;-3,"Muito baixo",IF($O1046&lt;-2,"Baixo",IF($O1046&lt;=2,"Adequado","Elevado"))))</f>
        <v/>
      </c>
      <c r="Q1046" s="12">
        <f>IF(OR($S1046="",$F1046="",$T1046="",$T1046&lt;0,$T1046&gt;60,$AR1046=""),"—",ROUND(IF(ABS($AU1046)&lt;=3,$AU1046,IF($AU1046&gt;3,3+($F1046-$AW1046)/($AW1046-$AV1046),-3+($F1046-$AY1046)/($AX1046-$AY1046))),2))</f>
        <v/>
      </c>
      <c r="R1046">
        <f>IF(OR($Q1046="",$Q1046="—"),"",IF($Q1046&lt;-3,"Magreza acentuada",IF($Q1046&lt;-2,"Magreza",IF($Q1046&lt;=1,"Eutrofia",IF($Q1046&lt;=2,"Risco de sobrepeso",IF($Q1046&lt;=3,"Sobrepeso","Obesidade"))))))</f>
        <v/>
      </c>
      <c r="S1046">
        <f>IF($C1046="","",IF(UPPER(LEFT($C1046,1))="M",1,IF(UPPER(LEFT($C1046,1))="F",2,"")))</f>
        <v/>
      </c>
      <c r="T1046">
        <f>IF(OR($D1046="",$E1046=""),"",DATEDIF($D1046,$E1046,"m"))</f>
        <v/>
      </c>
      <c r="U1046">
        <f>IF(OR($D1046="",$E1046=""),"",$E1046-$D1046)</f>
        <v/>
      </c>
      <c r="V1046">
        <f>IF(OR($G1046="",$T1046=""),"",IF($T1046&lt;24,IF(LEFT(LOWER($H1046),4)="em p",$G1046+0.7,$G1046),IF(LEFT(LOWER($H1046),4)="deit",$G1046-0.7,$G1046)))</f>
        <v/>
      </c>
      <c r="W1046">
        <f>IF(OR($S1046="",$T1046=""),"",$S1046*1000000+IF($T1046&lt;=60,$U1046,$T1046))</f>
        <v/>
      </c>
      <c r="X1046">
        <f>IF(OR($S1046="",$V1046="",$T1046&gt;60,$T1046=""),"",$S1046*1000000+ROUND($V1046*10,0))</f>
        <v/>
      </c>
      <c r="Y1046">
        <f>IF($W1046="","",IFERROR(INDEX(IF($T1046&lt;=60,imc05_l,imc519_l),MATCH($W1046,IF($T1046&lt;=60,imc05_k,imc519_k),1)),""))</f>
        <v/>
      </c>
      <c r="Z1046">
        <f>IF($W1046="","",IFERROR(INDEX(IF($T1046&lt;=60,imc05_m,imc519_m),MATCH($W1046,IF($T1046&lt;=60,imc05_k,imc519_k),1)),""))</f>
        <v/>
      </c>
      <c r="AA1046">
        <f>IF($W1046="","",IFERROR(INDEX(IF($T1046&lt;=60,imc05_s,imc519_s),MATCH($W1046,IF($T1046&lt;=60,imc05_k,imc519_k),1)),""))</f>
        <v/>
      </c>
      <c r="AB1046">
        <f>IF($Y1046="","",IF($Y1046=0,LN($J1046/$Z1046)/$AA1046,((($J1046/$Z1046)^$Y1046)-1)/($Y1046*$AA1046)))</f>
        <v/>
      </c>
      <c r="AC1046">
        <f>IF($Y1046="","",IF($Y1046=0,$Z1046*EXP($AA1046*2),$Z1046*(1+$Y1046*$AA1046*2)^(1/$Y1046)))</f>
        <v/>
      </c>
      <c r="AD1046">
        <f>IF($Y1046="","",IF($Y1046=0,$Z1046*EXP($AA1046*3),$Z1046*(1+$Y1046*$AA1046*3)^(1/$Y1046)))</f>
        <v/>
      </c>
      <c r="AE1046">
        <f>IF($Y1046="","",IF($Y1046=0,$Z1046*EXP($AA1046*-2),$Z1046*(1+$Y1046*$AA1046*-2)^(1/$Y1046)))</f>
        <v/>
      </c>
      <c r="AF1046">
        <f>IF($Y1046="","",IF($Y1046=0,$Z1046*EXP($AA1046*-3),$Z1046*(1+$Y1046*$AA1046*-3)^(1/$Y1046)))</f>
        <v/>
      </c>
      <c r="AG1046">
        <f>IF($W1046="","",IFERROR(INDEX(IF($T1046&lt;=60,est05_l,est519_l),MATCH($W1046,IF($T1046&lt;=60,est05_k,est519_k),1)),""))</f>
        <v/>
      </c>
      <c r="AH1046">
        <f>IF($W1046="","",IFERROR(INDEX(IF($T1046&lt;=60,est05_m,est519_m),MATCH($W1046,IF($T1046&lt;=60,est05_k,est519_k),1)),""))</f>
        <v/>
      </c>
      <c r="AI1046">
        <f>IF($W1046="","",IFERROR(INDEX(IF($T1046&lt;=60,est05_s,est519_s),MATCH($W1046,IF($T1046&lt;=60,est05_k,est519_k),1)),""))</f>
        <v/>
      </c>
      <c r="AJ1046">
        <f>IF($W1046="","",IFERROR(INDEX(IF($T1046&lt;=60,peso05_l,peso510_l),MATCH($W1046,IF($T1046&lt;=60,peso05_k,peso510_k),1)),""))</f>
        <v/>
      </c>
      <c r="AK1046">
        <f>IF($W1046="","",IFERROR(INDEX(IF($T1046&lt;=60,peso05_m,peso510_m),MATCH($W1046,IF($T1046&lt;=60,peso05_k,peso510_k),1)),""))</f>
        <v/>
      </c>
      <c r="AL1046">
        <f>IF($W1046="","",IFERROR(INDEX(IF($T1046&lt;=60,peso05_s,peso510_s),MATCH($W1046,IF($T1046&lt;=60,peso05_k,peso510_k),1)),""))</f>
        <v/>
      </c>
      <c r="AM1046">
        <f>IF($AJ1046="","",IF($AJ1046=0,LN($F1046/$AK1046)/$AL1046,((($F1046/$AK1046)^$AJ1046)-1)/($AJ1046*$AL1046)))</f>
        <v/>
      </c>
      <c r="AN1046">
        <f>IF($AJ1046="","",IF($AJ1046=0,$AK1046*EXP($AL1046*2),$AK1046*(1+$AJ1046*$AL1046*2)^(1/$AJ1046)))</f>
        <v/>
      </c>
      <c r="AO1046">
        <f>IF($AJ1046="","",IF($AJ1046=0,$AK1046*EXP($AL1046*3),$AK1046*(1+$AJ1046*$AL1046*3)^(1/$AJ1046)))</f>
        <v/>
      </c>
      <c r="AP1046">
        <f>IF($AJ1046="","",IF($AJ1046=0,$AK1046*EXP($AL1046*-2),$AK1046*(1+$AJ1046*$AL1046*-2)^(1/$AJ1046)))</f>
        <v/>
      </c>
      <c r="AQ1046">
        <f>IF($AJ1046="","",IF($AJ1046=0,$AK1046*EXP($AL1046*-3),$AK1046*(1+$AJ1046*$AL1046*-3)^(1/$AJ1046)))</f>
        <v/>
      </c>
      <c r="AR1046">
        <f>IF(OR($X1046="",$T1046&gt;60),"",IFERROR(INDEX(IF($T1046&lt;24,pcomp_l,palt_l),MATCH($X1046,IF($T1046&lt;24,pcomp_k,palt_k),1)),""))</f>
        <v/>
      </c>
      <c r="AS1046">
        <f>IF(OR($X1046="",$T1046&gt;60),"",IFERROR(INDEX(IF($T1046&lt;24,pcomp_m,palt_m),MATCH($X1046,IF($T1046&lt;24,pcomp_k,palt_k),1)),""))</f>
        <v/>
      </c>
      <c r="AT1046">
        <f>IF(OR($X1046="",$T1046&gt;60),"",IFERROR(INDEX(IF($T1046&lt;24,pcomp_s,palt_s),MATCH($X1046,IF($T1046&lt;24,pcomp_k,palt_k),1)),""))</f>
        <v/>
      </c>
      <c r="AU1046">
        <f>IF($AR1046="","",IF($AR1046=0,LN($F1046/$AS1046)/$AT1046,((($F1046/$AS1046)^$AR1046)-1)/($AR1046*$AT1046)))</f>
        <v/>
      </c>
      <c r="AV1046">
        <f>IF($AR1046="","",IF($AR1046=0,$AS1046*EXP($AT1046*2),$AS1046*(1+$AR1046*$AT1046*2)^(1/$AR1046)))</f>
        <v/>
      </c>
      <c r="AW1046">
        <f>IF($AR1046="","",IF($AR1046=0,$AS1046*EXP($AT1046*3),$AS1046*(1+$AR1046*$AT1046*3)^(1/$AR1046)))</f>
        <v/>
      </c>
      <c r="AX1046">
        <f>IF($AR1046="","",IF($AR1046=0,$AS1046*EXP($AT1046*-2),$AS1046*(1+$AR1046*$AT1046*-2)^(1/$AR1046)))</f>
        <v/>
      </c>
      <c r="AY1046">
        <f>IF($AR1046="","",IF($AR1046=0,$AS1046*EXP($AT1046*-3),$AS1046*(1+$AR1046*$AT1046*-3)^(1/$AR1046)))</f>
        <v/>
      </c>
      <c r="AZ1046">
        <f>IF(OR($A1046="",$A1046&lt;&gt;Ficha!$C$4),"",COUNTIF($A$2:$A1046,Ficha!$C$4))</f>
        <v/>
      </c>
    </row>
    <row r="1047">
      <c r="A1047" s="8">
        <f>IF(INDEX(Banco!$A:$A,ROW())="","",INDEX(Banco!$A:$A,ROW()))</f>
        <v/>
      </c>
      <c r="B1047" s="8">
        <f>IF(INDEX(Banco!$B:$B,ROW())="","",INDEX(Banco!$B:$B,ROW()))</f>
        <v/>
      </c>
      <c r="C1047" s="8">
        <f>IF(INDEX(Banco!$C:$C,ROW())="","",INDEX(Banco!$C:$C,ROW()))</f>
        <v/>
      </c>
      <c r="D1047" s="9">
        <f>IF(INDEX(Banco!$D:$D,ROW())="","",INDEX(Banco!$D:$D,ROW()))</f>
        <v/>
      </c>
      <c r="E1047" s="9">
        <f>IF(INDEX(Banco!$E:$E,ROW())="","",INDEX(Banco!$E:$E,ROW()))</f>
        <v/>
      </c>
      <c r="F1047" s="10">
        <f>IF(INDEX(Banco!$F:$F,ROW())="","",INDEX(Banco!$F:$F,ROW()))</f>
        <v/>
      </c>
      <c r="G1047" s="10">
        <f>IF(INDEX(Banco!$G:$G,ROW())="","",INDEX(Banco!$G:$G,ROW()))</f>
        <v/>
      </c>
      <c r="H1047" s="8">
        <f>IF(INDEX(Banco!$H:$H,ROW())="","",INDEX(Banco!$H:$H,ROW()))</f>
        <v/>
      </c>
      <c r="I1047">
        <f>IF($T1047="","",INT($T1047/12)&amp;"a "&amp;MOD($T1047,12)&amp;"m")</f>
        <v/>
      </c>
      <c r="J1047" s="11">
        <f>IF(OR($F1047="",$G1047=""),"",ROUND($F1047/($G1047/100)^2,2))</f>
        <v/>
      </c>
      <c r="K1047" s="12">
        <f>IF(OR($S1047="",$J1047="",$T1047="",$T1047&lt;0,$T1047&gt;228,$Y1047=""),"—",ROUND(IF(ABS($AB1047)&lt;=3,$AB1047,IF($AB1047&gt;3,3+($J1047-$AD1047)/($AD1047-$AC1047),-3+($J1047-$AF1047)/($AE1047-$AF1047))),2))</f>
        <v/>
      </c>
      <c r="L1047">
        <f>IF(OR($K1047="",$K1047="—"),"",IF($T1047&lt;=60,IF($K1047&lt;-3,"Magreza acentuada",IF($K1047&lt;-2,"Magreza",IF($K1047&lt;=1,"Eutrofia",IF($K1047&lt;=2,"Risco de sobrepeso",IF($K1047&lt;=3,"Sobrepeso","Obesidade"))))),IF($K1047&lt;-3,"Magreza acentuada",IF($K1047&lt;-2,"Magreza",IF($K1047&lt;=1,"Eutrofia",IF($K1047&lt;=2,"Sobrepeso",IF($K1047&lt;=3,"Obesidade","Obesidade grave")))))))</f>
        <v/>
      </c>
      <c r="M1047" s="12">
        <f>IF(OR($S1047="",$V1047="",$T1047="",$T1047&lt;0,$T1047&gt;228,$AG1047=""),"—",ROUND(IF($AG1047=0,LN($V1047/$AH1047)/$AI1047,((($V1047/$AH1047)^$AG1047)-1)/($AG1047*$AI1047)),2))</f>
        <v/>
      </c>
      <c r="N1047">
        <f>IF(OR($M1047="",$M1047="—"),"",IF($M1047&lt;-3,"Muito baixa",IF($M1047&lt;-2,"Baixa","Adequada")))</f>
        <v/>
      </c>
      <c r="O1047" s="12">
        <f>IF(OR($S1047="",$F1047="",$T1047="",$T1047&lt;0,$T1047&gt;120,$AJ1047=""),"—",ROUND(IF(ABS($AM1047)&lt;=3,$AM1047,IF($AM1047&gt;3,3+($F1047-$AO1047)/($AO1047-$AN1047),-3+($F1047-$AQ1047)/($AP1047-$AQ1047))),2))</f>
        <v/>
      </c>
      <c r="P1047">
        <f>IF(OR($O1047="",$O1047="—"),"",IF($O1047&lt;-3,"Muito baixo",IF($O1047&lt;-2,"Baixo",IF($O1047&lt;=2,"Adequado","Elevado"))))</f>
        <v/>
      </c>
      <c r="Q1047" s="12">
        <f>IF(OR($S1047="",$F1047="",$T1047="",$T1047&lt;0,$T1047&gt;60,$AR1047=""),"—",ROUND(IF(ABS($AU1047)&lt;=3,$AU1047,IF($AU1047&gt;3,3+($F1047-$AW1047)/($AW1047-$AV1047),-3+($F1047-$AY1047)/($AX1047-$AY1047))),2))</f>
        <v/>
      </c>
      <c r="R1047">
        <f>IF(OR($Q1047="",$Q1047="—"),"",IF($Q1047&lt;-3,"Magreza acentuada",IF($Q1047&lt;-2,"Magreza",IF($Q1047&lt;=1,"Eutrofia",IF($Q1047&lt;=2,"Risco de sobrepeso",IF($Q1047&lt;=3,"Sobrepeso","Obesidade"))))))</f>
        <v/>
      </c>
      <c r="S1047">
        <f>IF($C1047="","",IF(UPPER(LEFT($C1047,1))="M",1,IF(UPPER(LEFT($C1047,1))="F",2,"")))</f>
        <v/>
      </c>
      <c r="T1047">
        <f>IF(OR($D1047="",$E1047=""),"",DATEDIF($D1047,$E1047,"m"))</f>
        <v/>
      </c>
      <c r="U1047">
        <f>IF(OR($D1047="",$E1047=""),"",$E1047-$D1047)</f>
        <v/>
      </c>
      <c r="V1047">
        <f>IF(OR($G1047="",$T1047=""),"",IF($T1047&lt;24,IF(LEFT(LOWER($H1047),4)="em p",$G1047+0.7,$G1047),IF(LEFT(LOWER($H1047),4)="deit",$G1047-0.7,$G1047)))</f>
        <v/>
      </c>
      <c r="W1047">
        <f>IF(OR($S1047="",$T1047=""),"",$S1047*1000000+IF($T1047&lt;=60,$U1047,$T1047))</f>
        <v/>
      </c>
      <c r="X1047">
        <f>IF(OR($S1047="",$V1047="",$T1047&gt;60,$T1047=""),"",$S1047*1000000+ROUND($V1047*10,0))</f>
        <v/>
      </c>
      <c r="Y1047">
        <f>IF($W1047="","",IFERROR(INDEX(IF($T1047&lt;=60,imc05_l,imc519_l),MATCH($W1047,IF($T1047&lt;=60,imc05_k,imc519_k),1)),""))</f>
        <v/>
      </c>
      <c r="Z1047">
        <f>IF($W1047="","",IFERROR(INDEX(IF($T1047&lt;=60,imc05_m,imc519_m),MATCH($W1047,IF($T1047&lt;=60,imc05_k,imc519_k),1)),""))</f>
        <v/>
      </c>
      <c r="AA1047">
        <f>IF($W1047="","",IFERROR(INDEX(IF($T1047&lt;=60,imc05_s,imc519_s),MATCH($W1047,IF($T1047&lt;=60,imc05_k,imc519_k),1)),""))</f>
        <v/>
      </c>
      <c r="AB1047">
        <f>IF($Y1047="","",IF($Y1047=0,LN($J1047/$Z1047)/$AA1047,((($J1047/$Z1047)^$Y1047)-1)/($Y1047*$AA1047)))</f>
        <v/>
      </c>
      <c r="AC1047">
        <f>IF($Y1047="","",IF($Y1047=0,$Z1047*EXP($AA1047*2),$Z1047*(1+$Y1047*$AA1047*2)^(1/$Y1047)))</f>
        <v/>
      </c>
      <c r="AD1047">
        <f>IF($Y1047="","",IF($Y1047=0,$Z1047*EXP($AA1047*3),$Z1047*(1+$Y1047*$AA1047*3)^(1/$Y1047)))</f>
        <v/>
      </c>
      <c r="AE1047">
        <f>IF($Y1047="","",IF($Y1047=0,$Z1047*EXP($AA1047*-2),$Z1047*(1+$Y1047*$AA1047*-2)^(1/$Y1047)))</f>
        <v/>
      </c>
      <c r="AF1047">
        <f>IF($Y1047="","",IF($Y1047=0,$Z1047*EXP($AA1047*-3),$Z1047*(1+$Y1047*$AA1047*-3)^(1/$Y1047)))</f>
        <v/>
      </c>
      <c r="AG1047">
        <f>IF($W1047="","",IFERROR(INDEX(IF($T1047&lt;=60,est05_l,est519_l),MATCH($W1047,IF($T1047&lt;=60,est05_k,est519_k),1)),""))</f>
        <v/>
      </c>
      <c r="AH1047">
        <f>IF($W1047="","",IFERROR(INDEX(IF($T1047&lt;=60,est05_m,est519_m),MATCH($W1047,IF($T1047&lt;=60,est05_k,est519_k),1)),""))</f>
        <v/>
      </c>
      <c r="AI1047">
        <f>IF($W1047="","",IFERROR(INDEX(IF($T1047&lt;=60,est05_s,est519_s),MATCH($W1047,IF($T1047&lt;=60,est05_k,est519_k),1)),""))</f>
        <v/>
      </c>
      <c r="AJ1047">
        <f>IF($W1047="","",IFERROR(INDEX(IF($T1047&lt;=60,peso05_l,peso510_l),MATCH($W1047,IF($T1047&lt;=60,peso05_k,peso510_k),1)),""))</f>
        <v/>
      </c>
      <c r="AK1047">
        <f>IF($W1047="","",IFERROR(INDEX(IF($T1047&lt;=60,peso05_m,peso510_m),MATCH($W1047,IF($T1047&lt;=60,peso05_k,peso510_k),1)),""))</f>
        <v/>
      </c>
      <c r="AL1047">
        <f>IF($W1047="","",IFERROR(INDEX(IF($T1047&lt;=60,peso05_s,peso510_s),MATCH($W1047,IF($T1047&lt;=60,peso05_k,peso510_k),1)),""))</f>
        <v/>
      </c>
      <c r="AM1047">
        <f>IF($AJ1047="","",IF($AJ1047=0,LN($F1047/$AK1047)/$AL1047,((($F1047/$AK1047)^$AJ1047)-1)/($AJ1047*$AL1047)))</f>
        <v/>
      </c>
      <c r="AN1047">
        <f>IF($AJ1047="","",IF($AJ1047=0,$AK1047*EXP($AL1047*2),$AK1047*(1+$AJ1047*$AL1047*2)^(1/$AJ1047)))</f>
        <v/>
      </c>
      <c r="AO1047">
        <f>IF($AJ1047="","",IF($AJ1047=0,$AK1047*EXP($AL1047*3),$AK1047*(1+$AJ1047*$AL1047*3)^(1/$AJ1047)))</f>
        <v/>
      </c>
      <c r="AP1047">
        <f>IF($AJ1047="","",IF($AJ1047=0,$AK1047*EXP($AL1047*-2),$AK1047*(1+$AJ1047*$AL1047*-2)^(1/$AJ1047)))</f>
        <v/>
      </c>
      <c r="AQ1047">
        <f>IF($AJ1047="","",IF($AJ1047=0,$AK1047*EXP($AL1047*-3),$AK1047*(1+$AJ1047*$AL1047*-3)^(1/$AJ1047)))</f>
        <v/>
      </c>
      <c r="AR1047">
        <f>IF(OR($X1047="",$T1047&gt;60),"",IFERROR(INDEX(IF($T1047&lt;24,pcomp_l,palt_l),MATCH($X1047,IF($T1047&lt;24,pcomp_k,palt_k),1)),""))</f>
        <v/>
      </c>
      <c r="AS1047">
        <f>IF(OR($X1047="",$T1047&gt;60),"",IFERROR(INDEX(IF($T1047&lt;24,pcomp_m,palt_m),MATCH($X1047,IF($T1047&lt;24,pcomp_k,palt_k),1)),""))</f>
        <v/>
      </c>
      <c r="AT1047">
        <f>IF(OR($X1047="",$T1047&gt;60),"",IFERROR(INDEX(IF($T1047&lt;24,pcomp_s,palt_s),MATCH($X1047,IF($T1047&lt;24,pcomp_k,palt_k),1)),""))</f>
        <v/>
      </c>
      <c r="AU1047">
        <f>IF($AR1047="","",IF($AR1047=0,LN($F1047/$AS1047)/$AT1047,((($F1047/$AS1047)^$AR1047)-1)/($AR1047*$AT1047)))</f>
        <v/>
      </c>
      <c r="AV1047">
        <f>IF($AR1047="","",IF($AR1047=0,$AS1047*EXP($AT1047*2),$AS1047*(1+$AR1047*$AT1047*2)^(1/$AR1047)))</f>
        <v/>
      </c>
      <c r="AW1047">
        <f>IF($AR1047="","",IF($AR1047=0,$AS1047*EXP($AT1047*3),$AS1047*(1+$AR1047*$AT1047*3)^(1/$AR1047)))</f>
        <v/>
      </c>
      <c r="AX1047">
        <f>IF($AR1047="","",IF($AR1047=0,$AS1047*EXP($AT1047*-2),$AS1047*(1+$AR1047*$AT1047*-2)^(1/$AR1047)))</f>
        <v/>
      </c>
      <c r="AY1047">
        <f>IF($AR1047="","",IF($AR1047=0,$AS1047*EXP($AT1047*-3),$AS1047*(1+$AR1047*$AT1047*-3)^(1/$AR1047)))</f>
        <v/>
      </c>
      <c r="AZ1047">
        <f>IF(OR($A1047="",$A1047&lt;&gt;Ficha!$C$4),"",COUNTIF($A$2:$A1047,Ficha!$C$4))</f>
        <v/>
      </c>
    </row>
    <row r="1048">
      <c r="A1048" s="8">
        <f>IF(INDEX(Banco!$A:$A,ROW())="","",INDEX(Banco!$A:$A,ROW()))</f>
        <v/>
      </c>
      <c r="B1048" s="8">
        <f>IF(INDEX(Banco!$B:$B,ROW())="","",INDEX(Banco!$B:$B,ROW()))</f>
        <v/>
      </c>
      <c r="C1048" s="8">
        <f>IF(INDEX(Banco!$C:$C,ROW())="","",INDEX(Banco!$C:$C,ROW()))</f>
        <v/>
      </c>
      <c r="D1048" s="9">
        <f>IF(INDEX(Banco!$D:$D,ROW())="","",INDEX(Banco!$D:$D,ROW()))</f>
        <v/>
      </c>
      <c r="E1048" s="9">
        <f>IF(INDEX(Banco!$E:$E,ROW())="","",INDEX(Banco!$E:$E,ROW()))</f>
        <v/>
      </c>
      <c r="F1048" s="10">
        <f>IF(INDEX(Banco!$F:$F,ROW())="","",INDEX(Banco!$F:$F,ROW()))</f>
        <v/>
      </c>
      <c r="G1048" s="10">
        <f>IF(INDEX(Banco!$G:$G,ROW())="","",INDEX(Banco!$G:$G,ROW()))</f>
        <v/>
      </c>
      <c r="H1048" s="8">
        <f>IF(INDEX(Banco!$H:$H,ROW())="","",INDEX(Banco!$H:$H,ROW()))</f>
        <v/>
      </c>
      <c r="I1048">
        <f>IF($T1048="","",INT($T1048/12)&amp;"a "&amp;MOD($T1048,12)&amp;"m")</f>
        <v/>
      </c>
      <c r="J1048" s="11">
        <f>IF(OR($F1048="",$G1048=""),"",ROUND($F1048/($G1048/100)^2,2))</f>
        <v/>
      </c>
      <c r="K1048" s="12">
        <f>IF(OR($S1048="",$J1048="",$T1048="",$T1048&lt;0,$T1048&gt;228,$Y1048=""),"—",ROUND(IF(ABS($AB1048)&lt;=3,$AB1048,IF($AB1048&gt;3,3+($J1048-$AD1048)/($AD1048-$AC1048),-3+($J1048-$AF1048)/($AE1048-$AF1048))),2))</f>
        <v/>
      </c>
      <c r="L1048">
        <f>IF(OR($K1048="",$K1048="—"),"",IF($T1048&lt;=60,IF($K1048&lt;-3,"Magreza acentuada",IF($K1048&lt;-2,"Magreza",IF($K1048&lt;=1,"Eutrofia",IF($K1048&lt;=2,"Risco de sobrepeso",IF($K1048&lt;=3,"Sobrepeso","Obesidade"))))),IF($K1048&lt;-3,"Magreza acentuada",IF($K1048&lt;-2,"Magreza",IF($K1048&lt;=1,"Eutrofia",IF($K1048&lt;=2,"Sobrepeso",IF($K1048&lt;=3,"Obesidade","Obesidade grave")))))))</f>
        <v/>
      </c>
      <c r="M1048" s="12">
        <f>IF(OR($S1048="",$V1048="",$T1048="",$T1048&lt;0,$T1048&gt;228,$AG1048=""),"—",ROUND(IF($AG1048=0,LN($V1048/$AH1048)/$AI1048,((($V1048/$AH1048)^$AG1048)-1)/($AG1048*$AI1048)),2))</f>
        <v/>
      </c>
      <c r="N1048">
        <f>IF(OR($M1048="",$M1048="—"),"",IF($M1048&lt;-3,"Muito baixa",IF($M1048&lt;-2,"Baixa","Adequada")))</f>
        <v/>
      </c>
      <c r="O1048" s="12">
        <f>IF(OR($S1048="",$F1048="",$T1048="",$T1048&lt;0,$T1048&gt;120,$AJ1048=""),"—",ROUND(IF(ABS($AM1048)&lt;=3,$AM1048,IF($AM1048&gt;3,3+($F1048-$AO1048)/($AO1048-$AN1048),-3+($F1048-$AQ1048)/($AP1048-$AQ1048))),2))</f>
        <v/>
      </c>
      <c r="P1048">
        <f>IF(OR($O1048="",$O1048="—"),"",IF($O1048&lt;-3,"Muito baixo",IF($O1048&lt;-2,"Baixo",IF($O1048&lt;=2,"Adequado","Elevado"))))</f>
        <v/>
      </c>
      <c r="Q1048" s="12">
        <f>IF(OR($S1048="",$F1048="",$T1048="",$T1048&lt;0,$T1048&gt;60,$AR1048=""),"—",ROUND(IF(ABS($AU1048)&lt;=3,$AU1048,IF($AU1048&gt;3,3+($F1048-$AW1048)/($AW1048-$AV1048),-3+($F1048-$AY1048)/($AX1048-$AY1048))),2))</f>
        <v/>
      </c>
      <c r="R1048">
        <f>IF(OR($Q1048="",$Q1048="—"),"",IF($Q1048&lt;-3,"Magreza acentuada",IF($Q1048&lt;-2,"Magreza",IF($Q1048&lt;=1,"Eutrofia",IF($Q1048&lt;=2,"Risco de sobrepeso",IF($Q1048&lt;=3,"Sobrepeso","Obesidade"))))))</f>
        <v/>
      </c>
      <c r="S1048">
        <f>IF($C1048="","",IF(UPPER(LEFT($C1048,1))="M",1,IF(UPPER(LEFT($C1048,1))="F",2,"")))</f>
        <v/>
      </c>
      <c r="T1048">
        <f>IF(OR($D1048="",$E1048=""),"",DATEDIF($D1048,$E1048,"m"))</f>
        <v/>
      </c>
      <c r="U1048">
        <f>IF(OR($D1048="",$E1048=""),"",$E1048-$D1048)</f>
        <v/>
      </c>
      <c r="V1048">
        <f>IF(OR($G1048="",$T1048=""),"",IF($T1048&lt;24,IF(LEFT(LOWER($H1048),4)="em p",$G1048+0.7,$G1048),IF(LEFT(LOWER($H1048),4)="deit",$G1048-0.7,$G1048)))</f>
        <v/>
      </c>
      <c r="W1048">
        <f>IF(OR($S1048="",$T1048=""),"",$S1048*1000000+IF($T1048&lt;=60,$U1048,$T1048))</f>
        <v/>
      </c>
      <c r="X1048">
        <f>IF(OR($S1048="",$V1048="",$T1048&gt;60,$T1048=""),"",$S1048*1000000+ROUND($V1048*10,0))</f>
        <v/>
      </c>
      <c r="Y1048">
        <f>IF($W1048="","",IFERROR(INDEX(IF($T1048&lt;=60,imc05_l,imc519_l),MATCH($W1048,IF($T1048&lt;=60,imc05_k,imc519_k),1)),""))</f>
        <v/>
      </c>
      <c r="Z1048">
        <f>IF($W1048="","",IFERROR(INDEX(IF($T1048&lt;=60,imc05_m,imc519_m),MATCH($W1048,IF($T1048&lt;=60,imc05_k,imc519_k),1)),""))</f>
        <v/>
      </c>
      <c r="AA1048">
        <f>IF($W1048="","",IFERROR(INDEX(IF($T1048&lt;=60,imc05_s,imc519_s),MATCH($W1048,IF($T1048&lt;=60,imc05_k,imc519_k),1)),""))</f>
        <v/>
      </c>
      <c r="AB1048">
        <f>IF($Y1048="","",IF($Y1048=0,LN($J1048/$Z1048)/$AA1048,((($J1048/$Z1048)^$Y1048)-1)/($Y1048*$AA1048)))</f>
        <v/>
      </c>
      <c r="AC1048">
        <f>IF($Y1048="","",IF($Y1048=0,$Z1048*EXP($AA1048*2),$Z1048*(1+$Y1048*$AA1048*2)^(1/$Y1048)))</f>
        <v/>
      </c>
      <c r="AD1048">
        <f>IF($Y1048="","",IF($Y1048=0,$Z1048*EXP($AA1048*3),$Z1048*(1+$Y1048*$AA1048*3)^(1/$Y1048)))</f>
        <v/>
      </c>
      <c r="AE1048">
        <f>IF($Y1048="","",IF($Y1048=0,$Z1048*EXP($AA1048*-2),$Z1048*(1+$Y1048*$AA1048*-2)^(1/$Y1048)))</f>
        <v/>
      </c>
      <c r="AF1048">
        <f>IF($Y1048="","",IF($Y1048=0,$Z1048*EXP($AA1048*-3),$Z1048*(1+$Y1048*$AA1048*-3)^(1/$Y1048)))</f>
        <v/>
      </c>
      <c r="AG1048">
        <f>IF($W1048="","",IFERROR(INDEX(IF($T1048&lt;=60,est05_l,est519_l),MATCH($W1048,IF($T1048&lt;=60,est05_k,est519_k),1)),""))</f>
        <v/>
      </c>
      <c r="AH1048">
        <f>IF($W1048="","",IFERROR(INDEX(IF($T1048&lt;=60,est05_m,est519_m),MATCH($W1048,IF($T1048&lt;=60,est05_k,est519_k),1)),""))</f>
        <v/>
      </c>
      <c r="AI1048">
        <f>IF($W1048="","",IFERROR(INDEX(IF($T1048&lt;=60,est05_s,est519_s),MATCH($W1048,IF($T1048&lt;=60,est05_k,est519_k),1)),""))</f>
        <v/>
      </c>
      <c r="AJ1048">
        <f>IF($W1048="","",IFERROR(INDEX(IF($T1048&lt;=60,peso05_l,peso510_l),MATCH($W1048,IF($T1048&lt;=60,peso05_k,peso510_k),1)),""))</f>
        <v/>
      </c>
      <c r="AK1048">
        <f>IF($W1048="","",IFERROR(INDEX(IF($T1048&lt;=60,peso05_m,peso510_m),MATCH($W1048,IF($T1048&lt;=60,peso05_k,peso510_k),1)),""))</f>
        <v/>
      </c>
      <c r="AL1048">
        <f>IF($W1048="","",IFERROR(INDEX(IF($T1048&lt;=60,peso05_s,peso510_s),MATCH($W1048,IF($T1048&lt;=60,peso05_k,peso510_k),1)),""))</f>
        <v/>
      </c>
      <c r="AM1048">
        <f>IF($AJ1048="","",IF($AJ1048=0,LN($F1048/$AK1048)/$AL1048,((($F1048/$AK1048)^$AJ1048)-1)/($AJ1048*$AL1048)))</f>
        <v/>
      </c>
      <c r="AN1048">
        <f>IF($AJ1048="","",IF($AJ1048=0,$AK1048*EXP($AL1048*2),$AK1048*(1+$AJ1048*$AL1048*2)^(1/$AJ1048)))</f>
        <v/>
      </c>
      <c r="AO1048">
        <f>IF($AJ1048="","",IF($AJ1048=0,$AK1048*EXP($AL1048*3),$AK1048*(1+$AJ1048*$AL1048*3)^(1/$AJ1048)))</f>
        <v/>
      </c>
      <c r="AP1048">
        <f>IF($AJ1048="","",IF($AJ1048=0,$AK1048*EXP($AL1048*-2),$AK1048*(1+$AJ1048*$AL1048*-2)^(1/$AJ1048)))</f>
        <v/>
      </c>
      <c r="AQ1048">
        <f>IF($AJ1048="","",IF($AJ1048=0,$AK1048*EXP($AL1048*-3),$AK1048*(1+$AJ1048*$AL1048*-3)^(1/$AJ1048)))</f>
        <v/>
      </c>
      <c r="AR1048">
        <f>IF(OR($X1048="",$T1048&gt;60),"",IFERROR(INDEX(IF($T1048&lt;24,pcomp_l,palt_l),MATCH($X1048,IF($T1048&lt;24,pcomp_k,palt_k),1)),""))</f>
        <v/>
      </c>
      <c r="AS1048">
        <f>IF(OR($X1048="",$T1048&gt;60),"",IFERROR(INDEX(IF($T1048&lt;24,pcomp_m,palt_m),MATCH($X1048,IF($T1048&lt;24,pcomp_k,palt_k),1)),""))</f>
        <v/>
      </c>
      <c r="AT1048">
        <f>IF(OR($X1048="",$T1048&gt;60),"",IFERROR(INDEX(IF($T1048&lt;24,pcomp_s,palt_s),MATCH($X1048,IF($T1048&lt;24,pcomp_k,palt_k),1)),""))</f>
        <v/>
      </c>
      <c r="AU1048">
        <f>IF($AR1048="","",IF($AR1048=0,LN($F1048/$AS1048)/$AT1048,((($F1048/$AS1048)^$AR1048)-1)/($AR1048*$AT1048)))</f>
        <v/>
      </c>
      <c r="AV1048">
        <f>IF($AR1048="","",IF($AR1048=0,$AS1048*EXP($AT1048*2),$AS1048*(1+$AR1048*$AT1048*2)^(1/$AR1048)))</f>
        <v/>
      </c>
      <c r="AW1048">
        <f>IF($AR1048="","",IF($AR1048=0,$AS1048*EXP($AT1048*3),$AS1048*(1+$AR1048*$AT1048*3)^(1/$AR1048)))</f>
        <v/>
      </c>
      <c r="AX1048">
        <f>IF($AR1048="","",IF($AR1048=0,$AS1048*EXP($AT1048*-2),$AS1048*(1+$AR1048*$AT1048*-2)^(1/$AR1048)))</f>
        <v/>
      </c>
      <c r="AY1048">
        <f>IF($AR1048="","",IF($AR1048=0,$AS1048*EXP($AT1048*-3),$AS1048*(1+$AR1048*$AT1048*-3)^(1/$AR1048)))</f>
        <v/>
      </c>
      <c r="AZ1048">
        <f>IF(OR($A1048="",$A1048&lt;&gt;Ficha!$C$4),"",COUNTIF($A$2:$A1048,Ficha!$C$4))</f>
        <v/>
      </c>
    </row>
    <row r="1049">
      <c r="A1049" s="8">
        <f>IF(INDEX(Banco!$A:$A,ROW())="","",INDEX(Banco!$A:$A,ROW()))</f>
        <v/>
      </c>
      <c r="B1049" s="8">
        <f>IF(INDEX(Banco!$B:$B,ROW())="","",INDEX(Banco!$B:$B,ROW()))</f>
        <v/>
      </c>
      <c r="C1049" s="8">
        <f>IF(INDEX(Banco!$C:$C,ROW())="","",INDEX(Banco!$C:$C,ROW()))</f>
        <v/>
      </c>
      <c r="D1049" s="9">
        <f>IF(INDEX(Banco!$D:$D,ROW())="","",INDEX(Banco!$D:$D,ROW()))</f>
        <v/>
      </c>
      <c r="E1049" s="9">
        <f>IF(INDEX(Banco!$E:$E,ROW())="","",INDEX(Banco!$E:$E,ROW()))</f>
        <v/>
      </c>
      <c r="F1049" s="10">
        <f>IF(INDEX(Banco!$F:$F,ROW())="","",INDEX(Banco!$F:$F,ROW()))</f>
        <v/>
      </c>
      <c r="G1049" s="10">
        <f>IF(INDEX(Banco!$G:$G,ROW())="","",INDEX(Banco!$G:$G,ROW()))</f>
        <v/>
      </c>
      <c r="H1049" s="8">
        <f>IF(INDEX(Banco!$H:$H,ROW())="","",INDEX(Banco!$H:$H,ROW()))</f>
        <v/>
      </c>
      <c r="I1049">
        <f>IF($T1049="","",INT($T1049/12)&amp;"a "&amp;MOD($T1049,12)&amp;"m")</f>
        <v/>
      </c>
      <c r="J1049" s="11">
        <f>IF(OR($F1049="",$G1049=""),"",ROUND($F1049/($G1049/100)^2,2))</f>
        <v/>
      </c>
      <c r="K1049" s="12">
        <f>IF(OR($S1049="",$J1049="",$T1049="",$T1049&lt;0,$T1049&gt;228,$Y1049=""),"—",ROUND(IF(ABS($AB1049)&lt;=3,$AB1049,IF($AB1049&gt;3,3+($J1049-$AD1049)/($AD1049-$AC1049),-3+($J1049-$AF1049)/($AE1049-$AF1049))),2))</f>
        <v/>
      </c>
      <c r="L1049">
        <f>IF(OR($K1049="",$K1049="—"),"",IF($T1049&lt;=60,IF($K1049&lt;-3,"Magreza acentuada",IF($K1049&lt;-2,"Magreza",IF($K1049&lt;=1,"Eutrofia",IF($K1049&lt;=2,"Risco de sobrepeso",IF($K1049&lt;=3,"Sobrepeso","Obesidade"))))),IF($K1049&lt;-3,"Magreza acentuada",IF($K1049&lt;-2,"Magreza",IF($K1049&lt;=1,"Eutrofia",IF($K1049&lt;=2,"Sobrepeso",IF($K1049&lt;=3,"Obesidade","Obesidade grave")))))))</f>
        <v/>
      </c>
      <c r="M1049" s="12">
        <f>IF(OR($S1049="",$V1049="",$T1049="",$T1049&lt;0,$T1049&gt;228,$AG1049=""),"—",ROUND(IF($AG1049=0,LN($V1049/$AH1049)/$AI1049,((($V1049/$AH1049)^$AG1049)-1)/($AG1049*$AI1049)),2))</f>
        <v/>
      </c>
      <c r="N1049">
        <f>IF(OR($M1049="",$M1049="—"),"",IF($M1049&lt;-3,"Muito baixa",IF($M1049&lt;-2,"Baixa","Adequada")))</f>
        <v/>
      </c>
      <c r="O1049" s="12">
        <f>IF(OR($S1049="",$F1049="",$T1049="",$T1049&lt;0,$T1049&gt;120,$AJ1049=""),"—",ROUND(IF(ABS($AM1049)&lt;=3,$AM1049,IF($AM1049&gt;3,3+($F1049-$AO1049)/($AO1049-$AN1049),-3+($F1049-$AQ1049)/($AP1049-$AQ1049))),2))</f>
        <v/>
      </c>
      <c r="P1049">
        <f>IF(OR($O1049="",$O1049="—"),"",IF($O1049&lt;-3,"Muito baixo",IF($O1049&lt;-2,"Baixo",IF($O1049&lt;=2,"Adequado","Elevado"))))</f>
        <v/>
      </c>
      <c r="Q1049" s="12">
        <f>IF(OR($S1049="",$F1049="",$T1049="",$T1049&lt;0,$T1049&gt;60,$AR1049=""),"—",ROUND(IF(ABS($AU1049)&lt;=3,$AU1049,IF($AU1049&gt;3,3+($F1049-$AW1049)/($AW1049-$AV1049),-3+($F1049-$AY1049)/($AX1049-$AY1049))),2))</f>
        <v/>
      </c>
      <c r="R1049">
        <f>IF(OR($Q1049="",$Q1049="—"),"",IF($Q1049&lt;-3,"Magreza acentuada",IF($Q1049&lt;-2,"Magreza",IF($Q1049&lt;=1,"Eutrofia",IF($Q1049&lt;=2,"Risco de sobrepeso",IF($Q1049&lt;=3,"Sobrepeso","Obesidade"))))))</f>
        <v/>
      </c>
      <c r="S1049">
        <f>IF($C1049="","",IF(UPPER(LEFT($C1049,1))="M",1,IF(UPPER(LEFT($C1049,1))="F",2,"")))</f>
        <v/>
      </c>
      <c r="T1049">
        <f>IF(OR($D1049="",$E1049=""),"",DATEDIF($D1049,$E1049,"m"))</f>
        <v/>
      </c>
      <c r="U1049">
        <f>IF(OR($D1049="",$E1049=""),"",$E1049-$D1049)</f>
        <v/>
      </c>
      <c r="V1049">
        <f>IF(OR($G1049="",$T1049=""),"",IF($T1049&lt;24,IF(LEFT(LOWER($H1049),4)="em p",$G1049+0.7,$G1049),IF(LEFT(LOWER($H1049),4)="deit",$G1049-0.7,$G1049)))</f>
        <v/>
      </c>
      <c r="W1049">
        <f>IF(OR($S1049="",$T1049=""),"",$S1049*1000000+IF($T1049&lt;=60,$U1049,$T1049))</f>
        <v/>
      </c>
      <c r="X1049">
        <f>IF(OR($S1049="",$V1049="",$T1049&gt;60,$T1049=""),"",$S1049*1000000+ROUND($V1049*10,0))</f>
        <v/>
      </c>
      <c r="Y1049">
        <f>IF($W1049="","",IFERROR(INDEX(IF($T1049&lt;=60,imc05_l,imc519_l),MATCH($W1049,IF($T1049&lt;=60,imc05_k,imc519_k),1)),""))</f>
        <v/>
      </c>
      <c r="Z1049">
        <f>IF($W1049="","",IFERROR(INDEX(IF($T1049&lt;=60,imc05_m,imc519_m),MATCH($W1049,IF($T1049&lt;=60,imc05_k,imc519_k),1)),""))</f>
        <v/>
      </c>
      <c r="AA1049">
        <f>IF($W1049="","",IFERROR(INDEX(IF($T1049&lt;=60,imc05_s,imc519_s),MATCH($W1049,IF($T1049&lt;=60,imc05_k,imc519_k),1)),""))</f>
        <v/>
      </c>
      <c r="AB1049">
        <f>IF($Y1049="","",IF($Y1049=0,LN($J1049/$Z1049)/$AA1049,((($J1049/$Z1049)^$Y1049)-1)/($Y1049*$AA1049)))</f>
        <v/>
      </c>
      <c r="AC1049">
        <f>IF($Y1049="","",IF($Y1049=0,$Z1049*EXP($AA1049*2),$Z1049*(1+$Y1049*$AA1049*2)^(1/$Y1049)))</f>
        <v/>
      </c>
      <c r="AD1049">
        <f>IF($Y1049="","",IF($Y1049=0,$Z1049*EXP($AA1049*3),$Z1049*(1+$Y1049*$AA1049*3)^(1/$Y1049)))</f>
        <v/>
      </c>
      <c r="AE1049">
        <f>IF($Y1049="","",IF($Y1049=0,$Z1049*EXP($AA1049*-2),$Z1049*(1+$Y1049*$AA1049*-2)^(1/$Y1049)))</f>
        <v/>
      </c>
      <c r="AF1049">
        <f>IF($Y1049="","",IF($Y1049=0,$Z1049*EXP($AA1049*-3),$Z1049*(1+$Y1049*$AA1049*-3)^(1/$Y1049)))</f>
        <v/>
      </c>
      <c r="AG1049">
        <f>IF($W1049="","",IFERROR(INDEX(IF($T1049&lt;=60,est05_l,est519_l),MATCH($W1049,IF($T1049&lt;=60,est05_k,est519_k),1)),""))</f>
        <v/>
      </c>
      <c r="AH1049">
        <f>IF($W1049="","",IFERROR(INDEX(IF($T1049&lt;=60,est05_m,est519_m),MATCH($W1049,IF($T1049&lt;=60,est05_k,est519_k),1)),""))</f>
        <v/>
      </c>
      <c r="AI1049">
        <f>IF($W1049="","",IFERROR(INDEX(IF($T1049&lt;=60,est05_s,est519_s),MATCH($W1049,IF($T1049&lt;=60,est05_k,est519_k),1)),""))</f>
        <v/>
      </c>
      <c r="AJ1049">
        <f>IF($W1049="","",IFERROR(INDEX(IF($T1049&lt;=60,peso05_l,peso510_l),MATCH($W1049,IF($T1049&lt;=60,peso05_k,peso510_k),1)),""))</f>
        <v/>
      </c>
      <c r="AK1049">
        <f>IF($W1049="","",IFERROR(INDEX(IF($T1049&lt;=60,peso05_m,peso510_m),MATCH($W1049,IF($T1049&lt;=60,peso05_k,peso510_k),1)),""))</f>
        <v/>
      </c>
      <c r="AL1049">
        <f>IF($W1049="","",IFERROR(INDEX(IF($T1049&lt;=60,peso05_s,peso510_s),MATCH($W1049,IF($T1049&lt;=60,peso05_k,peso510_k),1)),""))</f>
        <v/>
      </c>
      <c r="AM1049">
        <f>IF($AJ1049="","",IF($AJ1049=0,LN($F1049/$AK1049)/$AL1049,((($F1049/$AK1049)^$AJ1049)-1)/($AJ1049*$AL1049)))</f>
        <v/>
      </c>
      <c r="AN1049">
        <f>IF($AJ1049="","",IF($AJ1049=0,$AK1049*EXP($AL1049*2),$AK1049*(1+$AJ1049*$AL1049*2)^(1/$AJ1049)))</f>
        <v/>
      </c>
      <c r="AO1049">
        <f>IF($AJ1049="","",IF($AJ1049=0,$AK1049*EXP($AL1049*3),$AK1049*(1+$AJ1049*$AL1049*3)^(1/$AJ1049)))</f>
        <v/>
      </c>
      <c r="AP1049">
        <f>IF($AJ1049="","",IF($AJ1049=0,$AK1049*EXP($AL1049*-2),$AK1049*(1+$AJ1049*$AL1049*-2)^(1/$AJ1049)))</f>
        <v/>
      </c>
      <c r="AQ1049">
        <f>IF($AJ1049="","",IF($AJ1049=0,$AK1049*EXP($AL1049*-3),$AK1049*(1+$AJ1049*$AL1049*-3)^(1/$AJ1049)))</f>
        <v/>
      </c>
      <c r="AR1049">
        <f>IF(OR($X1049="",$T1049&gt;60),"",IFERROR(INDEX(IF($T1049&lt;24,pcomp_l,palt_l),MATCH($X1049,IF($T1049&lt;24,pcomp_k,palt_k),1)),""))</f>
        <v/>
      </c>
      <c r="AS1049">
        <f>IF(OR($X1049="",$T1049&gt;60),"",IFERROR(INDEX(IF($T1049&lt;24,pcomp_m,palt_m),MATCH($X1049,IF($T1049&lt;24,pcomp_k,palt_k),1)),""))</f>
        <v/>
      </c>
      <c r="AT1049">
        <f>IF(OR($X1049="",$T1049&gt;60),"",IFERROR(INDEX(IF($T1049&lt;24,pcomp_s,palt_s),MATCH($X1049,IF($T1049&lt;24,pcomp_k,palt_k),1)),""))</f>
        <v/>
      </c>
      <c r="AU1049">
        <f>IF($AR1049="","",IF($AR1049=0,LN($F1049/$AS1049)/$AT1049,((($F1049/$AS1049)^$AR1049)-1)/($AR1049*$AT1049)))</f>
        <v/>
      </c>
      <c r="AV1049">
        <f>IF($AR1049="","",IF($AR1049=0,$AS1049*EXP($AT1049*2),$AS1049*(1+$AR1049*$AT1049*2)^(1/$AR1049)))</f>
        <v/>
      </c>
      <c r="AW1049">
        <f>IF($AR1049="","",IF($AR1049=0,$AS1049*EXP($AT1049*3),$AS1049*(1+$AR1049*$AT1049*3)^(1/$AR1049)))</f>
        <v/>
      </c>
      <c r="AX1049">
        <f>IF($AR1049="","",IF($AR1049=0,$AS1049*EXP($AT1049*-2),$AS1049*(1+$AR1049*$AT1049*-2)^(1/$AR1049)))</f>
        <v/>
      </c>
      <c r="AY1049">
        <f>IF($AR1049="","",IF($AR1049=0,$AS1049*EXP($AT1049*-3),$AS1049*(1+$AR1049*$AT1049*-3)^(1/$AR1049)))</f>
        <v/>
      </c>
      <c r="AZ1049">
        <f>IF(OR($A1049="",$A1049&lt;&gt;Ficha!$C$4),"",COUNTIF($A$2:$A1049,Ficha!$C$4))</f>
        <v/>
      </c>
    </row>
    <row r="1050">
      <c r="A1050" s="8">
        <f>IF(INDEX(Banco!$A:$A,ROW())="","",INDEX(Banco!$A:$A,ROW()))</f>
        <v/>
      </c>
      <c r="B1050" s="8">
        <f>IF(INDEX(Banco!$B:$B,ROW())="","",INDEX(Banco!$B:$B,ROW()))</f>
        <v/>
      </c>
      <c r="C1050" s="8">
        <f>IF(INDEX(Banco!$C:$C,ROW())="","",INDEX(Banco!$C:$C,ROW()))</f>
        <v/>
      </c>
      <c r="D1050" s="9">
        <f>IF(INDEX(Banco!$D:$D,ROW())="","",INDEX(Banco!$D:$D,ROW()))</f>
        <v/>
      </c>
      <c r="E1050" s="9">
        <f>IF(INDEX(Banco!$E:$E,ROW())="","",INDEX(Banco!$E:$E,ROW()))</f>
        <v/>
      </c>
      <c r="F1050" s="10">
        <f>IF(INDEX(Banco!$F:$F,ROW())="","",INDEX(Banco!$F:$F,ROW()))</f>
        <v/>
      </c>
      <c r="G1050" s="10">
        <f>IF(INDEX(Banco!$G:$G,ROW())="","",INDEX(Banco!$G:$G,ROW()))</f>
        <v/>
      </c>
      <c r="H1050" s="8">
        <f>IF(INDEX(Banco!$H:$H,ROW())="","",INDEX(Banco!$H:$H,ROW()))</f>
        <v/>
      </c>
      <c r="I1050">
        <f>IF($T1050="","",INT($T1050/12)&amp;"a "&amp;MOD($T1050,12)&amp;"m")</f>
        <v/>
      </c>
      <c r="J1050" s="11">
        <f>IF(OR($F1050="",$G1050=""),"",ROUND($F1050/($G1050/100)^2,2))</f>
        <v/>
      </c>
      <c r="K1050" s="12">
        <f>IF(OR($S1050="",$J1050="",$T1050="",$T1050&lt;0,$T1050&gt;228,$Y1050=""),"—",ROUND(IF(ABS($AB1050)&lt;=3,$AB1050,IF($AB1050&gt;3,3+($J1050-$AD1050)/($AD1050-$AC1050),-3+($J1050-$AF1050)/($AE1050-$AF1050))),2))</f>
        <v/>
      </c>
      <c r="L1050">
        <f>IF(OR($K1050="",$K1050="—"),"",IF($T1050&lt;=60,IF($K1050&lt;-3,"Magreza acentuada",IF($K1050&lt;-2,"Magreza",IF($K1050&lt;=1,"Eutrofia",IF($K1050&lt;=2,"Risco de sobrepeso",IF($K1050&lt;=3,"Sobrepeso","Obesidade"))))),IF($K1050&lt;-3,"Magreza acentuada",IF($K1050&lt;-2,"Magreza",IF($K1050&lt;=1,"Eutrofia",IF($K1050&lt;=2,"Sobrepeso",IF($K1050&lt;=3,"Obesidade","Obesidade grave")))))))</f>
        <v/>
      </c>
      <c r="M1050" s="12">
        <f>IF(OR($S1050="",$V1050="",$T1050="",$T1050&lt;0,$T1050&gt;228,$AG1050=""),"—",ROUND(IF($AG1050=0,LN($V1050/$AH1050)/$AI1050,((($V1050/$AH1050)^$AG1050)-1)/($AG1050*$AI1050)),2))</f>
        <v/>
      </c>
      <c r="N1050">
        <f>IF(OR($M1050="",$M1050="—"),"",IF($M1050&lt;-3,"Muito baixa",IF($M1050&lt;-2,"Baixa","Adequada")))</f>
        <v/>
      </c>
      <c r="O1050" s="12">
        <f>IF(OR($S1050="",$F1050="",$T1050="",$T1050&lt;0,$T1050&gt;120,$AJ1050=""),"—",ROUND(IF(ABS($AM1050)&lt;=3,$AM1050,IF($AM1050&gt;3,3+($F1050-$AO1050)/($AO1050-$AN1050),-3+($F1050-$AQ1050)/($AP1050-$AQ1050))),2))</f>
        <v/>
      </c>
      <c r="P1050">
        <f>IF(OR($O1050="",$O1050="—"),"",IF($O1050&lt;-3,"Muito baixo",IF($O1050&lt;-2,"Baixo",IF($O1050&lt;=2,"Adequado","Elevado"))))</f>
        <v/>
      </c>
      <c r="Q1050" s="12">
        <f>IF(OR($S1050="",$F1050="",$T1050="",$T1050&lt;0,$T1050&gt;60,$AR1050=""),"—",ROUND(IF(ABS($AU1050)&lt;=3,$AU1050,IF($AU1050&gt;3,3+($F1050-$AW1050)/($AW1050-$AV1050),-3+($F1050-$AY1050)/($AX1050-$AY1050))),2))</f>
        <v/>
      </c>
      <c r="R1050">
        <f>IF(OR($Q1050="",$Q1050="—"),"",IF($Q1050&lt;-3,"Magreza acentuada",IF($Q1050&lt;-2,"Magreza",IF($Q1050&lt;=1,"Eutrofia",IF($Q1050&lt;=2,"Risco de sobrepeso",IF($Q1050&lt;=3,"Sobrepeso","Obesidade"))))))</f>
        <v/>
      </c>
      <c r="S1050">
        <f>IF($C1050="","",IF(UPPER(LEFT($C1050,1))="M",1,IF(UPPER(LEFT($C1050,1))="F",2,"")))</f>
        <v/>
      </c>
      <c r="T1050">
        <f>IF(OR($D1050="",$E1050=""),"",DATEDIF($D1050,$E1050,"m"))</f>
        <v/>
      </c>
      <c r="U1050">
        <f>IF(OR($D1050="",$E1050=""),"",$E1050-$D1050)</f>
        <v/>
      </c>
      <c r="V1050">
        <f>IF(OR($G1050="",$T1050=""),"",IF($T1050&lt;24,IF(LEFT(LOWER($H1050),4)="em p",$G1050+0.7,$G1050),IF(LEFT(LOWER($H1050),4)="deit",$G1050-0.7,$G1050)))</f>
        <v/>
      </c>
      <c r="W1050">
        <f>IF(OR($S1050="",$T1050=""),"",$S1050*1000000+IF($T1050&lt;=60,$U1050,$T1050))</f>
        <v/>
      </c>
      <c r="X1050">
        <f>IF(OR($S1050="",$V1050="",$T1050&gt;60,$T1050=""),"",$S1050*1000000+ROUND($V1050*10,0))</f>
        <v/>
      </c>
      <c r="Y1050">
        <f>IF($W1050="","",IFERROR(INDEX(IF($T1050&lt;=60,imc05_l,imc519_l),MATCH($W1050,IF($T1050&lt;=60,imc05_k,imc519_k),1)),""))</f>
        <v/>
      </c>
      <c r="Z1050">
        <f>IF($W1050="","",IFERROR(INDEX(IF($T1050&lt;=60,imc05_m,imc519_m),MATCH($W1050,IF($T1050&lt;=60,imc05_k,imc519_k),1)),""))</f>
        <v/>
      </c>
      <c r="AA1050">
        <f>IF($W1050="","",IFERROR(INDEX(IF($T1050&lt;=60,imc05_s,imc519_s),MATCH($W1050,IF($T1050&lt;=60,imc05_k,imc519_k),1)),""))</f>
        <v/>
      </c>
      <c r="AB1050">
        <f>IF($Y1050="","",IF($Y1050=0,LN($J1050/$Z1050)/$AA1050,((($J1050/$Z1050)^$Y1050)-1)/($Y1050*$AA1050)))</f>
        <v/>
      </c>
      <c r="AC1050">
        <f>IF($Y1050="","",IF($Y1050=0,$Z1050*EXP($AA1050*2),$Z1050*(1+$Y1050*$AA1050*2)^(1/$Y1050)))</f>
        <v/>
      </c>
      <c r="AD1050">
        <f>IF($Y1050="","",IF($Y1050=0,$Z1050*EXP($AA1050*3),$Z1050*(1+$Y1050*$AA1050*3)^(1/$Y1050)))</f>
        <v/>
      </c>
      <c r="AE1050">
        <f>IF($Y1050="","",IF($Y1050=0,$Z1050*EXP($AA1050*-2),$Z1050*(1+$Y1050*$AA1050*-2)^(1/$Y1050)))</f>
        <v/>
      </c>
      <c r="AF1050">
        <f>IF($Y1050="","",IF($Y1050=0,$Z1050*EXP($AA1050*-3),$Z1050*(1+$Y1050*$AA1050*-3)^(1/$Y1050)))</f>
        <v/>
      </c>
      <c r="AG1050">
        <f>IF($W1050="","",IFERROR(INDEX(IF($T1050&lt;=60,est05_l,est519_l),MATCH($W1050,IF($T1050&lt;=60,est05_k,est519_k),1)),""))</f>
        <v/>
      </c>
      <c r="AH1050">
        <f>IF($W1050="","",IFERROR(INDEX(IF($T1050&lt;=60,est05_m,est519_m),MATCH($W1050,IF($T1050&lt;=60,est05_k,est519_k),1)),""))</f>
        <v/>
      </c>
      <c r="AI1050">
        <f>IF($W1050="","",IFERROR(INDEX(IF($T1050&lt;=60,est05_s,est519_s),MATCH($W1050,IF($T1050&lt;=60,est05_k,est519_k),1)),""))</f>
        <v/>
      </c>
      <c r="AJ1050">
        <f>IF($W1050="","",IFERROR(INDEX(IF($T1050&lt;=60,peso05_l,peso510_l),MATCH($W1050,IF($T1050&lt;=60,peso05_k,peso510_k),1)),""))</f>
        <v/>
      </c>
      <c r="AK1050">
        <f>IF($W1050="","",IFERROR(INDEX(IF($T1050&lt;=60,peso05_m,peso510_m),MATCH($W1050,IF($T1050&lt;=60,peso05_k,peso510_k),1)),""))</f>
        <v/>
      </c>
      <c r="AL1050">
        <f>IF($W1050="","",IFERROR(INDEX(IF($T1050&lt;=60,peso05_s,peso510_s),MATCH($W1050,IF($T1050&lt;=60,peso05_k,peso510_k),1)),""))</f>
        <v/>
      </c>
      <c r="AM1050">
        <f>IF($AJ1050="","",IF($AJ1050=0,LN($F1050/$AK1050)/$AL1050,((($F1050/$AK1050)^$AJ1050)-1)/($AJ1050*$AL1050)))</f>
        <v/>
      </c>
      <c r="AN1050">
        <f>IF($AJ1050="","",IF($AJ1050=0,$AK1050*EXP($AL1050*2),$AK1050*(1+$AJ1050*$AL1050*2)^(1/$AJ1050)))</f>
        <v/>
      </c>
      <c r="AO1050">
        <f>IF($AJ1050="","",IF($AJ1050=0,$AK1050*EXP($AL1050*3),$AK1050*(1+$AJ1050*$AL1050*3)^(1/$AJ1050)))</f>
        <v/>
      </c>
      <c r="AP1050">
        <f>IF($AJ1050="","",IF($AJ1050=0,$AK1050*EXP($AL1050*-2),$AK1050*(1+$AJ1050*$AL1050*-2)^(1/$AJ1050)))</f>
        <v/>
      </c>
      <c r="AQ1050">
        <f>IF($AJ1050="","",IF($AJ1050=0,$AK1050*EXP($AL1050*-3),$AK1050*(1+$AJ1050*$AL1050*-3)^(1/$AJ1050)))</f>
        <v/>
      </c>
      <c r="AR1050">
        <f>IF(OR($X1050="",$T1050&gt;60),"",IFERROR(INDEX(IF($T1050&lt;24,pcomp_l,palt_l),MATCH($X1050,IF($T1050&lt;24,pcomp_k,palt_k),1)),""))</f>
        <v/>
      </c>
      <c r="AS1050">
        <f>IF(OR($X1050="",$T1050&gt;60),"",IFERROR(INDEX(IF($T1050&lt;24,pcomp_m,palt_m),MATCH($X1050,IF($T1050&lt;24,pcomp_k,palt_k),1)),""))</f>
        <v/>
      </c>
      <c r="AT1050">
        <f>IF(OR($X1050="",$T1050&gt;60),"",IFERROR(INDEX(IF($T1050&lt;24,pcomp_s,palt_s),MATCH($X1050,IF($T1050&lt;24,pcomp_k,palt_k),1)),""))</f>
        <v/>
      </c>
      <c r="AU1050">
        <f>IF($AR1050="","",IF($AR1050=0,LN($F1050/$AS1050)/$AT1050,((($F1050/$AS1050)^$AR1050)-1)/($AR1050*$AT1050)))</f>
        <v/>
      </c>
      <c r="AV1050">
        <f>IF($AR1050="","",IF($AR1050=0,$AS1050*EXP($AT1050*2),$AS1050*(1+$AR1050*$AT1050*2)^(1/$AR1050)))</f>
        <v/>
      </c>
      <c r="AW1050">
        <f>IF($AR1050="","",IF($AR1050=0,$AS1050*EXP($AT1050*3),$AS1050*(1+$AR1050*$AT1050*3)^(1/$AR1050)))</f>
        <v/>
      </c>
      <c r="AX1050">
        <f>IF($AR1050="","",IF($AR1050=0,$AS1050*EXP($AT1050*-2),$AS1050*(1+$AR1050*$AT1050*-2)^(1/$AR1050)))</f>
        <v/>
      </c>
      <c r="AY1050">
        <f>IF($AR1050="","",IF($AR1050=0,$AS1050*EXP($AT1050*-3),$AS1050*(1+$AR1050*$AT1050*-3)^(1/$AR1050)))</f>
        <v/>
      </c>
      <c r="AZ1050">
        <f>IF(OR($A1050="",$A1050&lt;&gt;Ficha!$C$4),"",COUNTIF($A$2:$A1050,Ficha!$C$4))</f>
        <v/>
      </c>
    </row>
    <row r="1051">
      <c r="A1051" s="8">
        <f>IF(INDEX(Banco!$A:$A,ROW())="","",INDEX(Banco!$A:$A,ROW()))</f>
        <v/>
      </c>
      <c r="B1051" s="8">
        <f>IF(INDEX(Banco!$B:$B,ROW())="","",INDEX(Banco!$B:$B,ROW()))</f>
        <v/>
      </c>
      <c r="C1051" s="8">
        <f>IF(INDEX(Banco!$C:$C,ROW())="","",INDEX(Banco!$C:$C,ROW()))</f>
        <v/>
      </c>
      <c r="D1051" s="9">
        <f>IF(INDEX(Banco!$D:$D,ROW())="","",INDEX(Banco!$D:$D,ROW()))</f>
        <v/>
      </c>
      <c r="E1051" s="9">
        <f>IF(INDEX(Banco!$E:$E,ROW())="","",INDEX(Banco!$E:$E,ROW()))</f>
        <v/>
      </c>
      <c r="F1051" s="10">
        <f>IF(INDEX(Banco!$F:$F,ROW())="","",INDEX(Banco!$F:$F,ROW()))</f>
        <v/>
      </c>
      <c r="G1051" s="10">
        <f>IF(INDEX(Banco!$G:$G,ROW())="","",INDEX(Banco!$G:$G,ROW()))</f>
        <v/>
      </c>
      <c r="H1051" s="8">
        <f>IF(INDEX(Banco!$H:$H,ROW())="","",INDEX(Banco!$H:$H,ROW()))</f>
        <v/>
      </c>
      <c r="I1051">
        <f>IF($T1051="","",INT($T1051/12)&amp;"a "&amp;MOD($T1051,12)&amp;"m")</f>
        <v/>
      </c>
      <c r="J1051" s="11">
        <f>IF(OR($F1051="",$G1051=""),"",ROUND($F1051/($G1051/100)^2,2))</f>
        <v/>
      </c>
      <c r="K1051" s="12">
        <f>IF(OR($S1051="",$J1051="",$T1051="",$T1051&lt;0,$T1051&gt;228,$Y1051=""),"—",ROUND(IF(ABS($AB1051)&lt;=3,$AB1051,IF($AB1051&gt;3,3+($J1051-$AD1051)/($AD1051-$AC1051),-3+($J1051-$AF1051)/($AE1051-$AF1051))),2))</f>
        <v/>
      </c>
      <c r="L1051">
        <f>IF(OR($K1051="",$K1051="—"),"",IF($T1051&lt;=60,IF($K1051&lt;-3,"Magreza acentuada",IF($K1051&lt;-2,"Magreza",IF($K1051&lt;=1,"Eutrofia",IF($K1051&lt;=2,"Risco de sobrepeso",IF($K1051&lt;=3,"Sobrepeso","Obesidade"))))),IF($K1051&lt;-3,"Magreza acentuada",IF($K1051&lt;-2,"Magreza",IF($K1051&lt;=1,"Eutrofia",IF($K1051&lt;=2,"Sobrepeso",IF($K1051&lt;=3,"Obesidade","Obesidade grave")))))))</f>
        <v/>
      </c>
      <c r="M1051" s="12">
        <f>IF(OR($S1051="",$V1051="",$T1051="",$T1051&lt;0,$T1051&gt;228,$AG1051=""),"—",ROUND(IF($AG1051=0,LN($V1051/$AH1051)/$AI1051,((($V1051/$AH1051)^$AG1051)-1)/($AG1051*$AI1051)),2))</f>
        <v/>
      </c>
      <c r="N1051">
        <f>IF(OR($M1051="",$M1051="—"),"",IF($M1051&lt;-3,"Muito baixa",IF($M1051&lt;-2,"Baixa","Adequada")))</f>
        <v/>
      </c>
      <c r="O1051" s="12">
        <f>IF(OR($S1051="",$F1051="",$T1051="",$T1051&lt;0,$T1051&gt;120,$AJ1051=""),"—",ROUND(IF(ABS($AM1051)&lt;=3,$AM1051,IF($AM1051&gt;3,3+($F1051-$AO1051)/($AO1051-$AN1051),-3+($F1051-$AQ1051)/($AP1051-$AQ1051))),2))</f>
        <v/>
      </c>
      <c r="P1051">
        <f>IF(OR($O1051="",$O1051="—"),"",IF($O1051&lt;-3,"Muito baixo",IF($O1051&lt;-2,"Baixo",IF($O1051&lt;=2,"Adequado","Elevado"))))</f>
        <v/>
      </c>
      <c r="Q1051" s="12">
        <f>IF(OR($S1051="",$F1051="",$T1051="",$T1051&lt;0,$T1051&gt;60,$AR1051=""),"—",ROUND(IF(ABS($AU1051)&lt;=3,$AU1051,IF($AU1051&gt;3,3+($F1051-$AW1051)/($AW1051-$AV1051),-3+($F1051-$AY1051)/($AX1051-$AY1051))),2))</f>
        <v/>
      </c>
      <c r="R1051">
        <f>IF(OR($Q1051="",$Q1051="—"),"",IF($Q1051&lt;-3,"Magreza acentuada",IF($Q1051&lt;-2,"Magreza",IF($Q1051&lt;=1,"Eutrofia",IF($Q1051&lt;=2,"Risco de sobrepeso",IF($Q1051&lt;=3,"Sobrepeso","Obesidade"))))))</f>
        <v/>
      </c>
      <c r="S1051">
        <f>IF($C1051="","",IF(UPPER(LEFT($C1051,1))="M",1,IF(UPPER(LEFT($C1051,1))="F",2,"")))</f>
        <v/>
      </c>
      <c r="T1051">
        <f>IF(OR($D1051="",$E1051=""),"",DATEDIF($D1051,$E1051,"m"))</f>
        <v/>
      </c>
      <c r="U1051">
        <f>IF(OR($D1051="",$E1051=""),"",$E1051-$D1051)</f>
        <v/>
      </c>
      <c r="V1051">
        <f>IF(OR($G1051="",$T1051=""),"",IF($T1051&lt;24,IF(LEFT(LOWER($H1051),4)="em p",$G1051+0.7,$G1051),IF(LEFT(LOWER($H1051),4)="deit",$G1051-0.7,$G1051)))</f>
        <v/>
      </c>
      <c r="W1051">
        <f>IF(OR($S1051="",$T1051=""),"",$S1051*1000000+IF($T1051&lt;=60,$U1051,$T1051))</f>
        <v/>
      </c>
      <c r="X1051">
        <f>IF(OR($S1051="",$V1051="",$T1051&gt;60,$T1051=""),"",$S1051*1000000+ROUND($V1051*10,0))</f>
        <v/>
      </c>
      <c r="Y1051">
        <f>IF($W1051="","",IFERROR(INDEX(IF($T1051&lt;=60,imc05_l,imc519_l),MATCH($W1051,IF($T1051&lt;=60,imc05_k,imc519_k),1)),""))</f>
        <v/>
      </c>
      <c r="Z1051">
        <f>IF($W1051="","",IFERROR(INDEX(IF($T1051&lt;=60,imc05_m,imc519_m),MATCH($W1051,IF($T1051&lt;=60,imc05_k,imc519_k),1)),""))</f>
        <v/>
      </c>
      <c r="AA1051">
        <f>IF($W1051="","",IFERROR(INDEX(IF($T1051&lt;=60,imc05_s,imc519_s),MATCH($W1051,IF($T1051&lt;=60,imc05_k,imc519_k),1)),""))</f>
        <v/>
      </c>
      <c r="AB1051">
        <f>IF($Y1051="","",IF($Y1051=0,LN($J1051/$Z1051)/$AA1051,((($J1051/$Z1051)^$Y1051)-1)/($Y1051*$AA1051)))</f>
        <v/>
      </c>
      <c r="AC1051">
        <f>IF($Y1051="","",IF($Y1051=0,$Z1051*EXP($AA1051*2),$Z1051*(1+$Y1051*$AA1051*2)^(1/$Y1051)))</f>
        <v/>
      </c>
      <c r="AD1051">
        <f>IF($Y1051="","",IF($Y1051=0,$Z1051*EXP($AA1051*3),$Z1051*(1+$Y1051*$AA1051*3)^(1/$Y1051)))</f>
        <v/>
      </c>
      <c r="AE1051">
        <f>IF($Y1051="","",IF($Y1051=0,$Z1051*EXP($AA1051*-2),$Z1051*(1+$Y1051*$AA1051*-2)^(1/$Y1051)))</f>
        <v/>
      </c>
      <c r="AF1051">
        <f>IF($Y1051="","",IF($Y1051=0,$Z1051*EXP($AA1051*-3),$Z1051*(1+$Y1051*$AA1051*-3)^(1/$Y1051)))</f>
        <v/>
      </c>
      <c r="AG1051">
        <f>IF($W1051="","",IFERROR(INDEX(IF($T1051&lt;=60,est05_l,est519_l),MATCH($W1051,IF($T1051&lt;=60,est05_k,est519_k),1)),""))</f>
        <v/>
      </c>
      <c r="AH1051">
        <f>IF($W1051="","",IFERROR(INDEX(IF($T1051&lt;=60,est05_m,est519_m),MATCH($W1051,IF($T1051&lt;=60,est05_k,est519_k),1)),""))</f>
        <v/>
      </c>
      <c r="AI1051">
        <f>IF($W1051="","",IFERROR(INDEX(IF($T1051&lt;=60,est05_s,est519_s),MATCH($W1051,IF($T1051&lt;=60,est05_k,est519_k),1)),""))</f>
        <v/>
      </c>
      <c r="AJ1051">
        <f>IF($W1051="","",IFERROR(INDEX(IF($T1051&lt;=60,peso05_l,peso510_l),MATCH($W1051,IF($T1051&lt;=60,peso05_k,peso510_k),1)),""))</f>
        <v/>
      </c>
      <c r="AK1051">
        <f>IF($W1051="","",IFERROR(INDEX(IF($T1051&lt;=60,peso05_m,peso510_m),MATCH($W1051,IF($T1051&lt;=60,peso05_k,peso510_k),1)),""))</f>
        <v/>
      </c>
      <c r="AL1051">
        <f>IF($W1051="","",IFERROR(INDEX(IF($T1051&lt;=60,peso05_s,peso510_s),MATCH($W1051,IF($T1051&lt;=60,peso05_k,peso510_k),1)),""))</f>
        <v/>
      </c>
      <c r="AM1051">
        <f>IF($AJ1051="","",IF($AJ1051=0,LN($F1051/$AK1051)/$AL1051,((($F1051/$AK1051)^$AJ1051)-1)/($AJ1051*$AL1051)))</f>
        <v/>
      </c>
      <c r="AN1051">
        <f>IF($AJ1051="","",IF($AJ1051=0,$AK1051*EXP($AL1051*2),$AK1051*(1+$AJ1051*$AL1051*2)^(1/$AJ1051)))</f>
        <v/>
      </c>
      <c r="AO1051">
        <f>IF($AJ1051="","",IF($AJ1051=0,$AK1051*EXP($AL1051*3),$AK1051*(1+$AJ1051*$AL1051*3)^(1/$AJ1051)))</f>
        <v/>
      </c>
      <c r="AP1051">
        <f>IF($AJ1051="","",IF($AJ1051=0,$AK1051*EXP($AL1051*-2),$AK1051*(1+$AJ1051*$AL1051*-2)^(1/$AJ1051)))</f>
        <v/>
      </c>
      <c r="AQ1051">
        <f>IF($AJ1051="","",IF($AJ1051=0,$AK1051*EXP($AL1051*-3),$AK1051*(1+$AJ1051*$AL1051*-3)^(1/$AJ1051)))</f>
        <v/>
      </c>
      <c r="AR1051">
        <f>IF(OR($X1051="",$T1051&gt;60),"",IFERROR(INDEX(IF($T1051&lt;24,pcomp_l,palt_l),MATCH($X1051,IF($T1051&lt;24,pcomp_k,palt_k),1)),""))</f>
        <v/>
      </c>
      <c r="AS1051">
        <f>IF(OR($X1051="",$T1051&gt;60),"",IFERROR(INDEX(IF($T1051&lt;24,pcomp_m,palt_m),MATCH($X1051,IF($T1051&lt;24,pcomp_k,palt_k),1)),""))</f>
        <v/>
      </c>
      <c r="AT1051">
        <f>IF(OR($X1051="",$T1051&gt;60),"",IFERROR(INDEX(IF($T1051&lt;24,pcomp_s,palt_s),MATCH($X1051,IF($T1051&lt;24,pcomp_k,palt_k),1)),""))</f>
        <v/>
      </c>
      <c r="AU1051">
        <f>IF($AR1051="","",IF($AR1051=0,LN($F1051/$AS1051)/$AT1051,((($F1051/$AS1051)^$AR1051)-1)/($AR1051*$AT1051)))</f>
        <v/>
      </c>
      <c r="AV1051">
        <f>IF($AR1051="","",IF($AR1051=0,$AS1051*EXP($AT1051*2),$AS1051*(1+$AR1051*$AT1051*2)^(1/$AR1051)))</f>
        <v/>
      </c>
      <c r="AW1051">
        <f>IF($AR1051="","",IF($AR1051=0,$AS1051*EXP($AT1051*3),$AS1051*(1+$AR1051*$AT1051*3)^(1/$AR1051)))</f>
        <v/>
      </c>
      <c r="AX1051">
        <f>IF($AR1051="","",IF($AR1051=0,$AS1051*EXP($AT1051*-2),$AS1051*(1+$AR1051*$AT1051*-2)^(1/$AR1051)))</f>
        <v/>
      </c>
      <c r="AY1051">
        <f>IF($AR1051="","",IF($AR1051=0,$AS1051*EXP($AT1051*-3),$AS1051*(1+$AR1051*$AT1051*-3)^(1/$AR1051)))</f>
        <v/>
      </c>
      <c r="AZ1051">
        <f>IF(OR($A1051="",$A1051&lt;&gt;Ficha!$C$4),"",COUNTIF($A$2:$A1051,Ficha!$C$4))</f>
        <v/>
      </c>
    </row>
    <row r="1052">
      <c r="A1052" s="8">
        <f>IF(INDEX(Banco!$A:$A,ROW())="","",INDEX(Banco!$A:$A,ROW()))</f>
        <v/>
      </c>
      <c r="B1052" s="8">
        <f>IF(INDEX(Banco!$B:$B,ROW())="","",INDEX(Banco!$B:$B,ROW()))</f>
        <v/>
      </c>
      <c r="C1052" s="8">
        <f>IF(INDEX(Banco!$C:$C,ROW())="","",INDEX(Banco!$C:$C,ROW()))</f>
        <v/>
      </c>
      <c r="D1052" s="9">
        <f>IF(INDEX(Banco!$D:$D,ROW())="","",INDEX(Banco!$D:$D,ROW()))</f>
        <v/>
      </c>
      <c r="E1052" s="9">
        <f>IF(INDEX(Banco!$E:$E,ROW())="","",INDEX(Banco!$E:$E,ROW()))</f>
        <v/>
      </c>
      <c r="F1052" s="10">
        <f>IF(INDEX(Banco!$F:$F,ROW())="","",INDEX(Banco!$F:$F,ROW()))</f>
        <v/>
      </c>
      <c r="G1052" s="10">
        <f>IF(INDEX(Banco!$G:$G,ROW())="","",INDEX(Banco!$G:$G,ROW()))</f>
        <v/>
      </c>
      <c r="H1052" s="8">
        <f>IF(INDEX(Banco!$H:$H,ROW())="","",INDEX(Banco!$H:$H,ROW()))</f>
        <v/>
      </c>
      <c r="I1052">
        <f>IF($T1052="","",INT($T1052/12)&amp;"a "&amp;MOD($T1052,12)&amp;"m")</f>
        <v/>
      </c>
      <c r="J1052" s="11">
        <f>IF(OR($F1052="",$G1052=""),"",ROUND($F1052/($G1052/100)^2,2))</f>
        <v/>
      </c>
      <c r="K1052" s="12">
        <f>IF(OR($S1052="",$J1052="",$T1052="",$T1052&lt;0,$T1052&gt;228,$Y1052=""),"—",ROUND(IF(ABS($AB1052)&lt;=3,$AB1052,IF($AB1052&gt;3,3+($J1052-$AD1052)/($AD1052-$AC1052),-3+($J1052-$AF1052)/($AE1052-$AF1052))),2))</f>
        <v/>
      </c>
      <c r="L1052">
        <f>IF(OR($K1052="",$K1052="—"),"",IF($T1052&lt;=60,IF($K1052&lt;-3,"Magreza acentuada",IF($K1052&lt;-2,"Magreza",IF($K1052&lt;=1,"Eutrofia",IF($K1052&lt;=2,"Risco de sobrepeso",IF($K1052&lt;=3,"Sobrepeso","Obesidade"))))),IF($K1052&lt;-3,"Magreza acentuada",IF($K1052&lt;-2,"Magreza",IF($K1052&lt;=1,"Eutrofia",IF($K1052&lt;=2,"Sobrepeso",IF($K1052&lt;=3,"Obesidade","Obesidade grave")))))))</f>
        <v/>
      </c>
      <c r="M1052" s="12">
        <f>IF(OR($S1052="",$V1052="",$T1052="",$T1052&lt;0,$T1052&gt;228,$AG1052=""),"—",ROUND(IF($AG1052=0,LN($V1052/$AH1052)/$AI1052,((($V1052/$AH1052)^$AG1052)-1)/($AG1052*$AI1052)),2))</f>
        <v/>
      </c>
      <c r="N1052">
        <f>IF(OR($M1052="",$M1052="—"),"",IF($M1052&lt;-3,"Muito baixa",IF($M1052&lt;-2,"Baixa","Adequada")))</f>
        <v/>
      </c>
      <c r="O1052" s="12">
        <f>IF(OR($S1052="",$F1052="",$T1052="",$T1052&lt;0,$T1052&gt;120,$AJ1052=""),"—",ROUND(IF(ABS($AM1052)&lt;=3,$AM1052,IF($AM1052&gt;3,3+($F1052-$AO1052)/($AO1052-$AN1052),-3+($F1052-$AQ1052)/($AP1052-$AQ1052))),2))</f>
        <v/>
      </c>
      <c r="P1052">
        <f>IF(OR($O1052="",$O1052="—"),"",IF($O1052&lt;-3,"Muito baixo",IF($O1052&lt;-2,"Baixo",IF($O1052&lt;=2,"Adequado","Elevado"))))</f>
        <v/>
      </c>
      <c r="Q1052" s="12">
        <f>IF(OR($S1052="",$F1052="",$T1052="",$T1052&lt;0,$T1052&gt;60,$AR1052=""),"—",ROUND(IF(ABS($AU1052)&lt;=3,$AU1052,IF($AU1052&gt;3,3+($F1052-$AW1052)/($AW1052-$AV1052),-3+($F1052-$AY1052)/($AX1052-$AY1052))),2))</f>
        <v/>
      </c>
      <c r="R1052">
        <f>IF(OR($Q1052="",$Q1052="—"),"",IF($Q1052&lt;-3,"Magreza acentuada",IF($Q1052&lt;-2,"Magreza",IF($Q1052&lt;=1,"Eutrofia",IF($Q1052&lt;=2,"Risco de sobrepeso",IF($Q1052&lt;=3,"Sobrepeso","Obesidade"))))))</f>
        <v/>
      </c>
      <c r="S1052">
        <f>IF($C1052="","",IF(UPPER(LEFT($C1052,1))="M",1,IF(UPPER(LEFT($C1052,1))="F",2,"")))</f>
        <v/>
      </c>
      <c r="T1052">
        <f>IF(OR($D1052="",$E1052=""),"",DATEDIF($D1052,$E1052,"m"))</f>
        <v/>
      </c>
      <c r="U1052">
        <f>IF(OR($D1052="",$E1052=""),"",$E1052-$D1052)</f>
        <v/>
      </c>
      <c r="V1052">
        <f>IF(OR($G1052="",$T1052=""),"",IF($T1052&lt;24,IF(LEFT(LOWER($H1052),4)="em p",$G1052+0.7,$G1052),IF(LEFT(LOWER($H1052),4)="deit",$G1052-0.7,$G1052)))</f>
        <v/>
      </c>
      <c r="W1052">
        <f>IF(OR($S1052="",$T1052=""),"",$S1052*1000000+IF($T1052&lt;=60,$U1052,$T1052))</f>
        <v/>
      </c>
      <c r="X1052">
        <f>IF(OR($S1052="",$V1052="",$T1052&gt;60,$T1052=""),"",$S1052*1000000+ROUND($V1052*10,0))</f>
        <v/>
      </c>
      <c r="Y1052">
        <f>IF($W1052="","",IFERROR(INDEX(IF($T1052&lt;=60,imc05_l,imc519_l),MATCH($W1052,IF($T1052&lt;=60,imc05_k,imc519_k),1)),""))</f>
        <v/>
      </c>
      <c r="Z1052">
        <f>IF($W1052="","",IFERROR(INDEX(IF($T1052&lt;=60,imc05_m,imc519_m),MATCH($W1052,IF($T1052&lt;=60,imc05_k,imc519_k),1)),""))</f>
        <v/>
      </c>
      <c r="AA1052">
        <f>IF($W1052="","",IFERROR(INDEX(IF($T1052&lt;=60,imc05_s,imc519_s),MATCH($W1052,IF($T1052&lt;=60,imc05_k,imc519_k),1)),""))</f>
        <v/>
      </c>
      <c r="AB1052">
        <f>IF($Y1052="","",IF($Y1052=0,LN($J1052/$Z1052)/$AA1052,((($J1052/$Z1052)^$Y1052)-1)/($Y1052*$AA1052)))</f>
        <v/>
      </c>
      <c r="AC1052">
        <f>IF($Y1052="","",IF($Y1052=0,$Z1052*EXP($AA1052*2),$Z1052*(1+$Y1052*$AA1052*2)^(1/$Y1052)))</f>
        <v/>
      </c>
      <c r="AD1052">
        <f>IF($Y1052="","",IF($Y1052=0,$Z1052*EXP($AA1052*3),$Z1052*(1+$Y1052*$AA1052*3)^(1/$Y1052)))</f>
        <v/>
      </c>
      <c r="AE1052">
        <f>IF($Y1052="","",IF($Y1052=0,$Z1052*EXP($AA1052*-2),$Z1052*(1+$Y1052*$AA1052*-2)^(1/$Y1052)))</f>
        <v/>
      </c>
      <c r="AF1052">
        <f>IF($Y1052="","",IF($Y1052=0,$Z1052*EXP($AA1052*-3),$Z1052*(1+$Y1052*$AA1052*-3)^(1/$Y1052)))</f>
        <v/>
      </c>
      <c r="AG1052">
        <f>IF($W1052="","",IFERROR(INDEX(IF($T1052&lt;=60,est05_l,est519_l),MATCH($W1052,IF($T1052&lt;=60,est05_k,est519_k),1)),""))</f>
        <v/>
      </c>
      <c r="AH1052">
        <f>IF($W1052="","",IFERROR(INDEX(IF($T1052&lt;=60,est05_m,est519_m),MATCH($W1052,IF($T1052&lt;=60,est05_k,est519_k),1)),""))</f>
        <v/>
      </c>
      <c r="AI1052">
        <f>IF($W1052="","",IFERROR(INDEX(IF($T1052&lt;=60,est05_s,est519_s),MATCH($W1052,IF($T1052&lt;=60,est05_k,est519_k),1)),""))</f>
        <v/>
      </c>
      <c r="AJ1052">
        <f>IF($W1052="","",IFERROR(INDEX(IF($T1052&lt;=60,peso05_l,peso510_l),MATCH($W1052,IF($T1052&lt;=60,peso05_k,peso510_k),1)),""))</f>
        <v/>
      </c>
      <c r="AK1052">
        <f>IF($W1052="","",IFERROR(INDEX(IF($T1052&lt;=60,peso05_m,peso510_m),MATCH($W1052,IF($T1052&lt;=60,peso05_k,peso510_k),1)),""))</f>
        <v/>
      </c>
      <c r="AL1052">
        <f>IF($W1052="","",IFERROR(INDEX(IF($T1052&lt;=60,peso05_s,peso510_s),MATCH($W1052,IF($T1052&lt;=60,peso05_k,peso510_k),1)),""))</f>
        <v/>
      </c>
      <c r="AM1052">
        <f>IF($AJ1052="","",IF($AJ1052=0,LN($F1052/$AK1052)/$AL1052,((($F1052/$AK1052)^$AJ1052)-1)/($AJ1052*$AL1052)))</f>
        <v/>
      </c>
      <c r="AN1052">
        <f>IF($AJ1052="","",IF($AJ1052=0,$AK1052*EXP($AL1052*2),$AK1052*(1+$AJ1052*$AL1052*2)^(1/$AJ1052)))</f>
        <v/>
      </c>
      <c r="AO1052">
        <f>IF($AJ1052="","",IF($AJ1052=0,$AK1052*EXP($AL1052*3),$AK1052*(1+$AJ1052*$AL1052*3)^(1/$AJ1052)))</f>
        <v/>
      </c>
      <c r="AP1052">
        <f>IF($AJ1052="","",IF($AJ1052=0,$AK1052*EXP($AL1052*-2),$AK1052*(1+$AJ1052*$AL1052*-2)^(1/$AJ1052)))</f>
        <v/>
      </c>
      <c r="AQ1052">
        <f>IF($AJ1052="","",IF($AJ1052=0,$AK1052*EXP($AL1052*-3),$AK1052*(1+$AJ1052*$AL1052*-3)^(1/$AJ1052)))</f>
        <v/>
      </c>
      <c r="AR1052">
        <f>IF(OR($X1052="",$T1052&gt;60),"",IFERROR(INDEX(IF($T1052&lt;24,pcomp_l,palt_l),MATCH($X1052,IF($T1052&lt;24,pcomp_k,palt_k),1)),""))</f>
        <v/>
      </c>
      <c r="AS1052">
        <f>IF(OR($X1052="",$T1052&gt;60),"",IFERROR(INDEX(IF($T1052&lt;24,pcomp_m,palt_m),MATCH($X1052,IF($T1052&lt;24,pcomp_k,palt_k),1)),""))</f>
        <v/>
      </c>
      <c r="AT1052">
        <f>IF(OR($X1052="",$T1052&gt;60),"",IFERROR(INDEX(IF($T1052&lt;24,pcomp_s,palt_s),MATCH($X1052,IF($T1052&lt;24,pcomp_k,palt_k),1)),""))</f>
        <v/>
      </c>
      <c r="AU1052">
        <f>IF($AR1052="","",IF($AR1052=0,LN($F1052/$AS1052)/$AT1052,((($F1052/$AS1052)^$AR1052)-1)/($AR1052*$AT1052)))</f>
        <v/>
      </c>
      <c r="AV1052">
        <f>IF($AR1052="","",IF($AR1052=0,$AS1052*EXP($AT1052*2),$AS1052*(1+$AR1052*$AT1052*2)^(1/$AR1052)))</f>
        <v/>
      </c>
      <c r="AW1052">
        <f>IF($AR1052="","",IF($AR1052=0,$AS1052*EXP($AT1052*3),$AS1052*(1+$AR1052*$AT1052*3)^(1/$AR1052)))</f>
        <v/>
      </c>
      <c r="AX1052">
        <f>IF($AR1052="","",IF($AR1052=0,$AS1052*EXP($AT1052*-2),$AS1052*(1+$AR1052*$AT1052*-2)^(1/$AR1052)))</f>
        <v/>
      </c>
      <c r="AY1052">
        <f>IF($AR1052="","",IF($AR1052=0,$AS1052*EXP($AT1052*-3),$AS1052*(1+$AR1052*$AT1052*-3)^(1/$AR1052)))</f>
        <v/>
      </c>
      <c r="AZ1052">
        <f>IF(OR($A1052="",$A1052&lt;&gt;Ficha!$C$4),"",COUNTIF($A$2:$A1052,Ficha!$C$4))</f>
        <v/>
      </c>
    </row>
    <row r="1053">
      <c r="A1053" s="8">
        <f>IF(INDEX(Banco!$A:$A,ROW())="","",INDEX(Banco!$A:$A,ROW()))</f>
        <v/>
      </c>
      <c r="B1053" s="8">
        <f>IF(INDEX(Banco!$B:$B,ROW())="","",INDEX(Banco!$B:$B,ROW()))</f>
        <v/>
      </c>
      <c r="C1053" s="8">
        <f>IF(INDEX(Banco!$C:$C,ROW())="","",INDEX(Banco!$C:$C,ROW()))</f>
        <v/>
      </c>
      <c r="D1053" s="9">
        <f>IF(INDEX(Banco!$D:$D,ROW())="","",INDEX(Banco!$D:$D,ROW()))</f>
        <v/>
      </c>
      <c r="E1053" s="9">
        <f>IF(INDEX(Banco!$E:$E,ROW())="","",INDEX(Banco!$E:$E,ROW()))</f>
        <v/>
      </c>
      <c r="F1053" s="10">
        <f>IF(INDEX(Banco!$F:$F,ROW())="","",INDEX(Banco!$F:$F,ROW()))</f>
        <v/>
      </c>
      <c r="G1053" s="10">
        <f>IF(INDEX(Banco!$G:$G,ROW())="","",INDEX(Banco!$G:$G,ROW()))</f>
        <v/>
      </c>
      <c r="H1053" s="8">
        <f>IF(INDEX(Banco!$H:$H,ROW())="","",INDEX(Banco!$H:$H,ROW()))</f>
        <v/>
      </c>
      <c r="I1053">
        <f>IF($T1053="","",INT($T1053/12)&amp;"a "&amp;MOD($T1053,12)&amp;"m")</f>
        <v/>
      </c>
      <c r="J1053" s="11">
        <f>IF(OR($F1053="",$G1053=""),"",ROUND($F1053/($G1053/100)^2,2))</f>
        <v/>
      </c>
      <c r="K1053" s="12">
        <f>IF(OR($S1053="",$J1053="",$T1053="",$T1053&lt;0,$T1053&gt;228,$Y1053=""),"—",ROUND(IF(ABS($AB1053)&lt;=3,$AB1053,IF($AB1053&gt;3,3+($J1053-$AD1053)/($AD1053-$AC1053),-3+($J1053-$AF1053)/($AE1053-$AF1053))),2))</f>
        <v/>
      </c>
      <c r="L1053">
        <f>IF(OR($K1053="",$K1053="—"),"",IF($T1053&lt;=60,IF($K1053&lt;-3,"Magreza acentuada",IF($K1053&lt;-2,"Magreza",IF($K1053&lt;=1,"Eutrofia",IF($K1053&lt;=2,"Risco de sobrepeso",IF($K1053&lt;=3,"Sobrepeso","Obesidade"))))),IF($K1053&lt;-3,"Magreza acentuada",IF($K1053&lt;-2,"Magreza",IF($K1053&lt;=1,"Eutrofia",IF($K1053&lt;=2,"Sobrepeso",IF($K1053&lt;=3,"Obesidade","Obesidade grave")))))))</f>
        <v/>
      </c>
      <c r="M1053" s="12">
        <f>IF(OR($S1053="",$V1053="",$T1053="",$T1053&lt;0,$T1053&gt;228,$AG1053=""),"—",ROUND(IF($AG1053=0,LN($V1053/$AH1053)/$AI1053,((($V1053/$AH1053)^$AG1053)-1)/($AG1053*$AI1053)),2))</f>
        <v/>
      </c>
      <c r="N1053">
        <f>IF(OR($M1053="",$M1053="—"),"",IF($M1053&lt;-3,"Muito baixa",IF($M1053&lt;-2,"Baixa","Adequada")))</f>
        <v/>
      </c>
      <c r="O1053" s="12">
        <f>IF(OR($S1053="",$F1053="",$T1053="",$T1053&lt;0,$T1053&gt;120,$AJ1053=""),"—",ROUND(IF(ABS($AM1053)&lt;=3,$AM1053,IF($AM1053&gt;3,3+($F1053-$AO1053)/($AO1053-$AN1053),-3+($F1053-$AQ1053)/($AP1053-$AQ1053))),2))</f>
        <v/>
      </c>
      <c r="P1053">
        <f>IF(OR($O1053="",$O1053="—"),"",IF($O1053&lt;-3,"Muito baixo",IF($O1053&lt;-2,"Baixo",IF($O1053&lt;=2,"Adequado","Elevado"))))</f>
        <v/>
      </c>
      <c r="Q1053" s="12">
        <f>IF(OR($S1053="",$F1053="",$T1053="",$T1053&lt;0,$T1053&gt;60,$AR1053=""),"—",ROUND(IF(ABS($AU1053)&lt;=3,$AU1053,IF($AU1053&gt;3,3+($F1053-$AW1053)/($AW1053-$AV1053),-3+($F1053-$AY1053)/($AX1053-$AY1053))),2))</f>
        <v/>
      </c>
      <c r="R1053">
        <f>IF(OR($Q1053="",$Q1053="—"),"",IF($Q1053&lt;-3,"Magreza acentuada",IF($Q1053&lt;-2,"Magreza",IF($Q1053&lt;=1,"Eutrofia",IF($Q1053&lt;=2,"Risco de sobrepeso",IF($Q1053&lt;=3,"Sobrepeso","Obesidade"))))))</f>
        <v/>
      </c>
      <c r="S1053">
        <f>IF($C1053="","",IF(UPPER(LEFT($C1053,1))="M",1,IF(UPPER(LEFT($C1053,1))="F",2,"")))</f>
        <v/>
      </c>
      <c r="T1053">
        <f>IF(OR($D1053="",$E1053=""),"",DATEDIF($D1053,$E1053,"m"))</f>
        <v/>
      </c>
      <c r="U1053">
        <f>IF(OR($D1053="",$E1053=""),"",$E1053-$D1053)</f>
        <v/>
      </c>
      <c r="V1053">
        <f>IF(OR($G1053="",$T1053=""),"",IF($T1053&lt;24,IF(LEFT(LOWER($H1053),4)="em p",$G1053+0.7,$G1053),IF(LEFT(LOWER($H1053),4)="deit",$G1053-0.7,$G1053)))</f>
        <v/>
      </c>
      <c r="W1053">
        <f>IF(OR($S1053="",$T1053=""),"",$S1053*1000000+IF($T1053&lt;=60,$U1053,$T1053))</f>
        <v/>
      </c>
      <c r="X1053">
        <f>IF(OR($S1053="",$V1053="",$T1053&gt;60,$T1053=""),"",$S1053*1000000+ROUND($V1053*10,0))</f>
        <v/>
      </c>
      <c r="Y1053">
        <f>IF($W1053="","",IFERROR(INDEX(IF($T1053&lt;=60,imc05_l,imc519_l),MATCH($W1053,IF($T1053&lt;=60,imc05_k,imc519_k),1)),""))</f>
        <v/>
      </c>
      <c r="Z1053">
        <f>IF($W1053="","",IFERROR(INDEX(IF($T1053&lt;=60,imc05_m,imc519_m),MATCH($W1053,IF($T1053&lt;=60,imc05_k,imc519_k),1)),""))</f>
        <v/>
      </c>
      <c r="AA1053">
        <f>IF($W1053="","",IFERROR(INDEX(IF($T1053&lt;=60,imc05_s,imc519_s),MATCH($W1053,IF($T1053&lt;=60,imc05_k,imc519_k),1)),""))</f>
        <v/>
      </c>
      <c r="AB1053">
        <f>IF($Y1053="","",IF($Y1053=0,LN($J1053/$Z1053)/$AA1053,((($J1053/$Z1053)^$Y1053)-1)/($Y1053*$AA1053)))</f>
        <v/>
      </c>
      <c r="AC1053">
        <f>IF($Y1053="","",IF($Y1053=0,$Z1053*EXP($AA1053*2),$Z1053*(1+$Y1053*$AA1053*2)^(1/$Y1053)))</f>
        <v/>
      </c>
      <c r="AD1053">
        <f>IF($Y1053="","",IF($Y1053=0,$Z1053*EXP($AA1053*3),$Z1053*(1+$Y1053*$AA1053*3)^(1/$Y1053)))</f>
        <v/>
      </c>
      <c r="AE1053">
        <f>IF($Y1053="","",IF($Y1053=0,$Z1053*EXP($AA1053*-2),$Z1053*(1+$Y1053*$AA1053*-2)^(1/$Y1053)))</f>
        <v/>
      </c>
      <c r="AF1053">
        <f>IF($Y1053="","",IF($Y1053=0,$Z1053*EXP($AA1053*-3),$Z1053*(1+$Y1053*$AA1053*-3)^(1/$Y1053)))</f>
        <v/>
      </c>
      <c r="AG1053">
        <f>IF($W1053="","",IFERROR(INDEX(IF($T1053&lt;=60,est05_l,est519_l),MATCH($W1053,IF($T1053&lt;=60,est05_k,est519_k),1)),""))</f>
        <v/>
      </c>
      <c r="AH1053">
        <f>IF($W1053="","",IFERROR(INDEX(IF($T1053&lt;=60,est05_m,est519_m),MATCH($W1053,IF($T1053&lt;=60,est05_k,est519_k),1)),""))</f>
        <v/>
      </c>
      <c r="AI1053">
        <f>IF($W1053="","",IFERROR(INDEX(IF($T1053&lt;=60,est05_s,est519_s),MATCH($W1053,IF($T1053&lt;=60,est05_k,est519_k),1)),""))</f>
        <v/>
      </c>
      <c r="AJ1053">
        <f>IF($W1053="","",IFERROR(INDEX(IF($T1053&lt;=60,peso05_l,peso510_l),MATCH($W1053,IF($T1053&lt;=60,peso05_k,peso510_k),1)),""))</f>
        <v/>
      </c>
      <c r="AK1053">
        <f>IF($W1053="","",IFERROR(INDEX(IF($T1053&lt;=60,peso05_m,peso510_m),MATCH($W1053,IF($T1053&lt;=60,peso05_k,peso510_k),1)),""))</f>
        <v/>
      </c>
      <c r="AL1053">
        <f>IF($W1053="","",IFERROR(INDEX(IF($T1053&lt;=60,peso05_s,peso510_s),MATCH($W1053,IF($T1053&lt;=60,peso05_k,peso510_k),1)),""))</f>
        <v/>
      </c>
      <c r="AM1053">
        <f>IF($AJ1053="","",IF($AJ1053=0,LN($F1053/$AK1053)/$AL1053,((($F1053/$AK1053)^$AJ1053)-1)/($AJ1053*$AL1053)))</f>
        <v/>
      </c>
      <c r="AN1053">
        <f>IF($AJ1053="","",IF($AJ1053=0,$AK1053*EXP($AL1053*2),$AK1053*(1+$AJ1053*$AL1053*2)^(1/$AJ1053)))</f>
        <v/>
      </c>
      <c r="AO1053">
        <f>IF($AJ1053="","",IF($AJ1053=0,$AK1053*EXP($AL1053*3),$AK1053*(1+$AJ1053*$AL1053*3)^(1/$AJ1053)))</f>
        <v/>
      </c>
      <c r="AP1053">
        <f>IF($AJ1053="","",IF($AJ1053=0,$AK1053*EXP($AL1053*-2),$AK1053*(1+$AJ1053*$AL1053*-2)^(1/$AJ1053)))</f>
        <v/>
      </c>
      <c r="AQ1053">
        <f>IF($AJ1053="","",IF($AJ1053=0,$AK1053*EXP($AL1053*-3),$AK1053*(1+$AJ1053*$AL1053*-3)^(1/$AJ1053)))</f>
        <v/>
      </c>
      <c r="AR1053">
        <f>IF(OR($X1053="",$T1053&gt;60),"",IFERROR(INDEX(IF($T1053&lt;24,pcomp_l,palt_l),MATCH($X1053,IF($T1053&lt;24,pcomp_k,palt_k),1)),""))</f>
        <v/>
      </c>
      <c r="AS1053">
        <f>IF(OR($X1053="",$T1053&gt;60),"",IFERROR(INDEX(IF($T1053&lt;24,pcomp_m,palt_m),MATCH($X1053,IF($T1053&lt;24,pcomp_k,palt_k),1)),""))</f>
        <v/>
      </c>
      <c r="AT1053">
        <f>IF(OR($X1053="",$T1053&gt;60),"",IFERROR(INDEX(IF($T1053&lt;24,pcomp_s,palt_s),MATCH($X1053,IF($T1053&lt;24,pcomp_k,palt_k),1)),""))</f>
        <v/>
      </c>
      <c r="AU1053">
        <f>IF($AR1053="","",IF($AR1053=0,LN($F1053/$AS1053)/$AT1053,((($F1053/$AS1053)^$AR1053)-1)/($AR1053*$AT1053)))</f>
        <v/>
      </c>
      <c r="AV1053">
        <f>IF($AR1053="","",IF($AR1053=0,$AS1053*EXP($AT1053*2),$AS1053*(1+$AR1053*$AT1053*2)^(1/$AR1053)))</f>
        <v/>
      </c>
      <c r="AW1053">
        <f>IF($AR1053="","",IF($AR1053=0,$AS1053*EXP($AT1053*3),$AS1053*(1+$AR1053*$AT1053*3)^(1/$AR1053)))</f>
        <v/>
      </c>
      <c r="AX1053">
        <f>IF($AR1053="","",IF($AR1053=0,$AS1053*EXP($AT1053*-2),$AS1053*(1+$AR1053*$AT1053*-2)^(1/$AR1053)))</f>
        <v/>
      </c>
      <c r="AY1053">
        <f>IF($AR1053="","",IF($AR1053=0,$AS1053*EXP($AT1053*-3),$AS1053*(1+$AR1053*$AT1053*-3)^(1/$AR1053)))</f>
        <v/>
      </c>
      <c r="AZ1053">
        <f>IF(OR($A1053="",$A1053&lt;&gt;Ficha!$C$4),"",COUNTIF($A$2:$A1053,Ficha!$C$4))</f>
        <v/>
      </c>
    </row>
    <row r="1054">
      <c r="A1054" s="8">
        <f>IF(INDEX(Banco!$A:$A,ROW())="","",INDEX(Banco!$A:$A,ROW()))</f>
        <v/>
      </c>
      <c r="B1054" s="8">
        <f>IF(INDEX(Banco!$B:$B,ROW())="","",INDEX(Banco!$B:$B,ROW()))</f>
        <v/>
      </c>
      <c r="C1054" s="8">
        <f>IF(INDEX(Banco!$C:$C,ROW())="","",INDEX(Banco!$C:$C,ROW()))</f>
        <v/>
      </c>
      <c r="D1054" s="9">
        <f>IF(INDEX(Banco!$D:$D,ROW())="","",INDEX(Banco!$D:$D,ROW()))</f>
        <v/>
      </c>
      <c r="E1054" s="9">
        <f>IF(INDEX(Banco!$E:$E,ROW())="","",INDEX(Banco!$E:$E,ROW()))</f>
        <v/>
      </c>
      <c r="F1054" s="10">
        <f>IF(INDEX(Banco!$F:$F,ROW())="","",INDEX(Banco!$F:$F,ROW()))</f>
        <v/>
      </c>
      <c r="G1054" s="10">
        <f>IF(INDEX(Banco!$G:$G,ROW())="","",INDEX(Banco!$G:$G,ROW()))</f>
        <v/>
      </c>
      <c r="H1054" s="8">
        <f>IF(INDEX(Banco!$H:$H,ROW())="","",INDEX(Banco!$H:$H,ROW()))</f>
        <v/>
      </c>
      <c r="I1054">
        <f>IF($T1054="","",INT($T1054/12)&amp;"a "&amp;MOD($T1054,12)&amp;"m")</f>
        <v/>
      </c>
      <c r="J1054" s="11">
        <f>IF(OR($F1054="",$G1054=""),"",ROUND($F1054/($G1054/100)^2,2))</f>
        <v/>
      </c>
      <c r="K1054" s="12">
        <f>IF(OR($S1054="",$J1054="",$T1054="",$T1054&lt;0,$T1054&gt;228,$Y1054=""),"—",ROUND(IF(ABS($AB1054)&lt;=3,$AB1054,IF($AB1054&gt;3,3+($J1054-$AD1054)/($AD1054-$AC1054),-3+($J1054-$AF1054)/($AE1054-$AF1054))),2))</f>
        <v/>
      </c>
      <c r="L1054">
        <f>IF(OR($K1054="",$K1054="—"),"",IF($T1054&lt;=60,IF($K1054&lt;-3,"Magreza acentuada",IF($K1054&lt;-2,"Magreza",IF($K1054&lt;=1,"Eutrofia",IF($K1054&lt;=2,"Risco de sobrepeso",IF($K1054&lt;=3,"Sobrepeso","Obesidade"))))),IF($K1054&lt;-3,"Magreza acentuada",IF($K1054&lt;-2,"Magreza",IF($K1054&lt;=1,"Eutrofia",IF($K1054&lt;=2,"Sobrepeso",IF($K1054&lt;=3,"Obesidade","Obesidade grave")))))))</f>
        <v/>
      </c>
      <c r="M1054" s="12">
        <f>IF(OR($S1054="",$V1054="",$T1054="",$T1054&lt;0,$T1054&gt;228,$AG1054=""),"—",ROUND(IF($AG1054=0,LN($V1054/$AH1054)/$AI1054,((($V1054/$AH1054)^$AG1054)-1)/($AG1054*$AI1054)),2))</f>
        <v/>
      </c>
      <c r="N1054">
        <f>IF(OR($M1054="",$M1054="—"),"",IF($M1054&lt;-3,"Muito baixa",IF($M1054&lt;-2,"Baixa","Adequada")))</f>
        <v/>
      </c>
      <c r="O1054" s="12">
        <f>IF(OR($S1054="",$F1054="",$T1054="",$T1054&lt;0,$T1054&gt;120,$AJ1054=""),"—",ROUND(IF(ABS($AM1054)&lt;=3,$AM1054,IF($AM1054&gt;3,3+($F1054-$AO1054)/($AO1054-$AN1054),-3+($F1054-$AQ1054)/($AP1054-$AQ1054))),2))</f>
        <v/>
      </c>
      <c r="P1054">
        <f>IF(OR($O1054="",$O1054="—"),"",IF($O1054&lt;-3,"Muito baixo",IF($O1054&lt;-2,"Baixo",IF($O1054&lt;=2,"Adequado","Elevado"))))</f>
        <v/>
      </c>
      <c r="Q1054" s="12">
        <f>IF(OR($S1054="",$F1054="",$T1054="",$T1054&lt;0,$T1054&gt;60,$AR1054=""),"—",ROUND(IF(ABS($AU1054)&lt;=3,$AU1054,IF($AU1054&gt;3,3+($F1054-$AW1054)/($AW1054-$AV1054),-3+($F1054-$AY1054)/($AX1054-$AY1054))),2))</f>
        <v/>
      </c>
      <c r="R1054">
        <f>IF(OR($Q1054="",$Q1054="—"),"",IF($Q1054&lt;-3,"Magreza acentuada",IF($Q1054&lt;-2,"Magreza",IF($Q1054&lt;=1,"Eutrofia",IF($Q1054&lt;=2,"Risco de sobrepeso",IF($Q1054&lt;=3,"Sobrepeso","Obesidade"))))))</f>
        <v/>
      </c>
      <c r="S1054">
        <f>IF($C1054="","",IF(UPPER(LEFT($C1054,1))="M",1,IF(UPPER(LEFT($C1054,1))="F",2,"")))</f>
        <v/>
      </c>
      <c r="T1054">
        <f>IF(OR($D1054="",$E1054=""),"",DATEDIF($D1054,$E1054,"m"))</f>
        <v/>
      </c>
      <c r="U1054">
        <f>IF(OR($D1054="",$E1054=""),"",$E1054-$D1054)</f>
        <v/>
      </c>
      <c r="V1054">
        <f>IF(OR($G1054="",$T1054=""),"",IF($T1054&lt;24,IF(LEFT(LOWER($H1054),4)="em p",$G1054+0.7,$G1054),IF(LEFT(LOWER($H1054),4)="deit",$G1054-0.7,$G1054)))</f>
        <v/>
      </c>
      <c r="W1054">
        <f>IF(OR($S1054="",$T1054=""),"",$S1054*1000000+IF($T1054&lt;=60,$U1054,$T1054))</f>
        <v/>
      </c>
      <c r="X1054">
        <f>IF(OR($S1054="",$V1054="",$T1054&gt;60,$T1054=""),"",$S1054*1000000+ROUND($V1054*10,0))</f>
        <v/>
      </c>
      <c r="Y1054">
        <f>IF($W1054="","",IFERROR(INDEX(IF($T1054&lt;=60,imc05_l,imc519_l),MATCH($W1054,IF($T1054&lt;=60,imc05_k,imc519_k),1)),""))</f>
        <v/>
      </c>
      <c r="Z1054">
        <f>IF($W1054="","",IFERROR(INDEX(IF($T1054&lt;=60,imc05_m,imc519_m),MATCH($W1054,IF($T1054&lt;=60,imc05_k,imc519_k),1)),""))</f>
        <v/>
      </c>
      <c r="AA1054">
        <f>IF($W1054="","",IFERROR(INDEX(IF($T1054&lt;=60,imc05_s,imc519_s),MATCH($W1054,IF($T1054&lt;=60,imc05_k,imc519_k),1)),""))</f>
        <v/>
      </c>
      <c r="AB1054">
        <f>IF($Y1054="","",IF($Y1054=0,LN($J1054/$Z1054)/$AA1054,((($J1054/$Z1054)^$Y1054)-1)/($Y1054*$AA1054)))</f>
        <v/>
      </c>
      <c r="AC1054">
        <f>IF($Y1054="","",IF($Y1054=0,$Z1054*EXP($AA1054*2),$Z1054*(1+$Y1054*$AA1054*2)^(1/$Y1054)))</f>
        <v/>
      </c>
      <c r="AD1054">
        <f>IF($Y1054="","",IF($Y1054=0,$Z1054*EXP($AA1054*3),$Z1054*(1+$Y1054*$AA1054*3)^(1/$Y1054)))</f>
        <v/>
      </c>
      <c r="AE1054">
        <f>IF($Y1054="","",IF($Y1054=0,$Z1054*EXP($AA1054*-2),$Z1054*(1+$Y1054*$AA1054*-2)^(1/$Y1054)))</f>
        <v/>
      </c>
      <c r="AF1054">
        <f>IF($Y1054="","",IF($Y1054=0,$Z1054*EXP($AA1054*-3),$Z1054*(1+$Y1054*$AA1054*-3)^(1/$Y1054)))</f>
        <v/>
      </c>
      <c r="AG1054">
        <f>IF($W1054="","",IFERROR(INDEX(IF($T1054&lt;=60,est05_l,est519_l),MATCH($W1054,IF($T1054&lt;=60,est05_k,est519_k),1)),""))</f>
        <v/>
      </c>
      <c r="AH1054">
        <f>IF($W1054="","",IFERROR(INDEX(IF($T1054&lt;=60,est05_m,est519_m),MATCH($W1054,IF($T1054&lt;=60,est05_k,est519_k),1)),""))</f>
        <v/>
      </c>
      <c r="AI1054">
        <f>IF($W1054="","",IFERROR(INDEX(IF($T1054&lt;=60,est05_s,est519_s),MATCH($W1054,IF($T1054&lt;=60,est05_k,est519_k),1)),""))</f>
        <v/>
      </c>
      <c r="AJ1054">
        <f>IF($W1054="","",IFERROR(INDEX(IF($T1054&lt;=60,peso05_l,peso510_l),MATCH($W1054,IF($T1054&lt;=60,peso05_k,peso510_k),1)),""))</f>
        <v/>
      </c>
      <c r="AK1054">
        <f>IF($W1054="","",IFERROR(INDEX(IF($T1054&lt;=60,peso05_m,peso510_m),MATCH($W1054,IF($T1054&lt;=60,peso05_k,peso510_k),1)),""))</f>
        <v/>
      </c>
      <c r="AL1054">
        <f>IF($W1054="","",IFERROR(INDEX(IF($T1054&lt;=60,peso05_s,peso510_s),MATCH($W1054,IF($T1054&lt;=60,peso05_k,peso510_k),1)),""))</f>
        <v/>
      </c>
      <c r="AM1054">
        <f>IF($AJ1054="","",IF($AJ1054=0,LN($F1054/$AK1054)/$AL1054,((($F1054/$AK1054)^$AJ1054)-1)/($AJ1054*$AL1054)))</f>
        <v/>
      </c>
      <c r="AN1054">
        <f>IF($AJ1054="","",IF($AJ1054=0,$AK1054*EXP($AL1054*2),$AK1054*(1+$AJ1054*$AL1054*2)^(1/$AJ1054)))</f>
        <v/>
      </c>
      <c r="AO1054">
        <f>IF($AJ1054="","",IF($AJ1054=0,$AK1054*EXP($AL1054*3),$AK1054*(1+$AJ1054*$AL1054*3)^(1/$AJ1054)))</f>
        <v/>
      </c>
      <c r="AP1054">
        <f>IF($AJ1054="","",IF($AJ1054=0,$AK1054*EXP($AL1054*-2),$AK1054*(1+$AJ1054*$AL1054*-2)^(1/$AJ1054)))</f>
        <v/>
      </c>
      <c r="AQ1054">
        <f>IF($AJ1054="","",IF($AJ1054=0,$AK1054*EXP($AL1054*-3),$AK1054*(1+$AJ1054*$AL1054*-3)^(1/$AJ1054)))</f>
        <v/>
      </c>
      <c r="AR1054">
        <f>IF(OR($X1054="",$T1054&gt;60),"",IFERROR(INDEX(IF($T1054&lt;24,pcomp_l,palt_l),MATCH($X1054,IF($T1054&lt;24,pcomp_k,palt_k),1)),""))</f>
        <v/>
      </c>
      <c r="AS1054">
        <f>IF(OR($X1054="",$T1054&gt;60),"",IFERROR(INDEX(IF($T1054&lt;24,pcomp_m,palt_m),MATCH($X1054,IF($T1054&lt;24,pcomp_k,palt_k),1)),""))</f>
        <v/>
      </c>
      <c r="AT1054">
        <f>IF(OR($X1054="",$T1054&gt;60),"",IFERROR(INDEX(IF($T1054&lt;24,pcomp_s,palt_s),MATCH($X1054,IF($T1054&lt;24,pcomp_k,palt_k),1)),""))</f>
        <v/>
      </c>
      <c r="AU1054">
        <f>IF($AR1054="","",IF($AR1054=0,LN($F1054/$AS1054)/$AT1054,((($F1054/$AS1054)^$AR1054)-1)/($AR1054*$AT1054)))</f>
        <v/>
      </c>
      <c r="AV1054">
        <f>IF($AR1054="","",IF($AR1054=0,$AS1054*EXP($AT1054*2),$AS1054*(1+$AR1054*$AT1054*2)^(1/$AR1054)))</f>
        <v/>
      </c>
      <c r="AW1054">
        <f>IF($AR1054="","",IF($AR1054=0,$AS1054*EXP($AT1054*3),$AS1054*(1+$AR1054*$AT1054*3)^(1/$AR1054)))</f>
        <v/>
      </c>
      <c r="AX1054">
        <f>IF($AR1054="","",IF($AR1054=0,$AS1054*EXP($AT1054*-2),$AS1054*(1+$AR1054*$AT1054*-2)^(1/$AR1054)))</f>
        <v/>
      </c>
      <c r="AY1054">
        <f>IF($AR1054="","",IF($AR1054=0,$AS1054*EXP($AT1054*-3),$AS1054*(1+$AR1054*$AT1054*-3)^(1/$AR1054)))</f>
        <v/>
      </c>
      <c r="AZ1054">
        <f>IF(OR($A1054="",$A1054&lt;&gt;Ficha!$C$4),"",COUNTIF($A$2:$A1054,Ficha!$C$4))</f>
        <v/>
      </c>
    </row>
    <row r="1055">
      <c r="A1055" s="8">
        <f>IF(INDEX(Banco!$A:$A,ROW())="","",INDEX(Banco!$A:$A,ROW()))</f>
        <v/>
      </c>
      <c r="B1055" s="8">
        <f>IF(INDEX(Banco!$B:$B,ROW())="","",INDEX(Banco!$B:$B,ROW()))</f>
        <v/>
      </c>
      <c r="C1055" s="8">
        <f>IF(INDEX(Banco!$C:$C,ROW())="","",INDEX(Banco!$C:$C,ROW()))</f>
        <v/>
      </c>
      <c r="D1055" s="9">
        <f>IF(INDEX(Banco!$D:$D,ROW())="","",INDEX(Banco!$D:$D,ROW()))</f>
        <v/>
      </c>
      <c r="E1055" s="9">
        <f>IF(INDEX(Banco!$E:$E,ROW())="","",INDEX(Banco!$E:$E,ROW()))</f>
        <v/>
      </c>
      <c r="F1055" s="10">
        <f>IF(INDEX(Banco!$F:$F,ROW())="","",INDEX(Banco!$F:$F,ROW()))</f>
        <v/>
      </c>
      <c r="G1055" s="10">
        <f>IF(INDEX(Banco!$G:$G,ROW())="","",INDEX(Banco!$G:$G,ROW()))</f>
        <v/>
      </c>
      <c r="H1055" s="8">
        <f>IF(INDEX(Banco!$H:$H,ROW())="","",INDEX(Banco!$H:$H,ROW()))</f>
        <v/>
      </c>
      <c r="I1055">
        <f>IF($T1055="","",INT($T1055/12)&amp;"a "&amp;MOD($T1055,12)&amp;"m")</f>
        <v/>
      </c>
      <c r="J1055" s="11">
        <f>IF(OR($F1055="",$G1055=""),"",ROUND($F1055/($G1055/100)^2,2))</f>
        <v/>
      </c>
      <c r="K1055" s="12">
        <f>IF(OR($S1055="",$J1055="",$T1055="",$T1055&lt;0,$T1055&gt;228,$Y1055=""),"—",ROUND(IF(ABS($AB1055)&lt;=3,$AB1055,IF($AB1055&gt;3,3+($J1055-$AD1055)/($AD1055-$AC1055),-3+($J1055-$AF1055)/($AE1055-$AF1055))),2))</f>
        <v/>
      </c>
      <c r="L1055">
        <f>IF(OR($K1055="",$K1055="—"),"",IF($T1055&lt;=60,IF($K1055&lt;-3,"Magreza acentuada",IF($K1055&lt;-2,"Magreza",IF($K1055&lt;=1,"Eutrofia",IF($K1055&lt;=2,"Risco de sobrepeso",IF($K1055&lt;=3,"Sobrepeso","Obesidade"))))),IF($K1055&lt;-3,"Magreza acentuada",IF($K1055&lt;-2,"Magreza",IF($K1055&lt;=1,"Eutrofia",IF($K1055&lt;=2,"Sobrepeso",IF($K1055&lt;=3,"Obesidade","Obesidade grave")))))))</f>
        <v/>
      </c>
      <c r="M1055" s="12">
        <f>IF(OR($S1055="",$V1055="",$T1055="",$T1055&lt;0,$T1055&gt;228,$AG1055=""),"—",ROUND(IF($AG1055=0,LN($V1055/$AH1055)/$AI1055,((($V1055/$AH1055)^$AG1055)-1)/($AG1055*$AI1055)),2))</f>
        <v/>
      </c>
      <c r="N1055">
        <f>IF(OR($M1055="",$M1055="—"),"",IF($M1055&lt;-3,"Muito baixa",IF($M1055&lt;-2,"Baixa","Adequada")))</f>
        <v/>
      </c>
      <c r="O1055" s="12">
        <f>IF(OR($S1055="",$F1055="",$T1055="",$T1055&lt;0,$T1055&gt;120,$AJ1055=""),"—",ROUND(IF(ABS($AM1055)&lt;=3,$AM1055,IF($AM1055&gt;3,3+($F1055-$AO1055)/($AO1055-$AN1055),-3+($F1055-$AQ1055)/($AP1055-$AQ1055))),2))</f>
        <v/>
      </c>
      <c r="P1055">
        <f>IF(OR($O1055="",$O1055="—"),"",IF($O1055&lt;-3,"Muito baixo",IF($O1055&lt;-2,"Baixo",IF($O1055&lt;=2,"Adequado","Elevado"))))</f>
        <v/>
      </c>
      <c r="Q1055" s="12">
        <f>IF(OR($S1055="",$F1055="",$T1055="",$T1055&lt;0,$T1055&gt;60,$AR1055=""),"—",ROUND(IF(ABS($AU1055)&lt;=3,$AU1055,IF($AU1055&gt;3,3+($F1055-$AW1055)/($AW1055-$AV1055),-3+($F1055-$AY1055)/($AX1055-$AY1055))),2))</f>
        <v/>
      </c>
      <c r="R1055">
        <f>IF(OR($Q1055="",$Q1055="—"),"",IF($Q1055&lt;-3,"Magreza acentuada",IF($Q1055&lt;-2,"Magreza",IF($Q1055&lt;=1,"Eutrofia",IF($Q1055&lt;=2,"Risco de sobrepeso",IF($Q1055&lt;=3,"Sobrepeso","Obesidade"))))))</f>
        <v/>
      </c>
      <c r="S1055">
        <f>IF($C1055="","",IF(UPPER(LEFT($C1055,1))="M",1,IF(UPPER(LEFT($C1055,1))="F",2,"")))</f>
        <v/>
      </c>
      <c r="T1055">
        <f>IF(OR($D1055="",$E1055=""),"",DATEDIF($D1055,$E1055,"m"))</f>
        <v/>
      </c>
      <c r="U1055">
        <f>IF(OR($D1055="",$E1055=""),"",$E1055-$D1055)</f>
        <v/>
      </c>
      <c r="V1055">
        <f>IF(OR($G1055="",$T1055=""),"",IF($T1055&lt;24,IF(LEFT(LOWER($H1055),4)="em p",$G1055+0.7,$G1055),IF(LEFT(LOWER($H1055),4)="deit",$G1055-0.7,$G1055)))</f>
        <v/>
      </c>
      <c r="W1055">
        <f>IF(OR($S1055="",$T1055=""),"",$S1055*1000000+IF($T1055&lt;=60,$U1055,$T1055))</f>
        <v/>
      </c>
      <c r="X1055">
        <f>IF(OR($S1055="",$V1055="",$T1055&gt;60,$T1055=""),"",$S1055*1000000+ROUND($V1055*10,0))</f>
        <v/>
      </c>
      <c r="Y1055">
        <f>IF($W1055="","",IFERROR(INDEX(IF($T1055&lt;=60,imc05_l,imc519_l),MATCH($W1055,IF($T1055&lt;=60,imc05_k,imc519_k),1)),""))</f>
        <v/>
      </c>
      <c r="Z1055">
        <f>IF($W1055="","",IFERROR(INDEX(IF($T1055&lt;=60,imc05_m,imc519_m),MATCH($W1055,IF($T1055&lt;=60,imc05_k,imc519_k),1)),""))</f>
        <v/>
      </c>
      <c r="AA1055">
        <f>IF($W1055="","",IFERROR(INDEX(IF($T1055&lt;=60,imc05_s,imc519_s),MATCH($W1055,IF($T1055&lt;=60,imc05_k,imc519_k),1)),""))</f>
        <v/>
      </c>
      <c r="AB1055">
        <f>IF($Y1055="","",IF($Y1055=0,LN($J1055/$Z1055)/$AA1055,((($J1055/$Z1055)^$Y1055)-1)/($Y1055*$AA1055)))</f>
        <v/>
      </c>
      <c r="AC1055">
        <f>IF($Y1055="","",IF($Y1055=0,$Z1055*EXP($AA1055*2),$Z1055*(1+$Y1055*$AA1055*2)^(1/$Y1055)))</f>
        <v/>
      </c>
      <c r="AD1055">
        <f>IF($Y1055="","",IF($Y1055=0,$Z1055*EXP($AA1055*3),$Z1055*(1+$Y1055*$AA1055*3)^(1/$Y1055)))</f>
        <v/>
      </c>
      <c r="AE1055">
        <f>IF($Y1055="","",IF($Y1055=0,$Z1055*EXP($AA1055*-2),$Z1055*(1+$Y1055*$AA1055*-2)^(1/$Y1055)))</f>
        <v/>
      </c>
      <c r="AF1055">
        <f>IF($Y1055="","",IF($Y1055=0,$Z1055*EXP($AA1055*-3),$Z1055*(1+$Y1055*$AA1055*-3)^(1/$Y1055)))</f>
        <v/>
      </c>
      <c r="AG1055">
        <f>IF($W1055="","",IFERROR(INDEX(IF($T1055&lt;=60,est05_l,est519_l),MATCH($W1055,IF($T1055&lt;=60,est05_k,est519_k),1)),""))</f>
        <v/>
      </c>
      <c r="AH1055">
        <f>IF($W1055="","",IFERROR(INDEX(IF($T1055&lt;=60,est05_m,est519_m),MATCH($W1055,IF($T1055&lt;=60,est05_k,est519_k),1)),""))</f>
        <v/>
      </c>
      <c r="AI1055">
        <f>IF($W1055="","",IFERROR(INDEX(IF($T1055&lt;=60,est05_s,est519_s),MATCH($W1055,IF($T1055&lt;=60,est05_k,est519_k),1)),""))</f>
        <v/>
      </c>
      <c r="AJ1055">
        <f>IF($W1055="","",IFERROR(INDEX(IF($T1055&lt;=60,peso05_l,peso510_l),MATCH($W1055,IF($T1055&lt;=60,peso05_k,peso510_k),1)),""))</f>
        <v/>
      </c>
      <c r="AK1055">
        <f>IF($W1055="","",IFERROR(INDEX(IF($T1055&lt;=60,peso05_m,peso510_m),MATCH($W1055,IF($T1055&lt;=60,peso05_k,peso510_k),1)),""))</f>
        <v/>
      </c>
      <c r="AL1055">
        <f>IF($W1055="","",IFERROR(INDEX(IF($T1055&lt;=60,peso05_s,peso510_s),MATCH($W1055,IF($T1055&lt;=60,peso05_k,peso510_k),1)),""))</f>
        <v/>
      </c>
      <c r="AM1055">
        <f>IF($AJ1055="","",IF($AJ1055=0,LN($F1055/$AK1055)/$AL1055,((($F1055/$AK1055)^$AJ1055)-1)/($AJ1055*$AL1055)))</f>
        <v/>
      </c>
      <c r="AN1055">
        <f>IF($AJ1055="","",IF($AJ1055=0,$AK1055*EXP($AL1055*2),$AK1055*(1+$AJ1055*$AL1055*2)^(1/$AJ1055)))</f>
        <v/>
      </c>
      <c r="AO1055">
        <f>IF($AJ1055="","",IF($AJ1055=0,$AK1055*EXP($AL1055*3),$AK1055*(1+$AJ1055*$AL1055*3)^(1/$AJ1055)))</f>
        <v/>
      </c>
      <c r="AP1055">
        <f>IF($AJ1055="","",IF($AJ1055=0,$AK1055*EXP($AL1055*-2),$AK1055*(1+$AJ1055*$AL1055*-2)^(1/$AJ1055)))</f>
        <v/>
      </c>
      <c r="AQ1055">
        <f>IF($AJ1055="","",IF($AJ1055=0,$AK1055*EXP($AL1055*-3),$AK1055*(1+$AJ1055*$AL1055*-3)^(1/$AJ1055)))</f>
        <v/>
      </c>
      <c r="AR1055">
        <f>IF(OR($X1055="",$T1055&gt;60),"",IFERROR(INDEX(IF($T1055&lt;24,pcomp_l,palt_l),MATCH($X1055,IF($T1055&lt;24,pcomp_k,palt_k),1)),""))</f>
        <v/>
      </c>
      <c r="AS1055">
        <f>IF(OR($X1055="",$T1055&gt;60),"",IFERROR(INDEX(IF($T1055&lt;24,pcomp_m,palt_m),MATCH($X1055,IF($T1055&lt;24,pcomp_k,palt_k),1)),""))</f>
        <v/>
      </c>
      <c r="AT1055">
        <f>IF(OR($X1055="",$T1055&gt;60),"",IFERROR(INDEX(IF($T1055&lt;24,pcomp_s,palt_s),MATCH($X1055,IF($T1055&lt;24,pcomp_k,palt_k),1)),""))</f>
        <v/>
      </c>
      <c r="AU1055">
        <f>IF($AR1055="","",IF($AR1055=0,LN($F1055/$AS1055)/$AT1055,((($F1055/$AS1055)^$AR1055)-1)/($AR1055*$AT1055)))</f>
        <v/>
      </c>
      <c r="AV1055">
        <f>IF($AR1055="","",IF($AR1055=0,$AS1055*EXP($AT1055*2),$AS1055*(1+$AR1055*$AT1055*2)^(1/$AR1055)))</f>
        <v/>
      </c>
      <c r="AW1055">
        <f>IF($AR1055="","",IF($AR1055=0,$AS1055*EXP($AT1055*3),$AS1055*(1+$AR1055*$AT1055*3)^(1/$AR1055)))</f>
        <v/>
      </c>
      <c r="AX1055">
        <f>IF($AR1055="","",IF($AR1055=0,$AS1055*EXP($AT1055*-2),$AS1055*(1+$AR1055*$AT1055*-2)^(1/$AR1055)))</f>
        <v/>
      </c>
      <c r="AY1055">
        <f>IF($AR1055="","",IF($AR1055=0,$AS1055*EXP($AT1055*-3),$AS1055*(1+$AR1055*$AT1055*-3)^(1/$AR1055)))</f>
        <v/>
      </c>
      <c r="AZ1055">
        <f>IF(OR($A1055="",$A1055&lt;&gt;Ficha!$C$4),"",COUNTIF($A$2:$A1055,Ficha!$C$4))</f>
        <v/>
      </c>
    </row>
    <row r="1056">
      <c r="A1056" s="8">
        <f>IF(INDEX(Banco!$A:$A,ROW())="","",INDEX(Banco!$A:$A,ROW()))</f>
        <v/>
      </c>
      <c r="B1056" s="8">
        <f>IF(INDEX(Banco!$B:$B,ROW())="","",INDEX(Banco!$B:$B,ROW()))</f>
        <v/>
      </c>
      <c r="C1056" s="8">
        <f>IF(INDEX(Banco!$C:$C,ROW())="","",INDEX(Banco!$C:$C,ROW()))</f>
        <v/>
      </c>
      <c r="D1056" s="9">
        <f>IF(INDEX(Banco!$D:$D,ROW())="","",INDEX(Banco!$D:$D,ROW()))</f>
        <v/>
      </c>
      <c r="E1056" s="9">
        <f>IF(INDEX(Banco!$E:$E,ROW())="","",INDEX(Banco!$E:$E,ROW()))</f>
        <v/>
      </c>
      <c r="F1056" s="10">
        <f>IF(INDEX(Banco!$F:$F,ROW())="","",INDEX(Banco!$F:$F,ROW()))</f>
        <v/>
      </c>
      <c r="G1056" s="10">
        <f>IF(INDEX(Banco!$G:$G,ROW())="","",INDEX(Banco!$G:$G,ROW()))</f>
        <v/>
      </c>
      <c r="H1056" s="8">
        <f>IF(INDEX(Banco!$H:$H,ROW())="","",INDEX(Banco!$H:$H,ROW()))</f>
        <v/>
      </c>
      <c r="I1056">
        <f>IF($T1056="","",INT($T1056/12)&amp;"a "&amp;MOD($T1056,12)&amp;"m")</f>
        <v/>
      </c>
      <c r="J1056" s="11">
        <f>IF(OR($F1056="",$G1056=""),"",ROUND($F1056/($G1056/100)^2,2))</f>
        <v/>
      </c>
      <c r="K1056" s="12">
        <f>IF(OR($S1056="",$J1056="",$T1056="",$T1056&lt;0,$T1056&gt;228,$Y1056=""),"—",ROUND(IF(ABS($AB1056)&lt;=3,$AB1056,IF($AB1056&gt;3,3+($J1056-$AD1056)/($AD1056-$AC1056),-3+($J1056-$AF1056)/($AE1056-$AF1056))),2))</f>
        <v/>
      </c>
      <c r="L1056">
        <f>IF(OR($K1056="",$K1056="—"),"",IF($T1056&lt;=60,IF($K1056&lt;-3,"Magreza acentuada",IF($K1056&lt;-2,"Magreza",IF($K1056&lt;=1,"Eutrofia",IF($K1056&lt;=2,"Risco de sobrepeso",IF($K1056&lt;=3,"Sobrepeso","Obesidade"))))),IF($K1056&lt;-3,"Magreza acentuada",IF($K1056&lt;-2,"Magreza",IF($K1056&lt;=1,"Eutrofia",IF($K1056&lt;=2,"Sobrepeso",IF($K1056&lt;=3,"Obesidade","Obesidade grave")))))))</f>
        <v/>
      </c>
      <c r="M1056" s="12">
        <f>IF(OR($S1056="",$V1056="",$T1056="",$T1056&lt;0,$T1056&gt;228,$AG1056=""),"—",ROUND(IF($AG1056=0,LN($V1056/$AH1056)/$AI1056,((($V1056/$AH1056)^$AG1056)-1)/($AG1056*$AI1056)),2))</f>
        <v/>
      </c>
      <c r="N1056">
        <f>IF(OR($M1056="",$M1056="—"),"",IF($M1056&lt;-3,"Muito baixa",IF($M1056&lt;-2,"Baixa","Adequada")))</f>
        <v/>
      </c>
      <c r="O1056" s="12">
        <f>IF(OR($S1056="",$F1056="",$T1056="",$T1056&lt;0,$T1056&gt;120,$AJ1056=""),"—",ROUND(IF(ABS($AM1056)&lt;=3,$AM1056,IF($AM1056&gt;3,3+($F1056-$AO1056)/($AO1056-$AN1056),-3+($F1056-$AQ1056)/($AP1056-$AQ1056))),2))</f>
        <v/>
      </c>
      <c r="P1056">
        <f>IF(OR($O1056="",$O1056="—"),"",IF($O1056&lt;-3,"Muito baixo",IF($O1056&lt;-2,"Baixo",IF($O1056&lt;=2,"Adequado","Elevado"))))</f>
        <v/>
      </c>
      <c r="Q1056" s="12">
        <f>IF(OR($S1056="",$F1056="",$T1056="",$T1056&lt;0,$T1056&gt;60,$AR1056=""),"—",ROUND(IF(ABS($AU1056)&lt;=3,$AU1056,IF($AU1056&gt;3,3+($F1056-$AW1056)/($AW1056-$AV1056),-3+($F1056-$AY1056)/($AX1056-$AY1056))),2))</f>
        <v/>
      </c>
      <c r="R1056">
        <f>IF(OR($Q1056="",$Q1056="—"),"",IF($Q1056&lt;-3,"Magreza acentuada",IF($Q1056&lt;-2,"Magreza",IF($Q1056&lt;=1,"Eutrofia",IF($Q1056&lt;=2,"Risco de sobrepeso",IF($Q1056&lt;=3,"Sobrepeso","Obesidade"))))))</f>
        <v/>
      </c>
      <c r="S1056">
        <f>IF($C1056="","",IF(UPPER(LEFT($C1056,1))="M",1,IF(UPPER(LEFT($C1056,1))="F",2,"")))</f>
        <v/>
      </c>
      <c r="T1056">
        <f>IF(OR($D1056="",$E1056=""),"",DATEDIF($D1056,$E1056,"m"))</f>
        <v/>
      </c>
      <c r="U1056">
        <f>IF(OR($D1056="",$E1056=""),"",$E1056-$D1056)</f>
        <v/>
      </c>
      <c r="V1056">
        <f>IF(OR($G1056="",$T1056=""),"",IF($T1056&lt;24,IF(LEFT(LOWER($H1056),4)="em p",$G1056+0.7,$G1056),IF(LEFT(LOWER($H1056),4)="deit",$G1056-0.7,$G1056)))</f>
        <v/>
      </c>
      <c r="W1056">
        <f>IF(OR($S1056="",$T1056=""),"",$S1056*1000000+IF($T1056&lt;=60,$U1056,$T1056))</f>
        <v/>
      </c>
      <c r="X1056">
        <f>IF(OR($S1056="",$V1056="",$T1056&gt;60,$T1056=""),"",$S1056*1000000+ROUND($V1056*10,0))</f>
        <v/>
      </c>
      <c r="Y1056">
        <f>IF($W1056="","",IFERROR(INDEX(IF($T1056&lt;=60,imc05_l,imc519_l),MATCH($W1056,IF($T1056&lt;=60,imc05_k,imc519_k),1)),""))</f>
        <v/>
      </c>
      <c r="Z1056">
        <f>IF($W1056="","",IFERROR(INDEX(IF($T1056&lt;=60,imc05_m,imc519_m),MATCH($W1056,IF($T1056&lt;=60,imc05_k,imc519_k),1)),""))</f>
        <v/>
      </c>
      <c r="AA1056">
        <f>IF($W1056="","",IFERROR(INDEX(IF($T1056&lt;=60,imc05_s,imc519_s),MATCH($W1056,IF($T1056&lt;=60,imc05_k,imc519_k),1)),""))</f>
        <v/>
      </c>
      <c r="AB1056">
        <f>IF($Y1056="","",IF($Y1056=0,LN($J1056/$Z1056)/$AA1056,((($J1056/$Z1056)^$Y1056)-1)/($Y1056*$AA1056)))</f>
        <v/>
      </c>
      <c r="AC1056">
        <f>IF($Y1056="","",IF($Y1056=0,$Z1056*EXP($AA1056*2),$Z1056*(1+$Y1056*$AA1056*2)^(1/$Y1056)))</f>
        <v/>
      </c>
      <c r="AD1056">
        <f>IF($Y1056="","",IF($Y1056=0,$Z1056*EXP($AA1056*3),$Z1056*(1+$Y1056*$AA1056*3)^(1/$Y1056)))</f>
        <v/>
      </c>
      <c r="AE1056">
        <f>IF($Y1056="","",IF($Y1056=0,$Z1056*EXP($AA1056*-2),$Z1056*(1+$Y1056*$AA1056*-2)^(1/$Y1056)))</f>
        <v/>
      </c>
      <c r="AF1056">
        <f>IF($Y1056="","",IF($Y1056=0,$Z1056*EXP($AA1056*-3),$Z1056*(1+$Y1056*$AA1056*-3)^(1/$Y1056)))</f>
        <v/>
      </c>
      <c r="AG1056">
        <f>IF($W1056="","",IFERROR(INDEX(IF($T1056&lt;=60,est05_l,est519_l),MATCH($W1056,IF($T1056&lt;=60,est05_k,est519_k),1)),""))</f>
        <v/>
      </c>
      <c r="AH1056">
        <f>IF($W1056="","",IFERROR(INDEX(IF($T1056&lt;=60,est05_m,est519_m),MATCH($W1056,IF($T1056&lt;=60,est05_k,est519_k),1)),""))</f>
        <v/>
      </c>
      <c r="AI1056">
        <f>IF($W1056="","",IFERROR(INDEX(IF($T1056&lt;=60,est05_s,est519_s),MATCH($W1056,IF($T1056&lt;=60,est05_k,est519_k),1)),""))</f>
        <v/>
      </c>
      <c r="AJ1056">
        <f>IF($W1056="","",IFERROR(INDEX(IF($T1056&lt;=60,peso05_l,peso510_l),MATCH($W1056,IF($T1056&lt;=60,peso05_k,peso510_k),1)),""))</f>
        <v/>
      </c>
      <c r="AK1056">
        <f>IF($W1056="","",IFERROR(INDEX(IF($T1056&lt;=60,peso05_m,peso510_m),MATCH($W1056,IF($T1056&lt;=60,peso05_k,peso510_k),1)),""))</f>
        <v/>
      </c>
      <c r="AL1056">
        <f>IF($W1056="","",IFERROR(INDEX(IF($T1056&lt;=60,peso05_s,peso510_s),MATCH($W1056,IF($T1056&lt;=60,peso05_k,peso510_k),1)),""))</f>
        <v/>
      </c>
      <c r="AM1056">
        <f>IF($AJ1056="","",IF($AJ1056=0,LN($F1056/$AK1056)/$AL1056,((($F1056/$AK1056)^$AJ1056)-1)/($AJ1056*$AL1056)))</f>
        <v/>
      </c>
      <c r="AN1056">
        <f>IF($AJ1056="","",IF($AJ1056=0,$AK1056*EXP($AL1056*2),$AK1056*(1+$AJ1056*$AL1056*2)^(1/$AJ1056)))</f>
        <v/>
      </c>
      <c r="AO1056">
        <f>IF($AJ1056="","",IF($AJ1056=0,$AK1056*EXP($AL1056*3),$AK1056*(1+$AJ1056*$AL1056*3)^(1/$AJ1056)))</f>
        <v/>
      </c>
      <c r="AP1056">
        <f>IF($AJ1056="","",IF($AJ1056=0,$AK1056*EXP($AL1056*-2),$AK1056*(1+$AJ1056*$AL1056*-2)^(1/$AJ1056)))</f>
        <v/>
      </c>
      <c r="AQ1056">
        <f>IF($AJ1056="","",IF($AJ1056=0,$AK1056*EXP($AL1056*-3),$AK1056*(1+$AJ1056*$AL1056*-3)^(1/$AJ1056)))</f>
        <v/>
      </c>
      <c r="AR1056">
        <f>IF(OR($X1056="",$T1056&gt;60),"",IFERROR(INDEX(IF($T1056&lt;24,pcomp_l,palt_l),MATCH($X1056,IF($T1056&lt;24,pcomp_k,palt_k),1)),""))</f>
        <v/>
      </c>
      <c r="AS1056">
        <f>IF(OR($X1056="",$T1056&gt;60),"",IFERROR(INDEX(IF($T1056&lt;24,pcomp_m,palt_m),MATCH($X1056,IF($T1056&lt;24,pcomp_k,palt_k),1)),""))</f>
        <v/>
      </c>
      <c r="AT1056">
        <f>IF(OR($X1056="",$T1056&gt;60),"",IFERROR(INDEX(IF($T1056&lt;24,pcomp_s,palt_s),MATCH($X1056,IF($T1056&lt;24,pcomp_k,palt_k),1)),""))</f>
        <v/>
      </c>
      <c r="AU1056">
        <f>IF($AR1056="","",IF($AR1056=0,LN($F1056/$AS1056)/$AT1056,((($F1056/$AS1056)^$AR1056)-1)/($AR1056*$AT1056)))</f>
        <v/>
      </c>
      <c r="AV1056">
        <f>IF($AR1056="","",IF($AR1056=0,$AS1056*EXP($AT1056*2),$AS1056*(1+$AR1056*$AT1056*2)^(1/$AR1056)))</f>
        <v/>
      </c>
      <c r="AW1056">
        <f>IF($AR1056="","",IF($AR1056=0,$AS1056*EXP($AT1056*3),$AS1056*(1+$AR1056*$AT1056*3)^(1/$AR1056)))</f>
        <v/>
      </c>
      <c r="AX1056">
        <f>IF($AR1056="","",IF($AR1056=0,$AS1056*EXP($AT1056*-2),$AS1056*(1+$AR1056*$AT1056*-2)^(1/$AR1056)))</f>
        <v/>
      </c>
      <c r="AY1056">
        <f>IF($AR1056="","",IF($AR1056=0,$AS1056*EXP($AT1056*-3),$AS1056*(1+$AR1056*$AT1056*-3)^(1/$AR1056)))</f>
        <v/>
      </c>
      <c r="AZ1056">
        <f>IF(OR($A1056="",$A1056&lt;&gt;Ficha!$C$4),"",COUNTIF($A$2:$A1056,Ficha!$C$4))</f>
        <v/>
      </c>
    </row>
    <row r="1057">
      <c r="A1057" s="8">
        <f>IF(INDEX(Banco!$A:$A,ROW())="","",INDEX(Banco!$A:$A,ROW()))</f>
        <v/>
      </c>
      <c r="B1057" s="8">
        <f>IF(INDEX(Banco!$B:$B,ROW())="","",INDEX(Banco!$B:$B,ROW()))</f>
        <v/>
      </c>
      <c r="C1057" s="8">
        <f>IF(INDEX(Banco!$C:$C,ROW())="","",INDEX(Banco!$C:$C,ROW()))</f>
        <v/>
      </c>
      <c r="D1057" s="9">
        <f>IF(INDEX(Banco!$D:$D,ROW())="","",INDEX(Banco!$D:$D,ROW()))</f>
        <v/>
      </c>
      <c r="E1057" s="9">
        <f>IF(INDEX(Banco!$E:$E,ROW())="","",INDEX(Banco!$E:$E,ROW()))</f>
        <v/>
      </c>
      <c r="F1057" s="10">
        <f>IF(INDEX(Banco!$F:$F,ROW())="","",INDEX(Banco!$F:$F,ROW()))</f>
        <v/>
      </c>
      <c r="G1057" s="10">
        <f>IF(INDEX(Banco!$G:$G,ROW())="","",INDEX(Banco!$G:$G,ROW()))</f>
        <v/>
      </c>
      <c r="H1057" s="8">
        <f>IF(INDEX(Banco!$H:$H,ROW())="","",INDEX(Banco!$H:$H,ROW()))</f>
        <v/>
      </c>
      <c r="I1057">
        <f>IF($T1057="","",INT($T1057/12)&amp;"a "&amp;MOD($T1057,12)&amp;"m")</f>
        <v/>
      </c>
      <c r="J1057" s="11">
        <f>IF(OR($F1057="",$G1057=""),"",ROUND($F1057/($G1057/100)^2,2))</f>
        <v/>
      </c>
      <c r="K1057" s="12">
        <f>IF(OR($S1057="",$J1057="",$T1057="",$T1057&lt;0,$T1057&gt;228,$Y1057=""),"—",ROUND(IF(ABS($AB1057)&lt;=3,$AB1057,IF($AB1057&gt;3,3+($J1057-$AD1057)/($AD1057-$AC1057),-3+($J1057-$AF1057)/($AE1057-$AF1057))),2))</f>
        <v/>
      </c>
      <c r="L1057">
        <f>IF(OR($K1057="",$K1057="—"),"",IF($T1057&lt;=60,IF($K1057&lt;-3,"Magreza acentuada",IF($K1057&lt;-2,"Magreza",IF($K1057&lt;=1,"Eutrofia",IF($K1057&lt;=2,"Risco de sobrepeso",IF($K1057&lt;=3,"Sobrepeso","Obesidade"))))),IF($K1057&lt;-3,"Magreza acentuada",IF($K1057&lt;-2,"Magreza",IF($K1057&lt;=1,"Eutrofia",IF($K1057&lt;=2,"Sobrepeso",IF($K1057&lt;=3,"Obesidade","Obesidade grave")))))))</f>
        <v/>
      </c>
      <c r="M1057" s="12">
        <f>IF(OR($S1057="",$V1057="",$T1057="",$T1057&lt;0,$T1057&gt;228,$AG1057=""),"—",ROUND(IF($AG1057=0,LN($V1057/$AH1057)/$AI1057,((($V1057/$AH1057)^$AG1057)-1)/($AG1057*$AI1057)),2))</f>
        <v/>
      </c>
      <c r="N1057">
        <f>IF(OR($M1057="",$M1057="—"),"",IF($M1057&lt;-3,"Muito baixa",IF($M1057&lt;-2,"Baixa","Adequada")))</f>
        <v/>
      </c>
      <c r="O1057" s="12">
        <f>IF(OR($S1057="",$F1057="",$T1057="",$T1057&lt;0,$T1057&gt;120,$AJ1057=""),"—",ROUND(IF(ABS($AM1057)&lt;=3,$AM1057,IF($AM1057&gt;3,3+($F1057-$AO1057)/($AO1057-$AN1057),-3+($F1057-$AQ1057)/($AP1057-$AQ1057))),2))</f>
        <v/>
      </c>
      <c r="P1057">
        <f>IF(OR($O1057="",$O1057="—"),"",IF($O1057&lt;-3,"Muito baixo",IF($O1057&lt;-2,"Baixo",IF($O1057&lt;=2,"Adequado","Elevado"))))</f>
        <v/>
      </c>
      <c r="Q1057" s="12">
        <f>IF(OR($S1057="",$F1057="",$T1057="",$T1057&lt;0,$T1057&gt;60,$AR1057=""),"—",ROUND(IF(ABS($AU1057)&lt;=3,$AU1057,IF($AU1057&gt;3,3+($F1057-$AW1057)/($AW1057-$AV1057),-3+($F1057-$AY1057)/($AX1057-$AY1057))),2))</f>
        <v/>
      </c>
      <c r="R1057">
        <f>IF(OR($Q1057="",$Q1057="—"),"",IF($Q1057&lt;-3,"Magreza acentuada",IF($Q1057&lt;-2,"Magreza",IF($Q1057&lt;=1,"Eutrofia",IF($Q1057&lt;=2,"Risco de sobrepeso",IF($Q1057&lt;=3,"Sobrepeso","Obesidade"))))))</f>
        <v/>
      </c>
      <c r="S1057">
        <f>IF($C1057="","",IF(UPPER(LEFT($C1057,1))="M",1,IF(UPPER(LEFT($C1057,1))="F",2,"")))</f>
        <v/>
      </c>
      <c r="T1057">
        <f>IF(OR($D1057="",$E1057=""),"",DATEDIF($D1057,$E1057,"m"))</f>
        <v/>
      </c>
      <c r="U1057">
        <f>IF(OR($D1057="",$E1057=""),"",$E1057-$D1057)</f>
        <v/>
      </c>
      <c r="V1057">
        <f>IF(OR($G1057="",$T1057=""),"",IF($T1057&lt;24,IF(LEFT(LOWER($H1057),4)="em p",$G1057+0.7,$G1057),IF(LEFT(LOWER($H1057),4)="deit",$G1057-0.7,$G1057)))</f>
        <v/>
      </c>
      <c r="W1057">
        <f>IF(OR($S1057="",$T1057=""),"",$S1057*1000000+IF($T1057&lt;=60,$U1057,$T1057))</f>
        <v/>
      </c>
      <c r="X1057">
        <f>IF(OR($S1057="",$V1057="",$T1057&gt;60,$T1057=""),"",$S1057*1000000+ROUND($V1057*10,0))</f>
        <v/>
      </c>
      <c r="Y1057">
        <f>IF($W1057="","",IFERROR(INDEX(IF($T1057&lt;=60,imc05_l,imc519_l),MATCH($W1057,IF($T1057&lt;=60,imc05_k,imc519_k),1)),""))</f>
        <v/>
      </c>
      <c r="Z1057">
        <f>IF($W1057="","",IFERROR(INDEX(IF($T1057&lt;=60,imc05_m,imc519_m),MATCH($W1057,IF($T1057&lt;=60,imc05_k,imc519_k),1)),""))</f>
        <v/>
      </c>
      <c r="AA1057">
        <f>IF($W1057="","",IFERROR(INDEX(IF($T1057&lt;=60,imc05_s,imc519_s),MATCH($W1057,IF($T1057&lt;=60,imc05_k,imc519_k),1)),""))</f>
        <v/>
      </c>
      <c r="AB1057">
        <f>IF($Y1057="","",IF($Y1057=0,LN($J1057/$Z1057)/$AA1057,((($J1057/$Z1057)^$Y1057)-1)/($Y1057*$AA1057)))</f>
        <v/>
      </c>
      <c r="AC1057">
        <f>IF($Y1057="","",IF($Y1057=0,$Z1057*EXP($AA1057*2),$Z1057*(1+$Y1057*$AA1057*2)^(1/$Y1057)))</f>
        <v/>
      </c>
      <c r="AD1057">
        <f>IF($Y1057="","",IF($Y1057=0,$Z1057*EXP($AA1057*3),$Z1057*(1+$Y1057*$AA1057*3)^(1/$Y1057)))</f>
        <v/>
      </c>
      <c r="AE1057">
        <f>IF($Y1057="","",IF($Y1057=0,$Z1057*EXP($AA1057*-2),$Z1057*(1+$Y1057*$AA1057*-2)^(1/$Y1057)))</f>
        <v/>
      </c>
      <c r="AF1057">
        <f>IF($Y1057="","",IF($Y1057=0,$Z1057*EXP($AA1057*-3),$Z1057*(1+$Y1057*$AA1057*-3)^(1/$Y1057)))</f>
        <v/>
      </c>
      <c r="AG1057">
        <f>IF($W1057="","",IFERROR(INDEX(IF($T1057&lt;=60,est05_l,est519_l),MATCH($W1057,IF($T1057&lt;=60,est05_k,est519_k),1)),""))</f>
        <v/>
      </c>
      <c r="AH1057">
        <f>IF($W1057="","",IFERROR(INDEX(IF($T1057&lt;=60,est05_m,est519_m),MATCH($W1057,IF($T1057&lt;=60,est05_k,est519_k),1)),""))</f>
        <v/>
      </c>
      <c r="AI1057">
        <f>IF($W1057="","",IFERROR(INDEX(IF($T1057&lt;=60,est05_s,est519_s),MATCH($W1057,IF($T1057&lt;=60,est05_k,est519_k),1)),""))</f>
        <v/>
      </c>
      <c r="AJ1057">
        <f>IF($W1057="","",IFERROR(INDEX(IF($T1057&lt;=60,peso05_l,peso510_l),MATCH($W1057,IF($T1057&lt;=60,peso05_k,peso510_k),1)),""))</f>
        <v/>
      </c>
      <c r="AK1057">
        <f>IF($W1057="","",IFERROR(INDEX(IF($T1057&lt;=60,peso05_m,peso510_m),MATCH($W1057,IF($T1057&lt;=60,peso05_k,peso510_k),1)),""))</f>
        <v/>
      </c>
      <c r="AL1057">
        <f>IF($W1057="","",IFERROR(INDEX(IF($T1057&lt;=60,peso05_s,peso510_s),MATCH($W1057,IF($T1057&lt;=60,peso05_k,peso510_k),1)),""))</f>
        <v/>
      </c>
      <c r="AM1057">
        <f>IF($AJ1057="","",IF($AJ1057=0,LN($F1057/$AK1057)/$AL1057,((($F1057/$AK1057)^$AJ1057)-1)/($AJ1057*$AL1057)))</f>
        <v/>
      </c>
      <c r="AN1057">
        <f>IF($AJ1057="","",IF($AJ1057=0,$AK1057*EXP($AL1057*2),$AK1057*(1+$AJ1057*$AL1057*2)^(1/$AJ1057)))</f>
        <v/>
      </c>
      <c r="AO1057">
        <f>IF($AJ1057="","",IF($AJ1057=0,$AK1057*EXP($AL1057*3),$AK1057*(1+$AJ1057*$AL1057*3)^(1/$AJ1057)))</f>
        <v/>
      </c>
      <c r="AP1057">
        <f>IF($AJ1057="","",IF($AJ1057=0,$AK1057*EXP($AL1057*-2),$AK1057*(1+$AJ1057*$AL1057*-2)^(1/$AJ1057)))</f>
        <v/>
      </c>
      <c r="AQ1057">
        <f>IF($AJ1057="","",IF($AJ1057=0,$AK1057*EXP($AL1057*-3),$AK1057*(1+$AJ1057*$AL1057*-3)^(1/$AJ1057)))</f>
        <v/>
      </c>
      <c r="AR1057">
        <f>IF(OR($X1057="",$T1057&gt;60),"",IFERROR(INDEX(IF($T1057&lt;24,pcomp_l,palt_l),MATCH($X1057,IF($T1057&lt;24,pcomp_k,palt_k),1)),""))</f>
        <v/>
      </c>
      <c r="AS1057">
        <f>IF(OR($X1057="",$T1057&gt;60),"",IFERROR(INDEX(IF($T1057&lt;24,pcomp_m,palt_m),MATCH($X1057,IF($T1057&lt;24,pcomp_k,palt_k),1)),""))</f>
        <v/>
      </c>
      <c r="AT1057">
        <f>IF(OR($X1057="",$T1057&gt;60),"",IFERROR(INDEX(IF($T1057&lt;24,pcomp_s,palt_s),MATCH($X1057,IF($T1057&lt;24,pcomp_k,palt_k),1)),""))</f>
        <v/>
      </c>
      <c r="AU1057">
        <f>IF($AR1057="","",IF($AR1057=0,LN($F1057/$AS1057)/$AT1057,((($F1057/$AS1057)^$AR1057)-1)/($AR1057*$AT1057)))</f>
        <v/>
      </c>
      <c r="AV1057">
        <f>IF($AR1057="","",IF($AR1057=0,$AS1057*EXP($AT1057*2),$AS1057*(1+$AR1057*$AT1057*2)^(1/$AR1057)))</f>
        <v/>
      </c>
      <c r="AW1057">
        <f>IF($AR1057="","",IF($AR1057=0,$AS1057*EXP($AT1057*3),$AS1057*(1+$AR1057*$AT1057*3)^(1/$AR1057)))</f>
        <v/>
      </c>
      <c r="AX1057">
        <f>IF($AR1057="","",IF($AR1057=0,$AS1057*EXP($AT1057*-2),$AS1057*(1+$AR1057*$AT1057*-2)^(1/$AR1057)))</f>
        <v/>
      </c>
      <c r="AY1057">
        <f>IF($AR1057="","",IF($AR1057=0,$AS1057*EXP($AT1057*-3),$AS1057*(1+$AR1057*$AT1057*-3)^(1/$AR1057)))</f>
        <v/>
      </c>
      <c r="AZ1057">
        <f>IF(OR($A1057="",$A1057&lt;&gt;Ficha!$C$4),"",COUNTIF($A$2:$A1057,Ficha!$C$4))</f>
        <v/>
      </c>
    </row>
    <row r="1058">
      <c r="A1058" s="8">
        <f>IF(INDEX(Banco!$A:$A,ROW())="","",INDEX(Banco!$A:$A,ROW()))</f>
        <v/>
      </c>
      <c r="B1058" s="8">
        <f>IF(INDEX(Banco!$B:$B,ROW())="","",INDEX(Banco!$B:$B,ROW()))</f>
        <v/>
      </c>
      <c r="C1058" s="8">
        <f>IF(INDEX(Banco!$C:$C,ROW())="","",INDEX(Banco!$C:$C,ROW()))</f>
        <v/>
      </c>
      <c r="D1058" s="9">
        <f>IF(INDEX(Banco!$D:$D,ROW())="","",INDEX(Banco!$D:$D,ROW()))</f>
        <v/>
      </c>
      <c r="E1058" s="9">
        <f>IF(INDEX(Banco!$E:$E,ROW())="","",INDEX(Banco!$E:$E,ROW()))</f>
        <v/>
      </c>
      <c r="F1058" s="10">
        <f>IF(INDEX(Banco!$F:$F,ROW())="","",INDEX(Banco!$F:$F,ROW()))</f>
        <v/>
      </c>
      <c r="G1058" s="10">
        <f>IF(INDEX(Banco!$G:$G,ROW())="","",INDEX(Banco!$G:$G,ROW()))</f>
        <v/>
      </c>
      <c r="H1058" s="8">
        <f>IF(INDEX(Banco!$H:$H,ROW())="","",INDEX(Banco!$H:$H,ROW()))</f>
        <v/>
      </c>
      <c r="I1058">
        <f>IF($T1058="","",INT($T1058/12)&amp;"a "&amp;MOD($T1058,12)&amp;"m")</f>
        <v/>
      </c>
      <c r="J1058" s="11">
        <f>IF(OR($F1058="",$G1058=""),"",ROUND($F1058/($G1058/100)^2,2))</f>
        <v/>
      </c>
      <c r="K1058" s="12">
        <f>IF(OR($S1058="",$J1058="",$T1058="",$T1058&lt;0,$T1058&gt;228,$Y1058=""),"—",ROUND(IF(ABS($AB1058)&lt;=3,$AB1058,IF($AB1058&gt;3,3+($J1058-$AD1058)/($AD1058-$AC1058),-3+($J1058-$AF1058)/($AE1058-$AF1058))),2))</f>
        <v/>
      </c>
      <c r="L1058">
        <f>IF(OR($K1058="",$K1058="—"),"",IF($T1058&lt;=60,IF($K1058&lt;-3,"Magreza acentuada",IF($K1058&lt;-2,"Magreza",IF($K1058&lt;=1,"Eutrofia",IF($K1058&lt;=2,"Risco de sobrepeso",IF($K1058&lt;=3,"Sobrepeso","Obesidade"))))),IF($K1058&lt;-3,"Magreza acentuada",IF($K1058&lt;-2,"Magreza",IF($K1058&lt;=1,"Eutrofia",IF($K1058&lt;=2,"Sobrepeso",IF($K1058&lt;=3,"Obesidade","Obesidade grave")))))))</f>
        <v/>
      </c>
      <c r="M1058" s="12">
        <f>IF(OR($S1058="",$V1058="",$T1058="",$T1058&lt;0,$T1058&gt;228,$AG1058=""),"—",ROUND(IF($AG1058=0,LN($V1058/$AH1058)/$AI1058,((($V1058/$AH1058)^$AG1058)-1)/($AG1058*$AI1058)),2))</f>
        <v/>
      </c>
      <c r="N1058">
        <f>IF(OR($M1058="",$M1058="—"),"",IF($M1058&lt;-3,"Muito baixa",IF($M1058&lt;-2,"Baixa","Adequada")))</f>
        <v/>
      </c>
      <c r="O1058" s="12">
        <f>IF(OR($S1058="",$F1058="",$T1058="",$T1058&lt;0,$T1058&gt;120,$AJ1058=""),"—",ROUND(IF(ABS($AM1058)&lt;=3,$AM1058,IF($AM1058&gt;3,3+($F1058-$AO1058)/($AO1058-$AN1058),-3+($F1058-$AQ1058)/($AP1058-$AQ1058))),2))</f>
        <v/>
      </c>
      <c r="P1058">
        <f>IF(OR($O1058="",$O1058="—"),"",IF($O1058&lt;-3,"Muito baixo",IF($O1058&lt;-2,"Baixo",IF($O1058&lt;=2,"Adequado","Elevado"))))</f>
        <v/>
      </c>
      <c r="Q1058" s="12">
        <f>IF(OR($S1058="",$F1058="",$T1058="",$T1058&lt;0,$T1058&gt;60,$AR1058=""),"—",ROUND(IF(ABS($AU1058)&lt;=3,$AU1058,IF($AU1058&gt;3,3+($F1058-$AW1058)/($AW1058-$AV1058),-3+($F1058-$AY1058)/($AX1058-$AY1058))),2))</f>
        <v/>
      </c>
      <c r="R1058">
        <f>IF(OR($Q1058="",$Q1058="—"),"",IF($Q1058&lt;-3,"Magreza acentuada",IF($Q1058&lt;-2,"Magreza",IF($Q1058&lt;=1,"Eutrofia",IF($Q1058&lt;=2,"Risco de sobrepeso",IF($Q1058&lt;=3,"Sobrepeso","Obesidade"))))))</f>
        <v/>
      </c>
      <c r="S1058">
        <f>IF($C1058="","",IF(UPPER(LEFT($C1058,1))="M",1,IF(UPPER(LEFT($C1058,1))="F",2,"")))</f>
        <v/>
      </c>
      <c r="T1058">
        <f>IF(OR($D1058="",$E1058=""),"",DATEDIF($D1058,$E1058,"m"))</f>
        <v/>
      </c>
      <c r="U1058">
        <f>IF(OR($D1058="",$E1058=""),"",$E1058-$D1058)</f>
        <v/>
      </c>
      <c r="V1058">
        <f>IF(OR($G1058="",$T1058=""),"",IF($T1058&lt;24,IF(LEFT(LOWER($H1058),4)="em p",$G1058+0.7,$G1058),IF(LEFT(LOWER($H1058),4)="deit",$G1058-0.7,$G1058)))</f>
        <v/>
      </c>
      <c r="W1058">
        <f>IF(OR($S1058="",$T1058=""),"",$S1058*1000000+IF($T1058&lt;=60,$U1058,$T1058))</f>
        <v/>
      </c>
      <c r="X1058">
        <f>IF(OR($S1058="",$V1058="",$T1058&gt;60,$T1058=""),"",$S1058*1000000+ROUND($V1058*10,0))</f>
        <v/>
      </c>
      <c r="Y1058">
        <f>IF($W1058="","",IFERROR(INDEX(IF($T1058&lt;=60,imc05_l,imc519_l),MATCH($W1058,IF($T1058&lt;=60,imc05_k,imc519_k),1)),""))</f>
        <v/>
      </c>
      <c r="Z1058">
        <f>IF($W1058="","",IFERROR(INDEX(IF($T1058&lt;=60,imc05_m,imc519_m),MATCH($W1058,IF($T1058&lt;=60,imc05_k,imc519_k),1)),""))</f>
        <v/>
      </c>
      <c r="AA1058">
        <f>IF($W1058="","",IFERROR(INDEX(IF($T1058&lt;=60,imc05_s,imc519_s),MATCH($W1058,IF($T1058&lt;=60,imc05_k,imc519_k),1)),""))</f>
        <v/>
      </c>
      <c r="AB1058">
        <f>IF($Y1058="","",IF($Y1058=0,LN($J1058/$Z1058)/$AA1058,((($J1058/$Z1058)^$Y1058)-1)/($Y1058*$AA1058)))</f>
        <v/>
      </c>
      <c r="AC1058">
        <f>IF($Y1058="","",IF($Y1058=0,$Z1058*EXP($AA1058*2),$Z1058*(1+$Y1058*$AA1058*2)^(1/$Y1058)))</f>
        <v/>
      </c>
      <c r="AD1058">
        <f>IF($Y1058="","",IF($Y1058=0,$Z1058*EXP($AA1058*3),$Z1058*(1+$Y1058*$AA1058*3)^(1/$Y1058)))</f>
        <v/>
      </c>
      <c r="AE1058">
        <f>IF($Y1058="","",IF($Y1058=0,$Z1058*EXP($AA1058*-2),$Z1058*(1+$Y1058*$AA1058*-2)^(1/$Y1058)))</f>
        <v/>
      </c>
      <c r="AF1058">
        <f>IF($Y1058="","",IF($Y1058=0,$Z1058*EXP($AA1058*-3),$Z1058*(1+$Y1058*$AA1058*-3)^(1/$Y1058)))</f>
        <v/>
      </c>
      <c r="AG1058">
        <f>IF($W1058="","",IFERROR(INDEX(IF($T1058&lt;=60,est05_l,est519_l),MATCH($W1058,IF($T1058&lt;=60,est05_k,est519_k),1)),""))</f>
        <v/>
      </c>
      <c r="AH1058">
        <f>IF($W1058="","",IFERROR(INDEX(IF($T1058&lt;=60,est05_m,est519_m),MATCH($W1058,IF($T1058&lt;=60,est05_k,est519_k),1)),""))</f>
        <v/>
      </c>
      <c r="AI1058">
        <f>IF($W1058="","",IFERROR(INDEX(IF($T1058&lt;=60,est05_s,est519_s),MATCH($W1058,IF($T1058&lt;=60,est05_k,est519_k),1)),""))</f>
        <v/>
      </c>
      <c r="AJ1058">
        <f>IF($W1058="","",IFERROR(INDEX(IF($T1058&lt;=60,peso05_l,peso510_l),MATCH($W1058,IF($T1058&lt;=60,peso05_k,peso510_k),1)),""))</f>
        <v/>
      </c>
      <c r="AK1058">
        <f>IF($W1058="","",IFERROR(INDEX(IF($T1058&lt;=60,peso05_m,peso510_m),MATCH($W1058,IF($T1058&lt;=60,peso05_k,peso510_k),1)),""))</f>
        <v/>
      </c>
      <c r="AL1058">
        <f>IF($W1058="","",IFERROR(INDEX(IF($T1058&lt;=60,peso05_s,peso510_s),MATCH($W1058,IF($T1058&lt;=60,peso05_k,peso510_k),1)),""))</f>
        <v/>
      </c>
      <c r="AM1058">
        <f>IF($AJ1058="","",IF($AJ1058=0,LN($F1058/$AK1058)/$AL1058,((($F1058/$AK1058)^$AJ1058)-1)/($AJ1058*$AL1058)))</f>
        <v/>
      </c>
      <c r="AN1058">
        <f>IF($AJ1058="","",IF($AJ1058=0,$AK1058*EXP($AL1058*2),$AK1058*(1+$AJ1058*$AL1058*2)^(1/$AJ1058)))</f>
        <v/>
      </c>
      <c r="AO1058">
        <f>IF($AJ1058="","",IF($AJ1058=0,$AK1058*EXP($AL1058*3),$AK1058*(1+$AJ1058*$AL1058*3)^(1/$AJ1058)))</f>
        <v/>
      </c>
      <c r="AP1058">
        <f>IF($AJ1058="","",IF($AJ1058=0,$AK1058*EXP($AL1058*-2),$AK1058*(1+$AJ1058*$AL1058*-2)^(1/$AJ1058)))</f>
        <v/>
      </c>
      <c r="AQ1058">
        <f>IF($AJ1058="","",IF($AJ1058=0,$AK1058*EXP($AL1058*-3),$AK1058*(1+$AJ1058*$AL1058*-3)^(1/$AJ1058)))</f>
        <v/>
      </c>
      <c r="AR1058">
        <f>IF(OR($X1058="",$T1058&gt;60),"",IFERROR(INDEX(IF($T1058&lt;24,pcomp_l,palt_l),MATCH($X1058,IF($T1058&lt;24,pcomp_k,palt_k),1)),""))</f>
        <v/>
      </c>
      <c r="AS1058">
        <f>IF(OR($X1058="",$T1058&gt;60),"",IFERROR(INDEX(IF($T1058&lt;24,pcomp_m,palt_m),MATCH($X1058,IF($T1058&lt;24,pcomp_k,palt_k),1)),""))</f>
        <v/>
      </c>
      <c r="AT1058">
        <f>IF(OR($X1058="",$T1058&gt;60),"",IFERROR(INDEX(IF($T1058&lt;24,pcomp_s,palt_s),MATCH($X1058,IF($T1058&lt;24,pcomp_k,palt_k),1)),""))</f>
        <v/>
      </c>
      <c r="AU1058">
        <f>IF($AR1058="","",IF($AR1058=0,LN($F1058/$AS1058)/$AT1058,((($F1058/$AS1058)^$AR1058)-1)/($AR1058*$AT1058)))</f>
        <v/>
      </c>
      <c r="AV1058">
        <f>IF($AR1058="","",IF($AR1058=0,$AS1058*EXP($AT1058*2),$AS1058*(1+$AR1058*$AT1058*2)^(1/$AR1058)))</f>
        <v/>
      </c>
      <c r="AW1058">
        <f>IF($AR1058="","",IF($AR1058=0,$AS1058*EXP($AT1058*3),$AS1058*(1+$AR1058*$AT1058*3)^(1/$AR1058)))</f>
        <v/>
      </c>
      <c r="AX1058">
        <f>IF($AR1058="","",IF($AR1058=0,$AS1058*EXP($AT1058*-2),$AS1058*(1+$AR1058*$AT1058*-2)^(1/$AR1058)))</f>
        <v/>
      </c>
      <c r="AY1058">
        <f>IF($AR1058="","",IF($AR1058=0,$AS1058*EXP($AT1058*-3),$AS1058*(1+$AR1058*$AT1058*-3)^(1/$AR1058)))</f>
        <v/>
      </c>
      <c r="AZ1058">
        <f>IF(OR($A1058="",$A1058&lt;&gt;Ficha!$C$4),"",COUNTIF($A$2:$A1058,Ficha!$C$4))</f>
        <v/>
      </c>
    </row>
    <row r="1059">
      <c r="A1059" s="8">
        <f>IF(INDEX(Banco!$A:$A,ROW())="","",INDEX(Banco!$A:$A,ROW()))</f>
        <v/>
      </c>
      <c r="B1059" s="8">
        <f>IF(INDEX(Banco!$B:$B,ROW())="","",INDEX(Banco!$B:$B,ROW()))</f>
        <v/>
      </c>
      <c r="C1059" s="8">
        <f>IF(INDEX(Banco!$C:$C,ROW())="","",INDEX(Banco!$C:$C,ROW()))</f>
        <v/>
      </c>
      <c r="D1059" s="9">
        <f>IF(INDEX(Banco!$D:$D,ROW())="","",INDEX(Banco!$D:$D,ROW()))</f>
        <v/>
      </c>
      <c r="E1059" s="9">
        <f>IF(INDEX(Banco!$E:$E,ROW())="","",INDEX(Banco!$E:$E,ROW()))</f>
        <v/>
      </c>
      <c r="F1059" s="10">
        <f>IF(INDEX(Banco!$F:$F,ROW())="","",INDEX(Banco!$F:$F,ROW()))</f>
        <v/>
      </c>
      <c r="G1059" s="10">
        <f>IF(INDEX(Banco!$G:$G,ROW())="","",INDEX(Banco!$G:$G,ROW()))</f>
        <v/>
      </c>
      <c r="H1059" s="8">
        <f>IF(INDEX(Banco!$H:$H,ROW())="","",INDEX(Banco!$H:$H,ROW()))</f>
        <v/>
      </c>
      <c r="I1059">
        <f>IF($T1059="","",INT($T1059/12)&amp;"a "&amp;MOD($T1059,12)&amp;"m")</f>
        <v/>
      </c>
      <c r="J1059" s="11">
        <f>IF(OR($F1059="",$G1059=""),"",ROUND($F1059/($G1059/100)^2,2))</f>
        <v/>
      </c>
      <c r="K1059" s="12">
        <f>IF(OR($S1059="",$J1059="",$T1059="",$T1059&lt;0,$T1059&gt;228,$Y1059=""),"—",ROUND(IF(ABS($AB1059)&lt;=3,$AB1059,IF($AB1059&gt;3,3+($J1059-$AD1059)/($AD1059-$AC1059),-3+($J1059-$AF1059)/($AE1059-$AF1059))),2))</f>
        <v/>
      </c>
      <c r="L1059">
        <f>IF(OR($K1059="",$K1059="—"),"",IF($T1059&lt;=60,IF($K1059&lt;-3,"Magreza acentuada",IF($K1059&lt;-2,"Magreza",IF($K1059&lt;=1,"Eutrofia",IF($K1059&lt;=2,"Risco de sobrepeso",IF($K1059&lt;=3,"Sobrepeso","Obesidade"))))),IF($K1059&lt;-3,"Magreza acentuada",IF($K1059&lt;-2,"Magreza",IF($K1059&lt;=1,"Eutrofia",IF($K1059&lt;=2,"Sobrepeso",IF($K1059&lt;=3,"Obesidade","Obesidade grave")))))))</f>
        <v/>
      </c>
      <c r="M1059" s="12">
        <f>IF(OR($S1059="",$V1059="",$T1059="",$T1059&lt;0,$T1059&gt;228,$AG1059=""),"—",ROUND(IF($AG1059=0,LN($V1059/$AH1059)/$AI1059,((($V1059/$AH1059)^$AG1059)-1)/($AG1059*$AI1059)),2))</f>
        <v/>
      </c>
      <c r="N1059">
        <f>IF(OR($M1059="",$M1059="—"),"",IF($M1059&lt;-3,"Muito baixa",IF($M1059&lt;-2,"Baixa","Adequada")))</f>
        <v/>
      </c>
      <c r="O1059" s="12">
        <f>IF(OR($S1059="",$F1059="",$T1059="",$T1059&lt;0,$T1059&gt;120,$AJ1059=""),"—",ROUND(IF(ABS($AM1059)&lt;=3,$AM1059,IF($AM1059&gt;3,3+($F1059-$AO1059)/($AO1059-$AN1059),-3+($F1059-$AQ1059)/($AP1059-$AQ1059))),2))</f>
        <v/>
      </c>
      <c r="P1059">
        <f>IF(OR($O1059="",$O1059="—"),"",IF($O1059&lt;-3,"Muito baixo",IF($O1059&lt;-2,"Baixo",IF($O1059&lt;=2,"Adequado","Elevado"))))</f>
        <v/>
      </c>
      <c r="Q1059" s="12">
        <f>IF(OR($S1059="",$F1059="",$T1059="",$T1059&lt;0,$T1059&gt;60,$AR1059=""),"—",ROUND(IF(ABS($AU1059)&lt;=3,$AU1059,IF($AU1059&gt;3,3+($F1059-$AW1059)/($AW1059-$AV1059),-3+($F1059-$AY1059)/($AX1059-$AY1059))),2))</f>
        <v/>
      </c>
      <c r="R1059">
        <f>IF(OR($Q1059="",$Q1059="—"),"",IF($Q1059&lt;-3,"Magreza acentuada",IF($Q1059&lt;-2,"Magreza",IF($Q1059&lt;=1,"Eutrofia",IF($Q1059&lt;=2,"Risco de sobrepeso",IF($Q1059&lt;=3,"Sobrepeso","Obesidade"))))))</f>
        <v/>
      </c>
      <c r="S1059">
        <f>IF($C1059="","",IF(UPPER(LEFT($C1059,1))="M",1,IF(UPPER(LEFT($C1059,1))="F",2,"")))</f>
        <v/>
      </c>
      <c r="T1059">
        <f>IF(OR($D1059="",$E1059=""),"",DATEDIF($D1059,$E1059,"m"))</f>
        <v/>
      </c>
      <c r="U1059">
        <f>IF(OR($D1059="",$E1059=""),"",$E1059-$D1059)</f>
        <v/>
      </c>
      <c r="V1059">
        <f>IF(OR($G1059="",$T1059=""),"",IF($T1059&lt;24,IF(LEFT(LOWER($H1059),4)="em p",$G1059+0.7,$G1059),IF(LEFT(LOWER($H1059),4)="deit",$G1059-0.7,$G1059)))</f>
        <v/>
      </c>
      <c r="W1059">
        <f>IF(OR($S1059="",$T1059=""),"",$S1059*1000000+IF($T1059&lt;=60,$U1059,$T1059))</f>
        <v/>
      </c>
      <c r="X1059">
        <f>IF(OR($S1059="",$V1059="",$T1059&gt;60,$T1059=""),"",$S1059*1000000+ROUND($V1059*10,0))</f>
        <v/>
      </c>
      <c r="Y1059">
        <f>IF($W1059="","",IFERROR(INDEX(IF($T1059&lt;=60,imc05_l,imc519_l),MATCH($W1059,IF($T1059&lt;=60,imc05_k,imc519_k),1)),""))</f>
        <v/>
      </c>
      <c r="Z1059">
        <f>IF($W1059="","",IFERROR(INDEX(IF($T1059&lt;=60,imc05_m,imc519_m),MATCH($W1059,IF($T1059&lt;=60,imc05_k,imc519_k),1)),""))</f>
        <v/>
      </c>
      <c r="AA1059">
        <f>IF($W1059="","",IFERROR(INDEX(IF($T1059&lt;=60,imc05_s,imc519_s),MATCH($W1059,IF($T1059&lt;=60,imc05_k,imc519_k),1)),""))</f>
        <v/>
      </c>
      <c r="AB1059">
        <f>IF($Y1059="","",IF($Y1059=0,LN($J1059/$Z1059)/$AA1059,((($J1059/$Z1059)^$Y1059)-1)/($Y1059*$AA1059)))</f>
        <v/>
      </c>
      <c r="AC1059">
        <f>IF($Y1059="","",IF($Y1059=0,$Z1059*EXP($AA1059*2),$Z1059*(1+$Y1059*$AA1059*2)^(1/$Y1059)))</f>
        <v/>
      </c>
      <c r="AD1059">
        <f>IF($Y1059="","",IF($Y1059=0,$Z1059*EXP($AA1059*3),$Z1059*(1+$Y1059*$AA1059*3)^(1/$Y1059)))</f>
        <v/>
      </c>
      <c r="AE1059">
        <f>IF($Y1059="","",IF($Y1059=0,$Z1059*EXP($AA1059*-2),$Z1059*(1+$Y1059*$AA1059*-2)^(1/$Y1059)))</f>
        <v/>
      </c>
      <c r="AF1059">
        <f>IF($Y1059="","",IF($Y1059=0,$Z1059*EXP($AA1059*-3),$Z1059*(1+$Y1059*$AA1059*-3)^(1/$Y1059)))</f>
        <v/>
      </c>
      <c r="AG1059">
        <f>IF($W1059="","",IFERROR(INDEX(IF($T1059&lt;=60,est05_l,est519_l),MATCH($W1059,IF($T1059&lt;=60,est05_k,est519_k),1)),""))</f>
        <v/>
      </c>
      <c r="AH1059">
        <f>IF($W1059="","",IFERROR(INDEX(IF($T1059&lt;=60,est05_m,est519_m),MATCH($W1059,IF($T1059&lt;=60,est05_k,est519_k),1)),""))</f>
        <v/>
      </c>
      <c r="AI1059">
        <f>IF($W1059="","",IFERROR(INDEX(IF($T1059&lt;=60,est05_s,est519_s),MATCH($W1059,IF($T1059&lt;=60,est05_k,est519_k),1)),""))</f>
        <v/>
      </c>
      <c r="AJ1059">
        <f>IF($W1059="","",IFERROR(INDEX(IF($T1059&lt;=60,peso05_l,peso510_l),MATCH($W1059,IF($T1059&lt;=60,peso05_k,peso510_k),1)),""))</f>
        <v/>
      </c>
      <c r="AK1059">
        <f>IF($W1059="","",IFERROR(INDEX(IF($T1059&lt;=60,peso05_m,peso510_m),MATCH($W1059,IF($T1059&lt;=60,peso05_k,peso510_k),1)),""))</f>
        <v/>
      </c>
      <c r="AL1059">
        <f>IF($W1059="","",IFERROR(INDEX(IF($T1059&lt;=60,peso05_s,peso510_s),MATCH($W1059,IF($T1059&lt;=60,peso05_k,peso510_k),1)),""))</f>
        <v/>
      </c>
      <c r="AM1059">
        <f>IF($AJ1059="","",IF($AJ1059=0,LN($F1059/$AK1059)/$AL1059,((($F1059/$AK1059)^$AJ1059)-1)/($AJ1059*$AL1059)))</f>
        <v/>
      </c>
      <c r="AN1059">
        <f>IF($AJ1059="","",IF($AJ1059=0,$AK1059*EXP($AL1059*2),$AK1059*(1+$AJ1059*$AL1059*2)^(1/$AJ1059)))</f>
        <v/>
      </c>
      <c r="AO1059">
        <f>IF($AJ1059="","",IF($AJ1059=0,$AK1059*EXP($AL1059*3),$AK1059*(1+$AJ1059*$AL1059*3)^(1/$AJ1059)))</f>
        <v/>
      </c>
      <c r="AP1059">
        <f>IF($AJ1059="","",IF($AJ1059=0,$AK1059*EXP($AL1059*-2),$AK1059*(1+$AJ1059*$AL1059*-2)^(1/$AJ1059)))</f>
        <v/>
      </c>
      <c r="AQ1059">
        <f>IF($AJ1059="","",IF($AJ1059=0,$AK1059*EXP($AL1059*-3),$AK1059*(1+$AJ1059*$AL1059*-3)^(1/$AJ1059)))</f>
        <v/>
      </c>
      <c r="AR1059">
        <f>IF(OR($X1059="",$T1059&gt;60),"",IFERROR(INDEX(IF($T1059&lt;24,pcomp_l,palt_l),MATCH($X1059,IF($T1059&lt;24,pcomp_k,palt_k),1)),""))</f>
        <v/>
      </c>
      <c r="AS1059">
        <f>IF(OR($X1059="",$T1059&gt;60),"",IFERROR(INDEX(IF($T1059&lt;24,pcomp_m,palt_m),MATCH($X1059,IF($T1059&lt;24,pcomp_k,palt_k),1)),""))</f>
        <v/>
      </c>
      <c r="AT1059">
        <f>IF(OR($X1059="",$T1059&gt;60),"",IFERROR(INDEX(IF($T1059&lt;24,pcomp_s,palt_s),MATCH($X1059,IF($T1059&lt;24,pcomp_k,palt_k),1)),""))</f>
        <v/>
      </c>
      <c r="AU1059">
        <f>IF($AR1059="","",IF($AR1059=0,LN($F1059/$AS1059)/$AT1059,((($F1059/$AS1059)^$AR1059)-1)/($AR1059*$AT1059)))</f>
        <v/>
      </c>
      <c r="AV1059">
        <f>IF($AR1059="","",IF($AR1059=0,$AS1059*EXP($AT1059*2),$AS1059*(1+$AR1059*$AT1059*2)^(1/$AR1059)))</f>
        <v/>
      </c>
      <c r="AW1059">
        <f>IF($AR1059="","",IF($AR1059=0,$AS1059*EXP($AT1059*3),$AS1059*(1+$AR1059*$AT1059*3)^(1/$AR1059)))</f>
        <v/>
      </c>
      <c r="AX1059">
        <f>IF($AR1059="","",IF($AR1059=0,$AS1059*EXP($AT1059*-2),$AS1059*(1+$AR1059*$AT1059*-2)^(1/$AR1059)))</f>
        <v/>
      </c>
      <c r="AY1059">
        <f>IF($AR1059="","",IF($AR1059=0,$AS1059*EXP($AT1059*-3),$AS1059*(1+$AR1059*$AT1059*-3)^(1/$AR1059)))</f>
        <v/>
      </c>
      <c r="AZ1059">
        <f>IF(OR($A1059="",$A1059&lt;&gt;Ficha!$C$4),"",COUNTIF($A$2:$A1059,Ficha!$C$4))</f>
        <v/>
      </c>
    </row>
    <row r="1060">
      <c r="A1060" s="8">
        <f>IF(INDEX(Banco!$A:$A,ROW())="","",INDEX(Banco!$A:$A,ROW()))</f>
        <v/>
      </c>
      <c r="B1060" s="8">
        <f>IF(INDEX(Banco!$B:$B,ROW())="","",INDEX(Banco!$B:$B,ROW()))</f>
        <v/>
      </c>
      <c r="C1060" s="8">
        <f>IF(INDEX(Banco!$C:$C,ROW())="","",INDEX(Banco!$C:$C,ROW()))</f>
        <v/>
      </c>
      <c r="D1060" s="9">
        <f>IF(INDEX(Banco!$D:$D,ROW())="","",INDEX(Banco!$D:$D,ROW()))</f>
        <v/>
      </c>
      <c r="E1060" s="9">
        <f>IF(INDEX(Banco!$E:$E,ROW())="","",INDEX(Banco!$E:$E,ROW()))</f>
        <v/>
      </c>
      <c r="F1060" s="10">
        <f>IF(INDEX(Banco!$F:$F,ROW())="","",INDEX(Banco!$F:$F,ROW()))</f>
        <v/>
      </c>
      <c r="G1060" s="10">
        <f>IF(INDEX(Banco!$G:$G,ROW())="","",INDEX(Banco!$G:$G,ROW()))</f>
        <v/>
      </c>
      <c r="H1060" s="8">
        <f>IF(INDEX(Banco!$H:$H,ROW())="","",INDEX(Banco!$H:$H,ROW()))</f>
        <v/>
      </c>
      <c r="I1060">
        <f>IF($T1060="","",INT($T1060/12)&amp;"a "&amp;MOD($T1060,12)&amp;"m")</f>
        <v/>
      </c>
      <c r="J1060" s="11">
        <f>IF(OR($F1060="",$G1060=""),"",ROUND($F1060/($G1060/100)^2,2))</f>
        <v/>
      </c>
      <c r="K1060" s="12">
        <f>IF(OR($S1060="",$J1060="",$T1060="",$T1060&lt;0,$T1060&gt;228,$Y1060=""),"—",ROUND(IF(ABS($AB1060)&lt;=3,$AB1060,IF($AB1060&gt;3,3+($J1060-$AD1060)/($AD1060-$AC1060),-3+($J1060-$AF1060)/($AE1060-$AF1060))),2))</f>
        <v/>
      </c>
      <c r="L1060">
        <f>IF(OR($K1060="",$K1060="—"),"",IF($T1060&lt;=60,IF($K1060&lt;-3,"Magreza acentuada",IF($K1060&lt;-2,"Magreza",IF($K1060&lt;=1,"Eutrofia",IF($K1060&lt;=2,"Risco de sobrepeso",IF($K1060&lt;=3,"Sobrepeso","Obesidade"))))),IF($K1060&lt;-3,"Magreza acentuada",IF($K1060&lt;-2,"Magreza",IF($K1060&lt;=1,"Eutrofia",IF($K1060&lt;=2,"Sobrepeso",IF($K1060&lt;=3,"Obesidade","Obesidade grave")))))))</f>
        <v/>
      </c>
      <c r="M1060" s="12">
        <f>IF(OR($S1060="",$V1060="",$T1060="",$T1060&lt;0,$T1060&gt;228,$AG1060=""),"—",ROUND(IF($AG1060=0,LN($V1060/$AH1060)/$AI1060,((($V1060/$AH1060)^$AG1060)-1)/($AG1060*$AI1060)),2))</f>
        <v/>
      </c>
      <c r="N1060">
        <f>IF(OR($M1060="",$M1060="—"),"",IF($M1060&lt;-3,"Muito baixa",IF($M1060&lt;-2,"Baixa","Adequada")))</f>
        <v/>
      </c>
      <c r="O1060" s="12">
        <f>IF(OR($S1060="",$F1060="",$T1060="",$T1060&lt;0,$T1060&gt;120,$AJ1060=""),"—",ROUND(IF(ABS($AM1060)&lt;=3,$AM1060,IF($AM1060&gt;3,3+($F1060-$AO1060)/($AO1060-$AN1060),-3+($F1060-$AQ1060)/($AP1060-$AQ1060))),2))</f>
        <v/>
      </c>
      <c r="P1060">
        <f>IF(OR($O1060="",$O1060="—"),"",IF($O1060&lt;-3,"Muito baixo",IF($O1060&lt;-2,"Baixo",IF($O1060&lt;=2,"Adequado","Elevado"))))</f>
        <v/>
      </c>
      <c r="Q1060" s="12">
        <f>IF(OR($S1060="",$F1060="",$T1060="",$T1060&lt;0,$T1060&gt;60,$AR1060=""),"—",ROUND(IF(ABS($AU1060)&lt;=3,$AU1060,IF($AU1060&gt;3,3+($F1060-$AW1060)/($AW1060-$AV1060),-3+($F1060-$AY1060)/($AX1060-$AY1060))),2))</f>
        <v/>
      </c>
      <c r="R1060">
        <f>IF(OR($Q1060="",$Q1060="—"),"",IF($Q1060&lt;-3,"Magreza acentuada",IF($Q1060&lt;-2,"Magreza",IF($Q1060&lt;=1,"Eutrofia",IF($Q1060&lt;=2,"Risco de sobrepeso",IF($Q1060&lt;=3,"Sobrepeso","Obesidade"))))))</f>
        <v/>
      </c>
      <c r="S1060">
        <f>IF($C1060="","",IF(UPPER(LEFT($C1060,1))="M",1,IF(UPPER(LEFT($C1060,1))="F",2,"")))</f>
        <v/>
      </c>
      <c r="T1060">
        <f>IF(OR($D1060="",$E1060=""),"",DATEDIF($D1060,$E1060,"m"))</f>
        <v/>
      </c>
      <c r="U1060">
        <f>IF(OR($D1060="",$E1060=""),"",$E1060-$D1060)</f>
        <v/>
      </c>
      <c r="V1060">
        <f>IF(OR($G1060="",$T1060=""),"",IF($T1060&lt;24,IF(LEFT(LOWER($H1060),4)="em p",$G1060+0.7,$G1060),IF(LEFT(LOWER($H1060),4)="deit",$G1060-0.7,$G1060)))</f>
        <v/>
      </c>
      <c r="W1060">
        <f>IF(OR($S1060="",$T1060=""),"",$S1060*1000000+IF($T1060&lt;=60,$U1060,$T1060))</f>
        <v/>
      </c>
      <c r="X1060">
        <f>IF(OR($S1060="",$V1060="",$T1060&gt;60,$T1060=""),"",$S1060*1000000+ROUND($V1060*10,0))</f>
        <v/>
      </c>
      <c r="Y1060">
        <f>IF($W1060="","",IFERROR(INDEX(IF($T1060&lt;=60,imc05_l,imc519_l),MATCH($W1060,IF($T1060&lt;=60,imc05_k,imc519_k),1)),""))</f>
        <v/>
      </c>
      <c r="Z1060">
        <f>IF($W1060="","",IFERROR(INDEX(IF($T1060&lt;=60,imc05_m,imc519_m),MATCH($W1060,IF($T1060&lt;=60,imc05_k,imc519_k),1)),""))</f>
        <v/>
      </c>
      <c r="AA1060">
        <f>IF($W1060="","",IFERROR(INDEX(IF($T1060&lt;=60,imc05_s,imc519_s),MATCH($W1060,IF($T1060&lt;=60,imc05_k,imc519_k),1)),""))</f>
        <v/>
      </c>
      <c r="AB1060">
        <f>IF($Y1060="","",IF($Y1060=0,LN($J1060/$Z1060)/$AA1060,((($J1060/$Z1060)^$Y1060)-1)/($Y1060*$AA1060)))</f>
        <v/>
      </c>
      <c r="AC1060">
        <f>IF($Y1060="","",IF($Y1060=0,$Z1060*EXP($AA1060*2),$Z1060*(1+$Y1060*$AA1060*2)^(1/$Y1060)))</f>
        <v/>
      </c>
      <c r="AD1060">
        <f>IF($Y1060="","",IF($Y1060=0,$Z1060*EXP($AA1060*3),$Z1060*(1+$Y1060*$AA1060*3)^(1/$Y1060)))</f>
        <v/>
      </c>
      <c r="AE1060">
        <f>IF($Y1060="","",IF($Y1060=0,$Z1060*EXP($AA1060*-2),$Z1060*(1+$Y1060*$AA1060*-2)^(1/$Y1060)))</f>
        <v/>
      </c>
      <c r="AF1060">
        <f>IF($Y1060="","",IF($Y1060=0,$Z1060*EXP($AA1060*-3),$Z1060*(1+$Y1060*$AA1060*-3)^(1/$Y1060)))</f>
        <v/>
      </c>
      <c r="AG1060">
        <f>IF($W1060="","",IFERROR(INDEX(IF($T1060&lt;=60,est05_l,est519_l),MATCH($W1060,IF($T1060&lt;=60,est05_k,est519_k),1)),""))</f>
        <v/>
      </c>
      <c r="AH1060">
        <f>IF($W1060="","",IFERROR(INDEX(IF($T1060&lt;=60,est05_m,est519_m),MATCH($W1060,IF($T1060&lt;=60,est05_k,est519_k),1)),""))</f>
        <v/>
      </c>
      <c r="AI1060">
        <f>IF($W1060="","",IFERROR(INDEX(IF($T1060&lt;=60,est05_s,est519_s),MATCH($W1060,IF($T1060&lt;=60,est05_k,est519_k),1)),""))</f>
        <v/>
      </c>
      <c r="AJ1060">
        <f>IF($W1060="","",IFERROR(INDEX(IF($T1060&lt;=60,peso05_l,peso510_l),MATCH($W1060,IF($T1060&lt;=60,peso05_k,peso510_k),1)),""))</f>
        <v/>
      </c>
      <c r="AK1060">
        <f>IF($W1060="","",IFERROR(INDEX(IF($T1060&lt;=60,peso05_m,peso510_m),MATCH($W1060,IF($T1060&lt;=60,peso05_k,peso510_k),1)),""))</f>
        <v/>
      </c>
      <c r="AL1060">
        <f>IF($W1060="","",IFERROR(INDEX(IF($T1060&lt;=60,peso05_s,peso510_s),MATCH($W1060,IF($T1060&lt;=60,peso05_k,peso510_k),1)),""))</f>
        <v/>
      </c>
      <c r="AM1060">
        <f>IF($AJ1060="","",IF($AJ1060=0,LN($F1060/$AK1060)/$AL1060,((($F1060/$AK1060)^$AJ1060)-1)/($AJ1060*$AL1060)))</f>
        <v/>
      </c>
      <c r="AN1060">
        <f>IF($AJ1060="","",IF($AJ1060=0,$AK1060*EXP($AL1060*2),$AK1060*(1+$AJ1060*$AL1060*2)^(1/$AJ1060)))</f>
        <v/>
      </c>
      <c r="AO1060">
        <f>IF($AJ1060="","",IF($AJ1060=0,$AK1060*EXP($AL1060*3),$AK1060*(1+$AJ1060*$AL1060*3)^(1/$AJ1060)))</f>
        <v/>
      </c>
      <c r="AP1060">
        <f>IF($AJ1060="","",IF($AJ1060=0,$AK1060*EXP($AL1060*-2),$AK1060*(1+$AJ1060*$AL1060*-2)^(1/$AJ1060)))</f>
        <v/>
      </c>
      <c r="AQ1060">
        <f>IF($AJ1060="","",IF($AJ1060=0,$AK1060*EXP($AL1060*-3),$AK1060*(1+$AJ1060*$AL1060*-3)^(1/$AJ1060)))</f>
        <v/>
      </c>
      <c r="AR1060">
        <f>IF(OR($X1060="",$T1060&gt;60),"",IFERROR(INDEX(IF($T1060&lt;24,pcomp_l,palt_l),MATCH($X1060,IF($T1060&lt;24,pcomp_k,palt_k),1)),""))</f>
        <v/>
      </c>
      <c r="AS1060">
        <f>IF(OR($X1060="",$T1060&gt;60),"",IFERROR(INDEX(IF($T1060&lt;24,pcomp_m,palt_m),MATCH($X1060,IF($T1060&lt;24,pcomp_k,palt_k),1)),""))</f>
        <v/>
      </c>
      <c r="AT1060">
        <f>IF(OR($X1060="",$T1060&gt;60),"",IFERROR(INDEX(IF($T1060&lt;24,pcomp_s,palt_s),MATCH($X1060,IF($T1060&lt;24,pcomp_k,palt_k),1)),""))</f>
        <v/>
      </c>
      <c r="AU1060">
        <f>IF($AR1060="","",IF($AR1060=0,LN($F1060/$AS1060)/$AT1060,((($F1060/$AS1060)^$AR1060)-1)/($AR1060*$AT1060)))</f>
        <v/>
      </c>
      <c r="AV1060">
        <f>IF($AR1060="","",IF($AR1060=0,$AS1060*EXP($AT1060*2),$AS1060*(1+$AR1060*$AT1060*2)^(1/$AR1060)))</f>
        <v/>
      </c>
      <c r="AW1060">
        <f>IF($AR1060="","",IF($AR1060=0,$AS1060*EXP($AT1060*3),$AS1060*(1+$AR1060*$AT1060*3)^(1/$AR1060)))</f>
        <v/>
      </c>
      <c r="AX1060">
        <f>IF($AR1060="","",IF($AR1060=0,$AS1060*EXP($AT1060*-2),$AS1060*(1+$AR1060*$AT1060*-2)^(1/$AR1060)))</f>
        <v/>
      </c>
      <c r="AY1060">
        <f>IF($AR1060="","",IF($AR1060=0,$AS1060*EXP($AT1060*-3),$AS1060*(1+$AR1060*$AT1060*-3)^(1/$AR1060)))</f>
        <v/>
      </c>
      <c r="AZ1060">
        <f>IF(OR($A1060="",$A1060&lt;&gt;Ficha!$C$4),"",COUNTIF($A$2:$A1060,Ficha!$C$4))</f>
        <v/>
      </c>
    </row>
    <row r="1061">
      <c r="A1061" s="8">
        <f>IF(INDEX(Banco!$A:$A,ROW())="","",INDEX(Banco!$A:$A,ROW()))</f>
        <v/>
      </c>
      <c r="B1061" s="8">
        <f>IF(INDEX(Banco!$B:$B,ROW())="","",INDEX(Banco!$B:$B,ROW()))</f>
        <v/>
      </c>
      <c r="C1061" s="8">
        <f>IF(INDEX(Banco!$C:$C,ROW())="","",INDEX(Banco!$C:$C,ROW()))</f>
        <v/>
      </c>
      <c r="D1061" s="9">
        <f>IF(INDEX(Banco!$D:$D,ROW())="","",INDEX(Banco!$D:$D,ROW()))</f>
        <v/>
      </c>
      <c r="E1061" s="9">
        <f>IF(INDEX(Banco!$E:$E,ROW())="","",INDEX(Banco!$E:$E,ROW()))</f>
        <v/>
      </c>
      <c r="F1061" s="10">
        <f>IF(INDEX(Banco!$F:$F,ROW())="","",INDEX(Banco!$F:$F,ROW()))</f>
        <v/>
      </c>
      <c r="G1061" s="10">
        <f>IF(INDEX(Banco!$G:$G,ROW())="","",INDEX(Banco!$G:$G,ROW()))</f>
        <v/>
      </c>
      <c r="H1061" s="8">
        <f>IF(INDEX(Banco!$H:$H,ROW())="","",INDEX(Banco!$H:$H,ROW()))</f>
        <v/>
      </c>
      <c r="I1061">
        <f>IF($T1061="","",INT($T1061/12)&amp;"a "&amp;MOD($T1061,12)&amp;"m")</f>
        <v/>
      </c>
      <c r="J1061" s="11">
        <f>IF(OR($F1061="",$G1061=""),"",ROUND($F1061/($G1061/100)^2,2))</f>
        <v/>
      </c>
      <c r="K1061" s="12">
        <f>IF(OR($S1061="",$J1061="",$T1061="",$T1061&lt;0,$T1061&gt;228,$Y1061=""),"—",ROUND(IF(ABS($AB1061)&lt;=3,$AB1061,IF($AB1061&gt;3,3+($J1061-$AD1061)/($AD1061-$AC1061),-3+($J1061-$AF1061)/($AE1061-$AF1061))),2))</f>
        <v/>
      </c>
      <c r="L1061">
        <f>IF(OR($K1061="",$K1061="—"),"",IF($T1061&lt;=60,IF($K1061&lt;-3,"Magreza acentuada",IF($K1061&lt;-2,"Magreza",IF($K1061&lt;=1,"Eutrofia",IF($K1061&lt;=2,"Risco de sobrepeso",IF($K1061&lt;=3,"Sobrepeso","Obesidade"))))),IF($K1061&lt;-3,"Magreza acentuada",IF($K1061&lt;-2,"Magreza",IF($K1061&lt;=1,"Eutrofia",IF($K1061&lt;=2,"Sobrepeso",IF($K1061&lt;=3,"Obesidade","Obesidade grave")))))))</f>
        <v/>
      </c>
      <c r="M1061" s="12">
        <f>IF(OR($S1061="",$V1061="",$T1061="",$T1061&lt;0,$T1061&gt;228,$AG1061=""),"—",ROUND(IF($AG1061=0,LN($V1061/$AH1061)/$AI1061,((($V1061/$AH1061)^$AG1061)-1)/($AG1061*$AI1061)),2))</f>
        <v/>
      </c>
      <c r="N1061">
        <f>IF(OR($M1061="",$M1061="—"),"",IF($M1061&lt;-3,"Muito baixa",IF($M1061&lt;-2,"Baixa","Adequada")))</f>
        <v/>
      </c>
      <c r="O1061" s="12">
        <f>IF(OR($S1061="",$F1061="",$T1061="",$T1061&lt;0,$T1061&gt;120,$AJ1061=""),"—",ROUND(IF(ABS($AM1061)&lt;=3,$AM1061,IF($AM1061&gt;3,3+($F1061-$AO1061)/($AO1061-$AN1061),-3+($F1061-$AQ1061)/($AP1061-$AQ1061))),2))</f>
        <v/>
      </c>
      <c r="P1061">
        <f>IF(OR($O1061="",$O1061="—"),"",IF($O1061&lt;-3,"Muito baixo",IF($O1061&lt;-2,"Baixo",IF($O1061&lt;=2,"Adequado","Elevado"))))</f>
        <v/>
      </c>
      <c r="Q1061" s="12">
        <f>IF(OR($S1061="",$F1061="",$T1061="",$T1061&lt;0,$T1061&gt;60,$AR1061=""),"—",ROUND(IF(ABS($AU1061)&lt;=3,$AU1061,IF($AU1061&gt;3,3+($F1061-$AW1061)/($AW1061-$AV1061),-3+($F1061-$AY1061)/($AX1061-$AY1061))),2))</f>
        <v/>
      </c>
      <c r="R1061">
        <f>IF(OR($Q1061="",$Q1061="—"),"",IF($Q1061&lt;-3,"Magreza acentuada",IF($Q1061&lt;-2,"Magreza",IF($Q1061&lt;=1,"Eutrofia",IF($Q1061&lt;=2,"Risco de sobrepeso",IF($Q1061&lt;=3,"Sobrepeso","Obesidade"))))))</f>
        <v/>
      </c>
      <c r="S1061">
        <f>IF($C1061="","",IF(UPPER(LEFT($C1061,1))="M",1,IF(UPPER(LEFT($C1061,1))="F",2,"")))</f>
        <v/>
      </c>
      <c r="T1061">
        <f>IF(OR($D1061="",$E1061=""),"",DATEDIF($D1061,$E1061,"m"))</f>
        <v/>
      </c>
      <c r="U1061">
        <f>IF(OR($D1061="",$E1061=""),"",$E1061-$D1061)</f>
        <v/>
      </c>
      <c r="V1061">
        <f>IF(OR($G1061="",$T1061=""),"",IF($T1061&lt;24,IF(LEFT(LOWER($H1061),4)="em p",$G1061+0.7,$G1061),IF(LEFT(LOWER($H1061),4)="deit",$G1061-0.7,$G1061)))</f>
        <v/>
      </c>
      <c r="W1061">
        <f>IF(OR($S1061="",$T1061=""),"",$S1061*1000000+IF($T1061&lt;=60,$U1061,$T1061))</f>
        <v/>
      </c>
      <c r="X1061">
        <f>IF(OR($S1061="",$V1061="",$T1061&gt;60,$T1061=""),"",$S1061*1000000+ROUND($V1061*10,0))</f>
        <v/>
      </c>
      <c r="Y1061">
        <f>IF($W1061="","",IFERROR(INDEX(IF($T1061&lt;=60,imc05_l,imc519_l),MATCH($W1061,IF($T1061&lt;=60,imc05_k,imc519_k),1)),""))</f>
        <v/>
      </c>
      <c r="Z1061">
        <f>IF($W1061="","",IFERROR(INDEX(IF($T1061&lt;=60,imc05_m,imc519_m),MATCH($W1061,IF($T1061&lt;=60,imc05_k,imc519_k),1)),""))</f>
        <v/>
      </c>
      <c r="AA1061">
        <f>IF($W1061="","",IFERROR(INDEX(IF($T1061&lt;=60,imc05_s,imc519_s),MATCH($W1061,IF($T1061&lt;=60,imc05_k,imc519_k),1)),""))</f>
        <v/>
      </c>
      <c r="AB1061">
        <f>IF($Y1061="","",IF($Y1061=0,LN($J1061/$Z1061)/$AA1061,((($J1061/$Z1061)^$Y1061)-1)/($Y1061*$AA1061)))</f>
        <v/>
      </c>
      <c r="AC1061">
        <f>IF($Y1061="","",IF($Y1061=0,$Z1061*EXP($AA1061*2),$Z1061*(1+$Y1061*$AA1061*2)^(1/$Y1061)))</f>
        <v/>
      </c>
      <c r="AD1061">
        <f>IF($Y1061="","",IF($Y1061=0,$Z1061*EXP($AA1061*3),$Z1061*(1+$Y1061*$AA1061*3)^(1/$Y1061)))</f>
        <v/>
      </c>
      <c r="AE1061">
        <f>IF($Y1061="","",IF($Y1061=0,$Z1061*EXP($AA1061*-2),$Z1061*(1+$Y1061*$AA1061*-2)^(1/$Y1061)))</f>
        <v/>
      </c>
      <c r="AF1061">
        <f>IF($Y1061="","",IF($Y1061=0,$Z1061*EXP($AA1061*-3),$Z1061*(1+$Y1061*$AA1061*-3)^(1/$Y1061)))</f>
        <v/>
      </c>
      <c r="AG1061">
        <f>IF($W1061="","",IFERROR(INDEX(IF($T1061&lt;=60,est05_l,est519_l),MATCH($W1061,IF($T1061&lt;=60,est05_k,est519_k),1)),""))</f>
        <v/>
      </c>
      <c r="AH1061">
        <f>IF($W1061="","",IFERROR(INDEX(IF($T1061&lt;=60,est05_m,est519_m),MATCH($W1061,IF($T1061&lt;=60,est05_k,est519_k),1)),""))</f>
        <v/>
      </c>
      <c r="AI1061">
        <f>IF($W1061="","",IFERROR(INDEX(IF($T1061&lt;=60,est05_s,est519_s),MATCH($W1061,IF($T1061&lt;=60,est05_k,est519_k),1)),""))</f>
        <v/>
      </c>
      <c r="AJ1061">
        <f>IF($W1061="","",IFERROR(INDEX(IF($T1061&lt;=60,peso05_l,peso510_l),MATCH($W1061,IF($T1061&lt;=60,peso05_k,peso510_k),1)),""))</f>
        <v/>
      </c>
      <c r="AK1061">
        <f>IF($W1061="","",IFERROR(INDEX(IF($T1061&lt;=60,peso05_m,peso510_m),MATCH($W1061,IF($T1061&lt;=60,peso05_k,peso510_k),1)),""))</f>
        <v/>
      </c>
      <c r="AL1061">
        <f>IF($W1061="","",IFERROR(INDEX(IF($T1061&lt;=60,peso05_s,peso510_s),MATCH($W1061,IF($T1061&lt;=60,peso05_k,peso510_k),1)),""))</f>
        <v/>
      </c>
      <c r="AM1061">
        <f>IF($AJ1061="","",IF($AJ1061=0,LN($F1061/$AK1061)/$AL1061,((($F1061/$AK1061)^$AJ1061)-1)/($AJ1061*$AL1061)))</f>
        <v/>
      </c>
      <c r="AN1061">
        <f>IF($AJ1061="","",IF($AJ1061=0,$AK1061*EXP($AL1061*2),$AK1061*(1+$AJ1061*$AL1061*2)^(1/$AJ1061)))</f>
        <v/>
      </c>
      <c r="AO1061">
        <f>IF($AJ1061="","",IF($AJ1061=0,$AK1061*EXP($AL1061*3),$AK1061*(1+$AJ1061*$AL1061*3)^(1/$AJ1061)))</f>
        <v/>
      </c>
      <c r="AP1061">
        <f>IF($AJ1061="","",IF($AJ1061=0,$AK1061*EXP($AL1061*-2),$AK1061*(1+$AJ1061*$AL1061*-2)^(1/$AJ1061)))</f>
        <v/>
      </c>
      <c r="AQ1061">
        <f>IF($AJ1061="","",IF($AJ1061=0,$AK1061*EXP($AL1061*-3),$AK1061*(1+$AJ1061*$AL1061*-3)^(1/$AJ1061)))</f>
        <v/>
      </c>
      <c r="AR1061">
        <f>IF(OR($X1061="",$T1061&gt;60),"",IFERROR(INDEX(IF($T1061&lt;24,pcomp_l,palt_l),MATCH($X1061,IF($T1061&lt;24,pcomp_k,palt_k),1)),""))</f>
        <v/>
      </c>
      <c r="AS1061">
        <f>IF(OR($X1061="",$T1061&gt;60),"",IFERROR(INDEX(IF($T1061&lt;24,pcomp_m,palt_m),MATCH($X1061,IF($T1061&lt;24,pcomp_k,palt_k),1)),""))</f>
        <v/>
      </c>
      <c r="AT1061">
        <f>IF(OR($X1061="",$T1061&gt;60),"",IFERROR(INDEX(IF($T1061&lt;24,pcomp_s,palt_s),MATCH($X1061,IF($T1061&lt;24,pcomp_k,palt_k),1)),""))</f>
        <v/>
      </c>
      <c r="AU1061">
        <f>IF($AR1061="","",IF($AR1061=0,LN($F1061/$AS1061)/$AT1061,((($F1061/$AS1061)^$AR1061)-1)/($AR1061*$AT1061)))</f>
        <v/>
      </c>
      <c r="AV1061">
        <f>IF($AR1061="","",IF($AR1061=0,$AS1061*EXP($AT1061*2),$AS1061*(1+$AR1061*$AT1061*2)^(1/$AR1061)))</f>
        <v/>
      </c>
      <c r="AW1061">
        <f>IF($AR1061="","",IF($AR1061=0,$AS1061*EXP($AT1061*3),$AS1061*(1+$AR1061*$AT1061*3)^(1/$AR1061)))</f>
        <v/>
      </c>
      <c r="AX1061">
        <f>IF($AR1061="","",IF($AR1061=0,$AS1061*EXP($AT1061*-2),$AS1061*(1+$AR1061*$AT1061*-2)^(1/$AR1061)))</f>
        <v/>
      </c>
      <c r="AY1061">
        <f>IF($AR1061="","",IF($AR1061=0,$AS1061*EXP($AT1061*-3),$AS1061*(1+$AR1061*$AT1061*-3)^(1/$AR1061)))</f>
        <v/>
      </c>
      <c r="AZ1061">
        <f>IF(OR($A1061="",$A1061&lt;&gt;Ficha!$C$4),"",COUNTIF($A$2:$A1061,Ficha!$C$4))</f>
        <v/>
      </c>
    </row>
    <row r="1062">
      <c r="A1062" s="8">
        <f>IF(INDEX(Banco!$A:$A,ROW())="","",INDEX(Banco!$A:$A,ROW()))</f>
        <v/>
      </c>
      <c r="B1062" s="8">
        <f>IF(INDEX(Banco!$B:$B,ROW())="","",INDEX(Banco!$B:$B,ROW()))</f>
        <v/>
      </c>
      <c r="C1062" s="8">
        <f>IF(INDEX(Banco!$C:$C,ROW())="","",INDEX(Banco!$C:$C,ROW()))</f>
        <v/>
      </c>
      <c r="D1062" s="9">
        <f>IF(INDEX(Banco!$D:$D,ROW())="","",INDEX(Banco!$D:$D,ROW()))</f>
        <v/>
      </c>
      <c r="E1062" s="9">
        <f>IF(INDEX(Banco!$E:$E,ROW())="","",INDEX(Banco!$E:$E,ROW()))</f>
        <v/>
      </c>
      <c r="F1062" s="10">
        <f>IF(INDEX(Banco!$F:$F,ROW())="","",INDEX(Banco!$F:$F,ROW()))</f>
        <v/>
      </c>
      <c r="G1062" s="10">
        <f>IF(INDEX(Banco!$G:$G,ROW())="","",INDEX(Banco!$G:$G,ROW()))</f>
        <v/>
      </c>
      <c r="H1062" s="8">
        <f>IF(INDEX(Banco!$H:$H,ROW())="","",INDEX(Banco!$H:$H,ROW()))</f>
        <v/>
      </c>
      <c r="I1062">
        <f>IF($T1062="","",INT($T1062/12)&amp;"a "&amp;MOD($T1062,12)&amp;"m")</f>
        <v/>
      </c>
      <c r="J1062" s="11">
        <f>IF(OR($F1062="",$G1062=""),"",ROUND($F1062/($G1062/100)^2,2))</f>
        <v/>
      </c>
      <c r="K1062" s="12">
        <f>IF(OR($S1062="",$J1062="",$T1062="",$T1062&lt;0,$T1062&gt;228,$Y1062=""),"—",ROUND(IF(ABS($AB1062)&lt;=3,$AB1062,IF($AB1062&gt;3,3+($J1062-$AD1062)/($AD1062-$AC1062),-3+($J1062-$AF1062)/($AE1062-$AF1062))),2))</f>
        <v/>
      </c>
      <c r="L1062">
        <f>IF(OR($K1062="",$K1062="—"),"",IF($T1062&lt;=60,IF($K1062&lt;-3,"Magreza acentuada",IF($K1062&lt;-2,"Magreza",IF($K1062&lt;=1,"Eutrofia",IF($K1062&lt;=2,"Risco de sobrepeso",IF($K1062&lt;=3,"Sobrepeso","Obesidade"))))),IF($K1062&lt;-3,"Magreza acentuada",IF($K1062&lt;-2,"Magreza",IF($K1062&lt;=1,"Eutrofia",IF($K1062&lt;=2,"Sobrepeso",IF($K1062&lt;=3,"Obesidade","Obesidade grave")))))))</f>
        <v/>
      </c>
      <c r="M1062" s="12">
        <f>IF(OR($S1062="",$V1062="",$T1062="",$T1062&lt;0,$T1062&gt;228,$AG1062=""),"—",ROUND(IF($AG1062=0,LN($V1062/$AH1062)/$AI1062,((($V1062/$AH1062)^$AG1062)-1)/($AG1062*$AI1062)),2))</f>
        <v/>
      </c>
      <c r="N1062">
        <f>IF(OR($M1062="",$M1062="—"),"",IF($M1062&lt;-3,"Muito baixa",IF($M1062&lt;-2,"Baixa","Adequada")))</f>
        <v/>
      </c>
      <c r="O1062" s="12">
        <f>IF(OR($S1062="",$F1062="",$T1062="",$T1062&lt;0,$T1062&gt;120,$AJ1062=""),"—",ROUND(IF(ABS($AM1062)&lt;=3,$AM1062,IF($AM1062&gt;3,3+($F1062-$AO1062)/($AO1062-$AN1062),-3+($F1062-$AQ1062)/($AP1062-$AQ1062))),2))</f>
        <v/>
      </c>
      <c r="P1062">
        <f>IF(OR($O1062="",$O1062="—"),"",IF($O1062&lt;-3,"Muito baixo",IF($O1062&lt;-2,"Baixo",IF($O1062&lt;=2,"Adequado","Elevado"))))</f>
        <v/>
      </c>
      <c r="Q1062" s="12">
        <f>IF(OR($S1062="",$F1062="",$T1062="",$T1062&lt;0,$T1062&gt;60,$AR1062=""),"—",ROUND(IF(ABS($AU1062)&lt;=3,$AU1062,IF($AU1062&gt;3,3+($F1062-$AW1062)/($AW1062-$AV1062),-3+($F1062-$AY1062)/($AX1062-$AY1062))),2))</f>
        <v/>
      </c>
      <c r="R1062">
        <f>IF(OR($Q1062="",$Q1062="—"),"",IF($Q1062&lt;-3,"Magreza acentuada",IF($Q1062&lt;-2,"Magreza",IF($Q1062&lt;=1,"Eutrofia",IF($Q1062&lt;=2,"Risco de sobrepeso",IF($Q1062&lt;=3,"Sobrepeso","Obesidade"))))))</f>
        <v/>
      </c>
      <c r="S1062">
        <f>IF($C1062="","",IF(UPPER(LEFT($C1062,1))="M",1,IF(UPPER(LEFT($C1062,1))="F",2,"")))</f>
        <v/>
      </c>
      <c r="T1062">
        <f>IF(OR($D1062="",$E1062=""),"",DATEDIF($D1062,$E1062,"m"))</f>
        <v/>
      </c>
      <c r="U1062">
        <f>IF(OR($D1062="",$E1062=""),"",$E1062-$D1062)</f>
        <v/>
      </c>
      <c r="V1062">
        <f>IF(OR($G1062="",$T1062=""),"",IF($T1062&lt;24,IF(LEFT(LOWER($H1062),4)="em p",$G1062+0.7,$G1062),IF(LEFT(LOWER($H1062),4)="deit",$G1062-0.7,$G1062)))</f>
        <v/>
      </c>
      <c r="W1062">
        <f>IF(OR($S1062="",$T1062=""),"",$S1062*1000000+IF($T1062&lt;=60,$U1062,$T1062))</f>
        <v/>
      </c>
      <c r="X1062">
        <f>IF(OR($S1062="",$V1062="",$T1062&gt;60,$T1062=""),"",$S1062*1000000+ROUND($V1062*10,0))</f>
        <v/>
      </c>
      <c r="Y1062">
        <f>IF($W1062="","",IFERROR(INDEX(IF($T1062&lt;=60,imc05_l,imc519_l),MATCH($W1062,IF($T1062&lt;=60,imc05_k,imc519_k),1)),""))</f>
        <v/>
      </c>
      <c r="Z1062">
        <f>IF($W1062="","",IFERROR(INDEX(IF($T1062&lt;=60,imc05_m,imc519_m),MATCH($W1062,IF($T1062&lt;=60,imc05_k,imc519_k),1)),""))</f>
        <v/>
      </c>
      <c r="AA1062">
        <f>IF($W1062="","",IFERROR(INDEX(IF($T1062&lt;=60,imc05_s,imc519_s),MATCH($W1062,IF($T1062&lt;=60,imc05_k,imc519_k),1)),""))</f>
        <v/>
      </c>
      <c r="AB1062">
        <f>IF($Y1062="","",IF($Y1062=0,LN($J1062/$Z1062)/$AA1062,((($J1062/$Z1062)^$Y1062)-1)/($Y1062*$AA1062)))</f>
        <v/>
      </c>
      <c r="AC1062">
        <f>IF($Y1062="","",IF($Y1062=0,$Z1062*EXP($AA1062*2),$Z1062*(1+$Y1062*$AA1062*2)^(1/$Y1062)))</f>
        <v/>
      </c>
      <c r="AD1062">
        <f>IF($Y1062="","",IF($Y1062=0,$Z1062*EXP($AA1062*3),$Z1062*(1+$Y1062*$AA1062*3)^(1/$Y1062)))</f>
        <v/>
      </c>
      <c r="AE1062">
        <f>IF($Y1062="","",IF($Y1062=0,$Z1062*EXP($AA1062*-2),$Z1062*(1+$Y1062*$AA1062*-2)^(1/$Y1062)))</f>
        <v/>
      </c>
      <c r="AF1062">
        <f>IF($Y1062="","",IF($Y1062=0,$Z1062*EXP($AA1062*-3),$Z1062*(1+$Y1062*$AA1062*-3)^(1/$Y1062)))</f>
        <v/>
      </c>
      <c r="AG1062">
        <f>IF($W1062="","",IFERROR(INDEX(IF($T1062&lt;=60,est05_l,est519_l),MATCH($W1062,IF($T1062&lt;=60,est05_k,est519_k),1)),""))</f>
        <v/>
      </c>
      <c r="AH1062">
        <f>IF($W1062="","",IFERROR(INDEX(IF($T1062&lt;=60,est05_m,est519_m),MATCH($W1062,IF($T1062&lt;=60,est05_k,est519_k),1)),""))</f>
        <v/>
      </c>
      <c r="AI1062">
        <f>IF($W1062="","",IFERROR(INDEX(IF($T1062&lt;=60,est05_s,est519_s),MATCH($W1062,IF($T1062&lt;=60,est05_k,est519_k),1)),""))</f>
        <v/>
      </c>
      <c r="AJ1062">
        <f>IF($W1062="","",IFERROR(INDEX(IF($T1062&lt;=60,peso05_l,peso510_l),MATCH($W1062,IF($T1062&lt;=60,peso05_k,peso510_k),1)),""))</f>
        <v/>
      </c>
      <c r="AK1062">
        <f>IF($W1062="","",IFERROR(INDEX(IF($T1062&lt;=60,peso05_m,peso510_m),MATCH($W1062,IF($T1062&lt;=60,peso05_k,peso510_k),1)),""))</f>
        <v/>
      </c>
      <c r="AL1062">
        <f>IF($W1062="","",IFERROR(INDEX(IF($T1062&lt;=60,peso05_s,peso510_s),MATCH($W1062,IF($T1062&lt;=60,peso05_k,peso510_k),1)),""))</f>
        <v/>
      </c>
      <c r="AM1062">
        <f>IF($AJ1062="","",IF($AJ1062=0,LN($F1062/$AK1062)/$AL1062,((($F1062/$AK1062)^$AJ1062)-1)/($AJ1062*$AL1062)))</f>
        <v/>
      </c>
      <c r="AN1062">
        <f>IF($AJ1062="","",IF($AJ1062=0,$AK1062*EXP($AL1062*2),$AK1062*(1+$AJ1062*$AL1062*2)^(1/$AJ1062)))</f>
        <v/>
      </c>
      <c r="AO1062">
        <f>IF($AJ1062="","",IF($AJ1062=0,$AK1062*EXP($AL1062*3),$AK1062*(1+$AJ1062*$AL1062*3)^(1/$AJ1062)))</f>
        <v/>
      </c>
      <c r="AP1062">
        <f>IF($AJ1062="","",IF($AJ1062=0,$AK1062*EXP($AL1062*-2),$AK1062*(1+$AJ1062*$AL1062*-2)^(1/$AJ1062)))</f>
        <v/>
      </c>
      <c r="AQ1062">
        <f>IF($AJ1062="","",IF($AJ1062=0,$AK1062*EXP($AL1062*-3),$AK1062*(1+$AJ1062*$AL1062*-3)^(1/$AJ1062)))</f>
        <v/>
      </c>
      <c r="AR1062">
        <f>IF(OR($X1062="",$T1062&gt;60),"",IFERROR(INDEX(IF($T1062&lt;24,pcomp_l,palt_l),MATCH($X1062,IF($T1062&lt;24,pcomp_k,palt_k),1)),""))</f>
        <v/>
      </c>
      <c r="AS1062">
        <f>IF(OR($X1062="",$T1062&gt;60),"",IFERROR(INDEX(IF($T1062&lt;24,pcomp_m,palt_m),MATCH($X1062,IF($T1062&lt;24,pcomp_k,palt_k),1)),""))</f>
        <v/>
      </c>
      <c r="AT1062">
        <f>IF(OR($X1062="",$T1062&gt;60),"",IFERROR(INDEX(IF($T1062&lt;24,pcomp_s,palt_s),MATCH($X1062,IF($T1062&lt;24,pcomp_k,palt_k),1)),""))</f>
        <v/>
      </c>
      <c r="AU1062">
        <f>IF($AR1062="","",IF($AR1062=0,LN($F1062/$AS1062)/$AT1062,((($F1062/$AS1062)^$AR1062)-1)/($AR1062*$AT1062)))</f>
        <v/>
      </c>
      <c r="AV1062">
        <f>IF($AR1062="","",IF($AR1062=0,$AS1062*EXP($AT1062*2),$AS1062*(1+$AR1062*$AT1062*2)^(1/$AR1062)))</f>
        <v/>
      </c>
      <c r="AW1062">
        <f>IF($AR1062="","",IF($AR1062=0,$AS1062*EXP($AT1062*3),$AS1062*(1+$AR1062*$AT1062*3)^(1/$AR1062)))</f>
        <v/>
      </c>
      <c r="AX1062">
        <f>IF($AR1062="","",IF($AR1062=0,$AS1062*EXP($AT1062*-2),$AS1062*(1+$AR1062*$AT1062*-2)^(1/$AR1062)))</f>
        <v/>
      </c>
      <c r="AY1062">
        <f>IF($AR1062="","",IF($AR1062=0,$AS1062*EXP($AT1062*-3),$AS1062*(1+$AR1062*$AT1062*-3)^(1/$AR1062)))</f>
        <v/>
      </c>
      <c r="AZ1062">
        <f>IF(OR($A1062="",$A1062&lt;&gt;Ficha!$C$4),"",COUNTIF($A$2:$A1062,Ficha!$C$4))</f>
        <v/>
      </c>
    </row>
    <row r="1063">
      <c r="A1063" s="8">
        <f>IF(INDEX(Banco!$A:$A,ROW())="","",INDEX(Banco!$A:$A,ROW()))</f>
        <v/>
      </c>
      <c r="B1063" s="8">
        <f>IF(INDEX(Banco!$B:$B,ROW())="","",INDEX(Banco!$B:$B,ROW()))</f>
        <v/>
      </c>
      <c r="C1063" s="8">
        <f>IF(INDEX(Banco!$C:$C,ROW())="","",INDEX(Banco!$C:$C,ROW()))</f>
        <v/>
      </c>
      <c r="D1063" s="9">
        <f>IF(INDEX(Banco!$D:$D,ROW())="","",INDEX(Banco!$D:$D,ROW()))</f>
        <v/>
      </c>
      <c r="E1063" s="9">
        <f>IF(INDEX(Banco!$E:$E,ROW())="","",INDEX(Banco!$E:$E,ROW()))</f>
        <v/>
      </c>
      <c r="F1063" s="10">
        <f>IF(INDEX(Banco!$F:$F,ROW())="","",INDEX(Banco!$F:$F,ROW()))</f>
        <v/>
      </c>
      <c r="G1063" s="10">
        <f>IF(INDEX(Banco!$G:$G,ROW())="","",INDEX(Banco!$G:$G,ROW()))</f>
        <v/>
      </c>
      <c r="H1063" s="8">
        <f>IF(INDEX(Banco!$H:$H,ROW())="","",INDEX(Banco!$H:$H,ROW()))</f>
        <v/>
      </c>
      <c r="I1063">
        <f>IF($T1063="","",INT($T1063/12)&amp;"a "&amp;MOD($T1063,12)&amp;"m")</f>
        <v/>
      </c>
      <c r="J1063" s="11">
        <f>IF(OR($F1063="",$G1063=""),"",ROUND($F1063/($G1063/100)^2,2))</f>
        <v/>
      </c>
      <c r="K1063" s="12">
        <f>IF(OR($S1063="",$J1063="",$T1063="",$T1063&lt;0,$T1063&gt;228,$Y1063=""),"—",ROUND(IF(ABS($AB1063)&lt;=3,$AB1063,IF($AB1063&gt;3,3+($J1063-$AD1063)/($AD1063-$AC1063),-3+($J1063-$AF1063)/($AE1063-$AF1063))),2))</f>
        <v/>
      </c>
      <c r="L1063">
        <f>IF(OR($K1063="",$K1063="—"),"",IF($T1063&lt;=60,IF($K1063&lt;-3,"Magreza acentuada",IF($K1063&lt;-2,"Magreza",IF($K1063&lt;=1,"Eutrofia",IF($K1063&lt;=2,"Risco de sobrepeso",IF($K1063&lt;=3,"Sobrepeso","Obesidade"))))),IF($K1063&lt;-3,"Magreza acentuada",IF($K1063&lt;-2,"Magreza",IF($K1063&lt;=1,"Eutrofia",IF($K1063&lt;=2,"Sobrepeso",IF($K1063&lt;=3,"Obesidade","Obesidade grave")))))))</f>
        <v/>
      </c>
      <c r="M1063" s="12">
        <f>IF(OR($S1063="",$V1063="",$T1063="",$T1063&lt;0,$T1063&gt;228,$AG1063=""),"—",ROUND(IF($AG1063=0,LN($V1063/$AH1063)/$AI1063,((($V1063/$AH1063)^$AG1063)-1)/($AG1063*$AI1063)),2))</f>
        <v/>
      </c>
      <c r="N1063">
        <f>IF(OR($M1063="",$M1063="—"),"",IF($M1063&lt;-3,"Muito baixa",IF($M1063&lt;-2,"Baixa","Adequada")))</f>
        <v/>
      </c>
      <c r="O1063" s="12">
        <f>IF(OR($S1063="",$F1063="",$T1063="",$T1063&lt;0,$T1063&gt;120,$AJ1063=""),"—",ROUND(IF(ABS($AM1063)&lt;=3,$AM1063,IF($AM1063&gt;3,3+($F1063-$AO1063)/($AO1063-$AN1063),-3+($F1063-$AQ1063)/($AP1063-$AQ1063))),2))</f>
        <v/>
      </c>
      <c r="P1063">
        <f>IF(OR($O1063="",$O1063="—"),"",IF($O1063&lt;-3,"Muito baixo",IF($O1063&lt;-2,"Baixo",IF($O1063&lt;=2,"Adequado","Elevado"))))</f>
        <v/>
      </c>
      <c r="Q1063" s="12">
        <f>IF(OR($S1063="",$F1063="",$T1063="",$T1063&lt;0,$T1063&gt;60,$AR1063=""),"—",ROUND(IF(ABS($AU1063)&lt;=3,$AU1063,IF($AU1063&gt;3,3+($F1063-$AW1063)/($AW1063-$AV1063),-3+($F1063-$AY1063)/($AX1063-$AY1063))),2))</f>
        <v/>
      </c>
      <c r="R1063">
        <f>IF(OR($Q1063="",$Q1063="—"),"",IF($Q1063&lt;-3,"Magreza acentuada",IF($Q1063&lt;-2,"Magreza",IF($Q1063&lt;=1,"Eutrofia",IF($Q1063&lt;=2,"Risco de sobrepeso",IF($Q1063&lt;=3,"Sobrepeso","Obesidade"))))))</f>
        <v/>
      </c>
      <c r="S1063">
        <f>IF($C1063="","",IF(UPPER(LEFT($C1063,1))="M",1,IF(UPPER(LEFT($C1063,1))="F",2,"")))</f>
        <v/>
      </c>
      <c r="T1063">
        <f>IF(OR($D1063="",$E1063=""),"",DATEDIF($D1063,$E1063,"m"))</f>
        <v/>
      </c>
      <c r="U1063">
        <f>IF(OR($D1063="",$E1063=""),"",$E1063-$D1063)</f>
        <v/>
      </c>
      <c r="V1063">
        <f>IF(OR($G1063="",$T1063=""),"",IF($T1063&lt;24,IF(LEFT(LOWER($H1063),4)="em p",$G1063+0.7,$G1063),IF(LEFT(LOWER($H1063),4)="deit",$G1063-0.7,$G1063)))</f>
        <v/>
      </c>
      <c r="W1063">
        <f>IF(OR($S1063="",$T1063=""),"",$S1063*1000000+IF($T1063&lt;=60,$U1063,$T1063))</f>
        <v/>
      </c>
      <c r="X1063">
        <f>IF(OR($S1063="",$V1063="",$T1063&gt;60,$T1063=""),"",$S1063*1000000+ROUND($V1063*10,0))</f>
        <v/>
      </c>
      <c r="Y1063">
        <f>IF($W1063="","",IFERROR(INDEX(IF($T1063&lt;=60,imc05_l,imc519_l),MATCH($W1063,IF($T1063&lt;=60,imc05_k,imc519_k),1)),""))</f>
        <v/>
      </c>
      <c r="Z1063">
        <f>IF($W1063="","",IFERROR(INDEX(IF($T1063&lt;=60,imc05_m,imc519_m),MATCH($W1063,IF($T1063&lt;=60,imc05_k,imc519_k),1)),""))</f>
        <v/>
      </c>
      <c r="AA1063">
        <f>IF($W1063="","",IFERROR(INDEX(IF($T1063&lt;=60,imc05_s,imc519_s),MATCH($W1063,IF($T1063&lt;=60,imc05_k,imc519_k),1)),""))</f>
        <v/>
      </c>
      <c r="AB1063">
        <f>IF($Y1063="","",IF($Y1063=0,LN($J1063/$Z1063)/$AA1063,((($J1063/$Z1063)^$Y1063)-1)/($Y1063*$AA1063)))</f>
        <v/>
      </c>
      <c r="AC1063">
        <f>IF($Y1063="","",IF($Y1063=0,$Z1063*EXP($AA1063*2),$Z1063*(1+$Y1063*$AA1063*2)^(1/$Y1063)))</f>
        <v/>
      </c>
      <c r="AD1063">
        <f>IF($Y1063="","",IF($Y1063=0,$Z1063*EXP($AA1063*3),$Z1063*(1+$Y1063*$AA1063*3)^(1/$Y1063)))</f>
        <v/>
      </c>
      <c r="AE1063">
        <f>IF($Y1063="","",IF($Y1063=0,$Z1063*EXP($AA1063*-2),$Z1063*(1+$Y1063*$AA1063*-2)^(1/$Y1063)))</f>
        <v/>
      </c>
      <c r="AF1063">
        <f>IF($Y1063="","",IF($Y1063=0,$Z1063*EXP($AA1063*-3),$Z1063*(1+$Y1063*$AA1063*-3)^(1/$Y1063)))</f>
        <v/>
      </c>
      <c r="AG1063">
        <f>IF($W1063="","",IFERROR(INDEX(IF($T1063&lt;=60,est05_l,est519_l),MATCH($W1063,IF($T1063&lt;=60,est05_k,est519_k),1)),""))</f>
        <v/>
      </c>
      <c r="AH1063">
        <f>IF($W1063="","",IFERROR(INDEX(IF($T1063&lt;=60,est05_m,est519_m),MATCH($W1063,IF($T1063&lt;=60,est05_k,est519_k),1)),""))</f>
        <v/>
      </c>
      <c r="AI1063">
        <f>IF($W1063="","",IFERROR(INDEX(IF($T1063&lt;=60,est05_s,est519_s),MATCH($W1063,IF($T1063&lt;=60,est05_k,est519_k),1)),""))</f>
        <v/>
      </c>
      <c r="AJ1063">
        <f>IF($W1063="","",IFERROR(INDEX(IF($T1063&lt;=60,peso05_l,peso510_l),MATCH($W1063,IF($T1063&lt;=60,peso05_k,peso510_k),1)),""))</f>
        <v/>
      </c>
      <c r="AK1063">
        <f>IF($W1063="","",IFERROR(INDEX(IF($T1063&lt;=60,peso05_m,peso510_m),MATCH($W1063,IF($T1063&lt;=60,peso05_k,peso510_k),1)),""))</f>
        <v/>
      </c>
      <c r="AL1063">
        <f>IF($W1063="","",IFERROR(INDEX(IF($T1063&lt;=60,peso05_s,peso510_s),MATCH($W1063,IF($T1063&lt;=60,peso05_k,peso510_k),1)),""))</f>
        <v/>
      </c>
      <c r="AM1063">
        <f>IF($AJ1063="","",IF($AJ1063=0,LN($F1063/$AK1063)/$AL1063,((($F1063/$AK1063)^$AJ1063)-1)/($AJ1063*$AL1063)))</f>
        <v/>
      </c>
      <c r="AN1063">
        <f>IF($AJ1063="","",IF($AJ1063=0,$AK1063*EXP($AL1063*2),$AK1063*(1+$AJ1063*$AL1063*2)^(1/$AJ1063)))</f>
        <v/>
      </c>
      <c r="AO1063">
        <f>IF($AJ1063="","",IF($AJ1063=0,$AK1063*EXP($AL1063*3),$AK1063*(1+$AJ1063*$AL1063*3)^(1/$AJ1063)))</f>
        <v/>
      </c>
      <c r="AP1063">
        <f>IF($AJ1063="","",IF($AJ1063=0,$AK1063*EXP($AL1063*-2),$AK1063*(1+$AJ1063*$AL1063*-2)^(1/$AJ1063)))</f>
        <v/>
      </c>
      <c r="AQ1063">
        <f>IF($AJ1063="","",IF($AJ1063=0,$AK1063*EXP($AL1063*-3),$AK1063*(1+$AJ1063*$AL1063*-3)^(1/$AJ1063)))</f>
        <v/>
      </c>
      <c r="AR1063">
        <f>IF(OR($X1063="",$T1063&gt;60),"",IFERROR(INDEX(IF($T1063&lt;24,pcomp_l,palt_l),MATCH($X1063,IF($T1063&lt;24,pcomp_k,palt_k),1)),""))</f>
        <v/>
      </c>
      <c r="AS1063">
        <f>IF(OR($X1063="",$T1063&gt;60),"",IFERROR(INDEX(IF($T1063&lt;24,pcomp_m,palt_m),MATCH($X1063,IF($T1063&lt;24,pcomp_k,palt_k),1)),""))</f>
        <v/>
      </c>
      <c r="AT1063">
        <f>IF(OR($X1063="",$T1063&gt;60),"",IFERROR(INDEX(IF($T1063&lt;24,pcomp_s,palt_s),MATCH($X1063,IF($T1063&lt;24,pcomp_k,palt_k),1)),""))</f>
        <v/>
      </c>
      <c r="AU1063">
        <f>IF($AR1063="","",IF($AR1063=0,LN($F1063/$AS1063)/$AT1063,((($F1063/$AS1063)^$AR1063)-1)/($AR1063*$AT1063)))</f>
        <v/>
      </c>
      <c r="AV1063">
        <f>IF($AR1063="","",IF($AR1063=0,$AS1063*EXP($AT1063*2),$AS1063*(1+$AR1063*$AT1063*2)^(1/$AR1063)))</f>
        <v/>
      </c>
      <c r="AW1063">
        <f>IF($AR1063="","",IF($AR1063=0,$AS1063*EXP($AT1063*3),$AS1063*(1+$AR1063*$AT1063*3)^(1/$AR1063)))</f>
        <v/>
      </c>
      <c r="AX1063">
        <f>IF($AR1063="","",IF($AR1063=0,$AS1063*EXP($AT1063*-2),$AS1063*(1+$AR1063*$AT1063*-2)^(1/$AR1063)))</f>
        <v/>
      </c>
      <c r="AY1063">
        <f>IF($AR1063="","",IF($AR1063=0,$AS1063*EXP($AT1063*-3),$AS1063*(1+$AR1063*$AT1063*-3)^(1/$AR1063)))</f>
        <v/>
      </c>
      <c r="AZ1063">
        <f>IF(OR($A1063="",$A1063&lt;&gt;Ficha!$C$4),"",COUNTIF($A$2:$A1063,Ficha!$C$4))</f>
        <v/>
      </c>
    </row>
    <row r="1064">
      <c r="A1064" s="8">
        <f>IF(INDEX(Banco!$A:$A,ROW())="","",INDEX(Banco!$A:$A,ROW()))</f>
        <v/>
      </c>
      <c r="B1064" s="8">
        <f>IF(INDEX(Banco!$B:$B,ROW())="","",INDEX(Banco!$B:$B,ROW()))</f>
        <v/>
      </c>
      <c r="C1064" s="8">
        <f>IF(INDEX(Banco!$C:$C,ROW())="","",INDEX(Banco!$C:$C,ROW()))</f>
        <v/>
      </c>
      <c r="D1064" s="9">
        <f>IF(INDEX(Banco!$D:$D,ROW())="","",INDEX(Banco!$D:$D,ROW()))</f>
        <v/>
      </c>
      <c r="E1064" s="9">
        <f>IF(INDEX(Banco!$E:$E,ROW())="","",INDEX(Banco!$E:$E,ROW()))</f>
        <v/>
      </c>
      <c r="F1064" s="10">
        <f>IF(INDEX(Banco!$F:$F,ROW())="","",INDEX(Banco!$F:$F,ROW()))</f>
        <v/>
      </c>
      <c r="G1064" s="10">
        <f>IF(INDEX(Banco!$G:$G,ROW())="","",INDEX(Banco!$G:$G,ROW()))</f>
        <v/>
      </c>
      <c r="H1064" s="8">
        <f>IF(INDEX(Banco!$H:$H,ROW())="","",INDEX(Banco!$H:$H,ROW()))</f>
        <v/>
      </c>
      <c r="I1064">
        <f>IF($T1064="","",INT($T1064/12)&amp;"a "&amp;MOD($T1064,12)&amp;"m")</f>
        <v/>
      </c>
      <c r="J1064" s="11">
        <f>IF(OR($F1064="",$G1064=""),"",ROUND($F1064/($G1064/100)^2,2))</f>
        <v/>
      </c>
      <c r="K1064" s="12">
        <f>IF(OR($S1064="",$J1064="",$T1064="",$T1064&lt;0,$T1064&gt;228,$Y1064=""),"—",ROUND(IF(ABS($AB1064)&lt;=3,$AB1064,IF($AB1064&gt;3,3+($J1064-$AD1064)/($AD1064-$AC1064),-3+($J1064-$AF1064)/($AE1064-$AF1064))),2))</f>
        <v/>
      </c>
      <c r="L1064">
        <f>IF(OR($K1064="",$K1064="—"),"",IF($T1064&lt;=60,IF($K1064&lt;-3,"Magreza acentuada",IF($K1064&lt;-2,"Magreza",IF($K1064&lt;=1,"Eutrofia",IF($K1064&lt;=2,"Risco de sobrepeso",IF($K1064&lt;=3,"Sobrepeso","Obesidade"))))),IF($K1064&lt;-3,"Magreza acentuada",IF($K1064&lt;-2,"Magreza",IF($K1064&lt;=1,"Eutrofia",IF($K1064&lt;=2,"Sobrepeso",IF($K1064&lt;=3,"Obesidade","Obesidade grave")))))))</f>
        <v/>
      </c>
      <c r="M1064" s="12">
        <f>IF(OR($S1064="",$V1064="",$T1064="",$T1064&lt;0,$T1064&gt;228,$AG1064=""),"—",ROUND(IF($AG1064=0,LN($V1064/$AH1064)/$AI1064,((($V1064/$AH1064)^$AG1064)-1)/($AG1064*$AI1064)),2))</f>
        <v/>
      </c>
      <c r="N1064">
        <f>IF(OR($M1064="",$M1064="—"),"",IF($M1064&lt;-3,"Muito baixa",IF($M1064&lt;-2,"Baixa","Adequada")))</f>
        <v/>
      </c>
      <c r="O1064" s="12">
        <f>IF(OR($S1064="",$F1064="",$T1064="",$T1064&lt;0,$T1064&gt;120,$AJ1064=""),"—",ROUND(IF(ABS($AM1064)&lt;=3,$AM1064,IF($AM1064&gt;3,3+($F1064-$AO1064)/($AO1064-$AN1064),-3+($F1064-$AQ1064)/($AP1064-$AQ1064))),2))</f>
        <v/>
      </c>
      <c r="P1064">
        <f>IF(OR($O1064="",$O1064="—"),"",IF($O1064&lt;-3,"Muito baixo",IF($O1064&lt;-2,"Baixo",IF($O1064&lt;=2,"Adequado","Elevado"))))</f>
        <v/>
      </c>
      <c r="Q1064" s="12">
        <f>IF(OR($S1064="",$F1064="",$T1064="",$T1064&lt;0,$T1064&gt;60,$AR1064=""),"—",ROUND(IF(ABS($AU1064)&lt;=3,$AU1064,IF($AU1064&gt;3,3+($F1064-$AW1064)/($AW1064-$AV1064),-3+($F1064-$AY1064)/($AX1064-$AY1064))),2))</f>
        <v/>
      </c>
      <c r="R1064">
        <f>IF(OR($Q1064="",$Q1064="—"),"",IF($Q1064&lt;-3,"Magreza acentuada",IF($Q1064&lt;-2,"Magreza",IF($Q1064&lt;=1,"Eutrofia",IF($Q1064&lt;=2,"Risco de sobrepeso",IF($Q1064&lt;=3,"Sobrepeso","Obesidade"))))))</f>
        <v/>
      </c>
      <c r="S1064">
        <f>IF($C1064="","",IF(UPPER(LEFT($C1064,1))="M",1,IF(UPPER(LEFT($C1064,1))="F",2,"")))</f>
        <v/>
      </c>
      <c r="T1064">
        <f>IF(OR($D1064="",$E1064=""),"",DATEDIF($D1064,$E1064,"m"))</f>
        <v/>
      </c>
      <c r="U1064">
        <f>IF(OR($D1064="",$E1064=""),"",$E1064-$D1064)</f>
        <v/>
      </c>
      <c r="V1064">
        <f>IF(OR($G1064="",$T1064=""),"",IF($T1064&lt;24,IF(LEFT(LOWER($H1064),4)="em p",$G1064+0.7,$G1064),IF(LEFT(LOWER($H1064),4)="deit",$G1064-0.7,$G1064)))</f>
        <v/>
      </c>
      <c r="W1064">
        <f>IF(OR($S1064="",$T1064=""),"",$S1064*1000000+IF($T1064&lt;=60,$U1064,$T1064))</f>
        <v/>
      </c>
      <c r="X1064">
        <f>IF(OR($S1064="",$V1064="",$T1064&gt;60,$T1064=""),"",$S1064*1000000+ROUND($V1064*10,0))</f>
        <v/>
      </c>
      <c r="Y1064">
        <f>IF($W1064="","",IFERROR(INDEX(IF($T1064&lt;=60,imc05_l,imc519_l),MATCH($W1064,IF($T1064&lt;=60,imc05_k,imc519_k),1)),""))</f>
        <v/>
      </c>
      <c r="Z1064">
        <f>IF($W1064="","",IFERROR(INDEX(IF($T1064&lt;=60,imc05_m,imc519_m),MATCH($W1064,IF($T1064&lt;=60,imc05_k,imc519_k),1)),""))</f>
        <v/>
      </c>
      <c r="AA1064">
        <f>IF($W1064="","",IFERROR(INDEX(IF($T1064&lt;=60,imc05_s,imc519_s),MATCH($W1064,IF($T1064&lt;=60,imc05_k,imc519_k),1)),""))</f>
        <v/>
      </c>
      <c r="AB1064">
        <f>IF($Y1064="","",IF($Y1064=0,LN($J1064/$Z1064)/$AA1064,((($J1064/$Z1064)^$Y1064)-1)/($Y1064*$AA1064)))</f>
        <v/>
      </c>
      <c r="AC1064">
        <f>IF($Y1064="","",IF($Y1064=0,$Z1064*EXP($AA1064*2),$Z1064*(1+$Y1064*$AA1064*2)^(1/$Y1064)))</f>
        <v/>
      </c>
      <c r="AD1064">
        <f>IF($Y1064="","",IF($Y1064=0,$Z1064*EXP($AA1064*3),$Z1064*(1+$Y1064*$AA1064*3)^(1/$Y1064)))</f>
        <v/>
      </c>
      <c r="AE1064">
        <f>IF($Y1064="","",IF($Y1064=0,$Z1064*EXP($AA1064*-2),$Z1064*(1+$Y1064*$AA1064*-2)^(1/$Y1064)))</f>
        <v/>
      </c>
      <c r="AF1064">
        <f>IF($Y1064="","",IF($Y1064=0,$Z1064*EXP($AA1064*-3),$Z1064*(1+$Y1064*$AA1064*-3)^(1/$Y1064)))</f>
        <v/>
      </c>
      <c r="AG1064">
        <f>IF($W1064="","",IFERROR(INDEX(IF($T1064&lt;=60,est05_l,est519_l),MATCH($W1064,IF($T1064&lt;=60,est05_k,est519_k),1)),""))</f>
        <v/>
      </c>
      <c r="AH1064">
        <f>IF($W1064="","",IFERROR(INDEX(IF($T1064&lt;=60,est05_m,est519_m),MATCH($W1064,IF($T1064&lt;=60,est05_k,est519_k),1)),""))</f>
        <v/>
      </c>
      <c r="AI1064">
        <f>IF($W1064="","",IFERROR(INDEX(IF($T1064&lt;=60,est05_s,est519_s),MATCH($W1064,IF($T1064&lt;=60,est05_k,est519_k),1)),""))</f>
        <v/>
      </c>
      <c r="AJ1064">
        <f>IF($W1064="","",IFERROR(INDEX(IF($T1064&lt;=60,peso05_l,peso510_l),MATCH($W1064,IF($T1064&lt;=60,peso05_k,peso510_k),1)),""))</f>
        <v/>
      </c>
      <c r="AK1064">
        <f>IF($W1064="","",IFERROR(INDEX(IF($T1064&lt;=60,peso05_m,peso510_m),MATCH($W1064,IF($T1064&lt;=60,peso05_k,peso510_k),1)),""))</f>
        <v/>
      </c>
      <c r="AL1064">
        <f>IF($W1064="","",IFERROR(INDEX(IF($T1064&lt;=60,peso05_s,peso510_s),MATCH($W1064,IF($T1064&lt;=60,peso05_k,peso510_k),1)),""))</f>
        <v/>
      </c>
      <c r="AM1064">
        <f>IF($AJ1064="","",IF($AJ1064=0,LN($F1064/$AK1064)/$AL1064,((($F1064/$AK1064)^$AJ1064)-1)/($AJ1064*$AL1064)))</f>
        <v/>
      </c>
      <c r="AN1064">
        <f>IF($AJ1064="","",IF($AJ1064=0,$AK1064*EXP($AL1064*2),$AK1064*(1+$AJ1064*$AL1064*2)^(1/$AJ1064)))</f>
        <v/>
      </c>
      <c r="AO1064">
        <f>IF($AJ1064="","",IF($AJ1064=0,$AK1064*EXP($AL1064*3),$AK1064*(1+$AJ1064*$AL1064*3)^(1/$AJ1064)))</f>
        <v/>
      </c>
      <c r="AP1064">
        <f>IF($AJ1064="","",IF($AJ1064=0,$AK1064*EXP($AL1064*-2),$AK1064*(1+$AJ1064*$AL1064*-2)^(1/$AJ1064)))</f>
        <v/>
      </c>
      <c r="AQ1064">
        <f>IF($AJ1064="","",IF($AJ1064=0,$AK1064*EXP($AL1064*-3),$AK1064*(1+$AJ1064*$AL1064*-3)^(1/$AJ1064)))</f>
        <v/>
      </c>
      <c r="AR1064">
        <f>IF(OR($X1064="",$T1064&gt;60),"",IFERROR(INDEX(IF($T1064&lt;24,pcomp_l,palt_l),MATCH($X1064,IF($T1064&lt;24,pcomp_k,palt_k),1)),""))</f>
        <v/>
      </c>
      <c r="AS1064">
        <f>IF(OR($X1064="",$T1064&gt;60),"",IFERROR(INDEX(IF($T1064&lt;24,pcomp_m,palt_m),MATCH($X1064,IF($T1064&lt;24,pcomp_k,palt_k),1)),""))</f>
        <v/>
      </c>
      <c r="AT1064">
        <f>IF(OR($X1064="",$T1064&gt;60),"",IFERROR(INDEX(IF($T1064&lt;24,pcomp_s,palt_s),MATCH($X1064,IF($T1064&lt;24,pcomp_k,palt_k),1)),""))</f>
        <v/>
      </c>
      <c r="AU1064">
        <f>IF($AR1064="","",IF($AR1064=0,LN($F1064/$AS1064)/$AT1064,((($F1064/$AS1064)^$AR1064)-1)/($AR1064*$AT1064)))</f>
        <v/>
      </c>
      <c r="AV1064">
        <f>IF($AR1064="","",IF($AR1064=0,$AS1064*EXP($AT1064*2),$AS1064*(1+$AR1064*$AT1064*2)^(1/$AR1064)))</f>
        <v/>
      </c>
      <c r="AW1064">
        <f>IF($AR1064="","",IF($AR1064=0,$AS1064*EXP($AT1064*3),$AS1064*(1+$AR1064*$AT1064*3)^(1/$AR1064)))</f>
        <v/>
      </c>
      <c r="AX1064">
        <f>IF($AR1064="","",IF($AR1064=0,$AS1064*EXP($AT1064*-2),$AS1064*(1+$AR1064*$AT1064*-2)^(1/$AR1064)))</f>
        <v/>
      </c>
      <c r="AY1064">
        <f>IF($AR1064="","",IF($AR1064=0,$AS1064*EXP($AT1064*-3),$AS1064*(1+$AR1064*$AT1064*-3)^(1/$AR1064)))</f>
        <v/>
      </c>
      <c r="AZ1064">
        <f>IF(OR($A1064="",$A1064&lt;&gt;Ficha!$C$4),"",COUNTIF($A$2:$A1064,Ficha!$C$4))</f>
        <v/>
      </c>
    </row>
    <row r="1065">
      <c r="A1065" s="8">
        <f>IF(INDEX(Banco!$A:$A,ROW())="","",INDEX(Banco!$A:$A,ROW()))</f>
        <v/>
      </c>
      <c r="B1065" s="8">
        <f>IF(INDEX(Banco!$B:$B,ROW())="","",INDEX(Banco!$B:$B,ROW()))</f>
        <v/>
      </c>
      <c r="C1065" s="8">
        <f>IF(INDEX(Banco!$C:$C,ROW())="","",INDEX(Banco!$C:$C,ROW()))</f>
        <v/>
      </c>
      <c r="D1065" s="9">
        <f>IF(INDEX(Banco!$D:$D,ROW())="","",INDEX(Banco!$D:$D,ROW()))</f>
        <v/>
      </c>
      <c r="E1065" s="9">
        <f>IF(INDEX(Banco!$E:$E,ROW())="","",INDEX(Banco!$E:$E,ROW()))</f>
        <v/>
      </c>
      <c r="F1065" s="10">
        <f>IF(INDEX(Banco!$F:$F,ROW())="","",INDEX(Banco!$F:$F,ROW()))</f>
        <v/>
      </c>
      <c r="G1065" s="10">
        <f>IF(INDEX(Banco!$G:$G,ROW())="","",INDEX(Banco!$G:$G,ROW()))</f>
        <v/>
      </c>
      <c r="H1065" s="8">
        <f>IF(INDEX(Banco!$H:$H,ROW())="","",INDEX(Banco!$H:$H,ROW()))</f>
        <v/>
      </c>
      <c r="I1065">
        <f>IF($T1065="","",INT($T1065/12)&amp;"a "&amp;MOD($T1065,12)&amp;"m")</f>
        <v/>
      </c>
      <c r="J1065" s="11">
        <f>IF(OR($F1065="",$G1065=""),"",ROUND($F1065/($G1065/100)^2,2))</f>
        <v/>
      </c>
      <c r="K1065" s="12">
        <f>IF(OR($S1065="",$J1065="",$T1065="",$T1065&lt;0,$T1065&gt;228,$Y1065=""),"—",ROUND(IF(ABS($AB1065)&lt;=3,$AB1065,IF($AB1065&gt;3,3+($J1065-$AD1065)/($AD1065-$AC1065),-3+($J1065-$AF1065)/($AE1065-$AF1065))),2))</f>
        <v/>
      </c>
      <c r="L1065">
        <f>IF(OR($K1065="",$K1065="—"),"",IF($T1065&lt;=60,IF($K1065&lt;-3,"Magreza acentuada",IF($K1065&lt;-2,"Magreza",IF($K1065&lt;=1,"Eutrofia",IF($K1065&lt;=2,"Risco de sobrepeso",IF($K1065&lt;=3,"Sobrepeso","Obesidade"))))),IF($K1065&lt;-3,"Magreza acentuada",IF($K1065&lt;-2,"Magreza",IF($K1065&lt;=1,"Eutrofia",IF($K1065&lt;=2,"Sobrepeso",IF($K1065&lt;=3,"Obesidade","Obesidade grave")))))))</f>
        <v/>
      </c>
      <c r="M1065" s="12">
        <f>IF(OR($S1065="",$V1065="",$T1065="",$T1065&lt;0,$T1065&gt;228,$AG1065=""),"—",ROUND(IF($AG1065=0,LN($V1065/$AH1065)/$AI1065,((($V1065/$AH1065)^$AG1065)-1)/($AG1065*$AI1065)),2))</f>
        <v/>
      </c>
      <c r="N1065">
        <f>IF(OR($M1065="",$M1065="—"),"",IF($M1065&lt;-3,"Muito baixa",IF($M1065&lt;-2,"Baixa","Adequada")))</f>
        <v/>
      </c>
      <c r="O1065" s="12">
        <f>IF(OR($S1065="",$F1065="",$T1065="",$T1065&lt;0,$T1065&gt;120,$AJ1065=""),"—",ROUND(IF(ABS($AM1065)&lt;=3,$AM1065,IF($AM1065&gt;3,3+($F1065-$AO1065)/($AO1065-$AN1065),-3+($F1065-$AQ1065)/($AP1065-$AQ1065))),2))</f>
        <v/>
      </c>
      <c r="P1065">
        <f>IF(OR($O1065="",$O1065="—"),"",IF($O1065&lt;-3,"Muito baixo",IF($O1065&lt;-2,"Baixo",IF($O1065&lt;=2,"Adequado","Elevado"))))</f>
        <v/>
      </c>
      <c r="Q1065" s="12">
        <f>IF(OR($S1065="",$F1065="",$T1065="",$T1065&lt;0,$T1065&gt;60,$AR1065=""),"—",ROUND(IF(ABS($AU1065)&lt;=3,$AU1065,IF($AU1065&gt;3,3+($F1065-$AW1065)/($AW1065-$AV1065),-3+($F1065-$AY1065)/($AX1065-$AY1065))),2))</f>
        <v/>
      </c>
      <c r="R1065">
        <f>IF(OR($Q1065="",$Q1065="—"),"",IF($Q1065&lt;-3,"Magreza acentuada",IF($Q1065&lt;-2,"Magreza",IF($Q1065&lt;=1,"Eutrofia",IF($Q1065&lt;=2,"Risco de sobrepeso",IF($Q1065&lt;=3,"Sobrepeso","Obesidade"))))))</f>
        <v/>
      </c>
      <c r="S1065">
        <f>IF($C1065="","",IF(UPPER(LEFT($C1065,1))="M",1,IF(UPPER(LEFT($C1065,1))="F",2,"")))</f>
        <v/>
      </c>
      <c r="T1065">
        <f>IF(OR($D1065="",$E1065=""),"",DATEDIF($D1065,$E1065,"m"))</f>
        <v/>
      </c>
      <c r="U1065">
        <f>IF(OR($D1065="",$E1065=""),"",$E1065-$D1065)</f>
        <v/>
      </c>
      <c r="V1065">
        <f>IF(OR($G1065="",$T1065=""),"",IF($T1065&lt;24,IF(LEFT(LOWER($H1065),4)="em p",$G1065+0.7,$G1065),IF(LEFT(LOWER($H1065),4)="deit",$G1065-0.7,$G1065)))</f>
        <v/>
      </c>
      <c r="W1065">
        <f>IF(OR($S1065="",$T1065=""),"",$S1065*1000000+IF($T1065&lt;=60,$U1065,$T1065))</f>
        <v/>
      </c>
      <c r="X1065">
        <f>IF(OR($S1065="",$V1065="",$T1065&gt;60,$T1065=""),"",$S1065*1000000+ROUND($V1065*10,0))</f>
        <v/>
      </c>
      <c r="Y1065">
        <f>IF($W1065="","",IFERROR(INDEX(IF($T1065&lt;=60,imc05_l,imc519_l),MATCH($W1065,IF($T1065&lt;=60,imc05_k,imc519_k),1)),""))</f>
        <v/>
      </c>
      <c r="Z1065">
        <f>IF($W1065="","",IFERROR(INDEX(IF($T1065&lt;=60,imc05_m,imc519_m),MATCH($W1065,IF($T1065&lt;=60,imc05_k,imc519_k),1)),""))</f>
        <v/>
      </c>
      <c r="AA1065">
        <f>IF($W1065="","",IFERROR(INDEX(IF($T1065&lt;=60,imc05_s,imc519_s),MATCH($W1065,IF($T1065&lt;=60,imc05_k,imc519_k),1)),""))</f>
        <v/>
      </c>
      <c r="AB1065">
        <f>IF($Y1065="","",IF($Y1065=0,LN($J1065/$Z1065)/$AA1065,((($J1065/$Z1065)^$Y1065)-1)/($Y1065*$AA1065)))</f>
        <v/>
      </c>
      <c r="AC1065">
        <f>IF($Y1065="","",IF($Y1065=0,$Z1065*EXP($AA1065*2),$Z1065*(1+$Y1065*$AA1065*2)^(1/$Y1065)))</f>
        <v/>
      </c>
      <c r="AD1065">
        <f>IF($Y1065="","",IF($Y1065=0,$Z1065*EXP($AA1065*3),$Z1065*(1+$Y1065*$AA1065*3)^(1/$Y1065)))</f>
        <v/>
      </c>
      <c r="AE1065">
        <f>IF($Y1065="","",IF($Y1065=0,$Z1065*EXP($AA1065*-2),$Z1065*(1+$Y1065*$AA1065*-2)^(1/$Y1065)))</f>
        <v/>
      </c>
      <c r="AF1065">
        <f>IF($Y1065="","",IF($Y1065=0,$Z1065*EXP($AA1065*-3),$Z1065*(1+$Y1065*$AA1065*-3)^(1/$Y1065)))</f>
        <v/>
      </c>
      <c r="AG1065">
        <f>IF($W1065="","",IFERROR(INDEX(IF($T1065&lt;=60,est05_l,est519_l),MATCH($W1065,IF($T1065&lt;=60,est05_k,est519_k),1)),""))</f>
        <v/>
      </c>
      <c r="AH1065">
        <f>IF($W1065="","",IFERROR(INDEX(IF($T1065&lt;=60,est05_m,est519_m),MATCH($W1065,IF($T1065&lt;=60,est05_k,est519_k),1)),""))</f>
        <v/>
      </c>
      <c r="AI1065">
        <f>IF($W1065="","",IFERROR(INDEX(IF($T1065&lt;=60,est05_s,est519_s),MATCH($W1065,IF($T1065&lt;=60,est05_k,est519_k),1)),""))</f>
        <v/>
      </c>
      <c r="AJ1065">
        <f>IF($W1065="","",IFERROR(INDEX(IF($T1065&lt;=60,peso05_l,peso510_l),MATCH($W1065,IF($T1065&lt;=60,peso05_k,peso510_k),1)),""))</f>
        <v/>
      </c>
      <c r="AK1065">
        <f>IF($W1065="","",IFERROR(INDEX(IF($T1065&lt;=60,peso05_m,peso510_m),MATCH($W1065,IF($T1065&lt;=60,peso05_k,peso510_k),1)),""))</f>
        <v/>
      </c>
      <c r="AL1065">
        <f>IF($W1065="","",IFERROR(INDEX(IF($T1065&lt;=60,peso05_s,peso510_s),MATCH($W1065,IF($T1065&lt;=60,peso05_k,peso510_k),1)),""))</f>
        <v/>
      </c>
      <c r="AM1065">
        <f>IF($AJ1065="","",IF($AJ1065=0,LN($F1065/$AK1065)/$AL1065,((($F1065/$AK1065)^$AJ1065)-1)/($AJ1065*$AL1065)))</f>
        <v/>
      </c>
      <c r="AN1065">
        <f>IF($AJ1065="","",IF($AJ1065=0,$AK1065*EXP($AL1065*2),$AK1065*(1+$AJ1065*$AL1065*2)^(1/$AJ1065)))</f>
        <v/>
      </c>
      <c r="AO1065">
        <f>IF($AJ1065="","",IF($AJ1065=0,$AK1065*EXP($AL1065*3),$AK1065*(1+$AJ1065*$AL1065*3)^(1/$AJ1065)))</f>
        <v/>
      </c>
      <c r="AP1065">
        <f>IF($AJ1065="","",IF($AJ1065=0,$AK1065*EXP($AL1065*-2),$AK1065*(1+$AJ1065*$AL1065*-2)^(1/$AJ1065)))</f>
        <v/>
      </c>
      <c r="AQ1065">
        <f>IF($AJ1065="","",IF($AJ1065=0,$AK1065*EXP($AL1065*-3),$AK1065*(1+$AJ1065*$AL1065*-3)^(1/$AJ1065)))</f>
        <v/>
      </c>
      <c r="AR1065">
        <f>IF(OR($X1065="",$T1065&gt;60),"",IFERROR(INDEX(IF($T1065&lt;24,pcomp_l,palt_l),MATCH($X1065,IF($T1065&lt;24,pcomp_k,palt_k),1)),""))</f>
        <v/>
      </c>
      <c r="AS1065">
        <f>IF(OR($X1065="",$T1065&gt;60),"",IFERROR(INDEX(IF($T1065&lt;24,pcomp_m,palt_m),MATCH($X1065,IF($T1065&lt;24,pcomp_k,palt_k),1)),""))</f>
        <v/>
      </c>
      <c r="AT1065">
        <f>IF(OR($X1065="",$T1065&gt;60),"",IFERROR(INDEX(IF($T1065&lt;24,pcomp_s,palt_s),MATCH($X1065,IF($T1065&lt;24,pcomp_k,palt_k),1)),""))</f>
        <v/>
      </c>
      <c r="AU1065">
        <f>IF($AR1065="","",IF($AR1065=0,LN($F1065/$AS1065)/$AT1065,((($F1065/$AS1065)^$AR1065)-1)/($AR1065*$AT1065)))</f>
        <v/>
      </c>
      <c r="AV1065">
        <f>IF($AR1065="","",IF($AR1065=0,$AS1065*EXP($AT1065*2),$AS1065*(1+$AR1065*$AT1065*2)^(1/$AR1065)))</f>
        <v/>
      </c>
      <c r="AW1065">
        <f>IF($AR1065="","",IF($AR1065=0,$AS1065*EXP($AT1065*3),$AS1065*(1+$AR1065*$AT1065*3)^(1/$AR1065)))</f>
        <v/>
      </c>
      <c r="AX1065">
        <f>IF($AR1065="","",IF($AR1065=0,$AS1065*EXP($AT1065*-2),$AS1065*(1+$AR1065*$AT1065*-2)^(1/$AR1065)))</f>
        <v/>
      </c>
      <c r="AY1065">
        <f>IF($AR1065="","",IF($AR1065=0,$AS1065*EXP($AT1065*-3),$AS1065*(1+$AR1065*$AT1065*-3)^(1/$AR1065)))</f>
        <v/>
      </c>
      <c r="AZ1065">
        <f>IF(OR($A1065="",$A1065&lt;&gt;Ficha!$C$4),"",COUNTIF($A$2:$A1065,Ficha!$C$4))</f>
        <v/>
      </c>
    </row>
    <row r="1066">
      <c r="A1066" s="8">
        <f>IF(INDEX(Banco!$A:$A,ROW())="","",INDEX(Banco!$A:$A,ROW()))</f>
        <v/>
      </c>
      <c r="B1066" s="8">
        <f>IF(INDEX(Banco!$B:$B,ROW())="","",INDEX(Banco!$B:$B,ROW()))</f>
        <v/>
      </c>
      <c r="C1066" s="8">
        <f>IF(INDEX(Banco!$C:$C,ROW())="","",INDEX(Banco!$C:$C,ROW()))</f>
        <v/>
      </c>
      <c r="D1066" s="9">
        <f>IF(INDEX(Banco!$D:$D,ROW())="","",INDEX(Banco!$D:$D,ROW()))</f>
        <v/>
      </c>
      <c r="E1066" s="9">
        <f>IF(INDEX(Banco!$E:$E,ROW())="","",INDEX(Banco!$E:$E,ROW()))</f>
        <v/>
      </c>
      <c r="F1066" s="10">
        <f>IF(INDEX(Banco!$F:$F,ROW())="","",INDEX(Banco!$F:$F,ROW()))</f>
        <v/>
      </c>
      <c r="G1066" s="10">
        <f>IF(INDEX(Banco!$G:$G,ROW())="","",INDEX(Banco!$G:$G,ROW()))</f>
        <v/>
      </c>
      <c r="H1066" s="8">
        <f>IF(INDEX(Banco!$H:$H,ROW())="","",INDEX(Banco!$H:$H,ROW()))</f>
        <v/>
      </c>
      <c r="I1066">
        <f>IF($T1066="","",INT($T1066/12)&amp;"a "&amp;MOD($T1066,12)&amp;"m")</f>
        <v/>
      </c>
      <c r="J1066" s="11">
        <f>IF(OR($F1066="",$G1066=""),"",ROUND($F1066/($G1066/100)^2,2))</f>
        <v/>
      </c>
      <c r="K1066" s="12">
        <f>IF(OR($S1066="",$J1066="",$T1066="",$T1066&lt;0,$T1066&gt;228,$Y1066=""),"—",ROUND(IF(ABS($AB1066)&lt;=3,$AB1066,IF($AB1066&gt;3,3+($J1066-$AD1066)/($AD1066-$AC1066),-3+($J1066-$AF1066)/($AE1066-$AF1066))),2))</f>
        <v/>
      </c>
      <c r="L1066">
        <f>IF(OR($K1066="",$K1066="—"),"",IF($T1066&lt;=60,IF($K1066&lt;-3,"Magreza acentuada",IF($K1066&lt;-2,"Magreza",IF($K1066&lt;=1,"Eutrofia",IF($K1066&lt;=2,"Risco de sobrepeso",IF($K1066&lt;=3,"Sobrepeso","Obesidade"))))),IF($K1066&lt;-3,"Magreza acentuada",IF($K1066&lt;-2,"Magreza",IF($K1066&lt;=1,"Eutrofia",IF($K1066&lt;=2,"Sobrepeso",IF($K1066&lt;=3,"Obesidade","Obesidade grave")))))))</f>
        <v/>
      </c>
      <c r="M1066" s="12">
        <f>IF(OR($S1066="",$V1066="",$T1066="",$T1066&lt;0,$T1066&gt;228,$AG1066=""),"—",ROUND(IF($AG1066=0,LN($V1066/$AH1066)/$AI1066,((($V1066/$AH1066)^$AG1066)-1)/($AG1066*$AI1066)),2))</f>
        <v/>
      </c>
      <c r="N1066">
        <f>IF(OR($M1066="",$M1066="—"),"",IF($M1066&lt;-3,"Muito baixa",IF($M1066&lt;-2,"Baixa","Adequada")))</f>
        <v/>
      </c>
      <c r="O1066" s="12">
        <f>IF(OR($S1066="",$F1066="",$T1066="",$T1066&lt;0,$T1066&gt;120,$AJ1066=""),"—",ROUND(IF(ABS($AM1066)&lt;=3,$AM1066,IF($AM1066&gt;3,3+($F1066-$AO1066)/($AO1066-$AN1066),-3+($F1066-$AQ1066)/($AP1066-$AQ1066))),2))</f>
        <v/>
      </c>
      <c r="P1066">
        <f>IF(OR($O1066="",$O1066="—"),"",IF($O1066&lt;-3,"Muito baixo",IF($O1066&lt;-2,"Baixo",IF($O1066&lt;=2,"Adequado","Elevado"))))</f>
        <v/>
      </c>
      <c r="Q1066" s="12">
        <f>IF(OR($S1066="",$F1066="",$T1066="",$T1066&lt;0,$T1066&gt;60,$AR1066=""),"—",ROUND(IF(ABS($AU1066)&lt;=3,$AU1066,IF($AU1066&gt;3,3+($F1066-$AW1066)/($AW1066-$AV1066),-3+($F1066-$AY1066)/($AX1066-$AY1066))),2))</f>
        <v/>
      </c>
      <c r="R1066">
        <f>IF(OR($Q1066="",$Q1066="—"),"",IF($Q1066&lt;-3,"Magreza acentuada",IF($Q1066&lt;-2,"Magreza",IF($Q1066&lt;=1,"Eutrofia",IF($Q1066&lt;=2,"Risco de sobrepeso",IF($Q1066&lt;=3,"Sobrepeso","Obesidade"))))))</f>
        <v/>
      </c>
      <c r="S1066">
        <f>IF($C1066="","",IF(UPPER(LEFT($C1066,1))="M",1,IF(UPPER(LEFT($C1066,1))="F",2,"")))</f>
        <v/>
      </c>
      <c r="T1066">
        <f>IF(OR($D1066="",$E1066=""),"",DATEDIF($D1066,$E1066,"m"))</f>
        <v/>
      </c>
      <c r="U1066">
        <f>IF(OR($D1066="",$E1066=""),"",$E1066-$D1066)</f>
        <v/>
      </c>
      <c r="V1066">
        <f>IF(OR($G1066="",$T1066=""),"",IF($T1066&lt;24,IF(LEFT(LOWER($H1066),4)="em p",$G1066+0.7,$G1066),IF(LEFT(LOWER($H1066),4)="deit",$G1066-0.7,$G1066)))</f>
        <v/>
      </c>
      <c r="W1066">
        <f>IF(OR($S1066="",$T1066=""),"",$S1066*1000000+IF($T1066&lt;=60,$U1066,$T1066))</f>
        <v/>
      </c>
      <c r="X1066">
        <f>IF(OR($S1066="",$V1066="",$T1066&gt;60,$T1066=""),"",$S1066*1000000+ROUND($V1066*10,0))</f>
        <v/>
      </c>
      <c r="Y1066">
        <f>IF($W1066="","",IFERROR(INDEX(IF($T1066&lt;=60,imc05_l,imc519_l),MATCH($W1066,IF($T1066&lt;=60,imc05_k,imc519_k),1)),""))</f>
        <v/>
      </c>
      <c r="Z1066">
        <f>IF($W1066="","",IFERROR(INDEX(IF($T1066&lt;=60,imc05_m,imc519_m),MATCH($W1066,IF($T1066&lt;=60,imc05_k,imc519_k),1)),""))</f>
        <v/>
      </c>
      <c r="AA1066">
        <f>IF($W1066="","",IFERROR(INDEX(IF($T1066&lt;=60,imc05_s,imc519_s),MATCH($W1066,IF($T1066&lt;=60,imc05_k,imc519_k),1)),""))</f>
        <v/>
      </c>
      <c r="AB1066">
        <f>IF($Y1066="","",IF($Y1066=0,LN($J1066/$Z1066)/$AA1066,((($J1066/$Z1066)^$Y1066)-1)/($Y1066*$AA1066)))</f>
        <v/>
      </c>
      <c r="AC1066">
        <f>IF($Y1066="","",IF($Y1066=0,$Z1066*EXP($AA1066*2),$Z1066*(1+$Y1066*$AA1066*2)^(1/$Y1066)))</f>
        <v/>
      </c>
      <c r="AD1066">
        <f>IF($Y1066="","",IF($Y1066=0,$Z1066*EXP($AA1066*3),$Z1066*(1+$Y1066*$AA1066*3)^(1/$Y1066)))</f>
        <v/>
      </c>
      <c r="AE1066">
        <f>IF($Y1066="","",IF($Y1066=0,$Z1066*EXP($AA1066*-2),$Z1066*(1+$Y1066*$AA1066*-2)^(1/$Y1066)))</f>
        <v/>
      </c>
      <c r="AF1066">
        <f>IF($Y1066="","",IF($Y1066=0,$Z1066*EXP($AA1066*-3),$Z1066*(1+$Y1066*$AA1066*-3)^(1/$Y1066)))</f>
        <v/>
      </c>
      <c r="AG1066">
        <f>IF($W1066="","",IFERROR(INDEX(IF($T1066&lt;=60,est05_l,est519_l),MATCH($W1066,IF($T1066&lt;=60,est05_k,est519_k),1)),""))</f>
        <v/>
      </c>
      <c r="AH1066">
        <f>IF($W1066="","",IFERROR(INDEX(IF($T1066&lt;=60,est05_m,est519_m),MATCH($W1066,IF($T1066&lt;=60,est05_k,est519_k),1)),""))</f>
        <v/>
      </c>
      <c r="AI1066">
        <f>IF($W1066="","",IFERROR(INDEX(IF($T1066&lt;=60,est05_s,est519_s),MATCH($W1066,IF($T1066&lt;=60,est05_k,est519_k),1)),""))</f>
        <v/>
      </c>
      <c r="AJ1066">
        <f>IF($W1066="","",IFERROR(INDEX(IF($T1066&lt;=60,peso05_l,peso510_l),MATCH($W1066,IF($T1066&lt;=60,peso05_k,peso510_k),1)),""))</f>
        <v/>
      </c>
      <c r="AK1066">
        <f>IF($W1066="","",IFERROR(INDEX(IF($T1066&lt;=60,peso05_m,peso510_m),MATCH($W1066,IF($T1066&lt;=60,peso05_k,peso510_k),1)),""))</f>
        <v/>
      </c>
      <c r="AL1066">
        <f>IF($W1066="","",IFERROR(INDEX(IF($T1066&lt;=60,peso05_s,peso510_s),MATCH($W1066,IF($T1066&lt;=60,peso05_k,peso510_k),1)),""))</f>
        <v/>
      </c>
      <c r="AM1066">
        <f>IF($AJ1066="","",IF($AJ1066=0,LN($F1066/$AK1066)/$AL1066,((($F1066/$AK1066)^$AJ1066)-1)/($AJ1066*$AL1066)))</f>
        <v/>
      </c>
      <c r="AN1066">
        <f>IF($AJ1066="","",IF($AJ1066=0,$AK1066*EXP($AL1066*2),$AK1066*(1+$AJ1066*$AL1066*2)^(1/$AJ1066)))</f>
        <v/>
      </c>
      <c r="AO1066">
        <f>IF($AJ1066="","",IF($AJ1066=0,$AK1066*EXP($AL1066*3),$AK1066*(1+$AJ1066*$AL1066*3)^(1/$AJ1066)))</f>
        <v/>
      </c>
      <c r="AP1066">
        <f>IF($AJ1066="","",IF($AJ1066=0,$AK1066*EXP($AL1066*-2),$AK1066*(1+$AJ1066*$AL1066*-2)^(1/$AJ1066)))</f>
        <v/>
      </c>
      <c r="AQ1066">
        <f>IF($AJ1066="","",IF($AJ1066=0,$AK1066*EXP($AL1066*-3),$AK1066*(1+$AJ1066*$AL1066*-3)^(1/$AJ1066)))</f>
        <v/>
      </c>
      <c r="AR1066">
        <f>IF(OR($X1066="",$T1066&gt;60),"",IFERROR(INDEX(IF($T1066&lt;24,pcomp_l,palt_l),MATCH($X1066,IF($T1066&lt;24,pcomp_k,palt_k),1)),""))</f>
        <v/>
      </c>
      <c r="AS1066">
        <f>IF(OR($X1066="",$T1066&gt;60),"",IFERROR(INDEX(IF($T1066&lt;24,pcomp_m,palt_m),MATCH($X1066,IF($T1066&lt;24,pcomp_k,palt_k),1)),""))</f>
        <v/>
      </c>
      <c r="AT1066">
        <f>IF(OR($X1066="",$T1066&gt;60),"",IFERROR(INDEX(IF($T1066&lt;24,pcomp_s,palt_s),MATCH($X1066,IF($T1066&lt;24,pcomp_k,palt_k),1)),""))</f>
        <v/>
      </c>
      <c r="AU1066">
        <f>IF($AR1066="","",IF($AR1066=0,LN($F1066/$AS1066)/$AT1066,((($F1066/$AS1066)^$AR1066)-1)/($AR1066*$AT1066)))</f>
        <v/>
      </c>
      <c r="AV1066">
        <f>IF($AR1066="","",IF($AR1066=0,$AS1066*EXP($AT1066*2),$AS1066*(1+$AR1066*$AT1066*2)^(1/$AR1066)))</f>
        <v/>
      </c>
      <c r="AW1066">
        <f>IF($AR1066="","",IF($AR1066=0,$AS1066*EXP($AT1066*3),$AS1066*(1+$AR1066*$AT1066*3)^(1/$AR1066)))</f>
        <v/>
      </c>
      <c r="AX1066">
        <f>IF($AR1066="","",IF($AR1066=0,$AS1066*EXP($AT1066*-2),$AS1066*(1+$AR1066*$AT1066*-2)^(1/$AR1066)))</f>
        <v/>
      </c>
      <c r="AY1066">
        <f>IF($AR1066="","",IF($AR1066=0,$AS1066*EXP($AT1066*-3),$AS1066*(1+$AR1066*$AT1066*-3)^(1/$AR1066)))</f>
        <v/>
      </c>
      <c r="AZ1066">
        <f>IF(OR($A1066="",$A1066&lt;&gt;Ficha!$C$4),"",COUNTIF($A$2:$A1066,Ficha!$C$4))</f>
        <v/>
      </c>
    </row>
    <row r="1067">
      <c r="A1067" s="8">
        <f>IF(INDEX(Banco!$A:$A,ROW())="","",INDEX(Banco!$A:$A,ROW()))</f>
        <v/>
      </c>
      <c r="B1067" s="8">
        <f>IF(INDEX(Banco!$B:$B,ROW())="","",INDEX(Banco!$B:$B,ROW()))</f>
        <v/>
      </c>
      <c r="C1067" s="8">
        <f>IF(INDEX(Banco!$C:$C,ROW())="","",INDEX(Banco!$C:$C,ROW()))</f>
        <v/>
      </c>
      <c r="D1067" s="9">
        <f>IF(INDEX(Banco!$D:$D,ROW())="","",INDEX(Banco!$D:$D,ROW()))</f>
        <v/>
      </c>
      <c r="E1067" s="9">
        <f>IF(INDEX(Banco!$E:$E,ROW())="","",INDEX(Banco!$E:$E,ROW()))</f>
        <v/>
      </c>
      <c r="F1067" s="10">
        <f>IF(INDEX(Banco!$F:$F,ROW())="","",INDEX(Banco!$F:$F,ROW()))</f>
        <v/>
      </c>
      <c r="G1067" s="10">
        <f>IF(INDEX(Banco!$G:$G,ROW())="","",INDEX(Banco!$G:$G,ROW()))</f>
        <v/>
      </c>
      <c r="H1067" s="8">
        <f>IF(INDEX(Banco!$H:$H,ROW())="","",INDEX(Banco!$H:$H,ROW()))</f>
        <v/>
      </c>
      <c r="I1067">
        <f>IF($T1067="","",INT($T1067/12)&amp;"a "&amp;MOD($T1067,12)&amp;"m")</f>
        <v/>
      </c>
      <c r="J1067" s="11">
        <f>IF(OR($F1067="",$G1067=""),"",ROUND($F1067/($G1067/100)^2,2))</f>
        <v/>
      </c>
      <c r="K1067" s="12">
        <f>IF(OR($S1067="",$J1067="",$T1067="",$T1067&lt;0,$T1067&gt;228,$Y1067=""),"—",ROUND(IF(ABS($AB1067)&lt;=3,$AB1067,IF($AB1067&gt;3,3+($J1067-$AD1067)/($AD1067-$AC1067),-3+($J1067-$AF1067)/($AE1067-$AF1067))),2))</f>
        <v/>
      </c>
      <c r="L1067">
        <f>IF(OR($K1067="",$K1067="—"),"",IF($T1067&lt;=60,IF($K1067&lt;-3,"Magreza acentuada",IF($K1067&lt;-2,"Magreza",IF($K1067&lt;=1,"Eutrofia",IF($K1067&lt;=2,"Risco de sobrepeso",IF($K1067&lt;=3,"Sobrepeso","Obesidade"))))),IF($K1067&lt;-3,"Magreza acentuada",IF($K1067&lt;-2,"Magreza",IF($K1067&lt;=1,"Eutrofia",IF($K1067&lt;=2,"Sobrepeso",IF($K1067&lt;=3,"Obesidade","Obesidade grave")))))))</f>
        <v/>
      </c>
      <c r="M1067" s="12">
        <f>IF(OR($S1067="",$V1067="",$T1067="",$T1067&lt;0,$T1067&gt;228,$AG1067=""),"—",ROUND(IF($AG1067=0,LN($V1067/$AH1067)/$AI1067,((($V1067/$AH1067)^$AG1067)-1)/($AG1067*$AI1067)),2))</f>
        <v/>
      </c>
      <c r="N1067">
        <f>IF(OR($M1067="",$M1067="—"),"",IF($M1067&lt;-3,"Muito baixa",IF($M1067&lt;-2,"Baixa","Adequada")))</f>
        <v/>
      </c>
      <c r="O1067" s="12">
        <f>IF(OR($S1067="",$F1067="",$T1067="",$T1067&lt;0,$T1067&gt;120,$AJ1067=""),"—",ROUND(IF(ABS($AM1067)&lt;=3,$AM1067,IF($AM1067&gt;3,3+($F1067-$AO1067)/($AO1067-$AN1067),-3+($F1067-$AQ1067)/($AP1067-$AQ1067))),2))</f>
        <v/>
      </c>
      <c r="P1067">
        <f>IF(OR($O1067="",$O1067="—"),"",IF($O1067&lt;-3,"Muito baixo",IF($O1067&lt;-2,"Baixo",IF($O1067&lt;=2,"Adequado","Elevado"))))</f>
        <v/>
      </c>
      <c r="Q1067" s="12">
        <f>IF(OR($S1067="",$F1067="",$T1067="",$T1067&lt;0,$T1067&gt;60,$AR1067=""),"—",ROUND(IF(ABS($AU1067)&lt;=3,$AU1067,IF($AU1067&gt;3,3+($F1067-$AW1067)/($AW1067-$AV1067),-3+($F1067-$AY1067)/($AX1067-$AY1067))),2))</f>
        <v/>
      </c>
      <c r="R1067">
        <f>IF(OR($Q1067="",$Q1067="—"),"",IF($Q1067&lt;-3,"Magreza acentuada",IF($Q1067&lt;-2,"Magreza",IF($Q1067&lt;=1,"Eutrofia",IF($Q1067&lt;=2,"Risco de sobrepeso",IF($Q1067&lt;=3,"Sobrepeso","Obesidade"))))))</f>
        <v/>
      </c>
      <c r="S1067">
        <f>IF($C1067="","",IF(UPPER(LEFT($C1067,1))="M",1,IF(UPPER(LEFT($C1067,1))="F",2,"")))</f>
        <v/>
      </c>
      <c r="T1067">
        <f>IF(OR($D1067="",$E1067=""),"",DATEDIF($D1067,$E1067,"m"))</f>
        <v/>
      </c>
      <c r="U1067">
        <f>IF(OR($D1067="",$E1067=""),"",$E1067-$D1067)</f>
        <v/>
      </c>
      <c r="V1067">
        <f>IF(OR($G1067="",$T1067=""),"",IF($T1067&lt;24,IF(LEFT(LOWER($H1067),4)="em p",$G1067+0.7,$G1067),IF(LEFT(LOWER($H1067),4)="deit",$G1067-0.7,$G1067)))</f>
        <v/>
      </c>
      <c r="W1067">
        <f>IF(OR($S1067="",$T1067=""),"",$S1067*1000000+IF($T1067&lt;=60,$U1067,$T1067))</f>
        <v/>
      </c>
      <c r="X1067">
        <f>IF(OR($S1067="",$V1067="",$T1067&gt;60,$T1067=""),"",$S1067*1000000+ROUND($V1067*10,0))</f>
        <v/>
      </c>
      <c r="Y1067">
        <f>IF($W1067="","",IFERROR(INDEX(IF($T1067&lt;=60,imc05_l,imc519_l),MATCH($W1067,IF($T1067&lt;=60,imc05_k,imc519_k),1)),""))</f>
        <v/>
      </c>
      <c r="Z1067">
        <f>IF($W1067="","",IFERROR(INDEX(IF($T1067&lt;=60,imc05_m,imc519_m),MATCH($W1067,IF($T1067&lt;=60,imc05_k,imc519_k),1)),""))</f>
        <v/>
      </c>
      <c r="AA1067">
        <f>IF($W1067="","",IFERROR(INDEX(IF($T1067&lt;=60,imc05_s,imc519_s),MATCH($W1067,IF($T1067&lt;=60,imc05_k,imc519_k),1)),""))</f>
        <v/>
      </c>
      <c r="AB1067">
        <f>IF($Y1067="","",IF($Y1067=0,LN($J1067/$Z1067)/$AA1067,((($J1067/$Z1067)^$Y1067)-1)/($Y1067*$AA1067)))</f>
        <v/>
      </c>
      <c r="AC1067">
        <f>IF($Y1067="","",IF($Y1067=0,$Z1067*EXP($AA1067*2),$Z1067*(1+$Y1067*$AA1067*2)^(1/$Y1067)))</f>
        <v/>
      </c>
      <c r="AD1067">
        <f>IF($Y1067="","",IF($Y1067=0,$Z1067*EXP($AA1067*3),$Z1067*(1+$Y1067*$AA1067*3)^(1/$Y1067)))</f>
        <v/>
      </c>
      <c r="AE1067">
        <f>IF($Y1067="","",IF($Y1067=0,$Z1067*EXP($AA1067*-2),$Z1067*(1+$Y1067*$AA1067*-2)^(1/$Y1067)))</f>
        <v/>
      </c>
      <c r="AF1067">
        <f>IF($Y1067="","",IF($Y1067=0,$Z1067*EXP($AA1067*-3),$Z1067*(1+$Y1067*$AA1067*-3)^(1/$Y1067)))</f>
        <v/>
      </c>
      <c r="AG1067">
        <f>IF($W1067="","",IFERROR(INDEX(IF($T1067&lt;=60,est05_l,est519_l),MATCH($W1067,IF($T1067&lt;=60,est05_k,est519_k),1)),""))</f>
        <v/>
      </c>
      <c r="AH1067">
        <f>IF($W1067="","",IFERROR(INDEX(IF($T1067&lt;=60,est05_m,est519_m),MATCH($W1067,IF($T1067&lt;=60,est05_k,est519_k),1)),""))</f>
        <v/>
      </c>
      <c r="AI1067">
        <f>IF($W1067="","",IFERROR(INDEX(IF($T1067&lt;=60,est05_s,est519_s),MATCH($W1067,IF($T1067&lt;=60,est05_k,est519_k),1)),""))</f>
        <v/>
      </c>
      <c r="AJ1067">
        <f>IF($W1067="","",IFERROR(INDEX(IF($T1067&lt;=60,peso05_l,peso510_l),MATCH($W1067,IF($T1067&lt;=60,peso05_k,peso510_k),1)),""))</f>
        <v/>
      </c>
      <c r="AK1067">
        <f>IF($W1067="","",IFERROR(INDEX(IF($T1067&lt;=60,peso05_m,peso510_m),MATCH($W1067,IF($T1067&lt;=60,peso05_k,peso510_k),1)),""))</f>
        <v/>
      </c>
      <c r="AL1067">
        <f>IF($W1067="","",IFERROR(INDEX(IF($T1067&lt;=60,peso05_s,peso510_s),MATCH($W1067,IF($T1067&lt;=60,peso05_k,peso510_k),1)),""))</f>
        <v/>
      </c>
      <c r="AM1067">
        <f>IF($AJ1067="","",IF($AJ1067=0,LN($F1067/$AK1067)/$AL1067,((($F1067/$AK1067)^$AJ1067)-1)/($AJ1067*$AL1067)))</f>
        <v/>
      </c>
      <c r="AN1067">
        <f>IF($AJ1067="","",IF($AJ1067=0,$AK1067*EXP($AL1067*2),$AK1067*(1+$AJ1067*$AL1067*2)^(1/$AJ1067)))</f>
        <v/>
      </c>
      <c r="AO1067">
        <f>IF($AJ1067="","",IF($AJ1067=0,$AK1067*EXP($AL1067*3),$AK1067*(1+$AJ1067*$AL1067*3)^(1/$AJ1067)))</f>
        <v/>
      </c>
      <c r="AP1067">
        <f>IF($AJ1067="","",IF($AJ1067=0,$AK1067*EXP($AL1067*-2),$AK1067*(1+$AJ1067*$AL1067*-2)^(1/$AJ1067)))</f>
        <v/>
      </c>
      <c r="AQ1067">
        <f>IF($AJ1067="","",IF($AJ1067=0,$AK1067*EXP($AL1067*-3),$AK1067*(1+$AJ1067*$AL1067*-3)^(1/$AJ1067)))</f>
        <v/>
      </c>
      <c r="AR1067">
        <f>IF(OR($X1067="",$T1067&gt;60),"",IFERROR(INDEX(IF($T1067&lt;24,pcomp_l,palt_l),MATCH($X1067,IF($T1067&lt;24,pcomp_k,palt_k),1)),""))</f>
        <v/>
      </c>
      <c r="AS1067">
        <f>IF(OR($X1067="",$T1067&gt;60),"",IFERROR(INDEX(IF($T1067&lt;24,pcomp_m,palt_m),MATCH($X1067,IF($T1067&lt;24,pcomp_k,palt_k),1)),""))</f>
        <v/>
      </c>
      <c r="AT1067">
        <f>IF(OR($X1067="",$T1067&gt;60),"",IFERROR(INDEX(IF($T1067&lt;24,pcomp_s,palt_s),MATCH($X1067,IF($T1067&lt;24,pcomp_k,palt_k),1)),""))</f>
        <v/>
      </c>
      <c r="AU1067">
        <f>IF($AR1067="","",IF($AR1067=0,LN($F1067/$AS1067)/$AT1067,((($F1067/$AS1067)^$AR1067)-1)/($AR1067*$AT1067)))</f>
        <v/>
      </c>
      <c r="AV1067">
        <f>IF($AR1067="","",IF($AR1067=0,$AS1067*EXP($AT1067*2),$AS1067*(1+$AR1067*$AT1067*2)^(1/$AR1067)))</f>
        <v/>
      </c>
      <c r="AW1067">
        <f>IF($AR1067="","",IF($AR1067=0,$AS1067*EXP($AT1067*3),$AS1067*(1+$AR1067*$AT1067*3)^(1/$AR1067)))</f>
        <v/>
      </c>
      <c r="AX1067">
        <f>IF($AR1067="","",IF($AR1067=0,$AS1067*EXP($AT1067*-2),$AS1067*(1+$AR1067*$AT1067*-2)^(1/$AR1067)))</f>
        <v/>
      </c>
      <c r="AY1067">
        <f>IF($AR1067="","",IF($AR1067=0,$AS1067*EXP($AT1067*-3),$AS1067*(1+$AR1067*$AT1067*-3)^(1/$AR1067)))</f>
        <v/>
      </c>
      <c r="AZ1067">
        <f>IF(OR($A1067="",$A1067&lt;&gt;Ficha!$C$4),"",COUNTIF($A$2:$A1067,Ficha!$C$4))</f>
        <v/>
      </c>
    </row>
    <row r="1068">
      <c r="A1068" s="8">
        <f>IF(INDEX(Banco!$A:$A,ROW())="","",INDEX(Banco!$A:$A,ROW()))</f>
        <v/>
      </c>
      <c r="B1068" s="8">
        <f>IF(INDEX(Banco!$B:$B,ROW())="","",INDEX(Banco!$B:$B,ROW()))</f>
        <v/>
      </c>
      <c r="C1068" s="8">
        <f>IF(INDEX(Banco!$C:$C,ROW())="","",INDEX(Banco!$C:$C,ROW()))</f>
        <v/>
      </c>
      <c r="D1068" s="9">
        <f>IF(INDEX(Banco!$D:$D,ROW())="","",INDEX(Banco!$D:$D,ROW()))</f>
        <v/>
      </c>
      <c r="E1068" s="9">
        <f>IF(INDEX(Banco!$E:$E,ROW())="","",INDEX(Banco!$E:$E,ROW()))</f>
        <v/>
      </c>
      <c r="F1068" s="10">
        <f>IF(INDEX(Banco!$F:$F,ROW())="","",INDEX(Banco!$F:$F,ROW()))</f>
        <v/>
      </c>
      <c r="G1068" s="10">
        <f>IF(INDEX(Banco!$G:$G,ROW())="","",INDEX(Banco!$G:$G,ROW()))</f>
        <v/>
      </c>
      <c r="H1068" s="8">
        <f>IF(INDEX(Banco!$H:$H,ROW())="","",INDEX(Banco!$H:$H,ROW()))</f>
        <v/>
      </c>
      <c r="I1068">
        <f>IF($T1068="","",INT($T1068/12)&amp;"a "&amp;MOD($T1068,12)&amp;"m")</f>
        <v/>
      </c>
      <c r="J1068" s="11">
        <f>IF(OR($F1068="",$G1068=""),"",ROUND($F1068/($G1068/100)^2,2))</f>
        <v/>
      </c>
      <c r="K1068" s="12">
        <f>IF(OR($S1068="",$J1068="",$T1068="",$T1068&lt;0,$T1068&gt;228,$Y1068=""),"—",ROUND(IF(ABS($AB1068)&lt;=3,$AB1068,IF($AB1068&gt;3,3+($J1068-$AD1068)/($AD1068-$AC1068),-3+($J1068-$AF1068)/($AE1068-$AF1068))),2))</f>
        <v/>
      </c>
      <c r="L1068">
        <f>IF(OR($K1068="",$K1068="—"),"",IF($T1068&lt;=60,IF($K1068&lt;-3,"Magreza acentuada",IF($K1068&lt;-2,"Magreza",IF($K1068&lt;=1,"Eutrofia",IF($K1068&lt;=2,"Risco de sobrepeso",IF($K1068&lt;=3,"Sobrepeso","Obesidade"))))),IF($K1068&lt;-3,"Magreza acentuada",IF($K1068&lt;-2,"Magreza",IF($K1068&lt;=1,"Eutrofia",IF($K1068&lt;=2,"Sobrepeso",IF($K1068&lt;=3,"Obesidade","Obesidade grave")))))))</f>
        <v/>
      </c>
      <c r="M1068" s="12">
        <f>IF(OR($S1068="",$V1068="",$T1068="",$T1068&lt;0,$T1068&gt;228,$AG1068=""),"—",ROUND(IF($AG1068=0,LN($V1068/$AH1068)/$AI1068,((($V1068/$AH1068)^$AG1068)-1)/($AG1068*$AI1068)),2))</f>
        <v/>
      </c>
      <c r="N1068">
        <f>IF(OR($M1068="",$M1068="—"),"",IF($M1068&lt;-3,"Muito baixa",IF($M1068&lt;-2,"Baixa","Adequada")))</f>
        <v/>
      </c>
      <c r="O1068" s="12">
        <f>IF(OR($S1068="",$F1068="",$T1068="",$T1068&lt;0,$T1068&gt;120,$AJ1068=""),"—",ROUND(IF(ABS($AM1068)&lt;=3,$AM1068,IF($AM1068&gt;3,3+($F1068-$AO1068)/($AO1068-$AN1068),-3+($F1068-$AQ1068)/($AP1068-$AQ1068))),2))</f>
        <v/>
      </c>
      <c r="P1068">
        <f>IF(OR($O1068="",$O1068="—"),"",IF($O1068&lt;-3,"Muito baixo",IF($O1068&lt;-2,"Baixo",IF($O1068&lt;=2,"Adequado","Elevado"))))</f>
        <v/>
      </c>
      <c r="Q1068" s="12">
        <f>IF(OR($S1068="",$F1068="",$T1068="",$T1068&lt;0,$T1068&gt;60,$AR1068=""),"—",ROUND(IF(ABS($AU1068)&lt;=3,$AU1068,IF($AU1068&gt;3,3+($F1068-$AW1068)/($AW1068-$AV1068),-3+($F1068-$AY1068)/($AX1068-$AY1068))),2))</f>
        <v/>
      </c>
      <c r="R1068">
        <f>IF(OR($Q1068="",$Q1068="—"),"",IF($Q1068&lt;-3,"Magreza acentuada",IF($Q1068&lt;-2,"Magreza",IF($Q1068&lt;=1,"Eutrofia",IF($Q1068&lt;=2,"Risco de sobrepeso",IF($Q1068&lt;=3,"Sobrepeso","Obesidade"))))))</f>
        <v/>
      </c>
      <c r="S1068">
        <f>IF($C1068="","",IF(UPPER(LEFT($C1068,1))="M",1,IF(UPPER(LEFT($C1068,1))="F",2,"")))</f>
        <v/>
      </c>
      <c r="T1068">
        <f>IF(OR($D1068="",$E1068=""),"",DATEDIF($D1068,$E1068,"m"))</f>
        <v/>
      </c>
      <c r="U1068">
        <f>IF(OR($D1068="",$E1068=""),"",$E1068-$D1068)</f>
        <v/>
      </c>
      <c r="V1068">
        <f>IF(OR($G1068="",$T1068=""),"",IF($T1068&lt;24,IF(LEFT(LOWER($H1068),4)="em p",$G1068+0.7,$G1068),IF(LEFT(LOWER($H1068),4)="deit",$G1068-0.7,$G1068)))</f>
        <v/>
      </c>
      <c r="W1068">
        <f>IF(OR($S1068="",$T1068=""),"",$S1068*1000000+IF($T1068&lt;=60,$U1068,$T1068))</f>
        <v/>
      </c>
      <c r="X1068">
        <f>IF(OR($S1068="",$V1068="",$T1068&gt;60,$T1068=""),"",$S1068*1000000+ROUND($V1068*10,0))</f>
        <v/>
      </c>
      <c r="Y1068">
        <f>IF($W1068="","",IFERROR(INDEX(IF($T1068&lt;=60,imc05_l,imc519_l),MATCH($W1068,IF($T1068&lt;=60,imc05_k,imc519_k),1)),""))</f>
        <v/>
      </c>
      <c r="Z1068">
        <f>IF($W1068="","",IFERROR(INDEX(IF($T1068&lt;=60,imc05_m,imc519_m),MATCH($W1068,IF($T1068&lt;=60,imc05_k,imc519_k),1)),""))</f>
        <v/>
      </c>
      <c r="AA1068">
        <f>IF($W1068="","",IFERROR(INDEX(IF($T1068&lt;=60,imc05_s,imc519_s),MATCH($W1068,IF($T1068&lt;=60,imc05_k,imc519_k),1)),""))</f>
        <v/>
      </c>
      <c r="AB1068">
        <f>IF($Y1068="","",IF($Y1068=0,LN($J1068/$Z1068)/$AA1068,((($J1068/$Z1068)^$Y1068)-1)/($Y1068*$AA1068)))</f>
        <v/>
      </c>
      <c r="AC1068">
        <f>IF($Y1068="","",IF($Y1068=0,$Z1068*EXP($AA1068*2),$Z1068*(1+$Y1068*$AA1068*2)^(1/$Y1068)))</f>
        <v/>
      </c>
      <c r="AD1068">
        <f>IF($Y1068="","",IF($Y1068=0,$Z1068*EXP($AA1068*3),$Z1068*(1+$Y1068*$AA1068*3)^(1/$Y1068)))</f>
        <v/>
      </c>
      <c r="AE1068">
        <f>IF($Y1068="","",IF($Y1068=0,$Z1068*EXP($AA1068*-2),$Z1068*(1+$Y1068*$AA1068*-2)^(1/$Y1068)))</f>
        <v/>
      </c>
      <c r="AF1068">
        <f>IF($Y1068="","",IF($Y1068=0,$Z1068*EXP($AA1068*-3),$Z1068*(1+$Y1068*$AA1068*-3)^(1/$Y1068)))</f>
        <v/>
      </c>
      <c r="AG1068">
        <f>IF($W1068="","",IFERROR(INDEX(IF($T1068&lt;=60,est05_l,est519_l),MATCH($W1068,IF($T1068&lt;=60,est05_k,est519_k),1)),""))</f>
        <v/>
      </c>
      <c r="AH1068">
        <f>IF($W1068="","",IFERROR(INDEX(IF($T1068&lt;=60,est05_m,est519_m),MATCH($W1068,IF($T1068&lt;=60,est05_k,est519_k),1)),""))</f>
        <v/>
      </c>
      <c r="AI1068">
        <f>IF($W1068="","",IFERROR(INDEX(IF($T1068&lt;=60,est05_s,est519_s),MATCH($W1068,IF($T1068&lt;=60,est05_k,est519_k),1)),""))</f>
        <v/>
      </c>
      <c r="AJ1068">
        <f>IF($W1068="","",IFERROR(INDEX(IF($T1068&lt;=60,peso05_l,peso510_l),MATCH($W1068,IF($T1068&lt;=60,peso05_k,peso510_k),1)),""))</f>
        <v/>
      </c>
      <c r="AK1068">
        <f>IF($W1068="","",IFERROR(INDEX(IF($T1068&lt;=60,peso05_m,peso510_m),MATCH($W1068,IF($T1068&lt;=60,peso05_k,peso510_k),1)),""))</f>
        <v/>
      </c>
      <c r="AL1068">
        <f>IF($W1068="","",IFERROR(INDEX(IF($T1068&lt;=60,peso05_s,peso510_s),MATCH($W1068,IF($T1068&lt;=60,peso05_k,peso510_k),1)),""))</f>
        <v/>
      </c>
      <c r="AM1068">
        <f>IF($AJ1068="","",IF($AJ1068=0,LN($F1068/$AK1068)/$AL1068,((($F1068/$AK1068)^$AJ1068)-1)/($AJ1068*$AL1068)))</f>
        <v/>
      </c>
      <c r="AN1068">
        <f>IF($AJ1068="","",IF($AJ1068=0,$AK1068*EXP($AL1068*2),$AK1068*(1+$AJ1068*$AL1068*2)^(1/$AJ1068)))</f>
        <v/>
      </c>
      <c r="AO1068">
        <f>IF($AJ1068="","",IF($AJ1068=0,$AK1068*EXP($AL1068*3),$AK1068*(1+$AJ1068*$AL1068*3)^(1/$AJ1068)))</f>
        <v/>
      </c>
      <c r="AP1068">
        <f>IF($AJ1068="","",IF($AJ1068=0,$AK1068*EXP($AL1068*-2),$AK1068*(1+$AJ1068*$AL1068*-2)^(1/$AJ1068)))</f>
        <v/>
      </c>
      <c r="AQ1068">
        <f>IF($AJ1068="","",IF($AJ1068=0,$AK1068*EXP($AL1068*-3),$AK1068*(1+$AJ1068*$AL1068*-3)^(1/$AJ1068)))</f>
        <v/>
      </c>
      <c r="AR1068">
        <f>IF(OR($X1068="",$T1068&gt;60),"",IFERROR(INDEX(IF($T1068&lt;24,pcomp_l,palt_l),MATCH($X1068,IF($T1068&lt;24,pcomp_k,palt_k),1)),""))</f>
        <v/>
      </c>
      <c r="AS1068">
        <f>IF(OR($X1068="",$T1068&gt;60),"",IFERROR(INDEX(IF($T1068&lt;24,pcomp_m,palt_m),MATCH($X1068,IF($T1068&lt;24,pcomp_k,palt_k),1)),""))</f>
        <v/>
      </c>
      <c r="AT1068">
        <f>IF(OR($X1068="",$T1068&gt;60),"",IFERROR(INDEX(IF($T1068&lt;24,pcomp_s,palt_s),MATCH($X1068,IF($T1068&lt;24,pcomp_k,palt_k),1)),""))</f>
        <v/>
      </c>
      <c r="AU1068">
        <f>IF($AR1068="","",IF($AR1068=0,LN($F1068/$AS1068)/$AT1068,((($F1068/$AS1068)^$AR1068)-1)/($AR1068*$AT1068)))</f>
        <v/>
      </c>
      <c r="AV1068">
        <f>IF($AR1068="","",IF($AR1068=0,$AS1068*EXP($AT1068*2),$AS1068*(1+$AR1068*$AT1068*2)^(1/$AR1068)))</f>
        <v/>
      </c>
      <c r="AW1068">
        <f>IF($AR1068="","",IF($AR1068=0,$AS1068*EXP($AT1068*3),$AS1068*(1+$AR1068*$AT1068*3)^(1/$AR1068)))</f>
        <v/>
      </c>
      <c r="AX1068">
        <f>IF($AR1068="","",IF($AR1068=0,$AS1068*EXP($AT1068*-2),$AS1068*(1+$AR1068*$AT1068*-2)^(1/$AR1068)))</f>
        <v/>
      </c>
      <c r="AY1068">
        <f>IF($AR1068="","",IF($AR1068=0,$AS1068*EXP($AT1068*-3),$AS1068*(1+$AR1068*$AT1068*-3)^(1/$AR1068)))</f>
        <v/>
      </c>
      <c r="AZ1068">
        <f>IF(OR($A1068="",$A1068&lt;&gt;Ficha!$C$4),"",COUNTIF($A$2:$A1068,Ficha!$C$4))</f>
        <v/>
      </c>
    </row>
    <row r="1069">
      <c r="A1069" s="8">
        <f>IF(INDEX(Banco!$A:$A,ROW())="","",INDEX(Banco!$A:$A,ROW()))</f>
        <v/>
      </c>
      <c r="B1069" s="8">
        <f>IF(INDEX(Banco!$B:$B,ROW())="","",INDEX(Banco!$B:$B,ROW()))</f>
        <v/>
      </c>
      <c r="C1069" s="8">
        <f>IF(INDEX(Banco!$C:$C,ROW())="","",INDEX(Banco!$C:$C,ROW()))</f>
        <v/>
      </c>
      <c r="D1069" s="9">
        <f>IF(INDEX(Banco!$D:$D,ROW())="","",INDEX(Banco!$D:$D,ROW()))</f>
        <v/>
      </c>
      <c r="E1069" s="9">
        <f>IF(INDEX(Banco!$E:$E,ROW())="","",INDEX(Banco!$E:$E,ROW()))</f>
        <v/>
      </c>
      <c r="F1069" s="10">
        <f>IF(INDEX(Banco!$F:$F,ROW())="","",INDEX(Banco!$F:$F,ROW()))</f>
        <v/>
      </c>
      <c r="G1069" s="10">
        <f>IF(INDEX(Banco!$G:$G,ROW())="","",INDEX(Banco!$G:$G,ROW()))</f>
        <v/>
      </c>
      <c r="H1069" s="8">
        <f>IF(INDEX(Banco!$H:$H,ROW())="","",INDEX(Banco!$H:$H,ROW()))</f>
        <v/>
      </c>
      <c r="I1069">
        <f>IF($T1069="","",INT($T1069/12)&amp;"a "&amp;MOD($T1069,12)&amp;"m")</f>
        <v/>
      </c>
      <c r="J1069" s="11">
        <f>IF(OR($F1069="",$G1069=""),"",ROUND($F1069/($G1069/100)^2,2))</f>
        <v/>
      </c>
      <c r="K1069" s="12">
        <f>IF(OR($S1069="",$J1069="",$T1069="",$T1069&lt;0,$T1069&gt;228,$Y1069=""),"—",ROUND(IF(ABS($AB1069)&lt;=3,$AB1069,IF($AB1069&gt;3,3+($J1069-$AD1069)/($AD1069-$AC1069),-3+($J1069-$AF1069)/($AE1069-$AF1069))),2))</f>
        <v/>
      </c>
      <c r="L1069">
        <f>IF(OR($K1069="",$K1069="—"),"",IF($T1069&lt;=60,IF($K1069&lt;-3,"Magreza acentuada",IF($K1069&lt;-2,"Magreza",IF($K1069&lt;=1,"Eutrofia",IF($K1069&lt;=2,"Risco de sobrepeso",IF($K1069&lt;=3,"Sobrepeso","Obesidade"))))),IF($K1069&lt;-3,"Magreza acentuada",IF($K1069&lt;-2,"Magreza",IF($K1069&lt;=1,"Eutrofia",IF($K1069&lt;=2,"Sobrepeso",IF($K1069&lt;=3,"Obesidade","Obesidade grave")))))))</f>
        <v/>
      </c>
      <c r="M1069" s="12">
        <f>IF(OR($S1069="",$V1069="",$T1069="",$T1069&lt;0,$T1069&gt;228,$AG1069=""),"—",ROUND(IF($AG1069=0,LN($V1069/$AH1069)/$AI1069,((($V1069/$AH1069)^$AG1069)-1)/($AG1069*$AI1069)),2))</f>
        <v/>
      </c>
      <c r="N1069">
        <f>IF(OR($M1069="",$M1069="—"),"",IF($M1069&lt;-3,"Muito baixa",IF($M1069&lt;-2,"Baixa","Adequada")))</f>
        <v/>
      </c>
      <c r="O1069" s="12">
        <f>IF(OR($S1069="",$F1069="",$T1069="",$T1069&lt;0,$T1069&gt;120,$AJ1069=""),"—",ROUND(IF(ABS($AM1069)&lt;=3,$AM1069,IF($AM1069&gt;3,3+($F1069-$AO1069)/($AO1069-$AN1069),-3+($F1069-$AQ1069)/($AP1069-$AQ1069))),2))</f>
        <v/>
      </c>
      <c r="P1069">
        <f>IF(OR($O1069="",$O1069="—"),"",IF($O1069&lt;-3,"Muito baixo",IF($O1069&lt;-2,"Baixo",IF($O1069&lt;=2,"Adequado","Elevado"))))</f>
        <v/>
      </c>
      <c r="Q1069" s="12">
        <f>IF(OR($S1069="",$F1069="",$T1069="",$T1069&lt;0,$T1069&gt;60,$AR1069=""),"—",ROUND(IF(ABS($AU1069)&lt;=3,$AU1069,IF($AU1069&gt;3,3+($F1069-$AW1069)/($AW1069-$AV1069),-3+($F1069-$AY1069)/($AX1069-$AY1069))),2))</f>
        <v/>
      </c>
      <c r="R1069">
        <f>IF(OR($Q1069="",$Q1069="—"),"",IF($Q1069&lt;-3,"Magreza acentuada",IF($Q1069&lt;-2,"Magreza",IF($Q1069&lt;=1,"Eutrofia",IF($Q1069&lt;=2,"Risco de sobrepeso",IF($Q1069&lt;=3,"Sobrepeso","Obesidade"))))))</f>
        <v/>
      </c>
      <c r="S1069">
        <f>IF($C1069="","",IF(UPPER(LEFT($C1069,1))="M",1,IF(UPPER(LEFT($C1069,1))="F",2,"")))</f>
        <v/>
      </c>
      <c r="T1069">
        <f>IF(OR($D1069="",$E1069=""),"",DATEDIF($D1069,$E1069,"m"))</f>
        <v/>
      </c>
      <c r="U1069">
        <f>IF(OR($D1069="",$E1069=""),"",$E1069-$D1069)</f>
        <v/>
      </c>
      <c r="V1069">
        <f>IF(OR($G1069="",$T1069=""),"",IF($T1069&lt;24,IF(LEFT(LOWER($H1069),4)="em p",$G1069+0.7,$G1069),IF(LEFT(LOWER($H1069),4)="deit",$G1069-0.7,$G1069)))</f>
        <v/>
      </c>
      <c r="W1069">
        <f>IF(OR($S1069="",$T1069=""),"",$S1069*1000000+IF($T1069&lt;=60,$U1069,$T1069))</f>
        <v/>
      </c>
      <c r="X1069">
        <f>IF(OR($S1069="",$V1069="",$T1069&gt;60,$T1069=""),"",$S1069*1000000+ROUND($V1069*10,0))</f>
        <v/>
      </c>
      <c r="Y1069">
        <f>IF($W1069="","",IFERROR(INDEX(IF($T1069&lt;=60,imc05_l,imc519_l),MATCH($W1069,IF($T1069&lt;=60,imc05_k,imc519_k),1)),""))</f>
        <v/>
      </c>
      <c r="Z1069">
        <f>IF($W1069="","",IFERROR(INDEX(IF($T1069&lt;=60,imc05_m,imc519_m),MATCH($W1069,IF($T1069&lt;=60,imc05_k,imc519_k),1)),""))</f>
        <v/>
      </c>
      <c r="AA1069">
        <f>IF($W1069="","",IFERROR(INDEX(IF($T1069&lt;=60,imc05_s,imc519_s),MATCH($W1069,IF($T1069&lt;=60,imc05_k,imc519_k),1)),""))</f>
        <v/>
      </c>
      <c r="AB1069">
        <f>IF($Y1069="","",IF($Y1069=0,LN($J1069/$Z1069)/$AA1069,((($J1069/$Z1069)^$Y1069)-1)/($Y1069*$AA1069)))</f>
        <v/>
      </c>
      <c r="AC1069">
        <f>IF($Y1069="","",IF($Y1069=0,$Z1069*EXP($AA1069*2),$Z1069*(1+$Y1069*$AA1069*2)^(1/$Y1069)))</f>
        <v/>
      </c>
      <c r="AD1069">
        <f>IF($Y1069="","",IF($Y1069=0,$Z1069*EXP($AA1069*3),$Z1069*(1+$Y1069*$AA1069*3)^(1/$Y1069)))</f>
        <v/>
      </c>
      <c r="AE1069">
        <f>IF($Y1069="","",IF($Y1069=0,$Z1069*EXP($AA1069*-2),$Z1069*(1+$Y1069*$AA1069*-2)^(1/$Y1069)))</f>
        <v/>
      </c>
      <c r="AF1069">
        <f>IF($Y1069="","",IF($Y1069=0,$Z1069*EXP($AA1069*-3),$Z1069*(1+$Y1069*$AA1069*-3)^(1/$Y1069)))</f>
        <v/>
      </c>
      <c r="AG1069">
        <f>IF($W1069="","",IFERROR(INDEX(IF($T1069&lt;=60,est05_l,est519_l),MATCH($W1069,IF($T1069&lt;=60,est05_k,est519_k),1)),""))</f>
        <v/>
      </c>
      <c r="AH1069">
        <f>IF($W1069="","",IFERROR(INDEX(IF($T1069&lt;=60,est05_m,est519_m),MATCH($W1069,IF($T1069&lt;=60,est05_k,est519_k),1)),""))</f>
        <v/>
      </c>
      <c r="AI1069">
        <f>IF($W1069="","",IFERROR(INDEX(IF($T1069&lt;=60,est05_s,est519_s),MATCH($W1069,IF($T1069&lt;=60,est05_k,est519_k),1)),""))</f>
        <v/>
      </c>
      <c r="AJ1069">
        <f>IF($W1069="","",IFERROR(INDEX(IF($T1069&lt;=60,peso05_l,peso510_l),MATCH($W1069,IF($T1069&lt;=60,peso05_k,peso510_k),1)),""))</f>
        <v/>
      </c>
      <c r="AK1069">
        <f>IF($W1069="","",IFERROR(INDEX(IF($T1069&lt;=60,peso05_m,peso510_m),MATCH($W1069,IF($T1069&lt;=60,peso05_k,peso510_k),1)),""))</f>
        <v/>
      </c>
      <c r="AL1069">
        <f>IF($W1069="","",IFERROR(INDEX(IF($T1069&lt;=60,peso05_s,peso510_s),MATCH($W1069,IF($T1069&lt;=60,peso05_k,peso510_k),1)),""))</f>
        <v/>
      </c>
      <c r="AM1069">
        <f>IF($AJ1069="","",IF($AJ1069=0,LN($F1069/$AK1069)/$AL1069,((($F1069/$AK1069)^$AJ1069)-1)/($AJ1069*$AL1069)))</f>
        <v/>
      </c>
      <c r="AN1069">
        <f>IF($AJ1069="","",IF($AJ1069=0,$AK1069*EXP($AL1069*2),$AK1069*(1+$AJ1069*$AL1069*2)^(1/$AJ1069)))</f>
        <v/>
      </c>
      <c r="AO1069">
        <f>IF($AJ1069="","",IF($AJ1069=0,$AK1069*EXP($AL1069*3),$AK1069*(1+$AJ1069*$AL1069*3)^(1/$AJ1069)))</f>
        <v/>
      </c>
      <c r="AP1069">
        <f>IF($AJ1069="","",IF($AJ1069=0,$AK1069*EXP($AL1069*-2),$AK1069*(1+$AJ1069*$AL1069*-2)^(1/$AJ1069)))</f>
        <v/>
      </c>
      <c r="AQ1069">
        <f>IF($AJ1069="","",IF($AJ1069=0,$AK1069*EXP($AL1069*-3),$AK1069*(1+$AJ1069*$AL1069*-3)^(1/$AJ1069)))</f>
        <v/>
      </c>
      <c r="AR1069">
        <f>IF(OR($X1069="",$T1069&gt;60),"",IFERROR(INDEX(IF($T1069&lt;24,pcomp_l,palt_l),MATCH($X1069,IF($T1069&lt;24,pcomp_k,palt_k),1)),""))</f>
        <v/>
      </c>
      <c r="AS1069">
        <f>IF(OR($X1069="",$T1069&gt;60),"",IFERROR(INDEX(IF($T1069&lt;24,pcomp_m,palt_m),MATCH($X1069,IF($T1069&lt;24,pcomp_k,palt_k),1)),""))</f>
        <v/>
      </c>
      <c r="AT1069">
        <f>IF(OR($X1069="",$T1069&gt;60),"",IFERROR(INDEX(IF($T1069&lt;24,pcomp_s,palt_s),MATCH($X1069,IF($T1069&lt;24,pcomp_k,palt_k),1)),""))</f>
        <v/>
      </c>
      <c r="AU1069">
        <f>IF($AR1069="","",IF($AR1069=0,LN($F1069/$AS1069)/$AT1069,((($F1069/$AS1069)^$AR1069)-1)/($AR1069*$AT1069)))</f>
        <v/>
      </c>
      <c r="AV1069">
        <f>IF($AR1069="","",IF($AR1069=0,$AS1069*EXP($AT1069*2),$AS1069*(1+$AR1069*$AT1069*2)^(1/$AR1069)))</f>
        <v/>
      </c>
      <c r="AW1069">
        <f>IF($AR1069="","",IF($AR1069=0,$AS1069*EXP($AT1069*3),$AS1069*(1+$AR1069*$AT1069*3)^(1/$AR1069)))</f>
        <v/>
      </c>
      <c r="AX1069">
        <f>IF($AR1069="","",IF($AR1069=0,$AS1069*EXP($AT1069*-2),$AS1069*(1+$AR1069*$AT1069*-2)^(1/$AR1069)))</f>
        <v/>
      </c>
      <c r="AY1069">
        <f>IF($AR1069="","",IF($AR1069=0,$AS1069*EXP($AT1069*-3),$AS1069*(1+$AR1069*$AT1069*-3)^(1/$AR1069)))</f>
        <v/>
      </c>
      <c r="AZ1069">
        <f>IF(OR($A1069="",$A1069&lt;&gt;Ficha!$C$4),"",COUNTIF($A$2:$A1069,Ficha!$C$4))</f>
        <v/>
      </c>
    </row>
    <row r="1070">
      <c r="A1070" s="8">
        <f>IF(INDEX(Banco!$A:$A,ROW())="","",INDEX(Banco!$A:$A,ROW()))</f>
        <v/>
      </c>
      <c r="B1070" s="8">
        <f>IF(INDEX(Banco!$B:$B,ROW())="","",INDEX(Banco!$B:$B,ROW()))</f>
        <v/>
      </c>
      <c r="C1070" s="8">
        <f>IF(INDEX(Banco!$C:$C,ROW())="","",INDEX(Banco!$C:$C,ROW()))</f>
        <v/>
      </c>
      <c r="D1070" s="9">
        <f>IF(INDEX(Banco!$D:$D,ROW())="","",INDEX(Banco!$D:$D,ROW()))</f>
        <v/>
      </c>
      <c r="E1070" s="9">
        <f>IF(INDEX(Banco!$E:$E,ROW())="","",INDEX(Banco!$E:$E,ROW()))</f>
        <v/>
      </c>
      <c r="F1070" s="10">
        <f>IF(INDEX(Banco!$F:$F,ROW())="","",INDEX(Banco!$F:$F,ROW()))</f>
        <v/>
      </c>
      <c r="G1070" s="10">
        <f>IF(INDEX(Banco!$G:$G,ROW())="","",INDEX(Banco!$G:$G,ROW()))</f>
        <v/>
      </c>
      <c r="H1070" s="8">
        <f>IF(INDEX(Banco!$H:$H,ROW())="","",INDEX(Banco!$H:$H,ROW()))</f>
        <v/>
      </c>
      <c r="I1070">
        <f>IF($T1070="","",INT($T1070/12)&amp;"a "&amp;MOD($T1070,12)&amp;"m")</f>
        <v/>
      </c>
      <c r="J1070" s="11">
        <f>IF(OR($F1070="",$G1070=""),"",ROUND($F1070/($G1070/100)^2,2))</f>
        <v/>
      </c>
      <c r="K1070" s="12">
        <f>IF(OR($S1070="",$J1070="",$T1070="",$T1070&lt;0,$T1070&gt;228,$Y1070=""),"—",ROUND(IF(ABS($AB1070)&lt;=3,$AB1070,IF($AB1070&gt;3,3+($J1070-$AD1070)/($AD1070-$AC1070),-3+($J1070-$AF1070)/($AE1070-$AF1070))),2))</f>
        <v/>
      </c>
      <c r="L1070">
        <f>IF(OR($K1070="",$K1070="—"),"",IF($T1070&lt;=60,IF($K1070&lt;-3,"Magreza acentuada",IF($K1070&lt;-2,"Magreza",IF($K1070&lt;=1,"Eutrofia",IF($K1070&lt;=2,"Risco de sobrepeso",IF($K1070&lt;=3,"Sobrepeso","Obesidade"))))),IF($K1070&lt;-3,"Magreza acentuada",IF($K1070&lt;-2,"Magreza",IF($K1070&lt;=1,"Eutrofia",IF($K1070&lt;=2,"Sobrepeso",IF($K1070&lt;=3,"Obesidade","Obesidade grave")))))))</f>
        <v/>
      </c>
      <c r="M1070" s="12">
        <f>IF(OR($S1070="",$V1070="",$T1070="",$T1070&lt;0,$T1070&gt;228,$AG1070=""),"—",ROUND(IF($AG1070=0,LN($V1070/$AH1070)/$AI1070,((($V1070/$AH1070)^$AG1070)-1)/($AG1070*$AI1070)),2))</f>
        <v/>
      </c>
      <c r="N1070">
        <f>IF(OR($M1070="",$M1070="—"),"",IF($M1070&lt;-3,"Muito baixa",IF($M1070&lt;-2,"Baixa","Adequada")))</f>
        <v/>
      </c>
      <c r="O1070" s="12">
        <f>IF(OR($S1070="",$F1070="",$T1070="",$T1070&lt;0,$T1070&gt;120,$AJ1070=""),"—",ROUND(IF(ABS($AM1070)&lt;=3,$AM1070,IF($AM1070&gt;3,3+($F1070-$AO1070)/($AO1070-$AN1070),-3+($F1070-$AQ1070)/($AP1070-$AQ1070))),2))</f>
        <v/>
      </c>
      <c r="P1070">
        <f>IF(OR($O1070="",$O1070="—"),"",IF($O1070&lt;-3,"Muito baixo",IF($O1070&lt;-2,"Baixo",IF($O1070&lt;=2,"Adequado","Elevado"))))</f>
        <v/>
      </c>
      <c r="Q1070" s="12">
        <f>IF(OR($S1070="",$F1070="",$T1070="",$T1070&lt;0,$T1070&gt;60,$AR1070=""),"—",ROUND(IF(ABS($AU1070)&lt;=3,$AU1070,IF($AU1070&gt;3,3+($F1070-$AW1070)/($AW1070-$AV1070),-3+($F1070-$AY1070)/($AX1070-$AY1070))),2))</f>
        <v/>
      </c>
      <c r="R1070">
        <f>IF(OR($Q1070="",$Q1070="—"),"",IF($Q1070&lt;-3,"Magreza acentuada",IF($Q1070&lt;-2,"Magreza",IF($Q1070&lt;=1,"Eutrofia",IF($Q1070&lt;=2,"Risco de sobrepeso",IF($Q1070&lt;=3,"Sobrepeso","Obesidade"))))))</f>
        <v/>
      </c>
      <c r="S1070">
        <f>IF($C1070="","",IF(UPPER(LEFT($C1070,1))="M",1,IF(UPPER(LEFT($C1070,1))="F",2,"")))</f>
        <v/>
      </c>
      <c r="T1070">
        <f>IF(OR($D1070="",$E1070=""),"",DATEDIF($D1070,$E1070,"m"))</f>
        <v/>
      </c>
      <c r="U1070">
        <f>IF(OR($D1070="",$E1070=""),"",$E1070-$D1070)</f>
        <v/>
      </c>
      <c r="V1070">
        <f>IF(OR($G1070="",$T1070=""),"",IF($T1070&lt;24,IF(LEFT(LOWER($H1070),4)="em p",$G1070+0.7,$G1070),IF(LEFT(LOWER($H1070),4)="deit",$G1070-0.7,$G1070)))</f>
        <v/>
      </c>
      <c r="W1070">
        <f>IF(OR($S1070="",$T1070=""),"",$S1070*1000000+IF($T1070&lt;=60,$U1070,$T1070))</f>
        <v/>
      </c>
      <c r="X1070">
        <f>IF(OR($S1070="",$V1070="",$T1070&gt;60,$T1070=""),"",$S1070*1000000+ROUND($V1070*10,0))</f>
        <v/>
      </c>
      <c r="Y1070">
        <f>IF($W1070="","",IFERROR(INDEX(IF($T1070&lt;=60,imc05_l,imc519_l),MATCH($W1070,IF($T1070&lt;=60,imc05_k,imc519_k),1)),""))</f>
        <v/>
      </c>
      <c r="Z1070">
        <f>IF($W1070="","",IFERROR(INDEX(IF($T1070&lt;=60,imc05_m,imc519_m),MATCH($W1070,IF($T1070&lt;=60,imc05_k,imc519_k),1)),""))</f>
        <v/>
      </c>
      <c r="AA1070">
        <f>IF($W1070="","",IFERROR(INDEX(IF($T1070&lt;=60,imc05_s,imc519_s),MATCH($W1070,IF($T1070&lt;=60,imc05_k,imc519_k),1)),""))</f>
        <v/>
      </c>
      <c r="AB1070">
        <f>IF($Y1070="","",IF($Y1070=0,LN($J1070/$Z1070)/$AA1070,((($J1070/$Z1070)^$Y1070)-1)/($Y1070*$AA1070)))</f>
        <v/>
      </c>
      <c r="AC1070">
        <f>IF($Y1070="","",IF($Y1070=0,$Z1070*EXP($AA1070*2),$Z1070*(1+$Y1070*$AA1070*2)^(1/$Y1070)))</f>
        <v/>
      </c>
      <c r="AD1070">
        <f>IF($Y1070="","",IF($Y1070=0,$Z1070*EXP($AA1070*3),$Z1070*(1+$Y1070*$AA1070*3)^(1/$Y1070)))</f>
        <v/>
      </c>
      <c r="AE1070">
        <f>IF($Y1070="","",IF($Y1070=0,$Z1070*EXP($AA1070*-2),$Z1070*(1+$Y1070*$AA1070*-2)^(1/$Y1070)))</f>
        <v/>
      </c>
      <c r="AF1070">
        <f>IF($Y1070="","",IF($Y1070=0,$Z1070*EXP($AA1070*-3),$Z1070*(1+$Y1070*$AA1070*-3)^(1/$Y1070)))</f>
        <v/>
      </c>
      <c r="AG1070">
        <f>IF($W1070="","",IFERROR(INDEX(IF($T1070&lt;=60,est05_l,est519_l),MATCH($W1070,IF($T1070&lt;=60,est05_k,est519_k),1)),""))</f>
        <v/>
      </c>
      <c r="AH1070">
        <f>IF($W1070="","",IFERROR(INDEX(IF($T1070&lt;=60,est05_m,est519_m),MATCH($W1070,IF($T1070&lt;=60,est05_k,est519_k),1)),""))</f>
        <v/>
      </c>
      <c r="AI1070">
        <f>IF($W1070="","",IFERROR(INDEX(IF($T1070&lt;=60,est05_s,est519_s),MATCH($W1070,IF($T1070&lt;=60,est05_k,est519_k),1)),""))</f>
        <v/>
      </c>
      <c r="AJ1070">
        <f>IF($W1070="","",IFERROR(INDEX(IF($T1070&lt;=60,peso05_l,peso510_l),MATCH($W1070,IF($T1070&lt;=60,peso05_k,peso510_k),1)),""))</f>
        <v/>
      </c>
      <c r="AK1070">
        <f>IF($W1070="","",IFERROR(INDEX(IF($T1070&lt;=60,peso05_m,peso510_m),MATCH($W1070,IF($T1070&lt;=60,peso05_k,peso510_k),1)),""))</f>
        <v/>
      </c>
      <c r="AL1070">
        <f>IF($W1070="","",IFERROR(INDEX(IF($T1070&lt;=60,peso05_s,peso510_s),MATCH($W1070,IF($T1070&lt;=60,peso05_k,peso510_k),1)),""))</f>
        <v/>
      </c>
      <c r="AM1070">
        <f>IF($AJ1070="","",IF($AJ1070=0,LN($F1070/$AK1070)/$AL1070,((($F1070/$AK1070)^$AJ1070)-1)/($AJ1070*$AL1070)))</f>
        <v/>
      </c>
      <c r="AN1070">
        <f>IF($AJ1070="","",IF($AJ1070=0,$AK1070*EXP($AL1070*2),$AK1070*(1+$AJ1070*$AL1070*2)^(1/$AJ1070)))</f>
        <v/>
      </c>
      <c r="AO1070">
        <f>IF($AJ1070="","",IF($AJ1070=0,$AK1070*EXP($AL1070*3),$AK1070*(1+$AJ1070*$AL1070*3)^(1/$AJ1070)))</f>
        <v/>
      </c>
      <c r="AP1070">
        <f>IF($AJ1070="","",IF($AJ1070=0,$AK1070*EXP($AL1070*-2),$AK1070*(1+$AJ1070*$AL1070*-2)^(1/$AJ1070)))</f>
        <v/>
      </c>
      <c r="AQ1070">
        <f>IF($AJ1070="","",IF($AJ1070=0,$AK1070*EXP($AL1070*-3),$AK1070*(1+$AJ1070*$AL1070*-3)^(1/$AJ1070)))</f>
        <v/>
      </c>
      <c r="AR1070">
        <f>IF(OR($X1070="",$T1070&gt;60),"",IFERROR(INDEX(IF($T1070&lt;24,pcomp_l,palt_l),MATCH($X1070,IF($T1070&lt;24,pcomp_k,palt_k),1)),""))</f>
        <v/>
      </c>
      <c r="AS1070">
        <f>IF(OR($X1070="",$T1070&gt;60),"",IFERROR(INDEX(IF($T1070&lt;24,pcomp_m,palt_m),MATCH($X1070,IF($T1070&lt;24,pcomp_k,palt_k),1)),""))</f>
        <v/>
      </c>
      <c r="AT1070">
        <f>IF(OR($X1070="",$T1070&gt;60),"",IFERROR(INDEX(IF($T1070&lt;24,pcomp_s,palt_s),MATCH($X1070,IF($T1070&lt;24,pcomp_k,palt_k),1)),""))</f>
        <v/>
      </c>
      <c r="AU1070">
        <f>IF($AR1070="","",IF($AR1070=0,LN($F1070/$AS1070)/$AT1070,((($F1070/$AS1070)^$AR1070)-1)/($AR1070*$AT1070)))</f>
        <v/>
      </c>
      <c r="AV1070">
        <f>IF($AR1070="","",IF($AR1070=0,$AS1070*EXP($AT1070*2),$AS1070*(1+$AR1070*$AT1070*2)^(1/$AR1070)))</f>
        <v/>
      </c>
      <c r="AW1070">
        <f>IF($AR1070="","",IF($AR1070=0,$AS1070*EXP($AT1070*3),$AS1070*(1+$AR1070*$AT1070*3)^(1/$AR1070)))</f>
        <v/>
      </c>
      <c r="AX1070">
        <f>IF($AR1070="","",IF($AR1070=0,$AS1070*EXP($AT1070*-2),$AS1070*(1+$AR1070*$AT1070*-2)^(1/$AR1070)))</f>
        <v/>
      </c>
      <c r="AY1070">
        <f>IF($AR1070="","",IF($AR1070=0,$AS1070*EXP($AT1070*-3),$AS1070*(1+$AR1070*$AT1070*-3)^(1/$AR1070)))</f>
        <v/>
      </c>
      <c r="AZ1070">
        <f>IF(OR($A1070="",$A1070&lt;&gt;Ficha!$C$4),"",COUNTIF($A$2:$A1070,Ficha!$C$4))</f>
        <v/>
      </c>
    </row>
    <row r="1071">
      <c r="A1071" s="8">
        <f>IF(INDEX(Banco!$A:$A,ROW())="","",INDEX(Banco!$A:$A,ROW()))</f>
        <v/>
      </c>
      <c r="B1071" s="8">
        <f>IF(INDEX(Banco!$B:$B,ROW())="","",INDEX(Banco!$B:$B,ROW()))</f>
        <v/>
      </c>
      <c r="C1071" s="8">
        <f>IF(INDEX(Banco!$C:$C,ROW())="","",INDEX(Banco!$C:$C,ROW()))</f>
        <v/>
      </c>
      <c r="D1071" s="9">
        <f>IF(INDEX(Banco!$D:$D,ROW())="","",INDEX(Banco!$D:$D,ROW()))</f>
        <v/>
      </c>
      <c r="E1071" s="9">
        <f>IF(INDEX(Banco!$E:$E,ROW())="","",INDEX(Banco!$E:$E,ROW()))</f>
        <v/>
      </c>
      <c r="F1071" s="10">
        <f>IF(INDEX(Banco!$F:$F,ROW())="","",INDEX(Banco!$F:$F,ROW()))</f>
        <v/>
      </c>
      <c r="G1071" s="10">
        <f>IF(INDEX(Banco!$G:$G,ROW())="","",INDEX(Banco!$G:$G,ROW()))</f>
        <v/>
      </c>
      <c r="H1071" s="8">
        <f>IF(INDEX(Banco!$H:$H,ROW())="","",INDEX(Banco!$H:$H,ROW()))</f>
        <v/>
      </c>
      <c r="I1071">
        <f>IF($T1071="","",INT($T1071/12)&amp;"a "&amp;MOD($T1071,12)&amp;"m")</f>
        <v/>
      </c>
      <c r="J1071" s="11">
        <f>IF(OR($F1071="",$G1071=""),"",ROUND($F1071/($G1071/100)^2,2))</f>
        <v/>
      </c>
      <c r="K1071" s="12">
        <f>IF(OR($S1071="",$J1071="",$T1071="",$T1071&lt;0,$T1071&gt;228,$Y1071=""),"—",ROUND(IF(ABS($AB1071)&lt;=3,$AB1071,IF($AB1071&gt;3,3+($J1071-$AD1071)/($AD1071-$AC1071),-3+($J1071-$AF1071)/($AE1071-$AF1071))),2))</f>
        <v/>
      </c>
      <c r="L1071">
        <f>IF(OR($K1071="",$K1071="—"),"",IF($T1071&lt;=60,IF($K1071&lt;-3,"Magreza acentuada",IF($K1071&lt;-2,"Magreza",IF($K1071&lt;=1,"Eutrofia",IF($K1071&lt;=2,"Risco de sobrepeso",IF($K1071&lt;=3,"Sobrepeso","Obesidade"))))),IF($K1071&lt;-3,"Magreza acentuada",IF($K1071&lt;-2,"Magreza",IF($K1071&lt;=1,"Eutrofia",IF($K1071&lt;=2,"Sobrepeso",IF($K1071&lt;=3,"Obesidade","Obesidade grave")))))))</f>
        <v/>
      </c>
      <c r="M1071" s="12">
        <f>IF(OR($S1071="",$V1071="",$T1071="",$T1071&lt;0,$T1071&gt;228,$AG1071=""),"—",ROUND(IF($AG1071=0,LN($V1071/$AH1071)/$AI1071,((($V1071/$AH1071)^$AG1071)-1)/($AG1071*$AI1071)),2))</f>
        <v/>
      </c>
      <c r="N1071">
        <f>IF(OR($M1071="",$M1071="—"),"",IF($M1071&lt;-3,"Muito baixa",IF($M1071&lt;-2,"Baixa","Adequada")))</f>
        <v/>
      </c>
      <c r="O1071" s="12">
        <f>IF(OR($S1071="",$F1071="",$T1071="",$T1071&lt;0,$T1071&gt;120,$AJ1071=""),"—",ROUND(IF(ABS($AM1071)&lt;=3,$AM1071,IF($AM1071&gt;3,3+($F1071-$AO1071)/($AO1071-$AN1071),-3+($F1071-$AQ1071)/($AP1071-$AQ1071))),2))</f>
        <v/>
      </c>
      <c r="P1071">
        <f>IF(OR($O1071="",$O1071="—"),"",IF($O1071&lt;-3,"Muito baixo",IF($O1071&lt;-2,"Baixo",IF($O1071&lt;=2,"Adequado","Elevado"))))</f>
        <v/>
      </c>
      <c r="Q1071" s="12">
        <f>IF(OR($S1071="",$F1071="",$T1071="",$T1071&lt;0,$T1071&gt;60,$AR1071=""),"—",ROUND(IF(ABS($AU1071)&lt;=3,$AU1071,IF($AU1071&gt;3,3+($F1071-$AW1071)/($AW1071-$AV1071),-3+($F1071-$AY1071)/($AX1071-$AY1071))),2))</f>
        <v/>
      </c>
      <c r="R1071">
        <f>IF(OR($Q1071="",$Q1071="—"),"",IF($Q1071&lt;-3,"Magreza acentuada",IF($Q1071&lt;-2,"Magreza",IF($Q1071&lt;=1,"Eutrofia",IF($Q1071&lt;=2,"Risco de sobrepeso",IF($Q1071&lt;=3,"Sobrepeso","Obesidade"))))))</f>
        <v/>
      </c>
      <c r="S1071">
        <f>IF($C1071="","",IF(UPPER(LEFT($C1071,1))="M",1,IF(UPPER(LEFT($C1071,1))="F",2,"")))</f>
        <v/>
      </c>
      <c r="T1071">
        <f>IF(OR($D1071="",$E1071=""),"",DATEDIF($D1071,$E1071,"m"))</f>
        <v/>
      </c>
      <c r="U1071">
        <f>IF(OR($D1071="",$E1071=""),"",$E1071-$D1071)</f>
        <v/>
      </c>
      <c r="V1071">
        <f>IF(OR($G1071="",$T1071=""),"",IF($T1071&lt;24,IF(LEFT(LOWER($H1071),4)="em p",$G1071+0.7,$G1071),IF(LEFT(LOWER($H1071),4)="deit",$G1071-0.7,$G1071)))</f>
        <v/>
      </c>
      <c r="W1071">
        <f>IF(OR($S1071="",$T1071=""),"",$S1071*1000000+IF($T1071&lt;=60,$U1071,$T1071))</f>
        <v/>
      </c>
      <c r="X1071">
        <f>IF(OR($S1071="",$V1071="",$T1071&gt;60,$T1071=""),"",$S1071*1000000+ROUND($V1071*10,0))</f>
        <v/>
      </c>
      <c r="Y1071">
        <f>IF($W1071="","",IFERROR(INDEX(IF($T1071&lt;=60,imc05_l,imc519_l),MATCH($W1071,IF($T1071&lt;=60,imc05_k,imc519_k),1)),""))</f>
        <v/>
      </c>
      <c r="Z1071">
        <f>IF($W1071="","",IFERROR(INDEX(IF($T1071&lt;=60,imc05_m,imc519_m),MATCH($W1071,IF($T1071&lt;=60,imc05_k,imc519_k),1)),""))</f>
        <v/>
      </c>
      <c r="AA1071">
        <f>IF($W1071="","",IFERROR(INDEX(IF($T1071&lt;=60,imc05_s,imc519_s),MATCH($W1071,IF($T1071&lt;=60,imc05_k,imc519_k),1)),""))</f>
        <v/>
      </c>
      <c r="AB1071">
        <f>IF($Y1071="","",IF($Y1071=0,LN($J1071/$Z1071)/$AA1071,((($J1071/$Z1071)^$Y1071)-1)/($Y1071*$AA1071)))</f>
        <v/>
      </c>
      <c r="AC1071">
        <f>IF($Y1071="","",IF($Y1071=0,$Z1071*EXP($AA1071*2),$Z1071*(1+$Y1071*$AA1071*2)^(1/$Y1071)))</f>
        <v/>
      </c>
      <c r="AD1071">
        <f>IF($Y1071="","",IF($Y1071=0,$Z1071*EXP($AA1071*3),$Z1071*(1+$Y1071*$AA1071*3)^(1/$Y1071)))</f>
        <v/>
      </c>
      <c r="AE1071">
        <f>IF($Y1071="","",IF($Y1071=0,$Z1071*EXP($AA1071*-2),$Z1071*(1+$Y1071*$AA1071*-2)^(1/$Y1071)))</f>
        <v/>
      </c>
      <c r="AF1071">
        <f>IF($Y1071="","",IF($Y1071=0,$Z1071*EXP($AA1071*-3),$Z1071*(1+$Y1071*$AA1071*-3)^(1/$Y1071)))</f>
        <v/>
      </c>
      <c r="AG1071">
        <f>IF($W1071="","",IFERROR(INDEX(IF($T1071&lt;=60,est05_l,est519_l),MATCH($W1071,IF($T1071&lt;=60,est05_k,est519_k),1)),""))</f>
        <v/>
      </c>
      <c r="AH1071">
        <f>IF($W1071="","",IFERROR(INDEX(IF($T1071&lt;=60,est05_m,est519_m),MATCH($W1071,IF($T1071&lt;=60,est05_k,est519_k),1)),""))</f>
        <v/>
      </c>
      <c r="AI1071">
        <f>IF($W1071="","",IFERROR(INDEX(IF($T1071&lt;=60,est05_s,est519_s),MATCH($W1071,IF($T1071&lt;=60,est05_k,est519_k),1)),""))</f>
        <v/>
      </c>
      <c r="AJ1071">
        <f>IF($W1071="","",IFERROR(INDEX(IF($T1071&lt;=60,peso05_l,peso510_l),MATCH($W1071,IF($T1071&lt;=60,peso05_k,peso510_k),1)),""))</f>
        <v/>
      </c>
      <c r="AK1071">
        <f>IF($W1071="","",IFERROR(INDEX(IF($T1071&lt;=60,peso05_m,peso510_m),MATCH($W1071,IF($T1071&lt;=60,peso05_k,peso510_k),1)),""))</f>
        <v/>
      </c>
      <c r="AL1071">
        <f>IF($W1071="","",IFERROR(INDEX(IF($T1071&lt;=60,peso05_s,peso510_s),MATCH($W1071,IF($T1071&lt;=60,peso05_k,peso510_k),1)),""))</f>
        <v/>
      </c>
      <c r="AM1071">
        <f>IF($AJ1071="","",IF($AJ1071=0,LN($F1071/$AK1071)/$AL1071,((($F1071/$AK1071)^$AJ1071)-1)/($AJ1071*$AL1071)))</f>
        <v/>
      </c>
      <c r="AN1071">
        <f>IF($AJ1071="","",IF($AJ1071=0,$AK1071*EXP($AL1071*2),$AK1071*(1+$AJ1071*$AL1071*2)^(1/$AJ1071)))</f>
        <v/>
      </c>
      <c r="AO1071">
        <f>IF($AJ1071="","",IF($AJ1071=0,$AK1071*EXP($AL1071*3),$AK1071*(1+$AJ1071*$AL1071*3)^(1/$AJ1071)))</f>
        <v/>
      </c>
      <c r="AP1071">
        <f>IF($AJ1071="","",IF($AJ1071=0,$AK1071*EXP($AL1071*-2),$AK1071*(1+$AJ1071*$AL1071*-2)^(1/$AJ1071)))</f>
        <v/>
      </c>
      <c r="AQ1071">
        <f>IF($AJ1071="","",IF($AJ1071=0,$AK1071*EXP($AL1071*-3),$AK1071*(1+$AJ1071*$AL1071*-3)^(1/$AJ1071)))</f>
        <v/>
      </c>
      <c r="AR1071">
        <f>IF(OR($X1071="",$T1071&gt;60),"",IFERROR(INDEX(IF($T1071&lt;24,pcomp_l,palt_l),MATCH($X1071,IF($T1071&lt;24,pcomp_k,palt_k),1)),""))</f>
        <v/>
      </c>
      <c r="AS1071">
        <f>IF(OR($X1071="",$T1071&gt;60),"",IFERROR(INDEX(IF($T1071&lt;24,pcomp_m,palt_m),MATCH($X1071,IF($T1071&lt;24,pcomp_k,palt_k),1)),""))</f>
        <v/>
      </c>
      <c r="AT1071">
        <f>IF(OR($X1071="",$T1071&gt;60),"",IFERROR(INDEX(IF($T1071&lt;24,pcomp_s,palt_s),MATCH($X1071,IF($T1071&lt;24,pcomp_k,palt_k),1)),""))</f>
        <v/>
      </c>
      <c r="AU1071">
        <f>IF($AR1071="","",IF($AR1071=0,LN($F1071/$AS1071)/$AT1071,((($F1071/$AS1071)^$AR1071)-1)/($AR1071*$AT1071)))</f>
        <v/>
      </c>
      <c r="AV1071">
        <f>IF($AR1071="","",IF($AR1071=0,$AS1071*EXP($AT1071*2),$AS1071*(1+$AR1071*$AT1071*2)^(1/$AR1071)))</f>
        <v/>
      </c>
      <c r="AW1071">
        <f>IF($AR1071="","",IF($AR1071=0,$AS1071*EXP($AT1071*3),$AS1071*(1+$AR1071*$AT1071*3)^(1/$AR1071)))</f>
        <v/>
      </c>
      <c r="AX1071">
        <f>IF($AR1071="","",IF($AR1071=0,$AS1071*EXP($AT1071*-2),$AS1071*(1+$AR1071*$AT1071*-2)^(1/$AR1071)))</f>
        <v/>
      </c>
      <c r="AY1071">
        <f>IF($AR1071="","",IF($AR1071=0,$AS1071*EXP($AT1071*-3),$AS1071*(1+$AR1071*$AT1071*-3)^(1/$AR1071)))</f>
        <v/>
      </c>
      <c r="AZ1071">
        <f>IF(OR($A1071="",$A1071&lt;&gt;Ficha!$C$4),"",COUNTIF($A$2:$A1071,Ficha!$C$4))</f>
        <v/>
      </c>
    </row>
    <row r="1072">
      <c r="A1072" s="8">
        <f>IF(INDEX(Banco!$A:$A,ROW())="","",INDEX(Banco!$A:$A,ROW()))</f>
        <v/>
      </c>
      <c r="B1072" s="8">
        <f>IF(INDEX(Banco!$B:$B,ROW())="","",INDEX(Banco!$B:$B,ROW()))</f>
        <v/>
      </c>
      <c r="C1072" s="8">
        <f>IF(INDEX(Banco!$C:$C,ROW())="","",INDEX(Banco!$C:$C,ROW()))</f>
        <v/>
      </c>
      <c r="D1072" s="9">
        <f>IF(INDEX(Banco!$D:$D,ROW())="","",INDEX(Banco!$D:$D,ROW()))</f>
        <v/>
      </c>
      <c r="E1072" s="9">
        <f>IF(INDEX(Banco!$E:$E,ROW())="","",INDEX(Banco!$E:$E,ROW()))</f>
        <v/>
      </c>
      <c r="F1072" s="10">
        <f>IF(INDEX(Banco!$F:$F,ROW())="","",INDEX(Banco!$F:$F,ROW()))</f>
        <v/>
      </c>
      <c r="G1072" s="10">
        <f>IF(INDEX(Banco!$G:$G,ROW())="","",INDEX(Banco!$G:$G,ROW()))</f>
        <v/>
      </c>
      <c r="H1072" s="8">
        <f>IF(INDEX(Banco!$H:$H,ROW())="","",INDEX(Banco!$H:$H,ROW()))</f>
        <v/>
      </c>
      <c r="I1072">
        <f>IF($T1072="","",INT($T1072/12)&amp;"a "&amp;MOD($T1072,12)&amp;"m")</f>
        <v/>
      </c>
      <c r="J1072" s="11">
        <f>IF(OR($F1072="",$G1072=""),"",ROUND($F1072/($G1072/100)^2,2))</f>
        <v/>
      </c>
      <c r="K1072" s="12">
        <f>IF(OR($S1072="",$J1072="",$T1072="",$T1072&lt;0,$T1072&gt;228,$Y1072=""),"—",ROUND(IF(ABS($AB1072)&lt;=3,$AB1072,IF($AB1072&gt;3,3+($J1072-$AD1072)/($AD1072-$AC1072),-3+($J1072-$AF1072)/($AE1072-$AF1072))),2))</f>
        <v/>
      </c>
      <c r="L1072">
        <f>IF(OR($K1072="",$K1072="—"),"",IF($T1072&lt;=60,IF($K1072&lt;-3,"Magreza acentuada",IF($K1072&lt;-2,"Magreza",IF($K1072&lt;=1,"Eutrofia",IF($K1072&lt;=2,"Risco de sobrepeso",IF($K1072&lt;=3,"Sobrepeso","Obesidade"))))),IF($K1072&lt;-3,"Magreza acentuada",IF($K1072&lt;-2,"Magreza",IF($K1072&lt;=1,"Eutrofia",IF($K1072&lt;=2,"Sobrepeso",IF($K1072&lt;=3,"Obesidade","Obesidade grave")))))))</f>
        <v/>
      </c>
      <c r="M1072" s="12">
        <f>IF(OR($S1072="",$V1072="",$T1072="",$T1072&lt;0,$T1072&gt;228,$AG1072=""),"—",ROUND(IF($AG1072=0,LN($V1072/$AH1072)/$AI1072,((($V1072/$AH1072)^$AG1072)-1)/($AG1072*$AI1072)),2))</f>
        <v/>
      </c>
      <c r="N1072">
        <f>IF(OR($M1072="",$M1072="—"),"",IF($M1072&lt;-3,"Muito baixa",IF($M1072&lt;-2,"Baixa","Adequada")))</f>
        <v/>
      </c>
      <c r="O1072" s="12">
        <f>IF(OR($S1072="",$F1072="",$T1072="",$T1072&lt;0,$T1072&gt;120,$AJ1072=""),"—",ROUND(IF(ABS($AM1072)&lt;=3,$AM1072,IF($AM1072&gt;3,3+($F1072-$AO1072)/($AO1072-$AN1072),-3+($F1072-$AQ1072)/($AP1072-$AQ1072))),2))</f>
        <v/>
      </c>
      <c r="P1072">
        <f>IF(OR($O1072="",$O1072="—"),"",IF($O1072&lt;-3,"Muito baixo",IF($O1072&lt;-2,"Baixo",IF($O1072&lt;=2,"Adequado","Elevado"))))</f>
        <v/>
      </c>
      <c r="Q1072" s="12">
        <f>IF(OR($S1072="",$F1072="",$T1072="",$T1072&lt;0,$T1072&gt;60,$AR1072=""),"—",ROUND(IF(ABS($AU1072)&lt;=3,$AU1072,IF($AU1072&gt;3,3+($F1072-$AW1072)/($AW1072-$AV1072),-3+($F1072-$AY1072)/($AX1072-$AY1072))),2))</f>
        <v/>
      </c>
      <c r="R1072">
        <f>IF(OR($Q1072="",$Q1072="—"),"",IF($Q1072&lt;-3,"Magreza acentuada",IF($Q1072&lt;-2,"Magreza",IF($Q1072&lt;=1,"Eutrofia",IF($Q1072&lt;=2,"Risco de sobrepeso",IF($Q1072&lt;=3,"Sobrepeso","Obesidade"))))))</f>
        <v/>
      </c>
      <c r="S1072">
        <f>IF($C1072="","",IF(UPPER(LEFT($C1072,1))="M",1,IF(UPPER(LEFT($C1072,1))="F",2,"")))</f>
        <v/>
      </c>
      <c r="T1072">
        <f>IF(OR($D1072="",$E1072=""),"",DATEDIF($D1072,$E1072,"m"))</f>
        <v/>
      </c>
      <c r="U1072">
        <f>IF(OR($D1072="",$E1072=""),"",$E1072-$D1072)</f>
        <v/>
      </c>
      <c r="V1072">
        <f>IF(OR($G1072="",$T1072=""),"",IF($T1072&lt;24,IF(LEFT(LOWER($H1072),4)="em p",$G1072+0.7,$G1072),IF(LEFT(LOWER($H1072),4)="deit",$G1072-0.7,$G1072)))</f>
        <v/>
      </c>
      <c r="W1072">
        <f>IF(OR($S1072="",$T1072=""),"",$S1072*1000000+IF($T1072&lt;=60,$U1072,$T1072))</f>
        <v/>
      </c>
      <c r="X1072">
        <f>IF(OR($S1072="",$V1072="",$T1072&gt;60,$T1072=""),"",$S1072*1000000+ROUND($V1072*10,0))</f>
        <v/>
      </c>
      <c r="Y1072">
        <f>IF($W1072="","",IFERROR(INDEX(IF($T1072&lt;=60,imc05_l,imc519_l),MATCH($W1072,IF($T1072&lt;=60,imc05_k,imc519_k),1)),""))</f>
        <v/>
      </c>
      <c r="Z1072">
        <f>IF($W1072="","",IFERROR(INDEX(IF($T1072&lt;=60,imc05_m,imc519_m),MATCH($W1072,IF($T1072&lt;=60,imc05_k,imc519_k),1)),""))</f>
        <v/>
      </c>
      <c r="AA1072">
        <f>IF($W1072="","",IFERROR(INDEX(IF($T1072&lt;=60,imc05_s,imc519_s),MATCH($W1072,IF($T1072&lt;=60,imc05_k,imc519_k),1)),""))</f>
        <v/>
      </c>
      <c r="AB1072">
        <f>IF($Y1072="","",IF($Y1072=0,LN($J1072/$Z1072)/$AA1072,((($J1072/$Z1072)^$Y1072)-1)/($Y1072*$AA1072)))</f>
        <v/>
      </c>
      <c r="AC1072">
        <f>IF($Y1072="","",IF($Y1072=0,$Z1072*EXP($AA1072*2),$Z1072*(1+$Y1072*$AA1072*2)^(1/$Y1072)))</f>
        <v/>
      </c>
      <c r="AD1072">
        <f>IF($Y1072="","",IF($Y1072=0,$Z1072*EXP($AA1072*3),$Z1072*(1+$Y1072*$AA1072*3)^(1/$Y1072)))</f>
        <v/>
      </c>
      <c r="AE1072">
        <f>IF($Y1072="","",IF($Y1072=0,$Z1072*EXP($AA1072*-2),$Z1072*(1+$Y1072*$AA1072*-2)^(1/$Y1072)))</f>
        <v/>
      </c>
      <c r="AF1072">
        <f>IF($Y1072="","",IF($Y1072=0,$Z1072*EXP($AA1072*-3),$Z1072*(1+$Y1072*$AA1072*-3)^(1/$Y1072)))</f>
        <v/>
      </c>
      <c r="AG1072">
        <f>IF($W1072="","",IFERROR(INDEX(IF($T1072&lt;=60,est05_l,est519_l),MATCH($W1072,IF($T1072&lt;=60,est05_k,est519_k),1)),""))</f>
        <v/>
      </c>
      <c r="AH1072">
        <f>IF($W1072="","",IFERROR(INDEX(IF($T1072&lt;=60,est05_m,est519_m),MATCH($W1072,IF($T1072&lt;=60,est05_k,est519_k),1)),""))</f>
        <v/>
      </c>
      <c r="AI1072">
        <f>IF($W1072="","",IFERROR(INDEX(IF($T1072&lt;=60,est05_s,est519_s),MATCH($W1072,IF($T1072&lt;=60,est05_k,est519_k),1)),""))</f>
        <v/>
      </c>
      <c r="AJ1072">
        <f>IF($W1072="","",IFERROR(INDEX(IF($T1072&lt;=60,peso05_l,peso510_l),MATCH($W1072,IF($T1072&lt;=60,peso05_k,peso510_k),1)),""))</f>
        <v/>
      </c>
      <c r="AK1072">
        <f>IF($W1072="","",IFERROR(INDEX(IF($T1072&lt;=60,peso05_m,peso510_m),MATCH($W1072,IF($T1072&lt;=60,peso05_k,peso510_k),1)),""))</f>
        <v/>
      </c>
      <c r="AL1072">
        <f>IF($W1072="","",IFERROR(INDEX(IF($T1072&lt;=60,peso05_s,peso510_s),MATCH($W1072,IF($T1072&lt;=60,peso05_k,peso510_k),1)),""))</f>
        <v/>
      </c>
      <c r="AM1072">
        <f>IF($AJ1072="","",IF($AJ1072=0,LN($F1072/$AK1072)/$AL1072,((($F1072/$AK1072)^$AJ1072)-1)/($AJ1072*$AL1072)))</f>
        <v/>
      </c>
      <c r="AN1072">
        <f>IF($AJ1072="","",IF($AJ1072=0,$AK1072*EXP($AL1072*2),$AK1072*(1+$AJ1072*$AL1072*2)^(1/$AJ1072)))</f>
        <v/>
      </c>
      <c r="AO1072">
        <f>IF($AJ1072="","",IF($AJ1072=0,$AK1072*EXP($AL1072*3),$AK1072*(1+$AJ1072*$AL1072*3)^(1/$AJ1072)))</f>
        <v/>
      </c>
      <c r="AP1072">
        <f>IF($AJ1072="","",IF($AJ1072=0,$AK1072*EXP($AL1072*-2),$AK1072*(1+$AJ1072*$AL1072*-2)^(1/$AJ1072)))</f>
        <v/>
      </c>
      <c r="AQ1072">
        <f>IF($AJ1072="","",IF($AJ1072=0,$AK1072*EXP($AL1072*-3),$AK1072*(1+$AJ1072*$AL1072*-3)^(1/$AJ1072)))</f>
        <v/>
      </c>
      <c r="AR1072">
        <f>IF(OR($X1072="",$T1072&gt;60),"",IFERROR(INDEX(IF($T1072&lt;24,pcomp_l,palt_l),MATCH($X1072,IF($T1072&lt;24,pcomp_k,palt_k),1)),""))</f>
        <v/>
      </c>
      <c r="AS1072">
        <f>IF(OR($X1072="",$T1072&gt;60),"",IFERROR(INDEX(IF($T1072&lt;24,pcomp_m,palt_m),MATCH($X1072,IF($T1072&lt;24,pcomp_k,palt_k),1)),""))</f>
        <v/>
      </c>
      <c r="AT1072">
        <f>IF(OR($X1072="",$T1072&gt;60),"",IFERROR(INDEX(IF($T1072&lt;24,pcomp_s,palt_s),MATCH($X1072,IF($T1072&lt;24,pcomp_k,palt_k),1)),""))</f>
        <v/>
      </c>
      <c r="AU1072">
        <f>IF($AR1072="","",IF($AR1072=0,LN($F1072/$AS1072)/$AT1072,((($F1072/$AS1072)^$AR1072)-1)/($AR1072*$AT1072)))</f>
        <v/>
      </c>
      <c r="AV1072">
        <f>IF($AR1072="","",IF($AR1072=0,$AS1072*EXP($AT1072*2),$AS1072*(1+$AR1072*$AT1072*2)^(1/$AR1072)))</f>
        <v/>
      </c>
      <c r="AW1072">
        <f>IF($AR1072="","",IF($AR1072=0,$AS1072*EXP($AT1072*3),$AS1072*(1+$AR1072*$AT1072*3)^(1/$AR1072)))</f>
        <v/>
      </c>
      <c r="AX1072">
        <f>IF($AR1072="","",IF($AR1072=0,$AS1072*EXP($AT1072*-2),$AS1072*(1+$AR1072*$AT1072*-2)^(1/$AR1072)))</f>
        <v/>
      </c>
      <c r="AY1072">
        <f>IF($AR1072="","",IF($AR1072=0,$AS1072*EXP($AT1072*-3),$AS1072*(1+$AR1072*$AT1072*-3)^(1/$AR1072)))</f>
        <v/>
      </c>
      <c r="AZ1072">
        <f>IF(OR($A1072="",$A1072&lt;&gt;Ficha!$C$4),"",COUNTIF($A$2:$A1072,Ficha!$C$4))</f>
        <v/>
      </c>
    </row>
    <row r="1073">
      <c r="A1073" s="8">
        <f>IF(INDEX(Banco!$A:$A,ROW())="","",INDEX(Banco!$A:$A,ROW()))</f>
        <v/>
      </c>
      <c r="B1073" s="8">
        <f>IF(INDEX(Banco!$B:$B,ROW())="","",INDEX(Banco!$B:$B,ROW()))</f>
        <v/>
      </c>
      <c r="C1073" s="8">
        <f>IF(INDEX(Banco!$C:$C,ROW())="","",INDEX(Banco!$C:$C,ROW()))</f>
        <v/>
      </c>
      <c r="D1073" s="9">
        <f>IF(INDEX(Banco!$D:$D,ROW())="","",INDEX(Banco!$D:$D,ROW()))</f>
        <v/>
      </c>
      <c r="E1073" s="9">
        <f>IF(INDEX(Banco!$E:$E,ROW())="","",INDEX(Banco!$E:$E,ROW()))</f>
        <v/>
      </c>
      <c r="F1073" s="10">
        <f>IF(INDEX(Banco!$F:$F,ROW())="","",INDEX(Banco!$F:$F,ROW()))</f>
        <v/>
      </c>
      <c r="G1073" s="10">
        <f>IF(INDEX(Banco!$G:$G,ROW())="","",INDEX(Banco!$G:$G,ROW()))</f>
        <v/>
      </c>
      <c r="H1073" s="8">
        <f>IF(INDEX(Banco!$H:$H,ROW())="","",INDEX(Banco!$H:$H,ROW()))</f>
        <v/>
      </c>
      <c r="I1073">
        <f>IF($T1073="","",INT($T1073/12)&amp;"a "&amp;MOD($T1073,12)&amp;"m")</f>
        <v/>
      </c>
      <c r="J1073" s="11">
        <f>IF(OR($F1073="",$G1073=""),"",ROUND($F1073/($G1073/100)^2,2))</f>
        <v/>
      </c>
      <c r="K1073" s="12">
        <f>IF(OR($S1073="",$J1073="",$T1073="",$T1073&lt;0,$T1073&gt;228,$Y1073=""),"—",ROUND(IF(ABS($AB1073)&lt;=3,$AB1073,IF($AB1073&gt;3,3+($J1073-$AD1073)/($AD1073-$AC1073),-3+($J1073-$AF1073)/($AE1073-$AF1073))),2))</f>
        <v/>
      </c>
      <c r="L1073">
        <f>IF(OR($K1073="",$K1073="—"),"",IF($T1073&lt;=60,IF($K1073&lt;-3,"Magreza acentuada",IF($K1073&lt;-2,"Magreza",IF($K1073&lt;=1,"Eutrofia",IF($K1073&lt;=2,"Risco de sobrepeso",IF($K1073&lt;=3,"Sobrepeso","Obesidade"))))),IF($K1073&lt;-3,"Magreza acentuada",IF($K1073&lt;-2,"Magreza",IF($K1073&lt;=1,"Eutrofia",IF($K1073&lt;=2,"Sobrepeso",IF($K1073&lt;=3,"Obesidade","Obesidade grave")))))))</f>
        <v/>
      </c>
      <c r="M1073" s="12">
        <f>IF(OR($S1073="",$V1073="",$T1073="",$T1073&lt;0,$T1073&gt;228,$AG1073=""),"—",ROUND(IF($AG1073=0,LN($V1073/$AH1073)/$AI1073,((($V1073/$AH1073)^$AG1073)-1)/($AG1073*$AI1073)),2))</f>
        <v/>
      </c>
      <c r="N1073">
        <f>IF(OR($M1073="",$M1073="—"),"",IF($M1073&lt;-3,"Muito baixa",IF($M1073&lt;-2,"Baixa","Adequada")))</f>
        <v/>
      </c>
      <c r="O1073" s="12">
        <f>IF(OR($S1073="",$F1073="",$T1073="",$T1073&lt;0,$T1073&gt;120,$AJ1073=""),"—",ROUND(IF(ABS($AM1073)&lt;=3,$AM1073,IF($AM1073&gt;3,3+($F1073-$AO1073)/($AO1073-$AN1073),-3+($F1073-$AQ1073)/($AP1073-$AQ1073))),2))</f>
        <v/>
      </c>
      <c r="P1073">
        <f>IF(OR($O1073="",$O1073="—"),"",IF($O1073&lt;-3,"Muito baixo",IF($O1073&lt;-2,"Baixo",IF($O1073&lt;=2,"Adequado","Elevado"))))</f>
        <v/>
      </c>
      <c r="Q1073" s="12">
        <f>IF(OR($S1073="",$F1073="",$T1073="",$T1073&lt;0,$T1073&gt;60,$AR1073=""),"—",ROUND(IF(ABS($AU1073)&lt;=3,$AU1073,IF($AU1073&gt;3,3+($F1073-$AW1073)/($AW1073-$AV1073),-3+($F1073-$AY1073)/($AX1073-$AY1073))),2))</f>
        <v/>
      </c>
      <c r="R1073">
        <f>IF(OR($Q1073="",$Q1073="—"),"",IF($Q1073&lt;-3,"Magreza acentuada",IF($Q1073&lt;-2,"Magreza",IF($Q1073&lt;=1,"Eutrofia",IF($Q1073&lt;=2,"Risco de sobrepeso",IF($Q1073&lt;=3,"Sobrepeso","Obesidade"))))))</f>
        <v/>
      </c>
      <c r="S1073">
        <f>IF($C1073="","",IF(UPPER(LEFT($C1073,1))="M",1,IF(UPPER(LEFT($C1073,1))="F",2,"")))</f>
        <v/>
      </c>
      <c r="T1073">
        <f>IF(OR($D1073="",$E1073=""),"",DATEDIF($D1073,$E1073,"m"))</f>
        <v/>
      </c>
      <c r="U1073">
        <f>IF(OR($D1073="",$E1073=""),"",$E1073-$D1073)</f>
        <v/>
      </c>
      <c r="V1073">
        <f>IF(OR($G1073="",$T1073=""),"",IF($T1073&lt;24,IF(LEFT(LOWER($H1073),4)="em p",$G1073+0.7,$G1073),IF(LEFT(LOWER($H1073),4)="deit",$G1073-0.7,$G1073)))</f>
        <v/>
      </c>
      <c r="W1073">
        <f>IF(OR($S1073="",$T1073=""),"",$S1073*1000000+IF($T1073&lt;=60,$U1073,$T1073))</f>
        <v/>
      </c>
      <c r="X1073">
        <f>IF(OR($S1073="",$V1073="",$T1073&gt;60,$T1073=""),"",$S1073*1000000+ROUND($V1073*10,0))</f>
        <v/>
      </c>
      <c r="Y1073">
        <f>IF($W1073="","",IFERROR(INDEX(IF($T1073&lt;=60,imc05_l,imc519_l),MATCH($W1073,IF($T1073&lt;=60,imc05_k,imc519_k),1)),""))</f>
        <v/>
      </c>
      <c r="Z1073">
        <f>IF($W1073="","",IFERROR(INDEX(IF($T1073&lt;=60,imc05_m,imc519_m),MATCH($W1073,IF($T1073&lt;=60,imc05_k,imc519_k),1)),""))</f>
        <v/>
      </c>
      <c r="AA1073">
        <f>IF($W1073="","",IFERROR(INDEX(IF($T1073&lt;=60,imc05_s,imc519_s),MATCH($W1073,IF($T1073&lt;=60,imc05_k,imc519_k),1)),""))</f>
        <v/>
      </c>
      <c r="AB1073">
        <f>IF($Y1073="","",IF($Y1073=0,LN($J1073/$Z1073)/$AA1073,((($J1073/$Z1073)^$Y1073)-1)/($Y1073*$AA1073)))</f>
        <v/>
      </c>
      <c r="AC1073">
        <f>IF($Y1073="","",IF($Y1073=0,$Z1073*EXP($AA1073*2),$Z1073*(1+$Y1073*$AA1073*2)^(1/$Y1073)))</f>
        <v/>
      </c>
      <c r="AD1073">
        <f>IF($Y1073="","",IF($Y1073=0,$Z1073*EXP($AA1073*3),$Z1073*(1+$Y1073*$AA1073*3)^(1/$Y1073)))</f>
        <v/>
      </c>
      <c r="AE1073">
        <f>IF($Y1073="","",IF($Y1073=0,$Z1073*EXP($AA1073*-2),$Z1073*(1+$Y1073*$AA1073*-2)^(1/$Y1073)))</f>
        <v/>
      </c>
      <c r="AF1073">
        <f>IF($Y1073="","",IF($Y1073=0,$Z1073*EXP($AA1073*-3),$Z1073*(1+$Y1073*$AA1073*-3)^(1/$Y1073)))</f>
        <v/>
      </c>
      <c r="AG1073">
        <f>IF($W1073="","",IFERROR(INDEX(IF($T1073&lt;=60,est05_l,est519_l),MATCH($W1073,IF($T1073&lt;=60,est05_k,est519_k),1)),""))</f>
        <v/>
      </c>
      <c r="AH1073">
        <f>IF($W1073="","",IFERROR(INDEX(IF($T1073&lt;=60,est05_m,est519_m),MATCH($W1073,IF($T1073&lt;=60,est05_k,est519_k),1)),""))</f>
        <v/>
      </c>
      <c r="AI1073">
        <f>IF($W1073="","",IFERROR(INDEX(IF($T1073&lt;=60,est05_s,est519_s),MATCH($W1073,IF($T1073&lt;=60,est05_k,est519_k),1)),""))</f>
        <v/>
      </c>
      <c r="AJ1073">
        <f>IF($W1073="","",IFERROR(INDEX(IF($T1073&lt;=60,peso05_l,peso510_l),MATCH($W1073,IF($T1073&lt;=60,peso05_k,peso510_k),1)),""))</f>
        <v/>
      </c>
      <c r="AK1073">
        <f>IF($W1073="","",IFERROR(INDEX(IF($T1073&lt;=60,peso05_m,peso510_m),MATCH($W1073,IF($T1073&lt;=60,peso05_k,peso510_k),1)),""))</f>
        <v/>
      </c>
      <c r="AL1073">
        <f>IF($W1073="","",IFERROR(INDEX(IF($T1073&lt;=60,peso05_s,peso510_s),MATCH($W1073,IF($T1073&lt;=60,peso05_k,peso510_k),1)),""))</f>
        <v/>
      </c>
      <c r="AM1073">
        <f>IF($AJ1073="","",IF($AJ1073=0,LN($F1073/$AK1073)/$AL1073,((($F1073/$AK1073)^$AJ1073)-1)/($AJ1073*$AL1073)))</f>
        <v/>
      </c>
      <c r="AN1073">
        <f>IF($AJ1073="","",IF($AJ1073=0,$AK1073*EXP($AL1073*2),$AK1073*(1+$AJ1073*$AL1073*2)^(1/$AJ1073)))</f>
        <v/>
      </c>
      <c r="AO1073">
        <f>IF($AJ1073="","",IF($AJ1073=0,$AK1073*EXP($AL1073*3),$AK1073*(1+$AJ1073*$AL1073*3)^(1/$AJ1073)))</f>
        <v/>
      </c>
      <c r="AP1073">
        <f>IF($AJ1073="","",IF($AJ1073=0,$AK1073*EXP($AL1073*-2),$AK1073*(1+$AJ1073*$AL1073*-2)^(1/$AJ1073)))</f>
        <v/>
      </c>
      <c r="AQ1073">
        <f>IF($AJ1073="","",IF($AJ1073=0,$AK1073*EXP($AL1073*-3),$AK1073*(1+$AJ1073*$AL1073*-3)^(1/$AJ1073)))</f>
        <v/>
      </c>
      <c r="AR1073">
        <f>IF(OR($X1073="",$T1073&gt;60),"",IFERROR(INDEX(IF($T1073&lt;24,pcomp_l,palt_l),MATCH($X1073,IF($T1073&lt;24,pcomp_k,palt_k),1)),""))</f>
        <v/>
      </c>
      <c r="AS1073">
        <f>IF(OR($X1073="",$T1073&gt;60),"",IFERROR(INDEX(IF($T1073&lt;24,pcomp_m,palt_m),MATCH($X1073,IF($T1073&lt;24,pcomp_k,palt_k),1)),""))</f>
        <v/>
      </c>
      <c r="AT1073">
        <f>IF(OR($X1073="",$T1073&gt;60),"",IFERROR(INDEX(IF($T1073&lt;24,pcomp_s,palt_s),MATCH($X1073,IF($T1073&lt;24,pcomp_k,palt_k),1)),""))</f>
        <v/>
      </c>
      <c r="AU1073">
        <f>IF($AR1073="","",IF($AR1073=0,LN($F1073/$AS1073)/$AT1073,((($F1073/$AS1073)^$AR1073)-1)/($AR1073*$AT1073)))</f>
        <v/>
      </c>
      <c r="AV1073">
        <f>IF($AR1073="","",IF($AR1073=0,$AS1073*EXP($AT1073*2),$AS1073*(1+$AR1073*$AT1073*2)^(1/$AR1073)))</f>
        <v/>
      </c>
      <c r="AW1073">
        <f>IF($AR1073="","",IF($AR1073=0,$AS1073*EXP($AT1073*3),$AS1073*(1+$AR1073*$AT1073*3)^(1/$AR1073)))</f>
        <v/>
      </c>
      <c r="AX1073">
        <f>IF($AR1073="","",IF($AR1073=0,$AS1073*EXP($AT1073*-2),$AS1073*(1+$AR1073*$AT1073*-2)^(1/$AR1073)))</f>
        <v/>
      </c>
      <c r="AY1073">
        <f>IF($AR1073="","",IF($AR1073=0,$AS1073*EXP($AT1073*-3),$AS1073*(1+$AR1073*$AT1073*-3)^(1/$AR1073)))</f>
        <v/>
      </c>
      <c r="AZ1073">
        <f>IF(OR($A1073="",$A1073&lt;&gt;Ficha!$C$4),"",COUNTIF($A$2:$A1073,Ficha!$C$4))</f>
        <v/>
      </c>
    </row>
    <row r="1074">
      <c r="A1074" s="8">
        <f>IF(INDEX(Banco!$A:$A,ROW())="","",INDEX(Banco!$A:$A,ROW()))</f>
        <v/>
      </c>
      <c r="B1074" s="8">
        <f>IF(INDEX(Banco!$B:$B,ROW())="","",INDEX(Banco!$B:$B,ROW()))</f>
        <v/>
      </c>
      <c r="C1074" s="8">
        <f>IF(INDEX(Banco!$C:$C,ROW())="","",INDEX(Banco!$C:$C,ROW()))</f>
        <v/>
      </c>
      <c r="D1074" s="9">
        <f>IF(INDEX(Banco!$D:$D,ROW())="","",INDEX(Banco!$D:$D,ROW()))</f>
        <v/>
      </c>
      <c r="E1074" s="9">
        <f>IF(INDEX(Banco!$E:$E,ROW())="","",INDEX(Banco!$E:$E,ROW()))</f>
        <v/>
      </c>
      <c r="F1074" s="10">
        <f>IF(INDEX(Banco!$F:$F,ROW())="","",INDEX(Banco!$F:$F,ROW()))</f>
        <v/>
      </c>
      <c r="G1074" s="10">
        <f>IF(INDEX(Banco!$G:$G,ROW())="","",INDEX(Banco!$G:$G,ROW()))</f>
        <v/>
      </c>
      <c r="H1074" s="8">
        <f>IF(INDEX(Banco!$H:$H,ROW())="","",INDEX(Banco!$H:$H,ROW()))</f>
        <v/>
      </c>
      <c r="I1074">
        <f>IF($T1074="","",INT($T1074/12)&amp;"a "&amp;MOD($T1074,12)&amp;"m")</f>
        <v/>
      </c>
      <c r="J1074" s="11">
        <f>IF(OR($F1074="",$G1074=""),"",ROUND($F1074/($G1074/100)^2,2))</f>
        <v/>
      </c>
      <c r="K1074" s="12">
        <f>IF(OR($S1074="",$J1074="",$T1074="",$T1074&lt;0,$T1074&gt;228,$Y1074=""),"—",ROUND(IF(ABS($AB1074)&lt;=3,$AB1074,IF($AB1074&gt;3,3+($J1074-$AD1074)/($AD1074-$AC1074),-3+($J1074-$AF1074)/($AE1074-$AF1074))),2))</f>
        <v/>
      </c>
      <c r="L1074">
        <f>IF(OR($K1074="",$K1074="—"),"",IF($T1074&lt;=60,IF($K1074&lt;-3,"Magreza acentuada",IF($K1074&lt;-2,"Magreza",IF($K1074&lt;=1,"Eutrofia",IF($K1074&lt;=2,"Risco de sobrepeso",IF($K1074&lt;=3,"Sobrepeso","Obesidade"))))),IF($K1074&lt;-3,"Magreza acentuada",IF($K1074&lt;-2,"Magreza",IF($K1074&lt;=1,"Eutrofia",IF($K1074&lt;=2,"Sobrepeso",IF($K1074&lt;=3,"Obesidade","Obesidade grave")))))))</f>
        <v/>
      </c>
      <c r="M1074" s="12">
        <f>IF(OR($S1074="",$V1074="",$T1074="",$T1074&lt;0,$T1074&gt;228,$AG1074=""),"—",ROUND(IF($AG1074=0,LN($V1074/$AH1074)/$AI1074,((($V1074/$AH1074)^$AG1074)-1)/($AG1074*$AI1074)),2))</f>
        <v/>
      </c>
      <c r="N1074">
        <f>IF(OR($M1074="",$M1074="—"),"",IF($M1074&lt;-3,"Muito baixa",IF($M1074&lt;-2,"Baixa","Adequada")))</f>
        <v/>
      </c>
      <c r="O1074" s="12">
        <f>IF(OR($S1074="",$F1074="",$T1074="",$T1074&lt;0,$T1074&gt;120,$AJ1074=""),"—",ROUND(IF(ABS($AM1074)&lt;=3,$AM1074,IF($AM1074&gt;3,3+($F1074-$AO1074)/($AO1074-$AN1074),-3+($F1074-$AQ1074)/($AP1074-$AQ1074))),2))</f>
        <v/>
      </c>
      <c r="P1074">
        <f>IF(OR($O1074="",$O1074="—"),"",IF($O1074&lt;-3,"Muito baixo",IF($O1074&lt;-2,"Baixo",IF($O1074&lt;=2,"Adequado","Elevado"))))</f>
        <v/>
      </c>
      <c r="Q1074" s="12">
        <f>IF(OR($S1074="",$F1074="",$T1074="",$T1074&lt;0,$T1074&gt;60,$AR1074=""),"—",ROUND(IF(ABS($AU1074)&lt;=3,$AU1074,IF($AU1074&gt;3,3+($F1074-$AW1074)/($AW1074-$AV1074),-3+($F1074-$AY1074)/($AX1074-$AY1074))),2))</f>
        <v/>
      </c>
      <c r="R1074">
        <f>IF(OR($Q1074="",$Q1074="—"),"",IF($Q1074&lt;-3,"Magreza acentuada",IF($Q1074&lt;-2,"Magreza",IF($Q1074&lt;=1,"Eutrofia",IF($Q1074&lt;=2,"Risco de sobrepeso",IF($Q1074&lt;=3,"Sobrepeso","Obesidade"))))))</f>
        <v/>
      </c>
      <c r="S1074">
        <f>IF($C1074="","",IF(UPPER(LEFT($C1074,1))="M",1,IF(UPPER(LEFT($C1074,1))="F",2,"")))</f>
        <v/>
      </c>
      <c r="T1074">
        <f>IF(OR($D1074="",$E1074=""),"",DATEDIF($D1074,$E1074,"m"))</f>
        <v/>
      </c>
      <c r="U1074">
        <f>IF(OR($D1074="",$E1074=""),"",$E1074-$D1074)</f>
        <v/>
      </c>
      <c r="V1074">
        <f>IF(OR($G1074="",$T1074=""),"",IF($T1074&lt;24,IF(LEFT(LOWER($H1074),4)="em p",$G1074+0.7,$G1074),IF(LEFT(LOWER($H1074),4)="deit",$G1074-0.7,$G1074)))</f>
        <v/>
      </c>
      <c r="W1074">
        <f>IF(OR($S1074="",$T1074=""),"",$S1074*1000000+IF($T1074&lt;=60,$U1074,$T1074))</f>
        <v/>
      </c>
      <c r="X1074">
        <f>IF(OR($S1074="",$V1074="",$T1074&gt;60,$T1074=""),"",$S1074*1000000+ROUND($V1074*10,0))</f>
        <v/>
      </c>
      <c r="Y1074">
        <f>IF($W1074="","",IFERROR(INDEX(IF($T1074&lt;=60,imc05_l,imc519_l),MATCH($W1074,IF($T1074&lt;=60,imc05_k,imc519_k),1)),""))</f>
        <v/>
      </c>
      <c r="Z1074">
        <f>IF($W1074="","",IFERROR(INDEX(IF($T1074&lt;=60,imc05_m,imc519_m),MATCH($W1074,IF($T1074&lt;=60,imc05_k,imc519_k),1)),""))</f>
        <v/>
      </c>
      <c r="AA1074">
        <f>IF($W1074="","",IFERROR(INDEX(IF($T1074&lt;=60,imc05_s,imc519_s),MATCH($W1074,IF($T1074&lt;=60,imc05_k,imc519_k),1)),""))</f>
        <v/>
      </c>
      <c r="AB1074">
        <f>IF($Y1074="","",IF($Y1074=0,LN($J1074/$Z1074)/$AA1074,((($J1074/$Z1074)^$Y1074)-1)/($Y1074*$AA1074)))</f>
        <v/>
      </c>
      <c r="AC1074">
        <f>IF($Y1074="","",IF($Y1074=0,$Z1074*EXP($AA1074*2),$Z1074*(1+$Y1074*$AA1074*2)^(1/$Y1074)))</f>
        <v/>
      </c>
      <c r="AD1074">
        <f>IF($Y1074="","",IF($Y1074=0,$Z1074*EXP($AA1074*3),$Z1074*(1+$Y1074*$AA1074*3)^(1/$Y1074)))</f>
        <v/>
      </c>
      <c r="AE1074">
        <f>IF($Y1074="","",IF($Y1074=0,$Z1074*EXP($AA1074*-2),$Z1074*(1+$Y1074*$AA1074*-2)^(1/$Y1074)))</f>
        <v/>
      </c>
      <c r="AF1074">
        <f>IF($Y1074="","",IF($Y1074=0,$Z1074*EXP($AA1074*-3),$Z1074*(1+$Y1074*$AA1074*-3)^(1/$Y1074)))</f>
        <v/>
      </c>
      <c r="AG1074">
        <f>IF($W1074="","",IFERROR(INDEX(IF($T1074&lt;=60,est05_l,est519_l),MATCH($W1074,IF($T1074&lt;=60,est05_k,est519_k),1)),""))</f>
        <v/>
      </c>
      <c r="AH1074">
        <f>IF($W1074="","",IFERROR(INDEX(IF($T1074&lt;=60,est05_m,est519_m),MATCH($W1074,IF($T1074&lt;=60,est05_k,est519_k),1)),""))</f>
        <v/>
      </c>
      <c r="AI1074">
        <f>IF($W1074="","",IFERROR(INDEX(IF($T1074&lt;=60,est05_s,est519_s),MATCH($W1074,IF($T1074&lt;=60,est05_k,est519_k),1)),""))</f>
        <v/>
      </c>
      <c r="AJ1074">
        <f>IF($W1074="","",IFERROR(INDEX(IF($T1074&lt;=60,peso05_l,peso510_l),MATCH($W1074,IF($T1074&lt;=60,peso05_k,peso510_k),1)),""))</f>
        <v/>
      </c>
      <c r="AK1074">
        <f>IF($W1074="","",IFERROR(INDEX(IF($T1074&lt;=60,peso05_m,peso510_m),MATCH($W1074,IF($T1074&lt;=60,peso05_k,peso510_k),1)),""))</f>
        <v/>
      </c>
      <c r="AL1074">
        <f>IF($W1074="","",IFERROR(INDEX(IF($T1074&lt;=60,peso05_s,peso510_s),MATCH($W1074,IF($T1074&lt;=60,peso05_k,peso510_k),1)),""))</f>
        <v/>
      </c>
      <c r="AM1074">
        <f>IF($AJ1074="","",IF($AJ1074=0,LN($F1074/$AK1074)/$AL1074,((($F1074/$AK1074)^$AJ1074)-1)/($AJ1074*$AL1074)))</f>
        <v/>
      </c>
      <c r="AN1074">
        <f>IF($AJ1074="","",IF($AJ1074=0,$AK1074*EXP($AL1074*2),$AK1074*(1+$AJ1074*$AL1074*2)^(1/$AJ1074)))</f>
        <v/>
      </c>
      <c r="AO1074">
        <f>IF($AJ1074="","",IF($AJ1074=0,$AK1074*EXP($AL1074*3),$AK1074*(1+$AJ1074*$AL1074*3)^(1/$AJ1074)))</f>
        <v/>
      </c>
      <c r="AP1074">
        <f>IF($AJ1074="","",IF($AJ1074=0,$AK1074*EXP($AL1074*-2),$AK1074*(1+$AJ1074*$AL1074*-2)^(1/$AJ1074)))</f>
        <v/>
      </c>
      <c r="AQ1074">
        <f>IF($AJ1074="","",IF($AJ1074=0,$AK1074*EXP($AL1074*-3),$AK1074*(1+$AJ1074*$AL1074*-3)^(1/$AJ1074)))</f>
        <v/>
      </c>
      <c r="AR1074">
        <f>IF(OR($X1074="",$T1074&gt;60),"",IFERROR(INDEX(IF($T1074&lt;24,pcomp_l,palt_l),MATCH($X1074,IF($T1074&lt;24,pcomp_k,palt_k),1)),""))</f>
        <v/>
      </c>
      <c r="AS1074">
        <f>IF(OR($X1074="",$T1074&gt;60),"",IFERROR(INDEX(IF($T1074&lt;24,pcomp_m,palt_m),MATCH($X1074,IF($T1074&lt;24,pcomp_k,palt_k),1)),""))</f>
        <v/>
      </c>
      <c r="AT1074">
        <f>IF(OR($X1074="",$T1074&gt;60),"",IFERROR(INDEX(IF($T1074&lt;24,pcomp_s,palt_s),MATCH($X1074,IF($T1074&lt;24,pcomp_k,palt_k),1)),""))</f>
        <v/>
      </c>
      <c r="AU1074">
        <f>IF($AR1074="","",IF($AR1074=0,LN($F1074/$AS1074)/$AT1074,((($F1074/$AS1074)^$AR1074)-1)/($AR1074*$AT1074)))</f>
        <v/>
      </c>
      <c r="AV1074">
        <f>IF($AR1074="","",IF($AR1074=0,$AS1074*EXP($AT1074*2),$AS1074*(1+$AR1074*$AT1074*2)^(1/$AR1074)))</f>
        <v/>
      </c>
      <c r="AW1074">
        <f>IF($AR1074="","",IF($AR1074=0,$AS1074*EXP($AT1074*3),$AS1074*(1+$AR1074*$AT1074*3)^(1/$AR1074)))</f>
        <v/>
      </c>
      <c r="AX1074">
        <f>IF($AR1074="","",IF($AR1074=0,$AS1074*EXP($AT1074*-2),$AS1074*(1+$AR1074*$AT1074*-2)^(1/$AR1074)))</f>
        <v/>
      </c>
      <c r="AY1074">
        <f>IF($AR1074="","",IF($AR1074=0,$AS1074*EXP($AT1074*-3),$AS1074*(1+$AR1074*$AT1074*-3)^(1/$AR1074)))</f>
        <v/>
      </c>
      <c r="AZ1074">
        <f>IF(OR($A1074="",$A1074&lt;&gt;Ficha!$C$4),"",COUNTIF($A$2:$A1074,Ficha!$C$4))</f>
        <v/>
      </c>
    </row>
    <row r="1075">
      <c r="A1075" s="8">
        <f>IF(INDEX(Banco!$A:$A,ROW())="","",INDEX(Banco!$A:$A,ROW()))</f>
        <v/>
      </c>
      <c r="B1075" s="8">
        <f>IF(INDEX(Banco!$B:$B,ROW())="","",INDEX(Banco!$B:$B,ROW()))</f>
        <v/>
      </c>
      <c r="C1075" s="8">
        <f>IF(INDEX(Banco!$C:$C,ROW())="","",INDEX(Banco!$C:$C,ROW()))</f>
        <v/>
      </c>
      <c r="D1075" s="9">
        <f>IF(INDEX(Banco!$D:$D,ROW())="","",INDEX(Banco!$D:$D,ROW()))</f>
        <v/>
      </c>
      <c r="E1075" s="9">
        <f>IF(INDEX(Banco!$E:$E,ROW())="","",INDEX(Banco!$E:$E,ROW()))</f>
        <v/>
      </c>
      <c r="F1075" s="10">
        <f>IF(INDEX(Banco!$F:$F,ROW())="","",INDEX(Banco!$F:$F,ROW()))</f>
        <v/>
      </c>
      <c r="G1075" s="10">
        <f>IF(INDEX(Banco!$G:$G,ROW())="","",INDEX(Banco!$G:$G,ROW()))</f>
        <v/>
      </c>
      <c r="H1075" s="8">
        <f>IF(INDEX(Banco!$H:$H,ROW())="","",INDEX(Banco!$H:$H,ROW()))</f>
        <v/>
      </c>
      <c r="I1075">
        <f>IF($T1075="","",INT($T1075/12)&amp;"a "&amp;MOD($T1075,12)&amp;"m")</f>
        <v/>
      </c>
      <c r="J1075" s="11">
        <f>IF(OR($F1075="",$G1075=""),"",ROUND($F1075/($G1075/100)^2,2))</f>
        <v/>
      </c>
      <c r="K1075" s="12">
        <f>IF(OR($S1075="",$J1075="",$T1075="",$T1075&lt;0,$T1075&gt;228,$Y1075=""),"—",ROUND(IF(ABS($AB1075)&lt;=3,$AB1075,IF($AB1075&gt;3,3+($J1075-$AD1075)/($AD1075-$AC1075),-3+($J1075-$AF1075)/($AE1075-$AF1075))),2))</f>
        <v/>
      </c>
      <c r="L1075">
        <f>IF(OR($K1075="",$K1075="—"),"",IF($T1075&lt;=60,IF($K1075&lt;-3,"Magreza acentuada",IF($K1075&lt;-2,"Magreza",IF($K1075&lt;=1,"Eutrofia",IF($K1075&lt;=2,"Risco de sobrepeso",IF($K1075&lt;=3,"Sobrepeso","Obesidade"))))),IF($K1075&lt;-3,"Magreza acentuada",IF($K1075&lt;-2,"Magreza",IF($K1075&lt;=1,"Eutrofia",IF($K1075&lt;=2,"Sobrepeso",IF($K1075&lt;=3,"Obesidade","Obesidade grave")))))))</f>
        <v/>
      </c>
      <c r="M1075" s="12">
        <f>IF(OR($S1075="",$V1075="",$T1075="",$T1075&lt;0,$T1075&gt;228,$AG1075=""),"—",ROUND(IF($AG1075=0,LN($V1075/$AH1075)/$AI1075,((($V1075/$AH1075)^$AG1075)-1)/($AG1075*$AI1075)),2))</f>
        <v/>
      </c>
      <c r="N1075">
        <f>IF(OR($M1075="",$M1075="—"),"",IF($M1075&lt;-3,"Muito baixa",IF($M1075&lt;-2,"Baixa","Adequada")))</f>
        <v/>
      </c>
      <c r="O1075" s="12">
        <f>IF(OR($S1075="",$F1075="",$T1075="",$T1075&lt;0,$T1075&gt;120,$AJ1075=""),"—",ROUND(IF(ABS($AM1075)&lt;=3,$AM1075,IF($AM1075&gt;3,3+($F1075-$AO1075)/($AO1075-$AN1075),-3+($F1075-$AQ1075)/($AP1075-$AQ1075))),2))</f>
        <v/>
      </c>
      <c r="P1075">
        <f>IF(OR($O1075="",$O1075="—"),"",IF($O1075&lt;-3,"Muito baixo",IF($O1075&lt;-2,"Baixo",IF($O1075&lt;=2,"Adequado","Elevado"))))</f>
        <v/>
      </c>
      <c r="Q1075" s="12">
        <f>IF(OR($S1075="",$F1075="",$T1075="",$T1075&lt;0,$T1075&gt;60,$AR1075=""),"—",ROUND(IF(ABS($AU1075)&lt;=3,$AU1075,IF($AU1075&gt;3,3+($F1075-$AW1075)/($AW1075-$AV1075),-3+($F1075-$AY1075)/($AX1075-$AY1075))),2))</f>
        <v/>
      </c>
      <c r="R1075">
        <f>IF(OR($Q1075="",$Q1075="—"),"",IF($Q1075&lt;-3,"Magreza acentuada",IF($Q1075&lt;-2,"Magreza",IF($Q1075&lt;=1,"Eutrofia",IF($Q1075&lt;=2,"Risco de sobrepeso",IF($Q1075&lt;=3,"Sobrepeso","Obesidade"))))))</f>
        <v/>
      </c>
      <c r="S1075">
        <f>IF($C1075="","",IF(UPPER(LEFT($C1075,1))="M",1,IF(UPPER(LEFT($C1075,1))="F",2,"")))</f>
        <v/>
      </c>
      <c r="T1075">
        <f>IF(OR($D1075="",$E1075=""),"",DATEDIF($D1075,$E1075,"m"))</f>
        <v/>
      </c>
      <c r="U1075">
        <f>IF(OR($D1075="",$E1075=""),"",$E1075-$D1075)</f>
        <v/>
      </c>
      <c r="V1075">
        <f>IF(OR($G1075="",$T1075=""),"",IF($T1075&lt;24,IF(LEFT(LOWER($H1075),4)="em p",$G1075+0.7,$G1075),IF(LEFT(LOWER($H1075),4)="deit",$G1075-0.7,$G1075)))</f>
        <v/>
      </c>
      <c r="W1075">
        <f>IF(OR($S1075="",$T1075=""),"",$S1075*1000000+IF($T1075&lt;=60,$U1075,$T1075))</f>
        <v/>
      </c>
      <c r="X1075">
        <f>IF(OR($S1075="",$V1075="",$T1075&gt;60,$T1075=""),"",$S1075*1000000+ROUND($V1075*10,0))</f>
        <v/>
      </c>
      <c r="Y1075">
        <f>IF($W1075="","",IFERROR(INDEX(IF($T1075&lt;=60,imc05_l,imc519_l),MATCH($W1075,IF($T1075&lt;=60,imc05_k,imc519_k),1)),""))</f>
        <v/>
      </c>
      <c r="Z1075">
        <f>IF($W1075="","",IFERROR(INDEX(IF($T1075&lt;=60,imc05_m,imc519_m),MATCH($W1075,IF($T1075&lt;=60,imc05_k,imc519_k),1)),""))</f>
        <v/>
      </c>
      <c r="AA1075">
        <f>IF($W1075="","",IFERROR(INDEX(IF($T1075&lt;=60,imc05_s,imc519_s),MATCH($W1075,IF($T1075&lt;=60,imc05_k,imc519_k),1)),""))</f>
        <v/>
      </c>
      <c r="AB1075">
        <f>IF($Y1075="","",IF($Y1075=0,LN($J1075/$Z1075)/$AA1075,((($J1075/$Z1075)^$Y1075)-1)/($Y1075*$AA1075)))</f>
        <v/>
      </c>
      <c r="AC1075">
        <f>IF($Y1075="","",IF($Y1075=0,$Z1075*EXP($AA1075*2),$Z1075*(1+$Y1075*$AA1075*2)^(1/$Y1075)))</f>
        <v/>
      </c>
      <c r="AD1075">
        <f>IF($Y1075="","",IF($Y1075=0,$Z1075*EXP($AA1075*3),$Z1075*(1+$Y1075*$AA1075*3)^(1/$Y1075)))</f>
        <v/>
      </c>
      <c r="AE1075">
        <f>IF($Y1075="","",IF($Y1075=0,$Z1075*EXP($AA1075*-2),$Z1075*(1+$Y1075*$AA1075*-2)^(1/$Y1075)))</f>
        <v/>
      </c>
      <c r="AF1075">
        <f>IF($Y1075="","",IF($Y1075=0,$Z1075*EXP($AA1075*-3),$Z1075*(1+$Y1075*$AA1075*-3)^(1/$Y1075)))</f>
        <v/>
      </c>
      <c r="AG1075">
        <f>IF($W1075="","",IFERROR(INDEX(IF($T1075&lt;=60,est05_l,est519_l),MATCH($W1075,IF($T1075&lt;=60,est05_k,est519_k),1)),""))</f>
        <v/>
      </c>
      <c r="AH1075">
        <f>IF($W1075="","",IFERROR(INDEX(IF($T1075&lt;=60,est05_m,est519_m),MATCH($W1075,IF($T1075&lt;=60,est05_k,est519_k),1)),""))</f>
        <v/>
      </c>
      <c r="AI1075">
        <f>IF($W1075="","",IFERROR(INDEX(IF($T1075&lt;=60,est05_s,est519_s),MATCH($W1075,IF($T1075&lt;=60,est05_k,est519_k),1)),""))</f>
        <v/>
      </c>
      <c r="AJ1075">
        <f>IF($W1075="","",IFERROR(INDEX(IF($T1075&lt;=60,peso05_l,peso510_l),MATCH($W1075,IF($T1075&lt;=60,peso05_k,peso510_k),1)),""))</f>
        <v/>
      </c>
      <c r="AK1075">
        <f>IF($W1075="","",IFERROR(INDEX(IF($T1075&lt;=60,peso05_m,peso510_m),MATCH($W1075,IF($T1075&lt;=60,peso05_k,peso510_k),1)),""))</f>
        <v/>
      </c>
      <c r="AL1075">
        <f>IF($W1075="","",IFERROR(INDEX(IF($T1075&lt;=60,peso05_s,peso510_s),MATCH($W1075,IF($T1075&lt;=60,peso05_k,peso510_k),1)),""))</f>
        <v/>
      </c>
      <c r="AM1075">
        <f>IF($AJ1075="","",IF($AJ1075=0,LN($F1075/$AK1075)/$AL1075,((($F1075/$AK1075)^$AJ1075)-1)/($AJ1075*$AL1075)))</f>
        <v/>
      </c>
      <c r="AN1075">
        <f>IF($AJ1075="","",IF($AJ1075=0,$AK1075*EXP($AL1075*2),$AK1075*(1+$AJ1075*$AL1075*2)^(1/$AJ1075)))</f>
        <v/>
      </c>
      <c r="AO1075">
        <f>IF($AJ1075="","",IF($AJ1075=0,$AK1075*EXP($AL1075*3),$AK1075*(1+$AJ1075*$AL1075*3)^(1/$AJ1075)))</f>
        <v/>
      </c>
      <c r="AP1075">
        <f>IF($AJ1075="","",IF($AJ1075=0,$AK1075*EXP($AL1075*-2),$AK1075*(1+$AJ1075*$AL1075*-2)^(1/$AJ1075)))</f>
        <v/>
      </c>
      <c r="AQ1075">
        <f>IF($AJ1075="","",IF($AJ1075=0,$AK1075*EXP($AL1075*-3),$AK1075*(1+$AJ1075*$AL1075*-3)^(1/$AJ1075)))</f>
        <v/>
      </c>
      <c r="AR1075">
        <f>IF(OR($X1075="",$T1075&gt;60),"",IFERROR(INDEX(IF($T1075&lt;24,pcomp_l,palt_l),MATCH($X1075,IF($T1075&lt;24,pcomp_k,palt_k),1)),""))</f>
        <v/>
      </c>
      <c r="AS1075">
        <f>IF(OR($X1075="",$T1075&gt;60),"",IFERROR(INDEX(IF($T1075&lt;24,pcomp_m,palt_m),MATCH($X1075,IF($T1075&lt;24,pcomp_k,palt_k),1)),""))</f>
        <v/>
      </c>
      <c r="AT1075">
        <f>IF(OR($X1075="",$T1075&gt;60),"",IFERROR(INDEX(IF($T1075&lt;24,pcomp_s,palt_s),MATCH($X1075,IF($T1075&lt;24,pcomp_k,palt_k),1)),""))</f>
        <v/>
      </c>
      <c r="AU1075">
        <f>IF($AR1075="","",IF($AR1075=0,LN($F1075/$AS1075)/$AT1075,((($F1075/$AS1075)^$AR1075)-1)/($AR1075*$AT1075)))</f>
        <v/>
      </c>
      <c r="AV1075">
        <f>IF($AR1075="","",IF($AR1075=0,$AS1075*EXP($AT1075*2),$AS1075*(1+$AR1075*$AT1075*2)^(1/$AR1075)))</f>
        <v/>
      </c>
      <c r="AW1075">
        <f>IF($AR1075="","",IF($AR1075=0,$AS1075*EXP($AT1075*3),$AS1075*(1+$AR1075*$AT1075*3)^(1/$AR1075)))</f>
        <v/>
      </c>
      <c r="AX1075">
        <f>IF($AR1075="","",IF($AR1075=0,$AS1075*EXP($AT1075*-2),$AS1075*(1+$AR1075*$AT1075*-2)^(1/$AR1075)))</f>
        <v/>
      </c>
      <c r="AY1075">
        <f>IF($AR1075="","",IF($AR1075=0,$AS1075*EXP($AT1075*-3),$AS1075*(1+$AR1075*$AT1075*-3)^(1/$AR1075)))</f>
        <v/>
      </c>
      <c r="AZ1075">
        <f>IF(OR($A1075="",$A1075&lt;&gt;Ficha!$C$4),"",COUNTIF($A$2:$A1075,Ficha!$C$4))</f>
        <v/>
      </c>
    </row>
    <row r="1076">
      <c r="A1076" s="8">
        <f>IF(INDEX(Banco!$A:$A,ROW())="","",INDEX(Banco!$A:$A,ROW()))</f>
        <v/>
      </c>
      <c r="B1076" s="8">
        <f>IF(INDEX(Banco!$B:$B,ROW())="","",INDEX(Banco!$B:$B,ROW()))</f>
        <v/>
      </c>
      <c r="C1076" s="8">
        <f>IF(INDEX(Banco!$C:$C,ROW())="","",INDEX(Banco!$C:$C,ROW()))</f>
        <v/>
      </c>
      <c r="D1076" s="9">
        <f>IF(INDEX(Banco!$D:$D,ROW())="","",INDEX(Banco!$D:$D,ROW()))</f>
        <v/>
      </c>
      <c r="E1076" s="9">
        <f>IF(INDEX(Banco!$E:$E,ROW())="","",INDEX(Banco!$E:$E,ROW()))</f>
        <v/>
      </c>
      <c r="F1076" s="10">
        <f>IF(INDEX(Banco!$F:$F,ROW())="","",INDEX(Banco!$F:$F,ROW()))</f>
        <v/>
      </c>
      <c r="G1076" s="10">
        <f>IF(INDEX(Banco!$G:$G,ROW())="","",INDEX(Banco!$G:$G,ROW()))</f>
        <v/>
      </c>
      <c r="H1076" s="8">
        <f>IF(INDEX(Banco!$H:$H,ROW())="","",INDEX(Banco!$H:$H,ROW()))</f>
        <v/>
      </c>
      <c r="I1076">
        <f>IF($T1076="","",INT($T1076/12)&amp;"a "&amp;MOD($T1076,12)&amp;"m")</f>
        <v/>
      </c>
      <c r="J1076" s="11">
        <f>IF(OR($F1076="",$G1076=""),"",ROUND($F1076/($G1076/100)^2,2))</f>
        <v/>
      </c>
      <c r="K1076" s="12">
        <f>IF(OR($S1076="",$J1076="",$T1076="",$T1076&lt;0,$T1076&gt;228,$Y1076=""),"—",ROUND(IF(ABS($AB1076)&lt;=3,$AB1076,IF($AB1076&gt;3,3+($J1076-$AD1076)/($AD1076-$AC1076),-3+($J1076-$AF1076)/($AE1076-$AF1076))),2))</f>
        <v/>
      </c>
      <c r="L1076">
        <f>IF(OR($K1076="",$K1076="—"),"",IF($T1076&lt;=60,IF($K1076&lt;-3,"Magreza acentuada",IF($K1076&lt;-2,"Magreza",IF($K1076&lt;=1,"Eutrofia",IF($K1076&lt;=2,"Risco de sobrepeso",IF($K1076&lt;=3,"Sobrepeso","Obesidade"))))),IF($K1076&lt;-3,"Magreza acentuada",IF($K1076&lt;-2,"Magreza",IF($K1076&lt;=1,"Eutrofia",IF($K1076&lt;=2,"Sobrepeso",IF($K1076&lt;=3,"Obesidade","Obesidade grave")))))))</f>
        <v/>
      </c>
      <c r="M1076" s="12">
        <f>IF(OR($S1076="",$V1076="",$T1076="",$T1076&lt;0,$T1076&gt;228,$AG1076=""),"—",ROUND(IF($AG1076=0,LN($V1076/$AH1076)/$AI1076,((($V1076/$AH1076)^$AG1076)-1)/($AG1076*$AI1076)),2))</f>
        <v/>
      </c>
      <c r="N1076">
        <f>IF(OR($M1076="",$M1076="—"),"",IF($M1076&lt;-3,"Muito baixa",IF($M1076&lt;-2,"Baixa","Adequada")))</f>
        <v/>
      </c>
      <c r="O1076" s="12">
        <f>IF(OR($S1076="",$F1076="",$T1076="",$T1076&lt;0,$T1076&gt;120,$AJ1076=""),"—",ROUND(IF(ABS($AM1076)&lt;=3,$AM1076,IF($AM1076&gt;3,3+($F1076-$AO1076)/($AO1076-$AN1076),-3+($F1076-$AQ1076)/($AP1076-$AQ1076))),2))</f>
        <v/>
      </c>
      <c r="P1076">
        <f>IF(OR($O1076="",$O1076="—"),"",IF($O1076&lt;-3,"Muito baixo",IF($O1076&lt;-2,"Baixo",IF($O1076&lt;=2,"Adequado","Elevado"))))</f>
        <v/>
      </c>
      <c r="Q1076" s="12">
        <f>IF(OR($S1076="",$F1076="",$T1076="",$T1076&lt;0,$T1076&gt;60,$AR1076=""),"—",ROUND(IF(ABS($AU1076)&lt;=3,$AU1076,IF($AU1076&gt;3,3+($F1076-$AW1076)/($AW1076-$AV1076),-3+($F1076-$AY1076)/($AX1076-$AY1076))),2))</f>
        <v/>
      </c>
      <c r="R1076">
        <f>IF(OR($Q1076="",$Q1076="—"),"",IF($Q1076&lt;-3,"Magreza acentuada",IF($Q1076&lt;-2,"Magreza",IF($Q1076&lt;=1,"Eutrofia",IF($Q1076&lt;=2,"Risco de sobrepeso",IF($Q1076&lt;=3,"Sobrepeso","Obesidade"))))))</f>
        <v/>
      </c>
      <c r="S1076">
        <f>IF($C1076="","",IF(UPPER(LEFT($C1076,1))="M",1,IF(UPPER(LEFT($C1076,1))="F",2,"")))</f>
        <v/>
      </c>
      <c r="T1076">
        <f>IF(OR($D1076="",$E1076=""),"",DATEDIF($D1076,$E1076,"m"))</f>
        <v/>
      </c>
      <c r="U1076">
        <f>IF(OR($D1076="",$E1076=""),"",$E1076-$D1076)</f>
        <v/>
      </c>
      <c r="V1076">
        <f>IF(OR($G1076="",$T1076=""),"",IF($T1076&lt;24,IF(LEFT(LOWER($H1076),4)="em p",$G1076+0.7,$G1076),IF(LEFT(LOWER($H1076),4)="deit",$G1076-0.7,$G1076)))</f>
        <v/>
      </c>
      <c r="W1076">
        <f>IF(OR($S1076="",$T1076=""),"",$S1076*1000000+IF($T1076&lt;=60,$U1076,$T1076))</f>
        <v/>
      </c>
      <c r="X1076">
        <f>IF(OR($S1076="",$V1076="",$T1076&gt;60,$T1076=""),"",$S1076*1000000+ROUND($V1076*10,0))</f>
        <v/>
      </c>
      <c r="Y1076">
        <f>IF($W1076="","",IFERROR(INDEX(IF($T1076&lt;=60,imc05_l,imc519_l),MATCH($W1076,IF($T1076&lt;=60,imc05_k,imc519_k),1)),""))</f>
        <v/>
      </c>
      <c r="Z1076">
        <f>IF($W1076="","",IFERROR(INDEX(IF($T1076&lt;=60,imc05_m,imc519_m),MATCH($W1076,IF($T1076&lt;=60,imc05_k,imc519_k),1)),""))</f>
        <v/>
      </c>
      <c r="AA1076">
        <f>IF($W1076="","",IFERROR(INDEX(IF($T1076&lt;=60,imc05_s,imc519_s),MATCH($W1076,IF($T1076&lt;=60,imc05_k,imc519_k),1)),""))</f>
        <v/>
      </c>
      <c r="AB1076">
        <f>IF($Y1076="","",IF($Y1076=0,LN($J1076/$Z1076)/$AA1076,((($J1076/$Z1076)^$Y1076)-1)/($Y1076*$AA1076)))</f>
        <v/>
      </c>
      <c r="AC1076">
        <f>IF($Y1076="","",IF($Y1076=0,$Z1076*EXP($AA1076*2),$Z1076*(1+$Y1076*$AA1076*2)^(1/$Y1076)))</f>
        <v/>
      </c>
      <c r="AD1076">
        <f>IF($Y1076="","",IF($Y1076=0,$Z1076*EXP($AA1076*3),$Z1076*(1+$Y1076*$AA1076*3)^(1/$Y1076)))</f>
        <v/>
      </c>
      <c r="AE1076">
        <f>IF($Y1076="","",IF($Y1076=0,$Z1076*EXP($AA1076*-2),$Z1076*(1+$Y1076*$AA1076*-2)^(1/$Y1076)))</f>
        <v/>
      </c>
      <c r="AF1076">
        <f>IF($Y1076="","",IF($Y1076=0,$Z1076*EXP($AA1076*-3),$Z1076*(1+$Y1076*$AA1076*-3)^(1/$Y1076)))</f>
        <v/>
      </c>
      <c r="AG1076">
        <f>IF($W1076="","",IFERROR(INDEX(IF($T1076&lt;=60,est05_l,est519_l),MATCH($W1076,IF($T1076&lt;=60,est05_k,est519_k),1)),""))</f>
        <v/>
      </c>
      <c r="AH1076">
        <f>IF($W1076="","",IFERROR(INDEX(IF($T1076&lt;=60,est05_m,est519_m),MATCH($W1076,IF($T1076&lt;=60,est05_k,est519_k),1)),""))</f>
        <v/>
      </c>
      <c r="AI1076">
        <f>IF($W1076="","",IFERROR(INDEX(IF($T1076&lt;=60,est05_s,est519_s),MATCH($W1076,IF($T1076&lt;=60,est05_k,est519_k),1)),""))</f>
        <v/>
      </c>
      <c r="AJ1076">
        <f>IF($W1076="","",IFERROR(INDEX(IF($T1076&lt;=60,peso05_l,peso510_l),MATCH($W1076,IF($T1076&lt;=60,peso05_k,peso510_k),1)),""))</f>
        <v/>
      </c>
      <c r="AK1076">
        <f>IF($W1076="","",IFERROR(INDEX(IF($T1076&lt;=60,peso05_m,peso510_m),MATCH($W1076,IF($T1076&lt;=60,peso05_k,peso510_k),1)),""))</f>
        <v/>
      </c>
      <c r="AL1076">
        <f>IF($W1076="","",IFERROR(INDEX(IF($T1076&lt;=60,peso05_s,peso510_s),MATCH($W1076,IF($T1076&lt;=60,peso05_k,peso510_k),1)),""))</f>
        <v/>
      </c>
      <c r="AM1076">
        <f>IF($AJ1076="","",IF($AJ1076=0,LN($F1076/$AK1076)/$AL1076,((($F1076/$AK1076)^$AJ1076)-1)/($AJ1076*$AL1076)))</f>
        <v/>
      </c>
      <c r="AN1076">
        <f>IF($AJ1076="","",IF($AJ1076=0,$AK1076*EXP($AL1076*2),$AK1076*(1+$AJ1076*$AL1076*2)^(1/$AJ1076)))</f>
        <v/>
      </c>
      <c r="AO1076">
        <f>IF($AJ1076="","",IF($AJ1076=0,$AK1076*EXP($AL1076*3),$AK1076*(1+$AJ1076*$AL1076*3)^(1/$AJ1076)))</f>
        <v/>
      </c>
      <c r="AP1076">
        <f>IF($AJ1076="","",IF($AJ1076=0,$AK1076*EXP($AL1076*-2),$AK1076*(1+$AJ1076*$AL1076*-2)^(1/$AJ1076)))</f>
        <v/>
      </c>
      <c r="AQ1076">
        <f>IF($AJ1076="","",IF($AJ1076=0,$AK1076*EXP($AL1076*-3),$AK1076*(1+$AJ1076*$AL1076*-3)^(1/$AJ1076)))</f>
        <v/>
      </c>
      <c r="AR1076">
        <f>IF(OR($X1076="",$T1076&gt;60),"",IFERROR(INDEX(IF($T1076&lt;24,pcomp_l,palt_l),MATCH($X1076,IF($T1076&lt;24,pcomp_k,palt_k),1)),""))</f>
        <v/>
      </c>
      <c r="AS1076">
        <f>IF(OR($X1076="",$T1076&gt;60),"",IFERROR(INDEX(IF($T1076&lt;24,pcomp_m,palt_m),MATCH($X1076,IF($T1076&lt;24,pcomp_k,palt_k),1)),""))</f>
        <v/>
      </c>
      <c r="AT1076">
        <f>IF(OR($X1076="",$T1076&gt;60),"",IFERROR(INDEX(IF($T1076&lt;24,pcomp_s,palt_s),MATCH($X1076,IF($T1076&lt;24,pcomp_k,palt_k),1)),""))</f>
        <v/>
      </c>
      <c r="AU1076">
        <f>IF($AR1076="","",IF($AR1076=0,LN($F1076/$AS1076)/$AT1076,((($F1076/$AS1076)^$AR1076)-1)/($AR1076*$AT1076)))</f>
        <v/>
      </c>
      <c r="AV1076">
        <f>IF($AR1076="","",IF($AR1076=0,$AS1076*EXP($AT1076*2),$AS1076*(1+$AR1076*$AT1076*2)^(1/$AR1076)))</f>
        <v/>
      </c>
      <c r="AW1076">
        <f>IF($AR1076="","",IF($AR1076=0,$AS1076*EXP($AT1076*3),$AS1076*(1+$AR1076*$AT1076*3)^(1/$AR1076)))</f>
        <v/>
      </c>
      <c r="AX1076">
        <f>IF($AR1076="","",IF($AR1076=0,$AS1076*EXP($AT1076*-2),$AS1076*(1+$AR1076*$AT1076*-2)^(1/$AR1076)))</f>
        <v/>
      </c>
      <c r="AY1076">
        <f>IF($AR1076="","",IF($AR1076=0,$AS1076*EXP($AT1076*-3),$AS1076*(1+$AR1076*$AT1076*-3)^(1/$AR1076)))</f>
        <v/>
      </c>
      <c r="AZ1076">
        <f>IF(OR($A1076="",$A1076&lt;&gt;Ficha!$C$4),"",COUNTIF($A$2:$A1076,Ficha!$C$4))</f>
        <v/>
      </c>
    </row>
    <row r="1077">
      <c r="A1077" s="8">
        <f>IF(INDEX(Banco!$A:$A,ROW())="","",INDEX(Banco!$A:$A,ROW()))</f>
        <v/>
      </c>
      <c r="B1077" s="8">
        <f>IF(INDEX(Banco!$B:$B,ROW())="","",INDEX(Banco!$B:$B,ROW()))</f>
        <v/>
      </c>
      <c r="C1077" s="8">
        <f>IF(INDEX(Banco!$C:$C,ROW())="","",INDEX(Banco!$C:$C,ROW()))</f>
        <v/>
      </c>
      <c r="D1077" s="9">
        <f>IF(INDEX(Banco!$D:$D,ROW())="","",INDEX(Banco!$D:$D,ROW()))</f>
        <v/>
      </c>
      <c r="E1077" s="9">
        <f>IF(INDEX(Banco!$E:$E,ROW())="","",INDEX(Banco!$E:$E,ROW()))</f>
        <v/>
      </c>
      <c r="F1077" s="10">
        <f>IF(INDEX(Banco!$F:$F,ROW())="","",INDEX(Banco!$F:$F,ROW()))</f>
        <v/>
      </c>
      <c r="G1077" s="10">
        <f>IF(INDEX(Banco!$G:$G,ROW())="","",INDEX(Banco!$G:$G,ROW()))</f>
        <v/>
      </c>
      <c r="H1077" s="8">
        <f>IF(INDEX(Banco!$H:$H,ROW())="","",INDEX(Banco!$H:$H,ROW()))</f>
        <v/>
      </c>
      <c r="I1077">
        <f>IF($T1077="","",INT($T1077/12)&amp;"a "&amp;MOD($T1077,12)&amp;"m")</f>
        <v/>
      </c>
      <c r="J1077" s="11">
        <f>IF(OR($F1077="",$G1077=""),"",ROUND($F1077/($G1077/100)^2,2))</f>
        <v/>
      </c>
      <c r="K1077" s="12">
        <f>IF(OR($S1077="",$J1077="",$T1077="",$T1077&lt;0,$T1077&gt;228,$Y1077=""),"—",ROUND(IF(ABS($AB1077)&lt;=3,$AB1077,IF($AB1077&gt;3,3+($J1077-$AD1077)/($AD1077-$AC1077),-3+($J1077-$AF1077)/($AE1077-$AF1077))),2))</f>
        <v/>
      </c>
      <c r="L1077">
        <f>IF(OR($K1077="",$K1077="—"),"",IF($T1077&lt;=60,IF($K1077&lt;-3,"Magreza acentuada",IF($K1077&lt;-2,"Magreza",IF($K1077&lt;=1,"Eutrofia",IF($K1077&lt;=2,"Risco de sobrepeso",IF($K1077&lt;=3,"Sobrepeso","Obesidade"))))),IF($K1077&lt;-3,"Magreza acentuada",IF($K1077&lt;-2,"Magreza",IF($K1077&lt;=1,"Eutrofia",IF($K1077&lt;=2,"Sobrepeso",IF($K1077&lt;=3,"Obesidade","Obesidade grave")))))))</f>
        <v/>
      </c>
      <c r="M1077" s="12">
        <f>IF(OR($S1077="",$V1077="",$T1077="",$T1077&lt;0,$T1077&gt;228,$AG1077=""),"—",ROUND(IF($AG1077=0,LN($V1077/$AH1077)/$AI1077,((($V1077/$AH1077)^$AG1077)-1)/($AG1077*$AI1077)),2))</f>
        <v/>
      </c>
      <c r="N1077">
        <f>IF(OR($M1077="",$M1077="—"),"",IF($M1077&lt;-3,"Muito baixa",IF($M1077&lt;-2,"Baixa","Adequada")))</f>
        <v/>
      </c>
      <c r="O1077" s="12">
        <f>IF(OR($S1077="",$F1077="",$T1077="",$T1077&lt;0,$T1077&gt;120,$AJ1077=""),"—",ROUND(IF(ABS($AM1077)&lt;=3,$AM1077,IF($AM1077&gt;3,3+($F1077-$AO1077)/($AO1077-$AN1077),-3+($F1077-$AQ1077)/($AP1077-$AQ1077))),2))</f>
        <v/>
      </c>
      <c r="P1077">
        <f>IF(OR($O1077="",$O1077="—"),"",IF($O1077&lt;-3,"Muito baixo",IF($O1077&lt;-2,"Baixo",IF($O1077&lt;=2,"Adequado","Elevado"))))</f>
        <v/>
      </c>
      <c r="Q1077" s="12">
        <f>IF(OR($S1077="",$F1077="",$T1077="",$T1077&lt;0,$T1077&gt;60,$AR1077=""),"—",ROUND(IF(ABS($AU1077)&lt;=3,$AU1077,IF($AU1077&gt;3,3+($F1077-$AW1077)/($AW1077-$AV1077),-3+($F1077-$AY1077)/($AX1077-$AY1077))),2))</f>
        <v/>
      </c>
      <c r="R1077">
        <f>IF(OR($Q1077="",$Q1077="—"),"",IF($Q1077&lt;-3,"Magreza acentuada",IF($Q1077&lt;-2,"Magreza",IF($Q1077&lt;=1,"Eutrofia",IF($Q1077&lt;=2,"Risco de sobrepeso",IF($Q1077&lt;=3,"Sobrepeso","Obesidade"))))))</f>
        <v/>
      </c>
      <c r="S1077">
        <f>IF($C1077="","",IF(UPPER(LEFT($C1077,1))="M",1,IF(UPPER(LEFT($C1077,1))="F",2,"")))</f>
        <v/>
      </c>
      <c r="T1077">
        <f>IF(OR($D1077="",$E1077=""),"",DATEDIF($D1077,$E1077,"m"))</f>
        <v/>
      </c>
      <c r="U1077">
        <f>IF(OR($D1077="",$E1077=""),"",$E1077-$D1077)</f>
        <v/>
      </c>
      <c r="V1077">
        <f>IF(OR($G1077="",$T1077=""),"",IF($T1077&lt;24,IF(LEFT(LOWER($H1077),4)="em p",$G1077+0.7,$G1077),IF(LEFT(LOWER($H1077),4)="deit",$G1077-0.7,$G1077)))</f>
        <v/>
      </c>
      <c r="W1077">
        <f>IF(OR($S1077="",$T1077=""),"",$S1077*1000000+IF($T1077&lt;=60,$U1077,$T1077))</f>
        <v/>
      </c>
      <c r="X1077">
        <f>IF(OR($S1077="",$V1077="",$T1077&gt;60,$T1077=""),"",$S1077*1000000+ROUND($V1077*10,0))</f>
        <v/>
      </c>
      <c r="Y1077">
        <f>IF($W1077="","",IFERROR(INDEX(IF($T1077&lt;=60,imc05_l,imc519_l),MATCH($W1077,IF($T1077&lt;=60,imc05_k,imc519_k),1)),""))</f>
        <v/>
      </c>
      <c r="Z1077">
        <f>IF($W1077="","",IFERROR(INDEX(IF($T1077&lt;=60,imc05_m,imc519_m),MATCH($W1077,IF($T1077&lt;=60,imc05_k,imc519_k),1)),""))</f>
        <v/>
      </c>
      <c r="AA1077">
        <f>IF($W1077="","",IFERROR(INDEX(IF($T1077&lt;=60,imc05_s,imc519_s),MATCH($W1077,IF($T1077&lt;=60,imc05_k,imc519_k),1)),""))</f>
        <v/>
      </c>
      <c r="AB1077">
        <f>IF($Y1077="","",IF($Y1077=0,LN($J1077/$Z1077)/$AA1077,((($J1077/$Z1077)^$Y1077)-1)/($Y1077*$AA1077)))</f>
        <v/>
      </c>
      <c r="AC1077">
        <f>IF($Y1077="","",IF($Y1077=0,$Z1077*EXP($AA1077*2),$Z1077*(1+$Y1077*$AA1077*2)^(1/$Y1077)))</f>
        <v/>
      </c>
      <c r="AD1077">
        <f>IF($Y1077="","",IF($Y1077=0,$Z1077*EXP($AA1077*3),$Z1077*(1+$Y1077*$AA1077*3)^(1/$Y1077)))</f>
        <v/>
      </c>
      <c r="AE1077">
        <f>IF($Y1077="","",IF($Y1077=0,$Z1077*EXP($AA1077*-2),$Z1077*(1+$Y1077*$AA1077*-2)^(1/$Y1077)))</f>
        <v/>
      </c>
      <c r="AF1077">
        <f>IF($Y1077="","",IF($Y1077=0,$Z1077*EXP($AA1077*-3),$Z1077*(1+$Y1077*$AA1077*-3)^(1/$Y1077)))</f>
        <v/>
      </c>
      <c r="AG1077">
        <f>IF($W1077="","",IFERROR(INDEX(IF($T1077&lt;=60,est05_l,est519_l),MATCH($W1077,IF($T1077&lt;=60,est05_k,est519_k),1)),""))</f>
        <v/>
      </c>
      <c r="AH1077">
        <f>IF($W1077="","",IFERROR(INDEX(IF($T1077&lt;=60,est05_m,est519_m),MATCH($W1077,IF($T1077&lt;=60,est05_k,est519_k),1)),""))</f>
        <v/>
      </c>
      <c r="AI1077">
        <f>IF($W1077="","",IFERROR(INDEX(IF($T1077&lt;=60,est05_s,est519_s),MATCH($W1077,IF($T1077&lt;=60,est05_k,est519_k),1)),""))</f>
        <v/>
      </c>
      <c r="AJ1077">
        <f>IF($W1077="","",IFERROR(INDEX(IF($T1077&lt;=60,peso05_l,peso510_l),MATCH($W1077,IF($T1077&lt;=60,peso05_k,peso510_k),1)),""))</f>
        <v/>
      </c>
      <c r="AK1077">
        <f>IF($W1077="","",IFERROR(INDEX(IF($T1077&lt;=60,peso05_m,peso510_m),MATCH($W1077,IF($T1077&lt;=60,peso05_k,peso510_k),1)),""))</f>
        <v/>
      </c>
      <c r="AL1077">
        <f>IF($W1077="","",IFERROR(INDEX(IF($T1077&lt;=60,peso05_s,peso510_s),MATCH($W1077,IF($T1077&lt;=60,peso05_k,peso510_k),1)),""))</f>
        <v/>
      </c>
      <c r="AM1077">
        <f>IF($AJ1077="","",IF($AJ1077=0,LN($F1077/$AK1077)/$AL1077,((($F1077/$AK1077)^$AJ1077)-1)/($AJ1077*$AL1077)))</f>
        <v/>
      </c>
      <c r="AN1077">
        <f>IF($AJ1077="","",IF($AJ1077=0,$AK1077*EXP($AL1077*2),$AK1077*(1+$AJ1077*$AL1077*2)^(1/$AJ1077)))</f>
        <v/>
      </c>
      <c r="AO1077">
        <f>IF($AJ1077="","",IF($AJ1077=0,$AK1077*EXP($AL1077*3),$AK1077*(1+$AJ1077*$AL1077*3)^(1/$AJ1077)))</f>
        <v/>
      </c>
      <c r="AP1077">
        <f>IF($AJ1077="","",IF($AJ1077=0,$AK1077*EXP($AL1077*-2),$AK1077*(1+$AJ1077*$AL1077*-2)^(1/$AJ1077)))</f>
        <v/>
      </c>
      <c r="AQ1077">
        <f>IF($AJ1077="","",IF($AJ1077=0,$AK1077*EXP($AL1077*-3),$AK1077*(1+$AJ1077*$AL1077*-3)^(1/$AJ1077)))</f>
        <v/>
      </c>
      <c r="AR1077">
        <f>IF(OR($X1077="",$T1077&gt;60),"",IFERROR(INDEX(IF($T1077&lt;24,pcomp_l,palt_l),MATCH($X1077,IF($T1077&lt;24,pcomp_k,palt_k),1)),""))</f>
        <v/>
      </c>
      <c r="AS1077">
        <f>IF(OR($X1077="",$T1077&gt;60),"",IFERROR(INDEX(IF($T1077&lt;24,pcomp_m,palt_m),MATCH($X1077,IF($T1077&lt;24,pcomp_k,palt_k),1)),""))</f>
        <v/>
      </c>
      <c r="AT1077">
        <f>IF(OR($X1077="",$T1077&gt;60),"",IFERROR(INDEX(IF($T1077&lt;24,pcomp_s,palt_s),MATCH($X1077,IF($T1077&lt;24,pcomp_k,palt_k),1)),""))</f>
        <v/>
      </c>
      <c r="AU1077">
        <f>IF($AR1077="","",IF($AR1077=0,LN($F1077/$AS1077)/$AT1077,((($F1077/$AS1077)^$AR1077)-1)/($AR1077*$AT1077)))</f>
        <v/>
      </c>
      <c r="AV1077">
        <f>IF($AR1077="","",IF($AR1077=0,$AS1077*EXP($AT1077*2),$AS1077*(1+$AR1077*$AT1077*2)^(1/$AR1077)))</f>
        <v/>
      </c>
      <c r="AW1077">
        <f>IF($AR1077="","",IF($AR1077=0,$AS1077*EXP($AT1077*3),$AS1077*(1+$AR1077*$AT1077*3)^(1/$AR1077)))</f>
        <v/>
      </c>
      <c r="AX1077">
        <f>IF($AR1077="","",IF($AR1077=0,$AS1077*EXP($AT1077*-2),$AS1077*(1+$AR1077*$AT1077*-2)^(1/$AR1077)))</f>
        <v/>
      </c>
      <c r="AY1077">
        <f>IF($AR1077="","",IF($AR1077=0,$AS1077*EXP($AT1077*-3),$AS1077*(1+$AR1077*$AT1077*-3)^(1/$AR1077)))</f>
        <v/>
      </c>
      <c r="AZ1077">
        <f>IF(OR($A1077="",$A1077&lt;&gt;Ficha!$C$4),"",COUNTIF($A$2:$A1077,Ficha!$C$4))</f>
        <v/>
      </c>
    </row>
    <row r="1078">
      <c r="A1078" s="8">
        <f>IF(INDEX(Banco!$A:$A,ROW())="","",INDEX(Banco!$A:$A,ROW()))</f>
        <v/>
      </c>
      <c r="B1078" s="8">
        <f>IF(INDEX(Banco!$B:$B,ROW())="","",INDEX(Banco!$B:$B,ROW()))</f>
        <v/>
      </c>
      <c r="C1078" s="8">
        <f>IF(INDEX(Banco!$C:$C,ROW())="","",INDEX(Banco!$C:$C,ROW()))</f>
        <v/>
      </c>
      <c r="D1078" s="9">
        <f>IF(INDEX(Banco!$D:$D,ROW())="","",INDEX(Banco!$D:$D,ROW()))</f>
        <v/>
      </c>
      <c r="E1078" s="9">
        <f>IF(INDEX(Banco!$E:$E,ROW())="","",INDEX(Banco!$E:$E,ROW()))</f>
        <v/>
      </c>
      <c r="F1078" s="10">
        <f>IF(INDEX(Banco!$F:$F,ROW())="","",INDEX(Banco!$F:$F,ROW()))</f>
        <v/>
      </c>
      <c r="G1078" s="10">
        <f>IF(INDEX(Banco!$G:$G,ROW())="","",INDEX(Banco!$G:$G,ROW()))</f>
        <v/>
      </c>
      <c r="H1078" s="8">
        <f>IF(INDEX(Banco!$H:$H,ROW())="","",INDEX(Banco!$H:$H,ROW()))</f>
        <v/>
      </c>
      <c r="I1078">
        <f>IF($T1078="","",INT($T1078/12)&amp;"a "&amp;MOD($T1078,12)&amp;"m")</f>
        <v/>
      </c>
      <c r="J1078" s="11">
        <f>IF(OR($F1078="",$G1078=""),"",ROUND($F1078/($G1078/100)^2,2))</f>
        <v/>
      </c>
      <c r="K1078" s="12">
        <f>IF(OR($S1078="",$J1078="",$T1078="",$T1078&lt;0,$T1078&gt;228,$Y1078=""),"—",ROUND(IF(ABS($AB1078)&lt;=3,$AB1078,IF($AB1078&gt;3,3+($J1078-$AD1078)/($AD1078-$AC1078),-3+($J1078-$AF1078)/($AE1078-$AF1078))),2))</f>
        <v/>
      </c>
      <c r="L1078">
        <f>IF(OR($K1078="",$K1078="—"),"",IF($T1078&lt;=60,IF($K1078&lt;-3,"Magreza acentuada",IF($K1078&lt;-2,"Magreza",IF($K1078&lt;=1,"Eutrofia",IF($K1078&lt;=2,"Risco de sobrepeso",IF($K1078&lt;=3,"Sobrepeso","Obesidade"))))),IF($K1078&lt;-3,"Magreza acentuada",IF($K1078&lt;-2,"Magreza",IF($K1078&lt;=1,"Eutrofia",IF($K1078&lt;=2,"Sobrepeso",IF($K1078&lt;=3,"Obesidade","Obesidade grave")))))))</f>
        <v/>
      </c>
      <c r="M1078" s="12">
        <f>IF(OR($S1078="",$V1078="",$T1078="",$T1078&lt;0,$T1078&gt;228,$AG1078=""),"—",ROUND(IF($AG1078=0,LN($V1078/$AH1078)/$AI1078,((($V1078/$AH1078)^$AG1078)-1)/($AG1078*$AI1078)),2))</f>
        <v/>
      </c>
      <c r="N1078">
        <f>IF(OR($M1078="",$M1078="—"),"",IF($M1078&lt;-3,"Muito baixa",IF($M1078&lt;-2,"Baixa","Adequada")))</f>
        <v/>
      </c>
      <c r="O1078" s="12">
        <f>IF(OR($S1078="",$F1078="",$T1078="",$T1078&lt;0,$T1078&gt;120,$AJ1078=""),"—",ROUND(IF(ABS($AM1078)&lt;=3,$AM1078,IF($AM1078&gt;3,3+($F1078-$AO1078)/($AO1078-$AN1078),-3+($F1078-$AQ1078)/($AP1078-$AQ1078))),2))</f>
        <v/>
      </c>
      <c r="P1078">
        <f>IF(OR($O1078="",$O1078="—"),"",IF($O1078&lt;-3,"Muito baixo",IF($O1078&lt;-2,"Baixo",IF($O1078&lt;=2,"Adequado","Elevado"))))</f>
        <v/>
      </c>
      <c r="Q1078" s="12">
        <f>IF(OR($S1078="",$F1078="",$T1078="",$T1078&lt;0,$T1078&gt;60,$AR1078=""),"—",ROUND(IF(ABS($AU1078)&lt;=3,$AU1078,IF($AU1078&gt;3,3+($F1078-$AW1078)/($AW1078-$AV1078),-3+($F1078-$AY1078)/($AX1078-$AY1078))),2))</f>
        <v/>
      </c>
      <c r="R1078">
        <f>IF(OR($Q1078="",$Q1078="—"),"",IF($Q1078&lt;-3,"Magreza acentuada",IF($Q1078&lt;-2,"Magreza",IF($Q1078&lt;=1,"Eutrofia",IF($Q1078&lt;=2,"Risco de sobrepeso",IF($Q1078&lt;=3,"Sobrepeso","Obesidade"))))))</f>
        <v/>
      </c>
      <c r="S1078">
        <f>IF($C1078="","",IF(UPPER(LEFT($C1078,1))="M",1,IF(UPPER(LEFT($C1078,1))="F",2,"")))</f>
        <v/>
      </c>
      <c r="T1078">
        <f>IF(OR($D1078="",$E1078=""),"",DATEDIF($D1078,$E1078,"m"))</f>
        <v/>
      </c>
      <c r="U1078">
        <f>IF(OR($D1078="",$E1078=""),"",$E1078-$D1078)</f>
        <v/>
      </c>
      <c r="V1078">
        <f>IF(OR($G1078="",$T1078=""),"",IF($T1078&lt;24,IF(LEFT(LOWER($H1078),4)="em p",$G1078+0.7,$G1078),IF(LEFT(LOWER($H1078),4)="deit",$G1078-0.7,$G1078)))</f>
        <v/>
      </c>
      <c r="W1078">
        <f>IF(OR($S1078="",$T1078=""),"",$S1078*1000000+IF($T1078&lt;=60,$U1078,$T1078))</f>
        <v/>
      </c>
      <c r="X1078">
        <f>IF(OR($S1078="",$V1078="",$T1078&gt;60,$T1078=""),"",$S1078*1000000+ROUND($V1078*10,0))</f>
        <v/>
      </c>
      <c r="Y1078">
        <f>IF($W1078="","",IFERROR(INDEX(IF($T1078&lt;=60,imc05_l,imc519_l),MATCH($W1078,IF($T1078&lt;=60,imc05_k,imc519_k),1)),""))</f>
        <v/>
      </c>
      <c r="Z1078">
        <f>IF($W1078="","",IFERROR(INDEX(IF($T1078&lt;=60,imc05_m,imc519_m),MATCH($W1078,IF($T1078&lt;=60,imc05_k,imc519_k),1)),""))</f>
        <v/>
      </c>
      <c r="AA1078">
        <f>IF($W1078="","",IFERROR(INDEX(IF($T1078&lt;=60,imc05_s,imc519_s),MATCH($W1078,IF($T1078&lt;=60,imc05_k,imc519_k),1)),""))</f>
        <v/>
      </c>
      <c r="AB1078">
        <f>IF($Y1078="","",IF($Y1078=0,LN($J1078/$Z1078)/$AA1078,((($J1078/$Z1078)^$Y1078)-1)/($Y1078*$AA1078)))</f>
        <v/>
      </c>
      <c r="AC1078">
        <f>IF($Y1078="","",IF($Y1078=0,$Z1078*EXP($AA1078*2),$Z1078*(1+$Y1078*$AA1078*2)^(1/$Y1078)))</f>
        <v/>
      </c>
      <c r="AD1078">
        <f>IF($Y1078="","",IF($Y1078=0,$Z1078*EXP($AA1078*3),$Z1078*(1+$Y1078*$AA1078*3)^(1/$Y1078)))</f>
        <v/>
      </c>
      <c r="AE1078">
        <f>IF($Y1078="","",IF($Y1078=0,$Z1078*EXP($AA1078*-2),$Z1078*(1+$Y1078*$AA1078*-2)^(1/$Y1078)))</f>
        <v/>
      </c>
      <c r="AF1078">
        <f>IF($Y1078="","",IF($Y1078=0,$Z1078*EXP($AA1078*-3),$Z1078*(1+$Y1078*$AA1078*-3)^(1/$Y1078)))</f>
        <v/>
      </c>
      <c r="AG1078">
        <f>IF($W1078="","",IFERROR(INDEX(IF($T1078&lt;=60,est05_l,est519_l),MATCH($W1078,IF($T1078&lt;=60,est05_k,est519_k),1)),""))</f>
        <v/>
      </c>
      <c r="AH1078">
        <f>IF($W1078="","",IFERROR(INDEX(IF($T1078&lt;=60,est05_m,est519_m),MATCH($W1078,IF($T1078&lt;=60,est05_k,est519_k),1)),""))</f>
        <v/>
      </c>
      <c r="AI1078">
        <f>IF($W1078="","",IFERROR(INDEX(IF($T1078&lt;=60,est05_s,est519_s),MATCH($W1078,IF($T1078&lt;=60,est05_k,est519_k),1)),""))</f>
        <v/>
      </c>
      <c r="AJ1078">
        <f>IF($W1078="","",IFERROR(INDEX(IF($T1078&lt;=60,peso05_l,peso510_l),MATCH($W1078,IF($T1078&lt;=60,peso05_k,peso510_k),1)),""))</f>
        <v/>
      </c>
      <c r="AK1078">
        <f>IF($W1078="","",IFERROR(INDEX(IF($T1078&lt;=60,peso05_m,peso510_m),MATCH($W1078,IF($T1078&lt;=60,peso05_k,peso510_k),1)),""))</f>
        <v/>
      </c>
      <c r="AL1078">
        <f>IF($W1078="","",IFERROR(INDEX(IF($T1078&lt;=60,peso05_s,peso510_s),MATCH($W1078,IF($T1078&lt;=60,peso05_k,peso510_k),1)),""))</f>
        <v/>
      </c>
      <c r="AM1078">
        <f>IF($AJ1078="","",IF($AJ1078=0,LN($F1078/$AK1078)/$AL1078,((($F1078/$AK1078)^$AJ1078)-1)/($AJ1078*$AL1078)))</f>
        <v/>
      </c>
      <c r="AN1078">
        <f>IF($AJ1078="","",IF($AJ1078=0,$AK1078*EXP($AL1078*2),$AK1078*(1+$AJ1078*$AL1078*2)^(1/$AJ1078)))</f>
        <v/>
      </c>
      <c r="AO1078">
        <f>IF($AJ1078="","",IF($AJ1078=0,$AK1078*EXP($AL1078*3),$AK1078*(1+$AJ1078*$AL1078*3)^(1/$AJ1078)))</f>
        <v/>
      </c>
      <c r="AP1078">
        <f>IF($AJ1078="","",IF($AJ1078=0,$AK1078*EXP($AL1078*-2),$AK1078*(1+$AJ1078*$AL1078*-2)^(1/$AJ1078)))</f>
        <v/>
      </c>
      <c r="AQ1078">
        <f>IF($AJ1078="","",IF($AJ1078=0,$AK1078*EXP($AL1078*-3),$AK1078*(1+$AJ1078*$AL1078*-3)^(1/$AJ1078)))</f>
        <v/>
      </c>
      <c r="AR1078">
        <f>IF(OR($X1078="",$T1078&gt;60),"",IFERROR(INDEX(IF($T1078&lt;24,pcomp_l,palt_l),MATCH($X1078,IF($T1078&lt;24,pcomp_k,palt_k),1)),""))</f>
        <v/>
      </c>
      <c r="AS1078">
        <f>IF(OR($X1078="",$T1078&gt;60),"",IFERROR(INDEX(IF($T1078&lt;24,pcomp_m,palt_m),MATCH($X1078,IF($T1078&lt;24,pcomp_k,palt_k),1)),""))</f>
        <v/>
      </c>
      <c r="AT1078">
        <f>IF(OR($X1078="",$T1078&gt;60),"",IFERROR(INDEX(IF($T1078&lt;24,pcomp_s,palt_s),MATCH($X1078,IF($T1078&lt;24,pcomp_k,palt_k),1)),""))</f>
        <v/>
      </c>
      <c r="AU1078">
        <f>IF($AR1078="","",IF($AR1078=0,LN($F1078/$AS1078)/$AT1078,((($F1078/$AS1078)^$AR1078)-1)/($AR1078*$AT1078)))</f>
        <v/>
      </c>
      <c r="AV1078">
        <f>IF($AR1078="","",IF($AR1078=0,$AS1078*EXP($AT1078*2),$AS1078*(1+$AR1078*$AT1078*2)^(1/$AR1078)))</f>
        <v/>
      </c>
      <c r="AW1078">
        <f>IF($AR1078="","",IF($AR1078=0,$AS1078*EXP($AT1078*3),$AS1078*(1+$AR1078*$AT1078*3)^(1/$AR1078)))</f>
        <v/>
      </c>
      <c r="AX1078">
        <f>IF($AR1078="","",IF($AR1078=0,$AS1078*EXP($AT1078*-2),$AS1078*(1+$AR1078*$AT1078*-2)^(1/$AR1078)))</f>
        <v/>
      </c>
      <c r="AY1078">
        <f>IF($AR1078="","",IF($AR1078=0,$AS1078*EXP($AT1078*-3),$AS1078*(1+$AR1078*$AT1078*-3)^(1/$AR1078)))</f>
        <v/>
      </c>
      <c r="AZ1078">
        <f>IF(OR($A1078="",$A1078&lt;&gt;Ficha!$C$4),"",COUNTIF($A$2:$A1078,Ficha!$C$4))</f>
        <v/>
      </c>
    </row>
    <row r="1079">
      <c r="A1079" s="8">
        <f>IF(INDEX(Banco!$A:$A,ROW())="","",INDEX(Banco!$A:$A,ROW()))</f>
        <v/>
      </c>
      <c r="B1079" s="8">
        <f>IF(INDEX(Banco!$B:$B,ROW())="","",INDEX(Banco!$B:$B,ROW()))</f>
        <v/>
      </c>
      <c r="C1079" s="8">
        <f>IF(INDEX(Banco!$C:$C,ROW())="","",INDEX(Banco!$C:$C,ROW()))</f>
        <v/>
      </c>
      <c r="D1079" s="9">
        <f>IF(INDEX(Banco!$D:$D,ROW())="","",INDEX(Banco!$D:$D,ROW()))</f>
        <v/>
      </c>
      <c r="E1079" s="9">
        <f>IF(INDEX(Banco!$E:$E,ROW())="","",INDEX(Banco!$E:$E,ROW()))</f>
        <v/>
      </c>
      <c r="F1079" s="10">
        <f>IF(INDEX(Banco!$F:$F,ROW())="","",INDEX(Banco!$F:$F,ROW()))</f>
        <v/>
      </c>
      <c r="G1079" s="10">
        <f>IF(INDEX(Banco!$G:$G,ROW())="","",INDEX(Banco!$G:$G,ROW()))</f>
        <v/>
      </c>
      <c r="H1079" s="8">
        <f>IF(INDEX(Banco!$H:$H,ROW())="","",INDEX(Banco!$H:$H,ROW()))</f>
        <v/>
      </c>
      <c r="I1079">
        <f>IF($T1079="","",INT($T1079/12)&amp;"a "&amp;MOD($T1079,12)&amp;"m")</f>
        <v/>
      </c>
      <c r="J1079" s="11">
        <f>IF(OR($F1079="",$G1079=""),"",ROUND($F1079/($G1079/100)^2,2))</f>
        <v/>
      </c>
      <c r="K1079" s="12">
        <f>IF(OR($S1079="",$J1079="",$T1079="",$T1079&lt;0,$T1079&gt;228,$Y1079=""),"—",ROUND(IF(ABS($AB1079)&lt;=3,$AB1079,IF($AB1079&gt;3,3+($J1079-$AD1079)/($AD1079-$AC1079),-3+($J1079-$AF1079)/($AE1079-$AF1079))),2))</f>
        <v/>
      </c>
      <c r="L1079">
        <f>IF(OR($K1079="",$K1079="—"),"",IF($T1079&lt;=60,IF($K1079&lt;-3,"Magreza acentuada",IF($K1079&lt;-2,"Magreza",IF($K1079&lt;=1,"Eutrofia",IF($K1079&lt;=2,"Risco de sobrepeso",IF($K1079&lt;=3,"Sobrepeso","Obesidade"))))),IF($K1079&lt;-3,"Magreza acentuada",IF($K1079&lt;-2,"Magreza",IF($K1079&lt;=1,"Eutrofia",IF($K1079&lt;=2,"Sobrepeso",IF($K1079&lt;=3,"Obesidade","Obesidade grave")))))))</f>
        <v/>
      </c>
      <c r="M1079" s="12">
        <f>IF(OR($S1079="",$V1079="",$T1079="",$T1079&lt;0,$T1079&gt;228,$AG1079=""),"—",ROUND(IF($AG1079=0,LN($V1079/$AH1079)/$AI1079,((($V1079/$AH1079)^$AG1079)-1)/($AG1079*$AI1079)),2))</f>
        <v/>
      </c>
      <c r="N1079">
        <f>IF(OR($M1079="",$M1079="—"),"",IF($M1079&lt;-3,"Muito baixa",IF($M1079&lt;-2,"Baixa","Adequada")))</f>
        <v/>
      </c>
      <c r="O1079" s="12">
        <f>IF(OR($S1079="",$F1079="",$T1079="",$T1079&lt;0,$T1079&gt;120,$AJ1079=""),"—",ROUND(IF(ABS($AM1079)&lt;=3,$AM1079,IF($AM1079&gt;3,3+($F1079-$AO1079)/($AO1079-$AN1079),-3+($F1079-$AQ1079)/($AP1079-$AQ1079))),2))</f>
        <v/>
      </c>
      <c r="P1079">
        <f>IF(OR($O1079="",$O1079="—"),"",IF($O1079&lt;-3,"Muito baixo",IF($O1079&lt;-2,"Baixo",IF($O1079&lt;=2,"Adequado","Elevado"))))</f>
        <v/>
      </c>
      <c r="Q1079" s="12">
        <f>IF(OR($S1079="",$F1079="",$T1079="",$T1079&lt;0,$T1079&gt;60,$AR1079=""),"—",ROUND(IF(ABS($AU1079)&lt;=3,$AU1079,IF($AU1079&gt;3,3+($F1079-$AW1079)/($AW1079-$AV1079),-3+($F1079-$AY1079)/($AX1079-$AY1079))),2))</f>
        <v/>
      </c>
      <c r="R1079">
        <f>IF(OR($Q1079="",$Q1079="—"),"",IF($Q1079&lt;-3,"Magreza acentuada",IF($Q1079&lt;-2,"Magreza",IF($Q1079&lt;=1,"Eutrofia",IF($Q1079&lt;=2,"Risco de sobrepeso",IF($Q1079&lt;=3,"Sobrepeso","Obesidade"))))))</f>
        <v/>
      </c>
      <c r="S1079">
        <f>IF($C1079="","",IF(UPPER(LEFT($C1079,1))="M",1,IF(UPPER(LEFT($C1079,1))="F",2,"")))</f>
        <v/>
      </c>
      <c r="T1079">
        <f>IF(OR($D1079="",$E1079=""),"",DATEDIF($D1079,$E1079,"m"))</f>
        <v/>
      </c>
      <c r="U1079">
        <f>IF(OR($D1079="",$E1079=""),"",$E1079-$D1079)</f>
        <v/>
      </c>
      <c r="V1079">
        <f>IF(OR($G1079="",$T1079=""),"",IF($T1079&lt;24,IF(LEFT(LOWER($H1079),4)="em p",$G1079+0.7,$G1079),IF(LEFT(LOWER($H1079),4)="deit",$G1079-0.7,$G1079)))</f>
        <v/>
      </c>
      <c r="W1079">
        <f>IF(OR($S1079="",$T1079=""),"",$S1079*1000000+IF($T1079&lt;=60,$U1079,$T1079))</f>
        <v/>
      </c>
      <c r="X1079">
        <f>IF(OR($S1079="",$V1079="",$T1079&gt;60,$T1079=""),"",$S1079*1000000+ROUND($V1079*10,0))</f>
        <v/>
      </c>
      <c r="Y1079">
        <f>IF($W1079="","",IFERROR(INDEX(IF($T1079&lt;=60,imc05_l,imc519_l),MATCH($W1079,IF($T1079&lt;=60,imc05_k,imc519_k),1)),""))</f>
        <v/>
      </c>
      <c r="Z1079">
        <f>IF($W1079="","",IFERROR(INDEX(IF($T1079&lt;=60,imc05_m,imc519_m),MATCH($W1079,IF($T1079&lt;=60,imc05_k,imc519_k),1)),""))</f>
        <v/>
      </c>
      <c r="AA1079">
        <f>IF($W1079="","",IFERROR(INDEX(IF($T1079&lt;=60,imc05_s,imc519_s),MATCH($W1079,IF($T1079&lt;=60,imc05_k,imc519_k),1)),""))</f>
        <v/>
      </c>
      <c r="AB1079">
        <f>IF($Y1079="","",IF($Y1079=0,LN($J1079/$Z1079)/$AA1079,((($J1079/$Z1079)^$Y1079)-1)/($Y1079*$AA1079)))</f>
        <v/>
      </c>
      <c r="AC1079">
        <f>IF($Y1079="","",IF($Y1079=0,$Z1079*EXP($AA1079*2),$Z1079*(1+$Y1079*$AA1079*2)^(1/$Y1079)))</f>
        <v/>
      </c>
      <c r="AD1079">
        <f>IF($Y1079="","",IF($Y1079=0,$Z1079*EXP($AA1079*3),$Z1079*(1+$Y1079*$AA1079*3)^(1/$Y1079)))</f>
        <v/>
      </c>
      <c r="AE1079">
        <f>IF($Y1079="","",IF($Y1079=0,$Z1079*EXP($AA1079*-2),$Z1079*(1+$Y1079*$AA1079*-2)^(1/$Y1079)))</f>
        <v/>
      </c>
      <c r="AF1079">
        <f>IF($Y1079="","",IF($Y1079=0,$Z1079*EXP($AA1079*-3),$Z1079*(1+$Y1079*$AA1079*-3)^(1/$Y1079)))</f>
        <v/>
      </c>
      <c r="AG1079">
        <f>IF($W1079="","",IFERROR(INDEX(IF($T1079&lt;=60,est05_l,est519_l),MATCH($W1079,IF($T1079&lt;=60,est05_k,est519_k),1)),""))</f>
        <v/>
      </c>
      <c r="AH1079">
        <f>IF($W1079="","",IFERROR(INDEX(IF($T1079&lt;=60,est05_m,est519_m),MATCH($W1079,IF($T1079&lt;=60,est05_k,est519_k),1)),""))</f>
        <v/>
      </c>
      <c r="AI1079">
        <f>IF($W1079="","",IFERROR(INDEX(IF($T1079&lt;=60,est05_s,est519_s),MATCH($W1079,IF($T1079&lt;=60,est05_k,est519_k),1)),""))</f>
        <v/>
      </c>
      <c r="AJ1079">
        <f>IF($W1079="","",IFERROR(INDEX(IF($T1079&lt;=60,peso05_l,peso510_l),MATCH($W1079,IF($T1079&lt;=60,peso05_k,peso510_k),1)),""))</f>
        <v/>
      </c>
      <c r="AK1079">
        <f>IF($W1079="","",IFERROR(INDEX(IF($T1079&lt;=60,peso05_m,peso510_m),MATCH($W1079,IF($T1079&lt;=60,peso05_k,peso510_k),1)),""))</f>
        <v/>
      </c>
      <c r="AL1079">
        <f>IF($W1079="","",IFERROR(INDEX(IF($T1079&lt;=60,peso05_s,peso510_s),MATCH($W1079,IF($T1079&lt;=60,peso05_k,peso510_k),1)),""))</f>
        <v/>
      </c>
      <c r="AM1079">
        <f>IF($AJ1079="","",IF($AJ1079=0,LN($F1079/$AK1079)/$AL1079,((($F1079/$AK1079)^$AJ1079)-1)/($AJ1079*$AL1079)))</f>
        <v/>
      </c>
      <c r="AN1079">
        <f>IF($AJ1079="","",IF($AJ1079=0,$AK1079*EXP($AL1079*2),$AK1079*(1+$AJ1079*$AL1079*2)^(1/$AJ1079)))</f>
        <v/>
      </c>
      <c r="AO1079">
        <f>IF($AJ1079="","",IF($AJ1079=0,$AK1079*EXP($AL1079*3),$AK1079*(1+$AJ1079*$AL1079*3)^(1/$AJ1079)))</f>
        <v/>
      </c>
      <c r="AP1079">
        <f>IF($AJ1079="","",IF($AJ1079=0,$AK1079*EXP($AL1079*-2),$AK1079*(1+$AJ1079*$AL1079*-2)^(1/$AJ1079)))</f>
        <v/>
      </c>
      <c r="AQ1079">
        <f>IF($AJ1079="","",IF($AJ1079=0,$AK1079*EXP($AL1079*-3),$AK1079*(1+$AJ1079*$AL1079*-3)^(1/$AJ1079)))</f>
        <v/>
      </c>
      <c r="AR1079">
        <f>IF(OR($X1079="",$T1079&gt;60),"",IFERROR(INDEX(IF($T1079&lt;24,pcomp_l,palt_l),MATCH($X1079,IF($T1079&lt;24,pcomp_k,palt_k),1)),""))</f>
        <v/>
      </c>
      <c r="AS1079">
        <f>IF(OR($X1079="",$T1079&gt;60),"",IFERROR(INDEX(IF($T1079&lt;24,pcomp_m,palt_m),MATCH($X1079,IF($T1079&lt;24,pcomp_k,palt_k),1)),""))</f>
        <v/>
      </c>
      <c r="AT1079">
        <f>IF(OR($X1079="",$T1079&gt;60),"",IFERROR(INDEX(IF($T1079&lt;24,pcomp_s,palt_s),MATCH($X1079,IF($T1079&lt;24,pcomp_k,palt_k),1)),""))</f>
        <v/>
      </c>
      <c r="AU1079">
        <f>IF($AR1079="","",IF($AR1079=0,LN($F1079/$AS1079)/$AT1079,((($F1079/$AS1079)^$AR1079)-1)/($AR1079*$AT1079)))</f>
        <v/>
      </c>
      <c r="AV1079">
        <f>IF($AR1079="","",IF($AR1079=0,$AS1079*EXP($AT1079*2),$AS1079*(1+$AR1079*$AT1079*2)^(1/$AR1079)))</f>
        <v/>
      </c>
      <c r="AW1079">
        <f>IF($AR1079="","",IF($AR1079=0,$AS1079*EXP($AT1079*3),$AS1079*(1+$AR1079*$AT1079*3)^(1/$AR1079)))</f>
        <v/>
      </c>
      <c r="AX1079">
        <f>IF($AR1079="","",IF($AR1079=0,$AS1079*EXP($AT1079*-2),$AS1079*(1+$AR1079*$AT1079*-2)^(1/$AR1079)))</f>
        <v/>
      </c>
      <c r="AY1079">
        <f>IF($AR1079="","",IF($AR1079=0,$AS1079*EXP($AT1079*-3),$AS1079*(1+$AR1079*$AT1079*-3)^(1/$AR1079)))</f>
        <v/>
      </c>
      <c r="AZ1079">
        <f>IF(OR($A1079="",$A1079&lt;&gt;Ficha!$C$4),"",COUNTIF($A$2:$A1079,Ficha!$C$4))</f>
        <v/>
      </c>
    </row>
    <row r="1080">
      <c r="A1080" s="8">
        <f>IF(INDEX(Banco!$A:$A,ROW())="","",INDEX(Banco!$A:$A,ROW()))</f>
        <v/>
      </c>
      <c r="B1080" s="8">
        <f>IF(INDEX(Banco!$B:$B,ROW())="","",INDEX(Banco!$B:$B,ROW()))</f>
        <v/>
      </c>
      <c r="C1080" s="8">
        <f>IF(INDEX(Banco!$C:$C,ROW())="","",INDEX(Banco!$C:$C,ROW()))</f>
        <v/>
      </c>
      <c r="D1080" s="9">
        <f>IF(INDEX(Banco!$D:$D,ROW())="","",INDEX(Banco!$D:$D,ROW()))</f>
        <v/>
      </c>
      <c r="E1080" s="9">
        <f>IF(INDEX(Banco!$E:$E,ROW())="","",INDEX(Banco!$E:$E,ROW()))</f>
        <v/>
      </c>
      <c r="F1080" s="10">
        <f>IF(INDEX(Banco!$F:$F,ROW())="","",INDEX(Banco!$F:$F,ROW()))</f>
        <v/>
      </c>
      <c r="G1080" s="10">
        <f>IF(INDEX(Banco!$G:$G,ROW())="","",INDEX(Banco!$G:$G,ROW()))</f>
        <v/>
      </c>
      <c r="H1080" s="8">
        <f>IF(INDEX(Banco!$H:$H,ROW())="","",INDEX(Banco!$H:$H,ROW()))</f>
        <v/>
      </c>
      <c r="I1080">
        <f>IF($T1080="","",INT($T1080/12)&amp;"a "&amp;MOD($T1080,12)&amp;"m")</f>
        <v/>
      </c>
      <c r="J1080" s="11">
        <f>IF(OR($F1080="",$G1080=""),"",ROUND($F1080/($G1080/100)^2,2))</f>
        <v/>
      </c>
      <c r="K1080" s="12">
        <f>IF(OR($S1080="",$J1080="",$T1080="",$T1080&lt;0,$T1080&gt;228,$Y1080=""),"—",ROUND(IF(ABS($AB1080)&lt;=3,$AB1080,IF($AB1080&gt;3,3+($J1080-$AD1080)/($AD1080-$AC1080),-3+($J1080-$AF1080)/($AE1080-$AF1080))),2))</f>
        <v/>
      </c>
      <c r="L1080">
        <f>IF(OR($K1080="",$K1080="—"),"",IF($T1080&lt;=60,IF($K1080&lt;-3,"Magreza acentuada",IF($K1080&lt;-2,"Magreza",IF($K1080&lt;=1,"Eutrofia",IF($K1080&lt;=2,"Risco de sobrepeso",IF($K1080&lt;=3,"Sobrepeso","Obesidade"))))),IF($K1080&lt;-3,"Magreza acentuada",IF($K1080&lt;-2,"Magreza",IF($K1080&lt;=1,"Eutrofia",IF($K1080&lt;=2,"Sobrepeso",IF($K1080&lt;=3,"Obesidade","Obesidade grave")))))))</f>
        <v/>
      </c>
      <c r="M1080" s="12">
        <f>IF(OR($S1080="",$V1080="",$T1080="",$T1080&lt;0,$T1080&gt;228,$AG1080=""),"—",ROUND(IF($AG1080=0,LN($V1080/$AH1080)/$AI1080,((($V1080/$AH1080)^$AG1080)-1)/($AG1080*$AI1080)),2))</f>
        <v/>
      </c>
      <c r="N1080">
        <f>IF(OR($M1080="",$M1080="—"),"",IF($M1080&lt;-3,"Muito baixa",IF($M1080&lt;-2,"Baixa","Adequada")))</f>
        <v/>
      </c>
      <c r="O1080" s="12">
        <f>IF(OR($S1080="",$F1080="",$T1080="",$T1080&lt;0,$T1080&gt;120,$AJ1080=""),"—",ROUND(IF(ABS($AM1080)&lt;=3,$AM1080,IF($AM1080&gt;3,3+($F1080-$AO1080)/($AO1080-$AN1080),-3+($F1080-$AQ1080)/($AP1080-$AQ1080))),2))</f>
        <v/>
      </c>
      <c r="P1080">
        <f>IF(OR($O1080="",$O1080="—"),"",IF($O1080&lt;-3,"Muito baixo",IF($O1080&lt;-2,"Baixo",IF($O1080&lt;=2,"Adequado","Elevado"))))</f>
        <v/>
      </c>
      <c r="Q1080" s="12">
        <f>IF(OR($S1080="",$F1080="",$T1080="",$T1080&lt;0,$T1080&gt;60,$AR1080=""),"—",ROUND(IF(ABS($AU1080)&lt;=3,$AU1080,IF($AU1080&gt;3,3+($F1080-$AW1080)/($AW1080-$AV1080),-3+($F1080-$AY1080)/($AX1080-$AY1080))),2))</f>
        <v/>
      </c>
      <c r="R1080">
        <f>IF(OR($Q1080="",$Q1080="—"),"",IF($Q1080&lt;-3,"Magreza acentuada",IF($Q1080&lt;-2,"Magreza",IF($Q1080&lt;=1,"Eutrofia",IF($Q1080&lt;=2,"Risco de sobrepeso",IF($Q1080&lt;=3,"Sobrepeso","Obesidade"))))))</f>
        <v/>
      </c>
      <c r="S1080">
        <f>IF($C1080="","",IF(UPPER(LEFT($C1080,1))="M",1,IF(UPPER(LEFT($C1080,1))="F",2,"")))</f>
        <v/>
      </c>
      <c r="T1080">
        <f>IF(OR($D1080="",$E1080=""),"",DATEDIF($D1080,$E1080,"m"))</f>
        <v/>
      </c>
      <c r="U1080">
        <f>IF(OR($D1080="",$E1080=""),"",$E1080-$D1080)</f>
        <v/>
      </c>
      <c r="V1080">
        <f>IF(OR($G1080="",$T1080=""),"",IF($T1080&lt;24,IF(LEFT(LOWER($H1080),4)="em p",$G1080+0.7,$G1080),IF(LEFT(LOWER($H1080),4)="deit",$G1080-0.7,$G1080)))</f>
        <v/>
      </c>
      <c r="W1080">
        <f>IF(OR($S1080="",$T1080=""),"",$S1080*1000000+IF($T1080&lt;=60,$U1080,$T1080))</f>
        <v/>
      </c>
      <c r="X1080">
        <f>IF(OR($S1080="",$V1080="",$T1080&gt;60,$T1080=""),"",$S1080*1000000+ROUND($V1080*10,0))</f>
        <v/>
      </c>
      <c r="Y1080">
        <f>IF($W1080="","",IFERROR(INDEX(IF($T1080&lt;=60,imc05_l,imc519_l),MATCH($W1080,IF($T1080&lt;=60,imc05_k,imc519_k),1)),""))</f>
        <v/>
      </c>
      <c r="Z1080">
        <f>IF($W1080="","",IFERROR(INDEX(IF($T1080&lt;=60,imc05_m,imc519_m),MATCH($W1080,IF($T1080&lt;=60,imc05_k,imc519_k),1)),""))</f>
        <v/>
      </c>
      <c r="AA1080">
        <f>IF($W1080="","",IFERROR(INDEX(IF($T1080&lt;=60,imc05_s,imc519_s),MATCH($W1080,IF($T1080&lt;=60,imc05_k,imc519_k),1)),""))</f>
        <v/>
      </c>
      <c r="AB1080">
        <f>IF($Y1080="","",IF($Y1080=0,LN($J1080/$Z1080)/$AA1080,((($J1080/$Z1080)^$Y1080)-1)/($Y1080*$AA1080)))</f>
        <v/>
      </c>
      <c r="AC1080">
        <f>IF($Y1080="","",IF($Y1080=0,$Z1080*EXP($AA1080*2),$Z1080*(1+$Y1080*$AA1080*2)^(1/$Y1080)))</f>
        <v/>
      </c>
      <c r="AD1080">
        <f>IF($Y1080="","",IF($Y1080=0,$Z1080*EXP($AA1080*3),$Z1080*(1+$Y1080*$AA1080*3)^(1/$Y1080)))</f>
        <v/>
      </c>
      <c r="AE1080">
        <f>IF($Y1080="","",IF($Y1080=0,$Z1080*EXP($AA1080*-2),$Z1080*(1+$Y1080*$AA1080*-2)^(1/$Y1080)))</f>
        <v/>
      </c>
      <c r="AF1080">
        <f>IF($Y1080="","",IF($Y1080=0,$Z1080*EXP($AA1080*-3),$Z1080*(1+$Y1080*$AA1080*-3)^(1/$Y1080)))</f>
        <v/>
      </c>
      <c r="AG1080">
        <f>IF($W1080="","",IFERROR(INDEX(IF($T1080&lt;=60,est05_l,est519_l),MATCH($W1080,IF($T1080&lt;=60,est05_k,est519_k),1)),""))</f>
        <v/>
      </c>
      <c r="AH1080">
        <f>IF($W1080="","",IFERROR(INDEX(IF($T1080&lt;=60,est05_m,est519_m),MATCH($W1080,IF($T1080&lt;=60,est05_k,est519_k),1)),""))</f>
        <v/>
      </c>
      <c r="AI1080">
        <f>IF($W1080="","",IFERROR(INDEX(IF($T1080&lt;=60,est05_s,est519_s),MATCH($W1080,IF($T1080&lt;=60,est05_k,est519_k),1)),""))</f>
        <v/>
      </c>
      <c r="AJ1080">
        <f>IF($W1080="","",IFERROR(INDEX(IF($T1080&lt;=60,peso05_l,peso510_l),MATCH($W1080,IF($T1080&lt;=60,peso05_k,peso510_k),1)),""))</f>
        <v/>
      </c>
      <c r="AK1080">
        <f>IF($W1080="","",IFERROR(INDEX(IF($T1080&lt;=60,peso05_m,peso510_m),MATCH($W1080,IF($T1080&lt;=60,peso05_k,peso510_k),1)),""))</f>
        <v/>
      </c>
      <c r="AL1080">
        <f>IF($W1080="","",IFERROR(INDEX(IF($T1080&lt;=60,peso05_s,peso510_s),MATCH($W1080,IF($T1080&lt;=60,peso05_k,peso510_k),1)),""))</f>
        <v/>
      </c>
      <c r="AM1080">
        <f>IF($AJ1080="","",IF($AJ1080=0,LN($F1080/$AK1080)/$AL1080,((($F1080/$AK1080)^$AJ1080)-1)/($AJ1080*$AL1080)))</f>
        <v/>
      </c>
      <c r="AN1080">
        <f>IF($AJ1080="","",IF($AJ1080=0,$AK1080*EXP($AL1080*2),$AK1080*(1+$AJ1080*$AL1080*2)^(1/$AJ1080)))</f>
        <v/>
      </c>
      <c r="AO1080">
        <f>IF($AJ1080="","",IF($AJ1080=0,$AK1080*EXP($AL1080*3),$AK1080*(1+$AJ1080*$AL1080*3)^(1/$AJ1080)))</f>
        <v/>
      </c>
      <c r="AP1080">
        <f>IF($AJ1080="","",IF($AJ1080=0,$AK1080*EXP($AL1080*-2),$AK1080*(1+$AJ1080*$AL1080*-2)^(1/$AJ1080)))</f>
        <v/>
      </c>
      <c r="AQ1080">
        <f>IF($AJ1080="","",IF($AJ1080=0,$AK1080*EXP($AL1080*-3),$AK1080*(1+$AJ1080*$AL1080*-3)^(1/$AJ1080)))</f>
        <v/>
      </c>
      <c r="AR1080">
        <f>IF(OR($X1080="",$T1080&gt;60),"",IFERROR(INDEX(IF($T1080&lt;24,pcomp_l,palt_l),MATCH($X1080,IF($T1080&lt;24,pcomp_k,palt_k),1)),""))</f>
        <v/>
      </c>
      <c r="AS1080">
        <f>IF(OR($X1080="",$T1080&gt;60),"",IFERROR(INDEX(IF($T1080&lt;24,pcomp_m,palt_m),MATCH($X1080,IF($T1080&lt;24,pcomp_k,palt_k),1)),""))</f>
        <v/>
      </c>
      <c r="AT1080">
        <f>IF(OR($X1080="",$T1080&gt;60),"",IFERROR(INDEX(IF($T1080&lt;24,pcomp_s,palt_s),MATCH($X1080,IF($T1080&lt;24,pcomp_k,palt_k),1)),""))</f>
        <v/>
      </c>
      <c r="AU1080">
        <f>IF($AR1080="","",IF($AR1080=0,LN($F1080/$AS1080)/$AT1080,((($F1080/$AS1080)^$AR1080)-1)/($AR1080*$AT1080)))</f>
        <v/>
      </c>
      <c r="AV1080">
        <f>IF($AR1080="","",IF($AR1080=0,$AS1080*EXP($AT1080*2),$AS1080*(1+$AR1080*$AT1080*2)^(1/$AR1080)))</f>
        <v/>
      </c>
      <c r="AW1080">
        <f>IF($AR1080="","",IF($AR1080=0,$AS1080*EXP($AT1080*3),$AS1080*(1+$AR1080*$AT1080*3)^(1/$AR1080)))</f>
        <v/>
      </c>
      <c r="AX1080">
        <f>IF($AR1080="","",IF($AR1080=0,$AS1080*EXP($AT1080*-2),$AS1080*(1+$AR1080*$AT1080*-2)^(1/$AR1080)))</f>
        <v/>
      </c>
      <c r="AY1080">
        <f>IF($AR1080="","",IF($AR1080=0,$AS1080*EXP($AT1080*-3),$AS1080*(1+$AR1080*$AT1080*-3)^(1/$AR1080)))</f>
        <v/>
      </c>
      <c r="AZ1080">
        <f>IF(OR($A1080="",$A1080&lt;&gt;Ficha!$C$4),"",COUNTIF($A$2:$A1080,Ficha!$C$4))</f>
        <v/>
      </c>
    </row>
    <row r="1081">
      <c r="A1081" s="8">
        <f>IF(INDEX(Banco!$A:$A,ROW())="","",INDEX(Banco!$A:$A,ROW()))</f>
        <v/>
      </c>
      <c r="B1081" s="8">
        <f>IF(INDEX(Banco!$B:$B,ROW())="","",INDEX(Banco!$B:$B,ROW()))</f>
        <v/>
      </c>
      <c r="C1081" s="8">
        <f>IF(INDEX(Banco!$C:$C,ROW())="","",INDEX(Banco!$C:$C,ROW()))</f>
        <v/>
      </c>
      <c r="D1081" s="9">
        <f>IF(INDEX(Banco!$D:$D,ROW())="","",INDEX(Banco!$D:$D,ROW()))</f>
        <v/>
      </c>
      <c r="E1081" s="9">
        <f>IF(INDEX(Banco!$E:$E,ROW())="","",INDEX(Banco!$E:$E,ROW()))</f>
        <v/>
      </c>
      <c r="F1081" s="10">
        <f>IF(INDEX(Banco!$F:$F,ROW())="","",INDEX(Banco!$F:$F,ROW()))</f>
        <v/>
      </c>
      <c r="G1081" s="10">
        <f>IF(INDEX(Banco!$G:$G,ROW())="","",INDEX(Banco!$G:$G,ROW()))</f>
        <v/>
      </c>
      <c r="H1081" s="8">
        <f>IF(INDEX(Banco!$H:$H,ROW())="","",INDEX(Banco!$H:$H,ROW()))</f>
        <v/>
      </c>
      <c r="I1081">
        <f>IF($T1081="","",INT($T1081/12)&amp;"a "&amp;MOD($T1081,12)&amp;"m")</f>
        <v/>
      </c>
      <c r="J1081" s="11">
        <f>IF(OR($F1081="",$G1081=""),"",ROUND($F1081/($G1081/100)^2,2))</f>
        <v/>
      </c>
      <c r="K1081" s="12">
        <f>IF(OR($S1081="",$J1081="",$T1081="",$T1081&lt;0,$T1081&gt;228,$Y1081=""),"—",ROUND(IF(ABS($AB1081)&lt;=3,$AB1081,IF($AB1081&gt;3,3+($J1081-$AD1081)/($AD1081-$AC1081),-3+($J1081-$AF1081)/($AE1081-$AF1081))),2))</f>
        <v/>
      </c>
      <c r="L1081">
        <f>IF(OR($K1081="",$K1081="—"),"",IF($T1081&lt;=60,IF($K1081&lt;-3,"Magreza acentuada",IF($K1081&lt;-2,"Magreza",IF($K1081&lt;=1,"Eutrofia",IF($K1081&lt;=2,"Risco de sobrepeso",IF($K1081&lt;=3,"Sobrepeso","Obesidade"))))),IF($K1081&lt;-3,"Magreza acentuada",IF($K1081&lt;-2,"Magreza",IF($K1081&lt;=1,"Eutrofia",IF($K1081&lt;=2,"Sobrepeso",IF($K1081&lt;=3,"Obesidade","Obesidade grave")))))))</f>
        <v/>
      </c>
      <c r="M1081" s="12">
        <f>IF(OR($S1081="",$V1081="",$T1081="",$T1081&lt;0,$T1081&gt;228,$AG1081=""),"—",ROUND(IF($AG1081=0,LN($V1081/$AH1081)/$AI1081,((($V1081/$AH1081)^$AG1081)-1)/($AG1081*$AI1081)),2))</f>
        <v/>
      </c>
      <c r="N1081">
        <f>IF(OR($M1081="",$M1081="—"),"",IF($M1081&lt;-3,"Muito baixa",IF($M1081&lt;-2,"Baixa","Adequada")))</f>
        <v/>
      </c>
      <c r="O1081" s="12">
        <f>IF(OR($S1081="",$F1081="",$T1081="",$T1081&lt;0,$T1081&gt;120,$AJ1081=""),"—",ROUND(IF(ABS($AM1081)&lt;=3,$AM1081,IF($AM1081&gt;3,3+($F1081-$AO1081)/($AO1081-$AN1081),-3+($F1081-$AQ1081)/($AP1081-$AQ1081))),2))</f>
        <v/>
      </c>
      <c r="P1081">
        <f>IF(OR($O1081="",$O1081="—"),"",IF($O1081&lt;-3,"Muito baixo",IF($O1081&lt;-2,"Baixo",IF($O1081&lt;=2,"Adequado","Elevado"))))</f>
        <v/>
      </c>
      <c r="Q1081" s="12">
        <f>IF(OR($S1081="",$F1081="",$T1081="",$T1081&lt;0,$T1081&gt;60,$AR1081=""),"—",ROUND(IF(ABS($AU1081)&lt;=3,$AU1081,IF($AU1081&gt;3,3+($F1081-$AW1081)/($AW1081-$AV1081),-3+($F1081-$AY1081)/($AX1081-$AY1081))),2))</f>
        <v/>
      </c>
      <c r="R1081">
        <f>IF(OR($Q1081="",$Q1081="—"),"",IF($Q1081&lt;-3,"Magreza acentuada",IF($Q1081&lt;-2,"Magreza",IF($Q1081&lt;=1,"Eutrofia",IF($Q1081&lt;=2,"Risco de sobrepeso",IF($Q1081&lt;=3,"Sobrepeso","Obesidade"))))))</f>
        <v/>
      </c>
      <c r="S1081">
        <f>IF($C1081="","",IF(UPPER(LEFT($C1081,1))="M",1,IF(UPPER(LEFT($C1081,1))="F",2,"")))</f>
        <v/>
      </c>
      <c r="T1081">
        <f>IF(OR($D1081="",$E1081=""),"",DATEDIF($D1081,$E1081,"m"))</f>
        <v/>
      </c>
      <c r="U1081">
        <f>IF(OR($D1081="",$E1081=""),"",$E1081-$D1081)</f>
        <v/>
      </c>
      <c r="V1081">
        <f>IF(OR($G1081="",$T1081=""),"",IF($T1081&lt;24,IF(LEFT(LOWER($H1081),4)="em p",$G1081+0.7,$G1081),IF(LEFT(LOWER($H1081),4)="deit",$G1081-0.7,$G1081)))</f>
        <v/>
      </c>
      <c r="W1081">
        <f>IF(OR($S1081="",$T1081=""),"",$S1081*1000000+IF($T1081&lt;=60,$U1081,$T1081))</f>
        <v/>
      </c>
      <c r="X1081">
        <f>IF(OR($S1081="",$V1081="",$T1081&gt;60,$T1081=""),"",$S1081*1000000+ROUND($V1081*10,0))</f>
        <v/>
      </c>
      <c r="Y1081">
        <f>IF($W1081="","",IFERROR(INDEX(IF($T1081&lt;=60,imc05_l,imc519_l),MATCH($W1081,IF($T1081&lt;=60,imc05_k,imc519_k),1)),""))</f>
        <v/>
      </c>
      <c r="Z1081">
        <f>IF($W1081="","",IFERROR(INDEX(IF($T1081&lt;=60,imc05_m,imc519_m),MATCH($W1081,IF($T1081&lt;=60,imc05_k,imc519_k),1)),""))</f>
        <v/>
      </c>
      <c r="AA1081">
        <f>IF($W1081="","",IFERROR(INDEX(IF($T1081&lt;=60,imc05_s,imc519_s),MATCH($W1081,IF($T1081&lt;=60,imc05_k,imc519_k),1)),""))</f>
        <v/>
      </c>
      <c r="AB1081">
        <f>IF($Y1081="","",IF($Y1081=0,LN($J1081/$Z1081)/$AA1081,((($J1081/$Z1081)^$Y1081)-1)/($Y1081*$AA1081)))</f>
        <v/>
      </c>
      <c r="AC1081">
        <f>IF($Y1081="","",IF($Y1081=0,$Z1081*EXP($AA1081*2),$Z1081*(1+$Y1081*$AA1081*2)^(1/$Y1081)))</f>
        <v/>
      </c>
      <c r="AD1081">
        <f>IF($Y1081="","",IF($Y1081=0,$Z1081*EXP($AA1081*3),$Z1081*(1+$Y1081*$AA1081*3)^(1/$Y1081)))</f>
        <v/>
      </c>
      <c r="AE1081">
        <f>IF($Y1081="","",IF($Y1081=0,$Z1081*EXP($AA1081*-2),$Z1081*(1+$Y1081*$AA1081*-2)^(1/$Y1081)))</f>
        <v/>
      </c>
      <c r="AF1081">
        <f>IF($Y1081="","",IF($Y1081=0,$Z1081*EXP($AA1081*-3),$Z1081*(1+$Y1081*$AA1081*-3)^(1/$Y1081)))</f>
        <v/>
      </c>
      <c r="AG1081">
        <f>IF($W1081="","",IFERROR(INDEX(IF($T1081&lt;=60,est05_l,est519_l),MATCH($W1081,IF($T1081&lt;=60,est05_k,est519_k),1)),""))</f>
        <v/>
      </c>
      <c r="AH1081">
        <f>IF($W1081="","",IFERROR(INDEX(IF($T1081&lt;=60,est05_m,est519_m),MATCH($W1081,IF($T1081&lt;=60,est05_k,est519_k),1)),""))</f>
        <v/>
      </c>
      <c r="AI1081">
        <f>IF($W1081="","",IFERROR(INDEX(IF($T1081&lt;=60,est05_s,est519_s),MATCH($W1081,IF($T1081&lt;=60,est05_k,est519_k),1)),""))</f>
        <v/>
      </c>
      <c r="AJ1081">
        <f>IF($W1081="","",IFERROR(INDEX(IF($T1081&lt;=60,peso05_l,peso510_l),MATCH($W1081,IF($T1081&lt;=60,peso05_k,peso510_k),1)),""))</f>
        <v/>
      </c>
      <c r="AK1081">
        <f>IF($W1081="","",IFERROR(INDEX(IF($T1081&lt;=60,peso05_m,peso510_m),MATCH($W1081,IF($T1081&lt;=60,peso05_k,peso510_k),1)),""))</f>
        <v/>
      </c>
      <c r="AL1081">
        <f>IF($W1081="","",IFERROR(INDEX(IF($T1081&lt;=60,peso05_s,peso510_s),MATCH($W1081,IF($T1081&lt;=60,peso05_k,peso510_k),1)),""))</f>
        <v/>
      </c>
      <c r="AM1081">
        <f>IF($AJ1081="","",IF($AJ1081=0,LN($F1081/$AK1081)/$AL1081,((($F1081/$AK1081)^$AJ1081)-1)/($AJ1081*$AL1081)))</f>
        <v/>
      </c>
      <c r="AN1081">
        <f>IF($AJ1081="","",IF($AJ1081=0,$AK1081*EXP($AL1081*2),$AK1081*(1+$AJ1081*$AL1081*2)^(1/$AJ1081)))</f>
        <v/>
      </c>
      <c r="AO1081">
        <f>IF($AJ1081="","",IF($AJ1081=0,$AK1081*EXP($AL1081*3),$AK1081*(1+$AJ1081*$AL1081*3)^(1/$AJ1081)))</f>
        <v/>
      </c>
      <c r="AP1081">
        <f>IF($AJ1081="","",IF($AJ1081=0,$AK1081*EXP($AL1081*-2),$AK1081*(1+$AJ1081*$AL1081*-2)^(1/$AJ1081)))</f>
        <v/>
      </c>
      <c r="AQ1081">
        <f>IF($AJ1081="","",IF($AJ1081=0,$AK1081*EXP($AL1081*-3),$AK1081*(1+$AJ1081*$AL1081*-3)^(1/$AJ1081)))</f>
        <v/>
      </c>
      <c r="AR1081">
        <f>IF(OR($X1081="",$T1081&gt;60),"",IFERROR(INDEX(IF($T1081&lt;24,pcomp_l,palt_l),MATCH($X1081,IF($T1081&lt;24,pcomp_k,palt_k),1)),""))</f>
        <v/>
      </c>
      <c r="AS1081">
        <f>IF(OR($X1081="",$T1081&gt;60),"",IFERROR(INDEX(IF($T1081&lt;24,pcomp_m,palt_m),MATCH($X1081,IF($T1081&lt;24,pcomp_k,palt_k),1)),""))</f>
        <v/>
      </c>
      <c r="AT1081">
        <f>IF(OR($X1081="",$T1081&gt;60),"",IFERROR(INDEX(IF($T1081&lt;24,pcomp_s,palt_s),MATCH($X1081,IF($T1081&lt;24,pcomp_k,palt_k),1)),""))</f>
        <v/>
      </c>
      <c r="AU1081">
        <f>IF($AR1081="","",IF($AR1081=0,LN($F1081/$AS1081)/$AT1081,((($F1081/$AS1081)^$AR1081)-1)/($AR1081*$AT1081)))</f>
        <v/>
      </c>
      <c r="AV1081">
        <f>IF($AR1081="","",IF($AR1081=0,$AS1081*EXP($AT1081*2),$AS1081*(1+$AR1081*$AT1081*2)^(1/$AR1081)))</f>
        <v/>
      </c>
      <c r="AW1081">
        <f>IF($AR1081="","",IF($AR1081=0,$AS1081*EXP($AT1081*3),$AS1081*(1+$AR1081*$AT1081*3)^(1/$AR1081)))</f>
        <v/>
      </c>
      <c r="AX1081">
        <f>IF($AR1081="","",IF($AR1081=0,$AS1081*EXP($AT1081*-2),$AS1081*(1+$AR1081*$AT1081*-2)^(1/$AR1081)))</f>
        <v/>
      </c>
      <c r="AY1081">
        <f>IF($AR1081="","",IF($AR1081=0,$AS1081*EXP($AT1081*-3),$AS1081*(1+$AR1081*$AT1081*-3)^(1/$AR1081)))</f>
        <v/>
      </c>
      <c r="AZ1081">
        <f>IF(OR($A1081="",$A1081&lt;&gt;Ficha!$C$4),"",COUNTIF($A$2:$A1081,Ficha!$C$4))</f>
        <v/>
      </c>
    </row>
    <row r="1082">
      <c r="A1082" s="8">
        <f>IF(INDEX(Banco!$A:$A,ROW())="","",INDEX(Banco!$A:$A,ROW()))</f>
        <v/>
      </c>
      <c r="B1082" s="8">
        <f>IF(INDEX(Banco!$B:$B,ROW())="","",INDEX(Banco!$B:$B,ROW()))</f>
        <v/>
      </c>
      <c r="C1082" s="8">
        <f>IF(INDEX(Banco!$C:$C,ROW())="","",INDEX(Banco!$C:$C,ROW()))</f>
        <v/>
      </c>
      <c r="D1082" s="9">
        <f>IF(INDEX(Banco!$D:$D,ROW())="","",INDEX(Banco!$D:$D,ROW()))</f>
        <v/>
      </c>
      <c r="E1082" s="9">
        <f>IF(INDEX(Banco!$E:$E,ROW())="","",INDEX(Banco!$E:$E,ROW()))</f>
        <v/>
      </c>
      <c r="F1082" s="10">
        <f>IF(INDEX(Banco!$F:$F,ROW())="","",INDEX(Banco!$F:$F,ROW()))</f>
        <v/>
      </c>
      <c r="G1082" s="10">
        <f>IF(INDEX(Banco!$G:$G,ROW())="","",INDEX(Banco!$G:$G,ROW()))</f>
        <v/>
      </c>
      <c r="H1082" s="8">
        <f>IF(INDEX(Banco!$H:$H,ROW())="","",INDEX(Banco!$H:$H,ROW()))</f>
        <v/>
      </c>
      <c r="I1082">
        <f>IF($T1082="","",INT($T1082/12)&amp;"a "&amp;MOD($T1082,12)&amp;"m")</f>
        <v/>
      </c>
      <c r="J1082" s="11">
        <f>IF(OR($F1082="",$G1082=""),"",ROUND($F1082/($G1082/100)^2,2))</f>
        <v/>
      </c>
      <c r="K1082" s="12">
        <f>IF(OR($S1082="",$J1082="",$T1082="",$T1082&lt;0,$T1082&gt;228,$Y1082=""),"—",ROUND(IF(ABS($AB1082)&lt;=3,$AB1082,IF($AB1082&gt;3,3+($J1082-$AD1082)/($AD1082-$AC1082),-3+($J1082-$AF1082)/($AE1082-$AF1082))),2))</f>
        <v/>
      </c>
      <c r="L1082">
        <f>IF(OR($K1082="",$K1082="—"),"",IF($T1082&lt;=60,IF($K1082&lt;-3,"Magreza acentuada",IF($K1082&lt;-2,"Magreza",IF($K1082&lt;=1,"Eutrofia",IF($K1082&lt;=2,"Risco de sobrepeso",IF($K1082&lt;=3,"Sobrepeso","Obesidade"))))),IF($K1082&lt;-3,"Magreza acentuada",IF($K1082&lt;-2,"Magreza",IF($K1082&lt;=1,"Eutrofia",IF($K1082&lt;=2,"Sobrepeso",IF($K1082&lt;=3,"Obesidade","Obesidade grave")))))))</f>
        <v/>
      </c>
      <c r="M1082" s="12">
        <f>IF(OR($S1082="",$V1082="",$T1082="",$T1082&lt;0,$T1082&gt;228,$AG1082=""),"—",ROUND(IF($AG1082=0,LN($V1082/$AH1082)/$AI1082,((($V1082/$AH1082)^$AG1082)-1)/($AG1082*$AI1082)),2))</f>
        <v/>
      </c>
      <c r="N1082">
        <f>IF(OR($M1082="",$M1082="—"),"",IF($M1082&lt;-3,"Muito baixa",IF($M1082&lt;-2,"Baixa","Adequada")))</f>
        <v/>
      </c>
      <c r="O1082" s="12">
        <f>IF(OR($S1082="",$F1082="",$T1082="",$T1082&lt;0,$T1082&gt;120,$AJ1082=""),"—",ROUND(IF(ABS($AM1082)&lt;=3,$AM1082,IF($AM1082&gt;3,3+($F1082-$AO1082)/($AO1082-$AN1082),-3+($F1082-$AQ1082)/($AP1082-$AQ1082))),2))</f>
        <v/>
      </c>
      <c r="P1082">
        <f>IF(OR($O1082="",$O1082="—"),"",IF($O1082&lt;-3,"Muito baixo",IF($O1082&lt;-2,"Baixo",IF($O1082&lt;=2,"Adequado","Elevado"))))</f>
        <v/>
      </c>
      <c r="Q1082" s="12">
        <f>IF(OR($S1082="",$F1082="",$T1082="",$T1082&lt;0,$T1082&gt;60,$AR1082=""),"—",ROUND(IF(ABS($AU1082)&lt;=3,$AU1082,IF($AU1082&gt;3,3+($F1082-$AW1082)/($AW1082-$AV1082),-3+($F1082-$AY1082)/($AX1082-$AY1082))),2))</f>
        <v/>
      </c>
      <c r="R1082">
        <f>IF(OR($Q1082="",$Q1082="—"),"",IF($Q1082&lt;-3,"Magreza acentuada",IF($Q1082&lt;-2,"Magreza",IF($Q1082&lt;=1,"Eutrofia",IF($Q1082&lt;=2,"Risco de sobrepeso",IF($Q1082&lt;=3,"Sobrepeso","Obesidade"))))))</f>
        <v/>
      </c>
      <c r="S1082">
        <f>IF($C1082="","",IF(UPPER(LEFT($C1082,1))="M",1,IF(UPPER(LEFT($C1082,1))="F",2,"")))</f>
        <v/>
      </c>
      <c r="T1082">
        <f>IF(OR($D1082="",$E1082=""),"",DATEDIF($D1082,$E1082,"m"))</f>
        <v/>
      </c>
      <c r="U1082">
        <f>IF(OR($D1082="",$E1082=""),"",$E1082-$D1082)</f>
        <v/>
      </c>
      <c r="V1082">
        <f>IF(OR($G1082="",$T1082=""),"",IF($T1082&lt;24,IF(LEFT(LOWER($H1082),4)="em p",$G1082+0.7,$G1082),IF(LEFT(LOWER($H1082),4)="deit",$G1082-0.7,$G1082)))</f>
        <v/>
      </c>
      <c r="W1082">
        <f>IF(OR($S1082="",$T1082=""),"",$S1082*1000000+IF($T1082&lt;=60,$U1082,$T1082))</f>
        <v/>
      </c>
      <c r="X1082">
        <f>IF(OR($S1082="",$V1082="",$T1082&gt;60,$T1082=""),"",$S1082*1000000+ROUND($V1082*10,0))</f>
        <v/>
      </c>
      <c r="Y1082">
        <f>IF($W1082="","",IFERROR(INDEX(IF($T1082&lt;=60,imc05_l,imc519_l),MATCH($W1082,IF($T1082&lt;=60,imc05_k,imc519_k),1)),""))</f>
        <v/>
      </c>
      <c r="Z1082">
        <f>IF($W1082="","",IFERROR(INDEX(IF($T1082&lt;=60,imc05_m,imc519_m),MATCH($W1082,IF($T1082&lt;=60,imc05_k,imc519_k),1)),""))</f>
        <v/>
      </c>
      <c r="AA1082">
        <f>IF($W1082="","",IFERROR(INDEX(IF($T1082&lt;=60,imc05_s,imc519_s),MATCH($W1082,IF($T1082&lt;=60,imc05_k,imc519_k),1)),""))</f>
        <v/>
      </c>
      <c r="AB1082">
        <f>IF($Y1082="","",IF($Y1082=0,LN($J1082/$Z1082)/$AA1082,((($J1082/$Z1082)^$Y1082)-1)/($Y1082*$AA1082)))</f>
        <v/>
      </c>
      <c r="AC1082">
        <f>IF($Y1082="","",IF($Y1082=0,$Z1082*EXP($AA1082*2),$Z1082*(1+$Y1082*$AA1082*2)^(1/$Y1082)))</f>
        <v/>
      </c>
      <c r="AD1082">
        <f>IF($Y1082="","",IF($Y1082=0,$Z1082*EXP($AA1082*3),$Z1082*(1+$Y1082*$AA1082*3)^(1/$Y1082)))</f>
        <v/>
      </c>
      <c r="AE1082">
        <f>IF($Y1082="","",IF($Y1082=0,$Z1082*EXP($AA1082*-2),$Z1082*(1+$Y1082*$AA1082*-2)^(1/$Y1082)))</f>
        <v/>
      </c>
      <c r="AF1082">
        <f>IF($Y1082="","",IF($Y1082=0,$Z1082*EXP($AA1082*-3),$Z1082*(1+$Y1082*$AA1082*-3)^(1/$Y1082)))</f>
        <v/>
      </c>
      <c r="AG1082">
        <f>IF($W1082="","",IFERROR(INDEX(IF($T1082&lt;=60,est05_l,est519_l),MATCH($W1082,IF($T1082&lt;=60,est05_k,est519_k),1)),""))</f>
        <v/>
      </c>
      <c r="AH1082">
        <f>IF($W1082="","",IFERROR(INDEX(IF($T1082&lt;=60,est05_m,est519_m),MATCH($W1082,IF($T1082&lt;=60,est05_k,est519_k),1)),""))</f>
        <v/>
      </c>
      <c r="AI1082">
        <f>IF($W1082="","",IFERROR(INDEX(IF($T1082&lt;=60,est05_s,est519_s),MATCH($W1082,IF($T1082&lt;=60,est05_k,est519_k),1)),""))</f>
        <v/>
      </c>
      <c r="AJ1082">
        <f>IF($W1082="","",IFERROR(INDEX(IF($T1082&lt;=60,peso05_l,peso510_l),MATCH($W1082,IF($T1082&lt;=60,peso05_k,peso510_k),1)),""))</f>
        <v/>
      </c>
      <c r="AK1082">
        <f>IF($W1082="","",IFERROR(INDEX(IF($T1082&lt;=60,peso05_m,peso510_m),MATCH($W1082,IF($T1082&lt;=60,peso05_k,peso510_k),1)),""))</f>
        <v/>
      </c>
      <c r="AL1082">
        <f>IF($W1082="","",IFERROR(INDEX(IF($T1082&lt;=60,peso05_s,peso510_s),MATCH($W1082,IF($T1082&lt;=60,peso05_k,peso510_k),1)),""))</f>
        <v/>
      </c>
      <c r="AM1082">
        <f>IF($AJ1082="","",IF($AJ1082=0,LN($F1082/$AK1082)/$AL1082,((($F1082/$AK1082)^$AJ1082)-1)/($AJ1082*$AL1082)))</f>
        <v/>
      </c>
      <c r="AN1082">
        <f>IF($AJ1082="","",IF($AJ1082=0,$AK1082*EXP($AL1082*2),$AK1082*(1+$AJ1082*$AL1082*2)^(1/$AJ1082)))</f>
        <v/>
      </c>
      <c r="AO1082">
        <f>IF($AJ1082="","",IF($AJ1082=0,$AK1082*EXP($AL1082*3),$AK1082*(1+$AJ1082*$AL1082*3)^(1/$AJ1082)))</f>
        <v/>
      </c>
      <c r="AP1082">
        <f>IF($AJ1082="","",IF($AJ1082=0,$AK1082*EXP($AL1082*-2),$AK1082*(1+$AJ1082*$AL1082*-2)^(1/$AJ1082)))</f>
        <v/>
      </c>
      <c r="AQ1082">
        <f>IF($AJ1082="","",IF($AJ1082=0,$AK1082*EXP($AL1082*-3),$AK1082*(1+$AJ1082*$AL1082*-3)^(1/$AJ1082)))</f>
        <v/>
      </c>
      <c r="AR1082">
        <f>IF(OR($X1082="",$T1082&gt;60),"",IFERROR(INDEX(IF($T1082&lt;24,pcomp_l,palt_l),MATCH($X1082,IF($T1082&lt;24,pcomp_k,palt_k),1)),""))</f>
        <v/>
      </c>
      <c r="AS1082">
        <f>IF(OR($X1082="",$T1082&gt;60),"",IFERROR(INDEX(IF($T1082&lt;24,pcomp_m,palt_m),MATCH($X1082,IF($T1082&lt;24,pcomp_k,palt_k),1)),""))</f>
        <v/>
      </c>
      <c r="AT1082">
        <f>IF(OR($X1082="",$T1082&gt;60),"",IFERROR(INDEX(IF($T1082&lt;24,pcomp_s,palt_s),MATCH($X1082,IF($T1082&lt;24,pcomp_k,palt_k),1)),""))</f>
        <v/>
      </c>
      <c r="AU1082">
        <f>IF($AR1082="","",IF($AR1082=0,LN($F1082/$AS1082)/$AT1082,((($F1082/$AS1082)^$AR1082)-1)/($AR1082*$AT1082)))</f>
        <v/>
      </c>
      <c r="AV1082">
        <f>IF($AR1082="","",IF($AR1082=0,$AS1082*EXP($AT1082*2),$AS1082*(1+$AR1082*$AT1082*2)^(1/$AR1082)))</f>
        <v/>
      </c>
      <c r="AW1082">
        <f>IF($AR1082="","",IF($AR1082=0,$AS1082*EXP($AT1082*3),$AS1082*(1+$AR1082*$AT1082*3)^(1/$AR1082)))</f>
        <v/>
      </c>
      <c r="AX1082">
        <f>IF($AR1082="","",IF($AR1082=0,$AS1082*EXP($AT1082*-2),$AS1082*(1+$AR1082*$AT1082*-2)^(1/$AR1082)))</f>
        <v/>
      </c>
      <c r="AY1082">
        <f>IF($AR1082="","",IF($AR1082=0,$AS1082*EXP($AT1082*-3),$AS1082*(1+$AR1082*$AT1082*-3)^(1/$AR1082)))</f>
        <v/>
      </c>
      <c r="AZ1082">
        <f>IF(OR($A1082="",$A1082&lt;&gt;Ficha!$C$4),"",COUNTIF($A$2:$A1082,Ficha!$C$4))</f>
        <v/>
      </c>
    </row>
    <row r="1083">
      <c r="A1083" s="8">
        <f>IF(INDEX(Banco!$A:$A,ROW())="","",INDEX(Banco!$A:$A,ROW()))</f>
        <v/>
      </c>
      <c r="B1083" s="8">
        <f>IF(INDEX(Banco!$B:$B,ROW())="","",INDEX(Banco!$B:$B,ROW()))</f>
        <v/>
      </c>
      <c r="C1083" s="8">
        <f>IF(INDEX(Banco!$C:$C,ROW())="","",INDEX(Banco!$C:$C,ROW()))</f>
        <v/>
      </c>
      <c r="D1083" s="9">
        <f>IF(INDEX(Banco!$D:$D,ROW())="","",INDEX(Banco!$D:$D,ROW()))</f>
        <v/>
      </c>
      <c r="E1083" s="9">
        <f>IF(INDEX(Banco!$E:$E,ROW())="","",INDEX(Banco!$E:$E,ROW()))</f>
        <v/>
      </c>
      <c r="F1083" s="10">
        <f>IF(INDEX(Banco!$F:$F,ROW())="","",INDEX(Banco!$F:$F,ROW()))</f>
        <v/>
      </c>
      <c r="G1083" s="10">
        <f>IF(INDEX(Banco!$G:$G,ROW())="","",INDEX(Banco!$G:$G,ROW()))</f>
        <v/>
      </c>
      <c r="H1083" s="8">
        <f>IF(INDEX(Banco!$H:$H,ROW())="","",INDEX(Banco!$H:$H,ROW()))</f>
        <v/>
      </c>
      <c r="I1083">
        <f>IF($T1083="","",INT($T1083/12)&amp;"a "&amp;MOD($T1083,12)&amp;"m")</f>
        <v/>
      </c>
      <c r="J1083" s="11">
        <f>IF(OR($F1083="",$G1083=""),"",ROUND($F1083/($G1083/100)^2,2))</f>
        <v/>
      </c>
      <c r="K1083" s="12">
        <f>IF(OR($S1083="",$J1083="",$T1083="",$T1083&lt;0,$T1083&gt;228,$Y1083=""),"—",ROUND(IF(ABS($AB1083)&lt;=3,$AB1083,IF($AB1083&gt;3,3+($J1083-$AD1083)/($AD1083-$AC1083),-3+($J1083-$AF1083)/($AE1083-$AF1083))),2))</f>
        <v/>
      </c>
      <c r="L1083">
        <f>IF(OR($K1083="",$K1083="—"),"",IF($T1083&lt;=60,IF($K1083&lt;-3,"Magreza acentuada",IF($K1083&lt;-2,"Magreza",IF($K1083&lt;=1,"Eutrofia",IF($K1083&lt;=2,"Risco de sobrepeso",IF($K1083&lt;=3,"Sobrepeso","Obesidade"))))),IF($K1083&lt;-3,"Magreza acentuada",IF($K1083&lt;-2,"Magreza",IF($K1083&lt;=1,"Eutrofia",IF($K1083&lt;=2,"Sobrepeso",IF($K1083&lt;=3,"Obesidade","Obesidade grave")))))))</f>
        <v/>
      </c>
      <c r="M1083" s="12">
        <f>IF(OR($S1083="",$V1083="",$T1083="",$T1083&lt;0,$T1083&gt;228,$AG1083=""),"—",ROUND(IF($AG1083=0,LN($V1083/$AH1083)/$AI1083,((($V1083/$AH1083)^$AG1083)-1)/($AG1083*$AI1083)),2))</f>
        <v/>
      </c>
      <c r="N1083">
        <f>IF(OR($M1083="",$M1083="—"),"",IF($M1083&lt;-3,"Muito baixa",IF($M1083&lt;-2,"Baixa","Adequada")))</f>
        <v/>
      </c>
      <c r="O1083" s="12">
        <f>IF(OR($S1083="",$F1083="",$T1083="",$T1083&lt;0,$T1083&gt;120,$AJ1083=""),"—",ROUND(IF(ABS($AM1083)&lt;=3,$AM1083,IF($AM1083&gt;3,3+($F1083-$AO1083)/($AO1083-$AN1083),-3+($F1083-$AQ1083)/($AP1083-$AQ1083))),2))</f>
        <v/>
      </c>
      <c r="P1083">
        <f>IF(OR($O1083="",$O1083="—"),"",IF($O1083&lt;-3,"Muito baixo",IF($O1083&lt;-2,"Baixo",IF($O1083&lt;=2,"Adequado","Elevado"))))</f>
        <v/>
      </c>
      <c r="Q1083" s="12">
        <f>IF(OR($S1083="",$F1083="",$T1083="",$T1083&lt;0,$T1083&gt;60,$AR1083=""),"—",ROUND(IF(ABS($AU1083)&lt;=3,$AU1083,IF($AU1083&gt;3,3+($F1083-$AW1083)/($AW1083-$AV1083),-3+($F1083-$AY1083)/($AX1083-$AY1083))),2))</f>
        <v/>
      </c>
      <c r="R1083">
        <f>IF(OR($Q1083="",$Q1083="—"),"",IF($Q1083&lt;-3,"Magreza acentuada",IF($Q1083&lt;-2,"Magreza",IF($Q1083&lt;=1,"Eutrofia",IF($Q1083&lt;=2,"Risco de sobrepeso",IF($Q1083&lt;=3,"Sobrepeso","Obesidade"))))))</f>
        <v/>
      </c>
      <c r="S1083">
        <f>IF($C1083="","",IF(UPPER(LEFT($C1083,1))="M",1,IF(UPPER(LEFT($C1083,1))="F",2,"")))</f>
        <v/>
      </c>
      <c r="T1083">
        <f>IF(OR($D1083="",$E1083=""),"",DATEDIF($D1083,$E1083,"m"))</f>
        <v/>
      </c>
      <c r="U1083">
        <f>IF(OR($D1083="",$E1083=""),"",$E1083-$D1083)</f>
        <v/>
      </c>
      <c r="V1083">
        <f>IF(OR($G1083="",$T1083=""),"",IF($T1083&lt;24,IF(LEFT(LOWER($H1083),4)="em p",$G1083+0.7,$G1083),IF(LEFT(LOWER($H1083),4)="deit",$G1083-0.7,$G1083)))</f>
        <v/>
      </c>
      <c r="W1083">
        <f>IF(OR($S1083="",$T1083=""),"",$S1083*1000000+IF($T1083&lt;=60,$U1083,$T1083))</f>
        <v/>
      </c>
      <c r="X1083">
        <f>IF(OR($S1083="",$V1083="",$T1083&gt;60,$T1083=""),"",$S1083*1000000+ROUND($V1083*10,0))</f>
        <v/>
      </c>
      <c r="Y1083">
        <f>IF($W1083="","",IFERROR(INDEX(IF($T1083&lt;=60,imc05_l,imc519_l),MATCH($W1083,IF($T1083&lt;=60,imc05_k,imc519_k),1)),""))</f>
        <v/>
      </c>
      <c r="Z1083">
        <f>IF($W1083="","",IFERROR(INDEX(IF($T1083&lt;=60,imc05_m,imc519_m),MATCH($W1083,IF($T1083&lt;=60,imc05_k,imc519_k),1)),""))</f>
        <v/>
      </c>
      <c r="AA1083">
        <f>IF($W1083="","",IFERROR(INDEX(IF($T1083&lt;=60,imc05_s,imc519_s),MATCH($W1083,IF($T1083&lt;=60,imc05_k,imc519_k),1)),""))</f>
        <v/>
      </c>
      <c r="AB1083">
        <f>IF($Y1083="","",IF($Y1083=0,LN($J1083/$Z1083)/$AA1083,((($J1083/$Z1083)^$Y1083)-1)/($Y1083*$AA1083)))</f>
        <v/>
      </c>
      <c r="AC1083">
        <f>IF($Y1083="","",IF($Y1083=0,$Z1083*EXP($AA1083*2),$Z1083*(1+$Y1083*$AA1083*2)^(1/$Y1083)))</f>
        <v/>
      </c>
      <c r="AD1083">
        <f>IF($Y1083="","",IF($Y1083=0,$Z1083*EXP($AA1083*3),$Z1083*(1+$Y1083*$AA1083*3)^(1/$Y1083)))</f>
        <v/>
      </c>
      <c r="AE1083">
        <f>IF($Y1083="","",IF($Y1083=0,$Z1083*EXP($AA1083*-2),$Z1083*(1+$Y1083*$AA1083*-2)^(1/$Y1083)))</f>
        <v/>
      </c>
      <c r="AF1083">
        <f>IF($Y1083="","",IF($Y1083=0,$Z1083*EXP($AA1083*-3),$Z1083*(1+$Y1083*$AA1083*-3)^(1/$Y1083)))</f>
        <v/>
      </c>
      <c r="AG1083">
        <f>IF($W1083="","",IFERROR(INDEX(IF($T1083&lt;=60,est05_l,est519_l),MATCH($W1083,IF($T1083&lt;=60,est05_k,est519_k),1)),""))</f>
        <v/>
      </c>
      <c r="AH1083">
        <f>IF($W1083="","",IFERROR(INDEX(IF($T1083&lt;=60,est05_m,est519_m),MATCH($W1083,IF($T1083&lt;=60,est05_k,est519_k),1)),""))</f>
        <v/>
      </c>
      <c r="AI1083">
        <f>IF($W1083="","",IFERROR(INDEX(IF($T1083&lt;=60,est05_s,est519_s),MATCH($W1083,IF($T1083&lt;=60,est05_k,est519_k),1)),""))</f>
        <v/>
      </c>
      <c r="AJ1083">
        <f>IF($W1083="","",IFERROR(INDEX(IF($T1083&lt;=60,peso05_l,peso510_l),MATCH($W1083,IF($T1083&lt;=60,peso05_k,peso510_k),1)),""))</f>
        <v/>
      </c>
      <c r="AK1083">
        <f>IF($W1083="","",IFERROR(INDEX(IF($T1083&lt;=60,peso05_m,peso510_m),MATCH($W1083,IF($T1083&lt;=60,peso05_k,peso510_k),1)),""))</f>
        <v/>
      </c>
      <c r="AL1083">
        <f>IF($W1083="","",IFERROR(INDEX(IF($T1083&lt;=60,peso05_s,peso510_s),MATCH($W1083,IF($T1083&lt;=60,peso05_k,peso510_k),1)),""))</f>
        <v/>
      </c>
      <c r="AM1083">
        <f>IF($AJ1083="","",IF($AJ1083=0,LN($F1083/$AK1083)/$AL1083,((($F1083/$AK1083)^$AJ1083)-1)/($AJ1083*$AL1083)))</f>
        <v/>
      </c>
      <c r="AN1083">
        <f>IF($AJ1083="","",IF($AJ1083=0,$AK1083*EXP($AL1083*2),$AK1083*(1+$AJ1083*$AL1083*2)^(1/$AJ1083)))</f>
        <v/>
      </c>
      <c r="AO1083">
        <f>IF($AJ1083="","",IF($AJ1083=0,$AK1083*EXP($AL1083*3),$AK1083*(1+$AJ1083*$AL1083*3)^(1/$AJ1083)))</f>
        <v/>
      </c>
      <c r="AP1083">
        <f>IF($AJ1083="","",IF($AJ1083=0,$AK1083*EXP($AL1083*-2),$AK1083*(1+$AJ1083*$AL1083*-2)^(1/$AJ1083)))</f>
        <v/>
      </c>
      <c r="AQ1083">
        <f>IF($AJ1083="","",IF($AJ1083=0,$AK1083*EXP($AL1083*-3),$AK1083*(1+$AJ1083*$AL1083*-3)^(1/$AJ1083)))</f>
        <v/>
      </c>
      <c r="AR1083">
        <f>IF(OR($X1083="",$T1083&gt;60),"",IFERROR(INDEX(IF($T1083&lt;24,pcomp_l,palt_l),MATCH($X1083,IF($T1083&lt;24,pcomp_k,palt_k),1)),""))</f>
        <v/>
      </c>
      <c r="AS1083">
        <f>IF(OR($X1083="",$T1083&gt;60),"",IFERROR(INDEX(IF($T1083&lt;24,pcomp_m,palt_m),MATCH($X1083,IF($T1083&lt;24,pcomp_k,palt_k),1)),""))</f>
        <v/>
      </c>
      <c r="AT1083">
        <f>IF(OR($X1083="",$T1083&gt;60),"",IFERROR(INDEX(IF($T1083&lt;24,pcomp_s,palt_s),MATCH($X1083,IF($T1083&lt;24,pcomp_k,palt_k),1)),""))</f>
        <v/>
      </c>
      <c r="AU1083">
        <f>IF($AR1083="","",IF($AR1083=0,LN($F1083/$AS1083)/$AT1083,((($F1083/$AS1083)^$AR1083)-1)/($AR1083*$AT1083)))</f>
        <v/>
      </c>
      <c r="AV1083">
        <f>IF($AR1083="","",IF($AR1083=0,$AS1083*EXP($AT1083*2),$AS1083*(1+$AR1083*$AT1083*2)^(1/$AR1083)))</f>
        <v/>
      </c>
      <c r="AW1083">
        <f>IF($AR1083="","",IF($AR1083=0,$AS1083*EXP($AT1083*3),$AS1083*(1+$AR1083*$AT1083*3)^(1/$AR1083)))</f>
        <v/>
      </c>
      <c r="AX1083">
        <f>IF($AR1083="","",IF($AR1083=0,$AS1083*EXP($AT1083*-2),$AS1083*(1+$AR1083*$AT1083*-2)^(1/$AR1083)))</f>
        <v/>
      </c>
      <c r="AY1083">
        <f>IF($AR1083="","",IF($AR1083=0,$AS1083*EXP($AT1083*-3),$AS1083*(1+$AR1083*$AT1083*-3)^(1/$AR1083)))</f>
        <v/>
      </c>
      <c r="AZ1083">
        <f>IF(OR($A1083="",$A1083&lt;&gt;Ficha!$C$4),"",COUNTIF($A$2:$A1083,Ficha!$C$4))</f>
        <v/>
      </c>
    </row>
    <row r="1084">
      <c r="A1084" s="8">
        <f>IF(INDEX(Banco!$A:$A,ROW())="","",INDEX(Banco!$A:$A,ROW()))</f>
        <v/>
      </c>
      <c r="B1084" s="8">
        <f>IF(INDEX(Banco!$B:$B,ROW())="","",INDEX(Banco!$B:$B,ROW()))</f>
        <v/>
      </c>
      <c r="C1084" s="8">
        <f>IF(INDEX(Banco!$C:$C,ROW())="","",INDEX(Banco!$C:$C,ROW()))</f>
        <v/>
      </c>
      <c r="D1084" s="9">
        <f>IF(INDEX(Banco!$D:$D,ROW())="","",INDEX(Banco!$D:$D,ROW()))</f>
        <v/>
      </c>
      <c r="E1084" s="9">
        <f>IF(INDEX(Banco!$E:$E,ROW())="","",INDEX(Banco!$E:$E,ROW()))</f>
        <v/>
      </c>
      <c r="F1084" s="10">
        <f>IF(INDEX(Banco!$F:$F,ROW())="","",INDEX(Banco!$F:$F,ROW()))</f>
        <v/>
      </c>
      <c r="G1084" s="10">
        <f>IF(INDEX(Banco!$G:$G,ROW())="","",INDEX(Banco!$G:$G,ROW()))</f>
        <v/>
      </c>
      <c r="H1084" s="8">
        <f>IF(INDEX(Banco!$H:$H,ROW())="","",INDEX(Banco!$H:$H,ROW()))</f>
        <v/>
      </c>
      <c r="I1084">
        <f>IF($T1084="","",INT($T1084/12)&amp;"a "&amp;MOD($T1084,12)&amp;"m")</f>
        <v/>
      </c>
      <c r="J1084" s="11">
        <f>IF(OR($F1084="",$G1084=""),"",ROUND($F1084/($G1084/100)^2,2))</f>
        <v/>
      </c>
      <c r="K1084" s="12">
        <f>IF(OR($S1084="",$J1084="",$T1084="",$T1084&lt;0,$T1084&gt;228,$Y1084=""),"—",ROUND(IF(ABS($AB1084)&lt;=3,$AB1084,IF($AB1084&gt;3,3+($J1084-$AD1084)/($AD1084-$AC1084),-3+($J1084-$AF1084)/($AE1084-$AF1084))),2))</f>
        <v/>
      </c>
      <c r="L1084">
        <f>IF(OR($K1084="",$K1084="—"),"",IF($T1084&lt;=60,IF($K1084&lt;-3,"Magreza acentuada",IF($K1084&lt;-2,"Magreza",IF($K1084&lt;=1,"Eutrofia",IF($K1084&lt;=2,"Risco de sobrepeso",IF($K1084&lt;=3,"Sobrepeso","Obesidade"))))),IF($K1084&lt;-3,"Magreza acentuada",IF($K1084&lt;-2,"Magreza",IF($K1084&lt;=1,"Eutrofia",IF($K1084&lt;=2,"Sobrepeso",IF($K1084&lt;=3,"Obesidade","Obesidade grave")))))))</f>
        <v/>
      </c>
      <c r="M1084" s="12">
        <f>IF(OR($S1084="",$V1084="",$T1084="",$T1084&lt;0,$T1084&gt;228,$AG1084=""),"—",ROUND(IF($AG1084=0,LN($V1084/$AH1084)/$AI1084,((($V1084/$AH1084)^$AG1084)-1)/($AG1084*$AI1084)),2))</f>
        <v/>
      </c>
      <c r="N1084">
        <f>IF(OR($M1084="",$M1084="—"),"",IF($M1084&lt;-3,"Muito baixa",IF($M1084&lt;-2,"Baixa","Adequada")))</f>
        <v/>
      </c>
      <c r="O1084" s="12">
        <f>IF(OR($S1084="",$F1084="",$T1084="",$T1084&lt;0,$T1084&gt;120,$AJ1084=""),"—",ROUND(IF(ABS($AM1084)&lt;=3,$AM1084,IF($AM1084&gt;3,3+($F1084-$AO1084)/($AO1084-$AN1084),-3+($F1084-$AQ1084)/($AP1084-$AQ1084))),2))</f>
        <v/>
      </c>
      <c r="P1084">
        <f>IF(OR($O1084="",$O1084="—"),"",IF($O1084&lt;-3,"Muito baixo",IF($O1084&lt;-2,"Baixo",IF($O1084&lt;=2,"Adequado","Elevado"))))</f>
        <v/>
      </c>
      <c r="Q1084" s="12">
        <f>IF(OR($S1084="",$F1084="",$T1084="",$T1084&lt;0,$T1084&gt;60,$AR1084=""),"—",ROUND(IF(ABS($AU1084)&lt;=3,$AU1084,IF($AU1084&gt;3,3+($F1084-$AW1084)/($AW1084-$AV1084),-3+($F1084-$AY1084)/($AX1084-$AY1084))),2))</f>
        <v/>
      </c>
      <c r="R1084">
        <f>IF(OR($Q1084="",$Q1084="—"),"",IF($Q1084&lt;-3,"Magreza acentuada",IF($Q1084&lt;-2,"Magreza",IF($Q1084&lt;=1,"Eutrofia",IF($Q1084&lt;=2,"Risco de sobrepeso",IF($Q1084&lt;=3,"Sobrepeso","Obesidade"))))))</f>
        <v/>
      </c>
      <c r="S1084">
        <f>IF($C1084="","",IF(UPPER(LEFT($C1084,1))="M",1,IF(UPPER(LEFT($C1084,1))="F",2,"")))</f>
        <v/>
      </c>
      <c r="T1084">
        <f>IF(OR($D1084="",$E1084=""),"",DATEDIF($D1084,$E1084,"m"))</f>
        <v/>
      </c>
      <c r="U1084">
        <f>IF(OR($D1084="",$E1084=""),"",$E1084-$D1084)</f>
        <v/>
      </c>
      <c r="V1084">
        <f>IF(OR($G1084="",$T1084=""),"",IF($T1084&lt;24,IF(LEFT(LOWER($H1084),4)="em p",$G1084+0.7,$G1084),IF(LEFT(LOWER($H1084),4)="deit",$G1084-0.7,$G1084)))</f>
        <v/>
      </c>
      <c r="W1084">
        <f>IF(OR($S1084="",$T1084=""),"",$S1084*1000000+IF($T1084&lt;=60,$U1084,$T1084))</f>
        <v/>
      </c>
      <c r="X1084">
        <f>IF(OR($S1084="",$V1084="",$T1084&gt;60,$T1084=""),"",$S1084*1000000+ROUND($V1084*10,0))</f>
        <v/>
      </c>
      <c r="Y1084">
        <f>IF($W1084="","",IFERROR(INDEX(IF($T1084&lt;=60,imc05_l,imc519_l),MATCH($W1084,IF($T1084&lt;=60,imc05_k,imc519_k),1)),""))</f>
        <v/>
      </c>
      <c r="Z1084">
        <f>IF($W1084="","",IFERROR(INDEX(IF($T1084&lt;=60,imc05_m,imc519_m),MATCH($W1084,IF($T1084&lt;=60,imc05_k,imc519_k),1)),""))</f>
        <v/>
      </c>
      <c r="AA1084">
        <f>IF($W1084="","",IFERROR(INDEX(IF($T1084&lt;=60,imc05_s,imc519_s),MATCH($W1084,IF($T1084&lt;=60,imc05_k,imc519_k),1)),""))</f>
        <v/>
      </c>
      <c r="AB1084">
        <f>IF($Y1084="","",IF($Y1084=0,LN($J1084/$Z1084)/$AA1084,((($J1084/$Z1084)^$Y1084)-1)/($Y1084*$AA1084)))</f>
        <v/>
      </c>
      <c r="AC1084">
        <f>IF($Y1084="","",IF($Y1084=0,$Z1084*EXP($AA1084*2),$Z1084*(1+$Y1084*$AA1084*2)^(1/$Y1084)))</f>
        <v/>
      </c>
      <c r="AD1084">
        <f>IF($Y1084="","",IF($Y1084=0,$Z1084*EXP($AA1084*3),$Z1084*(1+$Y1084*$AA1084*3)^(1/$Y1084)))</f>
        <v/>
      </c>
      <c r="AE1084">
        <f>IF($Y1084="","",IF($Y1084=0,$Z1084*EXP($AA1084*-2),$Z1084*(1+$Y1084*$AA1084*-2)^(1/$Y1084)))</f>
        <v/>
      </c>
      <c r="AF1084">
        <f>IF($Y1084="","",IF($Y1084=0,$Z1084*EXP($AA1084*-3),$Z1084*(1+$Y1084*$AA1084*-3)^(1/$Y1084)))</f>
        <v/>
      </c>
      <c r="AG1084">
        <f>IF($W1084="","",IFERROR(INDEX(IF($T1084&lt;=60,est05_l,est519_l),MATCH($W1084,IF($T1084&lt;=60,est05_k,est519_k),1)),""))</f>
        <v/>
      </c>
      <c r="AH1084">
        <f>IF($W1084="","",IFERROR(INDEX(IF($T1084&lt;=60,est05_m,est519_m),MATCH($W1084,IF($T1084&lt;=60,est05_k,est519_k),1)),""))</f>
        <v/>
      </c>
      <c r="AI1084">
        <f>IF($W1084="","",IFERROR(INDEX(IF($T1084&lt;=60,est05_s,est519_s),MATCH($W1084,IF($T1084&lt;=60,est05_k,est519_k),1)),""))</f>
        <v/>
      </c>
      <c r="AJ1084">
        <f>IF($W1084="","",IFERROR(INDEX(IF($T1084&lt;=60,peso05_l,peso510_l),MATCH($W1084,IF($T1084&lt;=60,peso05_k,peso510_k),1)),""))</f>
        <v/>
      </c>
      <c r="AK1084">
        <f>IF($W1084="","",IFERROR(INDEX(IF($T1084&lt;=60,peso05_m,peso510_m),MATCH($W1084,IF($T1084&lt;=60,peso05_k,peso510_k),1)),""))</f>
        <v/>
      </c>
      <c r="AL1084">
        <f>IF($W1084="","",IFERROR(INDEX(IF($T1084&lt;=60,peso05_s,peso510_s),MATCH($W1084,IF($T1084&lt;=60,peso05_k,peso510_k),1)),""))</f>
        <v/>
      </c>
      <c r="AM1084">
        <f>IF($AJ1084="","",IF($AJ1084=0,LN($F1084/$AK1084)/$AL1084,((($F1084/$AK1084)^$AJ1084)-1)/($AJ1084*$AL1084)))</f>
        <v/>
      </c>
      <c r="AN1084">
        <f>IF($AJ1084="","",IF($AJ1084=0,$AK1084*EXP($AL1084*2),$AK1084*(1+$AJ1084*$AL1084*2)^(1/$AJ1084)))</f>
        <v/>
      </c>
      <c r="AO1084">
        <f>IF($AJ1084="","",IF($AJ1084=0,$AK1084*EXP($AL1084*3),$AK1084*(1+$AJ1084*$AL1084*3)^(1/$AJ1084)))</f>
        <v/>
      </c>
      <c r="AP1084">
        <f>IF($AJ1084="","",IF($AJ1084=0,$AK1084*EXP($AL1084*-2),$AK1084*(1+$AJ1084*$AL1084*-2)^(1/$AJ1084)))</f>
        <v/>
      </c>
      <c r="AQ1084">
        <f>IF($AJ1084="","",IF($AJ1084=0,$AK1084*EXP($AL1084*-3),$AK1084*(1+$AJ1084*$AL1084*-3)^(1/$AJ1084)))</f>
        <v/>
      </c>
      <c r="AR1084">
        <f>IF(OR($X1084="",$T1084&gt;60),"",IFERROR(INDEX(IF($T1084&lt;24,pcomp_l,palt_l),MATCH($X1084,IF($T1084&lt;24,pcomp_k,palt_k),1)),""))</f>
        <v/>
      </c>
      <c r="AS1084">
        <f>IF(OR($X1084="",$T1084&gt;60),"",IFERROR(INDEX(IF($T1084&lt;24,pcomp_m,palt_m),MATCH($X1084,IF($T1084&lt;24,pcomp_k,palt_k),1)),""))</f>
        <v/>
      </c>
      <c r="AT1084">
        <f>IF(OR($X1084="",$T1084&gt;60),"",IFERROR(INDEX(IF($T1084&lt;24,pcomp_s,palt_s),MATCH($X1084,IF($T1084&lt;24,pcomp_k,palt_k),1)),""))</f>
        <v/>
      </c>
      <c r="AU1084">
        <f>IF($AR1084="","",IF($AR1084=0,LN($F1084/$AS1084)/$AT1084,((($F1084/$AS1084)^$AR1084)-1)/($AR1084*$AT1084)))</f>
        <v/>
      </c>
      <c r="AV1084">
        <f>IF($AR1084="","",IF($AR1084=0,$AS1084*EXP($AT1084*2),$AS1084*(1+$AR1084*$AT1084*2)^(1/$AR1084)))</f>
        <v/>
      </c>
      <c r="AW1084">
        <f>IF($AR1084="","",IF($AR1084=0,$AS1084*EXP($AT1084*3),$AS1084*(1+$AR1084*$AT1084*3)^(1/$AR1084)))</f>
        <v/>
      </c>
      <c r="AX1084">
        <f>IF($AR1084="","",IF($AR1084=0,$AS1084*EXP($AT1084*-2),$AS1084*(1+$AR1084*$AT1084*-2)^(1/$AR1084)))</f>
        <v/>
      </c>
      <c r="AY1084">
        <f>IF($AR1084="","",IF($AR1084=0,$AS1084*EXP($AT1084*-3),$AS1084*(1+$AR1084*$AT1084*-3)^(1/$AR1084)))</f>
        <v/>
      </c>
      <c r="AZ1084">
        <f>IF(OR($A1084="",$A1084&lt;&gt;Ficha!$C$4),"",COUNTIF($A$2:$A1084,Ficha!$C$4))</f>
        <v/>
      </c>
    </row>
    <row r="1085">
      <c r="A1085" s="8">
        <f>IF(INDEX(Banco!$A:$A,ROW())="","",INDEX(Banco!$A:$A,ROW()))</f>
        <v/>
      </c>
      <c r="B1085" s="8">
        <f>IF(INDEX(Banco!$B:$B,ROW())="","",INDEX(Banco!$B:$B,ROW()))</f>
        <v/>
      </c>
      <c r="C1085" s="8">
        <f>IF(INDEX(Banco!$C:$C,ROW())="","",INDEX(Banco!$C:$C,ROW()))</f>
        <v/>
      </c>
      <c r="D1085" s="9">
        <f>IF(INDEX(Banco!$D:$D,ROW())="","",INDEX(Banco!$D:$D,ROW()))</f>
        <v/>
      </c>
      <c r="E1085" s="9">
        <f>IF(INDEX(Banco!$E:$E,ROW())="","",INDEX(Banco!$E:$E,ROW()))</f>
        <v/>
      </c>
      <c r="F1085" s="10">
        <f>IF(INDEX(Banco!$F:$F,ROW())="","",INDEX(Banco!$F:$F,ROW()))</f>
        <v/>
      </c>
      <c r="G1085" s="10">
        <f>IF(INDEX(Banco!$G:$G,ROW())="","",INDEX(Banco!$G:$G,ROW()))</f>
        <v/>
      </c>
      <c r="H1085" s="8">
        <f>IF(INDEX(Banco!$H:$H,ROW())="","",INDEX(Banco!$H:$H,ROW()))</f>
        <v/>
      </c>
      <c r="I1085">
        <f>IF($T1085="","",INT($T1085/12)&amp;"a "&amp;MOD($T1085,12)&amp;"m")</f>
        <v/>
      </c>
      <c r="J1085" s="11">
        <f>IF(OR($F1085="",$G1085=""),"",ROUND($F1085/($G1085/100)^2,2))</f>
        <v/>
      </c>
      <c r="K1085" s="12">
        <f>IF(OR($S1085="",$J1085="",$T1085="",$T1085&lt;0,$T1085&gt;228,$Y1085=""),"—",ROUND(IF(ABS($AB1085)&lt;=3,$AB1085,IF($AB1085&gt;3,3+($J1085-$AD1085)/($AD1085-$AC1085),-3+($J1085-$AF1085)/($AE1085-$AF1085))),2))</f>
        <v/>
      </c>
      <c r="L1085">
        <f>IF(OR($K1085="",$K1085="—"),"",IF($T1085&lt;=60,IF($K1085&lt;-3,"Magreza acentuada",IF($K1085&lt;-2,"Magreza",IF($K1085&lt;=1,"Eutrofia",IF($K1085&lt;=2,"Risco de sobrepeso",IF($K1085&lt;=3,"Sobrepeso","Obesidade"))))),IF($K1085&lt;-3,"Magreza acentuada",IF($K1085&lt;-2,"Magreza",IF($K1085&lt;=1,"Eutrofia",IF($K1085&lt;=2,"Sobrepeso",IF($K1085&lt;=3,"Obesidade","Obesidade grave")))))))</f>
        <v/>
      </c>
      <c r="M1085" s="12">
        <f>IF(OR($S1085="",$V1085="",$T1085="",$T1085&lt;0,$T1085&gt;228,$AG1085=""),"—",ROUND(IF($AG1085=0,LN($V1085/$AH1085)/$AI1085,((($V1085/$AH1085)^$AG1085)-1)/($AG1085*$AI1085)),2))</f>
        <v/>
      </c>
      <c r="N1085">
        <f>IF(OR($M1085="",$M1085="—"),"",IF($M1085&lt;-3,"Muito baixa",IF($M1085&lt;-2,"Baixa","Adequada")))</f>
        <v/>
      </c>
      <c r="O1085" s="12">
        <f>IF(OR($S1085="",$F1085="",$T1085="",$T1085&lt;0,$T1085&gt;120,$AJ1085=""),"—",ROUND(IF(ABS($AM1085)&lt;=3,$AM1085,IF($AM1085&gt;3,3+($F1085-$AO1085)/($AO1085-$AN1085),-3+($F1085-$AQ1085)/($AP1085-$AQ1085))),2))</f>
        <v/>
      </c>
      <c r="P1085">
        <f>IF(OR($O1085="",$O1085="—"),"",IF($O1085&lt;-3,"Muito baixo",IF($O1085&lt;-2,"Baixo",IF($O1085&lt;=2,"Adequado","Elevado"))))</f>
        <v/>
      </c>
      <c r="Q1085" s="12">
        <f>IF(OR($S1085="",$F1085="",$T1085="",$T1085&lt;0,$T1085&gt;60,$AR1085=""),"—",ROUND(IF(ABS($AU1085)&lt;=3,$AU1085,IF($AU1085&gt;3,3+($F1085-$AW1085)/($AW1085-$AV1085),-3+($F1085-$AY1085)/($AX1085-$AY1085))),2))</f>
        <v/>
      </c>
      <c r="R1085">
        <f>IF(OR($Q1085="",$Q1085="—"),"",IF($Q1085&lt;-3,"Magreza acentuada",IF($Q1085&lt;-2,"Magreza",IF($Q1085&lt;=1,"Eutrofia",IF($Q1085&lt;=2,"Risco de sobrepeso",IF($Q1085&lt;=3,"Sobrepeso","Obesidade"))))))</f>
        <v/>
      </c>
      <c r="S1085">
        <f>IF($C1085="","",IF(UPPER(LEFT($C1085,1))="M",1,IF(UPPER(LEFT($C1085,1))="F",2,"")))</f>
        <v/>
      </c>
      <c r="T1085">
        <f>IF(OR($D1085="",$E1085=""),"",DATEDIF($D1085,$E1085,"m"))</f>
        <v/>
      </c>
      <c r="U1085">
        <f>IF(OR($D1085="",$E1085=""),"",$E1085-$D1085)</f>
        <v/>
      </c>
      <c r="V1085">
        <f>IF(OR($G1085="",$T1085=""),"",IF($T1085&lt;24,IF(LEFT(LOWER($H1085),4)="em p",$G1085+0.7,$G1085),IF(LEFT(LOWER($H1085),4)="deit",$G1085-0.7,$G1085)))</f>
        <v/>
      </c>
      <c r="W1085">
        <f>IF(OR($S1085="",$T1085=""),"",$S1085*1000000+IF($T1085&lt;=60,$U1085,$T1085))</f>
        <v/>
      </c>
      <c r="X1085">
        <f>IF(OR($S1085="",$V1085="",$T1085&gt;60,$T1085=""),"",$S1085*1000000+ROUND($V1085*10,0))</f>
        <v/>
      </c>
      <c r="Y1085">
        <f>IF($W1085="","",IFERROR(INDEX(IF($T1085&lt;=60,imc05_l,imc519_l),MATCH($W1085,IF($T1085&lt;=60,imc05_k,imc519_k),1)),""))</f>
        <v/>
      </c>
      <c r="Z1085">
        <f>IF($W1085="","",IFERROR(INDEX(IF($T1085&lt;=60,imc05_m,imc519_m),MATCH($W1085,IF($T1085&lt;=60,imc05_k,imc519_k),1)),""))</f>
        <v/>
      </c>
      <c r="AA1085">
        <f>IF($W1085="","",IFERROR(INDEX(IF($T1085&lt;=60,imc05_s,imc519_s),MATCH($W1085,IF($T1085&lt;=60,imc05_k,imc519_k),1)),""))</f>
        <v/>
      </c>
      <c r="AB1085">
        <f>IF($Y1085="","",IF($Y1085=0,LN($J1085/$Z1085)/$AA1085,((($J1085/$Z1085)^$Y1085)-1)/($Y1085*$AA1085)))</f>
        <v/>
      </c>
      <c r="AC1085">
        <f>IF($Y1085="","",IF($Y1085=0,$Z1085*EXP($AA1085*2),$Z1085*(1+$Y1085*$AA1085*2)^(1/$Y1085)))</f>
        <v/>
      </c>
      <c r="AD1085">
        <f>IF($Y1085="","",IF($Y1085=0,$Z1085*EXP($AA1085*3),$Z1085*(1+$Y1085*$AA1085*3)^(1/$Y1085)))</f>
        <v/>
      </c>
      <c r="AE1085">
        <f>IF($Y1085="","",IF($Y1085=0,$Z1085*EXP($AA1085*-2),$Z1085*(1+$Y1085*$AA1085*-2)^(1/$Y1085)))</f>
        <v/>
      </c>
      <c r="AF1085">
        <f>IF($Y1085="","",IF($Y1085=0,$Z1085*EXP($AA1085*-3),$Z1085*(1+$Y1085*$AA1085*-3)^(1/$Y1085)))</f>
        <v/>
      </c>
      <c r="AG1085">
        <f>IF($W1085="","",IFERROR(INDEX(IF($T1085&lt;=60,est05_l,est519_l),MATCH($W1085,IF($T1085&lt;=60,est05_k,est519_k),1)),""))</f>
        <v/>
      </c>
      <c r="AH1085">
        <f>IF($W1085="","",IFERROR(INDEX(IF($T1085&lt;=60,est05_m,est519_m),MATCH($W1085,IF($T1085&lt;=60,est05_k,est519_k),1)),""))</f>
        <v/>
      </c>
      <c r="AI1085">
        <f>IF($W1085="","",IFERROR(INDEX(IF($T1085&lt;=60,est05_s,est519_s),MATCH($W1085,IF($T1085&lt;=60,est05_k,est519_k),1)),""))</f>
        <v/>
      </c>
      <c r="AJ1085">
        <f>IF($W1085="","",IFERROR(INDEX(IF($T1085&lt;=60,peso05_l,peso510_l),MATCH($W1085,IF($T1085&lt;=60,peso05_k,peso510_k),1)),""))</f>
        <v/>
      </c>
      <c r="AK1085">
        <f>IF($W1085="","",IFERROR(INDEX(IF($T1085&lt;=60,peso05_m,peso510_m),MATCH($W1085,IF($T1085&lt;=60,peso05_k,peso510_k),1)),""))</f>
        <v/>
      </c>
      <c r="AL1085">
        <f>IF($W1085="","",IFERROR(INDEX(IF($T1085&lt;=60,peso05_s,peso510_s),MATCH($W1085,IF($T1085&lt;=60,peso05_k,peso510_k),1)),""))</f>
        <v/>
      </c>
      <c r="AM1085">
        <f>IF($AJ1085="","",IF($AJ1085=0,LN($F1085/$AK1085)/$AL1085,((($F1085/$AK1085)^$AJ1085)-1)/($AJ1085*$AL1085)))</f>
        <v/>
      </c>
      <c r="AN1085">
        <f>IF($AJ1085="","",IF($AJ1085=0,$AK1085*EXP($AL1085*2),$AK1085*(1+$AJ1085*$AL1085*2)^(1/$AJ1085)))</f>
        <v/>
      </c>
      <c r="AO1085">
        <f>IF($AJ1085="","",IF($AJ1085=0,$AK1085*EXP($AL1085*3),$AK1085*(1+$AJ1085*$AL1085*3)^(1/$AJ1085)))</f>
        <v/>
      </c>
      <c r="AP1085">
        <f>IF($AJ1085="","",IF($AJ1085=0,$AK1085*EXP($AL1085*-2),$AK1085*(1+$AJ1085*$AL1085*-2)^(1/$AJ1085)))</f>
        <v/>
      </c>
      <c r="AQ1085">
        <f>IF($AJ1085="","",IF($AJ1085=0,$AK1085*EXP($AL1085*-3),$AK1085*(1+$AJ1085*$AL1085*-3)^(1/$AJ1085)))</f>
        <v/>
      </c>
      <c r="AR1085">
        <f>IF(OR($X1085="",$T1085&gt;60),"",IFERROR(INDEX(IF($T1085&lt;24,pcomp_l,palt_l),MATCH($X1085,IF($T1085&lt;24,pcomp_k,palt_k),1)),""))</f>
        <v/>
      </c>
      <c r="AS1085">
        <f>IF(OR($X1085="",$T1085&gt;60),"",IFERROR(INDEX(IF($T1085&lt;24,pcomp_m,palt_m),MATCH($X1085,IF($T1085&lt;24,pcomp_k,palt_k),1)),""))</f>
        <v/>
      </c>
      <c r="AT1085">
        <f>IF(OR($X1085="",$T1085&gt;60),"",IFERROR(INDEX(IF($T1085&lt;24,pcomp_s,palt_s),MATCH($X1085,IF($T1085&lt;24,pcomp_k,palt_k),1)),""))</f>
        <v/>
      </c>
      <c r="AU1085">
        <f>IF($AR1085="","",IF($AR1085=0,LN($F1085/$AS1085)/$AT1085,((($F1085/$AS1085)^$AR1085)-1)/($AR1085*$AT1085)))</f>
        <v/>
      </c>
      <c r="AV1085">
        <f>IF($AR1085="","",IF($AR1085=0,$AS1085*EXP($AT1085*2),$AS1085*(1+$AR1085*$AT1085*2)^(1/$AR1085)))</f>
        <v/>
      </c>
      <c r="AW1085">
        <f>IF($AR1085="","",IF($AR1085=0,$AS1085*EXP($AT1085*3),$AS1085*(1+$AR1085*$AT1085*3)^(1/$AR1085)))</f>
        <v/>
      </c>
      <c r="AX1085">
        <f>IF($AR1085="","",IF($AR1085=0,$AS1085*EXP($AT1085*-2),$AS1085*(1+$AR1085*$AT1085*-2)^(1/$AR1085)))</f>
        <v/>
      </c>
      <c r="AY1085">
        <f>IF($AR1085="","",IF($AR1085=0,$AS1085*EXP($AT1085*-3),$AS1085*(1+$AR1085*$AT1085*-3)^(1/$AR1085)))</f>
        <v/>
      </c>
      <c r="AZ1085">
        <f>IF(OR($A1085="",$A1085&lt;&gt;Ficha!$C$4),"",COUNTIF($A$2:$A1085,Ficha!$C$4))</f>
        <v/>
      </c>
    </row>
    <row r="1086">
      <c r="A1086" s="8">
        <f>IF(INDEX(Banco!$A:$A,ROW())="","",INDEX(Banco!$A:$A,ROW()))</f>
        <v/>
      </c>
      <c r="B1086" s="8">
        <f>IF(INDEX(Banco!$B:$B,ROW())="","",INDEX(Banco!$B:$B,ROW()))</f>
        <v/>
      </c>
      <c r="C1086" s="8">
        <f>IF(INDEX(Banco!$C:$C,ROW())="","",INDEX(Banco!$C:$C,ROW()))</f>
        <v/>
      </c>
      <c r="D1086" s="9">
        <f>IF(INDEX(Banco!$D:$D,ROW())="","",INDEX(Banco!$D:$D,ROW()))</f>
        <v/>
      </c>
      <c r="E1086" s="9">
        <f>IF(INDEX(Banco!$E:$E,ROW())="","",INDEX(Banco!$E:$E,ROW()))</f>
        <v/>
      </c>
      <c r="F1086" s="10">
        <f>IF(INDEX(Banco!$F:$F,ROW())="","",INDEX(Banco!$F:$F,ROW()))</f>
        <v/>
      </c>
      <c r="G1086" s="10">
        <f>IF(INDEX(Banco!$G:$G,ROW())="","",INDEX(Banco!$G:$G,ROW()))</f>
        <v/>
      </c>
      <c r="H1086" s="8">
        <f>IF(INDEX(Banco!$H:$H,ROW())="","",INDEX(Banco!$H:$H,ROW()))</f>
        <v/>
      </c>
      <c r="I1086">
        <f>IF($T1086="","",INT($T1086/12)&amp;"a "&amp;MOD($T1086,12)&amp;"m")</f>
        <v/>
      </c>
      <c r="J1086" s="11">
        <f>IF(OR($F1086="",$G1086=""),"",ROUND($F1086/($G1086/100)^2,2))</f>
        <v/>
      </c>
      <c r="K1086" s="12">
        <f>IF(OR($S1086="",$J1086="",$T1086="",$T1086&lt;0,$T1086&gt;228,$Y1086=""),"—",ROUND(IF(ABS($AB1086)&lt;=3,$AB1086,IF($AB1086&gt;3,3+($J1086-$AD1086)/($AD1086-$AC1086),-3+($J1086-$AF1086)/($AE1086-$AF1086))),2))</f>
        <v/>
      </c>
      <c r="L1086">
        <f>IF(OR($K1086="",$K1086="—"),"",IF($T1086&lt;=60,IF($K1086&lt;-3,"Magreza acentuada",IF($K1086&lt;-2,"Magreza",IF($K1086&lt;=1,"Eutrofia",IF($K1086&lt;=2,"Risco de sobrepeso",IF($K1086&lt;=3,"Sobrepeso","Obesidade"))))),IF($K1086&lt;-3,"Magreza acentuada",IF($K1086&lt;-2,"Magreza",IF($K1086&lt;=1,"Eutrofia",IF($K1086&lt;=2,"Sobrepeso",IF($K1086&lt;=3,"Obesidade","Obesidade grave")))))))</f>
        <v/>
      </c>
      <c r="M1086" s="12">
        <f>IF(OR($S1086="",$V1086="",$T1086="",$T1086&lt;0,$T1086&gt;228,$AG1086=""),"—",ROUND(IF($AG1086=0,LN($V1086/$AH1086)/$AI1086,((($V1086/$AH1086)^$AG1086)-1)/($AG1086*$AI1086)),2))</f>
        <v/>
      </c>
      <c r="N1086">
        <f>IF(OR($M1086="",$M1086="—"),"",IF($M1086&lt;-3,"Muito baixa",IF($M1086&lt;-2,"Baixa","Adequada")))</f>
        <v/>
      </c>
      <c r="O1086" s="12">
        <f>IF(OR($S1086="",$F1086="",$T1086="",$T1086&lt;0,$T1086&gt;120,$AJ1086=""),"—",ROUND(IF(ABS($AM1086)&lt;=3,$AM1086,IF($AM1086&gt;3,3+($F1086-$AO1086)/($AO1086-$AN1086),-3+($F1086-$AQ1086)/($AP1086-$AQ1086))),2))</f>
        <v/>
      </c>
      <c r="P1086">
        <f>IF(OR($O1086="",$O1086="—"),"",IF($O1086&lt;-3,"Muito baixo",IF($O1086&lt;-2,"Baixo",IF($O1086&lt;=2,"Adequado","Elevado"))))</f>
        <v/>
      </c>
      <c r="Q1086" s="12">
        <f>IF(OR($S1086="",$F1086="",$T1086="",$T1086&lt;0,$T1086&gt;60,$AR1086=""),"—",ROUND(IF(ABS($AU1086)&lt;=3,$AU1086,IF($AU1086&gt;3,3+($F1086-$AW1086)/($AW1086-$AV1086),-3+($F1086-$AY1086)/($AX1086-$AY1086))),2))</f>
        <v/>
      </c>
      <c r="R1086">
        <f>IF(OR($Q1086="",$Q1086="—"),"",IF($Q1086&lt;-3,"Magreza acentuada",IF($Q1086&lt;-2,"Magreza",IF($Q1086&lt;=1,"Eutrofia",IF($Q1086&lt;=2,"Risco de sobrepeso",IF($Q1086&lt;=3,"Sobrepeso","Obesidade"))))))</f>
        <v/>
      </c>
      <c r="S1086">
        <f>IF($C1086="","",IF(UPPER(LEFT($C1086,1))="M",1,IF(UPPER(LEFT($C1086,1))="F",2,"")))</f>
        <v/>
      </c>
      <c r="T1086">
        <f>IF(OR($D1086="",$E1086=""),"",DATEDIF($D1086,$E1086,"m"))</f>
        <v/>
      </c>
      <c r="U1086">
        <f>IF(OR($D1086="",$E1086=""),"",$E1086-$D1086)</f>
        <v/>
      </c>
      <c r="V1086">
        <f>IF(OR($G1086="",$T1086=""),"",IF($T1086&lt;24,IF(LEFT(LOWER($H1086),4)="em p",$G1086+0.7,$G1086),IF(LEFT(LOWER($H1086),4)="deit",$G1086-0.7,$G1086)))</f>
        <v/>
      </c>
      <c r="W1086">
        <f>IF(OR($S1086="",$T1086=""),"",$S1086*1000000+IF($T1086&lt;=60,$U1086,$T1086))</f>
        <v/>
      </c>
      <c r="X1086">
        <f>IF(OR($S1086="",$V1086="",$T1086&gt;60,$T1086=""),"",$S1086*1000000+ROUND($V1086*10,0))</f>
        <v/>
      </c>
      <c r="Y1086">
        <f>IF($W1086="","",IFERROR(INDEX(IF($T1086&lt;=60,imc05_l,imc519_l),MATCH($W1086,IF($T1086&lt;=60,imc05_k,imc519_k),1)),""))</f>
        <v/>
      </c>
      <c r="Z1086">
        <f>IF($W1086="","",IFERROR(INDEX(IF($T1086&lt;=60,imc05_m,imc519_m),MATCH($W1086,IF($T1086&lt;=60,imc05_k,imc519_k),1)),""))</f>
        <v/>
      </c>
      <c r="AA1086">
        <f>IF($W1086="","",IFERROR(INDEX(IF($T1086&lt;=60,imc05_s,imc519_s),MATCH($W1086,IF($T1086&lt;=60,imc05_k,imc519_k),1)),""))</f>
        <v/>
      </c>
      <c r="AB1086">
        <f>IF($Y1086="","",IF($Y1086=0,LN($J1086/$Z1086)/$AA1086,((($J1086/$Z1086)^$Y1086)-1)/($Y1086*$AA1086)))</f>
        <v/>
      </c>
      <c r="AC1086">
        <f>IF($Y1086="","",IF($Y1086=0,$Z1086*EXP($AA1086*2),$Z1086*(1+$Y1086*$AA1086*2)^(1/$Y1086)))</f>
        <v/>
      </c>
      <c r="AD1086">
        <f>IF($Y1086="","",IF($Y1086=0,$Z1086*EXP($AA1086*3),$Z1086*(1+$Y1086*$AA1086*3)^(1/$Y1086)))</f>
        <v/>
      </c>
      <c r="AE1086">
        <f>IF($Y1086="","",IF($Y1086=0,$Z1086*EXP($AA1086*-2),$Z1086*(1+$Y1086*$AA1086*-2)^(1/$Y1086)))</f>
        <v/>
      </c>
      <c r="AF1086">
        <f>IF($Y1086="","",IF($Y1086=0,$Z1086*EXP($AA1086*-3),$Z1086*(1+$Y1086*$AA1086*-3)^(1/$Y1086)))</f>
        <v/>
      </c>
      <c r="AG1086">
        <f>IF($W1086="","",IFERROR(INDEX(IF($T1086&lt;=60,est05_l,est519_l),MATCH($W1086,IF($T1086&lt;=60,est05_k,est519_k),1)),""))</f>
        <v/>
      </c>
      <c r="AH1086">
        <f>IF($W1086="","",IFERROR(INDEX(IF($T1086&lt;=60,est05_m,est519_m),MATCH($W1086,IF($T1086&lt;=60,est05_k,est519_k),1)),""))</f>
        <v/>
      </c>
      <c r="AI1086">
        <f>IF($W1086="","",IFERROR(INDEX(IF($T1086&lt;=60,est05_s,est519_s),MATCH($W1086,IF($T1086&lt;=60,est05_k,est519_k),1)),""))</f>
        <v/>
      </c>
      <c r="AJ1086">
        <f>IF($W1086="","",IFERROR(INDEX(IF($T1086&lt;=60,peso05_l,peso510_l),MATCH($W1086,IF($T1086&lt;=60,peso05_k,peso510_k),1)),""))</f>
        <v/>
      </c>
      <c r="AK1086">
        <f>IF($W1086="","",IFERROR(INDEX(IF($T1086&lt;=60,peso05_m,peso510_m),MATCH($W1086,IF($T1086&lt;=60,peso05_k,peso510_k),1)),""))</f>
        <v/>
      </c>
      <c r="AL1086">
        <f>IF($W1086="","",IFERROR(INDEX(IF($T1086&lt;=60,peso05_s,peso510_s),MATCH($W1086,IF($T1086&lt;=60,peso05_k,peso510_k),1)),""))</f>
        <v/>
      </c>
      <c r="AM1086">
        <f>IF($AJ1086="","",IF($AJ1086=0,LN($F1086/$AK1086)/$AL1086,((($F1086/$AK1086)^$AJ1086)-1)/($AJ1086*$AL1086)))</f>
        <v/>
      </c>
      <c r="AN1086">
        <f>IF($AJ1086="","",IF($AJ1086=0,$AK1086*EXP($AL1086*2),$AK1086*(1+$AJ1086*$AL1086*2)^(1/$AJ1086)))</f>
        <v/>
      </c>
      <c r="AO1086">
        <f>IF($AJ1086="","",IF($AJ1086=0,$AK1086*EXP($AL1086*3),$AK1086*(1+$AJ1086*$AL1086*3)^(1/$AJ1086)))</f>
        <v/>
      </c>
      <c r="AP1086">
        <f>IF($AJ1086="","",IF($AJ1086=0,$AK1086*EXP($AL1086*-2),$AK1086*(1+$AJ1086*$AL1086*-2)^(1/$AJ1086)))</f>
        <v/>
      </c>
      <c r="AQ1086">
        <f>IF($AJ1086="","",IF($AJ1086=0,$AK1086*EXP($AL1086*-3),$AK1086*(1+$AJ1086*$AL1086*-3)^(1/$AJ1086)))</f>
        <v/>
      </c>
      <c r="AR1086">
        <f>IF(OR($X1086="",$T1086&gt;60),"",IFERROR(INDEX(IF($T1086&lt;24,pcomp_l,palt_l),MATCH($X1086,IF($T1086&lt;24,pcomp_k,palt_k),1)),""))</f>
        <v/>
      </c>
      <c r="AS1086">
        <f>IF(OR($X1086="",$T1086&gt;60),"",IFERROR(INDEX(IF($T1086&lt;24,pcomp_m,palt_m),MATCH($X1086,IF($T1086&lt;24,pcomp_k,palt_k),1)),""))</f>
        <v/>
      </c>
      <c r="AT1086">
        <f>IF(OR($X1086="",$T1086&gt;60),"",IFERROR(INDEX(IF($T1086&lt;24,pcomp_s,palt_s),MATCH($X1086,IF($T1086&lt;24,pcomp_k,palt_k),1)),""))</f>
        <v/>
      </c>
      <c r="AU1086">
        <f>IF($AR1086="","",IF($AR1086=0,LN($F1086/$AS1086)/$AT1086,((($F1086/$AS1086)^$AR1086)-1)/($AR1086*$AT1086)))</f>
        <v/>
      </c>
      <c r="AV1086">
        <f>IF($AR1086="","",IF($AR1086=0,$AS1086*EXP($AT1086*2),$AS1086*(1+$AR1086*$AT1086*2)^(1/$AR1086)))</f>
        <v/>
      </c>
      <c r="AW1086">
        <f>IF($AR1086="","",IF($AR1086=0,$AS1086*EXP($AT1086*3),$AS1086*(1+$AR1086*$AT1086*3)^(1/$AR1086)))</f>
        <v/>
      </c>
      <c r="AX1086">
        <f>IF($AR1086="","",IF($AR1086=0,$AS1086*EXP($AT1086*-2),$AS1086*(1+$AR1086*$AT1086*-2)^(1/$AR1086)))</f>
        <v/>
      </c>
      <c r="AY1086">
        <f>IF($AR1086="","",IF($AR1086=0,$AS1086*EXP($AT1086*-3),$AS1086*(1+$AR1086*$AT1086*-3)^(1/$AR1086)))</f>
        <v/>
      </c>
      <c r="AZ1086">
        <f>IF(OR($A1086="",$A1086&lt;&gt;Ficha!$C$4),"",COUNTIF($A$2:$A1086,Ficha!$C$4))</f>
        <v/>
      </c>
    </row>
    <row r="1087">
      <c r="A1087" s="8">
        <f>IF(INDEX(Banco!$A:$A,ROW())="","",INDEX(Banco!$A:$A,ROW()))</f>
        <v/>
      </c>
      <c r="B1087" s="8">
        <f>IF(INDEX(Banco!$B:$B,ROW())="","",INDEX(Banco!$B:$B,ROW()))</f>
        <v/>
      </c>
      <c r="C1087" s="8">
        <f>IF(INDEX(Banco!$C:$C,ROW())="","",INDEX(Banco!$C:$C,ROW()))</f>
        <v/>
      </c>
      <c r="D1087" s="9">
        <f>IF(INDEX(Banco!$D:$D,ROW())="","",INDEX(Banco!$D:$D,ROW()))</f>
        <v/>
      </c>
      <c r="E1087" s="9">
        <f>IF(INDEX(Banco!$E:$E,ROW())="","",INDEX(Banco!$E:$E,ROW()))</f>
        <v/>
      </c>
      <c r="F1087" s="10">
        <f>IF(INDEX(Banco!$F:$F,ROW())="","",INDEX(Banco!$F:$F,ROW()))</f>
        <v/>
      </c>
      <c r="G1087" s="10">
        <f>IF(INDEX(Banco!$G:$G,ROW())="","",INDEX(Banco!$G:$G,ROW()))</f>
        <v/>
      </c>
      <c r="H1087" s="8">
        <f>IF(INDEX(Banco!$H:$H,ROW())="","",INDEX(Banco!$H:$H,ROW()))</f>
        <v/>
      </c>
      <c r="I1087">
        <f>IF($T1087="","",INT($T1087/12)&amp;"a "&amp;MOD($T1087,12)&amp;"m")</f>
        <v/>
      </c>
      <c r="J1087" s="11">
        <f>IF(OR($F1087="",$G1087=""),"",ROUND($F1087/($G1087/100)^2,2))</f>
        <v/>
      </c>
      <c r="K1087" s="12">
        <f>IF(OR($S1087="",$J1087="",$T1087="",$T1087&lt;0,$T1087&gt;228,$Y1087=""),"—",ROUND(IF(ABS($AB1087)&lt;=3,$AB1087,IF($AB1087&gt;3,3+($J1087-$AD1087)/($AD1087-$AC1087),-3+($J1087-$AF1087)/($AE1087-$AF1087))),2))</f>
        <v/>
      </c>
      <c r="L1087">
        <f>IF(OR($K1087="",$K1087="—"),"",IF($T1087&lt;=60,IF($K1087&lt;-3,"Magreza acentuada",IF($K1087&lt;-2,"Magreza",IF($K1087&lt;=1,"Eutrofia",IF($K1087&lt;=2,"Risco de sobrepeso",IF($K1087&lt;=3,"Sobrepeso","Obesidade"))))),IF($K1087&lt;-3,"Magreza acentuada",IF($K1087&lt;-2,"Magreza",IF($K1087&lt;=1,"Eutrofia",IF($K1087&lt;=2,"Sobrepeso",IF($K1087&lt;=3,"Obesidade","Obesidade grave")))))))</f>
        <v/>
      </c>
      <c r="M1087" s="12">
        <f>IF(OR($S1087="",$V1087="",$T1087="",$T1087&lt;0,$T1087&gt;228,$AG1087=""),"—",ROUND(IF($AG1087=0,LN($V1087/$AH1087)/$AI1087,((($V1087/$AH1087)^$AG1087)-1)/($AG1087*$AI1087)),2))</f>
        <v/>
      </c>
      <c r="N1087">
        <f>IF(OR($M1087="",$M1087="—"),"",IF($M1087&lt;-3,"Muito baixa",IF($M1087&lt;-2,"Baixa","Adequada")))</f>
        <v/>
      </c>
      <c r="O1087" s="12">
        <f>IF(OR($S1087="",$F1087="",$T1087="",$T1087&lt;0,$T1087&gt;120,$AJ1087=""),"—",ROUND(IF(ABS($AM1087)&lt;=3,$AM1087,IF($AM1087&gt;3,3+($F1087-$AO1087)/($AO1087-$AN1087),-3+($F1087-$AQ1087)/($AP1087-$AQ1087))),2))</f>
        <v/>
      </c>
      <c r="P1087">
        <f>IF(OR($O1087="",$O1087="—"),"",IF($O1087&lt;-3,"Muito baixo",IF($O1087&lt;-2,"Baixo",IF($O1087&lt;=2,"Adequado","Elevado"))))</f>
        <v/>
      </c>
      <c r="Q1087" s="12">
        <f>IF(OR($S1087="",$F1087="",$T1087="",$T1087&lt;0,$T1087&gt;60,$AR1087=""),"—",ROUND(IF(ABS($AU1087)&lt;=3,$AU1087,IF($AU1087&gt;3,3+($F1087-$AW1087)/($AW1087-$AV1087),-3+($F1087-$AY1087)/($AX1087-$AY1087))),2))</f>
        <v/>
      </c>
      <c r="R1087">
        <f>IF(OR($Q1087="",$Q1087="—"),"",IF($Q1087&lt;-3,"Magreza acentuada",IF($Q1087&lt;-2,"Magreza",IF($Q1087&lt;=1,"Eutrofia",IF($Q1087&lt;=2,"Risco de sobrepeso",IF($Q1087&lt;=3,"Sobrepeso","Obesidade"))))))</f>
        <v/>
      </c>
      <c r="S1087">
        <f>IF($C1087="","",IF(UPPER(LEFT($C1087,1))="M",1,IF(UPPER(LEFT($C1087,1))="F",2,"")))</f>
        <v/>
      </c>
      <c r="T1087">
        <f>IF(OR($D1087="",$E1087=""),"",DATEDIF($D1087,$E1087,"m"))</f>
        <v/>
      </c>
      <c r="U1087">
        <f>IF(OR($D1087="",$E1087=""),"",$E1087-$D1087)</f>
        <v/>
      </c>
      <c r="V1087">
        <f>IF(OR($G1087="",$T1087=""),"",IF($T1087&lt;24,IF(LEFT(LOWER($H1087),4)="em p",$G1087+0.7,$G1087),IF(LEFT(LOWER($H1087),4)="deit",$G1087-0.7,$G1087)))</f>
        <v/>
      </c>
      <c r="W1087">
        <f>IF(OR($S1087="",$T1087=""),"",$S1087*1000000+IF($T1087&lt;=60,$U1087,$T1087))</f>
        <v/>
      </c>
      <c r="X1087">
        <f>IF(OR($S1087="",$V1087="",$T1087&gt;60,$T1087=""),"",$S1087*1000000+ROUND($V1087*10,0))</f>
        <v/>
      </c>
      <c r="Y1087">
        <f>IF($W1087="","",IFERROR(INDEX(IF($T1087&lt;=60,imc05_l,imc519_l),MATCH($W1087,IF($T1087&lt;=60,imc05_k,imc519_k),1)),""))</f>
        <v/>
      </c>
      <c r="Z1087">
        <f>IF($W1087="","",IFERROR(INDEX(IF($T1087&lt;=60,imc05_m,imc519_m),MATCH($W1087,IF($T1087&lt;=60,imc05_k,imc519_k),1)),""))</f>
        <v/>
      </c>
      <c r="AA1087">
        <f>IF($W1087="","",IFERROR(INDEX(IF($T1087&lt;=60,imc05_s,imc519_s),MATCH($W1087,IF($T1087&lt;=60,imc05_k,imc519_k),1)),""))</f>
        <v/>
      </c>
      <c r="AB1087">
        <f>IF($Y1087="","",IF($Y1087=0,LN($J1087/$Z1087)/$AA1087,((($J1087/$Z1087)^$Y1087)-1)/($Y1087*$AA1087)))</f>
        <v/>
      </c>
      <c r="AC1087">
        <f>IF($Y1087="","",IF($Y1087=0,$Z1087*EXP($AA1087*2),$Z1087*(1+$Y1087*$AA1087*2)^(1/$Y1087)))</f>
        <v/>
      </c>
      <c r="AD1087">
        <f>IF($Y1087="","",IF($Y1087=0,$Z1087*EXP($AA1087*3),$Z1087*(1+$Y1087*$AA1087*3)^(1/$Y1087)))</f>
        <v/>
      </c>
      <c r="AE1087">
        <f>IF($Y1087="","",IF($Y1087=0,$Z1087*EXP($AA1087*-2),$Z1087*(1+$Y1087*$AA1087*-2)^(1/$Y1087)))</f>
        <v/>
      </c>
      <c r="AF1087">
        <f>IF($Y1087="","",IF($Y1087=0,$Z1087*EXP($AA1087*-3),$Z1087*(1+$Y1087*$AA1087*-3)^(1/$Y1087)))</f>
        <v/>
      </c>
      <c r="AG1087">
        <f>IF($W1087="","",IFERROR(INDEX(IF($T1087&lt;=60,est05_l,est519_l),MATCH($W1087,IF($T1087&lt;=60,est05_k,est519_k),1)),""))</f>
        <v/>
      </c>
      <c r="AH1087">
        <f>IF($W1087="","",IFERROR(INDEX(IF($T1087&lt;=60,est05_m,est519_m),MATCH($W1087,IF($T1087&lt;=60,est05_k,est519_k),1)),""))</f>
        <v/>
      </c>
      <c r="AI1087">
        <f>IF($W1087="","",IFERROR(INDEX(IF($T1087&lt;=60,est05_s,est519_s),MATCH($W1087,IF($T1087&lt;=60,est05_k,est519_k),1)),""))</f>
        <v/>
      </c>
      <c r="AJ1087">
        <f>IF($W1087="","",IFERROR(INDEX(IF($T1087&lt;=60,peso05_l,peso510_l),MATCH($W1087,IF($T1087&lt;=60,peso05_k,peso510_k),1)),""))</f>
        <v/>
      </c>
      <c r="AK1087">
        <f>IF($W1087="","",IFERROR(INDEX(IF($T1087&lt;=60,peso05_m,peso510_m),MATCH($W1087,IF($T1087&lt;=60,peso05_k,peso510_k),1)),""))</f>
        <v/>
      </c>
      <c r="AL1087">
        <f>IF($W1087="","",IFERROR(INDEX(IF($T1087&lt;=60,peso05_s,peso510_s),MATCH($W1087,IF($T1087&lt;=60,peso05_k,peso510_k),1)),""))</f>
        <v/>
      </c>
      <c r="AM1087">
        <f>IF($AJ1087="","",IF($AJ1087=0,LN($F1087/$AK1087)/$AL1087,((($F1087/$AK1087)^$AJ1087)-1)/($AJ1087*$AL1087)))</f>
        <v/>
      </c>
      <c r="AN1087">
        <f>IF($AJ1087="","",IF($AJ1087=0,$AK1087*EXP($AL1087*2),$AK1087*(1+$AJ1087*$AL1087*2)^(1/$AJ1087)))</f>
        <v/>
      </c>
      <c r="AO1087">
        <f>IF($AJ1087="","",IF($AJ1087=0,$AK1087*EXP($AL1087*3),$AK1087*(1+$AJ1087*$AL1087*3)^(1/$AJ1087)))</f>
        <v/>
      </c>
      <c r="AP1087">
        <f>IF($AJ1087="","",IF($AJ1087=0,$AK1087*EXP($AL1087*-2),$AK1087*(1+$AJ1087*$AL1087*-2)^(1/$AJ1087)))</f>
        <v/>
      </c>
      <c r="AQ1087">
        <f>IF($AJ1087="","",IF($AJ1087=0,$AK1087*EXP($AL1087*-3),$AK1087*(1+$AJ1087*$AL1087*-3)^(1/$AJ1087)))</f>
        <v/>
      </c>
      <c r="AR1087">
        <f>IF(OR($X1087="",$T1087&gt;60),"",IFERROR(INDEX(IF($T1087&lt;24,pcomp_l,palt_l),MATCH($X1087,IF($T1087&lt;24,pcomp_k,palt_k),1)),""))</f>
        <v/>
      </c>
      <c r="AS1087">
        <f>IF(OR($X1087="",$T1087&gt;60),"",IFERROR(INDEX(IF($T1087&lt;24,pcomp_m,palt_m),MATCH($X1087,IF($T1087&lt;24,pcomp_k,palt_k),1)),""))</f>
        <v/>
      </c>
      <c r="AT1087">
        <f>IF(OR($X1087="",$T1087&gt;60),"",IFERROR(INDEX(IF($T1087&lt;24,pcomp_s,palt_s),MATCH($X1087,IF($T1087&lt;24,pcomp_k,palt_k),1)),""))</f>
        <v/>
      </c>
      <c r="AU1087">
        <f>IF($AR1087="","",IF($AR1087=0,LN($F1087/$AS1087)/$AT1087,((($F1087/$AS1087)^$AR1087)-1)/($AR1087*$AT1087)))</f>
        <v/>
      </c>
      <c r="AV1087">
        <f>IF($AR1087="","",IF($AR1087=0,$AS1087*EXP($AT1087*2),$AS1087*(1+$AR1087*$AT1087*2)^(1/$AR1087)))</f>
        <v/>
      </c>
      <c r="AW1087">
        <f>IF($AR1087="","",IF($AR1087=0,$AS1087*EXP($AT1087*3),$AS1087*(1+$AR1087*$AT1087*3)^(1/$AR1087)))</f>
        <v/>
      </c>
      <c r="AX1087">
        <f>IF($AR1087="","",IF($AR1087=0,$AS1087*EXP($AT1087*-2),$AS1087*(1+$AR1087*$AT1087*-2)^(1/$AR1087)))</f>
        <v/>
      </c>
      <c r="AY1087">
        <f>IF($AR1087="","",IF($AR1087=0,$AS1087*EXP($AT1087*-3),$AS1087*(1+$AR1087*$AT1087*-3)^(1/$AR1087)))</f>
        <v/>
      </c>
      <c r="AZ1087">
        <f>IF(OR($A1087="",$A1087&lt;&gt;Ficha!$C$4),"",COUNTIF($A$2:$A1087,Ficha!$C$4))</f>
        <v/>
      </c>
    </row>
    <row r="1088">
      <c r="A1088" s="8">
        <f>IF(INDEX(Banco!$A:$A,ROW())="","",INDEX(Banco!$A:$A,ROW()))</f>
        <v/>
      </c>
      <c r="B1088" s="8">
        <f>IF(INDEX(Banco!$B:$B,ROW())="","",INDEX(Banco!$B:$B,ROW()))</f>
        <v/>
      </c>
      <c r="C1088" s="8">
        <f>IF(INDEX(Banco!$C:$C,ROW())="","",INDEX(Banco!$C:$C,ROW()))</f>
        <v/>
      </c>
      <c r="D1088" s="9">
        <f>IF(INDEX(Banco!$D:$D,ROW())="","",INDEX(Banco!$D:$D,ROW()))</f>
        <v/>
      </c>
      <c r="E1088" s="9">
        <f>IF(INDEX(Banco!$E:$E,ROW())="","",INDEX(Banco!$E:$E,ROW()))</f>
        <v/>
      </c>
      <c r="F1088" s="10">
        <f>IF(INDEX(Banco!$F:$F,ROW())="","",INDEX(Banco!$F:$F,ROW()))</f>
        <v/>
      </c>
      <c r="G1088" s="10">
        <f>IF(INDEX(Banco!$G:$G,ROW())="","",INDEX(Banco!$G:$G,ROW()))</f>
        <v/>
      </c>
      <c r="H1088" s="8">
        <f>IF(INDEX(Banco!$H:$H,ROW())="","",INDEX(Banco!$H:$H,ROW()))</f>
        <v/>
      </c>
      <c r="I1088">
        <f>IF($T1088="","",INT($T1088/12)&amp;"a "&amp;MOD($T1088,12)&amp;"m")</f>
        <v/>
      </c>
      <c r="J1088" s="11">
        <f>IF(OR($F1088="",$G1088=""),"",ROUND($F1088/($G1088/100)^2,2))</f>
        <v/>
      </c>
      <c r="K1088" s="12">
        <f>IF(OR($S1088="",$J1088="",$T1088="",$T1088&lt;0,$T1088&gt;228,$Y1088=""),"—",ROUND(IF(ABS($AB1088)&lt;=3,$AB1088,IF($AB1088&gt;3,3+($J1088-$AD1088)/($AD1088-$AC1088),-3+($J1088-$AF1088)/($AE1088-$AF1088))),2))</f>
        <v/>
      </c>
      <c r="L1088">
        <f>IF(OR($K1088="",$K1088="—"),"",IF($T1088&lt;=60,IF($K1088&lt;-3,"Magreza acentuada",IF($K1088&lt;-2,"Magreza",IF($K1088&lt;=1,"Eutrofia",IF($K1088&lt;=2,"Risco de sobrepeso",IF($K1088&lt;=3,"Sobrepeso","Obesidade"))))),IF($K1088&lt;-3,"Magreza acentuada",IF($K1088&lt;-2,"Magreza",IF($K1088&lt;=1,"Eutrofia",IF($K1088&lt;=2,"Sobrepeso",IF($K1088&lt;=3,"Obesidade","Obesidade grave")))))))</f>
        <v/>
      </c>
      <c r="M1088" s="12">
        <f>IF(OR($S1088="",$V1088="",$T1088="",$T1088&lt;0,$T1088&gt;228,$AG1088=""),"—",ROUND(IF($AG1088=0,LN($V1088/$AH1088)/$AI1088,((($V1088/$AH1088)^$AG1088)-1)/($AG1088*$AI1088)),2))</f>
        <v/>
      </c>
      <c r="N1088">
        <f>IF(OR($M1088="",$M1088="—"),"",IF($M1088&lt;-3,"Muito baixa",IF($M1088&lt;-2,"Baixa","Adequada")))</f>
        <v/>
      </c>
      <c r="O1088" s="12">
        <f>IF(OR($S1088="",$F1088="",$T1088="",$T1088&lt;0,$T1088&gt;120,$AJ1088=""),"—",ROUND(IF(ABS($AM1088)&lt;=3,$AM1088,IF($AM1088&gt;3,3+($F1088-$AO1088)/($AO1088-$AN1088),-3+($F1088-$AQ1088)/($AP1088-$AQ1088))),2))</f>
        <v/>
      </c>
      <c r="P1088">
        <f>IF(OR($O1088="",$O1088="—"),"",IF($O1088&lt;-3,"Muito baixo",IF($O1088&lt;-2,"Baixo",IF($O1088&lt;=2,"Adequado","Elevado"))))</f>
        <v/>
      </c>
      <c r="Q1088" s="12">
        <f>IF(OR($S1088="",$F1088="",$T1088="",$T1088&lt;0,$T1088&gt;60,$AR1088=""),"—",ROUND(IF(ABS($AU1088)&lt;=3,$AU1088,IF($AU1088&gt;3,3+($F1088-$AW1088)/($AW1088-$AV1088),-3+($F1088-$AY1088)/($AX1088-$AY1088))),2))</f>
        <v/>
      </c>
      <c r="R1088">
        <f>IF(OR($Q1088="",$Q1088="—"),"",IF($Q1088&lt;-3,"Magreza acentuada",IF($Q1088&lt;-2,"Magreza",IF($Q1088&lt;=1,"Eutrofia",IF($Q1088&lt;=2,"Risco de sobrepeso",IF($Q1088&lt;=3,"Sobrepeso","Obesidade"))))))</f>
        <v/>
      </c>
      <c r="S1088">
        <f>IF($C1088="","",IF(UPPER(LEFT($C1088,1))="M",1,IF(UPPER(LEFT($C1088,1))="F",2,"")))</f>
        <v/>
      </c>
      <c r="T1088">
        <f>IF(OR($D1088="",$E1088=""),"",DATEDIF($D1088,$E1088,"m"))</f>
        <v/>
      </c>
      <c r="U1088">
        <f>IF(OR($D1088="",$E1088=""),"",$E1088-$D1088)</f>
        <v/>
      </c>
      <c r="V1088">
        <f>IF(OR($G1088="",$T1088=""),"",IF($T1088&lt;24,IF(LEFT(LOWER($H1088),4)="em p",$G1088+0.7,$G1088),IF(LEFT(LOWER($H1088),4)="deit",$G1088-0.7,$G1088)))</f>
        <v/>
      </c>
      <c r="W1088">
        <f>IF(OR($S1088="",$T1088=""),"",$S1088*1000000+IF($T1088&lt;=60,$U1088,$T1088))</f>
        <v/>
      </c>
      <c r="X1088">
        <f>IF(OR($S1088="",$V1088="",$T1088&gt;60,$T1088=""),"",$S1088*1000000+ROUND($V1088*10,0))</f>
        <v/>
      </c>
      <c r="Y1088">
        <f>IF($W1088="","",IFERROR(INDEX(IF($T1088&lt;=60,imc05_l,imc519_l),MATCH($W1088,IF($T1088&lt;=60,imc05_k,imc519_k),1)),""))</f>
        <v/>
      </c>
      <c r="Z1088">
        <f>IF($W1088="","",IFERROR(INDEX(IF($T1088&lt;=60,imc05_m,imc519_m),MATCH($W1088,IF($T1088&lt;=60,imc05_k,imc519_k),1)),""))</f>
        <v/>
      </c>
      <c r="AA1088">
        <f>IF($W1088="","",IFERROR(INDEX(IF($T1088&lt;=60,imc05_s,imc519_s),MATCH($W1088,IF($T1088&lt;=60,imc05_k,imc519_k),1)),""))</f>
        <v/>
      </c>
      <c r="AB1088">
        <f>IF($Y1088="","",IF($Y1088=0,LN($J1088/$Z1088)/$AA1088,((($J1088/$Z1088)^$Y1088)-1)/($Y1088*$AA1088)))</f>
        <v/>
      </c>
      <c r="AC1088">
        <f>IF($Y1088="","",IF($Y1088=0,$Z1088*EXP($AA1088*2),$Z1088*(1+$Y1088*$AA1088*2)^(1/$Y1088)))</f>
        <v/>
      </c>
      <c r="AD1088">
        <f>IF($Y1088="","",IF($Y1088=0,$Z1088*EXP($AA1088*3),$Z1088*(1+$Y1088*$AA1088*3)^(1/$Y1088)))</f>
        <v/>
      </c>
      <c r="AE1088">
        <f>IF($Y1088="","",IF($Y1088=0,$Z1088*EXP($AA1088*-2),$Z1088*(1+$Y1088*$AA1088*-2)^(1/$Y1088)))</f>
        <v/>
      </c>
      <c r="AF1088">
        <f>IF($Y1088="","",IF($Y1088=0,$Z1088*EXP($AA1088*-3),$Z1088*(1+$Y1088*$AA1088*-3)^(1/$Y1088)))</f>
        <v/>
      </c>
      <c r="AG1088">
        <f>IF($W1088="","",IFERROR(INDEX(IF($T1088&lt;=60,est05_l,est519_l),MATCH($W1088,IF($T1088&lt;=60,est05_k,est519_k),1)),""))</f>
        <v/>
      </c>
      <c r="AH1088">
        <f>IF($W1088="","",IFERROR(INDEX(IF($T1088&lt;=60,est05_m,est519_m),MATCH($W1088,IF($T1088&lt;=60,est05_k,est519_k),1)),""))</f>
        <v/>
      </c>
      <c r="AI1088">
        <f>IF($W1088="","",IFERROR(INDEX(IF($T1088&lt;=60,est05_s,est519_s),MATCH($W1088,IF($T1088&lt;=60,est05_k,est519_k),1)),""))</f>
        <v/>
      </c>
      <c r="AJ1088">
        <f>IF($W1088="","",IFERROR(INDEX(IF($T1088&lt;=60,peso05_l,peso510_l),MATCH($W1088,IF($T1088&lt;=60,peso05_k,peso510_k),1)),""))</f>
        <v/>
      </c>
      <c r="AK1088">
        <f>IF($W1088="","",IFERROR(INDEX(IF($T1088&lt;=60,peso05_m,peso510_m),MATCH($W1088,IF($T1088&lt;=60,peso05_k,peso510_k),1)),""))</f>
        <v/>
      </c>
      <c r="AL1088">
        <f>IF($W1088="","",IFERROR(INDEX(IF($T1088&lt;=60,peso05_s,peso510_s),MATCH($W1088,IF($T1088&lt;=60,peso05_k,peso510_k),1)),""))</f>
        <v/>
      </c>
      <c r="AM1088">
        <f>IF($AJ1088="","",IF($AJ1088=0,LN($F1088/$AK1088)/$AL1088,((($F1088/$AK1088)^$AJ1088)-1)/($AJ1088*$AL1088)))</f>
        <v/>
      </c>
      <c r="AN1088">
        <f>IF($AJ1088="","",IF($AJ1088=0,$AK1088*EXP($AL1088*2),$AK1088*(1+$AJ1088*$AL1088*2)^(1/$AJ1088)))</f>
        <v/>
      </c>
      <c r="AO1088">
        <f>IF($AJ1088="","",IF($AJ1088=0,$AK1088*EXP($AL1088*3),$AK1088*(1+$AJ1088*$AL1088*3)^(1/$AJ1088)))</f>
        <v/>
      </c>
      <c r="AP1088">
        <f>IF($AJ1088="","",IF($AJ1088=0,$AK1088*EXP($AL1088*-2),$AK1088*(1+$AJ1088*$AL1088*-2)^(1/$AJ1088)))</f>
        <v/>
      </c>
      <c r="AQ1088">
        <f>IF($AJ1088="","",IF($AJ1088=0,$AK1088*EXP($AL1088*-3),$AK1088*(1+$AJ1088*$AL1088*-3)^(1/$AJ1088)))</f>
        <v/>
      </c>
      <c r="AR1088">
        <f>IF(OR($X1088="",$T1088&gt;60),"",IFERROR(INDEX(IF($T1088&lt;24,pcomp_l,palt_l),MATCH($X1088,IF($T1088&lt;24,pcomp_k,palt_k),1)),""))</f>
        <v/>
      </c>
      <c r="AS1088">
        <f>IF(OR($X1088="",$T1088&gt;60),"",IFERROR(INDEX(IF($T1088&lt;24,pcomp_m,palt_m),MATCH($X1088,IF($T1088&lt;24,pcomp_k,palt_k),1)),""))</f>
        <v/>
      </c>
      <c r="AT1088">
        <f>IF(OR($X1088="",$T1088&gt;60),"",IFERROR(INDEX(IF($T1088&lt;24,pcomp_s,palt_s),MATCH($X1088,IF($T1088&lt;24,pcomp_k,palt_k),1)),""))</f>
        <v/>
      </c>
      <c r="AU1088">
        <f>IF($AR1088="","",IF($AR1088=0,LN($F1088/$AS1088)/$AT1088,((($F1088/$AS1088)^$AR1088)-1)/($AR1088*$AT1088)))</f>
        <v/>
      </c>
      <c r="AV1088">
        <f>IF($AR1088="","",IF($AR1088=0,$AS1088*EXP($AT1088*2),$AS1088*(1+$AR1088*$AT1088*2)^(1/$AR1088)))</f>
        <v/>
      </c>
      <c r="AW1088">
        <f>IF($AR1088="","",IF($AR1088=0,$AS1088*EXP($AT1088*3),$AS1088*(1+$AR1088*$AT1088*3)^(1/$AR1088)))</f>
        <v/>
      </c>
      <c r="AX1088">
        <f>IF($AR1088="","",IF($AR1088=0,$AS1088*EXP($AT1088*-2),$AS1088*(1+$AR1088*$AT1088*-2)^(1/$AR1088)))</f>
        <v/>
      </c>
      <c r="AY1088">
        <f>IF($AR1088="","",IF($AR1088=0,$AS1088*EXP($AT1088*-3),$AS1088*(1+$AR1088*$AT1088*-3)^(1/$AR1088)))</f>
        <v/>
      </c>
      <c r="AZ1088">
        <f>IF(OR($A1088="",$A1088&lt;&gt;Ficha!$C$4),"",COUNTIF($A$2:$A1088,Ficha!$C$4))</f>
        <v/>
      </c>
    </row>
    <row r="1089">
      <c r="A1089" s="8">
        <f>IF(INDEX(Banco!$A:$A,ROW())="","",INDEX(Banco!$A:$A,ROW()))</f>
        <v/>
      </c>
      <c r="B1089" s="8">
        <f>IF(INDEX(Banco!$B:$B,ROW())="","",INDEX(Banco!$B:$B,ROW()))</f>
        <v/>
      </c>
      <c r="C1089" s="8">
        <f>IF(INDEX(Banco!$C:$C,ROW())="","",INDEX(Banco!$C:$C,ROW()))</f>
        <v/>
      </c>
      <c r="D1089" s="9">
        <f>IF(INDEX(Banco!$D:$D,ROW())="","",INDEX(Banco!$D:$D,ROW()))</f>
        <v/>
      </c>
      <c r="E1089" s="9">
        <f>IF(INDEX(Banco!$E:$E,ROW())="","",INDEX(Banco!$E:$E,ROW()))</f>
        <v/>
      </c>
      <c r="F1089" s="10">
        <f>IF(INDEX(Banco!$F:$F,ROW())="","",INDEX(Banco!$F:$F,ROW()))</f>
        <v/>
      </c>
      <c r="G1089" s="10">
        <f>IF(INDEX(Banco!$G:$G,ROW())="","",INDEX(Banco!$G:$G,ROW()))</f>
        <v/>
      </c>
      <c r="H1089" s="8">
        <f>IF(INDEX(Banco!$H:$H,ROW())="","",INDEX(Banco!$H:$H,ROW()))</f>
        <v/>
      </c>
      <c r="I1089">
        <f>IF($T1089="","",INT($T1089/12)&amp;"a "&amp;MOD($T1089,12)&amp;"m")</f>
        <v/>
      </c>
      <c r="J1089" s="11">
        <f>IF(OR($F1089="",$G1089=""),"",ROUND($F1089/($G1089/100)^2,2))</f>
        <v/>
      </c>
      <c r="K1089" s="12">
        <f>IF(OR($S1089="",$J1089="",$T1089="",$T1089&lt;0,$T1089&gt;228,$Y1089=""),"—",ROUND(IF(ABS($AB1089)&lt;=3,$AB1089,IF($AB1089&gt;3,3+($J1089-$AD1089)/($AD1089-$AC1089),-3+($J1089-$AF1089)/($AE1089-$AF1089))),2))</f>
        <v/>
      </c>
      <c r="L1089">
        <f>IF(OR($K1089="",$K1089="—"),"",IF($T1089&lt;=60,IF($K1089&lt;-3,"Magreza acentuada",IF($K1089&lt;-2,"Magreza",IF($K1089&lt;=1,"Eutrofia",IF($K1089&lt;=2,"Risco de sobrepeso",IF($K1089&lt;=3,"Sobrepeso","Obesidade"))))),IF($K1089&lt;-3,"Magreza acentuada",IF($K1089&lt;-2,"Magreza",IF($K1089&lt;=1,"Eutrofia",IF($K1089&lt;=2,"Sobrepeso",IF($K1089&lt;=3,"Obesidade","Obesidade grave")))))))</f>
        <v/>
      </c>
      <c r="M1089" s="12">
        <f>IF(OR($S1089="",$V1089="",$T1089="",$T1089&lt;0,$T1089&gt;228,$AG1089=""),"—",ROUND(IF($AG1089=0,LN($V1089/$AH1089)/$AI1089,((($V1089/$AH1089)^$AG1089)-1)/($AG1089*$AI1089)),2))</f>
        <v/>
      </c>
      <c r="N1089">
        <f>IF(OR($M1089="",$M1089="—"),"",IF($M1089&lt;-3,"Muito baixa",IF($M1089&lt;-2,"Baixa","Adequada")))</f>
        <v/>
      </c>
      <c r="O1089" s="12">
        <f>IF(OR($S1089="",$F1089="",$T1089="",$T1089&lt;0,$T1089&gt;120,$AJ1089=""),"—",ROUND(IF(ABS($AM1089)&lt;=3,$AM1089,IF($AM1089&gt;3,3+($F1089-$AO1089)/($AO1089-$AN1089),-3+($F1089-$AQ1089)/($AP1089-$AQ1089))),2))</f>
        <v/>
      </c>
      <c r="P1089">
        <f>IF(OR($O1089="",$O1089="—"),"",IF($O1089&lt;-3,"Muito baixo",IF($O1089&lt;-2,"Baixo",IF($O1089&lt;=2,"Adequado","Elevado"))))</f>
        <v/>
      </c>
      <c r="Q1089" s="12">
        <f>IF(OR($S1089="",$F1089="",$T1089="",$T1089&lt;0,$T1089&gt;60,$AR1089=""),"—",ROUND(IF(ABS($AU1089)&lt;=3,$AU1089,IF($AU1089&gt;3,3+($F1089-$AW1089)/($AW1089-$AV1089),-3+($F1089-$AY1089)/($AX1089-$AY1089))),2))</f>
        <v/>
      </c>
      <c r="R1089">
        <f>IF(OR($Q1089="",$Q1089="—"),"",IF($Q1089&lt;-3,"Magreza acentuada",IF($Q1089&lt;-2,"Magreza",IF($Q1089&lt;=1,"Eutrofia",IF($Q1089&lt;=2,"Risco de sobrepeso",IF($Q1089&lt;=3,"Sobrepeso","Obesidade"))))))</f>
        <v/>
      </c>
      <c r="S1089">
        <f>IF($C1089="","",IF(UPPER(LEFT($C1089,1))="M",1,IF(UPPER(LEFT($C1089,1))="F",2,"")))</f>
        <v/>
      </c>
      <c r="T1089">
        <f>IF(OR($D1089="",$E1089=""),"",DATEDIF($D1089,$E1089,"m"))</f>
        <v/>
      </c>
      <c r="U1089">
        <f>IF(OR($D1089="",$E1089=""),"",$E1089-$D1089)</f>
        <v/>
      </c>
      <c r="V1089">
        <f>IF(OR($G1089="",$T1089=""),"",IF($T1089&lt;24,IF(LEFT(LOWER($H1089),4)="em p",$G1089+0.7,$G1089),IF(LEFT(LOWER($H1089),4)="deit",$G1089-0.7,$G1089)))</f>
        <v/>
      </c>
      <c r="W1089">
        <f>IF(OR($S1089="",$T1089=""),"",$S1089*1000000+IF($T1089&lt;=60,$U1089,$T1089))</f>
        <v/>
      </c>
      <c r="X1089">
        <f>IF(OR($S1089="",$V1089="",$T1089&gt;60,$T1089=""),"",$S1089*1000000+ROUND($V1089*10,0))</f>
        <v/>
      </c>
      <c r="Y1089">
        <f>IF($W1089="","",IFERROR(INDEX(IF($T1089&lt;=60,imc05_l,imc519_l),MATCH($W1089,IF($T1089&lt;=60,imc05_k,imc519_k),1)),""))</f>
        <v/>
      </c>
      <c r="Z1089">
        <f>IF($W1089="","",IFERROR(INDEX(IF($T1089&lt;=60,imc05_m,imc519_m),MATCH($W1089,IF($T1089&lt;=60,imc05_k,imc519_k),1)),""))</f>
        <v/>
      </c>
      <c r="AA1089">
        <f>IF($W1089="","",IFERROR(INDEX(IF($T1089&lt;=60,imc05_s,imc519_s),MATCH($W1089,IF($T1089&lt;=60,imc05_k,imc519_k),1)),""))</f>
        <v/>
      </c>
      <c r="AB1089">
        <f>IF($Y1089="","",IF($Y1089=0,LN($J1089/$Z1089)/$AA1089,((($J1089/$Z1089)^$Y1089)-1)/($Y1089*$AA1089)))</f>
        <v/>
      </c>
      <c r="AC1089">
        <f>IF($Y1089="","",IF($Y1089=0,$Z1089*EXP($AA1089*2),$Z1089*(1+$Y1089*$AA1089*2)^(1/$Y1089)))</f>
        <v/>
      </c>
      <c r="AD1089">
        <f>IF($Y1089="","",IF($Y1089=0,$Z1089*EXP($AA1089*3),$Z1089*(1+$Y1089*$AA1089*3)^(1/$Y1089)))</f>
        <v/>
      </c>
      <c r="AE1089">
        <f>IF($Y1089="","",IF($Y1089=0,$Z1089*EXP($AA1089*-2),$Z1089*(1+$Y1089*$AA1089*-2)^(1/$Y1089)))</f>
        <v/>
      </c>
      <c r="AF1089">
        <f>IF($Y1089="","",IF($Y1089=0,$Z1089*EXP($AA1089*-3),$Z1089*(1+$Y1089*$AA1089*-3)^(1/$Y1089)))</f>
        <v/>
      </c>
      <c r="AG1089">
        <f>IF($W1089="","",IFERROR(INDEX(IF($T1089&lt;=60,est05_l,est519_l),MATCH($W1089,IF($T1089&lt;=60,est05_k,est519_k),1)),""))</f>
        <v/>
      </c>
      <c r="AH1089">
        <f>IF($W1089="","",IFERROR(INDEX(IF($T1089&lt;=60,est05_m,est519_m),MATCH($W1089,IF($T1089&lt;=60,est05_k,est519_k),1)),""))</f>
        <v/>
      </c>
      <c r="AI1089">
        <f>IF($W1089="","",IFERROR(INDEX(IF($T1089&lt;=60,est05_s,est519_s),MATCH($W1089,IF($T1089&lt;=60,est05_k,est519_k),1)),""))</f>
        <v/>
      </c>
      <c r="AJ1089">
        <f>IF($W1089="","",IFERROR(INDEX(IF($T1089&lt;=60,peso05_l,peso510_l),MATCH($W1089,IF($T1089&lt;=60,peso05_k,peso510_k),1)),""))</f>
        <v/>
      </c>
      <c r="AK1089">
        <f>IF($W1089="","",IFERROR(INDEX(IF($T1089&lt;=60,peso05_m,peso510_m),MATCH($W1089,IF($T1089&lt;=60,peso05_k,peso510_k),1)),""))</f>
        <v/>
      </c>
      <c r="AL1089">
        <f>IF($W1089="","",IFERROR(INDEX(IF($T1089&lt;=60,peso05_s,peso510_s),MATCH($W1089,IF($T1089&lt;=60,peso05_k,peso510_k),1)),""))</f>
        <v/>
      </c>
      <c r="AM1089">
        <f>IF($AJ1089="","",IF($AJ1089=0,LN($F1089/$AK1089)/$AL1089,((($F1089/$AK1089)^$AJ1089)-1)/($AJ1089*$AL1089)))</f>
        <v/>
      </c>
      <c r="AN1089">
        <f>IF($AJ1089="","",IF($AJ1089=0,$AK1089*EXP($AL1089*2),$AK1089*(1+$AJ1089*$AL1089*2)^(1/$AJ1089)))</f>
        <v/>
      </c>
      <c r="AO1089">
        <f>IF($AJ1089="","",IF($AJ1089=0,$AK1089*EXP($AL1089*3),$AK1089*(1+$AJ1089*$AL1089*3)^(1/$AJ1089)))</f>
        <v/>
      </c>
      <c r="AP1089">
        <f>IF($AJ1089="","",IF($AJ1089=0,$AK1089*EXP($AL1089*-2),$AK1089*(1+$AJ1089*$AL1089*-2)^(1/$AJ1089)))</f>
        <v/>
      </c>
      <c r="AQ1089">
        <f>IF($AJ1089="","",IF($AJ1089=0,$AK1089*EXP($AL1089*-3),$AK1089*(1+$AJ1089*$AL1089*-3)^(1/$AJ1089)))</f>
        <v/>
      </c>
      <c r="AR1089">
        <f>IF(OR($X1089="",$T1089&gt;60),"",IFERROR(INDEX(IF($T1089&lt;24,pcomp_l,palt_l),MATCH($X1089,IF($T1089&lt;24,pcomp_k,palt_k),1)),""))</f>
        <v/>
      </c>
      <c r="AS1089">
        <f>IF(OR($X1089="",$T1089&gt;60),"",IFERROR(INDEX(IF($T1089&lt;24,pcomp_m,palt_m),MATCH($X1089,IF($T1089&lt;24,pcomp_k,palt_k),1)),""))</f>
        <v/>
      </c>
      <c r="AT1089">
        <f>IF(OR($X1089="",$T1089&gt;60),"",IFERROR(INDEX(IF($T1089&lt;24,pcomp_s,palt_s),MATCH($X1089,IF($T1089&lt;24,pcomp_k,palt_k),1)),""))</f>
        <v/>
      </c>
      <c r="AU1089">
        <f>IF($AR1089="","",IF($AR1089=0,LN($F1089/$AS1089)/$AT1089,((($F1089/$AS1089)^$AR1089)-1)/($AR1089*$AT1089)))</f>
        <v/>
      </c>
      <c r="AV1089">
        <f>IF($AR1089="","",IF($AR1089=0,$AS1089*EXP($AT1089*2),$AS1089*(1+$AR1089*$AT1089*2)^(1/$AR1089)))</f>
        <v/>
      </c>
      <c r="AW1089">
        <f>IF($AR1089="","",IF($AR1089=0,$AS1089*EXP($AT1089*3),$AS1089*(1+$AR1089*$AT1089*3)^(1/$AR1089)))</f>
        <v/>
      </c>
      <c r="AX1089">
        <f>IF($AR1089="","",IF($AR1089=0,$AS1089*EXP($AT1089*-2),$AS1089*(1+$AR1089*$AT1089*-2)^(1/$AR1089)))</f>
        <v/>
      </c>
      <c r="AY1089">
        <f>IF($AR1089="","",IF($AR1089=0,$AS1089*EXP($AT1089*-3),$AS1089*(1+$AR1089*$AT1089*-3)^(1/$AR1089)))</f>
        <v/>
      </c>
      <c r="AZ1089">
        <f>IF(OR($A1089="",$A1089&lt;&gt;Ficha!$C$4),"",COUNTIF($A$2:$A1089,Ficha!$C$4))</f>
        <v/>
      </c>
    </row>
    <row r="1090">
      <c r="A1090" s="8">
        <f>IF(INDEX(Banco!$A:$A,ROW())="","",INDEX(Banco!$A:$A,ROW()))</f>
        <v/>
      </c>
      <c r="B1090" s="8">
        <f>IF(INDEX(Banco!$B:$B,ROW())="","",INDEX(Banco!$B:$B,ROW()))</f>
        <v/>
      </c>
      <c r="C1090" s="8">
        <f>IF(INDEX(Banco!$C:$C,ROW())="","",INDEX(Banco!$C:$C,ROW()))</f>
        <v/>
      </c>
      <c r="D1090" s="9">
        <f>IF(INDEX(Banco!$D:$D,ROW())="","",INDEX(Banco!$D:$D,ROW()))</f>
        <v/>
      </c>
      <c r="E1090" s="9">
        <f>IF(INDEX(Banco!$E:$E,ROW())="","",INDEX(Banco!$E:$E,ROW()))</f>
        <v/>
      </c>
      <c r="F1090" s="10">
        <f>IF(INDEX(Banco!$F:$F,ROW())="","",INDEX(Banco!$F:$F,ROW()))</f>
        <v/>
      </c>
      <c r="G1090" s="10">
        <f>IF(INDEX(Banco!$G:$G,ROW())="","",INDEX(Banco!$G:$G,ROW()))</f>
        <v/>
      </c>
      <c r="H1090" s="8">
        <f>IF(INDEX(Banco!$H:$H,ROW())="","",INDEX(Banco!$H:$H,ROW()))</f>
        <v/>
      </c>
      <c r="I1090">
        <f>IF($T1090="","",INT($T1090/12)&amp;"a "&amp;MOD($T1090,12)&amp;"m")</f>
        <v/>
      </c>
      <c r="J1090" s="11">
        <f>IF(OR($F1090="",$G1090=""),"",ROUND($F1090/($G1090/100)^2,2))</f>
        <v/>
      </c>
      <c r="K1090" s="12">
        <f>IF(OR($S1090="",$J1090="",$T1090="",$T1090&lt;0,$T1090&gt;228,$Y1090=""),"—",ROUND(IF(ABS($AB1090)&lt;=3,$AB1090,IF($AB1090&gt;3,3+($J1090-$AD1090)/($AD1090-$AC1090),-3+($J1090-$AF1090)/($AE1090-$AF1090))),2))</f>
        <v/>
      </c>
      <c r="L1090">
        <f>IF(OR($K1090="",$K1090="—"),"",IF($T1090&lt;=60,IF($K1090&lt;-3,"Magreza acentuada",IF($K1090&lt;-2,"Magreza",IF($K1090&lt;=1,"Eutrofia",IF($K1090&lt;=2,"Risco de sobrepeso",IF($K1090&lt;=3,"Sobrepeso","Obesidade"))))),IF($K1090&lt;-3,"Magreza acentuada",IF($K1090&lt;-2,"Magreza",IF($K1090&lt;=1,"Eutrofia",IF($K1090&lt;=2,"Sobrepeso",IF($K1090&lt;=3,"Obesidade","Obesidade grave")))))))</f>
        <v/>
      </c>
      <c r="M1090" s="12">
        <f>IF(OR($S1090="",$V1090="",$T1090="",$T1090&lt;0,$T1090&gt;228,$AG1090=""),"—",ROUND(IF($AG1090=0,LN($V1090/$AH1090)/$AI1090,((($V1090/$AH1090)^$AG1090)-1)/($AG1090*$AI1090)),2))</f>
        <v/>
      </c>
      <c r="N1090">
        <f>IF(OR($M1090="",$M1090="—"),"",IF($M1090&lt;-3,"Muito baixa",IF($M1090&lt;-2,"Baixa","Adequada")))</f>
        <v/>
      </c>
      <c r="O1090" s="12">
        <f>IF(OR($S1090="",$F1090="",$T1090="",$T1090&lt;0,$T1090&gt;120,$AJ1090=""),"—",ROUND(IF(ABS($AM1090)&lt;=3,$AM1090,IF($AM1090&gt;3,3+($F1090-$AO1090)/($AO1090-$AN1090),-3+($F1090-$AQ1090)/($AP1090-$AQ1090))),2))</f>
        <v/>
      </c>
      <c r="P1090">
        <f>IF(OR($O1090="",$O1090="—"),"",IF($O1090&lt;-3,"Muito baixo",IF($O1090&lt;-2,"Baixo",IF($O1090&lt;=2,"Adequado","Elevado"))))</f>
        <v/>
      </c>
      <c r="Q1090" s="12">
        <f>IF(OR($S1090="",$F1090="",$T1090="",$T1090&lt;0,$T1090&gt;60,$AR1090=""),"—",ROUND(IF(ABS($AU1090)&lt;=3,$AU1090,IF($AU1090&gt;3,3+($F1090-$AW1090)/($AW1090-$AV1090),-3+($F1090-$AY1090)/($AX1090-$AY1090))),2))</f>
        <v/>
      </c>
      <c r="R1090">
        <f>IF(OR($Q1090="",$Q1090="—"),"",IF($Q1090&lt;-3,"Magreza acentuada",IF($Q1090&lt;-2,"Magreza",IF($Q1090&lt;=1,"Eutrofia",IF($Q1090&lt;=2,"Risco de sobrepeso",IF($Q1090&lt;=3,"Sobrepeso","Obesidade"))))))</f>
        <v/>
      </c>
      <c r="S1090">
        <f>IF($C1090="","",IF(UPPER(LEFT($C1090,1))="M",1,IF(UPPER(LEFT($C1090,1))="F",2,"")))</f>
        <v/>
      </c>
      <c r="T1090">
        <f>IF(OR($D1090="",$E1090=""),"",DATEDIF($D1090,$E1090,"m"))</f>
        <v/>
      </c>
      <c r="U1090">
        <f>IF(OR($D1090="",$E1090=""),"",$E1090-$D1090)</f>
        <v/>
      </c>
      <c r="V1090">
        <f>IF(OR($G1090="",$T1090=""),"",IF($T1090&lt;24,IF(LEFT(LOWER($H1090),4)="em p",$G1090+0.7,$G1090),IF(LEFT(LOWER($H1090),4)="deit",$G1090-0.7,$G1090)))</f>
        <v/>
      </c>
      <c r="W1090">
        <f>IF(OR($S1090="",$T1090=""),"",$S1090*1000000+IF($T1090&lt;=60,$U1090,$T1090))</f>
        <v/>
      </c>
      <c r="X1090">
        <f>IF(OR($S1090="",$V1090="",$T1090&gt;60,$T1090=""),"",$S1090*1000000+ROUND($V1090*10,0))</f>
        <v/>
      </c>
      <c r="Y1090">
        <f>IF($W1090="","",IFERROR(INDEX(IF($T1090&lt;=60,imc05_l,imc519_l),MATCH($W1090,IF($T1090&lt;=60,imc05_k,imc519_k),1)),""))</f>
        <v/>
      </c>
      <c r="Z1090">
        <f>IF($W1090="","",IFERROR(INDEX(IF($T1090&lt;=60,imc05_m,imc519_m),MATCH($W1090,IF($T1090&lt;=60,imc05_k,imc519_k),1)),""))</f>
        <v/>
      </c>
      <c r="AA1090">
        <f>IF($W1090="","",IFERROR(INDEX(IF($T1090&lt;=60,imc05_s,imc519_s),MATCH($W1090,IF($T1090&lt;=60,imc05_k,imc519_k),1)),""))</f>
        <v/>
      </c>
      <c r="AB1090">
        <f>IF($Y1090="","",IF($Y1090=0,LN($J1090/$Z1090)/$AA1090,((($J1090/$Z1090)^$Y1090)-1)/($Y1090*$AA1090)))</f>
        <v/>
      </c>
      <c r="AC1090">
        <f>IF($Y1090="","",IF($Y1090=0,$Z1090*EXP($AA1090*2),$Z1090*(1+$Y1090*$AA1090*2)^(1/$Y1090)))</f>
        <v/>
      </c>
      <c r="AD1090">
        <f>IF($Y1090="","",IF($Y1090=0,$Z1090*EXP($AA1090*3),$Z1090*(1+$Y1090*$AA1090*3)^(1/$Y1090)))</f>
        <v/>
      </c>
      <c r="AE1090">
        <f>IF($Y1090="","",IF($Y1090=0,$Z1090*EXP($AA1090*-2),$Z1090*(1+$Y1090*$AA1090*-2)^(1/$Y1090)))</f>
        <v/>
      </c>
      <c r="AF1090">
        <f>IF($Y1090="","",IF($Y1090=0,$Z1090*EXP($AA1090*-3),$Z1090*(1+$Y1090*$AA1090*-3)^(1/$Y1090)))</f>
        <v/>
      </c>
      <c r="AG1090">
        <f>IF($W1090="","",IFERROR(INDEX(IF($T1090&lt;=60,est05_l,est519_l),MATCH($W1090,IF($T1090&lt;=60,est05_k,est519_k),1)),""))</f>
        <v/>
      </c>
      <c r="AH1090">
        <f>IF($W1090="","",IFERROR(INDEX(IF($T1090&lt;=60,est05_m,est519_m),MATCH($W1090,IF($T1090&lt;=60,est05_k,est519_k),1)),""))</f>
        <v/>
      </c>
      <c r="AI1090">
        <f>IF($W1090="","",IFERROR(INDEX(IF($T1090&lt;=60,est05_s,est519_s),MATCH($W1090,IF($T1090&lt;=60,est05_k,est519_k),1)),""))</f>
        <v/>
      </c>
      <c r="AJ1090">
        <f>IF($W1090="","",IFERROR(INDEX(IF($T1090&lt;=60,peso05_l,peso510_l),MATCH($W1090,IF($T1090&lt;=60,peso05_k,peso510_k),1)),""))</f>
        <v/>
      </c>
      <c r="AK1090">
        <f>IF($W1090="","",IFERROR(INDEX(IF($T1090&lt;=60,peso05_m,peso510_m),MATCH($W1090,IF($T1090&lt;=60,peso05_k,peso510_k),1)),""))</f>
        <v/>
      </c>
      <c r="AL1090">
        <f>IF($W1090="","",IFERROR(INDEX(IF($T1090&lt;=60,peso05_s,peso510_s),MATCH($W1090,IF($T1090&lt;=60,peso05_k,peso510_k),1)),""))</f>
        <v/>
      </c>
      <c r="AM1090">
        <f>IF($AJ1090="","",IF($AJ1090=0,LN($F1090/$AK1090)/$AL1090,((($F1090/$AK1090)^$AJ1090)-1)/($AJ1090*$AL1090)))</f>
        <v/>
      </c>
      <c r="AN1090">
        <f>IF($AJ1090="","",IF($AJ1090=0,$AK1090*EXP($AL1090*2),$AK1090*(1+$AJ1090*$AL1090*2)^(1/$AJ1090)))</f>
        <v/>
      </c>
      <c r="AO1090">
        <f>IF($AJ1090="","",IF($AJ1090=0,$AK1090*EXP($AL1090*3),$AK1090*(1+$AJ1090*$AL1090*3)^(1/$AJ1090)))</f>
        <v/>
      </c>
      <c r="AP1090">
        <f>IF($AJ1090="","",IF($AJ1090=0,$AK1090*EXP($AL1090*-2),$AK1090*(1+$AJ1090*$AL1090*-2)^(1/$AJ1090)))</f>
        <v/>
      </c>
      <c r="AQ1090">
        <f>IF($AJ1090="","",IF($AJ1090=0,$AK1090*EXP($AL1090*-3),$AK1090*(1+$AJ1090*$AL1090*-3)^(1/$AJ1090)))</f>
        <v/>
      </c>
      <c r="AR1090">
        <f>IF(OR($X1090="",$T1090&gt;60),"",IFERROR(INDEX(IF($T1090&lt;24,pcomp_l,palt_l),MATCH($X1090,IF($T1090&lt;24,pcomp_k,palt_k),1)),""))</f>
        <v/>
      </c>
      <c r="AS1090">
        <f>IF(OR($X1090="",$T1090&gt;60),"",IFERROR(INDEX(IF($T1090&lt;24,pcomp_m,palt_m),MATCH($X1090,IF($T1090&lt;24,pcomp_k,palt_k),1)),""))</f>
        <v/>
      </c>
      <c r="AT1090">
        <f>IF(OR($X1090="",$T1090&gt;60),"",IFERROR(INDEX(IF($T1090&lt;24,pcomp_s,palt_s),MATCH($X1090,IF($T1090&lt;24,pcomp_k,palt_k),1)),""))</f>
        <v/>
      </c>
      <c r="AU1090">
        <f>IF($AR1090="","",IF($AR1090=0,LN($F1090/$AS1090)/$AT1090,((($F1090/$AS1090)^$AR1090)-1)/($AR1090*$AT1090)))</f>
        <v/>
      </c>
      <c r="AV1090">
        <f>IF($AR1090="","",IF($AR1090=0,$AS1090*EXP($AT1090*2),$AS1090*(1+$AR1090*$AT1090*2)^(1/$AR1090)))</f>
        <v/>
      </c>
      <c r="AW1090">
        <f>IF($AR1090="","",IF($AR1090=0,$AS1090*EXP($AT1090*3),$AS1090*(1+$AR1090*$AT1090*3)^(1/$AR1090)))</f>
        <v/>
      </c>
      <c r="AX1090">
        <f>IF($AR1090="","",IF($AR1090=0,$AS1090*EXP($AT1090*-2),$AS1090*(1+$AR1090*$AT1090*-2)^(1/$AR1090)))</f>
        <v/>
      </c>
      <c r="AY1090">
        <f>IF($AR1090="","",IF($AR1090=0,$AS1090*EXP($AT1090*-3),$AS1090*(1+$AR1090*$AT1090*-3)^(1/$AR1090)))</f>
        <v/>
      </c>
      <c r="AZ1090">
        <f>IF(OR($A1090="",$A1090&lt;&gt;Ficha!$C$4),"",COUNTIF($A$2:$A1090,Ficha!$C$4))</f>
        <v/>
      </c>
    </row>
    <row r="1091">
      <c r="A1091" s="8">
        <f>IF(INDEX(Banco!$A:$A,ROW())="","",INDEX(Banco!$A:$A,ROW()))</f>
        <v/>
      </c>
      <c r="B1091" s="8">
        <f>IF(INDEX(Banco!$B:$B,ROW())="","",INDEX(Banco!$B:$B,ROW()))</f>
        <v/>
      </c>
      <c r="C1091" s="8">
        <f>IF(INDEX(Banco!$C:$C,ROW())="","",INDEX(Banco!$C:$C,ROW()))</f>
        <v/>
      </c>
      <c r="D1091" s="9">
        <f>IF(INDEX(Banco!$D:$D,ROW())="","",INDEX(Banco!$D:$D,ROW()))</f>
        <v/>
      </c>
      <c r="E1091" s="9">
        <f>IF(INDEX(Banco!$E:$E,ROW())="","",INDEX(Banco!$E:$E,ROW()))</f>
        <v/>
      </c>
      <c r="F1091" s="10">
        <f>IF(INDEX(Banco!$F:$F,ROW())="","",INDEX(Banco!$F:$F,ROW()))</f>
        <v/>
      </c>
      <c r="G1091" s="10">
        <f>IF(INDEX(Banco!$G:$G,ROW())="","",INDEX(Banco!$G:$G,ROW()))</f>
        <v/>
      </c>
      <c r="H1091" s="8">
        <f>IF(INDEX(Banco!$H:$H,ROW())="","",INDEX(Banco!$H:$H,ROW()))</f>
        <v/>
      </c>
      <c r="I1091">
        <f>IF($T1091="","",INT($T1091/12)&amp;"a "&amp;MOD($T1091,12)&amp;"m")</f>
        <v/>
      </c>
      <c r="J1091" s="11">
        <f>IF(OR($F1091="",$G1091=""),"",ROUND($F1091/($G1091/100)^2,2))</f>
        <v/>
      </c>
      <c r="K1091" s="12">
        <f>IF(OR($S1091="",$J1091="",$T1091="",$T1091&lt;0,$T1091&gt;228,$Y1091=""),"—",ROUND(IF(ABS($AB1091)&lt;=3,$AB1091,IF($AB1091&gt;3,3+($J1091-$AD1091)/($AD1091-$AC1091),-3+($J1091-$AF1091)/($AE1091-$AF1091))),2))</f>
        <v/>
      </c>
      <c r="L1091">
        <f>IF(OR($K1091="",$K1091="—"),"",IF($T1091&lt;=60,IF($K1091&lt;-3,"Magreza acentuada",IF($K1091&lt;-2,"Magreza",IF($K1091&lt;=1,"Eutrofia",IF($K1091&lt;=2,"Risco de sobrepeso",IF($K1091&lt;=3,"Sobrepeso","Obesidade"))))),IF($K1091&lt;-3,"Magreza acentuada",IF($K1091&lt;-2,"Magreza",IF($K1091&lt;=1,"Eutrofia",IF($K1091&lt;=2,"Sobrepeso",IF($K1091&lt;=3,"Obesidade","Obesidade grave")))))))</f>
        <v/>
      </c>
      <c r="M1091" s="12">
        <f>IF(OR($S1091="",$V1091="",$T1091="",$T1091&lt;0,$T1091&gt;228,$AG1091=""),"—",ROUND(IF($AG1091=0,LN($V1091/$AH1091)/$AI1091,((($V1091/$AH1091)^$AG1091)-1)/($AG1091*$AI1091)),2))</f>
        <v/>
      </c>
      <c r="N1091">
        <f>IF(OR($M1091="",$M1091="—"),"",IF($M1091&lt;-3,"Muito baixa",IF($M1091&lt;-2,"Baixa","Adequada")))</f>
        <v/>
      </c>
      <c r="O1091" s="12">
        <f>IF(OR($S1091="",$F1091="",$T1091="",$T1091&lt;0,$T1091&gt;120,$AJ1091=""),"—",ROUND(IF(ABS($AM1091)&lt;=3,$AM1091,IF($AM1091&gt;3,3+($F1091-$AO1091)/($AO1091-$AN1091),-3+($F1091-$AQ1091)/($AP1091-$AQ1091))),2))</f>
        <v/>
      </c>
      <c r="P1091">
        <f>IF(OR($O1091="",$O1091="—"),"",IF($O1091&lt;-3,"Muito baixo",IF($O1091&lt;-2,"Baixo",IF($O1091&lt;=2,"Adequado","Elevado"))))</f>
        <v/>
      </c>
      <c r="Q1091" s="12">
        <f>IF(OR($S1091="",$F1091="",$T1091="",$T1091&lt;0,$T1091&gt;60,$AR1091=""),"—",ROUND(IF(ABS($AU1091)&lt;=3,$AU1091,IF($AU1091&gt;3,3+($F1091-$AW1091)/($AW1091-$AV1091),-3+($F1091-$AY1091)/($AX1091-$AY1091))),2))</f>
        <v/>
      </c>
      <c r="R1091">
        <f>IF(OR($Q1091="",$Q1091="—"),"",IF($Q1091&lt;-3,"Magreza acentuada",IF($Q1091&lt;-2,"Magreza",IF($Q1091&lt;=1,"Eutrofia",IF($Q1091&lt;=2,"Risco de sobrepeso",IF($Q1091&lt;=3,"Sobrepeso","Obesidade"))))))</f>
        <v/>
      </c>
      <c r="S1091">
        <f>IF($C1091="","",IF(UPPER(LEFT($C1091,1))="M",1,IF(UPPER(LEFT($C1091,1))="F",2,"")))</f>
        <v/>
      </c>
      <c r="T1091">
        <f>IF(OR($D1091="",$E1091=""),"",DATEDIF($D1091,$E1091,"m"))</f>
        <v/>
      </c>
      <c r="U1091">
        <f>IF(OR($D1091="",$E1091=""),"",$E1091-$D1091)</f>
        <v/>
      </c>
      <c r="V1091">
        <f>IF(OR($G1091="",$T1091=""),"",IF($T1091&lt;24,IF(LEFT(LOWER($H1091),4)="em p",$G1091+0.7,$G1091),IF(LEFT(LOWER($H1091),4)="deit",$G1091-0.7,$G1091)))</f>
        <v/>
      </c>
      <c r="W1091">
        <f>IF(OR($S1091="",$T1091=""),"",$S1091*1000000+IF($T1091&lt;=60,$U1091,$T1091))</f>
        <v/>
      </c>
      <c r="X1091">
        <f>IF(OR($S1091="",$V1091="",$T1091&gt;60,$T1091=""),"",$S1091*1000000+ROUND($V1091*10,0))</f>
        <v/>
      </c>
      <c r="Y1091">
        <f>IF($W1091="","",IFERROR(INDEX(IF($T1091&lt;=60,imc05_l,imc519_l),MATCH($W1091,IF($T1091&lt;=60,imc05_k,imc519_k),1)),""))</f>
        <v/>
      </c>
      <c r="Z1091">
        <f>IF($W1091="","",IFERROR(INDEX(IF($T1091&lt;=60,imc05_m,imc519_m),MATCH($W1091,IF($T1091&lt;=60,imc05_k,imc519_k),1)),""))</f>
        <v/>
      </c>
      <c r="AA1091">
        <f>IF($W1091="","",IFERROR(INDEX(IF($T1091&lt;=60,imc05_s,imc519_s),MATCH($W1091,IF($T1091&lt;=60,imc05_k,imc519_k),1)),""))</f>
        <v/>
      </c>
      <c r="AB1091">
        <f>IF($Y1091="","",IF($Y1091=0,LN($J1091/$Z1091)/$AA1091,((($J1091/$Z1091)^$Y1091)-1)/($Y1091*$AA1091)))</f>
        <v/>
      </c>
      <c r="AC1091">
        <f>IF($Y1091="","",IF($Y1091=0,$Z1091*EXP($AA1091*2),$Z1091*(1+$Y1091*$AA1091*2)^(1/$Y1091)))</f>
        <v/>
      </c>
      <c r="AD1091">
        <f>IF($Y1091="","",IF($Y1091=0,$Z1091*EXP($AA1091*3),$Z1091*(1+$Y1091*$AA1091*3)^(1/$Y1091)))</f>
        <v/>
      </c>
      <c r="AE1091">
        <f>IF($Y1091="","",IF($Y1091=0,$Z1091*EXP($AA1091*-2),$Z1091*(1+$Y1091*$AA1091*-2)^(1/$Y1091)))</f>
        <v/>
      </c>
      <c r="AF1091">
        <f>IF($Y1091="","",IF($Y1091=0,$Z1091*EXP($AA1091*-3),$Z1091*(1+$Y1091*$AA1091*-3)^(1/$Y1091)))</f>
        <v/>
      </c>
      <c r="AG1091">
        <f>IF($W1091="","",IFERROR(INDEX(IF($T1091&lt;=60,est05_l,est519_l),MATCH($W1091,IF($T1091&lt;=60,est05_k,est519_k),1)),""))</f>
        <v/>
      </c>
      <c r="AH1091">
        <f>IF($W1091="","",IFERROR(INDEX(IF($T1091&lt;=60,est05_m,est519_m),MATCH($W1091,IF($T1091&lt;=60,est05_k,est519_k),1)),""))</f>
        <v/>
      </c>
      <c r="AI1091">
        <f>IF($W1091="","",IFERROR(INDEX(IF($T1091&lt;=60,est05_s,est519_s),MATCH($W1091,IF($T1091&lt;=60,est05_k,est519_k),1)),""))</f>
        <v/>
      </c>
      <c r="AJ1091">
        <f>IF($W1091="","",IFERROR(INDEX(IF($T1091&lt;=60,peso05_l,peso510_l),MATCH($W1091,IF($T1091&lt;=60,peso05_k,peso510_k),1)),""))</f>
        <v/>
      </c>
      <c r="AK1091">
        <f>IF($W1091="","",IFERROR(INDEX(IF($T1091&lt;=60,peso05_m,peso510_m),MATCH($W1091,IF($T1091&lt;=60,peso05_k,peso510_k),1)),""))</f>
        <v/>
      </c>
      <c r="AL1091">
        <f>IF($W1091="","",IFERROR(INDEX(IF($T1091&lt;=60,peso05_s,peso510_s),MATCH($W1091,IF($T1091&lt;=60,peso05_k,peso510_k),1)),""))</f>
        <v/>
      </c>
      <c r="AM1091">
        <f>IF($AJ1091="","",IF($AJ1091=0,LN($F1091/$AK1091)/$AL1091,((($F1091/$AK1091)^$AJ1091)-1)/($AJ1091*$AL1091)))</f>
        <v/>
      </c>
      <c r="AN1091">
        <f>IF($AJ1091="","",IF($AJ1091=0,$AK1091*EXP($AL1091*2),$AK1091*(1+$AJ1091*$AL1091*2)^(1/$AJ1091)))</f>
        <v/>
      </c>
      <c r="AO1091">
        <f>IF($AJ1091="","",IF($AJ1091=0,$AK1091*EXP($AL1091*3),$AK1091*(1+$AJ1091*$AL1091*3)^(1/$AJ1091)))</f>
        <v/>
      </c>
      <c r="AP1091">
        <f>IF($AJ1091="","",IF($AJ1091=0,$AK1091*EXP($AL1091*-2),$AK1091*(1+$AJ1091*$AL1091*-2)^(1/$AJ1091)))</f>
        <v/>
      </c>
      <c r="AQ1091">
        <f>IF($AJ1091="","",IF($AJ1091=0,$AK1091*EXP($AL1091*-3),$AK1091*(1+$AJ1091*$AL1091*-3)^(1/$AJ1091)))</f>
        <v/>
      </c>
      <c r="AR1091">
        <f>IF(OR($X1091="",$T1091&gt;60),"",IFERROR(INDEX(IF($T1091&lt;24,pcomp_l,palt_l),MATCH($X1091,IF($T1091&lt;24,pcomp_k,palt_k),1)),""))</f>
        <v/>
      </c>
      <c r="AS1091">
        <f>IF(OR($X1091="",$T1091&gt;60),"",IFERROR(INDEX(IF($T1091&lt;24,pcomp_m,palt_m),MATCH($X1091,IF($T1091&lt;24,pcomp_k,palt_k),1)),""))</f>
        <v/>
      </c>
      <c r="AT1091">
        <f>IF(OR($X1091="",$T1091&gt;60),"",IFERROR(INDEX(IF($T1091&lt;24,pcomp_s,palt_s),MATCH($X1091,IF($T1091&lt;24,pcomp_k,palt_k),1)),""))</f>
        <v/>
      </c>
      <c r="AU1091">
        <f>IF($AR1091="","",IF($AR1091=0,LN($F1091/$AS1091)/$AT1091,((($F1091/$AS1091)^$AR1091)-1)/($AR1091*$AT1091)))</f>
        <v/>
      </c>
      <c r="AV1091">
        <f>IF($AR1091="","",IF($AR1091=0,$AS1091*EXP($AT1091*2),$AS1091*(1+$AR1091*$AT1091*2)^(1/$AR1091)))</f>
        <v/>
      </c>
      <c r="AW1091">
        <f>IF($AR1091="","",IF($AR1091=0,$AS1091*EXP($AT1091*3),$AS1091*(1+$AR1091*$AT1091*3)^(1/$AR1091)))</f>
        <v/>
      </c>
      <c r="AX1091">
        <f>IF($AR1091="","",IF($AR1091=0,$AS1091*EXP($AT1091*-2),$AS1091*(1+$AR1091*$AT1091*-2)^(1/$AR1091)))</f>
        <v/>
      </c>
      <c r="AY1091">
        <f>IF($AR1091="","",IF($AR1091=0,$AS1091*EXP($AT1091*-3),$AS1091*(1+$AR1091*$AT1091*-3)^(1/$AR1091)))</f>
        <v/>
      </c>
      <c r="AZ1091">
        <f>IF(OR($A1091="",$A1091&lt;&gt;Ficha!$C$4),"",COUNTIF($A$2:$A1091,Ficha!$C$4))</f>
        <v/>
      </c>
    </row>
    <row r="1092">
      <c r="A1092" s="8">
        <f>IF(INDEX(Banco!$A:$A,ROW())="","",INDEX(Banco!$A:$A,ROW()))</f>
        <v/>
      </c>
      <c r="B1092" s="8">
        <f>IF(INDEX(Banco!$B:$B,ROW())="","",INDEX(Banco!$B:$B,ROW()))</f>
        <v/>
      </c>
      <c r="C1092" s="8">
        <f>IF(INDEX(Banco!$C:$C,ROW())="","",INDEX(Banco!$C:$C,ROW()))</f>
        <v/>
      </c>
      <c r="D1092" s="9">
        <f>IF(INDEX(Banco!$D:$D,ROW())="","",INDEX(Banco!$D:$D,ROW()))</f>
        <v/>
      </c>
      <c r="E1092" s="9">
        <f>IF(INDEX(Banco!$E:$E,ROW())="","",INDEX(Banco!$E:$E,ROW()))</f>
        <v/>
      </c>
      <c r="F1092" s="10">
        <f>IF(INDEX(Banco!$F:$F,ROW())="","",INDEX(Banco!$F:$F,ROW()))</f>
        <v/>
      </c>
      <c r="G1092" s="10">
        <f>IF(INDEX(Banco!$G:$G,ROW())="","",INDEX(Banco!$G:$G,ROW()))</f>
        <v/>
      </c>
      <c r="H1092" s="8">
        <f>IF(INDEX(Banco!$H:$H,ROW())="","",INDEX(Banco!$H:$H,ROW()))</f>
        <v/>
      </c>
      <c r="I1092">
        <f>IF($T1092="","",INT($T1092/12)&amp;"a "&amp;MOD($T1092,12)&amp;"m")</f>
        <v/>
      </c>
      <c r="J1092" s="11">
        <f>IF(OR($F1092="",$G1092=""),"",ROUND($F1092/($G1092/100)^2,2))</f>
        <v/>
      </c>
      <c r="K1092" s="12">
        <f>IF(OR($S1092="",$J1092="",$T1092="",$T1092&lt;0,$T1092&gt;228,$Y1092=""),"—",ROUND(IF(ABS($AB1092)&lt;=3,$AB1092,IF($AB1092&gt;3,3+($J1092-$AD1092)/($AD1092-$AC1092),-3+($J1092-$AF1092)/($AE1092-$AF1092))),2))</f>
        <v/>
      </c>
      <c r="L1092">
        <f>IF(OR($K1092="",$K1092="—"),"",IF($T1092&lt;=60,IF($K1092&lt;-3,"Magreza acentuada",IF($K1092&lt;-2,"Magreza",IF($K1092&lt;=1,"Eutrofia",IF($K1092&lt;=2,"Risco de sobrepeso",IF($K1092&lt;=3,"Sobrepeso","Obesidade"))))),IF($K1092&lt;-3,"Magreza acentuada",IF($K1092&lt;-2,"Magreza",IF($K1092&lt;=1,"Eutrofia",IF($K1092&lt;=2,"Sobrepeso",IF($K1092&lt;=3,"Obesidade","Obesidade grave")))))))</f>
        <v/>
      </c>
      <c r="M1092" s="12">
        <f>IF(OR($S1092="",$V1092="",$T1092="",$T1092&lt;0,$T1092&gt;228,$AG1092=""),"—",ROUND(IF($AG1092=0,LN($V1092/$AH1092)/$AI1092,((($V1092/$AH1092)^$AG1092)-1)/($AG1092*$AI1092)),2))</f>
        <v/>
      </c>
      <c r="N1092">
        <f>IF(OR($M1092="",$M1092="—"),"",IF($M1092&lt;-3,"Muito baixa",IF($M1092&lt;-2,"Baixa","Adequada")))</f>
        <v/>
      </c>
      <c r="O1092" s="12">
        <f>IF(OR($S1092="",$F1092="",$T1092="",$T1092&lt;0,$T1092&gt;120,$AJ1092=""),"—",ROUND(IF(ABS($AM1092)&lt;=3,$AM1092,IF($AM1092&gt;3,3+($F1092-$AO1092)/($AO1092-$AN1092),-3+($F1092-$AQ1092)/($AP1092-$AQ1092))),2))</f>
        <v/>
      </c>
      <c r="P1092">
        <f>IF(OR($O1092="",$O1092="—"),"",IF($O1092&lt;-3,"Muito baixo",IF($O1092&lt;-2,"Baixo",IF($O1092&lt;=2,"Adequado","Elevado"))))</f>
        <v/>
      </c>
      <c r="Q1092" s="12">
        <f>IF(OR($S1092="",$F1092="",$T1092="",$T1092&lt;0,$T1092&gt;60,$AR1092=""),"—",ROUND(IF(ABS($AU1092)&lt;=3,$AU1092,IF($AU1092&gt;3,3+($F1092-$AW1092)/($AW1092-$AV1092),-3+($F1092-$AY1092)/($AX1092-$AY1092))),2))</f>
        <v/>
      </c>
      <c r="R1092">
        <f>IF(OR($Q1092="",$Q1092="—"),"",IF($Q1092&lt;-3,"Magreza acentuada",IF($Q1092&lt;-2,"Magreza",IF($Q1092&lt;=1,"Eutrofia",IF($Q1092&lt;=2,"Risco de sobrepeso",IF($Q1092&lt;=3,"Sobrepeso","Obesidade"))))))</f>
        <v/>
      </c>
      <c r="S1092">
        <f>IF($C1092="","",IF(UPPER(LEFT($C1092,1))="M",1,IF(UPPER(LEFT($C1092,1))="F",2,"")))</f>
        <v/>
      </c>
      <c r="T1092">
        <f>IF(OR($D1092="",$E1092=""),"",DATEDIF($D1092,$E1092,"m"))</f>
        <v/>
      </c>
      <c r="U1092">
        <f>IF(OR($D1092="",$E1092=""),"",$E1092-$D1092)</f>
        <v/>
      </c>
      <c r="V1092">
        <f>IF(OR($G1092="",$T1092=""),"",IF($T1092&lt;24,IF(LEFT(LOWER($H1092),4)="em p",$G1092+0.7,$G1092),IF(LEFT(LOWER($H1092),4)="deit",$G1092-0.7,$G1092)))</f>
        <v/>
      </c>
      <c r="W1092">
        <f>IF(OR($S1092="",$T1092=""),"",$S1092*1000000+IF($T1092&lt;=60,$U1092,$T1092))</f>
        <v/>
      </c>
      <c r="X1092">
        <f>IF(OR($S1092="",$V1092="",$T1092&gt;60,$T1092=""),"",$S1092*1000000+ROUND($V1092*10,0))</f>
        <v/>
      </c>
      <c r="Y1092">
        <f>IF($W1092="","",IFERROR(INDEX(IF($T1092&lt;=60,imc05_l,imc519_l),MATCH($W1092,IF($T1092&lt;=60,imc05_k,imc519_k),1)),""))</f>
        <v/>
      </c>
      <c r="Z1092">
        <f>IF($W1092="","",IFERROR(INDEX(IF($T1092&lt;=60,imc05_m,imc519_m),MATCH($W1092,IF($T1092&lt;=60,imc05_k,imc519_k),1)),""))</f>
        <v/>
      </c>
      <c r="AA1092">
        <f>IF($W1092="","",IFERROR(INDEX(IF($T1092&lt;=60,imc05_s,imc519_s),MATCH($W1092,IF($T1092&lt;=60,imc05_k,imc519_k),1)),""))</f>
        <v/>
      </c>
      <c r="AB1092">
        <f>IF($Y1092="","",IF($Y1092=0,LN($J1092/$Z1092)/$AA1092,((($J1092/$Z1092)^$Y1092)-1)/($Y1092*$AA1092)))</f>
        <v/>
      </c>
      <c r="AC1092">
        <f>IF($Y1092="","",IF($Y1092=0,$Z1092*EXP($AA1092*2),$Z1092*(1+$Y1092*$AA1092*2)^(1/$Y1092)))</f>
        <v/>
      </c>
      <c r="AD1092">
        <f>IF($Y1092="","",IF($Y1092=0,$Z1092*EXP($AA1092*3),$Z1092*(1+$Y1092*$AA1092*3)^(1/$Y1092)))</f>
        <v/>
      </c>
      <c r="AE1092">
        <f>IF($Y1092="","",IF($Y1092=0,$Z1092*EXP($AA1092*-2),$Z1092*(1+$Y1092*$AA1092*-2)^(1/$Y1092)))</f>
        <v/>
      </c>
      <c r="AF1092">
        <f>IF($Y1092="","",IF($Y1092=0,$Z1092*EXP($AA1092*-3),$Z1092*(1+$Y1092*$AA1092*-3)^(1/$Y1092)))</f>
        <v/>
      </c>
      <c r="AG1092">
        <f>IF($W1092="","",IFERROR(INDEX(IF($T1092&lt;=60,est05_l,est519_l),MATCH($W1092,IF($T1092&lt;=60,est05_k,est519_k),1)),""))</f>
        <v/>
      </c>
      <c r="AH1092">
        <f>IF($W1092="","",IFERROR(INDEX(IF($T1092&lt;=60,est05_m,est519_m),MATCH($W1092,IF($T1092&lt;=60,est05_k,est519_k),1)),""))</f>
        <v/>
      </c>
      <c r="AI1092">
        <f>IF($W1092="","",IFERROR(INDEX(IF($T1092&lt;=60,est05_s,est519_s),MATCH($W1092,IF($T1092&lt;=60,est05_k,est519_k),1)),""))</f>
        <v/>
      </c>
      <c r="AJ1092">
        <f>IF($W1092="","",IFERROR(INDEX(IF($T1092&lt;=60,peso05_l,peso510_l),MATCH($W1092,IF($T1092&lt;=60,peso05_k,peso510_k),1)),""))</f>
        <v/>
      </c>
      <c r="AK1092">
        <f>IF($W1092="","",IFERROR(INDEX(IF($T1092&lt;=60,peso05_m,peso510_m),MATCH($W1092,IF($T1092&lt;=60,peso05_k,peso510_k),1)),""))</f>
        <v/>
      </c>
      <c r="AL1092">
        <f>IF($W1092="","",IFERROR(INDEX(IF($T1092&lt;=60,peso05_s,peso510_s),MATCH($W1092,IF($T1092&lt;=60,peso05_k,peso510_k),1)),""))</f>
        <v/>
      </c>
      <c r="AM1092">
        <f>IF($AJ1092="","",IF($AJ1092=0,LN($F1092/$AK1092)/$AL1092,((($F1092/$AK1092)^$AJ1092)-1)/($AJ1092*$AL1092)))</f>
        <v/>
      </c>
      <c r="AN1092">
        <f>IF($AJ1092="","",IF($AJ1092=0,$AK1092*EXP($AL1092*2),$AK1092*(1+$AJ1092*$AL1092*2)^(1/$AJ1092)))</f>
        <v/>
      </c>
      <c r="AO1092">
        <f>IF($AJ1092="","",IF($AJ1092=0,$AK1092*EXP($AL1092*3),$AK1092*(1+$AJ1092*$AL1092*3)^(1/$AJ1092)))</f>
        <v/>
      </c>
      <c r="AP1092">
        <f>IF($AJ1092="","",IF($AJ1092=0,$AK1092*EXP($AL1092*-2),$AK1092*(1+$AJ1092*$AL1092*-2)^(1/$AJ1092)))</f>
        <v/>
      </c>
      <c r="AQ1092">
        <f>IF($AJ1092="","",IF($AJ1092=0,$AK1092*EXP($AL1092*-3),$AK1092*(1+$AJ1092*$AL1092*-3)^(1/$AJ1092)))</f>
        <v/>
      </c>
      <c r="AR1092">
        <f>IF(OR($X1092="",$T1092&gt;60),"",IFERROR(INDEX(IF($T1092&lt;24,pcomp_l,palt_l),MATCH($X1092,IF($T1092&lt;24,pcomp_k,palt_k),1)),""))</f>
        <v/>
      </c>
      <c r="AS1092">
        <f>IF(OR($X1092="",$T1092&gt;60),"",IFERROR(INDEX(IF($T1092&lt;24,pcomp_m,palt_m),MATCH($X1092,IF($T1092&lt;24,pcomp_k,palt_k),1)),""))</f>
        <v/>
      </c>
      <c r="AT1092">
        <f>IF(OR($X1092="",$T1092&gt;60),"",IFERROR(INDEX(IF($T1092&lt;24,pcomp_s,palt_s),MATCH($X1092,IF($T1092&lt;24,pcomp_k,palt_k),1)),""))</f>
        <v/>
      </c>
      <c r="AU1092">
        <f>IF($AR1092="","",IF($AR1092=0,LN($F1092/$AS1092)/$AT1092,((($F1092/$AS1092)^$AR1092)-1)/($AR1092*$AT1092)))</f>
        <v/>
      </c>
      <c r="AV1092">
        <f>IF($AR1092="","",IF($AR1092=0,$AS1092*EXP($AT1092*2),$AS1092*(1+$AR1092*$AT1092*2)^(1/$AR1092)))</f>
        <v/>
      </c>
      <c r="AW1092">
        <f>IF($AR1092="","",IF($AR1092=0,$AS1092*EXP($AT1092*3),$AS1092*(1+$AR1092*$AT1092*3)^(1/$AR1092)))</f>
        <v/>
      </c>
      <c r="AX1092">
        <f>IF($AR1092="","",IF($AR1092=0,$AS1092*EXP($AT1092*-2),$AS1092*(1+$AR1092*$AT1092*-2)^(1/$AR1092)))</f>
        <v/>
      </c>
      <c r="AY1092">
        <f>IF($AR1092="","",IF($AR1092=0,$AS1092*EXP($AT1092*-3),$AS1092*(1+$AR1092*$AT1092*-3)^(1/$AR1092)))</f>
        <v/>
      </c>
      <c r="AZ1092">
        <f>IF(OR($A1092="",$A1092&lt;&gt;Ficha!$C$4),"",COUNTIF($A$2:$A1092,Ficha!$C$4))</f>
        <v/>
      </c>
    </row>
    <row r="1093">
      <c r="A1093" s="8">
        <f>IF(INDEX(Banco!$A:$A,ROW())="","",INDEX(Banco!$A:$A,ROW()))</f>
        <v/>
      </c>
      <c r="B1093" s="8">
        <f>IF(INDEX(Banco!$B:$B,ROW())="","",INDEX(Banco!$B:$B,ROW()))</f>
        <v/>
      </c>
      <c r="C1093" s="8">
        <f>IF(INDEX(Banco!$C:$C,ROW())="","",INDEX(Banco!$C:$C,ROW()))</f>
        <v/>
      </c>
      <c r="D1093" s="9">
        <f>IF(INDEX(Banco!$D:$D,ROW())="","",INDEX(Banco!$D:$D,ROW()))</f>
        <v/>
      </c>
      <c r="E1093" s="9">
        <f>IF(INDEX(Banco!$E:$E,ROW())="","",INDEX(Banco!$E:$E,ROW()))</f>
        <v/>
      </c>
      <c r="F1093" s="10">
        <f>IF(INDEX(Banco!$F:$F,ROW())="","",INDEX(Banco!$F:$F,ROW()))</f>
        <v/>
      </c>
      <c r="G1093" s="10">
        <f>IF(INDEX(Banco!$G:$G,ROW())="","",INDEX(Banco!$G:$G,ROW()))</f>
        <v/>
      </c>
      <c r="H1093" s="8">
        <f>IF(INDEX(Banco!$H:$H,ROW())="","",INDEX(Banco!$H:$H,ROW()))</f>
        <v/>
      </c>
      <c r="I1093">
        <f>IF($T1093="","",INT($T1093/12)&amp;"a "&amp;MOD($T1093,12)&amp;"m")</f>
        <v/>
      </c>
      <c r="J1093" s="11">
        <f>IF(OR($F1093="",$G1093=""),"",ROUND($F1093/($G1093/100)^2,2))</f>
        <v/>
      </c>
      <c r="K1093" s="12">
        <f>IF(OR($S1093="",$J1093="",$T1093="",$T1093&lt;0,$T1093&gt;228,$Y1093=""),"—",ROUND(IF(ABS($AB1093)&lt;=3,$AB1093,IF($AB1093&gt;3,3+($J1093-$AD1093)/($AD1093-$AC1093),-3+($J1093-$AF1093)/($AE1093-$AF1093))),2))</f>
        <v/>
      </c>
      <c r="L1093">
        <f>IF(OR($K1093="",$K1093="—"),"",IF($T1093&lt;=60,IF($K1093&lt;-3,"Magreza acentuada",IF($K1093&lt;-2,"Magreza",IF($K1093&lt;=1,"Eutrofia",IF($K1093&lt;=2,"Risco de sobrepeso",IF($K1093&lt;=3,"Sobrepeso","Obesidade"))))),IF($K1093&lt;-3,"Magreza acentuada",IF($K1093&lt;-2,"Magreza",IF($K1093&lt;=1,"Eutrofia",IF($K1093&lt;=2,"Sobrepeso",IF($K1093&lt;=3,"Obesidade","Obesidade grave")))))))</f>
        <v/>
      </c>
      <c r="M1093" s="12">
        <f>IF(OR($S1093="",$V1093="",$T1093="",$T1093&lt;0,$T1093&gt;228,$AG1093=""),"—",ROUND(IF($AG1093=0,LN($V1093/$AH1093)/$AI1093,((($V1093/$AH1093)^$AG1093)-1)/($AG1093*$AI1093)),2))</f>
        <v/>
      </c>
      <c r="N1093">
        <f>IF(OR($M1093="",$M1093="—"),"",IF($M1093&lt;-3,"Muito baixa",IF($M1093&lt;-2,"Baixa","Adequada")))</f>
        <v/>
      </c>
      <c r="O1093" s="12">
        <f>IF(OR($S1093="",$F1093="",$T1093="",$T1093&lt;0,$T1093&gt;120,$AJ1093=""),"—",ROUND(IF(ABS($AM1093)&lt;=3,$AM1093,IF($AM1093&gt;3,3+($F1093-$AO1093)/($AO1093-$AN1093),-3+($F1093-$AQ1093)/($AP1093-$AQ1093))),2))</f>
        <v/>
      </c>
      <c r="P1093">
        <f>IF(OR($O1093="",$O1093="—"),"",IF($O1093&lt;-3,"Muito baixo",IF($O1093&lt;-2,"Baixo",IF($O1093&lt;=2,"Adequado","Elevado"))))</f>
        <v/>
      </c>
      <c r="Q1093" s="12">
        <f>IF(OR($S1093="",$F1093="",$T1093="",$T1093&lt;0,$T1093&gt;60,$AR1093=""),"—",ROUND(IF(ABS($AU1093)&lt;=3,$AU1093,IF($AU1093&gt;3,3+($F1093-$AW1093)/($AW1093-$AV1093),-3+($F1093-$AY1093)/($AX1093-$AY1093))),2))</f>
        <v/>
      </c>
      <c r="R1093">
        <f>IF(OR($Q1093="",$Q1093="—"),"",IF($Q1093&lt;-3,"Magreza acentuada",IF($Q1093&lt;-2,"Magreza",IF($Q1093&lt;=1,"Eutrofia",IF($Q1093&lt;=2,"Risco de sobrepeso",IF($Q1093&lt;=3,"Sobrepeso","Obesidade"))))))</f>
        <v/>
      </c>
      <c r="S1093">
        <f>IF($C1093="","",IF(UPPER(LEFT($C1093,1))="M",1,IF(UPPER(LEFT($C1093,1))="F",2,"")))</f>
        <v/>
      </c>
      <c r="T1093">
        <f>IF(OR($D1093="",$E1093=""),"",DATEDIF($D1093,$E1093,"m"))</f>
        <v/>
      </c>
      <c r="U1093">
        <f>IF(OR($D1093="",$E1093=""),"",$E1093-$D1093)</f>
        <v/>
      </c>
      <c r="V1093">
        <f>IF(OR($G1093="",$T1093=""),"",IF($T1093&lt;24,IF(LEFT(LOWER($H1093),4)="em p",$G1093+0.7,$G1093),IF(LEFT(LOWER($H1093),4)="deit",$G1093-0.7,$G1093)))</f>
        <v/>
      </c>
      <c r="W1093">
        <f>IF(OR($S1093="",$T1093=""),"",$S1093*1000000+IF($T1093&lt;=60,$U1093,$T1093))</f>
        <v/>
      </c>
      <c r="X1093">
        <f>IF(OR($S1093="",$V1093="",$T1093&gt;60,$T1093=""),"",$S1093*1000000+ROUND($V1093*10,0))</f>
        <v/>
      </c>
      <c r="Y1093">
        <f>IF($W1093="","",IFERROR(INDEX(IF($T1093&lt;=60,imc05_l,imc519_l),MATCH($W1093,IF($T1093&lt;=60,imc05_k,imc519_k),1)),""))</f>
        <v/>
      </c>
      <c r="Z1093">
        <f>IF($W1093="","",IFERROR(INDEX(IF($T1093&lt;=60,imc05_m,imc519_m),MATCH($W1093,IF($T1093&lt;=60,imc05_k,imc519_k),1)),""))</f>
        <v/>
      </c>
      <c r="AA1093">
        <f>IF($W1093="","",IFERROR(INDEX(IF($T1093&lt;=60,imc05_s,imc519_s),MATCH($W1093,IF($T1093&lt;=60,imc05_k,imc519_k),1)),""))</f>
        <v/>
      </c>
      <c r="AB1093">
        <f>IF($Y1093="","",IF($Y1093=0,LN($J1093/$Z1093)/$AA1093,((($J1093/$Z1093)^$Y1093)-1)/($Y1093*$AA1093)))</f>
        <v/>
      </c>
      <c r="AC1093">
        <f>IF($Y1093="","",IF($Y1093=0,$Z1093*EXP($AA1093*2),$Z1093*(1+$Y1093*$AA1093*2)^(1/$Y1093)))</f>
        <v/>
      </c>
      <c r="AD1093">
        <f>IF($Y1093="","",IF($Y1093=0,$Z1093*EXP($AA1093*3),$Z1093*(1+$Y1093*$AA1093*3)^(1/$Y1093)))</f>
        <v/>
      </c>
      <c r="AE1093">
        <f>IF($Y1093="","",IF($Y1093=0,$Z1093*EXP($AA1093*-2),$Z1093*(1+$Y1093*$AA1093*-2)^(1/$Y1093)))</f>
        <v/>
      </c>
      <c r="AF1093">
        <f>IF($Y1093="","",IF($Y1093=0,$Z1093*EXP($AA1093*-3),$Z1093*(1+$Y1093*$AA1093*-3)^(1/$Y1093)))</f>
        <v/>
      </c>
      <c r="AG1093">
        <f>IF($W1093="","",IFERROR(INDEX(IF($T1093&lt;=60,est05_l,est519_l),MATCH($W1093,IF($T1093&lt;=60,est05_k,est519_k),1)),""))</f>
        <v/>
      </c>
      <c r="AH1093">
        <f>IF($W1093="","",IFERROR(INDEX(IF($T1093&lt;=60,est05_m,est519_m),MATCH($W1093,IF($T1093&lt;=60,est05_k,est519_k),1)),""))</f>
        <v/>
      </c>
      <c r="AI1093">
        <f>IF($W1093="","",IFERROR(INDEX(IF($T1093&lt;=60,est05_s,est519_s),MATCH($W1093,IF($T1093&lt;=60,est05_k,est519_k),1)),""))</f>
        <v/>
      </c>
      <c r="AJ1093">
        <f>IF($W1093="","",IFERROR(INDEX(IF($T1093&lt;=60,peso05_l,peso510_l),MATCH($W1093,IF($T1093&lt;=60,peso05_k,peso510_k),1)),""))</f>
        <v/>
      </c>
      <c r="AK1093">
        <f>IF($W1093="","",IFERROR(INDEX(IF($T1093&lt;=60,peso05_m,peso510_m),MATCH($W1093,IF($T1093&lt;=60,peso05_k,peso510_k),1)),""))</f>
        <v/>
      </c>
      <c r="AL1093">
        <f>IF($W1093="","",IFERROR(INDEX(IF($T1093&lt;=60,peso05_s,peso510_s),MATCH($W1093,IF($T1093&lt;=60,peso05_k,peso510_k),1)),""))</f>
        <v/>
      </c>
      <c r="AM1093">
        <f>IF($AJ1093="","",IF($AJ1093=0,LN($F1093/$AK1093)/$AL1093,((($F1093/$AK1093)^$AJ1093)-1)/($AJ1093*$AL1093)))</f>
        <v/>
      </c>
      <c r="AN1093">
        <f>IF($AJ1093="","",IF($AJ1093=0,$AK1093*EXP($AL1093*2),$AK1093*(1+$AJ1093*$AL1093*2)^(1/$AJ1093)))</f>
        <v/>
      </c>
      <c r="AO1093">
        <f>IF($AJ1093="","",IF($AJ1093=0,$AK1093*EXP($AL1093*3),$AK1093*(1+$AJ1093*$AL1093*3)^(1/$AJ1093)))</f>
        <v/>
      </c>
      <c r="AP1093">
        <f>IF($AJ1093="","",IF($AJ1093=0,$AK1093*EXP($AL1093*-2),$AK1093*(1+$AJ1093*$AL1093*-2)^(1/$AJ1093)))</f>
        <v/>
      </c>
      <c r="AQ1093">
        <f>IF($AJ1093="","",IF($AJ1093=0,$AK1093*EXP($AL1093*-3),$AK1093*(1+$AJ1093*$AL1093*-3)^(1/$AJ1093)))</f>
        <v/>
      </c>
      <c r="AR1093">
        <f>IF(OR($X1093="",$T1093&gt;60),"",IFERROR(INDEX(IF($T1093&lt;24,pcomp_l,palt_l),MATCH($X1093,IF($T1093&lt;24,pcomp_k,palt_k),1)),""))</f>
        <v/>
      </c>
      <c r="AS1093">
        <f>IF(OR($X1093="",$T1093&gt;60),"",IFERROR(INDEX(IF($T1093&lt;24,pcomp_m,palt_m),MATCH($X1093,IF($T1093&lt;24,pcomp_k,palt_k),1)),""))</f>
        <v/>
      </c>
      <c r="AT1093">
        <f>IF(OR($X1093="",$T1093&gt;60),"",IFERROR(INDEX(IF($T1093&lt;24,pcomp_s,palt_s),MATCH($X1093,IF($T1093&lt;24,pcomp_k,palt_k),1)),""))</f>
        <v/>
      </c>
      <c r="AU1093">
        <f>IF($AR1093="","",IF($AR1093=0,LN($F1093/$AS1093)/$AT1093,((($F1093/$AS1093)^$AR1093)-1)/($AR1093*$AT1093)))</f>
        <v/>
      </c>
      <c r="AV1093">
        <f>IF($AR1093="","",IF($AR1093=0,$AS1093*EXP($AT1093*2),$AS1093*(1+$AR1093*$AT1093*2)^(1/$AR1093)))</f>
        <v/>
      </c>
      <c r="AW1093">
        <f>IF($AR1093="","",IF($AR1093=0,$AS1093*EXP($AT1093*3),$AS1093*(1+$AR1093*$AT1093*3)^(1/$AR1093)))</f>
        <v/>
      </c>
      <c r="AX1093">
        <f>IF($AR1093="","",IF($AR1093=0,$AS1093*EXP($AT1093*-2),$AS1093*(1+$AR1093*$AT1093*-2)^(1/$AR1093)))</f>
        <v/>
      </c>
      <c r="AY1093">
        <f>IF($AR1093="","",IF($AR1093=0,$AS1093*EXP($AT1093*-3),$AS1093*(1+$AR1093*$AT1093*-3)^(1/$AR1093)))</f>
        <v/>
      </c>
      <c r="AZ1093">
        <f>IF(OR($A1093="",$A1093&lt;&gt;Ficha!$C$4),"",COUNTIF($A$2:$A1093,Ficha!$C$4))</f>
        <v/>
      </c>
    </row>
    <row r="1094">
      <c r="A1094" s="8">
        <f>IF(INDEX(Banco!$A:$A,ROW())="","",INDEX(Banco!$A:$A,ROW()))</f>
        <v/>
      </c>
      <c r="B1094" s="8">
        <f>IF(INDEX(Banco!$B:$B,ROW())="","",INDEX(Banco!$B:$B,ROW()))</f>
        <v/>
      </c>
      <c r="C1094" s="8">
        <f>IF(INDEX(Banco!$C:$C,ROW())="","",INDEX(Banco!$C:$C,ROW()))</f>
        <v/>
      </c>
      <c r="D1094" s="9">
        <f>IF(INDEX(Banco!$D:$D,ROW())="","",INDEX(Banco!$D:$D,ROW()))</f>
        <v/>
      </c>
      <c r="E1094" s="9">
        <f>IF(INDEX(Banco!$E:$E,ROW())="","",INDEX(Banco!$E:$E,ROW()))</f>
        <v/>
      </c>
      <c r="F1094" s="10">
        <f>IF(INDEX(Banco!$F:$F,ROW())="","",INDEX(Banco!$F:$F,ROW()))</f>
        <v/>
      </c>
      <c r="G1094" s="10">
        <f>IF(INDEX(Banco!$G:$G,ROW())="","",INDEX(Banco!$G:$G,ROW()))</f>
        <v/>
      </c>
      <c r="H1094" s="8">
        <f>IF(INDEX(Banco!$H:$H,ROW())="","",INDEX(Banco!$H:$H,ROW()))</f>
        <v/>
      </c>
      <c r="I1094">
        <f>IF($T1094="","",INT($T1094/12)&amp;"a "&amp;MOD($T1094,12)&amp;"m")</f>
        <v/>
      </c>
      <c r="J1094" s="11">
        <f>IF(OR($F1094="",$G1094=""),"",ROUND($F1094/($G1094/100)^2,2))</f>
        <v/>
      </c>
      <c r="K1094" s="12">
        <f>IF(OR($S1094="",$J1094="",$T1094="",$T1094&lt;0,$T1094&gt;228,$Y1094=""),"—",ROUND(IF(ABS($AB1094)&lt;=3,$AB1094,IF($AB1094&gt;3,3+($J1094-$AD1094)/($AD1094-$AC1094),-3+($J1094-$AF1094)/($AE1094-$AF1094))),2))</f>
        <v/>
      </c>
      <c r="L1094">
        <f>IF(OR($K1094="",$K1094="—"),"",IF($T1094&lt;=60,IF($K1094&lt;-3,"Magreza acentuada",IF($K1094&lt;-2,"Magreza",IF($K1094&lt;=1,"Eutrofia",IF($K1094&lt;=2,"Risco de sobrepeso",IF($K1094&lt;=3,"Sobrepeso","Obesidade"))))),IF($K1094&lt;-3,"Magreza acentuada",IF($K1094&lt;-2,"Magreza",IF($K1094&lt;=1,"Eutrofia",IF($K1094&lt;=2,"Sobrepeso",IF($K1094&lt;=3,"Obesidade","Obesidade grave")))))))</f>
        <v/>
      </c>
      <c r="M1094" s="12">
        <f>IF(OR($S1094="",$V1094="",$T1094="",$T1094&lt;0,$T1094&gt;228,$AG1094=""),"—",ROUND(IF($AG1094=0,LN($V1094/$AH1094)/$AI1094,((($V1094/$AH1094)^$AG1094)-1)/($AG1094*$AI1094)),2))</f>
        <v/>
      </c>
      <c r="N1094">
        <f>IF(OR($M1094="",$M1094="—"),"",IF($M1094&lt;-3,"Muito baixa",IF($M1094&lt;-2,"Baixa","Adequada")))</f>
        <v/>
      </c>
      <c r="O1094" s="12">
        <f>IF(OR($S1094="",$F1094="",$T1094="",$T1094&lt;0,$T1094&gt;120,$AJ1094=""),"—",ROUND(IF(ABS($AM1094)&lt;=3,$AM1094,IF($AM1094&gt;3,3+($F1094-$AO1094)/($AO1094-$AN1094),-3+($F1094-$AQ1094)/($AP1094-$AQ1094))),2))</f>
        <v/>
      </c>
      <c r="P1094">
        <f>IF(OR($O1094="",$O1094="—"),"",IF($O1094&lt;-3,"Muito baixo",IF($O1094&lt;-2,"Baixo",IF($O1094&lt;=2,"Adequado","Elevado"))))</f>
        <v/>
      </c>
      <c r="Q1094" s="12">
        <f>IF(OR($S1094="",$F1094="",$T1094="",$T1094&lt;0,$T1094&gt;60,$AR1094=""),"—",ROUND(IF(ABS($AU1094)&lt;=3,$AU1094,IF($AU1094&gt;3,3+($F1094-$AW1094)/($AW1094-$AV1094),-3+($F1094-$AY1094)/($AX1094-$AY1094))),2))</f>
        <v/>
      </c>
      <c r="R1094">
        <f>IF(OR($Q1094="",$Q1094="—"),"",IF($Q1094&lt;-3,"Magreza acentuada",IF($Q1094&lt;-2,"Magreza",IF($Q1094&lt;=1,"Eutrofia",IF($Q1094&lt;=2,"Risco de sobrepeso",IF($Q1094&lt;=3,"Sobrepeso","Obesidade"))))))</f>
        <v/>
      </c>
      <c r="S1094">
        <f>IF($C1094="","",IF(UPPER(LEFT($C1094,1))="M",1,IF(UPPER(LEFT($C1094,1))="F",2,"")))</f>
        <v/>
      </c>
      <c r="T1094">
        <f>IF(OR($D1094="",$E1094=""),"",DATEDIF($D1094,$E1094,"m"))</f>
        <v/>
      </c>
      <c r="U1094">
        <f>IF(OR($D1094="",$E1094=""),"",$E1094-$D1094)</f>
        <v/>
      </c>
      <c r="V1094">
        <f>IF(OR($G1094="",$T1094=""),"",IF($T1094&lt;24,IF(LEFT(LOWER($H1094),4)="em p",$G1094+0.7,$G1094),IF(LEFT(LOWER($H1094),4)="deit",$G1094-0.7,$G1094)))</f>
        <v/>
      </c>
      <c r="W1094">
        <f>IF(OR($S1094="",$T1094=""),"",$S1094*1000000+IF($T1094&lt;=60,$U1094,$T1094))</f>
        <v/>
      </c>
      <c r="X1094">
        <f>IF(OR($S1094="",$V1094="",$T1094&gt;60,$T1094=""),"",$S1094*1000000+ROUND($V1094*10,0))</f>
        <v/>
      </c>
      <c r="Y1094">
        <f>IF($W1094="","",IFERROR(INDEX(IF($T1094&lt;=60,imc05_l,imc519_l),MATCH($W1094,IF($T1094&lt;=60,imc05_k,imc519_k),1)),""))</f>
        <v/>
      </c>
      <c r="Z1094">
        <f>IF($W1094="","",IFERROR(INDEX(IF($T1094&lt;=60,imc05_m,imc519_m),MATCH($W1094,IF($T1094&lt;=60,imc05_k,imc519_k),1)),""))</f>
        <v/>
      </c>
      <c r="AA1094">
        <f>IF($W1094="","",IFERROR(INDEX(IF($T1094&lt;=60,imc05_s,imc519_s),MATCH($W1094,IF($T1094&lt;=60,imc05_k,imc519_k),1)),""))</f>
        <v/>
      </c>
      <c r="AB1094">
        <f>IF($Y1094="","",IF($Y1094=0,LN($J1094/$Z1094)/$AA1094,((($J1094/$Z1094)^$Y1094)-1)/($Y1094*$AA1094)))</f>
        <v/>
      </c>
      <c r="AC1094">
        <f>IF($Y1094="","",IF($Y1094=0,$Z1094*EXP($AA1094*2),$Z1094*(1+$Y1094*$AA1094*2)^(1/$Y1094)))</f>
        <v/>
      </c>
      <c r="AD1094">
        <f>IF($Y1094="","",IF($Y1094=0,$Z1094*EXP($AA1094*3),$Z1094*(1+$Y1094*$AA1094*3)^(1/$Y1094)))</f>
        <v/>
      </c>
      <c r="AE1094">
        <f>IF($Y1094="","",IF($Y1094=0,$Z1094*EXP($AA1094*-2),$Z1094*(1+$Y1094*$AA1094*-2)^(1/$Y1094)))</f>
        <v/>
      </c>
      <c r="AF1094">
        <f>IF($Y1094="","",IF($Y1094=0,$Z1094*EXP($AA1094*-3),$Z1094*(1+$Y1094*$AA1094*-3)^(1/$Y1094)))</f>
        <v/>
      </c>
      <c r="AG1094">
        <f>IF($W1094="","",IFERROR(INDEX(IF($T1094&lt;=60,est05_l,est519_l),MATCH($W1094,IF($T1094&lt;=60,est05_k,est519_k),1)),""))</f>
        <v/>
      </c>
      <c r="AH1094">
        <f>IF($W1094="","",IFERROR(INDEX(IF($T1094&lt;=60,est05_m,est519_m),MATCH($W1094,IF($T1094&lt;=60,est05_k,est519_k),1)),""))</f>
        <v/>
      </c>
      <c r="AI1094">
        <f>IF($W1094="","",IFERROR(INDEX(IF($T1094&lt;=60,est05_s,est519_s),MATCH($W1094,IF($T1094&lt;=60,est05_k,est519_k),1)),""))</f>
        <v/>
      </c>
      <c r="AJ1094">
        <f>IF($W1094="","",IFERROR(INDEX(IF($T1094&lt;=60,peso05_l,peso510_l),MATCH($W1094,IF($T1094&lt;=60,peso05_k,peso510_k),1)),""))</f>
        <v/>
      </c>
      <c r="AK1094">
        <f>IF($W1094="","",IFERROR(INDEX(IF($T1094&lt;=60,peso05_m,peso510_m),MATCH($W1094,IF($T1094&lt;=60,peso05_k,peso510_k),1)),""))</f>
        <v/>
      </c>
      <c r="AL1094">
        <f>IF($W1094="","",IFERROR(INDEX(IF($T1094&lt;=60,peso05_s,peso510_s),MATCH($W1094,IF($T1094&lt;=60,peso05_k,peso510_k),1)),""))</f>
        <v/>
      </c>
      <c r="AM1094">
        <f>IF($AJ1094="","",IF($AJ1094=0,LN($F1094/$AK1094)/$AL1094,((($F1094/$AK1094)^$AJ1094)-1)/($AJ1094*$AL1094)))</f>
        <v/>
      </c>
      <c r="AN1094">
        <f>IF($AJ1094="","",IF($AJ1094=0,$AK1094*EXP($AL1094*2),$AK1094*(1+$AJ1094*$AL1094*2)^(1/$AJ1094)))</f>
        <v/>
      </c>
      <c r="AO1094">
        <f>IF($AJ1094="","",IF($AJ1094=0,$AK1094*EXP($AL1094*3),$AK1094*(1+$AJ1094*$AL1094*3)^(1/$AJ1094)))</f>
        <v/>
      </c>
      <c r="AP1094">
        <f>IF($AJ1094="","",IF($AJ1094=0,$AK1094*EXP($AL1094*-2),$AK1094*(1+$AJ1094*$AL1094*-2)^(1/$AJ1094)))</f>
        <v/>
      </c>
      <c r="AQ1094">
        <f>IF($AJ1094="","",IF($AJ1094=0,$AK1094*EXP($AL1094*-3),$AK1094*(1+$AJ1094*$AL1094*-3)^(1/$AJ1094)))</f>
        <v/>
      </c>
      <c r="AR1094">
        <f>IF(OR($X1094="",$T1094&gt;60),"",IFERROR(INDEX(IF($T1094&lt;24,pcomp_l,palt_l),MATCH($X1094,IF($T1094&lt;24,pcomp_k,palt_k),1)),""))</f>
        <v/>
      </c>
      <c r="AS1094">
        <f>IF(OR($X1094="",$T1094&gt;60),"",IFERROR(INDEX(IF($T1094&lt;24,pcomp_m,palt_m),MATCH($X1094,IF($T1094&lt;24,pcomp_k,palt_k),1)),""))</f>
        <v/>
      </c>
      <c r="AT1094">
        <f>IF(OR($X1094="",$T1094&gt;60),"",IFERROR(INDEX(IF($T1094&lt;24,pcomp_s,palt_s),MATCH($X1094,IF($T1094&lt;24,pcomp_k,palt_k),1)),""))</f>
        <v/>
      </c>
      <c r="AU1094">
        <f>IF($AR1094="","",IF($AR1094=0,LN($F1094/$AS1094)/$AT1094,((($F1094/$AS1094)^$AR1094)-1)/($AR1094*$AT1094)))</f>
        <v/>
      </c>
      <c r="AV1094">
        <f>IF($AR1094="","",IF($AR1094=0,$AS1094*EXP($AT1094*2),$AS1094*(1+$AR1094*$AT1094*2)^(1/$AR1094)))</f>
        <v/>
      </c>
      <c r="AW1094">
        <f>IF($AR1094="","",IF($AR1094=0,$AS1094*EXP($AT1094*3),$AS1094*(1+$AR1094*$AT1094*3)^(1/$AR1094)))</f>
        <v/>
      </c>
      <c r="AX1094">
        <f>IF($AR1094="","",IF($AR1094=0,$AS1094*EXP($AT1094*-2),$AS1094*(1+$AR1094*$AT1094*-2)^(1/$AR1094)))</f>
        <v/>
      </c>
      <c r="AY1094">
        <f>IF($AR1094="","",IF($AR1094=0,$AS1094*EXP($AT1094*-3),$AS1094*(1+$AR1094*$AT1094*-3)^(1/$AR1094)))</f>
        <v/>
      </c>
      <c r="AZ1094">
        <f>IF(OR($A1094="",$A1094&lt;&gt;Ficha!$C$4),"",COUNTIF($A$2:$A1094,Ficha!$C$4))</f>
        <v/>
      </c>
    </row>
    <row r="1095">
      <c r="A1095" s="8">
        <f>IF(INDEX(Banco!$A:$A,ROW())="","",INDEX(Banco!$A:$A,ROW()))</f>
        <v/>
      </c>
      <c r="B1095" s="8">
        <f>IF(INDEX(Banco!$B:$B,ROW())="","",INDEX(Banco!$B:$B,ROW()))</f>
        <v/>
      </c>
      <c r="C1095" s="8">
        <f>IF(INDEX(Banco!$C:$C,ROW())="","",INDEX(Banco!$C:$C,ROW()))</f>
        <v/>
      </c>
      <c r="D1095" s="9">
        <f>IF(INDEX(Banco!$D:$D,ROW())="","",INDEX(Banco!$D:$D,ROW()))</f>
        <v/>
      </c>
      <c r="E1095" s="9">
        <f>IF(INDEX(Banco!$E:$E,ROW())="","",INDEX(Banco!$E:$E,ROW()))</f>
        <v/>
      </c>
      <c r="F1095" s="10">
        <f>IF(INDEX(Banco!$F:$F,ROW())="","",INDEX(Banco!$F:$F,ROW()))</f>
        <v/>
      </c>
      <c r="G1095" s="10">
        <f>IF(INDEX(Banco!$G:$G,ROW())="","",INDEX(Banco!$G:$G,ROW()))</f>
        <v/>
      </c>
      <c r="H1095" s="8">
        <f>IF(INDEX(Banco!$H:$H,ROW())="","",INDEX(Banco!$H:$H,ROW()))</f>
        <v/>
      </c>
      <c r="I1095">
        <f>IF($T1095="","",INT($T1095/12)&amp;"a "&amp;MOD($T1095,12)&amp;"m")</f>
        <v/>
      </c>
      <c r="J1095" s="11">
        <f>IF(OR($F1095="",$G1095=""),"",ROUND($F1095/($G1095/100)^2,2))</f>
        <v/>
      </c>
      <c r="K1095" s="12">
        <f>IF(OR($S1095="",$J1095="",$T1095="",$T1095&lt;0,$T1095&gt;228,$Y1095=""),"—",ROUND(IF(ABS($AB1095)&lt;=3,$AB1095,IF($AB1095&gt;3,3+($J1095-$AD1095)/($AD1095-$AC1095),-3+($J1095-$AF1095)/($AE1095-$AF1095))),2))</f>
        <v/>
      </c>
      <c r="L1095">
        <f>IF(OR($K1095="",$K1095="—"),"",IF($T1095&lt;=60,IF($K1095&lt;-3,"Magreza acentuada",IF($K1095&lt;-2,"Magreza",IF($K1095&lt;=1,"Eutrofia",IF($K1095&lt;=2,"Risco de sobrepeso",IF($K1095&lt;=3,"Sobrepeso","Obesidade"))))),IF($K1095&lt;-3,"Magreza acentuada",IF($K1095&lt;-2,"Magreza",IF($K1095&lt;=1,"Eutrofia",IF($K1095&lt;=2,"Sobrepeso",IF($K1095&lt;=3,"Obesidade","Obesidade grave")))))))</f>
        <v/>
      </c>
      <c r="M1095" s="12">
        <f>IF(OR($S1095="",$V1095="",$T1095="",$T1095&lt;0,$T1095&gt;228,$AG1095=""),"—",ROUND(IF($AG1095=0,LN($V1095/$AH1095)/$AI1095,((($V1095/$AH1095)^$AG1095)-1)/($AG1095*$AI1095)),2))</f>
        <v/>
      </c>
      <c r="N1095">
        <f>IF(OR($M1095="",$M1095="—"),"",IF($M1095&lt;-3,"Muito baixa",IF($M1095&lt;-2,"Baixa","Adequada")))</f>
        <v/>
      </c>
      <c r="O1095" s="12">
        <f>IF(OR($S1095="",$F1095="",$T1095="",$T1095&lt;0,$T1095&gt;120,$AJ1095=""),"—",ROUND(IF(ABS($AM1095)&lt;=3,$AM1095,IF($AM1095&gt;3,3+($F1095-$AO1095)/($AO1095-$AN1095),-3+($F1095-$AQ1095)/($AP1095-$AQ1095))),2))</f>
        <v/>
      </c>
      <c r="P1095">
        <f>IF(OR($O1095="",$O1095="—"),"",IF($O1095&lt;-3,"Muito baixo",IF($O1095&lt;-2,"Baixo",IF($O1095&lt;=2,"Adequado","Elevado"))))</f>
        <v/>
      </c>
      <c r="Q1095" s="12">
        <f>IF(OR($S1095="",$F1095="",$T1095="",$T1095&lt;0,$T1095&gt;60,$AR1095=""),"—",ROUND(IF(ABS($AU1095)&lt;=3,$AU1095,IF($AU1095&gt;3,3+($F1095-$AW1095)/($AW1095-$AV1095),-3+($F1095-$AY1095)/($AX1095-$AY1095))),2))</f>
        <v/>
      </c>
      <c r="R1095">
        <f>IF(OR($Q1095="",$Q1095="—"),"",IF($Q1095&lt;-3,"Magreza acentuada",IF($Q1095&lt;-2,"Magreza",IF($Q1095&lt;=1,"Eutrofia",IF($Q1095&lt;=2,"Risco de sobrepeso",IF($Q1095&lt;=3,"Sobrepeso","Obesidade"))))))</f>
        <v/>
      </c>
      <c r="S1095">
        <f>IF($C1095="","",IF(UPPER(LEFT($C1095,1))="M",1,IF(UPPER(LEFT($C1095,1))="F",2,"")))</f>
        <v/>
      </c>
      <c r="T1095">
        <f>IF(OR($D1095="",$E1095=""),"",DATEDIF($D1095,$E1095,"m"))</f>
        <v/>
      </c>
      <c r="U1095">
        <f>IF(OR($D1095="",$E1095=""),"",$E1095-$D1095)</f>
        <v/>
      </c>
      <c r="V1095">
        <f>IF(OR($G1095="",$T1095=""),"",IF($T1095&lt;24,IF(LEFT(LOWER($H1095),4)="em p",$G1095+0.7,$G1095),IF(LEFT(LOWER($H1095),4)="deit",$G1095-0.7,$G1095)))</f>
        <v/>
      </c>
      <c r="W1095">
        <f>IF(OR($S1095="",$T1095=""),"",$S1095*1000000+IF($T1095&lt;=60,$U1095,$T1095))</f>
        <v/>
      </c>
      <c r="X1095">
        <f>IF(OR($S1095="",$V1095="",$T1095&gt;60,$T1095=""),"",$S1095*1000000+ROUND($V1095*10,0))</f>
        <v/>
      </c>
      <c r="Y1095">
        <f>IF($W1095="","",IFERROR(INDEX(IF($T1095&lt;=60,imc05_l,imc519_l),MATCH($W1095,IF($T1095&lt;=60,imc05_k,imc519_k),1)),""))</f>
        <v/>
      </c>
      <c r="Z1095">
        <f>IF($W1095="","",IFERROR(INDEX(IF($T1095&lt;=60,imc05_m,imc519_m),MATCH($W1095,IF($T1095&lt;=60,imc05_k,imc519_k),1)),""))</f>
        <v/>
      </c>
      <c r="AA1095">
        <f>IF($W1095="","",IFERROR(INDEX(IF($T1095&lt;=60,imc05_s,imc519_s),MATCH($W1095,IF($T1095&lt;=60,imc05_k,imc519_k),1)),""))</f>
        <v/>
      </c>
      <c r="AB1095">
        <f>IF($Y1095="","",IF($Y1095=0,LN($J1095/$Z1095)/$AA1095,((($J1095/$Z1095)^$Y1095)-1)/($Y1095*$AA1095)))</f>
        <v/>
      </c>
      <c r="AC1095">
        <f>IF($Y1095="","",IF($Y1095=0,$Z1095*EXP($AA1095*2),$Z1095*(1+$Y1095*$AA1095*2)^(1/$Y1095)))</f>
        <v/>
      </c>
      <c r="AD1095">
        <f>IF($Y1095="","",IF($Y1095=0,$Z1095*EXP($AA1095*3),$Z1095*(1+$Y1095*$AA1095*3)^(1/$Y1095)))</f>
        <v/>
      </c>
      <c r="AE1095">
        <f>IF($Y1095="","",IF($Y1095=0,$Z1095*EXP($AA1095*-2),$Z1095*(1+$Y1095*$AA1095*-2)^(1/$Y1095)))</f>
        <v/>
      </c>
      <c r="AF1095">
        <f>IF($Y1095="","",IF($Y1095=0,$Z1095*EXP($AA1095*-3),$Z1095*(1+$Y1095*$AA1095*-3)^(1/$Y1095)))</f>
        <v/>
      </c>
      <c r="AG1095">
        <f>IF($W1095="","",IFERROR(INDEX(IF($T1095&lt;=60,est05_l,est519_l),MATCH($W1095,IF($T1095&lt;=60,est05_k,est519_k),1)),""))</f>
        <v/>
      </c>
      <c r="AH1095">
        <f>IF($W1095="","",IFERROR(INDEX(IF($T1095&lt;=60,est05_m,est519_m),MATCH($W1095,IF($T1095&lt;=60,est05_k,est519_k),1)),""))</f>
        <v/>
      </c>
      <c r="AI1095">
        <f>IF($W1095="","",IFERROR(INDEX(IF($T1095&lt;=60,est05_s,est519_s),MATCH($W1095,IF($T1095&lt;=60,est05_k,est519_k),1)),""))</f>
        <v/>
      </c>
      <c r="AJ1095">
        <f>IF($W1095="","",IFERROR(INDEX(IF($T1095&lt;=60,peso05_l,peso510_l),MATCH($W1095,IF($T1095&lt;=60,peso05_k,peso510_k),1)),""))</f>
        <v/>
      </c>
      <c r="AK1095">
        <f>IF($W1095="","",IFERROR(INDEX(IF($T1095&lt;=60,peso05_m,peso510_m),MATCH($W1095,IF($T1095&lt;=60,peso05_k,peso510_k),1)),""))</f>
        <v/>
      </c>
      <c r="AL1095">
        <f>IF($W1095="","",IFERROR(INDEX(IF($T1095&lt;=60,peso05_s,peso510_s),MATCH($W1095,IF($T1095&lt;=60,peso05_k,peso510_k),1)),""))</f>
        <v/>
      </c>
      <c r="AM1095">
        <f>IF($AJ1095="","",IF($AJ1095=0,LN($F1095/$AK1095)/$AL1095,((($F1095/$AK1095)^$AJ1095)-1)/($AJ1095*$AL1095)))</f>
        <v/>
      </c>
      <c r="AN1095">
        <f>IF($AJ1095="","",IF($AJ1095=0,$AK1095*EXP($AL1095*2),$AK1095*(1+$AJ1095*$AL1095*2)^(1/$AJ1095)))</f>
        <v/>
      </c>
      <c r="AO1095">
        <f>IF($AJ1095="","",IF($AJ1095=0,$AK1095*EXP($AL1095*3),$AK1095*(1+$AJ1095*$AL1095*3)^(1/$AJ1095)))</f>
        <v/>
      </c>
      <c r="AP1095">
        <f>IF($AJ1095="","",IF($AJ1095=0,$AK1095*EXP($AL1095*-2),$AK1095*(1+$AJ1095*$AL1095*-2)^(1/$AJ1095)))</f>
        <v/>
      </c>
      <c r="AQ1095">
        <f>IF($AJ1095="","",IF($AJ1095=0,$AK1095*EXP($AL1095*-3),$AK1095*(1+$AJ1095*$AL1095*-3)^(1/$AJ1095)))</f>
        <v/>
      </c>
      <c r="AR1095">
        <f>IF(OR($X1095="",$T1095&gt;60),"",IFERROR(INDEX(IF($T1095&lt;24,pcomp_l,palt_l),MATCH($X1095,IF($T1095&lt;24,pcomp_k,palt_k),1)),""))</f>
        <v/>
      </c>
      <c r="AS1095">
        <f>IF(OR($X1095="",$T1095&gt;60),"",IFERROR(INDEX(IF($T1095&lt;24,pcomp_m,palt_m),MATCH($X1095,IF($T1095&lt;24,pcomp_k,palt_k),1)),""))</f>
        <v/>
      </c>
      <c r="AT1095">
        <f>IF(OR($X1095="",$T1095&gt;60),"",IFERROR(INDEX(IF($T1095&lt;24,pcomp_s,palt_s),MATCH($X1095,IF($T1095&lt;24,pcomp_k,palt_k),1)),""))</f>
        <v/>
      </c>
      <c r="AU1095">
        <f>IF($AR1095="","",IF($AR1095=0,LN($F1095/$AS1095)/$AT1095,((($F1095/$AS1095)^$AR1095)-1)/($AR1095*$AT1095)))</f>
        <v/>
      </c>
      <c r="AV1095">
        <f>IF($AR1095="","",IF($AR1095=0,$AS1095*EXP($AT1095*2),$AS1095*(1+$AR1095*$AT1095*2)^(1/$AR1095)))</f>
        <v/>
      </c>
      <c r="AW1095">
        <f>IF($AR1095="","",IF($AR1095=0,$AS1095*EXP($AT1095*3),$AS1095*(1+$AR1095*$AT1095*3)^(1/$AR1095)))</f>
        <v/>
      </c>
      <c r="AX1095">
        <f>IF($AR1095="","",IF($AR1095=0,$AS1095*EXP($AT1095*-2),$AS1095*(1+$AR1095*$AT1095*-2)^(1/$AR1095)))</f>
        <v/>
      </c>
      <c r="AY1095">
        <f>IF($AR1095="","",IF($AR1095=0,$AS1095*EXP($AT1095*-3),$AS1095*(1+$AR1095*$AT1095*-3)^(1/$AR1095)))</f>
        <v/>
      </c>
      <c r="AZ1095">
        <f>IF(OR($A1095="",$A1095&lt;&gt;Ficha!$C$4),"",COUNTIF($A$2:$A1095,Ficha!$C$4))</f>
        <v/>
      </c>
    </row>
    <row r="1096">
      <c r="A1096" s="8">
        <f>IF(INDEX(Banco!$A:$A,ROW())="","",INDEX(Banco!$A:$A,ROW()))</f>
        <v/>
      </c>
      <c r="B1096" s="8">
        <f>IF(INDEX(Banco!$B:$B,ROW())="","",INDEX(Banco!$B:$B,ROW()))</f>
        <v/>
      </c>
      <c r="C1096" s="8">
        <f>IF(INDEX(Banco!$C:$C,ROW())="","",INDEX(Banco!$C:$C,ROW()))</f>
        <v/>
      </c>
      <c r="D1096" s="9">
        <f>IF(INDEX(Banco!$D:$D,ROW())="","",INDEX(Banco!$D:$D,ROW()))</f>
        <v/>
      </c>
      <c r="E1096" s="9">
        <f>IF(INDEX(Banco!$E:$E,ROW())="","",INDEX(Banco!$E:$E,ROW()))</f>
        <v/>
      </c>
      <c r="F1096" s="10">
        <f>IF(INDEX(Banco!$F:$F,ROW())="","",INDEX(Banco!$F:$F,ROW()))</f>
        <v/>
      </c>
      <c r="G1096" s="10">
        <f>IF(INDEX(Banco!$G:$G,ROW())="","",INDEX(Banco!$G:$G,ROW()))</f>
        <v/>
      </c>
      <c r="H1096" s="8">
        <f>IF(INDEX(Banco!$H:$H,ROW())="","",INDEX(Banco!$H:$H,ROW()))</f>
        <v/>
      </c>
      <c r="I1096">
        <f>IF($T1096="","",INT($T1096/12)&amp;"a "&amp;MOD($T1096,12)&amp;"m")</f>
        <v/>
      </c>
      <c r="J1096" s="11">
        <f>IF(OR($F1096="",$G1096=""),"",ROUND($F1096/($G1096/100)^2,2))</f>
        <v/>
      </c>
      <c r="K1096" s="12">
        <f>IF(OR($S1096="",$J1096="",$T1096="",$T1096&lt;0,$T1096&gt;228,$Y1096=""),"—",ROUND(IF(ABS($AB1096)&lt;=3,$AB1096,IF($AB1096&gt;3,3+($J1096-$AD1096)/($AD1096-$AC1096),-3+($J1096-$AF1096)/($AE1096-$AF1096))),2))</f>
        <v/>
      </c>
      <c r="L1096">
        <f>IF(OR($K1096="",$K1096="—"),"",IF($T1096&lt;=60,IF($K1096&lt;-3,"Magreza acentuada",IF($K1096&lt;-2,"Magreza",IF($K1096&lt;=1,"Eutrofia",IF($K1096&lt;=2,"Risco de sobrepeso",IF($K1096&lt;=3,"Sobrepeso","Obesidade"))))),IF($K1096&lt;-3,"Magreza acentuada",IF($K1096&lt;-2,"Magreza",IF($K1096&lt;=1,"Eutrofia",IF($K1096&lt;=2,"Sobrepeso",IF($K1096&lt;=3,"Obesidade","Obesidade grave")))))))</f>
        <v/>
      </c>
      <c r="M1096" s="12">
        <f>IF(OR($S1096="",$V1096="",$T1096="",$T1096&lt;0,$T1096&gt;228,$AG1096=""),"—",ROUND(IF($AG1096=0,LN($V1096/$AH1096)/$AI1096,((($V1096/$AH1096)^$AG1096)-1)/($AG1096*$AI1096)),2))</f>
        <v/>
      </c>
      <c r="N1096">
        <f>IF(OR($M1096="",$M1096="—"),"",IF($M1096&lt;-3,"Muito baixa",IF($M1096&lt;-2,"Baixa","Adequada")))</f>
        <v/>
      </c>
      <c r="O1096" s="12">
        <f>IF(OR($S1096="",$F1096="",$T1096="",$T1096&lt;0,$T1096&gt;120,$AJ1096=""),"—",ROUND(IF(ABS($AM1096)&lt;=3,$AM1096,IF($AM1096&gt;3,3+($F1096-$AO1096)/($AO1096-$AN1096),-3+($F1096-$AQ1096)/($AP1096-$AQ1096))),2))</f>
        <v/>
      </c>
      <c r="P1096">
        <f>IF(OR($O1096="",$O1096="—"),"",IF($O1096&lt;-3,"Muito baixo",IF($O1096&lt;-2,"Baixo",IF($O1096&lt;=2,"Adequado","Elevado"))))</f>
        <v/>
      </c>
      <c r="Q1096" s="12">
        <f>IF(OR($S1096="",$F1096="",$T1096="",$T1096&lt;0,$T1096&gt;60,$AR1096=""),"—",ROUND(IF(ABS($AU1096)&lt;=3,$AU1096,IF($AU1096&gt;3,3+($F1096-$AW1096)/($AW1096-$AV1096),-3+($F1096-$AY1096)/($AX1096-$AY1096))),2))</f>
        <v/>
      </c>
      <c r="R1096">
        <f>IF(OR($Q1096="",$Q1096="—"),"",IF($Q1096&lt;-3,"Magreza acentuada",IF($Q1096&lt;-2,"Magreza",IF($Q1096&lt;=1,"Eutrofia",IF($Q1096&lt;=2,"Risco de sobrepeso",IF($Q1096&lt;=3,"Sobrepeso","Obesidade"))))))</f>
        <v/>
      </c>
      <c r="S1096">
        <f>IF($C1096="","",IF(UPPER(LEFT($C1096,1))="M",1,IF(UPPER(LEFT($C1096,1))="F",2,"")))</f>
        <v/>
      </c>
      <c r="T1096">
        <f>IF(OR($D1096="",$E1096=""),"",DATEDIF($D1096,$E1096,"m"))</f>
        <v/>
      </c>
      <c r="U1096">
        <f>IF(OR($D1096="",$E1096=""),"",$E1096-$D1096)</f>
        <v/>
      </c>
      <c r="V1096">
        <f>IF(OR($G1096="",$T1096=""),"",IF($T1096&lt;24,IF(LEFT(LOWER($H1096),4)="em p",$G1096+0.7,$G1096),IF(LEFT(LOWER($H1096),4)="deit",$G1096-0.7,$G1096)))</f>
        <v/>
      </c>
      <c r="W1096">
        <f>IF(OR($S1096="",$T1096=""),"",$S1096*1000000+IF($T1096&lt;=60,$U1096,$T1096))</f>
        <v/>
      </c>
      <c r="X1096">
        <f>IF(OR($S1096="",$V1096="",$T1096&gt;60,$T1096=""),"",$S1096*1000000+ROUND($V1096*10,0))</f>
        <v/>
      </c>
      <c r="Y1096">
        <f>IF($W1096="","",IFERROR(INDEX(IF($T1096&lt;=60,imc05_l,imc519_l),MATCH($W1096,IF($T1096&lt;=60,imc05_k,imc519_k),1)),""))</f>
        <v/>
      </c>
      <c r="Z1096">
        <f>IF($W1096="","",IFERROR(INDEX(IF($T1096&lt;=60,imc05_m,imc519_m),MATCH($W1096,IF($T1096&lt;=60,imc05_k,imc519_k),1)),""))</f>
        <v/>
      </c>
      <c r="AA1096">
        <f>IF($W1096="","",IFERROR(INDEX(IF($T1096&lt;=60,imc05_s,imc519_s),MATCH($W1096,IF($T1096&lt;=60,imc05_k,imc519_k),1)),""))</f>
        <v/>
      </c>
      <c r="AB1096">
        <f>IF($Y1096="","",IF($Y1096=0,LN($J1096/$Z1096)/$AA1096,((($J1096/$Z1096)^$Y1096)-1)/($Y1096*$AA1096)))</f>
        <v/>
      </c>
      <c r="AC1096">
        <f>IF($Y1096="","",IF($Y1096=0,$Z1096*EXP($AA1096*2),$Z1096*(1+$Y1096*$AA1096*2)^(1/$Y1096)))</f>
        <v/>
      </c>
      <c r="AD1096">
        <f>IF($Y1096="","",IF($Y1096=0,$Z1096*EXP($AA1096*3),$Z1096*(1+$Y1096*$AA1096*3)^(1/$Y1096)))</f>
        <v/>
      </c>
      <c r="AE1096">
        <f>IF($Y1096="","",IF($Y1096=0,$Z1096*EXP($AA1096*-2),$Z1096*(1+$Y1096*$AA1096*-2)^(1/$Y1096)))</f>
        <v/>
      </c>
      <c r="AF1096">
        <f>IF($Y1096="","",IF($Y1096=0,$Z1096*EXP($AA1096*-3),$Z1096*(1+$Y1096*$AA1096*-3)^(1/$Y1096)))</f>
        <v/>
      </c>
      <c r="AG1096">
        <f>IF($W1096="","",IFERROR(INDEX(IF($T1096&lt;=60,est05_l,est519_l),MATCH($W1096,IF($T1096&lt;=60,est05_k,est519_k),1)),""))</f>
        <v/>
      </c>
      <c r="AH1096">
        <f>IF($W1096="","",IFERROR(INDEX(IF($T1096&lt;=60,est05_m,est519_m),MATCH($W1096,IF($T1096&lt;=60,est05_k,est519_k),1)),""))</f>
        <v/>
      </c>
      <c r="AI1096">
        <f>IF($W1096="","",IFERROR(INDEX(IF($T1096&lt;=60,est05_s,est519_s),MATCH($W1096,IF($T1096&lt;=60,est05_k,est519_k),1)),""))</f>
        <v/>
      </c>
      <c r="AJ1096">
        <f>IF($W1096="","",IFERROR(INDEX(IF($T1096&lt;=60,peso05_l,peso510_l),MATCH($W1096,IF($T1096&lt;=60,peso05_k,peso510_k),1)),""))</f>
        <v/>
      </c>
      <c r="AK1096">
        <f>IF($W1096="","",IFERROR(INDEX(IF($T1096&lt;=60,peso05_m,peso510_m),MATCH($W1096,IF($T1096&lt;=60,peso05_k,peso510_k),1)),""))</f>
        <v/>
      </c>
      <c r="AL1096">
        <f>IF($W1096="","",IFERROR(INDEX(IF($T1096&lt;=60,peso05_s,peso510_s),MATCH($W1096,IF($T1096&lt;=60,peso05_k,peso510_k),1)),""))</f>
        <v/>
      </c>
      <c r="AM1096">
        <f>IF($AJ1096="","",IF($AJ1096=0,LN($F1096/$AK1096)/$AL1096,((($F1096/$AK1096)^$AJ1096)-1)/($AJ1096*$AL1096)))</f>
        <v/>
      </c>
      <c r="AN1096">
        <f>IF($AJ1096="","",IF($AJ1096=0,$AK1096*EXP($AL1096*2),$AK1096*(1+$AJ1096*$AL1096*2)^(1/$AJ1096)))</f>
        <v/>
      </c>
      <c r="AO1096">
        <f>IF($AJ1096="","",IF($AJ1096=0,$AK1096*EXP($AL1096*3),$AK1096*(1+$AJ1096*$AL1096*3)^(1/$AJ1096)))</f>
        <v/>
      </c>
      <c r="AP1096">
        <f>IF($AJ1096="","",IF($AJ1096=0,$AK1096*EXP($AL1096*-2),$AK1096*(1+$AJ1096*$AL1096*-2)^(1/$AJ1096)))</f>
        <v/>
      </c>
      <c r="AQ1096">
        <f>IF($AJ1096="","",IF($AJ1096=0,$AK1096*EXP($AL1096*-3),$AK1096*(1+$AJ1096*$AL1096*-3)^(1/$AJ1096)))</f>
        <v/>
      </c>
      <c r="AR1096">
        <f>IF(OR($X1096="",$T1096&gt;60),"",IFERROR(INDEX(IF($T1096&lt;24,pcomp_l,palt_l),MATCH($X1096,IF($T1096&lt;24,pcomp_k,palt_k),1)),""))</f>
        <v/>
      </c>
      <c r="AS1096">
        <f>IF(OR($X1096="",$T1096&gt;60),"",IFERROR(INDEX(IF($T1096&lt;24,pcomp_m,palt_m),MATCH($X1096,IF($T1096&lt;24,pcomp_k,palt_k),1)),""))</f>
        <v/>
      </c>
      <c r="AT1096">
        <f>IF(OR($X1096="",$T1096&gt;60),"",IFERROR(INDEX(IF($T1096&lt;24,pcomp_s,palt_s),MATCH($X1096,IF($T1096&lt;24,pcomp_k,palt_k),1)),""))</f>
        <v/>
      </c>
      <c r="AU1096">
        <f>IF($AR1096="","",IF($AR1096=0,LN($F1096/$AS1096)/$AT1096,((($F1096/$AS1096)^$AR1096)-1)/($AR1096*$AT1096)))</f>
        <v/>
      </c>
      <c r="AV1096">
        <f>IF($AR1096="","",IF($AR1096=0,$AS1096*EXP($AT1096*2),$AS1096*(1+$AR1096*$AT1096*2)^(1/$AR1096)))</f>
        <v/>
      </c>
      <c r="AW1096">
        <f>IF($AR1096="","",IF($AR1096=0,$AS1096*EXP($AT1096*3),$AS1096*(1+$AR1096*$AT1096*3)^(1/$AR1096)))</f>
        <v/>
      </c>
      <c r="AX1096">
        <f>IF($AR1096="","",IF($AR1096=0,$AS1096*EXP($AT1096*-2),$AS1096*(1+$AR1096*$AT1096*-2)^(1/$AR1096)))</f>
        <v/>
      </c>
      <c r="AY1096">
        <f>IF($AR1096="","",IF($AR1096=0,$AS1096*EXP($AT1096*-3),$AS1096*(1+$AR1096*$AT1096*-3)^(1/$AR1096)))</f>
        <v/>
      </c>
      <c r="AZ1096">
        <f>IF(OR($A1096="",$A1096&lt;&gt;Ficha!$C$4),"",COUNTIF($A$2:$A1096,Ficha!$C$4))</f>
        <v/>
      </c>
    </row>
    <row r="1097">
      <c r="A1097" s="8">
        <f>IF(INDEX(Banco!$A:$A,ROW())="","",INDEX(Banco!$A:$A,ROW()))</f>
        <v/>
      </c>
      <c r="B1097" s="8">
        <f>IF(INDEX(Banco!$B:$B,ROW())="","",INDEX(Banco!$B:$B,ROW()))</f>
        <v/>
      </c>
      <c r="C1097" s="8">
        <f>IF(INDEX(Banco!$C:$C,ROW())="","",INDEX(Banco!$C:$C,ROW()))</f>
        <v/>
      </c>
      <c r="D1097" s="9">
        <f>IF(INDEX(Banco!$D:$D,ROW())="","",INDEX(Banco!$D:$D,ROW()))</f>
        <v/>
      </c>
      <c r="E1097" s="9">
        <f>IF(INDEX(Banco!$E:$E,ROW())="","",INDEX(Banco!$E:$E,ROW()))</f>
        <v/>
      </c>
      <c r="F1097" s="10">
        <f>IF(INDEX(Banco!$F:$F,ROW())="","",INDEX(Banco!$F:$F,ROW()))</f>
        <v/>
      </c>
      <c r="G1097" s="10">
        <f>IF(INDEX(Banco!$G:$G,ROW())="","",INDEX(Banco!$G:$G,ROW()))</f>
        <v/>
      </c>
      <c r="H1097" s="8">
        <f>IF(INDEX(Banco!$H:$H,ROW())="","",INDEX(Banco!$H:$H,ROW()))</f>
        <v/>
      </c>
      <c r="I1097">
        <f>IF($T1097="","",INT($T1097/12)&amp;"a "&amp;MOD($T1097,12)&amp;"m")</f>
        <v/>
      </c>
      <c r="J1097" s="11">
        <f>IF(OR($F1097="",$G1097=""),"",ROUND($F1097/($G1097/100)^2,2))</f>
        <v/>
      </c>
      <c r="K1097" s="12">
        <f>IF(OR($S1097="",$J1097="",$T1097="",$T1097&lt;0,$T1097&gt;228,$Y1097=""),"—",ROUND(IF(ABS($AB1097)&lt;=3,$AB1097,IF($AB1097&gt;3,3+($J1097-$AD1097)/($AD1097-$AC1097),-3+($J1097-$AF1097)/($AE1097-$AF1097))),2))</f>
        <v/>
      </c>
      <c r="L1097">
        <f>IF(OR($K1097="",$K1097="—"),"",IF($T1097&lt;=60,IF($K1097&lt;-3,"Magreza acentuada",IF($K1097&lt;-2,"Magreza",IF($K1097&lt;=1,"Eutrofia",IF($K1097&lt;=2,"Risco de sobrepeso",IF($K1097&lt;=3,"Sobrepeso","Obesidade"))))),IF($K1097&lt;-3,"Magreza acentuada",IF($K1097&lt;-2,"Magreza",IF($K1097&lt;=1,"Eutrofia",IF($K1097&lt;=2,"Sobrepeso",IF($K1097&lt;=3,"Obesidade","Obesidade grave")))))))</f>
        <v/>
      </c>
      <c r="M1097" s="12">
        <f>IF(OR($S1097="",$V1097="",$T1097="",$T1097&lt;0,$T1097&gt;228,$AG1097=""),"—",ROUND(IF($AG1097=0,LN($V1097/$AH1097)/$AI1097,((($V1097/$AH1097)^$AG1097)-1)/($AG1097*$AI1097)),2))</f>
        <v/>
      </c>
      <c r="N1097">
        <f>IF(OR($M1097="",$M1097="—"),"",IF($M1097&lt;-3,"Muito baixa",IF($M1097&lt;-2,"Baixa","Adequada")))</f>
        <v/>
      </c>
      <c r="O1097" s="12">
        <f>IF(OR($S1097="",$F1097="",$T1097="",$T1097&lt;0,$T1097&gt;120,$AJ1097=""),"—",ROUND(IF(ABS($AM1097)&lt;=3,$AM1097,IF($AM1097&gt;3,3+($F1097-$AO1097)/($AO1097-$AN1097),-3+($F1097-$AQ1097)/($AP1097-$AQ1097))),2))</f>
        <v/>
      </c>
      <c r="P1097">
        <f>IF(OR($O1097="",$O1097="—"),"",IF($O1097&lt;-3,"Muito baixo",IF($O1097&lt;-2,"Baixo",IF($O1097&lt;=2,"Adequado","Elevado"))))</f>
        <v/>
      </c>
      <c r="Q1097" s="12">
        <f>IF(OR($S1097="",$F1097="",$T1097="",$T1097&lt;0,$T1097&gt;60,$AR1097=""),"—",ROUND(IF(ABS($AU1097)&lt;=3,$AU1097,IF($AU1097&gt;3,3+($F1097-$AW1097)/($AW1097-$AV1097),-3+($F1097-$AY1097)/($AX1097-$AY1097))),2))</f>
        <v/>
      </c>
      <c r="R1097">
        <f>IF(OR($Q1097="",$Q1097="—"),"",IF($Q1097&lt;-3,"Magreza acentuada",IF($Q1097&lt;-2,"Magreza",IF($Q1097&lt;=1,"Eutrofia",IF($Q1097&lt;=2,"Risco de sobrepeso",IF($Q1097&lt;=3,"Sobrepeso","Obesidade"))))))</f>
        <v/>
      </c>
      <c r="S1097">
        <f>IF($C1097="","",IF(UPPER(LEFT($C1097,1))="M",1,IF(UPPER(LEFT($C1097,1))="F",2,"")))</f>
        <v/>
      </c>
      <c r="T1097">
        <f>IF(OR($D1097="",$E1097=""),"",DATEDIF($D1097,$E1097,"m"))</f>
        <v/>
      </c>
      <c r="U1097">
        <f>IF(OR($D1097="",$E1097=""),"",$E1097-$D1097)</f>
        <v/>
      </c>
      <c r="V1097">
        <f>IF(OR($G1097="",$T1097=""),"",IF($T1097&lt;24,IF(LEFT(LOWER($H1097),4)="em p",$G1097+0.7,$G1097),IF(LEFT(LOWER($H1097),4)="deit",$G1097-0.7,$G1097)))</f>
        <v/>
      </c>
      <c r="W1097">
        <f>IF(OR($S1097="",$T1097=""),"",$S1097*1000000+IF($T1097&lt;=60,$U1097,$T1097))</f>
        <v/>
      </c>
      <c r="X1097">
        <f>IF(OR($S1097="",$V1097="",$T1097&gt;60,$T1097=""),"",$S1097*1000000+ROUND($V1097*10,0))</f>
        <v/>
      </c>
      <c r="Y1097">
        <f>IF($W1097="","",IFERROR(INDEX(IF($T1097&lt;=60,imc05_l,imc519_l),MATCH($W1097,IF($T1097&lt;=60,imc05_k,imc519_k),1)),""))</f>
        <v/>
      </c>
      <c r="Z1097">
        <f>IF($W1097="","",IFERROR(INDEX(IF($T1097&lt;=60,imc05_m,imc519_m),MATCH($W1097,IF($T1097&lt;=60,imc05_k,imc519_k),1)),""))</f>
        <v/>
      </c>
      <c r="AA1097">
        <f>IF($W1097="","",IFERROR(INDEX(IF($T1097&lt;=60,imc05_s,imc519_s),MATCH($W1097,IF($T1097&lt;=60,imc05_k,imc519_k),1)),""))</f>
        <v/>
      </c>
      <c r="AB1097">
        <f>IF($Y1097="","",IF($Y1097=0,LN($J1097/$Z1097)/$AA1097,((($J1097/$Z1097)^$Y1097)-1)/($Y1097*$AA1097)))</f>
        <v/>
      </c>
      <c r="AC1097">
        <f>IF($Y1097="","",IF($Y1097=0,$Z1097*EXP($AA1097*2),$Z1097*(1+$Y1097*$AA1097*2)^(1/$Y1097)))</f>
        <v/>
      </c>
      <c r="AD1097">
        <f>IF($Y1097="","",IF($Y1097=0,$Z1097*EXP($AA1097*3),$Z1097*(1+$Y1097*$AA1097*3)^(1/$Y1097)))</f>
        <v/>
      </c>
      <c r="AE1097">
        <f>IF($Y1097="","",IF($Y1097=0,$Z1097*EXP($AA1097*-2),$Z1097*(1+$Y1097*$AA1097*-2)^(1/$Y1097)))</f>
        <v/>
      </c>
      <c r="AF1097">
        <f>IF($Y1097="","",IF($Y1097=0,$Z1097*EXP($AA1097*-3),$Z1097*(1+$Y1097*$AA1097*-3)^(1/$Y1097)))</f>
        <v/>
      </c>
      <c r="AG1097">
        <f>IF($W1097="","",IFERROR(INDEX(IF($T1097&lt;=60,est05_l,est519_l),MATCH($W1097,IF($T1097&lt;=60,est05_k,est519_k),1)),""))</f>
        <v/>
      </c>
      <c r="AH1097">
        <f>IF($W1097="","",IFERROR(INDEX(IF($T1097&lt;=60,est05_m,est519_m),MATCH($W1097,IF($T1097&lt;=60,est05_k,est519_k),1)),""))</f>
        <v/>
      </c>
      <c r="AI1097">
        <f>IF($W1097="","",IFERROR(INDEX(IF($T1097&lt;=60,est05_s,est519_s),MATCH($W1097,IF($T1097&lt;=60,est05_k,est519_k),1)),""))</f>
        <v/>
      </c>
      <c r="AJ1097">
        <f>IF($W1097="","",IFERROR(INDEX(IF($T1097&lt;=60,peso05_l,peso510_l),MATCH($W1097,IF($T1097&lt;=60,peso05_k,peso510_k),1)),""))</f>
        <v/>
      </c>
      <c r="AK1097">
        <f>IF($W1097="","",IFERROR(INDEX(IF($T1097&lt;=60,peso05_m,peso510_m),MATCH($W1097,IF($T1097&lt;=60,peso05_k,peso510_k),1)),""))</f>
        <v/>
      </c>
      <c r="AL1097">
        <f>IF($W1097="","",IFERROR(INDEX(IF($T1097&lt;=60,peso05_s,peso510_s),MATCH($W1097,IF($T1097&lt;=60,peso05_k,peso510_k),1)),""))</f>
        <v/>
      </c>
      <c r="AM1097">
        <f>IF($AJ1097="","",IF($AJ1097=0,LN($F1097/$AK1097)/$AL1097,((($F1097/$AK1097)^$AJ1097)-1)/($AJ1097*$AL1097)))</f>
        <v/>
      </c>
      <c r="AN1097">
        <f>IF($AJ1097="","",IF($AJ1097=0,$AK1097*EXP($AL1097*2),$AK1097*(1+$AJ1097*$AL1097*2)^(1/$AJ1097)))</f>
        <v/>
      </c>
      <c r="AO1097">
        <f>IF($AJ1097="","",IF($AJ1097=0,$AK1097*EXP($AL1097*3),$AK1097*(1+$AJ1097*$AL1097*3)^(1/$AJ1097)))</f>
        <v/>
      </c>
      <c r="AP1097">
        <f>IF($AJ1097="","",IF($AJ1097=0,$AK1097*EXP($AL1097*-2),$AK1097*(1+$AJ1097*$AL1097*-2)^(1/$AJ1097)))</f>
        <v/>
      </c>
      <c r="AQ1097">
        <f>IF($AJ1097="","",IF($AJ1097=0,$AK1097*EXP($AL1097*-3),$AK1097*(1+$AJ1097*$AL1097*-3)^(1/$AJ1097)))</f>
        <v/>
      </c>
      <c r="AR1097">
        <f>IF(OR($X1097="",$T1097&gt;60),"",IFERROR(INDEX(IF($T1097&lt;24,pcomp_l,palt_l),MATCH($X1097,IF($T1097&lt;24,pcomp_k,palt_k),1)),""))</f>
        <v/>
      </c>
      <c r="AS1097">
        <f>IF(OR($X1097="",$T1097&gt;60),"",IFERROR(INDEX(IF($T1097&lt;24,pcomp_m,palt_m),MATCH($X1097,IF($T1097&lt;24,pcomp_k,palt_k),1)),""))</f>
        <v/>
      </c>
      <c r="AT1097">
        <f>IF(OR($X1097="",$T1097&gt;60),"",IFERROR(INDEX(IF($T1097&lt;24,pcomp_s,palt_s),MATCH($X1097,IF($T1097&lt;24,pcomp_k,palt_k),1)),""))</f>
        <v/>
      </c>
      <c r="AU1097">
        <f>IF($AR1097="","",IF($AR1097=0,LN($F1097/$AS1097)/$AT1097,((($F1097/$AS1097)^$AR1097)-1)/($AR1097*$AT1097)))</f>
        <v/>
      </c>
      <c r="AV1097">
        <f>IF($AR1097="","",IF($AR1097=0,$AS1097*EXP($AT1097*2),$AS1097*(1+$AR1097*$AT1097*2)^(1/$AR1097)))</f>
        <v/>
      </c>
      <c r="AW1097">
        <f>IF($AR1097="","",IF($AR1097=0,$AS1097*EXP($AT1097*3),$AS1097*(1+$AR1097*$AT1097*3)^(1/$AR1097)))</f>
        <v/>
      </c>
      <c r="AX1097">
        <f>IF($AR1097="","",IF($AR1097=0,$AS1097*EXP($AT1097*-2),$AS1097*(1+$AR1097*$AT1097*-2)^(1/$AR1097)))</f>
        <v/>
      </c>
      <c r="AY1097">
        <f>IF($AR1097="","",IF($AR1097=0,$AS1097*EXP($AT1097*-3),$AS1097*(1+$AR1097*$AT1097*-3)^(1/$AR1097)))</f>
        <v/>
      </c>
      <c r="AZ1097">
        <f>IF(OR($A1097="",$A1097&lt;&gt;Ficha!$C$4),"",COUNTIF($A$2:$A1097,Ficha!$C$4))</f>
        <v/>
      </c>
    </row>
    <row r="1098">
      <c r="A1098" s="8">
        <f>IF(INDEX(Banco!$A:$A,ROW())="","",INDEX(Banco!$A:$A,ROW()))</f>
        <v/>
      </c>
      <c r="B1098" s="8">
        <f>IF(INDEX(Banco!$B:$B,ROW())="","",INDEX(Banco!$B:$B,ROW()))</f>
        <v/>
      </c>
      <c r="C1098" s="8">
        <f>IF(INDEX(Banco!$C:$C,ROW())="","",INDEX(Banco!$C:$C,ROW()))</f>
        <v/>
      </c>
      <c r="D1098" s="9">
        <f>IF(INDEX(Banco!$D:$D,ROW())="","",INDEX(Banco!$D:$D,ROW()))</f>
        <v/>
      </c>
      <c r="E1098" s="9">
        <f>IF(INDEX(Banco!$E:$E,ROW())="","",INDEX(Banco!$E:$E,ROW()))</f>
        <v/>
      </c>
      <c r="F1098" s="10">
        <f>IF(INDEX(Banco!$F:$F,ROW())="","",INDEX(Banco!$F:$F,ROW()))</f>
        <v/>
      </c>
      <c r="G1098" s="10">
        <f>IF(INDEX(Banco!$G:$G,ROW())="","",INDEX(Banco!$G:$G,ROW()))</f>
        <v/>
      </c>
      <c r="H1098" s="8">
        <f>IF(INDEX(Banco!$H:$H,ROW())="","",INDEX(Banco!$H:$H,ROW()))</f>
        <v/>
      </c>
      <c r="I1098">
        <f>IF($T1098="","",INT($T1098/12)&amp;"a "&amp;MOD($T1098,12)&amp;"m")</f>
        <v/>
      </c>
      <c r="J1098" s="11">
        <f>IF(OR($F1098="",$G1098=""),"",ROUND($F1098/($G1098/100)^2,2))</f>
        <v/>
      </c>
      <c r="K1098" s="12">
        <f>IF(OR($S1098="",$J1098="",$T1098="",$T1098&lt;0,$T1098&gt;228,$Y1098=""),"—",ROUND(IF(ABS($AB1098)&lt;=3,$AB1098,IF($AB1098&gt;3,3+($J1098-$AD1098)/($AD1098-$AC1098),-3+($J1098-$AF1098)/($AE1098-$AF1098))),2))</f>
        <v/>
      </c>
      <c r="L1098">
        <f>IF(OR($K1098="",$K1098="—"),"",IF($T1098&lt;=60,IF($K1098&lt;-3,"Magreza acentuada",IF($K1098&lt;-2,"Magreza",IF($K1098&lt;=1,"Eutrofia",IF($K1098&lt;=2,"Risco de sobrepeso",IF($K1098&lt;=3,"Sobrepeso","Obesidade"))))),IF($K1098&lt;-3,"Magreza acentuada",IF($K1098&lt;-2,"Magreza",IF($K1098&lt;=1,"Eutrofia",IF($K1098&lt;=2,"Sobrepeso",IF($K1098&lt;=3,"Obesidade","Obesidade grave")))))))</f>
        <v/>
      </c>
      <c r="M1098" s="12">
        <f>IF(OR($S1098="",$V1098="",$T1098="",$T1098&lt;0,$T1098&gt;228,$AG1098=""),"—",ROUND(IF($AG1098=0,LN($V1098/$AH1098)/$AI1098,((($V1098/$AH1098)^$AG1098)-1)/($AG1098*$AI1098)),2))</f>
        <v/>
      </c>
      <c r="N1098">
        <f>IF(OR($M1098="",$M1098="—"),"",IF($M1098&lt;-3,"Muito baixa",IF($M1098&lt;-2,"Baixa","Adequada")))</f>
        <v/>
      </c>
      <c r="O1098" s="12">
        <f>IF(OR($S1098="",$F1098="",$T1098="",$T1098&lt;0,$T1098&gt;120,$AJ1098=""),"—",ROUND(IF(ABS($AM1098)&lt;=3,$AM1098,IF($AM1098&gt;3,3+($F1098-$AO1098)/($AO1098-$AN1098),-3+($F1098-$AQ1098)/($AP1098-$AQ1098))),2))</f>
        <v/>
      </c>
      <c r="P1098">
        <f>IF(OR($O1098="",$O1098="—"),"",IF($O1098&lt;-3,"Muito baixo",IF($O1098&lt;-2,"Baixo",IF($O1098&lt;=2,"Adequado","Elevado"))))</f>
        <v/>
      </c>
      <c r="Q1098" s="12">
        <f>IF(OR($S1098="",$F1098="",$T1098="",$T1098&lt;0,$T1098&gt;60,$AR1098=""),"—",ROUND(IF(ABS($AU1098)&lt;=3,$AU1098,IF($AU1098&gt;3,3+($F1098-$AW1098)/($AW1098-$AV1098),-3+($F1098-$AY1098)/($AX1098-$AY1098))),2))</f>
        <v/>
      </c>
      <c r="R1098">
        <f>IF(OR($Q1098="",$Q1098="—"),"",IF($Q1098&lt;-3,"Magreza acentuada",IF($Q1098&lt;-2,"Magreza",IF($Q1098&lt;=1,"Eutrofia",IF($Q1098&lt;=2,"Risco de sobrepeso",IF($Q1098&lt;=3,"Sobrepeso","Obesidade"))))))</f>
        <v/>
      </c>
      <c r="S1098">
        <f>IF($C1098="","",IF(UPPER(LEFT($C1098,1))="M",1,IF(UPPER(LEFT($C1098,1))="F",2,"")))</f>
        <v/>
      </c>
      <c r="T1098">
        <f>IF(OR($D1098="",$E1098=""),"",DATEDIF($D1098,$E1098,"m"))</f>
        <v/>
      </c>
      <c r="U1098">
        <f>IF(OR($D1098="",$E1098=""),"",$E1098-$D1098)</f>
        <v/>
      </c>
      <c r="V1098">
        <f>IF(OR($G1098="",$T1098=""),"",IF($T1098&lt;24,IF(LEFT(LOWER($H1098),4)="em p",$G1098+0.7,$G1098),IF(LEFT(LOWER($H1098),4)="deit",$G1098-0.7,$G1098)))</f>
        <v/>
      </c>
      <c r="W1098">
        <f>IF(OR($S1098="",$T1098=""),"",$S1098*1000000+IF($T1098&lt;=60,$U1098,$T1098))</f>
        <v/>
      </c>
      <c r="X1098">
        <f>IF(OR($S1098="",$V1098="",$T1098&gt;60,$T1098=""),"",$S1098*1000000+ROUND($V1098*10,0))</f>
        <v/>
      </c>
      <c r="Y1098">
        <f>IF($W1098="","",IFERROR(INDEX(IF($T1098&lt;=60,imc05_l,imc519_l),MATCH($W1098,IF($T1098&lt;=60,imc05_k,imc519_k),1)),""))</f>
        <v/>
      </c>
      <c r="Z1098">
        <f>IF($W1098="","",IFERROR(INDEX(IF($T1098&lt;=60,imc05_m,imc519_m),MATCH($W1098,IF($T1098&lt;=60,imc05_k,imc519_k),1)),""))</f>
        <v/>
      </c>
      <c r="AA1098">
        <f>IF($W1098="","",IFERROR(INDEX(IF($T1098&lt;=60,imc05_s,imc519_s),MATCH($W1098,IF($T1098&lt;=60,imc05_k,imc519_k),1)),""))</f>
        <v/>
      </c>
      <c r="AB1098">
        <f>IF($Y1098="","",IF($Y1098=0,LN($J1098/$Z1098)/$AA1098,((($J1098/$Z1098)^$Y1098)-1)/($Y1098*$AA1098)))</f>
        <v/>
      </c>
      <c r="AC1098">
        <f>IF($Y1098="","",IF($Y1098=0,$Z1098*EXP($AA1098*2),$Z1098*(1+$Y1098*$AA1098*2)^(1/$Y1098)))</f>
        <v/>
      </c>
      <c r="AD1098">
        <f>IF($Y1098="","",IF($Y1098=0,$Z1098*EXP($AA1098*3),$Z1098*(1+$Y1098*$AA1098*3)^(1/$Y1098)))</f>
        <v/>
      </c>
      <c r="AE1098">
        <f>IF($Y1098="","",IF($Y1098=0,$Z1098*EXP($AA1098*-2),$Z1098*(1+$Y1098*$AA1098*-2)^(1/$Y1098)))</f>
        <v/>
      </c>
      <c r="AF1098">
        <f>IF($Y1098="","",IF($Y1098=0,$Z1098*EXP($AA1098*-3),$Z1098*(1+$Y1098*$AA1098*-3)^(1/$Y1098)))</f>
        <v/>
      </c>
      <c r="AG1098">
        <f>IF($W1098="","",IFERROR(INDEX(IF($T1098&lt;=60,est05_l,est519_l),MATCH($W1098,IF($T1098&lt;=60,est05_k,est519_k),1)),""))</f>
        <v/>
      </c>
      <c r="AH1098">
        <f>IF($W1098="","",IFERROR(INDEX(IF($T1098&lt;=60,est05_m,est519_m),MATCH($W1098,IF($T1098&lt;=60,est05_k,est519_k),1)),""))</f>
        <v/>
      </c>
      <c r="AI1098">
        <f>IF($W1098="","",IFERROR(INDEX(IF($T1098&lt;=60,est05_s,est519_s),MATCH($W1098,IF($T1098&lt;=60,est05_k,est519_k),1)),""))</f>
        <v/>
      </c>
      <c r="AJ1098">
        <f>IF($W1098="","",IFERROR(INDEX(IF($T1098&lt;=60,peso05_l,peso510_l),MATCH($W1098,IF($T1098&lt;=60,peso05_k,peso510_k),1)),""))</f>
        <v/>
      </c>
      <c r="AK1098">
        <f>IF($W1098="","",IFERROR(INDEX(IF($T1098&lt;=60,peso05_m,peso510_m),MATCH($W1098,IF($T1098&lt;=60,peso05_k,peso510_k),1)),""))</f>
        <v/>
      </c>
      <c r="AL1098">
        <f>IF($W1098="","",IFERROR(INDEX(IF($T1098&lt;=60,peso05_s,peso510_s),MATCH($W1098,IF($T1098&lt;=60,peso05_k,peso510_k),1)),""))</f>
        <v/>
      </c>
      <c r="AM1098">
        <f>IF($AJ1098="","",IF($AJ1098=0,LN($F1098/$AK1098)/$AL1098,((($F1098/$AK1098)^$AJ1098)-1)/($AJ1098*$AL1098)))</f>
        <v/>
      </c>
      <c r="AN1098">
        <f>IF($AJ1098="","",IF($AJ1098=0,$AK1098*EXP($AL1098*2),$AK1098*(1+$AJ1098*$AL1098*2)^(1/$AJ1098)))</f>
        <v/>
      </c>
      <c r="AO1098">
        <f>IF($AJ1098="","",IF($AJ1098=0,$AK1098*EXP($AL1098*3),$AK1098*(1+$AJ1098*$AL1098*3)^(1/$AJ1098)))</f>
        <v/>
      </c>
      <c r="AP1098">
        <f>IF($AJ1098="","",IF($AJ1098=0,$AK1098*EXP($AL1098*-2),$AK1098*(1+$AJ1098*$AL1098*-2)^(1/$AJ1098)))</f>
        <v/>
      </c>
      <c r="AQ1098">
        <f>IF($AJ1098="","",IF($AJ1098=0,$AK1098*EXP($AL1098*-3),$AK1098*(1+$AJ1098*$AL1098*-3)^(1/$AJ1098)))</f>
        <v/>
      </c>
      <c r="AR1098">
        <f>IF(OR($X1098="",$T1098&gt;60),"",IFERROR(INDEX(IF($T1098&lt;24,pcomp_l,palt_l),MATCH($X1098,IF($T1098&lt;24,pcomp_k,palt_k),1)),""))</f>
        <v/>
      </c>
      <c r="AS1098">
        <f>IF(OR($X1098="",$T1098&gt;60),"",IFERROR(INDEX(IF($T1098&lt;24,pcomp_m,palt_m),MATCH($X1098,IF($T1098&lt;24,pcomp_k,palt_k),1)),""))</f>
        <v/>
      </c>
      <c r="AT1098">
        <f>IF(OR($X1098="",$T1098&gt;60),"",IFERROR(INDEX(IF($T1098&lt;24,pcomp_s,palt_s),MATCH($X1098,IF($T1098&lt;24,pcomp_k,palt_k),1)),""))</f>
        <v/>
      </c>
      <c r="AU1098">
        <f>IF($AR1098="","",IF($AR1098=0,LN($F1098/$AS1098)/$AT1098,((($F1098/$AS1098)^$AR1098)-1)/($AR1098*$AT1098)))</f>
        <v/>
      </c>
      <c r="AV1098">
        <f>IF($AR1098="","",IF($AR1098=0,$AS1098*EXP($AT1098*2),$AS1098*(1+$AR1098*$AT1098*2)^(1/$AR1098)))</f>
        <v/>
      </c>
      <c r="AW1098">
        <f>IF($AR1098="","",IF($AR1098=0,$AS1098*EXP($AT1098*3),$AS1098*(1+$AR1098*$AT1098*3)^(1/$AR1098)))</f>
        <v/>
      </c>
      <c r="AX1098">
        <f>IF($AR1098="","",IF($AR1098=0,$AS1098*EXP($AT1098*-2),$AS1098*(1+$AR1098*$AT1098*-2)^(1/$AR1098)))</f>
        <v/>
      </c>
      <c r="AY1098">
        <f>IF($AR1098="","",IF($AR1098=0,$AS1098*EXP($AT1098*-3),$AS1098*(1+$AR1098*$AT1098*-3)^(1/$AR1098)))</f>
        <v/>
      </c>
      <c r="AZ1098">
        <f>IF(OR($A1098="",$A1098&lt;&gt;Ficha!$C$4),"",COUNTIF($A$2:$A1098,Ficha!$C$4))</f>
        <v/>
      </c>
    </row>
    <row r="1099">
      <c r="A1099" s="8">
        <f>IF(INDEX(Banco!$A:$A,ROW())="","",INDEX(Banco!$A:$A,ROW()))</f>
        <v/>
      </c>
      <c r="B1099" s="8">
        <f>IF(INDEX(Banco!$B:$B,ROW())="","",INDEX(Banco!$B:$B,ROW()))</f>
        <v/>
      </c>
      <c r="C1099" s="8">
        <f>IF(INDEX(Banco!$C:$C,ROW())="","",INDEX(Banco!$C:$C,ROW()))</f>
        <v/>
      </c>
      <c r="D1099" s="9">
        <f>IF(INDEX(Banco!$D:$D,ROW())="","",INDEX(Banco!$D:$D,ROW()))</f>
        <v/>
      </c>
      <c r="E1099" s="9">
        <f>IF(INDEX(Banco!$E:$E,ROW())="","",INDEX(Banco!$E:$E,ROW()))</f>
        <v/>
      </c>
      <c r="F1099" s="10">
        <f>IF(INDEX(Banco!$F:$F,ROW())="","",INDEX(Banco!$F:$F,ROW()))</f>
        <v/>
      </c>
      <c r="G1099" s="10">
        <f>IF(INDEX(Banco!$G:$G,ROW())="","",INDEX(Banco!$G:$G,ROW()))</f>
        <v/>
      </c>
      <c r="H1099" s="8">
        <f>IF(INDEX(Banco!$H:$H,ROW())="","",INDEX(Banco!$H:$H,ROW()))</f>
        <v/>
      </c>
      <c r="I1099">
        <f>IF($T1099="","",INT($T1099/12)&amp;"a "&amp;MOD($T1099,12)&amp;"m")</f>
        <v/>
      </c>
      <c r="J1099" s="11">
        <f>IF(OR($F1099="",$G1099=""),"",ROUND($F1099/($G1099/100)^2,2))</f>
        <v/>
      </c>
      <c r="K1099" s="12">
        <f>IF(OR($S1099="",$J1099="",$T1099="",$T1099&lt;0,$T1099&gt;228,$Y1099=""),"—",ROUND(IF(ABS($AB1099)&lt;=3,$AB1099,IF($AB1099&gt;3,3+($J1099-$AD1099)/($AD1099-$AC1099),-3+($J1099-$AF1099)/($AE1099-$AF1099))),2))</f>
        <v/>
      </c>
      <c r="L1099">
        <f>IF(OR($K1099="",$K1099="—"),"",IF($T1099&lt;=60,IF($K1099&lt;-3,"Magreza acentuada",IF($K1099&lt;-2,"Magreza",IF($K1099&lt;=1,"Eutrofia",IF($K1099&lt;=2,"Risco de sobrepeso",IF($K1099&lt;=3,"Sobrepeso","Obesidade"))))),IF($K1099&lt;-3,"Magreza acentuada",IF($K1099&lt;-2,"Magreza",IF($K1099&lt;=1,"Eutrofia",IF($K1099&lt;=2,"Sobrepeso",IF($K1099&lt;=3,"Obesidade","Obesidade grave")))))))</f>
        <v/>
      </c>
      <c r="M1099" s="12">
        <f>IF(OR($S1099="",$V1099="",$T1099="",$T1099&lt;0,$T1099&gt;228,$AG1099=""),"—",ROUND(IF($AG1099=0,LN($V1099/$AH1099)/$AI1099,((($V1099/$AH1099)^$AG1099)-1)/($AG1099*$AI1099)),2))</f>
        <v/>
      </c>
      <c r="N1099">
        <f>IF(OR($M1099="",$M1099="—"),"",IF($M1099&lt;-3,"Muito baixa",IF($M1099&lt;-2,"Baixa","Adequada")))</f>
        <v/>
      </c>
      <c r="O1099" s="12">
        <f>IF(OR($S1099="",$F1099="",$T1099="",$T1099&lt;0,$T1099&gt;120,$AJ1099=""),"—",ROUND(IF(ABS($AM1099)&lt;=3,$AM1099,IF($AM1099&gt;3,3+($F1099-$AO1099)/($AO1099-$AN1099),-3+($F1099-$AQ1099)/($AP1099-$AQ1099))),2))</f>
        <v/>
      </c>
      <c r="P1099">
        <f>IF(OR($O1099="",$O1099="—"),"",IF($O1099&lt;-3,"Muito baixo",IF($O1099&lt;-2,"Baixo",IF($O1099&lt;=2,"Adequado","Elevado"))))</f>
        <v/>
      </c>
      <c r="Q1099" s="12">
        <f>IF(OR($S1099="",$F1099="",$T1099="",$T1099&lt;0,$T1099&gt;60,$AR1099=""),"—",ROUND(IF(ABS($AU1099)&lt;=3,$AU1099,IF($AU1099&gt;3,3+($F1099-$AW1099)/($AW1099-$AV1099),-3+($F1099-$AY1099)/($AX1099-$AY1099))),2))</f>
        <v/>
      </c>
      <c r="R1099">
        <f>IF(OR($Q1099="",$Q1099="—"),"",IF($Q1099&lt;-3,"Magreza acentuada",IF($Q1099&lt;-2,"Magreza",IF($Q1099&lt;=1,"Eutrofia",IF($Q1099&lt;=2,"Risco de sobrepeso",IF($Q1099&lt;=3,"Sobrepeso","Obesidade"))))))</f>
        <v/>
      </c>
      <c r="S1099">
        <f>IF($C1099="","",IF(UPPER(LEFT($C1099,1))="M",1,IF(UPPER(LEFT($C1099,1))="F",2,"")))</f>
        <v/>
      </c>
      <c r="T1099">
        <f>IF(OR($D1099="",$E1099=""),"",DATEDIF($D1099,$E1099,"m"))</f>
        <v/>
      </c>
      <c r="U1099">
        <f>IF(OR($D1099="",$E1099=""),"",$E1099-$D1099)</f>
        <v/>
      </c>
      <c r="V1099">
        <f>IF(OR($G1099="",$T1099=""),"",IF($T1099&lt;24,IF(LEFT(LOWER($H1099),4)="em p",$G1099+0.7,$G1099),IF(LEFT(LOWER($H1099),4)="deit",$G1099-0.7,$G1099)))</f>
        <v/>
      </c>
      <c r="W1099">
        <f>IF(OR($S1099="",$T1099=""),"",$S1099*1000000+IF($T1099&lt;=60,$U1099,$T1099))</f>
        <v/>
      </c>
      <c r="X1099">
        <f>IF(OR($S1099="",$V1099="",$T1099&gt;60,$T1099=""),"",$S1099*1000000+ROUND($V1099*10,0))</f>
        <v/>
      </c>
      <c r="Y1099">
        <f>IF($W1099="","",IFERROR(INDEX(IF($T1099&lt;=60,imc05_l,imc519_l),MATCH($W1099,IF($T1099&lt;=60,imc05_k,imc519_k),1)),""))</f>
        <v/>
      </c>
      <c r="Z1099">
        <f>IF($W1099="","",IFERROR(INDEX(IF($T1099&lt;=60,imc05_m,imc519_m),MATCH($W1099,IF($T1099&lt;=60,imc05_k,imc519_k),1)),""))</f>
        <v/>
      </c>
      <c r="AA1099">
        <f>IF($W1099="","",IFERROR(INDEX(IF($T1099&lt;=60,imc05_s,imc519_s),MATCH($W1099,IF($T1099&lt;=60,imc05_k,imc519_k),1)),""))</f>
        <v/>
      </c>
      <c r="AB1099">
        <f>IF($Y1099="","",IF($Y1099=0,LN($J1099/$Z1099)/$AA1099,((($J1099/$Z1099)^$Y1099)-1)/($Y1099*$AA1099)))</f>
        <v/>
      </c>
      <c r="AC1099">
        <f>IF($Y1099="","",IF($Y1099=0,$Z1099*EXP($AA1099*2),$Z1099*(1+$Y1099*$AA1099*2)^(1/$Y1099)))</f>
        <v/>
      </c>
      <c r="AD1099">
        <f>IF($Y1099="","",IF($Y1099=0,$Z1099*EXP($AA1099*3),$Z1099*(1+$Y1099*$AA1099*3)^(1/$Y1099)))</f>
        <v/>
      </c>
      <c r="AE1099">
        <f>IF($Y1099="","",IF($Y1099=0,$Z1099*EXP($AA1099*-2),$Z1099*(1+$Y1099*$AA1099*-2)^(1/$Y1099)))</f>
        <v/>
      </c>
      <c r="AF1099">
        <f>IF($Y1099="","",IF($Y1099=0,$Z1099*EXP($AA1099*-3),$Z1099*(1+$Y1099*$AA1099*-3)^(1/$Y1099)))</f>
        <v/>
      </c>
      <c r="AG1099">
        <f>IF($W1099="","",IFERROR(INDEX(IF($T1099&lt;=60,est05_l,est519_l),MATCH($W1099,IF($T1099&lt;=60,est05_k,est519_k),1)),""))</f>
        <v/>
      </c>
      <c r="AH1099">
        <f>IF($W1099="","",IFERROR(INDEX(IF($T1099&lt;=60,est05_m,est519_m),MATCH($W1099,IF($T1099&lt;=60,est05_k,est519_k),1)),""))</f>
        <v/>
      </c>
      <c r="AI1099">
        <f>IF($W1099="","",IFERROR(INDEX(IF($T1099&lt;=60,est05_s,est519_s),MATCH($W1099,IF($T1099&lt;=60,est05_k,est519_k),1)),""))</f>
        <v/>
      </c>
      <c r="AJ1099">
        <f>IF($W1099="","",IFERROR(INDEX(IF($T1099&lt;=60,peso05_l,peso510_l),MATCH($W1099,IF($T1099&lt;=60,peso05_k,peso510_k),1)),""))</f>
        <v/>
      </c>
      <c r="AK1099">
        <f>IF($W1099="","",IFERROR(INDEX(IF($T1099&lt;=60,peso05_m,peso510_m),MATCH($W1099,IF($T1099&lt;=60,peso05_k,peso510_k),1)),""))</f>
        <v/>
      </c>
      <c r="AL1099">
        <f>IF($W1099="","",IFERROR(INDEX(IF($T1099&lt;=60,peso05_s,peso510_s),MATCH($W1099,IF($T1099&lt;=60,peso05_k,peso510_k),1)),""))</f>
        <v/>
      </c>
      <c r="AM1099">
        <f>IF($AJ1099="","",IF($AJ1099=0,LN($F1099/$AK1099)/$AL1099,((($F1099/$AK1099)^$AJ1099)-1)/($AJ1099*$AL1099)))</f>
        <v/>
      </c>
      <c r="AN1099">
        <f>IF($AJ1099="","",IF($AJ1099=0,$AK1099*EXP($AL1099*2),$AK1099*(1+$AJ1099*$AL1099*2)^(1/$AJ1099)))</f>
        <v/>
      </c>
      <c r="AO1099">
        <f>IF($AJ1099="","",IF($AJ1099=0,$AK1099*EXP($AL1099*3),$AK1099*(1+$AJ1099*$AL1099*3)^(1/$AJ1099)))</f>
        <v/>
      </c>
      <c r="AP1099">
        <f>IF($AJ1099="","",IF($AJ1099=0,$AK1099*EXP($AL1099*-2),$AK1099*(1+$AJ1099*$AL1099*-2)^(1/$AJ1099)))</f>
        <v/>
      </c>
      <c r="AQ1099">
        <f>IF($AJ1099="","",IF($AJ1099=0,$AK1099*EXP($AL1099*-3),$AK1099*(1+$AJ1099*$AL1099*-3)^(1/$AJ1099)))</f>
        <v/>
      </c>
      <c r="AR1099">
        <f>IF(OR($X1099="",$T1099&gt;60),"",IFERROR(INDEX(IF($T1099&lt;24,pcomp_l,palt_l),MATCH($X1099,IF($T1099&lt;24,pcomp_k,palt_k),1)),""))</f>
        <v/>
      </c>
      <c r="AS1099">
        <f>IF(OR($X1099="",$T1099&gt;60),"",IFERROR(INDEX(IF($T1099&lt;24,pcomp_m,palt_m),MATCH($X1099,IF($T1099&lt;24,pcomp_k,palt_k),1)),""))</f>
        <v/>
      </c>
      <c r="AT1099">
        <f>IF(OR($X1099="",$T1099&gt;60),"",IFERROR(INDEX(IF($T1099&lt;24,pcomp_s,palt_s),MATCH($X1099,IF($T1099&lt;24,pcomp_k,palt_k),1)),""))</f>
        <v/>
      </c>
      <c r="AU1099">
        <f>IF($AR1099="","",IF($AR1099=0,LN($F1099/$AS1099)/$AT1099,((($F1099/$AS1099)^$AR1099)-1)/($AR1099*$AT1099)))</f>
        <v/>
      </c>
      <c r="AV1099">
        <f>IF($AR1099="","",IF($AR1099=0,$AS1099*EXP($AT1099*2),$AS1099*(1+$AR1099*$AT1099*2)^(1/$AR1099)))</f>
        <v/>
      </c>
      <c r="AW1099">
        <f>IF($AR1099="","",IF($AR1099=0,$AS1099*EXP($AT1099*3),$AS1099*(1+$AR1099*$AT1099*3)^(1/$AR1099)))</f>
        <v/>
      </c>
      <c r="AX1099">
        <f>IF($AR1099="","",IF($AR1099=0,$AS1099*EXP($AT1099*-2),$AS1099*(1+$AR1099*$AT1099*-2)^(1/$AR1099)))</f>
        <v/>
      </c>
      <c r="AY1099">
        <f>IF($AR1099="","",IF($AR1099=0,$AS1099*EXP($AT1099*-3),$AS1099*(1+$AR1099*$AT1099*-3)^(1/$AR1099)))</f>
        <v/>
      </c>
      <c r="AZ1099">
        <f>IF(OR($A1099="",$A1099&lt;&gt;Ficha!$C$4),"",COUNTIF($A$2:$A1099,Ficha!$C$4))</f>
        <v/>
      </c>
    </row>
    <row r="1100">
      <c r="A1100" s="8">
        <f>IF(INDEX(Banco!$A:$A,ROW())="","",INDEX(Banco!$A:$A,ROW()))</f>
        <v/>
      </c>
      <c r="B1100" s="8">
        <f>IF(INDEX(Banco!$B:$B,ROW())="","",INDEX(Banco!$B:$B,ROW()))</f>
        <v/>
      </c>
      <c r="C1100" s="8">
        <f>IF(INDEX(Banco!$C:$C,ROW())="","",INDEX(Banco!$C:$C,ROW()))</f>
        <v/>
      </c>
      <c r="D1100" s="9">
        <f>IF(INDEX(Banco!$D:$D,ROW())="","",INDEX(Banco!$D:$D,ROW()))</f>
        <v/>
      </c>
      <c r="E1100" s="9">
        <f>IF(INDEX(Banco!$E:$E,ROW())="","",INDEX(Banco!$E:$E,ROW()))</f>
        <v/>
      </c>
      <c r="F1100" s="10">
        <f>IF(INDEX(Banco!$F:$F,ROW())="","",INDEX(Banco!$F:$F,ROW()))</f>
        <v/>
      </c>
      <c r="G1100" s="10">
        <f>IF(INDEX(Banco!$G:$G,ROW())="","",INDEX(Banco!$G:$G,ROW()))</f>
        <v/>
      </c>
      <c r="H1100" s="8">
        <f>IF(INDEX(Banco!$H:$H,ROW())="","",INDEX(Banco!$H:$H,ROW()))</f>
        <v/>
      </c>
      <c r="I1100">
        <f>IF($T1100="","",INT($T1100/12)&amp;"a "&amp;MOD($T1100,12)&amp;"m")</f>
        <v/>
      </c>
      <c r="J1100" s="11">
        <f>IF(OR($F1100="",$G1100=""),"",ROUND($F1100/($G1100/100)^2,2))</f>
        <v/>
      </c>
      <c r="K1100" s="12">
        <f>IF(OR($S1100="",$J1100="",$T1100="",$T1100&lt;0,$T1100&gt;228,$Y1100=""),"—",ROUND(IF(ABS($AB1100)&lt;=3,$AB1100,IF($AB1100&gt;3,3+($J1100-$AD1100)/($AD1100-$AC1100),-3+($J1100-$AF1100)/($AE1100-$AF1100))),2))</f>
        <v/>
      </c>
      <c r="L1100">
        <f>IF(OR($K1100="",$K1100="—"),"",IF($T1100&lt;=60,IF($K1100&lt;-3,"Magreza acentuada",IF($K1100&lt;-2,"Magreza",IF($K1100&lt;=1,"Eutrofia",IF($K1100&lt;=2,"Risco de sobrepeso",IF($K1100&lt;=3,"Sobrepeso","Obesidade"))))),IF($K1100&lt;-3,"Magreza acentuada",IF($K1100&lt;-2,"Magreza",IF($K1100&lt;=1,"Eutrofia",IF($K1100&lt;=2,"Sobrepeso",IF($K1100&lt;=3,"Obesidade","Obesidade grave")))))))</f>
        <v/>
      </c>
      <c r="M1100" s="12">
        <f>IF(OR($S1100="",$V1100="",$T1100="",$T1100&lt;0,$T1100&gt;228,$AG1100=""),"—",ROUND(IF($AG1100=0,LN($V1100/$AH1100)/$AI1100,((($V1100/$AH1100)^$AG1100)-1)/($AG1100*$AI1100)),2))</f>
        <v/>
      </c>
      <c r="N1100">
        <f>IF(OR($M1100="",$M1100="—"),"",IF($M1100&lt;-3,"Muito baixa",IF($M1100&lt;-2,"Baixa","Adequada")))</f>
        <v/>
      </c>
      <c r="O1100" s="12">
        <f>IF(OR($S1100="",$F1100="",$T1100="",$T1100&lt;0,$T1100&gt;120,$AJ1100=""),"—",ROUND(IF(ABS($AM1100)&lt;=3,$AM1100,IF($AM1100&gt;3,3+($F1100-$AO1100)/($AO1100-$AN1100),-3+($F1100-$AQ1100)/($AP1100-$AQ1100))),2))</f>
        <v/>
      </c>
      <c r="P1100">
        <f>IF(OR($O1100="",$O1100="—"),"",IF($O1100&lt;-3,"Muito baixo",IF($O1100&lt;-2,"Baixo",IF($O1100&lt;=2,"Adequado","Elevado"))))</f>
        <v/>
      </c>
      <c r="Q1100" s="12">
        <f>IF(OR($S1100="",$F1100="",$T1100="",$T1100&lt;0,$T1100&gt;60,$AR1100=""),"—",ROUND(IF(ABS($AU1100)&lt;=3,$AU1100,IF($AU1100&gt;3,3+($F1100-$AW1100)/($AW1100-$AV1100),-3+($F1100-$AY1100)/($AX1100-$AY1100))),2))</f>
        <v/>
      </c>
      <c r="R1100">
        <f>IF(OR($Q1100="",$Q1100="—"),"",IF($Q1100&lt;-3,"Magreza acentuada",IF($Q1100&lt;-2,"Magreza",IF($Q1100&lt;=1,"Eutrofia",IF($Q1100&lt;=2,"Risco de sobrepeso",IF($Q1100&lt;=3,"Sobrepeso","Obesidade"))))))</f>
        <v/>
      </c>
      <c r="S1100">
        <f>IF($C1100="","",IF(UPPER(LEFT($C1100,1))="M",1,IF(UPPER(LEFT($C1100,1))="F",2,"")))</f>
        <v/>
      </c>
      <c r="T1100">
        <f>IF(OR($D1100="",$E1100=""),"",DATEDIF($D1100,$E1100,"m"))</f>
        <v/>
      </c>
      <c r="U1100">
        <f>IF(OR($D1100="",$E1100=""),"",$E1100-$D1100)</f>
        <v/>
      </c>
      <c r="V1100">
        <f>IF(OR($G1100="",$T1100=""),"",IF($T1100&lt;24,IF(LEFT(LOWER($H1100),4)="em p",$G1100+0.7,$G1100),IF(LEFT(LOWER($H1100),4)="deit",$G1100-0.7,$G1100)))</f>
        <v/>
      </c>
      <c r="W1100">
        <f>IF(OR($S1100="",$T1100=""),"",$S1100*1000000+IF($T1100&lt;=60,$U1100,$T1100))</f>
        <v/>
      </c>
      <c r="X1100">
        <f>IF(OR($S1100="",$V1100="",$T1100&gt;60,$T1100=""),"",$S1100*1000000+ROUND($V1100*10,0))</f>
        <v/>
      </c>
      <c r="Y1100">
        <f>IF($W1100="","",IFERROR(INDEX(IF($T1100&lt;=60,imc05_l,imc519_l),MATCH($W1100,IF($T1100&lt;=60,imc05_k,imc519_k),1)),""))</f>
        <v/>
      </c>
      <c r="Z1100">
        <f>IF($W1100="","",IFERROR(INDEX(IF($T1100&lt;=60,imc05_m,imc519_m),MATCH($W1100,IF($T1100&lt;=60,imc05_k,imc519_k),1)),""))</f>
        <v/>
      </c>
      <c r="AA1100">
        <f>IF($W1100="","",IFERROR(INDEX(IF($T1100&lt;=60,imc05_s,imc519_s),MATCH($W1100,IF($T1100&lt;=60,imc05_k,imc519_k),1)),""))</f>
        <v/>
      </c>
      <c r="AB1100">
        <f>IF($Y1100="","",IF($Y1100=0,LN($J1100/$Z1100)/$AA1100,((($J1100/$Z1100)^$Y1100)-1)/($Y1100*$AA1100)))</f>
        <v/>
      </c>
      <c r="AC1100">
        <f>IF($Y1100="","",IF($Y1100=0,$Z1100*EXP($AA1100*2),$Z1100*(1+$Y1100*$AA1100*2)^(1/$Y1100)))</f>
        <v/>
      </c>
      <c r="AD1100">
        <f>IF($Y1100="","",IF($Y1100=0,$Z1100*EXP($AA1100*3),$Z1100*(1+$Y1100*$AA1100*3)^(1/$Y1100)))</f>
        <v/>
      </c>
      <c r="AE1100">
        <f>IF($Y1100="","",IF($Y1100=0,$Z1100*EXP($AA1100*-2),$Z1100*(1+$Y1100*$AA1100*-2)^(1/$Y1100)))</f>
        <v/>
      </c>
      <c r="AF1100">
        <f>IF($Y1100="","",IF($Y1100=0,$Z1100*EXP($AA1100*-3),$Z1100*(1+$Y1100*$AA1100*-3)^(1/$Y1100)))</f>
        <v/>
      </c>
      <c r="AG1100">
        <f>IF($W1100="","",IFERROR(INDEX(IF($T1100&lt;=60,est05_l,est519_l),MATCH($W1100,IF($T1100&lt;=60,est05_k,est519_k),1)),""))</f>
        <v/>
      </c>
      <c r="AH1100">
        <f>IF($W1100="","",IFERROR(INDEX(IF($T1100&lt;=60,est05_m,est519_m),MATCH($W1100,IF($T1100&lt;=60,est05_k,est519_k),1)),""))</f>
        <v/>
      </c>
      <c r="AI1100">
        <f>IF($W1100="","",IFERROR(INDEX(IF($T1100&lt;=60,est05_s,est519_s),MATCH($W1100,IF($T1100&lt;=60,est05_k,est519_k),1)),""))</f>
        <v/>
      </c>
      <c r="AJ1100">
        <f>IF($W1100="","",IFERROR(INDEX(IF($T1100&lt;=60,peso05_l,peso510_l),MATCH($W1100,IF($T1100&lt;=60,peso05_k,peso510_k),1)),""))</f>
        <v/>
      </c>
      <c r="AK1100">
        <f>IF($W1100="","",IFERROR(INDEX(IF($T1100&lt;=60,peso05_m,peso510_m),MATCH($W1100,IF($T1100&lt;=60,peso05_k,peso510_k),1)),""))</f>
        <v/>
      </c>
      <c r="AL1100">
        <f>IF($W1100="","",IFERROR(INDEX(IF($T1100&lt;=60,peso05_s,peso510_s),MATCH($W1100,IF($T1100&lt;=60,peso05_k,peso510_k),1)),""))</f>
        <v/>
      </c>
      <c r="AM1100">
        <f>IF($AJ1100="","",IF($AJ1100=0,LN($F1100/$AK1100)/$AL1100,((($F1100/$AK1100)^$AJ1100)-1)/($AJ1100*$AL1100)))</f>
        <v/>
      </c>
      <c r="AN1100">
        <f>IF($AJ1100="","",IF($AJ1100=0,$AK1100*EXP($AL1100*2),$AK1100*(1+$AJ1100*$AL1100*2)^(1/$AJ1100)))</f>
        <v/>
      </c>
      <c r="AO1100">
        <f>IF($AJ1100="","",IF($AJ1100=0,$AK1100*EXP($AL1100*3),$AK1100*(1+$AJ1100*$AL1100*3)^(1/$AJ1100)))</f>
        <v/>
      </c>
      <c r="AP1100">
        <f>IF($AJ1100="","",IF($AJ1100=0,$AK1100*EXP($AL1100*-2),$AK1100*(1+$AJ1100*$AL1100*-2)^(1/$AJ1100)))</f>
        <v/>
      </c>
      <c r="AQ1100">
        <f>IF($AJ1100="","",IF($AJ1100=0,$AK1100*EXP($AL1100*-3),$AK1100*(1+$AJ1100*$AL1100*-3)^(1/$AJ1100)))</f>
        <v/>
      </c>
      <c r="AR1100">
        <f>IF(OR($X1100="",$T1100&gt;60),"",IFERROR(INDEX(IF($T1100&lt;24,pcomp_l,palt_l),MATCH($X1100,IF($T1100&lt;24,pcomp_k,palt_k),1)),""))</f>
        <v/>
      </c>
      <c r="AS1100">
        <f>IF(OR($X1100="",$T1100&gt;60),"",IFERROR(INDEX(IF($T1100&lt;24,pcomp_m,palt_m),MATCH($X1100,IF($T1100&lt;24,pcomp_k,palt_k),1)),""))</f>
        <v/>
      </c>
      <c r="AT1100">
        <f>IF(OR($X1100="",$T1100&gt;60),"",IFERROR(INDEX(IF($T1100&lt;24,pcomp_s,palt_s),MATCH($X1100,IF($T1100&lt;24,pcomp_k,palt_k),1)),""))</f>
        <v/>
      </c>
      <c r="AU1100">
        <f>IF($AR1100="","",IF($AR1100=0,LN($F1100/$AS1100)/$AT1100,((($F1100/$AS1100)^$AR1100)-1)/($AR1100*$AT1100)))</f>
        <v/>
      </c>
      <c r="AV1100">
        <f>IF($AR1100="","",IF($AR1100=0,$AS1100*EXP($AT1100*2),$AS1100*(1+$AR1100*$AT1100*2)^(1/$AR1100)))</f>
        <v/>
      </c>
      <c r="AW1100">
        <f>IF($AR1100="","",IF($AR1100=0,$AS1100*EXP($AT1100*3),$AS1100*(1+$AR1100*$AT1100*3)^(1/$AR1100)))</f>
        <v/>
      </c>
      <c r="AX1100">
        <f>IF($AR1100="","",IF($AR1100=0,$AS1100*EXP($AT1100*-2),$AS1100*(1+$AR1100*$AT1100*-2)^(1/$AR1100)))</f>
        <v/>
      </c>
      <c r="AY1100">
        <f>IF($AR1100="","",IF($AR1100=0,$AS1100*EXP($AT1100*-3),$AS1100*(1+$AR1100*$AT1100*-3)^(1/$AR1100)))</f>
        <v/>
      </c>
      <c r="AZ1100">
        <f>IF(OR($A1100="",$A1100&lt;&gt;Ficha!$C$4),"",COUNTIF($A$2:$A1100,Ficha!$C$4))</f>
        <v/>
      </c>
    </row>
    <row r="1101">
      <c r="A1101" s="8">
        <f>IF(INDEX(Banco!$A:$A,ROW())="","",INDEX(Banco!$A:$A,ROW()))</f>
        <v/>
      </c>
      <c r="B1101" s="8">
        <f>IF(INDEX(Banco!$B:$B,ROW())="","",INDEX(Banco!$B:$B,ROW()))</f>
        <v/>
      </c>
      <c r="C1101" s="8">
        <f>IF(INDEX(Banco!$C:$C,ROW())="","",INDEX(Banco!$C:$C,ROW()))</f>
        <v/>
      </c>
      <c r="D1101" s="9">
        <f>IF(INDEX(Banco!$D:$D,ROW())="","",INDEX(Banco!$D:$D,ROW()))</f>
        <v/>
      </c>
      <c r="E1101" s="9">
        <f>IF(INDEX(Banco!$E:$E,ROW())="","",INDEX(Banco!$E:$E,ROW()))</f>
        <v/>
      </c>
      <c r="F1101" s="10">
        <f>IF(INDEX(Banco!$F:$F,ROW())="","",INDEX(Banco!$F:$F,ROW()))</f>
        <v/>
      </c>
      <c r="G1101" s="10">
        <f>IF(INDEX(Banco!$G:$G,ROW())="","",INDEX(Banco!$G:$G,ROW()))</f>
        <v/>
      </c>
      <c r="H1101" s="8">
        <f>IF(INDEX(Banco!$H:$H,ROW())="","",INDEX(Banco!$H:$H,ROW()))</f>
        <v/>
      </c>
      <c r="I1101">
        <f>IF($T1101="","",INT($T1101/12)&amp;"a "&amp;MOD($T1101,12)&amp;"m")</f>
        <v/>
      </c>
      <c r="J1101" s="11">
        <f>IF(OR($F1101="",$G1101=""),"",ROUND($F1101/($G1101/100)^2,2))</f>
        <v/>
      </c>
      <c r="K1101" s="12">
        <f>IF(OR($S1101="",$J1101="",$T1101="",$T1101&lt;0,$T1101&gt;228,$Y1101=""),"—",ROUND(IF(ABS($AB1101)&lt;=3,$AB1101,IF($AB1101&gt;3,3+($J1101-$AD1101)/($AD1101-$AC1101),-3+($J1101-$AF1101)/($AE1101-$AF1101))),2))</f>
        <v/>
      </c>
      <c r="L1101">
        <f>IF(OR($K1101="",$K1101="—"),"",IF($T1101&lt;=60,IF($K1101&lt;-3,"Magreza acentuada",IF($K1101&lt;-2,"Magreza",IF($K1101&lt;=1,"Eutrofia",IF($K1101&lt;=2,"Risco de sobrepeso",IF($K1101&lt;=3,"Sobrepeso","Obesidade"))))),IF($K1101&lt;-3,"Magreza acentuada",IF($K1101&lt;-2,"Magreza",IF($K1101&lt;=1,"Eutrofia",IF($K1101&lt;=2,"Sobrepeso",IF($K1101&lt;=3,"Obesidade","Obesidade grave")))))))</f>
        <v/>
      </c>
      <c r="M1101" s="12">
        <f>IF(OR($S1101="",$V1101="",$T1101="",$T1101&lt;0,$T1101&gt;228,$AG1101=""),"—",ROUND(IF($AG1101=0,LN($V1101/$AH1101)/$AI1101,((($V1101/$AH1101)^$AG1101)-1)/($AG1101*$AI1101)),2))</f>
        <v/>
      </c>
      <c r="N1101">
        <f>IF(OR($M1101="",$M1101="—"),"",IF($M1101&lt;-3,"Muito baixa",IF($M1101&lt;-2,"Baixa","Adequada")))</f>
        <v/>
      </c>
      <c r="O1101" s="12">
        <f>IF(OR($S1101="",$F1101="",$T1101="",$T1101&lt;0,$T1101&gt;120,$AJ1101=""),"—",ROUND(IF(ABS($AM1101)&lt;=3,$AM1101,IF($AM1101&gt;3,3+($F1101-$AO1101)/($AO1101-$AN1101),-3+($F1101-$AQ1101)/($AP1101-$AQ1101))),2))</f>
        <v/>
      </c>
      <c r="P1101">
        <f>IF(OR($O1101="",$O1101="—"),"",IF($O1101&lt;-3,"Muito baixo",IF($O1101&lt;-2,"Baixo",IF($O1101&lt;=2,"Adequado","Elevado"))))</f>
        <v/>
      </c>
      <c r="Q1101" s="12">
        <f>IF(OR($S1101="",$F1101="",$T1101="",$T1101&lt;0,$T1101&gt;60,$AR1101=""),"—",ROUND(IF(ABS($AU1101)&lt;=3,$AU1101,IF($AU1101&gt;3,3+($F1101-$AW1101)/($AW1101-$AV1101),-3+($F1101-$AY1101)/($AX1101-$AY1101))),2))</f>
        <v/>
      </c>
      <c r="R1101">
        <f>IF(OR($Q1101="",$Q1101="—"),"",IF($Q1101&lt;-3,"Magreza acentuada",IF($Q1101&lt;-2,"Magreza",IF($Q1101&lt;=1,"Eutrofia",IF($Q1101&lt;=2,"Risco de sobrepeso",IF($Q1101&lt;=3,"Sobrepeso","Obesidade"))))))</f>
        <v/>
      </c>
      <c r="S1101">
        <f>IF($C1101="","",IF(UPPER(LEFT($C1101,1))="M",1,IF(UPPER(LEFT($C1101,1))="F",2,"")))</f>
        <v/>
      </c>
      <c r="T1101">
        <f>IF(OR($D1101="",$E1101=""),"",DATEDIF($D1101,$E1101,"m"))</f>
        <v/>
      </c>
      <c r="U1101">
        <f>IF(OR($D1101="",$E1101=""),"",$E1101-$D1101)</f>
        <v/>
      </c>
      <c r="V1101">
        <f>IF(OR($G1101="",$T1101=""),"",IF($T1101&lt;24,IF(LEFT(LOWER($H1101),4)="em p",$G1101+0.7,$G1101),IF(LEFT(LOWER($H1101),4)="deit",$G1101-0.7,$G1101)))</f>
        <v/>
      </c>
      <c r="W1101">
        <f>IF(OR($S1101="",$T1101=""),"",$S1101*1000000+IF($T1101&lt;=60,$U1101,$T1101))</f>
        <v/>
      </c>
      <c r="X1101">
        <f>IF(OR($S1101="",$V1101="",$T1101&gt;60,$T1101=""),"",$S1101*1000000+ROUND($V1101*10,0))</f>
        <v/>
      </c>
      <c r="Y1101">
        <f>IF($W1101="","",IFERROR(INDEX(IF($T1101&lt;=60,imc05_l,imc519_l),MATCH($W1101,IF($T1101&lt;=60,imc05_k,imc519_k),1)),""))</f>
        <v/>
      </c>
      <c r="Z1101">
        <f>IF($W1101="","",IFERROR(INDEX(IF($T1101&lt;=60,imc05_m,imc519_m),MATCH($W1101,IF($T1101&lt;=60,imc05_k,imc519_k),1)),""))</f>
        <v/>
      </c>
      <c r="AA1101">
        <f>IF($W1101="","",IFERROR(INDEX(IF($T1101&lt;=60,imc05_s,imc519_s),MATCH($W1101,IF($T1101&lt;=60,imc05_k,imc519_k),1)),""))</f>
        <v/>
      </c>
      <c r="AB1101">
        <f>IF($Y1101="","",IF($Y1101=0,LN($J1101/$Z1101)/$AA1101,((($J1101/$Z1101)^$Y1101)-1)/($Y1101*$AA1101)))</f>
        <v/>
      </c>
      <c r="AC1101">
        <f>IF($Y1101="","",IF($Y1101=0,$Z1101*EXP($AA1101*2),$Z1101*(1+$Y1101*$AA1101*2)^(1/$Y1101)))</f>
        <v/>
      </c>
      <c r="AD1101">
        <f>IF($Y1101="","",IF($Y1101=0,$Z1101*EXP($AA1101*3),$Z1101*(1+$Y1101*$AA1101*3)^(1/$Y1101)))</f>
        <v/>
      </c>
      <c r="AE1101">
        <f>IF($Y1101="","",IF($Y1101=0,$Z1101*EXP($AA1101*-2),$Z1101*(1+$Y1101*$AA1101*-2)^(1/$Y1101)))</f>
        <v/>
      </c>
      <c r="AF1101">
        <f>IF($Y1101="","",IF($Y1101=0,$Z1101*EXP($AA1101*-3),$Z1101*(1+$Y1101*$AA1101*-3)^(1/$Y1101)))</f>
        <v/>
      </c>
      <c r="AG1101">
        <f>IF($W1101="","",IFERROR(INDEX(IF($T1101&lt;=60,est05_l,est519_l),MATCH($W1101,IF($T1101&lt;=60,est05_k,est519_k),1)),""))</f>
        <v/>
      </c>
      <c r="AH1101">
        <f>IF($W1101="","",IFERROR(INDEX(IF($T1101&lt;=60,est05_m,est519_m),MATCH($W1101,IF($T1101&lt;=60,est05_k,est519_k),1)),""))</f>
        <v/>
      </c>
      <c r="AI1101">
        <f>IF($W1101="","",IFERROR(INDEX(IF($T1101&lt;=60,est05_s,est519_s),MATCH($W1101,IF($T1101&lt;=60,est05_k,est519_k),1)),""))</f>
        <v/>
      </c>
      <c r="AJ1101">
        <f>IF($W1101="","",IFERROR(INDEX(IF($T1101&lt;=60,peso05_l,peso510_l),MATCH($W1101,IF($T1101&lt;=60,peso05_k,peso510_k),1)),""))</f>
        <v/>
      </c>
      <c r="AK1101">
        <f>IF($W1101="","",IFERROR(INDEX(IF($T1101&lt;=60,peso05_m,peso510_m),MATCH($W1101,IF($T1101&lt;=60,peso05_k,peso510_k),1)),""))</f>
        <v/>
      </c>
      <c r="AL1101">
        <f>IF($W1101="","",IFERROR(INDEX(IF($T1101&lt;=60,peso05_s,peso510_s),MATCH($W1101,IF($T1101&lt;=60,peso05_k,peso510_k),1)),""))</f>
        <v/>
      </c>
      <c r="AM1101">
        <f>IF($AJ1101="","",IF($AJ1101=0,LN($F1101/$AK1101)/$AL1101,((($F1101/$AK1101)^$AJ1101)-1)/($AJ1101*$AL1101)))</f>
        <v/>
      </c>
      <c r="AN1101">
        <f>IF($AJ1101="","",IF($AJ1101=0,$AK1101*EXP($AL1101*2),$AK1101*(1+$AJ1101*$AL1101*2)^(1/$AJ1101)))</f>
        <v/>
      </c>
      <c r="AO1101">
        <f>IF($AJ1101="","",IF($AJ1101=0,$AK1101*EXP($AL1101*3),$AK1101*(1+$AJ1101*$AL1101*3)^(1/$AJ1101)))</f>
        <v/>
      </c>
      <c r="AP1101">
        <f>IF($AJ1101="","",IF($AJ1101=0,$AK1101*EXP($AL1101*-2),$AK1101*(1+$AJ1101*$AL1101*-2)^(1/$AJ1101)))</f>
        <v/>
      </c>
      <c r="AQ1101">
        <f>IF($AJ1101="","",IF($AJ1101=0,$AK1101*EXP($AL1101*-3),$AK1101*(1+$AJ1101*$AL1101*-3)^(1/$AJ1101)))</f>
        <v/>
      </c>
      <c r="AR1101">
        <f>IF(OR($X1101="",$T1101&gt;60),"",IFERROR(INDEX(IF($T1101&lt;24,pcomp_l,palt_l),MATCH($X1101,IF($T1101&lt;24,pcomp_k,palt_k),1)),""))</f>
        <v/>
      </c>
      <c r="AS1101">
        <f>IF(OR($X1101="",$T1101&gt;60),"",IFERROR(INDEX(IF($T1101&lt;24,pcomp_m,palt_m),MATCH($X1101,IF($T1101&lt;24,pcomp_k,palt_k),1)),""))</f>
        <v/>
      </c>
      <c r="AT1101">
        <f>IF(OR($X1101="",$T1101&gt;60),"",IFERROR(INDEX(IF($T1101&lt;24,pcomp_s,palt_s),MATCH($X1101,IF($T1101&lt;24,pcomp_k,palt_k),1)),""))</f>
        <v/>
      </c>
      <c r="AU1101">
        <f>IF($AR1101="","",IF($AR1101=0,LN($F1101/$AS1101)/$AT1101,((($F1101/$AS1101)^$AR1101)-1)/($AR1101*$AT1101)))</f>
        <v/>
      </c>
      <c r="AV1101">
        <f>IF($AR1101="","",IF($AR1101=0,$AS1101*EXP($AT1101*2),$AS1101*(1+$AR1101*$AT1101*2)^(1/$AR1101)))</f>
        <v/>
      </c>
      <c r="AW1101">
        <f>IF($AR1101="","",IF($AR1101=0,$AS1101*EXP($AT1101*3),$AS1101*(1+$AR1101*$AT1101*3)^(1/$AR1101)))</f>
        <v/>
      </c>
      <c r="AX1101">
        <f>IF($AR1101="","",IF($AR1101=0,$AS1101*EXP($AT1101*-2),$AS1101*(1+$AR1101*$AT1101*-2)^(1/$AR1101)))</f>
        <v/>
      </c>
      <c r="AY1101">
        <f>IF($AR1101="","",IF($AR1101=0,$AS1101*EXP($AT1101*-3),$AS1101*(1+$AR1101*$AT1101*-3)^(1/$AR1101)))</f>
        <v/>
      </c>
      <c r="AZ1101">
        <f>IF(OR($A1101="",$A1101&lt;&gt;Ficha!$C$4),"",COUNTIF($A$2:$A1101,Ficha!$C$4))</f>
        <v/>
      </c>
    </row>
    <row r="1102">
      <c r="A1102" s="8">
        <f>IF(INDEX(Banco!$A:$A,ROW())="","",INDEX(Banco!$A:$A,ROW()))</f>
        <v/>
      </c>
      <c r="B1102" s="8">
        <f>IF(INDEX(Banco!$B:$B,ROW())="","",INDEX(Banco!$B:$B,ROW()))</f>
        <v/>
      </c>
      <c r="C1102" s="8">
        <f>IF(INDEX(Banco!$C:$C,ROW())="","",INDEX(Banco!$C:$C,ROW()))</f>
        <v/>
      </c>
      <c r="D1102" s="9">
        <f>IF(INDEX(Banco!$D:$D,ROW())="","",INDEX(Banco!$D:$D,ROW()))</f>
        <v/>
      </c>
      <c r="E1102" s="9">
        <f>IF(INDEX(Banco!$E:$E,ROW())="","",INDEX(Banco!$E:$E,ROW()))</f>
        <v/>
      </c>
      <c r="F1102" s="10">
        <f>IF(INDEX(Banco!$F:$F,ROW())="","",INDEX(Banco!$F:$F,ROW()))</f>
        <v/>
      </c>
      <c r="G1102" s="10">
        <f>IF(INDEX(Banco!$G:$G,ROW())="","",INDEX(Banco!$G:$G,ROW()))</f>
        <v/>
      </c>
      <c r="H1102" s="8">
        <f>IF(INDEX(Banco!$H:$H,ROW())="","",INDEX(Banco!$H:$H,ROW()))</f>
        <v/>
      </c>
      <c r="I1102">
        <f>IF($T1102="","",INT($T1102/12)&amp;"a "&amp;MOD($T1102,12)&amp;"m")</f>
        <v/>
      </c>
      <c r="J1102" s="11">
        <f>IF(OR($F1102="",$G1102=""),"",ROUND($F1102/($G1102/100)^2,2))</f>
        <v/>
      </c>
      <c r="K1102" s="12">
        <f>IF(OR($S1102="",$J1102="",$T1102="",$T1102&lt;0,$T1102&gt;228,$Y1102=""),"—",ROUND(IF(ABS($AB1102)&lt;=3,$AB1102,IF($AB1102&gt;3,3+($J1102-$AD1102)/($AD1102-$AC1102),-3+($J1102-$AF1102)/($AE1102-$AF1102))),2))</f>
        <v/>
      </c>
      <c r="L1102">
        <f>IF(OR($K1102="",$K1102="—"),"",IF($T1102&lt;=60,IF($K1102&lt;-3,"Magreza acentuada",IF($K1102&lt;-2,"Magreza",IF($K1102&lt;=1,"Eutrofia",IF($K1102&lt;=2,"Risco de sobrepeso",IF($K1102&lt;=3,"Sobrepeso","Obesidade"))))),IF($K1102&lt;-3,"Magreza acentuada",IF($K1102&lt;-2,"Magreza",IF($K1102&lt;=1,"Eutrofia",IF($K1102&lt;=2,"Sobrepeso",IF($K1102&lt;=3,"Obesidade","Obesidade grave")))))))</f>
        <v/>
      </c>
      <c r="M1102" s="12">
        <f>IF(OR($S1102="",$V1102="",$T1102="",$T1102&lt;0,$T1102&gt;228,$AG1102=""),"—",ROUND(IF($AG1102=0,LN($V1102/$AH1102)/$AI1102,((($V1102/$AH1102)^$AG1102)-1)/($AG1102*$AI1102)),2))</f>
        <v/>
      </c>
      <c r="N1102">
        <f>IF(OR($M1102="",$M1102="—"),"",IF($M1102&lt;-3,"Muito baixa",IF($M1102&lt;-2,"Baixa","Adequada")))</f>
        <v/>
      </c>
      <c r="O1102" s="12">
        <f>IF(OR($S1102="",$F1102="",$T1102="",$T1102&lt;0,$T1102&gt;120,$AJ1102=""),"—",ROUND(IF(ABS($AM1102)&lt;=3,$AM1102,IF($AM1102&gt;3,3+($F1102-$AO1102)/($AO1102-$AN1102),-3+($F1102-$AQ1102)/($AP1102-$AQ1102))),2))</f>
        <v/>
      </c>
      <c r="P1102">
        <f>IF(OR($O1102="",$O1102="—"),"",IF($O1102&lt;-3,"Muito baixo",IF($O1102&lt;-2,"Baixo",IF($O1102&lt;=2,"Adequado","Elevado"))))</f>
        <v/>
      </c>
      <c r="Q1102" s="12">
        <f>IF(OR($S1102="",$F1102="",$T1102="",$T1102&lt;0,$T1102&gt;60,$AR1102=""),"—",ROUND(IF(ABS($AU1102)&lt;=3,$AU1102,IF($AU1102&gt;3,3+($F1102-$AW1102)/($AW1102-$AV1102),-3+($F1102-$AY1102)/($AX1102-$AY1102))),2))</f>
        <v/>
      </c>
      <c r="R1102">
        <f>IF(OR($Q1102="",$Q1102="—"),"",IF($Q1102&lt;-3,"Magreza acentuada",IF($Q1102&lt;-2,"Magreza",IF($Q1102&lt;=1,"Eutrofia",IF($Q1102&lt;=2,"Risco de sobrepeso",IF($Q1102&lt;=3,"Sobrepeso","Obesidade"))))))</f>
        <v/>
      </c>
      <c r="S1102">
        <f>IF($C1102="","",IF(UPPER(LEFT($C1102,1))="M",1,IF(UPPER(LEFT($C1102,1))="F",2,"")))</f>
        <v/>
      </c>
      <c r="T1102">
        <f>IF(OR($D1102="",$E1102=""),"",DATEDIF($D1102,$E1102,"m"))</f>
        <v/>
      </c>
      <c r="U1102">
        <f>IF(OR($D1102="",$E1102=""),"",$E1102-$D1102)</f>
        <v/>
      </c>
      <c r="V1102">
        <f>IF(OR($G1102="",$T1102=""),"",IF($T1102&lt;24,IF(LEFT(LOWER($H1102),4)="em p",$G1102+0.7,$G1102),IF(LEFT(LOWER($H1102),4)="deit",$G1102-0.7,$G1102)))</f>
        <v/>
      </c>
      <c r="W1102">
        <f>IF(OR($S1102="",$T1102=""),"",$S1102*1000000+IF($T1102&lt;=60,$U1102,$T1102))</f>
        <v/>
      </c>
      <c r="X1102">
        <f>IF(OR($S1102="",$V1102="",$T1102&gt;60,$T1102=""),"",$S1102*1000000+ROUND($V1102*10,0))</f>
        <v/>
      </c>
      <c r="Y1102">
        <f>IF($W1102="","",IFERROR(INDEX(IF($T1102&lt;=60,imc05_l,imc519_l),MATCH($W1102,IF($T1102&lt;=60,imc05_k,imc519_k),1)),""))</f>
        <v/>
      </c>
      <c r="Z1102">
        <f>IF($W1102="","",IFERROR(INDEX(IF($T1102&lt;=60,imc05_m,imc519_m),MATCH($W1102,IF($T1102&lt;=60,imc05_k,imc519_k),1)),""))</f>
        <v/>
      </c>
      <c r="AA1102">
        <f>IF($W1102="","",IFERROR(INDEX(IF($T1102&lt;=60,imc05_s,imc519_s),MATCH($W1102,IF($T1102&lt;=60,imc05_k,imc519_k),1)),""))</f>
        <v/>
      </c>
      <c r="AB1102">
        <f>IF($Y1102="","",IF($Y1102=0,LN($J1102/$Z1102)/$AA1102,((($J1102/$Z1102)^$Y1102)-1)/($Y1102*$AA1102)))</f>
        <v/>
      </c>
      <c r="AC1102">
        <f>IF($Y1102="","",IF($Y1102=0,$Z1102*EXP($AA1102*2),$Z1102*(1+$Y1102*$AA1102*2)^(1/$Y1102)))</f>
        <v/>
      </c>
      <c r="AD1102">
        <f>IF($Y1102="","",IF($Y1102=0,$Z1102*EXP($AA1102*3),$Z1102*(1+$Y1102*$AA1102*3)^(1/$Y1102)))</f>
        <v/>
      </c>
      <c r="AE1102">
        <f>IF($Y1102="","",IF($Y1102=0,$Z1102*EXP($AA1102*-2),$Z1102*(1+$Y1102*$AA1102*-2)^(1/$Y1102)))</f>
        <v/>
      </c>
      <c r="AF1102">
        <f>IF($Y1102="","",IF($Y1102=0,$Z1102*EXP($AA1102*-3),$Z1102*(1+$Y1102*$AA1102*-3)^(1/$Y1102)))</f>
        <v/>
      </c>
      <c r="AG1102">
        <f>IF($W1102="","",IFERROR(INDEX(IF($T1102&lt;=60,est05_l,est519_l),MATCH($W1102,IF($T1102&lt;=60,est05_k,est519_k),1)),""))</f>
        <v/>
      </c>
      <c r="AH1102">
        <f>IF($W1102="","",IFERROR(INDEX(IF($T1102&lt;=60,est05_m,est519_m),MATCH($W1102,IF($T1102&lt;=60,est05_k,est519_k),1)),""))</f>
        <v/>
      </c>
      <c r="AI1102">
        <f>IF($W1102="","",IFERROR(INDEX(IF($T1102&lt;=60,est05_s,est519_s),MATCH($W1102,IF($T1102&lt;=60,est05_k,est519_k),1)),""))</f>
        <v/>
      </c>
      <c r="AJ1102">
        <f>IF($W1102="","",IFERROR(INDEX(IF($T1102&lt;=60,peso05_l,peso510_l),MATCH($W1102,IF($T1102&lt;=60,peso05_k,peso510_k),1)),""))</f>
        <v/>
      </c>
      <c r="AK1102">
        <f>IF($W1102="","",IFERROR(INDEX(IF($T1102&lt;=60,peso05_m,peso510_m),MATCH($W1102,IF($T1102&lt;=60,peso05_k,peso510_k),1)),""))</f>
        <v/>
      </c>
      <c r="AL1102">
        <f>IF($W1102="","",IFERROR(INDEX(IF($T1102&lt;=60,peso05_s,peso510_s),MATCH($W1102,IF($T1102&lt;=60,peso05_k,peso510_k),1)),""))</f>
        <v/>
      </c>
      <c r="AM1102">
        <f>IF($AJ1102="","",IF($AJ1102=0,LN($F1102/$AK1102)/$AL1102,((($F1102/$AK1102)^$AJ1102)-1)/($AJ1102*$AL1102)))</f>
        <v/>
      </c>
      <c r="AN1102">
        <f>IF($AJ1102="","",IF($AJ1102=0,$AK1102*EXP($AL1102*2),$AK1102*(1+$AJ1102*$AL1102*2)^(1/$AJ1102)))</f>
        <v/>
      </c>
      <c r="AO1102">
        <f>IF($AJ1102="","",IF($AJ1102=0,$AK1102*EXP($AL1102*3),$AK1102*(1+$AJ1102*$AL1102*3)^(1/$AJ1102)))</f>
        <v/>
      </c>
      <c r="AP1102">
        <f>IF($AJ1102="","",IF($AJ1102=0,$AK1102*EXP($AL1102*-2),$AK1102*(1+$AJ1102*$AL1102*-2)^(1/$AJ1102)))</f>
        <v/>
      </c>
      <c r="AQ1102">
        <f>IF($AJ1102="","",IF($AJ1102=0,$AK1102*EXP($AL1102*-3),$AK1102*(1+$AJ1102*$AL1102*-3)^(1/$AJ1102)))</f>
        <v/>
      </c>
      <c r="AR1102">
        <f>IF(OR($X1102="",$T1102&gt;60),"",IFERROR(INDEX(IF($T1102&lt;24,pcomp_l,palt_l),MATCH($X1102,IF($T1102&lt;24,pcomp_k,palt_k),1)),""))</f>
        <v/>
      </c>
      <c r="AS1102">
        <f>IF(OR($X1102="",$T1102&gt;60),"",IFERROR(INDEX(IF($T1102&lt;24,pcomp_m,palt_m),MATCH($X1102,IF($T1102&lt;24,pcomp_k,palt_k),1)),""))</f>
        <v/>
      </c>
      <c r="AT1102">
        <f>IF(OR($X1102="",$T1102&gt;60),"",IFERROR(INDEX(IF($T1102&lt;24,pcomp_s,palt_s),MATCH($X1102,IF($T1102&lt;24,pcomp_k,palt_k),1)),""))</f>
        <v/>
      </c>
      <c r="AU1102">
        <f>IF($AR1102="","",IF($AR1102=0,LN($F1102/$AS1102)/$AT1102,((($F1102/$AS1102)^$AR1102)-1)/($AR1102*$AT1102)))</f>
        <v/>
      </c>
      <c r="AV1102">
        <f>IF($AR1102="","",IF($AR1102=0,$AS1102*EXP($AT1102*2),$AS1102*(1+$AR1102*$AT1102*2)^(1/$AR1102)))</f>
        <v/>
      </c>
      <c r="AW1102">
        <f>IF($AR1102="","",IF($AR1102=0,$AS1102*EXP($AT1102*3),$AS1102*(1+$AR1102*$AT1102*3)^(1/$AR1102)))</f>
        <v/>
      </c>
      <c r="AX1102">
        <f>IF($AR1102="","",IF($AR1102=0,$AS1102*EXP($AT1102*-2),$AS1102*(1+$AR1102*$AT1102*-2)^(1/$AR1102)))</f>
        <v/>
      </c>
      <c r="AY1102">
        <f>IF($AR1102="","",IF($AR1102=0,$AS1102*EXP($AT1102*-3),$AS1102*(1+$AR1102*$AT1102*-3)^(1/$AR1102)))</f>
        <v/>
      </c>
      <c r="AZ1102">
        <f>IF(OR($A1102="",$A1102&lt;&gt;Ficha!$C$4),"",COUNTIF($A$2:$A1102,Ficha!$C$4))</f>
        <v/>
      </c>
    </row>
    <row r="1103">
      <c r="A1103" s="8">
        <f>IF(INDEX(Banco!$A:$A,ROW())="","",INDEX(Banco!$A:$A,ROW()))</f>
        <v/>
      </c>
      <c r="B1103" s="8">
        <f>IF(INDEX(Banco!$B:$B,ROW())="","",INDEX(Banco!$B:$B,ROW()))</f>
        <v/>
      </c>
      <c r="C1103" s="8">
        <f>IF(INDEX(Banco!$C:$C,ROW())="","",INDEX(Banco!$C:$C,ROW()))</f>
        <v/>
      </c>
      <c r="D1103" s="9">
        <f>IF(INDEX(Banco!$D:$D,ROW())="","",INDEX(Banco!$D:$D,ROW()))</f>
        <v/>
      </c>
      <c r="E1103" s="9">
        <f>IF(INDEX(Banco!$E:$E,ROW())="","",INDEX(Banco!$E:$E,ROW()))</f>
        <v/>
      </c>
      <c r="F1103" s="10">
        <f>IF(INDEX(Banco!$F:$F,ROW())="","",INDEX(Banco!$F:$F,ROW()))</f>
        <v/>
      </c>
      <c r="G1103" s="10">
        <f>IF(INDEX(Banco!$G:$G,ROW())="","",INDEX(Banco!$G:$G,ROW()))</f>
        <v/>
      </c>
      <c r="H1103" s="8">
        <f>IF(INDEX(Banco!$H:$H,ROW())="","",INDEX(Banco!$H:$H,ROW()))</f>
        <v/>
      </c>
      <c r="I1103">
        <f>IF($T1103="","",INT($T1103/12)&amp;"a "&amp;MOD($T1103,12)&amp;"m")</f>
        <v/>
      </c>
      <c r="J1103" s="11">
        <f>IF(OR($F1103="",$G1103=""),"",ROUND($F1103/($G1103/100)^2,2))</f>
        <v/>
      </c>
      <c r="K1103" s="12">
        <f>IF(OR($S1103="",$J1103="",$T1103="",$T1103&lt;0,$T1103&gt;228,$Y1103=""),"—",ROUND(IF(ABS($AB1103)&lt;=3,$AB1103,IF($AB1103&gt;3,3+($J1103-$AD1103)/($AD1103-$AC1103),-3+($J1103-$AF1103)/($AE1103-$AF1103))),2))</f>
        <v/>
      </c>
      <c r="L1103">
        <f>IF(OR($K1103="",$K1103="—"),"",IF($T1103&lt;=60,IF($K1103&lt;-3,"Magreza acentuada",IF($K1103&lt;-2,"Magreza",IF($K1103&lt;=1,"Eutrofia",IF($K1103&lt;=2,"Risco de sobrepeso",IF($K1103&lt;=3,"Sobrepeso","Obesidade"))))),IF($K1103&lt;-3,"Magreza acentuada",IF($K1103&lt;-2,"Magreza",IF($K1103&lt;=1,"Eutrofia",IF($K1103&lt;=2,"Sobrepeso",IF($K1103&lt;=3,"Obesidade","Obesidade grave")))))))</f>
        <v/>
      </c>
      <c r="M1103" s="12">
        <f>IF(OR($S1103="",$V1103="",$T1103="",$T1103&lt;0,$T1103&gt;228,$AG1103=""),"—",ROUND(IF($AG1103=0,LN($V1103/$AH1103)/$AI1103,((($V1103/$AH1103)^$AG1103)-1)/($AG1103*$AI1103)),2))</f>
        <v/>
      </c>
      <c r="N1103">
        <f>IF(OR($M1103="",$M1103="—"),"",IF($M1103&lt;-3,"Muito baixa",IF($M1103&lt;-2,"Baixa","Adequada")))</f>
        <v/>
      </c>
      <c r="O1103" s="12">
        <f>IF(OR($S1103="",$F1103="",$T1103="",$T1103&lt;0,$T1103&gt;120,$AJ1103=""),"—",ROUND(IF(ABS($AM1103)&lt;=3,$AM1103,IF($AM1103&gt;3,3+($F1103-$AO1103)/($AO1103-$AN1103),-3+($F1103-$AQ1103)/($AP1103-$AQ1103))),2))</f>
        <v/>
      </c>
      <c r="P1103">
        <f>IF(OR($O1103="",$O1103="—"),"",IF($O1103&lt;-3,"Muito baixo",IF($O1103&lt;-2,"Baixo",IF($O1103&lt;=2,"Adequado","Elevado"))))</f>
        <v/>
      </c>
      <c r="Q1103" s="12">
        <f>IF(OR($S1103="",$F1103="",$T1103="",$T1103&lt;0,$T1103&gt;60,$AR1103=""),"—",ROUND(IF(ABS($AU1103)&lt;=3,$AU1103,IF($AU1103&gt;3,3+($F1103-$AW1103)/($AW1103-$AV1103),-3+($F1103-$AY1103)/($AX1103-$AY1103))),2))</f>
        <v/>
      </c>
      <c r="R1103">
        <f>IF(OR($Q1103="",$Q1103="—"),"",IF($Q1103&lt;-3,"Magreza acentuada",IF($Q1103&lt;-2,"Magreza",IF($Q1103&lt;=1,"Eutrofia",IF($Q1103&lt;=2,"Risco de sobrepeso",IF($Q1103&lt;=3,"Sobrepeso","Obesidade"))))))</f>
        <v/>
      </c>
      <c r="S1103">
        <f>IF($C1103="","",IF(UPPER(LEFT($C1103,1))="M",1,IF(UPPER(LEFT($C1103,1))="F",2,"")))</f>
        <v/>
      </c>
      <c r="T1103">
        <f>IF(OR($D1103="",$E1103=""),"",DATEDIF($D1103,$E1103,"m"))</f>
        <v/>
      </c>
      <c r="U1103">
        <f>IF(OR($D1103="",$E1103=""),"",$E1103-$D1103)</f>
        <v/>
      </c>
      <c r="V1103">
        <f>IF(OR($G1103="",$T1103=""),"",IF($T1103&lt;24,IF(LEFT(LOWER($H1103),4)="em p",$G1103+0.7,$G1103),IF(LEFT(LOWER($H1103),4)="deit",$G1103-0.7,$G1103)))</f>
        <v/>
      </c>
      <c r="W1103">
        <f>IF(OR($S1103="",$T1103=""),"",$S1103*1000000+IF($T1103&lt;=60,$U1103,$T1103))</f>
        <v/>
      </c>
      <c r="X1103">
        <f>IF(OR($S1103="",$V1103="",$T1103&gt;60,$T1103=""),"",$S1103*1000000+ROUND($V1103*10,0))</f>
        <v/>
      </c>
      <c r="Y1103">
        <f>IF($W1103="","",IFERROR(INDEX(IF($T1103&lt;=60,imc05_l,imc519_l),MATCH($W1103,IF($T1103&lt;=60,imc05_k,imc519_k),1)),""))</f>
        <v/>
      </c>
      <c r="Z1103">
        <f>IF($W1103="","",IFERROR(INDEX(IF($T1103&lt;=60,imc05_m,imc519_m),MATCH($W1103,IF($T1103&lt;=60,imc05_k,imc519_k),1)),""))</f>
        <v/>
      </c>
      <c r="AA1103">
        <f>IF($W1103="","",IFERROR(INDEX(IF($T1103&lt;=60,imc05_s,imc519_s),MATCH($W1103,IF($T1103&lt;=60,imc05_k,imc519_k),1)),""))</f>
        <v/>
      </c>
      <c r="AB1103">
        <f>IF($Y1103="","",IF($Y1103=0,LN($J1103/$Z1103)/$AA1103,((($J1103/$Z1103)^$Y1103)-1)/($Y1103*$AA1103)))</f>
        <v/>
      </c>
      <c r="AC1103">
        <f>IF($Y1103="","",IF($Y1103=0,$Z1103*EXP($AA1103*2),$Z1103*(1+$Y1103*$AA1103*2)^(1/$Y1103)))</f>
        <v/>
      </c>
      <c r="AD1103">
        <f>IF($Y1103="","",IF($Y1103=0,$Z1103*EXP($AA1103*3),$Z1103*(1+$Y1103*$AA1103*3)^(1/$Y1103)))</f>
        <v/>
      </c>
      <c r="AE1103">
        <f>IF($Y1103="","",IF($Y1103=0,$Z1103*EXP($AA1103*-2),$Z1103*(1+$Y1103*$AA1103*-2)^(1/$Y1103)))</f>
        <v/>
      </c>
      <c r="AF1103">
        <f>IF($Y1103="","",IF($Y1103=0,$Z1103*EXP($AA1103*-3),$Z1103*(1+$Y1103*$AA1103*-3)^(1/$Y1103)))</f>
        <v/>
      </c>
      <c r="AG1103">
        <f>IF($W1103="","",IFERROR(INDEX(IF($T1103&lt;=60,est05_l,est519_l),MATCH($W1103,IF($T1103&lt;=60,est05_k,est519_k),1)),""))</f>
        <v/>
      </c>
      <c r="AH1103">
        <f>IF($W1103="","",IFERROR(INDEX(IF($T1103&lt;=60,est05_m,est519_m),MATCH($W1103,IF($T1103&lt;=60,est05_k,est519_k),1)),""))</f>
        <v/>
      </c>
      <c r="AI1103">
        <f>IF($W1103="","",IFERROR(INDEX(IF($T1103&lt;=60,est05_s,est519_s),MATCH($W1103,IF($T1103&lt;=60,est05_k,est519_k),1)),""))</f>
        <v/>
      </c>
      <c r="AJ1103">
        <f>IF($W1103="","",IFERROR(INDEX(IF($T1103&lt;=60,peso05_l,peso510_l),MATCH($W1103,IF($T1103&lt;=60,peso05_k,peso510_k),1)),""))</f>
        <v/>
      </c>
      <c r="AK1103">
        <f>IF($W1103="","",IFERROR(INDEX(IF($T1103&lt;=60,peso05_m,peso510_m),MATCH($W1103,IF($T1103&lt;=60,peso05_k,peso510_k),1)),""))</f>
        <v/>
      </c>
      <c r="AL1103">
        <f>IF($W1103="","",IFERROR(INDEX(IF($T1103&lt;=60,peso05_s,peso510_s),MATCH($W1103,IF($T1103&lt;=60,peso05_k,peso510_k),1)),""))</f>
        <v/>
      </c>
      <c r="AM1103">
        <f>IF($AJ1103="","",IF($AJ1103=0,LN($F1103/$AK1103)/$AL1103,((($F1103/$AK1103)^$AJ1103)-1)/($AJ1103*$AL1103)))</f>
        <v/>
      </c>
      <c r="AN1103">
        <f>IF($AJ1103="","",IF($AJ1103=0,$AK1103*EXP($AL1103*2),$AK1103*(1+$AJ1103*$AL1103*2)^(1/$AJ1103)))</f>
        <v/>
      </c>
      <c r="AO1103">
        <f>IF($AJ1103="","",IF($AJ1103=0,$AK1103*EXP($AL1103*3),$AK1103*(1+$AJ1103*$AL1103*3)^(1/$AJ1103)))</f>
        <v/>
      </c>
      <c r="AP1103">
        <f>IF($AJ1103="","",IF($AJ1103=0,$AK1103*EXP($AL1103*-2),$AK1103*(1+$AJ1103*$AL1103*-2)^(1/$AJ1103)))</f>
        <v/>
      </c>
      <c r="AQ1103">
        <f>IF($AJ1103="","",IF($AJ1103=0,$AK1103*EXP($AL1103*-3),$AK1103*(1+$AJ1103*$AL1103*-3)^(1/$AJ1103)))</f>
        <v/>
      </c>
      <c r="AR1103">
        <f>IF(OR($X1103="",$T1103&gt;60),"",IFERROR(INDEX(IF($T1103&lt;24,pcomp_l,palt_l),MATCH($X1103,IF($T1103&lt;24,pcomp_k,palt_k),1)),""))</f>
        <v/>
      </c>
      <c r="AS1103">
        <f>IF(OR($X1103="",$T1103&gt;60),"",IFERROR(INDEX(IF($T1103&lt;24,pcomp_m,palt_m),MATCH($X1103,IF($T1103&lt;24,pcomp_k,palt_k),1)),""))</f>
        <v/>
      </c>
      <c r="AT1103">
        <f>IF(OR($X1103="",$T1103&gt;60),"",IFERROR(INDEX(IF($T1103&lt;24,pcomp_s,palt_s),MATCH($X1103,IF($T1103&lt;24,pcomp_k,palt_k),1)),""))</f>
        <v/>
      </c>
      <c r="AU1103">
        <f>IF($AR1103="","",IF($AR1103=0,LN($F1103/$AS1103)/$AT1103,((($F1103/$AS1103)^$AR1103)-1)/($AR1103*$AT1103)))</f>
        <v/>
      </c>
      <c r="AV1103">
        <f>IF($AR1103="","",IF($AR1103=0,$AS1103*EXP($AT1103*2),$AS1103*(1+$AR1103*$AT1103*2)^(1/$AR1103)))</f>
        <v/>
      </c>
      <c r="AW1103">
        <f>IF($AR1103="","",IF($AR1103=0,$AS1103*EXP($AT1103*3),$AS1103*(1+$AR1103*$AT1103*3)^(1/$AR1103)))</f>
        <v/>
      </c>
      <c r="AX1103">
        <f>IF($AR1103="","",IF($AR1103=0,$AS1103*EXP($AT1103*-2),$AS1103*(1+$AR1103*$AT1103*-2)^(1/$AR1103)))</f>
        <v/>
      </c>
      <c r="AY1103">
        <f>IF($AR1103="","",IF($AR1103=0,$AS1103*EXP($AT1103*-3),$AS1103*(1+$AR1103*$AT1103*-3)^(1/$AR1103)))</f>
        <v/>
      </c>
      <c r="AZ1103">
        <f>IF(OR($A1103="",$A1103&lt;&gt;Ficha!$C$4),"",COUNTIF($A$2:$A1103,Ficha!$C$4))</f>
        <v/>
      </c>
    </row>
    <row r="1104">
      <c r="A1104" s="8">
        <f>IF(INDEX(Banco!$A:$A,ROW())="","",INDEX(Banco!$A:$A,ROW()))</f>
        <v/>
      </c>
      <c r="B1104" s="8">
        <f>IF(INDEX(Banco!$B:$B,ROW())="","",INDEX(Banco!$B:$B,ROW()))</f>
        <v/>
      </c>
      <c r="C1104" s="8">
        <f>IF(INDEX(Banco!$C:$C,ROW())="","",INDEX(Banco!$C:$C,ROW()))</f>
        <v/>
      </c>
      <c r="D1104" s="9">
        <f>IF(INDEX(Banco!$D:$D,ROW())="","",INDEX(Banco!$D:$D,ROW()))</f>
        <v/>
      </c>
      <c r="E1104" s="9">
        <f>IF(INDEX(Banco!$E:$E,ROW())="","",INDEX(Banco!$E:$E,ROW()))</f>
        <v/>
      </c>
      <c r="F1104" s="10">
        <f>IF(INDEX(Banco!$F:$F,ROW())="","",INDEX(Banco!$F:$F,ROW()))</f>
        <v/>
      </c>
      <c r="G1104" s="10">
        <f>IF(INDEX(Banco!$G:$G,ROW())="","",INDEX(Banco!$G:$G,ROW()))</f>
        <v/>
      </c>
      <c r="H1104" s="8">
        <f>IF(INDEX(Banco!$H:$H,ROW())="","",INDEX(Banco!$H:$H,ROW()))</f>
        <v/>
      </c>
      <c r="I1104">
        <f>IF($T1104="","",INT($T1104/12)&amp;"a "&amp;MOD($T1104,12)&amp;"m")</f>
        <v/>
      </c>
      <c r="J1104" s="11">
        <f>IF(OR($F1104="",$G1104=""),"",ROUND($F1104/($G1104/100)^2,2))</f>
        <v/>
      </c>
      <c r="K1104" s="12">
        <f>IF(OR($S1104="",$J1104="",$T1104="",$T1104&lt;0,$T1104&gt;228,$Y1104=""),"—",ROUND(IF(ABS($AB1104)&lt;=3,$AB1104,IF($AB1104&gt;3,3+($J1104-$AD1104)/($AD1104-$AC1104),-3+($J1104-$AF1104)/($AE1104-$AF1104))),2))</f>
        <v/>
      </c>
      <c r="L1104">
        <f>IF(OR($K1104="",$K1104="—"),"",IF($T1104&lt;=60,IF($K1104&lt;-3,"Magreza acentuada",IF($K1104&lt;-2,"Magreza",IF($K1104&lt;=1,"Eutrofia",IF($K1104&lt;=2,"Risco de sobrepeso",IF($K1104&lt;=3,"Sobrepeso","Obesidade"))))),IF($K1104&lt;-3,"Magreza acentuada",IF($K1104&lt;-2,"Magreza",IF($K1104&lt;=1,"Eutrofia",IF($K1104&lt;=2,"Sobrepeso",IF($K1104&lt;=3,"Obesidade","Obesidade grave")))))))</f>
        <v/>
      </c>
      <c r="M1104" s="12">
        <f>IF(OR($S1104="",$V1104="",$T1104="",$T1104&lt;0,$T1104&gt;228,$AG1104=""),"—",ROUND(IF($AG1104=0,LN($V1104/$AH1104)/$AI1104,((($V1104/$AH1104)^$AG1104)-1)/($AG1104*$AI1104)),2))</f>
        <v/>
      </c>
      <c r="N1104">
        <f>IF(OR($M1104="",$M1104="—"),"",IF($M1104&lt;-3,"Muito baixa",IF($M1104&lt;-2,"Baixa","Adequada")))</f>
        <v/>
      </c>
      <c r="O1104" s="12">
        <f>IF(OR($S1104="",$F1104="",$T1104="",$T1104&lt;0,$T1104&gt;120,$AJ1104=""),"—",ROUND(IF(ABS($AM1104)&lt;=3,$AM1104,IF($AM1104&gt;3,3+($F1104-$AO1104)/($AO1104-$AN1104),-3+($F1104-$AQ1104)/($AP1104-$AQ1104))),2))</f>
        <v/>
      </c>
      <c r="P1104">
        <f>IF(OR($O1104="",$O1104="—"),"",IF($O1104&lt;-3,"Muito baixo",IF($O1104&lt;-2,"Baixo",IF($O1104&lt;=2,"Adequado","Elevado"))))</f>
        <v/>
      </c>
      <c r="Q1104" s="12">
        <f>IF(OR($S1104="",$F1104="",$T1104="",$T1104&lt;0,$T1104&gt;60,$AR1104=""),"—",ROUND(IF(ABS($AU1104)&lt;=3,$AU1104,IF($AU1104&gt;3,3+($F1104-$AW1104)/($AW1104-$AV1104),-3+($F1104-$AY1104)/($AX1104-$AY1104))),2))</f>
        <v/>
      </c>
      <c r="R1104">
        <f>IF(OR($Q1104="",$Q1104="—"),"",IF($Q1104&lt;-3,"Magreza acentuada",IF($Q1104&lt;-2,"Magreza",IF($Q1104&lt;=1,"Eutrofia",IF($Q1104&lt;=2,"Risco de sobrepeso",IF($Q1104&lt;=3,"Sobrepeso","Obesidade"))))))</f>
        <v/>
      </c>
      <c r="S1104">
        <f>IF($C1104="","",IF(UPPER(LEFT($C1104,1))="M",1,IF(UPPER(LEFT($C1104,1))="F",2,"")))</f>
        <v/>
      </c>
      <c r="T1104">
        <f>IF(OR($D1104="",$E1104=""),"",DATEDIF($D1104,$E1104,"m"))</f>
        <v/>
      </c>
      <c r="U1104">
        <f>IF(OR($D1104="",$E1104=""),"",$E1104-$D1104)</f>
        <v/>
      </c>
      <c r="V1104">
        <f>IF(OR($G1104="",$T1104=""),"",IF($T1104&lt;24,IF(LEFT(LOWER($H1104),4)="em p",$G1104+0.7,$G1104),IF(LEFT(LOWER($H1104),4)="deit",$G1104-0.7,$G1104)))</f>
        <v/>
      </c>
      <c r="W1104">
        <f>IF(OR($S1104="",$T1104=""),"",$S1104*1000000+IF($T1104&lt;=60,$U1104,$T1104))</f>
        <v/>
      </c>
      <c r="X1104">
        <f>IF(OR($S1104="",$V1104="",$T1104&gt;60,$T1104=""),"",$S1104*1000000+ROUND($V1104*10,0))</f>
        <v/>
      </c>
      <c r="Y1104">
        <f>IF($W1104="","",IFERROR(INDEX(IF($T1104&lt;=60,imc05_l,imc519_l),MATCH($W1104,IF($T1104&lt;=60,imc05_k,imc519_k),1)),""))</f>
        <v/>
      </c>
      <c r="Z1104">
        <f>IF($W1104="","",IFERROR(INDEX(IF($T1104&lt;=60,imc05_m,imc519_m),MATCH($W1104,IF($T1104&lt;=60,imc05_k,imc519_k),1)),""))</f>
        <v/>
      </c>
      <c r="AA1104">
        <f>IF($W1104="","",IFERROR(INDEX(IF($T1104&lt;=60,imc05_s,imc519_s),MATCH($W1104,IF($T1104&lt;=60,imc05_k,imc519_k),1)),""))</f>
        <v/>
      </c>
      <c r="AB1104">
        <f>IF($Y1104="","",IF($Y1104=0,LN($J1104/$Z1104)/$AA1104,((($J1104/$Z1104)^$Y1104)-1)/($Y1104*$AA1104)))</f>
        <v/>
      </c>
      <c r="AC1104">
        <f>IF($Y1104="","",IF($Y1104=0,$Z1104*EXP($AA1104*2),$Z1104*(1+$Y1104*$AA1104*2)^(1/$Y1104)))</f>
        <v/>
      </c>
      <c r="AD1104">
        <f>IF($Y1104="","",IF($Y1104=0,$Z1104*EXP($AA1104*3),$Z1104*(1+$Y1104*$AA1104*3)^(1/$Y1104)))</f>
        <v/>
      </c>
      <c r="AE1104">
        <f>IF($Y1104="","",IF($Y1104=0,$Z1104*EXP($AA1104*-2),$Z1104*(1+$Y1104*$AA1104*-2)^(1/$Y1104)))</f>
        <v/>
      </c>
      <c r="AF1104">
        <f>IF($Y1104="","",IF($Y1104=0,$Z1104*EXP($AA1104*-3),$Z1104*(1+$Y1104*$AA1104*-3)^(1/$Y1104)))</f>
        <v/>
      </c>
      <c r="AG1104">
        <f>IF($W1104="","",IFERROR(INDEX(IF($T1104&lt;=60,est05_l,est519_l),MATCH($W1104,IF($T1104&lt;=60,est05_k,est519_k),1)),""))</f>
        <v/>
      </c>
      <c r="AH1104">
        <f>IF($W1104="","",IFERROR(INDEX(IF($T1104&lt;=60,est05_m,est519_m),MATCH($W1104,IF($T1104&lt;=60,est05_k,est519_k),1)),""))</f>
        <v/>
      </c>
      <c r="AI1104">
        <f>IF($W1104="","",IFERROR(INDEX(IF($T1104&lt;=60,est05_s,est519_s),MATCH($W1104,IF($T1104&lt;=60,est05_k,est519_k),1)),""))</f>
        <v/>
      </c>
      <c r="AJ1104">
        <f>IF($W1104="","",IFERROR(INDEX(IF($T1104&lt;=60,peso05_l,peso510_l),MATCH($W1104,IF($T1104&lt;=60,peso05_k,peso510_k),1)),""))</f>
        <v/>
      </c>
      <c r="AK1104">
        <f>IF($W1104="","",IFERROR(INDEX(IF($T1104&lt;=60,peso05_m,peso510_m),MATCH($W1104,IF($T1104&lt;=60,peso05_k,peso510_k),1)),""))</f>
        <v/>
      </c>
      <c r="AL1104">
        <f>IF($W1104="","",IFERROR(INDEX(IF($T1104&lt;=60,peso05_s,peso510_s),MATCH($W1104,IF($T1104&lt;=60,peso05_k,peso510_k),1)),""))</f>
        <v/>
      </c>
      <c r="AM1104">
        <f>IF($AJ1104="","",IF($AJ1104=0,LN($F1104/$AK1104)/$AL1104,((($F1104/$AK1104)^$AJ1104)-1)/($AJ1104*$AL1104)))</f>
        <v/>
      </c>
      <c r="AN1104">
        <f>IF($AJ1104="","",IF($AJ1104=0,$AK1104*EXP($AL1104*2),$AK1104*(1+$AJ1104*$AL1104*2)^(1/$AJ1104)))</f>
        <v/>
      </c>
      <c r="AO1104">
        <f>IF($AJ1104="","",IF($AJ1104=0,$AK1104*EXP($AL1104*3),$AK1104*(1+$AJ1104*$AL1104*3)^(1/$AJ1104)))</f>
        <v/>
      </c>
      <c r="AP1104">
        <f>IF($AJ1104="","",IF($AJ1104=0,$AK1104*EXP($AL1104*-2),$AK1104*(1+$AJ1104*$AL1104*-2)^(1/$AJ1104)))</f>
        <v/>
      </c>
      <c r="AQ1104">
        <f>IF($AJ1104="","",IF($AJ1104=0,$AK1104*EXP($AL1104*-3),$AK1104*(1+$AJ1104*$AL1104*-3)^(1/$AJ1104)))</f>
        <v/>
      </c>
      <c r="AR1104">
        <f>IF(OR($X1104="",$T1104&gt;60),"",IFERROR(INDEX(IF($T1104&lt;24,pcomp_l,palt_l),MATCH($X1104,IF($T1104&lt;24,pcomp_k,palt_k),1)),""))</f>
        <v/>
      </c>
      <c r="AS1104">
        <f>IF(OR($X1104="",$T1104&gt;60),"",IFERROR(INDEX(IF($T1104&lt;24,pcomp_m,palt_m),MATCH($X1104,IF($T1104&lt;24,pcomp_k,palt_k),1)),""))</f>
        <v/>
      </c>
      <c r="AT1104">
        <f>IF(OR($X1104="",$T1104&gt;60),"",IFERROR(INDEX(IF($T1104&lt;24,pcomp_s,palt_s),MATCH($X1104,IF($T1104&lt;24,pcomp_k,palt_k),1)),""))</f>
        <v/>
      </c>
      <c r="AU1104">
        <f>IF($AR1104="","",IF($AR1104=0,LN($F1104/$AS1104)/$AT1104,((($F1104/$AS1104)^$AR1104)-1)/($AR1104*$AT1104)))</f>
        <v/>
      </c>
      <c r="AV1104">
        <f>IF($AR1104="","",IF($AR1104=0,$AS1104*EXP($AT1104*2),$AS1104*(1+$AR1104*$AT1104*2)^(1/$AR1104)))</f>
        <v/>
      </c>
      <c r="AW1104">
        <f>IF($AR1104="","",IF($AR1104=0,$AS1104*EXP($AT1104*3),$AS1104*(1+$AR1104*$AT1104*3)^(1/$AR1104)))</f>
        <v/>
      </c>
      <c r="AX1104">
        <f>IF($AR1104="","",IF($AR1104=0,$AS1104*EXP($AT1104*-2),$AS1104*(1+$AR1104*$AT1104*-2)^(1/$AR1104)))</f>
        <v/>
      </c>
      <c r="AY1104">
        <f>IF($AR1104="","",IF($AR1104=0,$AS1104*EXP($AT1104*-3),$AS1104*(1+$AR1104*$AT1104*-3)^(1/$AR1104)))</f>
        <v/>
      </c>
      <c r="AZ1104">
        <f>IF(OR($A1104="",$A1104&lt;&gt;Ficha!$C$4),"",COUNTIF($A$2:$A1104,Ficha!$C$4))</f>
        <v/>
      </c>
    </row>
    <row r="1105">
      <c r="A1105" s="8">
        <f>IF(INDEX(Banco!$A:$A,ROW())="","",INDEX(Banco!$A:$A,ROW()))</f>
        <v/>
      </c>
      <c r="B1105" s="8">
        <f>IF(INDEX(Banco!$B:$B,ROW())="","",INDEX(Banco!$B:$B,ROW()))</f>
        <v/>
      </c>
      <c r="C1105" s="8">
        <f>IF(INDEX(Banco!$C:$C,ROW())="","",INDEX(Banco!$C:$C,ROW()))</f>
        <v/>
      </c>
      <c r="D1105" s="9">
        <f>IF(INDEX(Banco!$D:$D,ROW())="","",INDEX(Banco!$D:$D,ROW()))</f>
        <v/>
      </c>
      <c r="E1105" s="9">
        <f>IF(INDEX(Banco!$E:$E,ROW())="","",INDEX(Banco!$E:$E,ROW()))</f>
        <v/>
      </c>
      <c r="F1105" s="10">
        <f>IF(INDEX(Banco!$F:$F,ROW())="","",INDEX(Banco!$F:$F,ROW()))</f>
        <v/>
      </c>
      <c r="G1105" s="10">
        <f>IF(INDEX(Banco!$G:$G,ROW())="","",INDEX(Banco!$G:$G,ROW()))</f>
        <v/>
      </c>
      <c r="H1105" s="8">
        <f>IF(INDEX(Banco!$H:$H,ROW())="","",INDEX(Banco!$H:$H,ROW()))</f>
        <v/>
      </c>
      <c r="I1105">
        <f>IF($T1105="","",INT($T1105/12)&amp;"a "&amp;MOD($T1105,12)&amp;"m")</f>
        <v/>
      </c>
      <c r="J1105" s="11">
        <f>IF(OR($F1105="",$G1105=""),"",ROUND($F1105/($G1105/100)^2,2))</f>
        <v/>
      </c>
      <c r="K1105" s="12">
        <f>IF(OR($S1105="",$J1105="",$T1105="",$T1105&lt;0,$T1105&gt;228,$Y1105=""),"—",ROUND(IF(ABS($AB1105)&lt;=3,$AB1105,IF($AB1105&gt;3,3+($J1105-$AD1105)/($AD1105-$AC1105),-3+($J1105-$AF1105)/($AE1105-$AF1105))),2))</f>
        <v/>
      </c>
      <c r="L1105">
        <f>IF(OR($K1105="",$K1105="—"),"",IF($T1105&lt;=60,IF($K1105&lt;-3,"Magreza acentuada",IF($K1105&lt;-2,"Magreza",IF($K1105&lt;=1,"Eutrofia",IF($K1105&lt;=2,"Risco de sobrepeso",IF($K1105&lt;=3,"Sobrepeso","Obesidade"))))),IF($K1105&lt;-3,"Magreza acentuada",IF($K1105&lt;-2,"Magreza",IF($K1105&lt;=1,"Eutrofia",IF($K1105&lt;=2,"Sobrepeso",IF($K1105&lt;=3,"Obesidade","Obesidade grave")))))))</f>
        <v/>
      </c>
      <c r="M1105" s="12">
        <f>IF(OR($S1105="",$V1105="",$T1105="",$T1105&lt;0,$T1105&gt;228,$AG1105=""),"—",ROUND(IF($AG1105=0,LN($V1105/$AH1105)/$AI1105,((($V1105/$AH1105)^$AG1105)-1)/($AG1105*$AI1105)),2))</f>
        <v/>
      </c>
      <c r="N1105">
        <f>IF(OR($M1105="",$M1105="—"),"",IF($M1105&lt;-3,"Muito baixa",IF($M1105&lt;-2,"Baixa","Adequada")))</f>
        <v/>
      </c>
      <c r="O1105" s="12">
        <f>IF(OR($S1105="",$F1105="",$T1105="",$T1105&lt;0,$T1105&gt;120,$AJ1105=""),"—",ROUND(IF(ABS($AM1105)&lt;=3,$AM1105,IF($AM1105&gt;3,3+($F1105-$AO1105)/($AO1105-$AN1105),-3+($F1105-$AQ1105)/($AP1105-$AQ1105))),2))</f>
        <v/>
      </c>
      <c r="P1105">
        <f>IF(OR($O1105="",$O1105="—"),"",IF($O1105&lt;-3,"Muito baixo",IF($O1105&lt;-2,"Baixo",IF($O1105&lt;=2,"Adequado","Elevado"))))</f>
        <v/>
      </c>
      <c r="Q1105" s="12">
        <f>IF(OR($S1105="",$F1105="",$T1105="",$T1105&lt;0,$T1105&gt;60,$AR1105=""),"—",ROUND(IF(ABS($AU1105)&lt;=3,$AU1105,IF($AU1105&gt;3,3+($F1105-$AW1105)/($AW1105-$AV1105),-3+($F1105-$AY1105)/($AX1105-$AY1105))),2))</f>
        <v/>
      </c>
      <c r="R1105">
        <f>IF(OR($Q1105="",$Q1105="—"),"",IF($Q1105&lt;-3,"Magreza acentuada",IF($Q1105&lt;-2,"Magreza",IF($Q1105&lt;=1,"Eutrofia",IF($Q1105&lt;=2,"Risco de sobrepeso",IF($Q1105&lt;=3,"Sobrepeso","Obesidade"))))))</f>
        <v/>
      </c>
      <c r="S1105">
        <f>IF($C1105="","",IF(UPPER(LEFT($C1105,1))="M",1,IF(UPPER(LEFT($C1105,1))="F",2,"")))</f>
        <v/>
      </c>
      <c r="T1105">
        <f>IF(OR($D1105="",$E1105=""),"",DATEDIF($D1105,$E1105,"m"))</f>
        <v/>
      </c>
      <c r="U1105">
        <f>IF(OR($D1105="",$E1105=""),"",$E1105-$D1105)</f>
        <v/>
      </c>
      <c r="V1105">
        <f>IF(OR($G1105="",$T1105=""),"",IF($T1105&lt;24,IF(LEFT(LOWER($H1105),4)="em p",$G1105+0.7,$G1105),IF(LEFT(LOWER($H1105),4)="deit",$G1105-0.7,$G1105)))</f>
        <v/>
      </c>
      <c r="W1105">
        <f>IF(OR($S1105="",$T1105=""),"",$S1105*1000000+IF($T1105&lt;=60,$U1105,$T1105))</f>
        <v/>
      </c>
      <c r="X1105">
        <f>IF(OR($S1105="",$V1105="",$T1105&gt;60,$T1105=""),"",$S1105*1000000+ROUND($V1105*10,0))</f>
        <v/>
      </c>
      <c r="Y1105">
        <f>IF($W1105="","",IFERROR(INDEX(IF($T1105&lt;=60,imc05_l,imc519_l),MATCH($W1105,IF($T1105&lt;=60,imc05_k,imc519_k),1)),""))</f>
        <v/>
      </c>
      <c r="Z1105">
        <f>IF($W1105="","",IFERROR(INDEX(IF($T1105&lt;=60,imc05_m,imc519_m),MATCH($W1105,IF($T1105&lt;=60,imc05_k,imc519_k),1)),""))</f>
        <v/>
      </c>
      <c r="AA1105">
        <f>IF($W1105="","",IFERROR(INDEX(IF($T1105&lt;=60,imc05_s,imc519_s),MATCH($W1105,IF($T1105&lt;=60,imc05_k,imc519_k),1)),""))</f>
        <v/>
      </c>
      <c r="AB1105">
        <f>IF($Y1105="","",IF($Y1105=0,LN($J1105/$Z1105)/$AA1105,((($J1105/$Z1105)^$Y1105)-1)/($Y1105*$AA1105)))</f>
        <v/>
      </c>
      <c r="AC1105">
        <f>IF($Y1105="","",IF($Y1105=0,$Z1105*EXP($AA1105*2),$Z1105*(1+$Y1105*$AA1105*2)^(1/$Y1105)))</f>
        <v/>
      </c>
      <c r="AD1105">
        <f>IF($Y1105="","",IF($Y1105=0,$Z1105*EXP($AA1105*3),$Z1105*(1+$Y1105*$AA1105*3)^(1/$Y1105)))</f>
        <v/>
      </c>
      <c r="AE1105">
        <f>IF($Y1105="","",IF($Y1105=0,$Z1105*EXP($AA1105*-2),$Z1105*(1+$Y1105*$AA1105*-2)^(1/$Y1105)))</f>
        <v/>
      </c>
      <c r="AF1105">
        <f>IF($Y1105="","",IF($Y1105=0,$Z1105*EXP($AA1105*-3),$Z1105*(1+$Y1105*$AA1105*-3)^(1/$Y1105)))</f>
        <v/>
      </c>
      <c r="AG1105">
        <f>IF($W1105="","",IFERROR(INDEX(IF($T1105&lt;=60,est05_l,est519_l),MATCH($W1105,IF($T1105&lt;=60,est05_k,est519_k),1)),""))</f>
        <v/>
      </c>
      <c r="AH1105">
        <f>IF($W1105="","",IFERROR(INDEX(IF($T1105&lt;=60,est05_m,est519_m),MATCH($W1105,IF($T1105&lt;=60,est05_k,est519_k),1)),""))</f>
        <v/>
      </c>
      <c r="AI1105">
        <f>IF($W1105="","",IFERROR(INDEX(IF($T1105&lt;=60,est05_s,est519_s),MATCH($W1105,IF($T1105&lt;=60,est05_k,est519_k),1)),""))</f>
        <v/>
      </c>
      <c r="AJ1105">
        <f>IF($W1105="","",IFERROR(INDEX(IF($T1105&lt;=60,peso05_l,peso510_l),MATCH($W1105,IF($T1105&lt;=60,peso05_k,peso510_k),1)),""))</f>
        <v/>
      </c>
      <c r="AK1105">
        <f>IF($W1105="","",IFERROR(INDEX(IF($T1105&lt;=60,peso05_m,peso510_m),MATCH($W1105,IF($T1105&lt;=60,peso05_k,peso510_k),1)),""))</f>
        <v/>
      </c>
      <c r="AL1105">
        <f>IF($W1105="","",IFERROR(INDEX(IF($T1105&lt;=60,peso05_s,peso510_s),MATCH($W1105,IF($T1105&lt;=60,peso05_k,peso510_k),1)),""))</f>
        <v/>
      </c>
      <c r="AM1105">
        <f>IF($AJ1105="","",IF($AJ1105=0,LN($F1105/$AK1105)/$AL1105,((($F1105/$AK1105)^$AJ1105)-1)/($AJ1105*$AL1105)))</f>
        <v/>
      </c>
      <c r="AN1105">
        <f>IF($AJ1105="","",IF($AJ1105=0,$AK1105*EXP($AL1105*2),$AK1105*(1+$AJ1105*$AL1105*2)^(1/$AJ1105)))</f>
        <v/>
      </c>
      <c r="AO1105">
        <f>IF($AJ1105="","",IF($AJ1105=0,$AK1105*EXP($AL1105*3),$AK1105*(1+$AJ1105*$AL1105*3)^(1/$AJ1105)))</f>
        <v/>
      </c>
      <c r="AP1105">
        <f>IF($AJ1105="","",IF($AJ1105=0,$AK1105*EXP($AL1105*-2),$AK1105*(1+$AJ1105*$AL1105*-2)^(1/$AJ1105)))</f>
        <v/>
      </c>
      <c r="AQ1105">
        <f>IF($AJ1105="","",IF($AJ1105=0,$AK1105*EXP($AL1105*-3),$AK1105*(1+$AJ1105*$AL1105*-3)^(1/$AJ1105)))</f>
        <v/>
      </c>
      <c r="AR1105">
        <f>IF(OR($X1105="",$T1105&gt;60),"",IFERROR(INDEX(IF($T1105&lt;24,pcomp_l,palt_l),MATCH($X1105,IF($T1105&lt;24,pcomp_k,palt_k),1)),""))</f>
        <v/>
      </c>
      <c r="AS1105">
        <f>IF(OR($X1105="",$T1105&gt;60),"",IFERROR(INDEX(IF($T1105&lt;24,pcomp_m,palt_m),MATCH($X1105,IF($T1105&lt;24,pcomp_k,palt_k),1)),""))</f>
        <v/>
      </c>
      <c r="AT1105">
        <f>IF(OR($X1105="",$T1105&gt;60),"",IFERROR(INDEX(IF($T1105&lt;24,pcomp_s,palt_s),MATCH($X1105,IF($T1105&lt;24,pcomp_k,palt_k),1)),""))</f>
        <v/>
      </c>
      <c r="AU1105">
        <f>IF($AR1105="","",IF($AR1105=0,LN($F1105/$AS1105)/$AT1105,((($F1105/$AS1105)^$AR1105)-1)/($AR1105*$AT1105)))</f>
        <v/>
      </c>
      <c r="AV1105">
        <f>IF($AR1105="","",IF($AR1105=0,$AS1105*EXP($AT1105*2),$AS1105*(1+$AR1105*$AT1105*2)^(1/$AR1105)))</f>
        <v/>
      </c>
      <c r="AW1105">
        <f>IF($AR1105="","",IF($AR1105=0,$AS1105*EXP($AT1105*3),$AS1105*(1+$AR1105*$AT1105*3)^(1/$AR1105)))</f>
        <v/>
      </c>
      <c r="AX1105">
        <f>IF($AR1105="","",IF($AR1105=0,$AS1105*EXP($AT1105*-2),$AS1105*(1+$AR1105*$AT1105*-2)^(1/$AR1105)))</f>
        <v/>
      </c>
      <c r="AY1105">
        <f>IF($AR1105="","",IF($AR1105=0,$AS1105*EXP($AT1105*-3),$AS1105*(1+$AR1105*$AT1105*-3)^(1/$AR1105)))</f>
        <v/>
      </c>
      <c r="AZ1105">
        <f>IF(OR($A1105="",$A1105&lt;&gt;Ficha!$C$4),"",COUNTIF($A$2:$A1105,Ficha!$C$4))</f>
        <v/>
      </c>
    </row>
    <row r="1106">
      <c r="A1106" s="8">
        <f>IF(INDEX(Banco!$A:$A,ROW())="","",INDEX(Banco!$A:$A,ROW()))</f>
        <v/>
      </c>
      <c r="B1106" s="8">
        <f>IF(INDEX(Banco!$B:$B,ROW())="","",INDEX(Banco!$B:$B,ROW()))</f>
        <v/>
      </c>
      <c r="C1106" s="8">
        <f>IF(INDEX(Banco!$C:$C,ROW())="","",INDEX(Banco!$C:$C,ROW()))</f>
        <v/>
      </c>
      <c r="D1106" s="9">
        <f>IF(INDEX(Banco!$D:$D,ROW())="","",INDEX(Banco!$D:$D,ROW()))</f>
        <v/>
      </c>
      <c r="E1106" s="9">
        <f>IF(INDEX(Banco!$E:$E,ROW())="","",INDEX(Banco!$E:$E,ROW()))</f>
        <v/>
      </c>
      <c r="F1106" s="10">
        <f>IF(INDEX(Banco!$F:$F,ROW())="","",INDEX(Banco!$F:$F,ROW()))</f>
        <v/>
      </c>
      <c r="G1106" s="10">
        <f>IF(INDEX(Banco!$G:$G,ROW())="","",INDEX(Banco!$G:$G,ROW()))</f>
        <v/>
      </c>
      <c r="H1106" s="8">
        <f>IF(INDEX(Banco!$H:$H,ROW())="","",INDEX(Banco!$H:$H,ROW()))</f>
        <v/>
      </c>
      <c r="I1106">
        <f>IF($T1106="","",INT($T1106/12)&amp;"a "&amp;MOD($T1106,12)&amp;"m")</f>
        <v/>
      </c>
      <c r="J1106" s="11">
        <f>IF(OR($F1106="",$G1106=""),"",ROUND($F1106/($G1106/100)^2,2))</f>
        <v/>
      </c>
      <c r="K1106" s="12">
        <f>IF(OR($S1106="",$J1106="",$T1106="",$T1106&lt;0,$T1106&gt;228,$Y1106=""),"—",ROUND(IF(ABS($AB1106)&lt;=3,$AB1106,IF($AB1106&gt;3,3+($J1106-$AD1106)/($AD1106-$AC1106),-3+($J1106-$AF1106)/($AE1106-$AF1106))),2))</f>
        <v/>
      </c>
      <c r="L1106">
        <f>IF(OR($K1106="",$K1106="—"),"",IF($T1106&lt;=60,IF($K1106&lt;-3,"Magreza acentuada",IF($K1106&lt;-2,"Magreza",IF($K1106&lt;=1,"Eutrofia",IF($K1106&lt;=2,"Risco de sobrepeso",IF($K1106&lt;=3,"Sobrepeso","Obesidade"))))),IF($K1106&lt;-3,"Magreza acentuada",IF($K1106&lt;-2,"Magreza",IF($K1106&lt;=1,"Eutrofia",IF($K1106&lt;=2,"Sobrepeso",IF($K1106&lt;=3,"Obesidade","Obesidade grave")))))))</f>
        <v/>
      </c>
      <c r="M1106" s="12">
        <f>IF(OR($S1106="",$V1106="",$T1106="",$T1106&lt;0,$T1106&gt;228,$AG1106=""),"—",ROUND(IF($AG1106=0,LN($V1106/$AH1106)/$AI1106,((($V1106/$AH1106)^$AG1106)-1)/($AG1106*$AI1106)),2))</f>
        <v/>
      </c>
      <c r="N1106">
        <f>IF(OR($M1106="",$M1106="—"),"",IF($M1106&lt;-3,"Muito baixa",IF($M1106&lt;-2,"Baixa","Adequada")))</f>
        <v/>
      </c>
      <c r="O1106" s="12">
        <f>IF(OR($S1106="",$F1106="",$T1106="",$T1106&lt;0,$T1106&gt;120,$AJ1106=""),"—",ROUND(IF(ABS($AM1106)&lt;=3,$AM1106,IF($AM1106&gt;3,3+($F1106-$AO1106)/($AO1106-$AN1106),-3+($F1106-$AQ1106)/($AP1106-$AQ1106))),2))</f>
        <v/>
      </c>
      <c r="P1106">
        <f>IF(OR($O1106="",$O1106="—"),"",IF($O1106&lt;-3,"Muito baixo",IF($O1106&lt;-2,"Baixo",IF($O1106&lt;=2,"Adequado","Elevado"))))</f>
        <v/>
      </c>
      <c r="Q1106" s="12">
        <f>IF(OR($S1106="",$F1106="",$T1106="",$T1106&lt;0,$T1106&gt;60,$AR1106=""),"—",ROUND(IF(ABS($AU1106)&lt;=3,$AU1106,IF($AU1106&gt;3,3+($F1106-$AW1106)/($AW1106-$AV1106),-3+($F1106-$AY1106)/($AX1106-$AY1106))),2))</f>
        <v/>
      </c>
      <c r="R1106">
        <f>IF(OR($Q1106="",$Q1106="—"),"",IF($Q1106&lt;-3,"Magreza acentuada",IF($Q1106&lt;-2,"Magreza",IF($Q1106&lt;=1,"Eutrofia",IF($Q1106&lt;=2,"Risco de sobrepeso",IF($Q1106&lt;=3,"Sobrepeso","Obesidade"))))))</f>
        <v/>
      </c>
      <c r="S1106">
        <f>IF($C1106="","",IF(UPPER(LEFT($C1106,1))="M",1,IF(UPPER(LEFT($C1106,1))="F",2,"")))</f>
        <v/>
      </c>
      <c r="T1106">
        <f>IF(OR($D1106="",$E1106=""),"",DATEDIF($D1106,$E1106,"m"))</f>
        <v/>
      </c>
      <c r="U1106">
        <f>IF(OR($D1106="",$E1106=""),"",$E1106-$D1106)</f>
        <v/>
      </c>
      <c r="V1106">
        <f>IF(OR($G1106="",$T1106=""),"",IF($T1106&lt;24,IF(LEFT(LOWER($H1106),4)="em p",$G1106+0.7,$G1106),IF(LEFT(LOWER($H1106),4)="deit",$G1106-0.7,$G1106)))</f>
        <v/>
      </c>
      <c r="W1106">
        <f>IF(OR($S1106="",$T1106=""),"",$S1106*1000000+IF($T1106&lt;=60,$U1106,$T1106))</f>
        <v/>
      </c>
      <c r="X1106">
        <f>IF(OR($S1106="",$V1106="",$T1106&gt;60,$T1106=""),"",$S1106*1000000+ROUND($V1106*10,0))</f>
        <v/>
      </c>
      <c r="Y1106">
        <f>IF($W1106="","",IFERROR(INDEX(IF($T1106&lt;=60,imc05_l,imc519_l),MATCH($W1106,IF($T1106&lt;=60,imc05_k,imc519_k),1)),""))</f>
        <v/>
      </c>
      <c r="Z1106">
        <f>IF($W1106="","",IFERROR(INDEX(IF($T1106&lt;=60,imc05_m,imc519_m),MATCH($W1106,IF($T1106&lt;=60,imc05_k,imc519_k),1)),""))</f>
        <v/>
      </c>
      <c r="AA1106">
        <f>IF($W1106="","",IFERROR(INDEX(IF($T1106&lt;=60,imc05_s,imc519_s),MATCH($W1106,IF($T1106&lt;=60,imc05_k,imc519_k),1)),""))</f>
        <v/>
      </c>
      <c r="AB1106">
        <f>IF($Y1106="","",IF($Y1106=0,LN($J1106/$Z1106)/$AA1106,((($J1106/$Z1106)^$Y1106)-1)/($Y1106*$AA1106)))</f>
        <v/>
      </c>
      <c r="AC1106">
        <f>IF($Y1106="","",IF($Y1106=0,$Z1106*EXP($AA1106*2),$Z1106*(1+$Y1106*$AA1106*2)^(1/$Y1106)))</f>
        <v/>
      </c>
      <c r="AD1106">
        <f>IF($Y1106="","",IF($Y1106=0,$Z1106*EXP($AA1106*3),$Z1106*(1+$Y1106*$AA1106*3)^(1/$Y1106)))</f>
        <v/>
      </c>
      <c r="AE1106">
        <f>IF($Y1106="","",IF($Y1106=0,$Z1106*EXP($AA1106*-2),$Z1106*(1+$Y1106*$AA1106*-2)^(1/$Y1106)))</f>
        <v/>
      </c>
      <c r="AF1106">
        <f>IF($Y1106="","",IF($Y1106=0,$Z1106*EXP($AA1106*-3),$Z1106*(1+$Y1106*$AA1106*-3)^(1/$Y1106)))</f>
        <v/>
      </c>
      <c r="AG1106">
        <f>IF($W1106="","",IFERROR(INDEX(IF($T1106&lt;=60,est05_l,est519_l),MATCH($W1106,IF($T1106&lt;=60,est05_k,est519_k),1)),""))</f>
        <v/>
      </c>
      <c r="AH1106">
        <f>IF($W1106="","",IFERROR(INDEX(IF($T1106&lt;=60,est05_m,est519_m),MATCH($W1106,IF($T1106&lt;=60,est05_k,est519_k),1)),""))</f>
        <v/>
      </c>
      <c r="AI1106">
        <f>IF($W1106="","",IFERROR(INDEX(IF($T1106&lt;=60,est05_s,est519_s),MATCH($W1106,IF($T1106&lt;=60,est05_k,est519_k),1)),""))</f>
        <v/>
      </c>
      <c r="AJ1106">
        <f>IF($W1106="","",IFERROR(INDEX(IF($T1106&lt;=60,peso05_l,peso510_l),MATCH($W1106,IF($T1106&lt;=60,peso05_k,peso510_k),1)),""))</f>
        <v/>
      </c>
      <c r="AK1106">
        <f>IF($W1106="","",IFERROR(INDEX(IF($T1106&lt;=60,peso05_m,peso510_m),MATCH($W1106,IF($T1106&lt;=60,peso05_k,peso510_k),1)),""))</f>
        <v/>
      </c>
      <c r="AL1106">
        <f>IF($W1106="","",IFERROR(INDEX(IF($T1106&lt;=60,peso05_s,peso510_s),MATCH($W1106,IF($T1106&lt;=60,peso05_k,peso510_k),1)),""))</f>
        <v/>
      </c>
      <c r="AM1106">
        <f>IF($AJ1106="","",IF($AJ1106=0,LN($F1106/$AK1106)/$AL1106,((($F1106/$AK1106)^$AJ1106)-1)/($AJ1106*$AL1106)))</f>
        <v/>
      </c>
      <c r="AN1106">
        <f>IF($AJ1106="","",IF($AJ1106=0,$AK1106*EXP($AL1106*2),$AK1106*(1+$AJ1106*$AL1106*2)^(1/$AJ1106)))</f>
        <v/>
      </c>
      <c r="AO1106">
        <f>IF($AJ1106="","",IF($AJ1106=0,$AK1106*EXP($AL1106*3),$AK1106*(1+$AJ1106*$AL1106*3)^(1/$AJ1106)))</f>
        <v/>
      </c>
      <c r="AP1106">
        <f>IF($AJ1106="","",IF($AJ1106=0,$AK1106*EXP($AL1106*-2),$AK1106*(1+$AJ1106*$AL1106*-2)^(1/$AJ1106)))</f>
        <v/>
      </c>
      <c r="AQ1106">
        <f>IF($AJ1106="","",IF($AJ1106=0,$AK1106*EXP($AL1106*-3),$AK1106*(1+$AJ1106*$AL1106*-3)^(1/$AJ1106)))</f>
        <v/>
      </c>
      <c r="AR1106">
        <f>IF(OR($X1106="",$T1106&gt;60),"",IFERROR(INDEX(IF($T1106&lt;24,pcomp_l,palt_l),MATCH($X1106,IF($T1106&lt;24,pcomp_k,palt_k),1)),""))</f>
        <v/>
      </c>
      <c r="AS1106">
        <f>IF(OR($X1106="",$T1106&gt;60),"",IFERROR(INDEX(IF($T1106&lt;24,pcomp_m,palt_m),MATCH($X1106,IF($T1106&lt;24,pcomp_k,palt_k),1)),""))</f>
        <v/>
      </c>
      <c r="AT1106">
        <f>IF(OR($X1106="",$T1106&gt;60),"",IFERROR(INDEX(IF($T1106&lt;24,pcomp_s,palt_s),MATCH($X1106,IF($T1106&lt;24,pcomp_k,palt_k),1)),""))</f>
        <v/>
      </c>
      <c r="AU1106">
        <f>IF($AR1106="","",IF($AR1106=0,LN($F1106/$AS1106)/$AT1106,((($F1106/$AS1106)^$AR1106)-1)/($AR1106*$AT1106)))</f>
        <v/>
      </c>
      <c r="AV1106">
        <f>IF($AR1106="","",IF($AR1106=0,$AS1106*EXP($AT1106*2),$AS1106*(1+$AR1106*$AT1106*2)^(1/$AR1106)))</f>
        <v/>
      </c>
      <c r="AW1106">
        <f>IF($AR1106="","",IF($AR1106=0,$AS1106*EXP($AT1106*3),$AS1106*(1+$AR1106*$AT1106*3)^(1/$AR1106)))</f>
        <v/>
      </c>
      <c r="AX1106">
        <f>IF($AR1106="","",IF($AR1106=0,$AS1106*EXP($AT1106*-2),$AS1106*(1+$AR1106*$AT1106*-2)^(1/$AR1106)))</f>
        <v/>
      </c>
      <c r="AY1106">
        <f>IF($AR1106="","",IF($AR1106=0,$AS1106*EXP($AT1106*-3),$AS1106*(1+$AR1106*$AT1106*-3)^(1/$AR1106)))</f>
        <v/>
      </c>
      <c r="AZ1106">
        <f>IF(OR($A1106="",$A1106&lt;&gt;Ficha!$C$4),"",COUNTIF($A$2:$A1106,Ficha!$C$4))</f>
        <v/>
      </c>
    </row>
    <row r="1107">
      <c r="A1107" s="8">
        <f>IF(INDEX(Banco!$A:$A,ROW())="","",INDEX(Banco!$A:$A,ROW()))</f>
        <v/>
      </c>
      <c r="B1107" s="8">
        <f>IF(INDEX(Banco!$B:$B,ROW())="","",INDEX(Banco!$B:$B,ROW()))</f>
        <v/>
      </c>
      <c r="C1107" s="8">
        <f>IF(INDEX(Banco!$C:$C,ROW())="","",INDEX(Banco!$C:$C,ROW()))</f>
        <v/>
      </c>
      <c r="D1107" s="9">
        <f>IF(INDEX(Banco!$D:$D,ROW())="","",INDEX(Banco!$D:$D,ROW()))</f>
        <v/>
      </c>
      <c r="E1107" s="9">
        <f>IF(INDEX(Banco!$E:$E,ROW())="","",INDEX(Banco!$E:$E,ROW()))</f>
        <v/>
      </c>
      <c r="F1107" s="10">
        <f>IF(INDEX(Banco!$F:$F,ROW())="","",INDEX(Banco!$F:$F,ROW()))</f>
        <v/>
      </c>
      <c r="G1107" s="10">
        <f>IF(INDEX(Banco!$G:$G,ROW())="","",INDEX(Banco!$G:$G,ROW()))</f>
        <v/>
      </c>
      <c r="H1107" s="8">
        <f>IF(INDEX(Banco!$H:$H,ROW())="","",INDEX(Banco!$H:$H,ROW()))</f>
        <v/>
      </c>
      <c r="I1107">
        <f>IF($T1107="","",INT($T1107/12)&amp;"a "&amp;MOD($T1107,12)&amp;"m")</f>
        <v/>
      </c>
      <c r="J1107" s="11">
        <f>IF(OR($F1107="",$G1107=""),"",ROUND($F1107/($G1107/100)^2,2))</f>
        <v/>
      </c>
      <c r="K1107" s="12">
        <f>IF(OR($S1107="",$J1107="",$T1107="",$T1107&lt;0,$T1107&gt;228,$Y1107=""),"—",ROUND(IF(ABS($AB1107)&lt;=3,$AB1107,IF($AB1107&gt;3,3+($J1107-$AD1107)/($AD1107-$AC1107),-3+($J1107-$AF1107)/($AE1107-$AF1107))),2))</f>
        <v/>
      </c>
      <c r="L1107">
        <f>IF(OR($K1107="",$K1107="—"),"",IF($T1107&lt;=60,IF($K1107&lt;-3,"Magreza acentuada",IF($K1107&lt;-2,"Magreza",IF($K1107&lt;=1,"Eutrofia",IF($K1107&lt;=2,"Risco de sobrepeso",IF($K1107&lt;=3,"Sobrepeso","Obesidade"))))),IF($K1107&lt;-3,"Magreza acentuada",IF($K1107&lt;-2,"Magreza",IF($K1107&lt;=1,"Eutrofia",IF($K1107&lt;=2,"Sobrepeso",IF($K1107&lt;=3,"Obesidade","Obesidade grave")))))))</f>
        <v/>
      </c>
      <c r="M1107" s="12">
        <f>IF(OR($S1107="",$V1107="",$T1107="",$T1107&lt;0,$T1107&gt;228,$AG1107=""),"—",ROUND(IF($AG1107=0,LN($V1107/$AH1107)/$AI1107,((($V1107/$AH1107)^$AG1107)-1)/($AG1107*$AI1107)),2))</f>
        <v/>
      </c>
      <c r="N1107">
        <f>IF(OR($M1107="",$M1107="—"),"",IF($M1107&lt;-3,"Muito baixa",IF($M1107&lt;-2,"Baixa","Adequada")))</f>
        <v/>
      </c>
      <c r="O1107" s="12">
        <f>IF(OR($S1107="",$F1107="",$T1107="",$T1107&lt;0,$T1107&gt;120,$AJ1107=""),"—",ROUND(IF(ABS($AM1107)&lt;=3,$AM1107,IF($AM1107&gt;3,3+($F1107-$AO1107)/($AO1107-$AN1107),-3+($F1107-$AQ1107)/($AP1107-$AQ1107))),2))</f>
        <v/>
      </c>
      <c r="P1107">
        <f>IF(OR($O1107="",$O1107="—"),"",IF($O1107&lt;-3,"Muito baixo",IF($O1107&lt;-2,"Baixo",IF($O1107&lt;=2,"Adequado","Elevado"))))</f>
        <v/>
      </c>
      <c r="Q1107" s="12">
        <f>IF(OR($S1107="",$F1107="",$T1107="",$T1107&lt;0,$T1107&gt;60,$AR1107=""),"—",ROUND(IF(ABS($AU1107)&lt;=3,$AU1107,IF($AU1107&gt;3,3+($F1107-$AW1107)/($AW1107-$AV1107),-3+($F1107-$AY1107)/($AX1107-$AY1107))),2))</f>
        <v/>
      </c>
      <c r="R1107">
        <f>IF(OR($Q1107="",$Q1107="—"),"",IF($Q1107&lt;-3,"Magreza acentuada",IF($Q1107&lt;-2,"Magreza",IF($Q1107&lt;=1,"Eutrofia",IF($Q1107&lt;=2,"Risco de sobrepeso",IF($Q1107&lt;=3,"Sobrepeso","Obesidade"))))))</f>
        <v/>
      </c>
      <c r="S1107">
        <f>IF($C1107="","",IF(UPPER(LEFT($C1107,1))="M",1,IF(UPPER(LEFT($C1107,1))="F",2,"")))</f>
        <v/>
      </c>
      <c r="T1107">
        <f>IF(OR($D1107="",$E1107=""),"",DATEDIF($D1107,$E1107,"m"))</f>
        <v/>
      </c>
      <c r="U1107">
        <f>IF(OR($D1107="",$E1107=""),"",$E1107-$D1107)</f>
        <v/>
      </c>
      <c r="V1107">
        <f>IF(OR($G1107="",$T1107=""),"",IF($T1107&lt;24,IF(LEFT(LOWER($H1107),4)="em p",$G1107+0.7,$G1107),IF(LEFT(LOWER($H1107),4)="deit",$G1107-0.7,$G1107)))</f>
        <v/>
      </c>
      <c r="W1107">
        <f>IF(OR($S1107="",$T1107=""),"",$S1107*1000000+IF($T1107&lt;=60,$U1107,$T1107))</f>
        <v/>
      </c>
      <c r="X1107">
        <f>IF(OR($S1107="",$V1107="",$T1107&gt;60,$T1107=""),"",$S1107*1000000+ROUND($V1107*10,0))</f>
        <v/>
      </c>
      <c r="Y1107">
        <f>IF($W1107="","",IFERROR(INDEX(IF($T1107&lt;=60,imc05_l,imc519_l),MATCH($W1107,IF($T1107&lt;=60,imc05_k,imc519_k),1)),""))</f>
        <v/>
      </c>
      <c r="Z1107">
        <f>IF($W1107="","",IFERROR(INDEX(IF($T1107&lt;=60,imc05_m,imc519_m),MATCH($W1107,IF($T1107&lt;=60,imc05_k,imc519_k),1)),""))</f>
        <v/>
      </c>
      <c r="AA1107">
        <f>IF($W1107="","",IFERROR(INDEX(IF($T1107&lt;=60,imc05_s,imc519_s),MATCH($W1107,IF($T1107&lt;=60,imc05_k,imc519_k),1)),""))</f>
        <v/>
      </c>
      <c r="AB1107">
        <f>IF($Y1107="","",IF($Y1107=0,LN($J1107/$Z1107)/$AA1107,((($J1107/$Z1107)^$Y1107)-1)/($Y1107*$AA1107)))</f>
        <v/>
      </c>
      <c r="AC1107">
        <f>IF($Y1107="","",IF($Y1107=0,$Z1107*EXP($AA1107*2),$Z1107*(1+$Y1107*$AA1107*2)^(1/$Y1107)))</f>
        <v/>
      </c>
      <c r="AD1107">
        <f>IF($Y1107="","",IF($Y1107=0,$Z1107*EXP($AA1107*3),$Z1107*(1+$Y1107*$AA1107*3)^(1/$Y1107)))</f>
        <v/>
      </c>
      <c r="AE1107">
        <f>IF($Y1107="","",IF($Y1107=0,$Z1107*EXP($AA1107*-2),$Z1107*(1+$Y1107*$AA1107*-2)^(1/$Y1107)))</f>
        <v/>
      </c>
      <c r="AF1107">
        <f>IF($Y1107="","",IF($Y1107=0,$Z1107*EXP($AA1107*-3),$Z1107*(1+$Y1107*$AA1107*-3)^(1/$Y1107)))</f>
        <v/>
      </c>
      <c r="AG1107">
        <f>IF($W1107="","",IFERROR(INDEX(IF($T1107&lt;=60,est05_l,est519_l),MATCH($W1107,IF($T1107&lt;=60,est05_k,est519_k),1)),""))</f>
        <v/>
      </c>
      <c r="AH1107">
        <f>IF($W1107="","",IFERROR(INDEX(IF($T1107&lt;=60,est05_m,est519_m),MATCH($W1107,IF($T1107&lt;=60,est05_k,est519_k),1)),""))</f>
        <v/>
      </c>
      <c r="AI1107">
        <f>IF($W1107="","",IFERROR(INDEX(IF($T1107&lt;=60,est05_s,est519_s),MATCH($W1107,IF($T1107&lt;=60,est05_k,est519_k),1)),""))</f>
        <v/>
      </c>
      <c r="AJ1107">
        <f>IF($W1107="","",IFERROR(INDEX(IF($T1107&lt;=60,peso05_l,peso510_l),MATCH($W1107,IF($T1107&lt;=60,peso05_k,peso510_k),1)),""))</f>
        <v/>
      </c>
      <c r="AK1107">
        <f>IF($W1107="","",IFERROR(INDEX(IF($T1107&lt;=60,peso05_m,peso510_m),MATCH($W1107,IF($T1107&lt;=60,peso05_k,peso510_k),1)),""))</f>
        <v/>
      </c>
      <c r="AL1107">
        <f>IF($W1107="","",IFERROR(INDEX(IF($T1107&lt;=60,peso05_s,peso510_s),MATCH($W1107,IF($T1107&lt;=60,peso05_k,peso510_k),1)),""))</f>
        <v/>
      </c>
      <c r="AM1107">
        <f>IF($AJ1107="","",IF($AJ1107=0,LN($F1107/$AK1107)/$AL1107,((($F1107/$AK1107)^$AJ1107)-1)/($AJ1107*$AL1107)))</f>
        <v/>
      </c>
      <c r="AN1107">
        <f>IF($AJ1107="","",IF($AJ1107=0,$AK1107*EXP($AL1107*2),$AK1107*(1+$AJ1107*$AL1107*2)^(1/$AJ1107)))</f>
        <v/>
      </c>
      <c r="AO1107">
        <f>IF($AJ1107="","",IF($AJ1107=0,$AK1107*EXP($AL1107*3),$AK1107*(1+$AJ1107*$AL1107*3)^(1/$AJ1107)))</f>
        <v/>
      </c>
      <c r="AP1107">
        <f>IF($AJ1107="","",IF($AJ1107=0,$AK1107*EXP($AL1107*-2),$AK1107*(1+$AJ1107*$AL1107*-2)^(1/$AJ1107)))</f>
        <v/>
      </c>
      <c r="AQ1107">
        <f>IF($AJ1107="","",IF($AJ1107=0,$AK1107*EXP($AL1107*-3),$AK1107*(1+$AJ1107*$AL1107*-3)^(1/$AJ1107)))</f>
        <v/>
      </c>
      <c r="AR1107">
        <f>IF(OR($X1107="",$T1107&gt;60),"",IFERROR(INDEX(IF($T1107&lt;24,pcomp_l,palt_l),MATCH($X1107,IF($T1107&lt;24,pcomp_k,palt_k),1)),""))</f>
        <v/>
      </c>
      <c r="AS1107">
        <f>IF(OR($X1107="",$T1107&gt;60),"",IFERROR(INDEX(IF($T1107&lt;24,pcomp_m,palt_m),MATCH($X1107,IF($T1107&lt;24,pcomp_k,palt_k),1)),""))</f>
        <v/>
      </c>
      <c r="AT1107">
        <f>IF(OR($X1107="",$T1107&gt;60),"",IFERROR(INDEX(IF($T1107&lt;24,pcomp_s,palt_s),MATCH($X1107,IF($T1107&lt;24,pcomp_k,palt_k),1)),""))</f>
        <v/>
      </c>
      <c r="AU1107">
        <f>IF($AR1107="","",IF($AR1107=0,LN($F1107/$AS1107)/$AT1107,((($F1107/$AS1107)^$AR1107)-1)/($AR1107*$AT1107)))</f>
        <v/>
      </c>
      <c r="AV1107">
        <f>IF($AR1107="","",IF($AR1107=0,$AS1107*EXP($AT1107*2),$AS1107*(1+$AR1107*$AT1107*2)^(1/$AR1107)))</f>
        <v/>
      </c>
      <c r="AW1107">
        <f>IF($AR1107="","",IF($AR1107=0,$AS1107*EXP($AT1107*3),$AS1107*(1+$AR1107*$AT1107*3)^(1/$AR1107)))</f>
        <v/>
      </c>
      <c r="AX1107">
        <f>IF($AR1107="","",IF($AR1107=0,$AS1107*EXP($AT1107*-2),$AS1107*(1+$AR1107*$AT1107*-2)^(1/$AR1107)))</f>
        <v/>
      </c>
      <c r="AY1107">
        <f>IF($AR1107="","",IF($AR1107=0,$AS1107*EXP($AT1107*-3),$AS1107*(1+$AR1107*$AT1107*-3)^(1/$AR1107)))</f>
        <v/>
      </c>
      <c r="AZ1107">
        <f>IF(OR($A1107="",$A1107&lt;&gt;Ficha!$C$4),"",COUNTIF($A$2:$A1107,Ficha!$C$4))</f>
        <v/>
      </c>
    </row>
    <row r="1108">
      <c r="A1108" s="8">
        <f>IF(INDEX(Banco!$A:$A,ROW())="","",INDEX(Banco!$A:$A,ROW()))</f>
        <v/>
      </c>
      <c r="B1108" s="8">
        <f>IF(INDEX(Banco!$B:$B,ROW())="","",INDEX(Banco!$B:$B,ROW()))</f>
        <v/>
      </c>
      <c r="C1108" s="8">
        <f>IF(INDEX(Banco!$C:$C,ROW())="","",INDEX(Banco!$C:$C,ROW()))</f>
        <v/>
      </c>
      <c r="D1108" s="9">
        <f>IF(INDEX(Banco!$D:$D,ROW())="","",INDEX(Banco!$D:$D,ROW()))</f>
        <v/>
      </c>
      <c r="E1108" s="9">
        <f>IF(INDEX(Banco!$E:$E,ROW())="","",INDEX(Banco!$E:$E,ROW()))</f>
        <v/>
      </c>
      <c r="F1108" s="10">
        <f>IF(INDEX(Banco!$F:$F,ROW())="","",INDEX(Banco!$F:$F,ROW()))</f>
        <v/>
      </c>
      <c r="G1108" s="10">
        <f>IF(INDEX(Banco!$G:$G,ROW())="","",INDEX(Banco!$G:$G,ROW()))</f>
        <v/>
      </c>
      <c r="H1108" s="8">
        <f>IF(INDEX(Banco!$H:$H,ROW())="","",INDEX(Banco!$H:$H,ROW()))</f>
        <v/>
      </c>
      <c r="I1108">
        <f>IF($T1108="","",INT($T1108/12)&amp;"a "&amp;MOD($T1108,12)&amp;"m")</f>
        <v/>
      </c>
      <c r="J1108" s="11">
        <f>IF(OR($F1108="",$G1108=""),"",ROUND($F1108/($G1108/100)^2,2))</f>
        <v/>
      </c>
      <c r="K1108" s="12">
        <f>IF(OR($S1108="",$J1108="",$T1108="",$T1108&lt;0,$T1108&gt;228,$Y1108=""),"—",ROUND(IF(ABS($AB1108)&lt;=3,$AB1108,IF($AB1108&gt;3,3+($J1108-$AD1108)/($AD1108-$AC1108),-3+($J1108-$AF1108)/($AE1108-$AF1108))),2))</f>
        <v/>
      </c>
      <c r="L1108">
        <f>IF(OR($K1108="",$K1108="—"),"",IF($T1108&lt;=60,IF($K1108&lt;-3,"Magreza acentuada",IF($K1108&lt;-2,"Magreza",IF($K1108&lt;=1,"Eutrofia",IF($K1108&lt;=2,"Risco de sobrepeso",IF($K1108&lt;=3,"Sobrepeso","Obesidade"))))),IF($K1108&lt;-3,"Magreza acentuada",IF($K1108&lt;-2,"Magreza",IF($K1108&lt;=1,"Eutrofia",IF($K1108&lt;=2,"Sobrepeso",IF($K1108&lt;=3,"Obesidade","Obesidade grave")))))))</f>
        <v/>
      </c>
      <c r="M1108" s="12">
        <f>IF(OR($S1108="",$V1108="",$T1108="",$T1108&lt;0,$T1108&gt;228,$AG1108=""),"—",ROUND(IF($AG1108=0,LN($V1108/$AH1108)/$AI1108,((($V1108/$AH1108)^$AG1108)-1)/($AG1108*$AI1108)),2))</f>
        <v/>
      </c>
      <c r="N1108">
        <f>IF(OR($M1108="",$M1108="—"),"",IF($M1108&lt;-3,"Muito baixa",IF($M1108&lt;-2,"Baixa","Adequada")))</f>
        <v/>
      </c>
      <c r="O1108" s="12">
        <f>IF(OR($S1108="",$F1108="",$T1108="",$T1108&lt;0,$T1108&gt;120,$AJ1108=""),"—",ROUND(IF(ABS($AM1108)&lt;=3,$AM1108,IF($AM1108&gt;3,3+($F1108-$AO1108)/($AO1108-$AN1108),-3+($F1108-$AQ1108)/($AP1108-$AQ1108))),2))</f>
        <v/>
      </c>
      <c r="P1108">
        <f>IF(OR($O1108="",$O1108="—"),"",IF($O1108&lt;-3,"Muito baixo",IF($O1108&lt;-2,"Baixo",IF($O1108&lt;=2,"Adequado","Elevado"))))</f>
        <v/>
      </c>
      <c r="Q1108" s="12">
        <f>IF(OR($S1108="",$F1108="",$T1108="",$T1108&lt;0,$T1108&gt;60,$AR1108=""),"—",ROUND(IF(ABS($AU1108)&lt;=3,$AU1108,IF($AU1108&gt;3,3+($F1108-$AW1108)/($AW1108-$AV1108),-3+($F1108-$AY1108)/($AX1108-$AY1108))),2))</f>
        <v/>
      </c>
      <c r="R1108">
        <f>IF(OR($Q1108="",$Q1108="—"),"",IF($Q1108&lt;-3,"Magreza acentuada",IF($Q1108&lt;-2,"Magreza",IF($Q1108&lt;=1,"Eutrofia",IF($Q1108&lt;=2,"Risco de sobrepeso",IF($Q1108&lt;=3,"Sobrepeso","Obesidade"))))))</f>
        <v/>
      </c>
      <c r="S1108">
        <f>IF($C1108="","",IF(UPPER(LEFT($C1108,1))="M",1,IF(UPPER(LEFT($C1108,1))="F",2,"")))</f>
        <v/>
      </c>
      <c r="T1108">
        <f>IF(OR($D1108="",$E1108=""),"",DATEDIF($D1108,$E1108,"m"))</f>
        <v/>
      </c>
      <c r="U1108">
        <f>IF(OR($D1108="",$E1108=""),"",$E1108-$D1108)</f>
        <v/>
      </c>
      <c r="V1108">
        <f>IF(OR($G1108="",$T1108=""),"",IF($T1108&lt;24,IF(LEFT(LOWER($H1108),4)="em p",$G1108+0.7,$G1108),IF(LEFT(LOWER($H1108),4)="deit",$G1108-0.7,$G1108)))</f>
        <v/>
      </c>
      <c r="W1108">
        <f>IF(OR($S1108="",$T1108=""),"",$S1108*1000000+IF($T1108&lt;=60,$U1108,$T1108))</f>
        <v/>
      </c>
      <c r="X1108">
        <f>IF(OR($S1108="",$V1108="",$T1108&gt;60,$T1108=""),"",$S1108*1000000+ROUND($V1108*10,0))</f>
        <v/>
      </c>
      <c r="Y1108">
        <f>IF($W1108="","",IFERROR(INDEX(IF($T1108&lt;=60,imc05_l,imc519_l),MATCH($W1108,IF($T1108&lt;=60,imc05_k,imc519_k),1)),""))</f>
        <v/>
      </c>
      <c r="Z1108">
        <f>IF($W1108="","",IFERROR(INDEX(IF($T1108&lt;=60,imc05_m,imc519_m),MATCH($W1108,IF($T1108&lt;=60,imc05_k,imc519_k),1)),""))</f>
        <v/>
      </c>
      <c r="AA1108">
        <f>IF($W1108="","",IFERROR(INDEX(IF($T1108&lt;=60,imc05_s,imc519_s),MATCH($W1108,IF($T1108&lt;=60,imc05_k,imc519_k),1)),""))</f>
        <v/>
      </c>
      <c r="AB1108">
        <f>IF($Y1108="","",IF($Y1108=0,LN($J1108/$Z1108)/$AA1108,((($J1108/$Z1108)^$Y1108)-1)/($Y1108*$AA1108)))</f>
        <v/>
      </c>
      <c r="AC1108">
        <f>IF($Y1108="","",IF($Y1108=0,$Z1108*EXP($AA1108*2),$Z1108*(1+$Y1108*$AA1108*2)^(1/$Y1108)))</f>
        <v/>
      </c>
      <c r="AD1108">
        <f>IF($Y1108="","",IF($Y1108=0,$Z1108*EXP($AA1108*3),$Z1108*(1+$Y1108*$AA1108*3)^(1/$Y1108)))</f>
        <v/>
      </c>
      <c r="AE1108">
        <f>IF($Y1108="","",IF($Y1108=0,$Z1108*EXP($AA1108*-2),$Z1108*(1+$Y1108*$AA1108*-2)^(1/$Y1108)))</f>
        <v/>
      </c>
      <c r="AF1108">
        <f>IF($Y1108="","",IF($Y1108=0,$Z1108*EXP($AA1108*-3),$Z1108*(1+$Y1108*$AA1108*-3)^(1/$Y1108)))</f>
        <v/>
      </c>
      <c r="AG1108">
        <f>IF($W1108="","",IFERROR(INDEX(IF($T1108&lt;=60,est05_l,est519_l),MATCH($W1108,IF($T1108&lt;=60,est05_k,est519_k),1)),""))</f>
        <v/>
      </c>
      <c r="AH1108">
        <f>IF($W1108="","",IFERROR(INDEX(IF($T1108&lt;=60,est05_m,est519_m),MATCH($W1108,IF($T1108&lt;=60,est05_k,est519_k),1)),""))</f>
        <v/>
      </c>
      <c r="AI1108">
        <f>IF($W1108="","",IFERROR(INDEX(IF($T1108&lt;=60,est05_s,est519_s),MATCH($W1108,IF($T1108&lt;=60,est05_k,est519_k),1)),""))</f>
        <v/>
      </c>
      <c r="AJ1108">
        <f>IF($W1108="","",IFERROR(INDEX(IF($T1108&lt;=60,peso05_l,peso510_l),MATCH($W1108,IF($T1108&lt;=60,peso05_k,peso510_k),1)),""))</f>
        <v/>
      </c>
      <c r="AK1108">
        <f>IF($W1108="","",IFERROR(INDEX(IF($T1108&lt;=60,peso05_m,peso510_m),MATCH($W1108,IF($T1108&lt;=60,peso05_k,peso510_k),1)),""))</f>
        <v/>
      </c>
      <c r="AL1108">
        <f>IF($W1108="","",IFERROR(INDEX(IF($T1108&lt;=60,peso05_s,peso510_s),MATCH($W1108,IF($T1108&lt;=60,peso05_k,peso510_k),1)),""))</f>
        <v/>
      </c>
      <c r="AM1108">
        <f>IF($AJ1108="","",IF($AJ1108=0,LN($F1108/$AK1108)/$AL1108,((($F1108/$AK1108)^$AJ1108)-1)/($AJ1108*$AL1108)))</f>
        <v/>
      </c>
      <c r="AN1108">
        <f>IF($AJ1108="","",IF($AJ1108=0,$AK1108*EXP($AL1108*2),$AK1108*(1+$AJ1108*$AL1108*2)^(1/$AJ1108)))</f>
        <v/>
      </c>
      <c r="AO1108">
        <f>IF($AJ1108="","",IF($AJ1108=0,$AK1108*EXP($AL1108*3),$AK1108*(1+$AJ1108*$AL1108*3)^(1/$AJ1108)))</f>
        <v/>
      </c>
      <c r="AP1108">
        <f>IF($AJ1108="","",IF($AJ1108=0,$AK1108*EXP($AL1108*-2),$AK1108*(1+$AJ1108*$AL1108*-2)^(1/$AJ1108)))</f>
        <v/>
      </c>
      <c r="AQ1108">
        <f>IF($AJ1108="","",IF($AJ1108=0,$AK1108*EXP($AL1108*-3),$AK1108*(1+$AJ1108*$AL1108*-3)^(1/$AJ1108)))</f>
        <v/>
      </c>
      <c r="AR1108">
        <f>IF(OR($X1108="",$T1108&gt;60),"",IFERROR(INDEX(IF($T1108&lt;24,pcomp_l,palt_l),MATCH($X1108,IF($T1108&lt;24,pcomp_k,palt_k),1)),""))</f>
        <v/>
      </c>
      <c r="AS1108">
        <f>IF(OR($X1108="",$T1108&gt;60),"",IFERROR(INDEX(IF($T1108&lt;24,pcomp_m,palt_m),MATCH($X1108,IF($T1108&lt;24,pcomp_k,palt_k),1)),""))</f>
        <v/>
      </c>
      <c r="AT1108">
        <f>IF(OR($X1108="",$T1108&gt;60),"",IFERROR(INDEX(IF($T1108&lt;24,pcomp_s,palt_s),MATCH($X1108,IF($T1108&lt;24,pcomp_k,palt_k),1)),""))</f>
        <v/>
      </c>
      <c r="AU1108">
        <f>IF($AR1108="","",IF($AR1108=0,LN($F1108/$AS1108)/$AT1108,((($F1108/$AS1108)^$AR1108)-1)/($AR1108*$AT1108)))</f>
        <v/>
      </c>
      <c r="AV1108">
        <f>IF($AR1108="","",IF($AR1108=0,$AS1108*EXP($AT1108*2),$AS1108*(1+$AR1108*$AT1108*2)^(1/$AR1108)))</f>
        <v/>
      </c>
      <c r="AW1108">
        <f>IF($AR1108="","",IF($AR1108=0,$AS1108*EXP($AT1108*3),$AS1108*(1+$AR1108*$AT1108*3)^(1/$AR1108)))</f>
        <v/>
      </c>
      <c r="AX1108">
        <f>IF($AR1108="","",IF($AR1108=0,$AS1108*EXP($AT1108*-2),$AS1108*(1+$AR1108*$AT1108*-2)^(1/$AR1108)))</f>
        <v/>
      </c>
      <c r="AY1108">
        <f>IF($AR1108="","",IF($AR1108=0,$AS1108*EXP($AT1108*-3),$AS1108*(1+$AR1108*$AT1108*-3)^(1/$AR1108)))</f>
        <v/>
      </c>
      <c r="AZ1108">
        <f>IF(OR($A1108="",$A1108&lt;&gt;Ficha!$C$4),"",COUNTIF($A$2:$A1108,Ficha!$C$4))</f>
        <v/>
      </c>
    </row>
    <row r="1109">
      <c r="A1109" s="8">
        <f>IF(INDEX(Banco!$A:$A,ROW())="","",INDEX(Banco!$A:$A,ROW()))</f>
        <v/>
      </c>
      <c r="B1109" s="8">
        <f>IF(INDEX(Banco!$B:$B,ROW())="","",INDEX(Banco!$B:$B,ROW()))</f>
        <v/>
      </c>
      <c r="C1109" s="8">
        <f>IF(INDEX(Banco!$C:$C,ROW())="","",INDEX(Banco!$C:$C,ROW()))</f>
        <v/>
      </c>
      <c r="D1109" s="9">
        <f>IF(INDEX(Banco!$D:$D,ROW())="","",INDEX(Banco!$D:$D,ROW()))</f>
        <v/>
      </c>
      <c r="E1109" s="9">
        <f>IF(INDEX(Banco!$E:$E,ROW())="","",INDEX(Banco!$E:$E,ROW()))</f>
        <v/>
      </c>
      <c r="F1109" s="10">
        <f>IF(INDEX(Banco!$F:$F,ROW())="","",INDEX(Banco!$F:$F,ROW()))</f>
        <v/>
      </c>
      <c r="G1109" s="10">
        <f>IF(INDEX(Banco!$G:$G,ROW())="","",INDEX(Banco!$G:$G,ROW()))</f>
        <v/>
      </c>
      <c r="H1109" s="8">
        <f>IF(INDEX(Banco!$H:$H,ROW())="","",INDEX(Banco!$H:$H,ROW()))</f>
        <v/>
      </c>
      <c r="I1109">
        <f>IF($T1109="","",INT($T1109/12)&amp;"a "&amp;MOD($T1109,12)&amp;"m")</f>
        <v/>
      </c>
      <c r="J1109" s="11">
        <f>IF(OR($F1109="",$G1109=""),"",ROUND($F1109/($G1109/100)^2,2))</f>
        <v/>
      </c>
      <c r="K1109" s="12">
        <f>IF(OR($S1109="",$J1109="",$T1109="",$T1109&lt;0,$T1109&gt;228,$Y1109=""),"—",ROUND(IF(ABS($AB1109)&lt;=3,$AB1109,IF($AB1109&gt;3,3+($J1109-$AD1109)/($AD1109-$AC1109),-3+($J1109-$AF1109)/($AE1109-$AF1109))),2))</f>
        <v/>
      </c>
      <c r="L1109">
        <f>IF(OR($K1109="",$K1109="—"),"",IF($T1109&lt;=60,IF($K1109&lt;-3,"Magreza acentuada",IF($K1109&lt;-2,"Magreza",IF($K1109&lt;=1,"Eutrofia",IF($K1109&lt;=2,"Risco de sobrepeso",IF($K1109&lt;=3,"Sobrepeso","Obesidade"))))),IF($K1109&lt;-3,"Magreza acentuada",IF($K1109&lt;-2,"Magreza",IF($K1109&lt;=1,"Eutrofia",IF($K1109&lt;=2,"Sobrepeso",IF($K1109&lt;=3,"Obesidade","Obesidade grave")))))))</f>
        <v/>
      </c>
      <c r="M1109" s="12">
        <f>IF(OR($S1109="",$V1109="",$T1109="",$T1109&lt;0,$T1109&gt;228,$AG1109=""),"—",ROUND(IF($AG1109=0,LN($V1109/$AH1109)/$AI1109,((($V1109/$AH1109)^$AG1109)-1)/($AG1109*$AI1109)),2))</f>
        <v/>
      </c>
      <c r="N1109">
        <f>IF(OR($M1109="",$M1109="—"),"",IF($M1109&lt;-3,"Muito baixa",IF($M1109&lt;-2,"Baixa","Adequada")))</f>
        <v/>
      </c>
      <c r="O1109" s="12">
        <f>IF(OR($S1109="",$F1109="",$T1109="",$T1109&lt;0,$T1109&gt;120,$AJ1109=""),"—",ROUND(IF(ABS($AM1109)&lt;=3,$AM1109,IF($AM1109&gt;3,3+($F1109-$AO1109)/($AO1109-$AN1109),-3+($F1109-$AQ1109)/($AP1109-$AQ1109))),2))</f>
        <v/>
      </c>
      <c r="P1109">
        <f>IF(OR($O1109="",$O1109="—"),"",IF($O1109&lt;-3,"Muito baixo",IF($O1109&lt;-2,"Baixo",IF($O1109&lt;=2,"Adequado","Elevado"))))</f>
        <v/>
      </c>
      <c r="Q1109" s="12">
        <f>IF(OR($S1109="",$F1109="",$T1109="",$T1109&lt;0,$T1109&gt;60,$AR1109=""),"—",ROUND(IF(ABS($AU1109)&lt;=3,$AU1109,IF($AU1109&gt;3,3+($F1109-$AW1109)/($AW1109-$AV1109),-3+($F1109-$AY1109)/($AX1109-$AY1109))),2))</f>
        <v/>
      </c>
      <c r="R1109">
        <f>IF(OR($Q1109="",$Q1109="—"),"",IF($Q1109&lt;-3,"Magreza acentuada",IF($Q1109&lt;-2,"Magreza",IF($Q1109&lt;=1,"Eutrofia",IF($Q1109&lt;=2,"Risco de sobrepeso",IF($Q1109&lt;=3,"Sobrepeso","Obesidade"))))))</f>
        <v/>
      </c>
      <c r="S1109">
        <f>IF($C1109="","",IF(UPPER(LEFT($C1109,1))="M",1,IF(UPPER(LEFT($C1109,1))="F",2,"")))</f>
        <v/>
      </c>
      <c r="T1109">
        <f>IF(OR($D1109="",$E1109=""),"",DATEDIF($D1109,$E1109,"m"))</f>
        <v/>
      </c>
      <c r="U1109">
        <f>IF(OR($D1109="",$E1109=""),"",$E1109-$D1109)</f>
        <v/>
      </c>
      <c r="V1109">
        <f>IF(OR($G1109="",$T1109=""),"",IF($T1109&lt;24,IF(LEFT(LOWER($H1109),4)="em p",$G1109+0.7,$G1109),IF(LEFT(LOWER($H1109),4)="deit",$G1109-0.7,$G1109)))</f>
        <v/>
      </c>
      <c r="W1109">
        <f>IF(OR($S1109="",$T1109=""),"",$S1109*1000000+IF($T1109&lt;=60,$U1109,$T1109))</f>
        <v/>
      </c>
      <c r="X1109">
        <f>IF(OR($S1109="",$V1109="",$T1109&gt;60,$T1109=""),"",$S1109*1000000+ROUND($V1109*10,0))</f>
        <v/>
      </c>
      <c r="Y1109">
        <f>IF($W1109="","",IFERROR(INDEX(IF($T1109&lt;=60,imc05_l,imc519_l),MATCH($W1109,IF($T1109&lt;=60,imc05_k,imc519_k),1)),""))</f>
        <v/>
      </c>
      <c r="Z1109">
        <f>IF($W1109="","",IFERROR(INDEX(IF($T1109&lt;=60,imc05_m,imc519_m),MATCH($W1109,IF($T1109&lt;=60,imc05_k,imc519_k),1)),""))</f>
        <v/>
      </c>
      <c r="AA1109">
        <f>IF($W1109="","",IFERROR(INDEX(IF($T1109&lt;=60,imc05_s,imc519_s),MATCH($W1109,IF($T1109&lt;=60,imc05_k,imc519_k),1)),""))</f>
        <v/>
      </c>
      <c r="AB1109">
        <f>IF($Y1109="","",IF($Y1109=0,LN($J1109/$Z1109)/$AA1109,((($J1109/$Z1109)^$Y1109)-1)/($Y1109*$AA1109)))</f>
        <v/>
      </c>
      <c r="AC1109">
        <f>IF($Y1109="","",IF($Y1109=0,$Z1109*EXP($AA1109*2),$Z1109*(1+$Y1109*$AA1109*2)^(1/$Y1109)))</f>
        <v/>
      </c>
      <c r="AD1109">
        <f>IF($Y1109="","",IF($Y1109=0,$Z1109*EXP($AA1109*3),$Z1109*(1+$Y1109*$AA1109*3)^(1/$Y1109)))</f>
        <v/>
      </c>
      <c r="AE1109">
        <f>IF($Y1109="","",IF($Y1109=0,$Z1109*EXP($AA1109*-2),$Z1109*(1+$Y1109*$AA1109*-2)^(1/$Y1109)))</f>
        <v/>
      </c>
      <c r="AF1109">
        <f>IF($Y1109="","",IF($Y1109=0,$Z1109*EXP($AA1109*-3),$Z1109*(1+$Y1109*$AA1109*-3)^(1/$Y1109)))</f>
        <v/>
      </c>
      <c r="AG1109">
        <f>IF($W1109="","",IFERROR(INDEX(IF($T1109&lt;=60,est05_l,est519_l),MATCH($W1109,IF($T1109&lt;=60,est05_k,est519_k),1)),""))</f>
        <v/>
      </c>
      <c r="AH1109">
        <f>IF($W1109="","",IFERROR(INDEX(IF($T1109&lt;=60,est05_m,est519_m),MATCH($W1109,IF($T1109&lt;=60,est05_k,est519_k),1)),""))</f>
        <v/>
      </c>
      <c r="AI1109">
        <f>IF($W1109="","",IFERROR(INDEX(IF($T1109&lt;=60,est05_s,est519_s),MATCH($W1109,IF($T1109&lt;=60,est05_k,est519_k),1)),""))</f>
        <v/>
      </c>
      <c r="AJ1109">
        <f>IF($W1109="","",IFERROR(INDEX(IF($T1109&lt;=60,peso05_l,peso510_l),MATCH($W1109,IF($T1109&lt;=60,peso05_k,peso510_k),1)),""))</f>
        <v/>
      </c>
      <c r="AK1109">
        <f>IF($W1109="","",IFERROR(INDEX(IF($T1109&lt;=60,peso05_m,peso510_m),MATCH($W1109,IF($T1109&lt;=60,peso05_k,peso510_k),1)),""))</f>
        <v/>
      </c>
      <c r="AL1109">
        <f>IF($W1109="","",IFERROR(INDEX(IF($T1109&lt;=60,peso05_s,peso510_s),MATCH($W1109,IF($T1109&lt;=60,peso05_k,peso510_k),1)),""))</f>
        <v/>
      </c>
      <c r="AM1109">
        <f>IF($AJ1109="","",IF($AJ1109=0,LN($F1109/$AK1109)/$AL1109,((($F1109/$AK1109)^$AJ1109)-1)/($AJ1109*$AL1109)))</f>
        <v/>
      </c>
      <c r="AN1109">
        <f>IF($AJ1109="","",IF($AJ1109=0,$AK1109*EXP($AL1109*2),$AK1109*(1+$AJ1109*$AL1109*2)^(1/$AJ1109)))</f>
        <v/>
      </c>
      <c r="AO1109">
        <f>IF($AJ1109="","",IF($AJ1109=0,$AK1109*EXP($AL1109*3),$AK1109*(1+$AJ1109*$AL1109*3)^(1/$AJ1109)))</f>
        <v/>
      </c>
      <c r="AP1109">
        <f>IF($AJ1109="","",IF($AJ1109=0,$AK1109*EXP($AL1109*-2),$AK1109*(1+$AJ1109*$AL1109*-2)^(1/$AJ1109)))</f>
        <v/>
      </c>
      <c r="AQ1109">
        <f>IF($AJ1109="","",IF($AJ1109=0,$AK1109*EXP($AL1109*-3),$AK1109*(1+$AJ1109*$AL1109*-3)^(1/$AJ1109)))</f>
        <v/>
      </c>
      <c r="AR1109">
        <f>IF(OR($X1109="",$T1109&gt;60),"",IFERROR(INDEX(IF($T1109&lt;24,pcomp_l,palt_l),MATCH($X1109,IF($T1109&lt;24,pcomp_k,palt_k),1)),""))</f>
        <v/>
      </c>
      <c r="AS1109">
        <f>IF(OR($X1109="",$T1109&gt;60),"",IFERROR(INDEX(IF($T1109&lt;24,pcomp_m,palt_m),MATCH($X1109,IF($T1109&lt;24,pcomp_k,palt_k),1)),""))</f>
        <v/>
      </c>
      <c r="AT1109">
        <f>IF(OR($X1109="",$T1109&gt;60),"",IFERROR(INDEX(IF($T1109&lt;24,pcomp_s,palt_s),MATCH($X1109,IF($T1109&lt;24,pcomp_k,palt_k),1)),""))</f>
        <v/>
      </c>
      <c r="AU1109">
        <f>IF($AR1109="","",IF($AR1109=0,LN($F1109/$AS1109)/$AT1109,((($F1109/$AS1109)^$AR1109)-1)/($AR1109*$AT1109)))</f>
        <v/>
      </c>
      <c r="AV1109">
        <f>IF($AR1109="","",IF($AR1109=0,$AS1109*EXP($AT1109*2),$AS1109*(1+$AR1109*$AT1109*2)^(1/$AR1109)))</f>
        <v/>
      </c>
      <c r="AW1109">
        <f>IF($AR1109="","",IF($AR1109=0,$AS1109*EXP($AT1109*3),$AS1109*(1+$AR1109*$AT1109*3)^(1/$AR1109)))</f>
        <v/>
      </c>
      <c r="AX1109">
        <f>IF($AR1109="","",IF($AR1109=0,$AS1109*EXP($AT1109*-2),$AS1109*(1+$AR1109*$AT1109*-2)^(1/$AR1109)))</f>
        <v/>
      </c>
      <c r="AY1109">
        <f>IF($AR1109="","",IF($AR1109=0,$AS1109*EXP($AT1109*-3),$AS1109*(1+$AR1109*$AT1109*-3)^(1/$AR1109)))</f>
        <v/>
      </c>
      <c r="AZ1109">
        <f>IF(OR($A1109="",$A1109&lt;&gt;Ficha!$C$4),"",COUNTIF($A$2:$A1109,Ficha!$C$4))</f>
        <v/>
      </c>
    </row>
    <row r="1110">
      <c r="A1110" s="8">
        <f>IF(INDEX(Banco!$A:$A,ROW())="","",INDEX(Banco!$A:$A,ROW()))</f>
        <v/>
      </c>
      <c r="B1110" s="8">
        <f>IF(INDEX(Banco!$B:$B,ROW())="","",INDEX(Banco!$B:$B,ROW()))</f>
        <v/>
      </c>
      <c r="C1110" s="8">
        <f>IF(INDEX(Banco!$C:$C,ROW())="","",INDEX(Banco!$C:$C,ROW()))</f>
        <v/>
      </c>
      <c r="D1110" s="9">
        <f>IF(INDEX(Banco!$D:$D,ROW())="","",INDEX(Banco!$D:$D,ROW()))</f>
        <v/>
      </c>
      <c r="E1110" s="9">
        <f>IF(INDEX(Banco!$E:$E,ROW())="","",INDEX(Banco!$E:$E,ROW()))</f>
        <v/>
      </c>
      <c r="F1110" s="10">
        <f>IF(INDEX(Banco!$F:$F,ROW())="","",INDEX(Banco!$F:$F,ROW()))</f>
        <v/>
      </c>
      <c r="G1110" s="10">
        <f>IF(INDEX(Banco!$G:$G,ROW())="","",INDEX(Banco!$G:$G,ROW()))</f>
        <v/>
      </c>
      <c r="H1110" s="8">
        <f>IF(INDEX(Banco!$H:$H,ROW())="","",INDEX(Banco!$H:$H,ROW()))</f>
        <v/>
      </c>
      <c r="I1110">
        <f>IF($T1110="","",INT($T1110/12)&amp;"a "&amp;MOD($T1110,12)&amp;"m")</f>
        <v/>
      </c>
      <c r="J1110" s="11">
        <f>IF(OR($F1110="",$G1110=""),"",ROUND($F1110/($G1110/100)^2,2))</f>
        <v/>
      </c>
      <c r="K1110" s="12">
        <f>IF(OR($S1110="",$J1110="",$T1110="",$T1110&lt;0,$T1110&gt;228,$Y1110=""),"—",ROUND(IF(ABS($AB1110)&lt;=3,$AB1110,IF($AB1110&gt;3,3+($J1110-$AD1110)/($AD1110-$AC1110),-3+($J1110-$AF1110)/($AE1110-$AF1110))),2))</f>
        <v/>
      </c>
      <c r="L1110">
        <f>IF(OR($K1110="",$K1110="—"),"",IF($T1110&lt;=60,IF($K1110&lt;-3,"Magreza acentuada",IF($K1110&lt;-2,"Magreza",IF($K1110&lt;=1,"Eutrofia",IF($K1110&lt;=2,"Risco de sobrepeso",IF($K1110&lt;=3,"Sobrepeso","Obesidade"))))),IF($K1110&lt;-3,"Magreza acentuada",IF($K1110&lt;-2,"Magreza",IF($K1110&lt;=1,"Eutrofia",IF($K1110&lt;=2,"Sobrepeso",IF($K1110&lt;=3,"Obesidade","Obesidade grave")))))))</f>
        <v/>
      </c>
      <c r="M1110" s="12">
        <f>IF(OR($S1110="",$V1110="",$T1110="",$T1110&lt;0,$T1110&gt;228,$AG1110=""),"—",ROUND(IF($AG1110=0,LN($V1110/$AH1110)/$AI1110,((($V1110/$AH1110)^$AG1110)-1)/($AG1110*$AI1110)),2))</f>
        <v/>
      </c>
      <c r="N1110">
        <f>IF(OR($M1110="",$M1110="—"),"",IF($M1110&lt;-3,"Muito baixa",IF($M1110&lt;-2,"Baixa","Adequada")))</f>
        <v/>
      </c>
      <c r="O1110" s="12">
        <f>IF(OR($S1110="",$F1110="",$T1110="",$T1110&lt;0,$T1110&gt;120,$AJ1110=""),"—",ROUND(IF(ABS($AM1110)&lt;=3,$AM1110,IF($AM1110&gt;3,3+($F1110-$AO1110)/($AO1110-$AN1110),-3+($F1110-$AQ1110)/($AP1110-$AQ1110))),2))</f>
        <v/>
      </c>
      <c r="P1110">
        <f>IF(OR($O1110="",$O1110="—"),"",IF($O1110&lt;-3,"Muito baixo",IF($O1110&lt;-2,"Baixo",IF($O1110&lt;=2,"Adequado","Elevado"))))</f>
        <v/>
      </c>
      <c r="Q1110" s="12">
        <f>IF(OR($S1110="",$F1110="",$T1110="",$T1110&lt;0,$T1110&gt;60,$AR1110=""),"—",ROUND(IF(ABS($AU1110)&lt;=3,$AU1110,IF($AU1110&gt;3,3+($F1110-$AW1110)/($AW1110-$AV1110),-3+($F1110-$AY1110)/($AX1110-$AY1110))),2))</f>
        <v/>
      </c>
      <c r="R1110">
        <f>IF(OR($Q1110="",$Q1110="—"),"",IF($Q1110&lt;-3,"Magreza acentuada",IF($Q1110&lt;-2,"Magreza",IF($Q1110&lt;=1,"Eutrofia",IF($Q1110&lt;=2,"Risco de sobrepeso",IF($Q1110&lt;=3,"Sobrepeso","Obesidade"))))))</f>
        <v/>
      </c>
      <c r="S1110">
        <f>IF($C1110="","",IF(UPPER(LEFT($C1110,1))="M",1,IF(UPPER(LEFT($C1110,1))="F",2,"")))</f>
        <v/>
      </c>
      <c r="T1110">
        <f>IF(OR($D1110="",$E1110=""),"",DATEDIF($D1110,$E1110,"m"))</f>
        <v/>
      </c>
      <c r="U1110">
        <f>IF(OR($D1110="",$E1110=""),"",$E1110-$D1110)</f>
        <v/>
      </c>
      <c r="V1110">
        <f>IF(OR($G1110="",$T1110=""),"",IF($T1110&lt;24,IF(LEFT(LOWER($H1110),4)="em p",$G1110+0.7,$G1110),IF(LEFT(LOWER($H1110),4)="deit",$G1110-0.7,$G1110)))</f>
        <v/>
      </c>
      <c r="W1110">
        <f>IF(OR($S1110="",$T1110=""),"",$S1110*1000000+IF($T1110&lt;=60,$U1110,$T1110))</f>
        <v/>
      </c>
      <c r="X1110">
        <f>IF(OR($S1110="",$V1110="",$T1110&gt;60,$T1110=""),"",$S1110*1000000+ROUND($V1110*10,0))</f>
        <v/>
      </c>
      <c r="Y1110">
        <f>IF($W1110="","",IFERROR(INDEX(IF($T1110&lt;=60,imc05_l,imc519_l),MATCH($W1110,IF($T1110&lt;=60,imc05_k,imc519_k),1)),""))</f>
        <v/>
      </c>
      <c r="Z1110">
        <f>IF($W1110="","",IFERROR(INDEX(IF($T1110&lt;=60,imc05_m,imc519_m),MATCH($W1110,IF($T1110&lt;=60,imc05_k,imc519_k),1)),""))</f>
        <v/>
      </c>
      <c r="AA1110">
        <f>IF($W1110="","",IFERROR(INDEX(IF($T1110&lt;=60,imc05_s,imc519_s),MATCH($W1110,IF($T1110&lt;=60,imc05_k,imc519_k),1)),""))</f>
        <v/>
      </c>
      <c r="AB1110">
        <f>IF($Y1110="","",IF($Y1110=0,LN($J1110/$Z1110)/$AA1110,((($J1110/$Z1110)^$Y1110)-1)/($Y1110*$AA1110)))</f>
        <v/>
      </c>
      <c r="AC1110">
        <f>IF($Y1110="","",IF($Y1110=0,$Z1110*EXP($AA1110*2),$Z1110*(1+$Y1110*$AA1110*2)^(1/$Y1110)))</f>
        <v/>
      </c>
      <c r="AD1110">
        <f>IF($Y1110="","",IF($Y1110=0,$Z1110*EXP($AA1110*3),$Z1110*(1+$Y1110*$AA1110*3)^(1/$Y1110)))</f>
        <v/>
      </c>
      <c r="AE1110">
        <f>IF($Y1110="","",IF($Y1110=0,$Z1110*EXP($AA1110*-2),$Z1110*(1+$Y1110*$AA1110*-2)^(1/$Y1110)))</f>
        <v/>
      </c>
      <c r="AF1110">
        <f>IF($Y1110="","",IF($Y1110=0,$Z1110*EXP($AA1110*-3),$Z1110*(1+$Y1110*$AA1110*-3)^(1/$Y1110)))</f>
        <v/>
      </c>
      <c r="AG1110">
        <f>IF($W1110="","",IFERROR(INDEX(IF($T1110&lt;=60,est05_l,est519_l),MATCH($W1110,IF($T1110&lt;=60,est05_k,est519_k),1)),""))</f>
        <v/>
      </c>
      <c r="AH1110">
        <f>IF($W1110="","",IFERROR(INDEX(IF($T1110&lt;=60,est05_m,est519_m),MATCH($W1110,IF($T1110&lt;=60,est05_k,est519_k),1)),""))</f>
        <v/>
      </c>
      <c r="AI1110">
        <f>IF($W1110="","",IFERROR(INDEX(IF($T1110&lt;=60,est05_s,est519_s),MATCH($W1110,IF($T1110&lt;=60,est05_k,est519_k),1)),""))</f>
        <v/>
      </c>
      <c r="AJ1110">
        <f>IF($W1110="","",IFERROR(INDEX(IF($T1110&lt;=60,peso05_l,peso510_l),MATCH($W1110,IF($T1110&lt;=60,peso05_k,peso510_k),1)),""))</f>
        <v/>
      </c>
      <c r="AK1110">
        <f>IF($W1110="","",IFERROR(INDEX(IF($T1110&lt;=60,peso05_m,peso510_m),MATCH($W1110,IF($T1110&lt;=60,peso05_k,peso510_k),1)),""))</f>
        <v/>
      </c>
      <c r="AL1110">
        <f>IF($W1110="","",IFERROR(INDEX(IF($T1110&lt;=60,peso05_s,peso510_s),MATCH($W1110,IF($T1110&lt;=60,peso05_k,peso510_k),1)),""))</f>
        <v/>
      </c>
      <c r="AM1110">
        <f>IF($AJ1110="","",IF($AJ1110=0,LN($F1110/$AK1110)/$AL1110,((($F1110/$AK1110)^$AJ1110)-1)/($AJ1110*$AL1110)))</f>
        <v/>
      </c>
      <c r="AN1110">
        <f>IF($AJ1110="","",IF($AJ1110=0,$AK1110*EXP($AL1110*2),$AK1110*(1+$AJ1110*$AL1110*2)^(1/$AJ1110)))</f>
        <v/>
      </c>
      <c r="AO1110">
        <f>IF($AJ1110="","",IF($AJ1110=0,$AK1110*EXP($AL1110*3),$AK1110*(1+$AJ1110*$AL1110*3)^(1/$AJ1110)))</f>
        <v/>
      </c>
      <c r="AP1110">
        <f>IF($AJ1110="","",IF($AJ1110=0,$AK1110*EXP($AL1110*-2),$AK1110*(1+$AJ1110*$AL1110*-2)^(1/$AJ1110)))</f>
        <v/>
      </c>
      <c r="AQ1110">
        <f>IF($AJ1110="","",IF($AJ1110=0,$AK1110*EXP($AL1110*-3),$AK1110*(1+$AJ1110*$AL1110*-3)^(1/$AJ1110)))</f>
        <v/>
      </c>
      <c r="AR1110">
        <f>IF(OR($X1110="",$T1110&gt;60),"",IFERROR(INDEX(IF($T1110&lt;24,pcomp_l,palt_l),MATCH($X1110,IF($T1110&lt;24,pcomp_k,palt_k),1)),""))</f>
        <v/>
      </c>
      <c r="AS1110">
        <f>IF(OR($X1110="",$T1110&gt;60),"",IFERROR(INDEX(IF($T1110&lt;24,pcomp_m,palt_m),MATCH($X1110,IF($T1110&lt;24,pcomp_k,palt_k),1)),""))</f>
        <v/>
      </c>
      <c r="AT1110">
        <f>IF(OR($X1110="",$T1110&gt;60),"",IFERROR(INDEX(IF($T1110&lt;24,pcomp_s,palt_s),MATCH($X1110,IF($T1110&lt;24,pcomp_k,palt_k),1)),""))</f>
        <v/>
      </c>
      <c r="AU1110">
        <f>IF($AR1110="","",IF($AR1110=0,LN($F1110/$AS1110)/$AT1110,((($F1110/$AS1110)^$AR1110)-1)/($AR1110*$AT1110)))</f>
        <v/>
      </c>
      <c r="AV1110">
        <f>IF($AR1110="","",IF($AR1110=0,$AS1110*EXP($AT1110*2),$AS1110*(1+$AR1110*$AT1110*2)^(1/$AR1110)))</f>
        <v/>
      </c>
      <c r="AW1110">
        <f>IF($AR1110="","",IF($AR1110=0,$AS1110*EXP($AT1110*3),$AS1110*(1+$AR1110*$AT1110*3)^(1/$AR1110)))</f>
        <v/>
      </c>
      <c r="AX1110">
        <f>IF($AR1110="","",IF($AR1110=0,$AS1110*EXP($AT1110*-2),$AS1110*(1+$AR1110*$AT1110*-2)^(1/$AR1110)))</f>
        <v/>
      </c>
      <c r="AY1110">
        <f>IF($AR1110="","",IF($AR1110=0,$AS1110*EXP($AT1110*-3),$AS1110*(1+$AR1110*$AT1110*-3)^(1/$AR1110)))</f>
        <v/>
      </c>
      <c r="AZ1110">
        <f>IF(OR($A1110="",$A1110&lt;&gt;Ficha!$C$4),"",COUNTIF($A$2:$A1110,Ficha!$C$4))</f>
        <v/>
      </c>
    </row>
    <row r="1111">
      <c r="A1111" s="8">
        <f>IF(INDEX(Banco!$A:$A,ROW())="","",INDEX(Banco!$A:$A,ROW()))</f>
        <v/>
      </c>
      <c r="B1111" s="8">
        <f>IF(INDEX(Banco!$B:$B,ROW())="","",INDEX(Banco!$B:$B,ROW()))</f>
        <v/>
      </c>
      <c r="C1111" s="8">
        <f>IF(INDEX(Banco!$C:$C,ROW())="","",INDEX(Banco!$C:$C,ROW()))</f>
        <v/>
      </c>
      <c r="D1111" s="9">
        <f>IF(INDEX(Banco!$D:$D,ROW())="","",INDEX(Banco!$D:$D,ROW()))</f>
        <v/>
      </c>
      <c r="E1111" s="9">
        <f>IF(INDEX(Banco!$E:$E,ROW())="","",INDEX(Banco!$E:$E,ROW()))</f>
        <v/>
      </c>
      <c r="F1111" s="10">
        <f>IF(INDEX(Banco!$F:$F,ROW())="","",INDEX(Banco!$F:$F,ROW()))</f>
        <v/>
      </c>
      <c r="G1111" s="10">
        <f>IF(INDEX(Banco!$G:$G,ROW())="","",INDEX(Banco!$G:$G,ROW()))</f>
        <v/>
      </c>
      <c r="H1111" s="8">
        <f>IF(INDEX(Banco!$H:$H,ROW())="","",INDEX(Banco!$H:$H,ROW()))</f>
        <v/>
      </c>
      <c r="I1111">
        <f>IF($T1111="","",INT($T1111/12)&amp;"a "&amp;MOD($T1111,12)&amp;"m")</f>
        <v/>
      </c>
      <c r="J1111" s="11">
        <f>IF(OR($F1111="",$G1111=""),"",ROUND($F1111/($G1111/100)^2,2))</f>
        <v/>
      </c>
      <c r="K1111" s="12">
        <f>IF(OR($S1111="",$J1111="",$T1111="",$T1111&lt;0,$T1111&gt;228,$Y1111=""),"—",ROUND(IF(ABS($AB1111)&lt;=3,$AB1111,IF($AB1111&gt;3,3+($J1111-$AD1111)/($AD1111-$AC1111),-3+($J1111-$AF1111)/($AE1111-$AF1111))),2))</f>
        <v/>
      </c>
      <c r="L1111">
        <f>IF(OR($K1111="",$K1111="—"),"",IF($T1111&lt;=60,IF($K1111&lt;-3,"Magreza acentuada",IF($K1111&lt;-2,"Magreza",IF($K1111&lt;=1,"Eutrofia",IF($K1111&lt;=2,"Risco de sobrepeso",IF($K1111&lt;=3,"Sobrepeso","Obesidade"))))),IF($K1111&lt;-3,"Magreza acentuada",IF($K1111&lt;-2,"Magreza",IF($K1111&lt;=1,"Eutrofia",IF($K1111&lt;=2,"Sobrepeso",IF($K1111&lt;=3,"Obesidade","Obesidade grave")))))))</f>
        <v/>
      </c>
      <c r="M1111" s="12">
        <f>IF(OR($S1111="",$V1111="",$T1111="",$T1111&lt;0,$T1111&gt;228,$AG1111=""),"—",ROUND(IF($AG1111=0,LN($V1111/$AH1111)/$AI1111,((($V1111/$AH1111)^$AG1111)-1)/($AG1111*$AI1111)),2))</f>
        <v/>
      </c>
      <c r="N1111">
        <f>IF(OR($M1111="",$M1111="—"),"",IF($M1111&lt;-3,"Muito baixa",IF($M1111&lt;-2,"Baixa","Adequada")))</f>
        <v/>
      </c>
      <c r="O1111" s="12">
        <f>IF(OR($S1111="",$F1111="",$T1111="",$T1111&lt;0,$T1111&gt;120,$AJ1111=""),"—",ROUND(IF(ABS($AM1111)&lt;=3,$AM1111,IF($AM1111&gt;3,3+($F1111-$AO1111)/($AO1111-$AN1111),-3+($F1111-$AQ1111)/($AP1111-$AQ1111))),2))</f>
        <v/>
      </c>
      <c r="P1111">
        <f>IF(OR($O1111="",$O1111="—"),"",IF($O1111&lt;-3,"Muito baixo",IF($O1111&lt;-2,"Baixo",IF($O1111&lt;=2,"Adequado","Elevado"))))</f>
        <v/>
      </c>
      <c r="Q1111" s="12">
        <f>IF(OR($S1111="",$F1111="",$T1111="",$T1111&lt;0,$T1111&gt;60,$AR1111=""),"—",ROUND(IF(ABS($AU1111)&lt;=3,$AU1111,IF($AU1111&gt;3,3+($F1111-$AW1111)/($AW1111-$AV1111),-3+($F1111-$AY1111)/($AX1111-$AY1111))),2))</f>
        <v/>
      </c>
      <c r="R1111">
        <f>IF(OR($Q1111="",$Q1111="—"),"",IF($Q1111&lt;-3,"Magreza acentuada",IF($Q1111&lt;-2,"Magreza",IF($Q1111&lt;=1,"Eutrofia",IF($Q1111&lt;=2,"Risco de sobrepeso",IF($Q1111&lt;=3,"Sobrepeso","Obesidade"))))))</f>
        <v/>
      </c>
      <c r="S1111">
        <f>IF($C1111="","",IF(UPPER(LEFT($C1111,1))="M",1,IF(UPPER(LEFT($C1111,1))="F",2,"")))</f>
        <v/>
      </c>
      <c r="T1111">
        <f>IF(OR($D1111="",$E1111=""),"",DATEDIF($D1111,$E1111,"m"))</f>
        <v/>
      </c>
      <c r="U1111">
        <f>IF(OR($D1111="",$E1111=""),"",$E1111-$D1111)</f>
        <v/>
      </c>
      <c r="V1111">
        <f>IF(OR($G1111="",$T1111=""),"",IF($T1111&lt;24,IF(LEFT(LOWER($H1111),4)="em p",$G1111+0.7,$G1111),IF(LEFT(LOWER($H1111),4)="deit",$G1111-0.7,$G1111)))</f>
        <v/>
      </c>
      <c r="W1111">
        <f>IF(OR($S1111="",$T1111=""),"",$S1111*1000000+IF($T1111&lt;=60,$U1111,$T1111))</f>
        <v/>
      </c>
      <c r="X1111">
        <f>IF(OR($S1111="",$V1111="",$T1111&gt;60,$T1111=""),"",$S1111*1000000+ROUND($V1111*10,0))</f>
        <v/>
      </c>
      <c r="Y1111">
        <f>IF($W1111="","",IFERROR(INDEX(IF($T1111&lt;=60,imc05_l,imc519_l),MATCH($W1111,IF($T1111&lt;=60,imc05_k,imc519_k),1)),""))</f>
        <v/>
      </c>
      <c r="Z1111">
        <f>IF($W1111="","",IFERROR(INDEX(IF($T1111&lt;=60,imc05_m,imc519_m),MATCH($W1111,IF($T1111&lt;=60,imc05_k,imc519_k),1)),""))</f>
        <v/>
      </c>
      <c r="AA1111">
        <f>IF($W1111="","",IFERROR(INDEX(IF($T1111&lt;=60,imc05_s,imc519_s),MATCH($W1111,IF($T1111&lt;=60,imc05_k,imc519_k),1)),""))</f>
        <v/>
      </c>
      <c r="AB1111">
        <f>IF($Y1111="","",IF($Y1111=0,LN($J1111/$Z1111)/$AA1111,((($J1111/$Z1111)^$Y1111)-1)/($Y1111*$AA1111)))</f>
        <v/>
      </c>
      <c r="AC1111">
        <f>IF($Y1111="","",IF($Y1111=0,$Z1111*EXP($AA1111*2),$Z1111*(1+$Y1111*$AA1111*2)^(1/$Y1111)))</f>
        <v/>
      </c>
      <c r="AD1111">
        <f>IF($Y1111="","",IF($Y1111=0,$Z1111*EXP($AA1111*3),$Z1111*(1+$Y1111*$AA1111*3)^(1/$Y1111)))</f>
        <v/>
      </c>
      <c r="AE1111">
        <f>IF($Y1111="","",IF($Y1111=0,$Z1111*EXP($AA1111*-2),$Z1111*(1+$Y1111*$AA1111*-2)^(1/$Y1111)))</f>
        <v/>
      </c>
      <c r="AF1111">
        <f>IF($Y1111="","",IF($Y1111=0,$Z1111*EXP($AA1111*-3),$Z1111*(1+$Y1111*$AA1111*-3)^(1/$Y1111)))</f>
        <v/>
      </c>
      <c r="AG1111">
        <f>IF($W1111="","",IFERROR(INDEX(IF($T1111&lt;=60,est05_l,est519_l),MATCH($W1111,IF($T1111&lt;=60,est05_k,est519_k),1)),""))</f>
        <v/>
      </c>
      <c r="AH1111">
        <f>IF($W1111="","",IFERROR(INDEX(IF($T1111&lt;=60,est05_m,est519_m),MATCH($W1111,IF($T1111&lt;=60,est05_k,est519_k),1)),""))</f>
        <v/>
      </c>
      <c r="AI1111">
        <f>IF($W1111="","",IFERROR(INDEX(IF($T1111&lt;=60,est05_s,est519_s),MATCH($W1111,IF($T1111&lt;=60,est05_k,est519_k),1)),""))</f>
        <v/>
      </c>
      <c r="AJ1111">
        <f>IF($W1111="","",IFERROR(INDEX(IF($T1111&lt;=60,peso05_l,peso510_l),MATCH($W1111,IF($T1111&lt;=60,peso05_k,peso510_k),1)),""))</f>
        <v/>
      </c>
      <c r="AK1111">
        <f>IF($W1111="","",IFERROR(INDEX(IF($T1111&lt;=60,peso05_m,peso510_m),MATCH($W1111,IF($T1111&lt;=60,peso05_k,peso510_k),1)),""))</f>
        <v/>
      </c>
      <c r="AL1111">
        <f>IF($W1111="","",IFERROR(INDEX(IF($T1111&lt;=60,peso05_s,peso510_s),MATCH($W1111,IF($T1111&lt;=60,peso05_k,peso510_k),1)),""))</f>
        <v/>
      </c>
      <c r="AM1111">
        <f>IF($AJ1111="","",IF($AJ1111=0,LN($F1111/$AK1111)/$AL1111,((($F1111/$AK1111)^$AJ1111)-1)/($AJ1111*$AL1111)))</f>
        <v/>
      </c>
      <c r="AN1111">
        <f>IF($AJ1111="","",IF($AJ1111=0,$AK1111*EXP($AL1111*2),$AK1111*(1+$AJ1111*$AL1111*2)^(1/$AJ1111)))</f>
        <v/>
      </c>
      <c r="AO1111">
        <f>IF($AJ1111="","",IF($AJ1111=0,$AK1111*EXP($AL1111*3),$AK1111*(1+$AJ1111*$AL1111*3)^(1/$AJ1111)))</f>
        <v/>
      </c>
      <c r="AP1111">
        <f>IF($AJ1111="","",IF($AJ1111=0,$AK1111*EXP($AL1111*-2),$AK1111*(1+$AJ1111*$AL1111*-2)^(1/$AJ1111)))</f>
        <v/>
      </c>
      <c r="AQ1111">
        <f>IF($AJ1111="","",IF($AJ1111=0,$AK1111*EXP($AL1111*-3),$AK1111*(1+$AJ1111*$AL1111*-3)^(1/$AJ1111)))</f>
        <v/>
      </c>
      <c r="AR1111">
        <f>IF(OR($X1111="",$T1111&gt;60),"",IFERROR(INDEX(IF($T1111&lt;24,pcomp_l,palt_l),MATCH($X1111,IF($T1111&lt;24,pcomp_k,palt_k),1)),""))</f>
        <v/>
      </c>
      <c r="AS1111">
        <f>IF(OR($X1111="",$T1111&gt;60),"",IFERROR(INDEX(IF($T1111&lt;24,pcomp_m,palt_m),MATCH($X1111,IF($T1111&lt;24,pcomp_k,palt_k),1)),""))</f>
        <v/>
      </c>
      <c r="AT1111">
        <f>IF(OR($X1111="",$T1111&gt;60),"",IFERROR(INDEX(IF($T1111&lt;24,pcomp_s,palt_s),MATCH($X1111,IF($T1111&lt;24,pcomp_k,palt_k),1)),""))</f>
        <v/>
      </c>
      <c r="AU1111">
        <f>IF($AR1111="","",IF($AR1111=0,LN($F1111/$AS1111)/$AT1111,((($F1111/$AS1111)^$AR1111)-1)/($AR1111*$AT1111)))</f>
        <v/>
      </c>
      <c r="AV1111">
        <f>IF($AR1111="","",IF($AR1111=0,$AS1111*EXP($AT1111*2),$AS1111*(1+$AR1111*$AT1111*2)^(1/$AR1111)))</f>
        <v/>
      </c>
      <c r="AW1111">
        <f>IF($AR1111="","",IF($AR1111=0,$AS1111*EXP($AT1111*3),$AS1111*(1+$AR1111*$AT1111*3)^(1/$AR1111)))</f>
        <v/>
      </c>
      <c r="AX1111">
        <f>IF($AR1111="","",IF($AR1111=0,$AS1111*EXP($AT1111*-2),$AS1111*(1+$AR1111*$AT1111*-2)^(1/$AR1111)))</f>
        <v/>
      </c>
      <c r="AY1111">
        <f>IF($AR1111="","",IF($AR1111=0,$AS1111*EXP($AT1111*-3),$AS1111*(1+$AR1111*$AT1111*-3)^(1/$AR1111)))</f>
        <v/>
      </c>
      <c r="AZ1111">
        <f>IF(OR($A1111="",$A1111&lt;&gt;Ficha!$C$4),"",COUNTIF($A$2:$A1111,Ficha!$C$4))</f>
        <v/>
      </c>
    </row>
    <row r="1112">
      <c r="A1112" s="8">
        <f>IF(INDEX(Banco!$A:$A,ROW())="","",INDEX(Banco!$A:$A,ROW()))</f>
        <v/>
      </c>
      <c r="B1112" s="8">
        <f>IF(INDEX(Banco!$B:$B,ROW())="","",INDEX(Banco!$B:$B,ROW()))</f>
        <v/>
      </c>
      <c r="C1112" s="8">
        <f>IF(INDEX(Banco!$C:$C,ROW())="","",INDEX(Banco!$C:$C,ROW()))</f>
        <v/>
      </c>
      <c r="D1112" s="9">
        <f>IF(INDEX(Banco!$D:$D,ROW())="","",INDEX(Banco!$D:$D,ROW()))</f>
        <v/>
      </c>
      <c r="E1112" s="9">
        <f>IF(INDEX(Banco!$E:$E,ROW())="","",INDEX(Banco!$E:$E,ROW()))</f>
        <v/>
      </c>
      <c r="F1112" s="10">
        <f>IF(INDEX(Banco!$F:$F,ROW())="","",INDEX(Banco!$F:$F,ROW()))</f>
        <v/>
      </c>
      <c r="G1112" s="10">
        <f>IF(INDEX(Banco!$G:$G,ROW())="","",INDEX(Banco!$G:$G,ROW()))</f>
        <v/>
      </c>
      <c r="H1112" s="8">
        <f>IF(INDEX(Banco!$H:$H,ROW())="","",INDEX(Banco!$H:$H,ROW()))</f>
        <v/>
      </c>
      <c r="I1112">
        <f>IF($T1112="","",INT($T1112/12)&amp;"a "&amp;MOD($T1112,12)&amp;"m")</f>
        <v/>
      </c>
      <c r="J1112" s="11">
        <f>IF(OR($F1112="",$G1112=""),"",ROUND($F1112/($G1112/100)^2,2))</f>
        <v/>
      </c>
      <c r="K1112" s="12">
        <f>IF(OR($S1112="",$J1112="",$T1112="",$T1112&lt;0,$T1112&gt;228,$Y1112=""),"—",ROUND(IF(ABS($AB1112)&lt;=3,$AB1112,IF($AB1112&gt;3,3+($J1112-$AD1112)/($AD1112-$AC1112),-3+($J1112-$AF1112)/($AE1112-$AF1112))),2))</f>
        <v/>
      </c>
      <c r="L1112">
        <f>IF(OR($K1112="",$K1112="—"),"",IF($T1112&lt;=60,IF($K1112&lt;-3,"Magreza acentuada",IF($K1112&lt;-2,"Magreza",IF($K1112&lt;=1,"Eutrofia",IF($K1112&lt;=2,"Risco de sobrepeso",IF($K1112&lt;=3,"Sobrepeso","Obesidade"))))),IF($K1112&lt;-3,"Magreza acentuada",IF($K1112&lt;-2,"Magreza",IF($K1112&lt;=1,"Eutrofia",IF($K1112&lt;=2,"Sobrepeso",IF($K1112&lt;=3,"Obesidade","Obesidade grave")))))))</f>
        <v/>
      </c>
      <c r="M1112" s="12">
        <f>IF(OR($S1112="",$V1112="",$T1112="",$T1112&lt;0,$T1112&gt;228,$AG1112=""),"—",ROUND(IF($AG1112=0,LN($V1112/$AH1112)/$AI1112,((($V1112/$AH1112)^$AG1112)-1)/($AG1112*$AI1112)),2))</f>
        <v/>
      </c>
      <c r="N1112">
        <f>IF(OR($M1112="",$M1112="—"),"",IF($M1112&lt;-3,"Muito baixa",IF($M1112&lt;-2,"Baixa","Adequada")))</f>
        <v/>
      </c>
      <c r="O1112" s="12">
        <f>IF(OR($S1112="",$F1112="",$T1112="",$T1112&lt;0,$T1112&gt;120,$AJ1112=""),"—",ROUND(IF(ABS($AM1112)&lt;=3,$AM1112,IF($AM1112&gt;3,3+($F1112-$AO1112)/($AO1112-$AN1112),-3+($F1112-$AQ1112)/($AP1112-$AQ1112))),2))</f>
        <v/>
      </c>
      <c r="P1112">
        <f>IF(OR($O1112="",$O1112="—"),"",IF($O1112&lt;-3,"Muito baixo",IF($O1112&lt;-2,"Baixo",IF($O1112&lt;=2,"Adequado","Elevado"))))</f>
        <v/>
      </c>
      <c r="Q1112" s="12">
        <f>IF(OR($S1112="",$F1112="",$T1112="",$T1112&lt;0,$T1112&gt;60,$AR1112=""),"—",ROUND(IF(ABS($AU1112)&lt;=3,$AU1112,IF($AU1112&gt;3,3+($F1112-$AW1112)/($AW1112-$AV1112),-3+($F1112-$AY1112)/($AX1112-$AY1112))),2))</f>
        <v/>
      </c>
      <c r="R1112">
        <f>IF(OR($Q1112="",$Q1112="—"),"",IF($Q1112&lt;-3,"Magreza acentuada",IF($Q1112&lt;-2,"Magreza",IF($Q1112&lt;=1,"Eutrofia",IF($Q1112&lt;=2,"Risco de sobrepeso",IF($Q1112&lt;=3,"Sobrepeso","Obesidade"))))))</f>
        <v/>
      </c>
      <c r="S1112">
        <f>IF($C1112="","",IF(UPPER(LEFT($C1112,1))="M",1,IF(UPPER(LEFT($C1112,1))="F",2,"")))</f>
        <v/>
      </c>
      <c r="T1112">
        <f>IF(OR($D1112="",$E1112=""),"",DATEDIF($D1112,$E1112,"m"))</f>
        <v/>
      </c>
      <c r="U1112">
        <f>IF(OR($D1112="",$E1112=""),"",$E1112-$D1112)</f>
        <v/>
      </c>
      <c r="V1112">
        <f>IF(OR($G1112="",$T1112=""),"",IF($T1112&lt;24,IF(LEFT(LOWER($H1112),4)="em p",$G1112+0.7,$G1112),IF(LEFT(LOWER($H1112),4)="deit",$G1112-0.7,$G1112)))</f>
        <v/>
      </c>
      <c r="W1112">
        <f>IF(OR($S1112="",$T1112=""),"",$S1112*1000000+IF($T1112&lt;=60,$U1112,$T1112))</f>
        <v/>
      </c>
      <c r="X1112">
        <f>IF(OR($S1112="",$V1112="",$T1112&gt;60,$T1112=""),"",$S1112*1000000+ROUND($V1112*10,0))</f>
        <v/>
      </c>
      <c r="Y1112">
        <f>IF($W1112="","",IFERROR(INDEX(IF($T1112&lt;=60,imc05_l,imc519_l),MATCH($W1112,IF($T1112&lt;=60,imc05_k,imc519_k),1)),""))</f>
        <v/>
      </c>
      <c r="Z1112">
        <f>IF($W1112="","",IFERROR(INDEX(IF($T1112&lt;=60,imc05_m,imc519_m),MATCH($W1112,IF($T1112&lt;=60,imc05_k,imc519_k),1)),""))</f>
        <v/>
      </c>
      <c r="AA1112">
        <f>IF($W1112="","",IFERROR(INDEX(IF($T1112&lt;=60,imc05_s,imc519_s),MATCH($W1112,IF($T1112&lt;=60,imc05_k,imc519_k),1)),""))</f>
        <v/>
      </c>
      <c r="AB1112">
        <f>IF($Y1112="","",IF($Y1112=0,LN($J1112/$Z1112)/$AA1112,((($J1112/$Z1112)^$Y1112)-1)/($Y1112*$AA1112)))</f>
        <v/>
      </c>
      <c r="AC1112">
        <f>IF($Y1112="","",IF($Y1112=0,$Z1112*EXP($AA1112*2),$Z1112*(1+$Y1112*$AA1112*2)^(1/$Y1112)))</f>
        <v/>
      </c>
      <c r="AD1112">
        <f>IF($Y1112="","",IF($Y1112=0,$Z1112*EXP($AA1112*3),$Z1112*(1+$Y1112*$AA1112*3)^(1/$Y1112)))</f>
        <v/>
      </c>
      <c r="AE1112">
        <f>IF($Y1112="","",IF($Y1112=0,$Z1112*EXP($AA1112*-2),$Z1112*(1+$Y1112*$AA1112*-2)^(1/$Y1112)))</f>
        <v/>
      </c>
      <c r="AF1112">
        <f>IF($Y1112="","",IF($Y1112=0,$Z1112*EXP($AA1112*-3),$Z1112*(1+$Y1112*$AA1112*-3)^(1/$Y1112)))</f>
        <v/>
      </c>
      <c r="AG1112">
        <f>IF($W1112="","",IFERROR(INDEX(IF($T1112&lt;=60,est05_l,est519_l),MATCH($W1112,IF($T1112&lt;=60,est05_k,est519_k),1)),""))</f>
        <v/>
      </c>
      <c r="AH1112">
        <f>IF($W1112="","",IFERROR(INDEX(IF($T1112&lt;=60,est05_m,est519_m),MATCH($W1112,IF($T1112&lt;=60,est05_k,est519_k),1)),""))</f>
        <v/>
      </c>
      <c r="AI1112">
        <f>IF($W1112="","",IFERROR(INDEX(IF($T1112&lt;=60,est05_s,est519_s),MATCH($W1112,IF($T1112&lt;=60,est05_k,est519_k),1)),""))</f>
        <v/>
      </c>
      <c r="AJ1112">
        <f>IF($W1112="","",IFERROR(INDEX(IF($T1112&lt;=60,peso05_l,peso510_l),MATCH($W1112,IF($T1112&lt;=60,peso05_k,peso510_k),1)),""))</f>
        <v/>
      </c>
      <c r="AK1112">
        <f>IF($W1112="","",IFERROR(INDEX(IF($T1112&lt;=60,peso05_m,peso510_m),MATCH($W1112,IF($T1112&lt;=60,peso05_k,peso510_k),1)),""))</f>
        <v/>
      </c>
      <c r="AL1112">
        <f>IF($W1112="","",IFERROR(INDEX(IF($T1112&lt;=60,peso05_s,peso510_s),MATCH($W1112,IF($T1112&lt;=60,peso05_k,peso510_k),1)),""))</f>
        <v/>
      </c>
      <c r="AM1112">
        <f>IF($AJ1112="","",IF($AJ1112=0,LN($F1112/$AK1112)/$AL1112,((($F1112/$AK1112)^$AJ1112)-1)/($AJ1112*$AL1112)))</f>
        <v/>
      </c>
      <c r="AN1112">
        <f>IF($AJ1112="","",IF($AJ1112=0,$AK1112*EXP($AL1112*2),$AK1112*(1+$AJ1112*$AL1112*2)^(1/$AJ1112)))</f>
        <v/>
      </c>
      <c r="AO1112">
        <f>IF($AJ1112="","",IF($AJ1112=0,$AK1112*EXP($AL1112*3),$AK1112*(1+$AJ1112*$AL1112*3)^(1/$AJ1112)))</f>
        <v/>
      </c>
      <c r="AP1112">
        <f>IF($AJ1112="","",IF($AJ1112=0,$AK1112*EXP($AL1112*-2),$AK1112*(1+$AJ1112*$AL1112*-2)^(1/$AJ1112)))</f>
        <v/>
      </c>
      <c r="AQ1112">
        <f>IF($AJ1112="","",IF($AJ1112=0,$AK1112*EXP($AL1112*-3),$AK1112*(1+$AJ1112*$AL1112*-3)^(1/$AJ1112)))</f>
        <v/>
      </c>
      <c r="AR1112">
        <f>IF(OR($X1112="",$T1112&gt;60),"",IFERROR(INDEX(IF($T1112&lt;24,pcomp_l,palt_l),MATCH($X1112,IF($T1112&lt;24,pcomp_k,palt_k),1)),""))</f>
        <v/>
      </c>
      <c r="AS1112">
        <f>IF(OR($X1112="",$T1112&gt;60),"",IFERROR(INDEX(IF($T1112&lt;24,pcomp_m,palt_m),MATCH($X1112,IF($T1112&lt;24,pcomp_k,palt_k),1)),""))</f>
        <v/>
      </c>
      <c r="AT1112">
        <f>IF(OR($X1112="",$T1112&gt;60),"",IFERROR(INDEX(IF($T1112&lt;24,pcomp_s,palt_s),MATCH($X1112,IF($T1112&lt;24,pcomp_k,palt_k),1)),""))</f>
        <v/>
      </c>
      <c r="AU1112">
        <f>IF($AR1112="","",IF($AR1112=0,LN($F1112/$AS1112)/$AT1112,((($F1112/$AS1112)^$AR1112)-1)/($AR1112*$AT1112)))</f>
        <v/>
      </c>
      <c r="AV1112">
        <f>IF($AR1112="","",IF($AR1112=0,$AS1112*EXP($AT1112*2),$AS1112*(1+$AR1112*$AT1112*2)^(1/$AR1112)))</f>
        <v/>
      </c>
      <c r="AW1112">
        <f>IF($AR1112="","",IF($AR1112=0,$AS1112*EXP($AT1112*3),$AS1112*(1+$AR1112*$AT1112*3)^(1/$AR1112)))</f>
        <v/>
      </c>
      <c r="AX1112">
        <f>IF($AR1112="","",IF($AR1112=0,$AS1112*EXP($AT1112*-2),$AS1112*(1+$AR1112*$AT1112*-2)^(1/$AR1112)))</f>
        <v/>
      </c>
      <c r="AY1112">
        <f>IF($AR1112="","",IF($AR1112=0,$AS1112*EXP($AT1112*-3),$AS1112*(1+$AR1112*$AT1112*-3)^(1/$AR1112)))</f>
        <v/>
      </c>
      <c r="AZ1112">
        <f>IF(OR($A1112="",$A1112&lt;&gt;Ficha!$C$4),"",COUNTIF($A$2:$A1112,Ficha!$C$4))</f>
        <v/>
      </c>
    </row>
    <row r="1113">
      <c r="A1113" s="8">
        <f>IF(INDEX(Banco!$A:$A,ROW())="","",INDEX(Banco!$A:$A,ROW()))</f>
        <v/>
      </c>
      <c r="B1113" s="8">
        <f>IF(INDEX(Banco!$B:$B,ROW())="","",INDEX(Banco!$B:$B,ROW()))</f>
        <v/>
      </c>
      <c r="C1113" s="8">
        <f>IF(INDEX(Banco!$C:$C,ROW())="","",INDEX(Banco!$C:$C,ROW()))</f>
        <v/>
      </c>
      <c r="D1113" s="9">
        <f>IF(INDEX(Banco!$D:$D,ROW())="","",INDEX(Banco!$D:$D,ROW()))</f>
        <v/>
      </c>
      <c r="E1113" s="9">
        <f>IF(INDEX(Banco!$E:$E,ROW())="","",INDEX(Banco!$E:$E,ROW()))</f>
        <v/>
      </c>
      <c r="F1113" s="10">
        <f>IF(INDEX(Banco!$F:$F,ROW())="","",INDEX(Banco!$F:$F,ROW()))</f>
        <v/>
      </c>
      <c r="G1113" s="10">
        <f>IF(INDEX(Banco!$G:$G,ROW())="","",INDEX(Banco!$G:$G,ROW()))</f>
        <v/>
      </c>
      <c r="H1113" s="8">
        <f>IF(INDEX(Banco!$H:$H,ROW())="","",INDEX(Banco!$H:$H,ROW()))</f>
        <v/>
      </c>
      <c r="I1113">
        <f>IF($T1113="","",INT($T1113/12)&amp;"a "&amp;MOD($T1113,12)&amp;"m")</f>
        <v/>
      </c>
      <c r="J1113" s="11">
        <f>IF(OR($F1113="",$G1113=""),"",ROUND($F1113/($G1113/100)^2,2))</f>
        <v/>
      </c>
      <c r="K1113" s="12">
        <f>IF(OR($S1113="",$J1113="",$T1113="",$T1113&lt;0,$T1113&gt;228,$Y1113=""),"—",ROUND(IF(ABS($AB1113)&lt;=3,$AB1113,IF($AB1113&gt;3,3+($J1113-$AD1113)/($AD1113-$AC1113),-3+($J1113-$AF1113)/($AE1113-$AF1113))),2))</f>
        <v/>
      </c>
      <c r="L1113">
        <f>IF(OR($K1113="",$K1113="—"),"",IF($T1113&lt;=60,IF($K1113&lt;-3,"Magreza acentuada",IF($K1113&lt;-2,"Magreza",IF($K1113&lt;=1,"Eutrofia",IF($K1113&lt;=2,"Risco de sobrepeso",IF($K1113&lt;=3,"Sobrepeso","Obesidade"))))),IF($K1113&lt;-3,"Magreza acentuada",IF($K1113&lt;-2,"Magreza",IF($K1113&lt;=1,"Eutrofia",IF($K1113&lt;=2,"Sobrepeso",IF($K1113&lt;=3,"Obesidade","Obesidade grave")))))))</f>
        <v/>
      </c>
      <c r="M1113" s="12">
        <f>IF(OR($S1113="",$V1113="",$T1113="",$T1113&lt;0,$T1113&gt;228,$AG1113=""),"—",ROUND(IF($AG1113=0,LN($V1113/$AH1113)/$AI1113,((($V1113/$AH1113)^$AG1113)-1)/($AG1113*$AI1113)),2))</f>
        <v/>
      </c>
      <c r="N1113">
        <f>IF(OR($M1113="",$M1113="—"),"",IF($M1113&lt;-3,"Muito baixa",IF($M1113&lt;-2,"Baixa","Adequada")))</f>
        <v/>
      </c>
      <c r="O1113" s="12">
        <f>IF(OR($S1113="",$F1113="",$T1113="",$T1113&lt;0,$T1113&gt;120,$AJ1113=""),"—",ROUND(IF(ABS($AM1113)&lt;=3,$AM1113,IF($AM1113&gt;3,3+($F1113-$AO1113)/($AO1113-$AN1113),-3+($F1113-$AQ1113)/($AP1113-$AQ1113))),2))</f>
        <v/>
      </c>
      <c r="P1113">
        <f>IF(OR($O1113="",$O1113="—"),"",IF($O1113&lt;-3,"Muito baixo",IF($O1113&lt;-2,"Baixo",IF($O1113&lt;=2,"Adequado","Elevado"))))</f>
        <v/>
      </c>
      <c r="Q1113" s="12">
        <f>IF(OR($S1113="",$F1113="",$T1113="",$T1113&lt;0,$T1113&gt;60,$AR1113=""),"—",ROUND(IF(ABS($AU1113)&lt;=3,$AU1113,IF($AU1113&gt;3,3+($F1113-$AW1113)/($AW1113-$AV1113),-3+($F1113-$AY1113)/($AX1113-$AY1113))),2))</f>
        <v/>
      </c>
      <c r="R1113">
        <f>IF(OR($Q1113="",$Q1113="—"),"",IF($Q1113&lt;-3,"Magreza acentuada",IF($Q1113&lt;-2,"Magreza",IF($Q1113&lt;=1,"Eutrofia",IF($Q1113&lt;=2,"Risco de sobrepeso",IF($Q1113&lt;=3,"Sobrepeso","Obesidade"))))))</f>
        <v/>
      </c>
      <c r="S1113">
        <f>IF($C1113="","",IF(UPPER(LEFT($C1113,1))="M",1,IF(UPPER(LEFT($C1113,1))="F",2,"")))</f>
        <v/>
      </c>
      <c r="T1113">
        <f>IF(OR($D1113="",$E1113=""),"",DATEDIF($D1113,$E1113,"m"))</f>
        <v/>
      </c>
      <c r="U1113">
        <f>IF(OR($D1113="",$E1113=""),"",$E1113-$D1113)</f>
        <v/>
      </c>
      <c r="V1113">
        <f>IF(OR($G1113="",$T1113=""),"",IF($T1113&lt;24,IF(LEFT(LOWER($H1113),4)="em p",$G1113+0.7,$G1113),IF(LEFT(LOWER($H1113),4)="deit",$G1113-0.7,$G1113)))</f>
        <v/>
      </c>
      <c r="W1113">
        <f>IF(OR($S1113="",$T1113=""),"",$S1113*1000000+IF($T1113&lt;=60,$U1113,$T1113))</f>
        <v/>
      </c>
      <c r="X1113">
        <f>IF(OR($S1113="",$V1113="",$T1113&gt;60,$T1113=""),"",$S1113*1000000+ROUND($V1113*10,0))</f>
        <v/>
      </c>
      <c r="Y1113">
        <f>IF($W1113="","",IFERROR(INDEX(IF($T1113&lt;=60,imc05_l,imc519_l),MATCH($W1113,IF($T1113&lt;=60,imc05_k,imc519_k),1)),""))</f>
        <v/>
      </c>
      <c r="Z1113">
        <f>IF($W1113="","",IFERROR(INDEX(IF($T1113&lt;=60,imc05_m,imc519_m),MATCH($W1113,IF($T1113&lt;=60,imc05_k,imc519_k),1)),""))</f>
        <v/>
      </c>
      <c r="AA1113">
        <f>IF($W1113="","",IFERROR(INDEX(IF($T1113&lt;=60,imc05_s,imc519_s),MATCH($W1113,IF($T1113&lt;=60,imc05_k,imc519_k),1)),""))</f>
        <v/>
      </c>
      <c r="AB1113">
        <f>IF($Y1113="","",IF($Y1113=0,LN($J1113/$Z1113)/$AA1113,((($J1113/$Z1113)^$Y1113)-1)/($Y1113*$AA1113)))</f>
        <v/>
      </c>
      <c r="AC1113">
        <f>IF($Y1113="","",IF($Y1113=0,$Z1113*EXP($AA1113*2),$Z1113*(1+$Y1113*$AA1113*2)^(1/$Y1113)))</f>
        <v/>
      </c>
      <c r="AD1113">
        <f>IF($Y1113="","",IF($Y1113=0,$Z1113*EXP($AA1113*3),$Z1113*(1+$Y1113*$AA1113*3)^(1/$Y1113)))</f>
        <v/>
      </c>
      <c r="AE1113">
        <f>IF($Y1113="","",IF($Y1113=0,$Z1113*EXP($AA1113*-2),$Z1113*(1+$Y1113*$AA1113*-2)^(1/$Y1113)))</f>
        <v/>
      </c>
      <c r="AF1113">
        <f>IF($Y1113="","",IF($Y1113=0,$Z1113*EXP($AA1113*-3),$Z1113*(1+$Y1113*$AA1113*-3)^(1/$Y1113)))</f>
        <v/>
      </c>
      <c r="AG1113">
        <f>IF($W1113="","",IFERROR(INDEX(IF($T1113&lt;=60,est05_l,est519_l),MATCH($W1113,IF($T1113&lt;=60,est05_k,est519_k),1)),""))</f>
        <v/>
      </c>
      <c r="AH1113">
        <f>IF($W1113="","",IFERROR(INDEX(IF($T1113&lt;=60,est05_m,est519_m),MATCH($W1113,IF($T1113&lt;=60,est05_k,est519_k),1)),""))</f>
        <v/>
      </c>
      <c r="AI1113">
        <f>IF($W1113="","",IFERROR(INDEX(IF($T1113&lt;=60,est05_s,est519_s),MATCH($W1113,IF($T1113&lt;=60,est05_k,est519_k),1)),""))</f>
        <v/>
      </c>
      <c r="AJ1113">
        <f>IF($W1113="","",IFERROR(INDEX(IF($T1113&lt;=60,peso05_l,peso510_l),MATCH($W1113,IF($T1113&lt;=60,peso05_k,peso510_k),1)),""))</f>
        <v/>
      </c>
      <c r="AK1113">
        <f>IF($W1113="","",IFERROR(INDEX(IF($T1113&lt;=60,peso05_m,peso510_m),MATCH($W1113,IF($T1113&lt;=60,peso05_k,peso510_k),1)),""))</f>
        <v/>
      </c>
      <c r="AL1113">
        <f>IF($W1113="","",IFERROR(INDEX(IF($T1113&lt;=60,peso05_s,peso510_s),MATCH($W1113,IF($T1113&lt;=60,peso05_k,peso510_k),1)),""))</f>
        <v/>
      </c>
      <c r="AM1113">
        <f>IF($AJ1113="","",IF($AJ1113=0,LN($F1113/$AK1113)/$AL1113,((($F1113/$AK1113)^$AJ1113)-1)/($AJ1113*$AL1113)))</f>
        <v/>
      </c>
      <c r="AN1113">
        <f>IF($AJ1113="","",IF($AJ1113=0,$AK1113*EXP($AL1113*2),$AK1113*(1+$AJ1113*$AL1113*2)^(1/$AJ1113)))</f>
        <v/>
      </c>
      <c r="AO1113">
        <f>IF($AJ1113="","",IF($AJ1113=0,$AK1113*EXP($AL1113*3),$AK1113*(1+$AJ1113*$AL1113*3)^(1/$AJ1113)))</f>
        <v/>
      </c>
      <c r="AP1113">
        <f>IF($AJ1113="","",IF($AJ1113=0,$AK1113*EXP($AL1113*-2),$AK1113*(1+$AJ1113*$AL1113*-2)^(1/$AJ1113)))</f>
        <v/>
      </c>
      <c r="AQ1113">
        <f>IF($AJ1113="","",IF($AJ1113=0,$AK1113*EXP($AL1113*-3),$AK1113*(1+$AJ1113*$AL1113*-3)^(1/$AJ1113)))</f>
        <v/>
      </c>
      <c r="AR1113">
        <f>IF(OR($X1113="",$T1113&gt;60),"",IFERROR(INDEX(IF($T1113&lt;24,pcomp_l,palt_l),MATCH($X1113,IF($T1113&lt;24,pcomp_k,palt_k),1)),""))</f>
        <v/>
      </c>
      <c r="AS1113">
        <f>IF(OR($X1113="",$T1113&gt;60),"",IFERROR(INDEX(IF($T1113&lt;24,pcomp_m,palt_m),MATCH($X1113,IF($T1113&lt;24,pcomp_k,palt_k),1)),""))</f>
        <v/>
      </c>
      <c r="AT1113">
        <f>IF(OR($X1113="",$T1113&gt;60),"",IFERROR(INDEX(IF($T1113&lt;24,pcomp_s,palt_s),MATCH($X1113,IF($T1113&lt;24,pcomp_k,palt_k),1)),""))</f>
        <v/>
      </c>
      <c r="AU1113">
        <f>IF($AR1113="","",IF($AR1113=0,LN($F1113/$AS1113)/$AT1113,((($F1113/$AS1113)^$AR1113)-1)/($AR1113*$AT1113)))</f>
        <v/>
      </c>
      <c r="AV1113">
        <f>IF($AR1113="","",IF($AR1113=0,$AS1113*EXP($AT1113*2),$AS1113*(1+$AR1113*$AT1113*2)^(1/$AR1113)))</f>
        <v/>
      </c>
      <c r="AW1113">
        <f>IF($AR1113="","",IF($AR1113=0,$AS1113*EXP($AT1113*3),$AS1113*(1+$AR1113*$AT1113*3)^(1/$AR1113)))</f>
        <v/>
      </c>
      <c r="AX1113">
        <f>IF($AR1113="","",IF($AR1113=0,$AS1113*EXP($AT1113*-2),$AS1113*(1+$AR1113*$AT1113*-2)^(1/$AR1113)))</f>
        <v/>
      </c>
      <c r="AY1113">
        <f>IF($AR1113="","",IF($AR1113=0,$AS1113*EXP($AT1113*-3),$AS1113*(1+$AR1113*$AT1113*-3)^(1/$AR1113)))</f>
        <v/>
      </c>
      <c r="AZ1113">
        <f>IF(OR($A1113="",$A1113&lt;&gt;Ficha!$C$4),"",COUNTIF($A$2:$A1113,Ficha!$C$4))</f>
        <v/>
      </c>
    </row>
    <row r="1114">
      <c r="A1114" s="8">
        <f>IF(INDEX(Banco!$A:$A,ROW())="","",INDEX(Banco!$A:$A,ROW()))</f>
        <v/>
      </c>
      <c r="B1114" s="8">
        <f>IF(INDEX(Banco!$B:$B,ROW())="","",INDEX(Banco!$B:$B,ROW()))</f>
        <v/>
      </c>
      <c r="C1114" s="8">
        <f>IF(INDEX(Banco!$C:$C,ROW())="","",INDEX(Banco!$C:$C,ROW()))</f>
        <v/>
      </c>
      <c r="D1114" s="9">
        <f>IF(INDEX(Banco!$D:$D,ROW())="","",INDEX(Banco!$D:$D,ROW()))</f>
        <v/>
      </c>
      <c r="E1114" s="9">
        <f>IF(INDEX(Banco!$E:$E,ROW())="","",INDEX(Banco!$E:$E,ROW()))</f>
        <v/>
      </c>
      <c r="F1114" s="10">
        <f>IF(INDEX(Banco!$F:$F,ROW())="","",INDEX(Banco!$F:$F,ROW()))</f>
        <v/>
      </c>
      <c r="G1114" s="10">
        <f>IF(INDEX(Banco!$G:$G,ROW())="","",INDEX(Banco!$G:$G,ROW()))</f>
        <v/>
      </c>
      <c r="H1114" s="8">
        <f>IF(INDEX(Banco!$H:$H,ROW())="","",INDEX(Banco!$H:$H,ROW()))</f>
        <v/>
      </c>
      <c r="I1114">
        <f>IF($T1114="","",INT($T1114/12)&amp;"a "&amp;MOD($T1114,12)&amp;"m")</f>
        <v/>
      </c>
      <c r="J1114" s="11">
        <f>IF(OR($F1114="",$G1114=""),"",ROUND($F1114/($G1114/100)^2,2))</f>
        <v/>
      </c>
      <c r="K1114" s="12">
        <f>IF(OR($S1114="",$J1114="",$T1114="",$T1114&lt;0,$T1114&gt;228,$Y1114=""),"—",ROUND(IF(ABS($AB1114)&lt;=3,$AB1114,IF($AB1114&gt;3,3+($J1114-$AD1114)/($AD1114-$AC1114),-3+($J1114-$AF1114)/($AE1114-$AF1114))),2))</f>
        <v/>
      </c>
      <c r="L1114">
        <f>IF(OR($K1114="",$K1114="—"),"",IF($T1114&lt;=60,IF($K1114&lt;-3,"Magreza acentuada",IF($K1114&lt;-2,"Magreza",IF($K1114&lt;=1,"Eutrofia",IF($K1114&lt;=2,"Risco de sobrepeso",IF($K1114&lt;=3,"Sobrepeso","Obesidade"))))),IF($K1114&lt;-3,"Magreza acentuada",IF($K1114&lt;-2,"Magreza",IF($K1114&lt;=1,"Eutrofia",IF($K1114&lt;=2,"Sobrepeso",IF($K1114&lt;=3,"Obesidade","Obesidade grave")))))))</f>
        <v/>
      </c>
      <c r="M1114" s="12">
        <f>IF(OR($S1114="",$V1114="",$T1114="",$T1114&lt;0,$T1114&gt;228,$AG1114=""),"—",ROUND(IF($AG1114=0,LN($V1114/$AH1114)/$AI1114,((($V1114/$AH1114)^$AG1114)-1)/($AG1114*$AI1114)),2))</f>
        <v/>
      </c>
      <c r="N1114">
        <f>IF(OR($M1114="",$M1114="—"),"",IF($M1114&lt;-3,"Muito baixa",IF($M1114&lt;-2,"Baixa","Adequada")))</f>
        <v/>
      </c>
      <c r="O1114" s="12">
        <f>IF(OR($S1114="",$F1114="",$T1114="",$T1114&lt;0,$T1114&gt;120,$AJ1114=""),"—",ROUND(IF(ABS($AM1114)&lt;=3,$AM1114,IF($AM1114&gt;3,3+($F1114-$AO1114)/($AO1114-$AN1114),-3+($F1114-$AQ1114)/($AP1114-$AQ1114))),2))</f>
        <v/>
      </c>
      <c r="P1114">
        <f>IF(OR($O1114="",$O1114="—"),"",IF($O1114&lt;-3,"Muito baixo",IF($O1114&lt;-2,"Baixo",IF($O1114&lt;=2,"Adequado","Elevado"))))</f>
        <v/>
      </c>
      <c r="Q1114" s="12">
        <f>IF(OR($S1114="",$F1114="",$T1114="",$T1114&lt;0,$T1114&gt;60,$AR1114=""),"—",ROUND(IF(ABS($AU1114)&lt;=3,$AU1114,IF($AU1114&gt;3,3+($F1114-$AW1114)/($AW1114-$AV1114),-3+($F1114-$AY1114)/($AX1114-$AY1114))),2))</f>
        <v/>
      </c>
      <c r="R1114">
        <f>IF(OR($Q1114="",$Q1114="—"),"",IF($Q1114&lt;-3,"Magreza acentuada",IF($Q1114&lt;-2,"Magreza",IF($Q1114&lt;=1,"Eutrofia",IF($Q1114&lt;=2,"Risco de sobrepeso",IF($Q1114&lt;=3,"Sobrepeso","Obesidade"))))))</f>
        <v/>
      </c>
      <c r="S1114">
        <f>IF($C1114="","",IF(UPPER(LEFT($C1114,1))="M",1,IF(UPPER(LEFT($C1114,1))="F",2,"")))</f>
        <v/>
      </c>
      <c r="T1114">
        <f>IF(OR($D1114="",$E1114=""),"",DATEDIF($D1114,$E1114,"m"))</f>
        <v/>
      </c>
      <c r="U1114">
        <f>IF(OR($D1114="",$E1114=""),"",$E1114-$D1114)</f>
        <v/>
      </c>
      <c r="V1114">
        <f>IF(OR($G1114="",$T1114=""),"",IF($T1114&lt;24,IF(LEFT(LOWER($H1114),4)="em p",$G1114+0.7,$G1114),IF(LEFT(LOWER($H1114),4)="deit",$G1114-0.7,$G1114)))</f>
        <v/>
      </c>
      <c r="W1114">
        <f>IF(OR($S1114="",$T1114=""),"",$S1114*1000000+IF($T1114&lt;=60,$U1114,$T1114))</f>
        <v/>
      </c>
      <c r="X1114">
        <f>IF(OR($S1114="",$V1114="",$T1114&gt;60,$T1114=""),"",$S1114*1000000+ROUND($V1114*10,0))</f>
        <v/>
      </c>
      <c r="Y1114">
        <f>IF($W1114="","",IFERROR(INDEX(IF($T1114&lt;=60,imc05_l,imc519_l),MATCH($W1114,IF($T1114&lt;=60,imc05_k,imc519_k),1)),""))</f>
        <v/>
      </c>
      <c r="Z1114">
        <f>IF($W1114="","",IFERROR(INDEX(IF($T1114&lt;=60,imc05_m,imc519_m),MATCH($W1114,IF($T1114&lt;=60,imc05_k,imc519_k),1)),""))</f>
        <v/>
      </c>
      <c r="AA1114">
        <f>IF($W1114="","",IFERROR(INDEX(IF($T1114&lt;=60,imc05_s,imc519_s),MATCH($W1114,IF($T1114&lt;=60,imc05_k,imc519_k),1)),""))</f>
        <v/>
      </c>
      <c r="AB1114">
        <f>IF($Y1114="","",IF($Y1114=0,LN($J1114/$Z1114)/$AA1114,((($J1114/$Z1114)^$Y1114)-1)/($Y1114*$AA1114)))</f>
        <v/>
      </c>
      <c r="AC1114">
        <f>IF($Y1114="","",IF($Y1114=0,$Z1114*EXP($AA1114*2),$Z1114*(1+$Y1114*$AA1114*2)^(1/$Y1114)))</f>
        <v/>
      </c>
      <c r="AD1114">
        <f>IF($Y1114="","",IF($Y1114=0,$Z1114*EXP($AA1114*3),$Z1114*(1+$Y1114*$AA1114*3)^(1/$Y1114)))</f>
        <v/>
      </c>
      <c r="AE1114">
        <f>IF($Y1114="","",IF($Y1114=0,$Z1114*EXP($AA1114*-2),$Z1114*(1+$Y1114*$AA1114*-2)^(1/$Y1114)))</f>
        <v/>
      </c>
      <c r="AF1114">
        <f>IF($Y1114="","",IF($Y1114=0,$Z1114*EXP($AA1114*-3),$Z1114*(1+$Y1114*$AA1114*-3)^(1/$Y1114)))</f>
        <v/>
      </c>
      <c r="AG1114">
        <f>IF($W1114="","",IFERROR(INDEX(IF($T1114&lt;=60,est05_l,est519_l),MATCH($W1114,IF($T1114&lt;=60,est05_k,est519_k),1)),""))</f>
        <v/>
      </c>
      <c r="AH1114">
        <f>IF($W1114="","",IFERROR(INDEX(IF($T1114&lt;=60,est05_m,est519_m),MATCH($W1114,IF($T1114&lt;=60,est05_k,est519_k),1)),""))</f>
        <v/>
      </c>
      <c r="AI1114">
        <f>IF($W1114="","",IFERROR(INDEX(IF($T1114&lt;=60,est05_s,est519_s),MATCH($W1114,IF($T1114&lt;=60,est05_k,est519_k),1)),""))</f>
        <v/>
      </c>
      <c r="AJ1114">
        <f>IF($W1114="","",IFERROR(INDEX(IF($T1114&lt;=60,peso05_l,peso510_l),MATCH($W1114,IF($T1114&lt;=60,peso05_k,peso510_k),1)),""))</f>
        <v/>
      </c>
      <c r="AK1114">
        <f>IF($W1114="","",IFERROR(INDEX(IF($T1114&lt;=60,peso05_m,peso510_m),MATCH($W1114,IF($T1114&lt;=60,peso05_k,peso510_k),1)),""))</f>
        <v/>
      </c>
      <c r="AL1114">
        <f>IF($W1114="","",IFERROR(INDEX(IF($T1114&lt;=60,peso05_s,peso510_s),MATCH($W1114,IF($T1114&lt;=60,peso05_k,peso510_k),1)),""))</f>
        <v/>
      </c>
      <c r="AM1114">
        <f>IF($AJ1114="","",IF($AJ1114=0,LN($F1114/$AK1114)/$AL1114,((($F1114/$AK1114)^$AJ1114)-1)/($AJ1114*$AL1114)))</f>
        <v/>
      </c>
      <c r="AN1114">
        <f>IF($AJ1114="","",IF($AJ1114=0,$AK1114*EXP($AL1114*2),$AK1114*(1+$AJ1114*$AL1114*2)^(1/$AJ1114)))</f>
        <v/>
      </c>
      <c r="AO1114">
        <f>IF($AJ1114="","",IF($AJ1114=0,$AK1114*EXP($AL1114*3),$AK1114*(1+$AJ1114*$AL1114*3)^(1/$AJ1114)))</f>
        <v/>
      </c>
      <c r="AP1114">
        <f>IF($AJ1114="","",IF($AJ1114=0,$AK1114*EXP($AL1114*-2),$AK1114*(1+$AJ1114*$AL1114*-2)^(1/$AJ1114)))</f>
        <v/>
      </c>
      <c r="AQ1114">
        <f>IF($AJ1114="","",IF($AJ1114=0,$AK1114*EXP($AL1114*-3),$AK1114*(1+$AJ1114*$AL1114*-3)^(1/$AJ1114)))</f>
        <v/>
      </c>
      <c r="AR1114">
        <f>IF(OR($X1114="",$T1114&gt;60),"",IFERROR(INDEX(IF($T1114&lt;24,pcomp_l,palt_l),MATCH($X1114,IF($T1114&lt;24,pcomp_k,palt_k),1)),""))</f>
        <v/>
      </c>
      <c r="AS1114">
        <f>IF(OR($X1114="",$T1114&gt;60),"",IFERROR(INDEX(IF($T1114&lt;24,pcomp_m,palt_m),MATCH($X1114,IF($T1114&lt;24,pcomp_k,palt_k),1)),""))</f>
        <v/>
      </c>
      <c r="AT1114">
        <f>IF(OR($X1114="",$T1114&gt;60),"",IFERROR(INDEX(IF($T1114&lt;24,pcomp_s,palt_s),MATCH($X1114,IF($T1114&lt;24,pcomp_k,palt_k),1)),""))</f>
        <v/>
      </c>
      <c r="AU1114">
        <f>IF($AR1114="","",IF($AR1114=0,LN($F1114/$AS1114)/$AT1114,((($F1114/$AS1114)^$AR1114)-1)/($AR1114*$AT1114)))</f>
        <v/>
      </c>
      <c r="AV1114">
        <f>IF($AR1114="","",IF($AR1114=0,$AS1114*EXP($AT1114*2),$AS1114*(1+$AR1114*$AT1114*2)^(1/$AR1114)))</f>
        <v/>
      </c>
      <c r="AW1114">
        <f>IF($AR1114="","",IF($AR1114=0,$AS1114*EXP($AT1114*3),$AS1114*(1+$AR1114*$AT1114*3)^(1/$AR1114)))</f>
        <v/>
      </c>
      <c r="AX1114">
        <f>IF($AR1114="","",IF($AR1114=0,$AS1114*EXP($AT1114*-2),$AS1114*(1+$AR1114*$AT1114*-2)^(1/$AR1114)))</f>
        <v/>
      </c>
      <c r="AY1114">
        <f>IF($AR1114="","",IF($AR1114=0,$AS1114*EXP($AT1114*-3),$AS1114*(1+$AR1114*$AT1114*-3)^(1/$AR1114)))</f>
        <v/>
      </c>
      <c r="AZ1114">
        <f>IF(OR($A1114="",$A1114&lt;&gt;Ficha!$C$4),"",COUNTIF($A$2:$A1114,Ficha!$C$4))</f>
        <v/>
      </c>
    </row>
    <row r="1115">
      <c r="A1115" s="8">
        <f>IF(INDEX(Banco!$A:$A,ROW())="","",INDEX(Banco!$A:$A,ROW()))</f>
        <v/>
      </c>
      <c r="B1115" s="8">
        <f>IF(INDEX(Banco!$B:$B,ROW())="","",INDEX(Banco!$B:$B,ROW()))</f>
        <v/>
      </c>
      <c r="C1115" s="8">
        <f>IF(INDEX(Banco!$C:$C,ROW())="","",INDEX(Banco!$C:$C,ROW()))</f>
        <v/>
      </c>
      <c r="D1115" s="9">
        <f>IF(INDEX(Banco!$D:$D,ROW())="","",INDEX(Banco!$D:$D,ROW()))</f>
        <v/>
      </c>
      <c r="E1115" s="9">
        <f>IF(INDEX(Banco!$E:$E,ROW())="","",INDEX(Banco!$E:$E,ROW()))</f>
        <v/>
      </c>
      <c r="F1115" s="10">
        <f>IF(INDEX(Banco!$F:$F,ROW())="","",INDEX(Banco!$F:$F,ROW()))</f>
        <v/>
      </c>
      <c r="G1115" s="10">
        <f>IF(INDEX(Banco!$G:$G,ROW())="","",INDEX(Banco!$G:$G,ROW()))</f>
        <v/>
      </c>
      <c r="H1115" s="8">
        <f>IF(INDEX(Banco!$H:$H,ROW())="","",INDEX(Banco!$H:$H,ROW()))</f>
        <v/>
      </c>
      <c r="I1115">
        <f>IF($T1115="","",INT($T1115/12)&amp;"a "&amp;MOD($T1115,12)&amp;"m")</f>
        <v/>
      </c>
      <c r="J1115" s="11">
        <f>IF(OR($F1115="",$G1115=""),"",ROUND($F1115/($G1115/100)^2,2))</f>
        <v/>
      </c>
      <c r="K1115" s="12">
        <f>IF(OR($S1115="",$J1115="",$T1115="",$T1115&lt;0,$T1115&gt;228,$Y1115=""),"—",ROUND(IF(ABS($AB1115)&lt;=3,$AB1115,IF($AB1115&gt;3,3+($J1115-$AD1115)/($AD1115-$AC1115),-3+($J1115-$AF1115)/($AE1115-$AF1115))),2))</f>
        <v/>
      </c>
      <c r="L1115">
        <f>IF(OR($K1115="",$K1115="—"),"",IF($T1115&lt;=60,IF($K1115&lt;-3,"Magreza acentuada",IF($K1115&lt;-2,"Magreza",IF($K1115&lt;=1,"Eutrofia",IF($K1115&lt;=2,"Risco de sobrepeso",IF($K1115&lt;=3,"Sobrepeso","Obesidade"))))),IF($K1115&lt;-3,"Magreza acentuada",IF($K1115&lt;-2,"Magreza",IF($K1115&lt;=1,"Eutrofia",IF($K1115&lt;=2,"Sobrepeso",IF($K1115&lt;=3,"Obesidade","Obesidade grave")))))))</f>
        <v/>
      </c>
      <c r="M1115" s="12">
        <f>IF(OR($S1115="",$V1115="",$T1115="",$T1115&lt;0,$T1115&gt;228,$AG1115=""),"—",ROUND(IF($AG1115=0,LN($V1115/$AH1115)/$AI1115,((($V1115/$AH1115)^$AG1115)-1)/($AG1115*$AI1115)),2))</f>
        <v/>
      </c>
      <c r="N1115">
        <f>IF(OR($M1115="",$M1115="—"),"",IF($M1115&lt;-3,"Muito baixa",IF($M1115&lt;-2,"Baixa","Adequada")))</f>
        <v/>
      </c>
      <c r="O1115" s="12">
        <f>IF(OR($S1115="",$F1115="",$T1115="",$T1115&lt;0,$T1115&gt;120,$AJ1115=""),"—",ROUND(IF(ABS($AM1115)&lt;=3,$AM1115,IF($AM1115&gt;3,3+($F1115-$AO1115)/($AO1115-$AN1115),-3+($F1115-$AQ1115)/($AP1115-$AQ1115))),2))</f>
        <v/>
      </c>
      <c r="P1115">
        <f>IF(OR($O1115="",$O1115="—"),"",IF($O1115&lt;-3,"Muito baixo",IF($O1115&lt;-2,"Baixo",IF($O1115&lt;=2,"Adequado","Elevado"))))</f>
        <v/>
      </c>
      <c r="Q1115" s="12">
        <f>IF(OR($S1115="",$F1115="",$T1115="",$T1115&lt;0,$T1115&gt;60,$AR1115=""),"—",ROUND(IF(ABS($AU1115)&lt;=3,$AU1115,IF($AU1115&gt;3,3+($F1115-$AW1115)/($AW1115-$AV1115),-3+($F1115-$AY1115)/($AX1115-$AY1115))),2))</f>
        <v/>
      </c>
      <c r="R1115">
        <f>IF(OR($Q1115="",$Q1115="—"),"",IF($Q1115&lt;-3,"Magreza acentuada",IF($Q1115&lt;-2,"Magreza",IF($Q1115&lt;=1,"Eutrofia",IF($Q1115&lt;=2,"Risco de sobrepeso",IF($Q1115&lt;=3,"Sobrepeso","Obesidade"))))))</f>
        <v/>
      </c>
      <c r="S1115">
        <f>IF($C1115="","",IF(UPPER(LEFT($C1115,1))="M",1,IF(UPPER(LEFT($C1115,1))="F",2,"")))</f>
        <v/>
      </c>
      <c r="T1115">
        <f>IF(OR($D1115="",$E1115=""),"",DATEDIF($D1115,$E1115,"m"))</f>
        <v/>
      </c>
      <c r="U1115">
        <f>IF(OR($D1115="",$E1115=""),"",$E1115-$D1115)</f>
        <v/>
      </c>
      <c r="V1115">
        <f>IF(OR($G1115="",$T1115=""),"",IF($T1115&lt;24,IF(LEFT(LOWER($H1115),4)="em p",$G1115+0.7,$G1115),IF(LEFT(LOWER($H1115),4)="deit",$G1115-0.7,$G1115)))</f>
        <v/>
      </c>
      <c r="W1115">
        <f>IF(OR($S1115="",$T1115=""),"",$S1115*1000000+IF($T1115&lt;=60,$U1115,$T1115))</f>
        <v/>
      </c>
      <c r="X1115">
        <f>IF(OR($S1115="",$V1115="",$T1115&gt;60,$T1115=""),"",$S1115*1000000+ROUND($V1115*10,0))</f>
        <v/>
      </c>
      <c r="Y1115">
        <f>IF($W1115="","",IFERROR(INDEX(IF($T1115&lt;=60,imc05_l,imc519_l),MATCH($W1115,IF($T1115&lt;=60,imc05_k,imc519_k),1)),""))</f>
        <v/>
      </c>
      <c r="Z1115">
        <f>IF($W1115="","",IFERROR(INDEX(IF($T1115&lt;=60,imc05_m,imc519_m),MATCH($W1115,IF($T1115&lt;=60,imc05_k,imc519_k),1)),""))</f>
        <v/>
      </c>
      <c r="AA1115">
        <f>IF($W1115="","",IFERROR(INDEX(IF($T1115&lt;=60,imc05_s,imc519_s),MATCH($W1115,IF($T1115&lt;=60,imc05_k,imc519_k),1)),""))</f>
        <v/>
      </c>
      <c r="AB1115">
        <f>IF($Y1115="","",IF($Y1115=0,LN($J1115/$Z1115)/$AA1115,((($J1115/$Z1115)^$Y1115)-1)/($Y1115*$AA1115)))</f>
        <v/>
      </c>
      <c r="AC1115">
        <f>IF($Y1115="","",IF($Y1115=0,$Z1115*EXP($AA1115*2),$Z1115*(1+$Y1115*$AA1115*2)^(1/$Y1115)))</f>
        <v/>
      </c>
      <c r="AD1115">
        <f>IF($Y1115="","",IF($Y1115=0,$Z1115*EXP($AA1115*3),$Z1115*(1+$Y1115*$AA1115*3)^(1/$Y1115)))</f>
        <v/>
      </c>
      <c r="AE1115">
        <f>IF($Y1115="","",IF($Y1115=0,$Z1115*EXP($AA1115*-2),$Z1115*(1+$Y1115*$AA1115*-2)^(1/$Y1115)))</f>
        <v/>
      </c>
      <c r="AF1115">
        <f>IF($Y1115="","",IF($Y1115=0,$Z1115*EXP($AA1115*-3),$Z1115*(1+$Y1115*$AA1115*-3)^(1/$Y1115)))</f>
        <v/>
      </c>
      <c r="AG1115">
        <f>IF($W1115="","",IFERROR(INDEX(IF($T1115&lt;=60,est05_l,est519_l),MATCH($W1115,IF($T1115&lt;=60,est05_k,est519_k),1)),""))</f>
        <v/>
      </c>
      <c r="AH1115">
        <f>IF($W1115="","",IFERROR(INDEX(IF($T1115&lt;=60,est05_m,est519_m),MATCH($W1115,IF($T1115&lt;=60,est05_k,est519_k),1)),""))</f>
        <v/>
      </c>
      <c r="AI1115">
        <f>IF($W1115="","",IFERROR(INDEX(IF($T1115&lt;=60,est05_s,est519_s),MATCH($W1115,IF($T1115&lt;=60,est05_k,est519_k),1)),""))</f>
        <v/>
      </c>
      <c r="AJ1115">
        <f>IF($W1115="","",IFERROR(INDEX(IF($T1115&lt;=60,peso05_l,peso510_l),MATCH($W1115,IF($T1115&lt;=60,peso05_k,peso510_k),1)),""))</f>
        <v/>
      </c>
      <c r="AK1115">
        <f>IF($W1115="","",IFERROR(INDEX(IF($T1115&lt;=60,peso05_m,peso510_m),MATCH($W1115,IF($T1115&lt;=60,peso05_k,peso510_k),1)),""))</f>
        <v/>
      </c>
      <c r="AL1115">
        <f>IF($W1115="","",IFERROR(INDEX(IF($T1115&lt;=60,peso05_s,peso510_s),MATCH($W1115,IF($T1115&lt;=60,peso05_k,peso510_k),1)),""))</f>
        <v/>
      </c>
      <c r="AM1115">
        <f>IF($AJ1115="","",IF($AJ1115=0,LN($F1115/$AK1115)/$AL1115,((($F1115/$AK1115)^$AJ1115)-1)/($AJ1115*$AL1115)))</f>
        <v/>
      </c>
      <c r="AN1115">
        <f>IF($AJ1115="","",IF($AJ1115=0,$AK1115*EXP($AL1115*2),$AK1115*(1+$AJ1115*$AL1115*2)^(1/$AJ1115)))</f>
        <v/>
      </c>
      <c r="AO1115">
        <f>IF($AJ1115="","",IF($AJ1115=0,$AK1115*EXP($AL1115*3),$AK1115*(1+$AJ1115*$AL1115*3)^(1/$AJ1115)))</f>
        <v/>
      </c>
      <c r="AP1115">
        <f>IF($AJ1115="","",IF($AJ1115=0,$AK1115*EXP($AL1115*-2),$AK1115*(1+$AJ1115*$AL1115*-2)^(1/$AJ1115)))</f>
        <v/>
      </c>
      <c r="AQ1115">
        <f>IF($AJ1115="","",IF($AJ1115=0,$AK1115*EXP($AL1115*-3),$AK1115*(1+$AJ1115*$AL1115*-3)^(1/$AJ1115)))</f>
        <v/>
      </c>
      <c r="AR1115">
        <f>IF(OR($X1115="",$T1115&gt;60),"",IFERROR(INDEX(IF($T1115&lt;24,pcomp_l,palt_l),MATCH($X1115,IF($T1115&lt;24,pcomp_k,palt_k),1)),""))</f>
        <v/>
      </c>
      <c r="AS1115">
        <f>IF(OR($X1115="",$T1115&gt;60),"",IFERROR(INDEX(IF($T1115&lt;24,pcomp_m,palt_m),MATCH($X1115,IF($T1115&lt;24,pcomp_k,palt_k),1)),""))</f>
        <v/>
      </c>
      <c r="AT1115">
        <f>IF(OR($X1115="",$T1115&gt;60),"",IFERROR(INDEX(IF($T1115&lt;24,pcomp_s,palt_s),MATCH($X1115,IF($T1115&lt;24,pcomp_k,palt_k),1)),""))</f>
        <v/>
      </c>
      <c r="AU1115">
        <f>IF($AR1115="","",IF($AR1115=0,LN($F1115/$AS1115)/$AT1115,((($F1115/$AS1115)^$AR1115)-1)/($AR1115*$AT1115)))</f>
        <v/>
      </c>
      <c r="AV1115">
        <f>IF($AR1115="","",IF($AR1115=0,$AS1115*EXP($AT1115*2),$AS1115*(1+$AR1115*$AT1115*2)^(1/$AR1115)))</f>
        <v/>
      </c>
      <c r="AW1115">
        <f>IF($AR1115="","",IF($AR1115=0,$AS1115*EXP($AT1115*3),$AS1115*(1+$AR1115*$AT1115*3)^(1/$AR1115)))</f>
        <v/>
      </c>
      <c r="AX1115">
        <f>IF($AR1115="","",IF($AR1115=0,$AS1115*EXP($AT1115*-2),$AS1115*(1+$AR1115*$AT1115*-2)^(1/$AR1115)))</f>
        <v/>
      </c>
      <c r="AY1115">
        <f>IF($AR1115="","",IF($AR1115=0,$AS1115*EXP($AT1115*-3),$AS1115*(1+$AR1115*$AT1115*-3)^(1/$AR1115)))</f>
        <v/>
      </c>
      <c r="AZ1115">
        <f>IF(OR($A1115="",$A1115&lt;&gt;Ficha!$C$4),"",COUNTIF($A$2:$A1115,Ficha!$C$4))</f>
        <v/>
      </c>
    </row>
    <row r="1116">
      <c r="A1116" s="8">
        <f>IF(INDEX(Banco!$A:$A,ROW())="","",INDEX(Banco!$A:$A,ROW()))</f>
        <v/>
      </c>
      <c r="B1116" s="8">
        <f>IF(INDEX(Banco!$B:$B,ROW())="","",INDEX(Banco!$B:$B,ROW()))</f>
        <v/>
      </c>
      <c r="C1116" s="8">
        <f>IF(INDEX(Banco!$C:$C,ROW())="","",INDEX(Banco!$C:$C,ROW()))</f>
        <v/>
      </c>
      <c r="D1116" s="9">
        <f>IF(INDEX(Banco!$D:$D,ROW())="","",INDEX(Banco!$D:$D,ROW()))</f>
        <v/>
      </c>
      <c r="E1116" s="9">
        <f>IF(INDEX(Banco!$E:$E,ROW())="","",INDEX(Banco!$E:$E,ROW()))</f>
        <v/>
      </c>
      <c r="F1116" s="10">
        <f>IF(INDEX(Banco!$F:$F,ROW())="","",INDEX(Banco!$F:$F,ROW()))</f>
        <v/>
      </c>
      <c r="G1116" s="10">
        <f>IF(INDEX(Banco!$G:$G,ROW())="","",INDEX(Banco!$G:$G,ROW()))</f>
        <v/>
      </c>
      <c r="H1116" s="8">
        <f>IF(INDEX(Banco!$H:$H,ROW())="","",INDEX(Banco!$H:$H,ROW()))</f>
        <v/>
      </c>
      <c r="I1116">
        <f>IF($T1116="","",INT($T1116/12)&amp;"a "&amp;MOD($T1116,12)&amp;"m")</f>
        <v/>
      </c>
      <c r="J1116" s="11">
        <f>IF(OR($F1116="",$G1116=""),"",ROUND($F1116/($G1116/100)^2,2))</f>
        <v/>
      </c>
      <c r="K1116" s="12">
        <f>IF(OR($S1116="",$J1116="",$T1116="",$T1116&lt;0,$T1116&gt;228,$Y1116=""),"—",ROUND(IF(ABS($AB1116)&lt;=3,$AB1116,IF($AB1116&gt;3,3+($J1116-$AD1116)/($AD1116-$AC1116),-3+($J1116-$AF1116)/($AE1116-$AF1116))),2))</f>
        <v/>
      </c>
      <c r="L1116">
        <f>IF(OR($K1116="",$K1116="—"),"",IF($T1116&lt;=60,IF($K1116&lt;-3,"Magreza acentuada",IF($K1116&lt;-2,"Magreza",IF($K1116&lt;=1,"Eutrofia",IF($K1116&lt;=2,"Risco de sobrepeso",IF($K1116&lt;=3,"Sobrepeso","Obesidade"))))),IF($K1116&lt;-3,"Magreza acentuada",IF($K1116&lt;-2,"Magreza",IF($K1116&lt;=1,"Eutrofia",IF($K1116&lt;=2,"Sobrepeso",IF($K1116&lt;=3,"Obesidade","Obesidade grave")))))))</f>
        <v/>
      </c>
      <c r="M1116" s="12">
        <f>IF(OR($S1116="",$V1116="",$T1116="",$T1116&lt;0,$T1116&gt;228,$AG1116=""),"—",ROUND(IF($AG1116=0,LN($V1116/$AH1116)/$AI1116,((($V1116/$AH1116)^$AG1116)-1)/($AG1116*$AI1116)),2))</f>
        <v/>
      </c>
      <c r="N1116">
        <f>IF(OR($M1116="",$M1116="—"),"",IF($M1116&lt;-3,"Muito baixa",IF($M1116&lt;-2,"Baixa","Adequada")))</f>
        <v/>
      </c>
      <c r="O1116" s="12">
        <f>IF(OR($S1116="",$F1116="",$T1116="",$T1116&lt;0,$T1116&gt;120,$AJ1116=""),"—",ROUND(IF(ABS($AM1116)&lt;=3,$AM1116,IF($AM1116&gt;3,3+($F1116-$AO1116)/($AO1116-$AN1116),-3+($F1116-$AQ1116)/($AP1116-$AQ1116))),2))</f>
        <v/>
      </c>
      <c r="P1116">
        <f>IF(OR($O1116="",$O1116="—"),"",IF($O1116&lt;-3,"Muito baixo",IF($O1116&lt;-2,"Baixo",IF($O1116&lt;=2,"Adequado","Elevado"))))</f>
        <v/>
      </c>
      <c r="Q1116" s="12">
        <f>IF(OR($S1116="",$F1116="",$T1116="",$T1116&lt;0,$T1116&gt;60,$AR1116=""),"—",ROUND(IF(ABS($AU1116)&lt;=3,$AU1116,IF($AU1116&gt;3,3+($F1116-$AW1116)/($AW1116-$AV1116),-3+($F1116-$AY1116)/($AX1116-$AY1116))),2))</f>
        <v/>
      </c>
      <c r="R1116">
        <f>IF(OR($Q1116="",$Q1116="—"),"",IF($Q1116&lt;-3,"Magreza acentuada",IF($Q1116&lt;-2,"Magreza",IF($Q1116&lt;=1,"Eutrofia",IF($Q1116&lt;=2,"Risco de sobrepeso",IF($Q1116&lt;=3,"Sobrepeso","Obesidade"))))))</f>
        <v/>
      </c>
      <c r="S1116">
        <f>IF($C1116="","",IF(UPPER(LEFT($C1116,1))="M",1,IF(UPPER(LEFT($C1116,1))="F",2,"")))</f>
        <v/>
      </c>
      <c r="T1116">
        <f>IF(OR($D1116="",$E1116=""),"",DATEDIF($D1116,$E1116,"m"))</f>
        <v/>
      </c>
      <c r="U1116">
        <f>IF(OR($D1116="",$E1116=""),"",$E1116-$D1116)</f>
        <v/>
      </c>
      <c r="V1116">
        <f>IF(OR($G1116="",$T1116=""),"",IF($T1116&lt;24,IF(LEFT(LOWER($H1116),4)="em p",$G1116+0.7,$G1116),IF(LEFT(LOWER($H1116),4)="deit",$G1116-0.7,$G1116)))</f>
        <v/>
      </c>
      <c r="W1116">
        <f>IF(OR($S1116="",$T1116=""),"",$S1116*1000000+IF($T1116&lt;=60,$U1116,$T1116))</f>
        <v/>
      </c>
      <c r="X1116">
        <f>IF(OR($S1116="",$V1116="",$T1116&gt;60,$T1116=""),"",$S1116*1000000+ROUND($V1116*10,0))</f>
        <v/>
      </c>
      <c r="Y1116">
        <f>IF($W1116="","",IFERROR(INDEX(IF($T1116&lt;=60,imc05_l,imc519_l),MATCH($W1116,IF($T1116&lt;=60,imc05_k,imc519_k),1)),""))</f>
        <v/>
      </c>
      <c r="Z1116">
        <f>IF($W1116="","",IFERROR(INDEX(IF($T1116&lt;=60,imc05_m,imc519_m),MATCH($W1116,IF($T1116&lt;=60,imc05_k,imc519_k),1)),""))</f>
        <v/>
      </c>
      <c r="AA1116">
        <f>IF($W1116="","",IFERROR(INDEX(IF($T1116&lt;=60,imc05_s,imc519_s),MATCH($W1116,IF($T1116&lt;=60,imc05_k,imc519_k),1)),""))</f>
        <v/>
      </c>
      <c r="AB1116">
        <f>IF($Y1116="","",IF($Y1116=0,LN($J1116/$Z1116)/$AA1116,((($J1116/$Z1116)^$Y1116)-1)/($Y1116*$AA1116)))</f>
        <v/>
      </c>
      <c r="AC1116">
        <f>IF($Y1116="","",IF($Y1116=0,$Z1116*EXP($AA1116*2),$Z1116*(1+$Y1116*$AA1116*2)^(1/$Y1116)))</f>
        <v/>
      </c>
      <c r="AD1116">
        <f>IF($Y1116="","",IF($Y1116=0,$Z1116*EXP($AA1116*3),$Z1116*(1+$Y1116*$AA1116*3)^(1/$Y1116)))</f>
        <v/>
      </c>
      <c r="AE1116">
        <f>IF($Y1116="","",IF($Y1116=0,$Z1116*EXP($AA1116*-2),$Z1116*(1+$Y1116*$AA1116*-2)^(1/$Y1116)))</f>
        <v/>
      </c>
      <c r="AF1116">
        <f>IF($Y1116="","",IF($Y1116=0,$Z1116*EXP($AA1116*-3),$Z1116*(1+$Y1116*$AA1116*-3)^(1/$Y1116)))</f>
        <v/>
      </c>
      <c r="AG1116">
        <f>IF($W1116="","",IFERROR(INDEX(IF($T1116&lt;=60,est05_l,est519_l),MATCH($W1116,IF($T1116&lt;=60,est05_k,est519_k),1)),""))</f>
        <v/>
      </c>
      <c r="AH1116">
        <f>IF($W1116="","",IFERROR(INDEX(IF($T1116&lt;=60,est05_m,est519_m),MATCH($W1116,IF($T1116&lt;=60,est05_k,est519_k),1)),""))</f>
        <v/>
      </c>
      <c r="AI1116">
        <f>IF($W1116="","",IFERROR(INDEX(IF($T1116&lt;=60,est05_s,est519_s),MATCH($W1116,IF($T1116&lt;=60,est05_k,est519_k),1)),""))</f>
        <v/>
      </c>
      <c r="AJ1116">
        <f>IF($W1116="","",IFERROR(INDEX(IF($T1116&lt;=60,peso05_l,peso510_l),MATCH($W1116,IF($T1116&lt;=60,peso05_k,peso510_k),1)),""))</f>
        <v/>
      </c>
      <c r="AK1116">
        <f>IF($W1116="","",IFERROR(INDEX(IF($T1116&lt;=60,peso05_m,peso510_m),MATCH($W1116,IF($T1116&lt;=60,peso05_k,peso510_k),1)),""))</f>
        <v/>
      </c>
      <c r="AL1116">
        <f>IF($W1116="","",IFERROR(INDEX(IF($T1116&lt;=60,peso05_s,peso510_s),MATCH($W1116,IF($T1116&lt;=60,peso05_k,peso510_k),1)),""))</f>
        <v/>
      </c>
      <c r="AM1116">
        <f>IF($AJ1116="","",IF($AJ1116=0,LN($F1116/$AK1116)/$AL1116,((($F1116/$AK1116)^$AJ1116)-1)/($AJ1116*$AL1116)))</f>
        <v/>
      </c>
      <c r="AN1116">
        <f>IF($AJ1116="","",IF($AJ1116=0,$AK1116*EXP($AL1116*2),$AK1116*(1+$AJ1116*$AL1116*2)^(1/$AJ1116)))</f>
        <v/>
      </c>
      <c r="AO1116">
        <f>IF($AJ1116="","",IF($AJ1116=0,$AK1116*EXP($AL1116*3),$AK1116*(1+$AJ1116*$AL1116*3)^(1/$AJ1116)))</f>
        <v/>
      </c>
      <c r="AP1116">
        <f>IF($AJ1116="","",IF($AJ1116=0,$AK1116*EXP($AL1116*-2),$AK1116*(1+$AJ1116*$AL1116*-2)^(1/$AJ1116)))</f>
        <v/>
      </c>
      <c r="AQ1116">
        <f>IF($AJ1116="","",IF($AJ1116=0,$AK1116*EXP($AL1116*-3),$AK1116*(1+$AJ1116*$AL1116*-3)^(1/$AJ1116)))</f>
        <v/>
      </c>
      <c r="AR1116">
        <f>IF(OR($X1116="",$T1116&gt;60),"",IFERROR(INDEX(IF($T1116&lt;24,pcomp_l,palt_l),MATCH($X1116,IF($T1116&lt;24,pcomp_k,palt_k),1)),""))</f>
        <v/>
      </c>
      <c r="AS1116">
        <f>IF(OR($X1116="",$T1116&gt;60),"",IFERROR(INDEX(IF($T1116&lt;24,pcomp_m,palt_m),MATCH($X1116,IF($T1116&lt;24,pcomp_k,palt_k),1)),""))</f>
        <v/>
      </c>
      <c r="AT1116">
        <f>IF(OR($X1116="",$T1116&gt;60),"",IFERROR(INDEX(IF($T1116&lt;24,pcomp_s,palt_s),MATCH($X1116,IF($T1116&lt;24,pcomp_k,palt_k),1)),""))</f>
        <v/>
      </c>
      <c r="AU1116">
        <f>IF($AR1116="","",IF($AR1116=0,LN($F1116/$AS1116)/$AT1116,((($F1116/$AS1116)^$AR1116)-1)/($AR1116*$AT1116)))</f>
        <v/>
      </c>
      <c r="AV1116">
        <f>IF($AR1116="","",IF($AR1116=0,$AS1116*EXP($AT1116*2),$AS1116*(1+$AR1116*$AT1116*2)^(1/$AR1116)))</f>
        <v/>
      </c>
      <c r="AW1116">
        <f>IF($AR1116="","",IF($AR1116=0,$AS1116*EXP($AT1116*3),$AS1116*(1+$AR1116*$AT1116*3)^(1/$AR1116)))</f>
        <v/>
      </c>
      <c r="AX1116">
        <f>IF($AR1116="","",IF($AR1116=0,$AS1116*EXP($AT1116*-2),$AS1116*(1+$AR1116*$AT1116*-2)^(1/$AR1116)))</f>
        <v/>
      </c>
      <c r="AY1116">
        <f>IF($AR1116="","",IF($AR1116=0,$AS1116*EXP($AT1116*-3),$AS1116*(1+$AR1116*$AT1116*-3)^(1/$AR1116)))</f>
        <v/>
      </c>
      <c r="AZ1116">
        <f>IF(OR($A1116="",$A1116&lt;&gt;Ficha!$C$4),"",COUNTIF($A$2:$A1116,Ficha!$C$4))</f>
        <v/>
      </c>
    </row>
    <row r="1117">
      <c r="A1117" s="8">
        <f>IF(INDEX(Banco!$A:$A,ROW())="","",INDEX(Banco!$A:$A,ROW()))</f>
        <v/>
      </c>
      <c r="B1117" s="8">
        <f>IF(INDEX(Banco!$B:$B,ROW())="","",INDEX(Banco!$B:$B,ROW()))</f>
        <v/>
      </c>
      <c r="C1117" s="8">
        <f>IF(INDEX(Banco!$C:$C,ROW())="","",INDEX(Banco!$C:$C,ROW()))</f>
        <v/>
      </c>
      <c r="D1117" s="9">
        <f>IF(INDEX(Banco!$D:$D,ROW())="","",INDEX(Banco!$D:$D,ROW()))</f>
        <v/>
      </c>
      <c r="E1117" s="9">
        <f>IF(INDEX(Banco!$E:$E,ROW())="","",INDEX(Banco!$E:$E,ROW()))</f>
        <v/>
      </c>
      <c r="F1117" s="10">
        <f>IF(INDEX(Banco!$F:$F,ROW())="","",INDEX(Banco!$F:$F,ROW()))</f>
        <v/>
      </c>
      <c r="G1117" s="10">
        <f>IF(INDEX(Banco!$G:$G,ROW())="","",INDEX(Banco!$G:$G,ROW()))</f>
        <v/>
      </c>
      <c r="H1117" s="8">
        <f>IF(INDEX(Banco!$H:$H,ROW())="","",INDEX(Banco!$H:$H,ROW()))</f>
        <v/>
      </c>
      <c r="I1117">
        <f>IF($T1117="","",INT($T1117/12)&amp;"a "&amp;MOD($T1117,12)&amp;"m")</f>
        <v/>
      </c>
      <c r="J1117" s="11">
        <f>IF(OR($F1117="",$G1117=""),"",ROUND($F1117/($G1117/100)^2,2))</f>
        <v/>
      </c>
      <c r="K1117" s="12">
        <f>IF(OR($S1117="",$J1117="",$T1117="",$T1117&lt;0,$T1117&gt;228,$Y1117=""),"—",ROUND(IF(ABS($AB1117)&lt;=3,$AB1117,IF($AB1117&gt;3,3+($J1117-$AD1117)/($AD1117-$AC1117),-3+($J1117-$AF1117)/($AE1117-$AF1117))),2))</f>
        <v/>
      </c>
      <c r="L1117">
        <f>IF(OR($K1117="",$K1117="—"),"",IF($T1117&lt;=60,IF($K1117&lt;-3,"Magreza acentuada",IF($K1117&lt;-2,"Magreza",IF($K1117&lt;=1,"Eutrofia",IF($K1117&lt;=2,"Risco de sobrepeso",IF($K1117&lt;=3,"Sobrepeso","Obesidade"))))),IF($K1117&lt;-3,"Magreza acentuada",IF($K1117&lt;-2,"Magreza",IF($K1117&lt;=1,"Eutrofia",IF($K1117&lt;=2,"Sobrepeso",IF($K1117&lt;=3,"Obesidade","Obesidade grave")))))))</f>
        <v/>
      </c>
      <c r="M1117" s="12">
        <f>IF(OR($S1117="",$V1117="",$T1117="",$T1117&lt;0,$T1117&gt;228,$AG1117=""),"—",ROUND(IF($AG1117=0,LN($V1117/$AH1117)/$AI1117,((($V1117/$AH1117)^$AG1117)-1)/($AG1117*$AI1117)),2))</f>
        <v/>
      </c>
      <c r="N1117">
        <f>IF(OR($M1117="",$M1117="—"),"",IF($M1117&lt;-3,"Muito baixa",IF($M1117&lt;-2,"Baixa","Adequada")))</f>
        <v/>
      </c>
      <c r="O1117" s="12">
        <f>IF(OR($S1117="",$F1117="",$T1117="",$T1117&lt;0,$T1117&gt;120,$AJ1117=""),"—",ROUND(IF(ABS($AM1117)&lt;=3,$AM1117,IF($AM1117&gt;3,3+($F1117-$AO1117)/($AO1117-$AN1117),-3+($F1117-$AQ1117)/($AP1117-$AQ1117))),2))</f>
        <v/>
      </c>
      <c r="P1117">
        <f>IF(OR($O1117="",$O1117="—"),"",IF($O1117&lt;-3,"Muito baixo",IF($O1117&lt;-2,"Baixo",IF($O1117&lt;=2,"Adequado","Elevado"))))</f>
        <v/>
      </c>
      <c r="Q1117" s="12">
        <f>IF(OR($S1117="",$F1117="",$T1117="",$T1117&lt;0,$T1117&gt;60,$AR1117=""),"—",ROUND(IF(ABS($AU1117)&lt;=3,$AU1117,IF($AU1117&gt;3,3+($F1117-$AW1117)/($AW1117-$AV1117),-3+($F1117-$AY1117)/($AX1117-$AY1117))),2))</f>
        <v/>
      </c>
      <c r="R1117">
        <f>IF(OR($Q1117="",$Q1117="—"),"",IF($Q1117&lt;-3,"Magreza acentuada",IF($Q1117&lt;-2,"Magreza",IF($Q1117&lt;=1,"Eutrofia",IF($Q1117&lt;=2,"Risco de sobrepeso",IF($Q1117&lt;=3,"Sobrepeso","Obesidade"))))))</f>
        <v/>
      </c>
      <c r="S1117">
        <f>IF($C1117="","",IF(UPPER(LEFT($C1117,1))="M",1,IF(UPPER(LEFT($C1117,1))="F",2,"")))</f>
        <v/>
      </c>
      <c r="T1117">
        <f>IF(OR($D1117="",$E1117=""),"",DATEDIF($D1117,$E1117,"m"))</f>
        <v/>
      </c>
      <c r="U1117">
        <f>IF(OR($D1117="",$E1117=""),"",$E1117-$D1117)</f>
        <v/>
      </c>
      <c r="V1117">
        <f>IF(OR($G1117="",$T1117=""),"",IF($T1117&lt;24,IF(LEFT(LOWER($H1117),4)="em p",$G1117+0.7,$G1117),IF(LEFT(LOWER($H1117),4)="deit",$G1117-0.7,$G1117)))</f>
        <v/>
      </c>
      <c r="W1117">
        <f>IF(OR($S1117="",$T1117=""),"",$S1117*1000000+IF($T1117&lt;=60,$U1117,$T1117))</f>
        <v/>
      </c>
      <c r="X1117">
        <f>IF(OR($S1117="",$V1117="",$T1117&gt;60,$T1117=""),"",$S1117*1000000+ROUND($V1117*10,0))</f>
        <v/>
      </c>
      <c r="Y1117">
        <f>IF($W1117="","",IFERROR(INDEX(IF($T1117&lt;=60,imc05_l,imc519_l),MATCH($W1117,IF($T1117&lt;=60,imc05_k,imc519_k),1)),""))</f>
        <v/>
      </c>
      <c r="Z1117">
        <f>IF($W1117="","",IFERROR(INDEX(IF($T1117&lt;=60,imc05_m,imc519_m),MATCH($W1117,IF($T1117&lt;=60,imc05_k,imc519_k),1)),""))</f>
        <v/>
      </c>
      <c r="AA1117">
        <f>IF($W1117="","",IFERROR(INDEX(IF($T1117&lt;=60,imc05_s,imc519_s),MATCH($W1117,IF($T1117&lt;=60,imc05_k,imc519_k),1)),""))</f>
        <v/>
      </c>
      <c r="AB1117">
        <f>IF($Y1117="","",IF($Y1117=0,LN($J1117/$Z1117)/$AA1117,((($J1117/$Z1117)^$Y1117)-1)/($Y1117*$AA1117)))</f>
        <v/>
      </c>
      <c r="AC1117">
        <f>IF($Y1117="","",IF($Y1117=0,$Z1117*EXP($AA1117*2),$Z1117*(1+$Y1117*$AA1117*2)^(1/$Y1117)))</f>
        <v/>
      </c>
      <c r="AD1117">
        <f>IF($Y1117="","",IF($Y1117=0,$Z1117*EXP($AA1117*3),$Z1117*(1+$Y1117*$AA1117*3)^(1/$Y1117)))</f>
        <v/>
      </c>
      <c r="AE1117">
        <f>IF($Y1117="","",IF($Y1117=0,$Z1117*EXP($AA1117*-2),$Z1117*(1+$Y1117*$AA1117*-2)^(1/$Y1117)))</f>
        <v/>
      </c>
      <c r="AF1117">
        <f>IF($Y1117="","",IF($Y1117=0,$Z1117*EXP($AA1117*-3),$Z1117*(1+$Y1117*$AA1117*-3)^(1/$Y1117)))</f>
        <v/>
      </c>
      <c r="AG1117">
        <f>IF($W1117="","",IFERROR(INDEX(IF($T1117&lt;=60,est05_l,est519_l),MATCH($W1117,IF($T1117&lt;=60,est05_k,est519_k),1)),""))</f>
        <v/>
      </c>
      <c r="AH1117">
        <f>IF($W1117="","",IFERROR(INDEX(IF($T1117&lt;=60,est05_m,est519_m),MATCH($W1117,IF($T1117&lt;=60,est05_k,est519_k),1)),""))</f>
        <v/>
      </c>
      <c r="AI1117">
        <f>IF($W1117="","",IFERROR(INDEX(IF($T1117&lt;=60,est05_s,est519_s),MATCH($W1117,IF($T1117&lt;=60,est05_k,est519_k),1)),""))</f>
        <v/>
      </c>
      <c r="AJ1117">
        <f>IF($W1117="","",IFERROR(INDEX(IF($T1117&lt;=60,peso05_l,peso510_l),MATCH($W1117,IF($T1117&lt;=60,peso05_k,peso510_k),1)),""))</f>
        <v/>
      </c>
      <c r="AK1117">
        <f>IF($W1117="","",IFERROR(INDEX(IF($T1117&lt;=60,peso05_m,peso510_m),MATCH($W1117,IF($T1117&lt;=60,peso05_k,peso510_k),1)),""))</f>
        <v/>
      </c>
      <c r="AL1117">
        <f>IF($W1117="","",IFERROR(INDEX(IF($T1117&lt;=60,peso05_s,peso510_s),MATCH($W1117,IF($T1117&lt;=60,peso05_k,peso510_k),1)),""))</f>
        <v/>
      </c>
      <c r="AM1117">
        <f>IF($AJ1117="","",IF($AJ1117=0,LN($F1117/$AK1117)/$AL1117,((($F1117/$AK1117)^$AJ1117)-1)/($AJ1117*$AL1117)))</f>
        <v/>
      </c>
      <c r="AN1117">
        <f>IF($AJ1117="","",IF($AJ1117=0,$AK1117*EXP($AL1117*2),$AK1117*(1+$AJ1117*$AL1117*2)^(1/$AJ1117)))</f>
        <v/>
      </c>
      <c r="AO1117">
        <f>IF($AJ1117="","",IF($AJ1117=0,$AK1117*EXP($AL1117*3),$AK1117*(1+$AJ1117*$AL1117*3)^(1/$AJ1117)))</f>
        <v/>
      </c>
      <c r="AP1117">
        <f>IF($AJ1117="","",IF($AJ1117=0,$AK1117*EXP($AL1117*-2),$AK1117*(1+$AJ1117*$AL1117*-2)^(1/$AJ1117)))</f>
        <v/>
      </c>
      <c r="AQ1117">
        <f>IF($AJ1117="","",IF($AJ1117=0,$AK1117*EXP($AL1117*-3),$AK1117*(1+$AJ1117*$AL1117*-3)^(1/$AJ1117)))</f>
        <v/>
      </c>
      <c r="AR1117">
        <f>IF(OR($X1117="",$T1117&gt;60),"",IFERROR(INDEX(IF($T1117&lt;24,pcomp_l,palt_l),MATCH($X1117,IF($T1117&lt;24,pcomp_k,palt_k),1)),""))</f>
        <v/>
      </c>
      <c r="AS1117">
        <f>IF(OR($X1117="",$T1117&gt;60),"",IFERROR(INDEX(IF($T1117&lt;24,pcomp_m,palt_m),MATCH($X1117,IF($T1117&lt;24,pcomp_k,palt_k),1)),""))</f>
        <v/>
      </c>
      <c r="AT1117">
        <f>IF(OR($X1117="",$T1117&gt;60),"",IFERROR(INDEX(IF($T1117&lt;24,pcomp_s,palt_s),MATCH($X1117,IF($T1117&lt;24,pcomp_k,palt_k),1)),""))</f>
        <v/>
      </c>
      <c r="AU1117">
        <f>IF($AR1117="","",IF($AR1117=0,LN($F1117/$AS1117)/$AT1117,((($F1117/$AS1117)^$AR1117)-1)/($AR1117*$AT1117)))</f>
        <v/>
      </c>
      <c r="AV1117">
        <f>IF($AR1117="","",IF($AR1117=0,$AS1117*EXP($AT1117*2),$AS1117*(1+$AR1117*$AT1117*2)^(1/$AR1117)))</f>
        <v/>
      </c>
      <c r="AW1117">
        <f>IF($AR1117="","",IF($AR1117=0,$AS1117*EXP($AT1117*3),$AS1117*(1+$AR1117*$AT1117*3)^(1/$AR1117)))</f>
        <v/>
      </c>
      <c r="AX1117">
        <f>IF($AR1117="","",IF($AR1117=0,$AS1117*EXP($AT1117*-2),$AS1117*(1+$AR1117*$AT1117*-2)^(1/$AR1117)))</f>
        <v/>
      </c>
      <c r="AY1117">
        <f>IF($AR1117="","",IF($AR1117=0,$AS1117*EXP($AT1117*-3),$AS1117*(1+$AR1117*$AT1117*-3)^(1/$AR1117)))</f>
        <v/>
      </c>
      <c r="AZ1117">
        <f>IF(OR($A1117="",$A1117&lt;&gt;Ficha!$C$4),"",COUNTIF($A$2:$A1117,Ficha!$C$4))</f>
        <v/>
      </c>
    </row>
    <row r="1118">
      <c r="A1118" s="8">
        <f>IF(INDEX(Banco!$A:$A,ROW())="","",INDEX(Banco!$A:$A,ROW()))</f>
        <v/>
      </c>
      <c r="B1118" s="8">
        <f>IF(INDEX(Banco!$B:$B,ROW())="","",INDEX(Banco!$B:$B,ROW()))</f>
        <v/>
      </c>
      <c r="C1118" s="8">
        <f>IF(INDEX(Banco!$C:$C,ROW())="","",INDEX(Banco!$C:$C,ROW()))</f>
        <v/>
      </c>
      <c r="D1118" s="9">
        <f>IF(INDEX(Banco!$D:$D,ROW())="","",INDEX(Banco!$D:$D,ROW()))</f>
        <v/>
      </c>
      <c r="E1118" s="9">
        <f>IF(INDEX(Banco!$E:$E,ROW())="","",INDEX(Banco!$E:$E,ROW()))</f>
        <v/>
      </c>
      <c r="F1118" s="10">
        <f>IF(INDEX(Banco!$F:$F,ROW())="","",INDEX(Banco!$F:$F,ROW()))</f>
        <v/>
      </c>
      <c r="G1118" s="10">
        <f>IF(INDEX(Banco!$G:$G,ROW())="","",INDEX(Banco!$G:$G,ROW()))</f>
        <v/>
      </c>
      <c r="H1118" s="8">
        <f>IF(INDEX(Banco!$H:$H,ROW())="","",INDEX(Banco!$H:$H,ROW()))</f>
        <v/>
      </c>
      <c r="I1118">
        <f>IF($T1118="","",INT($T1118/12)&amp;"a "&amp;MOD($T1118,12)&amp;"m")</f>
        <v/>
      </c>
      <c r="J1118" s="11">
        <f>IF(OR($F1118="",$G1118=""),"",ROUND($F1118/($G1118/100)^2,2))</f>
        <v/>
      </c>
      <c r="K1118" s="12">
        <f>IF(OR($S1118="",$J1118="",$T1118="",$T1118&lt;0,$T1118&gt;228,$Y1118=""),"—",ROUND(IF(ABS($AB1118)&lt;=3,$AB1118,IF($AB1118&gt;3,3+($J1118-$AD1118)/($AD1118-$AC1118),-3+($J1118-$AF1118)/($AE1118-$AF1118))),2))</f>
        <v/>
      </c>
      <c r="L1118">
        <f>IF(OR($K1118="",$K1118="—"),"",IF($T1118&lt;=60,IF($K1118&lt;-3,"Magreza acentuada",IF($K1118&lt;-2,"Magreza",IF($K1118&lt;=1,"Eutrofia",IF($K1118&lt;=2,"Risco de sobrepeso",IF($K1118&lt;=3,"Sobrepeso","Obesidade"))))),IF($K1118&lt;-3,"Magreza acentuada",IF($K1118&lt;-2,"Magreza",IF($K1118&lt;=1,"Eutrofia",IF($K1118&lt;=2,"Sobrepeso",IF($K1118&lt;=3,"Obesidade","Obesidade grave")))))))</f>
        <v/>
      </c>
      <c r="M1118" s="12">
        <f>IF(OR($S1118="",$V1118="",$T1118="",$T1118&lt;0,$T1118&gt;228,$AG1118=""),"—",ROUND(IF($AG1118=0,LN($V1118/$AH1118)/$AI1118,((($V1118/$AH1118)^$AG1118)-1)/($AG1118*$AI1118)),2))</f>
        <v/>
      </c>
      <c r="N1118">
        <f>IF(OR($M1118="",$M1118="—"),"",IF($M1118&lt;-3,"Muito baixa",IF($M1118&lt;-2,"Baixa","Adequada")))</f>
        <v/>
      </c>
      <c r="O1118" s="12">
        <f>IF(OR($S1118="",$F1118="",$T1118="",$T1118&lt;0,$T1118&gt;120,$AJ1118=""),"—",ROUND(IF(ABS($AM1118)&lt;=3,$AM1118,IF($AM1118&gt;3,3+($F1118-$AO1118)/($AO1118-$AN1118),-3+($F1118-$AQ1118)/($AP1118-$AQ1118))),2))</f>
        <v/>
      </c>
      <c r="P1118">
        <f>IF(OR($O1118="",$O1118="—"),"",IF($O1118&lt;-3,"Muito baixo",IF($O1118&lt;-2,"Baixo",IF($O1118&lt;=2,"Adequado","Elevado"))))</f>
        <v/>
      </c>
      <c r="Q1118" s="12">
        <f>IF(OR($S1118="",$F1118="",$T1118="",$T1118&lt;0,$T1118&gt;60,$AR1118=""),"—",ROUND(IF(ABS($AU1118)&lt;=3,$AU1118,IF($AU1118&gt;3,3+($F1118-$AW1118)/($AW1118-$AV1118),-3+($F1118-$AY1118)/($AX1118-$AY1118))),2))</f>
        <v/>
      </c>
      <c r="R1118">
        <f>IF(OR($Q1118="",$Q1118="—"),"",IF($Q1118&lt;-3,"Magreza acentuada",IF($Q1118&lt;-2,"Magreza",IF($Q1118&lt;=1,"Eutrofia",IF($Q1118&lt;=2,"Risco de sobrepeso",IF($Q1118&lt;=3,"Sobrepeso","Obesidade"))))))</f>
        <v/>
      </c>
      <c r="S1118">
        <f>IF($C1118="","",IF(UPPER(LEFT($C1118,1))="M",1,IF(UPPER(LEFT($C1118,1))="F",2,"")))</f>
        <v/>
      </c>
      <c r="T1118">
        <f>IF(OR($D1118="",$E1118=""),"",DATEDIF($D1118,$E1118,"m"))</f>
        <v/>
      </c>
      <c r="U1118">
        <f>IF(OR($D1118="",$E1118=""),"",$E1118-$D1118)</f>
        <v/>
      </c>
      <c r="V1118">
        <f>IF(OR($G1118="",$T1118=""),"",IF($T1118&lt;24,IF(LEFT(LOWER($H1118),4)="em p",$G1118+0.7,$G1118),IF(LEFT(LOWER($H1118),4)="deit",$G1118-0.7,$G1118)))</f>
        <v/>
      </c>
      <c r="W1118">
        <f>IF(OR($S1118="",$T1118=""),"",$S1118*1000000+IF($T1118&lt;=60,$U1118,$T1118))</f>
        <v/>
      </c>
      <c r="X1118">
        <f>IF(OR($S1118="",$V1118="",$T1118&gt;60,$T1118=""),"",$S1118*1000000+ROUND($V1118*10,0))</f>
        <v/>
      </c>
      <c r="Y1118">
        <f>IF($W1118="","",IFERROR(INDEX(IF($T1118&lt;=60,imc05_l,imc519_l),MATCH($W1118,IF($T1118&lt;=60,imc05_k,imc519_k),1)),""))</f>
        <v/>
      </c>
      <c r="Z1118">
        <f>IF($W1118="","",IFERROR(INDEX(IF($T1118&lt;=60,imc05_m,imc519_m),MATCH($W1118,IF($T1118&lt;=60,imc05_k,imc519_k),1)),""))</f>
        <v/>
      </c>
      <c r="AA1118">
        <f>IF($W1118="","",IFERROR(INDEX(IF($T1118&lt;=60,imc05_s,imc519_s),MATCH($W1118,IF($T1118&lt;=60,imc05_k,imc519_k),1)),""))</f>
        <v/>
      </c>
      <c r="AB1118">
        <f>IF($Y1118="","",IF($Y1118=0,LN($J1118/$Z1118)/$AA1118,((($J1118/$Z1118)^$Y1118)-1)/($Y1118*$AA1118)))</f>
        <v/>
      </c>
      <c r="AC1118">
        <f>IF($Y1118="","",IF($Y1118=0,$Z1118*EXP($AA1118*2),$Z1118*(1+$Y1118*$AA1118*2)^(1/$Y1118)))</f>
        <v/>
      </c>
      <c r="AD1118">
        <f>IF($Y1118="","",IF($Y1118=0,$Z1118*EXP($AA1118*3),$Z1118*(1+$Y1118*$AA1118*3)^(1/$Y1118)))</f>
        <v/>
      </c>
      <c r="AE1118">
        <f>IF($Y1118="","",IF($Y1118=0,$Z1118*EXP($AA1118*-2),$Z1118*(1+$Y1118*$AA1118*-2)^(1/$Y1118)))</f>
        <v/>
      </c>
      <c r="AF1118">
        <f>IF($Y1118="","",IF($Y1118=0,$Z1118*EXP($AA1118*-3),$Z1118*(1+$Y1118*$AA1118*-3)^(1/$Y1118)))</f>
        <v/>
      </c>
      <c r="AG1118">
        <f>IF($W1118="","",IFERROR(INDEX(IF($T1118&lt;=60,est05_l,est519_l),MATCH($W1118,IF($T1118&lt;=60,est05_k,est519_k),1)),""))</f>
        <v/>
      </c>
      <c r="AH1118">
        <f>IF($W1118="","",IFERROR(INDEX(IF($T1118&lt;=60,est05_m,est519_m),MATCH($W1118,IF($T1118&lt;=60,est05_k,est519_k),1)),""))</f>
        <v/>
      </c>
      <c r="AI1118">
        <f>IF($W1118="","",IFERROR(INDEX(IF($T1118&lt;=60,est05_s,est519_s),MATCH($W1118,IF($T1118&lt;=60,est05_k,est519_k),1)),""))</f>
        <v/>
      </c>
      <c r="AJ1118">
        <f>IF($W1118="","",IFERROR(INDEX(IF($T1118&lt;=60,peso05_l,peso510_l),MATCH($W1118,IF($T1118&lt;=60,peso05_k,peso510_k),1)),""))</f>
        <v/>
      </c>
      <c r="AK1118">
        <f>IF($W1118="","",IFERROR(INDEX(IF($T1118&lt;=60,peso05_m,peso510_m),MATCH($W1118,IF($T1118&lt;=60,peso05_k,peso510_k),1)),""))</f>
        <v/>
      </c>
      <c r="AL1118">
        <f>IF($W1118="","",IFERROR(INDEX(IF($T1118&lt;=60,peso05_s,peso510_s),MATCH($W1118,IF($T1118&lt;=60,peso05_k,peso510_k),1)),""))</f>
        <v/>
      </c>
      <c r="AM1118">
        <f>IF($AJ1118="","",IF($AJ1118=0,LN($F1118/$AK1118)/$AL1118,((($F1118/$AK1118)^$AJ1118)-1)/($AJ1118*$AL1118)))</f>
        <v/>
      </c>
      <c r="AN1118">
        <f>IF($AJ1118="","",IF($AJ1118=0,$AK1118*EXP($AL1118*2),$AK1118*(1+$AJ1118*$AL1118*2)^(1/$AJ1118)))</f>
        <v/>
      </c>
      <c r="AO1118">
        <f>IF($AJ1118="","",IF($AJ1118=0,$AK1118*EXP($AL1118*3),$AK1118*(1+$AJ1118*$AL1118*3)^(1/$AJ1118)))</f>
        <v/>
      </c>
      <c r="AP1118">
        <f>IF($AJ1118="","",IF($AJ1118=0,$AK1118*EXP($AL1118*-2),$AK1118*(1+$AJ1118*$AL1118*-2)^(1/$AJ1118)))</f>
        <v/>
      </c>
      <c r="AQ1118">
        <f>IF($AJ1118="","",IF($AJ1118=0,$AK1118*EXP($AL1118*-3),$AK1118*(1+$AJ1118*$AL1118*-3)^(1/$AJ1118)))</f>
        <v/>
      </c>
      <c r="AR1118">
        <f>IF(OR($X1118="",$T1118&gt;60),"",IFERROR(INDEX(IF($T1118&lt;24,pcomp_l,palt_l),MATCH($X1118,IF($T1118&lt;24,pcomp_k,palt_k),1)),""))</f>
        <v/>
      </c>
      <c r="AS1118">
        <f>IF(OR($X1118="",$T1118&gt;60),"",IFERROR(INDEX(IF($T1118&lt;24,pcomp_m,palt_m),MATCH($X1118,IF($T1118&lt;24,pcomp_k,palt_k),1)),""))</f>
        <v/>
      </c>
      <c r="AT1118">
        <f>IF(OR($X1118="",$T1118&gt;60),"",IFERROR(INDEX(IF($T1118&lt;24,pcomp_s,palt_s),MATCH($X1118,IF($T1118&lt;24,pcomp_k,palt_k),1)),""))</f>
        <v/>
      </c>
      <c r="AU1118">
        <f>IF($AR1118="","",IF($AR1118=0,LN($F1118/$AS1118)/$AT1118,((($F1118/$AS1118)^$AR1118)-1)/($AR1118*$AT1118)))</f>
        <v/>
      </c>
      <c r="AV1118">
        <f>IF($AR1118="","",IF($AR1118=0,$AS1118*EXP($AT1118*2),$AS1118*(1+$AR1118*$AT1118*2)^(1/$AR1118)))</f>
        <v/>
      </c>
      <c r="AW1118">
        <f>IF($AR1118="","",IF($AR1118=0,$AS1118*EXP($AT1118*3),$AS1118*(1+$AR1118*$AT1118*3)^(1/$AR1118)))</f>
        <v/>
      </c>
      <c r="AX1118">
        <f>IF($AR1118="","",IF($AR1118=0,$AS1118*EXP($AT1118*-2),$AS1118*(1+$AR1118*$AT1118*-2)^(1/$AR1118)))</f>
        <v/>
      </c>
      <c r="AY1118">
        <f>IF($AR1118="","",IF($AR1118=0,$AS1118*EXP($AT1118*-3),$AS1118*(1+$AR1118*$AT1118*-3)^(1/$AR1118)))</f>
        <v/>
      </c>
      <c r="AZ1118">
        <f>IF(OR($A1118="",$A1118&lt;&gt;Ficha!$C$4),"",COUNTIF($A$2:$A1118,Ficha!$C$4))</f>
        <v/>
      </c>
    </row>
    <row r="1119">
      <c r="A1119" s="8">
        <f>IF(INDEX(Banco!$A:$A,ROW())="","",INDEX(Banco!$A:$A,ROW()))</f>
        <v/>
      </c>
      <c r="B1119" s="8">
        <f>IF(INDEX(Banco!$B:$B,ROW())="","",INDEX(Banco!$B:$B,ROW()))</f>
        <v/>
      </c>
      <c r="C1119" s="8">
        <f>IF(INDEX(Banco!$C:$C,ROW())="","",INDEX(Banco!$C:$C,ROW()))</f>
        <v/>
      </c>
      <c r="D1119" s="9">
        <f>IF(INDEX(Banco!$D:$D,ROW())="","",INDEX(Banco!$D:$D,ROW()))</f>
        <v/>
      </c>
      <c r="E1119" s="9">
        <f>IF(INDEX(Banco!$E:$E,ROW())="","",INDEX(Banco!$E:$E,ROW()))</f>
        <v/>
      </c>
      <c r="F1119" s="10">
        <f>IF(INDEX(Banco!$F:$F,ROW())="","",INDEX(Banco!$F:$F,ROW()))</f>
        <v/>
      </c>
      <c r="G1119" s="10">
        <f>IF(INDEX(Banco!$G:$G,ROW())="","",INDEX(Banco!$G:$G,ROW()))</f>
        <v/>
      </c>
      <c r="H1119" s="8">
        <f>IF(INDEX(Banco!$H:$H,ROW())="","",INDEX(Banco!$H:$H,ROW()))</f>
        <v/>
      </c>
      <c r="I1119">
        <f>IF($T1119="","",INT($T1119/12)&amp;"a "&amp;MOD($T1119,12)&amp;"m")</f>
        <v/>
      </c>
      <c r="J1119" s="11">
        <f>IF(OR($F1119="",$G1119=""),"",ROUND($F1119/($G1119/100)^2,2))</f>
        <v/>
      </c>
      <c r="K1119" s="12">
        <f>IF(OR($S1119="",$J1119="",$T1119="",$T1119&lt;0,$T1119&gt;228,$Y1119=""),"—",ROUND(IF(ABS($AB1119)&lt;=3,$AB1119,IF($AB1119&gt;3,3+($J1119-$AD1119)/($AD1119-$AC1119),-3+($J1119-$AF1119)/($AE1119-$AF1119))),2))</f>
        <v/>
      </c>
      <c r="L1119">
        <f>IF(OR($K1119="",$K1119="—"),"",IF($T1119&lt;=60,IF($K1119&lt;-3,"Magreza acentuada",IF($K1119&lt;-2,"Magreza",IF($K1119&lt;=1,"Eutrofia",IF($K1119&lt;=2,"Risco de sobrepeso",IF($K1119&lt;=3,"Sobrepeso","Obesidade"))))),IF($K1119&lt;-3,"Magreza acentuada",IF($K1119&lt;-2,"Magreza",IF($K1119&lt;=1,"Eutrofia",IF($K1119&lt;=2,"Sobrepeso",IF($K1119&lt;=3,"Obesidade","Obesidade grave")))))))</f>
        <v/>
      </c>
      <c r="M1119" s="12">
        <f>IF(OR($S1119="",$V1119="",$T1119="",$T1119&lt;0,$T1119&gt;228,$AG1119=""),"—",ROUND(IF($AG1119=0,LN($V1119/$AH1119)/$AI1119,((($V1119/$AH1119)^$AG1119)-1)/($AG1119*$AI1119)),2))</f>
        <v/>
      </c>
      <c r="N1119">
        <f>IF(OR($M1119="",$M1119="—"),"",IF($M1119&lt;-3,"Muito baixa",IF($M1119&lt;-2,"Baixa","Adequada")))</f>
        <v/>
      </c>
      <c r="O1119" s="12">
        <f>IF(OR($S1119="",$F1119="",$T1119="",$T1119&lt;0,$T1119&gt;120,$AJ1119=""),"—",ROUND(IF(ABS($AM1119)&lt;=3,$AM1119,IF($AM1119&gt;3,3+($F1119-$AO1119)/($AO1119-$AN1119),-3+($F1119-$AQ1119)/($AP1119-$AQ1119))),2))</f>
        <v/>
      </c>
      <c r="P1119">
        <f>IF(OR($O1119="",$O1119="—"),"",IF($O1119&lt;-3,"Muito baixo",IF($O1119&lt;-2,"Baixo",IF($O1119&lt;=2,"Adequado","Elevado"))))</f>
        <v/>
      </c>
      <c r="Q1119" s="12">
        <f>IF(OR($S1119="",$F1119="",$T1119="",$T1119&lt;0,$T1119&gt;60,$AR1119=""),"—",ROUND(IF(ABS($AU1119)&lt;=3,$AU1119,IF($AU1119&gt;3,3+($F1119-$AW1119)/($AW1119-$AV1119),-3+($F1119-$AY1119)/($AX1119-$AY1119))),2))</f>
        <v/>
      </c>
      <c r="R1119">
        <f>IF(OR($Q1119="",$Q1119="—"),"",IF($Q1119&lt;-3,"Magreza acentuada",IF($Q1119&lt;-2,"Magreza",IF($Q1119&lt;=1,"Eutrofia",IF($Q1119&lt;=2,"Risco de sobrepeso",IF($Q1119&lt;=3,"Sobrepeso","Obesidade"))))))</f>
        <v/>
      </c>
      <c r="S1119">
        <f>IF($C1119="","",IF(UPPER(LEFT($C1119,1))="M",1,IF(UPPER(LEFT($C1119,1))="F",2,"")))</f>
        <v/>
      </c>
      <c r="T1119">
        <f>IF(OR($D1119="",$E1119=""),"",DATEDIF($D1119,$E1119,"m"))</f>
        <v/>
      </c>
      <c r="U1119">
        <f>IF(OR($D1119="",$E1119=""),"",$E1119-$D1119)</f>
        <v/>
      </c>
      <c r="V1119">
        <f>IF(OR($G1119="",$T1119=""),"",IF($T1119&lt;24,IF(LEFT(LOWER($H1119),4)="em p",$G1119+0.7,$G1119),IF(LEFT(LOWER($H1119),4)="deit",$G1119-0.7,$G1119)))</f>
        <v/>
      </c>
      <c r="W1119">
        <f>IF(OR($S1119="",$T1119=""),"",$S1119*1000000+IF($T1119&lt;=60,$U1119,$T1119))</f>
        <v/>
      </c>
      <c r="X1119">
        <f>IF(OR($S1119="",$V1119="",$T1119&gt;60,$T1119=""),"",$S1119*1000000+ROUND($V1119*10,0))</f>
        <v/>
      </c>
      <c r="Y1119">
        <f>IF($W1119="","",IFERROR(INDEX(IF($T1119&lt;=60,imc05_l,imc519_l),MATCH($W1119,IF($T1119&lt;=60,imc05_k,imc519_k),1)),""))</f>
        <v/>
      </c>
      <c r="Z1119">
        <f>IF($W1119="","",IFERROR(INDEX(IF($T1119&lt;=60,imc05_m,imc519_m),MATCH($W1119,IF($T1119&lt;=60,imc05_k,imc519_k),1)),""))</f>
        <v/>
      </c>
      <c r="AA1119">
        <f>IF($W1119="","",IFERROR(INDEX(IF($T1119&lt;=60,imc05_s,imc519_s),MATCH($W1119,IF($T1119&lt;=60,imc05_k,imc519_k),1)),""))</f>
        <v/>
      </c>
      <c r="AB1119">
        <f>IF($Y1119="","",IF($Y1119=0,LN($J1119/$Z1119)/$AA1119,((($J1119/$Z1119)^$Y1119)-1)/($Y1119*$AA1119)))</f>
        <v/>
      </c>
      <c r="AC1119">
        <f>IF($Y1119="","",IF($Y1119=0,$Z1119*EXP($AA1119*2),$Z1119*(1+$Y1119*$AA1119*2)^(1/$Y1119)))</f>
        <v/>
      </c>
      <c r="AD1119">
        <f>IF($Y1119="","",IF($Y1119=0,$Z1119*EXP($AA1119*3),$Z1119*(1+$Y1119*$AA1119*3)^(1/$Y1119)))</f>
        <v/>
      </c>
      <c r="AE1119">
        <f>IF($Y1119="","",IF($Y1119=0,$Z1119*EXP($AA1119*-2),$Z1119*(1+$Y1119*$AA1119*-2)^(1/$Y1119)))</f>
        <v/>
      </c>
      <c r="AF1119">
        <f>IF($Y1119="","",IF($Y1119=0,$Z1119*EXP($AA1119*-3),$Z1119*(1+$Y1119*$AA1119*-3)^(1/$Y1119)))</f>
        <v/>
      </c>
      <c r="AG1119">
        <f>IF($W1119="","",IFERROR(INDEX(IF($T1119&lt;=60,est05_l,est519_l),MATCH($W1119,IF($T1119&lt;=60,est05_k,est519_k),1)),""))</f>
        <v/>
      </c>
      <c r="AH1119">
        <f>IF($W1119="","",IFERROR(INDEX(IF($T1119&lt;=60,est05_m,est519_m),MATCH($W1119,IF($T1119&lt;=60,est05_k,est519_k),1)),""))</f>
        <v/>
      </c>
      <c r="AI1119">
        <f>IF($W1119="","",IFERROR(INDEX(IF($T1119&lt;=60,est05_s,est519_s),MATCH($W1119,IF($T1119&lt;=60,est05_k,est519_k),1)),""))</f>
        <v/>
      </c>
      <c r="AJ1119">
        <f>IF($W1119="","",IFERROR(INDEX(IF($T1119&lt;=60,peso05_l,peso510_l),MATCH($W1119,IF($T1119&lt;=60,peso05_k,peso510_k),1)),""))</f>
        <v/>
      </c>
      <c r="AK1119">
        <f>IF($W1119="","",IFERROR(INDEX(IF($T1119&lt;=60,peso05_m,peso510_m),MATCH($W1119,IF($T1119&lt;=60,peso05_k,peso510_k),1)),""))</f>
        <v/>
      </c>
      <c r="AL1119">
        <f>IF($W1119="","",IFERROR(INDEX(IF($T1119&lt;=60,peso05_s,peso510_s),MATCH($W1119,IF($T1119&lt;=60,peso05_k,peso510_k),1)),""))</f>
        <v/>
      </c>
      <c r="AM1119">
        <f>IF($AJ1119="","",IF($AJ1119=0,LN($F1119/$AK1119)/$AL1119,((($F1119/$AK1119)^$AJ1119)-1)/($AJ1119*$AL1119)))</f>
        <v/>
      </c>
      <c r="AN1119">
        <f>IF($AJ1119="","",IF($AJ1119=0,$AK1119*EXP($AL1119*2),$AK1119*(1+$AJ1119*$AL1119*2)^(1/$AJ1119)))</f>
        <v/>
      </c>
      <c r="AO1119">
        <f>IF($AJ1119="","",IF($AJ1119=0,$AK1119*EXP($AL1119*3),$AK1119*(1+$AJ1119*$AL1119*3)^(1/$AJ1119)))</f>
        <v/>
      </c>
      <c r="AP1119">
        <f>IF($AJ1119="","",IF($AJ1119=0,$AK1119*EXP($AL1119*-2),$AK1119*(1+$AJ1119*$AL1119*-2)^(1/$AJ1119)))</f>
        <v/>
      </c>
      <c r="AQ1119">
        <f>IF($AJ1119="","",IF($AJ1119=0,$AK1119*EXP($AL1119*-3),$AK1119*(1+$AJ1119*$AL1119*-3)^(1/$AJ1119)))</f>
        <v/>
      </c>
      <c r="AR1119">
        <f>IF(OR($X1119="",$T1119&gt;60),"",IFERROR(INDEX(IF($T1119&lt;24,pcomp_l,palt_l),MATCH($X1119,IF($T1119&lt;24,pcomp_k,palt_k),1)),""))</f>
        <v/>
      </c>
      <c r="AS1119">
        <f>IF(OR($X1119="",$T1119&gt;60),"",IFERROR(INDEX(IF($T1119&lt;24,pcomp_m,palt_m),MATCH($X1119,IF($T1119&lt;24,pcomp_k,palt_k),1)),""))</f>
        <v/>
      </c>
      <c r="AT1119">
        <f>IF(OR($X1119="",$T1119&gt;60),"",IFERROR(INDEX(IF($T1119&lt;24,pcomp_s,palt_s),MATCH($X1119,IF($T1119&lt;24,pcomp_k,palt_k),1)),""))</f>
        <v/>
      </c>
      <c r="AU1119">
        <f>IF($AR1119="","",IF($AR1119=0,LN($F1119/$AS1119)/$AT1119,((($F1119/$AS1119)^$AR1119)-1)/($AR1119*$AT1119)))</f>
        <v/>
      </c>
      <c r="AV1119">
        <f>IF($AR1119="","",IF($AR1119=0,$AS1119*EXP($AT1119*2),$AS1119*(1+$AR1119*$AT1119*2)^(1/$AR1119)))</f>
        <v/>
      </c>
      <c r="AW1119">
        <f>IF($AR1119="","",IF($AR1119=0,$AS1119*EXP($AT1119*3),$AS1119*(1+$AR1119*$AT1119*3)^(1/$AR1119)))</f>
        <v/>
      </c>
      <c r="AX1119">
        <f>IF($AR1119="","",IF($AR1119=0,$AS1119*EXP($AT1119*-2),$AS1119*(1+$AR1119*$AT1119*-2)^(1/$AR1119)))</f>
        <v/>
      </c>
      <c r="AY1119">
        <f>IF($AR1119="","",IF($AR1119=0,$AS1119*EXP($AT1119*-3),$AS1119*(1+$AR1119*$AT1119*-3)^(1/$AR1119)))</f>
        <v/>
      </c>
      <c r="AZ1119">
        <f>IF(OR($A1119="",$A1119&lt;&gt;Ficha!$C$4),"",COUNTIF($A$2:$A1119,Ficha!$C$4))</f>
        <v/>
      </c>
    </row>
    <row r="1120">
      <c r="A1120" s="8">
        <f>IF(INDEX(Banco!$A:$A,ROW())="","",INDEX(Banco!$A:$A,ROW()))</f>
        <v/>
      </c>
      <c r="B1120" s="8">
        <f>IF(INDEX(Banco!$B:$B,ROW())="","",INDEX(Banco!$B:$B,ROW()))</f>
        <v/>
      </c>
      <c r="C1120" s="8">
        <f>IF(INDEX(Banco!$C:$C,ROW())="","",INDEX(Banco!$C:$C,ROW()))</f>
        <v/>
      </c>
      <c r="D1120" s="9">
        <f>IF(INDEX(Banco!$D:$D,ROW())="","",INDEX(Banco!$D:$D,ROW()))</f>
        <v/>
      </c>
      <c r="E1120" s="9">
        <f>IF(INDEX(Banco!$E:$E,ROW())="","",INDEX(Banco!$E:$E,ROW()))</f>
        <v/>
      </c>
      <c r="F1120" s="10">
        <f>IF(INDEX(Banco!$F:$F,ROW())="","",INDEX(Banco!$F:$F,ROW()))</f>
        <v/>
      </c>
      <c r="G1120" s="10">
        <f>IF(INDEX(Banco!$G:$G,ROW())="","",INDEX(Banco!$G:$G,ROW()))</f>
        <v/>
      </c>
      <c r="H1120" s="8">
        <f>IF(INDEX(Banco!$H:$H,ROW())="","",INDEX(Banco!$H:$H,ROW()))</f>
        <v/>
      </c>
      <c r="I1120">
        <f>IF($T1120="","",INT($T1120/12)&amp;"a "&amp;MOD($T1120,12)&amp;"m")</f>
        <v/>
      </c>
      <c r="J1120" s="11">
        <f>IF(OR($F1120="",$G1120=""),"",ROUND($F1120/($G1120/100)^2,2))</f>
        <v/>
      </c>
      <c r="K1120" s="12">
        <f>IF(OR($S1120="",$J1120="",$T1120="",$T1120&lt;0,$T1120&gt;228,$Y1120=""),"—",ROUND(IF(ABS($AB1120)&lt;=3,$AB1120,IF($AB1120&gt;3,3+($J1120-$AD1120)/($AD1120-$AC1120),-3+($J1120-$AF1120)/($AE1120-$AF1120))),2))</f>
        <v/>
      </c>
      <c r="L1120">
        <f>IF(OR($K1120="",$K1120="—"),"",IF($T1120&lt;=60,IF($K1120&lt;-3,"Magreza acentuada",IF($K1120&lt;-2,"Magreza",IF($K1120&lt;=1,"Eutrofia",IF($K1120&lt;=2,"Risco de sobrepeso",IF($K1120&lt;=3,"Sobrepeso","Obesidade"))))),IF($K1120&lt;-3,"Magreza acentuada",IF($K1120&lt;-2,"Magreza",IF($K1120&lt;=1,"Eutrofia",IF($K1120&lt;=2,"Sobrepeso",IF($K1120&lt;=3,"Obesidade","Obesidade grave")))))))</f>
        <v/>
      </c>
      <c r="M1120" s="12">
        <f>IF(OR($S1120="",$V1120="",$T1120="",$T1120&lt;0,$T1120&gt;228,$AG1120=""),"—",ROUND(IF($AG1120=0,LN($V1120/$AH1120)/$AI1120,((($V1120/$AH1120)^$AG1120)-1)/($AG1120*$AI1120)),2))</f>
        <v/>
      </c>
      <c r="N1120">
        <f>IF(OR($M1120="",$M1120="—"),"",IF($M1120&lt;-3,"Muito baixa",IF($M1120&lt;-2,"Baixa","Adequada")))</f>
        <v/>
      </c>
      <c r="O1120" s="12">
        <f>IF(OR($S1120="",$F1120="",$T1120="",$T1120&lt;0,$T1120&gt;120,$AJ1120=""),"—",ROUND(IF(ABS($AM1120)&lt;=3,$AM1120,IF($AM1120&gt;3,3+($F1120-$AO1120)/($AO1120-$AN1120),-3+($F1120-$AQ1120)/($AP1120-$AQ1120))),2))</f>
        <v/>
      </c>
      <c r="P1120">
        <f>IF(OR($O1120="",$O1120="—"),"",IF($O1120&lt;-3,"Muito baixo",IF($O1120&lt;-2,"Baixo",IF($O1120&lt;=2,"Adequado","Elevado"))))</f>
        <v/>
      </c>
      <c r="Q1120" s="12">
        <f>IF(OR($S1120="",$F1120="",$T1120="",$T1120&lt;0,$T1120&gt;60,$AR1120=""),"—",ROUND(IF(ABS($AU1120)&lt;=3,$AU1120,IF($AU1120&gt;3,3+($F1120-$AW1120)/($AW1120-$AV1120),-3+($F1120-$AY1120)/($AX1120-$AY1120))),2))</f>
        <v/>
      </c>
      <c r="R1120">
        <f>IF(OR($Q1120="",$Q1120="—"),"",IF($Q1120&lt;-3,"Magreza acentuada",IF($Q1120&lt;-2,"Magreza",IF($Q1120&lt;=1,"Eutrofia",IF($Q1120&lt;=2,"Risco de sobrepeso",IF($Q1120&lt;=3,"Sobrepeso","Obesidade"))))))</f>
        <v/>
      </c>
      <c r="S1120">
        <f>IF($C1120="","",IF(UPPER(LEFT($C1120,1))="M",1,IF(UPPER(LEFT($C1120,1))="F",2,"")))</f>
        <v/>
      </c>
      <c r="T1120">
        <f>IF(OR($D1120="",$E1120=""),"",DATEDIF($D1120,$E1120,"m"))</f>
        <v/>
      </c>
      <c r="U1120">
        <f>IF(OR($D1120="",$E1120=""),"",$E1120-$D1120)</f>
        <v/>
      </c>
      <c r="V1120">
        <f>IF(OR($G1120="",$T1120=""),"",IF($T1120&lt;24,IF(LEFT(LOWER($H1120),4)="em p",$G1120+0.7,$G1120),IF(LEFT(LOWER($H1120),4)="deit",$G1120-0.7,$G1120)))</f>
        <v/>
      </c>
      <c r="W1120">
        <f>IF(OR($S1120="",$T1120=""),"",$S1120*1000000+IF($T1120&lt;=60,$U1120,$T1120))</f>
        <v/>
      </c>
      <c r="X1120">
        <f>IF(OR($S1120="",$V1120="",$T1120&gt;60,$T1120=""),"",$S1120*1000000+ROUND($V1120*10,0))</f>
        <v/>
      </c>
      <c r="Y1120">
        <f>IF($W1120="","",IFERROR(INDEX(IF($T1120&lt;=60,imc05_l,imc519_l),MATCH($W1120,IF($T1120&lt;=60,imc05_k,imc519_k),1)),""))</f>
        <v/>
      </c>
      <c r="Z1120">
        <f>IF($W1120="","",IFERROR(INDEX(IF($T1120&lt;=60,imc05_m,imc519_m),MATCH($W1120,IF($T1120&lt;=60,imc05_k,imc519_k),1)),""))</f>
        <v/>
      </c>
      <c r="AA1120">
        <f>IF($W1120="","",IFERROR(INDEX(IF($T1120&lt;=60,imc05_s,imc519_s),MATCH($W1120,IF($T1120&lt;=60,imc05_k,imc519_k),1)),""))</f>
        <v/>
      </c>
      <c r="AB1120">
        <f>IF($Y1120="","",IF($Y1120=0,LN($J1120/$Z1120)/$AA1120,((($J1120/$Z1120)^$Y1120)-1)/($Y1120*$AA1120)))</f>
        <v/>
      </c>
      <c r="AC1120">
        <f>IF($Y1120="","",IF($Y1120=0,$Z1120*EXP($AA1120*2),$Z1120*(1+$Y1120*$AA1120*2)^(1/$Y1120)))</f>
        <v/>
      </c>
      <c r="AD1120">
        <f>IF($Y1120="","",IF($Y1120=0,$Z1120*EXP($AA1120*3),$Z1120*(1+$Y1120*$AA1120*3)^(1/$Y1120)))</f>
        <v/>
      </c>
      <c r="AE1120">
        <f>IF($Y1120="","",IF($Y1120=0,$Z1120*EXP($AA1120*-2),$Z1120*(1+$Y1120*$AA1120*-2)^(1/$Y1120)))</f>
        <v/>
      </c>
      <c r="AF1120">
        <f>IF($Y1120="","",IF($Y1120=0,$Z1120*EXP($AA1120*-3),$Z1120*(1+$Y1120*$AA1120*-3)^(1/$Y1120)))</f>
        <v/>
      </c>
      <c r="AG1120">
        <f>IF($W1120="","",IFERROR(INDEX(IF($T1120&lt;=60,est05_l,est519_l),MATCH($W1120,IF($T1120&lt;=60,est05_k,est519_k),1)),""))</f>
        <v/>
      </c>
      <c r="AH1120">
        <f>IF($W1120="","",IFERROR(INDEX(IF($T1120&lt;=60,est05_m,est519_m),MATCH($W1120,IF($T1120&lt;=60,est05_k,est519_k),1)),""))</f>
        <v/>
      </c>
      <c r="AI1120">
        <f>IF($W1120="","",IFERROR(INDEX(IF($T1120&lt;=60,est05_s,est519_s),MATCH($W1120,IF($T1120&lt;=60,est05_k,est519_k),1)),""))</f>
        <v/>
      </c>
      <c r="AJ1120">
        <f>IF($W1120="","",IFERROR(INDEX(IF($T1120&lt;=60,peso05_l,peso510_l),MATCH($W1120,IF($T1120&lt;=60,peso05_k,peso510_k),1)),""))</f>
        <v/>
      </c>
      <c r="AK1120">
        <f>IF($W1120="","",IFERROR(INDEX(IF($T1120&lt;=60,peso05_m,peso510_m),MATCH($W1120,IF($T1120&lt;=60,peso05_k,peso510_k),1)),""))</f>
        <v/>
      </c>
      <c r="AL1120">
        <f>IF($W1120="","",IFERROR(INDEX(IF($T1120&lt;=60,peso05_s,peso510_s),MATCH($W1120,IF($T1120&lt;=60,peso05_k,peso510_k),1)),""))</f>
        <v/>
      </c>
      <c r="AM1120">
        <f>IF($AJ1120="","",IF($AJ1120=0,LN($F1120/$AK1120)/$AL1120,((($F1120/$AK1120)^$AJ1120)-1)/($AJ1120*$AL1120)))</f>
        <v/>
      </c>
      <c r="AN1120">
        <f>IF($AJ1120="","",IF($AJ1120=0,$AK1120*EXP($AL1120*2),$AK1120*(1+$AJ1120*$AL1120*2)^(1/$AJ1120)))</f>
        <v/>
      </c>
      <c r="AO1120">
        <f>IF($AJ1120="","",IF($AJ1120=0,$AK1120*EXP($AL1120*3),$AK1120*(1+$AJ1120*$AL1120*3)^(1/$AJ1120)))</f>
        <v/>
      </c>
      <c r="AP1120">
        <f>IF($AJ1120="","",IF($AJ1120=0,$AK1120*EXP($AL1120*-2),$AK1120*(1+$AJ1120*$AL1120*-2)^(1/$AJ1120)))</f>
        <v/>
      </c>
      <c r="AQ1120">
        <f>IF($AJ1120="","",IF($AJ1120=0,$AK1120*EXP($AL1120*-3),$AK1120*(1+$AJ1120*$AL1120*-3)^(1/$AJ1120)))</f>
        <v/>
      </c>
      <c r="AR1120">
        <f>IF(OR($X1120="",$T1120&gt;60),"",IFERROR(INDEX(IF($T1120&lt;24,pcomp_l,palt_l),MATCH($X1120,IF($T1120&lt;24,pcomp_k,palt_k),1)),""))</f>
        <v/>
      </c>
      <c r="AS1120">
        <f>IF(OR($X1120="",$T1120&gt;60),"",IFERROR(INDEX(IF($T1120&lt;24,pcomp_m,palt_m),MATCH($X1120,IF($T1120&lt;24,pcomp_k,palt_k),1)),""))</f>
        <v/>
      </c>
      <c r="AT1120">
        <f>IF(OR($X1120="",$T1120&gt;60),"",IFERROR(INDEX(IF($T1120&lt;24,pcomp_s,palt_s),MATCH($X1120,IF($T1120&lt;24,pcomp_k,palt_k),1)),""))</f>
        <v/>
      </c>
      <c r="AU1120">
        <f>IF($AR1120="","",IF($AR1120=0,LN($F1120/$AS1120)/$AT1120,((($F1120/$AS1120)^$AR1120)-1)/($AR1120*$AT1120)))</f>
        <v/>
      </c>
      <c r="AV1120">
        <f>IF($AR1120="","",IF($AR1120=0,$AS1120*EXP($AT1120*2),$AS1120*(1+$AR1120*$AT1120*2)^(1/$AR1120)))</f>
        <v/>
      </c>
      <c r="AW1120">
        <f>IF($AR1120="","",IF($AR1120=0,$AS1120*EXP($AT1120*3),$AS1120*(1+$AR1120*$AT1120*3)^(1/$AR1120)))</f>
        <v/>
      </c>
      <c r="AX1120">
        <f>IF($AR1120="","",IF($AR1120=0,$AS1120*EXP($AT1120*-2),$AS1120*(1+$AR1120*$AT1120*-2)^(1/$AR1120)))</f>
        <v/>
      </c>
      <c r="AY1120">
        <f>IF($AR1120="","",IF($AR1120=0,$AS1120*EXP($AT1120*-3),$AS1120*(1+$AR1120*$AT1120*-3)^(1/$AR1120)))</f>
        <v/>
      </c>
      <c r="AZ1120">
        <f>IF(OR($A1120="",$A1120&lt;&gt;Ficha!$C$4),"",COUNTIF($A$2:$A1120,Ficha!$C$4))</f>
        <v/>
      </c>
    </row>
    <row r="1121">
      <c r="A1121" s="8">
        <f>IF(INDEX(Banco!$A:$A,ROW())="","",INDEX(Banco!$A:$A,ROW()))</f>
        <v/>
      </c>
      <c r="B1121" s="8">
        <f>IF(INDEX(Banco!$B:$B,ROW())="","",INDEX(Banco!$B:$B,ROW()))</f>
        <v/>
      </c>
      <c r="C1121" s="8">
        <f>IF(INDEX(Banco!$C:$C,ROW())="","",INDEX(Banco!$C:$C,ROW()))</f>
        <v/>
      </c>
      <c r="D1121" s="9">
        <f>IF(INDEX(Banco!$D:$D,ROW())="","",INDEX(Banco!$D:$D,ROW()))</f>
        <v/>
      </c>
      <c r="E1121" s="9">
        <f>IF(INDEX(Banco!$E:$E,ROW())="","",INDEX(Banco!$E:$E,ROW()))</f>
        <v/>
      </c>
      <c r="F1121" s="10">
        <f>IF(INDEX(Banco!$F:$F,ROW())="","",INDEX(Banco!$F:$F,ROW()))</f>
        <v/>
      </c>
      <c r="G1121" s="10">
        <f>IF(INDEX(Banco!$G:$G,ROW())="","",INDEX(Banco!$G:$G,ROW()))</f>
        <v/>
      </c>
      <c r="H1121" s="8">
        <f>IF(INDEX(Banco!$H:$H,ROW())="","",INDEX(Banco!$H:$H,ROW()))</f>
        <v/>
      </c>
      <c r="I1121">
        <f>IF($T1121="","",INT($T1121/12)&amp;"a "&amp;MOD($T1121,12)&amp;"m")</f>
        <v/>
      </c>
      <c r="J1121" s="11">
        <f>IF(OR($F1121="",$G1121=""),"",ROUND($F1121/($G1121/100)^2,2))</f>
        <v/>
      </c>
      <c r="K1121" s="12">
        <f>IF(OR($S1121="",$J1121="",$T1121="",$T1121&lt;0,$T1121&gt;228,$Y1121=""),"—",ROUND(IF(ABS($AB1121)&lt;=3,$AB1121,IF($AB1121&gt;3,3+($J1121-$AD1121)/($AD1121-$AC1121),-3+($J1121-$AF1121)/($AE1121-$AF1121))),2))</f>
        <v/>
      </c>
      <c r="L1121">
        <f>IF(OR($K1121="",$K1121="—"),"",IF($T1121&lt;=60,IF($K1121&lt;-3,"Magreza acentuada",IF($K1121&lt;-2,"Magreza",IF($K1121&lt;=1,"Eutrofia",IF($K1121&lt;=2,"Risco de sobrepeso",IF($K1121&lt;=3,"Sobrepeso","Obesidade"))))),IF($K1121&lt;-3,"Magreza acentuada",IF($K1121&lt;-2,"Magreza",IF($K1121&lt;=1,"Eutrofia",IF($K1121&lt;=2,"Sobrepeso",IF($K1121&lt;=3,"Obesidade","Obesidade grave")))))))</f>
        <v/>
      </c>
      <c r="M1121" s="12">
        <f>IF(OR($S1121="",$V1121="",$T1121="",$T1121&lt;0,$T1121&gt;228,$AG1121=""),"—",ROUND(IF($AG1121=0,LN($V1121/$AH1121)/$AI1121,((($V1121/$AH1121)^$AG1121)-1)/($AG1121*$AI1121)),2))</f>
        <v/>
      </c>
      <c r="N1121">
        <f>IF(OR($M1121="",$M1121="—"),"",IF($M1121&lt;-3,"Muito baixa",IF($M1121&lt;-2,"Baixa","Adequada")))</f>
        <v/>
      </c>
      <c r="O1121" s="12">
        <f>IF(OR($S1121="",$F1121="",$T1121="",$T1121&lt;0,$T1121&gt;120,$AJ1121=""),"—",ROUND(IF(ABS($AM1121)&lt;=3,$AM1121,IF($AM1121&gt;3,3+($F1121-$AO1121)/($AO1121-$AN1121),-3+($F1121-$AQ1121)/($AP1121-$AQ1121))),2))</f>
        <v/>
      </c>
      <c r="P1121">
        <f>IF(OR($O1121="",$O1121="—"),"",IF($O1121&lt;-3,"Muito baixo",IF($O1121&lt;-2,"Baixo",IF($O1121&lt;=2,"Adequado","Elevado"))))</f>
        <v/>
      </c>
      <c r="Q1121" s="12">
        <f>IF(OR($S1121="",$F1121="",$T1121="",$T1121&lt;0,$T1121&gt;60,$AR1121=""),"—",ROUND(IF(ABS($AU1121)&lt;=3,$AU1121,IF($AU1121&gt;3,3+($F1121-$AW1121)/($AW1121-$AV1121),-3+($F1121-$AY1121)/($AX1121-$AY1121))),2))</f>
        <v/>
      </c>
      <c r="R1121">
        <f>IF(OR($Q1121="",$Q1121="—"),"",IF($Q1121&lt;-3,"Magreza acentuada",IF($Q1121&lt;-2,"Magreza",IF($Q1121&lt;=1,"Eutrofia",IF($Q1121&lt;=2,"Risco de sobrepeso",IF($Q1121&lt;=3,"Sobrepeso","Obesidade"))))))</f>
        <v/>
      </c>
      <c r="S1121">
        <f>IF($C1121="","",IF(UPPER(LEFT($C1121,1))="M",1,IF(UPPER(LEFT($C1121,1))="F",2,"")))</f>
        <v/>
      </c>
      <c r="T1121">
        <f>IF(OR($D1121="",$E1121=""),"",DATEDIF($D1121,$E1121,"m"))</f>
        <v/>
      </c>
      <c r="U1121">
        <f>IF(OR($D1121="",$E1121=""),"",$E1121-$D1121)</f>
        <v/>
      </c>
      <c r="V1121">
        <f>IF(OR($G1121="",$T1121=""),"",IF($T1121&lt;24,IF(LEFT(LOWER($H1121),4)="em p",$G1121+0.7,$G1121),IF(LEFT(LOWER($H1121),4)="deit",$G1121-0.7,$G1121)))</f>
        <v/>
      </c>
      <c r="W1121">
        <f>IF(OR($S1121="",$T1121=""),"",$S1121*1000000+IF($T1121&lt;=60,$U1121,$T1121))</f>
        <v/>
      </c>
      <c r="X1121">
        <f>IF(OR($S1121="",$V1121="",$T1121&gt;60,$T1121=""),"",$S1121*1000000+ROUND($V1121*10,0))</f>
        <v/>
      </c>
      <c r="Y1121">
        <f>IF($W1121="","",IFERROR(INDEX(IF($T1121&lt;=60,imc05_l,imc519_l),MATCH($W1121,IF($T1121&lt;=60,imc05_k,imc519_k),1)),""))</f>
        <v/>
      </c>
      <c r="Z1121">
        <f>IF($W1121="","",IFERROR(INDEX(IF($T1121&lt;=60,imc05_m,imc519_m),MATCH($W1121,IF($T1121&lt;=60,imc05_k,imc519_k),1)),""))</f>
        <v/>
      </c>
      <c r="AA1121">
        <f>IF($W1121="","",IFERROR(INDEX(IF($T1121&lt;=60,imc05_s,imc519_s),MATCH($W1121,IF($T1121&lt;=60,imc05_k,imc519_k),1)),""))</f>
        <v/>
      </c>
      <c r="AB1121">
        <f>IF($Y1121="","",IF($Y1121=0,LN($J1121/$Z1121)/$AA1121,((($J1121/$Z1121)^$Y1121)-1)/($Y1121*$AA1121)))</f>
        <v/>
      </c>
      <c r="AC1121">
        <f>IF($Y1121="","",IF($Y1121=0,$Z1121*EXP($AA1121*2),$Z1121*(1+$Y1121*$AA1121*2)^(1/$Y1121)))</f>
        <v/>
      </c>
      <c r="AD1121">
        <f>IF($Y1121="","",IF($Y1121=0,$Z1121*EXP($AA1121*3),$Z1121*(1+$Y1121*$AA1121*3)^(1/$Y1121)))</f>
        <v/>
      </c>
      <c r="AE1121">
        <f>IF($Y1121="","",IF($Y1121=0,$Z1121*EXP($AA1121*-2),$Z1121*(1+$Y1121*$AA1121*-2)^(1/$Y1121)))</f>
        <v/>
      </c>
      <c r="AF1121">
        <f>IF($Y1121="","",IF($Y1121=0,$Z1121*EXP($AA1121*-3),$Z1121*(1+$Y1121*$AA1121*-3)^(1/$Y1121)))</f>
        <v/>
      </c>
      <c r="AG1121">
        <f>IF($W1121="","",IFERROR(INDEX(IF($T1121&lt;=60,est05_l,est519_l),MATCH($W1121,IF($T1121&lt;=60,est05_k,est519_k),1)),""))</f>
        <v/>
      </c>
      <c r="AH1121">
        <f>IF($W1121="","",IFERROR(INDEX(IF($T1121&lt;=60,est05_m,est519_m),MATCH($W1121,IF($T1121&lt;=60,est05_k,est519_k),1)),""))</f>
        <v/>
      </c>
      <c r="AI1121">
        <f>IF($W1121="","",IFERROR(INDEX(IF($T1121&lt;=60,est05_s,est519_s),MATCH($W1121,IF($T1121&lt;=60,est05_k,est519_k),1)),""))</f>
        <v/>
      </c>
      <c r="AJ1121">
        <f>IF($W1121="","",IFERROR(INDEX(IF($T1121&lt;=60,peso05_l,peso510_l),MATCH($W1121,IF($T1121&lt;=60,peso05_k,peso510_k),1)),""))</f>
        <v/>
      </c>
      <c r="AK1121">
        <f>IF($W1121="","",IFERROR(INDEX(IF($T1121&lt;=60,peso05_m,peso510_m),MATCH($W1121,IF($T1121&lt;=60,peso05_k,peso510_k),1)),""))</f>
        <v/>
      </c>
      <c r="AL1121">
        <f>IF($W1121="","",IFERROR(INDEX(IF($T1121&lt;=60,peso05_s,peso510_s),MATCH($W1121,IF($T1121&lt;=60,peso05_k,peso510_k),1)),""))</f>
        <v/>
      </c>
      <c r="AM1121">
        <f>IF($AJ1121="","",IF($AJ1121=0,LN($F1121/$AK1121)/$AL1121,((($F1121/$AK1121)^$AJ1121)-1)/($AJ1121*$AL1121)))</f>
        <v/>
      </c>
      <c r="AN1121">
        <f>IF($AJ1121="","",IF($AJ1121=0,$AK1121*EXP($AL1121*2),$AK1121*(1+$AJ1121*$AL1121*2)^(1/$AJ1121)))</f>
        <v/>
      </c>
      <c r="AO1121">
        <f>IF($AJ1121="","",IF($AJ1121=0,$AK1121*EXP($AL1121*3),$AK1121*(1+$AJ1121*$AL1121*3)^(1/$AJ1121)))</f>
        <v/>
      </c>
      <c r="AP1121">
        <f>IF($AJ1121="","",IF($AJ1121=0,$AK1121*EXP($AL1121*-2),$AK1121*(1+$AJ1121*$AL1121*-2)^(1/$AJ1121)))</f>
        <v/>
      </c>
      <c r="AQ1121">
        <f>IF($AJ1121="","",IF($AJ1121=0,$AK1121*EXP($AL1121*-3),$AK1121*(1+$AJ1121*$AL1121*-3)^(1/$AJ1121)))</f>
        <v/>
      </c>
      <c r="AR1121">
        <f>IF(OR($X1121="",$T1121&gt;60),"",IFERROR(INDEX(IF($T1121&lt;24,pcomp_l,palt_l),MATCH($X1121,IF($T1121&lt;24,pcomp_k,palt_k),1)),""))</f>
        <v/>
      </c>
      <c r="AS1121">
        <f>IF(OR($X1121="",$T1121&gt;60),"",IFERROR(INDEX(IF($T1121&lt;24,pcomp_m,palt_m),MATCH($X1121,IF($T1121&lt;24,pcomp_k,palt_k),1)),""))</f>
        <v/>
      </c>
      <c r="AT1121">
        <f>IF(OR($X1121="",$T1121&gt;60),"",IFERROR(INDEX(IF($T1121&lt;24,pcomp_s,palt_s),MATCH($X1121,IF($T1121&lt;24,pcomp_k,palt_k),1)),""))</f>
        <v/>
      </c>
      <c r="AU1121">
        <f>IF($AR1121="","",IF($AR1121=0,LN($F1121/$AS1121)/$AT1121,((($F1121/$AS1121)^$AR1121)-1)/($AR1121*$AT1121)))</f>
        <v/>
      </c>
      <c r="AV1121">
        <f>IF($AR1121="","",IF($AR1121=0,$AS1121*EXP($AT1121*2),$AS1121*(1+$AR1121*$AT1121*2)^(1/$AR1121)))</f>
        <v/>
      </c>
      <c r="AW1121">
        <f>IF($AR1121="","",IF($AR1121=0,$AS1121*EXP($AT1121*3),$AS1121*(1+$AR1121*$AT1121*3)^(1/$AR1121)))</f>
        <v/>
      </c>
      <c r="AX1121">
        <f>IF($AR1121="","",IF($AR1121=0,$AS1121*EXP($AT1121*-2),$AS1121*(1+$AR1121*$AT1121*-2)^(1/$AR1121)))</f>
        <v/>
      </c>
      <c r="AY1121">
        <f>IF($AR1121="","",IF($AR1121=0,$AS1121*EXP($AT1121*-3),$AS1121*(1+$AR1121*$AT1121*-3)^(1/$AR1121)))</f>
        <v/>
      </c>
      <c r="AZ1121">
        <f>IF(OR($A1121="",$A1121&lt;&gt;Ficha!$C$4),"",COUNTIF($A$2:$A1121,Ficha!$C$4))</f>
        <v/>
      </c>
    </row>
    <row r="1122">
      <c r="A1122" s="8">
        <f>IF(INDEX(Banco!$A:$A,ROW())="","",INDEX(Banco!$A:$A,ROW()))</f>
        <v/>
      </c>
      <c r="B1122" s="8">
        <f>IF(INDEX(Banco!$B:$B,ROW())="","",INDEX(Banco!$B:$B,ROW()))</f>
        <v/>
      </c>
      <c r="C1122" s="8">
        <f>IF(INDEX(Banco!$C:$C,ROW())="","",INDEX(Banco!$C:$C,ROW()))</f>
        <v/>
      </c>
      <c r="D1122" s="9">
        <f>IF(INDEX(Banco!$D:$D,ROW())="","",INDEX(Banco!$D:$D,ROW()))</f>
        <v/>
      </c>
      <c r="E1122" s="9">
        <f>IF(INDEX(Banco!$E:$E,ROW())="","",INDEX(Banco!$E:$E,ROW()))</f>
        <v/>
      </c>
      <c r="F1122" s="10">
        <f>IF(INDEX(Banco!$F:$F,ROW())="","",INDEX(Banco!$F:$F,ROW()))</f>
        <v/>
      </c>
      <c r="G1122" s="10">
        <f>IF(INDEX(Banco!$G:$G,ROW())="","",INDEX(Banco!$G:$G,ROW()))</f>
        <v/>
      </c>
      <c r="H1122" s="8">
        <f>IF(INDEX(Banco!$H:$H,ROW())="","",INDEX(Banco!$H:$H,ROW()))</f>
        <v/>
      </c>
      <c r="I1122">
        <f>IF($T1122="","",INT($T1122/12)&amp;"a "&amp;MOD($T1122,12)&amp;"m")</f>
        <v/>
      </c>
      <c r="J1122" s="11">
        <f>IF(OR($F1122="",$G1122=""),"",ROUND($F1122/($G1122/100)^2,2))</f>
        <v/>
      </c>
      <c r="K1122" s="12">
        <f>IF(OR($S1122="",$J1122="",$T1122="",$T1122&lt;0,$T1122&gt;228,$Y1122=""),"—",ROUND(IF(ABS($AB1122)&lt;=3,$AB1122,IF($AB1122&gt;3,3+($J1122-$AD1122)/($AD1122-$AC1122),-3+($J1122-$AF1122)/($AE1122-$AF1122))),2))</f>
        <v/>
      </c>
      <c r="L1122">
        <f>IF(OR($K1122="",$K1122="—"),"",IF($T1122&lt;=60,IF($K1122&lt;-3,"Magreza acentuada",IF($K1122&lt;-2,"Magreza",IF($K1122&lt;=1,"Eutrofia",IF($K1122&lt;=2,"Risco de sobrepeso",IF($K1122&lt;=3,"Sobrepeso","Obesidade"))))),IF($K1122&lt;-3,"Magreza acentuada",IF($K1122&lt;-2,"Magreza",IF($K1122&lt;=1,"Eutrofia",IF($K1122&lt;=2,"Sobrepeso",IF($K1122&lt;=3,"Obesidade","Obesidade grave")))))))</f>
        <v/>
      </c>
      <c r="M1122" s="12">
        <f>IF(OR($S1122="",$V1122="",$T1122="",$T1122&lt;0,$T1122&gt;228,$AG1122=""),"—",ROUND(IF($AG1122=0,LN($V1122/$AH1122)/$AI1122,((($V1122/$AH1122)^$AG1122)-1)/($AG1122*$AI1122)),2))</f>
        <v/>
      </c>
      <c r="N1122">
        <f>IF(OR($M1122="",$M1122="—"),"",IF($M1122&lt;-3,"Muito baixa",IF($M1122&lt;-2,"Baixa","Adequada")))</f>
        <v/>
      </c>
      <c r="O1122" s="12">
        <f>IF(OR($S1122="",$F1122="",$T1122="",$T1122&lt;0,$T1122&gt;120,$AJ1122=""),"—",ROUND(IF(ABS($AM1122)&lt;=3,$AM1122,IF($AM1122&gt;3,3+($F1122-$AO1122)/($AO1122-$AN1122),-3+($F1122-$AQ1122)/($AP1122-$AQ1122))),2))</f>
        <v/>
      </c>
      <c r="P1122">
        <f>IF(OR($O1122="",$O1122="—"),"",IF($O1122&lt;-3,"Muito baixo",IF($O1122&lt;-2,"Baixo",IF($O1122&lt;=2,"Adequado","Elevado"))))</f>
        <v/>
      </c>
      <c r="Q1122" s="12">
        <f>IF(OR($S1122="",$F1122="",$T1122="",$T1122&lt;0,$T1122&gt;60,$AR1122=""),"—",ROUND(IF(ABS($AU1122)&lt;=3,$AU1122,IF($AU1122&gt;3,3+($F1122-$AW1122)/($AW1122-$AV1122),-3+($F1122-$AY1122)/($AX1122-$AY1122))),2))</f>
        <v/>
      </c>
      <c r="R1122">
        <f>IF(OR($Q1122="",$Q1122="—"),"",IF($Q1122&lt;-3,"Magreza acentuada",IF($Q1122&lt;-2,"Magreza",IF($Q1122&lt;=1,"Eutrofia",IF($Q1122&lt;=2,"Risco de sobrepeso",IF($Q1122&lt;=3,"Sobrepeso","Obesidade"))))))</f>
        <v/>
      </c>
      <c r="S1122">
        <f>IF($C1122="","",IF(UPPER(LEFT($C1122,1))="M",1,IF(UPPER(LEFT($C1122,1))="F",2,"")))</f>
        <v/>
      </c>
      <c r="T1122">
        <f>IF(OR($D1122="",$E1122=""),"",DATEDIF($D1122,$E1122,"m"))</f>
        <v/>
      </c>
      <c r="U1122">
        <f>IF(OR($D1122="",$E1122=""),"",$E1122-$D1122)</f>
        <v/>
      </c>
      <c r="V1122">
        <f>IF(OR($G1122="",$T1122=""),"",IF($T1122&lt;24,IF(LEFT(LOWER($H1122),4)="em p",$G1122+0.7,$G1122),IF(LEFT(LOWER($H1122),4)="deit",$G1122-0.7,$G1122)))</f>
        <v/>
      </c>
      <c r="W1122">
        <f>IF(OR($S1122="",$T1122=""),"",$S1122*1000000+IF($T1122&lt;=60,$U1122,$T1122))</f>
        <v/>
      </c>
      <c r="X1122">
        <f>IF(OR($S1122="",$V1122="",$T1122&gt;60,$T1122=""),"",$S1122*1000000+ROUND($V1122*10,0))</f>
        <v/>
      </c>
      <c r="Y1122">
        <f>IF($W1122="","",IFERROR(INDEX(IF($T1122&lt;=60,imc05_l,imc519_l),MATCH($W1122,IF($T1122&lt;=60,imc05_k,imc519_k),1)),""))</f>
        <v/>
      </c>
      <c r="Z1122">
        <f>IF($W1122="","",IFERROR(INDEX(IF($T1122&lt;=60,imc05_m,imc519_m),MATCH($W1122,IF($T1122&lt;=60,imc05_k,imc519_k),1)),""))</f>
        <v/>
      </c>
      <c r="AA1122">
        <f>IF($W1122="","",IFERROR(INDEX(IF($T1122&lt;=60,imc05_s,imc519_s),MATCH($W1122,IF($T1122&lt;=60,imc05_k,imc519_k),1)),""))</f>
        <v/>
      </c>
      <c r="AB1122">
        <f>IF($Y1122="","",IF($Y1122=0,LN($J1122/$Z1122)/$AA1122,((($J1122/$Z1122)^$Y1122)-1)/($Y1122*$AA1122)))</f>
        <v/>
      </c>
      <c r="AC1122">
        <f>IF($Y1122="","",IF($Y1122=0,$Z1122*EXP($AA1122*2),$Z1122*(1+$Y1122*$AA1122*2)^(1/$Y1122)))</f>
        <v/>
      </c>
      <c r="AD1122">
        <f>IF($Y1122="","",IF($Y1122=0,$Z1122*EXP($AA1122*3),$Z1122*(1+$Y1122*$AA1122*3)^(1/$Y1122)))</f>
        <v/>
      </c>
      <c r="AE1122">
        <f>IF($Y1122="","",IF($Y1122=0,$Z1122*EXP($AA1122*-2),$Z1122*(1+$Y1122*$AA1122*-2)^(1/$Y1122)))</f>
        <v/>
      </c>
      <c r="AF1122">
        <f>IF($Y1122="","",IF($Y1122=0,$Z1122*EXP($AA1122*-3),$Z1122*(1+$Y1122*$AA1122*-3)^(1/$Y1122)))</f>
        <v/>
      </c>
      <c r="AG1122">
        <f>IF($W1122="","",IFERROR(INDEX(IF($T1122&lt;=60,est05_l,est519_l),MATCH($W1122,IF($T1122&lt;=60,est05_k,est519_k),1)),""))</f>
        <v/>
      </c>
      <c r="AH1122">
        <f>IF($W1122="","",IFERROR(INDEX(IF($T1122&lt;=60,est05_m,est519_m),MATCH($W1122,IF($T1122&lt;=60,est05_k,est519_k),1)),""))</f>
        <v/>
      </c>
      <c r="AI1122">
        <f>IF($W1122="","",IFERROR(INDEX(IF($T1122&lt;=60,est05_s,est519_s),MATCH($W1122,IF($T1122&lt;=60,est05_k,est519_k),1)),""))</f>
        <v/>
      </c>
      <c r="AJ1122">
        <f>IF($W1122="","",IFERROR(INDEX(IF($T1122&lt;=60,peso05_l,peso510_l),MATCH($W1122,IF($T1122&lt;=60,peso05_k,peso510_k),1)),""))</f>
        <v/>
      </c>
      <c r="AK1122">
        <f>IF($W1122="","",IFERROR(INDEX(IF($T1122&lt;=60,peso05_m,peso510_m),MATCH($W1122,IF($T1122&lt;=60,peso05_k,peso510_k),1)),""))</f>
        <v/>
      </c>
      <c r="AL1122">
        <f>IF($W1122="","",IFERROR(INDEX(IF($T1122&lt;=60,peso05_s,peso510_s),MATCH($W1122,IF($T1122&lt;=60,peso05_k,peso510_k),1)),""))</f>
        <v/>
      </c>
      <c r="AM1122">
        <f>IF($AJ1122="","",IF($AJ1122=0,LN($F1122/$AK1122)/$AL1122,((($F1122/$AK1122)^$AJ1122)-1)/($AJ1122*$AL1122)))</f>
        <v/>
      </c>
      <c r="AN1122">
        <f>IF($AJ1122="","",IF($AJ1122=0,$AK1122*EXP($AL1122*2),$AK1122*(1+$AJ1122*$AL1122*2)^(1/$AJ1122)))</f>
        <v/>
      </c>
      <c r="AO1122">
        <f>IF($AJ1122="","",IF($AJ1122=0,$AK1122*EXP($AL1122*3),$AK1122*(1+$AJ1122*$AL1122*3)^(1/$AJ1122)))</f>
        <v/>
      </c>
      <c r="AP1122">
        <f>IF($AJ1122="","",IF($AJ1122=0,$AK1122*EXP($AL1122*-2),$AK1122*(1+$AJ1122*$AL1122*-2)^(1/$AJ1122)))</f>
        <v/>
      </c>
      <c r="AQ1122">
        <f>IF($AJ1122="","",IF($AJ1122=0,$AK1122*EXP($AL1122*-3),$AK1122*(1+$AJ1122*$AL1122*-3)^(1/$AJ1122)))</f>
        <v/>
      </c>
      <c r="AR1122">
        <f>IF(OR($X1122="",$T1122&gt;60),"",IFERROR(INDEX(IF($T1122&lt;24,pcomp_l,palt_l),MATCH($X1122,IF($T1122&lt;24,pcomp_k,palt_k),1)),""))</f>
        <v/>
      </c>
      <c r="AS1122">
        <f>IF(OR($X1122="",$T1122&gt;60),"",IFERROR(INDEX(IF($T1122&lt;24,pcomp_m,palt_m),MATCH($X1122,IF($T1122&lt;24,pcomp_k,palt_k),1)),""))</f>
        <v/>
      </c>
      <c r="AT1122">
        <f>IF(OR($X1122="",$T1122&gt;60),"",IFERROR(INDEX(IF($T1122&lt;24,pcomp_s,palt_s),MATCH($X1122,IF($T1122&lt;24,pcomp_k,palt_k),1)),""))</f>
        <v/>
      </c>
      <c r="AU1122">
        <f>IF($AR1122="","",IF($AR1122=0,LN($F1122/$AS1122)/$AT1122,((($F1122/$AS1122)^$AR1122)-1)/($AR1122*$AT1122)))</f>
        <v/>
      </c>
      <c r="AV1122">
        <f>IF($AR1122="","",IF($AR1122=0,$AS1122*EXP($AT1122*2),$AS1122*(1+$AR1122*$AT1122*2)^(1/$AR1122)))</f>
        <v/>
      </c>
      <c r="AW1122">
        <f>IF($AR1122="","",IF($AR1122=0,$AS1122*EXP($AT1122*3),$AS1122*(1+$AR1122*$AT1122*3)^(1/$AR1122)))</f>
        <v/>
      </c>
      <c r="AX1122">
        <f>IF($AR1122="","",IF($AR1122=0,$AS1122*EXP($AT1122*-2),$AS1122*(1+$AR1122*$AT1122*-2)^(1/$AR1122)))</f>
        <v/>
      </c>
      <c r="AY1122">
        <f>IF($AR1122="","",IF($AR1122=0,$AS1122*EXP($AT1122*-3),$AS1122*(1+$AR1122*$AT1122*-3)^(1/$AR1122)))</f>
        <v/>
      </c>
      <c r="AZ1122">
        <f>IF(OR($A1122="",$A1122&lt;&gt;Ficha!$C$4),"",COUNTIF($A$2:$A1122,Ficha!$C$4))</f>
        <v/>
      </c>
    </row>
    <row r="1123">
      <c r="A1123" s="8">
        <f>IF(INDEX(Banco!$A:$A,ROW())="","",INDEX(Banco!$A:$A,ROW()))</f>
        <v/>
      </c>
      <c r="B1123" s="8">
        <f>IF(INDEX(Banco!$B:$B,ROW())="","",INDEX(Banco!$B:$B,ROW()))</f>
        <v/>
      </c>
      <c r="C1123" s="8">
        <f>IF(INDEX(Banco!$C:$C,ROW())="","",INDEX(Banco!$C:$C,ROW()))</f>
        <v/>
      </c>
      <c r="D1123" s="9">
        <f>IF(INDEX(Banco!$D:$D,ROW())="","",INDEX(Banco!$D:$D,ROW()))</f>
        <v/>
      </c>
      <c r="E1123" s="9">
        <f>IF(INDEX(Banco!$E:$E,ROW())="","",INDEX(Banco!$E:$E,ROW()))</f>
        <v/>
      </c>
      <c r="F1123" s="10">
        <f>IF(INDEX(Banco!$F:$F,ROW())="","",INDEX(Banco!$F:$F,ROW()))</f>
        <v/>
      </c>
      <c r="G1123" s="10">
        <f>IF(INDEX(Banco!$G:$G,ROW())="","",INDEX(Banco!$G:$G,ROW()))</f>
        <v/>
      </c>
      <c r="H1123" s="8">
        <f>IF(INDEX(Banco!$H:$H,ROW())="","",INDEX(Banco!$H:$H,ROW()))</f>
        <v/>
      </c>
      <c r="I1123">
        <f>IF($T1123="","",INT($T1123/12)&amp;"a "&amp;MOD($T1123,12)&amp;"m")</f>
        <v/>
      </c>
      <c r="J1123" s="11">
        <f>IF(OR($F1123="",$G1123=""),"",ROUND($F1123/($G1123/100)^2,2))</f>
        <v/>
      </c>
      <c r="K1123" s="12">
        <f>IF(OR($S1123="",$J1123="",$T1123="",$T1123&lt;0,$T1123&gt;228,$Y1123=""),"—",ROUND(IF(ABS($AB1123)&lt;=3,$AB1123,IF($AB1123&gt;3,3+($J1123-$AD1123)/($AD1123-$AC1123),-3+($J1123-$AF1123)/($AE1123-$AF1123))),2))</f>
        <v/>
      </c>
      <c r="L1123">
        <f>IF(OR($K1123="",$K1123="—"),"",IF($T1123&lt;=60,IF($K1123&lt;-3,"Magreza acentuada",IF($K1123&lt;-2,"Magreza",IF($K1123&lt;=1,"Eutrofia",IF($K1123&lt;=2,"Risco de sobrepeso",IF($K1123&lt;=3,"Sobrepeso","Obesidade"))))),IF($K1123&lt;-3,"Magreza acentuada",IF($K1123&lt;-2,"Magreza",IF($K1123&lt;=1,"Eutrofia",IF($K1123&lt;=2,"Sobrepeso",IF($K1123&lt;=3,"Obesidade","Obesidade grave")))))))</f>
        <v/>
      </c>
      <c r="M1123" s="12">
        <f>IF(OR($S1123="",$V1123="",$T1123="",$T1123&lt;0,$T1123&gt;228,$AG1123=""),"—",ROUND(IF($AG1123=0,LN($V1123/$AH1123)/$AI1123,((($V1123/$AH1123)^$AG1123)-1)/($AG1123*$AI1123)),2))</f>
        <v/>
      </c>
      <c r="N1123">
        <f>IF(OR($M1123="",$M1123="—"),"",IF($M1123&lt;-3,"Muito baixa",IF($M1123&lt;-2,"Baixa","Adequada")))</f>
        <v/>
      </c>
      <c r="O1123" s="12">
        <f>IF(OR($S1123="",$F1123="",$T1123="",$T1123&lt;0,$T1123&gt;120,$AJ1123=""),"—",ROUND(IF(ABS($AM1123)&lt;=3,$AM1123,IF($AM1123&gt;3,3+($F1123-$AO1123)/($AO1123-$AN1123),-3+($F1123-$AQ1123)/($AP1123-$AQ1123))),2))</f>
        <v/>
      </c>
      <c r="P1123">
        <f>IF(OR($O1123="",$O1123="—"),"",IF($O1123&lt;-3,"Muito baixo",IF($O1123&lt;-2,"Baixo",IF($O1123&lt;=2,"Adequado","Elevado"))))</f>
        <v/>
      </c>
      <c r="Q1123" s="12">
        <f>IF(OR($S1123="",$F1123="",$T1123="",$T1123&lt;0,$T1123&gt;60,$AR1123=""),"—",ROUND(IF(ABS($AU1123)&lt;=3,$AU1123,IF($AU1123&gt;3,3+($F1123-$AW1123)/($AW1123-$AV1123),-3+($F1123-$AY1123)/($AX1123-$AY1123))),2))</f>
        <v/>
      </c>
      <c r="R1123">
        <f>IF(OR($Q1123="",$Q1123="—"),"",IF($Q1123&lt;-3,"Magreza acentuada",IF($Q1123&lt;-2,"Magreza",IF($Q1123&lt;=1,"Eutrofia",IF($Q1123&lt;=2,"Risco de sobrepeso",IF($Q1123&lt;=3,"Sobrepeso","Obesidade"))))))</f>
        <v/>
      </c>
      <c r="S1123">
        <f>IF($C1123="","",IF(UPPER(LEFT($C1123,1))="M",1,IF(UPPER(LEFT($C1123,1))="F",2,"")))</f>
        <v/>
      </c>
      <c r="T1123">
        <f>IF(OR($D1123="",$E1123=""),"",DATEDIF($D1123,$E1123,"m"))</f>
        <v/>
      </c>
      <c r="U1123">
        <f>IF(OR($D1123="",$E1123=""),"",$E1123-$D1123)</f>
        <v/>
      </c>
      <c r="V1123">
        <f>IF(OR($G1123="",$T1123=""),"",IF($T1123&lt;24,IF(LEFT(LOWER($H1123),4)="em p",$G1123+0.7,$G1123),IF(LEFT(LOWER($H1123),4)="deit",$G1123-0.7,$G1123)))</f>
        <v/>
      </c>
      <c r="W1123">
        <f>IF(OR($S1123="",$T1123=""),"",$S1123*1000000+IF($T1123&lt;=60,$U1123,$T1123))</f>
        <v/>
      </c>
      <c r="X1123">
        <f>IF(OR($S1123="",$V1123="",$T1123&gt;60,$T1123=""),"",$S1123*1000000+ROUND($V1123*10,0))</f>
        <v/>
      </c>
      <c r="Y1123">
        <f>IF($W1123="","",IFERROR(INDEX(IF($T1123&lt;=60,imc05_l,imc519_l),MATCH($W1123,IF($T1123&lt;=60,imc05_k,imc519_k),1)),""))</f>
        <v/>
      </c>
      <c r="Z1123">
        <f>IF($W1123="","",IFERROR(INDEX(IF($T1123&lt;=60,imc05_m,imc519_m),MATCH($W1123,IF($T1123&lt;=60,imc05_k,imc519_k),1)),""))</f>
        <v/>
      </c>
      <c r="AA1123">
        <f>IF($W1123="","",IFERROR(INDEX(IF($T1123&lt;=60,imc05_s,imc519_s),MATCH($W1123,IF($T1123&lt;=60,imc05_k,imc519_k),1)),""))</f>
        <v/>
      </c>
      <c r="AB1123">
        <f>IF($Y1123="","",IF($Y1123=0,LN($J1123/$Z1123)/$AA1123,((($J1123/$Z1123)^$Y1123)-1)/($Y1123*$AA1123)))</f>
        <v/>
      </c>
      <c r="AC1123">
        <f>IF($Y1123="","",IF($Y1123=0,$Z1123*EXP($AA1123*2),$Z1123*(1+$Y1123*$AA1123*2)^(1/$Y1123)))</f>
        <v/>
      </c>
      <c r="AD1123">
        <f>IF($Y1123="","",IF($Y1123=0,$Z1123*EXP($AA1123*3),$Z1123*(1+$Y1123*$AA1123*3)^(1/$Y1123)))</f>
        <v/>
      </c>
      <c r="AE1123">
        <f>IF($Y1123="","",IF($Y1123=0,$Z1123*EXP($AA1123*-2),$Z1123*(1+$Y1123*$AA1123*-2)^(1/$Y1123)))</f>
        <v/>
      </c>
      <c r="AF1123">
        <f>IF($Y1123="","",IF($Y1123=0,$Z1123*EXP($AA1123*-3),$Z1123*(1+$Y1123*$AA1123*-3)^(1/$Y1123)))</f>
        <v/>
      </c>
      <c r="AG1123">
        <f>IF($W1123="","",IFERROR(INDEX(IF($T1123&lt;=60,est05_l,est519_l),MATCH($W1123,IF($T1123&lt;=60,est05_k,est519_k),1)),""))</f>
        <v/>
      </c>
      <c r="AH1123">
        <f>IF($W1123="","",IFERROR(INDEX(IF($T1123&lt;=60,est05_m,est519_m),MATCH($W1123,IF($T1123&lt;=60,est05_k,est519_k),1)),""))</f>
        <v/>
      </c>
      <c r="AI1123">
        <f>IF($W1123="","",IFERROR(INDEX(IF($T1123&lt;=60,est05_s,est519_s),MATCH($W1123,IF($T1123&lt;=60,est05_k,est519_k),1)),""))</f>
        <v/>
      </c>
      <c r="AJ1123">
        <f>IF($W1123="","",IFERROR(INDEX(IF($T1123&lt;=60,peso05_l,peso510_l),MATCH($W1123,IF($T1123&lt;=60,peso05_k,peso510_k),1)),""))</f>
        <v/>
      </c>
      <c r="AK1123">
        <f>IF($W1123="","",IFERROR(INDEX(IF($T1123&lt;=60,peso05_m,peso510_m),MATCH($W1123,IF($T1123&lt;=60,peso05_k,peso510_k),1)),""))</f>
        <v/>
      </c>
      <c r="AL1123">
        <f>IF($W1123="","",IFERROR(INDEX(IF($T1123&lt;=60,peso05_s,peso510_s),MATCH($W1123,IF($T1123&lt;=60,peso05_k,peso510_k),1)),""))</f>
        <v/>
      </c>
      <c r="AM1123">
        <f>IF($AJ1123="","",IF($AJ1123=0,LN($F1123/$AK1123)/$AL1123,((($F1123/$AK1123)^$AJ1123)-1)/($AJ1123*$AL1123)))</f>
        <v/>
      </c>
      <c r="AN1123">
        <f>IF($AJ1123="","",IF($AJ1123=0,$AK1123*EXP($AL1123*2),$AK1123*(1+$AJ1123*$AL1123*2)^(1/$AJ1123)))</f>
        <v/>
      </c>
      <c r="AO1123">
        <f>IF($AJ1123="","",IF($AJ1123=0,$AK1123*EXP($AL1123*3),$AK1123*(1+$AJ1123*$AL1123*3)^(1/$AJ1123)))</f>
        <v/>
      </c>
      <c r="AP1123">
        <f>IF($AJ1123="","",IF($AJ1123=0,$AK1123*EXP($AL1123*-2),$AK1123*(1+$AJ1123*$AL1123*-2)^(1/$AJ1123)))</f>
        <v/>
      </c>
      <c r="AQ1123">
        <f>IF($AJ1123="","",IF($AJ1123=0,$AK1123*EXP($AL1123*-3),$AK1123*(1+$AJ1123*$AL1123*-3)^(1/$AJ1123)))</f>
        <v/>
      </c>
      <c r="AR1123">
        <f>IF(OR($X1123="",$T1123&gt;60),"",IFERROR(INDEX(IF($T1123&lt;24,pcomp_l,palt_l),MATCH($X1123,IF($T1123&lt;24,pcomp_k,palt_k),1)),""))</f>
        <v/>
      </c>
      <c r="AS1123">
        <f>IF(OR($X1123="",$T1123&gt;60),"",IFERROR(INDEX(IF($T1123&lt;24,pcomp_m,palt_m),MATCH($X1123,IF($T1123&lt;24,pcomp_k,palt_k),1)),""))</f>
        <v/>
      </c>
      <c r="AT1123">
        <f>IF(OR($X1123="",$T1123&gt;60),"",IFERROR(INDEX(IF($T1123&lt;24,pcomp_s,palt_s),MATCH($X1123,IF($T1123&lt;24,pcomp_k,palt_k),1)),""))</f>
        <v/>
      </c>
      <c r="AU1123">
        <f>IF($AR1123="","",IF($AR1123=0,LN($F1123/$AS1123)/$AT1123,((($F1123/$AS1123)^$AR1123)-1)/($AR1123*$AT1123)))</f>
        <v/>
      </c>
      <c r="AV1123">
        <f>IF($AR1123="","",IF($AR1123=0,$AS1123*EXP($AT1123*2),$AS1123*(1+$AR1123*$AT1123*2)^(1/$AR1123)))</f>
        <v/>
      </c>
      <c r="AW1123">
        <f>IF($AR1123="","",IF($AR1123=0,$AS1123*EXP($AT1123*3),$AS1123*(1+$AR1123*$AT1123*3)^(1/$AR1123)))</f>
        <v/>
      </c>
      <c r="AX1123">
        <f>IF($AR1123="","",IF($AR1123=0,$AS1123*EXP($AT1123*-2),$AS1123*(1+$AR1123*$AT1123*-2)^(1/$AR1123)))</f>
        <v/>
      </c>
      <c r="AY1123">
        <f>IF($AR1123="","",IF($AR1123=0,$AS1123*EXP($AT1123*-3),$AS1123*(1+$AR1123*$AT1123*-3)^(1/$AR1123)))</f>
        <v/>
      </c>
      <c r="AZ1123">
        <f>IF(OR($A1123="",$A1123&lt;&gt;Ficha!$C$4),"",COUNTIF($A$2:$A1123,Ficha!$C$4))</f>
        <v/>
      </c>
    </row>
    <row r="1124">
      <c r="A1124" s="8">
        <f>IF(INDEX(Banco!$A:$A,ROW())="","",INDEX(Banco!$A:$A,ROW()))</f>
        <v/>
      </c>
      <c r="B1124" s="8">
        <f>IF(INDEX(Banco!$B:$B,ROW())="","",INDEX(Banco!$B:$B,ROW()))</f>
        <v/>
      </c>
      <c r="C1124" s="8">
        <f>IF(INDEX(Banco!$C:$C,ROW())="","",INDEX(Banco!$C:$C,ROW()))</f>
        <v/>
      </c>
      <c r="D1124" s="9">
        <f>IF(INDEX(Banco!$D:$D,ROW())="","",INDEX(Banco!$D:$D,ROW()))</f>
        <v/>
      </c>
      <c r="E1124" s="9">
        <f>IF(INDEX(Banco!$E:$E,ROW())="","",INDEX(Banco!$E:$E,ROW()))</f>
        <v/>
      </c>
      <c r="F1124" s="10">
        <f>IF(INDEX(Banco!$F:$F,ROW())="","",INDEX(Banco!$F:$F,ROW()))</f>
        <v/>
      </c>
      <c r="G1124" s="10">
        <f>IF(INDEX(Banco!$G:$G,ROW())="","",INDEX(Banco!$G:$G,ROW()))</f>
        <v/>
      </c>
      <c r="H1124" s="8">
        <f>IF(INDEX(Banco!$H:$H,ROW())="","",INDEX(Banco!$H:$H,ROW()))</f>
        <v/>
      </c>
      <c r="I1124">
        <f>IF($T1124="","",INT($T1124/12)&amp;"a "&amp;MOD($T1124,12)&amp;"m")</f>
        <v/>
      </c>
      <c r="J1124" s="11">
        <f>IF(OR($F1124="",$G1124=""),"",ROUND($F1124/($G1124/100)^2,2))</f>
        <v/>
      </c>
      <c r="K1124" s="12">
        <f>IF(OR($S1124="",$J1124="",$T1124="",$T1124&lt;0,$T1124&gt;228,$Y1124=""),"—",ROUND(IF(ABS($AB1124)&lt;=3,$AB1124,IF($AB1124&gt;3,3+($J1124-$AD1124)/($AD1124-$AC1124),-3+($J1124-$AF1124)/($AE1124-$AF1124))),2))</f>
        <v/>
      </c>
      <c r="L1124">
        <f>IF(OR($K1124="",$K1124="—"),"",IF($T1124&lt;=60,IF($K1124&lt;-3,"Magreza acentuada",IF($K1124&lt;-2,"Magreza",IF($K1124&lt;=1,"Eutrofia",IF($K1124&lt;=2,"Risco de sobrepeso",IF($K1124&lt;=3,"Sobrepeso","Obesidade"))))),IF($K1124&lt;-3,"Magreza acentuada",IF($K1124&lt;-2,"Magreza",IF($K1124&lt;=1,"Eutrofia",IF($K1124&lt;=2,"Sobrepeso",IF($K1124&lt;=3,"Obesidade","Obesidade grave")))))))</f>
        <v/>
      </c>
      <c r="M1124" s="12">
        <f>IF(OR($S1124="",$V1124="",$T1124="",$T1124&lt;0,$T1124&gt;228,$AG1124=""),"—",ROUND(IF($AG1124=0,LN($V1124/$AH1124)/$AI1124,((($V1124/$AH1124)^$AG1124)-1)/($AG1124*$AI1124)),2))</f>
        <v/>
      </c>
      <c r="N1124">
        <f>IF(OR($M1124="",$M1124="—"),"",IF($M1124&lt;-3,"Muito baixa",IF($M1124&lt;-2,"Baixa","Adequada")))</f>
        <v/>
      </c>
      <c r="O1124" s="12">
        <f>IF(OR($S1124="",$F1124="",$T1124="",$T1124&lt;0,$T1124&gt;120,$AJ1124=""),"—",ROUND(IF(ABS($AM1124)&lt;=3,$AM1124,IF($AM1124&gt;3,3+($F1124-$AO1124)/($AO1124-$AN1124),-3+($F1124-$AQ1124)/($AP1124-$AQ1124))),2))</f>
        <v/>
      </c>
      <c r="P1124">
        <f>IF(OR($O1124="",$O1124="—"),"",IF($O1124&lt;-3,"Muito baixo",IF($O1124&lt;-2,"Baixo",IF($O1124&lt;=2,"Adequado","Elevado"))))</f>
        <v/>
      </c>
      <c r="Q1124" s="12">
        <f>IF(OR($S1124="",$F1124="",$T1124="",$T1124&lt;0,$T1124&gt;60,$AR1124=""),"—",ROUND(IF(ABS($AU1124)&lt;=3,$AU1124,IF($AU1124&gt;3,3+($F1124-$AW1124)/($AW1124-$AV1124),-3+($F1124-$AY1124)/($AX1124-$AY1124))),2))</f>
        <v/>
      </c>
      <c r="R1124">
        <f>IF(OR($Q1124="",$Q1124="—"),"",IF($Q1124&lt;-3,"Magreza acentuada",IF($Q1124&lt;-2,"Magreza",IF($Q1124&lt;=1,"Eutrofia",IF($Q1124&lt;=2,"Risco de sobrepeso",IF($Q1124&lt;=3,"Sobrepeso","Obesidade"))))))</f>
        <v/>
      </c>
      <c r="S1124">
        <f>IF($C1124="","",IF(UPPER(LEFT($C1124,1))="M",1,IF(UPPER(LEFT($C1124,1))="F",2,"")))</f>
        <v/>
      </c>
      <c r="T1124">
        <f>IF(OR($D1124="",$E1124=""),"",DATEDIF($D1124,$E1124,"m"))</f>
        <v/>
      </c>
      <c r="U1124">
        <f>IF(OR($D1124="",$E1124=""),"",$E1124-$D1124)</f>
        <v/>
      </c>
      <c r="V1124">
        <f>IF(OR($G1124="",$T1124=""),"",IF($T1124&lt;24,IF(LEFT(LOWER($H1124),4)="em p",$G1124+0.7,$G1124),IF(LEFT(LOWER($H1124),4)="deit",$G1124-0.7,$G1124)))</f>
        <v/>
      </c>
      <c r="W1124">
        <f>IF(OR($S1124="",$T1124=""),"",$S1124*1000000+IF($T1124&lt;=60,$U1124,$T1124))</f>
        <v/>
      </c>
      <c r="X1124">
        <f>IF(OR($S1124="",$V1124="",$T1124&gt;60,$T1124=""),"",$S1124*1000000+ROUND($V1124*10,0))</f>
        <v/>
      </c>
      <c r="Y1124">
        <f>IF($W1124="","",IFERROR(INDEX(IF($T1124&lt;=60,imc05_l,imc519_l),MATCH($W1124,IF($T1124&lt;=60,imc05_k,imc519_k),1)),""))</f>
        <v/>
      </c>
      <c r="Z1124">
        <f>IF($W1124="","",IFERROR(INDEX(IF($T1124&lt;=60,imc05_m,imc519_m),MATCH($W1124,IF($T1124&lt;=60,imc05_k,imc519_k),1)),""))</f>
        <v/>
      </c>
      <c r="AA1124">
        <f>IF($W1124="","",IFERROR(INDEX(IF($T1124&lt;=60,imc05_s,imc519_s),MATCH($W1124,IF($T1124&lt;=60,imc05_k,imc519_k),1)),""))</f>
        <v/>
      </c>
      <c r="AB1124">
        <f>IF($Y1124="","",IF($Y1124=0,LN($J1124/$Z1124)/$AA1124,((($J1124/$Z1124)^$Y1124)-1)/($Y1124*$AA1124)))</f>
        <v/>
      </c>
      <c r="AC1124">
        <f>IF($Y1124="","",IF($Y1124=0,$Z1124*EXP($AA1124*2),$Z1124*(1+$Y1124*$AA1124*2)^(1/$Y1124)))</f>
        <v/>
      </c>
      <c r="AD1124">
        <f>IF($Y1124="","",IF($Y1124=0,$Z1124*EXP($AA1124*3),$Z1124*(1+$Y1124*$AA1124*3)^(1/$Y1124)))</f>
        <v/>
      </c>
      <c r="AE1124">
        <f>IF($Y1124="","",IF($Y1124=0,$Z1124*EXP($AA1124*-2),$Z1124*(1+$Y1124*$AA1124*-2)^(1/$Y1124)))</f>
        <v/>
      </c>
      <c r="AF1124">
        <f>IF($Y1124="","",IF($Y1124=0,$Z1124*EXP($AA1124*-3),$Z1124*(1+$Y1124*$AA1124*-3)^(1/$Y1124)))</f>
        <v/>
      </c>
      <c r="AG1124">
        <f>IF($W1124="","",IFERROR(INDEX(IF($T1124&lt;=60,est05_l,est519_l),MATCH($W1124,IF($T1124&lt;=60,est05_k,est519_k),1)),""))</f>
        <v/>
      </c>
      <c r="AH1124">
        <f>IF($W1124="","",IFERROR(INDEX(IF($T1124&lt;=60,est05_m,est519_m),MATCH($W1124,IF($T1124&lt;=60,est05_k,est519_k),1)),""))</f>
        <v/>
      </c>
      <c r="AI1124">
        <f>IF($W1124="","",IFERROR(INDEX(IF($T1124&lt;=60,est05_s,est519_s),MATCH($W1124,IF($T1124&lt;=60,est05_k,est519_k),1)),""))</f>
        <v/>
      </c>
      <c r="AJ1124">
        <f>IF($W1124="","",IFERROR(INDEX(IF($T1124&lt;=60,peso05_l,peso510_l),MATCH($W1124,IF($T1124&lt;=60,peso05_k,peso510_k),1)),""))</f>
        <v/>
      </c>
      <c r="AK1124">
        <f>IF($W1124="","",IFERROR(INDEX(IF($T1124&lt;=60,peso05_m,peso510_m),MATCH($W1124,IF($T1124&lt;=60,peso05_k,peso510_k),1)),""))</f>
        <v/>
      </c>
      <c r="AL1124">
        <f>IF($W1124="","",IFERROR(INDEX(IF($T1124&lt;=60,peso05_s,peso510_s),MATCH($W1124,IF($T1124&lt;=60,peso05_k,peso510_k),1)),""))</f>
        <v/>
      </c>
      <c r="AM1124">
        <f>IF($AJ1124="","",IF($AJ1124=0,LN($F1124/$AK1124)/$AL1124,((($F1124/$AK1124)^$AJ1124)-1)/($AJ1124*$AL1124)))</f>
        <v/>
      </c>
      <c r="AN1124">
        <f>IF($AJ1124="","",IF($AJ1124=0,$AK1124*EXP($AL1124*2),$AK1124*(1+$AJ1124*$AL1124*2)^(1/$AJ1124)))</f>
        <v/>
      </c>
      <c r="AO1124">
        <f>IF($AJ1124="","",IF($AJ1124=0,$AK1124*EXP($AL1124*3),$AK1124*(1+$AJ1124*$AL1124*3)^(1/$AJ1124)))</f>
        <v/>
      </c>
      <c r="AP1124">
        <f>IF($AJ1124="","",IF($AJ1124=0,$AK1124*EXP($AL1124*-2),$AK1124*(1+$AJ1124*$AL1124*-2)^(1/$AJ1124)))</f>
        <v/>
      </c>
      <c r="AQ1124">
        <f>IF($AJ1124="","",IF($AJ1124=0,$AK1124*EXP($AL1124*-3),$AK1124*(1+$AJ1124*$AL1124*-3)^(1/$AJ1124)))</f>
        <v/>
      </c>
      <c r="AR1124">
        <f>IF(OR($X1124="",$T1124&gt;60),"",IFERROR(INDEX(IF($T1124&lt;24,pcomp_l,palt_l),MATCH($X1124,IF($T1124&lt;24,pcomp_k,palt_k),1)),""))</f>
        <v/>
      </c>
      <c r="AS1124">
        <f>IF(OR($X1124="",$T1124&gt;60),"",IFERROR(INDEX(IF($T1124&lt;24,pcomp_m,palt_m),MATCH($X1124,IF($T1124&lt;24,pcomp_k,palt_k),1)),""))</f>
        <v/>
      </c>
      <c r="AT1124">
        <f>IF(OR($X1124="",$T1124&gt;60),"",IFERROR(INDEX(IF($T1124&lt;24,pcomp_s,palt_s),MATCH($X1124,IF($T1124&lt;24,pcomp_k,palt_k),1)),""))</f>
        <v/>
      </c>
      <c r="AU1124">
        <f>IF($AR1124="","",IF($AR1124=0,LN($F1124/$AS1124)/$AT1124,((($F1124/$AS1124)^$AR1124)-1)/($AR1124*$AT1124)))</f>
        <v/>
      </c>
      <c r="AV1124">
        <f>IF($AR1124="","",IF($AR1124=0,$AS1124*EXP($AT1124*2),$AS1124*(1+$AR1124*$AT1124*2)^(1/$AR1124)))</f>
        <v/>
      </c>
      <c r="AW1124">
        <f>IF($AR1124="","",IF($AR1124=0,$AS1124*EXP($AT1124*3),$AS1124*(1+$AR1124*$AT1124*3)^(1/$AR1124)))</f>
        <v/>
      </c>
      <c r="AX1124">
        <f>IF($AR1124="","",IF($AR1124=0,$AS1124*EXP($AT1124*-2),$AS1124*(1+$AR1124*$AT1124*-2)^(1/$AR1124)))</f>
        <v/>
      </c>
      <c r="AY1124">
        <f>IF($AR1124="","",IF($AR1124=0,$AS1124*EXP($AT1124*-3),$AS1124*(1+$AR1124*$AT1124*-3)^(1/$AR1124)))</f>
        <v/>
      </c>
      <c r="AZ1124">
        <f>IF(OR($A1124="",$A1124&lt;&gt;Ficha!$C$4),"",COUNTIF($A$2:$A1124,Ficha!$C$4))</f>
        <v/>
      </c>
    </row>
    <row r="1125">
      <c r="A1125" s="8">
        <f>IF(INDEX(Banco!$A:$A,ROW())="","",INDEX(Banco!$A:$A,ROW()))</f>
        <v/>
      </c>
      <c r="B1125" s="8">
        <f>IF(INDEX(Banco!$B:$B,ROW())="","",INDEX(Banco!$B:$B,ROW()))</f>
        <v/>
      </c>
      <c r="C1125" s="8">
        <f>IF(INDEX(Banco!$C:$C,ROW())="","",INDEX(Banco!$C:$C,ROW()))</f>
        <v/>
      </c>
      <c r="D1125" s="9">
        <f>IF(INDEX(Banco!$D:$D,ROW())="","",INDEX(Banco!$D:$D,ROW()))</f>
        <v/>
      </c>
      <c r="E1125" s="9">
        <f>IF(INDEX(Banco!$E:$E,ROW())="","",INDEX(Banco!$E:$E,ROW()))</f>
        <v/>
      </c>
      <c r="F1125" s="10">
        <f>IF(INDEX(Banco!$F:$F,ROW())="","",INDEX(Banco!$F:$F,ROW()))</f>
        <v/>
      </c>
      <c r="G1125" s="10">
        <f>IF(INDEX(Banco!$G:$G,ROW())="","",INDEX(Banco!$G:$G,ROW()))</f>
        <v/>
      </c>
      <c r="H1125" s="8">
        <f>IF(INDEX(Banco!$H:$H,ROW())="","",INDEX(Banco!$H:$H,ROW()))</f>
        <v/>
      </c>
      <c r="I1125">
        <f>IF($T1125="","",INT($T1125/12)&amp;"a "&amp;MOD($T1125,12)&amp;"m")</f>
        <v/>
      </c>
      <c r="J1125" s="11">
        <f>IF(OR($F1125="",$G1125=""),"",ROUND($F1125/($G1125/100)^2,2))</f>
        <v/>
      </c>
      <c r="K1125" s="12">
        <f>IF(OR($S1125="",$J1125="",$T1125="",$T1125&lt;0,$T1125&gt;228,$Y1125=""),"—",ROUND(IF(ABS($AB1125)&lt;=3,$AB1125,IF($AB1125&gt;3,3+($J1125-$AD1125)/($AD1125-$AC1125),-3+($J1125-$AF1125)/($AE1125-$AF1125))),2))</f>
        <v/>
      </c>
      <c r="L1125">
        <f>IF(OR($K1125="",$K1125="—"),"",IF($T1125&lt;=60,IF($K1125&lt;-3,"Magreza acentuada",IF($K1125&lt;-2,"Magreza",IF($K1125&lt;=1,"Eutrofia",IF($K1125&lt;=2,"Risco de sobrepeso",IF($K1125&lt;=3,"Sobrepeso","Obesidade"))))),IF($K1125&lt;-3,"Magreza acentuada",IF($K1125&lt;-2,"Magreza",IF($K1125&lt;=1,"Eutrofia",IF($K1125&lt;=2,"Sobrepeso",IF($K1125&lt;=3,"Obesidade","Obesidade grave")))))))</f>
        <v/>
      </c>
      <c r="M1125" s="12">
        <f>IF(OR($S1125="",$V1125="",$T1125="",$T1125&lt;0,$T1125&gt;228,$AG1125=""),"—",ROUND(IF($AG1125=0,LN($V1125/$AH1125)/$AI1125,((($V1125/$AH1125)^$AG1125)-1)/($AG1125*$AI1125)),2))</f>
        <v/>
      </c>
      <c r="N1125">
        <f>IF(OR($M1125="",$M1125="—"),"",IF($M1125&lt;-3,"Muito baixa",IF($M1125&lt;-2,"Baixa","Adequada")))</f>
        <v/>
      </c>
      <c r="O1125" s="12">
        <f>IF(OR($S1125="",$F1125="",$T1125="",$T1125&lt;0,$T1125&gt;120,$AJ1125=""),"—",ROUND(IF(ABS($AM1125)&lt;=3,$AM1125,IF($AM1125&gt;3,3+($F1125-$AO1125)/($AO1125-$AN1125),-3+($F1125-$AQ1125)/($AP1125-$AQ1125))),2))</f>
        <v/>
      </c>
      <c r="P1125">
        <f>IF(OR($O1125="",$O1125="—"),"",IF($O1125&lt;-3,"Muito baixo",IF($O1125&lt;-2,"Baixo",IF($O1125&lt;=2,"Adequado","Elevado"))))</f>
        <v/>
      </c>
      <c r="Q1125" s="12">
        <f>IF(OR($S1125="",$F1125="",$T1125="",$T1125&lt;0,$T1125&gt;60,$AR1125=""),"—",ROUND(IF(ABS($AU1125)&lt;=3,$AU1125,IF($AU1125&gt;3,3+($F1125-$AW1125)/($AW1125-$AV1125),-3+($F1125-$AY1125)/($AX1125-$AY1125))),2))</f>
        <v/>
      </c>
      <c r="R1125">
        <f>IF(OR($Q1125="",$Q1125="—"),"",IF($Q1125&lt;-3,"Magreza acentuada",IF($Q1125&lt;-2,"Magreza",IF($Q1125&lt;=1,"Eutrofia",IF($Q1125&lt;=2,"Risco de sobrepeso",IF($Q1125&lt;=3,"Sobrepeso","Obesidade"))))))</f>
        <v/>
      </c>
      <c r="S1125">
        <f>IF($C1125="","",IF(UPPER(LEFT($C1125,1))="M",1,IF(UPPER(LEFT($C1125,1))="F",2,"")))</f>
        <v/>
      </c>
      <c r="T1125">
        <f>IF(OR($D1125="",$E1125=""),"",DATEDIF($D1125,$E1125,"m"))</f>
        <v/>
      </c>
      <c r="U1125">
        <f>IF(OR($D1125="",$E1125=""),"",$E1125-$D1125)</f>
        <v/>
      </c>
      <c r="V1125">
        <f>IF(OR($G1125="",$T1125=""),"",IF($T1125&lt;24,IF(LEFT(LOWER($H1125),4)="em p",$G1125+0.7,$G1125),IF(LEFT(LOWER($H1125),4)="deit",$G1125-0.7,$G1125)))</f>
        <v/>
      </c>
      <c r="W1125">
        <f>IF(OR($S1125="",$T1125=""),"",$S1125*1000000+IF($T1125&lt;=60,$U1125,$T1125))</f>
        <v/>
      </c>
      <c r="X1125">
        <f>IF(OR($S1125="",$V1125="",$T1125&gt;60,$T1125=""),"",$S1125*1000000+ROUND($V1125*10,0))</f>
        <v/>
      </c>
      <c r="Y1125">
        <f>IF($W1125="","",IFERROR(INDEX(IF($T1125&lt;=60,imc05_l,imc519_l),MATCH($W1125,IF($T1125&lt;=60,imc05_k,imc519_k),1)),""))</f>
        <v/>
      </c>
      <c r="Z1125">
        <f>IF($W1125="","",IFERROR(INDEX(IF($T1125&lt;=60,imc05_m,imc519_m),MATCH($W1125,IF($T1125&lt;=60,imc05_k,imc519_k),1)),""))</f>
        <v/>
      </c>
      <c r="AA1125">
        <f>IF($W1125="","",IFERROR(INDEX(IF($T1125&lt;=60,imc05_s,imc519_s),MATCH($W1125,IF($T1125&lt;=60,imc05_k,imc519_k),1)),""))</f>
        <v/>
      </c>
      <c r="AB1125">
        <f>IF($Y1125="","",IF($Y1125=0,LN($J1125/$Z1125)/$AA1125,((($J1125/$Z1125)^$Y1125)-1)/($Y1125*$AA1125)))</f>
        <v/>
      </c>
      <c r="AC1125">
        <f>IF($Y1125="","",IF($Y1125=0,$Z1125*EXP($AA1125*2),$Z1125*(1+$Y1125*$AA1125*2)^(1/$Y1125)))</f>
        <v/>
      </c>
      <c r="AD1125">
        <f>IF($Y1125="","",IF($Y1125=0,$Z1125*EXP($AA1125*3),$Z1125*(1+$Y1125*$AA1125*3)^(1/$Y1125)))</f>
        <v/>
      </c>
      <c r="AE1125">
        <f>IF($Y1125="","",IF($Y1125=0,$Z1125*EXP($AA1125*-2),$Z1125*(1+$Y1125*$AA1125*-2)^(1/$Y1125)))</f>
        <v/>
      </c>
      <c r="AF1125">
        <f>IF($Y1125="","",IF($Y1125=0,$Z1125*EXP($AA1125*-3),$Z1125*(1+$Y1125*$AA1125*-3)^(1/$Y1125)))</f>
        <v/>
      </c>
      <c r="AG1125">
        <f>IF($W1125="","",IFERROR(INDEX(IF($T1125&lt;=60,est05_l,est519_l),MATCH($W1125,IF($T1125&lt;=60,est05_k,est519_k),1)),""))</f>
        <v/>
      </c>
      <c r="AH1125">
        <f>IF($W1125="","",IFERROR(INDEX(IF($T1125&lt;=60,est05_m,est519_m),MATCH($W1125,IF($T1125&lt;=60,est05_k,est519_k),1)),""))</f>
        <v/>
      </c>
      <c r="AI1125">
        <f>IF($W1125="","",IFERROR(INDEX(IF($T1125&lt;=60,est05_s,est519_s),MATCH($W1125,IF($T1125&lt;=60,est05_k,est519_k),1)),""))</f>
        <v/>
      </c>
      <c r="AJ1125">
        <f>IF($W1125="","",IFERROR(INDEX(IF($T1125&lt;=60,peso05_l,peso510_l),MATCH($W1125,IF($T1125&lt;=60,peso05_k,peso510_k),1)),""))</f>
        <v/>
      </c>
      <c r="AK1125">
        <f>IF($W1125="","",IFERROR(INDEX(IF($T1125&lt;=60,peso05_m,peso510_m),MATCH($W1125,IF($T1125&lt;=60,peso05_k,peso510_k),1)),""))</f>
        <v/>
      </c>
      <c r="AL1125">
        <f>IF($W1125="","",IFERROR(INDEX(IF($T1125&lt;=60,peso05_s,peso510_s),MATCH($W1125,IF($T1125&lt;=60,peso05_k,peso510_k),1)),""))</f>
        <v/>
      </c>
      <c r="AM1125">
        <f>IF($AJ1125="","",IF($AJ1125=0,LN($F1125/$AK1125)/$AL1125,((($F1125/$AK1125)^$AJ1125)-1)/($AJ1125*$AL1125)))</f>
        <v/>
      </c>
      <c r="AN1125">
        <f>IF($AJ1125="","",IF($AJ1125=0,$AK1125*EXP($AL1125*2),$AK1125*(1+$AJ1125*$AL1125*2)^(1/$AJ1125)))</f>
        <v/>
      </c>
      <c r="AO1125">
        <f>IF($AJ1125="","",IF($AJ1125=0,$AK1125*EXP($AL1125*3),$AK1125*(1+$AJ1125*$AL1125*3)^(1/$AJ1125)))</f>
        <v/>
      </c>
      <c r="AP1125">
        <f>IF($AJ1125="","",IF($AJ1125=0,$AK1125*EXP($AL1125*-2),$AK1125*(1+$AJ1125*$AL1125*-2)^(1/$AJ1125)))</f>
        <v/>
      </c>
      <c r="AQ1125">
        <f>IF($AJ1125="","",IF($AJ1125=0,$AK1125*EXP($AL1125*-3),$AK1125*(1+$AJ1125*$AL1125*-3)^(1/$AJ1125)))</f>
        <v/>
      </c>
      <c r="AR1125">
        <f>IF(OR($X1125="",$T1125&gt;60),"",IFERROR(INDEX(IF($T1125&lt;24,pcomp_l,palt_l),MATCH($X1125,IF($T1125&lt;24,pcomp_k,palt_k),1)),""))</f>
        <v/>
      </c>
      <c r="AS1125">
        <f>IF(OR($X1125="",$T1125&gt;60),"",IFERROR(INDEX(IF($T1125&lt;24,pcomp_m,palt_m),MATCH($X1125,IF($T1125&lt;24,pcomp_k,palt_k),1)),""))</f>
        <v/>
      </c>
      <c r="AT1125">
        <f>IF(OR($X1125="",$T1125&gt;60),"",IFERROR(INDEX(IF($T1125&lt;24,pcomp_s,palt_s),MATCH($X1125,IF($T1125&lt;24,pcomp_k,palt_k),1)),""))</f>
        <v/>
      </c>
      <c r="AU1125">
        <f>IF($AR1125="","",IF($AR1125=0,LN($F1125/$AS1125)/$AT1125,((($F1125/$AS1125)^$AR1125)-1)/($AR1125*$AT1125)))</f>
        <v/>
      </c>
      <c r="AV1125">
        <f>IF($AR1125="","",IF($AR1125=0,$AS1125*EXP($AT1125*2),$AS1125*(1+$AR1125*$AT1125*2)^(1/$AR1125)))</f>
        <v/>
      </c>
      <c r="AW1125">
        <f>IF($AR1125="","",IF($AR1125=0,$AS1125*EXP($AT1125*3),$AS1125*(1+$AR1125*$AT1125*3)^(1/$AR1125)))</f>
        <v/>
      </c>
      <c r="AX1125">
        <f>IF($AR1125="","",IF($AR1125=0,$AS1125*EXP($AT1125*-2),$AS1125*(1+$AR1125*$AT1125*-2)^(1/$AR1125)))</f>
        <v/>
      </c>
      <c r="AY1125">
        <f>IF($AR1125="","",IF($AR1125=0,$AS1125*EXP($AT1125*-3),$AS1125*(1+$AR1125*$AT1125*-3)^(1/$AR1125)))</f>
        <v/>
      </c>
      <c r="AZ1125">
        <f>IF(OR($A1125="",$A1125&lt;&gt;Ficha!$C$4),"",COUNTIF($A$2:$A1125,Ficha!$C$4))</f>
        <v/>
      </c>
    </row>
    <row r="1126">
      <c r="A1126" s="8">
        <f>IF(INDEX(Banco!$A:$A,ROW())="","",INDEX(Banco!$A:$A,ROW()))</f>
        <v/>
      </c>
      <c r="B1126" s="8">
        <f>IF(INDEX(Banco!$B:$B,ROW())="","",INDEX(Banco!$B:$B,ROW()))</f>
        <v/>
      </c>
      <c r="C1126" s="8">
        <f>IF(INDEX(Banco!$C:$C,ROW())="","",INDEX(Banco!$C:$C,ROW()))</f>
        <v/>
      </c>
      <c r="D1126" s="9">
        <f>IF(INDEX(Banco!$D:$D,ROW())="","",INDEX(Banco!$D:$D,ROW()))</f>
        <v/>
      </c>
      <c r="E1126" s="9">
        <f>IF(INDEX(Banco!$E:$E,ROW())="","",INDEX(Banco!$E:$E,ROW()))</f>
        <v/>
      </c>
      <c r="F1126" s="10">
        <f>IF(INDEX(Banco!$F:$F,ROW())="","",INDEX(Banco!$F:$F,ROW()))</f>
        <v/>
      </c>
      <c r="G1126" s="10">
        <f>IF(INDEX(Banco!$G:$G,ROW())="","",INDEX(Banco!$G:$G,ROW()))</f>
        <v/>
      </c>
      <c r="H1126" s="8">
        <f>IF(INDEX(Banco!$H:$H,ROW())="","",INDEX(Banco!$H:$H,ROW()))</f>
        <v/>
      </c>
      <c r="I1126">
        <f>IF($T1126="","",INT($T1126/12)&amp;"a "&amp;MOD($T1126,12)&amp;"m")</f>
        <v/>
      </c>
      <c r="J1126" s="11">
        <f>IF(OR($F1126="",$G1126=""),"",ROUND($F1126/($G1126/100)^2,2))</f>
        <v/>
      </c>
      <c r="K1126" s="12">
        <f>IF(OR($S1126="",$J1126="",$T1126="",$T1126&lt;0,$T1126&gt;228,$Y1126=""),"—",ROUND(IF(ABS($AB1126)&lt;=3,$AB1126,IF($AB1126&gt;3,3+($J1126-$AD1126)/($AD1126-$AC1126),-3+($J1126-$AF1126)/($AE1126-$AF1126))),2))</f>
        <v/>
      </c>
      <c r="L1126">
        <f>IF(OR($K1126="",$K1126="—"),"",IF($T1126&lt;=60,IF($K1126&lt;-3,"Magreza acentuada",IF($K1126&lt;-2,"Magreza",IF($K1126&lt;=1,"Eutrofia",IF($K1126&lt;=2,"Risco de sobrepeso",IF($K1126&lt;=3,"Sobrepeso","Obesidade"))))),IF($K1126&lt;-3,"Magreza acentuada",IF($K1126&lt;-2,"Magreza",IF($K1126&lt;=1,"Eutrofia",IF($K1126&lt;=2,"Sobrepeso",IF($K1126&lt;=3,"Obesidade","Obesidade grave")))))))</f>
        <v/>
      </c>
      <c r="M1126" s="12">
        <f>IF(OR($S1126="",$V1126="",$T1126="",$T1126&lt;0,$T1126&gt;228,$AG1126=""),"—",ROUND(IF($AG1126=0,LN($V1126/$AH1126)/$AI1126,((($V1126/$AH1126)^$AG1126)-1)/($AG1126*$AI1126)),2))</f>
        <v/>
      </c>
      <c r="N1126">
        <f>IF(OR($M1126="",$M1126="—"),"",IF($M1126&lt;-3,"Muito baixa",IF($M1126&lt;-2,"Baixa","Adequada")))</f>
        <v/>
      </c>
      <c r="O1126" s="12">
        <f>IF(OR($S1126="",$F1126="",$T1126="",$T1126&lt;0,$T1126&gt;120,$AJ1126=""),"—",ROUND(IF(ABS($AM1126)&lt;=3,$AM1126,IF($AM1126&gt;3,3+($F1126-$AO1126)/($AO1126-$AN1126),-3+($F1126-$AQ1126)/($AP1126-$AQ1126))),2))</f>
        <v/>
      </c>
      <c r="P1126">
        <f>IF(OR($O1126="",$O1126="—"),"",IF($O1126&lt;-3,"Muito baixo",IF($O1126&lt;-2,"Baixo",IF($O1126&lt;=2,"Adequado","Elevado"))))</f>
        <v/>
      </c>
      <c r="Q1126" s="12">
        <f>IF(OR($S1126="",$F1126="",$T1126="",$T1126&lt;0,$T1126&gt;60,$AR1126=""),"—",ROUND(IF(ABS($AU1126)&lt;=3,$AU1126,IF($AU1126&gt;3,3+($F1126-$AW1126)/($AW1126-$AV1126),-3+($F1126-$AY1126)/($AX1126-$AY1126))),2))</f>
        <v/>
      </c>
      <c r="R1126">
        <f>IF(OR($Q1126="",$Q1126="—"),"",IF($Q1126&lt;-3,"Magreza acentuada",IF($Q1126&lt;-2,"Magreza",IF($Q1126&lt;=1,"Eutrofia",IF($Q1126&lt;=2,"Risco de sobrepeso",IF($Q1126&lt;=3,"Sobrepeso","Obesidade"))))))</f>
        <v/>
      </c>
      <c r="S1126">
        <f>IF($C1126="","",IF(UPPER(LEFT($C1126,1))="M",1,IF(UPPER(LEFT($C1126,1))="F",2,"")))</f>
        <v/>
      </c>
      <c r="T1126">
        <f>IF(OR($D1126="",$E1126=""),"",DATEDIF($D1126,$E1126,"m"))</f>
        <v/>
      </c>
      <c r="U1126">
        <f>IF(OR($D1126="",$E1126=""),"",$E1126-$D1126)</f>
        <v/>
      </c>
      <c r="V1126">
        <f>IF(OR($G1126="",$T1126=""),"",IF($T1126&lt;24,IF(LEFT(LOWER($H1126),4)="em p",$G1126+0.7,$G1126),IF(LEFT(LOWER($H1126),4)="deit",$G1126-0.7,$G1126)))</f>
        <v/>
      </c>
      <c r="W1126">
        <f>IF(OR($S1126="",$T1126=""),"",$S1126*1000000+IF($T1126&lt;=60,$U1126,$T1126))</f>
        <v/>
      </c>
      <c r="X1126">
        <f>IF(OR($S1126="",$V1126="",$T1126&gt;60,$T1126=""),"",$S1126*1000000+ROUND($V1126*10,0))</f>
        <v/>
      </c>
      <c r="Y1126">
        <f>IF($W1126="","",IFERROR(INDEX(IF($T1126&lt;=60,imc05_l,imc519_l),MATCH($W1126,IF($T1126&lt;=60,imc05_k,imc519_k),1)),""))</f>
        <v/>
      </c>
      <c r="Z1126">
        <f>IF($W1126="","",IFERROR(INDEX(IF($T1126&lt;=60,imc05_m,imc519_m),MATCH($W1126,IF($T1126&lt;=60,imc05_k,imc519_k),1)),""))</f>
        <v/>
      </c>
      <c r="AA1126">
        <f>IF($W1126="","",IFERROR(INDEX(IF($T1126&lt;=60,imc05_s,imc519_s),MATCH($W1126,IF($T1126&lt;=60,imc05_k,imc519_k),1)),""))</f>
        <v/>
      </c>
      <c r="AB1126">
        <f>IF($Y1126="","",IF($Y1126=0,LN($J1126/$Z1126)/$AA1126,((($J1126/$Z1126)^$Y1126)-1)/($Y1126*$AA1126)))</f>
        <v/>
      </c>
      <c r="AC1126">
        <f>IF($Y1126="","",IF($Y1126=0,$Z1126*EXP($AA1126*2),$Z1126*(1+$Y1126*$AA1126*2)^(1/$Y1126)))</f>
        <v/>
      </c>
      <c r="AD1126">
        <f>IF($Y1126="","",IF($Y1126=0,$Z1126*EXP($AA1126*3),$Z1126*(1+$Y1126*$AA1126*3)^(1/$Y1126)))</f>
        <v/>
      </c>
      <c r="AE1126">
        <f>IF($Y1126="","",IF($Y1126=0,$Z1126*EXP($AA1126*-2),$Z1126*(1+$Y1126*$AA1126*-2)^(1/$Y1126)))</f>
        <v/>
      </c>
      <c r="AF1126">
        <f>IF($Y1126="","",IF($Y1126=0,$Z1126*EXP($AA1126*-3),$Z1126*(1+$Y1126*$AA1126*-3)^(1/$Y1126)))</f>
        <v/>
      </c>
      <c r="AG1126">
        <f>IF($W1126="","",IFERROR(INDEX(IF($T1126&lt;=60,est05_l,est519_l),MATCH($W1126,IF($T1126&lt;=60,est05_k,est519_k),1)),""))</f>
        <v/>
      </c>
      <c r="AH1126">
        <f>IF($W1126="","",IFERROR(INDEX(IF($T1126&lt;=60,est05_m,est519_m),MATCH($W1126,IF($T1126&lt;=60,est05_k,est519_k),1)),""))</f>
        <v/>
      </c>
      <c r="AI1126">
        <f>IF($W1126="","",IFERROR(INDEX(IF($T1126&lt;=60,est05_s,est519_s),MATCH($W1126,IF($T1126&lt;=60,est05_k,est519_k),1)),""))</f>
        <v/>
      </c>
      <c r="AJ1126">
        <f>IF($W1126="","",IFERROR(INDEX(IF($T1126&lt;=60,peso05_l,peso510_l),MATCH($W1126,IF($T1126&lt;=60,peso05_k,peso510_k),1)),""))</f>
        <v/>
      </c>
      <c r="AK1126">
        <f>IF($W1126="","",IFERROR(INDEX(IF($T1126&lt;=60,peso05_m,peso510_m),MATCH($W1126,IF($T1126&lt;=60,peso05_k,peso510_k),1)),""))</f>
        <v/>
      </c>
      <c r="AL1126">
        <f>IF($W1126="","",IFERROR(INDEX(IF($T1126&lt;=60,peso05_s,peso510_s),MATCH($W1126,IF($T1126&lt;=60,peso05_k,peso510_k),1)),""))</f>
        <v/>
      </c>
      <c r="AM1126">
        <f>IF($AJ1126="","",IF($AJ1126=0,LN($F1126/$AK1126)/$AL1126,((($F1126/$AK1126)^$AJ1126)-1)/($AJ1126*$AL1126)))</f>
        <v/>
      </c>
      <c r="AN1126">
        <f>IF($AJ1126="","",IF($AJ1126=0,$AK1126*EXP($AL1126*2),$AK1126*(1+$AJ1126*$AL1126*2)^(1/$AJ1126)))</f>
        <v/>
      </c>
      <c r="AO1126">
        <f>IF($AJ1126="","",IF($AJ1126=0,$AK1126*EXP($AL1126*3),$AK1126*(1+$AJ1126*$AL1126*3)^(1/$AJ1126)))</f>
        <v/>
      </c>
      <c r="AP1126">
        <f>IF($AJ1126="","",IF($AJ1126=0,$AK1126*EXP($AL1126*-2),$AK1126*(1+$AJ1126*$AL1126*-2)^(1/$AJ1126)))</f>
        <v/>
      </c>
      <c r="AQ1126">
        <f>IF($AJ1126="","",IF($AJ1126=0,$AK1126*EXP($AL1126*-3),$AK1126*(1+$AJ1126*$AL1126*-3)^(1/$AJ1126)))</f>
        <v/>
      </c>
      <c r="AR1126">
        <f>IF(OR($X1126="",$T1126&gt;60),"",IFERROR(INDEX(IF($T1126&lt;24,pcomp_l,palt_l),MATCH($X1126,IF($T1126&lt;24,pcomp_k,palt_k),1)),""))</f>
        <v/>
      </c>
      <c r="AS1126">
        <f>IF(OR($X1126="",$T1126&gt;60),"",IFERROR(INDEX(IF($T1126&lt;24,pcomp_m,palt_m),MATCH($X1126,IF($T1126&lt;24,pcomp_k,palt_k),1)),""))</f>
        <v/>
      </c>
      <c r="AT1126">
        <f>IF(OR($X1126="",$T1126&gt;60),"",IFERROR(INDEX(IF($T1126&lt;24,pcomp_s,palt_s),MATCH($X1126,IF($T1126&lt;24,pcomp_k,palt_k),1)),""))</f>
        <v/>
      </c>
      <c r="AU1126">
        <f>IF($AR1126="","",IF($AR1126=0,LN($F1126/$AS1126)/$AT1126,((($F1126/$AS1126)^$AR1126)-1)/($AR1126*$AT1126)))</f>
        <v/>
      </c>
      <c r="AV1126">
        <f>IF($AR1126="","",IF($AR1126=0,$AS1126*EXP($AT1126*2),$AS1126*(1+$AR1126*$AT1126*2)^(1/$AR1126)))</f>
        <v/>
      </c>
      <c r="AW1126">
        <f>IF($AR1126="","",IF($AR1126=0,$AS1126*EXP($AT1126*3),$AS1126*(1+$AR1126*$AT1126*3)^(1/$AR1126)))</f>
        <v/>
      </c>
      <c r="AX1126">
        <f>IF($AR1126="","",IF($AR1126=0,$AS1126*EXP($AT1126*-2),$AS1126*(1+$AR1126*$AT1126*-2)^(1/$AR1126)))</f>
        <v/>
      </c>
      <c r="AY1126">
        <f>IF($AR1126="","",IF($AR1126=0,$AS1126*EXP($AT1126*-3),$AS1126*(1+$AR1126*$AT1126*-3)^(1/$AR1126)))</f>
        <v/>
      </c>
      <c r="AZ1126">
        <f>IF(OR($A1126="",$A1126&lt;&gt;Ficha!$C$4),"",COUNTIF($A$2:$A1126,Ficha!$C$4))</f>
        <v/>
      </c>
    </row>
    <row r="1127">
      <c r="A1127" s="8">
        <f>IF(INDEX(Banco!$A:$A,ROW())="","",INDEX(Banco!$A:$A,ROW()))</f>
        <v/>
      </c>
      <c r="B1127" s="8">
        <f>IF(INDEX(Banco!$B:$B,ROW())="","",INDEX(Banco!$B:$B,ROW()))</f>
        <v/>
      </c>
      <c r="C1127" s="8">
        <f>IF(INDEX(Banco!$C:$C,ROW())="","",INDEX(Banco!$C:$C,ROW()))</f>
        <v/>
      </c>
      <c r="D1127" s="9">
        <f>IF(INDEX(Banco!$D:$D,ROW())="","",INDEX(Banco!$D:$D,ROW()))</f>
        <v/>
      </c>
      <c r="E1127" s="9">
        <f>IF(INDEX(Banco!$E:$E,ROW())="","",INDEX(Banco!$E:$E,ROW()))</f>
        <v/>
      </c>
      <c r="F1127" s="10">
        <f>IF(INDEX(Banco!$F:$F,ROW())="","",INDEX(Banco!$F:$F,ROW()))</f>
        <v/>
      </c>
      <c r="G1127" s="10">
        <f>IF(INDEX(Banco!$G:$G,ROW())="","",INDEX(Banco!$G:$G,ROW()))</f>
        <v/>
      </c>
      <c r="H1127" s="8">
        <f>IF(INDEX(Banco!$H:$H,ROW())="","",INDEX(Banco!$H:$H,ROW()))</f>
        <v/>
      </c>
      <c r="I1127">
        <f>IF($T1127="","",INT($T1127/12)&amp;"a "&amp;MOD($T1127,12)&amp;"m")</f>
        <v/>
      </c>
      <c r="J1127" s="11">
        <f>IF(OR($F1127="",$G1127=""),"",ROUND($F1127/($G1127/100)^2,2))</f>
        <v/>
      </c>
      <c r="K1127" s="12">
        <f>IF(OR($S1127="",$J1127="",$T1127="",$T1127&lt;0,$T1127&gt;228,$Y1127=""),"—",ROUND(IF(ABS($AB1127)&lt;=3,$AB1127,IF($AB1127&gt;3,3+($J1127-$AD1127)/($AD1127-$AC1127),-3+($J1127-$AF1127)/($AE1127-$AF1127))),2))</f>
        <v/>
      </c>
      <c r="L1127">
        <f>IF(OR($K1127="",$K1127="—"),"",IF($T1127&lt;=60,IF($K1127&lt;-3,"Magreza acentuada",IF($K1127&lt;-2,"Magreza",IF($K1127&lt;=1,"Eutrofia",IF($K1127&lt;=2,"Risco de sobrepeso",IF($K1127&lt;=3,"Sobrepeso","Obesidade"))))),IF($K1127&lt;-3,"Magreza acentuada",IF($K1127&lt;-2,"Magreza",IF($K1127&lt;=1,"Eutrofia",IF($K1127&lt;=2,"Sobrepeso",IF($K1127&lt;=3,"Obesidade","Obesidade grave")))))))</f>
        <v/>
      </c>
      <c r="M1127" s="12">
        <f>IF(OR($S1127="",$V1127="",$T1127="",$T1127&lt;0,$T1127&gt;228,$AG1127=""),"—",ROUND(IF($AG1127=0,LN($V1127/$AH1127)/$AI1127,((($V1127/$AH1127)^$AG1127)-1)/($AG1127*$AI1127)),2))</f>
        <v/>
      </c>
      <c r="N1127">
        <f>IF(OR($M1127="",$M1127="—"),"",IF($M1127&lt;-3,"Muito baixa",IF($M1127&lt;-2,"Baixa","Adequada")))</f>
        <v/>
      </c>
      <c r="O1127" s="12">
        <f>IF(OR($S1127="",$F1127="",$T1127="",$T1127&lt;0,$T1127&gt;120,$AJ1127=""),"—",ROUND(IF(ABS($AM1127)&lt;=3,$AM1127,IF($AM1127&gt;3,3+($F1127-$AO1127)/($AO1127-$AN1127),-3+($F1127-$AQ1127)/($AP1127-$AQ1127))),2))</f>
        <v/>
      </c>
      <c r="P1127">
        <f>IF(OR($O1127="",$O1127="—"),"",IF($O1127&lt;-3,"Muito baixo",IF($O1127&lt;-2,"Baixo",IF($O1127&lt;=2,"Adequado","Elevado"))))</f>
        <v/>
      </c>
      <c r="Q1127" s="12">
        <f>IF(OR($S1127="",$F1127="",$T1127="",$T1127&lt;0,$T1127&gt;60,$AR1127=""),"—",ROUND(IF(ABS($AU1127)&lt;=3,$AU1127,IF($AU1127&gt;3,3+($F1127-$AW1127)/($AW1127-$AV1127),-3+($F1127-$AY1127)/($AX1127-$AY1127))),2))</f>
        <v/>
      </c>
      <c r="R1127">
        <f>IF(OR($Q1127="",$Q1127="—"),"",IF($Q1127&lt;-3,"Magreza acentuada",IF($Q1127&lt;-2,"Magreza",IF($Q1127&lt;=1,"Eutrofia",IF($Q1127&lt;=2,"Risco de sobrepeso",IF($Q1127&lt;=3,"Sobrepeso","Obesidade"))))))</f>
        <v/>
      </c>
      <c r="S1127">
        <f>IF($C1127="","",IF(UPPER(LEFT($C1127,1))="M",1,IF(UPPER(LEFT($C1127,1))="F",2,"")))</f>
        <v/>
      </c>
      <c r="T1127">
        <f>IF(OR($D1127="",$E1127=""),"",DATEDIF($D1127,$E1127,"m"))</f>
        <v/>
      </c>
      <c r="U1127">
        <f>IF(OR($D1127="",$E1127=""),"",$E1127-$D1127)</f>
        <v/>
      </c>
      <c r="V1127">
        <f>IF(OR($G1127="",$T1127=""),"",IF($T1127&lt;24,IF(LEFT(LOWER($H1127),4)="em p",$G1127+0.7,$G1127),IF(LEFT(LOWER($H1127),4)="deit",$G1127-0.7,$G1127)))</f>
        <v/>
      </c>
      <c r="W1127">
        <f>IF(OR($S1127="",$T1127=""),"",$S1127*1000000+IF($T1127&lt;=60,$U1127,$T1127))</f>
        <v/>
      </c>
      <c r="X1127">
        <f>IF(OR($S1127="",$V1127="",$T1127&gt;60,$T1127=""),"",$S1127*1000000+ROUND($V1127*10,0))</f>
        <v/>
      </c>
      <c r="Y1127">
        <f>IF($W1127="","",IFERROR(INDEX(IF($T1127&lt;=60,imc05_l,imc519_l),MATCH($W1127,IF($T1127&lt;=60,imc05_k,imc519_k),1)),""))</f>
        <v/>
      </c>
      <c r="Z1127">
        <f>IF($W1127="","",IFERROR(INDEX(IF($T1127&lt;=60,imc05_m,imc519_m),MATCH($W1127,IF($T1127&lt;=60,imc05_k,imc519_k),1)),""))</f>
        <v/>
      </c>
      <c r="AA1127">
        <f>IF($W1127="","",IFERROR(INDEX(IF($T1127&lt;=60,imc05_s,imc519_s),MATCH($W1127,IF($T1127&lt;=60,imc05_k,imc519_k),1)),""))</f>
        <v/>
      </c>
      <c r="AB1127">
        <f>IF($Y1127="","",IF($Y1127=0,LN($J1127/$Z1127)/$AA1127,((($J1127/$Z1127)^$Y1127)-1)/($Y1127*$AA1127)))</f>
        <v/>
      </c>
      <c r="AC1127">
        <f>IF($Y1127="","",IF($Y1127=0,$Z1127*EXP($AA1127*2),$Z1127*(1+$Y1127*$AA1127*2)^(1/$Y1127)))</f>
        <v/>
      </c>
      <c r="AD1127">
        <f>IF($Y1127="","",IF($Y1127=0,$Z1127*EXP($AA1127*3),$Z1127*(1+$Y1127*$AA1127*3)^(1/$Y1127)))</f>
        <v/>
      </c>
      <c r="AE1127">
        <f>IF($Y1127="","",IF($Y1127=0,$Z1127*EXP($AA1127*-2),$Z1127*(1+$Y1127*$AA1127*-2)^(1/$Y1127)))</f>
        <v/>
      </c>
      <c r="AF1127">
        <f>IF($Y1127="","",IF($Y1127=0,$Z1127*EXP($AA1127*-3),$Z1127*(1+$Y1127*$AA1127*-3)^(1/$Y1127)))</f>
        <v/>
      </c>
      <c r="AG1127">
        <f>IF($W1127="","",IFERROR(INDEX(IF($T1127&lt;=60,est05_l,est519_l),MATCH($W1127,IF($T1127&lt;=60,est05_k,est519_k),1)),""))</f>
        <v/>
      </c>
      <c r="AH1127">
        <f>IF($W1127="","",IFERROR(INDEX(IF($T1127&lt;=60,est05_m,est519_m),MATCH($W1127,IF($T1127&lt;=60,est05_k,est519_k),1)),""))</f>
        <v/>
      </c>
      <c r="AI1127">
        <f>IF($W1127="","",IFERROR(INDEX(IF($T1127&lt;=60,est05_s,est519_s),MATCH($W1127,IF($T1127&lt;=60,est05_k,est519_k),1)),""))</f>
        <v/>
      </c>
      <c r="AJ1127">
        <f>IF($W1127="","",IFERROR(INDEX(IF($T1127&lt;=60,peso05_l,peso510_l),MATCH($W1127,IF($T1127&lt;=60,peso05_k,peso510_k),1)),""))</f>
        <v/>
      </c>
      <c r="AK1127">
        <f>IF($W1127="","",IFERROR(INDEX(IF($T1127&lt;=60,peso05_m,peso510_m),MATCH($W1127,IF($T1127&lt;=60,peso05_k,peso510_k),1)),""))</f>
        <v/>
      </c>
      <c r="AL1127">
        <f>IF($W1127="","",IFERROR(INDEX(IF($T1127&lt;=60,peso05_s,peso510_s),MATCH($W1127,IF($T1127&lt;=60,peso05_k,peso510_k),1)),""))</f>
        <v/>
      </c>
      <c r="AM1127">
        <f>IF($AJ1127="","",IF($AJ1127=0,LN($F1127/$AK1127)/$AL1127,((($F1127/$AK1127)^$AJ1127)-1)/($AJ1127*$AL1127)))</f>
        <v/>
      </c>
      <c r="AN1127">
        <f>IF($AJ1127="","",IF($AJ1127=0,$AK1127*EXP($AL1127*2),$AK1127*(1+$AJ1127*$AL1127*2)^(1/$AJ1127)))</f>
        <v/>
      </c>
      <c r="AO1127">
        <f>IF($AJ1127="","",IF($AJ1127=0,$AK1127*EXP($AL1127*3),$AK1127*(1+$AJ1127*$AL1127*3)^(1/$AJ1127)))</f>
        <v/>
      </c>
      <c r="AP1127">
        <f>IF($AJ1127="","",IF($AJ1127=0,$AK1127*EXP($AL1127*-2),$AK1127*(1+$AJ1127*$AL1127*-2)^(1/$AJ1127)))</f>
        <v/>
      </c>
      <c r="AQ1127">
        <f>IF($AJ1127="","",IF($AJ1127=0,$AK1127*EXP($AL1127*-3),$AK1127*(1+$AJ1127*$AL1127*-3)^(1/$AJ1127)))</f>
        <v/>
      </c>
      <c r="AR1127">
        <f>IF(OR($X1127="",$T1127&gt;60),"",IFERROR(INDEX(IF($T1127&lt;24,pcomp_l,palt_l),MATCH($X1127,IF($T1127&lt;24,pcomp_k,palt_k),1)),""))</f>
        <v/>
      </c>
      <c r="AS1127">
        <f>IF(OR($X1127="",$T1127&gt;60),"",IFERROR(INDEX(IF($T1127&lt;24,pcomp_m,palt_m),MATCH($X1127,IF($T1127&lt;24,pcomp_k,palt_k),1)),""))</f>
        <v/>
      </c>
      <c r="AT1127">
        <f>IF(OR($X1127="",$T1127&gt;60),"",IFERROR(INDEX(IF($T1127&lt;24,pcomp_s,palt_s),MATCH($X1127,IF($T1127&lt;24,pcomp_k,palt_k),1)),""))</f>
        <v/>
      </c>
      <c r="AU1127">
        <f>IF($AR1127="","",IF($AR1127=0,LN($F1127/$AS1127)/$AT1127,((($F1127/$AS1127)^$AR1127)-1)/($AR1127*$AT1127)))</f>
        <v/>
      </c>
      <c r="AV1127">
        <f>IF($AR1127="","",IF($AR1127=0,$AS1127*EXP($AT1127*2),$AS1127*(1+$AR1127*$AT1127*2)^(1/$AR1127)))</f>
        <v/>
      </c>
      <c r="AW1127">
        <f>IF($AR1127="","",IF($AR1127=0,$AS1127*EXP($AT1127*3),$AS1127*(1+$AR1127*$AT1127*3)^(1/$AR1127)))</f>
        <v/>
      </c>
      <c r="AX1127">
        <f>IF($AR1127="","",IF($AR1127=0,$AS1127*EXP($AT1127*-2),$AS1127*(1+$AR1127*$AT1127*-2)^(1/$AR1127)))</f>
        <v/>
      </c>
      <c r="AY1127">
        <f>IF($AR1127="","",IF($AR1127=0,$AS1127*EXP($AT1127*-3),$AS1127*(1+$AR1127*$AT1127*-3)^(1/$AR1127)))</f>
        <v/>
      </c>
      <c r="AZ1127">
        <f>IF(OR($A1127="",$A1127&lt;&gt;Ficha!$C$4),"",COUNTIF($A$2:$A1127,Ficha!$C$4))</f>
        <v/>
      </c>
    </row>
    <row r="1128">
      <c r="A1128" s="8">
        <f>IF(INDEX(Banco!$A:$A,ROW())="","",INDEX(Banco!$A:$A,ROW()))</f>
        <v/>
      </c>
      <c r="B1128" s="8">
        <f>IF(INDEX(Banco!$B:$B,ROW())="","",INDEX(Banco!$B:$B,ROW()))</f>
        <v/>
      </c>
      <c r="C1128" s="8">
        <f>IF(INDEX(Banco!$C:$C,ROW())="","",INDEX(Banco!$C:$C,ROW()))</f>
        <v/>
      </c>
      <c r="D1128" s="9">
        <f>IF(INDEX(Banco!$D:$D,ROW())="","",INDEX(Banco!$D:$D,ROW()))</f>
        <v/>
      </c>
      <c r="E1128" s="9">
        <f>IF(INDEX(Banco!$E:$E,ROW())="","",INDEX(Banco!$E:$E,ROW()))</f>
        <v/>
      </c>
      <c r="F1128" s="10">
        <f>IF(INDEX(Banco!$F:$F,ROW())="","",INDEX(Banco!$F:$F,ROW()))</f>
        <v/>
      </c>
      <c r="G1128" s="10">
        <f>IF(INDEX(Banco!$G:$G,ROW())="","",INDEX(Banco!$G:$G,ROW()))</f>
        <v/>
      </c>
      <c r="H1128" s="8">
        <f>IF(INDEX(Banco!$H:$H,ROW())="","",INDEX(Banco!$H:$H,ROW()))</f>
        <v/>
      </c>
      <c r="I1128">
        <f>IF($T1128="","",INT($T1128/12)&amp;"a "&amp;MOD($T1128,12)&amp;"m")</f>
        <v/>
      </c>
      <c r="J1128" s="11">
        <f>IF(OR($F1128="",$G1128=""),"",ROUND($F1128/($G1128/100)^2,2))</f>
        <v/>
      </c>
      <c r="K1128" s="12">
        <f>IF(OR($S1128="",$J1128="",$T1128="",$T1128&lt;0,$T1128&gt;228,$Y1128=""),"—",ROUND(IF(ABS($AB1128)&lt;=3,$AB1128,IF($AB1128&gt;3,3+($J1128-$AD1128)/($AD1128-$AC1128),-3+($J1128-$AF1128)/($AE1128-$AF1128))),2))</f>
        <v/>
      </c>
      <c r="L1128">
        <f>IF(OR($K1128="",$K1128="—"),"",IF($T1128&lt;=60,IF($K1128&lt;-3,"Magreza acentuada",IF($K1128&lt;-2,"Magreza",IF($K1128&lt;=1,"Eutrofia",IF($K1128&lt;=2,"Risco de sobrepeso",IF($K1128&lt;=3,"Sobrepeso","Obesidade"))))),IF($K1128&lt;-3,"Magreza acentuada",IF($K1128&lt;-2,"Magreza",IF($K1128&lt;=1,"Eutrofia",IF($K1128&lt;=2,"Sobrepeso",IF($K1128&lt;=3,"Obesidade","Obesidade grave")))))))</f>
        <v/>
      </c>
      <c r="M1128" s="12">
        <f>IF(OR($S1128="",$V1128="",$T1128="",$T1128&lt;0,$T1128&gt;228,$AG1128=""),"—",ROUND(IF($AG1128=0,LN($V1128/$AH1128)/$AI1128,((($V1128/$AH1128)^$AG1128)-1)/($AG1128*$AI1128)),2))</f>
        <v/>
      </c>
      <c r="N1128">
        <f>IF(OR($M1128="",$M1128="—"),"",IF($M1128&lt;-3,"Muito baixa",IF($M1128&lt;-2,"Baixa","Adequada")))</f>
        <v/>
      </c>
      <c r="O1128" s="12">
        <f>IF(OR($S1128="",$F1128="",$T1128="",$T1128&lt;0,$T1128&gt;120,$AJ1128=""),"—",ROUND(IF(ABS($AM1128)&lt;=3,$AM1128,IF($AM1128&gt;3,3+($F1128-$AO1128)/($AO1128-$AN1128),-3+($F1128-$AQ1128)/($AP1128-$AQ1128))),2))</f>
        <v/>
      </c>
      <c r="P1128">
        <f>IF(OR($O1128="",$O1128="—"),"",IF($O1128&lt;-3,"Muito baixo",IF($O1128&lt;-2,"Baixo",IF($O1128&lt;=2,"Adequado","Elevado"))))</f>
        <v/>
      </c>
      <c r="Q1128" s="12">
        <f>IF(OR($S1128="",$F1128="",$T1128="",$T1128&lt;0,$T1128&gt;60,$AR1128=""),"—",ROUND(IF(ABS($AU1128)&lt;=3,$AU1128,IF($AU1128&gt;3,3+($F1128-$AW1128)/($AW1128-$AV1128),-3+($F1128-$AY1128)/($AX1128-$AY1128))),2))</f>
        <v/>
      </c>
      <c r="R1128">
        <f>IF(OR($Q1128="",$Q1128="—"),"",IF($Q1128&lt;-3,"Magreza acentuada",IF($Q1128&lt;-2,"Magreza",IF($Q1128&lt;=1,"Eutrofia",IF($Q1128&lt;=2,"Risco de sobrepeso",IF($Q1128&lt;=3,"Sobrepeso","Obesidade"))))))</f>
        <v/>
      </c>
      <c r="S1128">
        <f>IF($C1128="","",IF(UPPER(LEFT($C1128,1))="M",1,IF(UPPER(LEFT($C1128,1))="F",2,"")))</f>
        <v/>
      </c>
      <c r="T1128">
        <f>IF(OR($D1128="",$E1128=""),"",DATEDIF($D1128,$E1128,"m"))</f>
        <v/>
      </c>
      <c r="U1128">
        <f>IF(OR($D1128="",$E1128=""),"",$E1128-$D1128)</f>
        <v/>
      </c>
      <c r="V1128">
        <f>IF(OR($G1128="",$T1128=""),"",IF($T1128&lt;24,IF(LEFT(LOWER($H1128),4)="em p",$G1128+0.7,$G1128),IF(LEFT(LOWER($H1128),4)="deit",$G1128-0.7,$G1128)))</f>
        <v/>
      </c>
      <c r="W1128">
        <f>IF(OR($S1128="",$T1128=""),"",$S1128*1000000+IF($T1128&lt;=60,$U1128,$T1128))</f>
        <v/>
      </c>
      <c r="X1128">
        <f>IF(OR($S1128="",$V1128="",$T1128&gt;60,$T1128=""),"",$S1128*1000000+ROUND($V1128*10,0))</f>
        <v/>
      </c>
      <c r="Y1128">
        <f>IF($W1128="","",IFERROR(INDEX(IF($T1128&lt;=60,imc05_l,imc519_l),MATCH($W1128,IF($T1128&lt;=60,imc05_k,imc519_k),1)),""))</f>
        <v/>
      </c>
      <c r="Z1128">
        <f>IF($W1128="","",IFERROR(INDEX(IF($T1128&lt;=60,imc05_m,imc519_m),MATCH($W1128,IF($T1128&lt;=60,imc05_k,imc519_k),1)),""))</f>
        <v/>
      </c>
      <c r="AA1128">
        <f>IF($W1128="","",IFERROR(INDEX(IF($T1128&lt;=60,imc05_s,imc519_s),MATCH($W1128,IF($T1128&lt;=60,imc05_k,imc519_k),1)),""))</f>
        <v/>
      </c>
      <c r="AB1128">
        <f>IF($Y1128="","",IF($Y1128=0,LN($J1128/$Z1128)/$AA1128,((($J1128/$Z1128)^$Y1128)-1)/($Y1128*$AA1128)))</f>
        <v/>
      </c>
      <c r="AC1128">
        <f>IF($Y1128="","",IF($Y1128=0,$Z1128*EXP($AA1128*2),$Z1128*(1+$Y1128*$AA1128*2)^(1/$Y1128)))</f>
        <v/>
      </c>
      <c r="AD1128">
        <f>IF($Y1128="","",IF($Y1128=0,$Z1128*EXP($AA1128*3),$Z1128*(1+$Y1128*$AA1128*3)^(1/$Y1128)))</f>
        <v/>
      </c>
      <c r="AE1128">
        <f>IF($Y1128="","",IF($Y1128=0,$Z1128*EXP($AA1128*-2),$Z1128*(1+$Y1128*$AA1128*-2)^(1/$Y1128)))</f>
        <v/>
      </c>
      <c r="AF1128">
        <f>IF($Y1128="","",IF($Y1128=0,$Z1128*EXP($AA1128*-3),$Z1128*(1+$Y1128*$AA1128*-3)^(1/$Y1128)))</f>
        <v/>
      </c>
      <c r="AG1128">
        <f>IF($W1128="","",IFERROR(INDEX(IF($T1128&lt;=60,est05_l,est519_l),MATCH($W1128,IF($T1128&lt;=60,est05_k,est519_k),1)),""))</f>
        <v/>
      </c>
      <c r="AH1128">
        <f>IF($W1128="","",IFERROR(INDEX(IF($T1128&lt;=60,est05_m,est519_m),MATCH($W1128,IF($T1128&lt;=60,est05_k,est519_k),1)),""))</f>
        <v/>
      </c>
      <c r="AI1128">
        <f>IF($W1128="","",IFERROR(INDEX(IF($T1128&lt;=60,est05_s,est519_s),MATCH($W1128,IF($T1128&lt;=60,est05_k,est519_k),1)),""))</f>
        <v/>
      </c>
      <c r="AJ1128">
        <f>IF($W1128="","",IFERROR(INDEX(IF($T1128&lt;=60,peso05_l,peso510_l),MATCH($W1128,IF($T1128&lt;=60,peso05_k,peso510_k),1)),""))</f>
        <v/>
      </c>
      <c r="AK1128">
        <f>IF($W1128="","",IFERROR(INDEX(IF($T1128&lt;=60,peso05_m,peso510_m),MATCH($W1128,IF($T1128&lt;=60,peso05_k,peso510_k),1)),""))</f>
        <v/>
      </c>
      <c r="AL1128">
        <f>IF($W1128="","",IFERROR(INDEX(IF($T1128&lt;=60,peso05_s,peso510_s),MATCH($W1128,IF($T1128&lt;=60,peso05_k,peso510_k),1)),""))</f>
        <v/>
      </c>
      <c r="AM1128">
        <f>IF($AJ1128="","",IF($AJ1128=0,LN($F1128/$AK1128)/$AL1128,((($F1128/$AK1128)^$AJ1128)-1)/($AJ1128*$AL1128)))</f>
        <v/>
      </c>
      <c r="AN1128">
        <f>IF($AJ1128="","",IF($AJ1128=0,$AK1128*EXP($AL1128*2),$AK1128*(1+$AJ1128*$AL1128*2)^(1/$AJ1128)))</f>
        <v/>
      </c>
      <c r="AO1128">
        <f>IF($AJ1128="","",IF($AJ1128=0,$AK1128*EXP($AL1128*3),$AK1128*(1+$AJ1128*$AL1128*3)^(1/$AJ1128)))</f>
        <v/>
      </c>
      <c r="AP1128">
        <f>IF($AJ1128="","",IF($AJ1128=0,$AK1128*EXP($AL1128*-2),$AK1128*(1+$AJ1128*$AL1128*-2)^(1/$AJ1128)))</f>
        <v/>
      </c>
      <c r="AQ1128">
        <f>IF($AJ1128="","",IF($AJ1128=0,$AK1128*EXP($AL1128*-3),$AK1128*(1+$AJ1128*$AL1128*-3)^(1/$AJ1128)))</f>
        <v/>
      </c>
      <c r="AR1128">
        <f>IF(OR($X1128="",$T1128&gt;60),"",IFERROR(INDEX(IF($T1128&lt;24,pcomp_l,palt_l),MATCH($X1128,IF($T1128&lt;24,pcomp_k,palt_k),1)),""))</f>
        <v/>
      </c>
      <c r="AS1128">
        <f>IF(OR($X1128="",$T1128&gt;60),"",IFERROR(INDEX(IF($T1128&lt;24,pcomp_m,palt_m),MATCH($X1128,IF($T1128&lt;24,pcomp_k,palt_k),1)),""))</f>
        <v/>
      </c>
      <c r="AT1128">
        <f>IF(OR($X1128="",$T1128&gt;60),"",IFERROR(INDEX(IF($T1128&lt;24,pcomp_s,palt_s),MATCH($X1128,IF($T1128&lt;24,pcomp_k,palt_k),1)),""))</f>
        <v/>
      </c>
      <c r="AU1128">
        <f>IF($AR1128="","",IF($AR1128=0,LN($F1128/$AS1128)/$AT1128,((($F1128/$AS1128)^$AR1128)-1)/($AR1128*$AT1128)))</f>
        <v/>
      </c>
      <c r="AV1128">
        <f>IF($AR1128="","",IF($AR1128=0,$AS1128*EXP($AT1128*2),$AS1128*(1+$AR1128*$AT1128*2)^(1/$AR1128)))</f>
        <v/>
      </c>
      <c r="AW1128">
        <f>IF($AR1128="","",IF($AR1128=0,$AS1128*EXP($AT1128*3),$AS1128*(1+$AR1128*$AT1128*3)^(1/$AR1128)))</f>
        <v/>
      </c>
      <c r="AX1128">
        <f>IF($AR1128="","",IF($AR1128=0,$AS1128*EXP($AT1128*-2),$AS1128*(1+$AR1128*$AT1128*-2)^(1/$AR1128)))</f>
        <v/>
      </c>
      <c r="AY1128">
        <f>IF($AR1128="","",IF($AR1128=0,$AS1128*EXP($AT1128*-3),$AS1128*(1+$AR1128*$AT1128*-3)^(1/$AR1128)))</f>
        <v/>
      </c>
      <c r="AZ1128">
        <f>IF(OR($A1128="",$A1128&lt;&gt;Ficha!$C$4),"",COUNTIF($A$2:$A1128,Ficha!$C$4))</f>
        <v/>
      </c>
    </row>
    <row r="1129">
      <c r="A1129" s="8">
        <f>IF(INDEX(Banco!$A:$A,ROW())="","",INDEX(Banco!$A:$A,ROW()))</f>
        <v/>
      </c>
      <c r="B1129" s="8">
        <f>IF(INDEX(Banco!$B:$B,ROW())="","",INDEX(Banco!$B:$B,ROW()))</f>
        <v/>
      </c>
      <c r="C1129" s="8">
        <f>IF(INDEX(Banco!$C:$C,ROW())="","",INDEX(Banco!$C:$C,ROW()))</f>
        <v/>
      </c>
      <c r="D1129" s="9">
        <f>IF(INDEX(Banco!$D:$D,ROW())="","",INDEX(Banco!$D:$D,ROW()))</f>
        <v/>
      </c>
      <c r="E1129" s="9">
        <f>IF(INDEX(Banco!$E:$E,ROW())="","",INDEX(Banco!$E:$E,ROW()))</f>
        <v/>
      </c>
      <c r="F1129" s="10">
        <f>IF(INDEX(Banco!$F:$F,ROW())="","",INDEX(Banco!$F:$F,ROW()))</f>
        <v/>
      </c>
      <c r="G1129" s="10">
        <f>IF(INDEX(Banco!$G:$G,ROW())="","",INDEX(Banco!$G:$G,ROW()))</f>
        <v/>
      </c>
      <c r="H1129" s="8">
        <f>IF(INDEX(Banco!$H:$H,ROW())="","",INDEX(Banco!$H:$H,ROW()))</f>
        <v/>
      </c>
      <c r="I1129">
        <f>IF($T1129="","",INT($T1129/12)&amp;"a "&amp;MOD($T1129,12)&amp;"m")</f>
        <v/>
      </c>
      <c r="J1129" s="11">
        <f>IF(OR($F1129="",$G1129=""),"",ROUND($F1129/($G1129/100)^2,2))</f>
        <v/>
      </c>
      <c r="K1129" s="12">
        <f>IF(OR($S1129="",$J1129="",$T1129="",$T1129&lt;0,$T1129&gt;228,$Y1129=""),"—",ROUND(IF(ABS($AB1129)&lt;=3,$AB1129,IF($AB1129&gt;3,3+($J1129-$AD1129)/($AD1129-$AC1129),-3+($J1129-$AF1129)/($AE1129-$AF1129))),2))</f>
        <v/>
      </c>
      <c r="L1129">
        <f>IF(OR($K1129="",$K1129="—"),"",IF($T1129&lt;=60,IF($K1129&lt;-3,"Magreza acentuada",IF($K1129&lt;-2,"Magreza",IF($K1129&lt;=1,"Eutrofia",IF($K1129&lt;=2,"Risco de sobrepeso",IF($K1129&lt;=3,"Sobrepeso","Obesidade"))))),IF($K1129&lt;-3,"Magreza acentuada",IF($K1129&lt;-2,"Magreza",IF($K1129&lt;=1,"Eutrofia",IF($K1129&lt;=2,"Sobrepeso",IF($K1129&lt;=3,"Obesidade","Obesidade grave")))))))</f>
        <v/>
      </c>
      <c r="M1129" s="12">
        <f>IF(OR($S1129="",$V1129="",$T1129="",$T1129&lt;0,$T1129&gt;228,$AG1129=""),"—",ROUND(IF($AG1129=0,LN($V1129/$AH1129)/$AI1129,((($V1129/$AH1129)^$AG1129)-1)/($AG1129*$AI1129)),2))</f>
        <v/>
      </c>
      <c r="N1129">
        <f>IF(OR($M1129="",$M1129="—"),"",IF($M1129&lt;-3,"Muito baixa",IF($M1129&lt;-2,"Baixa","Adequada")))</f>
        <v/>
      </c>
      <c r="O1129" s="12">
        <f>IF(OR($S1129="",$F1129="",$T1129="",$T1129&lt;0,$T1129&gt;120,$AJ1129=""),"—",ROUND(IF(ABS($AM1129)&lt;=3,$AM1129,IF($AM1129&gt;3,3+($F1129-$AO1129)/($AO1129-$AN1129),-3+($F1129-$AQ1129)/($AP1129-$AQ1129))),2))</f>
        <v/>
      </c>
      <c r="P1129">
        <f>IF(OR($O1129="",$O1129="—"),"",IF($O1129&lt;-3,"Muito baixo",IF($O1129&lt;-2,"Baixo",IF($O1129&lt;=2,"Adequado","Elevado"))))</f>
        <v/>
      </c>
      <c r="Q1129" s="12">
        <f>IF(OR($S1129="",$F1129="",$T1129="",$T1129&lt;0,$T1129&gt;60,$AR1129=""),"—",ROUND(IF(ABS($AU1129)&lt;=3,$AU1129,IF($AU1129&gt;3,3+($F1129-$AW1129)/($AW1129-$AV1129),-3+($F1129-$AY1129)/($AX1129-$AY1129))),2))</f>
        <v/>
      </c>
      <c r="R1129">
        <f>IF(OR($Q1129="",$Q1129="—"),"",IF($Q1129&lt;-3,"Magreza acentuada",IF($Q1129&lt;-2,"Magreza",IF($Q1129&lt;=1,"Eutrofia",IF($Q1129&lt;=2,"Risco de sobrepeso",IF($Q1129&lt;=3,"Sobrepeso","Obesidade"))))))</f>
        <v/>
      </c>
      <c r="S1129">
        <f>IF($C1129="","",IF(UPPER(LEFT($C1129,1))="M",1,IF(UPPER(LEFT($C1129,1))="F",2,"")))</f>
        <v/>
      </c>
      <c r="T1129">
        <f>IF(OR($D1129="",$E1129=""),"",DATEDIF($D1129,$E1129,"m"))</f>
        <v/>
      </c>
      <c r="U1129">
        <f>IF(OR($D1129="",$E1129=""),"",$E1129-$D1129)</f>
        <v/>
      </c>
      <c r="V1129">
        <f>IF(OR($G1129="",$T1129=""),"",IF($T1129&lt;24,IF(LEFT(LOWER($H1129),4)="em p",$G1129+0.7,$G1129),IF(LEFT(LOWER($H1129),4)="deit",$G1129-0.7,$G1129)))</f>
        <v/>
      </c>
      <c r="W1129">
        <f>IF(OR($S1129="",$T1129=""),"",$S1129*1000000+IF($T1129&lt;=60,$U1129,$T1129))</f>
        <v/>
      </c>
      <c r="X1129">
        <f>IF(OR($S1129="",$V1129="",$T1129&gt;60,$T1129=""),"",$S1129*1000000+ROUND($V1129*10,0))</f>
        <v/>
      </c>
      <c r="Y1129">
        <f>IF($W1129="","",IFERROR(INDEX(IF($T1129&lt;=60,imc05_l,imc519_l),MATCH($W1129,IF($T1129&lt;=60,imc05_k,imc519_k),1)),""))</f>
        <v/>
      </c>
      <c r="Z1129">
        <f>IF($W1129="","",IFERROR(INDEX(IF($T1129&lt;=60,imc05_m,imc519_m),MATCH($W1129,IF($T1129&lt;=60,imc05_k,imc519_k),1)),""))</f>
        <v/>
      </c>
      <c r="AA1129">
        <f>IF($W1129="","",IFERROR(INDEX(IF($T1129&lt;=60,imc05_s,imc519_s),MATCH($W1129,IF($T1129&lt;=60,imc05_k,imc519_k),1)),""))</f>
        <v/>
      </c>
      <c r="AB1129">
        <f>IF($Y1129="","",IF($Y1129=0,LN($J1129/$Z1129)/$AA1129,((($J1129/$Z1129)^$Y1129)-1)/($Y1129*$AA1129)))</f>
        <v/>
      </c>
      <c r="AC1129">
        <f>IF($Y1129="","",IF($Y1129=0,$Z1129*EXP($AA1129*2),$Z1129*(1+$Y1129*$AA1129*2)^(1/$Y1129)))</f>
        <v/>
      </c>
      <c r="AD1129">
        <f>IF($Y1129="","",IF($Y1129=0,$Z1129*EXP($AA1129*3),$Z1129*(1+$Y1129*$AA1129*3)^(1/$Y1129)))</f>
        <v/>
      </c>
      <c r="AE1129">
        <f>IF($Y1129="","",IF($Y1129=0,$Z1129*EXP($AA1129*-2),$Z1129*(1+$Y1129*$AA1129*-2)^(1/$Y1129)))</f>
        <v/>
      </c>
      <c r="AF1129">
        <f>IF($Y1129="","",IF($Y1129=0,$Z1129*EXP($AA1129*-3),$Z1129*(1+$Y1129*$AA1129*-3)^(1/$Y1129)))</f>
        <v/>
      </c>
      <c r="AG1129">
        <f>IF($W1129="","",IFERROR(INDEX(IF($T1129&lt;=60,est05_l,est519_l),MATCH($W1129,IF($T1129&lt;=60,est05_k,est519_k),1)),""))</f>
        <v/>
      </c>
      <c r="AH1129">
        <f>IF($W1129="","",IFERROR(INDEX(IF($T1129&lt;=60,est05_m,est519_m),MATCH($W1129,IF($T1129&lt;=60,est05_k,est519_k),1)),""))</f>
        <v/>
      </c>
      <c r="AI1129">
        <f>IF($W1129="","",IFERROR(INDEX(IF($T1129&lt;=60,est05_s,est519_s),MATCH($W1129,IF($T1129&lt;=60,est05_k,est519_k),1)),""))</f>
        <v/>
      </c>
      <c r="AJ1129">
        <f>IF($W1129="","",IFERROR(INDEX(IF($T1129&lt;=60,peso05_l,peso510_l),MATCH($W1129,IF($T1129&lt;=60,peso05_k,peso510_k),1)),""))</f>
        <v/>
      </c>
      <c r="AK1129">
        <f>IF($W1129="","",IFERROR(INDEX(IF($T1129&lt;=60,peso05_m,peso510_m),MATCH($W1129,IF($T1129&lt;=60,peso05_k,peso510_k),1)),""))</f>
        <v/>
      </c>
      <c r="AL1129">
        <f>IF($W1129="","",IFERROR(INDEX(IF($T1129&lt;=60,peso05_s,peso510_s),MATCH($W1129,IF($T1129&lt;=60,peso05_k,peso510_k),1)),""))</f>
        <v/>
      </c>
      <c r="AM1129">
        <f>IF($AJ1129="","",IF($AJ1129=0,LN($F1129/$AK1129)/$AL1129,((($F1129/$AK1129)^$AJ1129)-1)/($AJ1129*$AL1129)))</f>
        <v/>
      </c>
      <c r="AN1129">
        <f>IF($AJ1129="","",IF($AJ1129=0,$AK1129*EXP($AL1129*2),$AK1129*(1+$AJ1129*$AL1129*2)^(1/$AJ1129)))</f>
        <v/>
      </c>
      <c r="AO1129">
        <f>IF($AJ1129="","",IF($AJ1129=0,$AK1129*EXP($AL1129*3),$AK1129*(1+$AJ1129*$AL1129*3)^(1/$AJ1129)))</f>
        <v/>
      </c>
      <c r="AP1129">
        <f>IF($AJ1129="","",IF($AJ1129=0,$AK1129*EXP($AL1129*-2),$AK1129*(1+$AJ1129*$AL1129*-2)^(1/$AJ1129)))</f>
        <v/>
      </c>
      <c r="AQ1129">
        <f>IF($AJ1129="","",IF($AJ1129=0,$AK1129*EXP($AL1129*-3),$AK1129*(1+$AJ1129*$AL1129*-3)^(1/$AJ1129)))</f>
        <v/>
      </c>
      <c r="AR1129">
        <f>IF(OR($X1129="",$T1129&gt;60),"",IFERROR(INDEX(IF($T1129&lt;24,pcomp_l,palt_l),MATCH($X1129,IF($T1129&lt;24,pcomp_k,palt_k),1)),""))</f>
        <v/>
      </c>
      <c r="AS1129">
        <f>IF(OR($X1129="",$T1129&gt;60),"",IFERROR(INDEX(IF($T1129&lt;24,pcomp_m,palt_m),MATCH($X1129,IF($T1129&lt;24,pcomp_k,palt_k),1)),""))</f>
        <v/>
      </c>
      <c r="AT1129">
        <f>IF(OR($X1129="",$T1129&gt;60),"",IFERROR(INDEX(IF($T1129&lt;24,pcomp_s,palt_s),MATCH($X1129,IF($T1129&lt;24,pcomp_k,palt_k),1)),""))</f>
        <v/>
      </c>
      <c r="AU1129">
        <f>IF($AR1129="","",IF($AR1129=0,LN($F1129/$AS1129)/$AT1129,((($F1129/$AS1129)^$AR1129)-1)/($AR1129*$AT1129)))</f>
        <v/>
      </c>
      <c r="AV1129">
        <f>IF($AR1129="","",IF($AR1129=0,$AS1129*EXP($AT1129*2),$AS1129*(1+$AR1129*$AT1129*2)^(1/$AR1129)))</f>
        <v/>
      </c>
      <c r="AW1129">
        <f>IF($AR1129="","",IF($AR1129=0,$AS1129*EXP($AT1129*3),$AS1129*(1+$AR1129*$AT1129*3)^(1/$AR1129)))</f>
        <v/>
      </c>
      <c r="AX1129">
        <f>IF($AR1129="","",IF($AR1129=0,$AS1129*EXP($AT1129*-2),$AS1129*(1+$AR1129*$AT1129*-2)^(1/$AR1129)))</f>
        <v/>
      </c>
      <c r="AY1129">
        <f>IF($AR1129="","",IF($AR1129=0,$AS1129*EXP($AT1129*-3),$AS1129*(1+$AR1129*$AT1129*-3)^(1/$AR1129)))</f>
        <v/>
      </c>
      <c r="AZ1129">
        <f>IF(OR($A1129="",$A1129&lt;&gt;Ficha!$C$4),"",COUNTIF($A$2:$A1129,Ficha!$C$4))</f>
        <v/>
      </c>
    </row>
    <row r="1130">
      <c r="A1130" s="8">
        <f>IF(INDEX(Banco!$A:$A,ROW())="","",INDEX(Banco!$A:$A,ROW()))</f>
        <v/>
      </c>
      <c r="B1130" s="8">
        <f>IF(INDEX(Banco!$B:$B,ROW())="","",INDEX(Banco!$B:$B,ROW()))</f>
        <v/>
      </c>
      <c r="C1130" s="8">
        <f>IF(INDEX(Banco!$C:$C,ROW())="","",INDEX(Banco!$C:$C,ROW()))</f>
        <v/>
      </c>
      <c r="D1130" s="9">
        <f>IF(INDEX(Banco!$D:$D,ROW())="","",INDEX(Banco!$D:$D,ROW()))</f>
        <v/>
      </c>
      <c r="E1130" s="9">
        <f>IF(INDEX(Banco!$E:$E,ROW())="","",INDEX(Banco!$E:$E,ROW()))</f>
        <v/>
      </c>
      <c r="F1130" s="10">
        <f>IF(INDEX(Banco!$F:$F,ROW())="","",INDEX(Banco!$F:$F,ROW()))</f>
        <v/>
      </c>
      <c r="G1130" s="10">
        <f>IF(INDEX(Banco!$G:$G,ROW())="","",INDEX(Banco!$G:$G,ROW()))</f>
        <v/>
      </c>
      <c r="H1130" s="8">
        <f>IF(INDEX(Banco!$H:$H,ROW())="","",INDEX(Banco!$H:$H,ROW()))</f>
        <v/>
      </c>
      <c r="I1130">
        <f>IF($T1130="","",INT($T1130/12)&amp;"a "&amp;MOD($T1130,12)&amp;"m")</f>
        <v/>
      </c>
      <c r="J1130" s="11">
        <f>IF(OR($F1130="",$G1130=""),"",ROUND($F1130/($G1130/100)^2,2))</f>
        <v/>
      </c>
      <c r="K1130" s="12">
        <f>IF(OR($S1130="",$J1130="",$T1130="",$T1130&lt;0,$T1130&gt;228,$Y1130=""),"—",ROUND(IF(ABS($AB1130)&lt;=3,$AB1130,IF($AB1130&gt;3,3+($J1130-$AD1130)/($AD1130-$AC1130),-3+($J1130-$AF1130)/($AE1130-$AF1130))),2))</f>
        <v/>
      </c>
      <c r="L1130">
        <f>IF(OR($K1130="",$K1130="—"),"",IF($T1130&lt;=60,IF($K1130&lt;-3,"Magreza acentuada",IF($K1130&lt;-2,"Magreza",IF($K1130&lt;=1,"Eutrofia",IF($K1130&lt;=2,"Risco de sobrepeso",IF($K1130&lt;=3,"Sobrepeso","Obesidade"))))),IF($K1130&lt;-3,"Magreza acentuada",IF($K1130&lt;-2,"Magreza",IF($K1130&lt;=1,"Eutrofia",IF($K1130&lt;=2,"Sobrepeso",IF($K1130&lt;=3,"Obesidade","Obesidade grave")))))))</f>
        <v/>
      </c>
      <c r="M1130" s="12">
        <f>IF(OR($S1130="",$V1130="",$T1130="",$T1130&lt;0,$T1130&gt;228,$AG1130=""),"—",ROUND(IF($AG1130=0,LN($V1130/$AH1130)/$AI1130,((($V1130/$AH1130)^$AG1130)-1)/($AG1130*$AI1130)),2))</f>
        <v/>
      </c>
      <c r="N1130">
        <f>IF(OR($M1130="",$M1130="—"),"",IF($M1130&lt;-3,"Muito baixa",IF($M1130&lt;-2,"Baixa","Adequada")))</f>
        <v/>
      </c>
      <c r="O1130" s="12">
        <f>IF(OR($S1130="",$F1130="",$T1130="",$T1130&lt;0,$T1130&gt;120,$AJ1130=""),"—",ROUND(IF(ABS($AM1130)&lt;=3,$AM1130,IF($AM1130&gt;3,3+($F1130-$AO1130)/($AO1130-$AN1130),-3+($F1130-$AQ1130)/($AP1130-$AQ1130))),2))</f>
        <v/>
      </c>
      <c r="P1130">
        <f>IF(OR($O1130="",$O1130="—"),"",IF($O1130&lt;-3,"Muito baixo",IF($O1130&lt;-2,"Baixo",IF($O1130&lt;=2,"Adequado","Elevado"))))</f>
        <v/>
      </c>
      <c r="Q1130" s="12">
        <f>IF(OR($S1130="",$F1130="",$T1130="",$T1130&lt;0,$T1130&gt;60,$AR1130=""),"—",ROUND(IF(ABS($AU1130)&lt;=3,$AU1130,IF($AU1130&gt;3,3+($F1130-$AW1130)/($AW1130-$AV1130),-3+($F1130-$AY1130)/($AX1130-$AY1130))),2))</f>
        <v/>
      </c>
      <c r="R1130">
        <f>IF(OR($Q1130="",$Q1130="—"),"",IF($Q1130&lt;-3,"Magreza acentuada",IF($Q1130&lt;-2,"Magreza",IF($Q1130&lt;=1,"Eutrofia",IF($Q1130&lt;=2,"Risco de sobrepeso",IF($Q1130&lt;=3,"Sobrepeso","Obesidade"))))))</f>
        <v/>
      </c>
      <c r="S1130">
        <f>IF($C1130="","",IF(UPPER(LEFT($C1130,1))="M",1,IF(UPPER(LEFT($C1130,1))="F",2,"")))</f>
        <v/>
      </c>
      <c r="T1130">
        <f>IF(OR($D1130="",$E1130=""),"",DATEDIF($D1130,$E1130,"m"))</f>
        <v/>
      </c>
      <c r="U1130">
        <f>IF(OR($D1130="",$E1130=""),"",$E1130-$D1130)</f>
        <v/>
      </c>
      <c r="V1130">
        <f>IF(OR($G1130="",$T1130=""),"",IF($T1130&lt;24,IF(LEFT(LOWER($H1130),4)="em p",$G1130+0.7,$G1130),IF(LEFT(LOWER($H1130),4)="deit",$G1130-0.7,$G1130)))</f>
        <v/>
      </c>
      <c r="W1130">
        <f>IF(OR($S1130="",$T1130=""),"",$S1130*1000000+IF($T1130&lt;=60,$U1130,$T1130))</f>
        <v/>
      </c>
      <c r="X1130">
        <f>IF(OR($S1130="",$V1130="",$T1130&gt;60,$T1130=""),"",$S1130*1000000+ROUND($V1130*10,0))</f>
        <v/>
      </c>
      <c r="Y1130">
        <f>IF($W1130="","",IFERROR(INDEX(IF($T1130&lt;=60,imc05_l,imc519_l),MATCH($W1130,IF($T1130&lt;=60,imc05_k,imc519_k),1)),""))</f>
        <v/>
      </c>
      <c r="Z1130">
        <f>IF($W1130="","",IFERROR(INDEX(IF($T1130&lt;=60,imc05_m,imc519_m),MATCH($W1130,IF($T1130&lt;=60,imc05_k,imc519_k),1)),""))</f>
        <v/>
      </c>
      <c r="AA1130">
        <f>IF($W1130="","",IFERROR(INDEX(IF($T1130&lt;=60,imc05_s,imc519_s),MATCH($W1130,IF($T1130&lt;=60,imc05_k,imc519_k),1)),""))</f>
        <v/>
      </c>
      <c r="AB1130">
        <f>IF($Y1130="","",IF($Y1130=0,LN($J1130/$Z1130)/$AA1130,((($J1130/$Z1130)^$Y1130)-1)/($Y1130*$AA1130)))</f>
        <v/>
      </c>
      <c r="AC1130">
        <f>IF($Y1130="","",IF($Y1130=0,$Z1130*EXP($AA1130*2),$Z1130*(1+$Y1130*$AA1130*2)^(1/$Y1130)))</f>
        <v/>
      </c>
      <c r="AD1130">
        <f>IF($Y1130="","",IF($Y1130=0,$Z1130*EXP($AA1130*3),$Z1130*(1+$Y1130*$AA1130*3)^(1/$Y1130)))</f>
        <v/>
      </c>
      <c r="AE1130">
        <f>IF($Y1130="","",IF($Y1130=0,$Z1130*EXP($AA1130*-2),$Z1130*(1+$Y1130*$AA1130*-2)^(1/$Y1130)))</f>
        <v/>
      </c>
      <c r="AF1130">
        <f>IF($Y1130="","",IF($Y1130=0,$Z1130*EXP($AA1130*-3),$Z1130*(1+$Y1130*$AA1130*-3)^(1/$Y1130)))</f>
        <v/>
      </c>
      <c r="AG1130">
        <f>IF($W1130="","",IFERROR(INDEX(IF($T1130&lt;=60,est05_l,est519_l),MATCH($W1130,IF($T1130&lt;=60,est05_k,est519_k),1)),""))</f>
        <v/>
      </c>
      <c r="AH1130">
        <f>IF($W1130="","",IFERROR(INDEX(IF($T1130&lt;=60,est05_m,est519_m),MATCH($W1130,IF($T1130&lt;=60,est05_k,est519_k),1)),""))</f>
        <v/>
      </c>
      <c r="AI1130">
        <f>IF($W1130="","",IFERROR(INDEX(IF($T1130&lt;=60,est05_s,est519_s),MATCH($W1130,IF($T1130&lt;=60,est05_k,est519_k),1)),""))</f>
        <v/>
      </c>
      <c r="AJ1130">
        <f>IF($W1130="","",IFERROR(INDEX(IF($T1130&lt;=60,peso05_l,peso510_l),MATCH($W1130,IF($T1130&lt;=60,peso05_k,peso510_k),1)),""))</f>
        <v/>
      </c>
      <c r="AK1130">
        <f>IF($W1130="","",IFERROR(INDEX(IF($T1130&lt;=60,peso05_m,peso510_m),MATCH($W1130,IF($T1130&lt;=60,peso05_k,peso510_k),1)),""))</f>
        <v/>
      </c>
      <c r="AL1130">
        <f>IF($W1130="","",IFERROR(INDEX(IF($T1130&lt;=60,peso05_s,peso510_s),MATCH($W1130,IF($T1130&lt;=60,peso05_k,peso510_k),1)),""))</f>
        <v/>
      </c>
      <c r="AM1130">
        <f>IF($AJ1130="","",IF($AJ1130=0,LN($F1130/$AK1130)/$AL1130,((($F1130/$AK1130)^$AJ1130)-1)/($AJ1130*$AL1130)))</f>
        <v/>
      </c>
      <c r="AN1130">
        <f>IF($AJ1130="","",IF($AJ1130=0,$AK1130*EXP($AL1130*2),$AK1130*(1+$AJ1130*$AL1130*2)^(1/$AJ1130)))</f>
        <v/>
      </c>
      <c r="AO1130">
        <f>IF($AJ1130="","",IF($AJ1130=0,$AK1130*EXP($AL1130*3),$AK1130*(1+$AJ1130*$AL1130*3)^(1/$AJ1130)))</f>
        <v/>
      </c>
      <c r="AP1130">
        <f>IF($AJ1130="","",IF($AJ1130=0,$AK1130*EXP($AL1130*-2),$AK1130*(1+$AJ1130*$AL1130*-2)^(1/$AJ1130)))</f>
        <v/>
      </c>
      <c r="AQ1130">
        <f>IF($AJ1130="","",IF($AJ1130=0,$AK1130*EXP($AL1130*-3),$AK1130*(1+$AJ1130*$AL1130*-3)^(1/$AJ1130)))</f>
        <v/>
      </c>
      <c r="AR1130">
        <f>IF(OR($X1130="",$T1130&gt;60),"",IFERROR(INDEX(IF($T1130&lt;24,pcomp_l,palt_l),MATCH($X1130,IF($T1130&lt;24,pcomp_k,palt_k),1)),""))</f>
        <v/>
      </c>
      <c r="AS1130">
        <f>IF(OR($X1130="",$T1130&gt;60),"",IFERROR(INDEX(IF($T1130&lt;24,pcomp_m,palt_m),MATCH($X1130,IF($T1130&lt;24,pcomp_k,palt_k),1)),""))</f>
        <v/>
      </c>
      <c r="AT1130">
        <f>IF(OR($X1130="",$T1130&gt;60),"",IFERROR(INDEX(IF($T1130&lt;24,pcomp_s,palt_s),MATCH($X1130,IF($T1130&lt;24,pcomp_k,palt_k),1)),""))</f>
        <v/>
      </c>
      <c r="AU1130">
        <f>IF($AR1130="","",IF($AR1130=0,LN($F1130/$AS1130)/$AT1130,((($F1130/$AS1130)^$AR1130)-1)/($AR1130*$AT1130)))</f>
        <v/>
      </c>
      <c r="AV1130">
        <f>IF($AR1130="","",IF($AR1130=0,$AS1130*EXP($AT1130*2),$AS1130*(1+$AR1130*$AT1130*2)^(1/$AR1130)))</f>
        <v/>
      </c>
      <c r="AW1130">
        <f>IF($AR1130="","",IF($AR1130=0,$AS1130*EXP($AT1130*3),$AS1130*(1+$AR1130*$AT1130*3)^(1/$AR1130)))</f>
        <v/>
      </c>
      <c r="AX1130">
        <f>IF($AR1130="","",IF($AR1130=0,$AS1130*EXP($AT1130*-2),$AS1130*(1+$AR1130*$AT1130*-2)^(1/$AR1130)))</f>
        <v/>
      </c>
      <c r="AY1130">
        <f>IF($AR1130="","",IF($AR1130=0,$AS1130*EXP($AT1130*-3),$AS1130*(1+$AR1130*$AT1130*-3)^(1/$AR1130)))</f>
        <v/>
      </c>
      <c r="AZ1130">
        <f>IF(OR($A1130="",$A1130&lt;&gt;Ficha!$C$4),"",COUNTIF($A$2:$A1130,Ficha!$C$4))</f>
        <v/>
      </c>
    </row>
    <row r="1131">
      <c r="A1131" s="8">
        <f>IF(INDEX(Banco!$A:$A,ROW())="","",INDEX(Banco!$A:$A,ROW()))</f>
        <v/>
      </c>
      <c r="B1131" s="8">
        <f>IF(INDEX(Banco!$B:$B,ROW())="","",INDEX(Banco!$B:$B,ROW()))</f>
        <v/>
      </c>
      <c r="C1131" s="8">
        <f>IF(INDEX(Banco!$C:$C,ROW())="","",INDEX(Banco!$C:$C,ROW()))</f>
        <v/>
      </c>
      <c r="D1131" s="9">
        <f>IF(INDEX(Banco!$D:$D,ROW())="","",INDEX(Banco!$D:$D,ROW()))</f>
        <v/>
      </c>
      <c r="E1131" s="9">
        <f>IF(INDEX(Banco!$E:$E,ROW())="","",INDEX(Banco!$E:$E,ROW()))</f>
        <v/>
      </c>
      <c r="F1131" s="10">
        <f>IF(INDEX(Banco!$F:$F,ROW())="","",INDEX(Banco!$F:$F,ROW()))</f>
        <v/>
      </c>
      <c r="G1131" s="10">
        <f>IF(INDEX(Banco!$G:$G,ROW())="","",INDEX(Banco!$G:$G,ROW()))</f>
        <v/>
      </c>
      <c r="H1131" s="8">
        <f>IF(INDEX(Banco!$H:$H,ROW())="","",INDEX(Banco!$H:$H,ROW()))</f>
        <v/>
      </c>
      <c r="I1131">
        <f>IF($T1131="","",INT($T1131/12)&amp;"a "&amp;MOD($T1131,12)&amp;"m")</f>
        <v/>
      </c>
      <c r="J1131" s="11">
        <f>IF(OR($F1131="",$G1131=""),"",ROUND($F1131/($G1131/100)^2,2))</f>
        <v/>
      </c>
      <c r="K1131" s="12">
        <f>IF(OR($S1131="",$J1131="",$T1131="",$T1131&lt;0,$T1131&gt;228,$Y1131=""),"—",ROUND(IF(ABS($AB1131)&lt;=3,$AB1131,IF($AB1131&gt;3,3+($J1131-$AD1131)/($AD1131-$AC1131),-3+($J1131-$AF1131)/($AE1131-$AF1131))),2))</f>
        <v/>
      </c>
      <c r="L1131">
        <f>IF(OR($K1131="",$K1131="—"),"",IF($T1131&lt;=60,IF($K1131&lt;-3,"Magreza acentuada",IF($K1131&lt;-2,"Magreza",IF($K1131&lt;=1,"Eutrofia",IF($K1131&lt;=2,"Risco de sobrepeso",IF($K1131&lt;=3,"Sobrepeso","Obesidade"))))),IF($K1131&lt;-3,"Magreza acentuada",IF($K1131&lt;-2,"Magreza",IF($K1131&lt;=1,"Eutrofia",IF($K1131&lt;=2,"Sobrepeso",IF($K1131&lt;=3,"Obesidade","Obesidade grave")))))))</f>
        <v/>
      </c>
      <c r="M1131" s="12">
        <f>IF(OR($S1131="",$V1131="",$T1131="",$T1131&lt;0,$T1131&gt;228,$AG1131=""),"—",ROUND(IF($AG1131=0,LN($V1131/$AH1131)/$AI1131,((($V1131/$AH1131)^$AG1131)-1)/($AG1131*$AI1131)),2))</f>
        <v/>
      </c>
      <c r="N1131">
        <f>IF(OR($M1131="",$M1131="—"),"",IF($M1131&lt;-3,"Muito baixa",IF($M1131&lt;-2,"Baixa","Adequada")))</f>
        <v/>
      </c>
      <c r="O1131" s="12">
        <f>IF(OR($S1131="",$F1131="",$T1131="",$T1131&lt;0,$T1131&gt;120,$AJ1131=""),"—",ROUND(IF(ABS($AM1131)&lt;=3,$AM1131,IF($AM1131&gt;3,3+($F1131-$AO1131)/($AO1131-$AN1131),-3+($F1131-$AQ1131)/($AP1131-$AQ1131))),2))</f>
        <v/>
      </c>
      <c r="P1131">
        <f>IF(OR($O1131="",$O1131="—"),"",IF($O1131&lt;-3,"Muito baixo",IF($O1131&lt;-2,"Baixo",IF($O1131&lt;=2,"Adequado","Elevado"))))</f>
        <v/>
      </c>
      <c r="Q1131" s="12">
        <f>IF(OR($S1131="",$F1131="",$T1131="",$T1131&lt;0,$T1131&gt;60,$AR1131=""),"—",ROUND(IF(ABS($AU1131)&lt;=3,$AU1131,IF($AU1131&gt;3,3+($F1131-$AW1131)/($AW1131-$AV1131),-3+($F1131-$AY1131)/($AX1131-$AY1131))),2))</f>
        <v/>
      </c>
      <c r="R1131">
        <f>IF(OR($Q1131="",$Q1131="—"),"",IF($Q1131&lt;-3,"Magreza acentuada",IF($Q1131&lt;-2,"Magreza",IF($Q1131&lt;=1,"Eutrofia",IF($Q1131&lt;=2,"Risco de sobrepeso",IF($Q1131&lt;=3,"Sobrepeso","Obesidade"))))))</f>
        <v/>
      </c>
      <c r="S1131">
        <f>IF($C1131="","",IF(UPPER(LEFT($C1131,1))="M",1,IF(UPPER(LEFT($C1131,1))="F",2,"")))</f>
        <v/>
      </c>
      <c r="T1131">
        <f>IF(OR($D1131="",$E1131=""),"",DATEDIF($D1131,$E1131,"m"))</f>
        <v/>
      </c>
      <c r="U1131">
        <f>IF(OR($D1131="",$E1131=""),"",$E1131-$D1131)</f>
        <v/>
      </c>
      <c r="V1131">
        <f>IF(OR($G1131="",$T1131=""),"",IF($T1131&lt;24,IF(LEFT(LOWER($H1131),4)="em p",$G1131+0.7,$G1131),IF(LEFT(LOWER($H1131),4)="deit",$G1131-0.7,$G1131)))</f>
        <v/>
      </c>
      <c r="W1131">
        <f>IF(OR($S1131="",$T1131=""),"",$S1131*1000000+IF($T1131&lt;=60,$U1131,$T1131))</f>
        <v/>
      </c>
      <c r="X1131">
        <f>IF(OR($S1131="",$V1131="",$T1131&gt;60,$T1131=""),"",$S1131*1000000+ROUND($V1131*10,0))</f>
        <v/>
      </c>
      <c r="Y1131">
        <f>IF($W1131="","",IFERROR(INDEX(IF($T1131&lt;=60,imc05_l,imc519_l),MATCH($W1131,IF($T1131&lt;=60,imc05_k,imc519_k),1)),""))</f>
        <v/>
      </c>
      <c r="Z1131">
        <f>IF($W1131="","",IFERROR(INDEX(IF($T1131&lt;=60,imc05_m,imc519_m),MATCH($W1131,IF($T1131&lt;=60,imc05_k,imc519_k),1)),""))</f>
        <v/>
      </c>
      <c r="AA1131">
        <f>IF($W1131="","",IFERROR(INDEX(IF($T1131&lt;=60,imc05_s,imc519_s),MATCH($W1131,IF($T1131&lt;=60,imc05_k,imc519_k),1)),""))</f>
        <v/>
      </c>
      <c r="AB1131">
        <f>IF($Y1131="","",IF($Y1131=0,LN($J1131/$Z1131)/$AA1131,((($J1131/$Z1131)^$Y1131)-1)/($Y1131*$AA1131)))</f>
        <v/>
      </c>
      <c r="AC1131">
        <f>IF($Y1131="","",IF($Y1131=0,$Z1131*EXP($AA1131*2),$Z1131*(1+$Y1131*$AA1131*2)^(1/$Y1131)))</f>
        <v/>
      </c>
      <c r="AD1131">
        <f>IF($Y1131="","",IF($Y1131=0,$Z1131*EXP($AA1131*3),$Z1131*(1+$Y1131*$AA1131*3)^(1/$Y1131)))</f>
        <v/>
      </c>
      <c r="AE1131">
        <f>IF($Y1131="","",IF($Y1131=0,$Z1131*EXP($AA1131*-2),$Z1131*(1+$Y1131*$AA1131*-2)^(1/$Y1131)))</f>
        <v/>
      </c>
      <c r="AF1131">
        <f>IF($Y1131="","",IF($Y1131=0,$Z1131*EXP($AA1131*-3),$Z1131*(1+$Y1131*$AA1131*-3)^(1/$Y1131)))</f>
        <v/>
      </c>
      <c r="AG1131">
        <f>IF($W1131="","",IFERROR(INDEX(IF($T1131&lt;=60,est05_l,est519_l),MATCH($W1131,IF($T1131&lt;=60,est05_k,est519_k),1)),""))</f>
        <v/>
      </c>
      <c r="AH1131">
        <f>IF($W1131="","",IFERROR(INDEX(IF($T1131&lt;=60,est05_m,est519_m),MATCH($W1131,IF($T1131&lt;=60,est05_k,est519_k),1)),""))</f>
        <v/>
      </c>
      <c r="AI1131">
        <f>IF($W1131="","",IFERROR(INDEX(IF($T1131&lt;=60,est05_s,est519_s),MATCH($W1131,IF($T1131&lt;=60,est05_k,est519_k),1)),""))</f>
        <v/>
      </c>
      <c r="AJ1131">
        <f>IF($W1131="","",IFERROR(INDEX(IF($T1131&lt;=60,peso05_l,peso510_l),MATCH($W1131,IF($T1131&lt;=60,peso05_k,peso510_k),1)),""))</f>
        <v/>
      </c>
      <c r="AK1131">
        <f>IF($W1131="","",IFERROR(INDEX(IF($T1131&lt;=60,peso05_m,peso510_m),MATCH($W1131,IF($T1131&lt;=60,peso05_k,peso510_k),1)),""))</f>
        <v/>
      </c>
      <c r="AL1131">
        <f>IF($W1131="","",IFERROR(INDEX(IF($T1131&lt;=60,peso05_s,peso510_s),MATCH($W1131,IF($T1131&lt;=60,peso05_k,peso510_k),1)),""))</f>
        <v/>
      </c>
      <c r="AM1131">
        <f>IF($AJ1131="","",IF($AJ1131=0,LN($F1131/$AK1131)/$AL1131,((($F1131/$AK1131)^$AJ1131)-1)/($AJ1131*$AL1131)))</f>
        <v/>
      </c>
      <c r="AN1131">
        <f>IF($AJ1131="","",IF($AJ1131=0,$AK1131*EXP($AL1131*2),$AK1131*(1+$AJ1131*$AL1131*2)^(1/$AJ1131)))</f>
        <v/>
      </c>
      <c r="AO1131">
        <f>IF($AJ1131="","",IF($AJ1131=0,$AK1131*EXP($AL1131*3),$AK1131*(1+$AJ1131*$AL1131*3)^(1/$AJ1131)))</f>
        <v/>
      </c>
      <c r="AP1131">
        <f>IF($AJ1131="","",IF($AJ1131=0,$AK1131*EXP($AL1131*-2),$AK1131*(1+$AJ1131*$AL1131*-2)^(1/$AJ1131)))</f>
        <v/>
      </c>
      <c r="AQ1131">
        <f>IF($AJ1131="","",IF($AJ1131=0,$AK1131*EXP($AL1131*-3),$AK1131*(1+$AJ1131*$AL1131*-3)^(1/$AJ1131)))</f>
        <v/>
      </c>
      <c r="AR1131">
        <f>IF(OR($X1131="",$T1131&gt;60),"",IFERROR(INDEX(IF($T1131&lt;24,pcomp_l,palt_l),MATCH($X1131,IF($T1131&lt;24,pcomp_k,palt_k),1)),""))</f>
        <v/>
      </c>
      <c r="AS1131">
        <f>IF(OR($X1131="",$T1131&gt;60),"",IFERROR(INDEX(IF($T1131&lt;24,pcomp_m,palt_m),MATCH($X1131,IF($T1131&lt;24,pcomp_k,palt_k),1)),""))</f>
        <v/>
      </c>
      <c r="AT1131">
        <f>IF(OR($X1131="",$T1131&gt;60),"",IFERROR(INDEX(IF($T1131&lt;24,pcomp_s,palt_s),MATCH($X1131,IF($T1131&lt;24,pcomp_k,palt_k),1)),""))</f>
        <v/>
      </c>
      <c r="AU1131">
        <f>IF($AR1131="","",IF($AR1131=0,LN($F1131/$AS1131)/$AT1131,((($F1131/$AS1131)^$AR1131)-1)/($AR1131*$AT1131)))</f>
        <v/>
      </c>
      <c r="AV1131">
        <f>IF($AR1131="","",IF($AR1131=0,$AS1131*EXP($AT1131*2),$AS1131*(1+$AR1131*$AT1131*2)^(1/$AR1131)))</f>
        <v/>
      </c>
      <c r="AW1131">
        <f>IF($AR1131="","",IF($AR1131=0,$AS1131*EXP($AT1131*3),$AS1131*(1+$AR1131*$AT1131*3)^(1/$AR1131)))</f>
        <v/>
      </c>
      <c r="AX1131">
        <f>IF($AR1131="","",IF($AR1131=0,$AS1131*EXP($AT1131*-2),$AS1131*(1+$AR1131*$AT1131*-2)^(1/$AR1131)))</f>
        <v/>
      </c>
      <c r="AY1131">
        <f>IF($AR1131="","",IF($AR1131=0,$AS1131*EXP($AT1131*-3),$AS1131*(1+$AR1131*$AT1131*-3)^(1/$AR1131)))</f>
        <v/>
      </c>
      <c r="AZ1131">
        <f>IF(OR($A1131="",$A1131&lt;&gt;Ficha!$C$4),"",COUNTIF($A$2:$A1131,Ficha!$C$4))</f>
        <v/>
      </c>
    </row>
    <row r="1132">
      <c r="A1132" s="8">
        <f>IF(INDEX(Banco!$A:$A,ROW())="","",INDEX(Banco!$A:$A,ROW()))</f>
        <v/>
      </c>
      <c r="B1132" s="8">
        <f>IF(INDEX(Banco!$B:$B,ROW())="","",INDEX(Banco!$B:$B,ROW()))</f>
        <v/>
      </c>
      <c r="C1132" s="8">
        <f>IF(INDEX(Banco!$C:$C,ROW())="","",INDEX(Banco!$C:$C,ROW()))</f>
        <v/>
      </c>
      <c r="D1132" s="9">
        <f>IF(INDEX(Banco!$D:$D,ROW())="","",INDEX(Banco!$D:$D,ROW()))</f>
        <v/>
      </c>
      <c r="E1132" s="9">
        <f>IF(INDEX(Banco!$E:$E,ROW())="","",INDEX(Banco!$E:$E,ROW()))</f>
        <v/>
      </c>
      <c r="F1132" s="10">
        <f>IF(INDEX(Banco!$F:$F,ROW())="","",INDEX(Banco!$F:$F,ROW()))</f>
        <v/>
      </c>
      <c r="G1132" s="10">
        <f>IF(INDEX(Banco!$G:$G,ROW())="","",INDEX(Banco!$G:$G,ROW()))</f>
        <v/>
      </c>
      <c r="H1132" s="8">
        <f>IF(INDEX(Banco!$H:$H,ROW())="","",INDEX(Banco!$H:$H,ROW()))</f>
        <v/>
      </c>
      <c r="I1132">
        <f>IF($T1132="","",INT($T1132/12)&amp;"a "&amp;MOD($T1132,12)&amp;"m")</f>
        <v/>
      </c>
      <c r="J1132" s="11">
        <f>IF(OR($F1132="",$G1132=""),"",ROUND($F1132/($G1132/100)^2,2))</f>
        <v/>
      </c>
      <c r="K1132" s="12">
        <f>IF(OR($S1132="",$J1132="",$T1132="",$T1132&lt;0,$T1132&gt;228,$Y1132=""),"—",ROUND(IF(ABS($AB1132)&lt;=3,$AB1132,IF($AB1132&gt;3,3+($J1132-$AD1132)/($AD1132-$AC1132),-3+($J1132-$AF1132)/($AE1132-$AF1132))),2))</f>
        <v/>
      </c>
      <c r="L1132">
        <f>IF(OR($K1132="",$K1132="—"),"",IF($T1132&lt;=60,IF($K1132&lt;-3,"Magreza acentuada",IF($K1132&lt;-2,"Magreza",IF($K1132&lt;=1,"Eutrofia",IF($K1132&lt;=2,"Risco de sobrepeso",IF($K1132&lt;=3,"Sobrepeso","Obesidade"))))),IF($K1132&lt;-3,"Magreza acentuada",IF($K1132&lt;-2,"Magreza",IF($K1132&lt;=1,"Eutrofia",IF($K1132&lt;=2,"Sobrepeso",IF($K1132&lt;=3,"Obesidade","Obesidade grave")))))))</f>
        <v/>
      </c>
      <c r="M1132" s="12">
        <f>IF(OR($S1132="",$V1132="",$T1132="",$T1132&lt;0,$T1132&gt;228,$AG1132=""),"—",ROUND(IF($AG1132=0,LN($V1132/$AH1132)/$AI1132,((($V1132/$AH1132)^$AG1132)-1)/($AG1132*$AI1132)),2))</f>
        <v/>
      </c>
      <c r="N1132">
        <f>IF(OR($M1132="",$M1132="—"),"",IF($M1132&lt;-3,"Muito baixa",IF($M1132&lt;-2,"Baixa","Adequada")))</f>
        <v/>
      </c>
      <c r="O1132" s="12">
        <f>IF(OR($S1132="",$F1132="",$T1132="",$T1132&lt;0,$T1132&gt;120,$AJ1132=""),"—",ROUND(IF(ABS($AM1132)&lt;=3,$AM1132,IF($AM1132&gt;3,3+($F1132-$AO1132)/($AO1132-$AN1132),-3+($F1132-$AQ1132)/($AP1132-$AQ1132))),2))</f>
        <v/>
      </c>
      <c r="P1132">
        <f>IF(OR($O1132="",$O1132="—"),"",IF($O1132&lt;-3,"Muito baixo",IF($O1132&lt;-2,"Baixo",IF($O1132&lt;=2,"Adequado","Elevado"))))</f>
        <v/>
      </c>
      <c r="Q1132" s="12">
        <f>IF(OR($S1132="",$F1132="",$T1132="",$T1132&lt;0,$T1132&gt;60,$AR1132=""),"—",ROUND(IF(ABS($AU1132)&lt;=3,$AU1132,IF($AU1132&gt;3,3+($F1132-$AW1132)/($AW1132-$AV1132),-3+($F1132-$AY1132)/($AX1132-$AY1132))),2))</f>
        <v/>
      </c>
      <c r="R1132">
        <f>IF(OR($Q1132="",$Q1132="—"),"",IF($Q1132&lt;-3,"Magreza acentuada",IF($Q1132&lt;-2,"Magreza",IF($Q1132&lt;=1,"Eutrofia",IF($Q1132&lt;=2,"Risco de sobrepeso",IF($Q1132&lt;=3,"Sobrepeso","Obesidade"))))))</f>
        <v/>
      </c>
      <c r="S1132">
        <f>IF($C1132="","",IF(UPPER(LEFT($C1132,1))="M",1,IF(UPPER(LEFT($C1132,1))="F",2,"")))</f>
        <v/>
      </c>
      <c r="T1132">
        <f>IF(OR($D1132="",$E1132=""),"",DATEDIF($D1132,$E1132,"m"))</f>
        <v/>
      </c>
      <c r="U1132">
        <f>IF(OR($D1132="",$E1132=""),"",$E1132-$D1132)</f>
        <v/>
      </c>
      <c r="V1132">
        <f>IF(OR($G1132="",$T1132=""),"",IF($T1132&lt;24,IF(LEFT(LOWER($H1132),4)="em p",$G1132+0.7,$G1132),IF(LEFT(LOWER($H1132),4)="deit",$G1132-0.7,$G1132)))</f>
        <v/>
      </c>
      <c r="W1132">
        <f>IF(OR($S1132="",$T1132=""),"",$S1132*1000000+IF($T1132&lt;=60,$U1132,$T1132))</f>
        <v/>
      </c>
      <c r="X1132">
        <f>IF(OR($S1132="",$V1132="",$T1132&gt;60,$T1132=""),"",$S1132*1000000+ROUND($V1132*10,0))</f>
        <v/>
      </c>
      <c r="Y1132">
        <f>IF($W1132="","",IFERROR(INDEX(IF($T1132&lt;=60,imc05_l,imc519_l),MATCH($W1132,IF($T1132&lt;=60,imc05_k,imc519_k),1)),""))</f>
        <v/>
      </c>
      <c r="Z1132">
        <f>IF($W1132="","",IFERROR(INDEX(IF($T1132&lt;=60,imc05_m,imc519_m),MATCH($W1132,IF($T1132&lt;=60,imc05_k,imc519_k),1)),""))</f>
        <v/>
      </c>
      <c r="AA1132">
        <f>IF($W1132="","",IFERROR(INDEX(IF($T1132&lt;=60,imc05_s,imc519_s),MATCH($W1132,IF($T1132&lt;=60,imc05_k,imc519_k),1)),""))</f>
        <v/>
      </c>
      <c r="AB1132">
        <f>IF($Y1132="","",IF($Y1132=0,LN($J1132/$Z1132)/$AA1132,((($J1132/$Z1132)^$Y1132)-1)/($Y1132*$AA1132)))</f>
        <v/>
      </c>
      <c r="AC1132">
        <f>IF($Y1132="","",IF($Y1132=0,$Z1132*EXP($AA1132*2),$Z1132*(1+$Y1132*$AA1132*2)^(1/$Y1132)))</f>
        <v/>
      </c>
      <c r="AD1132">
        <f>IF($Y1132="","",IF($Y1132=0,$Z1132*EXP($AA1132*3),$Z1132*(1+$Y1132*$AA1132*3)^(1/$Y1132)))</f>
        <v/>
      </c>
      <c r="AE1132">
        <f>IF($Y1132="","",IF($Y1132=0,$Z1132*EXP($AA1132*-2),$Z1132*(1+$Y1132*$AA1132*-2)^(1/$Y1132)))</f>
        <v/>
      </c>
      <c r="AF1132">
        <f>IF($Y1132="","",IF($Y1132=0,$Z1132*EXP($AA1132*-3),$Z1132*(1+$Y1132*$AA1132*-3)^(1/$Y1132)))</f>
        <v/>
      </c>
      <c r="AG1132">
        <f>IF($W1132="","",IFERROR(INDEX(IF($T1132&lt;=60,est05_l,est519_l),MATCH($W1132,IF($T1132&lt;=60,est05_k,est519_k),1)),""))</f>
        <v/>
      </c>
      <c r="AH1132">
        <f>IF($W1132="","",IFERROR(INDEX(IF($T1132&lt;=60,est05_m,est519_m),MATCH($W1132,IF($T1132&lt;=60,est05_k,est519_k),1)),""))</f>
        <v/>
      </c>
      <c r="AI1132">
        <f>IF($W1132="","",IFERROR(INDEX(IF($T1132&lt;=60,est05_s,est519_s),MATCH($W1132,IF($T1132&lt;=60,est05_k,est519_k),1)),""))</f>
        <v/>
      </c>
      <c r="AJ1132">
        <f>IF($W1132="","",IFERROR(INDEX(IF($T1132&lt;=60,peso05_l,peso510_l),MATCH($W1132,IF($T1132&lt;=60,peso05_k,peso510_k),1)),""))</f>
        <v/>
      </c>
      <c r="AK1132">
        <f>IF($W1132="","",IFERROR(INDEX(IF($T1132&lt;=60,peso05_m,peso510_m),MATCH($W1132,IF($T1132&lt;=60,peso05_k,peso510_k),1)),""))</f>
        <v/>
      </c>
      <c r="AL1132">
        <f>IF($W1132="","",IFERROR(INDEX(IF($T1132&lt;=60,peso05_s,peso510_s),MATCH($W1132,IF($T1132&lt;=60,peso05_k,peso510_k),1)),""))</f>
        <v/>
      </c>
      <c r="AM1132">
        <f>IF($AJ1132="","",IF($AJ1132=0,LN($F1132/$AK1132)/$AL1132,((($F1132/$AK1132)^$AJ1132)-1)/($AJ1132*$AL1132)))</f>
        <v/>
      </c>
      <c r="AN1132">
        <f>IF($AJ1132="","",IF($AJ1132=0,$AK1132*EXP($AL1132*2),$AK1132*(1+$AJ1132*$AL1132*2)^(1/$AJ1132)))</f>
        <v/>
      </c>
      <c r="AO1132">
        <f>IF($AJ1132="","",IF($AJ1132=0,$AK1132*EXP($AL1132*3),$AK1132*(1+$AJ1132*$AL1132*3)^(1/$AJ1132)))</f>
        <v/>
      </c>
      <c r="AP1132">
        <f>IF($AJ1132="","",IF($AJ1132=0,$AK1132*EXP($AL1132*-2),$AK1132*(1+$AJ1132*$AL1132*-2)^(1/$AJ1132)))</f>
        <v/>
      </c>
      <c r="AQ1132">
        <f>IF($AJ1132="","",IF($AJ1132=0,$AK1132*EXP($AL1132*-3),$AK1132*(1+$AJ1132*$AL1132*-3)^(1/$AJ1132)))</f>
        <v/>
      </c>
      <c r="AR1132">
        <f>IF(OR($X1132="",$T1132&gt;60),"",IFERROR(INDEX(IF($T1132&lt;24,pcomp_l,palt_l),MATCH($X1132,IF($T1132&lt;24,pcomp_k,palt_k),1)),""))</f>
        <v/>
      </c>
      <c r="AS1132">
        <f>IF(OR($X1132="",$T1132&gt;60),"",IFERROR(INDEX(IF($T1132&lt;24,pcomp_m,palt_m),MATCH($X1132,IF($T1132&lt;24,pcomp_k,palt_k),1)),""))</f>
        <v/>
      </c>
      <c r="AT1132">
        <f>IF(OR($X1132="",$T1132&gt;60),"",IFERROR(INDEX(IF($T1132&lt;24,pcomp_s,palt_s),MATCH($X1132,IF($T1132&lt;24,pcomp_k,palt_k),1)),""))</f>
        <v/>
      </c>
      <c r="AU1132">
        <f>IF($AR1132="","",IF($AR1132=0,LN($F1132/$AS1132)/$AT1132,((($F1132/$AS1132)^$AR1132)-1)/($AR1132*$AT1132)))</f>
        <v/>
      </c>
      <c r="AV1132">
        <f>IF($AR1132="","",IF($AR1132=0,$AS1132*EXP($AT1132*2),$AS1132*(1+$AR1132*$AT1132*2)^(1/$AR1132)))</f>
        <v/>
      </c>
      <c r="AW1132">
        <f>IF($AR1132="","",IF($AR1132=0,$AS1132*EXP($AT1132*3),$AS1132*(1+$AR1132*$AT1132*3)^(1/$AR1132)))</f>
        <v/>
      </c>
      <c r="AX1132">
        <f>IF($AR1132="","",IF($AR1132=0,$AS1132*EXP($AT1132*-2),$AS1132*(1+$AR1132*$AT1132*-2)^(1/$AR1132)))</f>
        <v/>
      </c>
      <c r="AY1132">
        <f>IF($AR1132="","",IF($AR1132=0,$AS1132*EXP($AT1132*-3),$AS1132*(1+$AR1132*$AT1132*-3)^(1/$AR1132)))</f>
        <v/>
      </c>
      <c r="AZ1132">
        <f>IF(OR($A1132="",$A1132&lt;&gt;Ficha!$C$4),"",COUNTIF($A$2:$A1132,Ficha!$C$4))</f>
        <v/>
      </c>
    </row>
    <row r="1133">
      <c r="A1133" s="8">
        <f>IF(INDEX(Banco!$A:$A,ROW())="","",INDEX(Banco!$A:$A,ROW()))</f>
        <v/>
      </c>
      <c r="B1133" s="8">
        <f>IF(INDEX(Banco!$B:$B,ROW())="","",INDEX(Banco!$B:$B,ROW()))</f>
        <v/>
      </c>
      <c r="C1133" s="8">
        <f>IF(INDEX(Banco!$C:$C,ROW())="","",INDEX(Banco!$C:$C,ROW()))</f>
        <v/>
      </c>
      <c r="D1133" s="9">
        <f>IF(INDEX(Banco!$D:$D,ROW())="","",INDEX(Banco!$D:$D,ROW()))</f>
        <v/>
      </c>
      <c r="E1133" s="9">
        <f>IF(INDEX(Banco!$E:$E,ROW())="","",INDEX(Banco!$E:$E,ROW()))</f>
        <v/>
      </c>
      <c r="F1133" s="10">
        <f>IF(INDEX(Banco!$F:$F,ROW())="","",INDEX(Banco!$F:$F,ROW()))</f>
        <v/>
      </c>
      <c r="G1133" s="10">
        <f>IF(INDEX(Banco!$G:$G,ROW())="","",INDEX(Banco!$G:$G,ROW()))</f>
        <v/>
      </c>
      <c r="H1133" s="8">
        <f>IF(INDEX(Banco!$H:$H,ROW())="","",INDEX(Banco!$H:$H,ROW()))</f>
        <v/>
      </c>
      <c r="I1133">
        <f>IF($T1133="","",INT($T1133/12)&amp;"a "&amp;MOD($T1133,12)&amp;"m")</f>
        <v/>
      </c>
      <c r="J1133" s="11">
        <f>IF(OR($F1133="",$G1133=""),"",ROUND($F1133/($G1133/100)^2,2))</f>
        <v/>
      </c>
      <c r="K1133" s="12">
        <f>IF(OR($S1133="",$J1133="",$T1133="",$T1133&lt;0,$T1133&gt;228,$Y1133=""),"—",ROUND(IF(ABS($AB1133)&lt;=3,$AB1133,IF($AB1133&gt;3,3+($J1133-$AD1133)/($AD1133-$AC1133),-3+($J1133-$AF1133)/($AE1133-$AF1133))),2))</f>
        <v/>
      </c>
      <c r="L1133">
        <f>IF(OR($K1133="",$K1133="—"),"",IF($T1133&lt;=60,IF($K1133&lt;-3,"Magreza acentuada",IF($K1133&lt;-2,"Magreza",IF($K1133&lt;=1,"Eutrofia",IF($K1133&lt;=2,"Risco de sobrepeso",IF($K1133&lt;=3,"Sobrepeso","Obesidade"))))),IF($K1133&lt;-3,"Magreza acentuada",IF($K1133&lt;-2,"Magreza",IF($K1133&lt;=1,"Eutrofia",IF($K1133&lt;=2,"Sobrepeso",IF($K1133&lt;=3,"Obesidade","Obesidade grave")))))))</f>
        <v/>
      </c>
      <c r="M1133" s="12">
        <f>IF(OR($S1133="",$V1133="",$T1133="",$T1133&lt;0,$T1133&gt;228,$AG1133=""),"—",ROUND(IF($AG1133=0,LN($V1133/$AH1133)/$AI1133,((($V1133/$AH1133)^$AG1133)-1)/($AG1133*$AI1133)),2))</f>
        <v/>
      </c>
      <c r="N1133">
        <f>IF(OR($M1133="",$M1133="—"),"",IF($M1133&lt;-3,"Muito baixa",IF($M1133&lt;-2,"Baixa","Adequada")))</f>
        <v/>
      </c>
      <c r="O1133" s="12">
        <f>IF(OR($S1133="",$F1133="",$T1133="",$T1133&lt;0,$T1133&gt;120,$AJ1133=""),"—",ROUND(IF(ABS($AM1133)&lt;=3,$AM1133,IF($AM1133&gt;3,3+($F1133-$AO1133)/($AO1133-$AN1133),-3+($F1133-$AQ1133)/($AP1133-$AQ1133))),2))</f>
        <v/>
      </c>
      <c r="P1133">
        <f>IF(OR($O1133="",$O1133="—"),"",IF($O1133&lt;-3,"Muito baixo",IF($O1133&lt;-2,"Baixo",IF($O1133&lt;=2,"Adequado","Elevado"))))</f>
        <v/>
      </c>
      <c r="Q1133" s="12">
        <f>IF(OR($S1133="",$F1133="",$T1133="",$T1133&lt;0,$T1133&gt;60,$AR1133=""),"—",ROUND(IF(ABS($AU1133)&lt;=3,$AU1133,IF($AU1133&gt;3,3+($F1133-$AW1133)/($AW1133-$AV1133),-3+($F1133-$AY1133)/($AX1133-$AY1133))),2))</f>
        <v/>
      </c>
      <c r="R1133">
        <f>IF(OR($Q1133="",$Q1133="—"),"",IF($Q1133&lt;-3,"Magreza acentuada",IF($Q1133&lt;-2,"Magreza",IF($Q1133&lt;=1,"Eutrofia",IF($Q1133&lt;=2,"Risco de sobrepeso",IF($Q1133&lt;=3,"Sobrepeso","Obesidade"))))))</f>
        <v/>
      </c>
      <c r="S1133">
        <f>IF($C1133="","",IF(UPPER(LEFT($C1133,1))="M",1,IF(UPPER(LEFT($C1133,1))="F",2,"")))</f>
        <v/>
      </c>
      <c r="T1133">
        <f>IF(OR($D1133="",$E1133=""),"",DATEDIF($D1133,$E1133,"m"))</f>
        <v/>
      </c>
      <c r="U1133">
        <f>IF(OR($D1133="",$E1133=""),"",$E1133-$D1133)</f>
        <v/>
      </c>
      <c r="V1133">
        <f>IF(OR($G1133="",$T1133=""),"",IF($T1133&lt;24,IF(LEFT(LOWER($H1133),4)="em p",$G1133+0.7,$G1133),IF(LEFT(LOWER($H1133),4)="deit",$G1133-0.7,$G1133)))</f>
        <v/>
      </c>
      <c r="W1133">
        <f>IF(OR($S1133="",$T1133=""),"",$S1133*1000000+IF($T1133&lt;=60,$U1133,$T1133))</f>
        <v/>
      </c>
      <c r="X1133">
        <f>IF(OR($S1133="",$V1133="",$T1133&gt;60,$T1133=""),"",$S1133*1000000+ROUND($V1133*10,0))</f>
        <v/>
      </c>
      <c r="Y1133">
        <f>IF($W1133="","",IFERROR(INDEX(IF($T1133&lt;=60,imc05_l,imc519_l),MATCH($W1133,IF($T1133&lt;=60,imc05_k,imc519_k),1)),""))</f>
        <v/>
      </c>
      <c r="Z1133">
        <f>IF($W1133="","",IFERROR(INDEX(IF($T1133&lt;=60,imc05_m,imc519_m),MATCH($W1133,IF($T1133&lt;=60,imc05_k,imc519_k),1)),""))</f>
        <v/>
      </c>
      <c r="AA1133">
        <f>IF($W1133="","",IFERROR(INDEX(IF($T1133&lt;=60,imc05_s,imc519_s),MATCH($W1133,IF($T1133&lt;=60,imc05_k,imc519_k),1)),""))</f>
        <v/>
      </c>
      <c r="AB1133">
        <f>IF($Y1133="","",IF($Y1133=0,LN($J1133/$Z1133)/$AA1133,((($J1133/$Z1133)^$Y1133)-1)/($Y1133*$AA1133)))</f>
        <v/>
      </c>
      <c r="AC1133">
        <f>IF($Y1133="","",IF($Y1133=0,$Z1133*EXP($AA1133*2),$Z1133*(1+$Y1133*$AA1133*2)^(1/$Y1133)))</f>
        <v/>
      </c>
      <c r="AD1133">
        <f>IF($Y1133="","",IF($Y1133=0,$Z1133*EXP($AA1133*3),$Z1133*(1+$Y1133*$AA1133*3)^(1/$Y1133)))</f>
        <v/>
      </c>
      <c r="AE1133">
        <f>IF($Y1133="","",IF($Y1133=0,$Z1133*EXP($AA1133*-2),$Z1133*(1+$Y1133*$AA1133*-2)^(1/$Y1133)))</f>
        <v/>
      </c>
      <c r="AF1133">
        <f>IF($Y1133="","",IF($Y1133=0,$Z1133*EXP($AA1133*-3),$Z1133*(1+$Y1133*$AA1133*-3)^(1/$Y1133)))</f>
        <v/>
      </c>
      <c r="AG1133">
        <f>IF($W1133="","",IFERROR(INDEX(IF($T1133&lt;=60,est05_l,est519_l),MATCH($W1133,IF($T1133&lt;=60,est05_k,est519_k),1)),""))</f>
        <v/>
      </c>
      <c r="AH1133">
        <f>IF($W1133="","",IFERROR(INDEX(IF($T1133&lt;=60,est05_m,est519_m),MATCH($W1133,IF($T1133&lt;=60,est05_k,est519_k),1)),""))</f>
        <v/>
      </c>
      <c r="AI1133">
        <f>IF($W1133="","",IFERROR(INDEX(IF($T1133&lt;=60,est05_s,est519_s),MATCH($W1133,IF($T1133&lt;=60,est05_k,est519_k),1)),""))</f>
        <v/>
      </c>
      <c r="AJ1133">
        <f>IF($W1133="","",IFERROR(INDEX(IF($T1133&lt;=60,peso05_l,peso510_l),MATCH($W1133,IF($T1133&lt;=60,peso05_k,peso510_k),1)),""))</f>
        <v/>
      </c>
      <c r="AK1133">
        <f>IF($W1133="","",IFERROR(INDEX(IF($T1133&lt;=60,peso05_m,peso510_m),MATCH($W1133,IF($T1133&lt;=60,peso05_k,peso510_k),1)),""))</f>
        <v/>
      </c>
      <c r="AL1133">
        <f>IF($W1133="","",IFERROR(INDEX(IF($T1133&lt;=60,peso05_s,peso510_s),MATCH($W1133,IF($T1133&lt;=60,peso05_k,peso510_k),1)),""))</f>
        <v/>
      </c>
      <c r="AM1133">
        <f>IF($AJ1133="","",IF($AJ1133=0,LN($F1133/$AK1133)/$AL1133,((($F1133/$AK1133)^$AJ1133)-1)/($AJ1133*$AL1133)))</f>
        <v/>
      </c>
      <c r="AN1133">
        <f>IF($AJ1133="","",IF($AJ1133=0,$AK1133*EXP($AL1133*2),$AK1133*(1+$AJ1133*$AL1133*2)^(1/$AJ1133)))</f>
        <v/>
      </c>
      <c r="AO1133">
        <f>IF($AJ1133="","",IF($AJ1133=0,$AK1133*EXP($AL1133*3),$AK1133*(1+$AJ1133*$AL1133*3)^(1/$AJ1133)))</f>
        <v/>
      </c>
      <c r="AP1133">
        <f>IF($AJ1133="","",IF($AJ1133=0,$AK1133*EXP($AL1133*-2),$AK1133*(1+$AJ1133*$AL1133*-2)^(1/$AJ1133)))</f>
        <v/>
      </c>
      <c r="AQ1133">
        <f>IF($AJ1133="","",IF($AJ1133=0,$AK1133*EXP($AL1133*-3),$AK1133*(1+$AJ1133*$AL1133*-3)^(1/$AJ1133)))</f>
        <v/>
      </c>
      <c r="AR1133">
        <f>IF(OR($X1133="",$T1133&gt;60),"",IFERROR(INDEX(IF($T1133&lt;24,pcomp_l,palt_l),MATCH($X1133,IF($T1133&lt;24,pcomp_k,palt_k),1)),""))</f>
        <v/>
      </c>
      <c r="AS1133">
        <f>IF(OR($X1133="",$T1133&gt;60),"",IFERROR(INDEX(IF($T1133&lt;24,pcomp_m,palt_m),MATCH($X1133,IF($T1133&lt;24,pcomp_k,palt_k),1)),""))</f>
        <v/>
      </c>
      <c r="AT1133">
        <f>IF(OR($X1133="",$T1133&gt;60),"",IFERROR(INDEX(IF($T1133&lt;24,pcomp_s,palt_s),MATCH($X1133,IF($T1133&lt;24,pcomp_k,palt_k),1)),""))</f>
        <v/>
      </c>
      <c r="AU1133">
        <f>IF($AR1133="","",IF($AR1133=0,LN($F1133/$AS1133)/$AT1133,((($F1133/$AS1133)^$AR1133)-1)/($AR1133*$AT1133)))</f>
        <v/>
      </c>
      <c r="AV1133">
        <f>IF($AR1133="","",IF($AR1133=0,$AS1133*EXP($AT1133*2),$AS1133*(1+$AR1133*$AT1133*2)^(1/$AR1133)))</f>
        <v/>
      </c>
      <c r="AW1133">
        <f>IF($AR1133="","",IF($AR1133=0,$AS1133*EXP($AT1133*3),$AS1133*(1+$AR1133*$AT1133*3)^(1/$AR1133)))</f>
        <v/>
      </c>
      <c r="AX1133">
        <f>IF($AR1133="","",IF($AR1133=0,$AS1133*EXP($AT1133*-2),$AS1133*(1+$AR1133*$AT1133*-2)^(1/$AR1133)))</f>
        <v/>
      </c>
      <c r="AY1133">
        <f>IF($AR1133="","",IF($AR1133=0,$AS1133*EXP($AT1133*-3),$AS1133*(1+$AR1133*$AT1133*-3)^(1/$AR1133)))</f>
        <v/>
      </c>
      <c r="AZ1133">
        <f>IF(OR($A1133="",$A1133&lt;&gt;Ficha!$C$4),"",COUNTIF($A$2:$A1133,Ficha!$C$4))</f>
        <v/>
      </c>
    </row>
    <row r="1134">
      <c r="A1134" s="8">
        <f>IF(INDEX(Banco!$A:$A,ROW())="","",INDEX(Banco!$A:$A,ROW()))</f>
        <v/>
      </c>
      <c r="B1134" s="8">
        <f>IF(INDEX(Banco!$B:$B,ROW())="","",INDEX(Banco!$B:$B,ROW()))</f>
        <v/>
      </c>
      <c r="C1134" s="8">
        <f>IF(INDEX(Banco!$C:$C,ROW())="","",INDEX(Banco!$C:$C,ROW()))</f>
        <v/>
      </c>
      <c r="D1134" s="9">
        <f>IF(INDEX(Banco!$D:$D,ROW())="","",INDEX(Banco!$D:$D,ROW()))</f>
        <v/>
      </c>
      <c r="E1134" s="9">
        <f>IF(INDEX(Banco!$E:$E,ROW())="","",INDEX(Banco!$E:$E,ROW()))</f>
        <v/>
      </c>
      <c r="F1134" s="10">
        <f>IF(INDEX(Banco!$F:$F,ROW())="","",INDEX(Banco!$F:$F,ROW()))</f>
        <v/>
      </c>
      <c r="G1134" s="10">
        <f>IF(INDEX(Banco!$G:$G,ROW())="","",INDEX(Banco!$G:$G,ROW()))</f>
        <v/>
      </c>
      <c r="H1134" s="8">
        <f>IF(INDEX(Banco!$H:$H,ROW())="","",INDEX(Banco!$H:$H,ROW()))</f>
        <v/>
      </c>
      <c r="I1134">
        <f>IF($T1134="","",INT($T1134/12)&amp;"a "&amp;MOD($T1134,12)&amp;"m")</f>
        <v/>
      </c>
      <c r="J1134" s="11">
        <f>IF(OR($F1134="",$G1134=""),"",ROUND($F1134/($G1134/100)^2,2))</f>
        <v/>
      </c>
      <c r="K1134" s="12">
        <f>IF(OR($S1134="",$J1134="",$T1134="",$T1134&lt;0,$T1134&gt;228,$Y1134=""),"—",ROUND(IF(ABS($AB1134)&lt;=3,$AB1134,IF($AB1134&gt;3,3+($J1134-$AD1134)/($AD1134-$AC1134),-3+($J1134-$AF1134)/($AE1134-$AF1134))),2))</f>
        <v/>
      </c>
      <c r="L1134">
        <f>IF(OR($K1134="",$K1134="—"),"",IF($T1134&lt;=60,IF($K1134&lt;-3,"Magreza acentuada",IF($K1134&lt;-2,"Magreza",IF($K1134&lt;=1,"Eutrofia",IF($K1134&lt;=2,"Risco de sobrepeso",IF($K1134&lt;=3,"Sobrepeso","Obesidade"))))),IF($K1134&lt;-3,"Magreza acentuada",IF($K1134&lt;-2,"Magreza",IF($K1134&lt;=1,"Eutrofia",IF($K1134&lt;=2,"Sobrepeso",IF($K1134&lt;=3,"Obesidade","Obesidade grave")))))))</f>
        <v/>
      </c>
      <c r="M1134" s="12">
        <f>IF(OR($S1134="",$V1134="",$T1134="",$T1134&lt;0,$T1134&gt;228,$AG1134=""),"—",ROUND(IF($AG1134=0,LN($V1134/$AH1134)/$AI1134,((($V1134/$AH1134)^$AG1134)-1)/($AG1134*$AI1134)),2))</f>
        <v/>
      </c>
      <c r="N1134">
        <f>IF(OR($M1134="",$M1134="—"),"",IF($M1134&lt;-3,"Muito baixa",IF($M1134&lt;-2,"Baixa","Adequada")))</f>
        <v/>
      </c>
      <c r="O1134" s="12">
        <f>IF(OR($S1134="",$F1134="",$T1134="",$T1134&lt;0,$T1134&gt;120,$AJ1134=""),"—",ROUND(IF(ABS($AM1134)&lt;=3,$AM1134,IF($AM1134&gt;3,3+($F1134-$AO1134)/($AO1134-$AN1134),-3+($F1134-$AQ1134)/($AP1134-$AQ1134))),2))</f>
        <v/>
      </c>
      <c r="P1134">
        <f>IF(OR($O1134="",$O1134="—"),"",IF($O1134&lt;-3,"Muito baixo",IF($O1134&lt;-2,"Baixo",IF($O1134&lt;=2,"Adequado","Elevado"))))</f>
        <v/>
      </c>
      <c r="Q1134" s="12">
        <f>IF(OR($S1134="",$F1134="",$T1134="",$T1134&lt;0,$T1134&gt;60,$AR1134=""),"—",ROUND(IF(ABS($AU1134)&lt;=3,$AU1134,IF($AU1134&gt;3,3+($F1134-$AW1134)/($AW1134-$AV1134),-3+($F1134-$AY1134)/($AX1134-$AY1134))),2))</f>
        <v/>
      </c>
      <c r="R1134">
        <f>IF(OR($Q1134="",$Q1134="—"),"",IF($Q1134&lt;-3,"Magreza acentuada",IF($Q1134&lt;-2,"Magreza",IF($Q1134&lt;=1,"Eutrofia",IF($Q1134&lt;=2,"Risco de sobrepeso",IF($Q1134&lt;=3,"Sobrepeso","Obesidade"))))))</f>
        <v/>
      </c>
      <c r="S1134">
        <f>IF($C1134="","",IF(UPPER(LEFT($C1134,1))="M",1,IF(UPPER(LEFT($C1134,1))="F",2,"")))</f>
        <v/>
      </c>
      <c r="T1134">
        <f>IF(OR($D1134="",$E1134=""),"",DATEDIF($D1134,$E1134,"m"))</f>
        <v/>
      </c>
      <c r="U1134">
        <f>IF(OR($D1134="",$E1134=""),"",$E1134-$D1134)</f>
        <v/>
      </c>
      <c r="V1134">
        <f>IF(OR($G1134="",$T1134=""),"",IF($T1134&lt;24,IF(LEFT(LOWER($H1134),4)="em p",$G1134+0.7,$G1134),IF(LEFT(LOWER($H1134),4)="deit",$G1134-0.7,$G1134)))</f>
        <v/>
      </c>
      <c r="W1134">
        <f>IF(OR($S1134="",$T1134=""),"",$S1134*1000000+IF($T1134&lt;=60,$U1134,$T1134))</f>
        <v/>
      </c>
      <c r="X1134">
        <f>IF(OR($S1134="",$V1134="",$T1134&gt;60,$T1134=""),"",$S1134*1000000+ROUND($V1134*10,0))</f>
        <v/>
      </c>
      <c r="Y1134">
        <f>IF($W1134="","",IFERROR(INDEX(IF($T1134&lt;=60,imc05_l,imc519_l),MATCH($W1134,IF($T1134&lt;=60,imc05_k,imc519_k),1)),""))</f>
        <v/>
      </c>
      <c r="Z1134">
        <f>IF($W1134="","",IFERROR(INDEX(IF($T1134&lt;=60,imc05_m,imc519_m),MATCH($W1134,IF($T1134&lt;=60,imc05_k,imc519_k),1)),""))</f>
        <v/>
      </c>
      <c r="AA1134">
        <f>IF($W1134="","",IFERROR(INDEX(IF($T1134&lt;=60,imc05_s,imc519_s),MATCH($W1134,IF($T1134&lt;=60,imc05_k,imc519_k),1)),""))</f>
        <v/>
      </c>
      <c r="AB1134">
        <f>IF($Y1134="","",IF($Y1134=0,LN($J1134/$Z1134)/$AA1134,((($J1134/$Z1134)^$Y1134)-1)/($Y1134*$AA1134)))</f>
        <v/>
      </c>
      <c r="AC1134">
        <f>IF($Y1134="","",IF($Y1134=0,$Z1134*EXP($AA1134*2),$Z1134*(1+$Y1134*$AA1134*2)^(1/$Y1134)))</f>
        <v/>
      </c>
      <c r="AD1134">
        <f>IF($Y1134="","",IF($Y1134=0,$Z1134*EXP($AA1134*3),$Z1134*(1+$Y1134*$AA1134*3)^(1/$Y1134)))</f>
        <v/>
      </c>
      <c r="AE1134">
        <f>IF($Y1134="","",IF($Y1134=0,$Z1134*EXP($AA1134*-2),$Z1134*(1+$Y1134*$AA1134*-2)^(1/$Y1134)))</f>
        <v/>
      </c>
      <c r="AF1134">
        <f>IF($Y1134="","",IF($Y1134=0,$Z1134*EXP($AA1134*-3),$Z1134*(1+$Y1134*$AA1134*-3)^(1/$Y1134)))</f>
        <v/>
      </c>
      <c r="AG1134">
        <f>IF($W1134="","",IFERROR(INDEX(IF($T1134&lt;=60,est05_l,est519_l),MATCH($W1134,IF($T1134&lt;=60,est05_k,est519_k),1)),""))</f>
        <v/>
      </c>
      <c r="AH1134">
        <f>IF($W1134="","",IFERROR(INDEX(IF($T1134&lt;=60,est05_m,est519_m),MATCH($W1134,IF($T1134&lt;=60,est05_k,est519_k),1)),""))</f>
        <v/>
      </c>
      <c r="AI1134">
        <f>IF($W1134="","",IFERROR(INDEX(IF($T1134&lt;=60,est05_s,est519_s),MATCH($W1134,IF($T1134&lt;=60,est05_k,est519_k),1)),""))</f>
        <v/>
      </c>
      <c r="AJ1134">
        <f>IF($W1134="","",IFERROR(INDEX(IF($T1134&lt;=60,peso05_l,peso510_l),MATCH($W1134,IF($T1134&lt;=60,peso05_k,peso510_k),1)),""))</f>
        <v/>
      </c>
      <c r="AK1134">
        <f>IF($W1134="","",IFERROR(INDEX(IF($T1134&lt;=60,peso05_m,peso510_m),MATCH($W1134,IF($T1134&lt;=60,peso05_k,peso510_k),1)),""))</f>
        <v/>
      </c>
      <c r="AL1134">
        <f>IF($W1134="","",IFERROR(INDEX(IF($T1134&lt;=60,peso05_s,peso510_s),MATCH($W1134,IF($T1134&lt;=60,peso05_k,peso510_k),1)),""))</f>
        <v/>
      </c>
      <c r="AM1134">
        <f>IF($AJ1134="","",IF($AJ1134=0,LN($F1134/$AK1134)/$AL1134,((($F1134/$AK1134)^$AJ1134)-1)/($AJ1134*$AL1134)))</f>
        <v/>
      </c>
      <c r="AN1134">
        <f>IF($AJ1134="","",IF($AJ1134=0,$AK1134*EXP($AL1134*2),$AK1134*(1+$AJ1134*$AL1134*2)^(1/$AJ1134)))</f>
        <v/>
      </c>
      <c r="AO1134">
        <f>IF($AJ1134="","",IF($AJ1134=0,$AK1134*EXP($AL1134*3),$AK1134*(1+$AJ1134*$AL1134*3)^(1/$AJ1134)))</f>
        <v/>
      </c>
      <c r="AP1134">
        <f>IF($AJ1134="","",IF($AJ1134=0,$AK1134*EXP($AL1134*-2),$AK1134*(1+$AJ1134*$AL1134*-2)^(1/$AJ1134)))</f>
        <v/>
      </c>
      <c r="AQ1134">
        <f>IF($AJ1134="","",IF($AJ1134=0,$AK1134*EXP($AL1134*-3),$AK1134*(1+$AJ1134*$AL1134*-3)^(1/$AJ1134)))</f>
        <v/>
      </c>
      <c r="AR1134">
        <f>IF(OR($X1134="",$T1134&gt;60),"",IFERROR(INDEX(IF($T1134&lt;24,pcomp_l,palt_l),MATCH($X1134,IF($T1134&lt;24,pcomp_k,palt_k),1)),""))</f>
        <v/>
      </c>
      <c r="AS1134">
        <f>IF(OR($X1134="",$T1134&gt;60),"",IFERROR(INDEX(IF($T1134&lt;24,pcomp_m,palt_m),MATCH($X1134,IF($T1134&lt;24,pcomp_k,palt_k),1)),""))</f>
        <v/>
      </c>
      <c r="AT1134">
        <f>IF(OR($X1134="",$T1134&gt;60),"",IFERROR(INDEX(IF($T1134&lt;24,pcomp_s,palt_s),MATCH($X1134,IF($T1134&lt;24,pcomp_k,palt_k),1)),""))</f>
        <v/>
      </c>
      <c r="AU1134">
        <f>IF($AR1134="","",IF($AR1134=0,LN($F1134/$AS1134)/$AT1134,((($F1134/$AS1134)^$AR1134)-1)/($AR1134*$AT1134)))</f>
        <v/>
      </c>
      <c r="AV1134">
        <f>IF($AR1134="","",IF($AR1134=0,$AS1134*EXP($AT1134*2),$AS1134*(1+$AR1134*$AT1134*2)^(1/$AR1134)))</f>
        <v/>
      </c>
      <c r="AW1134">
        <f>IF($AR1134="","",IF($AR1134=0,$AS1134*EXP($AT1134*3),$AS1134*(1+$AR1134*$AT1134*3)^(1/$AR1134)))</f>
        <v/>
      </c>
      <c r="AX1134">
        <f>IF($AR1134="","",IF($AR1134=0,$AS1134*EXP($AT1134*-2),$AS1134*(1+$AR1134*$AT1134*-2)^(1/$AR1134)))</f>
        <v/>
      </c>
      <c r="AY1134">
        <f>IF($AR1134="","",IF($AR1134=0,$AS1134*EXP($AT1134*-3),$AS1134*(1+$AR1134*$AT1134*-3)^(1/$AR1134)))</f>
        <v/>
      </c>
      <c r="AZ1134">
        <f>IF(OR($A1134="",$A1134&lt;&gt;Ficha!$C$4),"",COUNTIF($A$2:$A1134,Ficha!$C$4))</f>
        <v/>
      </c>
    </row>
    <row r="1135">
      <c r="A1135" s="8">
        <f>IF(INDEX(Banco!$A:$A,ROW())="","",INDEX(Banco!$A:$A,ROW()))</f>
        <v/>
      </c>
      <c r="B1135" s="8">
        <f>IF(INDEX(Banco!$B:$B,ROW())="","",INDEX(Banco!$B:$B,ROW()))</f>
        <v/>
      </c>
      <c r="C1135" s="8">
        <f>IF(INDEX(Banco!$C:$C,ROW())="","",INDEX(Banco!$C:$C,ROW()))</f>
        <v/>
      </c>
      <c r="D1135" s="9">
        <f>IF(INDEX(Banco!$D:$D,ROW())="","",INDEX(Banco!$D:$D,ROW()))</f>
        <v/>
      </c>
      <c r="E1135" s="9">
        <f>IF(INDEX(Banco!$E:$E,ROW())="","",INDEX(Banco!$E:$E,ROW()))</f>
        <v/>
      </c>
      <c r="F1135" s="10">
        <f>IF(INDEX(Banco!$F:$F,ROW())="","",INDEX(Banco!$F:$F,ROW()))</f>
        <v/>
      </c>
      <c r="G1135" s="10">
        <f>IF(INDEX(Banco!$G:$G,ROW())="","",INDEX(Banco!$G:$G,ROW()))</f>
        <v/>
      </c>
      <c r="H1135" s="8">
        <f>IF(INDEX(Banco!$H:$H,ROW())="","",INDEX(Banco!$H:$H,ROW()))</f>
        <v/>
      </c>
      <c r="I1135">
        <f>IF($T1135="","",INT($T1135/12)&amp;"a "&amp;MOD($T1135,12)&amp;"m")</f>
        <v/>
      </c>
      <c r="J1135" s="11">
        <f>IF(OR($F1135="",$G1135=""),"",ROUND($F1135/($G1135/100)^2,2))</f>
        <v/>
      </c>
      <c r="K1135" s="12">
        <f>IF(OR($S1135="",$J1135="",$T1135="",$T1135&lt;0,$T1135&gt;228,$Y1135=""),"—",ROUND(IF(ABS($AB1135)&lt;=3,$AB1135,IF($AB1135&gt;3,3+($J1135-$AD1135)/($AD1135-$AC1135),-3+($J1135-$AF1135)/($AE1135-$AF1135))),2))</f>
        <v/>
      </c>
      <c r="L1135">
        <f>IF(OR($K1135="",$K1135="—"),"",IF($T1135&lt;=60,IF($K1135&lt;-3,"Magreza acentuada",IF($K1135&lt;-2,"Magreza",IF($K1135&lt;=1,"Eutrofia",IF($K1135&lt;=2,"Risco de sobrepeso",IF($K1135&lt;=3,"Sobrepeso","Obesidade"))))),IF($K1135&lt;-3,"Magreza acentuada",IF($K1135&lt;-2,"Magreza",IF($K1135&lt;=1,"Eutrofia",IF($K1135&lt;=2,"Sobrepeso",IF($K1135&lt;=3,"Obesidade","Obesidade grave")))))))</f>
        <v/>
      </c>
      <c r="M1135" s="12">
        <f>IF(OR($S1135="",$V1135="",$T1135="",$T1135&lt;0,$T1135&gt;228,$AG1135=""),"—",ROUND(IF($AG1135=0,LN($V1135/$AH1135)/$AI1135,((($V1135/$AH1135)^$AG1135)-1)/($AG1135*$AI1135)),2))</f>
        <v/>
      </c>
      <c r="N1135">
        <f>IF(OR($M1135="",$M1135="—"),"",IF($M1135&lt;-3,"Muito baixa",IF($M1135&lt;-2,"Baixa","Adequada")))</f>
        <v/>
      </c>
      <c r="O1135" s="12">
        <f>IF(OR($S1135="",$F1135="",$T1135="",$T1135&lt;0,$T1135&gt;120,$AJ1135=""),"—",ROUND(IF(ABS($AM1135)&lt;=3,$AM1135,IF($AM1135&gt;3,3+($F1135-$AO1135)/($AO1135-$AN1135),-3+($F1135-$AQ1135)/($AP1135-$AQ1135))),2))</f>
        <v/>
      </c>
      <c r="P1135">
        <f>IF(OR($O1135="",$O1135="—"),"",IF($O1135&lt;-3,"Muito baixo",IF($O1135&lt;-2,"Baixo",IF($O1135&lt;=2,"Adequado","Elevado"))))</f>
        <v/>
      </c>
      <c r="Q1135" s="12">
        <f>IF(OR($S1135="",$F1135="",$T1135="",$T1135&lt;0,$T1135&gt;60,$AR1135=""),"—",ROUND(IF(ABS($AU1135)&lt;=3,$AU1135,IF($AU1135&gt;3,3+($F1135-$AW1135)/($AW1135-$AV1135),-3+($F1135-$AY1135)/($AX1135-$AY1135))),2))</f>
        <v/>
      </c>
      <c r="R1135">
        <f>IF(OR($Q1135="",$Q1135="—"),"",IF($Q1135&lt;-3,"Magreza acentuada",IF($Q1135&lt;-2,"Magreza",IF($Q1135&lt;=1,"Eutrofia",IF($Q1135&lt;=2,"Risco de sobrepeso",IF($Q1135&lt;=3,"Sobrepeso","Obesidade"))))))</f>
        <v/>
      </c>
      <c r="S1135">
        <f>IF($C1135="","",IF(UPPER(LEFT($C1135,1))="M",1,IF(UPPER(LEFT($C1135,1))="F",2,"")))</f>
        <v/>
      </c>
      <c r="T1135">
        <f>IF(OR($D1135="",$E1135=""),"",DATEDIF($D1135,$E1135,"m"))</f>
        <v/>
      </c>
      <c r="U1135">
        <f>IF(OR($D1135="",$E1135=""),"",$E1135-$D1135)</f>
        <v/>
      </c>
      <c r="V1135">
        <f>IF(OR($G1135="",$T1135=""),"",IF($T1135&lt;24,IF(LEFT(LOWER($H1135),4)="em p",$G1135+0.7,$G1135),IF(LEFT(LOWER($H1135),4)="deit",$G1135-0.7,$G1135)))</f>
        <v/>
      </c>
      <c r="W1135">
        <f>IF(OR($S1135="",$T1135=""),"",$S1135*1000000+IF($T1135&lt;=60,$U1135,$T1135))</f>
        <v/>
      </c>
      <c r="X1135">
        <f>IF(OR($S1135="",$V1135="",$T1135&gt;60,$T1135=""),"",$S1135*1000000+ROUND($V1135*10,0))</f>
        <v/>
      </c>
      <c r="Y1135">
        <f>IF($W1135="","",IFERROR(INDEX(IF($T1135&lt;=60,imc05_l,imc519_l),MATCH($W1135,IF($T1135&lt;=60,imc05_k,imc519_k),1)),""))</f>
        <v/>
      </c>
      <c r="Z1135">
        <f>IF($W1135="","",IFERROR(INDEX(IF($T1135&lt;=60,imc05_m,imc519_m),MATCH($W1135,IF($T1135&lt;=60,imc05_k,imc519_k),1)),""))</f>
        <v/>
      </c>
      <c r="AA1135">
        <f>IF($W1135="","",IFERROR(INDEX(IF($T1135&lt;=60,imc05_s,imc519_s),MATCH($W1135,IF($T1135&lt;=60,imc05_k,imc519_k),1)),""))</f>
        <v/>
      </c>
      <c r="AB1135">
        <f>IF($Y1135="","",IF($Y1135=0,LN($J1135/$Z1135)/$AA1135,((($J1135/$Z1135)^$Y1135)-1)/($Y1135*$AA1135)))</f>
        <v/>
      </c>
      <c r="AC1135">
        <f>IF($Y1135="","",IF($Y1135=0,$Z1135*EXP($AA1135*2),$Z1135*(1+$Y1135*$AA1135*2)^(1/$Y1135)))</f>
        <v/>
      </c>
      <c r="AD1135">
        <f>IF($Y1135="","",IF($Y1135=0,$Z1135*EXP($AA1135*3),$Z1135*(1+$Y1135*$AA1135*3)^(1/$Y1135)))</f>
        <v/>
      </c>
      <c r="AE1135">
        <f>IF($Y1135="","",IF($Y1135=0,$Z1135*EXP($AA1135*-2),$Z1135*(1+$Y1135*$AA1135*-2)^(1/$Y1135)))</f>
        <v/>
      </c>
      <c r="AF1135">
        <f>IF($Y1135="","",IF($Y1135=0,$Z1135*EXP($AA1135*-3),$Z1135*(1+$Y1135*$AA1135*-3)^(1/$Y1135)))</f>
        <v/>
      </c>
      <c r="AG1135">
        <f>IF($W1135="","",IFERROR(INDEX(IF($T1135&lt;=60,est05_l,est519_l),MATCH($W1135,IF($T1135&lt;=60,est05_k,est519_k),1)),""))</f>
        <v/>
      </c>
      <c r="AH1135">
        <f>IF($W1135="","",IFERROR(INDEX(IF($T1135&lt;=60,est05_m,est519_m),MATCH($W1135,IF($T1135&lt;=60,est05_k,est519_k),1)),""))</f>
        <v/>
      </c>
      <c r="AI1135">
        <f>IF($W1135="","",IFERROR(INDEX(IF($T1135&lt;=60,est05_s,est519_s),MATCH($W1135,IF($T1135&lt;=60,est05_k,est519_k),1)),""))</f>
        <v/>
      </c>
      <c r="AJ1135">
        <f>IF($W1135="","",IFERROR(INDEX(IF($T1135&lt;=60,peso05_l,peso510_l),MATCH($W1135,IF($T1135&lt;=60,peso05_k,peso510_k),1)),""))</f>
        <v/>
      </c>
      <c r="AK1135">
        <f>IF($W1135="","",IFERROR(INDEX(IF($T1135&lt;=60,peso05_m,peso510_m),MATCH($W1135,IF($T1135&lt;=60,peso05_k,peso510_k),1)),""))</f>
        <v/>
      </c>
      <c r="AL1135">
        <f>IF($W1135="","",IFERROR(INDEX(IF($T1135&lt;=60,peso05_s,peso510_s),MATCH($W1135,IF($T1135&lt;=60,peso05_k,peso510_k),1)),""))</f>
        <v/>
      </c>
      <c r="AM1135">
        <f>IF($AJ1135="","",IF($AJ1135=0,LN($F1135/$AK1135)/$AL1135,((($F1135/$AK1135)^$AJ1135)-1)/($AJ1135*$AL1135)))</f>
        <v/>
      </c>
      <c r="AN1135">
        <f>IF($AJ1135="","",IF($AJ1135=0,$AK1135*EXP($AL1135*2),$AK1135*(1+$AJ1135*$AL1135*2)^(1/$AJ1135)))</f>
        <v/>
      </c>
      <c r="AO1135">
        <f>IF($AJ1135="","",IF($AJ1135=0,$AK1135*EXP($AL1135*3),$AK1135*(1+$AJ1135*$AL1135*3)^(1/$AJ1135)))</f>
        <v/>
      </c>
      <c r="AP1135">
        <f>IF($AJ1135="","",IF($AJ1135=0,$AK1135*EXP($AL1135*-2),$AK1135*(1+$AJ1135*$AL1135*-2)^(1/$AJ1135)))</f>
        <v/>
      </c>
      <c r="AQ1135">
        <f>IF($AJ1135="","",IF($AJ1135=0,$AK1135*EXP($AL1135*-3),$AK1135*(1+$AJ1135*$AL1135*-3)^(1/$AJ1135)))</f>
        <v/>
      </c>
      <c r="AR1135">
        <f>IF(OR($X1135="",$T1135&gt;60),"",IFERROR(INDEX(IF($T1135&lt;24,pcomp_l,palt_l),MATCH($X1135,IF($T1135&lt;24,pcomp_k,palt_k),1)),""))</f>
        <v/>
      </c>
      <c r="AS1135">
        <f>IF(OR($X1135="",$T1135&gt;60),"",IFERROR(INDEX(IF($T1135&lt;24,pcomp_m,palt_m),MATCH($X1135,IF($T1135&lt;24,pcomp_k,palt_k),1)),""))</f>
        <v/>
      </c>
      <c r="AT1135">
        <f>IF(OR($X1135="",$T1135&gt;60),"",IFERROR(INDEX(IF($T1135&lt;24,pcomp_s,palt_s),MATCH($X1135,IF($T1135&lt;24,pcomp_k,palt_k),1)),""))</f>
        <v/>
      </c>
      <c r="AU1135">
        <f>IF($AR1135="","",IF($AR1135=0,LN($F1135/$AS1135)/$AT1135,((($F1135/$AS1135)^$AR1135)-1)/($AR1135*$AT1135)))</f>
        <v/>
      </c>
      <c r="AV1135">
        <f>IF($AR1135="","",IF($AR1135=0,$AS1135*EXP($AT1135*2),$AS1135*(1+$AR1135*$AT1135*2)^(1/$AR1135)))</f>
        <v/>
      </c>
      <c r="AW1135">
        <f>IF($AR1135="","",IF($AR1135=0,$AS1135*EXP($AT1135*3),$AS1135*(1+$AR1135*$AT1135*3)^(1/$AR1135)))</f>
        <v/>
      </c>
      <c r="AX1135">
        <f>IF($AR1135="","",IF($AR1135=0,$AS1135*EXP($AT1135*-2),$AS1135*(1+$AR1135*$AT1135*-2)^(1/$AR1135)))</f>
        <v/>
      </c>
      <c r="AY1135">
        <f>IF($AR1135="","",IF($AR1135=0,$AS1135*EXP($AT1135*-3),$AS1135*(1+$AR1135*$AT1135*-3)^(1/$AR1135)))</f>
        <v/>
      </c>
      <c r="AZ1135">
        <f>IF(OR($A1135="",$A1135&lt;&gt;Ficha!$C$4),"",COUNTIF($A$2:$A1135,Ficha!$C$4))</f>
        <v/>
      </c>
    </row>
    <row r="1136">
      <c r="A1136" s="8">
        <f>IF(INDEX(Banco!$A:$A,ROW())="","",INDEX(Banco!$A:$A,ROW()))</f>
        <v/>
      </c>
      <c r="B1136" s="8">
        <f>IF(INDEX(Banco!$B:$B,ROW())="","",INDEX(Banco!$B:$B,ROW()))</f>
        <v/>
      </c>
      <c r="C1136" s="8">
        <f>IF(INDEX(Banco!$C:$C,ROW())="","",INDEX(Banco!$C:$C,ROW()))</f>
        <v/>
      </c>
      <c r="D1136" s="9">
        <f>IF(INDEX(Banco!$D:$D,ROW())="","",INDEX(Banco!$D:$D,ROW()))</f>
        <v/>
      </c>
      <c r="E1136" s="9">
        <f>IF(INDEX(Banco!$E:$E,ROW())="","",INDEX(Banco!$E:$E,ROW()))</f>
        <v/>
      </c>
      <c r="F1136" s="10">
        <f>IF(INDEX(Banco!$F:$F,ROW())="","",INDEX(Banco!$F:$F,ROW()))</f>
        <v/>
      </c>
      <c r="G1136" s="10">
        <f>IF(INDEX(Banco!$G:$G,ROW())="","",INDEX(Banco!$G:$G,ROW()))</f>
        <v/>
      </c>
      <c r="H1136" s="8">
        <f>IF(INDEX(Banco!$H:$H,ROW())="","",INDEX(Banco!$H:$H,ROW()))</f>
        <v/>
      </c>
      <c r="I1136">
        <f>IF($T1136="","",INT($T1136/12)&amp;"a "&amp;MOD($T1136,12)&amp;"m")</f>
        <v/>
      </c>
      <c r="J1136" s="11">
        <f>IF(OR($F1136="",$G1136=""),"",ROUND($F1136/($G1136/100)^2,2))</f>
        <v/>
      </c>
      <c r="K1136" s="12">
        <f>IF(OR($S1136="",$J1136="",$T1136="",$T1136&lt;0,$T1136&gt;228,$Y1136=""),"—",ROUND(IF(ABS($AB1136)&lt;=3,$AB1136,IF($AB1136&gt;3,3+($J1136-$AD1136)/($AD1136-$AC1136),-3+($J1136-$AF1136)/($AE1136-$AF1136))),2))</f>
        <v/>
      </c>
      <c r="L1136">
        <f>IF(OR($K1136="",$K1136="—"),"",IF($T1136&lt;=60,IF($K1136&lt;-3,"Magreza acentuada",IF($K1136&lt;-2,"Magreza",IF($K1136&lt;=1,"Eutrofia",IF($K1136&lt;=2,"Risco de sobrepeso",IF($K1136&lt;=3,"Sobrepeso","Obesidade"))))),IF($K1136&lt;-3,"Magreza acentuada",IF($K1136&lt;-2,"Magreza",IF($K1136&lt;=1,"Eutrofia",IF($K1136&lt;=2,"Sobrepeso",IF($K1136&lt;=3,"Obesidade","Obesidade grave")))))))</f>
        <v/>
      </c>
      <c r="M1136" s="12">
        <f>IF(OR($S1136="",$V1136="",$T1136="",$T1136&lt;0,$T1136&gt;228,$AG1136=""),"—",ROUND(IF($AG1136=0,LN($V1136/$AH1136)/$AI1136,((($V1136/$AH1136)^$AG1136)-1)/($AG1136*$AI1136)),2))</f>
        <v/>
      </c>
      <c r="N1136">
        <f>IF(OR($M1136="",$M1136="—"),"",IF($M1136&lt;-3,"Muito baixa",IF($M1136&lt;-2,"Baixa","Adequada")))</f>
        <v/>
      </c>
      <c r="O1136" s="12">
        <f>IF(OR($S1136="",$F1136="",$T1136="",$T1136&lt;0,$T1136&gt;120,$AJ1136=""),"—",ROUND(IF(ABS($AM1136)&lt;=3,$AM1136,IF($AM1136&gt;3,3+($F1136-$AO1136)/($AO1136-$AN1136),-3+($F1136-$AQ1136)/($AP1136-$AQ1136))),2))</f>
        <v/>
      </c>
      <c r="P1136">
        <f>IF(OR($O1136="",$O1136="—"),"",IF($O1136&lt;-3,"Muito baixo",IF($O1136&lt;-2,"Baixo",IF($O1136&lt;=2,"Adequado","Elevado"))))</f>
        <v/>
      </c>
      <c r="Q1136" s="12">
        <f>IF(OR($S1136="",$F1136="",$T1136="",$T1136&lt;0,$T1136&gt;60,$AR1136=""),"—",ROUND(IF(ABS($AU1136)&lt;=3,$AU1136,IF($AU1136&gt;3,3+($F1136-$AW1136)/($AW1136-$AV1136),-3+($F1136-$AY1136)/($AX1136-$AY1136))),2))</f>
        <v/>
      </c>
      <c r="R1136">
        <f>IF(OR($Q1136="",$Q1136="—"),"",IF($Q1136&lt;-3,"Magreza acentuada",IF($Q1136&lt;-2,"Magreza",IF($Q1136&lt;=1,"Eutrofia",IF($Q1136&lt;=2,"Risco de sobrepeso",IF($Q1136&lt;=3,"Sobrepeso","Obesidade"))))))</f>
        <v/>
      </c>
      <c r="S1136">
        <f>IF($C1136="","",IF(UPPER(LEFT($C1136,1))="M",1,IF(UPPER(LEFT($C1136,1))="F",2,"")))</f>
        <v/>
      </c>
      <c r="T1136">
        <f>IF(OR($D1136="",$E1136=""),"",DATEDIF($D1136,$E1136,"m"))</f>
        <v/>
      </c>
      <c r="U1136">
        <f>IF(OR($D1136="",$E1136=""),"",$E1136-$D1136)</f>
        <v/>
      </c>
      <c r="V1136">
        <f>IF(OR($G1136="",$T1136=""),"",IF($T1136&lt;24,IF(LEFT(LOWER($H1136),4)="em p",$G1136+0.7,$G1136),IF(LEFT(LOWER($H1136),4)="deit",$G1136-0.7,$G1136)))</f>
        <v/>
      </c>
      <c r="W1136">
        <f>IF(OR($S1136="",$T1136=""),"",$S1136*1000000+IF($T1136&lt;=60,$U1136,$T1136))</f>
        <v/>
      </c>
      <c r="X1136">
        <f>IF(OR($S1136="",$V1136="",$T1136&gt;60,$T1136=""),"",$S1136*1000000+ROUND($V1136*10,0))</f>
        <v/>
      </c>
      <c r="Y1136">
        <f>IF($W1136="","",IFERROR(INDEX(IF($T1136&lt;=60,imc05_l,imc519_l),MATCH($W1136,IF($T1136&lt;=60,imc05_k,imc519_k),1)),""))</f>
        <v/>
      </c>
      <c r="Z1136">
        <f>IF($W1136="","",IFERROR(INDEX(IF($T1136&lt;=60,imc05_m,imc519_m),MATCH($W1136,IF($T1136&lt;=60,imc05_k,imc519_k),1)),""))</f>
        <v/>
      </c>
      <c r="AA1136">
        <f>IF($W1136="","",IFERROR(INDEX(IF($T1136&lt;=60,imc05_s,imc519_s),MATCH($W1136,IF($T1136&lt;=60,imc05_k,imc519_k),1)),""))</f>
        <v/>
      </c>
      <c r="AB1136">
        <f>IF($Y1136="","",IF($Y1136=0,LN($J1136/$Z1136)/$AA1136,((($J1136/$Z1136)^$Y1136)-1)/($Y1136*$AA1136)))</f>
        <v/>
      </c>
      <c r="AC1136">
        <f>IF($Y1136="","",IF($Y1136=0,$Z1136*EXP($AA1136*2),$Z1136*(1+$Y1136*$AA1136*2)^(1/$Y1136)))</f>
        <v/>
      </c>
      <c r="AD1136">
        <f>IF($Y1136="","",IF($Y1136=0,$Z1136*EXP($AA1136*3),$Z1136*(1+$Y1136*$AA1136*3)^(1/$Y1136)))</f>
        <v/>
      </c>
      <c r="AE1136">
        <f>IF($Y1136="","",IF($Y1136=0,$Z1136*EXP($AA1136*-2),$Z1136*(1+$Y1136*$AA1136*-2)^(1/$Y1136)))</f>
        <v/>
      </c>
      <c r="AF1136">
        <f>IF($Y1136="","",IF($Y1136=0,$Z1136*EXP($AA1136*-3),$Z1136*(1+$Y1136*$AA1136*-3)^(1/$Y1136)))</f>
        <v/>
      </c>
      <c r="AG1136">
        <f>IF($W1136="","",IFERROR(INDEX(IF($T1136&lt;=60,est05_l,est519_l),MATCH($W1136,IF($T1136&lt;=60,est05_k,est519_k),1)),""))</f>
        <v/>
      </c>
      <c r="AH1136">
        <f>IF($W1136="","",IFERROR(INDEX(IF($T1136&lt;=60,est05_m,est519_m),MATCH($W1136,IF($T1136&lt;=60,est05_k,est519_k),1)),""))</f>
        <v/>
      </c>
      <c r="AI1136">
        <f>IF($W1136="","",IFERROR(INDEX(IF($T1136&lt;=60,est05_s,est519_s),MATCH($W1136,IF($T1136&lt;=60,est05_k,est519_k),1)),""))</f>
        <v/>
      </c>
      <c r="AJ1136">
        <f>IF($W1136="","",IFERROR(INDEX(IF($T1136&lt;=60,peso05_l,peso510_l),MATCH($W1136,IF($T1136&lt;=60,peso05_k,peso510_k),1)),""))</f>
        <v/>
      </c>
      <c r="AK1136">
        <f>IF($W1136="","",IFERROR(INDEX(IF($T1136&lt;=60,peso05_m,peso510_m),MATCH($W1136,IF($T1136&lt;=60,peso05_k,peso510_k),1)),""))</f>
        <v/>
      </c>
      <c r="AL1136">
        <f>IF($W1136="","",IFERROR(INDEX(IF($T1136&lt;=60,peso05_s,peso510_s),MATCH($W1136,IF($T1136&lt;=60,peso05_k,peso510_k),1)),""))</f>
        <v/>
      </c>
      <c r="AM1136">
        <f>IF($AJ1136="","",IF($AJ1136=0,LN($F1136/$AK1136)/$AL1136,((($F1136/$AK1136)^$AJ1136)-1)/($AJ1136*$AL1136)))</f>
        <v/>
      </c>
      <c r="AN1136">
        <f>IF($AJ1136="","",IF($AJ1136=0,$AK1136*EXP($AL1136*2),$AK1136*(1+$AJ1136*$AL1136*2)^(1/$AJ1136)))</f>
        <v/>
      </c>
      <c r="AO1136">
        <f>IF($AJ1136="","",IF($AJ1136=0,$AK1136*EXP($AL1136*3),$AK1136*(1+$AJ1136*$AL1136*3)^(1/$AJ1136)))</f>
        <v/>
      </c>
      <c r="AP1136">
        <f>IF($AJ1136="","",IF($AJ1136=0,$AK1136*EXP($AL1136*-2),$AK1136*(1+$AJ1136*$AL1136*-2)^(1/$AJ1136)))</f>
        <v/>
      </c>
      <c r="AQ1136">
        <f>IF($AJ1136="","",IF($AJ1136=0,$AK1136*EXP($AL1136*-3),$AK1136*(1+$AJ1136*$AL1136*-3)^(1/$AJ1136)))</f>
        <v/>
      </c>
      <c r="AR1136">
        <f>IF(OR($X1136="",$T1136&gt;60),"",IFERROR(INDEX(IF($T1136&lt;24,pcomp_l,palt_l),MATCH($X1136,IF($T1136&lt;24,pcomp_k,palt_k),1)),""))</f>
        <v/>
      </c>
      <c r="AS1136">
        <f>IF(OR($X1136="",$T1136&gt;60),"",IFERROR(INDEX(IF($T1136&lt;24,pcomp_m,palt_m),MATCH($X1136,IF($T1136&lt;24,pcomp_k,palt_k),1)),""))</f>
        <v/>
      </c>
      <c r="AT1136">
        <f>IF(OR($X1136="",$T1136&gt;60),"",IFERROR(INDEX(IF($T1136&lt;24,pcomp_s,palt_s),MATCH($X1136,IF($T1136&lt;24,pcomp_k,palt_k),1)),""))</f>
        <v/>
      </c>
      <c r="AU1136">
        <f>IF($AR1136="","",IF($AR1136=0,LN($F1136/$AS1136)/$AT1136,((($F1136/$AS1136)^$AR1136)-1)/($AR1136*$AT1136)))</f>
        <v/>
      </c>
      <c r="AV1136">
        <f>IF($AR1136="","",IF($AR1136=0,$AS1136*EXP($AT1136*2),$AS1136*(1+$AR1136*$AT1136*2)^(1/$AR1136)))</f>
        <v/>
      </c>
      <c r="AW1136">
        <f>IF($AR1136="","",IF($AR1136=0,$AS1136*EXP($AT1136*3),$AS1136*(1+$AR1136*$AT1136*3)^(1/$AR1136)))</f>
        <v/>
      </c>
      <c r="AX1136">
        <f>IF($AR1136="","",IF($AR1136=0,$AS1136*EXP($AT1136*-2),$AS1136*(1+$AR1136*$AT1136*-2)^(1/$AR1136)))</f>
        <v/>
      </c>
      <c r="AY1136">
        <f>IF($AR1136="","",IF($AR1136=0,$AS1136*EXP($AT1136*-3),$AS1136*(1+$AR1136*$AT1136*-3)^(1/$AR1136)))</f>
        <v/>
      </c>
      <c r="AZ1136">
        <f>IF(OR($A1136="",$A1136&lt;&gt;Ficha!$C$4),"",COUNTIF($A$2:$A1136,Ficha!$C$4))</f>
        <v/>
      </c>
    </row>
    <row r="1137">
      <c r="A1137" s="8">
        <f>IF(INDEX(Banco!$A:$A,ROW())="","",INDEX(Banco!$A:$A,ROW()))</f>
        <v/>
      </c>
      <c r="B1137" s="8">
        <f>IF(INDEX(Banco!$B:$B,ROW())="","",INDEX(Banco!$B:$B,ROW()))</f>
        <v/>
      </c>
      <c r="C1137" s="8">
        <f>IF(INDEX(Banco!$C:$C,ROW())="","",INDEX(Banco!$C:$C,ROW()))</f>
        <v/>
      </c>
      <c r="D1137" s="9">
        <f>IF(INDEX(Banco!$D:$D,ROW())="","",INDEX(Banco!$D:$D,ROW()))</f>
        <v/>
      </c>
      <c r="E1137" s="9">
        <f>IF(INDEX(Banco!$E:$E,ROW())="","",INDEX(Banco!$E:$E,ROW()))</f>
        <v/>
      </c>
      <c r="F1137" s="10">
        <f>IF(INDEX(Banco!$F:$F,ROW())="","",INDEX(Banco!$F:$F,ROW()))</f>
        <v/>
      </c>
      <c r="G1137" s="10">
        <f>IF(INDEX(Banco!$G:$G,ROW())="","",INDEX(Banco!$G:$G,ROW()))</f>
        <v/>
      </c>
      <c r="H1137" s="8">
        <f>IF(INDEX(Banco!$H:$H,ROW())="","",INDEX(Banco!$H:$H,ROW()))</f>
        <v/>
      </c>
      <c r="I1137">
        <f>IF($T1137="","",INT($T1137/12)&amp;"a "&amp;MOD($T1137,12)&amp;"m")</f>
        <v/>
      </c>
      <c r="J1137" s="11">
        <f>IF(OR($F1137="",$G1137=""),"",ROUND($F1137/($G1137/100)^2,2))</f>
        <v/>
      </c>
      <c r="K1137" s="12">
        <f>IF(OR($S1137="",$J1137="",$T1137="",$T1137&lt;0,$T1137&gt;228,$Y1137=""),"—",ROUND(IF(ABS($AB1137)&lt;=3,$AB1137,IF($AB1137&gt;3,3+($J1137-$AD1137)/($AD1137-$AC1137),-3+($J1137-$AF1137)/($AE1137-$AF1137))),2))</f>
        <v/>
      </c>
      <c r="L1137">
        <f>IF(OR($K1137="",$K1137="—"),"",IF($T1137&lt;=60,IF($K1137&lt;-3,"Magreza acentuada",IF($K1137&lt;-2,"Magreza",IF($K1137&lt;=1,"Eutrofia",IF($K1137&lt;=2,"Risco de sobrepeso",IF($K1137&lt;=3,"Sobrepeso","Obesidade"))))),IF($K1137&lt;-3,"Magreza acentuada",IF($K1137&lt;-2,"Magreza",IF($K1137&lt;=1,"Eutrofia",IF($K1137&lt;=2,"Sobrepeso",IF($K1137&lt;=3,"Obesidade","Obesidade grave")))))))</f>
        <v/>
      </c>
      <c r="M1137" s="12">
        <f>IF(OR($S1137="",$V1137="",$T1137="",$T1137&lt;0,$T1137&gt;228,$AG1137=""),"—",ROUND(IF($AG1137=0,LN($V1137/$AH1137)/$AI1137,((($V1137/$AH1137)^$AG1137)-1)/($AG1137*$AI1137)),2))</f>
        <v/>
      </c>
      <c r="N1137">
        <f>IF(OR($M1137="",$M1137="—"),"",IF($M1137&lt;-3,"Muito baixa",IF($M1137&lt;-2,"Baixa","Adequada")))</f>
        <v/>
      </c>
      <c r="O1137" s="12">
        <f>IF(OR($S1137="",$F1137="",$T1137="",$T1137&lt;0,$T1137&gt;120,$AJ1137=""),"—",ROUND(IF(ABS($AM1137)&lt;=3,$AM1137,IF($AM1137&gt;3,3+($F1137-$AO1137)/($AO1137-$AN1137),-3+($F1137-$AQ1137)/($AP1137-$AQ1137))),2))</f>
        <v/>
      </c>
      <c r="P1137">
        <f>IF(OR($O1137="",$O1137="—"),"",IF($O1137&lt;-3,"Muito baixo",IF($O1137&lt;-2,"Baixo",IF($O1137&lt;=2,"Adequado","Elevado"))))</f>
        <v/>
      </c>
      <c r="Q1137" s="12">
        <f>IF(OR($S1137="",$F1137="",$T1137="",$T1137&lt;0,$T1137&gt;60,$AR1137=""),"—",ROUND(IF(ABS($AU1137)&lt;=3,$AU1137,IF($AU1137&gt;3,3+($F1137-$AW1137)/($AW1137-$AV1137),-3+($F1137-$AY1137)/($AX1137-$AY1137))),2))</f>
        <v/>
      </c>
      <c r="R1137">
        <f>IF(OR($Q1137="",$Q1137="—"),"",IF($Q1137&lt;-3,"Magreza acentuada",IF($Q1137&lt;-2,"Magreza",IF($Q1137&lt;=1,"Eutrofia",IF($Q1137&lt;=2,"Risco de sobrepeso",IF($Q1137&lt;=3,"Sobrepeso","Obesidade"))))))</f>
        <v/>
      </c>
      <c r="S1137">
        <f>IF($C1137="","",IF(UPPER(LEFT($C1137,1))="M",1,IF(UPPER(LEFT($C1137,1))="F",2,"")))</f>
        <v/>
      </c>
      <c r="T1137">
        <f>IF(OR($D1137="",$E1137=""),"",DATEDIF($D1137,$E1137,"m"))</f>
        <v/>
      </c>
      <c r="U1137">
        <f>IF(OR($D1137="",$E1137=""),"",$E1137-$D1137)</f>
        <v/>
      </c>
      <c r="V1137">
        <f>IF(OR($G1137="",$T1137=""),"",IF($T1137&lt;24,IF(LEFT(LOWER($H1137),4)="em p",$G1137+0.7,$G1137),IF(LEFT(LOWER($H1137),4)="deit",$G1137-0.7,$G1137)))</f>
        <v/>
      </c>
      <c r="W1137">
        <f>IF(OR($S1137="",$T1137=""),"",$S1137*1000000+IF($T1137&lt;=60,$U1137,$T1137))</f>
        <v/>
      </c>
      <c r="X1137">
        <f>IF(OR($S1137="",$V1137="",$T1137&gt;60,$T1137=""),"",$S1137*1000000+ROUND($V1137*10,0))</f>
        <v/>
      </c>
      <c r="Y1137">
        <f>IF($W1137="","",IFERROR(INDEX(IF($T1137&lt;=60,imc05_l,imc519_l),MATCH($W1137,IF($T1137&lt;=60,imc05_k,imc519_k),1)),""))</f>
        <v/>
      </c>
      <c r="Z1137">
        <f>IF($W1137="","",IFERROR(INDEX(IF($T1137&lt;=60,imc05_m,imc519_m),MATCH($W1137,IF($T1137&lt;=60,imc05_k,imc519_k),1)),""))</f>
        <v/>
      </c>
      <c r="AA1137">
        <f>IF($W1137="","",IFERROR(INDEX(IF($T1137&lt;=60,imc05_s,imc519_s),MATCH($W1137,IF($T1137&lt;=60,imc05_k,imc519_k),1)),""))</f>
        <v/>
      </c>
      <c r="AB1137">
        <f>IF($Y1137="","",IF($Y1137=0,LN($J1137/$Z1137)/$AA1137,((($J1137/$Z1137)^$Y1137)-1)/($Y1137*$AA1137)))</f>
        <v/>
      </c>
      <c r="AC1137">
        <f>IF($Y1137="","",IF($Y1137=0,$Z1137*EXP($AA1137*2),$Z1137*(1+$Y1137*$AA1137*2)^(1/$Y1137)))</f>
        <v/>
      </c>
      <c r="AD1137">
        <f>IF($Y1137="","",IF($Y1137=0,$Z1137*EXP($AA1137*3),$Z1137*(1+$Y1137*$AA1137*3)^(1/$Y1137)))</f>
        <v/>
      </c>
      <c r="AE1137">
        <f>IF($Y1137="","",IF($Y1137=0,$Z1137*EXP($AA1137*-2),$Z1137*(1+$Y1137*$AA1137*-2)^(1/$Y1137)))</f>
        <v/>
      </c>
      <c r="AF1137">
        <f>IF($Y1137="","",IF($Y1137=0,$Z1137*EXP($AA1137*-3),$Z1137*(1+$Y1137*$AA1137*-3)^(1/$Y1137)))</f>
        <v/>
      </c>
      <c r="AG1137">
        <f>IF($W1137="","",IFERROR(INDEX(IF($T1137&lt;=60,est05_l,est519_l),MATCH($W1137,IF($T1137&lt;=60,est05_k,est519_k),1)),""))</f>
        <v/>
      </c>
      <c r="AH1137">
        <f>IF($W1137="","",IFERROR(INDEX(IF($T1137&lt;=60,est05_m,est519_m),MATCH($W1137,IF($T1137&lt;=60,est05_k,est519_k),1)),""))</f>
        <v/>
      </c>
      <c r="AI1137">
        <f>IF($W1137="","",IFERROR(INDEX(IF($T1137&lt;=60,est05_s,est519_s),MATCH($W1137,IF($T1137&lt;=60,est05_k,est519_k),1)),""))</f>
        <v/>
      </c>
      <c r="AJ1137">
        <f>IF($W1137="","",IFERROR(INDEX(IF($T1137&lt;=60,peso05_l,peso510_l),MATCH($W1137,IF($T1137&lt;=60,peso05_k,peso510_k),1)),""))</f>
        <v/>
      </c>
      <c r="AK1137">
        <f>IF($W1137="","",IFERROR(INDEX(IF($T1137&lt;=60,peso05_m,peso510_m),MATCH($W1137,IF($T1137&lt;=60,peso05_k,peso510_k),1)),""))</f>
        <v/>
      </c>
      <c r="AL1137">
        <f>IF($W1137="","",IFERROR(INDEX(IF($T1137&lt;=60,peso05_s,peso510_s),MATCH($W1137,IF($T1137&lt;=60,peso05_k,peso510_k),1)),""))</f>
        <v/>
      </c>
      <c r="AM1137">
        <f>IF($AJ1137="","",IF($AJ1137=0,LN($F1137/$AK1137)/$AL1137,((($F1137/$AK1137)^$AJ1137)-1)/($AJ1137*$AL1137)))</f>
        <v/>
      </c>
      <c r="AN1137">
        <f>IF($AJ1137="","",IF($AJ1137=0,$AK1137*EXP($AL1137*2),$AK1137*(1+$AJ1137*$AL1137*2)^(1/$AJ1137)))</f>
        <v/>
      </c>
      <c r="AO1137">
        <f>IF($AJ1137="","",IF($AJ1137=0,$AK1137*EXP($AL1137*3),$AK1137*(1+$AJ1137*$AL1137*3)^(1/$AJ1137)))</f>
        <v/>
      </c>
      <c r="AP1137">
        <f>IF($AJ1137="","",IF($AJ1137=0,$AK1137*EXP($AL1137*-2),$AK1137*(1+$AJ1137*$AL1137*-2)^(1/$AJ1137)))</f>
        <v/>
      </c>
      <c r="AQ1137">
        <f>IF($AJ1137="","",IF($AJ1137=0,$AK1137*EXP($AL1137*-3),$AK1137*(1+$AJ1137*$AL1137*-3)^(1/$AJ1137)))</f>
        <v/>
      </c>
      <c r="AR1137">
        <f>IF(OR($X1137="",$T1137&gt;60),"",IFERROR(INDEX(IF($T1137&lt;24,pcomp_l,palt_l),MATCH($X1137,IF($T1137&lt;24,pcomp_k,palt_k),1)),""))</f>
        <v/>
      </c>
      <c r="AS1137">
        <f>IF(OR($X1137="",$T1137&gt;60),"",IFERROR(INDEX(IF($T1137&lt;24,pcomp_m,palt_m),MATCH($X1137,IF($T1137&lt;24,pcomp_k,palt_k),1)),""))</f>
        <v/>
      </c>
      <c r="AT1137">
        <f>IF(OR($X1137="",$T1137&gt;60),"",IFERROR(INDEX(IF($T1137&lt;24,pcomp_s,palt_s),MATCH($X1137,IF($T1137&lt;24,pcomp_k,palt_k),1)),""))</f>
        <v/>
      </c>
      <c r="AU1137">
        <f>IF($AR1137="","",IF($AR1137=0,LN($F1137/$AS1137)/$AT1137,((($F1137/$AS1137)^$AR1137)-1)/($AR1137*$AT1137)))</f>
        <v/>
      </c>
      <c r="AV1137">
        <f>IF($AR1137="","",IF($AR1137=0,$AS1137*EXP($AT1137*2),$AS1137*(1+$AR1137*$AT1137*2)^(1/$AR1137)))</f>
        <v/>
      </c>
      <c r="AW1137">
        <f>IF($AR1137="","",IF($AR1137=0,$AS1137*EXP($AT1137*3),$AS1137*(1+$AR1137*$AT1137*3)^(1/$AR1137)))</f>
        <v/>
      </c>
      <c r="AX1137">
        <f>IF($AR1137="","",IF($AR1137=0,$AS1137*EXP($AT1137*-2),$AS1137*(1+$AR1137*$AT1137*-2)^(1/$AR1137)))</f>
        <v/>
      </c>
      <c r="AY1137">
        <f>IF($AR1137="","",IF($AR1137=0,$AS1137*EXP($AT1137*-3),$AS1137*(1+$AR1137*$AT1137*-3)^(1/$AR1137)))</f>
        <v/>
      </c>
      <c r="AZ1137">
        <f>IF(OR($A1137="",$A1137&lt;&gt;Ficha!$C$4),"",COUNTIF($A$2:$A1137,Ficha!$C$4))</f>
        <v/>
      </c>
    </row>
    <row r="1138">
      <c r="A1138" s="8">
        <f>IF(INDEX(Banco!$A:$A,ROW())="","",INDEX(Banco!$A:$A,ROW()))</f>
        <v/>
      </c>
      <c r="B1138" s="8">
        <f>IF(INDEX(Banco!$B:$B,ROW())="","",INDEX(Banco!$B:$B,ROW()))</f>
        <v/>
      </c>
      <c r="C1138" s="8">
        <f>IF(INDEX(Banco!$C:$C,ROW())="","",INDEX(Banco!$C:$C,ROW()))</f>
        <v/>
      </c>
      <c r="D1138" s="9">
        <f>IF(INDEX(Banco!$D:$D,ROW())="","",INDEX(Banco!$D:$D,ROW()))</f>
        <v/>
      </c>
      <c r="E1138" s="9">
        <f>IF(INDEX(Banco!$E:$E,ROW())="","",INDEX(Banco!$E:$E,ROW()))</f>
        <v/>
      </c>
      <c r="F1138" s="10">
        <f>IF(INDEX(Banco!$F:$F,ROW())="","",INDEX(Banco!$F:$F,ROW()))</f>
        <v/>
      </c>
      <c r="G1138" s="10">
        <f>IF(INDEX(Banco!$G:$G,ROW())="","",INDEX(Banco!$G:$G,ROW()))</f>
        <v/>
      </c>
      <c r="H1138" s="8">
        <f>IF(INDEX(Banco!$H:$H,ROW())="","",INDEX(Banco!$H:$H,ROW()))</f>
        <v/>
      </c>
      <c r="I1138">
        <f>IF($T1138="","",INT($T1138/12)&amp;"a "&amp;MOD($T1138,12)&amp;"m")</f>
        <v/>
      </c>
      <c r="J1138" s="11">
        <f>IF(OR($F1138="",$G1138=""),"",ROUND($F1138/($G1138/100)^2,2))</f>
        <v/>
      </c>
      <c r="K1138" s="12">
        <f>IF(OR($S1138="",$J1138="",$T1138="",$T1138&lt;0,$T1138&gt;228,$Y1138=""),"—",ROUND(IF(ABS($AB1138)&lt;=3,$AB1138,IF($AB1138&gt;3,3+($J1138-$AD1138)/($AD1138-$AC1138),-3+($J1138-$AF1138)/($AE1138-$AF1138))),2))</f>
        <v/>
      </c>
      <c r="L1138">
        <f>IF(OR($K1138="",$K1138="—"),"",IF($T1138&lt;=60,IF($K1138&lt;-3,"Magreza acentuada",IF($K1138&lt;-2,"Magreza",IF($K1138&lt;=1,"Eutrofia",IF($K1138&lt;=2,"Risco de sobrepeso",IF($K1138&lt;=3,"Sobrepeso","Obesidade"))))),IF($K1138&lt;-3,"Magreza acentuada",IF($K1138&lt;-2,"Magreza",IF($K1138&lt;=1,"Eutrofia",IF($K1138&lt;=2,"Sobrepeso",IF($K1138&lt;=3,"Obesidade","Obesidade grave")))))))</f>
        <v/>
      </c>
      <c r="M1138" s="12">
        <f>IF(OR($S1138="",$V1138="",$T1138="",$T1138&lt;0,$T1138&gt;228,$AG1138=""),"—",ROUND(IF($AG1138=0,LN($V1138/$AH1138)/$AI1138,((($V1138/$AH1138)^$AG1138)-1)/($AG1138*$AI1138)),2))</f>
        <v/>
      </c>
      <c r="N1138">
        <f>IF(OR($M1138="",$M1138="—"),"",IF($M1138&lt;-3,"Muito baixa",IF($M1138&lt;-2,"Baixa","Adequada")))</f>
        <v/>
      </c>
      <c r="O1138" s="12">
        <f>IF(OR($S1138="",$F1138="",$T1138="",$T1138&lt;0,$T1138&gt;120,$AJ1138=""),"—",ROUND(IF(ABS($AM1138)&lt;=3,$AM1138,IF($AM1138&gt;3,3+($F1138-$AO1138)/($AO1138-$AN1138),-3+($F1138-$AQ1138)/($AP1138-$AQ1138))),2))</f>
        <v/>
      </c>
      <c r="P1138">
        <f>IF(OR($O1138="",$O1138="—"),"",IF($O1138&lt;-3,"Muito baixo",IF($O1138&lt;-2,"Baixo",IF($O1138&lt;=2,"Adequado","Elevado"))))</f>
        <v/>
      </c>
      <c r="Q1138" s="12">
        <f>IF(OR($S1138="",$F1138="",$T1138="",$T1138&lt;0,$T1138&gt;60,$AR1138=""),"—",ROUND(IF(ABS($AU1138)&lt;=3,$AU1138,IF($AU1138&gt;3,3+($F1138-$AW1138)/($AW1138-$AV1138),-3+($F1138-$AY1138)/($AX1138-$AY1138))),2))</f>
        <v/>
      </c>
      <c r="R1138">
        <f>IF(OR($Q1138="",$Q1138="—"),"",IF($Q1138&lt;-3,"Magreza acentuada",IF($Q1138&lt;-2,"Magreza",IF($Q1138&lt;=1,"Eutrofia",IF($Q1138&lt;=2,"Risco de sobrepeso",IF($Q1138&lt;=3,"Sobrepeso","Obesidade"))))))</f>
        <v/>
      </c>
      <c r="S1138">
        <f>IF($C1138="","",IF(UPPER(LEFT($C1138,1))="M",1,IF(UPPER(LEFT($C1138,1))="F",2,"")))</f>
        <v/>
      </c>
      <c r="T1138">
        <f>IF(OR($D1138="",$E1138=""),"",DATEDIF($D1138,$E1138,"m"))</f>
        <v/>
      </c>
      <c r="U1138">
        <f>IF(OR($D1138="",$E1138=""),"",$E1138-$D1138)</f>
        <v/>
      </c>
      <c r="V1138">
        <f>IF(OR($G1138="",$T1138=""),"",IF($T1138&lt;24,IF(LEFT(LOWER($H1138),4)="em p",$G1138+0.7,$G1138),IF(LEFT(LOWER($H1138),4)="deit",$G1138-0.7,$G1138)))</f>
        <v/>
      </c>
      <c r="W1138">
        <f>IF(OR($S1138="",$T1138=""),"",$S1138*1000000+IF($T1138&lt;=60,$U1138,$T1138))</f>
        <v/>
      </c>
      <c r="X1138">
        <f>IF(OR($S1138="",$V1138="",$T1138&gt;60,$T1138=""),"",$S1138*1000000+ROUND($V1138*10,0))</f>
        <v/>
      </c>
      <c r="Y1138">
        <f>IF($W1138="","",IFERROR(INDEX(IF($T1138&lt;=60,imc05_l,imc519_l),MATCH($W1138,IF($T1138&lt;=60,imc05_k,imc519_k),1)),""))</f>
        <v/>
      </c>
      <c r="Z1138">
        <f>IF($W1138="","",IFERROR(INDEX(IF($T1138&lt;=60,imc05_m,imc519_m),MATCH($W1138,IF($T1138&lt;=60,imc05_k,imc519_k),1)),""))</f>
        <v/>
      </c>
      <c r="AA1138">
        <f>IF($W1138="","",IFERROR(INDEX(IF($T1138&lt;=60,imc05_s,imc519_s),MATCH($W1138,IF($T1138&lt;=60,imc05_k,imc519_k),1)),""))</f>
        <v/>
      </c>
      <c r="AB1138">
        <f>IF($Y1138="","",IF($Y1138=0,LN($J1138/$Z1138)/$AA1138,((($J1138/$Z1138)^$Y1138)-1)/($Y1138*$AA1138)))</f>
        <v/>
      </c>
      <c r="AC1138">
        <f>IF($Y1138="","",IF($Y1138=0,$Z1138*EXP($AA1138*2),$Z1138*(1+$Y1138*$AA1138*2)^(1/$Y1138)))</f>
        <v/>
      </c>
      <c r="AD1138">
        <f>IF($Y1138="","",IF($Y1138=0,$Z1138*EXP($AA1138*3),$Z1138*(1+$Y1138*$AA1138*3)^(1/$Y1138)))</f>
        <v/>
      </c>
      <c r="AE1138">
        <f>IF($Y1138="","",IF($Y1138=0,$Z1138*EXP($AA1138*-2),$Z1138*(1+$Y1138*$AA1138*-2)^(1/$Y1138)))</f>
        <v/>
      </c>
      <c r="AF1138">
        <f>IF($Y1138="","",IF($Y1138=0,$Z1138*EXP($AA1138*-3),$Z1138*(1+$Y1138*$AA1138*-3)^(1/$Y1138)))</f>
        <v/>
      </c>
      <c r="AG1138">
        <f>IF($W1138="","",IFERROR(INDEX(IF($T1138&lt;=60,est05_l,est519_l),MATCH($W1138,IF($T1138&lt;=60,est05_k,est519_k),1)),""))</f>
        <v/>
      </c>
      <c r="AH1138">
        <f>IF($W1138="","",IFERROR(INDEX(IF($T1138&lt;=60,est05_m,est519_m),MATCH($W1138,IF($T1138&lt;=60,est05_k,est519_k),1)),""))</f>
        <v/>
      </c>
      <c r="AI1138">
        <f>IF($W1138="","",IFERROR(INDEX(IF($T1138&lt;=60,est05_s,est519_s),MATCH($W1138,IF($T1138&lt;=60,est05_k,est519_k),1)),""))</f>
        <v/>
      </c>
      <c r="AJ1138">
        <f>IF($W1138="","",IFERROR(INDEX(IF($T1138&lt;=60,peso05_l,peso510_l),MATCH($W1138,IF($T1138&lt;=60,peso05_k,peso510_k),1)),""))</f>
        <v/>
      </c>
      <c r="AK1138">
        <f>IF($W1138="","",IFERROR(INDEX(IF($T1138&lt;=60,peso05_m,peso510_m),MATCH($W1138,IF($T1138&lt;=60,peso05_k,peso510_k),1)),""))</f>
        <v/>
      </c>
      <c r="AL1138">
        <f>IF($W1138="","",IFERROR(INDEX(IF($T1138&lt;=60,peso05_s,peso510_s),MATCH($W1138,IF($T1138&lt;=60,peso05_k,peso510_k),1)),""))</f>
        <v/>
      </c>
      <c r="AM1138">
        <f>IF($AJ1138="","",IF($AJ1138=0,LN($F1138/$AK1138)/$AL1138,((($F1138/$AK1138)^$AJ1138)-1)/($AJ1138*$AL1138)))</f>
        <v/>
      </c>
      <c r="AN1138">
        <f>IF($AJ1138="","",IF($AJ1138=0,$AK1138*EXP($AL1138*2),$AK1138*(1+$AJ1138*$AL1138*2)^(1/$AJ1138)))</f>
        <v/>
      </c>
      <c r="AO1138">
        <f>IF($AJ1138="","",IF($AJ1138=0,$AK1138*EXP($AL1138*3),$AK1138*(1+$AJ1138*$AL1138*3)^(1/$AJ1138)))</f>
        <v/>
      </c>
      <c r="AP1138">
        <f>IF($AJ1138="","",IF($AJ1138=0,$AK1138*EXP($AL1138*-2),$AK1138*(1+$AJ1138*$AL1138*-2)^(1/$AJ1138)))</f>
        <v/>
      </c>
      <c r="AQ1138">
        <f>IF($AJ1138="","",IF($AJ1138=0,$AK1138*EXP($AL1138*-3),$AK1138*(1+$AJ1138*$AL1138*-3)^(1/$AJ1138)))</f>
        <v/>
      </c>
      <c r="AR1138">
        <f>IF(OR($X1138="",$T1138&gt;60),"",IFERROR(INDEX(IF($T1138&lt;24,pcomp_l,palt_l),MATCH($X1138,IF($T1138&lt;24,pcomp_k,palt_k),1)),""))</f>
        <v/>
      </c>
      <c r="AS1138">
        <f>IF(OR($X1138="",$T1138&gt;60),"",IFERROR(INDEX(IF($T1138&lt;24,pcomp_m,palt_m),MATCH($X1138,IF($T1138&lt;24,pcomp_k,palt_k),1)),""))</f>
        <v/>
      </c>
      <c r="AT1138">
        <f>IF(OR($X1138="",$T1138&gt;60),"",IFERROR(INDEX(IF($T1138&lt;24,pcomp_s,palt_s),MATCH($X1138,IF($T1138&lt;24,pcomp_k,palt_k),1)),""))</f>
        <v/>
      </c>
      <c r="AU1138">
        <f>IF($AR1138="","",IF($AR1138=0,LN($F1138/$AS1138)/$AT1138,((($F1138/$AS1138)^$AR1138)-1)/($AR1138*$AT1138)))</f>
        <v/>
      </c>
      <c r="AV1138">
        <f>IF($AR1138="","",IF($AR1138=0,$AS1138*EXP($AT1138*2),$AS1138*(1+$AR1138*$AT1138*2)^(1/$AR1138)))</f>
        <v/>
      </c>
      <c r="AW1138">
        <f>IF($AR1138="","",IF($AR1138=0,$AS1138*EXP($AT1138*3),$AS1138*(1+$AR1138*$AT1138*3)^(1/$AR1138)))</f>
        <v/>
      </c>
      <c r="AX1138">
        <f>IF($AR1138="","",IF($AR1138=0,$AS1138*EXP($AT1138*-2),$AS1138*(1+$AR1138*$AT1138*-2)^(1/$AR1138)))</f>
        <v/>
      </c>
      <c r="AY1138">
        <f>IF($AR1138="","",IF($AR1138=0,$AS1138*EXP($AT1138*-3),$AS1138*(1+$AR1138*$AT1138*-3)^(1/$AR1138)))</f>
        <v/>
      </c>
      <c r="AZ1138">
        <f>IF(OR($A1138="",$A1138&lt;&gt;Ficha!$C$4),"",COUNTIF($A$2:$A1138,Ficha!$C$4))</f>
        <v/>
      </c>
    </row>
    <row r="1139">
      <c r="A1139" s="8">
        <f>IF(INDEX(Banco!$A:$A,ROW())="","",INDEX(Banco!$A:$A,ROW()))</f>
        <v/>
      </c>
      <c r="B1139" s="8">
        <f>IF(INDEX(Banco!$B:$B,ROW())="","",INDEX(Banco!$B:$B,ROW()))</f>
        <v/>
      </c>
      <c r="C1139" s="8">
        <f>IF(INDEX(Banco!$C:$C,ROW())="","",INDEX(Banco!$C:$C,ROW()))</f>
        <v/>
      </c>
      <c r="D1139" s="9">
        <f>IF(INDEX(Banco!$D:$D,ROW())="","",INDEX(Banco!$D:$D,ROW()))</f>
        <v/>
      </c>
      <c r="E1139" s="9">
        <f>IF(INDEX(Banco!$E:$E,ROW())="","",INDEX(Banco!$E:$E,ROW()))</f>
        <v/>
      </c>
      <c r="F1139" s="10">
        <f>IF(INDEX(Banco!$F:$F,ROW())="","",INDEX(Banco!$F:$F,ROW()))</f>
        <v/>
      </c>
      <c r="G1139" s="10">
        <f>IF(INDEX(Banco!$G:$G,ROW())="","",INDEX(Banco!$G:$G,ROW()))</f>
        <v/>
      </c>
      <c r="H1139" s="8">
        <f>IF(INDEX(Banco!$H:$H,ROW())="","",INDEX(Banco!$H:$H,ROW()))</f>
        <v/>
      </c>
      <c r="I1139">
        <f>IF($T1139="","",INT($T1139/12)&amp;"a "&amp;MOD($T1139,12)&amp;"m")</f>
        <v/>
      </c>
      <c r="J1139" s="11">
        <f>IF(OR($F1139="",$G1139=""),"",ROUND($F1139/($G1139/100)^2,2))</f>
        <v/>
      </c>
      <c r="K1139" s="12">
        <f>IF(OR($S1139="",$J1139="",$T1139="",$T1139&lt;0,$T1139&gt;228,$Y1139=""),"—",ROUND(IF(ABS($AB1139)&lt;=3,$AB1139,IF($AB1139&gt;3,3+($J1139-$AD1139)/($AD1139-$AC1139),-3+($J1139-$AF1139)/($AE1139-$AF1139))),2))</f>
        <v/>
      </c>
      <c r="L1139">
        <f>IF(OR($K1139="",$K1139="—"),"",IF($T1139&lt;=60,IF($K1139&lt;-3,"Magreza acentuada",IF($K1139&lt;-2,"Magreza",IF($K1139&lt;=1,"Eutrofia",IF($K1139&lt;=2,"Risco de sobrepeso",IF($K1139&lt;=3,"Sobrepeso","Obesidade"))))),IF($K1139&lt;-3,"Magreza acentuada",IF($K1139&lt;-2,"Magreza",IF($K1139&lt;=1,"Eutrofia",IF($K1139&lt;=2,"Sobrepeso",IF($K1139&lt;=3,"Obesidade","Obesidade grave")))))))</f>
        <v/>
      </c>
      <c r="M1139" s="12">
        <f>IF(OR($S1139="",$V1139="",$T1139="",$T1139&lt;0,$T1139&gt;228,$AG1139=""),"—",ROUND(IF($AG1139=0,LN($V1139/$AH1139)/$AI1139,((($V1139/$AH1139)^$AG1139)-1)/($AG1139*$AI1139)),2))</f>
        <v/>
      </c>
      <c r="N1139">
        <f>IF(OR($M1139="",$M1139="—"),"",IF($M1139&lt;-3,"Muito baixa",IF($M1139&lt;-2,"Baixa","Adequada")))</f>
        <v/>
      </c>
      <c r="O1139" s="12">
        <f>IF(OR($S1139="",$F1139="",$T1139="",$T1139&lt;0,$T1139&gt;120,$AJ1139=""),"—",ROUND(IF(ABS($AM1139)&lt;=3,$AM1139,IF($AM1139&gt;3,3+($F1139-$AO1139)/($AO1139-$AN1139),-3+($F1139-$AQ1139)/($AP1139-$AQ1139))),2))</f>
        <v/>
      </c>
      <c r="P1139">
        <f>IF(OR($O1139="",$O1139="—"),"",IF($O1139&lt;-3,"Muito baixo",IF($O1139&lt;-2,"Baixo",IF($O1139&lt;=2,"Adequado","Elevado"))))</f>
        <v/>
      </c>
      <c r="Q1139" s="12">
        <f>IF(OR($S1139="",$F1139="",$T1139="",$T1139&lt;0,$T1139&gt;60,$AR1139=""),"—",ROUND(IF(ABS($AU1139)&lt;=3,$AU1139,IF($AU1139&gt;3,3+($F1139-$AW1139)/($AW1139-$AV1139),-3+($F1139-$AY1139)/($AX1139-$AY1139))),2))</f>
        <v/>
      </c>
      <c r="R1139">
        <f>IF(OR($Q1139="",$Q1139="—"),"",IF($Q1139&lt;-3,"Magreza acentuada",IF($Q1139&lt;-2,"Magreza",IF($Q1139&lt;=1,"Eutrofia",IF($Q1139&lt;=2,"Risco de sobrepeso",IF($Q1139&lt;=3,"Sobrepeso","Obesidade"))))))</f>
        <v/>
      </c>
      <c r="S1139">
        <f>IF($C1139="","",IF(UPPER(LEFT($C1139,1))="M",1,IF(UPPER(LEFT($C1139,1))="F",2,"")))</f>
        <v/>
      </c>
      <c r="T1139">
        <f>IF(OR($D1139="",$E1139=""),"",DATEDIF($D1139,$E1139,"m"))</f>
        <v/>
      </c>
      <c r="U1139">
        <f>IF(OR($D1139="",$E1139=""),"",$E1139-$D1139)</f>
        <v/>
      </c>
      <c r="V1139">
        <f>IF(OR($G1139="",$T1139=""),"",IF($T1139&lt;24,IF(LEFT(LOWER($H1139),4)="em p",$G1139+0.7,$G1139),IF(LEFT(LOWER($H1139),4)="deit",$G1139-0.7,$G1139)))</f>
        <v/>
      </c>
      <c r="W1139">
        <f>IF(OR($S1139="",$T1139=""),"",$S1139*1000000+IF($T1139&lt;=60,$U1139,$T1139))</f>
        <v/>
      </c>
      <c r="X1139">
        <f>IF(OR($S1139="",$V1139="",$T1139&gt;60,$T1139=""),"",$S1139*1000000+ROUND($V1139*10,0))</f>
        <v/>
      </c>
      <c r="Y1139">
        <f>IF($W1139="","",IFERROR(INDEX(IF($T1139&lt;=60,imc05_l,imc519_l),MATCH($W1139,IF($T1139&lt;=60,imc05_k,imc519_k),1)),""))</f>
        <v/>
      </c>
      <c r="Z1139">
        <f>IF($W1139="","",IFERROR(INDEX(IF($T1139&lt;=60,imc05_m,imc519_m),MATCH($W1139,IF($T1139&lt;=60,imc05_k,imc519_k),1)),""))</f>
        <v/>
      </c>
      <c r="AA1139">
        <f>IF($W1139="","",IFERROR(INDEX(IF($T1139&lt;=60,imc05_s,imc519_s),MATCH($W1139,IF($T1139&lt;=60,imc05_k,imc519_k),1)),""))</f>
        <v/>
      </c>
      <c r="AB1139">
        <f>IF($Y1139="","",IF($Y1139=0,LN($J1139/$Z1139)/$AA1139,((($J1139/$Z1139)^$Y1139)-1)/($Y1139*$AA1139)))</f>
        <v/>
      </c>
      <c r="AC1139">
        <f>IF($Y1139="","",IF($Y1139=0,$Z1139*EXP($AA1139*2),$Z1139*(1+$Y1139*$AA1139*2)^(1/$Y1139)))</f>
        <v/>
      </c>
      <c r="AD1139">
        <f>IF($Y1139="","",IF($Y1139=0,$Z1139*EXP($AA1139*3),$Z1139*(1+$Y1139*$AA1139*3)^(1/$Y1139)))</f>
        <v/>
      </c>
      <c r="AE1139">
        <f>IF($Y1139="","",IF($Y1139=0,$Z1139*EXP($AA1139*-2),$Z1139*(1+$Y1139*$AA1139*-2)^(1/$Y1139)))</f>
        <v/>
      </c>
      <c r="AF1139">
        <f>IF($Y1139="","",IF($Y1139=0,$Z1139*EXP($AA1139*-3),$Z1139*(1+$Y1139*$AA1139*-3)^(1/$Y1139)))</f>
        <v/>
      </c>
      <c r="AG1139">
        <f>IF($W1139="","",IFERROR(INDEX(IF($T1139&lt;=60,est05_l,est519_l),MATCH($W1139,IF($T1139&lt;=60,est05_k,est519_k),1)),""))</f>
        <v/>
      </c>
      <c r="AH1139">
        <f>IF($W1139="","",IFERROR(INDEX(IF($T1139&lt;=60,est05_m,est519_m),MATCH($W1139,IF($T1139&lt;=60,est05_k,est519_k),1)),""))</f>
        <v/>
      </c>
      <c r="AI1139">
        <f>IF($W1139="","",IFERROR(INDEX(IF($T1139&lt;=60,est05_s,est519_s),MATCH($W1139,IF($T1139&lt;=60,est05_k,est519_k),1)),""))</f>
        <v/>
      </c>
      <c r="AJ1139">
        <f>IF($W1139="","",IFERROR(INDEX(IF($T1139&lt;=60,peso05_l,peso510_l),MATCH($W1139,IF($T1139&lt;=60,peso05_k,peso510_k),1)),""))</f>
        <v/>
      </c>
      <c r="AK1139">
        <f>IF($W1139="","",IFERROR(INDEX(IF($T1139&lt;=60,peso05_m,peso510_m),MATCH($W1139,IF($T1139&lt;=60,peso05_k,peso510_k),1)),""))</f>
        <v/>
      </c>
      <c r="AL1139">
        <f>IF($W1139="","",IFERROR(INDEX(IF($T1139&lt;=60,peso05_s,peso510_s),MATCH($W1139,IF($T1139&lt;=60,peso05_k,peso510_k),1)),""))</f>
        <v/>
      </c>
      <c r="AM1139">
        <f>IF($AJ1139="","",IF($AJ1139=0,LN($F1139/$AK1139)/$AL1139,((($F1139/$AK1139)^$AJ1139)-1)/($AJ1139*$AL1139)))</f>
        <v/>
      </c>
      <c r="AN1139">
        <f>IF($AJ1139="","",IF($AJ1139=0,$AK1139*EXP($AL1139*2),$AK1139*(1+$AJ1139*$AL1139*2)^(1/$AJ1139)))</f>
        <v/>
      </c>
      <c r="AO1139">
        <f>IF($AJ1139="","",IF($AJ1139=0,$AK1139*EXP($AL1139*3),$AK1139*(1+$AJ1139*$AL1139*3)^(1/$AJ1139)))</f>
        <v/>
      </c>
      <c r="AP1139">
        <f>IF($AJ1139="","",IF($AJ1139=0,$AK1139*EXP($AL1139*-2),$AK1139*(1+$AJ1139*$AL1139*-2)^(1/$AJ1139)))</f>
        <v/>
      </c>
      <c r="AQ1139">
        <f>IF($AJ1139="","",IF($AJ1139=0,$AK1139*EXP($AL1139*-3),$AK1139*(1+$AJ1139*$AL1139*-3)^(1/$AJ1139)))</f>
        <v/>
      </c>
      <c r="AR1139">
        <f>IF(OR($X1139="",$T1139&gt;60),"",IFERROR(INDEX(IF($T1139&lt;24,pcomp_l,palt_l),MATCH($X1139,IF($T1139&lt;24,pcomp_k,palt_k),1)),""))</f>
        <v/>
      </c>
      <c r="AS1139">
        <f>IF(OR($X1139="",$T1139&gt;60),"",IFERROR(INDEX(IF($T1139&lt;24,pcomp_m,palt_m),MATCH($X1139,IF($T1139&lt;24,pcomp_k,palt_k),1)),""))</f>
        <v/>
      </c>
      <c r="AT1139">
        <f>IF(OR($X1139="",$T1139&gt;60),"",IFERROR(INDEX(IF($T1139&lt;24,pcomp_s,palt_s),MATCH($X1139,IF($T1139&lt;24,pcomp_k,palt_k),1)),""))</f>
        <v/>
      </c>
      <c r="AU1139">
        <f>IF($AR1139="","",IF($AR1139=0,LN($F1139/$AS1139)/$AT1139,((($F1139/$AS1139)^$AR1139)-1)/($AR1139*$AT1139)))</f>
        <v/>
      </c>
      <c r="AV1139">
        <f>IF($AR1139="","",IF($AR1139=0,$AS1139*EXP($AT1139*2),$AS1139*(1+$AR1139*$AT1139*2)^(1/$AR1139)))</f>
        <v/>
      </c>
      <c r="AW1139">
        <f>IF($AR1139="","",IF($AR1139=0,$AS1139*EXP($AT1139*3),$AS1139*(1+$AR1139*$AT1139*3)^(1/$AR1139)))</f>
        <v/>
      </c>
      <c r="AX1139">
        <f>IF($AR1139="","",IF($AR1139=0,$AS1139*EXP($AT1139*-2),$AS1139*(1+$AR1139*$AT1139*-2)^(1/$AR1139)))</f>
        <v/>
      </c>
      <c r="AY1139">
        <f>IF($AR1139="","",IF($AR1139=0,$AS1139*EXP($AT1139*-3),$AS1139*(1+$AR1139*$AT1139*-3)^(1/$AR1139)))</f>
        <v/>
      </c>
      <c r="AZ1139">
        <f>IF(OR($A1139="",$A1139&lt;&gt;Ficha!$C$4),"",COUNTIF($A$2:$A1139,Ficha!$C$4))</f>
        <v/>
      </c>
    </row>
    <row r="1140">
      <c r="A1140" s="8">
        <f>IF(INDEX(Banco!$A:$A,ROW())="","",INDEX(Banco!$A:$A,ROW()))</f>
        <v/>
      </c>
      <c r="B1140" s="8">
        <f>IF(INDEX(Banco!$B:$B,ROW())="","",INDEX(Banco!$B:$B,ROW()))</f>
        <v/>
      </c>
      <c r="C1140" s="8">
        <f>IF(INDEX(Banco!$C:$C,ROW())="","",INDEX(Banco!$C:$C,ROW()))</f>
        <v/>
      </c>
      <c r="D1140" s="9">
        <f>IF(INDEX(Banco!$D:$D,ROW())="","",INDEX(Banco!$D:$D,ROW()))</f>
        <v/>
      </c>
      <c r="E1140" s="9">
        <f>IF(INDEX(Banco!$E:$E,ROW())="","",INDEX(Banco!$E:$E,ROW()))</f>
        <v/>
      </c>
      <c r="F1140" s="10">
        <f>IF(INDEX(Banco!$F:$F,ROW())="","",INDEX(Banco!$F:$F,ROW()))</f>
        <v/>
      </c>
      <c r="G1140" s="10">
        <f>IF(INDEX(Banco!$G:$G,ROW())="","",INDEX(Banco!$G:$G,ROW()))</f>
        <v/>
      </c>
      <c r="H1140" s="8">
        <f>IF(INDEX(Banco!$H:$H,ROW())="","",INDEX(Banco!$H:$H,ROW()))</f>
        <v/>
      </c>
      <c r="I1140">
        <f>IF($T1140="","",INT($T1140/12)&amp;"a "&amp;MOD($T1140,12)&amp;"m")</f>
        <v/>
      </c>
      <c r="J1140" s="11">
        <f>IF(OR($F1140="",$G1140=""),"",ROUND($F1140/($G1140/100)^2,2))</f>
        <v/>
      </c>
      <c r="K1140" s="12">
        <f>IF(OR($S1140="",$J1140="",$T1140="",$T1140&lt;0,$T1140&gt;228,$Y1140=""),"—",ROUND(IF(ABS($AB1140)&lt;=3,$AB1140,IF($AB1140&gt;3,3+($J1140-$AD1140)/($AD1140-$AC1140),-3+($J1140-$AF1140)/($AE1140-$AF1140))),2))</f>
        <v/>
      </c>
      <c r="L1140">
        <f>IF(OR($K1140="",$K1140="—"),"",IF($T1140&lt;=60,IF($K1140&lt;-3,"Magreza acentuada",IF($K1140&lt;-2,"Magreza",IF($K1140&lt;=1,"Eutrofia",IF($K1140&lt;=2,"Risco de sobrepeso",IF($K1140&lt;=3,"Sobrepeso","Obesidade"))))),IF($K1140&lt;-3,"Magreza acentuada",IF($K1140&lt;-2,"Magreza",IF($K1140&lt;=1,"Eutrofia",IF($K1140&lt;=2,"Sobrepeso",IF($K1140&lt;=3,"Obesidade","Obesidade grave")))))))</f>
        <v/>
      </c>
      <c r="M1140" s="12">
        <f>IF(OR($S1140="",$V1140="",$T1140="",$T1140&lt;0,$T1140&gt;228,$AG1140=""),"—",ROUND(IF($AG1140=0,LN($V1140/$AH1140)/$AI1140,((($V1140/$AH1140)^$AG1140)-1)/($AG1140*$AI1140)),2))</f>
        <v/>
      </c>
      <c r="N1140">
        <f>IF(OR($M1140="",$M1140="—"),"",IF($M1140&lt;-3,"Muito baixa",IF($M1140&lt;-2,"Baixa","Adequada")))</f>
        <v/>
      </c>
      <c r="O1140" s="12">
        <f>IF(OR($S1140="",$F1140="",$T1140="",$T1140&lt;0,$T1140&gt;120,$AJ1140=""),"—",ROUND(IF(ABS($AM1140)&lt;=3,$AM1140,IF($AM1140&gt;3,3+($F1140-$AO1140)/($AO1140-$AN1140),-3+($F1140-$AQ1140)/($AP1140-$AQ1140))),2))</f>
        <v/>
      </c>
      <c r="P1140">
        <f>IF(OR($O1140="",$O1140="—"),"",IF($O1140&lt;-3,"Muito baixo",IF($O1140&lt;-2,"Baixo",IF($O1140&lt;=2,"Adequado","Elevado"))))</f>
        <v/>
      </c>
      <c r="Q1140" s="12">
        <f>IF(OR($S1140="",$F1140="",$T1140="",$T1140&lt;0,$T1140&gt;60,$AR1140=""),"—",ROUND(IF(ABS($AU1140)&lt;=3,$AU1140,IF($AU1140&gt;3,3+($F1140-$AW1140)/($AW1140-$AV1140),-3+($F1140-$AY1140)/($AX1140-$AY1140))),2))</f>
        <v/>
      </c>
      <c r="R1140">
        <f>IF(OR($Q1140="",$Q1140="—"),"",IF($Q1140&lt;-3,"Magreza acentuada",IF($Q1140&lt;-2,"Magreza",IF($Q1140&lt;=1,"Eutrofia",IF($Q1140&lt;=2,"Risco de sobrepeso",IF($Q1140&lt;=3,"Sobrepeso","Obesidade"))))))</f>
        <v/>
      </c>
      <c r="S1140">
        <f>IF($C1140="","",IF(UPPER(LEFT($C1140,1))="M",1,IF(UPPER(LEFT($C1140,1))="F",2,"")))</f>
        <v/>
      </c>
      <c r="T1140">
        <f>IF(OR($D1140="",$E1140=""),"",DATEDIF($D1140,$E1140,"m"))</f>
        <v/>
      </c>
      <c r="U1140">
        <f>IF(OR($D1140="",$E1140=""),"",$E1140-$D1140)</f>
        <v/>
      </c>
      <c r="V1140">
        <f>IF(OR($G1140="",$T1140=""),"",IF($T1140&lt;24,IF(LEFT(LOWER($H1140),4)="em p",$G1140+0.7,$G1140),IF(LEFT(LOWER($H1140),4)="deit",$G1140-0.7,$G1140)))</f>
        <v/>
      </c>
      <c r="W1140">
        <f>IF(OR($S1140="",$T1140=""),"",$S1140*1000000+IF($T1140&lt;=60,$U1140,$T1140))</f>
        <v/>
      </c>
      <c r="X1140">
        <f>IF(OR($S1140="",$V1140="",$T1140&gt;60,$T1140=""),"",$S1140*1000000+ROUND($V1140*10,0))</f>
        <v/>
      </c>
      <c r="Y1140">
        <f>IF($W1140="","",IFERROR(INDEX(IF($T1140&lt;=60,imc05_l,imc519_l),MATCH($W1140,IF($T1140&lt;=60,imc05_k,imc519_k),1)),""))</f>
        <v/>
      </c>
      <c r="Z1140">
        <f>IF($W1140="","",IFERROR(INDEX(IF($T1140&lt;=60,imc05_m,imc519_m),MATCH($W1140,IF($T1140&lt;=60,imc05_k,imc519_k),1)),""))</f>
        <v/>
      </c>
      <c r="AA1140">
        <f>IF($W1140="","",IFERROR(INDEX(IF($T1140&lt;=60,imc05_s,imc519_s),MATCH($W1140,IF($T1140&lt;=60,imc05_k,imc519_k),1)),""))</f>
        <v/>
      </c>
      <c r="AB1140">
        <f>IF($Y1140="","",IF($Y1140=0,LN($J1140/$Z1140)/$AA1140,((($J1140/$Z1140)^$Y1140)-1)/($Y1140*$AA1140)))</f>
        <v/>
      </c>
      <c r="AC1140">
        <f>IF($Y1140="","",IF($Y1140=0,$Z1140*EXP($AA1140*2),$Z1140*(1+$Y1140*$AA1140*2)^(1/$Y1140)))</f>
        <v/>
      </c>
      <c r="AD1140">
        <f>IF($Y1140="","",IF($Y1140=0,$Z1140*EXP($AA1140*3),$Z1140*(1+$Y1140*$AA1140*3)^(1/$Y1140)))</f>
        <v/>
      </c>
      <c r="AE1140">
        <f>IF($Y1140="","",IF($Y1140=0,$Z1140*EXP($AA1140*-2),$Z1140*(1+$Y1140*$AA1140*-2)^(1/$Y1140)))</f>
        <v/>
      </c>
      <c r="AF1140">
        <f>IF($Y1140="","",IF($Y1140=0,$Z1140*EXP($AA1140*-3),$Z1140*(1+$Y1140*$AA1140*-3)^(1/$Y1140)))</f>
        <v/>
      </c>
      <c r="AG1140">
        <f>IF($W1140="","",IFERROR(INDEX(IF($T1140&lt;=60,est05_l,est519_l),MATCH($W1140,IF($T1140&lt;=60,est05_k,est519_k),1)),""))</f>
        <v/>
      </c>
      <c r="AH1140">
        <f>IF($W1140="","",IFERROR(INDEX(IF($T1140&lt;=60,est05_m,est519_m),MATCH($W1140,IF($T1140&lt;=60,est05_k,est519_k),1)),""))</f>
        <v/>
      </c>
      <c r="AI1140">
        <f>IF($W1140="","",IFERROR(INDEX(IF($T1140&lt;=60,est05_s,est519_s),MATCH($W1140,IF($T1140&lt;=60,est05_k,est519_k),1)),""))</f>
        <v/>
      </c>
      <c r="AJ1140">
        <f>IF($W1140="","",IFERROR(INDEX(IF($T1140&lt;=60,peso05_l,peso510_l),MATCH($W1140,IF($T1140&lt;=60,peso05_k,peso510_k),1)),""))</f>
        <v/>
      </c>
      <c r="AK1140">
        <f>IF($W1140="","",IFERROR(INDEX(IF($T1140&lt;=60,peso05_m,peso510_m),MATCH($W1140,IF($T1140&lt;=60,peso05_k,peso510_k),1)),""))</f>
        <v/>
      </c>
      <c r="AL1140">
        <f>IF($W1140="","",IFERROR(INDEX(IF($T1140&lt;=60,peso05_s,peso510_s),MATCH($W1140,IF($T1140&lt;=60,peso05_k,peso510_k),1)),""))</f>
        <v/>
      </c>
      <c r="AM1140">
        <f>IF($AJ1140="","",IF($AJ1140=0,LN($F1140/$AK1140)/$AL1140,((($F1140/$AK1140)^$AJ1140)-1)/($AJ1140*$AL1140)))</f>
        <v/>
      </c>
      <c r="AN1140">
        <f>IF($AJ1140="","",IF($AJ1140=0,$AK1140*EXP($AL1140*2),$AK1140*(1+$AJ1140*$AL1140*2)^(1/$AJ1140)))</f>
        <v/>
      </c>
      <c r="AO1140">
        <f>IF($AJ1140="","",IF($AJ1140=0,$AK1140*EXP($AL1140*3),$AK1140*(1+$AJ1140*$AL1140*3)^(1/$AJ1140)))</f>
        <v/>
      </c>
      <c r="AP1140">
        <f>IF($AJ1140="","",IF($AJ1140=0,$AK1140*EXP($AL1140*-2),$AK1140*(1+$AJ1140*$AL1140*-2)^(1/$AJ1140)))</f>
        <v/>
      </c>
      <c r="AQ1140">
        <f>IF($AJ1140="","",IF($AJ1140=0,$AK1140*EXP($AL1140*-3),$AK1140*(1+$AJ1140*$AL1140*-3)^(1/$AJ1140)))</f>
        <v/>
      </c>
      <c r="AR1140">
        <f>IF(OR($X1140="",$T1140&gt;60),"",IFERROR(INDEX(IF($T1140&lt;24,pcomp_l,palt_l),MATCH($X1140,IF($T1140&lt;24,pcomp_k,palt_k),1)),""))</f>
        <v/>
      </c>
      <c r="AS1140">
        <f>IF(OR($X1140="",$T1140&gt;60),"",IFERROR(INDEX(IF($T1140&lt;24,pcomp_m,palt_m),MATCH($X1140,IF($T1140&lt;24,pcomp_k,palt_k),1)),""))</f>
        <v/>
      </c>
      <c r="AT1140">
        <f>IF(OR($X1140="",$T1140&gt;60),"",IFERROR(INDEX(IF($T1140&lt;24,pcomp_s,palt_s),MATCH($X1140,IF($T1140&lt;24,pcomp_k,palt_k),1)),""))</f>
        <v/>
      </c>
      <c r="AU1140">
        <f>IF($AR1140="","",IF($AR1140=0,LN($F1140/$AS1140)/$AT1140,((($F1140/$AS1140)^$AR1140)-1)/($AR1140*$AT1140)))</f>
        <v/>
      </c>
      <c r="AV1140">
        <f>IF($AR1140="","",IF($AR1140=0,$AS1140*EXP($AT1140*2),$AS1140*(1+$AR1140*$AT1140*2)^(1/$AR1140)))</f>
        <v/>
      </c>
      <c r="AW1140">
        <f>IF($AR1140="","",IF($AR1140=0,$AS1140*EXP($AT1140*3),$AS1140*(1+$AR1140*$AT1140*3)^(1/$AR1140)))</f>
        <v/>
      </c>
      <c r="AX1140">
        <f>IF($AR1140="","",IF($AR1140=0,$AS1140*EXP($AT1140*-2),$AS1140*(1+$AR1140*$AT1140*-2)^(1/$AR1140)))</f>
        <v/>
      </c>
      <c r="AY1140">
        <f>IF($AR1140="","",IF($AR1140=0,$AS1140*EXP($AT1140*-3),$AS1140*(1+$AR1140*$AT1140*-3)^(1/$AR1140)))</f>
        <v/>
      </c>
      <c r="AZ1140">
        <f>IF(OR($A1140="",$A1140&lt;&gt;Ficha!$C$4),"",COUNTIF($A$2:$A1140,Ficha!$C$4))</f>
        <v/>
      </c>
    </row>
    <row r="1141">
      <c r="A1141" s="8">
        <f>IF(INDEX(Banco!$A:$A,ROW())="","",INDEX(Banco!$A:$A,ROW()))</f>
        <v/>
      </c>
      <c r="B1141" s="8">
        <f>IF(INDEX(Banco!$B:$B,ROW())="","",INDEX(Banco!$B:$B,ROW()))</f>
        <v/>
      </c>
      <c r="C1141" s="8">
        <f>IF(INDEX(Banco!$C:$C,ROW())="","",INDEX(Banco!$C:$C,ROW()))</f>
        <v/>
      </c>
      <c r="D1141" s="9">
        <f>IF(INDEX(Banco!$D:$D,ROW())="","",INDEX(Banco!$D:$D,ROW()))</f>
        <v/>
      </c>
      <c r="E1141" s="9">
        <f>IF(INDEX(Banco!$E:$E,ROW())="","",INDEX(Banco!$E:$E,ROW()))</f>
        <v/>
      </c>
      <c r="F1141" s="10">
        <f>IF(INDEX(Banco!$F:$F,ROW())="","",INDEX(Banco!$F:$F,ROW()))</f>
        <v/>
      </c>
      <c r="G1141" s="10">
        <f>IF(INDEX(Banco!$G:$G,ROW())="","",INDEX(Banco!$G:$G,ROW()))</f>
        <v/>
      </c>
      <c r="H1141" s="8">
        <f>IF(INDEX(Banco!$H:$H,ROW())="","",INDEX(Banco!$H:$H,ROW()))</f>
        <v/>
      </c>
      <c r="I1141">
        <f>IF($T1141="","",INT($T1141/12)&amp;"a "&amp;MOD($T1141,12)&amp;"m")</f>
        <v/>
      </c>
      <c r="J1141" s="11">
        <f>IF(OR($F1141="",$G1141=""),"",ROUND($F1141/($G1141/100)^2,2))</f>
        <v/>
      </c>
      <c r="K1141" s="12">
        <f>IF(OR($S1141="",$J1141="",$T1141="",$T1141&lt;0,$T1141&gt;228,$Y1141=""),"—",ROUND(IF(ABS($AB1141)&lt;=3,$AB1141,IF($AB1141&gt;3,3+($J1141-$AD1141)/($AD1141-$AC1141),-3+($J1141-$AF1141)/($AE1141-$AF1141))),2))</f>
        <v/>
      </c>
      <c r="L1141">
        <f>IF(OR($K1141="",$K1141="—"),"",IF($T1141&lt;=60,IF($K1141&lt;-3,"Magreza acentuada",IF($K1141&lt;-2,"Magreza",IF($K1141&lt;=1,"Eutrofia",IF($K1141&lt;=2,"Risco de sobrepeso",IF($K1141&lt;=3,"Sobrepeso","Obesidade"))))),IF($K1141&lt;-3,"Magreza acentuada",IF($K1141&lt;-2,"Magreza",IF($K1141&lt;=1,"Eutrofia",IF($K1141&lt;=2,"Sobrepeso",IF($K1141&lt;=3,"Obesidade","Obesidade grave")))))))</f>
        <v/>
      </c>
      <c r="M1141" s="12">
        <f>IF(OR($S1141="",$V1141="",$T1141="",$T1141&lt;0,$T1141&gt;228,$AG1141=""),"—",ROUND(IF($AG1141=0,LN($V1141/$AH1141)/$AI1141,((($V1141/$AH1141)^$AG1141)-1)/($AG1141*$AI1141)),2))</f>
        <v/>
      </c>
      <c r="N1141">
        <f>IF(OR($M1141="",$M1141="—"),"",IF($M1141&lt;-3,"Muito baixa",IF($M1141&lt;-2,"Baixa","Adequada")))</f>
        <v/>
      </c>
      <c r="O1141" s="12">
        <f>IF(OR($S1141="",$F1141="",$T1141="",$T1141&lt;0,$T1141&gt;120,$AJ1141=""),"—",ROUND(IF(ABS($AM1141)&lt;=3,$AM1141,IF($AM1141&gt;3,3+($F1141-$AO1141)/($AO1141-$AN1141),-3+($F1141-$AQ1141)/($AP1141-$AQ1141))),2))</f>
        <v/>
      </c>
      <c r="P1141">
        <f>IF(OR($O1141="",$O1141="—"),"",IF($O1141&lt;-3,"Muito baixo",IF($O1141&lt;-2,"Baixo",IF($O1141&lt;=2,"Adequado","Elevado"))))</f>
        <v/>
      </c>
      <c r="Q1141" s="12">
        <f>IF(OR($S1141="",$F1141="",$T1141="",$T1141&lt;0,$T1141&gt;60,$AR1141=""),"—",ROUND(IF(ABS($AU1141)&lt;=3,$AU1141,IF($AU1141&gt;3,3+($F1141-$AW1141)/($AW1141-$AV1141),-3+($F1141-$AY1141)/($AX1141-$AY1141))),2))</f>
        <v/>
      </c>
      <c r="R1141">
        <f>IF(OR($Q1141="",$Q1141="—"),"",IF($Q1141&lt;-3,"Magreza acentuada",IF($Q1141&lt;-2,"Magreza",IF($Q1141&lt;=1,"Eutrofia",IF($Q1141&lt;=2,"Risco de sobrepeso",IF($Q1141&lt;=3,"Sobrepeso","Obesidade"))))))</f>
        <v/>
      </c>
      <c r="S1141">
        <f>IF($C1141="","",IF(UPPER(LEFT($C1141,1))="M",1,IF(UPPER(LEFT($C1141,1))="F",2,"")))</f>
        <v/>
      </c>
      <c r="T1141">
        <f>IF(OR($D1141="",$E1141=""),"",DATEDIF($D1141,$E1141,"m"))</f>
        <v/>
      </c>
      <c r="U1141">
        <f>IF(OR($D1141="",$E1141=""),"",$E1141-$D1141)</f>
        <v/>
      </c>
      <c r="V1141">
        <f>IF(OR($G1141="",$T1141=""),"",IF($T1141&lt;24,IF(LEFT(LOWER($H1141),4)="em p",$G1141+0.7,$G1141),IF(LEFT(LOWER($H1141),4)="deit",$G1141-0.7,$G1141)))</f>
        <v/>
      </c>
      <c r="W1141">
        <f>IF(OR($S1141="",$T1141=""),"",$S1141*1000000+IF($T1141&lt;=60,$U1141,$T1141))</f>
        <v/>
      </c>
      <c r="X1141">
        <f>IF(OR($S1141="",$V1141="",$T1141&gt;60,$T1141=""),"",$S1141*1000000+ROUND($V1141*10,0))</f>
        <v/>
      </c>
      <c r="Y1141">
        <f>IF($W1141="","",IFERROR(INDEX(IF($T1141&lt;=60,imc05_l,imc519_l),MATCH($W1141,IF($T1141&lt;=60,imc05_k,imc519_k),1)),""))</f>
        <v/>
      </c>
      <c r="Z1141">
        <f>IF($W1141="","",IFERROR(INDEX(IF($T1141&lt;=60,imc05_m,imc519_m),MATCH($W1141,IF($T1141&lt;=60,imc05_k,imc519_k),1)),""))</f>
        <v/>
      </c>
      <c r="AA1141">
        <f>IF($W1141="","",IFERROR(INDEX(IF($T1141&lt;=60,imc05_s,imc519_s),MATCH($W1141,IF($T1141&lt;=60,imc05_k,imc519_k),1)),""))</f>
        <v/>
      </c>
      <c r="AB1141">
        <f>IF($Y1141="","",IF($Y1141=0,LN($J1141/$Z1141)/$AA1141,((($J1141/$Z1141)^$Y1141)-1)/($Y1141*$AA1141)))</f>
        <v/>
      </c>
      <c r="AC1141">
        <f>IF($Y1141="","",IF($Y1141=0,$Z1141*EXP($AA1141*2),$Z1141*(1+$Y1141*$AA1141*2)^(1/$Y1141)))</f>
        <v/>
      </c>
      <c r="AD1141">
        <f>IF($Y1141="","",IF($Y1141=0,$Z1141*EXP($AA1141*3),$Z1141*(1+$Y1141*$AA1141*3)^(1/$Y1141)))</f>
        <v/>
      </c>
      <c r="AE1141">
        <f>IF($Y1141="","",IF($Y1141=0,$Z1141*EXP($AA1141*-2),$Z1141*(1+$Y1141*$AA1141*-2)^(1/$Y1141)))</f>
        <v/>
      </c>
      <c r="AF1141">
        <f>IF($Y1141="","",IF($Y1141=0,$Z1141*EXP($AA1141*-3),$Z1141*(1+$Y1141*$AA1141*-3)^(1/$Y1141)))</f>
        <v/>
      </c>
      <c r="AG1141">
        <f>IF($W1141="","",IFERROR(INDEX(IF($T1141&lt;=60,est05_l,est519_l),MATCH($W1141,IF($T1141&lt;=60,est05_k,est519_k),1)),""))</f>
        <v/>
      </c>
      <c r="AH1141">
        <f>IF($W1141="","",IFERROR(INDEX(IF($T1141&lt;=60,est05_m,est519_m),MATCH($W1141,IF($T1141&lt;=60,est05_k,est519_k),1)),""))</f>
        <v/>
      </c>
      <c r="AI1141">
        <f>IF($W1141="","",IFERROR(INDEX(IF($T1141&lt;=60,est05_s,est519_s),MATCH($W1141,IF($T1141&lt;=60,est05_k,est519_k),1)),""))</f>
        <v/>
      </c>
      <c r="AJ1141">
        <f>IF($W1141="","",IFERROR(INDEX(IF($T1141&lt;=60,peso05_l,peso510_l),MATCH($W1141,IF($T1141&lt;=60,peso05_k,peso510_k),1)),""))</f>
        <v/>
      </c>
      <c r="AK1141">
        <f>IF($W1141="","",IFERROR(INDEX(IF($T1141&lt;=60,peso05_m,peso510_m),MATCH($W1141,IF($T1141&lt;=60,peso05_k,peso510_k),1)),""))</f>
        <v/>
      </c>
      <c r="AL1141">
        <f>IF($W1141="","",IFERROR(INDEX(IF($T1141&lt;=60,peso05_s,peso510_s),MATCH($W1141,IF($T1141&lt;=60,peso05_k,peso510_k),1)),""))</f>
        <v/>
      </c>
      <c r="AM1141">
        <f>IF($AJ1141="","",IF($AJ1141=0,LN($F1141/$AK1141)/$AL1141,((($F1141/$AK1141)^$AJ1141)-1)/($AJ1141*$AL1141)))</f>
        <v/>
      </c>
      <c r="AN1141">
        <f>IF($AJ1141="","",IF($AJ1141=0,$AK1141*EXP($AL1141*2),$AK1141*(1+$AJ1141*$AL1141*2)^(1/$AJ1141)))</f>
        <v/>
      </c>
      <c r="AO1141">
        <f>IF($AJ1141="","",IF($AJ1141=0,$AK1141*EXP($AL1141*3),$AK1141*(1+$AJ1141*$AL1141*3)^(1/$AJ1141)))</f>
        <v/>
      </c>
      <c r="AP1141">
        <f>IF($AJ1141="","",IF($AJ1141=0,$AK1141*EXP($AL1141*-2),$AK1141*(1+$AJ1141*$AL1141*-2)^(1/$AJ1141)))</f>
        <v/>
      </c>
      <c r="AQ1141">
        <f>IF($AJ1141="","",IF($AJ1141=0,$AK1141*EXP($AL1141*-3),$AK1141*(1+$AJ1141*$AL1141*-3)^(1/$AJ1141)))</f>
        <v/>
      </c>
      <c r="AR1141">
        <f>IF(OR($X1141="",$T1141&gt;60),"",IFERROR(INDEX(IF($T1141&lt;24,pcomp_l,palt_l),MATCH($X1141,IF($T1141&lt;24,pcomp_k,palt_k),1)),""))</f>
        <v/>
      </c>
      <c r="AS1141">
        <f>IF(OR($X1141="",$T1141&gt;60),"",IFERROR(INDEX(IF($T1141&lt;24,pcomp_m,palt_m),MATCH($X1141,IF($T1141&lt;24,pcomp_k,palt_k),1)),""))</f>
        <v/>
      </c>
      <c r="AT1141">
        <f>IF(OR($X1141="",$T1141&gt;60),"",IFERROR(INDEX(IF($T1141&lt;24,pcomp_s,palt_s),MATCH($X1141,IF($T1141&lt;24,pcomp_k,palt_k),1)),""))</f>
        <v/>
      </c>
      <c r="AU1141">
        <f>IF($AR1141="","",IF($AR1141=0,LN($F1141/$AS1141)/$AT1141,((($F1141/$AS1141)^$AR1141)-1)/($AR1141*$AT1141)))</f>
        <v/>
      </c>
      <c r="AV1141">
        <f>IF($AR1141="","",IF($AR1141=0,$AS1141*EXP($AT1141*2),$AS1141*(1+$AR1141*$AT1141*2)^(1/$AR1141)))</f>
        <v/>
      </c>
      <c r="AW1141">
        <f>IF($AR1141="","",IF($AR1141=0,$AS1141*EXP($AT1141*3),$AS1141*(1+$AR1141*$AT1141*3)^(1/$AR1141)))</f>
        <v/>
      </c>
      <c r="AX1141">
        <f>IF($AR1141="","",IF($AR1141=0,$AS1141*EXP($AT1141*-2),$AS1141*(1+$AR1141*$AT1141*-2)^(1/$AR1141)))</f>
        <v/>
      </c>
      <c r="AY1141">
        <f>IF($AR1141="","",IF($AR1141=0,$AS1141*EXP($AT1141*-3),$AS1141*(1+$AR1141*$AT1141*-3)^(1/$AR1141)))</f>
        <v/>
      </c>
      <c r="AZ1141">
        <f>IF(OR($A1141="",$A1141&lt;&gt;Ficha!$C$4),"",COUNTIF($A$2:$A1141,Ficha!$C$4))</f>
        <v/>
      </c>
    </row>
    <row r="1142">
      <c r="A1142" s="8">
        <f>IF(INDEX(Banco!$A:$A,ROW())="","",INDEX(Banco!$A:$A,ROW()))</f>
        <v/>
      </c>
      <c r="B1142" s="8">
        <f>IF(INDEX(Banco!$B:$B,ROW())="","",INDEX(Banco!$B:$B,ROW()))</f>
        <v/>
      </c>
      <c r="C1142" s="8">
        <f>IF(INDEX(Banco!$C:$C,ROW())="","",INDEX(Banco!$C:$C,ROW()))</f>
        <v/>
      </c>
      <c r="D1142" s="9">
        <f>IF(INDEX(Banco!$D:$D,ROW())="","",INDEX(Banco!$D:$D,ROW()))</f>
        <v/>
      </c>
      <c r="E1142" s="9">
        <f>IF(INDEX(Banco!$E:$E,ROW())="","",INDEX(Banco!$E:$E,ROW()))</f>
        <v/>
      </c>
      <c r="F1142" s="10">
        <f>IF(INDEX(Banco!$F:$F,ROW())="","",INDEX(Banco!$F:$F,ROW()))</f>
        <v/>
      </c>
      <c r="G1142" s="10">
        <f>IF(INDEX(Banco!$G:$G,ROW())="","",INDEX(Banco!$G:$G,ROW()))</f>
        <v/>
      </c>
      <c r="H1142" s="8">
        <f>IF(INDEX(Banco!$H:$H,ROW())="","",INDEX(Banco!$H:$H,ROW()))</f>
        <v/>
      </c>
      <c r="I1142">
        <f>IF($T1142="","",INT($T1142/12)&amp;"a "&amp;MOD($T1142,12)&amp;"m")</f>
        <v/>
      </c>
      <c r="J1142" s="11">
        <f>IF(OR($F1142="",$G1142=""),"",ROUND($F1142/($G1142/100)^2,2))</f>
        <v/>
      </c>
      <c r="K1142" s="12">
        <f>IF(OR($S1142="",$J1142="",$T1142="",$T1142&lt;0,$T1142&gt;228,$Y1142=""),"—",ROUND(IF(ABS($AB1142)&lt;=3,$AB1142,IF($AB1142&gt;3,3+($J1142-$AD1142)/($AD1142-$AC1142),-3+($J1142-$AF1142)/($AE1142-$AF1142))),2))</f>
        <v/>
      </c>
      <c r="L1142">
        <f>IF(OR($K1142="",$K1142="—"),"",IF($T1142&lt;=60,IF($K1142&lt;-3,"Magreza acentuada",IF($K1142&lt;-2,"Magreza",IF($K1142&lt;=1,"Eutrofia",IF($K1142&lt;=2,"Risco de sobrepeso",IF($K1142&lt;=3,"Sobrepeso","Obesidade"))))),IF($K1142&lt;-3,"Magreza acentuada",IF($K1142&lt;-2,"Magreza",IF($K1142&lt;=1,"Eutrofia",IF($K1142&lt;=2,"Sobrepeso",IF($K1142&lt;=3,"Obesidade","Obesidade grave")))))))</f>
        <v/>
      </c>
      <c r="M1142" s="12">
        <f>IF(OR($S1142="",$V1142="",$T1142="",$T1142&lt;0,$T1142&gt;228,$AG1142=""),"—",ROUND(IF($AG1142=0,LN($V1142/$AH1142)/$AI1142,((($V1142/$AH1142)^$AG1142)-1)/($AG1142*$AI1142)),2))</f>
        <v/>
      </c>
      <c r="N1142">
        <f>IF(OR($M1142="",$M1142="—"),"",IF($M1142&lt;-3,"Muito baixa",IF($M1142&lt;-2,"Baixa","Adequada")))</f>
        <v/>
      </c>
      <c r="O1142" s="12">
        <f>IF(OR($S1142="",$F1142="",$T1142="",$T1142&lt;0,$T1142&gt;120,$AJ1142=""),"—",ROUND(IF(ABS($AM1142)&lt;=3,$AM1142,IF($AM1142&gt;3,3+($F1142-$AO1142)/($AO1142-$AN1142),-3+($F1142-$AQ1142)/($AP1142-$AQ1142))),2))</f>
        <v/>
      </c>
      <c r="P1142">
        <f>IF(OR($O1142="",$O1142="—"),"",IF($O1142&lt;-3,"Muito baixo",IF($O1142&lt;-2,"Baixo",IF($O1142&lt;=2,"Adequado","Elevado"))))</f>
        <v/>
      </c>
      <c r="Q1142" s="12">
        <f>IF(OR($S1142="",$F1142="",$T1142="",$T1142&lt;0,$T1142&gt;60,$AR1142=""),"—",ROUND(IF(ABS($AU1142)&lt;=3,$AU1142,IF($AU1142&gt;3,3+($F1142-$AW1142)/($AW1142-$AV1142),-3+($F1142-$AY1142)/($AX1142-$AY1142))),2))</f>
        <v/>
      </c>
      <c r="R1142">
        <f>IF(OR($Q1142="",$Q1142="—"),"",IF($Q1142&lt;-3,"Magreza acentuada",IF($Q1142&lt;-2,"Magreza",IF($Q1142&lt;=1,"Eutrofia",IF($Q1142&lt;=2,"Risco de sobrepeso",IF($Q1142&lt;=3,"Sobrepeso","Obesidade"))))))</f>
        <v/>
      </c>
      <c r="S1142">
        <f>IF($C1142="","",IF(UPPER(LEFT($C1142,1))="M",1,IF(UPPER(LEFT($C1142,1))="F",2,"")))</f>
        <v/>
      </c>
      <c r="T1142">
        <f>IF(OR($D1142="",$E1142=""),"",DATEDIF($D1142,$E1142,"m"))</f>
        <v/>
      </c>
      <c r="U1142">
        <f>IF(OR($D1142="",$E1142=""),"",$E1142-$D1142)</f>
        <v/>
      </c>
      <c r="V1142">
        <f>IF(OR($G1142="",$T1142=""),"",IF($T1142&lt;24,IF(LEFT(LOWER($H1142),4)="em p",$G1142+0.7,$G1142),IF(LEFT(LOWER($H1142),4)="deit",$G1142-0.7,$G1142)))</f>
        <v/>
      </c>
      <c r="W1142">
        <f>IF(OR($S1142="",$T1142=""),"",$S1142*1000000+IF($T1142&lt;=60,$U1142,$T1142))</f>
        <v/>
      </c>
      <c r="X1142">
        <f>IF(OR($S1142="",$V1142="",$T1142&gt;60,$T1142=""),"",$S1142*1000000+ROUND($V1142*10,0))</f>
        <v/>
      </c>
      <c r="Y1142">
        <f>IF($W1142="","",IFERROR(INDEX(IF($T1142&lt;=60,imc05_l,imc519_l),MATCH($W1142,IF($T1142&lt;=60,imc05_k,imc519_k),1)),""))</f>
        <v/>
      </c>
      <c r="Z1142">
        <f>IF($W1142="","",IFERROR(INDEX(IF($T1142&lt;=60,imc05_m,imc519_m),MATCH($W1142,IF($T1142&lt;=60,imc05_k,imc519_k),1)),""))</f>
        <v/>
      </c>
      <c r="AA1142">
        <f>IF($W1142="","",IFERROR(INDEX(IF($T1142&lt;=60,imc05_s,imc519_s),MATCH($W1142,IF($T1142&lt;=60,imc05_k,imc519_k),1)),""))</f>
        <v/>
      </c>
      <c r="AB1142">
        <f>IF($Y1142="","",IF($Y1142=0,LN($J1142/$Z1142)/$AA1142,((($J1142/$Z1142)^$Y1142)-1)/($Y1142*$AA1142)))</f>
        <v/>
      </c>
      <c r="AC1142">
        <f>IF($Y1142="","",IF($Y1142=0,$Z1142*EXP($AA1142*2),$Z1142*(1+$Y1142*$AA1142*2)^(1/$Y1142)))</f>
        <v/>
      </c>
      <c r="AD1142">
        <f>IF($Y1142="","",IF($Y1142=0,$Z1142*EXP($AA1142*3),$Z1142*(1+$Y1142*$AA1142*3)^(1/$Y1142)))</f>
        <v/>
      </c>
      <c r="AE1142">
        <f>IF($Y1142="","",IF($Y1142=0,$Z1142*EXP($AA1142*-2),$Z1142*(1+$Y1142*$AA1142*-2)^(1/$Y1142)))</f>
        <v/>
      </c>
      <c r="AF1142">
        <f>IF($Y1142="","",IF($Y1142=0,$Z1142*EXP($AA1142*-3),$Z1142*(1+$Y1142*$AA1142*-3)^(1/$Y1142)))</f>
        <v/>
      </c>
      <c r="AG1142">
        <f>IF($W1142="","",IFERROR(INDEX(IF($T1142&lt;=60,est05_l,est519_l),MATCH($W1142,IF($T1142&lt;=60,est05_k,est519_k),1)),""))</f>
        <v/>
      </c>
      <c r="AH1142">
        <f>IF($W1142="","",IFERROR(INDEX(IF($T1142&lt;=60,est05_m,est519_m),MATCH($W1142,IF($T1142&lt;=60,est05_k,est519_k),1)),""))</f>
        <v/>
      </c>
      <c r="AI1142">
        <f>IF($W1142="","",IFERROR(INDEX(IF($T1142&lt;=60,est05_s,est519_s),MATCH($W1142,IF($T1142&lt;=60,est05_k,est519_k),1)),""))</f>
        <v/>
      </c>
      <c r="AJ1142">
        <f>IF($W1142="","",IFERROR(INDEX(IF($T1142&lt;=60,peso05_l,peso510_l),MATCH($W1142,IF($T1142&lt;=60,peso05_k,peso510_k),1)),""))</f>
        <v/>
      </c>
      <c r="AK1142">
        <f>IF($W1142="","",IFERROR(INDEX(IF($T1142&lt;=60,peso05_m,peso510_m),MATCH($W1142,IF($T1142&lt;=60,peso05_k,peso510_k),1)),""))</f>
        <v/>
      </c>
      <c r="AL1142">
        <f>IF($W1142="","",IFERROR(INDEX(IF($T1142&lt;=60,peso05_s,peso510_s),MATCH($W1142,IF($T1142&lt;=60,peso05_k,peso510_k),1)),""))</f>
        <v/>
      </c>
      <c r="AM1142">
        <f>IF($AJ1142="","",IF($AJ1142=0,LN($F1142/$AK1142)/$AL1142,((($F1142/$AK1142)^$AJ1142)-1)/($AJ1142*$AL1142)))</f>
        <v/>
      </c>
      <c r="AN1142">
        <f>IF($AJ1142="","",IF($AJ1142=0,$AK1142*EXP($AL1142*2),$AK1142*(1+$AJ1142*$AL1142*2)^(1/$AJ1142)))</f>
        <v/>
      </c>
      <c r="AO1142">
        <f>IF($AJ1142="","",IF($AJ1142=0,$AK1142*EXP($AL1142*3),$AK1142*(1+$AJ1142*$AL1142*3)^(1/$AJ1142)))</f>
        <v/>
      </c>
      <c r="AP1142">
        <f>IF($AJ1142="","",IF($AJ1142=0,$AK1142*EXP($AL1142*-2),$AK1142*(1+$AJ1142*$AL1142*-2)^(1/$AJ1142)))</f>
        <v/>
      </c>
      <c r="AQ1142">
        <f>IF($AJ1142="","",IF($AJ1142=0,$AK1142*EXP($AL1142*-3),$AK1142*(1+$AJ1142*$AL1142*-3)^(1/$AJ1142)))</f>
        <v/>
      </c>
      <c r="AR1142">
        <f>IF(OR($X1142="",$T1142&gt;60),"",IFERROR(INDEX(IF($T1142&lt;24,pcomp_l,palt_l),MATCH($X1142,IF($T1142&lt;24,pcomp_k,palt_k),1)),""))</f>
        <v/>
      </c>
      <c r="AS1142">
        <f>IF(OR($X1142="",$T1142&gt;60),"",IFERROR(INDEX(IF($T1142&lt;24,pcomp_m,palt_m),MATCH($X1142,IF($T1142&lt;24,pcomp_k,palt_k),1)),""))</f>
        <v/>
      </c>
      <c r="AT1142">
        <f>IF(OR($X1142="",$T1142&gt;60),"",IFERROR(INDEX(IF($T1142&lt;24,pcomp_s,palt_s),MATCH($X1142,IF($T1142&lt;24,pcomp_k,palt_k),1)),""))</f>
        <v/>
      </c>
      <c r="AU1142">
        <f>IF($AR1142="","",IF($AR1142=0,LN($F1142/$AS1142)/$AT1142,((($F1142/$AS1142)^$AR1142)-1)/($AR1142*$AT1142)))</f>
        <v/>
      </c>
      <c r="AV1142">
        <f>IF($AR1142="","",IF($AR1142=0,$AS1142*EXP($AT1142*2),$AS1142*(1+$AR1142*$AT1142*2)^(1/$AR1142)))</f>
        <v/>
      </c>
      <c r="AW1142">
        <f>IF($AR1142="","",IF($AR1142=0,$AS1142*EXP($AT1142*3),$AS1142*(1+$AR1142*$AT1142*3)^(1/$AR1142)))</f>
        <v/>
      </c>
      <c r="AX1142">
        <f>IF($AR1142="","",IF($AR1142=0,$AS1142*EXP($AT1142*-2),$AS1142*(1+$AR1142*$AT1142*-2)^(1/$AR1142)))</f>
        <v/>
      </c>
      <c r="AY1142">
        <f>IF($AR1142="","",IF($AR1142=0,$AS1142*EXP($AT1142*-3),$AS1142*(1+$AR1142*$AT1142*-3)^(1/$AR1142)))</f>
        <v/>
      </c>
      <c r="AZ1142">
        <f>IF(OR($A1142="",$A1142&lt;&gt;Ficha!$C$4),"",COUNTIF($A$2:$A1142,Ficha!$C$4))</f>
        <v/>
      </c>
    </row>
    <row r="1143">
      <c r="A1143" s="8">
        <f>IF(INDEX(Banco!$A:$A,ROW())="","",INDEX(Banco!$A:$A,ROW()))</f>
        <v/>
      </c>
      <c r="B1143" s="8">
        <f>IF(INDEX(Banco!$B:$B,ROW())="","",INDEX(Banco!$B:$B,ROW()))</f>
        <v/>
      </c>
      <c r="C1143" s="8">
        <f>IF(INDEX(Banco!$C:$C,ROW())="","",INDEX(Banco!$C:$C,ROW()))</f>
        <v/>
      </c>
      <c r="D1143" s="9">
        <f>IF(INDEX(Banco!$D:$D,ROW())="","",INDEX(Banco!$D:$D,ROW()))</f>
        <v/>
      </c>
      <c r="E1143" s="9">
        <f>IF(INDEX(Banco!$E:$E,ROW())="","",INDEX(Banco!$E:$E,ROW()))</f>
        <v/>
      </c>
      <c r="F1143" s="10">
        <f>IF(INDEX(Banco!$F:$F,ROW())="","",INDEX(Banco!$F:$F,ROW()))</f>
        <v/>
      </c>
      <c r="G1143" s="10">
        <f>IF(INDEX(Banco!$G:$G,ROW())="","",INDEX(Banco!$G:$G,ROW()))</f>
        <v/>
      </c>
      <c r="H1143" s="8">
        <f>IF(INDEX(Banco!$H:$H,ROW())="","",INDEX(Banco!$H:$H,ROW()))</f>
        <v/>
      </c>
      <c r="I1143">
        <f>IF($T1143="","",INT($T1143/12)&amp;"a "&amp;MOD($T1143,12)&amp;"m")</f>
        <v/>
      </c>
      <c r="J1143" s="11">
        <f>IF(OR($F1143="",$G1143=""),"",ROUND($F1143/($G1143/100)^2,2))</f>
        <v/>
      </c>
      <c r="K1143" s="12">
        <f>IF(OR($S1143="",$J1143="",$T1143="",$T1143&lt;0,$T1143&gt;228,$Y1143=""),"—",ROUND(IF(ABS($AB1143)&lt;=3,$AB1143,IF($AB1143&gt;3,3+($J1143-$AD1143)/($AD1143-$AC1143),-3+($J1143-$AF1143)/($AE1143-$AF1143))),2))</f>
        <v/>
      </c>
      <c r="L1143">
        <f>IF(OR($K1143="",$K1143="—"),"",IF($T1143&lt;=60,IF($K1143&lt;-3,"Magreza acentuada",IF($K1143&lt;-2,"Magreza",IF($K1143&lt;=1,"Eutrofia",IF($K1143&lt;=2,"Risco de sobrepeso",IF($K1143&lt;=3,"Sobrepeso","Obesidade"))))),IF($K1143&lt;-3,"Magreza acentuada",IF($K1143&lt;-2,"Magreza",IF($K1143&lt;=1,"Eutrofia",IF($K1143&lt;=2,"Sobrepeso",IF($K1143&lt;=3,"Obesidade","Obesidade grave")))))))</f>
        <v/>
      </c>
      <c r="M1143" s="12">
        <f>IF(OR($S1143="",$V1143="",$T1143="",$T1143&lt;0,$T1143&gt;228,$AG1143=""),"—",ROUND(IF($AG1143=0,LN($V1143/$AH1143)/$AI1143,((($V1143/$AH1143)^$AG1143)-1)/($AG1143*$AI1143)),2))</f>
        <v/>
      </c>
      <c r="N1143">
        <f>IF(OR($M1143="",$M1143="—"),"",IF($M1143&lt;-3,"Muito baixa",IF($M1143&lt;-2,"Baixa","Adequada")))</f>
        <v/>
      </c>
      <c r="O1143" s="12">
        <f>IF(OR($S1143="",$F1143="",$T1143="",$T1143&lt;0,$T1143&gt;120,$AJ1143=""),"—",ROUND(IF(ABS($AM1143)&lt;=3,$AM1143,IF($AM1143&gt;3,3+($F1143-$AO1143)/($AO1143-$AN1143),-3+($F1143-$AQ1143)/($AP1143-$AQ1143))),2))</f>
        <v/>
      </c>
      <c r="P1143">
        <f>IF(OR($O1143="",$O1143="—"),"",IF($O1143&lt;-3,"Muito baixo",IF($O1143&lt;-2,"Baixo",IF($O1143&lt;=2,"Adequado","Elevado"))))</f>
        <v/>
      </c>
      <c r="Q1143" s="12">
        <f>IF(OR($S1143="",$F1143="",$T1143="",$T1143&lt;0,$T1143&gt;60,$AR1143=""),"—",ROUND(IF(ABS($AU1143)&lt;=3,$AU1143,IF($AU1143&gt;3,3+($F1143-$AW1143)/($AW1143-$AV1143),-3+($F1143-$AY1143)/($AX1143-$AY1143))),2))</f>
        <v/>
      </c>
      <c r="R1143">
        <f>IF(OR($Q1143="",$Q1143="—"),"",IF($Q1143&lt;-3,"Magreza acentuada",IF($Q1143&lt;-2,"Magreza",IF($Q1143&lt;=1,"Eutrofia",IF($Q1143&lt;=2,"Risco de sobrepeso",IF($Q1143&lt;=3,"Sobrepeso","Obesidade"))))))</f>
        <v/>
      </c>
      <c r="S1143">
        <f>IF($C1143="","",IF(UPPER(LEFT($C1143,1))="M",1,IF(UPPER(LEFT($C1143,1))="F",2,"")))</f>
        <v/>
      </c>
      <c r="T1143">
        <f>IF(OR($D1143="",$E1143=""),"",DATEDIF($D1143,$E1143,"m"))</f>
        <v/>
      </c>
      <c r="U1143">
        <f>IF(OR($D1143="",$E1143=""),"",$E1143-$D1143)</f>
        <v/>
      </c>
      <c r="V1143">
        <f>IF(OR($G1143="",$T1143=""),"",IF($T1143&lt;24,IF(LEFT(LOWER($H1143),4)="em p",$G1143+0.7,$G1143),IF(LEFT(LOWER($H1143),4)="deit",$G1143-0.7,$G1143)))</f>
        <v/>
      </c>
      <c r="W1143">
        <f>IF(OR($S1143="",$T1143=""),"",$S1143*1000000+IF($T1143&lt;=60,$U1143,$T1143))</f>
        <v/>
      </c>
      <c r="X1143">
        <f>IF(OR($S1143="",$V1143="",$T1143&gt;60,$T1143=""),"",$S1143*1000000+ROUND($V1143*10,0))</f>
        <v/>
      </c>
      <c r="Y1143">
        <f>IF($W1143="","",IFERROR(INDEX(IF($T1143&lt;=60,imc05_l,imc519_l),MATCH($W1143,IF($T1143&lt;=60,imc05_k,imc519_k),1)),""))</f>
        <v/>
      </c>
      <c r="Z1143">
        <f>IF($W1143="","",IFERROR(INDEX(IF($T1143&lt;=60,imc05_m,imc519_m),MATCH($W1143,IF($T1143&lt;=60,imc05_k,imc519_k),1)),""))</f>
        <v/>
      </c>
      <c r="AA1143">
        <f>IF($W1143="","",IFERROR(INDEX(IF($T1143&lt;=60,imc05_s,imc519_s),MATCH($W1143,IF($T1143&lt;=60,imc05_k,imc519_k),1)),""))</f>
        <v/>
      </c>
      <c r="AB1143">
        <f>IF($Y1143="","",IF($Y1143=0,LN($J1143/$Z1143)/$AA1143,((($J1143/$Z1143)^$Y1143)-1)/($Y1143*$AA1143)))</f>
        <v/>
      </c>
      <c r="AC1143">
        <f>IF($Y1143="","",IF($Y1143=0,$Z1143*EXP($AA1143*2),$Z1143*(1+$Y1143*$AA1143*2)^(1/$Y1143)))</f>
        <v/>
      </c>
      <c r="AD1143">
        <f>IF($Y1143="","",IF($Y1143=0,$Z1143*EXP($AA1143*3),$Z1143*(1+$Y1143*$AA1143*3)^(1/$Y1143)))</f>
        <v/>
      </c>
      <c r="AE1143">
        <f>IF($Y1143="","",IF($Y1143=0,$Z1143*EXP($AA1143*-2),$Z1143*(1+$Y1143*$AA1143*-2)^(1/$Y1143)))</f>
        <v/>
      </c>
      <c r="AF1143">
        <f>IF($Y1143="","",IF($Y1143=0,$Z1143*EXP($AA1143*-3),$Z1143*(1+$Y1143*$AA1143*-3)^(1/$Y1143)))</f>
        <v/>
      </c>
      <c r="AG1143">
        <f>IF($W1143="","",IFERROR(INDEX(IF($T1143&lt;=60,est05_l,est519_l),MATCH($W1143,IF($T1143&lt;=60,est05_k,est519_k),1)),""))</f>
        <v/>
      </c>
      <c r="AH1143">
        <f>IF($W1143="","",IFERROR(INDEX(IF($T1143&lt;=60,est05_m,est519_m),MATCH($W1143,IF($T1143&lt;=60,est05_k,est519_k),1)),""))</f>
        <v/>
      </c>
      <c r="AI1143">
        <f>IF($W1143="","",IFERROR(INDEX(IF($T1143&lt;=60,est05_s,est519_s),MATCH($W1143,IF($T1143&lt;=60,est05_k,est519_k),1)),""))</f>
        <v/>
      </c>
      <c r="AJ1143">
        <f>IF($W1143="","",IFERROR(INDEX(IF($T1143&lt;=60,peso05_l,peso510_l),MATCH($W1143,IF($T1143&lt;=60,peso05_k,peso510_k),1)),""))</f>
        <v/>
      </c>
      <c r="AK1143">
        <f>IF($W1143="","",IFERROR(INDEX(IF($T1143&lt;=60,peso05_m,peso510_m),MATCH($W1143,IF($T1143&lt;=60,peso05_k,peso510_k),1)),""))</f>
        <v/>
      </c>
      <c r="AL1143">
        <f>IF($W1143="","",IFERROR(INDEX(IF($T1143&lt;=60,peso05_s,peso510_s),MATCH($W1143,IF($T1143&lt;=60,peso05_k,peso510_k),1)),""))</f>
        <v/>
      </c>
      <c r="AM1143">
        <f>IF($AJ1143="","",IF($AJ1143=0,LN($F1143/$AK1143)/$AL1143,((($F1143/$AK1143)^$AJ1143)-1)/($AJ1143*$AL1143)))</f>
        <v/>
      </c>
      <c r="AN1143">
        <f>IF($AJ1143="","",IF($AJ1143=0,$AK1143*EXP($AL1143*2),$AK1143*(1+$AJ1143*$AL1143*2)^(1/$AJ1143)))</f>
        <v/>
      </c>
      <c r="AO1143">
        <f>IF($AJ1143="","",IF($AJ1143=0,$AK1143*EXP($AL1143*3),$AK1143*(1+$AJ1143*$AL1143*3)^(1/$AJ1143)))</f>
        <v/>
      </c>
      <c r="AP1143">
        <f>IF($AJ1143="","",IF($AJ1143=0,$AK1143*EXP($AL1143*-2),$AK1143*(1+$AJ1143*$AL1143*-2)^(1/$AJ1143)))</f>
        <v/>
      </c>
      <c r="AQ1143">
        <f>IF($AJ1143="","",IF($AJ1143=0,$AK1143*EXP($AL1143*-3),$AK1143*(1+$AJ1143*$AL1143*-3)^(1/$AJ1143)))</f>
        <v/>
      </c>
      <c r="AR1143">
        <f>IF(OR($X1143="",$T1143&gt;60),"",IFERROR(INDEX(IF($T1143&lt;24,pcomp_l,palt_l),MATCH($X1143,IF($T1143&lt;24,pcomp_k,palt_k),1)),""))</f>
        <v/>
      </c>
      <c r="AS1143">
        <f>IF(OR($X1143="",$T1143&gt;60),"",IFERROR(INDEX(IF($T1143&lt;24,pcomp_m,palt_m),MATCH($X1143,IF($T1143&lt;24,pcomp_k,palt_k),1)),""))</f>
        <v/>
      </c>
      <c r="AT1143">
        <f>IF(OR($X1143="",$T1143&gt;60),"",IFERROR(INDEX(IF($T1143&lt;24,pcomp_s,palt_s),MATCH($X1143,IF($T1143&lt;24,pcomp_k,palt_k),1)),""))</f>
        <v/>
      </c>
      <c r="AU1143">
        <f>IF($AR1143="","",IF($AR1143=0,LN($F1143/$AS1143)/$AT1143,((($F1143/$AS1143)^$AR1143)-1)/($AR1143*$AT1143)))</f>
        <v/>
      </c>
      <c r="AV1143">
        <f>IF($AR1143="","",IF($AR1143=0,$AS1143*EXP($AT1143*2),$AS1143*(1+$AR1143*$AT1143*2)^(1/$AR1143)))</f>
        <v/>
      </c>
      <c r="AW1143">
        <f>IF($AR1143="","",IF($AR1143=0,$AS1143*EXP($AT1143*3),$AS1143*(1+$AR1143*$AT1143*3)^(1/$AR1143)))</f>
        <v/>
      </c>
      <c r="AX1143">
        <f>IF($AR1143="","",IF($AR1143=0,$AS1143*EXP($AT1143*-2),$AS1143*(1+$AR1143*$AT1143*-2)^(1/$AR1143)))</f>
        <v/>
      </c>
      <c r="AY1143">
        <f>IF($AR1143="","",IF($AR1143=0,$AS1143*EXP($AT1143*-3),$AS1143*(1+$AR1143*$AT1143*-3)^(1/$AR1143)))</f>
        <v/>
      </c>
      <c r="AZ1143">
        <f>IF(OR($A1143="",$A1143&lt;&gt;Ficha!$C$4),"",COUNTIF($A$2:$A1143,Ficha!$C$4))</f>
        <v/>
      </c>
    </row>
    <row r="1144">
      <c r="A1144" s="8">
        <f>IF(INDEX(Banco!$A:$A,ROW())="","",INDEX(Banco!$A:$A,ROW()))</f>
        <v/>
      </c>
      <c r="B1144" s="8">
        <f>IF(INDEX(Banco!$B:$B,ROW())="","",INDEX(Banco!$B:$B,ROW()))</f>
        <v/>
      </c>
      <c r="C1144" s="8">
        <f>IF(INDEX(Banco!$C:$C,ROW())="","",INDEX(Banco!$C:$C,ROW()))</f>
        <v/>
      </c>
      <c r="D1144" s="9">
        <f>IF(INDEX(Banco!$D:$D,ROW())="","",INDEX(Banco!$D:$D,ROW()))</f>
        <v/>
      </c>
      <c r="E1144" s="9">
        <f>IF(INDEX(Banco!$E:$E,ROW())="","",INDEX(Banco!$E:$E,ROW()))</f>
        <v/>
      </c>
      <c r="F1144" s="10">
        <f>IF(INDEX(Banco!$F:$F,ROW())="","",INDEX(Banco!$F:$F,ROW()))</f>
        <v/>
      </c>
      <c r="G1144" s="10">
        <f>IF(INDEX(Banco!$G:$G,ROW())="","",INDEX(Banco!$G:$G,ROW()))</f>
        <v/>
      </c>
      <c r="H1144" s="8">
        <f>IF(INDEX(Banco!$H:$H,ROW())="","",INDEX(Banco!$H:$H,ROW()))</f>
        <v/>
      </c>
      <c r="I1144">
        <f>IF($T1144="","",INT($T1144/12)&amp;"a "&amp;MOD($T1144,12)&amp;"m")</f>
        <v/>
      </c>
      <c r="J1144" s="11">
        <f>IF(OR($F1144="",$G1144=""),"",ROUND($F1144/($G1144/100)^2,2))</f>
        <v/>
      </c>
      <c r="K1144" s="12">
        <f>IF(OR($S1144="",$J1144="",$T1144="",$T1144&lt;0,$T1144&gt;228,$Y1144=""),"—",ROUND(IF(ABS($AB1144)&lt;=3,$AB1144,IF($AB1144&gt;3,3+($J1144-$AD1144)/($AD1144-$AC1144),-3+($J1144-$AF1144)/($AE1144-$AF1144))),2))</f>
        <v/>
      </c>
      <c r="L1144">
        <f>IF(OR($K1144="",$K1144="—"),"",IF($T1144&lt;=60,IF($K1144&lt;-3,"Magreza acentuada",IF($K1144&lt;-2,"Magreza",IF($K1144&lt;=1,"Eutrofia",IF($K1144&lt;=2,"Risco de sobrepeso",IF($K1144&lt;=3,"Sobrepeso","Obesidade"))))),IF($K1144&lt;-3,"Magreza acentuada",IF($K1144&lt;-2,"Magreza",IF($K1144&lt;=1,"Eutrofia",IF($K1144&lt;=2,"Sobrepeso",IF($K1144&lt;=3,"Obesidade","Obesidade grave")))))))</f>
        <v/>
      </c>
      <c r="M1144" s="12">
        <f>IF(OR($S1144="",$V1144="",$T1144="",$T1144&lt;0,$T1144&gt;228,$AG1144=""),"—",ROUND(IF($AG1144=0,LN($V1144/$AH1144)/$AI1144,((($V1144/$AH1144)^$AG1144)-1)/($AG1144*$AI1144)),2))</f>
        <v/>
      </c>
      <c r="N1144">
        <f>IF(OR($M1144="",$M1144="—"),"",IF($M1144&lt;-3,"Muito baixa",IF($M1144&lt;-2,"Baixa","Adequada")))</f>
        <v/>
      </c>
      <c r="O1144" s="12">
        <f>IF(OR($S1144="",$F1144="",$T1144="",$T1144&lt;0,$T1144&gt;120,$AJ1144=""),"—",ROUND(IF(ABS($AM1144)&lt;=3,$AM1144,IF($AM1144&gt;3,3+($F1144-$AO1144)/($AO1144-$AN1144),-3+($F1144-$AQ1144)/($AP1144-$AQ1144))),2))</f>
        <v/>
      </c>
      <c r="P1144">
        <f>IF(OR($O1144="",$O1144="—"),"",IF($O1144&lt;-3,"Muito baixo",IF($O1144&lt;-2,"Baixo",IF($O1144&lt;=2,"Adequado","Elevado"))))</f>
        <v/>
      </c>
      <c r="Q1144" s="12">
        <f>IF(OR($S1144="",$F1144="",$T1144="",$T1144&lt;0,$T1144&gt;60,$AR1144=""),"—",ROUND(IF(ABS($AU1144)&lt;=3,$AU1144,IF($AU1144&gt;3,3+($F1144-$AW1144)/($AW1144-$AV1144),-3+($F1144-$AY1144)/($AX1144-$AY1144))),2))</f>
        <v/>
      </c>
      <c r="R1144">
        <f>IF(OR($Q1144="",$Q1144="—"),"",IF($Q1144&lt;-3,"Magreza acentuada",IF($Q1144&lt;-2,"Magreza",IF($Q1144&lt;=1,"Eutrofia",IF($Q1144&lt;=2,"Risco de sobrepeso",IF($Q1144&lt;=3,"Sobrepeso","Obesidade"))))))</f>
        <v/>
      </c>
      <c r="S1144">
        <f>IF($C1144="","",IF(UPPER(LEFT($C1144,1))="M",1,IF(UPPER(LEFT($C1144,1))="F",2,"")))</f>
        <v/>
      </c>
      <c r="T1144">
        <f>IF(OR($D1144="",$E1144=""),"",DATEDIF($D1144,$E1144,"m"))</f>
        <v/>
      </c>
      <c r="U1144">
        <f>IF(OR($D1144="",$E1144=""),"",$E1144-$D1144)</f>
        <v/>
      </c>
      <c r="V1144">
        <f>IF(OR($G1144="",$T1144=""),"",IF($T1144&lt;24,IF(LEFT(LOWER($H1144),4)="em p",$G1144+0.7,$G1144),IF(LEFT(LOWER($H1144),4)="deit",$G1144-0.7,$G1144)))</f>
        <v/>
      </c>
      <c r="W1144">
        <f>IF(OR($S1144="",$T1144=""),"",$S1144*1000000+IF($T1144&lt;=60,$U1144,$T1144))</f>
        <v/>
      </c>
      <c r="X1144">
        <f>IF(OR($S1144="",$V1144="",$T1144&gt;60,$T1144=""),"",$S1144*1000000+ROUND($V1144*10,0))</f>
        <v/>
      </c>
      <c r="Y1144">
        <f>IF($W1144="","",IFERROR(INDEX(IF($T1144&lt;=60,imc05_l,imc519_l),MATCH($W1144,IF($T1144&lt;=60,imc05_k,imc519_k),1)),""))</f>
        <v/>
      </c>
      <c r="Z1144">
        <f>IF($W1144="","",IFERROR(INDEX(IF($T1144&lt;=60,imc05_m,imc519_m),MATCH($W1144,IF($T1144&lt;=60,imc05_k,imc519_k),1)),""))</f>
        <v/>
      </c>
      <c r="AA1144">
        <f>IF($W1144="","",IFERROR(INDEX(IF($T1144&lt;=60,imc05_s,imc519_s),MATCH($W1144,IF($T1144&lt;=60,imc05_k,imc519_k),1)),""))</f>
        <v/>
      </c>
      <c r="AB1144">
        <f>IF($Y1144="","",IF($Y1144=0,LN($J1144/$Z1144)/$AA1144,((($J1144/$Z1144)^$Y1144)-1)/($Y1144*$AA1144)))</f>
        <v/>
      </c>
      <c r="AC1144">
        <f>IF($Y1144="","",IF($Y1144=0,$Z1144*EXP($AA1144*2),$Z1144*(1+$Y1144*$AA1144*2)^(1/$Y1144)))</f>
        <v/>
      </c>
      <c r="AD1144">
        <f>IF($Y1144="","",IF($Y1144=0,$Z1144*EXP($AA1144*3),$Z1144*(1+$Y1144*$AA1144*3)^(1/$Y1144)))</f>
        <v/>
      </c>
      <c r="AE1144">
        <f>IF($Y1144="","",IF($Y1144=0,$Z1144*EXP($AA1144*-2),$Z1144*(1+$Y1144*$AA1144*-2)^(1/$Y1144)))</f>
        <v/>
      </c>
      <c r="AF1144">
        <f>IF($Y1144="","",IF($Y1144=0,$Z1144*EXP($AA1144*-3),$Z1144*(1+$Y1144*$AA1144*-3)^(1/$Y1144)))</f>
        <v/>
      </c>
      <c r="AG1144">
        <f>IF($W1144="","",IFERROR(INDEX(IF($T1144&lt;=60,est05_l,est519_l),MATCH($W1144,IF($T1144&lt;=60,est05_k,est519_k),1)),""))</f>
        <v/>
      </c>
      <c r="AH1144">
        <f>IF($W1144="","",IFERROR(INDEX(IF($T1144&lt;=60,est05_m,est519_m),MATCH($W1144,IF($T1144&lt;=60,est05_k,est519_k),1)),""))</f>
        <v/>
      </c>
      <c r="AI1144">
        <f>IF($W1144="","",IFERROR(INDEX(IF($T1144&lt;=60,est05_s,est519_s),MATCH($W1144,IF($T1144&lt;=60,est05_k,est519_k),1)),""))</f>
        <v/>
      </c>
      <c r="AJ1144">
        <f>IF($W1144="","",IFERROR(INDEX(IF($T1144&lt;=60,peso05_l,peso510_l),MATCH($W1144,IF($T1144&lt;=60,peso05_k,peso510_k),1)),""))</f>
        <v/>
      </c>
      <c r="AK1144">
        <f>IF($W1144="","",IFERROR(INDEX(IF($T1144&lt;=60,peso05_m,peso510_m),MATCH($W1144,IF($T1144&lt;=60,peso05_k,peso510_k),1)),""))</f>
        <v/>
      </c>
      <c r="AL1144">
        <f>IF($W1144="","",IFERROR(INDEX(IF($T1144&lt;=60,peso05_s,peso510_s),MATCH($W1144,IF($T1144&lt;=60,peso05_k,peso510_k),1)),""))</f>
        <v/>
      </c>
      <c r="AM1144">
        <f>IF($AJ1144="","",IF($AJ1144=0,LN($F1144/$AK1144)/$AL1144,((($F1144/$AK1144)^$AJ1144)-1)/($AJ1144*$AL1144)))</f>
        <v/>
      </c>
      <c r="AN1144">
        <f>IF($AJ1144="","",IF($AJ1144=0,$AK1144*EXP($AL1144*2),$AK1144*(1+$AJ1144*$AL1144*2)^(1/$AJ1144)))</f>
        <v/>
      </c>
      <c r="AO1144">
        <f>IF($AJ1144="","",IF($AJ1144=0,$AK1144*EXP($AL1144*3),$AK1144*(1+$AJ1144*$AL1144*3)^(1/$AJ1144)))</f>
        <v/>
      </c>
      <c r="AP1144">
        <f>IF($AJ1144="","",IF($AJ1144=0,$AK1144*EXP($AL1144*-2),$AK1144*(1+$AJ1144*$AL1144*-2)^(1/$AJ1144)))</f>
        <v/>
      </c>
      <c r="AQ1144">
        <f>IF($AJ1144="","",IF($AJ1144=0,$AK1144*EXP($AL1144*-3),$AK1144*(1+$AJ1144*$AL1144*-3)^(1/$AJ1144)))</f>
        <v/>
      </c>
      <c r="AR1144">
        <f>IF(OR($X1144="",$T1144&gt;60),"",IFERROR(INDEX(IF($T1144&lt;24,pcomp_l,palt_l),MATCH($X1144,IF($T1144&lt;24,pcomp_k,palt_k),1)),""))</f>
        <v/>
      </c>
      <c r="AS1144">
        <f>IF(OR($X1144="",$T1144&gt;60),"",IFERROR(INDEX(IF($T1144&lt;24,pcomp_m,palt_m),MATCH($X1144,IF($T1144&lt;24,pcomp_k,palt_k),1)),""))</f>
        <v/>
      </c>
      <c r="AT1144">
        <f>IF(OR($X1144="",$T1144&gt;60),"",IFERROR(INDEX(IF($T1144&lt;24,pcomp_s,palt_s),MATCH($X1144,IF($T1144&lt;24,pcomp_k,palt_k),1)),""))</f>
        <v/>
      </c>
      <c r="AU1144">
        <f>IF($AR1144="","",IF($AR1144=0,LN($F1144/$AS1144)/$AT1144,((($F1144/$AS1144)^$AR1144)-1)/($AR1144*$AT1144)))</f>
        <v/>
      </c>
      <c r="AV1144">
        <f>IF($AR1144="","",IF($AR1144=0,$AS1144*EXP($AT1144*2),$AS1144*(1+$AR1144*$AT1144*2)^(1/$AR1144)))</f>
        <v/>
      </c>
      <c r="AW1144">
        <f>IF($AR1144="","",IF($AR1144=0,$AS1144*EXP($AT1144*3),$AS1144*(1+$AR1144*$AT1144*3)^(1/$AR1144)))</f>
        <v/>
      </c>
      <c r="AX1144">
        <f>IF($AR1144="","",IF($AR1144=0,$AS1144*EXP($AT1144*-2),$AS1144*(1+$AR1144*$AT1144*-2)^(1/$AR1144)))</f>
        <v/>
      </c>
      <c r="AY1144">
        <f>IF($AR1144="","",IF($AR1144=0,$AS1144*EXP($AT1144*-3),$AS1144*(1+$AR1144*$AT1144*-3)^(1/$AR1144)))</f>
        <v/>
      </c>
      <c r="AZ1144">
        <f>IF(OR($A1144="",$A1144&lt;&gt;Ficha!$C$4),"",COUNTIF($A$2:$A1144,Ficha!$C$4))</f>
        <v/>
      </c>
    </row>
    <row r="1145">
      <c r="A1145" s="8">
        <f>IF(INDEX(Banco!$A:$A,ROW())="","",INDEX(Banco!$A:$A,ROW()))</f>
        <v/>
      </c>
      <c r="B1145" s="8">
        <f>IF(INDEX(Banco!$B:$B,ROW())="","",INDEX(Banco!$B:$B,ROW()))</f>
        <v/>
      </c>
      <c r="C1145" s="8">
        <f>IF(INDEX(Banco!$C:$C,ROW())="","",INDEX(Banco!$C:$C,ROW()))</f>
        <v/>
      </c>
      <c r="D1145" s="9">
        <f>IF(INDEX(Banco!$D:$D,ROW())="","",INDEX(Banco!$D:$D,ROW()))</f>
        <v/>
      </c>
      <c r="E1145" s="9">
        <f>IF(INDEX(Banco!$E:$E,ROW())="","",INDEX(Banco!$E:$E,ROW()))</f>
        <v/>
      </c>
      <c r="F1145" s="10">
        <f>IF(INDEX(Banco!$F:$F,ROW())="","",INDEX(Banco!$F:$F,ROW()))</f>
        <v/>
      </c>
      <c r="G1145" s="10">
        <f>IF(INDEX(Banco!$G:$G,ROW())="","",INDEX(Banco!$G:$G,ROW()))</f>
        <v/>
      </c>
      <c r="H1145" s="8">
        <f>IF(INDEX(Banco!$H:$H,ROW())="","",INDEX(Banco!$H:$H,ROW()))</f>
        <v/>
      </c>
      <c r="I1145">
        <f>IF($T1145="","",INT($T1145/12)&amp;"a "&amp;MOD($T1145,12)&amp;"m")</f>
        <v/>
      </c>
      <c r="J1145" s="11">
        <f>IF(OR($F1145="",$G1145=""),"",ROUND($F1145/($G1145/100)^2,2))</f>
        <v/>
      </c>
      <c r="K1145" s="12">
        <f>IF(OR($S1145="",$J1145="",$T1145="",$T1145&lt;0,$T1145&gt;228,$Y1145=""),"—",ROUND(IF(ABS($AB1145)&lt;=3,$AB1145,IF($AB1145&gt;3,3+($J1145-$AD1145)/($AD1145-$AC1145),-3+($J1145-$AF1145)/($AE1145-$AF1145))),2))</f>
        <v/>
      </c>
      <c r="L1145">
        <f>IF(OR($K1145="",$K1145="—"),"",IF($T1145&lt;=60,IF($K1145&lt;-3,"Magreza acentuada",IF($K1145&lt;-2,"Magreza",IF($K1145&lt;=1,"Eutrofia",IF($K1145&lt;=2,"Risco de sobrepeso",IF($K1145&lt;=3,"Sobrepeso","Obesidade"))))),IF($K1145&lt;-3,"Magreza acentuada",IF($K1145&lt;-2,"Magreza",IF($K1145&lt;=1,"Eutrofia",IF($K1145&lt;=2,"Sobrepeso",IF($K1145&lt;=3,"Obesidade","Obesidade grave")))))))</f>
        <v/>
      </c>
      <c r="M1145" s="12">
        <f>IF(OR($S1145="",$V1145="",$T1145="",$T1145&lt;0,$T1145&gt;228,$AG1145=""),"—",ROUND(IF($AG1145=0,LN($V1145/$AH1145)/$AI1145,((($V1145/$AH1145)^$AG1145)-1)/($AG1145*$AI1145)),2))</f>
        <v/>
      </c>
      <c r="N1145">
        <f>IF(OR($M1145="",$M1145="—"),"",IF($M1145&lt;-3,"Muito baixa",IF($M1145&lt;-2,"Baixa","Adequada")))</f>
        <v/>
      </c>
      <c r="O1145" s="12">
        <f>IF(OR($S1145="",$F1145="",$T1145="",$T1145&lt;0,$T1145&gt;120,$AJ1145=""),"—",ROUND(IF(ABS($AM1145)&lt;=3,$AM1145,IF($AM1145&gt;3,3+($F1145-$AO1145)/($AO1145-$AN1145),-3+($F1145-$AQ1145)/($AP1145-$AQ1145))),2))</f>
        <v/>
      </c>
      <c r="P1145">
        <f>IF(OR($O1145="",$O1145="—"),"",IF($O1145&lt;-3,"Muito baixo",IF($O1145&lt;-2,"Baixo",IF($O1145&lt;=2,"Adequado","Elevado"))))</f>
        <v/>
      </c>
      <c r="Q1145" s="12">
        <f>IF(OR($S1145="",$F1145="",$T1145="",$T1145&lt;0,$T1145&gt;60,$AR1145=""),"—",ROUND(IF(ABS($AU1145)&lt;=3,$AU1145,IF($AU1145&gt;3,3+($F1145-$AW1145)/($AW1145-$AV1145),-3+($F1145-$AY1145)/($AX1145-$AY1145))),2))</f>
        <v/>
      </c>
      <c r="R1145">
        <f>IF(OR($Q1145="",$Q1145="—"),"",IF($Q1145&lt;-3,"Magreza acentuada",IF($Q1145&lt;-2,"Magreza",IF($Q1145&lt;=1,"Eutrofia",IF($Q1145&lt;=2,"Risco de sobrepeso",IF($Q1145&lt;=3,"Sobrepeso","Obesidade"))))))</f>
        <v/>
      </c>
      <c r="S1145">
        <f>IF($C1145="","",IF(UPPER(LEFT($C1145,1))="M",1,IF(UPPER(LEFT($C1145,1))="F",2,"")))</f>
        <v/>
      </c>
      <c r="T1145">
        <f>IF(OR($D1145="",$E1145=""),"",DATEDIF($D1145,$E1145,"m"))</f>
        <v/>
      </c>
      <c r="U1145">
        <f>IF(OR($D1145="",$E1145=""),"",$E1145-$D1145)</f>
        <v/>
      </c>
      <c r="V1145">
        <f>IF(OR($G1145="",$T1145=""),"",IF($T1145&lt;24,IF(LEFT(LOWER($H1145),4)="em p",$G1145+0.7,$G1145),IF(LEFT(LOWER($H1145),4)="deit",$G1145-0.7,$G1145)))</f>
        <v/>
      </c>
      <c r="W1145">
        <f>IF(OR($S1145="",$T1145=""),"",$S1145*1000000+IF($T1145&lt;=60,$U1145,$T1145))</f>
        <v/>
      </c>
      <c r="X1145">
        <f>IF(OR($S1145="",$V1145="",$T1145&gt;60,$T1145=""),"",$S1145*1000000+ROUND($V1145*10,0))</f>
        <v/>
      </c>
      <c r="Y1145">
        <f>IF($W1145="","",IFERROR(INDEX(IF($T1145&lt;=60,imc05_l,imc519_l),MATCH($W1145,IF($T1145&lt;=60,imc05_k,imc519_k),1)),""))</f>
        <v/>
      </c>
      <c r="Z1145">
        <f>IF($W1145="","",IFERROR(INDEX(IF($T1145&lt;=60,imc05_m,imc519_m),MATCH($W1145,IF($T1145&lt;=60,imc05_k,imc519_k),1)),""))</f>
        <v/>
      </c>
      <c r="AA1145">
        <f>IF($W1145="","",IFERROR(INDEX(IF($T1145&lt;=60,imc05_s,imc519_s),MATCH($W1145,IF($T1145&lt;=60,imc05_k,imc519_k),1)),""))</f>
        <v/>
      </c>
      <c r="AB1145">
        <f>IF($Y1145="","",IF($Y1145=0,LN($J1145/$Z1145)/$AA1145,((($J1145/$Z1145)^$Y1145)-1)/($Y1145*$AA1145)))</f>
        <v/>
      </c>
      <c r="AC1145">
        <f>IF($Y1145="","",IF($Y1145=0,$Z1145*EXP($AA1145*2),$Z1145*(1+$Y1145*$AA1145*2)^(1/$Y1145)))</f>
        <v/>
      </c>
      <c r="AD1145">
        <f>IF($Y1145="","",IF($Y1145=0,$Z1145*EXP($AA1145*3),$Z1145*(1+$Y1145*$AA1145*3)^(1/$Y1145)))</f>
        <v/>
      </c>
      <c r="AE1145">
        <f>IF($Y1145="","",IF($Y1145=0,$Z1145*EXP($AA1145*-2),$Z1145*(1+$Y1145*$AA1145*-2)^(1/$Y1145)))</f>
        <v/>
      </c>
      <c r="AF1145">
        <f>IF($Y1145="","",IF($Y1145=0,$Z1145*EXP($AA1145*-3),$Z1145*(1+$Y1145*$AA1145*-3)^(1/$Y1145)))</f>
        <v/>
      </c>
      <c r="AG1145">
        <f>IF($W1145="","",IFERROR(INDEX(IF($T1145&lt;=60,est05_l,est519_l),MATCH($W1145,IF($T1145&lt;=60,est05_k,est519_k),1)),""))</f>
        <v/>
      </c>
      <c r="AH1145">
        <f>IF($W1145="","",IFERROR(INDEX(IF($T1145&lt;=60,est05_m,est519_m),MATCH($W1145,IF($T1145&lt;=60,est05_k,est519_k),1)),""))</f>
        <v/>
      </c>
      <c r="AI1145">
        <f>IF($W1145="","",IFERROR(INDEX(IF($T1145&lt;=60,est05_s,est519_s),MATCH($W1145,IF($T1145&lt;=60,est05_k,est519_k),1)),""))</f>
        <v/>
      </c>
      <c r="AJ1145">
        <f>IF($W1145="","",IFERROR(INDEX(IF($T1145&lt;=60,peso05_l,peso510_l),MATCH($W1145,IF($T1145&lt;=60,peso05_k,peso510_k),1)),""))</f>
        <v/>
      </c>
      <c r="AK1145">
        <f>IF($W1145="","",IFERROR(INDEX(IF($T1145&lt;=60,peso05_m,peso510_m),MATCH($W1145,IF($T1145&lt;=60,peso05_k,peso510_k),1)),""))</f>
        <v/>
      </c>
      <c r="AL1145">
        <f>IF($W1145="","",IFERROR(INDEX(IF($T1145&lt;=60,peso05_s,peso510_s),MATCH($W1145,IF($T1145&lt;=60,peso05_k,peso510_k),1)),""))</f>
        <v/>
      </c>
      <c r="AM1145">
        <f>IF($AJ1145="","",IF($AJ1145=0,LN($F1145/$AK1145)/$AL1145,((($F1145/$AK1145)^$AJ1145)-1)/($AJ1145*$AL1145)))</f>
        <v/>
      </c>
      <c r="AN1145">
        <f>IF($AJ1145="","",IF($AJ1145=0,$AK1145*EXP($AL1145*2),$AK1145*(1+$AJ1145*$AL1145*2)^(1/$AJ1145)))</f>
        <v/>
      </c>
      <c r="AO1145">
        <f>IF($AJ1145="","",IF($AJ1145=0,$AK1145*EXP($AL1145*3),$AK1145*(1+$AJ1145*$AL1145*3)^(1/$AJ1145)))</f>
        <v/>
      </c>
      <c r="AP1145">
        <f>IF($AJ1145="","",IF($AJ1145=0,$AK1145*EXP($AL1145*-2),$AK1145*(1+$AJ1145*$AL1145*-2)^(1/$AJ1145)))</f>
        <v/>
      </c>
      <c r="AQ1145">
        <f>IF($AJ1145="","",IF($AJ1145=0,$AK1145*EXP($AL1145*-3),$AK1145*(1+$AJ1145*$AL1145*-3)^(1/$AJ1145)))</f>
        <v/>
      </c>
      <c r="AR1145">
        <f>IF(OR($X1145="",$T1145&gt;60),"",IFERROR(INDEX(IF($T1145&lt;24,pcomp_l,palt_l),MATCH($X1145,IF($T1145&lt;24,pcomp_k,palt_k),1)),""))</f>
        <v/>
      </c>
      <c r="AS1145">
        <f>IF(OR($X1145="",$T1145&gt;60),"",IFERROR(INDEX(IF($T1145&lt;24,pcomp_m,palt_m),MATCH($X1145,IF($T1145&lt;24,pcomp_k,palt_k),1)),""))</f>
        <v/>
      </c>
      <c r="AT1145">
        <f>IF(OR($X1145="",$T1145&gt;60),"",IFERROR(INDEX(IF($T1145&lt;24,pcomp_s,palt_s),MATCH($X1145,IF($T1145&lt;24,pcomp_k,palt_k),1)),""))</f>
        <v/>
      </c>
      <c r="AU1145">
        <f>IF($AR1145="","",IF($AR1145=0,LN($F1145/$AS1145)/$AT1145,((($F1145/$AS1145)^$AR1145)-1)/($AR1145*$AT1145)))</f>
        <v/>
      </c>
      <c r="AV1145">
        <f>IF($AR1145="","",IF($AR1145=0,$AS1145*EXP($AT1145*2),$AS1145*(1+$AR1145*$AT1145*2)^(1/$AR1145)))</f>
        <v/>
      </c>
      <c r="AW1145">
        <f>IF($AR1145="","",IF($AR1145=0,$AS1145*EXP($AT1145*3),$AS1145*(1+$AR1145*$AT1145*3)^(1/$AR1145)))</f>
        <v/>
      </c>
      <c r="AX1145">
        <f>IF($AR1145="","",IF($AR1145=0,$AS1145*EXP($AT1145*-2),$AS1145*(1+$AR1145*$AT1145*-2)^(1/$AR1145)))</f>
        <v/>
      </c>
      <c r="AY1145">
        <f>IF($AR1145="","",IF($AR1145=0,$AS1145*EXP($AT1145*-3),$AS1145*(1+$AR1145*$AT1145*-3)^(1/$AR1145)))</f>
        <v/>
      </c>
      <c r="AZ1145">
        <f>IF(OR($A1145="",$A1145&lt;&gt;Ficha!$C$4),"",COUNTIF($A$2:$A1145,Ficha!$C$4))</f>
        <v/>
      </c>
    </row>
    <row r="1146">
      <c r="A1146" s="8">
        <f>IF(INDEX(Banco!$A:$A,ROW())="","",INDEX(Banco!$A:$A,ROW()))</f>
        <v/>
      </c>
      <c r="B1146" s="8">
        <f>IF(INDEX(Banco!$B:$B,ROW())="","",INDEX(Banco!$B:$B,ROW()))</f>
        <v/>
      </c>
      <c r="C1146" s="8">
        <f>IF(INDEX(Banco!$C:$C,ROW())="","",INDEX(Banco!$C:$C,ROW()))</f>
        <v/>
      </c>
      <c r="D1146" s="9">
        <f>IF(INDEX(Banco!$D:$D,ROW())="","",INDEX(Banco!$D:$D,ROW()))</f>
        <v/>
      </c>
      <c r="E1146" s="9">
        <f>IF(INDEX(Banco!$E:$E,ROW())="","",INDEX(Banco!$E:$E,ROW()))</f>
        <v/>
      </c>
      <c r="F1146" s="10">
        <f>IF(INDEX(Banco!$F:$F,ROW())="","",INDEX(Banco!$F:$F,ROW()))</f>
        <v/>
      </c>
      <c r="G1146" s="10">
        <f>IF(INDEX(Banco!$G:$G,ROW())="","",INDEX(Banco!$G:$G,ROW()))</f>
        <v/>
      </c>
      <c r="H1146" s="8">
        <f>IF(INDEX(Banco!$H:$H,ROW())="","",INDEX(Banco!$H:$H,ROW()))</f>
        <v/>
      </c>
      <c r="I1146">
        <f>IF($T1146="","",INT($T1146/12)&amp;"a "&amp;MOD($T1146,12)&amp;"m")</f>
        <v/>
      </c>
      <c r="J1146" s="11">
        <f>IF(OR($F1146="",$G1146=""),"",ROUND($F1146/($G1146/100)^2,2))</f>
        <v/>
      </c>
      <c r="K1146" s="12">
        <f>IF(OR($S1146="",$J1146="",$T1146="",$T1146&lt;0,$T1146&gt;228,$Y1146=""),"—",ROUND(IF(ABS($AB1146)&lt;=3,$AB1146,IF($AB1146&gt;3,3+($J1146-$AD1146)/($AD1146-$AC1146),-3+($J1146-$AF1146)/($AE1146-$AF1146))),2))</f>
        <v/>
      </c>
      <c r="L1146">
        <f>IF(OR($K1146="",$K1146="—"),"",IF($T1146&lt;=60,IF($K1146&lt;-3,"Magreza acentuada",IF($K1146&lt;-2,"Magreza",IF($K1146&lt;=1,"Eutrofia",IF($K1146&lt;=2,"Risco de sobrepeso",IF($K1146&lt;=3,"Sobrepeso","Obesidade"))))),IF($K1146&lt;-3,"Magreza acentuada",IF($K1146&lt;-2,"Magreza",IF($K1146&lt;=1,"Eutrofia",IF($K1146&lt;=2,"Sobrepeso",IF($K1146&lt;=3,"Obesidade","Obesidade grave")))))))</f>
        <v/>
      </c>
      <c r="M1146" s="12">
        <f>IF(OR($S1146="",$V1146="",$T1146="",$T1146&lt;0,$T1146&gt;228,$AG1146=""),"—",ROUND(IF($AG1146=0,LN($V1146/$AH1146)/$AI1146,((($V1146/$AH1146)^$AG1146)-1)/($AG1146*$AI1146)),2))</f>
        <v/>
      </c>
      <c r="N1146">
        <f>IF(OR($M1146="",$M1146="—"),"",IF($M1146&lt;-3,"Muito baixa",IF($M1146&lt;-2,"Baixa","Adequada")))</f>
        <v/>
      </c>
      <c r="O1146" s="12">
        <f>IF(OR($S1146="",$F1146="",$T1146="",$T1146&lt;0,$T1146&gt;120,$AJ1146=""),"—",ROUND(IF(ABS($AM1146)&lt;=3,$AM1146,IF($AM1146&gt;3,3+($F1146-$AO1146)/($AO1146-$AN1146),-3+($F1146-$AQ1146)/($AP1146-$AQ1146))),2))</f>
        <v/>
      </c>
      <c r="P1146">
        <f>IF(OR($O1146="",$O1146="—"),"",IF($O1146&lt;-3,"Muito baixo",IF($O1146&lt;-2,"Baixo",IF($O1146&lt;=2,"Adequado","Elevado"))))</f>
        <v/>
      </c>
      <c r="Q1146" s="12">
        <f>IF(OR($S1146="",$F1146="",$T1146="",$T1146&lt;0,$T1146&gt;60,$AR1146=""),"—",ROUND(IF(ABS($AU1146)&lt;=3,$AU1146,IF($AU1146&gt;3,3+($F1146-$AW1146)/($AW1146-$AV1146),-3+($F1146-$AY1146)/($AX1146-$AY1146))),2))</f>
        <v/>
      </c>
      <c r="R1146">
        <f>IF(OR($Q1146="",$Q1146="—"),"",IF($Q1146&lt;-3,"Magreza acentuada",IF($Q1146&lt;-2,"Magreza",IF($Q1146&lt;=1,"Eutrofia",IF($Q1146&lt;=2,"Risco de sobrepeso",IF($Q1146&lt;=3,"Sobrepeso","Obesidade"))))))</f>
        <v/>
      </c>
      <c r="S1146">
        <f>IF($C1146="","",IF(UPPER(LEFT($C1146,1))="M",1,IF(UPPER(LEFT($C1146,1))="F",2,"")))</f>
        <v/>
      </c>
      <c r="T1146">
        <f>IF(OR($D1146="",$E1146=""),"",DATEDIF($D1146,$E1146,"m"))</f>
        <v/>
      </c>
      <c r="U1146">
        <f>IF(OR($D1146="",$E1146=""),"",$E1146-$D1146)</f>
        <v/>
      </c>
      <c r="V1146">
        <f>IF(OR($G1146="",$T1146=""),"",IF($T1146&lt;24,IF(LEFT(LOWER($H1146),4)="em p",$G1146+0.7,$G1146),IF(LEFT(LOWER($H1146),4)="deit",$G1146-0.7,$G1146)))</f>
        <v/>
      </c>
      <c r="W1146">
        <f>IF(OR($S1146="",$T1146=""),"",$S1146*1000000+IF($T1146&lt;=60,$U1146,$T1146))</f>
        <v/>
      </c>
      <c r="X1146">
        <f>IF(OR($S1146="",$V1146="",$T1146&gt;60,$T1146=""),"",$S1146*1000000+ROUND($V1146*10,0))</f>
        <v/>
      </c>
      <c r="Y1146">
        <f>IF($W1146="","",IFERROR(INDEX(IF($T1146&lt;=60,imc05_l,imc519_l),MATCH($W1146,IF($T1146&lt;=60,imc05_k,imc519_k),1)),""))</f>
        <v/>
      </c>
      <c r="Z1146">
        <f>IF($W1146="","",IFERROR(INDEX(IF($T1146&lt;=60,imc05_m,imc519_m),MATCH($W1146,IF($T1146&lt;=60,imc05_k,imc519_k),1)),""))</f>
        <v/>
      </c>
      <c r="AA1146">
        <f>IF($W1146="","",IFERROR(INDEX(IF($T1146&lt;=60,imc05_s,imc519_s),MATCH($W1146,IF($T1146&lt;=60,imc05_k,imc519_k),1)),""))</f>
        <v/>
      </c>
      <c r="AB1146">
        <f>IF($Y1146="","",IF($Y1146=0,LN($J1146/$Z1146)/$AA1146,((($J1146/$Z1146)^$Y1146)-1)/($Y1146*$AA1146)))</f>
        <v/>
      </c>
      <c r="AC1146">
        <f>IF($Y1146="","",IF($Y1146=0,$Z1146*EXP($AA1146*2),$Z1146*(1+$Y1146*$AA1146*2)^(1/$Y1146)))</f>
        <v/>
      </c>
      <c r="AD1146">
        <f>IF($Y1146="","",IF($Y1146=0,$Z1146*EXP($AA1146*3),$Z1146*(1+$Y1146*$AA1146*3)^(1/$Y1146)))</f>
        <v/>
      </c>
      <c r="AE1146">
        <f>IF($Y1146="","",IF($Y1146=0,$Z1146*EXP($AA1146*-2),$Z1146*(1+$Y1146*$AA1146*-2)^(1/$Y1146)))</f>
        <v/>
      </c>
      <c r="AF1146">
        <f>IF($Y1146="","",IF($Y1146=0,$Z1146*EXP($AA1146*-3),$Z1146*(1+$Y1146*$AA1146*-3)^(1/$Y1146)))</f>
        <v/>
      </c>
      <c r="AG1146">
        <f>IF($W1146="","",IFERROR(INDEX(IF($T1146&lt;=60,est05_l,est519_l),MATCH($W1146,IF($T1146&lt;=60,est05_k,est519_k),1)),""))</f>
        <v/>
      </c>
      <c r="AH1146">
        <f>IF($W1146="","",IFERROR(INDEX(IF($T1146&lt;=60,est05_m,est519_m),MATCH($W1146,IF($T1146&lt;=60,est05_k,est519_k),1)),""))</f>
        <v/>
      </c>
      <c r="AI1146">
        <f>IF($W1146="","",IFERROR(INDEX(IF($T1146&lt;=60,est05_s,est519_s),MATCH($W1146,IF($T1146&lt;=60,est05_k,est519_k),1)),""))</f>
        <v/>
      </c>
      <c r="AJ1146">
        <f>IF($W1146="","",IFERROR(INDEX(IF($T1146&lt;=60,peso05_l,peso510_l),MATCH($W1146,IF($T1146&lt;=60,peso05_k,peso510_k),1)),""))</f>
        <v/>
      </c>
      <c r="AK1146">
        <f>IF($W1146="","",IFERROR(INDEX(IF($T1146&lt;=60,peso05_m,peso510_m),MATCH($W1146,IF($T1146&lt;=60,peso05_k,peso510_k),1)),""))</f>
        <v/>
      </c>
      <c r="AL1146">
        <f>IF($W1146="","",IFERROR(INDEX(IF($T1146&lt;=60,peso05_s,peso510_s),MATCH($W1146,IF($T1146&lt;=60,peso05_k,peso510_k),1)),""))</f>
        <v/>
      </c>
      <c r="AM1146">
        <f>IF($AJ1146="","",IF($AJ1146=0,LN($F1146/$AK1146)/$AL1146,((($F1146/$AK1146)^$AJ1146)-1)/($AJ1146*$AL1146)))</f>
        <v/>
      </c>
      <c r="AN1146">
        <f>IF($AJ1146="","",IF($AJ1146=0,$AK1146*EXP($AL1146*2),$AK1146*(1+$AJ1146*$AL1146*2)^(1/$AJ1146)))</f>
        <v/>
      </c>
      <c r="AO1146">
        <f>IF($AJ1146="","",IF($AJ1146=0,$AK1146*EXP($AL1146*3),$AK1146*(1+$AJ1146*$AL1146*3)^(1/$AJ1146)))</f>
        <v/>
      </c>
      <c r="AP1146">
        <f>IF($AJ1146="","",IF($AJ1146=0,$AK1146*EXP($AL1146*-2),$AK1146*(1+$AJ1146*$AL1146*-2)^(1/$AJ1146)))</f>
        <v/>
      </c>
      <c r="AQ1146">
        <f>IF($AJ1146="","",IF($AJ1146=0,$AK1146*EXP($AL1146*-3),$AK1146*(1+$AJ1146*$AL1146*-3)^(1/$AJ1146)))</f>
        <v/>
      </c>
      <c r="AR1146">
        <f>IF(OR($X1146="",$T1146&gt;60),"",IFERROR(INDEX(IF($T1146&lt;24,pcomp_l,palt_l),MATCH($X1146,IF($T1146&lt;24,pcomp_k,palt_k),1)),""))</f>
        <v/>
      </c>
      <c r="AS1146">
        <f>IF(OR($X1146="",$T1146&gt;60),"",IFERROR(INDEX(IF($T1146&lt;24,pcomp_m,palt_m),MATCH($X1146,IF($T1146&lt;24,pcomp_k,palt_k),1)),""))</f>
        <v/>
      </c>
      <c r="AT1146">
        <f>IF(OR($X1146="",$T1146&gt;60),"",IFERROR(INDEX(IF($T1146&lt;24,pcomp_s,palt_s),MATCH($X1146,IF($T1146&lt;24,pcomp_k,palt_k),1)),""))</f>
        <v/>
      </c>
      <c r="AU1146">
        <f>IF($AR1146="","",IF($AR1146=0,LN($F1146/$AS1146)/$AT1146,((($F1146/$AS1146)^$AR1146)-1)/($AR1146*$AT1146)))</f>
        <v/>
      </c>
      <c r="AV1146">
        <f>IF($AR1146="","",IF($AR1146=0,$AS1146*EXP($AT1146*2),$AS1146*(1+$AR1146*$AT1146*2)^(1/$AR1146)))</f>
        <v/>
      </c>
      <c r="AW1146">
        <f>IF($AR1146="","",IF($AR1146=0,$AS1146*EXP($AT1146*3),$AS1146*(1+$AR1146*$AT1146*3)^(1/$AR1146)))</f>
        <v/>
      </c>
      <c r="AX1146">
        <f>IF($AR1146="","",IF($AR1146=0,$AS1146*EXP($AT1146*-2),$AS1146*(1+$AR1146*$AT1146*-2)^(1/$AR1146)))</f>
        <v/>
      </c>
      <c r="AY1146">
        <f>IF($AR1146="","",IF($AR1146=0,$AS1146*EXP($AT1146*-3),$AS1146*(1+$AR1146*$AT1146*-3)^(1/$AR1146)))</f>
        <v/>
      </c>
      <c r="AZ1146">
        <f>IF(OR($A1146="",$A1146&lt;&gt;Ficha!$C$4),"",COUNTIF($A$2:$A1146,Ficha!$C$4))</f>
        <v/>
      </c>
    </row>
    <row r="1147">
      <c r="A1147" s="8">
        <f>IF(INDEX(Banco!$A:$A,ROW())="","",INDEX(Banco!$A:$A,ROW()))</f>
        <v/>
      </c>
      <c r="B1147" s="8">
        <f>IF(INDEX(Banco!$B:$B,ROW())="","",INDEX(Banco!$B:$B,ROW()))</f>
        <v/>
      </c>
      <c r="C1147" s="8">
        <f>IF(INDEX(Banco!$C:$C,ROW())="","",INDEX(Banco!$C:$C,ROW()))</f>
        <v/>
      </c>
      <c r="D1147" s="9">
        <f>IF(INDEX(Banco!$D:$D,ROW())="","",INDEX(Banco!$D:$D,ROW()))</f>
        <v/>
      </c>
      <c r="E1147" s="9">
        <f>IF(INDEX(Banco!$E:$E,ROW())="","",INDEX(Banco!$E:$E,ROW()))</f>
        <v/>
      </c>
      <c r="F1147" s="10">
        <f>IF(INDEX(Banco!$F:$F,ROW())="","",INDEX(Banco!$F:$F,ROW()))</f>
        <v/>
      </c>
      <c r="G1147" s="10">
        <f>IF(INDEX(Banco!$G:$G,ROW())="","",INDEX(Banco!$G:$G,ROW()))</f>
        <v/>
      </c>
      <c r="H1147" s="8">
        <f>IF(INDEX(Banco!$H:$H,ROW())="","",INDEX(Banco!$H:$H,ROW()))</f>
        <v/>
      </c>
      <c r="I1147">
        <f>IF($T1147="","",INT($T1147/12)&amp;"a "&amp;MOD($T1147,12)&amp;"m")</f>
        <v/>
      </c>
      <c r="J1147" s="11">
        <f>IF(OR($F1147="",$G1147=""),"",ROUND($F1147/($G1147/100)^2,2))</f>
        <v/>
      </c>
      <c r="K1147" s="12">
        <f>IF(OR($S1147="",$J1147="",$T1147="",$T1147&lt;0,$T1147&gt;228,$Y1147=""),"—",ROUND(IF(ABS($AB1147)&lt;=3,$AB1147,IF($AB1147&gt;3,3+($J1147-$AD1147)/($AD1147-$AC1147),-3+($J1147-$AF1147)/($AE1147-$AF1147))),2))</f>
        <v/>
      </c>
      <c r="L1147">
        <f>IF(OR($K1147="",$K1147="—"),"",IF($T1147&lt;=60,IF($K1147&lt;-3,"Magreza acentuada",IF($K1147&lt;-2,"Magreza",IF($K1147&lt;=1,"Eutrofia",IF($K1147&lt;=2,"Risco de sobrepeso",IF($K1147&lt;=3,"Sobrepeso","Obesidade"))))),IF($K1147&lt;-3,"Magreza acentuada",IF($K1147&lt;-2,"Magreza",IF($K1147&lt;=1,"Eutrofia",IF($K1147&lt;=2,"Sobrepeso",IF($K1147&lt;=3,"Obesidade","Obesidade grave")))))))</f>
        <v/>
      </c>
      <c r="M1147" s="12">
        <f>IF(OR($S1147="",$V1147="",$T1147="",$T1147&lt;0,$T1147&gt;228,$AG1147=""),"—",ROUND(IF($AG1147=0,LN($V1147/$AH1147)/$AI1147,((($V1147/$AH1147)^$AG1147)-1)/($AG1147*$AI1147)),2))</f>
        <v/>
      </c>
      <c r="N1147">
        <f>IF(OR($M1147="",$M1147="—"),"",IF($M1147&lt;-3,"Muito baixa",IF($M1147&lt;-2,"Baixa","Adequada")))</f>
        <v/>
      </c>
      <c r="O1147" s="12">
        <f>IF(OR($S1147="",$F1147="",$T1147="",$T1147&lt;0,$T1147&gt;120,$AJ1147=""),"—",ROUND(IF(ABS($AM1147)&lt;=3,$AM1147,IF($AM1147&gt;3,3+($F1147-$AO1147)/($AO1147-$AN1147),-3+($F1147-$AQ1147)/($AP1147-$AQ1147))),2))</f>
        <v/>
      </c>
      <c r="P1147">
        <f>IF(OR($O1147="",$O1147="—"),"",IF($O1147&lt;-3,"Muito baixo",IF($O1147&lt;-2,"Baixo",IF($O1147&lt;=2,"Adequado","Elevado"))))</f>
        <v/>
      </c>
      <c r="Q1147" s="12">
        <f>IF(OR($S1147="",$F1147="",$T1147="",$T1147&lt;0,$T1147&gt;60,$AR1147=""),"—",ROUND(IF(ABS($AU1147)&lt;=3,$AU1147,IF($AU1147&gt;3,3+($F1147-$AW1147)/($AW1147-$AV1147),-3+($F1147-$AY1147)/($AX1147-$AY1147))),2))</f>
        <v/>
      </c>
      <c r="R1147">
        <f>IF(OR($Q1147="",$Q1147="—"),"",IF($Q1147&lt;-3,"Magreza acentuada",IF($Q1147&lt;-2,"Magreza",IF($Q1147&lt;=1,"Eutrofia",IF($Q1147&lt;=2,"Risco de sobrepeso",IF($Q1147&lt;=3,"Sobrepeso","Obesidade"))))))</f>
        <v/>
      </c>
      <c r="S1147">
        <f>IF($C1147="","",IF(UPPER(LEFT($C1147,1))="M",1,IF(UPPER(LEFT($C1147,1))="F",2,"")))</f>
        <v/>
      </c>
      <c r="T1147">
        <f>IF(OR($D1147="",$E1147=""),"",DATEDIF($D1147,$E1147,"m"))</f>
        <v/>
      </c>
      <c r="U1147">
        <f>IF(OR($D1147="",$E1147=""),"",$E1147-$D1147)</f>
        <v/>
      </c>
      <c r="V1147">
        <f>IF(OR($G1147="",$T1147=""),"",IF($T1147&lt;24,IF(LEFT(LOWER($H1147),4)="em p",$G1147+0.7,$G1147),IF(LEFT(LOWER($H1147),4)="deit",$G1147-0.7,$G1147)))</f>
        <v/>
      </c>
      <c r="W1147">
        <f>IF(OR($S1147="",$T1147=""),"",$S1147*1000000+IF($T1147&lt;=60,$U1147,$T1147))</f>
        <v/>
      </c>
      <c r="X1147">
        <f>IF(OR($S1147="",$V1147="",$T1147&gt;60,$T1147=""),"",$S1147*1000000+ROUND($V1147*10,0))</f>
        <v/>
      </c>
      <c r="Y1147">
        <f>IF($W1147="","",IFERROR(INDEX(IF($T1147&lt;=60,imc05_l,imc519_l),MATCH($W1147,IF($T1147&lt;=60,imc05_k,imc519_k),1)),""))</f>
        <v/>
      </c>
      <c r="Z1147">
        <f>IF($W1147="","",IFERROR(INDEX(IF($T1147&lt;=60,imc05_m,imc519_m),MATCH($W1147,IF($T1147&lt;=60,imc05_k,imc519_k),1)),""))</f>
        <v/>
      </c>
      <c r="AA1147">
        <f>IF($W1147="","",IFERROR(INDEX(IF($T1147&lt;=60,imc05_s,imc519_s),MATCH($W1147,IF($T1147&lt;=60,imc05_k,imc519_k),1)),""))</f>
        <v/>
      </c>
      <c r="AB1147">
        <f>IF($Y1147="","",IF($Y1147=0,LN($J1147/$Z1147)/$AA1147,((($J1147/$Z1147)^$Y1147)-1)/($Y1147*$AA1147)))</f>
        <v/>
      </c>
      <c r="AC1147">
        <f>IF($Y1147="","",IF($Y1147=0,$Z1147*EXP($AA1147*2),$Z1147*(1+$Y1147*$AA1147*2)^(1/$Y1147)))</f>
        <v/>
      </c>
      <c r="AD1147">
        <f>IF($Y1147="","",IF($Y1147=0,$Z1147*EXP($AA1147*3),$Z1147*(1+$Y1147*$AA1147*3)^(1/$Y1147)))</f>
        <v/>
      </c>
      <c r="AE1147">
        <f>IF($Y1147="","",IF($Y1147=0,$Z1147*EXP($AA1147*-2),$Z1147*(1+$Y1147*$AA1147*-2)^(1/$Y1147)))</f>
        <v/>
      </c>
      <c r="AF1147">
        <f>IF($Y1147="","",IF($Y1147=0,$Z1147*EXP($AA1147*-3),$Z1147*(1+$Y1147*$AA1147*-3)^(1/$Y1147)))</f>
        <v/>
      </c>
      <c r="AG1147">
        <f>IF($W1147="","",IFERROR(INDEX(IF($T1147&lt;=60,est05_l,est519_l),MATCH($W1147,IF($T1147&lt;=60,est05_k,est519_k),1)),""))</f>
        <v/>
      </c>
      <c r="AH1147">
        <f>IF($W1147="","",IFERROR(INDEX(IF($T1147&lt;=60,est05_m,est519_m),MATCH($W1147,IF($T1147&lt;=60,est05_k,est519_k),1)),""))</f>
        <v/>
      </c>
      <c r="AI1147">
        <f>IF($W1147="","",IFERROR(INDEX(IF($T1147&lt;=60,est05_s,est519_s),MATCH($W1147,IF($T1147&lt;=60,est05_k,est519_k),1)),""))</f>
        <v/>
      </c>
      <c r="AJ1147">
        <f>IF($W1147="","",IFERROR(INDEX(IF($T1147&lt;=60,peso05_l,peso510_l),MATCH($W1147,IF($T1147&lt;=60,peso05_k,peso510_k),1)),""))</f>
        <v/>
      </c>
      <c r="AK1147">
        <f>IF($W1147="","",IFERROR(INDEX(IF($T1147&lt;=60,peso05_m,peso510_m),MATCH($W1147,IF($T1147&lt;=60,peso05_k,peso510_k),1)),""))</f>
        <v/>
      </c>
      <c r="AL1147">
        <f>IF($W1147="","",IFERROR(INDEX(IF($T1147&lt;=60,peso05_s,peso510_s),MATCH($W1147,IF($T1147&lt;=60,peso05_k,peso510_k),1)),""))</f>
        <v/>
      </c>
      <c r="AM1147">
        <f>IF($AJ1147="","",IF($AJ1147=0,LN($F1147/$AK1147)/$AL1147,((($F1147/$AK1147)^$AJ1147)-1)/($AJ1147*$AL1147)))</f>
        <v/>
      </c>
      <c r="AN1147">
        <f>IF($AJ1147="","",IF($AJ1147=0,$AK1147*EXP($AL1147*2),$AK1147*(1+$AJ1147*$AL1147*2)^(1/$AJ1147)))</f>
        <v/>
      </c>
      <c r="AO1147">
        <f>IF($AJ1147="","",IF($AJ1147=0,$AK1147*EXP($AL1147*3),$AK1147*(1+$AJ1147*$AL1147*3)^(1/$AJ1147)))</f>
        <v/>
      </c>
      <c r="AP1147">
        <f>IF($AJ1147="","",IF($AJ1147=0,$AK1147*EXP($AL1147*-2),$AK1147*(1+$AJ1147*$AL1147*-2)^(1/$AJ1147)))</f>
        <v/>
      </c>
      <c r="AQ1147">
        <f>IF($AJ1147="","",IF($AJ1147=0,$AK1147*EXP($AL1147*-3),$AK1147*(1+$AJ1147*$AL1147*-3)^(1/$AJ1147)))</f>
        <v/>
      </c>
      <c r="AR1147">
        <f>IF(OR($X1147="",$T1147&gt;60),"",IFERROR(INDEX(IF($T1147&lt;24,pcomp_l,palt_l),MATCH($X1147,IF($T1147&lt;24,pcomp_k,palt_k),1)),""))</f>
        <v/>
      </c>
      <c r="AS1147">
        <f>IF(OR($X1147="",$T1147&gt;60),"",IFERROR(INDEX(IF($T1147&lt;24,pcomp_m,palt_m),MATCH($X1147,IF($T1147&lt;24,pcomp_k,palt_k),1)),""))</f>
        <v/>
      </c>
      <c r="AT1147">
        <f>IF(OR($X1147="",$T1147&gt;60),"",IFERROR(INDEX(IF($T1147&lt;24,pcomp_s,palt_s),MATCH($X1147,IF($T1147&lt;24,pcomp_k,palt_k),1)),""))</f>
        <v/>
      </c>
      <c r="AU1147">
        <f>IF($AR1147="","",IF($AR1147=0,LN($F1147/$AS1147)/$AT1147,((($F1147/$AS1147)^$AR1147)-1)/($AR1147*$AT1147)))</f>
        <v/>
      </c>
      <c r="AV1147">
        <f>IF($AR1147="","",IF($AR1147=0,$AS1147*EXP($AT1147*2),$AS1147*(1+$AR1147*$AT1147*2)^(1/$AR1147)))</f>
        <v/>
      </c>
      <c r="AW1147">
        <f>IF($AR1147="","",IF($AR1147=0,$AS1147*EXP($AT1147*3),$AS1147*(1+$AR1147*$AT1147*3)^(1/$AR1147)))</f>
        <v/>
      </c>
      <c r="AX1147">
        <f>IF($AR1147="","",IF($AR1147=0,$AS1147*EXP($AT1147*-2),$AS1147*(1+$AR1147*$AT1147*-2)^(1/$AR1147)))</f>
        <v/>
      </c>
      <c r="AY1147">
        <f>IF($AR1147="","",IF($AR1147=0,$AS1147*EXP($AT1147*-3),$AS1147*(1+$AR1147*$AT1147*-3)^(1/$AR1147)))</f>
        <v/>
      </c>
      <c r="AZ1147">
        <f>IF(OR($A1147="",$A1147&lt;&gt;Ficha!$C$4),"",COUNTIF($A$2:$A1147,Ficha!$C$4))</f>
        <v/>
      </c>
    </row>
    <row r="1148">
      <c r="A1148" s="8">
        <f>IF(INDEX(Banco!$A:$A,ROW())="","",INDEX(Banco!$A:$A,ROW()))</f>
        <v/>
      </c>
      <c r="B1148" s="8">
        <f>IF(INDEX(Banco!$B:$B,ROW())="","",INDEX(Banco!$B:$B,ROW()))</f>
        <v/>
      </c>
      <c r="C1148" s="8">
        <f>IF(INDEX(Banco!$C:$C,ROW())="","",INDEX(Banco!$C:$C,ROW()))</f>
        <v/>
      </c>
      <c r="D1148" s="9">
        <f>IF(INDEX(Banco!$D:$D,ROW())="","",INDEX(Banco!$D:$D,ROW()))</f>
        <v/>
      </c>
      <c r="E1148" s="9">
        <f>IF(INDEX(Banco!$E:$E,ROW())="","",INDEX(Banco!$E:$E,ROW()))</f>
        <v/>
      </c>
      <c r="F1148" s="10">
        <f>IF(INDEX(Banco!$F:$F,ROW())="","",INDEX(Banco!$F:$F,ROW()))</f>
        <v/>
      </c>
      <c r="G1148" s="10">
        <f>IF(INDEX(Banco!$G:$G,ROW())="","",INDEX(Banco!$G:$G,ROW()))</f>
        <v/>
      </c>
      <c r="H1148" s="8">
        <f>IF(INDEX(Banco!$H:$H,ROW())="","",INDEX(Banco!$H:$H,ROW()))</f>
        <v/>
      </c>
      <c r="I1148">
        <f>IF($T1148="","",INT($T1148/12)&amp;"a "&amp;MOD($T1148,12)&amp;"m")</f>
        <v/>
      </c>
      <c r="J1148" s="11">
        <f>IF(OR($F1148="",$G1148=""),"",ROUND($F1148/($G1148/100)^2,2))</f>
        <v/>
      </c>
      <c r="K1148" s="12">
        <f>IF(OR($S1148="",$J1148="",$T1148="",$T1148&lt;0,$T1148&gt;228,$Y1148=""),"—",ROUND(IF(ABS($AB1148)&lt;=3,$AB1148,IF($AB1148&gt;3,3+($J1148-$AD1148)/($AD1148-$AC1148),-3+($J1148-$AF1148)/($AE1148-$AF1148))),2))</f>
        <v/>
      </c>
      <c r="L1148">
        <f>IF(OR($K1148="",$K1148="—"),"",IF($T1148&lt;=60,IF($K1148&lt;-3,"Magreza acentuada",IF($K1148&lt;-2,"Magreza",IF($K1148&lt;=1,"Eutrofia",IF($K1148&lt;=2,"Risco de sobrepeso",IF($K1148&lt;=3,"Sobrepeso","Obesidade"))))),IF($K1148&lt;-3,"Magreza acentuada",IF($K1148&lt;-2,"Magreza",IF($K1148&lt;=1,"Eutrofia",IF($K1148&lt;=2,"Sobrepeso",IF($K1148&lt;=3,"Obesidade","Obesidade grave")))))))</f>
        <v/>
      </c>
      <c r="M1148" s="12">
        <f>IF(OR($S1148="",$V1148="",$T1148="",$T1148&lt;0,$T1148&gt;228,$AG1148=""),"—",ROUND(IF($AG1148=0,LN($V1148/$AH1148)/$AI1148,((($V1148/$AH1148)^$AG1148)-1)/($AG1148*$AI1148)),2))</f>
        <v/>
      </c>
      <c r="N1148">
        <f>IF(OR($M1148="",$M1148="—"),"",IF($M1148&lt;-3,"Muito baixa",IF($M1148&lt;-2,"Baixa","Adequada")))</f>
        <v/>
      </c>
      <c r="O1148" s="12">
        <f>IF(OR($S1148="",$F1148="",$T1148="",$T1148&lt;0,$T1148&gt;120,$AJ1148=""),"—",ROUND(IF(ABS($AM1148)&lt;=3,$AM1148,IF($AM1148&gt;3,3+($F1148-$AO1148)/($AO1148-$AN1148),-3+($F1148-$AQ1148)/($AP1148-$AQ1148))),2))</f>
        <v/>
      </c>
      <c r="P1148">
        <f>IF(OR($O1148="",$O1148="—"),"",IF($O1148&lt;-3,"Muito baixo",IF($O1148&lt;-2,"Baixo",IF($O1148&lt;=2,"Adequado","Elevado"))))</f>
        <v/>
      </c>
      <c r="Q1148" s="12">
        <f>IF(OR($S1148="",$F1148="",$T1148="",$T1148&lt;0,$T1148&gt;60,$AR1148=""),"—",ROUND(IF(ABS($AU1148)&lt;=3,$AU1148,IF($AU1148&gt;3,3+($F1148-$AW1148)/($AW1148-$AV1148),-3+($F1148-$AY1148)/($AX1148-$AY1148))),2))</f>
        <v/>
      </c>
      <c r="R1148">
        <f>IF(OR($Q1148="",$Q1148="—"),"",IF($Q1148&lt;-3,"Magreza acentuada",IF($Q1148&lt;-2,"Magreza",IF($Q1148&lt;=1,"Eutrofia",IF($Q1148&lt;=2,"Risco de sobrepeso",IF($Q1148&lt;=3,"Sobrepeso","Obesidade"))))))</f>
        <v/>
      </c>
      <c r="S1148">
        <f>IF($C1148="","",IF(UPPER(LEFT($C1148,1))="M",1,IF(UPPER(LEFT($C1148,1))="F",2,"")))</f>
        <v/>
      </c>
      <c r="T1148">
        <f>IF(OR($D1148="",$E1148=""),"",DATEDIF($D1148,$E1148,"m"))</f>
        <v/>
      </c>
      <c r="U1148">
        <f>IF(OR($D1148="",$E1148=""),"",$E1148-$D1148)</f>
        <v/>
      </c>
      <c r="V1148">
        <f>IF(OR($G1148="",$T1148=""),"",IF($T1148&lt;24,IF(LEFT(LOWER($H1148),4)="em p",$G1148+0.7,$G1148),IF(LEFT(LOWER($H1148),4)="deit",$G1148-0.7,$G1148)))</f>
        <v/>
      </c>
      <c r="W1148">
        <f>IF(OR($S1148="",$T1148=""),"",$S1148*1000000+IF($T1148&lt;=60,$U1148,$T1148))</f>
        <v/>
      </c>
      <c r="X1148">
        <f>IF(OR($S1148="",$V1148="",$T1148&gt;60,$T1148=""),"",$S1148*1000000+ROUND($V1148*10,0))</f>
        <v/>
      </c>
      <c r="Y1148">
        <f>IF($W1148="","",IFERROR(INDEX(IF($T1148&lt;=60,imc05_l,imc519_l),MATCH($W1148,IF($T1148&lt;=60,imc05_k,imc519_k),1)),""))</f>
        <v/>
      </c>
      <c r="Z1148">
        <f>IF($W1148="","",IFERROR(INDEX(IF($T1148&lt;=60,imc05_m,imc519_m),MATCH($W1148,IF($T1148&lt;=60,imc05_k,imc519_k),1)),""))</f>
        <v/>
      </c>
      <c r="AA1148">
        <f>IF($W1148="","",IFERROR(INDEX(IF($T1148&lt;=60,imc05_s,imc519_s),MATCH($W1148,IF($T1148&lt;=60,imc05_k,imc519_k),1)),""))</f>
        <v/>
      </c>
      <c r="AB1148">
        <f>IF($Y1148="","",IF($Y1148=0,LN($J1148/$Z1148)/$AA1148,((($J1148/$Z1148)^$Y1148)-1)/($Y1148*$AA1148)))</f>
        <v/>
      </c>
      <c r="AC1148">
        <f>IF($Y1148="","",IF($Y1148=0,$Z1148*EXP($AA1148*2),$Z1148*(1+$Y1148*$AA1148*2)^(1/$Y1148)))</f>
        <v/>
      </c>
      <c r="AD1148">
        <f>IF($Y1148="","",IF($Y1148=0,$Z1148*EXP($AA1148*3),$Z1148*(1+$Y1148*$AA1148*3)^(1/$Y1148)))</f>
        <v/>
      </c>
      <c r="AE1148">
        <f>IF($Y1148="","",IF($Y1148=0,$Z1148*EXP($AA1148*-2),$Z1148*(1+$Y1148*$AA1148*-2)^(1/$Y1148)))</f>
        <v/>
      </c>
      <c r="AF1148">
        <f>IF($Y1148="","",IF($Y1148=0,$Z1148*EXP($AA1148*-3),$Z1148*(1+$Y1148*$AA1148*-3)^(1/$Y1148)))</f>
        <v/>
      </c>
      <c r="AG1148">
        <f>IF($W1148="","",IFERROR(INDEX(IF($T1148&lt;=60,est05_l,est519_l),MATCH($W1148,IF($T1148&lt;=60,est05_k,est519_k),1)),""))</f>
        <v/>
      </c>
      <c r="AH1148">
        <f>IF($W1148="","",IFERROR(INDEX(IF($T1148&lt;=60,est05_m,est519_m),MATCH($W1148,IF($T1148&lt;=60,est05_k,est519_k),1)),""))</f>
        <v/>
      </c>
      <c r="AI1148">
        <f>IF($W1148="","",IFERROR(INDEX(IF($T1148&lt;=60,est05_s,est519_s),MATCH($W1148,IF($T1148&lt;=60,est05_k,est519_k),1)),""))</f>
        <v/>
      </c>
      <c r="AJ1148">
        <f>IF($W1148="","",IFERROR(INDEX(IF($T1148&lt;=60,peso05_l,peso510_l),MATCH($W1148,IF($T1148&lt;=60,peso05_k,peso510_k),1)),""))</f>
        <v/>
      </c>
      <c r="AK1148">
        <f>IF($W1148="","",IFERROR(INDEX(IF($T1148&lt;=60,peso05_m,peso510_m),MATCH($W1148,IF($T1148&lt;=60,peso05_k,peso510_k),1)),""))</f>
        <v/>
      </c>
      <c r="AL1148">
        <f>IF($W1148="","",IFERROR(INDEX(IF($T1148&lt;=60,peso05_s,peso510_s),MATCH($W1148,IF($T1148&lt;=60,peso05_k,peso510_k),1)),""))</f>
        <v/>
      </c>
      <c r="AM1148">
        <f>IF($AJ1148="","",IF($AJ1148=0,LN($F1148/$AK1148)/$AL1148,((($F1148/$AK1148)^$AJ1148)-1)/($AJ1148*$AL1148)))</f>
        <v/>
      </c>
      <c r="AN1148">
        <f>IF($AJ1148="","",IF($AJ1148=0,$AK1148*EXP($AL1148*2),$AK1148*(1+$AJ1148*$AL1148*2)^(1/$AJ1148)))</f>
        <v/>
      </c>
      <c r="AO1148">
        <f>IF($AJ1148="","",IF($AJ1148=0,$AK1148*EXP($AL1148*3),$AK1148*(1+$AJ1148*$AL1148*3)^(1/$AJ1148)))</f>
        <v/>
      </c>
      <c r="AP1148">
        <f>IF($AJ1148="","",IF($AJ1148=0,$AK1148*EXP($AL1148*-2),$AK1148*(1+$AJ1148*$AL1148*-2)^(1/$AJ1148)))</f>
        <v/>
      </c>
      <c r="AQ1148">
        <f>IF($AJ1148="","",IF($AJ1148=0,$AK1148*EXP($AL1148*-3),$AK1148*(1+$AJ1148*$AL1148*-3)^(1/$AJ1148)))</f>
        <v/>
      </c>
      <c r="AR1148">
        <f>IF(OR($X1148="",$T1148&gt;60),"",IFERROR(INDEX(IF($T1148&lt;24,pcomp_l,palt_l),MATCH($X1148,IF($T1148&lt;24,pcomp_k,palt_k),1)),""))</f>
        <v/>
      </c>
      <c r="AS1148">
        <f>IF(OR($X1148="",$T1148&gt;60),"",IFERROR(INDEX(IF($T1148&lt;24,pcomp_m,palt_m),MATCH($X1148,IF($T1148&lt;24,pcomp_k,palt_k),1)),""))</f>
        <v/>
      </c>
      <c r="AT1148">
        <f>IF(OR($X1148="",$T1148&gt;60),"",IFERROR(INDEX(IF($T1148&lt;24,pcomp_s,palt_s),MATCH($X1148,IF($T1148&lt;24,pcomp_k,palt_k),1)),""))</f>
        <v/>
      </c>
      <c r="AU1148">
        <f>IF($AR1148="","",IF($AR1148=0,LN($F1148/$AS1148)/$AT1148,((($F1148/$AS1148)^$AR1148)-1)/($AR1148*$AT1148)))</f>
        <v/>
      </c>
      <c r="AV1148">
        <f>IF($AR1148="","",IF($AR1148=0,$AS1148*EXP($AT1148*2),$AS1148*(1+$AR1148*$AT1148*2)^(1/$AR1148)))</f>
        <v/>
      </c>
      <c r="AW1148">
        <f>IF($AR1148="","",IF($AR1148=0,$AS1148*EXP($AT1148*3),$AS1148*(1+$AR1148*$AT1148*3)^(1/$AR1148)))</f>
        <v/>
      </c>
      <c r="AX1148">
        <f>IF($AR1148="","",IF($AR1148=0,$AS1148*EXP($AT1148*-2),$AS1148*(1+$AR1148*$AT1148*-2)^(1/$AR1148)))</f>
        <v/>
      </c>
      <c r="AY1148">
        <f>IF($AR1148="","",IF($AR1148=0,$AS1148*EXP($AT1148*-3),$AS1148*(1+$AR1148*$AT1148*-3)^(1/$AR1148)))</f>
        <v/>
      </c>
      <c r="AZ1148">
        <f>IF(OR($A1148="",$A1148&lt;&gt;Ficha!$C$4),"",COUNTIF($A$2:$A1148,Ficha!$C$4))</f>
        <v/>
      </c>
    </row>
    <row r="1149">
      <c r="A1149" s="8">
        <f>IF(INDEX(Banco!$A:$A,ROW())="","",INDEX(Banco!$A:$A,ROW()))</f>
        <v/>
      </c>
      <c r="B1149" s="8">
        <f>IF(INDEX(Banco!$B:$B,ROW())="","",INDEX(Banco!$B:$B,ROW()))</f>
        <v/>
      </c>
      <c r="C1149" s="8">
        <f>IF(INDEX(Banco!$C:$C,ROW())="","",INDEX(Banco!$C:$C,ROW()))</f>
        <v/>
      </c>
      <c r="D1149" s="9">
        <f>IF(INDEX(Banco!$D:$D,ROW())="","",INDEX(Banco!$D:$D,ROW()))</f>
        <v/>
      </c>
      <c r="E1149" s="9">
        <f>IF(INDEX(Banco!$E:$E,ROW())="","",INDEX(Banco!$E:$E,ROW()))</f>
        <v/>
      </c>
      <c r="F1149" s="10">
        <f>IF(INDEX(Banco!$F:$F,ROW())="","",INDEX(Banco!$F:$F,ROW()))</f>
        <v/>
      </c>
      <c r="G1149" s="10">
        <f>IF(INDEX(Banco!$G:$G,ROW())="","",INDEX(Banco!$G:$G,ROW()))</f>
        <v/>
      </c>
      <c r="H1149" s="8">
        <f>IF(INDEX(Banco!$H:$H,ROW())="","",INDEX(Banco!$H:$H,ROW()))</f>
        <v/>
      </c>
      <c r="I1149">
        <f>IF($T1149="","",INT($T1149/12)&amp;"a "&amp;MOD($T1149,12)&amp;"m")</f>
        <v/>
      </c>
      <c r="J1149" s="11">
        <f>IF(OR($F1149="",$G1149=""),"",ROUND($F1149/($G1149/100)^2,2))</f>
        <v/>
      </c>
      <c r="K1149" s="12">
        <f>IF(OR($S1149="",$J1149="",$T1149="",$T1149&lt;0,$T1149&gt;228,$Y1149=""),"—",ROUND(IF(ABS($AB1149)&lt;=3,$AB1149,IF($AB1149&gt;3,3+($J1149-$AD1149)/($AD1149-$AC1149),-3+($J1149-$AF1149)/($AE1149-$AF1149))),2))</f>
        <v/>
      </c>
      <c r="L1149">
        <f>IF(OR($K1149="",$K1149="—"),"",IF($T1149&lt;=60,IF($K1149&lt;-3,"Magreza acentuada",IF($K1149&lt;-2,"Magreza",IF($K1149&lt;=1,"Eutrofia",IF($K1149&lt;=2,"Risco de sobrepeso",IF($K1149&lt;=3,"Sobrepeso","Obesidade"))))),IF($K1149&lt;-3,"Magreza acentuada",IF($K1149&lt;-2,"Magreza",IF($K1149&lt;=1,"Eutrofia",IF($K1149&lt;=2,"Sobrepeso",IF($K1149&lt;=3,"Obesidade","Obesidade grave")))))))</f>
        <v/>
      </c>
      <c r="M1149" s="12">
        <f>IF(OR($S1149="",$V1149="",$T1149="",$T1149&lt;0,$T1149&gt;228,$AG1149=""),"—",ROUND(IF($AG1149=0,LN($V1149/$AH1149)/$AI1149,((($V1149/$AH1149)^$AG1149)-1)/($AG1149*$AI1149)),2))</f>
        <v/>
      </c>
      <c r="N1149">
        <f>IF(OR($M1149="",$M1149="—"),"",IF($M1149&lt;-3,"Muito baixa",IF($M1149&lt;-2,"Baixa","Adequada")))</f>
        <v/>
      </c>
      <c r="O1149" s="12">
        <f>IF(OR($S1149="",$F1149="",$T1149="",$T1149&lt;0,$T1149&gt;120,$AJ1149=""),"—",ROUND(IF(ABS($AM1149)&lt;=3,$AM1149,IF($AM1149&gt;3,3+($F1149-$AO1149)/($AO1149-$AN1149),-3+($F1149-$AQ1149)/($AP1149-$AQ1149))),2))</f>
        <v/>
      </c>
      <c r="P1149">
        <f>IF(OR($O1149="",$O1149="—"),"",IF($O1149&lt;-3,"Muito baixo",IF($O1149&lt;-2,"Baixo",IF($O1149&lt;=2,"Adequado","Elevado"))))</f>
        <v/>
      </c>
      <c r="Q1149" s="12">
        <f>IF(OR($S1149="",$F1149="",$T1149="",$T1149&lt;0,$T1149&gt;60,$AR1149=""),"—",ROUND(IF(ABS($AU1149)&lt;=3,$AU1149,IF($AU1149&gt;3,3+($F1149-$AW1149)/($AW1149-$AV1149),-3+($F1149-$AY1149)/($AX1149-$AY1149))),2))</f>
        <v/>
      </c>
      <c r="R1149">
        <f>IF(OR($Q1149="",$Q1149="—"),"",IF($Q1149&lt;-3,"Magreza acentuada",IF($Q1149&lt;-2,"Magreza",IF($Q1149&lt;=1,"Eutrofia",IF($Q1149&lt;=2,"Risco de sobrepeso",IF($Q1149&lt;=3,"Sobrepeso","Obesidade"))))))</f>
        <v/>
      </c>
      <c r="S1149">
        <f>IF($C1149="","",IF(UPPER(LEFT($C1149,1))="M",1,IF(UPPER(LEFT($C1149,1))="F",2,"")))</f>
        <v/>
      </c>
      <c r="T1149">
        <f>IF(OR($D1149="",$E1149=""),"",DATEDIF($D1149,$E1149,"m"))</f>
        <v/>
      </c>
      <c r="U1149">
        <f>IF(OR($D1149="",$E1149=""),"",$E1149-$D1149)</f>
        <v/>
      </c>
      <c r="V1149">
        <f>IF(OR($G1149="",$T1149=""),"",IF($T1149&lt;24,IF(LEFT(LOWER($H1149),4)="em p",$G1149+0.7,$G1149),IF(LEFT(LOWER($H1149),4)="deit",$G1149-0.7,$G1149)))</f>
        <v/>
      </c>
      <c r="W1149">
        <f>IF(OR($S1149="",$T1149=""),"",$S1149*1000000+IF($T1149&lt;=60,$U1149,$T1149))</f>
        <v/>
      </c>
      <c r="X1149">
        <f>IF(OR($S1149="",$V1149="",$T1149&gt;60,$T1149=""),"",$S1149*1000000+ROUND($V1149*10,0))</f>
        <v/>
      </c>
      <c r="Y1149">
        <f>IF($W1149="","",IFERROR(INDEX(IF($T1149&lt;=60,imc05_l,imc519_l),MATCH($W1149,IF($T1149&lt;=60,imc05_k,imc519_k),1)),""))</f>
        <v/>
      </c>
      <c r="Z1149">
        <f>IF($W1149="","",IFERROR(INDEX(IF($T1149&lt;=60,imc05_m,imc519_m),MATCH($W1149,IF($T1149&lt;=60,imc05_k,imc519_k),1)),""))</f>
        <v/>
      </c>
      <c r="AA1149">
        <f>IF($W1149="","",IFERROR(INDEX(IF($T1149&lt;=60,imc05_s,imc519_s),MATCH($W1149,IF($T1149&lt;=60,imc05_k,imc519_k),1)),""))</f>
        <v/>
      </c>
      <c r="AB1149">
        <f>IF($Y1149="","",IF($Y1149=0,LN($J1149/$Z1149)/$AA1149,((($J1149/$Z1149)^$Y1149)-1)/($Y1149*$AA1149)))</f>
        <v/>
      </c>
      <c r="AC1149">
        <f>IF($Y1149="","",IF($Y1149=0,$Z1149*EXP($AA1149*2),$Z1149*(1+$Y1149*$AA1149*2)^(1/$Y1149)))</f>
        <v/>
      </c>
      <c r="AD1149">
        <f>IF($Y1149="","",IF($Y1149=0,$Z1149*EXP($AA1149*3),$Z1149*(1+$Y1149*$AA1149*3)^(1/$Y1149)))</f>
        <v/>
      </c>
      <c r="AE1149">
        <f>IF($Y1149="","",IF($Y1149=0,$Z1149*EXP($AA1149*-2),$Z1149*(1+$Y1149*$AA1149*-2)^(1/$Y1149)))</f>
        <v/>
      </c>
      <c r="AF1149">
        <f>IF($Y1149="","",IF($Y1149=0,$Z1149*EXP($AA1149*-3),$Z1149*(1+$Y1149*$AA1149*-3)^(1/$Y1149)))</f>
        <v/>
      </c>
      <c r="AG1149">
        <f>IF($W1149="","",IFERROR(INDEX(IF($T1149&lt;=60,est05_l,est519_l),MATCH($W1149,IF($T1149&lt;=60,est05_k,est519_k),1)),""))</f>
        <v/>
      </c>
      <c r="AH1149">
        <f>IF($W1149="","",IFERROR(INDEX(IF($T1149&lt;=60,est05_m,est519_m),MATCH($W1149,IF($T1149&lt;=60,est05_k,est519_k),1)),""))</f>
        <v/>
      </c>
      <c r="AI1149">
        <f>IF($W1149="","",IFERROR(INDEX(IF($T1149&lt;=60,est05_s,est519_s),MATCH($W1149,IF($T1149&lt;=60,est05_k,est519_k),1)),""))</f>
        <v/>
      </c>
      <c r="AJ1149">
        <f>IF($W1149="","",IFERROR(INDEX(IF($T1149&lt;=60,peso05_l,peso510_l),MATCH($W1149,IF($T1149&lt;=60,peso05_k,peso510_k),1)),""))</f>
        <v/>
      </c>
      <c r="AK1149">
        <f>IF($W1149="","",IFERROR(INDEX(IF($T1149&lt;=60,peso05_m,peso510_m),MATCH($W1149,IF($T1149&lt;=60,peso05_k,peso510_k),1)),""))</f>
        <v/>
      </c>
      <c r="AL1149">
        <f>IF($W1149="","",IFERROR(INDEX(IF($T1149&lt;=60,peso05_s,peso510_s),MATCH($W1149,IF($T1149&lt;=60,peso05_k,peso510_k),1)),""))</f>
        <v/>
      </c>
      <c r="AM1149">
        <f>IF($AJ1149="","",IF($AJ1149=0,LN($F1149/$AK1149)/$AL1149,((($F1149/$AK1149)^$AJ1149)-1)/($AJ1149*$AL1149)))</f>
        <v/>
      </c>
      <c r="AN1149">
        <f>IF($AJ1149="","",IF($AJ1149=0,$AK1149*EXP($AL1149*2),$AK1149*(1+$AJ1149*$AL1149*2)^(1/$AJ1149)))</f>
        <v/>
      </c>
      <c r="AO1149">
        <f>IF($AJ1149="","",IF($AJ1149=0,$AK1149*EXP($AL1149*3),$AK1149*(1+$AJ1149*$AL1149*3)^(1/$AJ1149)))</f>
        <v/>
      </c>
      <c r="AP1149">
        <f>IF($AJ1149="","",IF($AJ1149=0,$AK1149*EXP($AL1149*-2),$AK1149*(1+$AJ1149*$AL1149*-2)^(1/$AJ1149)))</f>
        <v/>
      </c>
      <c r="AQ1149">
        <f>IF($AJ1149="","",IF($AJ1149=0,$AK1149*EXP($AL1149*-3),$AK1149*(1+$AJ1149*$AL1149*-3)^(1/$AJ1149)))</f>
        <v/>
      </c>
      <c r="AR1149">
        <f>IF(OR($X1149="",$T1149&gt;60),"",IFERROR(INDEX(IF($T1149&lt;24,pcomp_l,palt_l),MATCH($X1149,IF($T1149&lt;24,pcomp_k,palt_k),1)),""))</f>
        <v/>
      </c>
      <c r="AS1149">
        <f>IF(OR($X1149="",$T1149&gt;60),"",IFERROR(INDEX(IF($T1149&lt;24,pcomp_m,palt_m),MATCH($X1149,IF($T1149&lt;24,pcomp_k,palt_k),1)),""))</f>
        <v/>
      </c>
      <c r="AT1149">
        <f>IF(OR($X1149="",$T1149&gt;60),"",IFERROR(INDEX(IF($T1149&lt;24,pcomp_s,palt_s),MATCH($X1149,IF($T1149&lt;24,pcomp_k,palt_k),1)),""))</f>
        <v/>
      </c>
      <c r="AU1149">
        <f>IF($AR1149="","",IF($AR1149=0,LN($F1149/$AS1149)/$AT1149,((($F1149/$AS1149)^$AR1149)-1)/($AR1149*$AT1149)))</f>
        <v/>
      </c>
      <c r="AV1149">
        <f>IF($AR1149="","",IF($AR1149=0,$AS1149*EXP($AT1149*2),$AS1149*(1+$AR1149*$AT1149*2)^(1/$AR1149)))</f>
        <v/>
      </c>
      <c r="AW1149">
        <f>IF($AR1149="","",IF($AR1149=0,$AS1149*EXP($AT1149*3),$AS1149*(1+$AR1149*$AT1149*3)^(1/$AR1149)))</f>
        <v/>
      </c>
      <c r="AX1149">
        <f>IF($AR1149="","",IF($AR1149=0,$AS1149*EXP($AT1149*-2),$AS1149*(1+$AR1149*$AT1149*-2)^(1/$AR1149)))</f>
        <v/>
      </c>
      <c r="AY1149">
        <f>IF($AR1149="","",IF($AR1149=0,$AS1149*EXP($AT1149*-3),$AS1149*(1+$AR1149*$AT1149*-3)^(1/$AR1149)))</f>
        <v/>
      </c>
      <c r="AZ1149">
        <f>IF(OR($A1149="",$A1149&lt;&gt;Ficha!$C$4),"",COUNTIF($A$2:$A1149,Ficha!$C$4))</f>
        <v/>
      </c>
    </row>
    <row r="1150">
      <c r="A1150" s="8">
        <f>IF(INDEX(Banco!$A:$A,ROW())="","",INDEX(Banco!$A:$A,ROW()))</f>
        <v/>
      </c>
      <c r="B1150" s="8">
        <f>IF(INDEX(Banco!$B:$B,ROW())="","",INDEX(Banco!$B:$B,ROW()))</f>
        <v/>
      </c>
      <c r="C1150" s="8">
        <f>IF(INDEX(Banco!$C:$C,ROW())="","",INDEX(Banco!$C:$C,ROW()))</f>
        <v/>
      </c>
      <c r="D1150" s="9">
        <f>IF(INDEX(Banco!$D:$D,ROW())="","",INDEX(Banco!$D:$D,ROW()))</f>
        <v/>
      </c>
      <c r="E1150" s="9">
        <f>IF(INDEX(Banco!$E:$E,ROW())="","",INDEX(Banco!$E:$E,ROW()))</f>
        <v/>
      </c>
      <c r="F1150" s="10">
        <f>IF(INDEX(Banco!$F:$F,ROW())="","",INDEX(Banco!$F:$F,ROW()))</f>
        <v/>
      </c>
      <c r="G1150" s="10">
        <f>IF(INDEX(Banco!$G:$G,ROW())="","",INDEX(Banco!$G:$G,ROW()))</f>
        <v/>
      </c>
      <c r="H1150" s="8">
        <f>IF(INDEX(Banco!$H:$H,ROW())="","",INDEX(Banco!$H:$H,ROW()))</f>
        <v/>
      </c>
      <c r="I1150">
        <f>IF($T1150="","",INT($T1150/12)&amp;"a "&amp;MOD($T1150,12)&amp;"m")</f>
        <v/>
      </c>
      <c r="J1150" s="11">
        <f>IF(OR($F1150="",$G1150=""),"",ROUND($F1150/($G1150/100)^2,2))</f>
        <v/>
      </c>
      <c r="K1150" s="12">
        <f>IF(OR($S1150="",$J1150="",$T1150="",$T1150&lt;0,$T1150&gt;228,$Y1150=""),"—",ROUND(IF(ABS($AB1150)&lt;=3,$AB1150,IF($AB1150&gt;3,3+($J1150-$AD1150)/($AD1150-$AC1150),-3+($J1150-$AF1150)/($AE1150-$AF1150))),2))</f>
        <v/>
      </c>
      <c r="L1150">
        <f>IF(OR($K1150="",$K1150="—"),"",IF($T1150&lt;=60,IF($K1150&lt;-3,"Magreza acentuada",IF($K1150&lt;-2,"Magreza",IF($K1150&lt;=1,"Eutrofia",IF($K1150&lt;=2,"Risco de sobrepeso",IF($K1150&lt;=3,"Sobrepeso","Obesidade"))))),IF($K1150&lt;-3,"Magreza acentuada",IF($K1150&lt;-2,"Magreza",IF($K1150&lt;=1,"Eutrofia",IF($K1150&lt;=2,"Sobrepeso",IF($K1150&lt;=3,"Obesidade","Obesidade grave")))))))</f>
        <v/>
      </c>
      <c r="M1150" s="12">
        <f>IF(OR($S1150="",$V1150="",$T1150="",$T1150&lt;0,$T1150&gt;228,$AG1150=""),"—",ROUND(IF($AG1150=0,LN($V1150/$AH1150)/$AI1150,((($V1150/$AH1150)^$AG1150)-1)/($AG1150*$AI1150)),2))</f>
        <v/>
      </c>
      <c r="N1150">
        <f>IF(OR($M1150="",$M1150="—"),"",IF($M1150&lt;-3,"Muito baixa",IF($M1150&lt;-2,"Baixa","Adequada")))</f>
        <v/>
      </c>
      <c r="O1150" s="12">
        <f>IF(OR($S1150="",$F1150="",$T1150="",$T1150&lt;0,$T1150&gt;120,$AJ1150=""),"—",ROUND(IF(ABS($AM1150)&lt;=3,$AM1150,IF($AM1150&gt;3,3+($F1150-$AO1150)/($AO1150-$AN1150),-3+($F1150-$AQ1150)/($AP1150-$AQ1150))),2))</f>
        <v/>
      </c>
      <c r="P1150">
        <f>IF(OR($O1150="",$O1150="—"),"",IF($O1150&lt;-3,"Muito baixo",IF($O1150&lt;-2,"Baixo",IF($O1150&lt;=2,"Adequado","Elevado"))))</f>
        <v/>
      </c>
      <c r="Q1150" s="12">
        <f>IF(OR($S1150="",$F1150="",$T1150="",$T1150&lt;0,$T1150&gt;60,$AR1150=""),"—",ROUND(IF(ABS($AU1150)&lt;=3,$AU1150,IF($AU1150&gt;3,3+($F1150-$AW1150)/($AW1150-$AV1150),-3+($F1150-$AY1150)/($AX1150-$AY1150))),2))</f>
        <v/>
      </c>
      <c r="R1150">
        <f>IF(OR($Q1150="",$Q1150="—"),"",IF($Q1150&lt;-3,"Magreza acentuada",IF($Q1150&lt;-2,"Magreza",IF($Q1150&lt;=1,"Eutrofia",IF($Q1150&lt;=2,"Risco de sobrepeso",IF($Q1150&lt;=3,"Sobrepeso","Obesidade"))))))</f>
        <v/>
      </c>
      <c r="S1150">
        <f>IF($C1150="","",IF(UPPER(LEFT($C1150,1))="M",1,IF(UPPER(LEFT($C1150,1))="F",2,"")))</f>
        <v/>
      </c>
      <c r="T1150">
        <f>IF(OR($D1150="",$E1150=""),"",DATEDIF($D1150,$E1150,"m"))</f>
        <v/>
      </c>
      <c r="U1150">
        <f>IF(OR($D1150="",$E1150=""),"",$E1150-$D1150)</f>
        <v/>
      </c>
      <c r="V1150">
        <f>IF(OR($G1150="",$T1150=""),"",IF($T1150&lt;24,IF(LEFT(LOWER($H1150),4)="em p",$G1150+0.7,$G1150),IF(LEFT(LOWER($H1150),4)="deit",$G1150-0.7,$G1150)))</f>
        <v/>
      </c>
      <c r="W1150">
        <f>IF(OR($S1150="",$T1150=""),"",$S1150*1000000+IF($T1150&lt;=60,$U1150,$T1150))</f>
        <v/>
      </c>
      <c r="X1150">
        <f>IF(OR($S1150="",$V1150="",$T1150&gt;60,$T1150=""),"",$S1150*1000000+ROUND($V1150*10,0))</f>
        <v/>
      </c>
      <c r="Y1150">
        <f>IF($W1150="","",IFERROR(INDEX(IF($T1150&lt;=60,imc05_l,imc519_l),MATCH($W1150,IF($T1150&lt;=60,imc05_k,imc519_k),1)),""))</f>
        <v/>
      </c>
      <c r="Z1150">
        <f>IF($W1150="","",IFERROR(INDEX(IF($T1150&lt;=60,imc05_m,imc519_m),MATCH($W1150,IF($T1150&lt;=60,imc05_k,imc519_k),1)),""))</f>
        <v/>
      </c>
      <c r="AA1150">
        <f>IF($W1150="","",IFERROR(INDEX(IF($T1150&lt;=60,imc05_s,imc519_s),MATCH($W1150,IF($T1150&lt;=60,imc05_k,imc519_k),1)),""))</f>
        <v/>
      </c>
      <c r="AB1150">
        <f>IF($Y1150="","",IF($Y1150=0,LN($J1150/$Z1150)/$AA1150,((($J1150/$Z1150)^$Y1150)-1)/($Y1150*$AA1150)))</f>
        <v/>
      </c>
      <c r="AC1150">
        <f>IF($Y1150="","",IF($Y1150=0,$Z1150*EXP($AA1150*2),$Z1150*(1+$Y1150*$AA1150*2)^(1/$Y1150)))</f>
        <v/>
      </c>
      <c r="AD1150">
        <f>IF($Y1150="","",IF($Y1150=0,$Z1150*EXP($AA1150*3),$Z1150*(1+$Y1150*$AA1150*3)^(1/$Y1150)))</f>
        <v/>
      </c>
      <c r="AE1150">
        <f>IF($Y1150="","",IF($Y1150=0,$Z1150*EXP($AA1150*-2),$Z1150*(1+$Y1150*$AA1150*-2)^(1/$Y1150)))</f>
        <v/>
      </c>
      <c r="AF1150">
        <f>IF($Y1150="","",IF($Y1150=0,$Z1150*EXP($AA1150*-3),$Z1150*(1+$Y1150*$AA1150*-3)^(1/$Y1150)))</f>
        <v/>
      </c>
      <c r="AG1150">
        <f>IF($W1150="","",IFERROR(INDEX(IF($T1150&lt;=60,est05_l,est519_l),MATCH($W1150,IF($T1150&lt;=60,est05_k,est519_k),1)),""))</f>
        <v/>
      </c>
      <c r="AH1150">
        <f>IF($W1150="","",IFERROR(INDEX(IF($T1150&lt;=60,est05_m,est519_m),MATCH($W1150,IF($T1150&lt;=60,est05_k,est519_k),1)),""))</f>
        <v/>
      </c>
      <c r="AI1150">
        <f>IF($W1150="","",IFERROR(INDEX(IF($T1150&lt;=60,est05_s,est519_s),MATCH($W1150,IF($T1150&lt;=60,est05_k,est519_k),1)),""))</f>
        <v/>
      </c>
      <c r="AJ1150">
        <f>IF($W1150="","",IFERROR(INDEX(IF($T1150&lt;=60,peso05_l,peso510_l),MATCH($W1150,IF($T1150&lt;=60,peso05_k,peso510_k),1)),""))</f>
        <v/>
      </c>
      <c r="AK1150">
        <f>IF($W1150="","",IFERROR(INDEX(IF($T1150&lt;=60,peso05_m,peso510_m),MATCH($W1150,IF($T1150&lt;=60,peso05_k,peso510_k),1)),""))</f>
        <v/>
      </c>
      <c r="AL1150">
        <f>IF($W1150="","",IFERROR(INDEX(IF($T1150&lt;=60,peso05_s,peso510_s),MATCH($W1150,IF($T1150&lt;=60,peso05_k,peso510_k),1)),""))</f>
        <v/>
      </c>
      <c r="AM1150">
        <f>IF($AJ1150="","",IF($AJ1150=0,LN($F1150/$AK1150)/$AL1150,((($F1150/$AK1150)^$AJ1150)-1)/($AJ1150*$AL1150)))</f>
        <v/>
      </c>
      <c r="AN1150">
        <f>IF($AJ1150="","",IF($AJ1150=0,$AK1150*EXP($AL1150*2),$AK1150*(1+$AJ1150*$AL1150*2)^(1/$AJ1150)))</f>
        <v/>
      </c>
      <c r="AO1150">
        <f>IF($AJ1150="","",IF($AJ1150=0,$AK1150*EXP($AL1150*3),$AK1150*(1+$AJ1150*$AL1150*3)^(1/$AJ1150)))</f>
        <v/>
      </c>
      <c r="AP1150">
        <f>IF($AJ1150="","",IF($AJ1150=0,$AK1150*EXP($AL1150*-2),$AK1150*(1+$AJ1150*$AL1150*-2)^(1/$AJ1150)))</f>
        <v/>
      </c>
      <c r="AQ1150">
        <f>IF($AJ1150="","",IF($AJ1150=0,$AK1150*EXP($AL1150*-3),$AK1150*(1+$AJ1150*$AL1150*-3)^(1/$AJ1150)))</f>
        <v/>
      </c>
      <c r="AR1150">
        <f>IF(OR($X1150="",$T1150&gt;60),"",IFERROR(INDEX(IF($T1150&lt;24,pcomp_l,palt_l),MATCH($X1150,IF($T1150&lt;24,pcomp_k,palt_k),1)),""))</f>
        <v/>
      </c>
      <c r="AS1150">
        <f>IF(OR($X1150="",$T1150&gt;60),"",IFERROR(INDEX(IF($T1150&lt;24,pcomp_m,palt_m),MATCH($X1150,IF($T1150&lt;24,pcomp_k,palt_k),1)),""))</f>
        <v/>
      </c>
      <c r="AT1150">
        <f>IF(OR($X1150="",$T1150&gt;60),"",IFERROR(INDEX(IF($T1150&lt;24,pcomp_s,palt_s),MATCH($X1150,IF($T1150&lt;24,pcomp_k,palt_k),1)),""))</f>
        <v/>
      </c>
      <c r="AU1150">
        <f>IF($AR1150="","",IF($AR1150=0,LN($F1150/$AS1150)/$AT1150,((($F1150/$AS1150)^$AR1150)-1)/($AR1150*$AT1150)))</f>
        <v/>
      </c>
      <c r="AV1150">
        <f>IF($AR1150="","",IF($AR1150=0,$AS1150*EXP($AT1150*2),$AS1150*(1+$AR1150*$AT1150*2)^(1/$AR1150)))</f>
        <v/>
      </c>
      <c r="AW1150">
        <f>IF($AR1150="","",IF($AR1150=0,$AS1150*EXP($AT1150*3),$AS1150*(1+$AR1150*$AT1150*3)^(1/$AR1150)))</f>
        <v/>
      </c>
      <c r="AX1150">
        <f>IF($AR1150="","",IF($AR1150=0,$AS1150*EXP($AT1150*-2),$AS1150*(1+$AR1150*$AT1150*-2)^(1/$AR1150)))</f>
        <v/>
      </c>
      <c r="AY1150">
        <f>IF($AR1150="","",IF($AR1150=0,$AS1150*EXP($AT1150*-3),$AS1150*(1+$AR1150*$AT1150*-3)^(1/$AR1150)))</f>
        <v/>
      </c>
      <c r="AZ1150">
        <f>IF(OR($A1150="",$A1150&lt;&gt;Ficha!$C$4),"",COUNTIF($A$2:$A1150,Ficha!$C$4))</f>
        <v/>
      </c>
    </row>
    <row r="1151">
      <c r="A1151" s="8">
        <f>IF(INDEX(Banco!$A:$A,ROW())="","",INDEX(Banco!$A:$A,ROW()))</f>
        <v/>
      </c>
      <c r="B1151" s="8">
        <f>IF(INDEX(Banco!$B:$B,ROW())="","",INDEX(Banco!$B:$B,ROW()))</f>
        <v/>
      </c>
      <c r="C1151" s="8">
        <f>IF(INDEX(Banco!$C:$C,ROW())="","",INDEX(Banco!$C:$C,ROW()))</f>
        <v/>
      </c>
      <c r="D1151" s="9">
        <f>IF(INDEX(Banco!$D:$D,ROW())="","",INDEX(Banco!$D:$D,ROW()))</f>
        <v/>
      </c>
      <c r="E1151" s="9">
        <f>IF(INDEX(Banco!$E:$E,ROW())="","",INDEX(Banco!$E:$E,ROW()))</f>
        <v/>
      </c>
      <c r="F1151" s="10">
        <f>IF(INDEX(Banco!$F:$F,ROW())="","",INDEX(Banco!$F:$F,ROW()))</f>
        <v/>
      </c>
      <c r="G1151" s="10">
        <f>IF(INDEX(Banco!$G:$G,ROW())="","",INDEX(Banco!$G:$G,ROW()))</f>
        <v/>
      </c>
      <c r="H1151" s="8">
        <f>IF(INDEX(Banco!$H:$H,ROW())="","",INDEX(Banco!$H:$H,ROW()))</f>
        <v/>
      </c>
      <c r="I1151">
        <f>IF($T1151="","",INT($T1151/12)&amp;"a "&amp;MOD($T1151,12)&amp;"m")</f>
        <v/>
      </c>
      <c r="J1151" s="11">
        <f>IF(OR($F1151="",$G1151=""),"",ROUND($F1151/($G1151/100)^2,2))</f>
        <v/>
      </c>
      <c r="K1151" s="12">
        <f>IF(OR($S1151="",$J1151="",$T1151="",$T1151&lt;0,$T1151&gt;228,$Y1151=""),"—",ROUND(IF(ABS($AB1151)&lt;=3,$AB1151,IF($AB1151&gt;3,3+($J1151-$AD1151)/($AD1151-$AC1151),-3+($J1151-$AF1151)/($AE1151-$AF1151))),2))</f>
        <v/>
      </c>
      <c r="L1151">
        <f>IF(OR($K1151="",$K1151="—"),"",IF($T1151&lt;=60,IF($K1151&lt;-3,"Magreza acentuada",IF($K1151&lt;-2,"Magreza",IF($K1151&lt;=1,"Eutrofia",IF($K1151&lt;=2,"Risco de sobrepeso",IF($K1151&lt;=3,"Sobrepeso","Obesidade"))))),IF($K1151&lt;-3,"Magreza acentuada",IF($K1151&lt;-2,"Magreza",IF($K1151&lt;=1,"Eutrofia",IF($K1151&lt;=2,"Sobrepeso",IF($K1151&lt;=3,"Obesidade","Obesidade grave")))))))</f>
        <v/>
      </c>
      <c r="M1151" s="12">
        <f>IF(OR($S1151="",$V1151="",$T1151="",$T1151&lt;0,$T1151&gt;228,$AG1151=""),"—",ROUND(IF($AG1151=0,LN($V1151/$AH1151)/$AI1151,((($V1151/$AH1151)^$AG1151)-1)/($AG1151*$AI1151)),2))</f>
        <v/>
      </c>
      <c r="N1151">
        <f>IF(OR($M1151="",$M1151="—"),"",IF($M1151&lt;-3,"Muito baixa",IF($M1151&lt;-2,"Baixa","Adequada")))</f>
        <v/>
      </c>
      <c r="O1151" s="12">
        <f>IF(OR($S1151="",$F1151="",$T1151="",$T1151&lt;0,$T1151&gt;120,$AJ1151=""),"—",ROUND(IF(ABS($AM1151)&lt;=3,$AM1151,IF($AM1151&gt;3,3+($F1151-$AO1151)/($AO1151-$AN1151),-3+($F1151-$AQ1151)/($AP1151-$AQ1151))),2))</f>
        <v/>
      </c>
      <c r="P1151">
        <f>IF(OR($O1151="",$O1151="—"),"",IF($O1151&lt;-3,"Muito baixo",IF($O1151&lt;-2,"Baixo",IF($O1151&lt;=2,"Adequado","Elevado"))))</f>
        <v/>
      </c>
      <c r="Q1151" s="12">
        <f>IF(OR($S1151="",$F1151="",$T1151="",$T1151&lt;0,$T1151&gt;60,$AR1151=""),"—",ROUND(IF(ABS($AU1151)&lt;=3,$AU1151,IF($AU1151&gt;3,3+($F1151-$AW1151)/($AW1151-$AV1151),-3+($F1151-$AY1151)/($AX1151-$AY1151))),2))</f>
        <v/>
      </c>
      <c r="R1151">
        <f>IF(OR($Q1151="",$Q1151="—"),"",IF($Q1151&lt;-3,"Magreza acentuada",IF($Q1151&lt;-2,"Magreza",IF($Q1151&lt;=1,"Eutrofia",IF($Q1151&lt;=2,"Risco de sobrepeso",IF($Q1151&lt;=3,"Sobrepeso","Obesidade"))))))</f>
        <v/>
      </c>
      <c r="S1151">
        <f>IF($C1151="","",IF(UPPER(LEFT($C1151,1))="M",1,IF(UPPER(LEFT($C1151,1))="F",2,"")))</f>
        <v/>
      </c>
      <c r="T1151">
        <f>IF(OR($D1151="",$E1151=""),"",DATEDIF($D1151,$E1151,"m"))</f>
        <v/>
      </c>
      <c r="U1151">
        <f>IF(OR($D1151="",$E1151=""),"",$E1151-$D1151)</f>
        <v/>
      </c>
      <c r="V1151">
        <f>IF(OR($G1151="",$T1151=""),"",IF($T1151&lt;24,IF(LEFT(LOWER($H1151),4)="em p",$G1151+0.7,$G1151),IF(LEFT(LOWER($H1151),4)="deit",$G1151-0.7,$G1151)))</f>
        <v/>
      </c>
      <c r="W1151">
        <f>IF(OR($S1151="",$T1151=""),"",$S1151*1000000+IF($T1151&lt;=60,$U1151,$T1151))</f>
        <v/>
      </c>
      <c r="X1151">
        <f>IF(OR($S1151="",$V1151="",$T1151&gt;60,$T1151=""),"",$S1151*1000000+ROUND($V1151*10,0))</f>
        <v/>
      </c>
      <c r="Y1151">
        <f>IF($W1151="","",IFERROR(INDEX(IF($T1151&lt;=60,imc05_l,imc519_l),MATCH($W1151,IF($T1151&lt;=60,imc05_k,imc519_k),1)),""))</f>
        <v/>
      </c>
      <c r="Z1151">
        <f>IF($W1151="","",IFERROR(INDEX(IF($T1151&lt;=60,imc05_m,imc519_m),MATCH($W1151,IF($T1151&lt;=60,imc05_k,imc519_k),1)),""))</f>
        <v/>
      </c>
      <c r="AA1151">
        <f>IF($W1151="","",IFERROR(INDEX(IF($T1151&lt;=60,imc05_s,imc519_s),MATCH($W1151,IF($T1151&lt;=60,imc05_k,imc519_k),1)),""))</f>
        <v/>
      </c>
      <c r="AB1151">
        <f>IF($Y1151="","",IF($Y1151=0,LN($J1151/$Z1151)/$AA1151,((($J1151/$Z1151)^$Y1151)-1)/($Y1151*$AA1151)))</f>
        <v/>
      </c>
      <c r="AC1151">
        <f>IF($Y1151="","",IF($Y1151=0,$Z1151*EXP($AA1151*2),$Z1151*(1+$Y1151*$AA1151*2)^(1/$Y1151)))</f>
        <v/>
      </c>
      <c r="AD1151">
        <f>IF($Y1151="","",IF($Y1151=0,$Z1151*EXP($AA1151*3),$Z1151*(1+$Y1151*$AA1151*3)^(1/$Y1151)))</f>
        <v/>
      </c>
      <c r="AE1151">
        <f>IF($Y1151="","",IF($Y1151=0,$Z1151*EXP($AA1151*-2),$Z1151*(1+$Y1151*$AA1151*-2)^(1/$Y1151)))</f>
        <v/>
      </c>
      <c r="AF1151">
        <f>IF($Y1151="","",IF($Y1151=0,$Z1151*EXP($AA1151*-3),$Z1151*(1+$Y1151*$AA1151*-3)^(1/$Y1151)))</f>
        <v/>
      </c>
      <c r="AG1151">
        <f>IF($W1151="","",IFERROR(INDEX(IF($T1151&lt;=60,est05_l,est519_l),MATCH($W1151,IF($T1151&lt;=60,est05_k,est519_k),1)),""))</f>
        <v/>
      </c>
      <c r="AH1151">
        <f>IF($W1151="","",IFERROR(INDEX(IF($T1151&lt;=60,est05_m,est519_m),MATCH($W1151,IF($T1151&lt;=60,est05_k,est519_k),1)),""))</f>
        <v/>
      </c>
      <c r="AI1151">
        <f>IF($W1151="","",IFERROR(INDEX(IF($T1151&lt;=60,est05_s,est519_s),MATCH($W1151,IF($T1151&lt;=60,est05_k,est519_k),1)),""))</f>
        <v/>
      </c>
      <c r="AJ1151">
        <f>IF($W1151="","",IFERROR(INDEX(IF($T1151&lt;=60,peso05_l,peso510_l),MATCH($W1151,IF($T1151&lt;=60,peso05_k,peso510_k),1)),""))</f>
        <v/>
      </c>
      <c r="AK1151">
        <f>IF($W1151="","",IFERROR(INDEX(IF($T1151&lt;=60,peso05_m,peso510_m),MATCH($W1151,IF($T1151&lt;=60,peso05_k,peso510_k),1)),""))</f>
        <v/>
      </c>
      <c r="AL1151">
        <f>IF($W1151="","",IFERROR(INDEX(IF($T1151&lt;=60,peso05_s,peso510_s),MATCH($W1151,IF($T1151&lt;=60,peso05_k,peso510_k),1)),""))</f>
        <v/>
      </c>
      <c r="AM1151">
        <f>IF($AJ1151="","",IF($AJ1151=0,LN($F1151/$AK1151)/$AL1151,((($F1151/$AK1151)^$AJ1151)-1)/($AJ1151*$AL1151)))</f>
        <v/>
      </c>
      <c r="AN1151">
        <f>IF($AJ1151="","",IF($AJ1151=0,$AK1151*EXP($AL1151*2),$AK1151*(1+$AJ1151*$AL1151*2)^(1/$AJ1151)))</f>
        <v/>
      </c>
      <c r="AO1151">
        <f>IF($AJ1151="","",IF($AJ1151=0,$AK1151*EXP($AL1151*3),$AK1151*(1+$AJ1151*$AL1151*3)^(1/$AJ1151)))</f>
        <v/>
      </c>
      <c r="AP1151">
        <f>IF($AJ1151="","",IF($AJ1151=0,$AK1151*EXP($AL1151*-2),$AK1151*(1+$AJ1151*$AL1151*-2)^(1/$AJ1151)))</f>
        <v/>
      </c>
      <c r="AQ1151">
        <f>IF($AJ1151="","",IF($AJ1151=0,$AK1151*EXP($AL1151*-3),$AK1151*(1+$AJ1151*$AL1151*-3)^(1/$AJ1151)))</f>
        <v/>
      </c>
      <c r="AR1151">
        <f>IF(OR($X1151="",$T1151&gt;60),"",IFERROR(INDEX(IF($T1151&lt;24,pcomp_l,palt_l),MATCH($X1151,IF($T1151&lt;24,pcomp_k,palt_k),1)),""))</f>
        <v/>
      </c>
      <c r="AS1151">
        <f>IF(OR($X1151="",$T1151&gt;60),"",IFERROR(INDEX(IF($T1151&lt;24,pcomp_m,palt_m),MATCH($X1151,IF($T1151&lt;24,pcomp_k,palt_k),1)),""))</f>
        <v/>
      </c>
      <c r="AT1151">
        <f>IF(OR($X1151="",$T1151&gt;60),"",IFERROR(INDEX(IF($T1151&lt;24,pcomp_s,palt_s),MATCH($X1151,IF($T1151&lt;24,pcomp_k,palt_k),1)),""))</f>
        <v/>
      </c>
      <c r="AU1151">
        <f>IF($AR1151="","",IF($AR1151=0,LN($F1151/$AS1151)/$AT1151,((($F1151/$AS1151)^$AR1151)-1)/($AR1151*$AT1151)))</f>
        <v/>
      </c>
      <c r="AV1151">
        <f>IF($AR1151="","",IF($AR1151=0,$AS1151*EXP($AT1151*2),$AS1151*(1+$AR1151*$AT1151*2)^(1/$AR1151)))</f>
        <v/>
      </c>
      <c r="AW1151">
        <f>IF($AR1151="","",IF($AR1151=0,$AS1151*EXP($AT1151*3),$AS1151*(1+$AR1151*$AT1151*3)^(1/$AR1151)))</f>
        <v/>
      </c>
      <c r="AX1151">
        <f>IF($AR1151="","",IF($AR1151=0,$AS1151*EXP($AT1151*-2),$AS1151*(1+$AR1151*$AT1151*-2)^(1/$AR1151)))</f>
        <v/>
      </c>
      <c r="AY1151">
        <f>IF($AR1151="","",IF($AR1151=0,$AS1151*EXP($AT1151*-3),$AS1151*(1+$AR1151*$AT1151*-3)^(1/$AR1151)))</f>
        <v/>
      </c>
      <c r="AZ1151">
        <f>IF(OR($A1151="",$A1151&lt;&gt;Ficha!$C$4),"",COUNTIF($A$2:$A1151,Ficha!$C$4))</f>
        <v/>
      </c>
    </row>
    <row r="1152">
      <c r="A1152" s="8">
        <f>IF(INDEX(Banco!$A:$A,ROW())="","",INDEX(Banco!$A:$A,ROW()))</f>
        <v/>
      </c>
      <c r="B1152" s="8">
        <f>IF(INDEX(Banco!$B:$B,ROW())="","",INDEX(Banco!$B:$B,ROW()))</f>
        <v/>
      </c>
      <c r="C1152" s="8">
        <f>IF(INDEX(Banco!$C:$C,ROW())="","",INDEX(Banco!$C:$C,ROW()))</f>
        <v/>
      </c>
      <c r="D1152" s="9">
        <f>IF(INDEX(Banco!$D:$D,ROW())="","",INDEX(Banco!$D:$D,ROW()))</f>
        <v/>
      </c>
      <c r="E1152" s="9">
        <f>IF(INDEX(Banco!$E:$E,ROW())="","",INDEX(Banco!$E:$E,ROW()))</f>
        <v/>
      </c>
      <c r="F1152" s="10">
        <f>IF(INDEX(Banco!$F:$F,ROW())="","",INDEX(Banco!$F:$F,ROW()))</f>
        <v/>
      </c>
      <c r="G1152" s="10">
        <f>IF(INDEX(Banco!$G:$G,ROW())="","",INDEX(Banco!$G:$G,ROW()))</f>
        <v/>
      </c>
      <c r="H1152" s="8">
        <f>IF(INDEX(Banco!$H:$H,ROW())="","",INDEX(Banco!$H:$H,ROW()))</f>
        <v/>
      </c>
      <c r="I1152">
        <f>IF($T1152="","",INT($T1152/12)&amp;"a "&amp;MOD($T1152,12)&amp;"m")</f>
        <v/>
      </c>
      <c r="J1152" s="11">
        <f>IF(OR($F1152="",$G1152=""),"",ROUND($F1152/($G1152/100)^2,2))</f>
        <v/>
      </c>
      <c r="K1152" s="12">
        <f>IF(OR($S1152="",$J1152="",$T1152="",$T1152&lt;0,$T1152&gt;228,$Y1152=""),"—",ROUND(IF(ABS($AB1152)&lt;=3,$AB1152,IF($AB1152&gt;3,3+($J1152-$AD1152)/($AD1152-$AC1152),-3+($J1152-$AF1152)/($AE1152-$AF1152))),2))</f>
        <v/>
      </c>
      <c r="L1152">
        <f>IF(OR($K1152="",$K1152="—"),"",IF($T1152&lt;=60,IF($K1152&lt;-3,"Magreza acentuada",IF($K1152&lt;-2,"Magreza",IF($K1152&lt;=1,"Eutrofia",IF($K1152&lt;=2,"Risco de sobrepeso",IF($K1152&lt;=3,"Sobrepeso","Obesidade"))))),IF($K1152&lt;-3,"Magreza acentuada",IF($K1152&lt;-2,"Magreza",IF($K1152&lt;=1,"Eutrofia",IF($K1152&lt;=2,"Sobrepeso",IF($K1152&lt;=3,"Obesidade","Obesidade grave")))))))</f>
        <v/>
      </c>
      <c r="M1152" s="12">
        <f>IF(OR($S1152="",$V1152="",$T1152="",$T1152&lt;0,$T1152&gt;228,$AG1152=""),"—",ROUND(IF($AG1152=0,LN($V1152/$AH1152)/$AI1152,((($V1152/$AH1152)^$AG1152)-1)/($AG1152*$AI1152)),2))</f>
        <v/>
      </c>
      <c r="N1152">
        <f>IF(OR($M1152="",$M1152="—"),"",IF($M1152&lt;-3,"Muito baixa",IF($M1152&lt;-2,"Baixa","Adequada")))</f>
        <v/>
      </c>
      <c r="O1152" s="12">
        <f>IF(OR($S1152="",$F1152="",$T1152="",$T1152&lt;0,$T1152&gt;120,$AJ1152=""),"—",ROUND(IF(ABS($AM1152)&lt;=3,$AM1152,IF($AM1152&gt;3,3+($F1152-$AO1152)/($AO1152-$AN1152),-3+($F1152-$AQ1152)/($AP1152-$AQ1152))),2))</f>
        <v/>
      </c>
      <c r="P1152">
        <f>IF(OR($O1152="",$O1152="—"),"",IF($O1152&lt;-3,"Muito baixo",IF($O1152&lt;-2,"Baixo",IF($O1152&lt;=2,"Adequado","Elevado"))))</f>
        <v/>
      </c>
      <c r="Q1152" s="12">
        <f>IF(OR($S1152="",$F1152="",$T1152="",$T1152&lt;0,$T1152&gt;60,$AR1152=""),"—",ROUND(IF(ABS($AU1152)&lt;=3,$AU1152,IF($AU1152&gt;3,3+($F1152-$AW1152)/($AW1152-$AV1152),-3+($F1152-$AY1152)/($AX1152-$AY1152))),2))</f>
        <v/>
      </c>
      <c r="R1152">
        <f>IF(OR($Q1152="",$Q1152="—"),"",IF($Q1152&lt;-3,"Magreza acentuada",IF($Q1152&lt;-2,"Magreza",IF($Q1152&lt;=1,"Eutrofia",IF($Q1152&lt;=2,"Risco de sobrepeso",IF($Q1152&lt;=3,"Sobrepeso","Obesidade"))))))</f>
        <v/>
      </c>
      <c r="S1152">
        <f>IF($C1152="","",IF(UPPER(LEFT($C1152,1))="M",1,IF(UPPER(LEFT($C1152,1))="F",2,"")))</f>
        <v/>
      </c>
      <c r="T1152">
        <f>IF(OR($D1152="",$E1152=""),"",DATEDIF($D1152,$E1152,"m"))</f>
        <v/>
      </c>
      <c r="U1152">
        <f>IF(OR($D1152="",$E1152=""),"",$E1152-$D1152)</f>
        <v/>
      </c>
      <c r="V1152">
        <f>IF(OR($G1152="",$T1152=""),"",IF($T1152&lt;24,IF(LEFT(LOWER($H1152),4)="em p",$G1152+0.7,$G1152),IF(LEFT(LOWER($H1152),4)="deit",$G1152-0.7,$G1152)))</f>
        <v/>
      </c>
      <c r="W1152">
        <f>IF(OR($S1152="",$T1152=""),"",$S1152*1000000+IF($T1152&lt;=60,$U1152,$T1152))</f>
        <v/>
      </c>
      <c r="X1152">
        <f>IF(OR($S1152="",$V1152="",$T1152&gt;60,$T1152=""),"",$S1152*1000000+ROUND($V1152*10,0))</f>
        <v/>
      </c>
      <c r="Y1152">
        <f>IF($W1152="","",IFERROR(INDEX(IF($T1152&lt;=60,imc05_l,imc519_l),MATCH($W1152,IF($T1152&lt;=60,imc05_k,imc519_k),1)),""))</f>
        <v/>
      </c>
      <c r="Z1152">
        <f>IF($W1152="","",IFERROR(INDEX(IF($T1152&lt;=60,imc05_m,imc519_m),MATCH($W1152,IF($T1152&lt;=60,imc05_k,imc519_k),1)),""))</f>
        <v/>
      </c>
      <c r="AA1152">
        <f>IF($W1152="","",IFERROR(INDEX(IF($T1152&lt;=60,imc05_s,imc519_s),MATCH($W1152,IF($T1152&lt;=60,imc05_k,imc519_k),1)),""))</f>
        <v/>
      </c>
      <c r="AB1152">
        <f>IF($Y1152="","",IF($Y1152=0,LN($J1152/$Z1152)/$AA1152,((($J1152/$Z1152)^$Y1152)-1)/($Y1152*$AA1152)))</f>
        <v/>
      </c>
      <c r="AC1152">
        <f>IF($Y1152="","",IF($Y1152=0,$Z1152*EXP($AA1152*2),$Z1152*(1+$Y1152*$AA1152*2)^(1/$Y1152)))</f>
        <v/>
      </c>
      <c r="AD1152">
        <f>IF($Y1152="","",IF($Y1152=0,$Z1152*EXP($AA1152*3),$Z1152*(1+$Y1152*$AA1152*3)^(1/$Y1152)))</f>
        <v/>
      </c>
      <c r="AE1152">
        <f>IF($Y1152="","",IF($Y1152=0,$Z1152*EXP($AA1152*-2),$Z1152*(1+$Y1152*$AA1152*-2)^(1/$Y1152)))</f>
        <v/>
      </c>
      <c r="AF1152">
        <f>IF($Y1152="","",IF($Y1152=0,$Z1152*EXP($AA1152*-3),$Z1152*(1+$Y1152*$AA1152*-3)^(1/$Y1152)))</f>
        <v/>
      </c>
      <c r="AG1152">
        <f>IF($W1152="","",IFERROR(INDEX(IF($T1152&lt;=60,est05_l,est519_l),MATCH($W1152,IF($T1152&lt;=60,est05_k,est519_k),1)),""))</f>
        <v/>
      </c>
      <c r="AH1152">
        <f>IF($W1152="","",IFERROR(INDEX(IF($T1152&lt;=60,est05_m,est519_m),MATCH($W1152,IF($T1152&lt;=60,est05_k,est519_k),1)),""))</f>
        <v/>
      </c>
      <c r="AI1152">
        <f>IF($W1152="","",IFERROR(INDEX(IF($T1152&lt;=60,est05_s,est519_s),MATCH($W1152,IF($T1152&lt;=60,est05_k,est519_k),1)),""))</f>
        <v/>
      </c>
      <c r="AJ1152">
        <f>IF($W1152="","",IFERROR(INDEX(IF($T1152&lt;=60,peso05_l,peso510_l),MATCH($W1152,IF($T1152&lt;=60,peso05_k,peso510_k),1)),""))</f>
        <v/>
      </c>
      <c r="AK1152">
        <f>IF($W1152="","",IFERROR(INDEX(IF($T1152&lt;=60,peso05_m,peso510_m),MATCH($W1152,IF($T1152&lt;=60,peso05_k,peso510_k),1)),""))</f>
        <v/>
      </c>
      <c r="AL1152">
        <f>IF($W1152="","",IFERROR(INDEX(IF($T1152&lt;=60,peso05_s,peso510_s),MATCH($W1152,IF($T1152&lt;=60,peso05_k,peso510_k),1)),""))</f>
        <v/>
      </c>
      <c r="AM1152">
        <f>IF($AJ1152="","",IF($AJ1152=0,LN($F1152/$AK1152)/$AL1152,((($F1152/$AK1152)^$AJ1152)-1)/($AJ1152*$AL1152)))</f>
        <v/>
      </c>
      <c r="AN1152">
        <f>IF($AJ1152="","",IF($AJ1152=0,$AK1152*EXP($AL1152*2),$AK1152*(1+$AJ1152*$AL1152*2)^(1/$AJ1152)))</f>
        <v/>
      </c>
      <c r="AO1152">
        <f>IF($AJ1152="","",IF($AJ1152=0,$AK1152*EXP($AL1152*3),$AK1152*(1+$AJ1152*$AL1152*3)^(1/$AJ1152)))</f>
        <v/>
      </c>
      <c r="AP1152">
        <f>IF($AJ1152="","",IF($AJ1152=0,$AK1152*EXP($AL1152*-2),$AK1152*(1+$AJ1152*$AL1152*-2)^(1/$AJ1152)))</f>
        <v/>
      </c>
      <c r="AQ1152">
        <f>IF($AJ1152="","",IF($AJ1152=0,$AK1152*EXP($AL1152*-3),$AK1152*(1+$AJ1152*$AL1152*-3)^(1/$AJ1152)))</f>
        <v/>
      </c>
      <c r="AR1152">
        <f>IF(OR($X1152="",$T1152&gt;60),"",IFERROR(INDEX(IF($T1152&lt;24,pcomp_l,palt_l),MATCH($X1152,IF($T1152&lt;24,pcomp_k,palt_k),1)),""))</f>
        <v/>
      </c>
      <c r="AS1152">
        <f>IF(OR($X1152="",$T1152&gt;60),"",IFERROR(INDEX(IF($T1152&lt;24,pcomp_m,palt_m),MATCH($X1152,IF($T1152&lt;24,pcomp_k,palt_k),1)),""))</f>
        <v/>
      </c>
      <c r="AT1152">
        <f>IF(OR($X1152="",$T1152&gt;60),"",IFERROR(INDEX(IF($T1152&lt;24,pcomp_s,palt_s),MATCH($X1152,IF($T1152&lt;24,pcomp_k,palt_k),1)),""))</f>
        <v/>
      </c>
      <c r="AU1152">
        <f>IF($AR1152="","",IF($AR1152=0,LN($F1152/$AS1152)/$AT1152,((($F1152/$AS1152)^$AR1152)-1)/($AR1152*$AT1152)))</f>
        <v/>
      </c>
      <c r="AV1152">
        <f>IF($AR1152="","",IF($AR1152=0,$AS1152*EXP($AT1152*2),$AS1152*(1+$AR1152*$AT1152*2)^(1/$AR1152)))</f>
        <v/>
      </c>
      <c r="AW1152">
        <f>IF($AR1152="","",IF($AR1152=0,$AS1152*EXP($AT1152*3),$AS1152*(1+$AR1152*$AT1152*3)^(1/$AR1152)))</f>
        <v/>
      </c>
      <c r="AX1152">
        <f>IF($AR1152="","",IF($AR1152=0,$AS1152*EXP($AT1152*-2),$AS1152*(1+$AR1152*$AT1152*-2)^(1/$AR1152)))</f>
        <v/>
      </c>
      <c r="AY1152">
        <f>IF($AR1152="","",IF($AR1152=0,$AS1152*EXP($AT1152*-3),$AS1152*(1+$AR1152*$AT1152*-3)^(1/$AR1152)))</f>
        <v/>
      </c>
      <c r="AZ1152">
        <f>IF(OR($A1152="",$A1152&lt;&gt;Ficha!$C$4),"",COUNTIF($A$2:$A1152,Ficha!$C$4))</f>
        <v/>
      </c>
    </row>
    <row r="1153">
      <c r="A1153" s="8">
        <f>IF(INDEX(Banco!$A:$A,ROW())="","",INDEX(Banco!$A:$A,ROW()))</f>
        <v/>
      </c>
      <c r="B1153" s="8">
        <f>IF(INDEX(Banco!$B:$B,ROW())="","",INDEX(Banco!$B:$B,ROW()))</f>
        <v/>
      </c>
      <c r="C1153" s="8">
        <f>IF(INDEX(Banco!$C:$C,ROW())="","",INDEX(Banco!$C:$C,ROW()))</f>
        <v/>
      </c>
      <c r="D1153" s="9">
        <f>IF(INDEX(Banco!$D:$D,ROW())="","",INDEX(Banco!$D:$D,ROW()))</f>
        <v/>
      </c>
      <c r="E1153" s="9">
        <f>IF(INDEX(Banco!$E:$E,ROW())="","",INDEX(Banco!$E:$E,ROW()))</f>
        <v/>
      </c>
      <c r="F1153" s="10">
        <f>IF(INDEX(Banco!$F:$F,ROW())="","",INDEX(Banco!$F:$F,ROW()))</f>
        <v/>
      </c>
      <c r="G1153" s="10">
        <f>IF(INDEX(Banco!$G:$G,ROW())="","",INDEX(Banco!$G:$G,ROW()))</f>
        <v/>
      </c>
      <c r="H1153" s="8">
        <f>IF(INDEX(Banco!$H:$H,ROW())="","",INDEX(Banco!$H:$H,ROW()))</f>
        <v/>
      </c>
      <c r="I1153">
        <f>IF($T1153="","",INT($T1153/12)&amp;"a "&amp;MOD($T1153,12)&amp;"m")</f>
        <v/>
      </c>
      <c r="J1153" s="11">
        <f>IF(OR($F1153="",$G1153=""),"",ROUND($F1153/($G1153/100)^2,2))</f>
        <v/>
      </c>
      <c r="K1153" s="12">
        <f>IF(OR($S1153="",$J1153="",$T1153="",$T1153&lt;0,$T1153&gt;228,$Y1153=""),"—",ROUND(IF(ABS($AB1153)&lt;=3,$AB1153,IF($AB1153&gt;3,3+($J1153-$AD1153)/($AD1153-$AC1153),-3+($J1153-$AF1153)/($AE1153-$AF1153))),2))</f>
        <v/>
      </c>
      <c r="L1153">
        <f>IF(OR($K1153="",$K1153="—"),"",IF($T1153&lt;=60,IF($K1153&lt;-3,"Magreza acentuada",IF($K1153&lt;-2,"Magreza",IF($K1153&lt;=1,"Eutrofia",IF($K1153&lt;=2,"Risco de sobrepeso",IF($K1153&lt;=3,"Sobrepeso","Obesidade"))))),IF($K1153&lt;-3,"Magreza acentuada",IF($K1153&lt;-2,"Magreza",IF($K1153&lt;=1,"Eutrofia",IF($K1153&lt;=2,"Sobrepeso",IF($K1153&lt;=3,"Obesidade","Obesidade grave")))))))</f>
        <v/>
      </c>
      <c r="M1153" s="12">
        <f>IF(OR($S1153="",$V1153="",$T1153="",$T1153&lt;0,$T1153&gt;228,$AG1153=""),"—",ROUND(IF($AG1153=0,LN($V1153/$AH1153)/$AI1153,((($V1153/$AH1153)^$AG1153)-1)/($AG1153*$AI1153)),2))</f>
        <v/>
      </c>
      <c r="N1153">
        <f>IF(OR($M1153="",$M1153="—"),"",IF($M1153&lt;-3,"Muito baixa",IF($M1153&lt;-2,"Baixa","Adequada")))</f>
        <v/>
      </c>
      <c r="O1153" s="12">
        <f>IF(OR($S1153="",$F1153="",$T1153="",$T1153&lt;0,$T1153&gt;120,$AJ1153=""),"—",ROUND(IF(ABS($AM1153)&lt;=3,$AM1153,IF($AM1153&gt;3,3+($F1153-$AO1153)/($AO1153-$AN1153),-3+($F1153-$AQ1153)/($AP1153-$AQ1153))),2))</f>
        <v/>
      </c>
      <c r="P1153">
        <f>IF(OR($O1153="",$O1153="—"),"",IF($O1153&lt;-3,"Muito baixo",IF($O1153&lt;-2,"Baixo",IF($O1153&lt;=2,"Adequado","Elevado"))))</f>
        <v/>
      </c>
      <c r="Q1153" s="12">
        <f>IF(OR($S1153="",$F1153="",$T1153="",$T1153&lt;0,$T1153&gt;60,$AR1153=""),"—",ROUND(IF(ABS($AU1153)&lt;=3,$AU1153,IF($AU1153&gt;3,3+($F1153-$AW1153)/($AW1153-$AV1153),-3+($F1153-$AY1153)/($AX1153-$AY1153))),2))</f>
        <v/>
      </c>
      <c r="R1153">
        <f>IF(OR($Q1153="",$Q1153="—"),"",IF($Q1153&lt;-3,"Magreza acentuada",IF($Q1153&lt;-2,"Magreza",IF($Q1153&lt;=1,"Eutrofia",IF($Q1153&lt;=2,"Risco de sobrepeso",IF($Q1153&lt;=3,"Sobrepeso","Obesidade"))))))</f>
        <v/>
      </c>
      <c r="S1153">
        <f>IF($C1153="","",IF(UPPER(LEFT($C1153,1))="M",1,IF(UPPER(LEFT($C1153,1))="F",2,"")))</f>
        <v/>
      </c>
      <c r="T1153">
        <f>IF(OR($D1153="",$E1153=""),"",DATEDIF($D1153,$E1153,"m"))</f>
        <v/>
      </c>
      <c r="U1153">
        <f>IF(OR($D1153="",$E1153=""),"",$E1153-$D1153)</f>
        <v/>
      </c>
      <c r="V1153">
        <f>IF(OR($G1153="",$T1153=""),"",IF($T1153&lt;24,IF(LEFT(LOWER($H1153),4)="em p",$G1153+0.7,$G1153),IF(LEFT(LOWER($H1153),4)="deit",$G1153-0.7,$G1153)))</f>
        <v/>
      </c>
      <c r="W1153">
        <f>IF(OR($S1153="",$T1153=""),"",$S1153*1000000+IF($T1153&lt;=60,$U1153,$T1153))</f>
        <v/>
      </c>
      <c r="X1153">
        <f>IF(OR($S1153="",$V1153="",$T1153&gt;60,$T1153=""),"",$S1153*1000000+ROUND($V1153*10,0))</f>
        <v/>
      </c>
      <c r="Y1153">
        <f>IF($W1153="","",IFERROR(INDEX(IF($T1153&lt;=60,imc05_l,imc519_l),MATCH($W1153,IF($T1153&lt;=60,imc05_k,imc519_k),1)),""))</f>
        <v/>
      </c>
      <c r="Z1153">
        <f>IF($W1153="","",IFERROR(INDEX(IF($T1153&lt;=60,imc05_m,imc519_m),MATCH($W1153,IF($T1153&lt;=60,imc05_k,imc519_k),1)),""))</f>
        <v/>
      </c>
      <c r="AA1153">
        <f>IF($W1153="","",IFERROR(INDEX(IF($T1153&lt;=60,imc05_s,imc519_s),MATCH($W1153,IF($T1153&lt;=60,imc05_k,imc519_k),1)),""))</f>
        <v/>
      </c>
      <c r="AB1153">
        <f>IF($Y1153="","",IF($Y1153=0,LN($J1153/$Z1153)/$AA1153,((($J1153/$Z1153)^$Y1153)-1)/($Y1153*$AA1153)))</f>
        <v/>
      </c>
      <c r="AC1153">
        <f>IF($Y1153="","",IF($Y1153=0,$Z1153*EXP($AA1153*2),$Z1153*(1+$Y1153*$AA1153*2)^(1/$Y1153)))</f>
        <v/>
      </c>
      <c r="AD1153">
        <f>IF($Y1153="","",IF($Y1153=0,$Z1153*EXP($AA1153*3),$Z1153*(1+$Y1153*$AA1153*3)^(1/$Y1153)))</f>
        <v/>
      </c>
      <c r="AE1153">
        <f>IF($Y1153="","",IF($Y1153=0,$Z1153*EXP($AA1153*-2),$Z1153*(1+$Y1153*$AA1153*-2)^(1/$Y1153)))</f>
        <v/>
      </c>
      <c r="AF1153">
        <f>IF($Y1153="","",IF($Y1153=0,$Z1153*EXP($AA1153*-3),$Z1153*(1+$Y1153*$AA1153*-3)^(1/$Y1153)))</f>
        <v/>
      </c>
      <c r="AG1153">
        <f>IF($W1153="","",IFERROR(INDEX(IF($T1153&lt;=60,est05_l,est519_l),MATCH($W1153,IF($T1153&lt;=60,est05_k,est519_k),1)),""))</f>
        <v/>
      </c>
      <c r="AH1153">
        <f>IF($W1153="","",IFERROR(INDEX(IF($T1153&lt;=60,est05_m,est519_m),MATCH($W1153,IF($T1153&lt;=60,est05_k,est519_k),1)),""))</f>
        <v/>
      </c>
      <c r="AI1153">
        <f>IF($W1153="","",IFERROR(INDEX(IF($T1153&lt;=60,est05_s,est519_s),MATCH($W1153,IF($T1153&lt;=60,est05_k,est519_k),1)),""))</f>
        <v/>
      </c>
      <c r="AJ1153">
        <f>IF($W1153="","",IFERROR(INDEX(IF($T1153&lt;=60,peso05_l,peso510_l),MATCH($W1153,IF($T1153&lt;=60,peso05_k,peso510_k),1)),""))</f>
        <v/>
      </c>
      <c r="AK1153">
        <f>IF($W1153="","",IFERROR(INDEX(IF($T1153&lt;=60,peso05_m,peso510_m),MATCH($W1153,IF($T1153&lt;=60,peso05_k,peso510_k),1)),""))</f>
        <v/>
      </c>
      <c r="AL1153">
        <f>IF($W1153="","",IFERROR(INDEX(IF($T1153&lt;=60,peso05_s,peso510_s),MATCH($W1153,IF($T1153&lt;=60,peso05_k,peso510_k),1)),""))</f>
        <v/>
      </c>
      <c r="AM1153">
        <f>IF($AJ1153="","",IF($AJ1153=0,LN($F1153/$AK1153)/$AL1153,((($F1153/$AK1153)^$AJ1153)-1)/($AJ1153*$AL1153)))</f>
        <v/>
      </c>
      <c r="AN1153">
        <f>IF($AJ1153="","",IF($AJ1153=0,$AK1153*EXP($AL1153*2),$AK1153*(1+$AJ1153*$AL1153*2)^(1/$AJ1153)))</f>
        <v/>
      </c>
      <c r="AO1153">
        <f>IF($AJ1153="","",IF($AJ1153=0,$AK1153*EXP($AL1153*3),$AK1153*(1+$AJ1153*$AL1153*3)^(1/$AJ1153)))</f>
        <v/>
      </c>
      <c r="AP1153">
        <f>IF($AJ1153="","",IF($AJ1153=0,$AK1153*EXP($AL1153*-2),$AK1153*(1+$AJ1153*$AL1153*-2)^(1/$AJ1153)))</f>
        <v/>
      </c>
      <c r="AQ1153">
        <f>IF($AJ1153="","",IF($AJ1153=0,$AK1153*EXP($AL1153*-3),$AK1153*(1+$AJ1153*$AL1153*-3)^(1/$AJ1153)))</f>
        <v/>
      </c>
      <c r="AR1153">
        <f>IF(OR($X1153="",$T1153&gt;60),"",IFERROR(INDEX(IF($T1153&lt;24,pcomp_l,palt_l),MATCH($X1153,IF($T1153&lt;24,pcomp_k,palt_k),1)),""))</f>
        <v/>
      </c>
      <c r="AS1153">
        <f>IF(OR($X1153="",$T1153&gt;60),"",IFERROR(INDEX(IF($T1153&lt;24,pcomp_m,palt_m),MATCH($X1153,IF($T1153&lt;24,pcomp_k,palt_k),1)),""))</f>
        <v/>
      </c>
      <c r="AT1153">
        <f>IF(OR($X1153="",$T1153&gt;60),"",IFERROR(INDEX(IF($T1153&lt;24,pcomp_s,palt_s),MATCH($X1153,IF($T1153&lt;24,pcomp_k,palt_k),1)),""))</f>
        <v/>
      </c>
      <c r="AU1153">
        <f>IF($AR1153="","",IF($AR1153=0,LN($F1153/$AS1153)/$AT1153,((($F1153/$AS1153)^$AR1153)-1)/($AR1153*$AT1153)))</f>
        <v/>
      </c>
      <c r="AV1153">
        <f>IF($AR1153="","",IF($AR1153=0,$AS1153*EXP($AT1153*2),$AS1153*(1+$AR1153*$AT1153*2)^(1/$AR1153)))</f>
        <v/>
      </c>
      <c r="AW1153">
        <f>IF($AR1153="","",IF($AR1153=0,$AS1153*EXP($AT1153*3),$AS1153*(1+$AR1153*$AT1153*3)^(1/$AR1153)))</f>
        <v/>
      </c>
      <c r="AX1153">
        <f>IF($AR1153="","",IF($AR1153=0,$AS1153*EXP($AT1153*-2),$AS1153*(1+$AR1153*$AT1153*-2)^(1/$AR1153)))</f>
        <v/>
      </c>
      <c r="AY1153">
        <f>IF($AR1153="","",IF($AR1153=0,$AS1153*EXP($AT1153*-3),$AS1153*(1+$AR1153*$AT1153*-3)^(1/$AR1153)))</f>
        <v/>
      </c>
      <c r="AZ1153">
        <f>IF(OR($A1153="",$A1153&lt;&gt;Ficha!$C$4),"",COUNTIF($A$2:$A1153,Ficha!$C$4))</f>
        <v/>
      </c>
    </row>
    <row r="1154">
      <c r="A1154" s="8">
        <f>IF(INDEX(Banco!$A:$A,ROW())="","",INDEX(Banco!$A:$A,ROW()))</f>
        <v/>
      </c>
      <c r="B1154" s="8">
        <f>IF(INDEX(Banco!$B:$B,ROW())="","",INDEX(Banco!$B:$B,ROW()))</f>
        <v/>
      </c>
      <c r="C1154" s="8">
        <f>IF(INDEX(Banco!$C:$C,ROW())="","",INDEX(Banco!$C:$C,ROW()))</f>
        <v/>
      </c>
      <c r="D1154" s="9">
        <f>IF(INDEX(Banco!$D:$D,ROW())="","",INDEX(Banco!$D:$D,ROW()))</f>
        <v/>
      </c>
      <c r="E1154" s="9">
        <f>IF(INDEX(Banco!$E:$E,ROW())="","",INDEX(Banco!$E:$E,ROW()))</f>
        <v/>
      </c>
      <c r="F1154" s="10">
        <f>IF(INDEX(Banco!$F:$F,ROW())="","",INDEX(Banco!$F:$F,ROW()))</f>
        <v/>
      </c>
      <c r="G1154" s="10">
        <f>IF(INDEX(Banco!$G:$G,ROW())="","",INDEX(Banco!$G:$G,ROW()))</f>
        <v/>
      </c>
      <c r="H1154" s="8">
        <f>IF(INDEX(Banco!$H:$H,ROW())="","",INDEX(Banco!$H:$H,ROW()))</f>
        <v/>
      </c>
      <c r="I1154">
        <f>IF($T1154="","",INT($T1154/12)&amp;"a "&amp;MOD($T1154,12)&amp;"m")</f>
        <v/>
      </c>
      <c r="J1154" s="11">
        <f>IF(OR($F1154="",$G1154=""),"",ROUND($F1154/($G1154/100)^2,2))</f>
        <v/>
      </c>
      <c r="K1154" s="12">
        <f>IF(OR($S1154="",$J1154="",$T1154="",$T1154&lt;0,$T1154&gt;228,$Y1154=""),"—",ROUND(IF(ABS($AB1154)&lt;=3,$AB1154,IF($AB1154&gt;3,3+($J1154-$AD1154)/($AD1154-$AC1154),-3+($J1154-$AF1154)/($AE1154-$AF1154))),2))</f>
        <v/>
      </c>
      <c r="L1154">
        <f>IF(OR($K1154="",$K1154="—"),"",IF($T1154&lt;=60,IF($K1154&lt;-3,"Magreza acentuada",IF($K1154&lt;-2,"Magreza",IF($K1154&lt;=1,"Eutrofia",IF($K1154&lt;=2,"Risco de sobrepeso",IF($K1154&lt;=3,"Sobrepeso","Obesidade"))))),IF($K1154&lt;-3,"Magreza acentuada",IF($K1154&lt;-2,"Magreza",IF($K1154&lt;=1,"Eutrofia",IF($K1154&lt;=2,"Sobrepeso",IF($K1154&lt;=3,"Obesidade","Obesidade grave")))))))</f>
        <v/>
      </c>
      <c r="M1154" s="12">
        <f>IF(OR($S1154="",$V1154="",$T1154="",$T1154&lt;0,$T1154&gt;228,$AG1154=""),"—",ROUND(IF($AG1154=0,LN($V1154/$AH1154)/$AI1154,((($V1154/$AH1154)^$AG1154)-1)/($AG1154*$AI1154)),2))</f>
        <v/>
      </c>
      <c r="N1154">
        <f>IF(OR($M1154="",$M1154="—"),"",IF($M1154&lt;-3,"Muito baixa",IF($M1154&lt;-2,"Baixa","Adequada")))</f>
        <v/>
      </c>
      <c r="O1154" s="12">
        <f>IF(OR($S1154="",$F1154="",$T1154="",$T1154&lt;0,$T1154&gt;120,$AJ1154=""),"—",ROUND(IF(ABS($AM1154)&lt;=3,$AM1154,IF($AM1154&gt;3,3+($F1154-$AO1154)/($AO1154-$AN1154),-3+($F1154-$AQ1154)/($AP1154-$AQ1154))),2))</f>
        <v/>
      </c>
      <c r="P1154">
        <f>IF(OR($O1154="",$O1154="—"),"",IF($O1154&lt;-3,"Muito baixo",IF($O1154&lt;-2,"Baixo",IF($O1154&lt;=2,"Adequado","Elevado"))))</f>
        <v/>
      </c>
      <c r="Q1154" s="12">
        <f>IF(OR($S1154="",$F1154="",$T1154="",$T1154&lt;0,$T1154&gt;60,$AR1154=""),"—",ROUND(IF(ABS($AU1154)&lt;=3,$AU1154,IF($AU1154&gt;3,3+($F1154-$AW1154)/($AW1154-$AV1154),-3+($F1154-$AY1154)/($AX1154-$AY1154))),2))</f>
        <v/>
      </c>
      <c r="R1154">
        <f>IF(OR($Q1154="",$Q1154="—"),"",IF($Q1154&lt;-3,"Magreza acentuada",IF($Q1154&lt;-2,"Magreza",IF($Q1154&lt;=1,"Eutrofia",IF($Q1154&lt;=2,"Risco de sobrepeso",IF($Q1154&lt;=3,"Sobrepeso","Obesidade"))))))</f>
        <v/>
      </c>
      <c r="S1154">
        <f>IF($C1154="","",IF(UPPER(LEFT($C1154,1))="M",1,IF(UPPER(LEFT($C1154,1))="F",2,"")))</f>
        <v/>
      </c>
      <c r="T1154">
        <f>IF(OR($D1154="",$E1154=""),"",DATEDIF($D1154,$E1154,"m"))</f>
        <v/>
      </c>
      <c r="U1154">
        <f>IF(OR($D1154="",$E1154=""),"",$E1154-$D1154)</f>
        <v/>
      </c>
      <c r="V1154">
        <f>IF(OR($G1154="",$T1154=""),"",IF($T1154&lt;24,IF(LEFT(LOWER($H1154),4)="em p",$G1154+0.7,$G1154),IF(LEFT(LOWER($H1154),4)="deit",$G1154-0.7,$G1154)))</f>
        <v/>
      </c>
      <c r="W1154">
        <f>IF(OR($S1154="",$T1154=""),"",$S1154*1000000+IF($T1154&lt;=60,$U1154,$T1154))</f>
        <v/>
      </c>
      <c r="X1154">
        <f>IF(OR($S1154="",$V1154="",$T1154&gt;60,$T1154=""),"",$S1154*1000000+ROUND($V1154*10,0))</f>
        <v/>
      </c>
      <c r="Y1154">
        <f>IF($W1154="","",IFERROR(INDEX(IF($T1154&lt;=60,imc05_l,imc519_l),MATCH($W1154,IF($T1154&lt;=60,imc05_k,imc519_k),1)),""))</f>
        <v/>
      </c>
      <c r="Z1154">
        <f>IF($W1154="","",IFERROR(INDEX(IF($T1154&lt;=60,imc05_m,imc519_m),MATCH($W1154,IF($T1154&lt;=60,imc05_k,imc519_k),1)),""))</f>
        <v/>
      </c>
      <c r="AA1154">
        <f>IF($W1154="","",IFERROR(INDEX(IF($T1154&lt;=60,imc05_s,imc519_s),MATCH($W1154,IF($T1154&lt;=60,imc05_k,imc519_k),1)),""))</f>
        <v/>
      </c>
      <c r="AB1154">
        <f>IF($Y1154="","",IF($Y1154=0,LN($J1154/$Z1154)/$AA1154,((($J1154/$Z1154)^$Y1154)-1)/($Y1154*$AA1154)))</f>
        <v/>
      </c>
      <c r="AC1154">
        <f>IF($Y1154="","",IF($Y1154=0,$Z1154*EXP($AA1154*2),$Z1154*(1+$Y1154*$AA1154*2)^(1/$Y1154)))</f>
        <v/>
      </c>
      <c r="AD1154">
        <f>IF($Y1154="","",IF($Y1154=0,$Z1154*EXP($AA1154*3),$Z1154*(1+$Y1154*$AA1154*3)^(1/$Y1154)))</f>
        <v/>
      </c>
      <c r="AE1154">
        <f>IF($Y1154="","",IF($Y1154=0,$Z1154*EXP($AA1154*-2),$Z1154*(1+$Y1154*$AA1154*-2)^(1/$Y1154)))</f>
        <v/>
      </c>
      <c r="AF1154">
        <f>IF($Y1154="","",IF($Y1154=0,$Z1154*EXP($AA1154*-3),$Z1154*(1+$Y1154*$AA1154*-3)^(1/$Y1154)))</f>
        <v/>
      </c>
      <c r="AG1154">
        <f>IF($W1154="","",IFERROR(INDEX(IF($T1154&lt;=60,est05_l,est519_l),MATCH($W1154,IF($T1154&lt;=60,est05_k,est519_k),1)),""))</f>
        <v/>
      </c>
      <c r="AH1154">
        <f>IF($W1154="","",IFERROR(INDEX(IF($T1154&lt;=60,est05_m,est519_m),MATCH($W1154,IF($T1154&lt;=60,est05_k,est519_k),1)),""))</f>
        <v/>
      </c>
      <c r="AI1154">
        <f>IF($W1154="","",IFERROR(INDEX(IF($T1154&lt;=60,est05_s,est519_s),MATCH($W1154,IF($T1154&lt;=60,est05_k,est519_k),1)),""))</f>
        <v/>
      </c>
      <c r="AJ1154">
        <f>IF($W1154="","",IFERROR(INDEX(IF($T1154&lt;=60,peso05_l,peso510_l),MATCH($W1154,IF($T1154&lt;=60,peso05_k,peso510_k),1)),""))</f>
        <v/>
      </c>
      <c r="AK1154">
        <f>IF($W1154="","",IFERROR(INDEX(IF($T1154&lt;=60,peso05_m,peso510_m),MATCH($W1154,IF($T1154&lt;=60,peso05_k,peso510_k),1)),""))</f>
        <v/>
      </c>
      <c r="AL1154">
        <f>IF($W1154="","",IFERROR(INDEX(IF($T1154&lt;=60,peso05_s,peso510_s),MATCH($W1154,IF($T1154&lt;=60,peso05_k,peso510_k),1)),""))</f>
        <v/>
      </c>
      <c r="AM1154">
        <f>IF($AJ1154="","",IF($AJ1154=0,LN($F1154/$AK1154)/$AL1154,((($F1154/$AK1154)^$AJ1154)-1)/($AJ1154*$AL1154)))</f>
        <v/>
      </c>
      <c r="AN1154">
        <f>IF($AJ1154="","",IF($AJ1154=0,$AK1154*EXP($AL1154*2),$AK1154*(1+$AJ1154*$AL1154*2)^(1/$AJ1154)))</f>
        <v/>
      </c>
      <c r="AO1154">
        <f>IF($AJ1154="","",IF($AJ1154=0,$AK1154*EXP($AL1154*3),$AK1154*(1+$AJ1154*$AL1154*3)^(1/$AJ1154)))</f>
        <v/>
      </c>
      <c r="AP1154">
        <f>IF($AJ1154="","",IF($AJ1154=0,$AK1154*EXP($AL1154*-2),$AK1154*(1+$AJ1154*$AL1154*-2)^(1/$AJ1154)))</f>
        <v/>
      </c>
      <c r="AQ1154">
        <f>IF($AJ1154="","",IF($AJ1154=0,$AK1154*EXP($AL1154*-3),$AK1154*(1+$AJ1154*$AL1154*-3)^(1/$AJ1154)))</f>
        <v/>
      </c>
      <c r="AR1154">
        <f>IF(OR($X1154="",$T1154&gt;60),"",IFERROR(INDEX(IF($T1154&lt;24,pcomp_l,palt_l),MATCH($X1154,IF($T1154&lt;24,pcomp_k,palt_k),1)),""))</f>
        <v/>
      </c>
      <c r="AS1154">
        <f>IF(OR($X1154="",$T1154&gt;60),"",IFERROR(INDEX(IF($T1154&lt;24,pcomp_m,palt_m),MATCH($X1154,IF($T1154&lt;24,pcomp_k,palt_k),1)),""))</f>
        <v/>
      </c>
      <c r="AT1154">
        <f>IF(OR($X1154="",$T1154&gt;60),"",IFERROR(INDEX(IF($T1154&lt;24,pcomp_s,palt_s),MATCH($X1154,IF($T1154&lt;24,pcomp_k,palt_k),1)),""))</f>
        <v/>
      </c>
      <c r="AU1154">
        <f>IF($AR1154="","",IF($AR1154=0,LN($F1154/$AS1154)/$AT1154,((($F1154/$AS1154)^$AR1154)-1)/($AR1154*$AT1154)))</f>
        <v/>
      </c>
      <c r="AV1154">
        <f>IF($AR1154="","",IF($AR1154=0,$AS1154*EXP($AT1154*2),$AS1154*(1+$AR1154*$AT1154*2)^(1/$AR1154)))</f>
        <v/>
      </c>
      <c r="AW1154">
        <f>IF($AR1154="","",IF($AR1154=0,$AS1154*EXP($AT1154*3),$AS1154*(1+$AR1154*$AT1154*3)^(1/$AR1154)))</f>
        <v/>
      </c>
      <c r="AX1154">
        <f>IF($AR1154="","",IF($AR1154=0,$AS1154*EXP($AT1154*-2),$AS1154*(1+$AR1154*$AT1154*-2)^(1/$AR1154)))</f>
        <v/>
      </c>
      <c r="AY1154">
        <f>IF($AR1154="","",IF($AR1154=0,$AS1154*EXP($AT1154*-3),$AS1154*(1+$AR1154*$AT1154*-3)^(1/$AR1154)))</f>
        <v/>
      </c>
      <c r="AZ1154">
        <f>IF(OR($A1154="",$A1154&lt;&gt;Ficha!$C$4),"",COUNTIF($A$2:$A1154,Ficha!$C$4))</f>
        <v/>
      </c>
    </row>
    <row r="1155">
      <c r="A1155" s="8">
        <f>IF(INDEX(Banco!$A:$A,ROW())="","",INDEX(Banco!$A:$A,ROW()))</f>
        <v/>
      </c>
      <c r="B1155" s="8">
        <f>IF(INDEX(Banco!$B:$B,ROW())="","",INDEX(Banco!$B:$B,ROW()))</f>
        <v/>
      </c>
      <c r="C1155" s="8">
        <f>IF(INDEX(Banco!$C:$C,ROW())="","",INDEX(Banco!$C:$C,ROW()))</f>
        <v/>
      </c>
      <c r="D1155" s="9">
        <f>IF(INDEX(Banco!$D:$D,ROW())="","",INDEX(Banco!$D:$D,ROW()))</f>
        <v/>
      </c>
      <c r="E1155" s="9">
        <f>IF(INDEX(Banco!$E:$E,ROW())="","",INDEX(Banco!$E:$E,ROW()))</f>
        <v/>
      </c>
      <c r="F1155" s="10">
        <f>IF(INDEX(Banco!$F:$F,ROW())="","",INDEX(Banco!$F:$F,ROW()))</f>
        <v/>
      </c>
      <c r="G1155" s="10">
        <f>IF(INDEX(Banco!$G:$G,ROW())="","",INDEX(Banco!$G:$G,ROW()))</f>
        <v/>
      </c>
      <c r="H1155" s="8">
        <f>IF(INDEX(Banco!$H:$H,ROW())="","",INDEX(Banco!$H:$H,ROW()))</f>
        <v/>
      </c>
      <c r="I1155">
        <f>IF($T1155="","",INT($T1155/12)&amp;"a "&amp;MOD($T1155,12)&amp;"m")</f>
        <v/>
      </c>
      <c r="J1155" s="11">
        <f>IF(OR($F1155="",$G1155=""),"",ROUND($F1155/($G1155/100)^2,2))</f>
        <v/>
      </c>
      <c r="K1155" s="12">
        <f>IF(OR($S1155="",$J1155="",$T1155="",$T1155&lt;0,$T1155&gt;228,$Y1155=""),"—",ROUND(IF(ABS($AB1155)&lt;=3,$AB1155,IF($AB1155&gt;3,3+($J1155-$AD1155)/($AD1155-$AC1155),-3+($J1155-$AF1155)/($AE1155-$AF1155))),2))</f>
        <v/>
      </c>
      <c r="L1155">
        <f>IF(OR($K1155="",$K1155="—"),"",IF($T1155&lt;=60,IF($K1155&lt;-3,"Magreza acentuada",IF($K1155&lt;-2,"Magreza",IF($K1155&lt;=1,"Eutrofia",IF($K1155&lt;=2,"Risco de sobrepeso",IF($K1155&lt;=3,"Sobrepeso","Obesidade"))))),IF($K1155&lt;-3,"Magreza acentuada",IF($K1155&lt;-2,"Magreza",IF($K1155&lt;=1,"Eutrofia",IF($K1155&lt;=2,"Sobrepeso",IF($K1155&lt;=3,"Obesidade","Obesidade grave")))))))</f>
        <v/>
      </c>
      <c r="M1155" s="12">
        <f>IF(OR($S1155="",$V1155="",$T1155="",$T1155&lt;0,$T1155&gt;228,$AG1155=""),"—",ROUND(IF($AG1155=0,LN($V1155/$AH1155)/$AI1155,((($V1155/$AH1155)^$AG1155)-1)/($AG1155*$AI1155)),2))</f>
        <v/>
      </c>
      <c r="N1155">
        <f>IF(OR($M1155="",$M1155="—"),"",IF($M1155&lt;-3,"Muito baixa",IF($M1155&lt;-2,"Baixa","Adequada")))</f>
        <v/>
      </c>
      <c r="O1155" s="12">
        <f>IF(OR($S1155="",$F1155="",$T1155="",$T1155&lt;0,$T1155&gt;120,$AJ1155=""),"—",ROUND(IF(ABS($AM1155)&lt;=3,$AM1155,IF($AM1155&gt;3,3+($F1155-$AO1155)/($AO1155-$AN1155),-3+($F1155-$AQ1155)/($AP1155-$AQ1155))),2))</f>
        <v/>
      </c>
      <c r="P1155">
        <f>IF(OR($O1155="",$O1155="—"),"",IF($O1155&lt;-3,"Muito baixo",IF($O1155&lt;-2,"Baixo",IF($O1155&lt;=2,"Adequado","Elevado"))))</f>
        <v/>
      </c>
      <c r="Q1155" s="12">
        <f>IF(OR($S1155="",$F1155="",$T1155="",$T1155&lt;0,$T1155&gt;60,$AR1155=""),"—",ROUND(IF(ABS($AU1155)&lt;=3,$AU1155,IF($AU1155&gt;3,3+($F1155-$AW1155)/($AW1155-$AV1155),-3+($F1155-$AY1155)/($AX1155-$AY1155))),2))</f>
        <v/>
      </c>
      <c r="R1155">
        <f>IF(OR($Q1155="",$Q1155="—"),"",IF($Q1155&lt;-3,"Magreza acentuada",IF($Q1155&lt;-2,"Magreza",IF($Q1155&lt;=1,"Eutrofia",IF($Q1155&lt;=2,"Risco de sobrepeso",IF($Q1155&lt;=3,"Sobrepeso","Obesidade"))))))</f>
        <v/>
      </c>
      <c r="S1155">
        <f>IF($C1155="","",IF(UPPER(LEFT($C1155,1))="M",1,IF(UPPER(LEFT($C1155,1))="F",2,"")))</f>
        <v/>
      </c>
      <c r="T1155">
        <f>IF(OR($D1155="",$E1155=""),"",DATEDIF($D1155,$E1155,"m"))</f>
        <v/>
      </c>
      <c r="U1155">
        <f>IF(OR($D1155="",$E1155=""),"",$E1155-$D1155)</f>
        <v/>
      </c>
      <c r="V1155">
        <f>IF(OR($G1155="",$T1155=""),"",IF($T1155&lt;24,IF(LEFT(LOWER($H1155),4)="em p",$G1155+0.7,$G1155),IF(LEFT(LOWER($H1155),4)="deit",$G1155-0.7,$G1155)))</f>
        <v/>
      </c>
      <c r="W1155">
        <f>IF(OR($S1155="",$T1155=""),"",$S1155*1000000+IF($T1155&lt;=60,$U1155,$T1155))</f>
        <v/>
      </c>
      <c r="X1155">
        <f>IF(OR($S1155="",$V1155="",$T1155&gt;60,$T1155=""),"",$S1155*1000000+ROUND($V1155*10,0))</f>
        <v/>
      </c>
      <c r="Y1155">
        <f>IF($W1155="","",IFERROR(INDEX(IF($T1155&lt;=60,imc05_l,imc519_l),MATCH($W1155,IF($T1155&lt;=60,imc05_k,imc519_k),1)),""))</f>
        <v/>
      </c>
      <c r="Z1155">
        <f>IF($W1155="","",IFERROR(INDEX(IF($T1155&lt;=60,imc05_m,imc519_m),MATCH($W1155,IF($T1155&lt;=60,imc05_k,imc519_k),1)),""))</f>
        <v/>
      </c>
      <c r="AA1155">
        <f>IF($W1155="","",IFERROR(INDEX(IF($T1155&lt;=60,imc05_s,imc519_s),MATCH($W1155,IF($T1155&lt;=60,imc05_k,imc519_k),1)),""))</f>
        <v/>
      </c>
      <c r="AB1155">
        <f>IF($Y1155="","",IF($Y1155=0,LN($J1155/$Z1155)/$AA1155,((($J1155/$Z1155)^$Y1155)-1)/($Y1155*$AA1155)))</f>
        <v/>
      </c>
      <c r="AC1155">
        <f>IF($Y1155="","",IF($Y1155=0,$Z1155*EXP($AA1155*2),$Z1155*(1+$Y1155*$AA1155*2)^(1/$Y1155)))</f>
        <v/>
      </c>
      <c r="AD1155">
        <f>IF($Y1155="","",IF($Y1155=0,$Z1155*EXP($AA1155*3),$Z1155*(1+$Y1155*$AA1155*3)^(1/$Y1155)))</f>
        <v/>
      </c>
      <c r="AE1155">
        <f>IF($Y1155="","",IF($Y1155=0,$Z1155*EXP($AA1155*-2),$Z1155*(1+$Y1155*$AA1155*-2)^(1/$Y1155)))</f>
        <v/>
      </c>
      <c r="AF1155">
        <f>IF($Y1155="","",IF($Y1155=0,$Z1155*EXP($AA1155*-3),$Z1155*(1+$Y1155*$AA1155*-3)^(1/$Y1155)))</f>
        <v/>
      </c>
      <c r="AG1155">
        <f>IF($W1155="","",IFERROR(INDEX(IF($T1155&lt;=60,est05_l,est519_l),MATCH($W1155,IF($T1155&lt;=60,est05_k,est519_k),1)),""))</f>
        <v/>
      </c>
      <c r="AH1155">
        <f>IF($W1155="","",IFERROR(INDEX(IF($T1155&lt;=60,est05_m,est519_m),MATCH($W1155,IF($T1155&lt;=60,est05_k,est519_k),1)),""))</f>
        <v/>
      </c>
      <c r="AI1155">
        <f>IF($W1155="","",IFERROR(INDEX(IF($T1155&lt;=60,est05_s,est519_s),MATCH($W1155,IF($T1155&lt;=60,est05_k,est519_k),1)),""))</f>
        <v/>
      </c>
      <c r="AJ1155">
        <f>IF($W1155="","",IFERROR(INDEX(IF($T1155&lt;=60,peso05_l,peso510_l),MATCH($W1155,IF($T1155&lt;=60,peso05_k,peso510_k),1)),""))</f>
        <v/>
      </c>
      <c r="AK1155">
        <f>IF($W1155="","",IFERROR(INDEX(IF($T1155&lt;=60,peso05_m,peso510_m),MATCH($W1155,IF($T1155&lt;=60,peso05_k,peso510_k),1)),""))</f>
        <v/>
      </c>
      <c r="AL1155">
        <f>IF($W1155="","",IFERROR(INDEX(IF($T1155&lt;=60,peso05_s,peso510_s),MATCH($W1155,IF($T1155&lt;=60,peso05_k,peso510_k),1)),""))</f>
        <v/>
      </c>
      <c r="AM1155">
        <f>IF($AJ1155="","",IF($AJ1155=0,LN($F1155/$AK1155)/$AL1155,((($F1155/$AK1155)^$AJ1155)-1)/($AJ1155*$AL1155)))</f>
        <v/>
      </c>
      <c r="AN1155">
        <f>IF($AJ1155="","",IF($AJ1155=0,$AK1155*EXP($AL1155*2),$AK1155*(1+$AJ1155*$AL1155*2)^(1/$AJ1155)))</f>
        <v/>
      </c>
      <c r="AO1155">
        <f>IF($AJ1155="","",IF($AJ1155=0,$AK1155*EXP($AL1155*3),$AK1155*(1+$AJ1155*$AL1155*3)^(1/$AJ1155)))</f>
        <v/>
      </c>
      <c r="AP1155">
        <f>IF($AJ1155="","",IF($AJ1155=0,$AK1155*EXP($AL1155*-2),$AK1155*(1+$AJ1155*$AL1155*-2)^(1/$AJ1155)))</f>
        <v/>
      </c>
      <c r="AQ1155">
        <f>IF($AJ1155="","",IF($AJ1155=0,$AK1155*EXP($AL1155*-3),$AK1155*(1+$AJ1155*$AL1155*-3)^(1/$AJ1155)))</f>
        <v/>
      </c>
      <c r="AR1155">
        <f>IF(OR($X1155="",$T1155&gt;60),"",IFERROR(INDEX(IF($T1155&lt;24,pcomp_l,palt_l),MATCH($X1155,IF($T1155&lt;24,pcomp_k,palt_k),1)),""))</f>
        <v/>
      </c>
      <c r="AS1155">
        <f>IF(OR($X1155="",$T1155&gt;60),"",IFERROR(INDEX(IF($T1155&lt;24,pcomp_m,palt_m),MATCH($X1155,IF($T1155&lt;24,pcomp_k,palt_k),1)),""))</f>
        <v/>
      </c>
      <c r="AT1155">
        <f>IF(OR($X1155="",$T1155&gt;60),"",IFERROR(INDEX(IF($T1155&lt;24,pcomp_s,palt_s),MATCH($X1155,IF($T1155&lt;24,pcomp_k,palt_k),1)),""))</f>
        <v/>
      </c>
      <c r="AU1155">
        <f>IF($AR1155="","",IF($AR1155=0,LN($F1155/$AS1155)/$AT1155,((($F1155/$AS1155)^$AR1155)-1)/($AR1155*$AT1155)))</f>
        <v/>
      </c>
      <c r="AV1155">
        <f>IF($AR1155="","",IF($AR1155=0,$AS1155*EXP($AT1155*2),$AS1155*(1+$AR1155*$AT1155*2)^(1/$AR1155)))</f>
        <v/>
      </c>
      <c r="AW1155">
        <f>IF($AR1155="","",IF($AR1155=0,$AS1155*EXP($AT1155*3),$AS1155*(1+$AR1155*$AT1155*3)^(1/$AR1155)))</f>
        <v/>
      </c>
      <c r="AX1155">
        <f>IF($AR1155="","",IF($AR1155=0,$AS1155*EXP($AT1155*-2),$AS1155*(1+$AR1155*$AT1155*-2)^(1/$AR1155)))</f>
        <v/>
      </c>
      <c r="AY1155">
        <f>IF($AR1155="","",IF($AR1155=0,$AS1155*EXP($AT1155*-3),$AS1155*(1+$AR1155*$AT1155*-3)^(1/$AR1155)))</f>
        <v/>
      </c>
      <c r="AZ1155">
        <f>IF(OR($A1155="",$A1155&lt;&gt;Ficha!$C$4),"",COUNTIF($A$2:$A1155,Ficha!$C$4))</f>
        <v/>
      </c>
    </row>
    <row r="1156">
      <c r="A1156" s="8">
        <f>IF(INDEX(Banco!$A:$A,ROW())="","",INDEX(Banco!$A:$A,ROW()))</f>
        <v/>
      </c>
      <c r="B1156" s="8">
        <f>IF(INDEX(Banco!$B:$B,ROW())="","",INDEX(Banco!$B:$B,ROW()))</f>
        <v/>
      </c>
      <c r="C1156" s="8">
        <f>IF(INDEX(Banco!$C:$C,ROW())="","",INDEX(Banco!$C:$C,ROW()))</f>
        <v/>
      </c>
      <c r="D1156" s="9">
        <f>IF(INDEX(Banco!$D:$D,ROW())="","",INDEX(Banco!$D:$D,ROW()))</f>
        <v/>
      </c>
      <c r="E1156" s="9">
        <f>IF(INDEX(Banco!$E:$E,ROW())="","",INDEX(Banco!$E:$E,ROW()))</f>
        <v/>
      </c>
      <c r="F1156" s="10">
        <f>IF(INDEX(Banco!$F:$F,ROW())="","",INDEX(Banco!$F:$F,ROW()))</f>
        <v/>
      </c>
      <c r="G1156" s="10">
        <f>IF(INDEX(Banco!$G:$G,ROW())="","",INDEX(Banco!$G:$G,ROW()))</f>
        <v/>
      </c>
      <c r="H1156" s="8">
        <f>IF(INDEX(Banco!$H:$H,ROW())="","",INDEX(Banco!$H:$H,ROW()))</f>
        <v/>
      </c>
      <c r="I1156">
        <f>IF($T1156="","",INT($T1156/12)&amp;"a "&amp;MOD($T1156,12)&amp;"m")</f>
        <v/>
      </c>
      <c r="J1156" s="11">
        <f>IF(OR($F1156="",$G1156=""),"",ROUND($F1156/($G1156/100)^2,2))</f>
        <v/>
      </c>
      <c r="K1156" s="12">
        <f>IF(OR($S1156="",$J1156="",$T1156="",$T1156&lt;0,$T1156&gt;228,$Y1156=""),"—",ROUND(IF(ABS($AB1156)&lt;=3,$AB1156,IF($AB1156&gt;3,3+($J1156-$AD1156)/($AD1156-$AC1156),-3+($J1156-$AF1156)/($AE1156-$AF1156))),2))</f>
        <v/>
      </c>
      <c r="L1156">
        <f>IF(OR($K1156="",$K1156="—"),"",IF($T1156&lt;=60,IF($K1156&lt;-3,"Magreza acentuada",IF($K1156&lt;-2,"Magreza",IF($K1156&lt;=1,"Eutrofia",IF($K1156&lt;=2,"Risco de sobrepeso",IF($K1156&lt;=3,"Sobrepeso","Obesidade"))))),IF($K1156&lt;-3,"Magreza acentuada",IF($K1156&lt;-2,"Magreza",IF($K1156&lt;=1,"Eutrofia",IF($K1156&lt;=2,"Sobrepeso",IF($K1156&lt;=3,"Obesidade","Obesidade grave")))))))</f>
        <v/>
      </c>
      <c r="M1156" s="12">
        <f>IF(OR($S1156="",$V1156="",$T1156="",$T1156&lt;0,$T1156&gt;228,$AG1156=""),"—",ROUND(IF($AG1156=0,LN($V1156/$AH1156)/$AI1156,((($V1156/$AH1156)^$AG1156)-1)/($AG1156*$AI1156)),2))</f>
        <v/>
      </c>
      <c r="N1156">
        <f>IF(OR($M1156="",$M1156="—"),"",IF($M1156&lt;-3,"Muito baixa",IF($M1156&lt;-2,"Baixa","Adequada")))</f>
        <v/>
      </c>
      <c r="O1156" s="12">
        <f>IF(OR($S1156="",$F1156="",$T1156="",$T1156&lt;0,$T1156&gt;120,$AJ1156=""),"—",ROUND(IF(ABS($AM1156)&lt;=3,$AM1156,IF($AM1156&gt;3,3+($F1156-$AO1156)/($AO1156-$AN1156),-3+($F1156-$AQ1156)/($AP1156-$AQ1156))),2))</f>
        <v/>
      </c>
      <c r="P1156">
        <f>IF(OR($O1156="",$O1156="—"),"",IF($O1156&lt;-3,"Muito baixo",IF($O1156&lt;-2,"Baixo",IF($O1156&lt;=2,"Adequado","Elevado"))))</f>
        <v/>
      </c>
      <c r="Q1156" s="12">
        <f>IF(OR($S1156="",$F1156="",$T1156="",$T1156&lt;0,$T1156&gt;60,$AR1156=""),"—",ROUND(IF(ABS($AU1156)&lt;=3,$AU1156,IF($AU1156&gt;3,3+($F1156-$AW1156)/($AW1156-$AV1156),-3+($F1156-$AY1156)/($AX1156-$AY1156))),2))</f>
        <v/>
      </c>
      <c r="R1156">
        <f>IF(OR($Q1156="",$Q1156="—"),"",IF($Q1156&lt;-3,"Magreza acentuada",IF($Q1156&lt;-2,"Magreza",IF($Q1156&lt;=1,"Eutrofia",IF($Q1156&lt;=2,"Risco de sobrepeso",IF($Q1156&lt;=3,"Sobrepeso","Obesidade"))))))</f>
        <v/>
      </c>
      <c r="S1156">
        <f>IF($C1156="","",IF(UPPER(LEFT($C1156,1))="M",1,IF(UPPER(LEFT($C1156,1))="F",2,"")))</f>
        <v/>
      </c>
      <c r="T1156">
        <f>IF(OR($D1156="",$E1156=""),"",DATEDIF($D1156,$E1156,"m"))</f>
        <v/>
      </c>
      <c r="U1156">
        <f>IF(OR($D1156="",$E1156=""),"",$E1156-$D1156)</f>
        <v/>
      </c>
      <c r="V1156">
        <f>IF(OR($G1156="",$T1156=""),"",IF($T1156&lt;24,IF(LEFT(LOWER($H1156),4)="em p",$G1156+0.7,$G1156),IF(LEFT(LOWER($H1156),4)="deit",$G1156-0.7,$G1156)))</f>
        <v/>
      </c>
      <c r="W1156">
        <f>IF(OR($S1156="",$T1156=""),"",$S1156*1000000+IF($T1156&lt;=60,$U1156,$T1156))</f>
        <v/>
      </c>
      <c r="X1156">
        <f>IF(OR($S1156="",$V1156="",$T1156&gt;60,$T1156=""),"",$S1156*1000000+ROUND($V1156*10,0))</f>
        <v/>
      </c>
      <c r="Y1156">
        <f>IF($W1156="","",IFERROR(INDEX(IF($T1156&lt;=60,imc05_l,imc519_l),MATCH($W1156,IF($T1156&lt;=60,imc05_k,imc519_k),1)),""))</f>
        <v/>
      </c>
      <c r="Z1156">
        <f>IF($W1156="","",IFERROR(INDEX(IF($T1156&lt;=60,imc05_m,imc519_m),MATCH($W1156,IF($T1156&lt;=60,imc05_k,imc519_k),1)),""))</f>
        <v/>
      </c>
      <c r="AA1156">
        <f>IF($W1156="","",IFERROR(INDEX(IF($T1156&lt;=60,imc05_s,imc519_s),MATCH($W1156,IF($T1156&lt;=60,imc05_k,imc519_k),1)),""))</f>
        <v/>
      </c>
      <c r="AB1156">
        <f>IF($Y1156="","",IF($Y1156=0,LN($J1156/$Z1156)/$AA1156,((($J1156/$Z1156)^$Y1156)-1)/($Y1156*$AA1156)))</f>
        <v/>
      </c>
      <c r="AC1156">
        <f>IF($Y1156="","",IF($Y1156=0,$Z1156*EXP($AA1156*2),$Z1156*(1+$Y1156*$AA1156*2)^(1/$Y1156)))</f>
        <v/>
      </c>
      <c r="AD1156">
        <f>IF($Y1156="","",IF($Y1156=0,$Z1156*EXP($AA1156*3),$Z1156*(1+$Y1156*$AA1156*3)^(1/$Y1156)))</f>
        <v/>
      </c>
      <c r="AE1156">
        <f>IF($Y1156="","",IF($Y1156=0,$Z1156*EXP($AA1156*-2),$Z1156*(1+$Y1156*$AA1156*-2)^(1/$Y1156)))</f>
        <v/>
      </c>
      <c r="AF1156">
        <f>IF($Y1156="","",IF($Y1156=0,$Z1156*EXP($AA1156*-3),$Z1156*(1+$Y1156*$AA1156*-3)^(1/$Y1156)))</f>
        <v/>
      </c>
      <c r="AG1156">
        <f>IF($W1156="","",IFERROR(INDEX(IF($T1156&lt;=60,est05_l,est519_l),MATCH($W1156,IF($T1156&lt;=60,est05_k,est519_k),1)),""))</f>
        <v/>
      </c>
      <c r="AH1156">
        <f>IF($W1156="","",IFERROR(INDEX(IF($T1156&lt;=60,est05_m,est519_m),MATCH($W1156,IF($T1156&lt;=60,est05_k,est519_k),1)),""))</f>
        <v/>
      </c>
      <c r="AI1156">
        <f>IF($W1156="","",IFERROR(INDEX(IF($T1156&lt;=60,est05_s,est519_s),MATCH($W1156,IF($T1156&lt;=60,est05_k,est519_k),1)),""))</f>
        <v/>
      </c>
      <c r="AJ1156">
        <f>IF($W1156="","",IFERROR(INDEX(IF($T1156&lt;=60,peso05_l,peso510_l),MATCH($W1156,IF($T1156&lt;=60,peso05_k,peso510_k),1)),""))</f>
        <v/>
      </c>
      <c r="AK1156">
        <f>IF($W1156="","",IFERROR(INDEX(IF($T1156&lt;=60,peso05_m,peso510_m),MATCH($W1156,IF($T1156&lt;=60,peso05_k,peso510_k),1)),""))</f>
        <v/>
      </c>
      <c r="AL1156">
        <f>IF($W1156="","",IFERROR(INDEX(IF($T1156&lt;=60,peso05_s,peso510_s),MATCH($W1156,IF($T1156&lt;=60,peso05_k,peso510_k),1)),""))</f>
        <v/>
      </c>
      <c r="AM1156">
        <f>IF($AJ1156="","",IF($AJ1156=0,LN($F1156/$AK1156)/$AL1156,((($F1156/$AK1156)^$AJ1156)-1)/($AJ1156*$AL1156)))</f>
        <v/>
      </c>
      <c r="AN1156">
        <f>IF($AJ1156="","",IF($AJ1156=0,$AK1156*EXP($AL1156*2),$AK1156*(1+$AJ1156*$AL1156*2)^(1/$AJ1156)))</f>
        <v/>
      </c>
      <c r="AO1156">
        <f>IF($AJ1156="","",IF($AJ1156=0,$AK1156*EXP($AL1156*3),$AK1156*(1+$AJ1156*$AL1156*3)^(1/$AJ1156)))</f>
        <v/>
      </c>
      <c r="AP1156">
        <f>IF($AJ1156="","",IF($AJ1156=0,$AK1156*EXP($AL1156*-2),$AK1156*(1+$AJ1156*$AL1156*-2)^(1/$AJ1156)))</f>
        <v/>
      </c>
      <c r="AQ1156">
        <f>IF($AJ1156="","",IF($AJ1156=0,$AK1156*EXP($AL1156*-3),$AK1156*(1+$AJ1156*$AL1156*-3)^(1/$AJ1156)))</f>
        <v/>
      </c>
      <c r="AR1156">
        <f>IF(OR($X1156="",$T1156&gt;60),"",IFERROR(INDEX(IF($T1156&lt;24,pcomp_l,palt_l),MATCH($X1156,IF($T1156&lt;24,pcomp_k,palt_k),1)),""))</f>
        <v/>
      </c>
      <c r="AS1156">
        <f>IF(OR($X1156="",$T1156&gt;60),"",IFERROR(INDEX(IF($T1156&lt;24,pcomp_m,palt_m),MATCH($X1156,IF($T1156&lt;24,pcomp_k,palt_k),1)),""))</f>
        <v/>
      </c>
      <c r="AT1156">
        <f>IF(OR($X1156="",$T1156&gt;60),"",IFERROR(INDEX(IF($T1156&lt;24,pcomp_s,palt_s),MATCH($X1156,IF($T1156&lt;24,pcomp_k,palt_k),1)),""))</f>
        <v/>
      </c>
      <c r="AU1156">
        <f>IF($AR1156="","",IF($AR1156=0,LN($F1156/$AS1156)/$AT1156,((($F1156/$AS1156)^$AR1156)-1)/($AR1156*$AT1156)))</f>
        <v/>
      </c>
      <c r="AV1156">
        <f>IF($AR1156="","",IF($AR1156=0,$AS1156*EXP($AT1156*2),$AS1156*(1+$AR1156*$AT1156*2)^(1/$AR1156)))</f>
        <v/>
      </c>
      <c r="AW1156">
        <f>IF($AR1156="","",IF($AR1156=0,$AS1156*EXP($AT1156*3),$AS1156*(1+$AR1156*$AT1156*3)^(1/$AR1156)))</f>
        <v/>
      </c>
      <c r="AX1156">
        <f>IF($AR1156="","",IF($AR1156=0,$AS1156*EXP($AT1156*-2),$AS1156*(1+$AR1156*$AT1156*-2)^(1/$AR1156)))</f>
        <v/>
      </c>
      <c r="AY1156">
        <f>IF($AR1156="","",IF($AR1156=0,$AS1156*EXP($AT1156*-3),$AS1156*(1+$AR1156*$AT1156*-3)^(1/$AR1156)))</f>
        <v/>
      </c>
      <c r="AZ1156">
        <f>IF(OR($A1156="",$A1156&lt;&gt;Ficha!$C$4),"",COUNTIF($A$2:$A1156,Ficha!$C$4))</f>
        <v/>
      </c>
    </row>
    <row r="1157">
      <c r="A1157" s="8">
        <f>IF(INDEX(Banco!$A:$A,ROW())="","",INDEX(Banco!$A:$A,ROW()))</f>
        <v/>
      </c>
      <c r="B1157" s="8">
        <f>IF(INDEX(Banco!$B:$B,ROW())="","",INDEX(Banco!$B:$B,ROW()))</f>
        <v/>
      </c>
      <c r="C1157" s="8">
        <f>IF(INDEX(Banco!$C:$C,ROW())="","",INDEX(Banco!$C:$C,ROW()))</f>
        <v/>
      </c>
      <c r="D1157" s="9">
        <f>IF(INDEX(Banco!$D:$D,ROW())="","",INDEX(Banco!$D:$D,ROW()))</f>
        <v/>
      </c>
      <c r="E1157" s="9">
        <f>IF(INDEX(Banco!$E:$E,ROW())="","",INDEX(Banco!$E:$E,ROW()))</f>
        <v/>
      </c>
      <c r="F1157" s="10">
        <f>IF(INDEX(Banco!$F:$F,ROW())="","",INDEX(Banco!$F:$F,ROW()))</f>
        <v/>
      </c>
      <c r="G1157" s="10">
        <f>IF(INDEX(Banco!$G:$G,ROW())="","",INDEX(Banco!$G:$G,ROW()))</f>
        <v/>
      </c>
      <c r="H1157" s="8">
        <f>IF(INDEX(Banco!$H:$H,ROW())="","",INDEX(Banco!$H:$H,ROW()))</f>
        <v/>
      </c>
      <c r="I1157">
        <f>IF($T1157="","",INT($T1157/12)&amp;"a "&amp;MOD($T1157,12)&amp;"m")</f>
        <v/>
      </c>
      <c r="J1157" s="11">
        <f>IF(OR($F1157="",$G1157=""),"",ROUND($F1157/($G1157/100)^2,2))</f>
        <v/>
      </c>
      <c r="K1157" s="12">
        <f>IF(OR($S1157="",$J1157="",$T1157="",$T1157&lt;0,$T1157&gt;228,$Y1157=""),"—",ROUND(IF(ABS($AB1157)&lt;=3,$AB1157,IF($AB1157&gt;3,3+($J1157-$AD1157)/($AD1157-$AC1157),-3+($J1157-$AF1157)/($AE1157-$AF1157))),2))</f>
        <v/>
      </c>
      <c r="L1157">
        <f>IF(OR($K1157="",$K1157="—"),"",IF($T1157&lt;=60,IF($K1157&lt;-3,"Magreza acentuada",IF($K1157&lt;-2,"Magreza",IF($K1157&lt;=1,"Eutrofia",IF($K1157&lt;=2,"Risco de sobrepeso",IF($K1157&lt;=3,"Sobrepeso","Obesidade"))))),IF($K1157&lt;-3,"Magreza acentuada",IF($K1157&lt;-2,"Magreza",IF($K1157&lt;=1,"Eutrofia",IF($K1157&lt;=2,"Sobrepeso",IF($K1157&lt;=3,"Obesidade","Obesidade grave")))))))</f>
        <v/>
      </c>
      <c r="M1157" s="12">
        <f>IF(OR($S1157="",$V1157="",$T1157="",$T1157&lt;0,$T1157&gt;228,$AG1157=""),"—",ROUND(IF($AG1157=0,LN($V1157/$AH1157)/$AI1157,((($V1157/$AH1157)^$AG1157)-1)/($AG1157*$AI1157)),2))</f>
        <v/>
      </c>
      <c r="N1157">
        <f>IF(OR($M1157="",$M1157="—"),"",IF($M1157&lt;-3,"Muito baixa",IF($M1157&lt;-2,"Baixa","Adequada")))</f>
        <v/>
      </c>
      <c r="O1157" s="12">
        <f>IF(OR($S1157="",$F1157="",$T1157="",$T1157&lt;0,$T1157&gt;120,$AJ1157=""),"—",ROUND(IF(ABS($AM1157)&lt;=3,$AM1157,IF($AM1157&gt;3,3+($F1157-$AO1157)/($AO1157-$AN1157),-3+($F1157-$AQ1157)/($AP1157-$AQ1157))),2))</f>
        <v/>
      </c>
      <c r="P1157">
        <f>IF(OR($O1157="",$O1157="—"),"",IF($O1157&lt;-3,"Muito baixo",IF($O1157&lt;-2,"Baixo",IF($O1157&lt;=2,"Adequado","Elevado"))))</f>
        <v/>
      </c>
      <c r="Q1157" s="12">
        <f>IF(OR($S1157="",$F1157="",$T1157="",$T1157&lt;0,$T1157&gt;60,$AR1157=""),"—",ROUND(IF(ABS($AU1157)&lt;=3,$AU1157,IF($AU1157&gt;3,3+($F1157-$AW1157)/($AW1157-$AV1157),-3+($F1157-$AY1157)/($AX1157-$AY1157))),2))</f>
        <v/>
      </c>
      <c r="R1157">
        <f>IF(OR($Q1157="",$Q1157="—"),"",IF($Q1157&lt;-3,"Magreza acentuada",IF($Q1157&lt;-2,"Magreza",IF($Q1157&lt;=1,"Eutrofia",IF($Q1157&lt;=2,"Risco de sobrepeso",IF($Q1157&lt;=3,"Sobrepeso","Obesidade"))))))</f>
        <v/>
      </c>
      <c r="S1157">
        <f>IF($C1157="","",IF(UPPER(LEFT($C1157,1))="M",1,IF(UPPER(LEFT($C1157,1))="F",2,"")))</f>
        <v/>
      </c>
      <c r="T1157">
        <f>IF(OR($D1157="",$E1157=""),"",DATEDIF($D1157,$E1157,"m"))</f>
        <v/>
      </c>
      <c r="U1157">
        <f>IF(OR($D1157="",$E1157=""),"",$E1157-$D1157)</f>
        <v/>
      </c>
      <c r="V1157">
        <f>IF(OR($G1157="",$T1157=""),"",IF($T1157&lt;24,IF(LEFT(LOWER($H1157),4)="em p",$G1157+0.7,$G1157),IF(LEFT(LOWER($H1157),4)="deit",$G1157-0.7,$G1157)))</f>
        <v/>
      </c>
      <c r="W1157">
        <f>IF(OR($S1157="",$T1157=""),"",$S1157*1000000+IF($T1157&lt;=60,$U1157,$T1157))</f>
        <v/>
      </c>
      <c r="X1157">
        <f>IF(OR($S1157="",$V1157="",$T1157&gt;60,$T1157=""),"",$S1157*1000000+ROUND($V1157*10,0))</f>
        <v/>
      </c>
      <c r="Y1157">
        <f>IF($W1157="","",IFERROR(INDEX(IF($T1157&lt;=60,imc05_l,imc519_l),MATCH($W1157,IF($T1157&lt;=60,imc05_k,imc519_k),1)),""))</f>
        <v/>
      </c>
      <c r="Z1157">
        <f>IF($W1157="","",IFERROR(INDEX(IF($T1157&lt;=60,imc05_m,imc519_m),MATCH($W1157,IF($T1157&lt;=60,imc05_k,imc519_k),1)),""))</f>
        <v/>
      </c>
      <c r="AA1157">
        <f>IF($W1157="","",IFERROR(INDEX(IF($T1157&lt;=60,imc05_s,imc519_s),MATCH($W1157,IF($T1157&lt;=60,imc05_k,imc519_k),1)),""))</f>
        <v/>
      </c>
      <c r="AB1157">
        <f>IF($Y1157="","",IF($Y1157=0,LN($J1157/$Z1157)/$AA1157,((($J1157/$Z1157)^$Y1157)-1)/($Y1157*$AA1157)))</f>
        <v/>
      </c>
      <c r="AC1157">
        <f>IF($Y1157="","",IF($Y1157=0,$Z1157*EXP($AA1157*2),$Z1157*(1+$Y1157*$AA1157*2)^(1/$Y1157)))</f>
        <v/>
      </c>
      <c r="AD1157">
        <f>IF($Y1157="","",IF($Y1157=0,$Z1157*EXP($AA1157*3),$Z1157*(1+$Y1157*$AA1157*3)^(1/$Y1157)))</f>
        <v/>
      </c>
      <c r="AE1157">
        <f>IF($Y1157="","",IF($Y1157=0,$Z1157*EXP($AA1157*-2),$Z1157*(1+$Y1157*$AA1157*-2)^(1/$Y1157)))</f>
        <v/>
      </c>
      <c r="AF1157">
        <f>IF($Y1157="","",IF($Y1157=0,$Z1157*EXP($AA1157*-3),$Z1157*(1+$Y1157*$AA1157*-3)^(1/$Y1157)))</f>
        <v/>
      </c>
      <c r="AG1157">
        <f>IF($W1157="","",IFERROR(INDEX(IF($T1157&lt;=60,est05_l,est519_l),MATCH($W1157,IF($T1157&lt;=60,est05_k,est519_k),1)),""))</f>
        <v/>
      </c>
      <c r="AH1157">
        <f>IF($W1157="","",IFERROR(INDEX(IF($T1157&lt;=60,est05_m,est519_m),MATCH($W1157,IF($T1157&lt;=60,est05_k,est519_k),1)),""))</f>
        <v/>
      </c>
      <c r="AI1157">
        <f>IF($W1157="","",IFERROR(INDEX(IF($T1157&lt;=60,est05_s,est519_s),MATCH($W1157,IF($T1157&lt;=60,est05_k,est519_k),1)),""))</f>
        <v/>
      </c>
      <c r="AJ1157">
        <f>IF($W1157="","",IFERROR(INDEX(IF($T1157&lt;=60,peso05_l,peso510_l),MATCH($W1157,IF($T1157&lt;=60,peso05_k,peso510_k),1)),""))</f>
        <v/>
      </c>
      <c r="AK1157">
        <f>IF($W1157="","",IFERROR(INDEX(IF($T1157&lt;=60,peso05_m,peso510_m),MATCH($W1157,IF($T1157&lt;=60,peso05_k,peso510_k),1)),""))</f>
        <v/>
      </c>
      <c r="AL1157">
        <f>IF($W1157="","",IFERROR(INDEX(IF($T1157&lt;=60,peso05_s,peso510_s),MATCH($W1157,IF($T1157&lt;=60,peso05_k,peso510_k),1)),""))</f>
        <v/>
      </c>
      <c r="AM1157">
        <f>IF($AJ1157="","",IF($AJ1157=0,LN($F1157/$AK1157)/$AL1157,((($F1157/$AK1157)^$AJ1157)-1)/($AJ1157*$AL1157)))</f>
        <v/>
      </c>
      <c r="AN1157">
        <f>IF($AJ1157="","",IF($AJ1157=0,$AK1157*EXP($AL1157*2),$AK1157*(1+$AJ1157*$AL1157*2)^(1/$AJ1157)))</f>
        <v/>
      </c>
      <c r="AO1157">
        <f>IF($AJ1157="","",IF($AJ1157=0,$AK1157*EXP($AL1157*3),$AK1157*(1+$AJ1157*$AL1157*3)^(1/$AJ1157)))</f>
        <v/>
      </c>
      <c r="AP1157">
        <f>IF($AJ1157="","",IF($AJ1157=0,$AK1157*EXP($AL1157*-2),$AK1157*(1+$AJ1157*$AL1157*-2)^(1/$AJ1157)))</f>
        <v/>
      </c>
      <c r="AQ1157">
        <f>IF($AJ1157="","",IF($AJ1157=0,$AK1157*EXP($AL1157*-3),$AK1157*(1+$AJ1157*$AL1157*-3)^(1/$AJ1157)))</f>
        <v/>
      </c>
      <c r="AR1157">
        <f>IF(OR($X1157="",$T1157&gt;60),"",IFERROR(INDEX(IF($T1157&lt;24,pcomp_l,palt_l),MATCH($X1157,IF($T1157&lt;24,pcomp_k,palt_k),1)),""))</f>
        <v/>
      </c>
      <c r="AS1157">
        <f>IF(OR($X1157="",$T1157&gt;60),"",IFERROR(INDEX(IF($T1157&lt;24,pcomp_m,palt_m),MATCH($X1157,IF($T1157&lt;24,pcomp_k,palt_k),1)),""))</f>
        <v/>
      </c>
      <c r="AT1157">
        <f>IF(OR($X1157="",$T1157&gt;60),"",IFERROR(INDEX(IF($T1157&lt;24,pcomp_s,palt_s),MATCH($X1157,IF($T1157&lt;24,pcomp_k,palt_k),1)),""))</f>
        <v/>
      </c>
      <c r="AU1157">
        <f>IF($AR1157="","",IF($AR1157=0,LN($F1157/$AS1157)/$AT1157,((($F1157/$AS1157)^$AR1157)-1)/($AR1157*$AT1157)))</f>
        <v/>
      </c>
      <c r="AV1157">
        <f>IF($AR1157="","",IF($AR1157=0,$AS1157*EXP($AT1157*2),$AS1157*(1+$AR1157*$AT1157*2)^(1/$AR1157)))</f>
        <v/>
      </c>
      <c r="AW1157">
        <f>IF($AR1157="","",IF($AR1157=0,$AS1157*EXP($AT1157*3),$AS1157*(1+$AR1157*$AT1157*3)^(1/$AR1157)))</f>
        <v/>
      </c>
      <c r="AX1157">
        <f>IF($AR1157="","",IF($AR1157=0,$AS1157*EXP($AT1157*-2),$AS1157*(1+$AR1157*$AT1157*-2)^(1/$AR1157)))</f>
        <v/>
      </c>
      <c r="AY1157">
        <f>IF($AR1157="","",IF($AR1157=0,$AS1157*EXP($AT1157*-3),$AS1157*(1+$AR1157*$AT1157*-3)^(1/$AR1157)))</f>
        <v/>
      </c>
      <c r="AZ1157">
        <f>IF(OR($A1157="",$A1157&lt;&gt;Ficha!$C$4),"",COUNTIF($A$2:$A1157,Ficha!$C$4))</f>
        <v/>
      </c>
    </row>
    <row r="1158">
      <c r="A1158" s="8">
        <f>IF(INDEX(Banco!$A:$A,ROW())="","",INDEX(Banco!$A:$A,ROW()))</f>
        <v/>
      </c>
      <c r="B1158" s="8">
        <f>IF(INDEX(Banco!$B:$B,ROW())="","",INDEX(Banco!$B:$B,ROW()))</f>
        <v/>
      </c>
      <c r="C1158" s="8">
        <f>IF(INDEX(Banco!$C:$C,ROW())="","",INDEX(Banco!$C:$C,ROW()))</f>
        <v/>
      </c>
      <c r="D1158" s="9">
        <f>IF(INDEX(Banco!$D:$D,ROW())="","",INDEX(Banco!$D:$D,ROW()))</f>
        <v/>
      </c>
      <c r="E1158" s="9">
        <f>IF(INDEX(Banco!$E:$E,ROW())="","",INDEX(Banco!$E:$E,ROW()))</f>
        <v/>
      </c>
      <c r="F1158" s="10">
        <f>IF(INDEX(Banco!$F:$F,ROW())="","",INDEX(Banco!$F:$F,ROW()))</f>
        <v/>
      </c>
      <c r="G1158" s="10">
        <f>IF(INDEX(Banco!$G:$G,ROW())="","",INDEX(Banco!$G:$G,ROW()))</f>
        <v/>
      </c>
      <c r="H1158" s="8">
        <f>IF(INDEX(Banco!$H:$H,ROW())="","",INDEX(Banco!$H:$H,ROW()))</f>
        <v/>
      </c>
      <c r="I1158">
        <f>IF($T1158="","",INT($T1158/12)&amp;"a "&amp;MOD($T1158,12)&amp;"m")</f>
        <v/>
      </c>
      <c r="J1158" s="11">
        <f>IF(OR($F1158="",$G1158=""),"",ROUND($F1158/($G1158/100)^2,2))</f>
        <v/>
      </c>
      <c r="K1158" s="12">
        <f>IF(OR($S1158="",$J1158="",$T1158="",$T1158&lt;0,$T1158&gt;228,$Y1158=""),"—",ROUND(IF(ABS($AB1158)&lt;=3,$AB1158,IF($AB1158&gt;3,3+($J1158-$AD1158)/($AD1158-$AC1158),-3+($J1158-$AF1158)/($AE1158-$AF1158))),2))</f>
        <v/>
      </c>
      <c r="L1158">
        <f>IF(OR($K1158="",$K1158="—"),"",IF($T1158&lt;=60,IF($K1158&lt;-3,"Magreza acentuada",IF($K1158&lt;-2,"Magreza",IF($K1158&lt;=1,"Eutrofia",IF($K1158&lt;=2,"Risco de sobrepeso",IF($K1158&lt;=3,"Sobrepeso","Obesidade"))))),IF($K1158&lt;-3,"Magreza acentuada",IF($K1158&lt;-2,"Magreza",IF($K1158&lt;=1,"Eutrofia",IF($K1158&lt;=2,"Sobrepeso",IF($K1158&lt;=3,"Obesidade","Obesidade grave")))))))</f>
        <v/>
      </c>
      <c r="M1158" s="12">
        <f>IF(OR($S1158="",$V1158="",$T1158="",$T1158&lt;0,$T1158&gt;228,$AG1158=""),"—",ROUND(IF($AG1158=0,LN($V1158/$AH1158)/$AI1158,((($V1158/$AH1158)^$AG1158)-1)/($AG1158*$AI1158)),2))</f>
        <v/>
      </c>
      <c r="N1158">
        <f>IF(OR($M1158="",$M1158="—"),"",IF($M1158&lt;-3,"Muito baixa",IF($M1158&lt;-2,"Baixa","Adequada")))</f>
        <v/>
      </c>
      <c r="O1158" s="12">
        <f>IF(OR($S1158="",$F1158="",$T1158="",$T1158&lt;0,$T1158&gt;120,$AJ1158=""),"—",ROUND(IF(ABS($AM1158)&lt;=3,$AM1158,IF($AM1158&gt;3,3+($F1158-$AO1158)/($AO1158-$AN1158),-3+($F1158-$AQ1158)/($AP1158-$AQ1158))),2))</f>
        <v/>
      </c>
      <c r="P1158">
        <f>IF(OR($O1158="",$O1158="—"),"",IF($O1158&lt;-3,"Muito baixo",IF($O1158&lt;-2,"Baixo",IF($O1158&lt;=2,"Adequado","Elevado"))))</f>
        <v/>
      </c>
      <c r="Q1158" s="12">
        <f>IF(OR($S1158="",$F1158="",$T1158="",$T1158&lt;0,$T1158&gt;60,$AR1158=""),"—",ROUND(IF(ABS($AU1158)&lt;=3,$AU1158,IF($AU1158&gt;3,3+($F1158-$AW1158)/($AW1158-$AV1158),-3+($F1158-$AY1158)/($AX1158-$AY1158))),2))</f>
        <v/>
      </c>
      <c r="R1158">
        <f>IF(OR($Q1158="",$Q1158="—"),"",IF($Q1158&lt;-3,"Magreza acentuada",IF($Q1158&lt;-2,"Magreza",IF($Q1158&lt;=1,"Eutrofia",IF($Q1158&lt;=2,"Risco de sobrepeso",IF($Q1158&lt;=3,"Sobrepeso","Obesidade"))))))</f>
        <v/>
      </c>
      <c r="S1158">
        <f>IF($C1158="","",IF(UPPER(LEFT($C1158,1))="M",1,IF(UPPER(LEFT($C1158,1))="F",2,"")))</f>
        <v/>
      </c>
      <c r="T1158">
        <f>IF(OR($D1158="",$E1158=""),"",DATEDIF($D1158,$E1158,"m"))</f>
        <v/>
      </c>
      <c r="U1158">
        <f>IF(OR($D1158="",$E1158=""),"",$E1158-$D1158)</f>
        <v/>
      </c>
      <c r="V1158">
        <f>IF(OR($G1158="",$T1158=""),"",IF($T1158&lt;24,IF(LEFT(LOWER($H1158),4)="em p",$G1158+0.7,$G1158),IF(LEFT(LOWER($H1158),4)="deit",$G1158-0.7,$G1158)))</f>
        <v/>
      </c>
      <c r="W1158">
        <f>IF(OR($S1158="",$T1158=""),"",$S1158*1000000+IF($T1158&lt;=60,$U1158,$T1158))</f>
        <v/>
      </c>
      <c r="X1158">
        <f>IF(OR($S1158="",$V1158="",$T1158&gt;60,$T1158=""),"",$S1158*1000000+ROUND($V1158*10,0))</f>
        <v/>
      </c>
      <c r="Y1158">
        <f>IF($W1158="","",IFERROR(INDEX(IF($T1158&lt;=60,imc05_l,imc519_l),MATCH($W1158,IF($T1158&lt;=60,imc05_k,imc519_k),1)),""))</f>
        <v/>
      </c>
      <c r="Z1158">
        <f>IF($W1158="","",IFERROR(INDEX(IF($T1158&lt;=60,imc05_m,imc519_m),MATCH($W1158,IF($T1158&lt;=60,imc05_k,imc519_k),1)),""))</f>
        <v/>
      </c>
      <c r="AA1158">
        <f>IF($W1158="","",IFERROR(INDEX(IF($T1158&lt;=60,imc05_s,imc519_s),MATCH($W1158,IF($T1158&lt;=60,imc05_k,imc519_k),1)),""))</f>
        <v/>
      </c>
      <c r="AB1158">
        <f>IF($Y1158="","",IF($Y1158=0,LN($J1158/$Z1158)/$AA1158,((($J1158/$Z1158)^$Y1158)-1)/($Y1158*$AA1158)))</f>
        <v/>
      </c>
      <c r="AC1158">
        <f>IF($Y1158="","",IF($Y1158=0,$Z1158*EXP($AA1158*2),$Z1158*(1+$Y1158*$AA1158*2)^(1/$Y1158)))</f>
        <v/>
      </c>
      <c r="AD1158">
        <f>IF($Y1158="","",IF($Y1158=0,$Z1158*EXP($AA1158*3),$Z1158*(1+$Y1158*$AA1158*3)^(1/$Y1158)))</f>
        <v/>
      </c>
      <c r="AE1158">
        <f>IF($Y1158="","",IF($Y1158=0,$Z1158*EXP($AA1158*-2),$Z1158*(1+$Y1158*$AA1158*-2)^(1/$Y1158)))</f>
        <v/>
      </c>
      <c r="AF1158">
        <f>IF($Y1158="","",IF($Y1158=0,$Z1158*EXP($AA1158*-3),$Z1158*(1+$Y1158*$AA1158*-3)^(1/$Y1158)))</f>
        <v/>
      </c>
      <c r="AG1158">
        <f>IF($W1158="","",IFERROR(INDEX(IF($T1158&lt;=60,est05_l,est519_l),MATCH($W1158,IF($T1158&lt;=60,est05_k,est519_k),1)),""))</f>
        <v/>
      </c>
      <c r="AH1158">
        <f>IF($W1158="","",IFERROR(INDEX(IF($T1158&lt;=60,est05_m,est519_m),MATCH($W1158,IF($T1158&lt;=60,est05_k,est519_k),1)),""))</f>
        <v/>
      </c>
      <c r="AI1158">
        <f>IF($W1158="","",IFERROR(INDEX(IF($T1158&lt;=60,est05_s,est519_s),MATCH($W1158,IF($T1158&lt;=60,est05_k,est519_k),1)),""))</f>
        <v/>
      </c>
      <c r="AJ1158">
        <f>IF($W1158="","",IFERROR(INDEX(IF($T1158&lt;=60,peso05_l,peso510_l),MATCH($W1158,IF($T1158&lt;=60,peso05_k,peso510_k),1)),""))</f>
        <v/>
      </c>
      <c r="AK1158">
        <f>IF($W1158="","",IFERROR(INDEX(IF($T1158&lt;=60,peso05_m,peso510_m),MATCH($W1158,IF($T1158&lt;=60,peso05_k,peso510_k),1)),""))</f>
        <v/>
      </c>
      <c r="AL1158">
        <f>IF($W1158="","",IFERROR(INDEX(IF($T1158&lt;=60,peso05_s,peso510_s),MATCH($W1158,IF($T1158&lt;=60,peso05_k,peso510_k),1)),""))</f>
        <v/>
      </c>
      <c r="AM1158">
        <f>IF($AJ1158="","",IF($AJ1158=0,LN($F1158/$AK1158)/$AL1158,((($F1158/$AK1158)^$AJ1158)-1)/($AJ1158*$AL1158)))</f>
        <v/>
      </c>
      <c r="AN1158">
        <f>IF($AJ1158="","",IF($AJ1158=0,$AK1158*EXP($AL1158*2),$AK1158*(1+$AJ1158*$AL1158*2)^(1/$AJ1158)))</f>
        <v/>
      </c>
      <c r="AO1158">
        <f>IF($AJ1158="","",IF($AJ1158=0,$AK1158*EXP($AL1158*3),$AK1158*(1+$AJ1158*$AL1158*3)^(1/$AJ1158)))</f>
        <v/>
      </c>
      <c r="AP1158">
        <f>IF($AJ1158="","",IF($AJ1158=0,$AK1158*EXP($AL1158*-2),$AK1158*(1+$AJ1158*$AL1158*-2)^(1/$AJ1158)))</f>
        <v/>
      </c>
      <c r="AQ1158">
        <f>IF($AJ1158="","",IF($AJ1158=0,$AK1158*EXP($AL1158*-3),$AK1158*(1+$AJ1158*$AL1158*-3)^(1/$AJ1158)))</f>
        <v/>
      </c>
      <c r="AR1158">
        <f>IF(OR($X1158="",$T1158&gt;60),"",IFERROR(INDEX(IF($T1158&lt;24,pcomp_l,palt_l),MATCH($X1158,IF($T1158&lt;24,pcomp_k,palt_k),1)),""))</f>
        <v/>
      </c>
      <c r="AS1158">
        <f>IF(OR($X1158="",$T1158&gt;60),"",IFERROR(INDEX(IF($T1158&lt;24,pcomp_m,palt_m),MATCH($X1158,IF($T1158&lt;24,pcomp_k,palt_k),1)),""))</f>
        <v/>
      </c>
      <c r="AT1158">
        <f>IF(OR($X1158="",$T1158&gt;60),"",IFERROR(INDEX(IF($T1158&lt;24,pcomp_s,palt_s),MATCH($X1158,IF($T1158&lt;24,pcomp_k,palt_k),1)),""))</f>
        <v/>
      </c>
      <c r="AU1158">
        <f>IF($AR1158="","",IF($AR1158=0,LN($F1158/$AS1158)/$AT1158,((($F1158/$AS1158)^$AR1158)-1)/($AR1158*$AT1158)))</f>
        <v/>
      </c>
      <c r="AV1158">
        <f>IF($AR1158="","",IF($AR1158=0,$AS1158*EXP($AT1158*2),$AS1158*(1+$AR1158*$AT1158*2)^(1/$AR1158)))</f>
        <v/>
      </c>
      <c r="AW1158">
        <f>IF($AR1158="","",IF($AR1158=0,$AS1158*EXP($AT1158*3),$AS1158*(1+$AR1158*$AT1158*3)^(1/$AR1158)))</f>
        <v/>
      </c>
      <c r="AX1158">
        <f>IF($AR1158="","",IF($AR1158=0,$AS1158*EXP($AT1158*-2),$AS1158*(1+$AR1158*$AT1158*-2)^(1/$AR1158)))</f>
        <v/>
      </c>
      <c r="AY1158">
        <f>IF($AR1158="","",IF($AR1158=0,$AS1158*EXP($AT1158*-3),$AS1158*(1+$AR1158*$AT1158*-3)^(1/$AR1158)))</f>
        <v/>
      </c>
      <c r="AZ1158">
        <f>IF(OR($A1158="",$A1158&lt;&gt;Ficha!$C$4),"",COUNTIF($A$2:$A1158,Ficha!$C$4))</f>
        <v/>
      </c>
    </row>
    <row r="1159">
      <c r="A1159" s="8">
        <f>IF(INDEX(Banco!$A:$A,ROW())="","",INDEX(Banco!$A:$A,ROW()))</f>
        <v/>
      </c>
      <c r="B1159" s="8">
        <f>IF(INDEX(Banco!$B:$B,ROW())="","",INDEX(Banco!$B:$B,ROW()))</f>
        <v/>
      </c>
      <c r="C1159" s="8">
        <f>IF(INDEX(Banco!$C:$C,ROW())="","",INDEX(Banco!$C:$C,ROW()))</f>
        <v/>
      </c>
      <c r="D1159" s="9">
        <f>IF(INDEX(Banco!$D:$D,ROW())="","",INDEX(Banco!$D:$D,ROW()))</f>
        <v/>
      </c>
      <c r="E1159" s="9">
        <f>IF(INDEX(Banco!$E:$E,ROW())="","",INDEX(Banco!$E:$E,ROW()))</f>
        <v/>
      </c>
      <c r="F1159" s="10">
        <f>IF(INDEX(Banco!$F:$F,ROW())="","",INDEX(Banco!$F:$F,ROW()))</f>
        <v/>
      </c>
      <c r="G1159" s="10">
        <f>IF(INDEX(Banco!$G:$G,ROW())="","",INDEX(Banco!$G:$G,ROW()))</f>
        <v/>
      </c>
      <c r="H1159" s="8">
        <f>IF(INDEX(Banco!$H:$H,ROW())="","",INDEX(Banco!$H:$H,ROW()))</f>
        <v/>
      </c>
      <c r="I1159">
        <f>IF($T1159="","",INT($T1159/12)&amp;"a "&amp;MOD($T1159,12)&amp;"m")</f>
        <v/>
      </c>
      <c r="J1159" s="11">
        <f>IF(OR($F1159="",$G1159=""),"",ROUND($F1159/($G1159/100)^2,2))</f>
        <v/>
      </c>
      <c r="K1159" s="12">
        <f>IF(OR($S1159="",$J1159="",$T1159="",$T1159&lt;0,$T1159&gt;228,$Y1159=""),"—",ROUND(IF(ABS($AB1159)&lt;=3,$AB1159,IF($AB1159&gt;3,3+($J1159-$AD1159)/($AD1159-$AC1159),-3+($J1159-$AF1159)/($AE1159-$AF1159))),2))</f>
        <v/>
      </c>
      <c r="L1159">
        <f>IF(OR($K1159="",$K1159="—"),"",IF($T1159&lt;=60,IF($K1159&lt;-3,"Magreza acentuada",IF($K1159&lt;-2,"Magreza",IF($K1159&lt;=1,"Eutrofia",IF($K1159&lt;=2,"Risco de sobrepeso",IF($K1159&lt;=3,"Sobrepeso","Obesidade"))))),IF($K1159&lt;-3,"Magreza acentuada",IF($K1159&lt;-2,"Magreza",IF($K1159&lt;=1,"Eutrofia",IF($K1159&lt;=2,"Sobrepeso",IF($K1159&lt;=3,"Obesidade","Obesidade grave")))))))</f>
        <v/>
      </c>
      <c r="M1159" s="12">
        <f>IF(OR($S1159="",$V1159="",$T1159="",$T1159&lt;0,$T1159&gt;228,$AG1159=""),"—",ROUND(IF($AG1159=0,LN($V1159/$AH1159)/$AI1159,((($V1159/$AH1159)^$AG1159)-1)/($AG1159*$AI1159)),2))</f>
        <v/>
      </c>
      <c r="N1159">
        <f>IF(OR($M1159="",$M1159="—"),"",IF($M1159&lt;-3,"Muito baixa",IF($M1159&lt;-2,"Baixa","Adequada")))</f>
        <v/>
      </c>
      <c r="O1159" s="12">
        <f>IF(OR($S1159="",$F1159="",$T1159="",$T1159&lt;0,$T1159&gt;120,$AJ1159=""),"—",ROUND(IF(ABS($AM1159)&lt;=3,$AM1159,IF($AM1159&gt;3,3+($F1159-$AO1159)/($AO1159-$AN1159),-3+($F1159-$AQ1159)/($AP1159-$AQ1159))),2))</f>
        <v/>
      </c>
      <c r="P1159">
        <f>IF(OR($O1159="",$O1159="—"),"",IF($O1159&lt;-3,"Muito baixo",IF($O1159&lt;-2,"Baixo",IF($O1159&lt;=2,"Adequado","Elevado"))))</f>
        <v/>
      </c>
      <c r="Q1159" s="12">
        <f>IF(OR($S1159="",$F1159="",$T1159="",$T1159&lt;0,$T1159&gt;60,$AR1159=""),"—",ROUND(IF(ABS($AU1159)&lt;=3,$AU1159,IF($AU1159&gt;3,3+($F1159-$AW1159)/($AW1159-$AV1159),-3+($F1159-$AY1159)/($AX1159-$AY1159))),2))</f>
        <v/>
      </c>
      <c r="R1159">
        <f>IF(OR($Q1159="",$Q1159="—"),"",IF($Q1159&lt;-3,"Magreza acentuada",IF($Q1159&lt;-2,"Magreza",IF($Q1159&lt;=1,"Eutrofia",IF($Q1159&lt;=2,"Risco de sobrepeso",IF($Q1159&lt;=3,"Sobrepeso","Obesidade"))))))</f>
        <v/>
      </c>
      <c r="S1159">
        <f>IF($C1159="","",IF(UPPER(LEFT($C1159,1))="M",1,IF(UPPER(LEFT($C1159,1))="F",2,"")))</f>
        <v/>
      </c>
      <c r="T1159">
        <f>IF(OR($D1159="",$E1159=""),"",DATEDIF($D1159,$E1159,"m"))</f>
        <v/>
      </c>
      <c r="U1159">
        <f>IF(OR($D1159="",$E1159=""),"",$E1159-$D1159)</f>
        <v/>
      </c>
      <c r="V1159">
        <f>IF(OR($G1159="",$T1159=""),"",IF($T1159&lt;24,IF(LEFT(LOWER($H1159),4)="em p",$G1159+0.7,$G1159),IF(LEFT(LOWER($H1159),4)="deit",$G1159-0.7,$G1159)))</f>
        <v/>
      </c>
      <c r="W1159">
        <f>IF(OR($S1159="",$T1159=""),"",$S1159*1000000+IF($T1159&lt;=60,$U1159,$T1159))</f>
        <v/>
      </c>
      <c r="X1159">
        <f>IF(OR($S1159="",$V1159="",$T1159&gt;60,$T1159=""),"",$S1159*1000000+ROUND($V1159*10,0))</f>
        <v/>
      </c>
      <c r="Y1159">
        <f>IF($W1159="","",IFERROR(INDEX(IF($T1159&lt;=60,imc05_l,imc519_l),MATCH($W1159,IF($T1159&lt;=60,imc05_k,imc519_k),1)),""))</f>
        <v/>
      </c>
      <c r="Z1159">
        <f>IF($W1159="","",IFERROR(INDEX(IF($T1159&lt;=60,imc05_m,imc519_m),MATCH($W1159,IF($T1159&lt;=60,imc05_k,imc519_k),1)),""))</f>
        <v/>
      </c>
      <c r="AA1159">
        <f>IF($W1159="","",IFERROR(INDEX(IF($T1159&lt;=60,imc05_s,imc519_s),MATCH($W1159,IF($T1159&lt;=60,imc05_k,imc519_k),1)),""))</f>
        <v/>
      </c>
      <c r="AB1159">
        <f>IF($Y1159="","",IF($Y1159=0,LN($J1159/$Z1159)/$AA1159,((($J1159/$Z1159)^$Y1159)-1)/($Y1159*$AA1159)))</f>
        <v/>
      </c>
      <c r="AC1159">
        <f>IF($Y1159="","",IF($Y1159=0,$Z1159*EXP($AA1159*2),$Z1159*(1+$Y1159*$AA1159*2)^(1/$Y1159)))</f>
        <v/>
      </c>
      <c r="AD1159">
        <f>IF($Y1159="","",IF($Y1159=0,$Z1159*EXP($AA1159*3),$Z1159*(1+$Y1159*$AA1159*3)^(1/$Y1159)))</f>
        <v/>
      </c>
      <c r="AE1159">
        <f>IF($Y1159="","",IF($Y1159=0,$Z1159*EXP($AA1159*-2),$Z1159*(1+$Y1159*$AA1159*-2)^(1/$Y1159)))</f>
        <v/>
      </c>
      <c r="AF1159">
        <f>IF($Y1159="","",IF($Y1159=0,$Z1159*EXP($AA1159*-3),$Z1159*(1+$Y1159*$AA1159*-3)^(1/$Y1159)))</f>
        <v/>
      </c>
      <c r="AG1159">
        <f>IF($W1159="","",IFERROR(INDEX(IF($T1159&lt;=60,est05_l,est519_l),MATCH($W1159,IF($T1159&lt;=60,est05_k,est519_k),1)),""))</f>
        <v/>
      </c>
      <c r="AH1159">
        <f>IF($W1159="","",IFERROR(INDEX(IF($T1159&lt;=60,est05_m,est519_m),MATCH($W1159,IF($T1159&lt;=60,est05_k,est519_k),1)),""))</f>
        <v/>
      </c>
      <c r="AI1159">
        <f>IF($W1159="","",IFERROR(INDEX(IF($T1159&lt;=60,est05_s,est519_s),MATCH($W1159,IF($T1159&lt;=60,est05_k,est519_k),1)),""))</f>
        <v/>
      </c>
      <c r="AJ1159">
        <f>IF($W1159="","",IFERROR(INDEX(IF($T1159&lt;=60,peso05_l,peso510_l),MATCH($W1159,IF($T1159&lt;=60,peso05_k,peso510_k),1)),""))</f>
        <v/>
      </c>
      <c r="AK1159">
        <f>IF($W1159="","",IFERROR(INDEX(IF($T1159&lt;=60,peso05_m,peso510_m),MATCH($W1159,IF($T1159&lt;=60,peso05_k,peso510_k),1)),""))</f>
        <v/>
      </c>
      <c r="AL1159">
        <f>IF($W1159="","",IFERROR(INDEX(IF($T1159&lt;=60,peso05_s,peso510_s),MATCH($W1159,IF($T1159&lt;=60,peso05_k,peso510_k),1)),""))</f>
        <v/>
      </c>
      <c r="AM1159">
        <f>IF($AJ1159="","",IF($AJ1159=0,LN($F1159/$AK1159)/$AL1159,((($F1159/$AK1159)^$AJ1159)-1)/($AJ1159*$AL1159)))</f>
        <v/>
      </c>
      <c r="AN1159">
        <f>IF($AJ1159="","",IF($AJ1159=0,$AK1159*EXP($AL1159*2),$AK1159*(1+$AJ1159*$AL1159*2)^(1/$AJ1159)))</f>
        <v/>
      </c>
      <c r="AO1159">
        <f>IF($AJ1159="","",IF($AJ1159=0,$AK1159*EXP($AL1159*3),$AK1159*(1+$AJ1159*$AL1159*3)^(1/$AJ1159)))</f>
        <v/>
      </c>
      <c r="AP1159">
        <f>IF($AJ1159="","",IF($AJ1159=0,$AK1159*EXP($AL1159*-2),$AK1159*(1+$AJ1159*$AL1159*-2)^(1/$AJ1159)))</f>
        <v/>
      </c>
      <c r="AQ1159">
        <f>IF($AJ1159="","",IF($AJ1159=0,$AK1159*EXP($AL1159*-3),$AK1159*(1+$AJ1159*$AL1159*-3)^(1/$AJ1159)))</f>
        <v/>
      </c>
      <c r="AR1159">
        <f>IF(OR($X1159="",$T1159&gt;60),"",IFERROR(INDEX(IF($T1159&lt;24,pcomp_l,palt_l),MATCH($X1159,IF($T1159&lt;24,pcomp_k,palt_k),1)),""))</f>
        <v/>
      </c>
      <c r="AS1159">
        <f>IF(OR($X1159="",$T1159&gt;60),"",IFERROR(INDEX(IF($T1159&lt;24,pcomp_m,palt_m),MATCH($X1159,IF($T1159&lt;24,pcomp_k,palt_k),1)),""))</f>
        <v/>
      </c>
      <c r="AT1159">
        <f>IF(OR($X1159="",$T1159&gt;60),"",IFERROR(INDEX(IF($T1159&lt;24,pcomp_s,palt_s),MATCH($X1159,IF($T1159&lt;24,pcomp_k,palt_k),1)),""))</f>
        <v/>
      </c>
      <c r="AU1159">
        <f>IF($AR1159="","",IF($AR1159=0,LN($F1159/$AS1159)/$AT1159,((($F1159/$AS1159)^$AR1159)-1)/($AR1159*$AT1159)))</f>
        <v/>
      </c>
      <c r="AV1159">
        <f>IF($AR1159="","",IF($AR1159=0,$AS1159*EXP($AT1159*2),$AS1159*(1+$AR1159*$AT1159*2)^(1/$AR1159)))</f>
        <v/>
      </c>
      <c r="AW1159">
        <f>IF($AR1159="","",IF($AR1159=0,$AS1159*EXP($AT1159*3),$AS1159*(1+$AR1159*$AT1159*3)^(1/$AR1159)))</f>
        <v/>
      </c>
      <c r="AX1159">
        <f>IF($AR1159="","",IF($AR1159=0,$AS1159*EXP($AT1159*-2),$AS1159*(1+$AR1159*$AT1159*-2)^(1/$AR1159)))</f>
        <v/>
      </c>
      <c r="AY1159">
        <f>IF($AR1159="","",IF($AR1159=0,$AS1159*EXP($AT1159*-3),$AS1159*(1+$AR1159*$AT1159*-3)^(1/$AR1159)))</f>
        <v/>
      </c>
      <c r="AZ1159">
        <f>IF(OR($A1159="",$A1159&lt;&gt;Ficha!$C$4),"",COUNTIF($A$2:$A1159,Ficha!$C$4))</f>
        <v/>
      </c>
    </row>
    <row r="1160">
      <c r="A1160" s="8">
        <f>IF(INDEX(Banco!$A:$A,ROW())="","",INDEX(Banco!$A:$A,ROW()))</f>
        <v/>
      </c>
      <c r="B1160" s="8">
        <f>IF(INDEX(Banco!$B:$B,ROW())="","",INDEX(Banco!$B:$B,ROW()))</f>
        <v/>
      </c>
      <c r="C1160" s="8">
        <f>IF(INDEX(Banco!$C:$C,ROW())="","",INDEX(Banco!$C:$C,ROW()))</f>
        <v/>
      </c>
      <c r="D1160" s="9">
        <f>IF(INDEX(Banco!$D:$D,ROW())="","",INDEX(Banco!$D:$D,ROW()))</f>
        <v/>
      </c>
      <c r="E1160" s="9">
        <f>IF(INDEX(Banco!$E:$E,ROW())="","",INDEX(Banco!$E:$E,ROW()))</f>
        <v/>
      </c>
      <c r="F1160" s="10">
        <f>IF(INDEX(Banco!$F:$F,ROW())="","",INDEX(Banco!$F:$F,ROW()))</f>
        <v/>
      </c>
      <c r="G1160" s="10">
        <f>IF(INDEX(Banco!$G:$G,ROW())="","",INDEX(Banco!$G:$G,ROW()))</f>
        <v/>
      </c>
      <c r="H1160" s="8">
        <f>IF(INDEX(Banco!$H:$H,ROW())="","",INDEX(Banco!$H:$H,ROW()))</f>
        <v/>
      </c>
      <c r="I1160">
        <f>IF($T1160="","",INT($T1160/12)&amp;"a "&amp;MOD($T1160,12)&amp;"m")</f>
        <v/>
      </c>
      <c r="J1160" s="11">
        <f>IF(OR($F1160="",$G1160=""),"",ROUND($F1160/($G1160/100)^2,2))</f>
        <v/>
      </c>
      <c r="K1160" s="12">
        <f>IF(OR($S1160="",$J1160="",$T1160="",$T1160&lt;0,$T1160&gt;228,$Y1160=""),"—",ROUND(IF(ABS($AB1160)&lt;=3,$AB1160,IF($AB1160&gt;3,3+($J1160-$AD1160)/($AD1160-$AC1160),-3+($J1160-$AF1160)/($AE1160-$AF1160))),2))</f>
        <v/>
      </c>
      <c r="L1160">
        <f>IF(OR($K1160="",$K1160="—"),"",IF($T1160&lt;=60,IF($K1160&lt;-3,"Magreza acentuada",IF($K1160&lt;-2,"Magreza",IF($K1160&lt;=1,"Eutrofia",IF($K1160&lt;=2,"Risco de sobrepeso",IF($K1160&lt;=3,"Sobrepeso","Obesidade"))))),IF($K1160&lt;-3,"Magreza acentuada",IF($K1160&lt;-2,"Magreza",IF($K1160&lt;=1,"Eutrofia",IF($K1160&lt;=2,"Sobrepeso",IF($K1160&lt;=3,"Obesidade","Obesidade grave")))))))</f>
        <v/>
      </c>
      <c r="M1160" s="12">
        <f>IF(OR($S1160="",$V1160="",$T1160="",$T1160&lt;0,$T1160&gt;228,$AG1160=""),"—",ROUND(IF($AG1160=0,LN($V1160/$AH1160)/$AI1160,((($V1160/$AH1160)^$AG1160)-1)/($AG1160*$AI1160)),2))</f>
        <v/>
      </c>
      <c r="N1160">
        <f>IF(OR($M1160="",$M1160="—"),"",IF($M1160&lt;-3,"Muito baixa",IF($M1160&lt;-2,"Baixa","Adequada")))</f>
        <v/>
      </c>
      <c r="O1160" s="12">
        <f>IF(OR($S1160="",$F1160="",$T1160="",$T1160&lt;0,$T1160&gt;120,$AJ1160=""),"—",ROUND(IF(ABS($AM1160)&lt;=3,$AM1160,IF($AM1160&gt;3,3+($F1160-$AO1160)/($AO1160-$AN1160),-3+($F1160-$AQ1160)/($AP1160-$AQ1160))),2))</f>
        <v/>
      </c>
      <c r="P1160">
        <f>IF(OR($O1160="",$O1160="—"),"",IF($O1160&lt;-3,"Muito baixo",IF($O1160&lt;-2,"Baixo",IF($O1160&lt;=2,"Adequado","Elevado"))))</f>
        <v/>
      </c>
      <c r="Q1160" s="12">
        <f>IF(OR($S1160="",$F1160="",$T1160="",$T1160&lt;0,$T1160&gt;60,$AR1160=""),"—",ROUND(IF(ABS($AU1160)&lt;=3,$AU1160,IF($AU1160&gt;3,3+($F1160-$AW1160)/($AW1160-$AV1160),-3+($F1160-$AY1160)/($AX1160-$AY1160))),2))</f>
        <v/>
      </c>
      <c r="R1160">
        <f>IF(OR($Q1160="",$Q1160="—"),"",IF($Q1160&lt;-3,"Magreza acentuada",IF($Q1160&lt;-2,"Magreza",IF($Q1160&lt;=1,"Eutrofia",IF($Q1160&lt;=2,"Risco de sobrepeso",IF($Q1160&lt;=3,"Sobrepeso","Obesidade"))))))</f>
        <v/>
      </c>
      <c r="S1160">
        <f>IF($C1160="","",IF(UPPER(LEFT($C1160,1))="M",1,IF(UPPER(LEFT($C1160,1))="F",2,"")))</f>
        <v/>
      </c>
      <c r="T1160">
        <f>IF(OR($D1160="",$E1160=""),"",DATEDIF($D1160,$E1160,"m"))</f>
        <v/>
      </c>
      <c r="U1160">
        <f>IF(OR($D1160="",$E1160=""),"",$E1160-$D1160)</f>
        <v/>
      </c>
      <c r="V1160">
        <f>IF(OR($G1160="",$T1160=""),"",IF($T1160&lt;24,IF(LEFT(LOWER($H1160),4)="em p",$G1160+0.7,$G1160),IF(LEFT(LOWER($H1160),4)="deit",$G1160-0.7,$G1160)))</f>
        <v/>
      </c>
      <c r="W1160">
        <f>IF(OR($S1160="",$T1160=""),"",$S1160*1000000+IF($T1160&lt;=60,$U1160,$T1160))</f>
        <v/>
      </c>
      <c r="X1160">
        <f>IF(OR($S1160="",$V1160="",$T1160&gt;60,$T1160=""),"",$S1160*1000000+ROUND($V1160*10,0))</f>
        <v/>
      </c>
      <c r="Y1160">
        <f>IF($W1160="","",IFERROR(INDEX(IF($T1160&lt;=60,imc05_l,imc519_l),MATCH($W1160,IF($T1160&lt;=60,imc05_k,imc519_k),1)),""))</f>
        <v/>
      </c>
      <c r="Z1160">
        <f>IF($W1160="","",IFERROR(INDEX(IF($T1160&lt;=60,imc05_m,imc519_m),MATCH($W1160,IF($T1160&lt;=60,imc05_k,imc519_k),1)),""))</f>
        <v/>
      </c>
      <c r="AA1160">
        <f>IF($W1160="","",IFERROR(INDEX(IF($T1160&lt;=60,imc05_s,imc519_s),MATCH($W1160,IF($T1160&lt;=60,imc05_k,imc519_k),1)),""))</f>
        <v/>
      </c>
      <c r="AB1160">
        <f>IF($Y1160="","",IF($Y1160=0,LN($J1160/$Z1160)/$AA1160,((($J1160/$Z1160)^$Y1160)-1)/($Y1160*$AA1160)))</f>
        <v/>
      </c>
      <c r="AC1160">
        <f>IF($Y1160="","",IF($Y1160=0,$Z1160*EXP($AA1160*2),$Z1160*(1+$Y1160*$AA1160*2)^(1/$Y1160)))</f>
        <v/>
      </c>
      <c r="AD1160">
        <f>IF($Y1160="","",IF($Y1160=0,$Z1160*EXP($AA1160*3),$Z1160*(1+$Y1160*$AA1160*3)^(1/$Y1160)))</f>
        <v/>
      </c>
      <c r="AE1160">
        <f>IF($Y1160="","",IF($Y1160=0,$Z1160*EXP($AA1160*-2),$Z1160*(1+$Y1160*$AA1160*-2)^(1/$Y1160)))</f>
        <v/>
      </c>
      <c r="AF1160">
        <f>IF($Y1160="","",IF($Y1160=0,$Z1160*EXP($AA1160*-3),$Z1160*(1+$Y1160*$AA1160*-3)^(1/$Y1160)))</f>
        <v/>
      </c>
      <c r="AG1160">
        <f>IF($W1160="","",IFERROR(INDEX(IF($T1160&lt;=60,est05_l,est519_l),MATCH($W1160,IF($T1160&lt;=60,est05_k,est519_k),1)),""))</f>
        <v/>
      </c>
      <c r="AH1160">
        <f>IF($W1160="","",IFERROR(INDEX(IF($T1160&lt;=60,est05_m,est519_m),MATCH($W1160,IF($T1160&lt;=60,est05_k,est519_k),1)),""))</f>
        <v/>
      </c>
      <c r="AI1160">
        <f>IF($W1160="","",IFERROR(INDEX(IF($T1160&lt;=60,est05_s,est519_s),MATCH($W1160,IF($T1160&lt;=60,est05_k,est519_k),1)),""))</f>
        <v/>
      </c>
      <c r="AJ1160">
        <f>IF($W1160="","",IFERROR(INDEX(IF($T1160&lt;=60,peso05_l,peso510_l),MATCH($W1160,IF($T1160&lt;=60,peso05_k,peso510_k),1)),""))</f>
        <v/>
      </c>
      <c r="AK1160">
        <f>IF($W1160="","",IFERROR(INDEX(IF($T1160&lt;=60,peso05_m,peso510_m),MATCH($W1160,IF($T1160&lt;=60,peso05_k,peso510_k),1)),""))</f>
        <v/>
      </c>
      <c r="AL1160">
        <f>IF($W1160="","",IFERROR(INDEX(IF($T1160&lt;=60,peso05_s,peso510_s),MATCH($W1160,IF($T1160&lt;=60,peso05_k,peso510_k),1)),""))</f>
        <v/>
      </c>
      <c r="AM1160">
        <f>IF($AJ1160="","",IF($AJ1160=0,LN($F1160/$AK1160)/$AL1160,((($F1160/$AK1160)^$AJ1160)-1)/($AJ1160*$AL1160)))</f>
        <v/>
      </c>
      <c r="AN1160">
        <f>IF($AJ1160="","",IF($AJ1160=0,$AK1160*EXP($AL1160*2),$AK1160*(1+$AJ1160*$AL1160*2)^(1/$AJ1160)))</f>
        <v/>
      </c>
      <c r="AO1160">
        <f>IF($AJ1160="","",IF($AJ1160=0,$AK1160*EXP($AL1160*3),$AK1160*(1+$AJ1160*$AL1160*3)^(1/$AJ1160)))</f>
        <v/>
      </c>
      <c r="AP1160">
        <f>IF($AJ1160="","",IF($AJ1160=0,$AK1160*EXP($AL1160*-2),$AK1160*(1+$AJ1160*$AL1160*-2)^(1/$AJ1160)))</f>
        <v/>
      </c>
      <c r="AQ1160">
        <f>IF($AJ1160="","",IF($AJ1160=0,$AK1160*EXP($AL1160*-3),$AK1160*(1+$AJ1160*$AL1160*-3)^(1/$AJ1160)))</f>
        <v/>
      </c>
      <c r="AR1160">
        <f>IF(OR($X1160="",$T1160&gt;60),"",IFERROR(INDEX(IF($T1160&lt;24,pcomp_l,palt_l),MATCH($X1160,IF($T1160&lt;24,pcomp_k,palt_k),1)),""))</f>
        <v/>
      </c>
      <c r="AS1160">
        <f>IF(OR($X1160="",$T1160&gt;60),"",IFERROR(INDEX(IF($T1160&lt;24,pcomp_m,palt_m),MATCH($X1160,IF($T1160&lt;24,pcomp_k,palt_k),1)),""))</f>
        <v/>
      </c>
      <c r="AT1160">
        <f>IF(OR($X1160="",$T1160&gt;60),"",IFERROR(INDEX(IF($T1160&lt;24,pcomp_s,palt_s),MATCH($X1160,IF($T1160&lt;24,pcomp_k,palt_k),1)),""))</f>
        <v/>
      </c>
      <c r="AU1160">
        <f>IF($AR1160="","",IF($AR1160=0,LN($F1160/$AS1160)/$AT1160,((($F1160/$AS1160)^$AR1160)-1)/($AR1160*$AT1160)))</f>
        <v/>
      </c>
      <c r="AV1160">
        <f>IF($AR1160="","",IF($AR1160=0,$AS1160*EXP($AT1160*2),$AS1160*(1+$AR1160*$AT1160*2)^(1/$AR1160)))</f>
        <v/>
      </c>
      <c r="AW1160">
        <f>IF($AR1160="","",IF($AR1160=0,$AS1160*EXP($AT1160*3),$AS1160*(1+$AR1160*$AT1160*3)^(1/$AR1160)))</f>
        <v/>
      </c>
      <c r="AX1160">
        <f>IF($AR1160="","",IF($AR1160=0,$AS1160*EXP($AT1160*-2),$AS1160*(1+$AR1160*$AT1160*-2)^(1/$AR1160)))</f>
        <v/>
      </c>
      <c r="AY1160">
        <f>IF($AR1160="","",IF($AR1160=0,$AS1160*EXP($AT1160*-3),$AS1160*(1+$AR1160*$AT1160*-3)^(1/$AR1160)))</f>
        <v/>
      </c>
      <c r="AZ1160">
        <f>IF(OR($A1160="",$A1160&lt;&gt;Ficha!$C$4),"",COUNTIF($A$2:$A1160,Ficha!$C$4))</f>
        <v/>
      </c>
    </row>
    <row r="1161">
      <c r="A1161" s="8">
        <f>IF(INDEX(Banco!$A:$A,ROW())="","",INDEX(Banco!$A:$A,ROW()))</f>
        <v/>
      </c>
      <c r="B1161" s="8">
        <f>IF(INDEX(Banco!$B:$B,ROW())="","",INDEX(Banco!$B:$B,ROW()))</f>
        <v/>
      </c>
      <c r="C1161" s="8">
        <f>IF(INDEX(Banco!$C:$C,ROW())="","",INDEX(Banco!$C:$C,ROW()))</f>
        <v/>
      </c>
      <c r="D1161" s="9">
        <f>IF(INDEX(Banco!$D:$D,ROW())="","",INDEX(Banco!$D:$D,ROW()))</f>
        <v/>
      </c>
      <c r="E1161" s="9">
        <f>IF(INDEX(Banco!$E:$E,ROW())="","",INDEX(Banco!$E:$E,ROW()))</f>
        <v/>
      </c>
      <c r="F1161" s="10">
        <f>IF(INDEX(Banco!$F:$F,ROW())="","",INDEX(Banco!$F:$F,ROW()))</f>
        <v/>
      </c>
      <c r="G1161" s="10">
        <f>IF(INDEX(Banco!$G:$G,ROW())="","",INDEX(Banco!$G:$G,ROW()))</f>
        <v/>
      </c>
      <c r="H1161" s="8">
        <f>IF(INDEX(Banco!$H:$H,ROW())="","",INDEX(Banco!$H:$H,ROW()))</f>
        <v/>
      </c>
      <c r="I1161">
        <f>IF($T1161="","",INT($T1161/12)&amp;"a "&amp;MOD($T1161,12)&amp;"m")</f>
        <v/>
      </c>
      <c r="J1161" s="11">
        <f>IF(OR($F1161="",$G1161=""),"",ROUND($F1161/($G1161/100)^2,2))</f>
        <v/>
      </c>
      <c r="K1161" s="12">
        <f>IF(OR($S1161="",$J1161="",$T1161="",$T1161&lt;0,$T1161&gt;228,$Y1161=""),"—",ROUND(IF(ABS($AB1161)&lt;=3,$AB1161,IF($AB1161&gt;3,3+($J1161-$AD1161)/($AD1161-$AC1161),-3+($J1161-$AF1161)/($AE1161-$AF1161))),2))</f>
        <v/>
      </c>
      <c r="L1161">
        <f>IF(OR($K1161="",$K1161="—"),"",IF($T1161&lt;=60,IF($K1161&lt;-3,"Magreza acentuada",IF($K1161&lt;-2,"Magreza",IF($K1161&lt;=1,"Eutrofia",IF($K1161&lt;=2,"Risco de sobrepeso",IF($K1161&lt;=3,"Sobrepeso","Obesidade"))))),IF($K1161&lt;-3,"Magreza acentuada",IF($K1161&lt;-2,"Magreza",IF($K1161&lt;=1,"Eutrofia",IF($K1161&lt;=2,"Sobrepeso",IF($K1161&lt;=3,"Obesidade","Obesidade grave")))))))</f>
        <v/>
      </c>
      <c r="M1161" s="12">
        <f>IF(OR($S1161="",$V1161="",$T1161="",$T1161&lt;0,$T1161&gt;228,$AG1161=""),"—",ROUND(IF($AG1161=0,LN($V1161/$AH1161)/$AI1161,((($V1161/$AH1161)^$AG1161)-1)/($AG1161*$AI1161)),2))</f>
        <v/>
      </c>
      <c r="N1161">
        <f>IF(OR($M1161="",$M1161="—"),"",IF($M1161&lt;-3,"Muito baixa",IF($M1161&lt;-2,"Baixa","Adequada")))</f>
        <v/>
      </c>
      <c r="O1161" s="12">
        <f>IF(OR($S1161="",$F1161="",$T1161="",$T1161&lt;0,$T1161&gt;120,$AJ1161=""),"—",ROUND(IF(ABS($AM1161)&lt;=3,$AM1161,IF($AM1161&gt;3,3+($F1161-$AO1161)/($AO1161-$AN1161),-3+($F1161-$AQ1161)/($AP1161-$AQ1161))),2))</f>
        <v/>
      </c>
      <c r="P1161">
        <f>IF(OR($O1161="",$O1161="—"),"",IF($O1161&lt;-3,"Muito baixo",IF($O1161&lt;-2,"Baixo",IF($O1161&lt;=2,"Adequado","Elevado"))))</f>
        <v/>
      </c>
      <c r="Q1161" s="12">
        <f>IF(OR($S1161="",$F1161="",$T1161="",$T1161&lt;0,$T1161&gt;60,$AR1161=""),"—",ROUND(IF(ABS($AU1161)&lt;=3,$AU1161,IF($AU1161&gt;3,3+($F1161-$AW1161)/($AW1161-$AV1161),-3+($F1161-$AY1161)/($AX1161-$AY1161))),2))</f>
        <v/>
      </c>
      <c r="R1161">
        <f>IF(OR($Q1161="",$Q1161="—"),"",IF($Q1161&lt;-3,"Magreza acentuada",IF($Q1161&lt;-2,"Magreza",IF($Q1161&lt;=1,"Eutrofia",IF($Q1161&lt;=2,"Risco de sobrepeso",IF($Q1161&lt;=3,"Sobrepeso","Obesidade"))))))</f>
        <v/>
      </c>
      <c r="S1161">
        <f>IF($C1161="","",IF(UPPER(LEFT($C1161,1))="M",1,IF(UPPER(LEFT($C1161,1))="F",2,"")))</f>
        <v/>
      </c>
      <c r="T1161">
        <f>IF(OR($D1161="",$E1161=""),"",DATEDIF($D1161,$E1161,"m"))</f>
        <v/>
      </c>
      <c r="U1161">
        <f>IF(OR($D1161="",$E1161=""),"",$E1161-$D1161)</f>
        <v/>
      </c>
      <c r="V1161">
        <f>IF(OR($G1161="",$T1161=""),"",IF($T1161&lt;24,IF(LEFT(LOWER($H1161),4)="em p",$G1161+0.7,$G1161),IF(LEFT(LOWER($H1161),4)="deit",$G1161-0.7,$G1161)))</f>
        <v/>
      </c>
      <c r="W1161">
        <f>IF(OR($S1161="",$T1161=""),"",$S1161*1000000+IF($T1161&lt;=60,$U1161,$T1161))</f>
        <v/>
      </c>
      <c r="X1161">
        <f>IF(OR($S1161="",$V1161="",$T1161&gt;60,$T1161=""),"",$S1161*1000000+ROUND($V1161*10,0))</f>
        <v/>
      </c>
      <c r="Y1161">
        <f>IF($W1161="","",IFERROR(INDEX(IF($T1161&lt;=60,imc05_l,imc519_l),MATCH($W1161,IF($T1161&lt;=60,imc05_k,imc519_k),1)),""))</f>
        <v/>
      </c>
      <c r="Z1161">
        <f>IF($W1161="","",IFERROR(INDEX(IF($T1161&lt;=60,imc05_m,imc519_m),MATCH($W1161,IF($T1161&lt;=60,imc05_k,imc519_k),1)),""))</f>
        <v/>
      </c>
      <c r="AA1161">
        <f>IF($W1161="","",IFERROR(INDEX(IF($T1161&lt;=60,imc05_s,imc519_s),MATCH($W1161,IF($T1161&lt;=60,imc05_k,imc519_k),1)),""))</f>
        <v/>
      </c>
      <c r="AB1161">
        <f>IF($Y1161="","",IF($Y1161=0,LN($J1161/$Z1161)/$AA1161,((($J1161/$Z1161)^$Y1161)-1)/($Y1161*$AA1161)))</f>
        <v/>
      </c>
      <c r="AC1161">
        <f>IF($Y1161="","",IF($Y1161=0,$Z1161*EXP($AA1161*2),$Z1161*(1+$Y1161*$AA1161*2)^(1/$Y1161)))</f>
        <v/>
      </c>
      <c r="AD1161">
        <f>IF($Y1161="","",IF($Y1161=0,$Z1161*EXP($AA1161*3),$Z1161*(1+$Y1161*$AA1161*3)^(1/$Y1161)))</f>
        <v/>
      </c>
      <c r="AE1161">
        <f>IF($Y1161="","",IF($Y1161=0,$Z1161*EXP($AA1161*-2),$Z1161*(1+$Y1161*$AA1161*-2)^(1/$Y1161)))</f>
        <v/>
      </c>
      <c r="AF1161">
        <f>IF($Y1161="","",IF($Y1161=0,$Z1161*EXP($AA1161*-3),$Z1161*(1+$Y1161*$AA1161*-3)^(1/$Y1161)))</f>
        <v/>
      </c>
      <c r="AG1161">
        <f>IF($W1161="","",IFERROR(INDEX(IF($T1161&lt;=60,est05_l,est519_l),MATCH($W1161,IF($T1161&lt;=60,est05_k,est519_k),1)),""))</f>
        <v/>
      </c>
      <c r="AH1161">
        <f>IF($W1161="","",IFERROR(INDEX(IF($T1161&lt;=60,est05_m,est519_m),MATCH($W1161,IF($T1161&lt;=60,est05_k,est519_k),1)),""))</f>
        <v/>
      </c>
      <c r="AI1161">
        <f>IF($W1161="","",IFERROR(INDEX(IF($T1161&lt;=60,est05_s,est519_s),MATCH($W1161,IF($T1161&lt;=60,est05_k,est519_k),1)),""))</f>
        <v/>
      </c>
      <c r="AJ1161">
        <f>IF($W1161="","",IFERROR(INDEX(IF($T1161&lt;=60,peso05_l,peso510_l),MATCH($W1161,IF($T1161&lt;=60,peso05_k,peso510_k),1)),""))</f>
        <v/>
      </c>
      <c r="AK1161">
        <f>IF($W1161="","",IFERROR(INDEX(IF($T1161&lt;=60,peso05_m,peso510_m),MATCH($W1161,IF($T1161&lt;=60,peso05_k,peso510_k),1)),""))</f>
        <v/>
      </c>
      <c r="AL1161">
        <f>IF($W1161="","",IFERROR(INDEX(IF($T1161&lt;=60,peso05_s,peso510_s),MATCH($W1161,IF($T1161&lt;=60,peso05_k,peso510_k),1)),""))</f>
        <v/>
      </c>
      <c r="AM1161">
        <f>IF($AJ1161="","",IF($AJ1161=0,LN($F1161/$AK1161)/$AL1161,((($F1161/$AK1161)^$AJ1161)-1)/($AJ1161*$AL1161)))</f>
        <v/>
      </c>
      <c r="AN1161">
        <f>IF($AJ1161="","",IF($AJ1161=0,$AK1161*EXP($AL1161*2),$AK1161*(1+$AJ1161*$AL1161*2)^(1/$AJ1161)))</f>
        <v/>
      </c>
      <c r="AO1161">
        <f>IF($AJ1161="","",IF($AJ1161=0,$AK1161*EXP($AL1161*3),$AK1161*(1+$AJ1161*$AL1161*3)^(1/$AJ1161)))</f>
        <v/>
      </c>
      <c r="AP1161">
        <f>IF($AJ1161="","",IF($AJ1161=0,$AK1161*EXP($AL1161*-2),$AK1161*(1+$AJ1161*$AL1161*-2)^(1/$AJ1161)))</f>
        <v/>
      </c>
      <c r="AQ1161">
        <f>IF($AJ1161="","",IF($AJ1161=0,$AK1161*EXP($AL1161*-3),$AK1161*(1+$AJ1161*$AL1161*-3)^(1/$AJ1161)))</f>
        <v/>
      </c>
      <c r="AR1161">
        <f>IF(OR($X1161="",$T1161&gt;60),"",IFERROR(INDEX(IF($T1161&lt;24,pcomp_l,palt_l),MATCH($X1161,IF($T1161&lt;24,pcomp_k,palt_k),1)),""))</f>
        <v/>
      </c>
      <c r="AS1161">
        <f>IF(OR($X1161="",$T1161&gt;60),"",IFERROR(INDEX(IF($T1161&lt;24,pcomp_m,palt_m),MATCH($X1161,IF($T1161&lt;24,pcomp_k,palt_k),1)),""))</f>
        <v/>
      </c>
      <c r="AT1161">
        <f>IF(OR($X1161="",$T1161&gt;60),"",IFERROR(INDEX(IF($T1161&lt;24,pcomp_s,palt_s),MATCH($X1161,IF($T1161&lt;24,pcomp_k,palt_k),1)),""))</f>
        <v/>
      </c>
      <c r="AU1161">
        <f>IF($AR1161="","",IF($AR1161=0,LN($F1161/$AS1161)/$AT1161,((($F1161/$AS1161)^$AR1161)-1)/($AR1161*$AT1161)))</f>
        <v/>
      </c>
      <c r="AV1161">
        <f>IF($AR1161="","",IF($AR1161=0,$AS1161*EXP($AT1161*2),$AS1161*(1+$AR1161*$AT1161*2)^(1/$AR1161)))</f>
        <v/>
      </c>
      <c r="AW1161">
        <f>IF($AR1161="","",IF($AR1161=0,$AS1161*EXP($AT1161*3),$AS1161*(1+$AR1161*$AT1161*3)^(1/$AR1161)))</f>
        <v/>
      </c>
      <c r="AX1161">
        <f>IF($AR1161="","",IF($AR1161=0,$AS1161*EXP($AT1161*-2),$AS1161*(1+$AR1161*$AT1161*-2)^(1/$AR1161)))</f>
        <v/>
      </c>
      <c r="AY1161">
        <f>IF($AR1161="","",IF($AR1161=0,$AS1161*EXP($AT1161*-3),$AS1161*(1+$AR1161*$AT1161*-3)^(1/$AR1161)))</f>
        <v/>
      </c>
      <c r="AZ1161">
        <f>IF(OR($A1161="",$A1161&lt;&gt;Ficha!$C$4),"",COUNTIF($A$2:$A1161,Ficha!$C$4))</f>
        <v/>
      </c>
    </row>
    <row r="1162">
      <c r="A1162" s="8">
        <f>IF(INDEX(Banco!$A:$A,ROW())="","",INDEX(Banco!$A:$A,ROW()))</f>
        <v/>
      </c>
      <c r="B1162" s="8">
        <f>IF(INDEX(Banco!$B:$B,ROW())="","",INDEX(Banco!$B:$B,ROW()))</f>
        <v/>
      </c>
      <c r="C1162" s="8">
        <f>IF(INDEX(Banco!$C:$C,ROW())="","",INDEX(Banco!$C:$C,ROW()))</f>
        <v/>
      </c>
      <c r="D1162" s="9">
        <f>IF(INDEX(Banco!$D:$D,ROW())="","",INDEX(Banco!$D:$D,ROW()))</f>
        <v/>
      </c>
      <c r="E1162" s="9">
        <f>IF(INDEX(Banco!$E:$E,ROW())="","",INDEX(Banco!$E:$E,ROW()))</f>
        <v/>
      </c>
      <c r="F1162" s="10">
        <f>IF(INDEX(Banco!$F:$F,ROW())="","",INDEX(Banco!$F:$F,ROW()))</f>
        <v/>
      </c>
      <c r="G1162" s="10">
        <f>IF(INDEX(Banco!$G:$G,ROW())="","",INDEX(Banco!$G:$G,ROW()))</f>
        <v/>
      </c>
      <c r="H1162" s="8">
        <f>IF(INDEX(Banco!$H:$H,ROW())="","",INDEX(Banco!$H:$H,ROW()))</f>
        <v/>
      </c>
      <c r="I1162">
        <f>IF($T1162="","",INT($T1162/12)&amp;"a "&amp;MOD($T1162,12)&amp;"m")</f>
        <v/>
      </c>
      <c r="J1162" s="11">
        <f>IF(OR($F1162="",$G1162=""),"",ROUND($F1162/($G1162/100)^2,2))</f>
        <v/>
      </c>
      <c r="K1162" s="12">
        <f>IF(OR($S1162="",$J1162="",$T1162="",$T1162&lt;0,$T1162&gt;228,$Y1162=""),"—",ROUND(IF(ABS($AB1162)&lt;=3,$AB1162,IF($AB1162&gt;3,3+($J1162-$AD1162)/($AD1162-$AC1162),-3+($J1162-$AF1162)/($AE1162-$AF1162))),2))</f>
        <v/>
      </c>
      <c r="L1162">
        <f>IF(OR($K1162="",$K1162="—"),"",IF($T1162&lt;=60,IF($K1162&lt;-3,"Magreza acentuada",IF($K1162&lt;-2,"Magreza",IF($K1162&lt;=1,"Eutrofia",IF($K1162&lt;=2,"Risco de sobrepeso",IF($K1162&lt;=3,"Sobrepeso","Obesidade"))))),IF($K1162&lt;-3,"Magreza acentuada",IF($K1162&lt;-2,"Magreza",IF($K1162&lt;=1,"Eutrofia",IF($K1162&lt;=2,"Sobrepeso",IF($K1162&lt;=3,"Obesidade","Obesidade grave")))))))</f>
        <v/>
      </c>
      <c r="M1162" s="12">
        <f>IF(OR($S1162="",$V1162="",$T1162="",$T1162&lt;0,$T1162&gt;228,$AG1162=""),"—",ROUND(IF($AG1162=0,LN($V1162/$AH1162)/$AI1162,((($V1162/$AH1162)^$AG1162)-1)/($AG1162*$AI1162)),2))</f>
        <v/>
      </c>
      <c r="N1162">
        <f>IF(OR($M1162="",$M1162="—"),"",IF($M1162&lt;-3,"Muito baixa",IF($M1162&lt;-2,"Baixa","Adequada")))</f>
        <v/>
      </c>
      <c r="O1162" s="12">
        <f>IF(OR($S1162="",$F1162="",$T1162="",$T1162&lt;0,$T1162&gt;120,$AJ1162=""),"—",ROUND(IF(ABS($AM1162)&lt;=3,$AM1162,IF($AM1162&gt;3,3+($F1162-$AO1162)/($AO1162-$AN1162),-3+($F1162-$AQ1162)/($AP1162-$AQ1162))),2))</f>
        <v/>
      </c>
      <c r="P1162">
        <f>IF(OR($O1162="",$O1162="—"),"",IF($O1162&lt;-3,"Muito baixo",IF($O1162&lt;-2,"Baixo",IF($O1162&lt;=2,"Adequado","Elevado"))))</f>
        <v/>
      </c>
      <c r="Q1162" s="12">
        <f>IF(OR($S1162="",$F1162="",$T1162="",$T1162&lt;0,$T1162&gt;60,$AR1162=""),"—",ROUND(IF(ABS($AU1162)&lt;=3,$AU1162,IF($AU1162&gt;3,3+($F1162-$AW1162)/($AW1162-$AV1162),-3+($F1162-$AY1162)/($AX1162-$AY1162))),2))</f>
        <v/>
      </c>
      <c r="R1162">
        <f>IF(OR($Q1162="",$Q1162="—"),"",IF($Q1162&lt;-3,"Magreza acentuada",IF($Q1162&lt;-2,"Magreza",IF($Q1162&lt;=1,"Eutrofia",IF($Q1162&lt;=2,"Risco de sobrepeso",IF($Q1162&lt;=3,"Sobrepeso","Obesidade"))))))</f>
        <v/>
      </c>
      <c r="S1162">
        <f>IF($C1162="","",IF(UPPER(LEFT($C1162,1))="M",1,IF(UPPER(LEFT($C1162,1))="F",2,"")))</f>
        <v/>
      </c>
      <c r="T1162">
        <f>IF(OR($D1162="",$E1162=""),"",DATEDIF($D1162,$E1162,"m"))</f>
        <v/>
      </c>
      <c r="U1162">
        <f>IF(OR($D1162="",$E1162=""),"",$E1162-$D1162)</f>
        <v/>
      </c>
      <c r="V1162">
        <f>IF(OR($G1162="",$T1162=""),"",IF($T1162&lt;24,IF(LEFT(LOWER($H1162),4)="em p",$G1162+0.7,$G1162),IF(LEFT(LOWER($H1162),4)="deit",$G1162-0.7,$G1162)))</f>
        <v/>
      </c>
      <c r="W1162">
        <f>IF(OR($S1162="",$T1162=""),"",$S1162*1000000+IF($T1162&lt;=60,$U1162,$T1162))</f>
        <v/>
      </c>
      <c r="X1162">
        <f>IF(OR($S1162="",$V1162="",$T1162&gt;60,$T1162=""),"",$S1162*1000000+ROUND($V1162*10,0))</f>
        <v/>
      </c>
      <c r="Y1162">
        <f>IF($W1162="","",IFERROR(INDEX(IF($T1162&lt;=60,imc05_l,imc519_l),MATCH($W1162,IF($T1162&lt;=60,imc05_k,imc519_k),1)),""))</f>
        <v/>
      </c>
      <c r="Z1162">
        <f>IF($W1162="","",IFERROR(INDEX(IF($T1162&lt;=60,imc05_m,imc519_m),MATCH($W1162,IF($T1162&lt;=60,imc05_k,imc519_k),1)),""))</f>
        <v/>
      </c>
      <c r="AA1162">
        <f>IF($W1162="","",IFERROR(INDEX(IF($T1162&lt;=60,imc05_s,imc519_s),MATCH($W1162,IF($T1162&lt;=60,imc05_k,imc519_k),1)),""))</f>
        <v/>
      </c>
      <c r="AB1162">
        <f>IF($Y1162="","",IF($Y1162=0,LN($J1162/$Z1162)/$AA1162,((($J1162/$Z1162)^$Y1162)-1)/($Y1162*$AA1162)))</f>
        <v/>
      </c>
      <c r="AC1162">
        <f>IF($Y1162="","",IF($Y1162=0,$Z1162*EXP($AA1162*2),$Z1162*(1+$Y1162*$AA1162*2)^(1/$Y1162)))</f>
        <v/>
      </c>
      <c r="AD1162">
        <f>IF($Y1162="","",IF($Y1162=0,$Z1162*EXP($AA1162*3),$Z1162*(1+$Y1162*$AA1162*3)^(1/$Y1162)))</f>
        <v/>
      </c>
      <c r="AE1162">
        <f>IF($Y1162="","",IF($Y1162=0,$Z1162*EXP($AA1162*-2),$Z1162*(1+$Y1162*$AA1162*-2)^(1/$Y1162)))</f>
        <v/>
      </c>
      <c r="AF1162">
        <f>IF($Y1162="","",IF($Y1162=0,$Z1162*EXP($AA1162*-3),$Z1162*(1+$Y1162*$AA1162*-3)^(1/$Y1162)))</f>
        <v/>
      </c>
      <c r="AG1162">
        <f>IF($W1162="","",IFERROR(INDEX(IF($T1162&lt;=60,est05_l,est519_l),MATCH($W1162,IF($T1162&lt;=60,est05_k,est519_k),1)),""))</f>
        <v/>
      </c>
      <c r="AH1162">
        <f>IF($W1162="","",IFERROR(INDEX(IF($T1162&lt;=60,est05_m,est519_m),MATCH($W1162,IF($T1162&lt;=60,est05_k,est519_k),1)),""))</f>
        <v/>
      </c>
      <c r="AI1162">
        <f>IF($W1162="","",IFERROR(INDEX(IF($T1162&lt;=60,est05_s,est519_s),MATCH($W1162,IF($T1162&lt;=60,est05_k,est519_k),1)),""))</f>
        <v/>
      </c>
      <c r="AJ1162">
        <f>IF($W1162="","",IFERROR(INDEX(IF($T1162&lt;=60,peso05_l,peso510_l),MATCH($W1162,IF($T1162&lt;=60,peso05_k,peso510_k),1)),""))</f>
        <v/>
      </c>
      <c r="AK1162">
        <f>IF($W1162="","",IFERROR(INDEX(IF($T1162&lt;=60,peso05_m,peso510_m),MATCH($W1162,IF($T1162&lt;=60,peso05_k,peso510_k),1)),""))</f>
        <v/>
      </c>
      <c r="AL1162">
        <f>IF($W1162="","",IFERROR(INDEX(IF($T1162&lt;=60,peso05_s,peso510_s),MATCH($W1162,IF($T1162&lt;=60,peso05_k,peso510_k),1)),""))</f>
        <v/>
      </c>
      <c r="AM1162">
        <f>IF($AJ1162="","",IF($AJ1162=0,LN($F1162/$AK1162)/$AL1162,((($F1162/$AK1162)^$AJ1162)-1)/($AJ1162*$AL1162)))</f>
        <v/>
      </c>
      <c r="AN1162">
        <f>IF($AJ1162="","",IF($AJ1162=0,$AK1162*EXP($AL1162*2),$AK1162*(1+$AJ1162*$AL1162*2)^(1/$AJ1162)))</f>
        <v/>
      </c>
      <c r="AO1162">
        <f>IF($AJ1162="","",IF($AJ1162=0,$AK1162*EXP($AL1162*3),$AK1162*(1+$AJ1162*$AL1162*3)^(1/$AJ1162)))</f>
        <v/>
      </c>
      <c r="AP1162">
        <f>IF($AJ1162="","",IF($AJ1162=0,$AK1162*EXP($AL1162*-2),$AK1162*(1+$AJ1162*$AL1162*-2)^(1/$AJ1162)))</f>
        <v/>
      </c>
      <c r="AQ1162">
        <f>IF($AJ1162="","",IF($AJ1162=0,$AK1162*EXP($AL1162*-3),$AK1162*(1+$AJ1162*$AL1162*-3)^(1/$AJ1162)))</f>
        <v/>
      </c>
      <c r="AR1162">
        <f>IF(OR($X1162="",$T1162&gt;60),"",IFERROR(INDEX(IF($T1162&lt;24,pcomp_l,palt_l),MATCH($X1162,IF($T1162&lt;24,pcomp_k,palt_k),1)),""))</f>
        <v/>
      </c>
      <c r="AS1162">
        <f>IF(OR($X1162="",$T1162&gt;60),"",IFERROR(INDEX(IF($T1162&lt;24,pcomp_m,palt_m),MATCH($X1162,IF($T1162&lt;24,pcomp_k,palt_k),1)),""))</f>
        <v/>
      </c>
      <c r="AT1162">
        <f>IF(OR($X1162="",$T1162&gt;60),"",IFERROR(INDEX(IF($T1162&lt;24,pcomp_s,palt_s),MATCH($X1162,IF($T1162&lt;24,pcomp_k,palt_k),1)),""))</f>
        <v/>
      </c>
      <c r="AU1162">
        <f>IF($AR1162="","",IF($AR1162=0,LN($F1162/$AS1162)/$AT1162,((($F1162/$AS1162)^$AR1162)-1)/($AR1162*$AT1162)))</f>
        <v/>
      </c>
      <c r="AV1162">
        <f>IF($AR1162="","",IF($AR1162=0,$AS1162*EXP($AT1162*2),$AS1162*(1+$AR1162*$AT1162*2)^(1/$AR1162)))</f>
        <v/>
      </c>
      <c r="AW1162">
        <f>IF($AR1162="","",IF($AR1162=0,$AS1162*EXP($AT1162*3),$AS1162*(1+$AR1162*$AT1162*3)^(1/$AR1162)))</f>
        <v/>
      </c>
      <c r="AX1162">
        <f>IF($AR1162="","",IF($AR1162=0,$AS1162*EXP($AT1162*-2),$AS1162*(1+$AR1162*$AT1162*-2)^(1/$AR1162)))</f>
        <v/>
      </c>
      <c r="AY1162">
        <f>IF($AR1162="","",IF($AR1162=0,$AS1162*EXP($AT1162*-3),$AS1162*(1+$AR1162*$AT1162*-3)^(1/$AR1162)))</f>
        <v/>
      </c>
      <c r="AZ1162">
        <f>IF(OR($A1162="",$A1162&lt;&gt;Ficha!$C$4),"",COUNTIF($A$2:$A1162,Ficha!$C$4))</f>
        <v/>
      </c>
    </row>
    <row r="1163">
      <c r="A1163" s="8">
        <f>IF(INDEX(Banco!$A:$A,ROW())="","",INDEX(Banco!$A:$A,ROW()))</f>
        <v/>
      </c>
      <c r="B1163" s="8">
        <f>IF(INDEX(Banco!$B:$B,ROW())="","",INDEX(Banco!$B:$B,ROW()))</f>
        <v/>
      </c>
      <c r="C1163" s="8">
        <f>IF(INDEX(Banco!$C:$C,ROW())="","",INDEX(Banco!$C:$C,ROW()))</f>
        <v/>
      </c>
      <c r="D1163" s="9">
        <f>IF(INDEX(Banco!$D:$D,ROW())="","",INDEX(Banco!$D:$D,ROW()))</f>
        <v/>
      </c>
      <c r="E1163" s="9">
        <f>IF(INDEX(Banco!$E:$E,ROW())="","",INDEX(Banco!$E:$E,ROW()))</f>
        <v/>
      </c>
      <c r="F1163" s="10">
        <f>IF(INDEX(Banco!$F:$F,ROW())="","",INDEX(Banco!$F:$F,ROW()))</f>
        <v/>
      </c>
      <c r="G1163" s="10">
        <f>IF(INDEX(Banco!$G:$G,ROW())="","",INDEX(Banco!$G:$G,ROW()))</f>
        <v/>
      </c>
      <c r="H1163" s="8">
        <f>IF(INDEX(Banco!$H:$H,ROW())="","",INDEX(Banco!$H:$H,ROW()))</f>
        <v/>
      </c>
      <c r="I1163">
        <f>IF($T1163="","",INT($T1163/12)&amp;"a "&amp;MOD($T1163,12)&amp;"m")</f>
        <v/>
      </c>
      <c r="J1163" s="11">
        <f>IF(OR($F1163="",$G1163=""),"",ROUND($F1163/($G1163/100)^2,2))</f>
        <v/>
      </c>
      <c r="K1163" s="12">
        <f>IF(OR($S1163="",$J1163="",$T1163="",$T1163&lt;0,$T1163&gt;228,$Y1163=""),"—",ROUND(IF(ABS($AB1163)&lt;=3,$AB1163,IF($AB1163&gt;3,3+($J1163-$AD1163)/($AD1163-$AC1163),-3+($J1163-$AF1163)/($AE1163-$AF1163))),2))</f>
        <v/>
      </c>
      <c r="L1163">
        <f>IF(OR($K1163="",$K1163="—"),"",IF($T1163&lt;=60,IF($K1163&lt;-3,"Magreza acentuada",IF($K1163&lt;-2,"Magreza",IF($K1163&lt;=1,"Eutrofia",IF($K1163&lt;=2,"Risco de sobrepeso",IF($K1163&lt;=3,"Sobrepeso","Obesidade"))))),IF($K1163&lt;-3,"Magreza acentuada",IF($K1163&lt;-2,"Magreza",IF($K1163&lt;=1,"Eutrofia",IF($K1163&lt;=2,"Sobrepeso",IF($K1163&lt;=3,"Obesidade","Obesidade grave")))))))</f>
        <v/>
      </c>
      <c r="M1163" s="12">
        <f>IF(OR($S1163="",$V1163="",$T1163="",$T1163&lt;0,$T1163&gt;228,$AG1163=""),"—",ROUND(IF($AG1163=0,LN($V1163/$AH1163)/$AI1163,((($V1163/$AH1163)^$AG1163)-1)/($AG1163*$AI1163)),2))</f>
        <v/>
      </c>
      <c r="N1163">
        <f>IF(OR($M1163="",$M1163="—"),"",IF($M1163&lt;-3,"Muito baixa",IF($M1163&lt;-2,"Baixa","Adequada")))</f>
        <v/>
      </c>
      <c r="O1163" s="12">
        <f>IF(OR($S1163="",$F1163="",$T1163="",$T1163&lt;0,$T1163&gt;120,$AJ1163=""),"—",ROUND(IF(ABS($AM1163)&lt;=3,$AM1163,IF($AM1163&gt;3,3+($F1163-$AO1163)/($AO1163-$AN1163),-3+($F1163-$AQ1163)/($AP1163-$AQ1163))),2))</f>
        <v/>
      </c>
      <c r="P1163">
        <f>IF(OR($O1163="",$O1163="—"),"",IF($O1163&lt;-3,"Muito baixo",IF($O1163&lt;-2,"Baixo",IF($O1163&lt;=2,"Adequado","Elevado"))))</f>
        <v/>
      </c>
      <c r="Q1163" s="12">
        <f>IF(OR($S1163="",$F1163="",$T1163="",$T1163&lt;0,$T1163&gt;60,$AR1163=""),"—",ROUND(IF(ABS($AU1163)&lt;=3,$AU1163,IF($AU1163&gt;3,3+($F1163-$AW1163)/($AW1163-$AV1163),-3+($F1163-$AY1163)/($AX1163-$AY1163))),2))</f>
        <v/>
      </c>
      <c r="R1163">
        <f>IF(OR($Q1163="",$Q1163="—"),"",IF($Q1163&lt;-3,"Magreza acentuada",IF($Q1163&lt;-2,"Magreza",IF($Q1163&lt;=1,"Eutrofia",IF($Q1163&lt;=2,"Risco de sobrepeso",IF($Q1163&lt;=3,"Sobrepeso","Obesidade"))))))</f>
        <v/>
      </c>
      <c r="S1163">
        <f>IF($C1163="","",IF(UPPER(LEFT($C1163,1))="M",1,IF(UPPER(LEFT($C1163,1))="F",2,"")))</f>
        <v/>
      </c>
      <c r="T1163">
        <f>IF(OR($D1163="",$E1163=""),"",DATEDIF($D1163,$E1163,"m"))</f>
        <v/>
      </c>
      <c r="U1163">
        <f>IF(OR($D1163="",$E1163=""),"",$E1163-$D1163)</f>
        <v/>
      </c>
      <c r="V1163">
        <f>IF(OR($G1163="",$T1163=""),"",IF($T1163&lt;24,IF(LEFT(LOWER($H1163),4)="em p",$G1163+0.7,$G1163),IF(LEFT(LOWER($H1163),4)="deit",$G1163-0.7,$G1163)))</f>
        <v/>
      </c>
      <c r="W1163">
        <f>IF(OR($S1163="",$T1163=""),"",$S1163*1000000+IF($T1163&lt;=60,$U1163,$T1163))</f>
        <v/>
      </c>
      <c r="X1163">
        <f>IF(OR($S1163="",$V1163="",$T1163&gt;60,$T1163=""),"",$S1163*1000000+ROUND($V1163*10,0))</f>
        <v/>
      </c>
      <c r="Y1163">
        <f>IF($W1163="","",IFERROR(INDEX(IF($T1163&lt;=60,imc05_l,imc519_l),MATCH($W1163,IF($T1163&lt;=60,imc05_k,imc519_k),1)),""))</f>
        <v/>
      </c>
      <c r="Z1163">
        <f>IF($W1163="","",IFERROR(INDEX(IF($T1163&lt;=60,imc05_m,imc519_m),MATCH($W1163,IF($T1163&lt;=60,imc05_k,imc519_k),1)),""))</f>
        <v/>
      </c>
      <c r="AA1163">
        <f>IF($W1163="","",IFERROR(INDEX(IF($T1163&lt;=60,imc05_s,imc519_s),MATCH($W1163,IF($T1163&lt;=60,imc05_k,imc519_k),1)),""))</f>
        <v/>
      </c>
      <c r="AB1163">
        <f>IF($Y1163="","",IF($Y1163=0,LN($J1163/$Z1163)/$AA1163,((($J1163/$Z1163)^$Y1163)-1)/($Y1163*$AA1163)))</f>
        <v/>
      </c>
      <c r="AC1163">
        <f>IF($Y1163="","",IF($Y1163=0,$Z1163*EXP($AA1163*2),$Z1163*(1+$Y1163*$AA1163*2)^(1/$Y1163)))</f>
        <v/>
      </c>
      <c r="AD1163">
        <f>IF($Y1163="","",IF($Y1163=0,$Z1163*EXP($AA1163*3),$Z1163*(1+$Y1163*$AA1163*3)^(1/$Y1163)))</f>
        <v/>
      </c>
      <c r="AE1163">
        <f>IF($Y1163="","",IF($Y1163=0,$Z1163*EXP($AA1163*-2),$Z1163*(1+$Y1163*$AA1163*-2)^(1/$Y1163)))</f>
        <v/>
      </c>
      <c r="AF1163">
        <f>IF($Y1163="","",IF($Y1163=0,$Z1163*EXP($AA1163*-3),$Z1163*(1+$Y1163*$AA1163*-3)^(1/$Y1163)))</f>
        <v/>
      </c>
      <c r="AG1163">
        <f>IF($W1163="","",IFERROR(INDEX(IF($T1163&lt;=60,est05_l,est519_l),MATCH($W1163,IF($T1163&lt;=60,est05_k,est519_k),1)),""))</f>
        <v/>
      </c>
      <c r="AH1163">
        <f>IF($W1163="","",IFERROR(INDEX(IF($T1163&lt;=60,est05_m,est519_m),MATCH($W1163,IF($T1163&lt;=60,est05_k,est519_k),1)),""))</f>
        <v/>
      </c>
      <c r="AI1163">
        <f>IF($W1163="","",IFERROR(INDEX(IF($T1163&lt;=60,est05_s,est519_s),MATCH($W1163,IF($T1163&lt;=60,est05_k,est519_k),1)),""))</f>
        <v/>
      </c>
      <c r="AJ1163">
        <f>IF($W1163="","",IFERROR(INDEX(IF($T1163&lt;=60,peso05_l,peso510_l),MATCH($W1163,IF($T1163&lt;=60,peso05_k,peso510_k),1)),""))</f>
        <v/>
      </c>
      <c r="AK1163">
        <f>IF($W1163="","",IFERROR(INDEX(IF($T1163&lt;=60,peso05_m,peso510_m),MATCH($W1163,IF($T1163&lt;=60,peso05_k,peso510_k),1)),""))</f>
        <v/>
      </c>
      <c r="AL1163">
        <f>IF($W1163="","",IFERROR(INDEX(IF($T1163&lt;=60,peso05_s,peso510_s),MATCH($W1163,IF($T1163&lt;=60,peso05_k,peso510_k),1)),""))</f>
        <v/>
      </c>
      <c r="AM1163">
        <f>IF($AJ1163="","",IF($AJ1163=0,LN($F1163/$AK1163)/$AL1163,((($F1163/$AK1163)^$AJ1163)-1)/($AJ1163*$AL1163)))</f>
        <v/>
      </c>
      <c r="AN1163">
        <f>IF($AJ1163="","",IF($AJ1163=0,$AK1163*EXP($AL1163*2),$AK1163*(1+$AJ1163*$AL1163*2)^(1/$AJ1163)))</f>
        <v/>
      </c>
      <c r="AO1163">
        <f>IF($AJ1163="","",IF($AJ1163=0,$AK1163*EXP($AL1163*3),$AK1163*(1+$AJ1163*$AL1163*3)^(1/$AJ1163)))</f>
        <v/>
      </c>
      <c r="AP1163">
        <f>IF($AJ1163="","",IF($AJ1163=0,$AK1163*EXP($AL1163*-2),$AK1163*(1+$AJ1163*$AL1163*-2)^(1/$AJ1163)))</f>
        <v/>
      </c>
      <c r="AQ1163">
        <f>IF($AJ1163="","",IF($AJ1163=0,$AK1163*EXP($AL1163*-3),$AK1163*(1+$AJ1163*$AL1163*-3)^(1/$AJ1163)))</f>
        <v/>
      </c>
      <c r="AR1163">
        <f>IF(OR($X1163="",$T1163&gt;60),"",IFERROR(INDEX(IF($T1163&lt;24,pcomp_l,palt_l),MATCH($X1163,IF($T1163&lt;24,pcomp_k,palt_k),1)),""))</f>
        <v/>
      </c>
      <c r="AS1163">
        <f>IF(OR($X1163="",$T1163&gt;60),"",IFERROR(INDEX(IF($T1163&lt;24,pcomp_m,palt_m),MATCH($X1163,IF($T1163&lt;24,pcomp_k,palt_k),1)),""))</f>
        <v/>
      </c>
      <c r="AT1163">
        <f>IF(OR($X1163="",$T1163&gt;60),"",IFERROR(INDEX(IF($T1163&lt;24,pcomp_s,palt_s),MATCH($X1163,IF($T1163&lt;24,pcomp_k,palt_k),1)),""))</f>
        <v/>
      </c>
      <c r="AU1163">
        <f>IF($AR1163="","",IF($AR1163=0,LN($F1163/$AS1163)/$AT1163,((($F1163/$AS1163)^$AR1163)-1)/($AR1163*$AT1163)))</f>
        <v/>
      </c>
      <c r="AV1163">
        <f>IF($AR1163="","",IF($AR1163=0,$AS1163*EXP($AT1163*2),$AS1163*(1+$AR1163*$AT1163*2)^(1/$AR1163)))</f>
        <v/>
      </c>
      <c r="AW1163">
        <f>IF($AR1163="","",IF($AR1163=0,$AS1163*EXP($AT1163*3),$AS1163*(1+$AR1163*$AT1163*3)^(1/$AR1163)))</f>
        <v/>
      </c>
      <c r="AX1163">
        <f>IF($AR1163="","",IF($AR1163=0,$AS1163*EXP($AT1163*-2),$AS1163*(1+$AR1163*$AT1163*-2)^(1/$AR1163)))</f>
        <v/>
      </c>
      <c r="AY1163">
        <f>IF($AR1163="","",IF($AR1163=0,$AS1163*EXP($AT1163*-3),$AS1163*(1+$AR1163*$AT1163*-3)^(1/$AR1163)))</f>
        <v/>
      </c>
      <c r="AZ1163">
        <f>IF(OR($A1163="",$A1163&lt;&gt;Ficha!$C$4),"",COUNTIF($A$2:$A1163,Ficha!$C$4))</f>
        <v/>
      </c>
    </row>
    <row r="1164">
      <c r="A1164" s="8">
        <f>IF(INDEX(Banco!$A:$A,ROW())="","",INDEX(Banco!$A:$A,ROW()))</f>
        <v/>
      </c>
      <c r="B1164" s="8">
        <f>IF(INDEX(Banco!$B:$B,ROW())="","",INDEX(Banco!$B:$B,ROW()))</f>
        <v/>
      </c>
      <c r="C1164" s="8">
        <f>IF(INDEX(Banco!$C:$C,ROW())="","",INDEX(Banco!$C:$C,ROW()))</f>
        <v/>
      </c>
      <c r="D1164" s="9">
        <f>IF(INDEX(Banco!$D:$D,ROW())="","",INDEX(Banco!$D:$D,ROW()))</f>
        <v/>
      </c>
      <c r="E1164" s="9">
        <f>IF(INDEX(Banco!$E:$E,ROW())="","",INDEX(Banco!$E:$E,ROW()))</f>
        <v/>
      </c>
      <c r="F1164" s="10">
        <f>IF(INDEX(Banco!$F:$F,ROW())="","",INDEX(Banco!$F:$F,ROW()))</f>
        <v/>
      </c>
      <c r="G1164" s="10">
        <f>IF(INDEX(Banco!$G:$G,ROW())="","",INDEX(Banco!$G:$G,ROW()))</f>
        <v/>
      </c>
      <c r="H1164" s="8">
        <f>IF(INDEX(Banco!$H:$H,ROW())="","",INDEX(Banco!$H:$H,ROW()))</f>
        <v/>
      </c>
      <c r="I1164">
        <f>IF($T1164="","",INT($T1164/12)&amp;"a "&amp;MOD($T1164,12)&amp;"m")</f>
        <v/>
      </c>
      <c r="J1164" s="11">
        <f>IF(OR($F1164="",$G1164=""),"",ROUND($F1164/($G1164/100)^2,2))</f>
        <v/>
      </c>
      <c r="K1164" s="12">
        <f>IF(OR($S1164="",$J1164="",$T1164="",$T1164&lt;0,$T1164&gt;228,$Y1164=""),"—",ROUND(IF(ABS($AB1164)&lt;=3,$AB1164,IF($AB1164&gt;3,3+($J1164-$AD1164)/($AD1164-$AC1164),-3+($J1164-$AF1164)/($AE1164-$AF1164))),2))</f>
        <v/>
      </c>
      <c r="L1164">
        <f>IF(OR($K1164="",$K1164="—"),"",IF($T1164&lt;=60,IF($K1164&lt;-3,"Magreza acentuada",IF($K1164&lt;-2,"Magreza",IF($K1164&lt;=1,"Eutrofia",IF($K1164&lt;=2,"Risco de sobrepeso",IF($K1164&lt;=3,"Sobrepeso","Obesidade"))))),IF($K1164&lt;-3,"Magreza acentuada",IF($K1164&lt;-2,"Magreza",IF($K1164&lt;=1,"Eutrofia",IF($K1164&lt;=2,"Sobrepeso",IF($K1164&lt;=3,"Obesidade","Obesidade grave")))))))</f>
        <v/>
      </c>
      <c r="M1164" s="12">
        <f>IF(OR($S1164="",$V1164="",$T1164="",$T1164&lt;0,$T1164&gt;228,$AG1164=""),"—",ROUND(IF($AG1164=0,LN($V1164/$AH1164)/$AI1164,((($V1164/$AH1164)^$AG1164)-1)/($AG1164*$AI1164)),2))</f>
        <v/>
      </c>
      <c r="N1164">
        <f>IF(OR($M1164="",$M1164="—"),"",IF($M1164&lt;-3,"Muito baixa",IF($M1164&lt;-2,"Baixa","Adequada")))</f>
        <v/>
      </c>
      <c r="O1164" s="12">
        <f>IF(OR($S1164="",$F1164="",$T1164="",$T1164&lt;0,$T1164&gt;120,$AJ1164=""),"—",ROUND(IF(ABS($AM1164)&lt;=3,$AM1164,IF($AM1164&gt;3,3+($F1164-$AO1164)/($AO1164-$AN1164),-3+($F1164-$AQ1164)/($AP1164-$AQ1164))),2))</f>
        <v/>
      </c>
      <c r="P1164">
        <f>IF(OR($O1164="",$O1164="—"),"",IF($O1164&lt;-3,"Muito baixo",IF($O1164&lt;-2,"Baixo",IF($O1164&lt;=2,"Adequado","Elevado"))))</f>
        <v/>
      </c>
      <c r="Q1164" s="12">
        <f>IF(OR($S1164="",$F1164="",$T1164="",$T1164&lt;0,$T1164&gt;60,$AR1164=""),"—",ROUND(IF(ABS($AU1164)&lt;=3,$AU1164,IF($AU1164&gt;3,3+($F1164-$AW1164)/($AW1164-$AV1164),-3+($F1164-$AY1164)/($AX1164-$AY1164))),2))</f>
        <v/>
      </c>
      <c r="R1164">
        <f>IF(OR($Q1164="",$Q1164="—"),"",IF($Q1164&lt;-3,"Magreza acentuada",IF($Q1164&lt;-2,"Magreza",IF($Q1164&lt;=1,"Eutrofia",IF($Q1164&lt;=2,"Risco de sobrepeso",IF($Q1164&lt;=3,"Sobrepeso","Obesidade"))))))</f>
        <v/>
      </c>
      <c r="S1164">
        <f>IF($C1164="","",IF(UPPER(LEFT($C1164,1))="M",1,IF(UPPER(LEFT($C1164,1))="F",2,"")))</f>
        <v/>
      </c>
      <c r="T1164">
        <f>IF(OR($D1164="",$E1164=""),"",DATEDIF($D1164,$E1164,"m"))</f>
        <v/>
      </c>
      <c r="U1164">
        <f>IF(OR($D1164="",$E1164=""),"",$E1164-$D1164)</f>
        <v/>
      </c>
      <c r="V1164">
        <f>IF(OR($G1164="",$T1164=""),"",IF($T1164&lt;24,IF(LEFT(LOWER($H1164),4)="em p",$G1164+0.7,$G1164),IF(LEFT(LOWER($H1164),4)="deit",$G1164-0.7,$G1164)))</f>
        <v/>
      </c>
      <c r="W1164">
        <f>IF(OR($S1164="",$T1164=""),"",$S1164*1000000+IF($T1164&lt;=60,$U1164,$T1164))</f>
        <v/>
      </c>
      <c r="X1164">
        <f>IF(OR($S1164="",$V1164="",$T1164&gt;60,$T1164=""),"",$S1164*1000000+ROUND($V1164*10,0))</f>
        <v/>
      </c>
      <c r="Y1164">
        <f>IF($W1164="","",IFERROR(INDEX(IF($T1164&lt;=60,imc05_l,imc519_l),MATCH($W1164,IF($T1164&lt;=60,imc05_k,imc519_k),1)),""))</f>
        <v/>
      </c>
      <c r="Z1164">
        <f>IF($W1164="","",IFERROR(INDEX(IF($T1164&lt;=60,imc05_m,imc519_m),MATCH($W1164,IF($T1164&lt;=60,imc05_k,imc519_k),1)),""))</f>
        <v/>
      </c>
      <c r="AA1164">
        <f>IF($W1164="","",IFERROR(INDEX(IF($T1164&lt;=60,imc05_s,imc519_s),MATCH($W1164,IF($T1164&lt;=60,imc05_k,imc519_k),1)),""))</f>
        <v/>
      </c>
      <c r="AB1164">
        <f>IF($Y1164="","",IF($Y1164=0,LN($J1164/$Z1164)/$AA1164,((($J1164/$Z1164)^$Y1164)-1)/($Y1164*$AA1164)))</f>
        <v/>
      </c>
      <c r="AC1164">
        <f>IF($Y1164="","",IF($Y1164=0,$Z1164*EXP($AA1164*2),$Z1164*(1+$Y1164*$AA1164*2)^(1/$Y1164)))</f>
        <v/>
      </c>
      <c r="AD1164">
        <f>IF($Y1164="","",IF($Y1164=0,$Z1164*EXP($AA1164*3),$Z1164*(1+$Y1164*$AA1164*3)^(1/$Y1164)))</f>
        <v/>
      </c>
      <c r="AE1164">
        <f>IF($Y1164="","",IF($Y1164=0,$Z1164*EXP($AA1164*-2),$Z1164*(1+$Y1164*$AA1164*-2)^(1/$Y1164)))</f>
        <v/>
      </c>
      <c r="AF1164">
        <f>IF($Y1164="","",IF($Y1164=0,$Z1164*EXP($AA1164*-3),$Z1164*(1+$Y1164*$AA1164*-3)^(1/$Y1164)))</f>
        <v/>
      </c>
      <c r="AG1164">
        <f>IF($W1164="","",IFERROR(INDEX(IF($T1164&lt;=60,est05_l,est519_l),MATCH($W1164,IF($T1164&lt;=60,est05_k,est519_k),1)),""))</f>
        <v/>
      </c>
      <c r="AH1164">
        <f>IF($W1164="","",IFERROR(INDEX(IF($T1164&lt;=60,est05_m,est519_m),MATCH($W1164,IF($T1164&lt;=60,est05_k,est519_k),1)),""))</f>
        <v/>
      </c>
      <c r="AI1164">
        <f>IF($W1164="","",IFERROR(INDEX(IF($T1164&lt;=60,est05_s,est519_s),MATCH($W1164,IF($T1164&lt;=60,est05_k,est519_k),1)),""))</f>
        <v/>
      </c>
      <c r="AJ1164">
        <f>IF($W1164="","",IFERROR(INDEX(IF($T1164&lt;=60,peso05_l,peso510_l),MATCH($W1164,IF($T1164&lt;=60,peso05_k,peso510_k),1)),""))</f>
        <v/>
      </c>
      <c r="AK1164">
        <f>IF($W1164="","",IFERROR(INDEX(IF($T1164&lt;=60,peso05_m,peso510_m),MATCH($W1164,IF($T1164&lt;=60,peso05_k,peso510_k),1)),""))</f>
        <v/>
      </c>
      <c r="AL1164">
        <f>IF($W1164="","",IFERROR(INDEX(IF($T1164&lt;=60,peso05_s,peso510_s),MATCH($W1164,IF($T1164&lt;=60,peso05_k,peso510_k),1)),""))</f>
        <v/>
      </c>
      <c r="AM1164">
        <f>IF($AJ1164="","",IF($AJ1164=0,LN($F1164/$AK1164)/$AL1164,((($F1164/$AK1164)^$AJ1164)-1)/($AJ1164*$AL1164)))</f>
        <v/>
      </c>
      <c r="AN1164">
        <f>IF($AJ1164="","",IF($AJ1164=0,$AK1164*EXP($AL1164*2),$AK1164*(1+$AJ1164*$AL1164*2)^(1/$AJ1164)))</f>
        <v/>
      </c>
      <c r="AO1164">
        <f>IF($AJ1164="","",IF($AJ1164=0,$AK1164*EXP($AL1164*3),$AK1164*(1+$AJ1164*$AL1164*3)^(1/$AJ1164)))</f>
        <v/>
      </c>
      <c r="AP1164">
        <f>IF($AJ1164="","",IF($AJ1164=0,$AK1164*EXP($AL1164*-2),$AK1164*(1+$AJ1164*$AL1164*-2)^(1/$AJ1164)))</f>
        <v/>
      </c>
      <c r="AQ1164">
        <f>IF($AJ1164="","",IF($AJ1164=0,$AK1164*EXP($AL1164*-3),$AK1164*(1+$AJ1164*$AL1164*-3)^(1/$AJ1164)))</f>
        <v/>
      </c>
      <c r="AR1164">
        <f>IF(OR($X1164="",$T1164&gt;60),"",IFERROR(INDEX(IF($T1164&lt;24,pcomp_l,palt_l),MATCH($X1164,IF($T1164&lt;24,pcomp_k,palt_k),1)),""))</f>
        <v/>
      </c>
      <c r="AS1164">
        <f>IF(OR($X1164="",$T1164&gt;60),"",IFERROR(INDEX(IF($T1164&lt;24,pcomp_m,palt_m),MATCH($X1164,IF($T1164&lt;24,pcomp_k,palt_k),1)),""))</f>
        <v/>
      </c>
      <c r="AT1164">
        <f>IF(OR($X1164="",$T1164&gt;60),"",IFERROR(INDEX(IF($T1164&lt;24,pcomp_s,palt_s),MATCH($X1164,IF($T1164&lt;24,pcomp_k,palt_k),1)),""))</f>
        <v/>
      </c>
      <c r="AU1164">
        <f>IF($AR1164="","",IF($AR1164=0,LN($F1164/$AS1164)/$AT1164,((($F1164/$AS1164)^$AR1164)-1)/($AR1164*$AT1164)))</f>
        <v/>
      </c>
      <c r="AV1164">
        <f>IF($AR1164="","",IF($AR1164=0,$AS1164*EXP($AT1164*2),$AS1164*(1+$AR1164*$AT1164*2)^(1/$AR1164)))</f>
        <v/>
      </c>
      <c r="AW1164">
        <f>IF($AR1164="","",IF($AR1164=0,$AS1164*EXP($AT1164*3),$AS1164*(1+$AR1164*$AT1164*3)^(1/$AR1164)))</f>
        <v/>
      </c>
      <c r="AX1164">
        <f>IF($AR1164="","",IF($AR1164=0,$AS1164*EXP($AT1164*-2),$AS1164*(1+$AR1164*$AT1164*-2)^(1/$AR1164)))</f>
        <v/>
      </c>
      <c r="AY1164">
        <f>IF($AR1164="","",IF($AR1164=0,$AS1164*EXP($AT1164*-3),$AS1164*(1+$AR1164*$AT1164*-3)^(1/$AR1164)))</f>
        <v/>
      </c>
      <c r="AZ1164">
        <f>IF(OR($A1164="",$A1164&lt;&gt;Ficha!$C$4),"",COUNTIF($A$2:$A1164,Ficha!$C$4))</f>
        <v/>
      </c>
    </row>
    <row r="1165">
      <c r="A1165" s="8">
        <f>IF(INDEX(Banco!$A:$A,ROW())="","",INDEX(Banco!$A:$A,ROW()))</f>
        <v/>
      </c>
      <c r="B1165" s="8">
        <f>IF(INDEX(Banco!$B:$B,ROW())="","",INDEX(Banco!$B:$B,ROW()))</f>
        <v/>
      </c>
      <c r="C1165" s="8">
        <f>IF(INDEX(Banco!$C:$C,ROW())="","",INDEX(Banco!$C:$C,ROW()))</f>
        <v/>
      </c>
      <c r="D1165" s="9">
        <f>IF(INDEX(Banco!$D:$D,ROW())="","",INDEX(Banco!$D:$D,ROW()))</f>
        <v/>
      </c>
      <c r="E1165" s="9">
        <f>IF(INDEX(Banco!$E:$E,ROW())="","",INDEX(Banco!$E:$E,ROW()))</f>
        <v/>
      </c>
      <c r="F1165" s="10">
        <f>IF(INDEX(Banco!$F:$F,ROW())="","",INDEX(Banco!$F:$F,ROW()))</f>
        <v/>
      </c>
      <c r="G1165" s="10">
        <f>IF(INDEX(Banco!$G:$G,ROW())="","",INDEX(Banco!$G:$G,ROW()))</f>
        <v/>
      </c>
      <c r="H1165" s="8">
        <f>IF(INDEX(Banco!$H:$H,ROW())="","",INDEX(Banco!$H:$H,ROW()))</f>
        <v/>
      </c>
      <c r="I1165">
        <f>IF($T1165="","",INT($T1165/12)&amp;"a "&amp;MOD($T1165,12)&amp;"m")</f>
        <v/>
      </c>
      <c r="J1165" s="11">
        <f>IF(OR($F1165="",$G1165=""),"",ROUND($F1165/($G1165/100)^2,2))</f>
        <v/>
      </c>
      <c r="K1165" s="12">
        <f>IF(OR($S1165="",$J1165="",$T1165="",$T1165&lt;0,$T1165&gt;228,$Y1165=""),"—",ROUND(IF(ABS($AB1165)&lt;=3,$AB1165,IF($AB1165&gt;3,3+($J1165-$AD1165)/($AD1165-$AC1165),-3+($J1165-$AF1165)/($AE1165-$AF1165))),2))</f>
        <v/>
      </c>
      <c r="L1165">
        <f>IF(OR($K1165="",$K1165="—"),"",IF($T1165&lt;=60,IF($K1165&lt;-3,"Magreza acentuada",IF($K1165&lt;-2,"Magreza",IF($K1165&lt;=1,"Eutrofia",IF($K1165&lt;=2,"Risco de sobrepeso",IF($K1165&lt;=3,"Sobrepeso","Obesidade"))))),IF($K1165&lt;-3,"Magreza acentuada",IF($K1165&lt;-2,"Magreza",IF($K1165&lt;=1,"Eutrofia",IF($K1165&lt;=2,"Sobrepeso",IF($K1165&lt;=3,"Obesidade","Obesidade grave")))))))</f>
        <v/>
      </c>
      <c r="M1165" s="12">
        <f>IF(OR($S1165="",$V1165="",$T1165="",$T1165&lt;0,$T1165&gt;228,$AG1165=""),"—",ROUND(IF($AG1165=0,LN($V1165/$AH1165)/$AI1165,((($V1165/$AH1165)^$AG1165)-1)/($AG1165*$AI1165)),2))</f>
        <v/>
      </c>
      <c r="N1165">
        <f>IF(OR($M1165="",$M1165="—"),"",IF($M1165&lt;-3,"Muito baixa",IF($M1165&lt;-2,"Baixa","Adequada")))</f>
        <v/>
      </c>
      <c r="O1165" s="12">
        <f>IF(OR($S1165="",$F1165="",$T1165="",$T1165&lt;0,$T1165&gt;120,$AJ1165=""),"—",ROUND(IF(ABS($AM1165)&lt;=3,$AM1165,IF($AM1165&gt;3,3+($F1165-$AO1165)/($AO1165-$AN1165),-3+($F1165-$AQ1165)/($AP1165-$AQ1165))),2))</f>
        <v/>
      </c>
      <c r="P1165">
        <f>IF(OR($O1165="",$O1165="—"),"",IF($O1165&lt;-3,"Muito baixo",IF($O1165&lt;-2,"Baixo",IF($O1165&lt;=2,"Adequado","Elevado"))))</f>
        <v/>
      </c>
      <c r="Q1165" s="12">
        <f>IF(OR($S1165="",$F1165="",$T1165="",$T1165&lt;0,$T1165&gt;60,$AR1165=""),"—",ROUND(IF(ABS($AU1165)&lt;=3,$AU1165,IF($AU1165&gt;3,3+($F1165-$AW1165)/($AW1165-$AV1165),-3+($F1165-$AY1165)/($AX1165-$AY1165))),2))</f>
        <v/>
      </c>
      <c r="R1165">
        <f>IF(OR($Q1165="",$Q1165="—"),"",IF($Q1165&lt;-3,"Magreza acentuada",IF($Q1165&lt;-2,"Magreza",IF($Q1165&lt;=1,"Eutrofia",IF($Q1165&lt;=2,"Risco de sobrepeso",IF($Q1165&lt;=3,"Sobrepeso","Obesidade"))))))</f>
        <v/>
      </c>
      <c r="S1165">
        <f>IF($C1165="","",IF(UPPER(LEFT($C1165,1))="M",1,IF(UPPER(LEFT($C1165,1))="F",2,"")))</f>
        <v/>
      </c>
      <c r="T1165">
        <f>IF(OR($D1165="",$E1165=""),"",DATEDIF($D1165,$E1165,"m"))</f>
        <v/>
      </c>
      <c r="U1165">
        <f>IF(OR($D1165="",$E1165=""),"",$E1165-$D1165)</f>
        <v/>
      </c>
      <c r="V1165">
        <f>IF(OR($G1165="",$T1165=""),"",IF($T1165&lt;24,IF(LEFT(LOWER($H1165),4)="em p",$G1165+0.7,$G1165),IF(LEFT(LOWER($H1165),4)="deit",$G1165-0.7,$G1165)))</f>
        <v/>
      </c>
      <c r="W1165">
        <f>IF(OR($S1165="",$T1165=""),"",$S1165*1000000+IF($T1165&lt;=60,$U1165,$T1165))</f>
        <v/>
      </c>
      <c r="X1165">
        <f>IF(OR($S1165="",$V1165="",$T1165&gt;60,$T1165=""),"",$S1165*1000000+ROUND($V1165*10,0))</f>
        <v/>
      </c>
      <c r="Y1165">
        <f>IF($W1165="","",IFERROR(INDEX(IF($T1165&lt;=60,imc05_l,imc519_l),MATCH($W1165,IF($T1165&lt;=60,imc05_k,imc519_k),1)),""))</f>
        <v/>
      </c>
      <c r="Z1165">
        <f>IF($W1165="","",IFERROR(INDEX(IF($T1165&lt;=60,imc05_m,imc519_m),MATCH($W1165,IF($T1165&lt;=60,imc05_k,imc519_k),1)),""))</f>
        <v/>
      </c>
      <c r="AA1165">
        <f>IF($W1165="","",IFERROR(INDEX(IF($T1165&lt;=60,imc05_s,imc519_s),MATCH($W1165,IF($T1165&lt;=60,imc05_k,imc519_k),1)),""))</f>
        <v/>
      </c>
      <c r="AB1165">
        <f>IF($Y1165="","",IF($Y1165=0,LN($J1165/$Z1165)/$AA1165,((($J1165/$Z1165)^$Y1165)-1)/($Y1165*$AA1165)))</f>
        <v/>
      </c>
      <c r="AC1165">
        <f>IF($Y1165="","",IF($Y1165=0,$Z1165*EXP($AA1165*2),$Z1165*(1+$Y1165*$AA1165*2)^(1/$Y1165)))</f>
        <v/>
      </c>
      <c r="AD1165">
        <f>IF($Y1165="","",IF($Y1165=0,$Z1165*EXP($AA1165*3),$Z1165*(1+$Y1165*$AA1165*3)^(1/$Y1165)))</f>
        <v/>
      </c>
      <c r="AE1165">
        <f>IF($Y1165="","",IF($Y1165=0,$Z1165*EXP($AA1165*-2),$Z1165*(1+$Y1165*$AA1165*-2)^(1/$Y1165)))</f>
        <v/>
      </c>
      <c r="AF1165">
        <f>IF($Y1165="","",IF($Y1165=0,$Z1165*EXP($AA1165*-3),$Z1165*(1+$Y1165*$AA1165*-3)^(1/$Y1165)))</f>
        <v/>
      </c>
      <c r="AG1165">
        <f>IF($W1165="","",IFERROR(INDEX(IF($T1165&lt;=60,est05_l,est519_l),MATCH($W1165,IF($T1165&lt;=60,est05_k,est519_k),1)),""))</f>
        <v/>
      </c>
      <c r="AH1165">
        <f>IF($W1165="","",IFERROR(INDEX(IF($T1165&lt;=60,est05_m,est519_m),MATCH($W1165,IF($T1165&lt;=60,est05_k,est519_k),1)),""))</f>
        <v/>
      </c>
      <c r="AI1165">
        <f>IF($W1165="","",IFERROR(INDEX(IF($T1165&lt;=60,est05_s,est519_s),MATCH($W1165,IF($T1165&lt;=60,est05_k,est519_k),1)),""))</f>
        <v/>
      </c>
      <c r="AJ1165">
        <f>IF($W1165="","",IFERROR(INDEX(IF($T1165&lt;=60,peso05_l,peso510_l),MATCH($W1165,IF($T1165&lt;=60,peso05_k,peso510_k),1)),""))</f>
        <v/>
      </c>
      <c r="AK1165">
        <f>IF($W1165="","",IFERROR(INDEX(IF($T1165&lt;=60,peso05_m,peso510_m),MATCH($W1165,IF($T1165&lt;=60,peso05_k,peso510_k),1)),""))</f>
        <v/>
      </c>
      <c r="AL1165">
        <f>IF($W1165="","",IFERROR(INDEX(IF($T1165&lt;=60,peso05_s,peso510_s),MATCH($W1165,IF($T1165&lt;=60,peso05_k,peso510_k),1)),""))</f>
        <v/>
      </c>
      <c r="AM1165">
        <f>IF($AJ1165="","",IF($AJ1165=0,LN($F1165/$AK1165)/$AL1165,((($F1165/$AK1165)^$AJ1165)-1)/($AJ1165*$AL1165)))</f>
        <v/>
      </c>
      <c r="AN1165">
        <f>IF($AJ1165="","",IF($AJ1165=0,$AK1165*EXP($AL1165*2),$AK1165*(1+$AJ1165*$AL1165*2)^(1/$AJ1165)))</f>
        <v/>
      </c>
      <c r="AO1165">
        <f>IF($AJ1165="","",IF($AJ1165=0,$AK1165*EXP($AL1165*3),$AK1165*(1+$AJ1165*$AL1165*3)^(1/$AJ1165)))</f>
        <v/>
      </c>
      <c r="AP1165">
        <f>IF($AJ1165="","",IF($AJ1165=0,$AK1165*EXP($AL1165*-2),$AK1165*(1+$AJ1165*$AL1165*-2)^(1/$AJ1165)))</f>
        <v/>
      </c>
      <c r="AQ1165">
        <f>IF($AJ1165="","",IF($AJ1165=0,$AK1165*EXP($AL1165*-3),$AK1165*(1+$AJ1165*$AL1165*-3)^(1/$AJ1165)))</f>
        <v/>
      </c>
      <c r="AR1165">
        <f>IF(OR($X1165="",$T1165&gt;60),"",IFERROR(INDEX(IF($T1165&lt;24,pcomp_l,palt_l),MATCH($X1165,IF($T1165&lt;24,pcomp_k,palt_k),1)),""))</f>
        <v/>
      </c>
      <c r="AS1165">
        <f>IF(OR($X1165="",$T1165&gt;60),"",IFERROR(INDEX(IF($T1165&lt;24,pcomp_m,palt_m),MATCH($X1165,IF($T1165&lt;24,pcomp_k,palt_k),1)),""))</f>
        <v/>
      </c>
      <c r="AT1165">
        <f>IF(OR($X1165="",$T1165&gt;60),"",IFERROR(INDEX(IF($T1165&lt;24,pcomp_s,palt_s),MATCH($X1165,IF($T1165&lt;24,pcomp_k,palt_k),1)),""))</f>
        <v/>
      </c>
      <c r="AU1165">
        <f>IF($AR1165="","",IF($AR1165=0,LN($F1165/$AS1165)/$AT1165,((($F1165/$AS1165)^$AR1165)-1)/($AR1165*$AT1165)))</f>
        <v/>
      </c>
      <c r="AV1165">
        <f>IF($AR1165="","",IF($AR1165=0,$AS1165*EXP($AT1165*2),$AS1165*(1+$AR1165*$AT1165*2)^(1/$AR1165)))</f>
        <v/>
      </c>
      <c r="AW1165">
        <f>IF($AR1165="","",IF($AR1165=0,$AS1165*EXP($AT1165*3),$AS1165*(1+$AR1165*$AT1165*3)^(1/$AR1165)))</f>
        <v/>
      </c>
      <c r="AX1165">
        <f>IF($AR1165="","",IF($AR1165=0,$AS1165*EXP($AT1165*-2),$AS1165*(1+$AR1165*$AT1165*-2)^(1/$AR1165)))</f>
        <v/>
      </c>
      <c r="AY1165">
        <f>IF($AR1165="","",IF($AR1165=0,$AS1165*EXP($AT1165*-3),$AS1165*(1+$AR1165*$AT1165*-3)^(1/$AR1165)))</f>
        <v/>
      </c>
      <c r="AZ1165">
        <f>IF(OR($A1165="",$A1165&lt;&gt;Ficha!$C$4),"",COUNTIF($A$2:$A1165,Ficha!$C$4))</f>
        <v/>
      </c>
    </row>
    <row r="1166">
      <c r="A1166" s="8">
        <f>IF(INDEX(Banco!$A:$A,ROW())="","",INDEX(Banco!$A:$A,ROW()))</f>
        <v/>
      </c>
      <c r="B1166" s="8">
        <f>IF(INDEX(Banco!$B:$B,ROW())="","",INDEX(Banco!$B:$B,ROW()))</f>
        <v/>
      </c>
      <c r="C1166" s="8">
        <f>IF(INDEX(Banco!$C:$C,ROW())="","",INDEX(Banco!$C:$C,ROW()))</f>
        <v/>
      </c>
      <c r="D1166" s="9">
        <f>IF(INDEX(Banco!$D:$D,ROW())="","",INDEX(Banco!$D:$D,ROW()))</f>
        <v/>
      </c>
      <c r="E1166" s="9">
        <f>IF(INDEX(Banco!$E:$E,ROW())="","",INDEX(Banco!$E:$E,ROW()))</f>
        <v/>
      </c>
      <c r="F1166" s="10">
        <f>IF(INDEX(Banco!$F:$F,ROW())="","",INDEX(Banco!$F:$F,ROW()))</f>
        <v/>
      </c>
      <c r="G1166" s="10">
        <f>IF(INDEX(Banco!$G:$G,ROW())="","",INDEX(Banco!$G:$G,ROW()))</f>
        <v/>
      </c>
      <c r="H1166" s="8">
        <f>IF(INDEX(Banco!$H:$H,ROW())="","",INDEX(Banco!$H:$H,ROW()))</f>
        <v/>
      </c>
      <c r="I1166">
        <f>IF($T1166="","",INT($T1166/12)&amp;"a "&amp;MOD($T1166,12)&amp;"m")</f>
        <v/>
      </c>
      <c r="J1166" s="11">
        <f>IF(OR($F1166="",$G1166=""),"",ROUND($F1166/($G1166/100)^2,2))</f>
        <v/>
      </c>
      <c r="K1166" s="12">
        <f>IF(OR($S1166="",$J1166="",$T1166="",$T1166&lt;0,$T1166&gt;228,$Y1166=""),"—",ROUND(IF(ABS($AB1166)&lt;=3,$AB1166,IF($AB1166&gt;3,3+($J1166-$AD1166)/($AD1166-$AC1166),-3+($J1166-$AF1166)/($AE1166-$AF1166))),2))</f>
        <v/>
      </c>
      <c r="L1166">
        <f>IF(OR($K1166="",$K1166="—"),"",IF($T1166&lt;=60,IF($K1166&lt;-3,"Magreza acentuada",IF($K1166&lt;-2,"Magreza",IF($K1166&lt;=1,"Eutrofia",IF($K1166&lt;=2,"Risco de sobrepeso",IF($K1166&lt;=3,"Sobrepeso","Obesidade"))))),IF($K1166&lt;-3,"Magreza acentuada",IF($K1166&lt;-2,"Magreza",IF($K1166&lt;=1,"Eutrofia",IF($K1166&lt;=2,"Sobrepeso",IF($K1166&lt;=3,"Obesidade","Obesidade grave")))))))</f>
        <v/>
      </c>
      <c r="M1166" s="12">
        <f>IF(OR($S1166="",$V1166="",$T1166="",$T1166&lt;0,$T1166&gt;228,$AG1166=""),"—",ROUND(IF($AG1166=0,LN($V1166/$AH1166)/$AI1166,((($V1166/$AH1166)^$AG1166)-1)/($AG1166*$AI1166)),2))</f>
        <v/>
      </c>
      <c r="N1166">
        <f>IF(OR($M1166="",$M1166="—"),"",IF($M1166&lt;-3,"Muito baixa",IF($M1166&lt;-2,"Baixa","Adequada")))</f>
        <v/>
      </c>
      <c r="O1166" s="12">
        <f>IF(OR($S1166="",$F1166="",$T1166="",$T1166&lt;0,$T1166&gt;120,$AJ1166=""),"—",ROUND(IF(ABS($AM1166)&lt;=3,$AM1166,IF($AM1166&gt;3,3+($F1166-$AO1166)/($AO1166-$AN1166),-3+($F1166-$AQ1166)/($AP1166-$AQ1166))),2))</f>
        <v/>
      </c>
      <c r="P1166">
        <f>IF(OR($O1166="",$O1166="—"),"",IF($O1166&lt;-3,"Muito baixo",IF($O1166&lt;-2,"Baixo",IF($O1166&lt;=2,"Adequado","Elevado"))))</f>
        <v/>
      </c>
      <c r="Q1166" s="12">
        <f>IF(OR($S1166="",$F1166="",$T1166="",$T1166&lt;0,$T1166&gt;60,$AR1166=""),"—",ROUND(IF(ABS($AU1166)&lt;=3,$AU1166,IF($AU1166&gt;3,3+($F1166-$AW1166)/($AW1166-$AV1166),-3+($F1166-$AY1166)/($AX1166-$AY1166))),2))</f>
        <v/>
      </c>
      <c r="R1166">
        <f>IF(OR($Q1166="",$Q1166="—"),"",IF($Q1166&lt;-3,"Magreza acentuada",IF($Q1166&lt;-2,"Magreza",IF($Q1166&lt;=1,"Eutrofia",IF($Q1166&lt;=2,"Risco de sobrepeso",IF($Q1166&lt;=3,"Sobrepeso","Obesidade"))))))</f>
        <v/>
      </c>
      <c r="S1166">
        <f>IF($C1166="","",IF(UPPER(LEFT($C1166,1))="M",1,IF(UPPER(LEFT($C1166,1))="F",2,"")))</f>
        <v/>
      </c>
      <c r="T1166">
        <f>IF(OR($D1166="",$E1166=""),"",DATEDIF($D1166,$E1166,"m"))</f>
        <v/>
      </c>
      <c r="U1166">
        <f>IF(OR($D1166="",$E1166=""),"",$E1166-$D1166)</f>
        <v/>
      </c>
      <c r="V1166">
        <f>IF(OR($G1166="",$T1166=""),"",IF($T1166&lt;24,IF(LEFT(LOWER($H1166),4)="em p",$G1166+0.7,$G1166),IF(LEFT(LOWER($H1166),4)="deit",$G1166-0.7,$G1166)))</f>
        <v/>
      </c>
      <c r="W1166">
        <f>IF(OR($S1166="",$T1166=""),"",$S1166*1000000+IF($T1166&lt;=60,$U1166,$T1166))</f>
        <v/>
      </c>
      <c r="X1166">
        <f>IF(OR($S1166="",$V1166="",$T1166&gt;60,$T1166=""),"",$S1166*1000000+ROUND($V1166*10,0))</f>
        <v/>
      </c>
      <c r="Y1166">
        <f>IF($W1166="","",IFERROR(INDEX(IF($T1166&lt;=60,imc05_l,imc519_l),MATCH($W1166,IF($T1166&lt;=60,imc05_k,imc519_k),1)),""))</f>
        <v/>
      </c>
      <c r="Z1166">
        <f>IF($W1166="","",IFERROR(INDEX(IF($T1166&lt;=60,imc05_m,imc519_m),MATCH($W1166,IF($T1166&lt;=60,imc05_k,imc519_k),1)),""))</f>
        <v/>
      </c>
      <c r="AA1166">
        <f>IF($W1166="","",IFERROR(INDEX(IF($T1166&lt;=60,imc05_s,imc519_s),MATCH($W1166,IF($T1166&lt;=60,imc05_k,imc519_k),1)),""))</f>
        <v/>
      </c>
      <c r="AB1166">
        <f>IF($Y1166="","",IF($Y1166=0,LN($J1166/$Z1166)/$AA1166,((($J1166/$Z1166)^$Y1166)-1)/($Y1166*$AA1166)))</f>
        <v/>
      </c>
      <c r="AC1166">
        <f>IF($Y1166="","",IF($Y1166=0,$Z1166*EXP($AA1166*2),$Z1166*(1+$Y1166*$AA1166*2)^(1/$Y1166)))</f>
        <v/>
      </c>
      <c r="AD1166">
        <f>IF($Y1166="","",IF($Y1166=0,$Z1166*EXP($AA1166*3),$Z1166*(1+$Y1166*$AA1166*3)^(1/$Y1166)))</f>
        <v/>
      </c>
      <c r="AE1166">
        <f>IF($Y1166="","",IF($Y1166=0,$Z1166*EXP($AA1166*-2),$Z1166*(1+$Y1166*$AA1166*-2)^(1/$Y1166)))</f>
        <v/>
      </c>
      <c r="AF1166">
        <f>IF($Y1166="","",IF($Y1166=0,$Z1166*EXP($AA1166*-3),$Z1166*(1+$Y1166*$AA1166*-3)^(1/$Y1166)))</f>
        <v/>
      </c>
      <c r="AG1166">
        <f>IF($W1166="","",IFERROR(INDEX(IF($T1166&lt;=60,est05_l,est519_l),MATCH($W1166,IF($T1166&lt;=60,est05_k,est519_k),1)),""))</f>
        <v/>
      </c>
      <c r="AH1166">
        <f>IF($W1166="","",IFERROR(INDEX(IF($T1166&lt;=60,est05_m,est519_m),MATCH($W1166,IF($T1166&lt;=60,est05_k,est519_k),1)),""))</f>
        <v/>
      </c>
      <c r="AI1166">
        <f>IF($W1166="","",IFERROR(INDEX(IF($T1166&lt;=60,est05_s,est519_s),MATCH($W1166,IF($T1166&lt;=60,est05_k,est519_k),1)),""))</f>
        <v/>
      </c>
      <c r="AJ1166">
        <f>IF($W1166="","",IFERROR(INDEX(IF($T1166&lt;=60,peso05_l,peso510_l),MATCH($W1166,IF($T1166&lt;=60,peso05_k,peso510_k),1)),""))</f>
        <v/>
      </c>
      <c r="AK1166">
        <f>IF($W1166="","",IFERROR(INDEX(IF($T1166&lt;=60,peso05_m,peso510_m),MATCH($W1166,IF($T1166&lt;=60,peso05_k,peso510_k),1)),""))</f>
        <v/>
      </c>
      <c r="AL1166">
        <f>IF($W1166="","",IFERROR(INDEX(IF($T1166&lt;=60,peso05_s,peso510_s),MATCH($W1166,IF($T1166&lt;=60,peso05_k,peso510_k),1)),""))</f>
        <v/>
      </c>
      <c r="AM1166">
        <f>IF($AJ1166="","",IF($AJ1166=0,LN($F1166/$AK1166)/$AL1166,((($F1166/$AK1166)^$AJ1166)-1)/($AJ1166*$AL1166)))</f>
        <v/>
      </c>
      <c r="AN1166">
        <f>IF($AJ1166="","",IF($AJ1166=0,$AK1166*EXP($AL1166*2),$AK1166*(1+$AJ1166*$AL1166*2)^(1/$AJ1166)))</f>
        <v/>
      </c>
      <c r="AO1166">
        <f>IF($AJ1166="","",IF($AJ1166=0,$AK1166*EXP($AL1166*3),$AK1166*(1+$AJ1166*$AL1166*3)^(1/$AJ1166)))</f>
        <v/>
      </c>
      <c r="AP1166">
        <f>IF($AJ1166="","",IF($AJ1166=0,$AK1166*EXP($AL1166*-2),$AK1166*(1+$AJ1166*$AL1166*-2)^(1/$AJ1166)))</f>
        <v/>
      </c>
      <c r="AQ1166">
        <f>IF($AJ1166="","",IF($AJ1166=0,$AK1166*EXP($AL1166*-3),$AK1166*(1+$AJ1166*$AL1166*-3)^(1/$AJ1166)))</f>
        <v/>
      </c>
      <c r="AR1166">
        <f>IF(OR($X1166="",$T1166&gt;60),"",IFERROR(INDEX(IF($T1166&lt;24,pcomp_l,palt_l),MATCH($X1166,IF($T1166&lt;24,pcomp_k,palt_k),1)),""))</f>
        <v/>
      </c>
      <c r="AS1166">
        <f>IF(OR($X1166="",$T1166&gt;60),"",IFERROR(INDEX(IF($T1166&lt;24,pcomp_m,palt_m),MATCH($X1166,IF($T1166&lt;24,pcomp_k,palt_k),1)),""))</f>
        <v/>
      </c>
      <c r="AT1166">
        <f>IF(OR($X1166="",$T1166&gt;60),"",IFERROR(INDEX(IF($T1166&lt;24,pcomp_s,palt_s),MATCH($X1166,IF($T1166&lt;24,pcomp_k,palt_k),1)),""))</f>
        <v/>
      </c>
      <c r="AU1166">
        <f>IF($AR1166="","",IF($AR1166=0,LN($F1166/$AS1166)/$AT1166,((($F1166/$AS1166)^$AR1166)-1)/($AR1166*$AT1166)))</f>
        <v/>
      </c>
      <c r="AV1166">
        <f>IF($AR1166="","",IF($AR1166=0,$AS1166*EXP($AT1166*2),$AS1166*(1+$AR1166*$AT1166*2)^(1/$AR1166)))</f>
        <v/>
      </c>
      <c r="AW1166">
        <f>IF($AR1166="","",IF($AR1166=0,$AS1166*EXP($AT1166*3),$AS1166*(1+$AR1166*$AT1166*3)^(1/$AR1166)))</f>
        <v/>
      </c>
      <c r="AX1166">
        <f>IF($AR1166="","",IF($AR1166=0,$AS1166*EXP($AT1166*-2),$AS1166*(1+$AR1166*$AT1166*-2)^(1/$AR1166)))</f>
        <v/>
      </c>
      <c r="AY1166">
        <f>IF($AR1166="","",IF($AR1166=0,$AS1166*EXP($AT1166*-3),$AS1166*(1+$AR1166*$AT1166*-3)^(1/$AR1166)))</f>
        <v/>
      </c>
      <c r="AZ1166">
        <f>IF(OR($A1166="",$A1166&lt;&gt;Ficha!$C$4),"",COUNTIF($A$2:$A1166,Ficha!$C$4))</f>
        <v/>
      </c>
    </row>
    <row r="1167">
      <c r="A1167" s="8">
        <f>IF(INDEX(Banco!$A:$A,ROW())="","",INDEX(Banco!$A:$A,ROW()))</f>
        <v/>
      </c>
      <c r="B1167" s="8">
        <f>IF(INDEX(Banco!$B:$B,ROW())="","",INDEX(Banco!$B:$B,ROW()))</f>
        <v/>
      </c>
      <c r="C1167" s="8">
        <f>IF(INDEX(Banco!$C:$C,ROW())="","",INDEX(Banco!$C:$C,ROW()))</f>
        <v/>
      </c>
      <c r="D1167" s="9">
        <f>IF(INDEX(Banco!$D:$D,ROW())="","",INDEX(Banco!$D:$D,ROW()))</f>
        <v/>
      </c>
      <c r="E1167" s="9">
        <f>IF(INDEX(Banco!$E:$E,ROW())="","",INDEX(Banco!$E:$E,ROW()))</f>
        <v/>
      </c>
      <c r="F1167" s="10">
        <f>IF(INDEX(Banco!$F:$F,ROW())="","",INDEX(Banco!$F:$F,ROW()))</f>
        <v/>
      </c>
      <c r="G1167" s="10">
        <f>IF(INDEX(Banco!$G:$G,ROW())="","",INDEX(Banco!$G:$G,ROW()))</f>
        <v/>
      </c>
      <c r="H1167" s="8">
        <f>IF(INDEX(Banco!$H:$H,ROW())="","",INDEX(Banco!$H:$H,ROW()))</f>
        <v/>
      </c>
      <c r="I1167">
        <f>IF($T1167="","",INT($T1167/12)&amp;"a "&amp;MOD($T1167,12)&amp;"m")</f>
        <v/>
      </c>
      <c r="J1167" s="11">
        <f>IF(OR($F1167="",$G1167=""),"",ROUND($F1167/($G1167/100)^2,2))</f>
        <v/>
      </c>
      <c r="K1167" s="12">
        <f>IF(OR($S1167="",$J1167="",$T1167="",$T1167&lt;0,$T1167&gt;228,$Y1167=""),"—",ROUND(IF(ABS($AB1167)&lt;=3,$AB1167,IF($AB1167&gt;3,3+($J1167-$AD1167)/($AD1167-$AC1167),-3+($J1167-$AF1167)/($AE1167-$AF1167))),2))</f>
        <v/>
      </c>
      <c r="L1167">
        <f>IF(OR($K1167="",$K1167="—"),"",IF($T1167&lt;=60,IF($K1167&lt;-3,"Magreza acentuada",IF($K1167&lt;-2,"Magreza",IF($K1167&lt;=1,"Eutrofia",IF($K1167&lt;=2,"Risco de sobrepeso",IF($K1167&lt;=3,"Sobrepeso","Obesidade"))))),IF($K1167&lt;-3,"Magreza acentuada",IF($K1167&lt;-2,"Magreza",IF($K1167&lt;=1,"Eutrofia",IF($K1167&lt;=2,"Sobrepeso",IF($K1167&lt;=3,"Obesidade","Obesidade grave")))))))</f>
        <v/>
      </c>
      <c r="M1167" s="12">
        <f>IF(OR($S1167="",$V1167="",$T1167="",$T1167&lt;0,$T1167&gt;228,$AG1167=""),"—",ROUND(IF($AG1167=0,LN($V1167/$AH1167)/$AI1167,((($V1167/$AH1167)^$AG1167)-1)/($AG1167*$AI1167)),2))</f>
        <v/>
      </c>
      <c r="N1167">
        <f>IF(OR($M1167="",$M1167="—"),"",IF($M1167&lt;-3,"Muito baixa",IF($M1167&lt;-2,"Baixa","Adequada")))</f>
        <v/>
      </c>
      <c r="O1167" s="12">
        <f>IF(OR($S1167="",$F1167="",$T1167="",$T1167&lt;0,$T1167&gt;120,$AJ1167=""),"—",ROUND(IF(ABS($AM1167)&lt;=3,$AM1167,IF($AM1167&gt;3,3+($F1167-$AO1167)/($AO1167-$AN1167),-3+($F1167-$AQ1167)/($AP1167-$AQ1167))),2))</f>
        <v/>
      </c>
      <c r="P1167">
        <f>IF(OR($O1167="",$O1167="—"),"",IF($O1167&lt;-3,"Muito baixo",IF($O1167&lt;-2,"Baixo",IF($O1167&lt;=2,"Adequado","Elevado"))))</f>
        <v/>
      </c>
      <c r="Q1167" s="12">
        <f>IF(OR($S1167="",$F1167="",$T1167="",$T1167&lt;0,$T1167&gt;60,$AR1167=""),"—",ROUND(IF(ABS($AU1167)&lt;=3,$AU1167,IF($AU1167&gt;3,3+($F1167-$AW1167)/($AW1167-$AV1167),-3+($F1167-$AY1167)/($AX1167-$AY1167))),2))</f>
        <v/>
      </c>
      <c r="R1167">
        <f>IF(OR($Q1167="",$Q1167="—"),"",IF($Q1167&lt;-3,"Magreza acentuada",IF($Q1167&lt;-2,"Magreza",IF($Q1167&lt;=1,"Eutrofia",IF($Q1167&lt;=2,"Risco de sobrepeso",IF($Q1167&lt;=3,"Sobrepeso","Obesidade"))))))</f>
        <v/>
      </c>
      <c r="S1167">
        <f>IF($C1167="","",IF(UPPER(LEFT($C1167,1))="M",1,IF(UPPER(LEFT($C1167,1))="F",2,"")))</f>
        <v/>
      </c>
      <c r="T1167">
        <f>IF(OR($D1167="",$E1167=""),"",DATEDIF($D1167,$E1167,"m"))</f>
        <v/>
      </c>
      <c r="U1167">
        <f>IF(OR($D1167="",$E1167=""),"",$E1167-$D1167)</f>
        <v/>
      </c>
      <c r="V1167">
        <f>IF(OR($G1167="",$T1167=""),"",IF($T1167&lt;24,IF(LEFT(LOWER($H1167),4)="em p",$G1167+0.7,$G1167),IF(LEFT(LOWER($H1167),4)="deit",$G1167-0.7,$G1167)))</f>
        <v/>
      </c>
      <c r="W1167">
        <f>IF(OR($S1167="",$T1167=""),"",$S1167*1000000+IF($T1167&lt;=60,$U1167,$T1167))</f>
        <v/>
      </c>
      <c r="X1167">
        <f>IF(OR($S1167="",$V1167="",$T1167&gt;60,$T1167=""),"",$S1167*1000000+ROUND($V1167*10,0))</f>
        <v/>
      </c>
      <c r="Y1167">
        <f>IF($W1167="","",IFERROR(INDEX(IF($T1167&lt;=60,imc05_l,imc519_l),MATCH($W1167,IF($T1167&lt;=60,imc05_k,imc519_k),1)),""))</f>
        <v/>
      </c>
      <c r="Z1167">
        <f>IF($W1167="","",IFERROR(INDEX(IF($T1167&lt;=60,imc05_m,imc519_m),MATCH($W1167,IF($T1167&lt;=60,imc05_k,imc519_k),1)),""))</f>
        <v/>
      </c>
      <c r="AA1167">
        <f>IF($W1167="","",IFERROR(INDEX(IF($T1167&lt;=60,imc05_s,imc519_s),MATCH($W1167,IF($T1167&lt;=60,imc05_k,imc519_k),1)),""))</f>
        <v/>
      </c>
      <c r="AB1167">
        <f>IF($Y1167="","",IF($Y1167=0,LN($J1167/$Z1167)/$AA1167,((($J1167/$Z1167)^$Y1167)-1)/($Y1167*$AA1167)))</f>
        <v/>
      </c>
      <c r="AC1167">
        <f>IF($Y1167="","",IF($Y1167=0,$Z1167*EXP($AA1167*2),$Z1167*(1+$Y1167*$AA1167*2)^(1/$Y1167)))</f>
        <v/>
      </c>
      <c r="AD1167">
        <f>IF($Y1167="","",IF($Y1167=0,$Z1167*EXP($AA1167*3),$Z1167*(1+$Y1167*$AA1167*3)^(1/$Y1167)))</f>
        <v/>
      </c>
      <c r="AE1167">
        <f>IF($Y1167="","",IF($Y1167=0,$Z1167*EXP($AA1167*-2),$Z1167*(1+$Y1167*$AA1167*-2)^(1/$Y1167)))</f>
        <v/>
      </c>
      <c r="AF1167">
        <f>IF($Y1167="","",IF($Y1167=0,$Z1167*EXP($AA1167*-3),$Z1167*(1+$Y1167*$AA1167*-3)^(1/$Y1167)))</f>
        <v/>
      </c>
      <c r="AG1167">
        <f>IF($W1167="","",IFERROR(INDEX(IF($T1167&lt;=60,est05_l,est519_l),MATCH($W1167,IF($T1167&lt;=60,est05_k,est519_k),1)),""))</f>
        <v/>
      </c>
      <c r="AH1167">
        <f>IF($W1167="","",IFERROR(INDEX(IF($T1167&lt;=60,est05_m,est519_m),MATCH($W1167,IF($T1167&lt;=60,est05_k,est519_k),1)),""))</f>
        <v/>
      </c>
      <c r="AI1167">
        <f>IF($W1167="","",IFERROR(INDEX(IF($T1167&lt;=60,est05_s,est519_s),MATCH($W1167,IF($T1167&lt;=60,est05_k,est519_k),1)),""))</f>
        <v/>
      </c>
      <c r="AJ1167">
        <f>IF($W1167="","",IFERROR(INDEX(IF($T1167&lt;=60,peso05_l,peso510_l),MATCH($W1167,IF($T1167&lt;=60,peso05_k,peso510_k),1)),""))</f>
        <v/>
      </c>
      <c r="AK1167">
        <f>IF($W1167="","",IFERROR(INDEX(IF($T1167&lt;=60,peso05_m,peso510_m),MATCH($W1167,IF($T1167&lt;=60,peso05_k,peso510_k),1)),""))</f>
        <v/>
      </c>
      <c r="AL1167">
        <f>IF($W1167="","",IFERROR(INDEX(IF($T1167&lt;=60,peso05_s,peso510_s),MATCH($W1167,IF($T1167&lt;=60,peso05_k,peso510_k),1)),""))</f>
        <v/>
      </c>
      <c r="AM1167">
        <f>IF($AJ1167="","",IF($AJ1167=0,LN($F1167/$AK1167)/$AL1167,((($F1167/$AK1167)^$AJ1167)-1)/($AJ1167*$AL1167)))</f>
        <v/>
      </c>
      <c r="AN1167">
        <f>IF($AJ1167="","",IF($AJ1167=0,$AK1167*EXP($AL1167*2),$AK1167*(1+$AJ1167*$AL1167*2)^(1/$AJ1167)))</f>
        <v/>
      </c>
      <c r="AO1167">
        <f>IF($AJ1167="","",IF($AJ1167=0,$AK1167*EXP($AL1167*3),$AK1167*(1+$AJ1167*$AL1167*3)^(1/$AJ1167)))</f>
        <v/>
      </c>
      <c r="AP1167">
        <f>IF($AJ1167="","",IF($AJ1167=0,$AK1167*EXP($AL1167*-2),$AK1167*(1+$AJ1167*$AL1167*-2)^(1/$AJ1167)))</f>
        <v/>
      </c>
      <c r="AQ1167">
        <f>IF($AJ1167="","",IF($AJ1167=0,$AK1167*EXP($AL1167*-3),$AK1167*(1+$AJ1167*$AL1167*-3)^(1/$AJ1167)))</f>
        <v/>
      </c>
      <c r="AR1167">
        <f>IF(OR($X1167="",$T1167&gt;60),"",IFERROR(INDEX(IF($T1167&lt;24,pcomp_l,palt_l),MATCH($X1167,IF($T1167&lt;24,pcomp_k,palt_k),1)),""))</f>
        <v/>
      </c>
      <c r="AS1167">
        <f>IF(OR($X1167="",$T1167&gt;60),"",IFERROR(INDEX(IF($T1167&lt;24,pcomp_m,palt_m),MATCH($X1167,IF($T1167&lt;24,pcomp_k,palt_k),1)),""))</f>
        <v/>
      </c>
      <c r="AT1167">
        <f>IF(OR($X1167="",$T1167&gt;60),"",IFERROR(INDEX(IF($T1167&lt;24,pcomp_s,palt_s),MATCH($X1167,IF($T1167&lt;24,pcomp_k,palt_k),1)),""))</f>
        <v/>
      </c>
      <c r="AU1167">
        <f>IF($AR1167="","",IF($AR1167=0,LN($F1167/$AS1167)/$AT1167,((($F1167/$AS1167)^$AR1167)-1)/($AR1167*$AT1167)))</f>
        <v/>
      </c>
      <c r="AV1167">
        <f>IF($AR1167="","",IF($AR1167=0,$AS1167*EXP($AT1167*2),$AS1167*(1+$AR1167*$AT1167*2)^(1/$AR1167)))</f>
        <v/>
      </c>
      <c r="AW1167">
        <f>IF($AR1167="","",IF($AR1167=0,$AS1167*EXP($AT1167*3),$AS1167*(1+$AR1167*$AT1167*3)^(1/$AR1167)))</f>
        <v/>
      </c>
      <c r="AX1167">
        <f>IF($AR1167="","",IF($AR1167=0,$AS1167*EXP($AT1167*-2),$AS1167*(1+$AR1167*$AT1167*-2)^(1/$AR1167)))</f>
        <v/>
      </c>
      <c r="AY1167">
        <f>IF($AR1167="","",IF($AR1167=0,$AS1167*EXP($AT1167*-3),$AS1167*(1+$AR1167*$AT1167*-3)^(1/$AR1167)))</f>
        <v/>
      </c>
      <c r="AZ1167">
        <f>IF(OR($A1167="",$A1167&lt;&gt;Ficha!$C$4),"",COUNTIF($A$2:$A1167,Ficha!$C$4))</f>
        <v/>
      </c>
    </row>
    <row r="1168">
      <c r="A1168" s="8">
        <f>IF(INDEX(Banco!$A:$A,ROW())="","",INDEX(Banco!$A:$A,ROW()))</f>
        <v/>
      </c>
      <c r="B1168" s="8">
        <f>IF(INDEX(Banco!$B:$B,ROW())="","",INDEX(Banco!$B:$B,ROW()))</f>
        <v/>
      </c>
      <c r="C1168" s="8">
        <f>IF(INDEX(Banco!$C:$C,ROW())="","",INDEX(Banco!$C:$C,ROW()))</f>
        <v/>
      </c>
      <c r="D1168" s="9">
        <f>IF(INDEX(Banco!$D:$D,ROW())="","",INDEX(Banco!$D:$D,ROW()))</f>
        <v/>
      </c>
      <c r="E1168" s="9">
        <f>IF(INDEX(Banco!$E:$E,ROW())="","",INDEX(Banco!$E:$E,ROW()))</f>
        <v/>
      </c>
      <c r="F1168" s="10">
        <f>IF(INDEX(Banco!$F:$F,ROW())="","",INDEX(Banco!$F:$F,ROW()))</f>
        <v/>
      </c>
      <c r="G1168" s="10">
        <f>IF(INDEX(Banco!$G:$G,ROW())="","",INDEX(Banco!$G:$G,ROW()))</f>
        <v/>
      </c>
      <c r="H1168" s="8">
        <f>IF(INDEX(Banco!$H:$H,ROW())="","",INDEX(Banco!$H:$H,ROW()))</f>
        <v/>
      </c>
      <c r="I1168">
        <f>IF($T1168="","",INT($T1168/12)&amp;"a "&amp;MOD($T1168,12)&amp;"m")</f>
        <v/>
      </c>
      <c r="J1168" s="11">
        <f>IF(OR($F1168="",$G1168=""),"",ROUND($F1168/($G1168/100)^2,2))</f>
        <v/>
      </c>
      <c r="K1168" s="12">
        <f>IF(OR($S1168="",$J1168="",$T1168="",$T1168&lt;0,$T1168&gt;228,$Y1168=""),"—",ROUND(IF(ABS($AB1168)&lt;=3,$AB1168,IF($AB1168&gt;3,3+($J1168-$AD1168)/($AD1168-$AC1168),-3+($J1168-$AF1168)/($AE1168-$AF1168))),2))</f>
        <v/>
      </c>
      <c r="L1168">
        <f>IF(OR($K1168="",$K1168="—"),"",IF($T1168&lt;=60,IF($K1168&lt;-3,"Magreza acentuada",IF($K1168&lt;-2,"Magreza",IF($K1168&lt;=1,"Eutrofia",IF($K1168&lt;=2,"Risco de sobrepeso",IF($K1168&lt;=3,"Sobrepeso","Obesidade"))))),IF($K1168&lt;-3,"Magreza acentuada",IF($K1168&lt;-2,"Magreza",IF($K1168&lt;=1,"Eutrofia",IF($K1168&lt;=2,"Sobrepeso",IF($K1168&lt;=3,"Obesidade","Obesidade grave")))))))</f>
        <v/>
      </c>
      <c r="M1168" s="12">
        <f>IF(OR($S1168="",$V1168="",$T1168="",$T1168&lt;0,$T1168&gt;228,$AG1168=""),"—",ROUND(IF($AG1168=0,LN($V1168/$AH1168)/$AI1168,((($V1168/$AH1168)^$AG1168)-1)/($AG1168*$AI1168)),2))</f>
        <v/>
      </c>
      <c r="N1168">
        <f>IF(OR($M1168="",$M1168="—"),"",IF($M1168&lt;-3,"Muito baixa",IF($M1168&lt;-2,"Baixa","Adequada")))</f>
        <v/>
      </c>
      <c r="O1168" s="12">
        <f>IF(OR($S1168="",$F1168="",$T1168="",$T1168&lt;0,$T1168&gt;120,$AJ1168=""),"—",ROUND(IF(ABS($AM1168)&lt;=3,$AM1168,IF($AM1168&gt;3,3+($F1168-$AO1168)/($AO1168-$AN1168),-3+($F1168-$AQ1168)/($AP1168-$AQ1168))),2))</f>
        <v/>
      </c>
      <c r="P1168">
        <f>IF(OR($O1168="",$O1168="—"),"",IF($O1168&lt;-3,"Muito baixo",IF($O1168&lt;-2,"Baixo",IF($O1168&lt;=2,"Adequado","Elevado"))))</f>
        <v/>
      </c>
      <c r="Q1168" s="12">
        <f>IF(OR($S1168="",$F1168="",$T1168="",$T1168&lt;0,$T1168&gt;60,$AR1168=""),"—",ROUND(IF(ABS($AU1168)&lt;=3,$AU1168,IF($AU1168&gt;3,3+($F1168-$AW1168)/($AW1168-$AV1168),-3+($F1168-$AY1168)/($AX1168-$AY1168))),2))</f>
        <v/>
      </c>
      <c r="R1168">
        <f>IF(OR($Q1168="",$Q1168="—"),"",IF($Q1168&lt;-3,"Magreza acentuada",IF($Q1168&lt;-2,"Magreza",IF($Q1168&lt;=1,"Eutrofia",IF($Q1168&lt;=2,"Risco de sobrepeso",IF($Q1168&lt;=3,"Sobrepeso","Obesidade"))))))</f>
        <v/>
      </c>
      <c r="S1168">
        <f>IF($C1168="","",IF(UPPER(LEFT($C1168,1))="M",1,IF(UPPER(LEFT($C1168,1))="F",2,"")))</f>
        <v/>
      </c>
      <c r="T1168">
        <f>IF(OR($D1168="",$E1168=""),"",DATEDIF($D1168,$E1168,"m"))</f>
        <v/>
      </c>
      <c r="U1168">
        <f>IF(OR($D1168="",$E1168=""),"",$E1168-$D1168)</f>
        <v/>
      </c>
      <c r="V1168">
        <f>IF(OR($G1168="",$T1168=""),"",IF($T1168&lt;24,IF(LEFT(LOWER($H1168),4)="em p",$G1168+0.7,$G1168),IF(LEFT(LOWER($H1168),4)="deit",$G1168-0.7,$G1168)))</f>
        <v/>
      </c>
      <c r="W1168">
        <f>IF(OR($S1168="",$T1168=""),"",$S1168*1000000+IF($T1168&lt;=60,$U1168,$T1168))</f>
        <v/>
      </c>
      <c r="X1168">
        <f>IF(OR($S1168="",$V1168="",$T1168&gt;60,$T1168=""),"",$S1168*1000000+ROUND($V1168*10,0))</f>
        <v/>
      </c>
      <c r="Y1168">
        <f>IF($W1168="","",IFERROR(INDEX(IF($T1168&lt;=60,imc05_l,imc519_l),MATCH($W1168,IF($T1168&lt;=60,imc05_k,imc519_k),1)),""))</f>
        <v/>
      </c>
      <c r="Z1168">
        <f>IF($W1168="","",IFERROR(INDEX(IF($T1168&lt;=60,imc05_m,imc519_m),MATCH($W1168,IF($T1168&lt;=60,imc05_k,imc519_k),1)),""))</f>
        <v/>
      </c>
      <c r="AA1168">
        <f>IF($W1168="","",IFERROR(INDEX(IF($T1168&lt;=60,imc05_s,imc519_s),MATCH($W1168,IF($T1168&lt;=60,imc05_k,imc519_k),1)),""))</f>
        <v/>
      </c>
      <c r="AB1168">
        <f>IF($Y1168="","",IF($Y1168=0,LN($J1168/$Z1168)/$AA1168,((($J1168/$Z1168)^$Y1168)-1)/($Y1168*$AA1168)))</f>
        <v/>
      </c>
      <c r="AC1168">
        <f>IF($Y1168="","",IF($Y1168=0,$Z1168*EXP($AA1168*2),$Z1168*(1+$Y1168*$AA1168*2)^(1/$Y1168)))</f>
        <v/>
      </c>
      <c r="AD1168">
        <f>IF($Y1168="","",IF($Y1168=0,$Z1168*EXP($AA1168*3),$Z1168*(1+$Y1168*$AA1168*3)^(1/$Y1168)))</f>
        <v/>
      </c>
      <c r="AE1168">
        <f>IF($Y1168="","",IF($Y1168=0,$Z1168*EXP($AA1168*-2),$Z1168*(1+$Y1168*$AA1168*-2)^(1/$Y1168)))</f>
        <v/>
      </c>
      <c r="AF1168">
        <f>IF($Y1168="","",IF($Y1168=0,$Z1168*EXP($AA1168*-3),$Z1168*(1+$Y1168*$AA1168*-3)^(1/$Y1168)))</f>
        <v/>
      </c>
      <c r="AG1168">
        <f>IF($W1168="","",IFERROR(INDEX(IF($T1168&lt;=60,est05_l,est519_l),MATCH($W1168,IF($T1168&lt;=60,est05_k,est519_k),1)),""))</f>
        <v/>
      </c>
      <c r="AH1168">
        <f>IF($W1168="","",IFERROR(INDEX(IF($T1168&lt;=60,est05_m,est519_m),MATCH($W1168,IF($T1168&lt;=60,est05_k,est519_k),1)),""))</f>
        <v/>
      </c>
      <c r="AI1168">
        <f>IF($W1168="","",IFERROR(INDEX(IF($T1168&lt;=60,est05_s,est519_s),MATCH($W1168,IF($T1168&lt;=60,est05_k,est519_k),1)),""))</f>
        <v/>
      </c>
      <c r="AJ1168">
        <f>IF($W1168="","",IFERROR(INDEX(IF($T1168&lt;=60,peso05_l,peso510_l),MATCH($W1168,IF($T1168&lt;=60,peso05_k,peso510_k),1)),""))</f>
        <v/>
      </c>
      <c r="AK1168">
        <f>IF($W1168="","",IFERROR(INDEX(IF($T1168&lt;=60,peso05_m,peso510_m),MATCH($W1168,IF($T1168&lt;=60,peso05_k,peso510_k),1)),""))</f>
        <v/>
      </c>
      <c r="AL1168">
        <f>IF($W1168="","",IFERROR(INDEX(IF($T1168&lt;=60,peso05_s,peso510_s),MATCH($W1168,IF($T1168&lt;=60,peso05_k,peso510_k),1)),""))</f>
        <v/>
      </c>
      <c r="AM1168">
        <f>IF($AJ1168="","",IF($AJ1168=0,LN($F1168/$AK1168)/$AL1168,((($F1168/$AK1168)^$AJ1168)-1)/($AJ1168*$AL1168)))</f>
        <v/>
      </c>
      <c r="AN1168">
        <f>IF($AJ1168="","",IF($AJ1168=0,$AK1168*EXP($AL1168*2),$AK1168*(1+$AJ1168*$AL1168*2)^(1/$AJ1168)))</f>
        <v/>
      </c>
      <c r="AO1168">
        <f>IF($AJ1168="","",IF($AJ1168=0,$AK1168*EXP($AL1168*3),$AK1168*(1+$AJ1168*$AL1168*3)^(1/$AJ1168)))</f>
        <v/>
      </c>
      <c r="AP1168">
        <f>IF($AJ1168="","",IF($AJ1168=0,$AK1168*EXP($AL1168*-2),$AK1168*(1+$AJ1168*$AL1168*-2)^(1/$AJ1168)))</f>
        <v/>
      </c>
      <c r="AQ1168">
        <f>IF($AJ1168="","",IF($AJ1168=0,$AK1168*EXP($AL1168*-3),$AK1168*(1+$AJ1168*$AL1168*-3)^(1/$AJ1168)))</f>
        <v/>
      </c>
      <c r="AR1168">
        <f>IF(OR($X1168="",$T1168&gt;60),"",IFERROR(INDEX(IF($T1168&lt;24,pcomp_l,palt_l),MATCH($X1168,IF($T1168&lt;24,pcomp_k,palt_k),1)),""))</f>
        <v/>
      </c>
      <c r="AS1168">
        <f>IF(OR($X1168="",$T1168&gt;60),"",IFERROR(INDEX(IF($T1168&lt;24,pcomp_m,palt_m),MATCH($X1168,IF($T1168&lt;24,pcomp_k,palt_k),1)),""))</f>
        <v/>
      </c>
      <c r="AT1168">
        <f>IF(OR($X1168="",$T1168&gt;60),"",IFERROR(INDEX(IF($T1168&lt;24,pcomp_s,palt_s),MATCH($X1168,IF($T1168&lt;24,pcomp_k,palt_k),1)),""))</f>
        <v/>
      </c>
      <c r="AU1168">
        <f>IF($AR1168="","",IF($AR1168=0,LN($F1168/$AS1168)/$AT1168,((($F1168/$AS1168)^$AR1168)-1)/($AR1168*$AT1168)))</f>
        <v/>
      </c>
      <c r="AV1168">
        <f>IF($AR1168="","",IF($AR1168=0,$AS1168*EXP($AT1168*2),$AS1168*(1+$AR1168*$AT1168*2)^(1/$AR1168)))</f>
        <v/>
      </c>
      <c r="AW1168">
        <f>IF($AR1168="","",IF($AR1168=0,$AS1168*EXP($AT1168*3),$AS1168*(1+$AR1168*$AT1168*3)^(1/$AR1168)))</f>
        <v/>
      </c>
      <c r="AX1168">
        <f>IF($AR1168="","",IF($AR1168=0,$AS1168*EXP($AT1168*-2),$AS1168*(1+$AR1168*$AT1168*-2)^(1/$AR1168)))</f>
        <v/>
      </c>
      <c r="AY1168">
        <f>IF($AR1168="","",IF($AR1168=0,$AS1168*EXP($AT1168*-3),$AS1168*(1+$AR1168*$AT1168*-3)^(1/$AR1168)))</f>
        <v/>
      </c>
      <c r="AZ1168">
        <f>IF(OR($A1168="",$A1168&lt;&gt;Ficha!$C$4),"",COUNTIF($A$2:$A1168,Ficha!$C$4))</f>
        <v/>
      </c>
    </row>
    <row r="1169">
      <c r="A1169" s="8">
        <f>IF(INDEX(Banco!$A:$A,ROW())="","",INDEX(Banco!$A:$A,ROW()))</f>
        <v/>
      </c>
      <c r="B1169" s="8">
        <f>IF(INDEX(Banco!$B:$B,ROW())="","",INDEX(Banco!$B:$B,ROW()))</f>
        <v/>
      </c>
      <c r="C1169" s="8">
        <f>IF(INDEX(Banco!$C:$C,ROW())="","",INDEX(Banco!$C:$C,ROW()))</f>
        <v/>
      </c>
      <c r="D1169" s="9">
        <f>IF(INDEX(Banco!$D:$D,ROW())="","",INDEX(Banco!$D:$D,ROW()))</f>
        <v/>
      </c>
      <c r="E1169" s="9">
        <f>IF(INDEX(Banco!$E:$E,ROW())="","",INDEX(Banco!$E:$E,ROW()))</f>
        <v/>
      </c>
      <c r="F1169" s="10">
        <f>IF(INDEX(Banco!$F:$F,ROW())="","",INDEX(Banco!$F:$F,ROW()))</f>
        <v/>
      </c>
      <c r="G1169" s="10">
        <f>IF(INDEX(Banco!$G:$G,ROW())="","",INDEX(Banco!$G:$G,ROW()))</f>
        <v/>
      </c>
      <c r="H1169" s="8">
        <f>IF(INDEX(Banco!$H:$H,ROW())="","",INDEX(Banco!$H:$H,ROW()))</f>
        <v/>
      </c>
      <c r="I1169">
        <f>IF($T1169="","",INT($T1169/12)&amp;"a "&amp;MOD($T1169,12)&amp;"m")</f>
        <v/>
      </c>
      <c r="J1169" s="11">
        <f>IF(OR($F1169="",$G1169=""),"",ROUND($F1169/($G1169/100)^2,2))</f>
        <v/>
      </c>
      <c r="K1169" s="12">
        <f>IF(OR($S1169="",$J1169="",$T1169="",$T1169&lt;0,$T1169&gt;228,$Y1169=""),"—",ROUND(IF(ABS($AB1169)&lt;=3,$AB1169,IF($AB1169&gt;3,3+($J1169-$AD1169)/($AD1169-$AC1169),-3+($J1169-$AF1169)/($AE1169-$AF1169))),2))</f>
        <v/>
      </c>
      <c r="L1169">
        <f>IF(OR($K1169="",$K1169="—"),"",IF($T1169&lt;=60,IF($K1169&lt;-3,"Magreza acentuada",IF($K1169&lt;-2,"Magreza",IF($K1169&lt;=1,"Eutrofia",IF($K1169&lt;=2,"Risco de sobrepeso",IF($K1169&lt;=3,"Sobrepeso","Obesidade"))))),IF($K1169&lt;-3,"Magreza acentuada",IF($K1169&lt;-2,"Magreza",IF($K1169&lt;=1,"Eutrofia",IF($K1169&lt;=2,"Sobrepeso",IF($K1169&lt;=3,"Obesidade","Obesidade grave")))))))</f>
        <v/>
      </c>
      <c r="M1169" s="12">
        <f>IF(OR($S1169="",$V1169="",$T1169="",$T1169&lt;0,$T1169&gt;228,$AG1169=""),"—",ROUND(IF($AG1169=0,LN($V1169/$AH1169)/$AI1169,((($V1169/$AH1169)^$AG1169)-1)/($AG1169*$AI1169)),2))</f>
        <v/>
      </c>
      <c r="N1169">
        <f>IF(OR($M1169="",$M1169="—"),"",IF($M1169&lt;-3,"Muito baixa",IF($M1169&lt;-2,"Baixa","Adequada")))</f>
        <v/>
      </c>
      <c r="O1169" s="12">
        <f>IF(OR($S1169="",$F1169="",$T1169="",$T1169&lt;0,$T1169&gt;120,$AJ1169=""),"—",ROUND(IF(ABS($AM1169)&lt;=3,$AM1169,IF($AM1169&gt;3,3+($F1169-$AO1169)/($AO1169-$AN1169),-3+($F1169-$AQ1169)/($AP1169-$AQ1169))),2))</f>
        <v/>
      </c>
      <c r="P1169">
        <f>IF(OR($O1169="",$O1169="—"),"",IF($O1169&lt;-3,"Muito baixo",IF($O1169&lt;-2,"Baixo",IF($O1169&lt;=2,"Adequado","Elevado"))))</f>
        <v/>
      </c>
      <c r="Q1169" s="12">
        <f>IF(OR($S1169="",$F1169="",$T1169="",$T1169&lt;0,$T1169&gt;60,$AR1169=""),"—",ROUND(IF(ABS($AU1169)&lt;=3,$AU1169,IF($AU1169&gt;3,3+($F1169-$AW1169)/($AW1169-$AV1169),-3+($F1169-$AY1169)/($AX1169-$AY1169))),2))</f>
        <v/>
      </c>
      <c r="R1169">
        <f>IF(OR($Q1169="",$Q1169="—"),"",IF($Q1169&lt;-3,"Magreza acentuada",IF($Q1169&lt;-2,"Magreza",IF($Q1169&lt;=1,"Eutrofia",IF($Q1169&lt;=2,"Risco de sobrepeso",IF($Q1169&lt;=3,"Sobrepeso","Obesidade"))))))</f>
        <v/>
      </c>
      <c r="S1169">
        <f>IF($C1169="","",IF(UPPER(LEFT($C1169,1))="M",1,IF(UPPER(LEFT($C1169,1))="F",2,"")))</f>
        <v/>
      </c>
      <c r="T1169">
        <f>IF(OR($D1169="",$E1169=""),"",DATEDIF($D1169,$E1169,"m"))</f>
        <v/>
      </c>
      <c r="U1169">
        <f>IF(OR($D1169="",$E1169=""),"",$E1169-$D1169)</f>
        <v/>
      </c>
      <c r="V1169">
        <f>IF(OR($G1169="",$T1169=""),"",IF($T1169&lt;24,IF(LEFT(LOWER($H1169),4)="em p",$G1169+0.7,$G1169),IF(LEFT(LOWER($H1169),4)="deit",$G1169-0.7,$G1169)))</f>
        <v/>
      </c>
      <c r="W1169">
        <f>IF(OR($S1169="",$T1169=""),"",$S1169*1000000+IF($T1169&lt;=60,$U1169,$T1169))</f>
        <v/>
      </c>
      <c r="X1169">
        <f>IF(OR($S1169="",$V1169="",$T1169&gt;60,$T1169=""),"",$S1169*1000000+ROUND($V1169*10,0))</f>
        <v/>
      </c>
      <c r="Y1169">
        <f>IF($W1169="","",IFERROR(INDEX(IF($T1169&lt;=60,imc05_l,imc519_l),MATCH($W1169,IF($T1169&lt;=60,imc05_k,imc519_k),1)),""))</f>
        <v/>
      </c>
      <c r="Z1169">
        <f>IF($W1169="","",IFERROR(INDEX(IF($T1169&lt;=60,imc05_m,imc519_m),MATCH($W1169,IF($T1169&lt;=60,imc05_k,imc519_k),1)),""))</f>
        <v/>
      </c>
      <c r="AA1169">
        <f>IF($W1169="","",IFERROR(INDEX(IF($T1169&lt;=60,imc05_s,imc519_s),MATCH($W1169,IF($T1169&lt;=60,imc05_k,imc519_k),1)),""))</f>
        <v/>
      </c>
      <c r="AB1169">
        <f>IF($Y1169="","",IF($Y1169=0,LN($J1169/$Z1169)/$AA1169,((($J1169/$Z1169)^$Y1169)-1)/($Y1169*$AA1169)))</f>
        <v/>
      </c>
      <c r="AC1169">
        <f>IF($Y1169="","",IF($Y1169=0,$Z1169*EXP($AA1169*2),$Z1169*(1+$Y1169*$AA1169*2)^(1/$Y1169)))</f>
        <v/>
      </c>
      <c r="AD1169">
        <f>IF($Y1169="","",IF($Y1169=0,$Z1169*EXP($AA1169*3),$Z1169*(1+$Y1169*$AA1169*3)^(1/$Y1169)))</f>
        <v/>
      </c>
      <c r="AE1169">
        <f>IF($Y1169="","",IF($Y1169=0,$Z1169*EXP($AA1169*-2),$Z1169*(1+$Y1169*$AA1169*-2)^(1/$Y1169)))</f>
        <v/>
      </c>
      <c r="AF1169">
        <f>IF($Y1169="","",IF($Y1169=0,$Z1169*EXP($AA1169*-3),$Z1169*(1+$Y1169*$AA1169*-3)^(1/$Y1169)))</f>
        <v/>
      </c>
      <c r="AG1169">
        <f>IF($W1169="","",IFERROR(INDEX(IF($T1169&lt;=60,est05_l,est519_l),MATCH($W1169,IF($T1169&lt;=60,est05_k,est519_k),1)),""))</f>
        <v/>
      </c>
      <c r="AH1169">
        <f>IF($W1169="","",IFERROR(INDEX(IF($T1169&lt;=60,est05_m,est519_m),MATCH($W1169,IF($T1169&lt;=60,est05_k,est519_k),1)),""))</f>
        <v/>
      </c>
      <c r="AI1169">
        <f>IF($W1169="","",IFERROR(INDEX(IF($T1169&lt;=60,est05_s,est519_s),MATCH($W1169,IF($T1169&lt;=60,est05_k,est519_k),1)),""))</f>
        <v/>
      </c>
      <c r="AJ1169">
        <f>IF($W1169="","",IFERROR(INDEX(IF($T1169&lt;=60,peso05_l,peso510_l),MATCH($W1169,IF($T1169&lt;=60,peso05_k,peso510_k),1)),""))</f>
        <v/>
      </c>
      <c r="AK1169">
        <f>IF($W1169="","",IFERROR(INDEX(IF($T1169&lt;=60,peso05_m,peso510_m),MATCH($W1169,IF($T1169&lt;=60,peso05_k,peso510_k),1)),""))</f>
        <v/>
      </c>
      <c r="AL1169">
        <f>IF($W1169="","",IFERROR(INDEX(IF($T1169&lt;=60,peso05_s,peso510_s),MATCH($W1169,IF($T1169&lt;=60,peso05_k,peso510_k),1)),""))</f>
        <v/>
      </c>
      <c r="AM1169">
        <f>IF($AJ1169="","",IF($AJ1169=0,LN($F1169/$AK1169)/$AL1169,((($F1169/$AK1169)^$AJ1169)-1)/($AJ1169*$AL1169)))</f>
        <v/>
      </c>
      <c r="AN1169">
        <f>IF($AJ1169="","",IF($AJ1169=0,$AK1169*EXP($AL1169*2),$AK1169*(1+$AJ1169*$AL1169*2)^(1/$AJ1169)))</f>
        <v/>
      </c>
      <c r="AO1169">
        <f>IF($AJ1169="","",IF($AJ1169=0,$AK1169*EXP($AL1169*3),$AK1169*(1+$AJ1169*$AL1169*3)^(1/$AJ1169)))</f>
        <v/>
      </c>
      <c r="AP1169">
        <f>IF($AJ1169="","",IF($AJ1169=0,$AK1169*EXP($AL1169*-2),$AK1169*(1+$AJ1169*$AL1169*-2)^(1/$AJ1169)))</f>
        <v/>
      </c>
      <c r="AQ1169">
        <f>IF($AJ1169="","",IF($AJ1169=0,$AK1169*EXP($AL1169*-3),$AK1169*(1+$AJ1169*$AL1169*-3)^(1/$AJ1169)))</f>
        <v/>
      </c>
      <c r="AR1169">
        <f>IF(OR($X1169="",$T1169&gt;60),"",IFERROR(INDEX(IF($T1169&lt;24,pcomp_l,palt_l),MATCH($X1169,IF($T1169&lt;24,pcomp_k,palt_k),1)),""))</f>
        <v/>
      </c>
      <c r="AS1169">
        <f>IF(OR($X1169="",$T1169&gt;60),"",IFERROR(INDEX(IF($T1169&lt;24,pcomp_m,palt_m),MATCH($X1169,IF($T1169&lt;24,pcomp_k,palt_k),1)),""))</f>
        <v/>
      </c>
      <c r="AT1169">
        <f>IF(OR($X1169="",$T1169&gt;60),"",IFERROR(INDEX(IF($T1169&lt;24,pcomp_s,palt_s),MATCH($X1169,IF($T1169&lt;24,pcomp_k,palt_k),1)),""))</f>
        <v/>
      </c>
      <c r="AU1169">
        <f>IF($AR1169="","",IF($AR1169=0,LN($F1169/$AS1169)/$AT1169,((($F1169/$AS1169)^$AR1169)-1)/($AR1169*$AT1169)))</f>
        <v/>
      </c>
      <c r="AV1169">
        <f>IF($AR1169="","",IF($AR1169=0,$AS1169*EXP($AT1169*2),$AS1169*(1+$AR1169*$AT1169*2)^(1/$AR1169)))</f>
        <v/>
      </c>
      <c r="AW1169">
        <f>IF($AR1169="","",IF($AR1169=0,$AS1169*EXP($AT1169*3),$AS1169*(1+$AR1169*$AT1169*3)^(1/$AR1169)))</f>
        <v/>
      </c>
      <c r="AX1169">
        <f>IF($AR1169="","",IF($AR1169=0,$AS1169*EXP($AT1169*-2),$AS1169*(1+$AR1169*$AT1169*-2)^(1/$AR1169)))</f>
        <v/>
      </c>
      <c r="AY1169">
        <f>IF($AR1169="","",IF($AR1169=0,$AS1169*EXP($AT1169*-3),$AS1169*(1+$AR1169*$AT1169*-3)^(1/$AR1169)))</f>
        <v/>
      </c>
      <c r="AZ1169">
        <f>IF(OR($A1169="",$A1169&lt;&gt;Ficha!$C$4),"",COUNTIF($A$2:$A1169,Ficha!$C$4))</f>
        <v/>
      </c>
    </row>
    <row r="1170">
      <c r="A1170" s="8">
        <f>IF(INDEX(Banco!$A:$A,ROW())="","",INDEX(Banco!$A:$A,ROW()))</f>
        <v/>
      </c>
      <c r="B1170" s="8">
        <f>IF(INDEX(Banco!$B:$B,ROW())="","",INDEX(Banco!$B:$B,ROW()))</f>
        <v/>
      </c>
      <c r="C1170" s="8">
        <f>IF(INDEX(Banco!$C:$C,ROW())="","",INDEX(Banco!$C:$C,ROW()))</f>
        <v/>
      </c>
      <c r="D1170" s="9">
        <f>IF(INDEX(Banco!$D:$D,ROW())="","",INDEX(Banco!$D:$D,ROW()))</f>
        <v/>
      </c>
      <c r="E1170" s="9">
        <f>IF(INDEX(Banco!$E:$E,ROW())="","",INDEX(Banco!$E:$E,ROW()))</f>
        <v/>
      </c>
      <c r="F1170" s="10">
        <f>IF(INDEX(Banco!$F:$F,ROW())="","",INDEX(Banco!$F:$F,ROW()))</f>
        <v/>
      </c>
      <c r="G1170" s="10">
        <f>IF(INDEX(Banco!$G:$G,ROW())="","",INDEX(Banco!$G:$G,ROW()))</f>
        <v/>
      </c>
      <c r="H1170" s="8">
        <f>IF(INDEX(Banco!$H:$H,ROW())="","",INDEX(Banco!$H:$H,ROW()))</f>
        <v/>
      </c>
      <c r="I1170">
        <f>IF($T1170="","",INT($T1170/12)&amp;"a "&amp;MOD($T1170,12)&amp;"m")</f>
        <v/>
      </c>
      <c r="J1170" s="11">
        <f>IF(OR($F1170="",$G1170=""),"",ROUND($F1170/($G1170/100)^2,2))</f>
        <v/>
      </c>
      <c r="K1170" s="12">
        <f>IF(OR($S1170="",$J1170="",$T1170="",$T1170&lt;0,$T1170&gt;228,$Y1170=""),"—",ROUND(IF(ABS($AB1170)&lt;=3,$AB1170,IF($AB1170&gt;3,3+($J1170-$AD1170)/($AD1170-$AC1170),-3+($J1170-$AF1170)/($AE1170-$AF1170))),2))</f>
        <v/>
      </c>
      <c r="L1170">
        <f>IF(OR($K1170="",$K1170="—"),"",IF($T1170&lt;=60,IF($K1170&lt;-3,"Magreza acentuada",IF($K1170&lt;-2,"Magreza",IF($K1170&lt;=1,"Eutrofia",IF($K1170&lt;=2,"Risco de sobrepeso",IF($K1170&lt;=3,"Sobrepeso","Obesidade"))))),IF($K1170&lt;-3,"Magreza acentuada",IF($K1170&lt;-2,"Magreza",IF($K1170&lt;=1,"Eutrofia",IF($K1170&lt;=2,"Sobrepeso",IF($K1170&lt;=3,"Obesidade","Obesidade grave")))))))</f>
        <v/>
      </c>
      <c r="M1170" s="12">
        <f>IF(OR($S1170="",$V1170="",$T1170="",$T1170&lt;0,$T1170&gt;228,$AG1170=""),"—",ROUND(IF($AG1170=0,LN($V1170/$AH1170)/$AI1170,((($V1170/$AH1170)^$AG1170)-1)/($AG1170*$AI1170)),2))</f>
        <v/>
      </c>
      <c r="N1170">
        <f>IF(OR($M1170="",$M1170="—"),"",IF($M1170&lt;-3,"Muito baixa",IF($M1170&lt;-2,"Baixa","Adequada")))</f>
        <v/>
      </c>
      <c r="O1170" s="12">
        <f>IF(OR($S1170="",$F1170="",$T1170="",$T1170&lt;0,$T1170&gt;120,$AJ1170=""),"—",ROUND(IF(ABS($AM1170)&lt;=3,$AM1170,IF($AM1170&gt;3,3+($F1170-$AO1170)/($AO1170-$AN1170),-3+($F1170-$AQ1170)/($AP1170-$AQ1170))),2))</f>
        <v/>
      </c>
      <c r="P1170">
        <f>IF(OR($O1170="",$O1170="—"),"",IF($O1170&lt;-3,"Muito baixo",IF($O1170&lt;-2,"Baixo",IF($O1170&lt;=2,"Adequado","Elevado"))))</f>
        <v/>
      </c>
      <c r="Q1170" s="12">
        <f>IF(OR($S1170="",$F1170="",$T1170="",$T1170&lt;0,$T1170&gt;60,$AR1170=""),"—",ROUND(IF(ABS($AU1170)&lt;=3,$AU1170,IF($AU1170&gt;3,3+($F1170-$AW1170)/($AW1170-$AV1170),-3+($F1170-$AY1170)/($AX1170-$AY1170))),2))</f>
        <v/>
      </c>
      <c r="R1170">
        <f>IF(OR($Q1170="",$Q1170="—"),"",IF($Q1170&lt;-3,"Magreza acentuada",IF($Q1170&lt;-2,"Magreza",IF($Q1170&lt;=1,"Eutrofia",IF($Q1170&lt;=2,"Risco de sobrepeso",IF($Q1170&lt;=3,"Sobrepeso","Obesidade"))))))</f>
        <v/>
      </c>
      <c r="S1170">
        <f>IF($C1170="","",IF(UPPER(LEFT($C1170,1))="M",1,IF(UPPER(LEFT($C1170,1))="F",2,"")))</f>
        <v/>
      </c>
      <c r="T1170">
        <f>IF(OR($D1170="",$E1170=""),"",DATEDIF($D1170,$E1170,"m"))</f>
        <v/>
      </c>
      <c r="U1170">
        <f>IF(OR($D1170="",$E1170=""),"",$E1170-$D1170)</f>
        <v/>
      </c>
      <c r="V1170">
        <f>IF(OR($G1170="",$T1170=""),"",IF($T1170&lt;24,IF(LEFT(LOWER($H1170),4)="em p",$G1170+0.7,$G1170),IF(LEFT(LOWER($H1170),4)="deit",$G1170-0.7,$G1170)))</f>
        <v/>
      </c>
      <c r="W1170">
        <f>IF(OR($S1170="",$T1170=""),"",$S1170*1000000+IF($T1170&lt;=60,$U1170,$T1170))</f>
        <v/>
      </c>
      <c r="X1170">
        <f>IF(OR($S1170="",$V1170="",$T1170&gt;60,$T1170=""),"",$S1170*1000000+ROUND($V1170*10,0))</f>
        <v/>
      </c>
      <c r="Y1170">
        <f>IF($W1170="","",IFERROR(INDEX(IF($T1170&lt;=60,imc05_l,imc519_l),MATCH($W1170,IF($T1170&lt;=60,imc05_k,imc519_k),1)),""))</f>
        <v/>
      </c>
      <c r="Z1170">
        <f>IF($W1170="","",IFERROR(INDEX(IF($T1170&lt;=60,imc05_m,imc519_m),MATCH($W1170,IF($T1170&lt;=60,imc05_k,imc519_k),1)),""))</f>
        <v/>
      </c>
      <c r="AA1170">
        <f>IF($W1170="","",IFERROR(INDEX(IF($T1170&lt;=60,imc05_s,imc519_s),MATCH($W1170,IF($T1170&lt;=60,imc05_k,imc519_k),1)),""))</f>
        <v/>
      </c>
      <c r="AB1170">
        <f>IF($Y1170="","",IF($Y1170=0,LN($J1170/$Z1170)/$AA1170,((($J1170/$Z1170)^$Y1170)-1)/($Y1170*$AA1170)))</f>
        <v/>
      </c>
      <c r="AC1170">
        <f>IF($Y1170="","",IF($Y1170=0,$Z1170*EXP($AA1170*2),$Z1170*(1+$Y1170*$AA1170*2)^(1/$Y1170)))</f>
        <v/>
      </c>
      <c r="AD1170">
        <f>IF($Y1170="","",IF($Y1170=0,$Z1170*EXP($AA1170*3),$Z1170*(1+$Y1170*$AA1170*3)^(1/$Y1170)))</f>
        <v/>
      </c>
      <c r="AE1170">
        <f>IF($Y1170="","",IF($Y1170=0,$Z1170*EXP($AA1170*-2),$Z1170*(1+$Y1170*$AA1170*-2)^(1/$Y1170)))</f>
        <v/>
      </c>
      <c r="AF1170">
        <f>IF($Y1170="","",IF($Y1170=0,$Z1170*EXP($AA1170*-3),$Z1170*(1+$Y1170*$AA1170*-3)^(1/$Y1170)))</f>
        <v/>
      </c>
      <c r="AG1170">
        <f>IF($W1170="","",IFERROR(INDEX(IF($T1170&lt;=60,est05_l,est519_l),MATCH($W1170,IF($T1170&lt;=60,est05_k,est519_k),1)),""))</f>
        <v/>
      </c>
      <c r="AH1170">
        <f>IF($W1170="","",IFERROR(INDEX(IF($T1170&lt;=60,est05_m,est519_m),MATCH($W1170,IF($T1170&lt;=60,est05_k,est519_k),1)),""))</f>
        <v/>
      </c>
      <c r="AI1170">
        <f>IF($W1170="","",IFERROR(INDEX(IF($T1170&lt;=60,est05_s,est519_s),MATCH($W1170,IF($T1170&lt;=60,est05_k,est519_k),1)),""))</f>
        <v/>
      </c>
      <c r="AJ1170">
        <f>IF($W1170="","",IFERROR(INDEX(IF($T1170&lt;=60,peso05_l,peso510_l),MATCH($W1170,IF($T1170&lt;=60,peso05_k,peso510_k),1)),""))</f>
        <v/>
      </c>
      <c r="AK1170">
        <f>IF($W1170="","",IFERROR(INDEX(IF($T1170&lt;=60,peso05_m,peso510_m),MATCH($W1170,IF($T1170&lt;=60,peso05_k,peso510_k),1)),""))</f>
        <v/>
      </c>
      <c r="AL1170">
        <f>IF($W1170="","",IFERROR(INDEX(IF($T1170&lt;=60,peso05_s,peso510_s),MATCH($W1170,IF($T1170&lt;=60,peso05_k,peso510_k),1)),""))</f>
        <v/>
      </c>
      <c r="AM1170">
        <f>IF($AJ1170="","",IF($AJ1170=0,LN($F1170/$AK1170)/$AL1170,((($F1170/$AK1170)^$AJ1170)-1)/($AJ1170*$AL1170)))</f>
        <v/>
      </c>
      <c r="AN1170">
        <f>IF($AJ1170="","",IF($AJ1170=0,$AK1170*EXP($AL1170*2),$AK1170*(1+$AJ1170*$AL1170*2)^(1/$AJ1170)))</f>
        <v/>
      </c>
      <c r="AO1170">
        <f>IF($AJ1170="","",IF($AJ1170=0,$AK1170*EXP($AL1170*3),$AK1170*(1+$AJ1170*$AL1170*3)^(1/$AJ1170)))</f>
        <v/>
      </c>
      <c r="AP1170">
        <f>IF($AJ1170="","",IF($AJ1170=0,$AK1170*EXP($AL1170*-2),$AK1170*(1+$AJ1170*$AL1170*-2)^(1/$AJ1170)))</f>
        <v/>
      </c>
      <c r="AQ1170">
        <f>IF($AJ1170="","",IF($AJ1170=0,$AK1170*EXP($AL1170*-3),$AK1170*(1+$AJ1170*$AL1170*-3)^(1/$AJ1170)))</f>
        <v/>
      </c>
      <c r="AR1170">
        <f>IF(OR($X1170="",$T1170&gt;60),"",IFERROR(INDEX(IF($T1170&lt;24,pcomp_l,palt_l),MATCH($X1170,IF($T1170&lt;24,pcomp_k,palt_k),1)),""))</f>
        <v/>
      </c>
      <c r="AS1170">
        <f>IF(OR($X1170="",$T1170&gt;60),"",IFERROR(INDEX(IF($T1170&lt;24,pcomp_m,palt_m),MATCH($X1170,IF($T1170&lt;24,pcomp_k,palt_k),1)),""))</f>
        <v/>
      </c>
      <c r="AT1170">
        <f>IF(OR($X1170="",$T1170&gt;60),"",IFERROR(INDEX(IF($T1170&lt;24,pcomp_s,palt_s),MATCH($X1170,IF($T1170&lt;24,pcomp_k,palt_k),1)),""))</f>
        <v/>
      </c>
      <c r="AU1170">
        <f>IF($AR1170="","",IF($AR1170=0,LN($F1170/$AS1170)/$AT1170,((($F1170/$AS1170)^$AR1170)-1)/($AR1170*$AT1170)))</f>
        <v/>
      </c>
      <c r="AV1170">
        <f>IF($AR1170="","",IF($AR1170=0,$AS1170*EXP($AT1170*2),$AS1170*(1+$AR1170*$AT1170*2)^(1/$AR1170)))</f>
        <v/>
      </c>
      <c r="AW1170">
        <f>IF($AR1170="","",IF($AR1170=0,$AS1170*EXP($AT1170*3),$AS1170*(1+$AR1170*$AT1170*3)^(1/$AR1170)))</f>
        <v/>
      </c>
      <c r="AX1170">
        <f>IF($AR1170="","",IF($AR1170=0,$AS1170*EXP($AT1170*-2),$AS1170*(1+$AR1170*$AT1170*-2)^(1/$AR1170)))</f>
        <v/>
      </c>
      <c r="AY1170">
        <f>IF($AR1170="","",IF($AR1170=0,$AS1170*EXP($AT1170*-3),$AS1170*(1+$AR1170*$AT1170*-3)^(1/$AR1170)))</f>
        <v/>
      </c>
      <c r="AZ1170">
        <f>IF(OR($A1170="",$A1170&lt;&gt;Ficha!$C$4),"",COUNTIF($A$2:$A1170,Ficha!$C$4))</f>
        <v/>
      </c>
    </row>
    <row r="1171">
      <c r="A1171" s="8">
        <f>IF(INDEX(Banco!$A:$A,ROW())="","",INDEX(Banco!$A:$A,ROW()))</f>
        <v/>
      </c>
      <c r="B1171" s="8">
        <f>IF(INDEX(Banco!$B:$B,ROW())="","",INDEX(Banco!$B:$B,ROW()))</f>
        <v/>
      </c>
      <c r="C1171" s="8">
        <f>IF(INDEX(Banco!$C:$C,ROW())="","",INDEX(Banco!$C:$C,ROW()))</f>
        <v/>
      </c>
      <c r="D1171" s="9">
        <f>IF(INDEX(Banco!$D:$D,ROW())="","",INDEX(Banco!$D:$D,ROW()))</f>
        <v/>
      </c>
      <c r="E1171" s="9">
        <f>IF(INDEX(Banco!$E:$E,ROW())="","",INDEX(Banco!$E:$E,ROW()))</f>
        <v/>
      </c>
      <c r="F1171" s="10">
        <f>IF(INDEX(Banco!$F:$F,ROW())="","",INDEX(Banco!$F:$F,ROW()))</f>
        <v/>
      </c>
      <c r="G1171" s="10">
        <f>IF(INDEX(Banco!$G:$G,ROW())="","",INDEX(Banco!$G:$G,ROW()))</f>
        <v/>
      </c>
      <c r="H1171" s="8">
        <f>IF(INDEX(Banco!$H:$H,ROW())="","",INDEX(Banco!$H:$H,ROW()))</f>
        <v/>
      </c>
      <c r="I1171">
        <f>IF($T1171="","",INT($T1171/12)&amp;"a "&amp;MOD($T1171,12)&amp;"m")</f>
        <v/>
      </c>
      <c r="J1171" s="11">
        <f>IF(OR($F1171="",$G1171=""),"",ROUND($F1171/($G1171/100)^2,2))</f>
        <v/>
      </c>
      <c r="K1171" s="12">
        <f>IF(OR($S1171="",$J1171="",$T1171="",$T1171&lt;0,$T1171&gt;228,$Y1171=""),"—",ROUND(IF(ABS($AB1171)&lt;=3,$AB1171,IF($AB1171&gt;3,3+($J1171-$AD1171)/($AD1171-$AC1171),-3+($J1171-$AF1171)/($AE1171-$AF1171))),2))</f>
        <v/>
      </c>
      <c r="L1171">
        <f>IF(OR($K1171="",$K1171="—"),"",IF($T1171&lt;=60,IF($K1171&lt;-3,"Magreza acentuada",IF($K1171&lt;-2,"Magreza",IF($K1171&lt;=1,"Eutrofia",IF($K1171&lt;=2,"Risco de sobrepeso",IF($K1171&lt;=3,"Sobrepeso","Obesidade"))))),IF($K1171&lt;-3,"Magreza acentuada",IF($K1171&lt;-2,"Magreza",IF($K1171&lt;=1,"Eutrofia",IF($K1171&lt;=2,"Sobrepeso",IF($K1171&lt;=3,"Obesidade","Obesidade grave")))))))</f>
        <v/>
      </c>
      <c r="M1171" s="12">
        <f>IF(OR($S1171="",$V1171="",$T1171="",$T1171&lt;0,$T1171&gt;228,$AG1171=""),"—",ROUND(IF($AG1171=0,LN($V1171/$AH1171)/$AI1171,((($V1171/$AH1171)^$AG1171)-1)/($AG1171*$AI1171)),2))</f>
        <v/>
      </c>
      <c r="N1171">
        <f>IF(OR($M1171="",$M1171="—"),"",IF($M1171&lt;-3,"Muito baixa",IF($M1171&lt;-2,"Baixa","Adequada")))</f>
        <v/>
      </c>
      <c r="O1171" s="12">
        <f>IF(OR($S1171="",$F1171="",$T1171="",$T1171&lt;0,$T1171&gt;120,$AJ1171=""),"—",ROUND(IF(ABS($AM1171)&lt;=3,$AM1171,IF($AM1171&gt;3,3+($F1171-$AO1171)/($AO1171-$AN1171),-3+($F1171-$AQ1171)/($AP1171-$AQ1171))),2))</f>
        <v/>
      </c>
      <c r="P1171">
        <f>IF(OR($O1171="",$O1171="—"),"",IF($O1171&lt;-3,"Muito baixo",IF($O1171&lt;-2,"Baixo",IF($O1171&lt;=2,"Adequado","Elevado"))))</f>
        <v/>
      </c>
      <c r="Q1171" s="12">
        <f>IF(OR($S1171="",$F1171="",$T1171="",$T1171&lt;0,$T1171&gt;60,$AR1171=""),"—",ROUND(IF(ABS($AU1171)&lt;=3,$AU1171,IF($AU1171&gt;3,3+($F1171-$AW1171)/($AW1171-$AV1171),-3+($F1171-$AY1171)/($AX1171-$AY1171))),2))</f>
        <v/>
      </c>
      <c r="R1171">
        <f>IF(OR($Q1171="",$Q1171="—"),"",IF($Q1171&lt;-3,"Magreza acentuada",IF($Q1171&lt;-2,"Magreza",IF($Q1171&lt;=1,"Eutrofia",IF($Q1171&lt;=2,"Risco de sobrepeso",IF($Q1171&lt;=3,"Sobrepeso","Obesidade"))))))</f>
        <v/>
      </c>
      <c r="S1171">
        <f>IF($C1171="","",IF(UPPER(LEFT($C1171,1))="M",1,IF(UPPER(LEFT($C1171,1))="F",2,"")))</f>
        <v/>
      </c>
      <c r="T1171">
        <f>IF(OR($D1171="",$E1171=""),"",DATEDIF($D1171,$E1171,"m"))</f>
        <v/>
      </c>
      <c r="U1171">
        <f>IF(OR($D1171="",$E1171=""),"",$E1171-$D1171)</f>
        <v/>
      </c>
      <c r="V1171">
        <f>IF(OR($G1171="",$T1171=""),"",IF($T1171&lt;24,IF(LEFT(LOWER($H1171),4)="em p",$G1171+0.7,$G1171),IF(LEFT(LOWER($H1171),4)="deit",$G1171-0.7,$G1171)))</f>
        <v/>
      </c>
      <c r="W1171">
        <f>IF(OR($S1171="",$T1171=""),"",$S1171*1000000+IF($T1171&lt;=60,$U1171,$T1171))</f>
        <v/>
      </c>
      <c r="X1171">
        <f>IF(OR($S1171="",$V1171="",$T1171&gt;60,$T1171=""),"",$S1171*1000000+ROUND($V1171*10,0))</f>
        <v/>
      </c>
      <c r="Y1171">
        <f>IF($W1171="","",IFERROR(INDEX(IF($T1171&lt;=60,imc05_l,imc519_l),MATCH($W1171,IF($T1171&lt;=60,imc05_k,imc519_k),1)),""))</f>
        <v/>
      </c>
      <c r="Z1171">
        <f>IF($W1171="","",IFERROR(INDEX(IF($T1171&lt;=60,imc05_m,imc519_m),MATCH($W1171,IF($T1171&lt;=60,imc05_k,imc519_k),1)),""))</f>
        <v/>
      </c>
      <c r="AA1171">
        <f>IF($W1171="","",IFERROR(INDEX(IF($T1171&lt;=60,imc05_s,imc519_s),MATCH($W1171,IF($T1171&lt;=60,imc05_k,imc519_k),1)),""))</f>
        <v/>
      </c>
      <c r="AB1171">
        <f>IF($Y1171="","",IF($Y1171=0,LN($J1171/$Z1171)/$AA1171,((($J1171/$Z1171)^$Y1171)-1)/($Y1171*$AA1171)))</f>
        <v/>
      </c>
      <c r="AC1171">
        <f>IF($Y1171="","",IF($Y1171=0,$Z1171*EXP($AA1171*2),$Z1171*(1+$Y1171*$AA1171*2)^(1/$Y1171)))</f>
        <v/>
      </c>
      <c r="AD1171">
        <f>IF($Y1171="","",IF($Y1171=0,$Z1171*EXP($AA1171*3),$Z1171*(1+$Y1171*$AA1171*3)^(1/$Y1171)))</f>
        <v/>
      </c>
      <c r="AE1171">
        <f>IF($Y1171="","",IF($Y1171=0,$Z1171*EXP($AA1171*-2),$Z1171*(1+$Y1171*$AA1171*-2)^(1/$Y1171)))</f>
        <v/>
      </c>
      <c r="AF1171">
        <f>IF($Y1171="","",IF($Y1171=0,$Z1171*EXP($AA1171*-3),$Z1171*(1+$Y1171*$AA1171*-3)^(1/$Y1171)))</f>
        <v/>
      </c>
      <c r="AG1171">
        <f>IF($W1171="","",IFERROR(INDEX(IF($T1171&lt;=60,est05_l,est519_l),MATCH($W1171,IF($T1171&lt;=60,est05_k,est519_k),1)),""))</f>
        <v/>
      </c>
      <c r="AH1171">
        <f>IF($W1171="","",IFERROR(INDEX(IF($T1171&lt;=60,est05_m,est519_m),MATCH($W1171,IF($T1171&lt;=60,est05_k,est519_k),1)),""))</f>
        <v/>
      </c>
      <c r="AI1171">
        <f>IF($W1171="","",IFERROR(INDEX(IF($T1171&lt;=60,est05_s,est519_s),MATCH($W1171,IF($T1171&lt;=60,est05_k,est519_k),1)),""))</f>
        <v/>
      </c>
      <c r="AJ1171">
        <f>IF($W1171="","",IFERROR(INDEX(IF($T1171&lt;=60,peso05_l,peso510_l),MATCH($W1171,IF($T1171&lt;=60,peso05_k,peso510_k),1)),""))</f>
        <v/>
      </c>
      <c r="AK1171">
        <f>IF($W1171="","",IFERROR(INDEX(IF($T1171&lt;=60,peso05_m,peso510_m),MATCH($W1171,IF($T1171&lt;=60,peso05_k,peso510_k),1)),""))</f>
        <v/>
      </c>
      <c r="AL1171">
        <f>IF($W1171="","",IFERROR(INDEX(IF($T1171&lt;=60,peso05_s,peso510_s),MATCH($W1171,IF($T1171&lt;=60,peso05_k,peso510_k),1)),""))</f>
        <v/>
      </c>
      <c r="AM1171">
        <f>IF($AJ1171="","",IF($AJ1171=0,LN($F1171/$AK1171)/$AL1171,((($F1171/$AK1171)^$AJ1171)-1)/($AJ1171*$AL1171)))</f>
        <v/>
      </c>
      <c r="AN1171">
        <f>IF($AJ1171="","",IF($AJ1171=0,$AK1171*EXP($AL1171*2),$AK1171*(1+$AJ1171*$AL1171*2)^(1/$AJ1171)))</f>
        <v/>
      </c>
      <c r="AO1171">
        <f>IF($AJ1171="","",IF($AJ1171=0,$AK1171*EXP($AL1171*3),$AK1171*(1+$AJ1171*$AL1171*3)^(1/$AJ1171)))</f>
        <v/>
      </c>
      <c r="AP1171">
        <f>IF($AJ1171="","",IF($AJ1171=0,$AK1171*EXP($AL1171*-2),$AK1171*(1+$AJ1171*$AL1171*-2)^(1/$AJ1171)))</f>
        <v/>
      </c>
      <c r="AQ1171">
        <f>IF($AJ1171="","",IF($AJ1171=0,$AK1171*EXP($AL1171*-3),$AK1171*(1+$AJ1171*$AL1171*-3)^(1/$AJ1171)))</f>
        <v/>
      </c>
      <c r="AR1171">
        <f>IF(OR($X1171="",$T1171&gt;60),"",IFERROR(INDEX(IF($T1171&lt;24,pcomp_l,palt_l),MATCH($X1171,IF($T1171&lt;24,pcomp_k,palt_k),1)),""))</f>
        <v/>
      </c>
      <c r="AS1171">
        <f>IF(OR($X1171="",$T1171&gt;60),"",IFERROR(INDEX(IF($T1171&lt;24,pcomp_m,palt_m),MATCH($X1171,IF($T1171&lt;24,pcomp_k,palt_k),1)),""))</f>
        <v/>
      </c>
      <c r="AT1171">
        <f>IF(OR($X1171="",$T1171&gt;60),"",IFERROR(INDEX(IF($T1171&lt;24,pcomp_s,palt_s),MATCH($X1171,IF($T1171&lt;24,pcomp_k,palt_k),1)),""))</f>
        <v/>
      </c>
      <c r="AU1171">
        <f>IF($AR1171="","",IF($AR1171=0,LN($F1171/$AS1171)/$AT1171,((($F1171/$AS1171)^$AR1171)-1)/($AR1171*$AT1171)))</f>
        <v/>
      </c>
      <c r="AV1171">
        <f>IF($AR1171="","",IF($AR1171=0,$AS1171*EXP($AT1171*2),$AS1171*(1+$AR1171*$AT1171*2)^(1/$AR1171)))</f>
        <v/>
      </c>
      <c r="AW1171">
        <f>IF($AR1171="","",IF($AR1171=0,$AS1171*EXP($AT1171*3),$AS1171*(1+$AR1171*$AT1171*3)^(1/$AR1171)))</f>
        <v/>
      </c>
      <c r="AX1171">
        <f>IF($AR1171="","",IF($AR1171=0,$AS1171*EXP($AT1171*-2),$AS1171*(1+$AR1171*$AT1171*-2)^(1/$AR1171)))</f>
        <v/>
      </c>
      <c r="AY1171">
        <f>IF($AR1171="","",IF($AR1171=0,$AS1171*EXP($AT1171*-3),$AS1171*(1+$AR1171*$AT1171*-3)^(1/$AR1171)))</f>
        <v/>
      </c>
      <c r="AZ1171">
        <f>IF(OR($A1171="",$A1171&lt;&gt;Ficha!$C$4),"",COUNTIF($A$2:$A1171,Ficha!$C$4))</f>
        <v/>
      </c>
    </row>
    <row r="1172">
      <c r="A1172" s="8">
        <f>IF(INDEX(Banco!$A:$A,ROW())="","",INDEX(Banco!$A:$A,ROW()))</f>
        <v/>
      </c>
      <c r="B1172" s="8">
        <f>IF(INDEX(Banco!$B:$B,ROW())="","",INDEX(Banco!$B:$B,ROW()))</f>
        <v/>
      </c>
      <c r="C1172" s="8">
        <f>IF(INDEX(Banco!$C:$C,ROW())="","",INDEX(Banco!$C:$C,ROW()))</f>
        <v/>
      </c>
      <c r="D1172" s="9">
        <f>IF(INDEX(Banco!$D:$D,ROW())="","",INDEX(Banco!$D:$D,ROW()))</f>
        <v/>
      </c>
      <c r="E1172" s="9">
        <f>IF(INDEX(Banco!$E:$E,ROW())="","",INDEX(Banco!$E:$E,ROW()))</f>
        <v/>
      </c>
      <c r="F1172" s="10">
        <f>IF(INDEX(Banco!$F:$F,ROW())="","",INDEX(Banco!$F:$F,ROW()))</f>
        <v/>
      </c>
      <c r="G1172" s="10">
        <f>IF(INDEX(Banco!$G:$G,ROW())="","",INDEX(Banco!$G:$G,ROW()))</f>
        <v/>
      </c>
      <c r="H1172" s="8">
        <f>IF(INDEX(Banco!$H:$H,ROW())="","",INDEX(Banco!$H:$H,ROW()))</f>
        <v/>
      </c>
      <c r="I1172">
        <f>IF($T1172="","",INT($T1172/12)&amp;"a "&amp;MOD($T1172,12)&amp;"m")</f>
        <v/>
      </c>
      <c r="J1172" s="11">
        <f>IF(OR($F1172="",$G1172=""),"",ROUND($F1172/($G1172/100)^2,2))</f>
        <v/>
      </c>
      <c r="K1172" s="12">
        <f>IF(OR($S1172="",$J1172="",$T1172="",$T1172&lt;0,$T1172&gt;228,$Y1172=""),"—",ROUND(IF(ABS($AB1172)&lt;=3,$AB1172,IF($AB1172&gt;3,3+($J1172-$AD1172)/($AD1172-$AC1172),-3+($J1172-$AF1172)/($AE1172-$AF1172))),2))</f>
        <v/>
      </c>
      <c r="L1172">
        <f>IF(OR($K1172="",$K1172="—"),"",IF($T1172&lt;=60,IF($K1172&lt;-3,"Magreza acentuada",IF($K1172&lt;-2,"Magreza",IF($K1172&lt;=1,"Eutrofia",IF($K1172&lt;=2,"Risco de sobrepeso",IF($K1172&lt;=3,"Sobrepeso","Obesidade"))))),IF($K1172&lt;-3,"Magreza acentuada",IF($K1172&lt;-2,"Magreza",IF($K1172&lt;=1,"Eutrofia",IF($K1172&lt;=2,"Sobrepeso",IF($K1172&lt;=3,"Obesidade","Obesidade grave")))))))</f>
        <v/>
      </c>
      <c r="M1172" s="12">
        <f>IF(OR($S1172="",$V1172="",$T1172="",$T1172&lt;0,$T1172&gt;228,$AG1172=""),"—",ROUND(IF($AG1172=0,LN($V1172/$AH1172)/$AI1172,((($V1172/$AH1172)^$AG1172)-1)/($AG1172*$AI1172)),2))</f>
        <v/>
      </c>
      <c r="N1172">
        <f>IF(OR($M1172="",$M1172="—"),"",IF($M1172&lt;-3,"Muito baixa",IF($M1172&lt;-2,"Baixa","Adequada")))</f>
        <v/>
      </c>
      <c r="O1172" s="12">
        <f>IF(OR($S1172="",$F1172="",$T1172="",$T1172&lt;0,$T1172&gt;120,$AJ1172=""),"—",ROUND(IF(ABS($AM1172)&lt;=3,$AM1172,IF($AM1172&gt;3,3+($F1172-$AO1172)/($AO1172-$AN1172),-3+($F1172-$AQ1172)/($AP1172-$AQ1172))),2))</f>
        <v/>
      </c>
      <c r="P1172">
        <f>IF(OR($O1172="",$O1172="—"),"",IF($O1172&lt;-3,"Muito baixo",IF($O1172&lt;-2,"Baixo",IF($O1172&lt;=2,"Adequado","Elevado"))))</f>
        <v/>
      </c>
      <c r="Q1172" s="12">
        <f>IF(OR($S1172="",$F1172="",$T1172="",$T1172&lt;0,$T1172&gt;60,$AR1172=""),"—",ROUND(IF(ABS($AU1172)&lt;=3,$AU1172,IF($AU1172&gt;3,3+($F1172-$AW1172)/($AW1172-$AV1172),-3+($F1172-$AY1172)/($AX1172-$AY1172))),2))</f>
        <v/>
      </c>
      <c r="R1172">
        <f>IF(OR($Q1172="",$Q1172="—"),"",IF($Q1172&lt;-3,"Magreza acentuada",IF($Q1172&lt;-2,"Magreza",IF($Q1172&lt;=1,"Eutrofia",IF($Q1172&lt;=2,"Risco de sobrepeso",IF($Q1172&lt;=3,"Sobrepeso","Obesidade"))))))</f>
        <v/>
      </c>
      <c r="S1172">
        <f>IF($C1172="","",IF(UPPER(LEFT($C1172,1))="M",1,IF(UPPER(LEFT($C1172,1))="F",2,"")))</f>
        <v/>
      </c>
      <c r="T1172">
        <f>IF(OR($D1172="",$E1172=""),"",DATEDIF($D1172,$E1172,"m"))</f>
        <v/>
      </c>
      <c r="U1172">
        <f>IF(OR($D1172="",$E1172=""),"",$E1172-$D1172)</f>
        <v/>
      </c>
      <c r="V1172">
        <f>IF(OR($G1172="",$T1172=""),"",IF($T1172&lt;24,IF(LEFT(LOWER($H1172),4)="em p",$G1172+0.7,$G1172),IF(LEFT(LOWER($H1172),4)="deit",$G1172-0.7,$G1172)))</f>
        <v/>
      </c>
      <c r="W1172">
        <f>IF(OR($S1172="",$T1172=""),"",$S1172*1000000+IF($T1172&lt;=60,$U1172,$T1172))</f>
        <v/>
      </c>
      <c r="X1172">
        <f>IF(OR($S1172="",$V1172="",$T1172&gt;60,$T1172=""),"",$S1172*1000000+ROUND($V1172*10,0))</f>
        <v/>
      </c>
      <c r="Y1172">
        <f>IF($W1172="","",IFERROR(INDEX(IF($T1172&lt;=60,imc05_l,imc519_l),MATCH($W1172,IF($T1172&lt;=60,imc05_k,imc519_k),1)),""))</f>
        <v/>
      </c>
      <c r="Z1172">
        <f>IF($W1172="","",IFERROR(INDEX(IF($T1172&lt;=60,imc05_m,imc519_m),MATCH($W1172,IF($T1172&lt;=60,imc05_k,imc519_k),1)),""))</f>
        <v/>
      </c>
      <c r="AA1172">
        <f>IF($W1172="","",IFERROR(INDEX(IF($T1172&lt;=60,imc05_s,imc519_s),MATCH($W1172,IF($T1172&lt;=60,imc05_k,imc519_k),1)),""))</f>
        <v/>
      </c>
      <c r="AB1172">
        <f>IF($Y1172="","",IF($Y1172=0,LN($J1172/$Z1172)/$AA1172,((($J1172/$Z1172)^$Y1172)-1)/($Y1172*$AA1172)))</f>
        <v/>
      </c>
      <c r="AC1172">
        <f>IF($Y1172="","",IF($Y1172=0,$Z1172*EXP($AA1172*2),$Z1172*(1+$Y1172*$AA1172*2)^(1/$Y1172)))</f>
        <v/>
      </c>
      <c r="AD1172">
        <f>IF($Y1172="","",IF($Y1172=0,$Z1172*EXP($AA1172*3),$Z1172*(1+$Y1172*$AA1172*3)^(1/$Y1172)))</f>
        <v/>
      </c>
      <c r="AE1172">
        <f>IF($Y1172="","",IF($Y1172=0,$Z1172*EXP($AA1172*-2),$Z1172*(1+$Y1172*$AA1172*-2)^(1/$Y1172)))</f>
        <v/>
      </c>
      <c r="AF1172">
        <f>IF($Y1172="","",IF($Y1172=0,$Z1172*EXP($AA1172*-3),$Z1172*(1+$Y1172*$AA1172*-3)^(1/$Y1172)))</f>
        <v/>
      </c>
      <c r="AG1172">
        <f>IF($W1172="","",IFERROR(INDEX(IF($T1172&lt;=60,est05_l,est519_l),MATCH($W1172,IF($T1172&lt;=60,est05_k,est519_k),1)),""))</f>
        <v/>
      </c>
      <c r="AH1172">
        <f>IF($W1172="","",IFERROR(INDEX(IF($T1172&lt;=60,est05_m,est519_m),MATCH($W1172,IF($T1172&lt;=60,est05_k,est519_k),1)),""))</f>
        <v/>
      </c>
      <c r="AI1172">
        <f>IF($W1172="","",IFERROR(INDEX(IF($T1172&lt;=60,est05_s,est519_s),MATCH($W1172,IF($T1172&lt;=60,est05_k,est519_k),1)),""))</f>
        <v/>
      </c>
      <c r="AJ1172">
        <f>IF($W1172="","",IFERROR(INDEX(IF($T1172&lt;=60,peso05_l,peso510_l),MATCH($W1172,IF($T1172&lt;=60,peso05_k,peso510_k),1)),""))</f>
        <v/>
      </c>
      <c r="AK1172">
        <f>IF($W1172="","",IFERROR(INDEX(IF($T1172&lt;=60,peso05_m,peso510_m),MATCH($W1172,IF($T1172&lt;=60,peso05_k,peso510_k),1)),""))</f>
        <v/>
      </c>
      <c r="AL1172">
        <f>IF($W1172="","",IFERROR(INDEX(IF($T1172&lt;=60,peso05_s,peso510_s),MATCH($W1172,IF($T1172&lt;=60,peso05_k,peso510_k),1)),""))</f>
        <v/>
      </c>
      <c r="AM1172">
        <f>IF($AJ1172="","",IF($AJ1172=0,LN($F1172/$AK1172)/$AL1172,((($F1172/$AK1172)^$AJ1172)-1)/($AJ1172*$AL1172)))</f>
        <v/>
      </c>
      <c r="AN1172">
        <f>IF($AJ1172="","",IF($AJ1172=0,$AK1172*EXP($AL1172*2),$AK1172*(1+$AJ1172*$AL1172*2)^(1/$AJ1172)))</f>
        <v/>
      </c>
      <c r="AO1172">
        <f>IF($AJ1172="","",IF($AJ1172=0,$AK1172*EXP($AL1172*3),$AK1172*(1+$AJ1172*$AL1172*3)^(1/$AJ1172)))</f>
        <v/>
      </c>
      <c r="AP1172">
        <f>IF($AJ1172="","",IF($AJ1172=0,$AK1172*EXP($AL1172*-2),$AK1172*(1+$AJ1172*$AL1172*-2)^(1/$AJ1172)))</f>
        <v/>
      </c>
      <c r="AQ1172">
        <f>IF($AJ1172="","",IF($AJ1172=0,$AK1172*EXP($AL1172*-3),$AK1172*(1+$AJ1172*$AL1172*-3)^(1/$AJ1172)))</f>
        <v/>
      </c>
      <c r="AR1172">
        <f>IF(OR($X1172="",$T1172&gt;60),"",IFERROR(INDEX(IF($T1172&lt;24,pcomp_l,palt_l),MATCH($X1172,IF($T1172&lt;24,pcomp_k,palt_k),1)),""))</f>
        <v/>
      </c>
      <c r="AS1172">
        <f>IF(OR($X1172="",$T1172&gt;60),"",IFERROR(INDEX(IF($T1172&lt;24,pcomp_m,palt_m),MATCH($X1172,IF($T1172&lt;24,pcomp_k,palt_k),1)),""))</f>
        <v/>
      </c>
      <c r="AT1172">
        <f>IF(OR($X1172="",$T1172&gt;60),"",IFERROR(INDEX(IF($T1172&lt;24,pcomp_s,palt_s),MATCH($X1172,IF($T1172&lt;24,pcomp_k,palt_k),1)),""))</f>
        <v/>
      </c>
      <c r="AU1172">
        <f>IF($AR1172="","",IF($AR1172=0,LN($F1172/$AS1172)/$AT1172,((($F1172/$AS1172)^$AR1172)-1)/($AR1172*$AT1172)))</f>
        <v/>
      </c>
      <c r="AV1172">
        <f>IF($AR1172="","",IF($AR1172=0,$AS1172*EXP($AT1172*2),$AS1172*(1+$AR1172*$AT1172*2)^(1/$AR1172)))</f>
        <v/>
      </c>
      <c r="AW1172">
        <f>IF($AR1172="","",IF($AR1172=0,$AS1172*EXP($AT1172*3),$AS1172*(1+$AR1172*$AT1172*3)^(1/$AR1172)))</f>
        <v/>
      </c>
      <c r="AX1172">
        <f>IF($AR1172="","",IF($AR1172=0,$AS1172*EXP($AT1172*-2),$AS1172*(1+$AR1172*$AT1172*-2)^(1/$AR1172)))</f>
        <v/>
      </c>
      <c r="AY1172">
        <f>IF($AR1172="","",IF($AR1172=0,$AS1172*EXP($AT1172*-3),$AS1172*(1+$AR1172*$AT1172*-3)^(1/$AR1172)))</f>
        <v/>
      </c>
      <c r="AZ1172">
        <f>IF(OR($A1172="",$A1172&lt;&gt;Ficha!$C$4),"",COUNTIF($A$2:$A1172,Ficha!$C$4))</f>
        <v/>
      </c>
    </row>
    <row r="1173">
      <c r="A1173" s="8">
        <f>IF(INDEX(Banco!$A:$A,ROW())="","",INDEX(Banco!$A:$A,ROW()))</f>
        <v/>
      </c>
      <c r="B1173" s="8">
        <f>IF(INDEX(Banco!$B:$B,ROW())="","",INDEX(Banco!$B:$B,ROW()))</f>
        <v/>
      </c>
      <c r="C1173" s="8">
        <f>IF(INDEX(Banco!$C:$C,ROW())="","",INDEX(Banco!$C:$C,ROW()))</f>
        <v/>
      </c>
      <c r="D1173" s="9">
        <f>IF(INDEX(Banco!$D:$D,ROW())="","",INDEX(Banco!$D:$D,ROW()))</f>
        <v/>
      </c>
      <c r="E1173" s="9">
        <f>IF(INDEX(Banco!$E:$E,ROW())="","",INDEX(Banco!$E:$E,ROW()))</f>
        <v/>
      </c>
      <c r="F1173" s="10">
        <f>IF(INDEX(Banco!$F:$F,ROW())="","",INDEX(Banco!$F:$F,ROW()))</f>
        <v/>
      </c>
      <c r="G1173" s="10">
        <f>IF(INDEX(Banco!$G:$G,ROW())="","",INDEX(Banco!$G:$G,ROW()))</f>
        <v/>
      </c>
      <c r="H1173" s="8">
        <f>IF(INDEX(Banco!$H:$H,ROW())="","",INDEX(Banco!$H:$H,ROW()))</f>
        <v/>
      </c>
      <c r="I1173">
        <f>IF($T1173="","",INT($T1173/12)&amp;"a "&amp;MOD($T1173,12)&amp;"m")</f>
        <v/>
      </c>
      <c r="J1173" s="11">
        <f>IF(OR($F1173="",$G1173=""),"",ROUND($F1173/($G1173/100)^2,2))</f>
        <v/>
      </c>
      <c r="K1173" s="12">
        <f>IF(OR($S1173="",$J1173="",$T1173="",$T1173&lt;0,$T1173&gt;228,$Y1173=""),"—",ROUND(IF(ABS($AB1173)&lt;=3,$AB1173,IF($AB1173&gt;3,3+($J1173-$AD1173)/($AD1173-$AC1173),-3+($J1173-$AF1173)/($AE1173-$AF1173))),2))</f>
        <v/>
      </c>
      <c r="L1173">
        <f>IF(OR($K1173="",$K1173="—"),"",IF($T1173&lt;=60,IF($K1173&lt;-3,"Magreza acentuada",IF($K1173&lt;-2,"Magreza",IF($K1173&lt;=1,"Eutrofia",IF($K1173&lt;=2,"Risco de sobrepeso",IF($K1173&lt;=3,"Sobrepeso","Obesidade"))))),IF($K1173&lt;-3,"Magreza acentuada",IF($K1173&lt;-2,"Magreza",IF($K1173&lt;=1,"Eutrofia",IF($K1173&lt;=2,"Sobrepeso",IF($K1173&lt;=3,"Obesidade","Obesidade grave")))))))</f>
        <v/>
      </c>
      <c r="M1173" s="12">
        <f>IF(OR($S1173="",$V1173="",$T1173="",$T1173&lt;0,$T1173&gt;228,$AG1173=""),"—",ROUND(IF($AG1173=0,LN($V1173/$AH1173)/$AI1173,((($V1173/$AH1173)^$AG1173)-1)/($AG1173*$AI1173)),2))</f>
        <v/>
      </c>
      <c r="N1173">
        <f>IF(OR($M1173="",$M1173="—"),"",IF($M1173&lt;-3,"Muito baixa",IF($M1173&lt;-2,"Baixa","Adequada")))</f>
        <v/>
      </c>
      <c r="O1173" s="12">
        <f>IF(OR($S1173="",$F1173="",$T1173="",$T1173&lt;0,$T1173&gt;120,$AJ1173=""),"—",ROUND(IF(ABS($AM1173)&lt;=3,$AM1173,IF($AM1173&gt;3,3+($F1173-$AO1173)/($AO1173-$AN1173),-3+($F1173-$AQ1173)/($AP1173-$AQ1173))),2))</f>
        <v/>
      </c>
      <c r="P1173">
        <f>IF(OR($O1173="",$O1173="—"),"",IF($O1173&lt;-3,"Muito baixo",IF($O1173&lt;-2,"Baixo",IF($O1173&lt;=2,"Adequado","Elevado"))))</f>
        <v/>
      </c>
      <c r="Q1173" s="12">
        <f>IF(OR($S1173="",$F1173="",$T1173="",$T1173&lt;0,$T1173&gt;60,$AR1173=""),"—",ROUND(IF(ABS($AU1173)&lt;=3,$AU1173,IF($AU1173&gt;3,3+($F1173-$AW1173)/($AW1173-$AV1173),-3+($F1173-$AY1173)/($AX1173-$AY1173))),2))</f>
        <v/>
      </c>
      <c r="R1173">
        <f>IF(OR($Q1173="",$Q1173="—"),"",IF($Q1173&lt;-3,"Magreza acentuada",IF($Q1173&lt;-2,"Magreza",IF($Q1173&lt;=1,"Eutrofia",IF($Q1173&lt;=2,"Risco de sobrepeso",IF($Q1173&lt;=3,"Sobrepeso","Obesidade"))))))</f>
        <v/>
      </c>
      <c r="S1173">
        <f>IF($C1173="","",IF(UPPER(LEFT($C1173,1))="M",1,IF(UPPER(LEFT($C1173,1))="F",2,"")))</f>
        <v/>
      </c>
      <c r="T1173">
        <f>IF(OR($D1173="",$E1173=""),"",DATEDIF($D1173,$E1173,"m"))</f>
        <v/>
      </c>
      <c r="U1173">
        <f>IF(OR($D1173="",$E1173=""),"",$E1173-$D1173)</f>
        <v/>
      </c>
      <c r="V1173">
        <f>IF(OR($G1173="",$T1173=""),"",IF($T1173&lt;24,IF(LEFT(LOWER($H1173),4)="em p",$G1173+0.7,$G1173),IF(LEFT(LOWER($H1173),4)="deit",$G1173-0.7,$G1173)))</f>
        <v/>
      </c>
      <c r="W1173">
        <f>IF(OR($S1173="",$T1173=""),"",$S1173*1000000+IF($T1173&lt;=60,$U1173,$T1173))</f>
        <v/>
      </c>
      <c r="X1173">
        <f>IF(OR($S1173="",$V1173="",$T1173&gt;60,$T1173=""),"",$S1173*1000000+ROUND($V1173*10,0))</f>
        <v/>
      </c>
      <c r="Y1173">
        <f>IF($W1173="","",IFERROR(INDEX(IF($T1173&lt;=60,imc05_l,imc519_l),MATCH($W1173,IF($T1173&lt;=60,imc05_k,imc519_k),1)),""))</f>
        <v/>
      </c>
      <c r="Z1173">
        <f>IF($W1173="","",IFERROR(INDEX(IF($T1173&lt;=60,imc05_m,imc519_m),MATCH($W1173,IF($T1173&lt;=60,imc05_k,imc519_k),1)),""))</f>
        <v/>
      </c>
      <c r="AA1173">
        <f>IF($W1173="","",IFERROR(INDEX(IF($T1173&lt;=60,imc05_s,imc519_s),MATCH($W1173,IF($T1173&lt;=60,imc05_k,imc519_k),1)),""))</f>
        <v/>
      </c>
      <c r="AB1173">
        <f>IF($Y1173="","",IF($Y1173=0,LN($J1173/$Z1173)/$AA1173,((($J1173/$Z1173)^$Y1173)-1)/($Y1173*$AA1173)))</f>
        <v/>
      </c>
      <c r="AC1173">
        <f>IF($Y1173="","",IF($Y1173=0,$Z1173*EXP($AA1173*2),$Z1173*(1+$Y1173*$AA1173*2)^(1/$Y1173)))</f>
        <v/>
      </c>
      <c r="AD1173">
        <f>IF($Y1173="","",IF($Y1173=0,$Z1173*EXP($AA1173*3),$Z1173*(1+$Y1173*$AA1173*3)^(1/$Y1173)))</f>
        <v/>
      </c>
      <c r="AE1173">
        <f>IF($Y1173="","",IF($Y1173=0,$Z1173*EXP($AA1173*-2),$Z1173*(1+$Y1173*$AA1173*-2)^(1/$Y1173)))</f>
        <v/>
      </c>
      <c r="AF1173">
        <f>IF($Y1173="","",IF($Y1173=0,$Z1173*EXP($AA1173*-3),$Z1173*(1+$Y1173*$AA1173*-3)^(1/$Y1173)))</f>
        <v/>
      </c>
      <c r="AG1173">
        <f>IF($W1173="","",IFERROR(INDEX(IF($T1173&lt;=60,est05_l,est519_l),MATCH($W1173,IF($T1173&lt;=60,est05_k,est519_k),1)),""))</f>
        <v/>
      </c>
      <c r="AH1173">
        <f>IF($W1173="","",IFERROR(INDEX(IF($T1173&lt;=60,est05_m,est519_m),MATCH($W1173,IF($T1173&lt;=60,est05_k,est519_k),1)),""))</f>
        <v/>
      </c>
      <c r="AI1173">
        <f>IF($W1173="","",IFERROR(INDEX(IF($T1173&lt;=60,est05_s,est519_s),MATCH($W1173,IF($T1173&lt;=60,est05_k,est519_k),1)),""))</f>
        <v/>
      </c>
      <c r="AJ1173">
        <f>IF($W1173="","",IFERROR(INDEX(IF($T1173&lt;=60,peso05_l,peso510_l),MATCH($W1173,IF($T1173&lt;=60,peso05_k,peso510_k),1)),""))</f>
        <v/>
      </c>
      <c r="AK1173">
        <f>IF($W1173="","",IFERROR(INDEX(IF($T1173&lt;=60,peso05_m,peso510_m),MATCH($W1173,IF($T1173&lt;=60,peso05_k,peso510_k),1)),""))</f>
        <v/>
      </c>
      <c r="AL1173">
        <f>IF($W1173="","",IFERROR(INDEX(IF($T1173&lt;=60,peso05_s,peso510_s),MATCH($W1173,IF($T1173&lt;=60,peso05_k,peso510_k),1)),""))</f>
        <v/>
      </c>
      <c r="AM1173">
        <f>IF($AJ1173="","",IF($AJ1173=0,LN($F1173/$AK1173)/$AL1173,((($F1173/$AK1173)^$AJ1173)-1)/($AJ1173*$AL1173)))</f>
        <v/>
      </c>
      <c r="AN1173">
        <f>IF($AJ1173="","",IF($AJ1173=0,$AK1173*EXP($AL1173*2),$AK1173*(1+$AJ1173*$AL1173*2)^(1/$AJ1173)))</f>
        <v/>
      </c>
      <c r="AO1173">
        <f>IF($AJ1173="","",IF($AJ1173=0,$AK1173*EXP($AL1173*3),$AK1173*(1+$AJ1173*$AL1173*3)^(1/$AJ1173)))</f>
        <v/>
      </c>
      <c r="AP1173">
        <f>IF($AJ1173="","",IF($AJ1173=0,$AK1173*EXP($AL1173*-2),$AK1173*(1+$AJ1173*$AL1173*-2)^(1/$AJ1173)))</f>
        <v/>
      </c>
      <c r="AQ1173">
        <f>IF($AJ1173="","",IF($AJ1173=0,$AK1173*EXP($AL1173*-3),$AK1173*(1+$AJ1173*$AL1173*-3)^(1/$AJ1173)))</f>
        <v/>
      </c>
      <c r="AR1173">
        <f>IF(OR($X1173="",$T1173&gt;60),"",IFERROR(INDEX(IF($T1173&lt;24,pcomp_l,palt_l),MATCH($X1173,IF($T1173&lt;24,pcomp_k,palt_k),1)),""))</f>
        <v/>
      </c>
      <c r="AS1173">
        <f>IF(OR($X1173="",$T1173&gt;60),"",IFERROR(INDEX(IF($T1173&lt;24,pcomp_m,palt_m),MATCH($X1173,IF($T1173&lt;24,pcomp_k,palt_k),1)),""))</f>
        <v/>
      </c>
      <c r="AT1173">
        <f>IF(OR($X1173="",$T1173&gt;60),"",IFERROR(INDEX(IF($T1173&lt;24,pcomp_s,palt_s),MATCH($X1173,IF($T1173&lt;24,pcomp_k,palt_k),1)),""))</f>
        <v/>
      </c>
      <c r="AU1173">
        <f>IF($AR1173="","",IF($AR1173=0,LN($F1173/$AS1173)/$AT1173,((($F1173/$AS1173)^$AR1173)-1)/($AR1173*$AT1173)))</f>
        <v/>
      </c>
      <c r="AV1173">
        <f>IF($AR1173="","",IF($AR1173=0,$AS1173*EXP($AT1173*2),$AS1173*(1+$AR1173*$AT1173*2)^(1/$AR1173)))</f>
        <v/>
      </c>
      <c r="AW1173">
        <f>IF($AR1173="","",IF($AR1173=0,$AS1173*EXP($AT1173*3),$AS1173*(1+$AR1173*$AT1173*3)^(1/$AR1173)))</f>
        <v/>
      </c>
      <c r="AX1173">
        <f>IF($AR1173="","",IF($AR1173=0,$AS1173*EXP($AT1173*-2),$AS1173*(1+$AR1173*$AT1173*-2)^(1/$AR1173)))</f>
        <v/>
      </c>
      <c r="AY1173">
        <f>IF($AR1173="","",IF($AR1173=0,$AS1173*EXP($AT1173*-3),$AS1173*(1+$AR1173*$AT1173*-3)^(1/$AR1173)))</f>
        <v/>
      </c>
      <c r="AZ1173">
        <f>IF(OR($A1173="",$A1173&lt;&gt;Ficha!$C$4),"",COUNTIF($A$2:$A1173,Ficha!$C$4))</f>
        <v/>
      </c>
    </row>
    <row r="1174">
      <c r="A1174" s="8">
        <f>IF(INDEX(Banco!$A:$A,ROW())="","",INDEX(Banco!$A:$A,ROW()))</f>
        <v/>
      </c>
      <c r="B1174" s="8">
        <f>IF(INDEX(Banco!$B:$B,ROW())="","",INDEX(Banco!$B:$B,ROW()))</f>
        <v/>
      </c>
      <c r="C1174" s="8">
        <f>IF(INDEX(Banco!$C:$C,ROW())="","",INDEX(Banco!$C:$C,ROW()))</f>
        <v/>
      </c>
      <c r="D1174" s="9">
        <f>IF(INDEX(Banco!$D:$D,ROW())="","",INDEX(Banco!$D:$D,ROW()))</f>
        <v/>
      </c>
      <c r="E1174" s="9">
        <f>IF(INDEX(Banco!$E:$E,ROW())="","",INDEX(Banco!$E:$E,ROW()))</f>
        <v/>
      </c>
      <c r="F1174" s="10">
        <f>IF(INDEX(Banco!$F:$F,ROW())="","",INDEX(Banco!$F:$F,ROW()))</f>
        <v/>
      </c>
      <c r="G1174" s="10">
        <f>IF(INDEX(Banco!$G:$G,ROW())="","",INDEX(Banco!$G:$G,ROW()))</f>
        <v/>
      </c>
      <c r="H1174" s="8">
        <f>IF(INDEX(Banco!$H:$H,ROW())="","",INDEX(Banco!$H:$H,ROW()))</f>
        <v/>
      </c>
      <c r="I1174">
        <f>IF($T1174="","",INT($T1174/12)&amp;"a "&amp;MOD($T1174,12)&amp;"m")</f>
        <v/>
      </c>
      <c r="J1174" s="11">
        <f>IF(OR($F1174="",$G1174=""),"",ROUND($F1174/($G1174/100)^2,2))</f>
        <v/>
      </c>
      <c r="K1174" s="12">
        <f>IF(OR($S1174="",$J1174="",$T1174="",$T1174&lt;0,$T1174&gt;228,$Y1174=""),"—",ROUND(IF(ABS($AB1174)&lt;=3,$AB1174,IF($AB1174&gt;3,3+($J1174-$AD1174)/($AD1174-$AC1174),-3+($J1174-$AF1174)/($AE1174-$AF1174))),2))</f>
        <v/>
      </c>
      <c r="L1174">
        <f>IF(OR($K1174="",$K1174="—"),"",IF($T1174&lt;=60,IF($K1174&lt;-3,"Magreza acentuada",IF($K1174&lt;-2,"Magreza",IF($K1174&lt;=1,"Eutrofia",IF($K1174&lt;=2,"Risco de sobrepeso",IF($K1174&lt;=3,"Sobrepeso","Obesidade"))))),IF($K1174&lt;-3,"Magreza acentuada",IF($K1174&lt;-2,"Magreza",IF($K1174&lt;=1,"Eutrofia",IF($K1174&lt;=2,"Sobrepeso",IF($K1174&lt;=3,"Obesidade","Obesidade grave")))))))</f>
        <v/>
      </c>
      <c r="M1174" s="12">
        <f>IF(OR($S1174="",$V1174="",$T1174="",$T1174&lt;0,$T1174&gt;228,$AG1174=""),"—",ROUND(IF($AG1174=0,LN($V1174/$AH1174)/$AI1174,((($V1174/$AH1174)^$AG1174)-1)/($AG1174*$AI1174)),2))</f>
        <v/>
      </c>
      <c r="N1174">
        <f>IF(OR($M1174="",$M1174="—"),"",IF($M1174&lt;-3,"Muito baixa",IF($M1174&lt;-2,"Baixa","Adequada")))</f>
        <v/>
      </c>
      <c r="O1174" s="12">
        <f>IF(OR($S1174="",$F1174="",$T1174="",$T1174&lt;0,$T1174&gt;120,$AJ1174=""),"—",ROUND(IF(ABS($AM1174)&lt;=3,$AM1174,IF($AM1174&gt;3,3+($F1174-$AO1174)/($AO1174-$AN1174),-3+($F1174-$AQ1174)/($AP1174-$AQ1174))),2))</f>
        <v/>
      </c>
      <c r="P1174">
        <f>IF(OR($O1174="",$O1174="—"),"",IF($O1174&lt;-3,"Muito baixo",IF($O1174&lt;-2,"Baixo",IF($O1174&lt;=2,"Adequado","Elevado"))))</f>
        <v/>
      </c>
      <c r="Q1174" s="12">
        <f>IF(OR($S1174="",$F1174="",$T1174="",$T1174&lt;0,$T1174&gt;60,$AR1174=""),"—",ROUND(IF(ABS($AU1174)&lt;=3,$AU1174,IF($AU1174&gt;3,3+($F1174-$AW1174)/($AW1174-$AV1174),-3+($F1174-$AY1174)/($AX1174-$AY1174))),2))</f>
        <v/>
      </c>
      <c r="R1174">
        <f>IF(OR($Q1174="",$Q1174="—"),"",IF($Q1174&lt;-3,"Magreza acentuada",IF($Q1174&lt;-2,"Magreza",IF($Q1174&lt;=1,"Eutrofia",IF($Q1174&lt;=2,"Risco de sobrepeso",IF($Q1174&lt;=3,"Sobrepeso","Obesidade"))))))</f>
        <v/>
      </c>
      <c r="S1174">
        <f>IF($C1174="","",IF(UPPER(LEFT($C1174,1))="M",1,IF(UPPER(LEFT($C1174,1))="F",2,"")))</f>
        <v/>
      </c>
      <c r="T1174">
        <f>IF(OR($D1174="",$E1174=""),"",DATEDIF($D1174,$E1174,"m"))</f>
        <v/>
      </c>
      <c r="U1174">
        <f>IF(OR($D1174="",$E1174=""),"",$E1174-$D1174)</f>
        <v/>
      </c>
      <c r="V1174">
        <f>IF(OR($G1174="",$T1174=""),"",IF($T1174&lt;24,IF(LEFT(LOWER($H1174),4)="em p",$G1174+0.7,$G1174),IF(LEFT(LOWER($H1174),4)="deit",$G1174-0.7,$G1174)))</f>
        <v/>
      </c>
      <c r="W1174">
        <f>IF(OR($S1174="",$T1174=""),"",$S1174*1000000+IF($T1174&lt;=60,$U1174,$T1174))</f>
        <v/>
      </c>
      <c r="X1174">
        <f>IF(OR($S1174="",$V1174="",$T1174&gt;60,$T1174=""),"",$S1174*1000000+ROUND($V1174*10,0))</f>
        <v/>
      </c>
      <c r="Y1174">
        <f>IF($W1174="","",IFERROR(INDEX(IF($T1174&lt;=60,imc05_l,imc519_l),MATCH($W1174,IF($T1174&lt;=60,imc05_k,imc519_k),1)),""))</f>
        <v/>
      </c>
      <c r="Z1174">
        <f>IF($W1174="","",IFERROR(INDEX(IF($T1174&lt;=60,imc05_m,imc519_m),MATCH($W1174,IF($T1174&lt;=60,imc05_k,imc519_k),1)),""))</f>
        <v/>
      </c>
      <c r="AA1174">
        <f>IF($W1174="","",IFERROR(INDEX(IF($T1174&lt;=60,imc05_s,imc519_s),MATCH($W1174,IF($T1174&lt;=60,imc05_k,imc519_k),1)),""))</f>
        <v/>
      </c>
      <c r="AB1174">
        <f>IF($Y1174="","",IF($Y1174=0,LN($J1174/$Z1174)/$AA1174,((($J1174/$Z1174)^$Y1174)-1)/($Y1174*$AA1174)))</f>
        <v/>
      </c>
      <c r="AC1174">
        <f>IF($Y1174="","",IF($Y1174=0,$Z1174*EXP($AA1174*2),$Z1174*(1+$Y1174*$AA1174*2)^(1/$Y1174)))</f>
        <v/>
      </c>
      <c r="AD1174">
        <f>IF($Y1174="","",IF($Y1174=0,$Z1174*EXP($AA1174*3),$Z1174*(1+$Y1174*$AA1174*3)^(1/$Y1174)))</f>
        <v/>
      </c>
      <c r="AE1174">
        <f>IF($Y1174="","",IF($Y1174=0,$Z1174*EXP($AA1174*-2),$Z1174*(1+$Y1174*$AA1174*-2)^(1/$Y1174)))</f>
        <v/>
      </c>
      <c r="AF1174">
        <f>IF($Y1174="","",IF($Y1174=0,$Z1174*EXP($AA1174*-3),$Z1174*(1+$Y1174*$AA1174*-3)^(1/$Y1174)))</f>
        <v/>
      </c>
      <c r="AG1174">
        <f>IF($W1174="","",IFERROR(INDEX(IF($T1174&lt;=60,est05_l,est519_l),MATCH($W1174,IF($T1174&lt;=60,est05_k,est519_k),1)),""))</f>
        <v/>
      </c>
      <c r="AH1174">
        <f>IF($W1174="","",IFERROR(INDEX(IF($T1174&lt;=60,est05_m,est519_m),MATCH($W1174,IF($T1174&lt;=60,est05_k,est519_k),1)),""))</f>
        <v/>
      </c>
      <c r="AI1174">
        <f>IF($W1174="","",IFERROR(INDEX(IF($T1174&lt;=60,est05_s,est519_s),MATCH($W1174,IF($T1174&lt;=60,est05_k,est519_k),1)),""))</f>
        <v/>
      </c>
      <c r="AJ1174">
        <f>IF($W1174="","",IFERROR(INDEX(IF($T1174&lt;=60,peso05_l,peso510_l),MATCH($W1174,IF($T1174&lt;=60,peso05_k,peso510_k),1)),""))</f>
        <v/>
      </c>
      <c r="AK1174">
        <f>IF($W1174="","",IFERROR(INDEX(IF($T1174&lt;=60,peso05_m,peso510_m),MATCH($W1174,IF($T1174&lt;=60,peso05_k,peso510_k),1)),""))</f>
        <v/>
      </c>
      <c r="AL1174">
        <f>IF($W1174="","",IFERROR(INDEX(IF($T1174&lt;=60,peso05_s,peso510_s),MATCH($W1174,IF($T1174&lt;=60,peso05_k,peso510_k),1)),""))</f>
        <v/>
      </c>
      <c r="AM1174">
        <f>IF($AJ1174="","",IF($AJ1174=0,LN($F1174/$AK1174)/$AL1174,((($F1174/$AK1174)^$AJ1174)-1)/($AJ1174*$AL1174)))</f>
        <v/>
      </c>
      <c r="AN1174">
        <f>IF($AJ1174="","",IF($AJ1174=0,$AK1174*EXP($AL1174*2),$AK1174*(1+$AJ1174*$AL1174*2)^(1/$AJ1174)))</f>
        <v/>
      </c>
      <c r="AO1174">
        <f>IF($AJ1174="","",IF($AJ1174=0,$AK1174*EXP($AL1174*3),$AK1174*(1+$AJ1174*$AL1174*3)^(1/$AJ1174)))</f>
        <v/>
      </c>
      <c r="AP1174">
        <f>IF($AJ1174="","",IF($AJ1174=0,$AK1174*EXP($AL1174*-2),$AK1174*(1+$AJ1174*$AL1174*-2)^(1/$AJ1174)))</f>
        <v/>
      </c>
      <c r="AQ1174">
        <f>IF($AJ1174="","",IF($AJ1174=0,$AK1174*EXP($AL1174*-3),$AK1174*(1+$AJ1174*$AL1174*-3)^(1/$AJ1174)))</f>
        <v/>
      </c>
      <c r="AR1174">
        <f>IF(OR($X1174="",$T1174&gt;60),"",IFERROR(INDEX(IF($T1174&lt;24,pcomp_l,palt_l),MATCH($X1174,IF($T1174&lt;24,pcomp_k,palt_k),1)),""))</f>
        <v/>
      </c>
      <c r="AS1174">
        <f>IF(OR($X1174="",$T1174&gt;60),"",IFERROR(INDEX(IF($T1174&lt;24,pcomp_m,palt_m),MATCH($X1174,IF($T1174&lt;24,pcomp_k,palt_k),1)),""))</f>
        <v/>
      </c>
      <c r="AT1174">
        <f>IF(OR($X1174="",$T1174&gt;60),"",IFERROR(INDEX(IF($T1174&lt;24,pcomp_s,palt_s),MATCH($X1174,IF($T1174&lt;24,pcomp_k,palt_k),1)),""))</f>
        <v/>
      </c>
      <c r="AU1174">
        <f>IF($AR1174="","",IF($AR1174=0,LN($F1174/$AS1174)/$AT1174,((($F1174/$AS1174)^$AR1174)-1)/($AR1174*$AT1174)))</f>
        <v/>
      </c>
      <c r="AV1174">
        <f>IF($AR1174="","",IF($AR1174=0,$AS1174*EXP($AT1174*2),$AS1174*(1+$AR1174*$AT1174*2)^(1/$AR1174)))</f>
        <v/>
      </c>
      <c r="AW1174">
        <f>IF($AR1174="","",IF($AR1174=0,$AS1174*EXP($AT1174*3),$AS1174*(1+$AR1174*$AT1174*3)^(1/$AR1174)))</f>
        <v/>
      </c>
      <c r="AX1174">
        <f>IF($AR1174="","",IF($AR1174=0,$AS1174*EXP($AT1174*-2),$AS1174*(1+$AR1174*$AT1174*-2)^(1/$AR1174)))</f>
        <v/>
      </c>
      <c r="AY1174">
        <f>IF($AR1174="","",IF($AR1174=0,$AS1174*EXP($AT1174*-3),$AS1174*(1+$AR1174*$AT1174*-3)^(1/$AR1174)))</f>
        <v/>
      </c>
      <c r="AZ1174">
        <f>IF(OR($A1174="",$A1174&lt;&gt;Ficha!$C$4),"",COUNTIF($A$2:$A1174,Ficha!$C$4))</f>
        <v/>
      </c>
    </row>
    <row r="1175">
      <c r="A1175" s="8">
        <f>IF(INDEX(Banco!$A:$A,ROW())="","",INDEX(Banco!$A:$A,ROW()))</f>
        <v/>
      </c>
      <c r="B1175" s="8">
        <f>IF(INDEX(Banco!$B:$B,ROW())="","",INDEX(Banco!$B:$B,ROW()))</f>
        <v/>
      </c>
      <c r="C1175" s="8">
        <f>IF(INDEX(Banco!$C:$C,ROW())="","",INDEX(Banco!$C:$C,ROW()))</f>
        <v/>
      </c>
      <c r="D1175" s="9">
        <f>IF(INDEX(Banco!$D:$D,ROW())="","",INDEX(Banco!$D:$D,ROW()))</f>
        <v/>
      </c>
      <c r="E1175" s="9">
        <f>IF(INDEX(Banco!$E:$E,ROW())="","",INDEX(Banco!$E:$E,ROW()))</f>
        <v/>
      </c>
      <c r="F1175" s="10">
        <f>IF(INDEX(Banco!$F:$F,ROW())="","",INDEX(Banco!$F:$F,ROW()))</f>
        <v/>
      </c>
      <c r="G1175" s="10">
        <f>IF(INDEX(Banco!$G:$G,ROW())="","",INDEX(Banco!$G:$G,ROW()))</f>
        <v/>
      </c>
      <c r="H1175" s="8">
        <f>IF(INDEX(Banco!$H:$H,ROW())="","",INDEX(Banco!$H:$H,ROW()))</f>
        <v/>
      </c>
      <c r="I1175">
        <f>IF($T1175="","",INT($T1175/12)&amp;"a "&amp;MOD($T1175,12)&amp;"m")</f>
        <v/>
      </c>
      <c r="J1175" s="11">
        <f>IF(OR($F1175="",$G1175=""),"",ROUND($F1175/($G1175/100)^2,2))</f>
        <v/>
      </c>
      <c r="K1175" s="12">
        <f>IF(OR($S1175="",$J1175="",$T1175="",$T1175&lt;0,$T1175&gt;228,$Y1175=""),"—",ROUND(IF(ABS($AB1175)&lt;=3,$AB1175,IF($AB1175&gt;3,3+($J1175-$AD1175)/($AD1175-$AC1175),-3+($J1175-$AF1175)/($AE1175-$AF1175))),2))</f>
        <v/>
      </c>
      <c r="L1175">
        <f>IF(OR($K1175="",$K1175="—"),"",IF($T1175&lt;=60,IF($K1175&lt;-3,"Magreza acentuada",IF($K1175&lt;-2,"Magreza",IF($K1175&lt;=1,"Eutrofia",IF($K1175&lt;=2,"Risco de sobrepeso",IF($K1175&lt;=3,"Sobrepeso","Obesidade"))))),IF($K1175&lt;-3,"Magreza acentuada",IF($K1175&lt;-2,"Magreza",IF($K1175&lt;=1,"Eutrofia",IF($K1175&lt;=2,"Sobrepeso",IF($K1175&lt;=3,"Obesidade","Obesidade grave")))))))</f>
        <v/>
      </c>
      <c r="M1175" s="12">
        <f>IF(OR($S1175="",$V1175="",$T1175="",$T1175&lt;0,$T1175&gt;228,$AG1175=""),"—",ROUND(IF($AG1175=0,LN($V1175/$AH1175)/$AI1175,((($V1175/$AH1175)^$AG1175)-1)/($AG1175*$AI1175)),2))</f>
        <v/>
      </c>
      <c r="N1175">
        <f>IF(OR($M1175="",$M1175="—"),"",IF($M1175&lt;-3,"Muito baixa",IF($M1175&lt;-2,"Baixa","Adequada")))</f>
        <v/>
      </c>
      <c r="O1175" s="12">
        <f>IF(OR($S1175="",$F1175="",$T1175="",$T1175&lt;0,$T1175&gt;120,$AJ1175=""),"—",ROUND(IF(ABS($AM1175)&lt;=3,$AM1175,IF($AM1175&gt;3,3+($F1175-$AO1175)/($AO1175-$AN1175),-3+($F1175-$AQ1175)/($AP1175-$AQ1175))),2))</f>
        <v/>
      </c>
      <c r="P1175">
        <f>IF(OR($O1175="",$O1175="—"),"",IF($O1175&lt;-3,"Muito baixo",IF($O1175&lt;-2,"Baixo",IF($O1175&lt;=2,"Adequado","Elevado"))))</f>
        <v/>
      </c>
      <c r="Q1175" s="12">
        <f>IF(OR($S1175="",$F1175="",$T1175="",$T1175&lt;0,$T1175&gt;60,$AR1175=""),"—",ROUND(IF(ABS($AU1175)&lt;=3,$AU1175,IF($AU1175&gt;3,3+($F1175-$AW1175)/($AW1175-$AV1175),-3+($F1175-$AY1175)/($AX1175-$AY1175))),2))</f>
        <v/>
      </c>
      <c r="R1175">
        <f>IF(OR($Q1175="",$Q1175="—"),"",IF($Q1175&lt;-3,"Magreza acentuada",IF($Q1175&lt;-2,"Magreza",IF($Q1175&lt;=1,"Eutrofia",IF($Q1175&lt;=2,"Risco de sobrepeso",IF($Q1175&lt;=3,"Sobrepeso","Obesidade"))))))</f>
        <v/>
      </c>
      <c r="S1175">
        <f>IF($C1175="","",IF(UPPER(LEFT($C1175,1))="M",1,IF(UPPER(LEFT($C1175,1))="F",2,"")))</f>
        <v/>
      </c>
      <c r="T1175">
        <f>IF(OR($D1175="",$E1175=""),"",DATEDIF($D1175,$E1175,"m"))</f>
        <v/>
      </c>
      <c r="U1175">
        <f>IF(OR($D1175="",$E1175=""),"",$E1175-$D1175)</f>
        <v/>
      </c>
      <c r="V1175">
        <f>IF(OR($G1175="",$T1175=""),"",IF($T1175&lt;24,IF(LEFT(LOWER($H1175),4)="em p",$G1175+0.7,$G1175),IF(LEFT(LOWER($H1175),4)="deit",$G1175-0.7,$G1175)))</f>
        <v/>
      </c>
      <c r="W1175">
        <f>IF(OR($S1175="",$T1175=""),"",$S1175*1000000+IF($T1175&lt;=60,$U1175,$T1175))</f>
        <v/>
      </c>
      <c r="X1175">
        <f>IF(OR($S1175="",$V1175="",$T1175&gt;60,$T1175=""),"",$S1175*1000000+ROUND($V1175*10,0))</f>
        <v/>
      </c>
      <c r="Y1175">
        <f>IF($W1175="","",IFERROR(INDEX(IF($T1175&lt;=60,imc05_l,imc519_l),MATCH($W1175,IF($T1175&lt;=60,imc05_k,imc519_k),1)),""))</f>
        <v/>
      </c>
      <c r="Z1175">
        <f>IF($W1175="","",IFERROR(INDEX(IF($T1175&lt;=60,imc05_m,imc519_m),MATCH($W1175,IF($T1175&lt;=60,imc05_k,imc519_k),1)),""))</f>
        <v/>
      </c>
      <c r="AA1175">
        <f>IF($W1175="","",IFERROR(INDEX(IF($T1175&lt;=60,imc05_s,imc519_s),MATCH($W1175,IF($T1175&lt;=60,imc05_k,imc519_k),1)),""))</f>
        <v/>
      </c>
      <c r="AB1175">
        <f>IF($Y1175="","",IF($Y1175=0,LN($J1175/$Z1175)/$AA1175,((($J1175/$Z1175)^$Y1175)-1)/($Y1175*$AA1175)))</f>
        <v/>
      </c>
      <c r="AC1175">
        <f>IF($Y1175="","",IF($Y1175=0,$Z1175*EXP($AA1175*2),$Z1175*(1+$Y1175*$AA1175*2)^(1/$Y1175)))</f>
        <v/>
      </c>
      <c r="AD1175">
        <f>IF($Y1175="","",IF($Y1175=0,$Z1175*EXP($AA1175*3),$Z1175*(1+$Y1175*$AA1175*3)^(1/$Y1175)))</f>
        <v/>
      </c>
      <c r="AE1175">
        <f>IF($Y1175="","",IF($Y1175=0,$Z1175*EXP($AA1175*-2),$Z1175*(1+$Y1175*$AA1175*-2)^(1/$Y1175)))</f>
        <v/>
      </c>
      <c r="AF1175">
        <f>IF($Y1175="","",IF($Y1175=0,$Z1175*EXP($AA1175*-3),$Z1175*(1+$Y1175*$AA1175*-3)^(1/$Y1175)))</f>
        <v/>
      </c>
      <c r="AG1175">
        <f>IF($W1175="","",IFERROR(INDEX(IF($T1175&lt;=60,est05_l,est519_l),MATCH($W1175,IF($T1175&lt;=60,est05_k,est519_k),1)),""))</f>
        <v/>
      </c>
      <c r="AH1175">
        <f>IF($W1175="","",IFERROR(INDEX(IF($T1175&lt;=60,est05_m,est519_m),MATCH($W1175,IF($T1175&lt;=60,est05_k,est519_k),1)),""))</f>
        <v/>
      </c>
      <c r="AI1175">
        <f>IF($W1175="","",IFERROR(INDEX(IF($T1175&lt;=60,est05_s,est519_s),MATCH($W1175,IF($T1175&lt;=60,est05_k,est519_k),1)),""))</f>
        <v/>
      </c>
      <c r="AJ1175">
        <f>IF($W1175="","",IFERROR(INDEX(IF($T1175&lt;=60,peso05_l,peso510_l),MATCH($W1175,IF($T1175&lt;=60,peso05_k,peso510_k),1)),""))</f>
        <v/>
      </c>
      <c r="AK1175">
        <f>IF($W1175="","",IFERROR(INDEX(IF($T1175&lt;=60,peso05_m,peso510_m),MATCH($W1175,IF($T1175&lt;=60,peso05_k,peso510_k),1)),""))</f>
        <v/>
      </c>
      <c r="AL1175">
        <f>IF($W1175="","",IFERROR(INDEX(IF($T1175&lt;=60,peso05_s,peso510_s),MATCH($W1175,IF($T1175&lt;=60,peso05_k,peso510_k),1)),""))</f>
        <v/>
      </c>
      <c r="AM1175">
        <f>IF($AJ1175="","",IF($AJ1175=0,LN($F1175/$AK1175)/$AL1175,((($F1175/$AK1175)^$AJ1175)-1)/($AJ1175*$AL1175)))</f>
        <v/>
      </c>
      <c r="AN1175">
        <f>IF($AJ1175="","",IF($AJ1175=0,$AK1175*EXP($AL1175*2),$AK1175*(1+$AJ1175*$AL1175*2)^(1/$AJ1175)))</f>
        <v/>
      </c>
      <c r="AO1175">
        <f>IF($AJ1175="","",IF($AJ1175=0,$AK1175*EXP($AL1175*3),$AK1175*(1+$AJ1175*$AL1175*3)^(1/$AJ1175)))</f>
        <v/>
      </c>
      <c r="AP1175">
        <f>IF($AJ1175="","",IF($AJ1175=0,$AK1175*EXP($AL1175*-2),$AK1175*(1+$AJ1175*$AL1175*-2)^(1/$AJ1175)))</f>
        <v/>
      </c>
      <c r="AQ1175">
        <f>IF($AJ1175="","",IF($AJ1175=0,$AK1175*EXP($AL1175*-3),$AK1175*(1+$AJ1175*$AL1175*-3)^(1/$AJ1175)))</f>
        <v/>
      </c>
      <c r="AR1175">
        <f>IF(OR($X1175="",$T1175&gt;60),"",IFERROR(INDEX(IF($T1175&lt;24,pcomp_l,palt_l),MATCH($X1175,IF($T1175&lt;24,pcomp_k,palt_k),1)),""))</f>
        <v/>
      </c>
      <c r="AS1175">
        <f>IF(OR($X1175="",$T1175&gt;60),"",IFERROR(INDEX(IF($T1175&lt;24,pcomp_m,palt_m),MATCH($X1175,IF($T1175&lt;24,pcomp_k,palt_k),1)),""))</f>
        <v/>
      </c>
      <c r="AT1175">
        <f>IF(OR($X1175="",$T1175&gt;60),"",IFERROR(INDEX(IF($T1175&lt;24,pcomp_s,palt_s),MATCH($X1175,IF($T1175&lt;24,pcomp_k,palt_k),1)),""))</f>
        <v/>
      </c>
      <c r="AU1175">
        <f>IF($AR1175="","",IF($AR1175=0,LN($F1175/$AS1175)/$AT1175,((($F1175/$AS1175)^$AR1175)-1)/($AR1175*$AT1175)))</f>
        <v/>
      </c>
      <c r="AV1175">
        <f>IF($AR1175="","",IF($AR1175=0,$AS1175*EXP($AT1175*2),$AS1175*(1+$AR1175*$AT1175*2)^(1/$AR1175)))</f>
        <v/>
      </c>
      <c r="AW1175">
        <f>IF($AR1175="","",IF($AR1175=0,$AS1175*EXP($AT1175*3),$AS1175*(1+$AR1175*$AT1175*3)^(1/$AR1175)))</f>
        <v/>
      </c>
      <c r="AX1175">
        <f>IF($AR1175="","",IF($AR1175=0,$AS1175*EXP($AT1175*-2),$AS1175*(1+$AR1175*$AT1175*-2)^(1/$AR1175)))</f>
        <v/>
      </c>
      <c r="AY1175">
        <f>IF($AR1175="","",IF($AR1175=0,$AS1175*EXP($AT1175*-3),$AS1175*(1+$AR1175*$AT1175*-3)^(1/$AR1175)))</f>
        <v/>
      </c>
      <c r="AZ1175">
        <f>IF(OR($A1175="",$A1175&lt;&gt;Ficha!$C$4),"",COUNTIF($A$2:$A1175,Ficha!$C$4))</f>
        <v/>
      </c>
    </row>
    <row r="1176">
      <c r="A1176" s="8">
        <f>IF(INDEX(Banco!$A:$A,ROW())="","",INDEX(Banco!$A:$A,ROW()))</f>
        <v/>
      </c>
      <c r="B1176" s="8">
        <f>IF(INDEX(Banco!$B:$B,ROW())="","",INDEX(Banco!$B:$B,ROW()))</f>
        <v/>
      </c>
      <c r="C1176" s="8">
        <f>IF(INDEX(Banco!$C:$C,ROW())="","",INDEX(Banco!$C:$C,ROW()))</f>
        <v/>
      </c>
      <c r="D1176" s="9">
        <f>IF(INDEX(Banco!$D:$D,ROW())="","",INDEX(Banco!$D:$D,ROW()))</f>
        <v/>
      </c>
      <c r="E1176" s="9">
        <f>IF(INDEX(Banco!$E:$E,ROW())="","",INDEX(Banco!$E:$E,ROW()))</f>
        <v/>
      </c>
      <c r="F1176" s="10">
        <f>IF(INDEX(Banco!$F:$F,ROW())="","",INDEX(Banco!$F:$F,ROW()))</f>
        <v/>
      </c>
      <c r="G1176" s="10">
        <f>IF(INDEX(Banco!$G:$G,ROW())="","",INDEX(Banco!$G:$G,ROW()))</f>
        <v/>
      </c>
      <c r="H1176" s="8">
        <f>IF(INDEX(Banco!$H:$H,ROW())="","",INDEX(Banco!$H:$H,ROW()))</f>
        <v/>
      </c>
      <c r="I1176">
        <f>IF($T1176="","",INT($T1176/12)&amp;"a "&amp;MOD($T1176,12)&amp;"m")</f>
        <v/>
      </c>
      <c r="J1176" s="11">
        <f>IF(OR($F1176="",$G1176=""),"",ROUND($F1176/($G1176/100)^2,2))</f>
        <v/>
      </c>
      <c r="K1176" s="12">
        <f>IF(OR($S1176="",$J1176="",$T1176="",$T1176&lt;0,$T1176&gt;228,$Y1176=""),"—",ROUND(IF(ABS($AB1176)&lt;=3,$AB1176,IF($AB1176&gt;3,3+($J1176-$AD1176)/($AD1176-$AC1176),-3+($J1176-$AF1176)/($AE1176-$AF1176))),2))</f>
        <v/>
      </c>
      <c r="L1176">
        <f>IF(OR($K1176="",$K1176="—"),"",IF($T1176&lt;=60,IF($K1176&lt;-3,"Magreza acentuada",IF($K1176&lt;-2,"Magreza",IF($K1176&lt;=1,"Eutrofia",IF($K1176&lt;=2,"Risco de sobrepeso",IF($K1176&lt;=3,"Sobrepeso","Obesidade"))))),IF($K1176&lt;-3,"Magreza acentuada",IF($K1176&lt;-2,"Magreza",IF($K1176&lt;=1,"Eutrofia",IF($K1176&lt;=2,"Sobrepeso",IF($K1176&lt;=3,"Obesidade","Obesidade grave")))))))</f>
        <v/>
      </c>
      <c r="M1176" s="12">
        <f>IF(OR($S1176="",$V1176="",$T1176="",$T1176&lt;0,$T1176&gt;228,$AG1176=""),"—",ROUND(IF($AG1176=0,LN($V1176/$AH1176)/$AI1176,((($V1176/$AH1176)^$AG1176)-1)/($AG1176*$AI1176)),2))</f>
        <v/>
      </c>
      <c r="N1176">
        <f>IF(OR($M1176="",$M1176="—"),"",IF($M1176&lt;-3,"Muito baixa",IF($M1176&lt;-2,"Baixa","Adequada")))</f>
        <v/>
      </c>
      <c r="O1176" s="12">
        <f>IF(OR($S1176="",$F1176="",$T1176="",$T1176&lt;0,$T1176&gt;120,$AJ1176=""),"—",ROUND(IF(ABS($AM1176)&lt;=3,$AM1176,IF($AM1176&gt;3,3+($F1176-$AO1176)/($AO1176-$AN1176),-3+($F1176-$AQ1176)/($AP1176-$AQ1176))),2))</f>
        <v/>
      </c>
      <c r="P1176">
        <f>IF(OR($O1176="",$O1176="—"),"",IF($O1176&lt;-3,"Muito baixo",IF($O1176&lt;-2,"Baixo",IF($O1176&lt;=2,"Adequado","Elevado"))))</f>
        <v/>
      </c>
      <c r="Q1176" s="12">
        <f>IF(OR($S1176="",$F1176="",$T1176="",$T1176&lt;0,$T1176&gt;60,$AR1176=""),"—",ROUND(IF(ABS($AU1176)&lt;=3,$AU1176,IF($AU1176&gt;3,3+($F1176-$AW1176)/($AW1176-$AV1176),-3+($F1176-$AY1176)/($AX1176-$AY1176))),2))</f>
        <v/>
      </c>
      <c r="R1176">
        <f>IF(OR($Q1176="",$Q1176="—"),"",IF($Q1176&lt;-3,"Magreza acentuada",IF($Q1176&lt;-2,"Magreza",IF($Q1176&lt;=1,"Eutrofia",IF($Q1176&lt;=2,"Risco de sobrepeso",IF($Q1176&lt;=3,"Sobrepeso","Obesidade"))))))</f>
        <v/>
      </c>
      <c r="S1176">
        <f>IF($C1176="","",IF(UPPER(LEFT($C1176,1))="M",1,IF(UPPER(LEFT($C1176,1))="F",2,"")))</f>
        <v/>
      </c>
      <c r="T1176">
        <f>IF(OR($D1176="",$E1176=""),"",DATEDIF($D1176,$E1176,"m"))</f>
        <v/>
      </c>
      <c r="U1176">
        <f>IF(OR($D1176="",$E1176=""),"",$E1176-$D1176)</f>
        <v/>
      </c>
      <c r="V1176">
        <f>IF(OR($G1176="",$T1176=""),"",IF($T1176&lt;24,IF(LEFT(LOWER($H1176),4)="em p",$G1176+0.7,$G1176),IF(LEFT(LOWER($H1176),4)="deit",$G1176-0.7,$G1176)))</f>
        <v/>
      </c>
      <c r="W1176">
        <f>IF(OR($S1176="",$T1176=""),"",$S1176*1000000+IF($T1176&lt;=60,$U1176,$T1176))</f>
        <v/>
      </c>
      <c r="X1176">
        <f>IF(OR($S1176="",$V1176="",$T1176&gt;60,$T1176=""),"",$S1176*1000000+ROUND($V1176*10,0))</f>
        <v/>
      </c>
      <c r="Y1176">
        <f>IF($W1176="","",IFERROR(INDEX(IF($T1176&lt;=60,imc05_l,imc519_l),MATCH($W1176,IF($T1176&lt;=60,imc05_k,imc519_k),1)),""))</f>
        <v/>
      </c>
      <c r="Z1176">
        <f>IF($W1176="","",IFERROR(INDEX(IF($T1176&lt;=60,imc05_m,imc519_m),MATCH($W1176,IF($T1176&lt;=60,imc05_k,imc519_k),1)),""))</f>
        <v/>
      </c>
      <c r="AA1176">
        <f>IF($W1176="","",IFERROR(INDEX(IF($T1176&lt;=60,imc05_s,imc519_s),MATCH($W1176,IF($T1176&lt;=60,imc05_k,imc519_k),1)),""))</f>
        <v/>
      </c>
      <c r="AB1176">
        <f>IF($Y1176="","",IF($Y1176=0,LN($J1176/$Z1176)/$AA1176,((($J1176/$Z1176)^$Y1176)-1)/($Y1176*$AA1176)))</f>
        <v/>
      </c>
      <c r="AC1176">
        <f>IF($Y1176="","",IF($Y1176=0,$Z1176*EXP($AA1176*2),$Z1176*(1+$Y1176*$AA1176*2)^(1/$Y1176)))</f>
        <v/>
      </c>
      <c r="AD1176">
        <f>IF($Y1176="","",IF($Y1176=0,$Z1176*EXP($AA1176*3),$Z1176*(1+$Y1176*$AA1176*3)^(1/$Y1176)))</f>
        <v/>
      </c>
      <c r="AE1176">
        <f>IF($Y1176="","",IF($Y1176=0,$Z1176*EXP($AA1176*-2),$Z1176*(1+$Y1176*$AA1176*-2)^(1/$Y1176)))</f>
        <v/>
      </c>
      <c r="AF1176">
        <f>IF($Y1176="","",IF($Y1176=0,$Z1176*EXP($AA1176*-3),$Z1176*(1+$Y1176*$AA1176*-3)^(1/$Y1176)))</f>
        <v/>
      </c>
      <c r="AG1176">
        <f>IF($W1176="","",IFERROR(INDEX(IF($T1176&lt;=60,est05_l,est519_l),MATCH($W1176,IF($T1176&lt;=60,est05_k,est519_k),1)),""))</f>
        <v/>
      </c>
      <c r="AH1176">
        <f>IF($W1176="","",IFERROR(INDEX(IF($T1176&lt;=60,est05_m,est519_m),MATCH($W1176,IF($T1176&lt;=60,est05_k,est519_k),1)),""))</f>
        <v/>
      </c>
      <c r="AI1176">
        <f>IF($W1176="","",IFERROR(INDEX(IF($T1176&lt;=60,est05_s,est519_s),MATCH($W1176,IF($T1176&lt;=60,est05_k,est519_k),1)),""))</f>
        <v/>
      </c>
      <c r="AJ1176">
        <f>IF($W1176="","",IFERROR(INDEX(IF($T1176&lt;=60,peso05_l,peso510_l),MATCH($W1176,IF($T1176&lt;=60,peso05_k,peso510_k),1)),""))</f>
        <v/>
      </c>
      <c r="AK1176">
        <f>IF($W1176="","",IFERROR(INDEX(IF($T1176&lt;=60,peso05_m,peso510_m),MATCH($W1176,IF($T1176&lt;=60,peso05_k,peso510_k),1)),""))</f>
        <v/>
      </c>
      <c r="AL1176">
        <f>IF($W1176="","",IFERROR(INDEX(IF($T1176&lt;=60,peso05_s,peso510_s),MATCH($W1176,IF($T1176&lt;=60,peso05_k,peso510_k),1)),""))</f>
        <v/>
      </c>
      <c r="AM1176">
        <f>IF($AJ1176="","",IF($AJ1176=0,LN($F1176/$AK1176)/$AL1176,((($F1176/$AK1176)^$AJ1176)-1)/($AJ1176*$AL1176)))</f>
        <v/>
      </c>
      <c r="AN1176">
        <f>IF($AJ1176="","",IF($AJ1176=0,$AK1176*EXP($AL1176*2),$AK1176*(1+$AJ1176*$AL1176*2)^(1/$AJ1176)))</f>
        <v/>
      </c>
      <c r="AO1176">
        <f>IF($AJ1176="","",IF($AJ1176=0,$AK1176*EXP($AL1176*3),$AK1176*(1+$AJ1176*$AL1176*3)^(1/$AJ1176)))</f>
        <v/>
      </c>
      <c r="AP1176">
        <f>IF($AJ1176="","",IF($AJ1176=0,$AK1176*EXP($AL1176*-2),$AK1176*(1+$AJ1176*$AL1176*-2)^(1/$AJ1176)))</f>
        <v/>
      </c>
      <c r="AQ1176">
        <f>IF($AJ1176="","",IF($AJ1176=0,$AK1176*EXP($AL1176*-3),$AK1176*(1+$AJ1176*$AL1176*-3)^(1/$AJ1176)))</f>
        <v/>
      </c>
      <c r="AR1176">
        <f>IF(OR($X1176="",$T1176&gt;60),"",IFERROR(INDEX(IF($T1176&lt;24,pcomp_l,palt_l),MATCH($X1176,IF($T1176&lt;24,pcomp_k,palt_k),1)),""))</f>
        <v/>
      </c>
      <c r="AS1176">
        <f>IF(OR($X1176="",$T1176&gt;60),"",IFERROR(INDEX(IF($T1176&lt;24,pcomp_m,palt_m),MATCH($X1176,IF($T1176&lt;24,pcomp_k,palt_k),1)),""))</f>
        <v/>
      </c>
      <c r="AT1176">
        <f>IF(OR($X1176="",$T1176&gt;60),"",IFERROR(INDEX(IF($T1176&lt;24,pcomp_s,palt_s),MATCH($X1176,IF($T1176&lt;24,pcomp_k,palt_k),1)),""))</f>
        <v/>
      </c>
      <c r="AU1176">
        <f>IF($AR1176="","",IF($AR1176=0,LN($F1176/$AS1176)/$AT1176,((($F1176/$AS1176)^$AR1176)-1)/($AR1176*$AT1176)))</f>
        <v/>
      </c>
      <c r="AV1176">
        <f>IF($AR1176="","",IF($AR1176=0,$AS1176*EXP($AT1176*2),$AS1176*(1+$AR1176*$AT1176*2)^(1/$AR1176)))</f>
        <v/>
      </c>
      <c r="AW1176">
        <f>IF($AR1176="","",IF($AR1176=0,$AS1176*EXP($AT1176*3),$AS1176*(1+$AR1176*$AT1176*3)^(1/$AR1176)))</f>
        <v/>
      </c>
      <c r="AX1176">
        <f>IF($AR1176="","",IF($AR1176=0,$AS1176*EXP($AT1176*-2),$AS1176*(1+$AR1176*$AT1176*-2)^(1/$AR1176)))</f>
        <v/>
      </c>
      <c r="AY1176">
        <f>IF($AR1176="","",IF($AR1176=0,$AS1176*EXP($AT1176*-3),$AS1176*(1+$AR1176*$AT1176*-3)^(1/$AR1176)))</f>
        <v/>
      </c>
      <c r="AZ1176">
        <f>IF(OR($A1176="",$A1176&lt;&gt;Ficha!$C$4),"",COUNTIF($A$2:$A1176,Ficha!$C$4))</f>
        <v/>
      </c>
    </row>
    <row r="1177">
      <c r="A1177" s="8">
        <f>IF(INDEX(Banco!$A:$A,ROW())="","",INDEX(Banco!$A:$A,ROW()))</f>
        <v/>
      </c>
      <c r="B1177" s="8">
        <f>IF(INDEX(Banco!$B:$B,ROW())="","",INDEX(Banco!$B:$B,ROW()))</f>
        <v/>
      </c>
      <c r="C1177" s="8">
        <f>IF(INDEX(Banco!$C:$C,ROW())="","",INDEX(Banco!$C:$C,ROW()))</f>
        <v/>
      </c>
      <c r="D1177" s="9">
        <f>IF(INDEX(Banco!$D:$D,ROW())="","",INDEX(Banco!$D:$D,ROW()))</f>
        <v/>
      </c>
      <c r="E1177" s="9">
        <f>IF(INDEX(Banco!$E:$E,ROW())="","",INDEX(Banco!$E:$E,ROW()))</f>
        <v/>
      </c>
      <c r="F1177" s="10">
        <f>IF(INDEX(Banco!$F:$F,ROW())="","",INDEX(Banco!$F:$F,ROW()))</f>
        <v/>
      </c>
      <c r="G1177" s="10">
        <f>IF(INDEX(Banco!$G:$G,ROW())="","",INDEX(Banco!$G:$G,ROW()))</f>
        <v/>
      </c>
      <c r="H1177" s="8">
        <f>IF(INDEX(Banco!$H:$H,ROW())="","",INDEX(Banco!$H:$H,ROW()))</f>
        <v/>
      </c>
      <c r="I1177">
        <f>IF($T1177="","",INT($T1177/12)&amp;"a "&amp;MOD($T1177,12)&amp;"m")</f>
        <v/>
      </c>
      <c r="J1177" s="11">
        <f>IF(OR($F1177="",$G1177=""),"",ROUND($F1177/($G1177/100)^2,2))</f>
        <v/>
      </c>
      <c r="K1177" s="12">
        <f>IF(OR($S1177="",$J1177="",$T1177="",$T1177&lt;0,$T1177&gt;228,$Y1177=""),"—",ROUND(IF(ABS($AB1177)&lt;=3,$AB1177,IF($AB1177&gt;3,3+($J1177-$AD1177)/($AD1177-$AC1177),-3+($J1177-$AF1177)/($AE1177-$AF1177))),2))</f>
        <v/>
      </c>
      <c r="L1177">
        <f>IF(OR($K1177="",$K1177="—"),"",IF($T1177&lt;=60,IF($K1177&lt;-3,"Magreza acentuada",IF($K1177&lt;-2,"Magreza",IF($K1177&lt;=1,"Eutrofia",IF($K1177&lt;=2,"Risco de sobrepeso",IF($K1177&lt;=3,"Sobrepeso","Obesidade"))))),IF($K1177&lt;-3,"Magreza acentuada",IF($K1177&lt;-2,"Magreza",IF($K1177&lt;=1,"Eutrofia",IF($K1177&lt;=2,"Sobrepeso",IF($K1177&lt;=3,"Obesidade","Obesidade grave")))))))</f>
        <v/>
      </c>
      <c r="M1177" s="12">
        <f>IF(OR($S1177="",$V1177="",$T1177="",$T1177&lt;0,$T1177&gt;228,$AG1177=""),"—",ROUND(IF($AG1177=0,LN($V1177/$AH1177)/$AI1177,((($V1177/$AH1177)^$AG1177)-1)/($AG1177*$AI1177)),2))</f>
        <v/>
      </c>
      <c r="N1177">
        <f>IF(OR($M1177="",$M1177="—"),"",IF($M1177&lt;-3,"Muito baixa",IF($M1177&lt;-2,"Baixa","Adequada")))</f>
        <v/>
      </c>
      <c r="O1177" s="12">
        <f>IF(OR($S1177="",$F1177="",$T1177="",$T1177&lt;0,$T1177&gt;120,$AJ1177=""),"—",ROUND(IF(ABS($AM1177)&lt;=3,$AM1177,IF($AM1177&gt;3,3+($F1177-$AO1177)/($AO1177-$AN1177),-3+($F1177-$AQ1177)/($AP1177-$AQ1177))),2))</f>
        <v/>
      </c>
      <c r="P1177">
        <f>IF(OR($O1177="",$O1177="—"),"",IF($O1177&lt;-3,"Muito baixo",IF($O1177&lt;-2,"Baixo",IF($O1177&lt;=2,"Adequado","Elevado"))))</f>
        <v/>
      </c>
      <c r="Q1177" s="12">
        <f>IF(OR($S1177="",$F1177="",$T1177="",$T1177&lt;0,$T1177&gt;60,$AR1177=""),"—",ROUND(IF(ABS($AU1177)&lt;=3,$AU1177,IF($AU1177&gt;3,3+($F1177-$AW1177)/($AW1177-$AV1177),-3+($F1177-$AY1177)/($AX1177-$AY1177))),2))</f>
        <v/>
      </c>
      <c r="R1177">
        <f>IF(OR($Q1177="",$Q1177="—"),"",IF($Q1177&lt;-3,"Magreza acentuada",IF($Q1177&lt;-2,"Magreza",IF($Q1177&lt;=1,"Eutrofia",IF($Q1177&lt;=2,"Risco de sobrepeso",IF($Q1177&lt;=3,"Sobrepeso","Obesidade"))))))</f>
        <v/>
      </c>
      <c r="S1177">
        <f>IF($C1177="","",IF(UPPER(LEFT($C1177,1))="M",1,IF(UPPER(LEFT($C1177,1))="F",2,"")))</f>
        <v/>
      </c>
      <c r="T1177">
        <f>IF(OR($D1177="",$E1177=""),"",DATEDIF($D1177,$E1177,"m"))</f>
        <v/>
      </c>
      <c r="U1177">
        <f>IF(OR($D1177="",$E1177=""),"",$E1177-$D1177)</f>
        <v/>
      </c>
      <c r="V1177">
        <f>IF(OR($G1177="",$T1177=""),"",IF($T1177&lt;24,IF(LEFT(LOWER($H1177),4)="em p",$G1177+0.7,$G1177),IF(LEFT(LOWER($H1177),4)="deit",$G1177-0.7,$G1177)))</f>
        <v/>
      </c>
      <c r="W1177">
        <f>IF(OR($S1177="",$T1177=""),"",$S1177*1000000+IF($T1177&lt;=60,$U1177,$T1177))</f>
        <v/>
      </c>
      <c r="X1177">
        <f>IF(OR($S1177="",$V1177="",$T1177&gt;60,$T1177=""),"",$S1177*1000000+ROUND($V1177*10,0))</f>
        <v/>
      </c>
      <c r="Y1177">
        <f>IF($W1177="","",IFERROR(INDEX(IF($T1177&lt;=60,imc05_l,imc519_l),MATCH($W1177,IF($T1177&lt;=60,imc05_k,imc519_k),1)),""))</f>
        <v/>
      </c>
      <c r="Z1177">
        <f>IF($W1177="","",IFERROR(INDEX(IF($T1177&lt;=60,imc05_m,imc519_m),MATCH($W1177,IF($T1177&lt;=60,imc05_k,imc519_k),1)),""))</f>
        <v/>
      </c>
      <c r="AA1177">
        <f>IF($W1177="","",IFERROR(INDEX(IF($T1177&lt;=60,imc05_s,imc519_s),MATCH($W1177,IF($T1177&lt;=60,imc05_k,imc519_k),1)),""))</f>
        <v/>
      </c>
      <c r="AB1177">
        <f>IF($Y1177="","",IF($Y1177=0,LN($J1177/$Z1177)/$AA1177,((($J1177/$Z1177)^$Y1177)-1)/($Y1177*$AA1177)))</f>
        <v/>
      </c>
      <c r="AC1177">
        <f>IF($Y1177="","",IF($Y1177=0,$Z1177*EXP($AA1177*2),$Z1177*(1+$Y1177*$AA1177*2)^(1/$Y1177)))</f>
        <v/>
      </c>
      <c r="AD1177">
        <f>IF($Y1177="","",IF($Y1177=0,$Z1177*EXP($AA1177*3),$Z1177*(1+$Y1177*$AA1177*3)^(1/$Y1177)))</f>
        <v/>
      </c>
      <c r="AE1177">
        <f>IF($Y1177="","",IF($Y1177=0,$Z1177*EXP($AA1177*-2),$Z1177*(1+$Y1177*$AA1177*-2)^(1/$Y1177)))</f>
        <v/>
      </c>
      <c r="AF1177">
        <f>IF($Y1177="","",IF($Y1177=0,$Z1177*EXP($AA1177*-3),$Z1177*(1+$Y1177*$AA1177*-3)^(1/$Y1177)))</f>
        <v/>
      </c>
      <c r="AG1177">
        <f>IF($W1177="","",IFERROR(INDEX(IF($T1177&lt;=60,est05_l,est519_l),MATCH($W1177,IF($T1177&lt;=60,est05_k,est519_k),1)),""))</f>
        <v/>
      </c>
      <c r="AH1177">
        <f>IF($W1177="","",IFERROR(INDEX(IF($T1177&lt;=60,est05_m,est519_m),MATCH($W1177,IF($T1177&lt;=60,est05_k,est519_k),1)),""))</f>
        <v/>
      </c>
      <c r="AI1177">
        <f>IF($W1177="","",IFERROR(INDEX(IF($T1177&lt;=60,est05_s,est519_s),MATCH($W1177,IF($T1177&lt;=60,est05_k,est519_k),1)),""))</f>
        <v/>
      </c>
      <c r="AJ1177">
        <f>IF($W1177="","",IFERROR(INDEX(IF($T1177&lt;=60,peso05_l,peso510_l),MATCH($W1177,IF($T1177&lt;=60,peso05_k,peso510_k),1)),""))</f>
        <v/>
      </c>
      <c r="AK1177">
        <f>IF($W1177="","",IFERROR(INDEX(IF($T1177&lt;=60,peso05_m,peso510_m),MATCH($W1177,IF($T1177&lt;=60,peso05_k,peso510_k),1)),""))</f>
        <v/>
      </c>
      <c r="AL1177">
        <f>IF($W1177="","",IFERROR(INDEX(IF($T1177&lt;=60,peso05_s,peso510_s),MATCH($W1177,IF($T1177&lt;=60,peso05_k,peso510_k),1)),""))</f>
        <v/>
      </c>
      <c r="AM1177">
        <f>IF($AJ1177="","",IF($AJ1177=0,LN($F1177/$AK1177)/$AL1177,((($F1177/$AK1177)^$AJ1177)-1)/($AJ1177*$AL1177)))</f>
        <v/>
      </c>
      <c r="AN1177">
        <f>IF($AJ1177="","",IF($AJ1177=0,$AK1177*EXP($AL1177*2),$AK1177*(1+$AJ1177*$AL1177*2)^(1/$AJ1177)))</f>
        <v/>
      </c>
      <c r="AO1177">
        <f>IF($AJ1177="","",IF($AJ1177=0,$AK1177*EXP($AL1177*3),$AK1177*(1+$AJ1177*$AL1177*3)^(1/$AJ1177)))</f>
        <v/>
      </c>
      <c r="AP1177">
        <f>IF($AJ1177="","",IF($AJ1177=0,$AK1177*EXP($AL1177*-2),$AK1177*(1+$AJ1177*$AL1177*-2)^(1/$AJ1177)))</f>
        <v/>
      </c>
      <c r="AQ1177">
        <f>IF($AJ1177="","",IF($AJ1177=0,$AK1177*EXP($AL1177*-3),$AK1177*(1+$AJ1177*$AL1177*-3)^(1/$AJ1177)))</f>
        <v/>
      </c>
      <c r="AR1177">
        <f>IF(OR($X1177="",$T1177&gt;60),"",IFERROR(INDEX(IF($T1177&lt;24,pcomp_l,palt_l),MATCH($X1177,IF($T1177&lt;24,pcomp_k,palt_k),1)),""))</f>
        <v/>
      </c>
      <c r="AS1177">
        <f>IF(OR($X1177="",$T1177&gt;60),"",IFERROR(INDEX(IF($T1177&lt;24,pcomp_m,palt_m),MATCH($X1177,IF($T1177&lt;24,pcomp_k,palt_k),1)),""))</f>
        <v/>
      </c>
      <c r="AT1177">
        <f>IF(OR($X1177="",$T1177&gt;60),"",IFERROR(INDEX(IF($T1177&lt;24,pcomp_s,palt_s),MATCH($X1177,IF($T1177&lt;24,pcomp_k,palt_k),1)),""))</f>
        <v/>
      </c>
      <c r="AU1177">
        <f>IF($AR1177="","",IF($AR1177=0,LN($F1177/$AS1177)/$AT1177,((($F1177/$AS1177)^$AR1177)-1)/($AR1177*$AT1177)))</f>
        <v/>
      </c>
      <c r="AV1177">
        <f>IF($AR1177="","",IF($AR1177=0,$AS1177*EXP($AT1177*2),$AS1177*(1+$AR1177*$AT1177*2)^(1/$AR1177)))</f>
        <v/>
      </c>
      <c r="AW1177">
        <f>IF($AR1177="","",IF($AR1177=0,$AS1177*EXP($AT1177*3),$AS1177*(1+$AR1177*$AT1177*3)^(1/$AR1177)))</f>
        <v/>
      </c>
      <c r="AX1177">
        <f>IF($AR1177="","",IF($AR1177=0,$AS1177*EXP($AT1177*-2),$AS1177*(1+$AR1177*$AT1177*-2)^(1/$AR1177)))</f>
        <v/>
      </c>
      <c r="AY1177">
        <f>IF($AR1177="","",IF($AR1177=0,$AS1177*EXP($AT1177*-3),$AS1177*(1+$AR1177*$AT1177*-3)^(1/$AR1177)))</f>
        <v/>
      </c>
      <c r="AZ1177">
        <f>IF(OR($A1177="",$A1177&lt;&gt;Ficha!$C$4),"",COUNTIF($A$2:$A1177,Ficha!$C$4))</f>
        <v/>
      </c>
    </row>
    <row r="1178">
      <c r="A1178" s="8">
        <f>IF(INDEX(Banco!$A:$A,ROW())="","",INDEX(Banco!$A:$A,ROW()))</f>
        <v/>
      </c>
      <c r="B1178" s="8">
        <f>IF(INDEX(Banco!$B:$B,ROW())="","",INDEX(Banco!$B:$B,ROW()))</f>
        <v/>
      </c>
      <c r="C1178" s="8">
        <f>IF(INDEX(Banco!$C:$C,ROW())="","",INDEX(Banco!$C:$C,ROW()))</f>
        <v/>
      </c>
      <c r="D1178" s="9">
        <f>IF(INDEX(Banco!$D:$D,ROW())="","",INDEX(Banco!$D:$D,ROW()))</f>
        <v/>
      </c>
      <c r="E1178" s="9">
        <f>IF(INDEX(Banco!$E:$E,ROW())="","",INDEX(Banco!$E:$E,ROW()))</f>
        <v/>
      </c>
      <c r="F1178" s="10">
        <f>IF(INDEX(Banco!$F:$F,ROW())="","",INDEX(Banco!$F:$F,ROW()))</f>
        <v/>
      </c>
      <c r="G1178" s="10">
        <f>IF(INDEX(Banco!$G:$G,ROW())="","",INDEX(Banco!$G:$G,ROW()))</f>
        <v/>
      </c>
      <c r="H1178" s="8">
        <f>IF(INDEX(Banco!$H:$H,ROW())="","",INDEX(Banco!$H:$H,ROW()))</f>
        <v/>
      </c>
      <c r="I1178">
        <f>IF($T1178="","",INT($T1178/12)&amp;"a "&amp;MOD($T1178,12)&amp;"m")</f>
        <v/>
      </c>
      <c r="J1178" s="11">
        <f>IF(OR($F1178="",$G1178=""),"",ROUND($F1178/($G1178/100)^2,2))</f>
        <v/>
      </c>
      <c r="K1178" s="12">
        <f>IF(OR($S1178="",$J1178="",$T1178="",$T1178&lt;0,$T1178&gt;228,$Y1178=""),"—",ROUND(IF(ABS($AB1178)&lt;=3,$AB1178,IF($AB1178&gt;3,3+($J1178-$AD1178)/($AD1178-$AC1178),-3+($J1178-$AF1178)/($AE1178-$AF1178))),2))</f>
        <v/>
      </c>
      <c r="L1178">
        <f>IF(OR($K1178="",$K1178="—"),"",IF($T1178&lt;=60,IF($K1178&lt;-3,"Magreza acentuada",IF($K1178&lt;-2,"Magreza",IF($K1178&lt;=1,"Eutrofia",IF($K1178&lt;=2,"Risco de sobrepeso",IF($K1178&lt;=3,"Sobrepeso","Obesidade"))))),IF($K1178&lt;-3,"Magreza acentuada",IF($K1178&lt;-2,"Magreza",IF($K1178&lt;=1,"Eutrofia",IF($K1178&lt;=2,"Sobrepeso",IF($K1178&lt;=3,"Obesidade","Obesidade grave")))))))</f>
        <v/>
      </c>
      <c r="M1178" s="12">
        <f>IF(OR($S1178="",$V1178="",$T1178="",$T1178&lt;0,$T1178&gt;228,$AG1178=""),"—",ROUND(IF($AG1178=0,LN($V1178/$AH1178)/$AI1178,((($V1178/$AH1178)^$AG1178)-1)/($AG1178*$AI1178)),2))</f>
        <v/>
      </c>
      <c r="N1178">
        <f>IF(OR($M1178="",$M1178="—"),"",IF($M1178&lt;-3,"Muito baixa",IF($M1178&lt;-2,"Baixa","Adequada")))</f>
        <v/>
      </c>
      <c r="O1178" s="12">
        <f>IF(OR($S1178="",$F1178="",$T1178="",$T1178&lt;0,$T1178&gt;120,$AJ1178=""),"—",ROUND(IF(ABS($AM1178)&lt;=3,$AM1178,IF($AM1178&gt;3,3+($F1178-$AO1178)/($AO1178-$AN1178),-3+($F1178-$AQ1178)/($AP1178-$AQ1178))),2))</f>
        <v/>
      </c>
      <c r="P1178">
        <f>IF(OR($O1178="",$O1178="—"),"",IF($O1178&lt;-3,"Muito baixo",IF($O1178&lt;-2,"Baixo",IF($O1178&lt;=2,"Adequado","Elevado"))))</f>
        <v/>
      </c>
      <c r="Q1178" s="12">
        <f>IF(OR($S1178="",$F1178="",$T1178="",$T1178&lt;0,$T1178&gt;60,$AR1178=""),"—",ROUND(IF(ABS($AU1178)&lt;=3,$AU1178,IF($AU1178&gt;3,3+($F1178-$AW1178)/($AW1178-$AV1178),-3+($F1178-$AY1178)/($AX1178-$AY1178))),2))</f>
        <v/>
      </c>
      <c r="R1178">
        <f>IF(OR($Q1178="",$Q1178="—"),"",IF($Q1178&lt;-3,"Magreza acentuada",IF($Q1178&lt;-2,"Magreza",IF($Q1178&lt;=1,"Eutrofia",IF($Q1178&lt;=2,"Risco de sobrepeso",IF($Q1178&lt;=3,"Sobrepeso","Obesidade"))))))</f>
        <v/>
      </c>
      <c r="S1178">
        <f>IF($C1178="","",IF(UPPER(LEFT($C1178,1))="M",1,IF(UPPER(LEFT($C1178,1))="F",2,"")))</f>
        <v/>
      </c>
      <c r="T1178">
        <f>IF(OR($D1178="",$E1178=""),"",DATEDIF($D1178,$E1178,"m"))</f>
        <v/>
      </c>
      <c r="U1178">
        <f>IF(OR($D1178="",$E1178=""),"",$E1178-$D1178)</f>
        <v/>
      </c>
      <c r="V1178">
        <f>IF(OR($G1178="",$T1178=""),"",IF($T1178&lt;24,IF(LEFT(LOWER($H1178),4)="em p",$G1178+0.7,$G1178),IF(LEFT(LOWER($H1178),4)="deit",$G1178-0.7,$G1178)))</f>
        <v/>
      </c>
      <c r="W1178">
        <f>IF(OR($S1178="",$T1178=""),"",$S1178*1000000+IF($T1178&lt;=60,$U1178,$T1178))</f>
        <v/>
      </c>
      <c r="X1178">
        <f>IF(OR($S1178="",$V1178="",$T1178&gt;60,$T1178=""),"",$S1178*1000000+ROUND($V1178*10,0))</f>
        <v/>
      </c>
      <c r="Y1178">
        <f>IF($W1178="","",IFERROR(INDEX(IF($T1178&lt;=60,imc05_l,imc519_l),MATCH($W1178,IF($T1178&lt;=60,imc05_k,imc519_k),1)),""))</f>
        <v/>
      </c>
      <c r="Z1178">
        <f>IF($W1178="","",IFERROR(INDEX(IF($T1178&lt;=60,imc05_m,imc519_m),MATCH($W1178,IF($T1178&lt;=60,imc05_k,imc519_k),1)),""))</f>
        <v/>
      </c>
      <c r="AA1178">
        <f>IF($W1178="","",IFERROR(INDEX(IF($T1178&lt;=60,imc05_s,imc519_s),MATCH($W1178,IF($T1178&lt;=60,imc05_k,imc519_k),1)),""))</f>
        <v/>
      </c>
      <c r="AB1178">
        <f>IF($Y1178="","",IF($Y1178=0,LN($J1178/$Z1178)/$AA1178,((($J1178/$Z1178)^$Y1178)-1)/($Y1178*$AA1178)))</f>
        <v/>
      </c>
      <c r="AC1178">
        <f>IF($Y1178="","",IF($Y1178=0,$Z1178*EXP($AA1178*2),$Z1178*(1+$Y1178*$AA1178*2)^(1/$Y1178)))</f>
        <v/>
      </c>
      <c r="AD1178">
        <f>IF($Y1178="","",IF($Y1178=0,$Z1178*EXP($AA1178*3),$Z1178*(1+$Y1178*$AA1178*3)^(1/$Y1178)))</f>
        <v/>
      </c>
      <c r="AE1178">
        <f>IF($Y1178="","",IF($Y1178=0,$Z1178*EXP($AA1178*-2),$Z1178*(1+$Y1178*$AA1178*-2)^(1/$Y1178)))</f>
        <v/>
      </c>
      <c r="AF1178">
        <f>IF($Y1178="","",IF($Y1178=0,$Z1178*EXP($AA1178*-3),$Z1178*(1+$Y1178*$AA1178*-3)^(1/$Y1178)))</f>
        <v/>
      </c>
      <c r="AG1178">
        <f>IF($W1178="","",IFERROR(INDEX(IF($T1178&lt;=60,est05_l,est519_l),MATCH($W1178,IF($T1178&lt;=60,est05_k,est519_k),1)),""))</f>
        <v/>
      </c>
      <c r="AH1178">
        <f>IF($W1178="","",IFERROR(INDEX(IF($T1178&lt;=60,est05_m,est519_m),MATCH($W1178,IF($T1178&lt;=60,est05_k,est519_k),1)),""))</f>
        <v/>
      </c>
      <c r="AI1178">
        <f>IF($W1178="","",IFERROR(INDEX(IF($T1178&lt;=60,est05_s,est519_s),MATCH($W1178,IF($T1178&lt;=60,est05_k,est519_k),1)),""))</f>
        <v/>
      </c>
      <c r="AJ1178">
        <f>IF($W1178="","",IFERROR(INDEX(IF($T1178&lt;=60,peso05_l,peso510_l),MATCH($W1178,IF($T1178&lt;=60,peso05_k,peso510_k),1)),""))</f>
        <v/>
      </c>
      <c r="AK1178">
        <f>IF($W1178="","",IFERROR(INDEX(IF($T1178&lt;=60,peso05_m,peso510_m),MATCH($W1178,IF($T1178&lt;=60,peso05_k,peso510_k),1)),""))</f>
        <v/>
      </c>
      <c r="AL1178">
        <f>IF($W1178="","",IFERROR(INDEX(IF($T1178&lt;=60,peso05_s,peso510_s),MATCH($W1178,IF($T1178&lt;=60,peso05_k,peso510_k),1)),""))</f>
        <v/>
      </c>
      <c r="AM1178">
        <f>IF($AJ1178="","",IF($AJ1178=0,LN($F1178/$AK1178)/$AL1178,((($F1178/$AK1178)^$AJ1178)-1)/($AJ1178*$AL1178)))</f>
        <v/>
      </c>
      <c r="AN1178">
        <f>IF($AJ1178="","",IF($AJ1178=0,$AK1178*EXP($AL1178*2),$AK1178*(1+$AJ1178*$AL1178*2)^(1/$AJ1178)))</f>
        <v/>
      </c>
      <c r="AO1178">
        <f>IF($AJ1178="","",IF($AJ1178=0,$AK1178*EXP($AL1178*3),$AK1178*(1+$AJ1178*$AL1178*3)^(1/$AJ1178)))</f>
        <v/>
      </c>
      <c r="AP1178">
        <f>IF($AJ1178="","",IF($AJ1178=0,$AK1178*EXP($AL1178*-2),$AK1178*(1+$AJ1178*$AL1178*-2)^(1/$AJ1178)))</f>
        <v/>
      </c>
      <c r="AQ1178">
        <f>IF($AJ1178="","",IF($AJ1178=0,$AK1178*EXP($AL1178*-3),$AK1178*(1+$AJ1178*$AL1178*-3)^(1/$AJ1178)))</f>
        <v/>
      </c>
      <c r="AR1178">
        <f>IF(OR($X1178="",$T1178&gt;60),"",IFERROR(INDEX(IF($T1178&lt;24,pcomp_l,palt_l),MATCH($X1178,IF($T1178&lt;24,pcomp_k,palt_k),1)),""))</f>
        <v/>
      </c>
      <c r="AS1178">
        <f>IF(OR($X1178="",$T1178&gt;60),"",IFERROR(INDEX(IF($T1178&lt;24,pcomp_m,palt_m),MATCH($X1178,IF($T1178&lt;24,pcomp_k,palt_k),1)),""))</f>
        <v/>
      </c>
      <c r="AT1178">
        <f>IF(OR($X1178="",$T1178&gt;60),"",IFERROR(INDEX(IF($T1178&lt;24,pcomp_s,palt_s),MATCH($X1178,IF($T1178&lt;24,pcomp_k,palt_k),1)),""))</f>
        <v/>
      </c>
      <c r="AU1178">
        <f>IF($AR1178="","",IF($AR1178=0,LN($F1178/$AS1178)/$AT1178,((($F1178/$AS1178)^$AR1178)-1)/($AR1178*$AT1178)))</f>
        <v/>
      </c>
      <c r="AV1178">
        <f>IF($AR1178="","",IF($AR1178=0,$AS1178*EXP($AT1178*2),$AS1178*(1+$AR1178*$AT1178*2)^(1/$AR1178)))</f>
        <v/>
      </c>
      <c r="AW1178">
        <f>IF($AR1178="","",IF($AR1178=0,$AS1178*EXP($AT1178*3),$AS1178*(1+$AR1178*$AT1178*3)^(1/$AR1178)))</f>
        <v/>
      </c>
      <c r="AX1178">
        <f>IF($AR1178="","",IF($AR1178=0,$AS1178*EXP($AT1178*-2),$AS1178*(1+$AR1178*$AT1178*-2)^(1/$AR1178)))</f>
        <v/>
      </c>
      <c r="AY1178">
        <f>IF($AR1178="","",IF($AR1178=0,$AS1178*EXP($AT1178*-3),$AS1178*(1+$AR1178*$AT1178*-3)^(1/$AR1178)))</f>
        <v/>
      </c>
      <c r="AZ1178">
        <f>IF(OR($A1178="",$A1178&lt;&gt;Ficha!$C$4),"",COUNTIF($A$2:$A1178,Ficha!$C$4))</f>
        <v/>
      </c>
    </row>
    <row r="1179">
      <c r="A1179" s="8">
        <f>IF(INDEX(Banco!$A:$A,ROW())="","",INDEX(Banco!$A:$A,ROW()))</f>
        <v/>
      </c>
      <c r="B1179" s="8">
        <f>IF(INDEX(Banco!$B:$B,ROW())="","",INDEX(Banco!$B:$B,ROW()))</f>
        <v/>
      </c>
      <c r="C1179" s="8">
        <f>IF(INDEX(Banco!$C:$C,ROW())="","",INDEX(Banco!$C:$C,ROW()))</f>
        <v/>
      </c>
      <c r="D1179" s="9">
        <f>IF(INDEX(Banco!$D:$D,ROW())="","",INDEX(Banco!$D:$D,ROW()))</f>
        <v/>
      </c>
      <c r="E1179" s="9">
        <f>IF(INDEX(Banco!$E:$E,ROW())="","",INDEX(Banco!$E:$E,ROW()))</f>
        <v/>
      </c>
      <c r="F1179" s="10">
        <f>IF(INDEX(Banco!$F:$F,ROW())="","",INDEX(Banco!$F:$F,ROW()))</f>
        <v/>
      </c>
      <c r="G1179" s="10">
        <f>IF(INDEX(Banco!$G:$G,ROW())="","",INDEX(Banco!$G:$G,ROW()))</f>
        <v/>
      </c>
      <c r="H1179" s="8">
        <f>IF(INDEX(Banco!$H:$H,ROW())="","",INDEX(Banco!$H:$H,ROW()))</f>
        <v/>
      </c>
      <c r="I1179">
        <f>IF($T1179="","",INT($T1179/12)&amp;"a "&amp;MOD($T1179,12)&amp;"m")</f>
        <v/>
      </c>
      <c r="J1179" s="11">
        <f>IF(OR($F1179="",$G1179=""),"",ROUND($F1179/($G1179/100)^2,2))</f>
        <v/>
      </c>
      <c r="K1179" s="12">
        <f>IF(OR($S1179="",$J1179="",$T1179="",$T1179&lt;0,$T1179&gt;228,$Y1179=""),"—",ROUND(IF(ABS($AB1179)&lt;=3,$AB1179,IF($AB1179&gt;3,3+($J1179-$AD1179)/($AD1179-$AC1179),-3+($J1179-$AF1179)/($AE1179-$AF1179))),2))</f>
        <v/>
      </c>
      <c r="L1179">
        <f>IF(OR($K1179="",$K1179="—"),"",IF($T1179&lt;=60,IF($K1179&lt;-3,"Magreza acentuada",IF($K1179&lt;-2,"Magreza",IF($K1179&lt;=1,"Eutrofia",IF($K1179&lt;=2,"Risco de sobrepeso",IF($K1179&lt;=3,"Sobrepeso","Obesidade"))))),IF($K1179&lt;-3,"Magreza acentuada",IF($K1179&lt;-2,"Magreza",IF($K1179&lt;=1,"Eutrofia",IF($K1179&lt;=2,"Sobrepeso",IF($K1179&lt;=3,"Obesidade","Obesidade grave")))))))</f>
        <v/>
      </c>
      <c r="M1179" s="12">
        <f>IF(OR($S1179="",$V1179="",$T1179="",$T1179&lt;0,$T1179&gt;228,$AG1179=""),"—",ROUND(IF($AG1179=0,LN($V1179/$AH1179)/$AI1179,((($V1179/$AH1179)^$AG1179)-1)/($AG1179*$AI1179)),2))</f>
        <v/>
      </c>
      <c r="N1179">
        <f>IF(OR($M1179="",$M1179="—"),"",IF($M1179&lt;-3,"Muito baixa",IF($M1179&lt;-2,"Baixa","Adequada")))</f>
        <v/>
      </c>
      <c r="O1179" s="12">
        <f>IF(OR($S1179="",$F1179="",$T1179="",$T1179&lt;0,$T1179&gt;120,$AJ1179=""),"—",ROUND(IF(ABS($AM1179)&lt;=3,$AM1179,IF($AM1179&gt;3,3+($F1179-$AO1179)/($AO1179-$AN1179),-3+($F1179-$AQ1179)/($AP1179-$AQ1179))),2))</f>
        <v/>
      </c>
      <c r="P1179">
        <f>IF(OR($O1179="",$O1179="—"),"",IF($O1179&lt;-3,"Muito baixo",IF($O1179&lt;-2,"Baixo",IF($O1179&lt;=2,"Adequado","Elevado"))))</f>
        <v/>
      </c>
      <c r="Q1179" s="12">
        <f>IF(OR($S1179="",$F1179="",$T1179="",$T1179&lt;0,$T1179&gt;60,$AR1179=""),"—",ROUND(IF(ABS($AU1179)&lt;=3,$AU1179,IF($AU1179&gt;3,3+($F1179-$AW1179)/($AW1179-$AV1179),-3+($F1179-$AY1179)/($AX1179-$AY1179))),2))</f>
        <v/>
      </c>
      <c r="R1179">
        <f>IF(OR($Q1179="",$Q1179="—"),"",IF($Q1179&lt;-3,"Magreza acentuada",IF($Q1179&lt;-2,"Magreza",IF($Q1179&lt;=1,"Eutrofia",IF($Q1179&lt;=2,"Risco de sobrepeso",IF($Q1179&lt;=3,"Sobrepeso","Obesidade"))))))</f>
        <v/>
      </c>
      <c r="S1179">
        <f>IF($C1179="","",IF(UPPER(LEFT($C1179,1))="M",1,IF(UPPER(LEFT($C1179,1))="F",2,"")))</f>
        <v/>
      </c>
      <c r="T1179">
        <f>IF(OR($D1179="",$E1179=""),"",DATEDIF($D1179,$E1179,"m"))</f>
        <v/>
      </c>
      <c r="U1179">
        <f>IF(OR($D1179="",$E1179=""),"",$E1179-$D1179)</f>
        <v/>
      </c>
      <c r="V1179">
        <f>IF(OR($G1179="",$T1179=""),"",IF($T1179&lt;24,IF(LEFT(LOWER($H1179),4)="em p",$G1179+0.7,$G1179),IF(LEFT(LOWER($H1179),4)="deit",$G1179-0.7,$G1179)))</f>
        <v/>
      </c>
      <c r="W1179">
        <f>IF(OR($S1179="",$T1179=""),"",$S1179*1000000+IF($T1179&lt;=60,$U1179,$T1179))</f>
        <v/>
      </c>
      <c r="X1179">
        <f>IF(OR($S1179="",$V1179="",$T1179&gt;60,$T1179=""),"",$S1179*1000000+ROUND($V1179*10,0))</f>
        <v/>
      </c>
      <c r="Y1179">
        <f>IF($W1179="","",IFERROR(INDEX(IF($T1179&lt;=60,imc05_l,imc519_l),MATCH($W1179,IF($T1179&lt;=60,imc05_k,imc519_k),1)),""))</f>
        <v/>
      </c>
      <c r="Z1179">
        <f>IF($W1179="","",IFERROR(INDEX(IF($T1179&lt;=60,imc05_m,imc519_m),MATCH($W1179,IF($T1179&lt;=60,imc05_k,imc519_k),1)),""))</f>
        <v/>
      </c>
      <c r="AA1179">
        <f>IF($W1179="","",IFERROR(INDEX(IF($T1179&lt;=60,imc05_s,imc519_s),MATCH($W1179,IF($T1179&lt;=60,imc05_k,imc519_k),1)),""))</f>
        <v/>
      </c>
      <c r="AB1179">
        <f>IF($Y1179="","",IF($Y1179=0,LN($J1179/$Z1179)/$AA1179,((($J1179/$Z1179)^$Y1179)-1)/($Y1179*$AA1179)))</f>
        <v/>
      </c>
      <c r="AC1179">
        <f>IF($Y1179="","",IF($Y1179=0,$Z1179*EXP($AA1179*2),$Z1179*(1+$Y1179*$AA1179*2)^(1/$Y1179)))</f>
        <v/>
      </c>
      <c r="AD1179">
        <f>IF($Y1179="","",IF($Y1179=0,$Z1179*EXP($AA1179*3),$Z1179*(1+$Y1179*$AA1179*3)^(1/$Y1179)))</f>
        <v/>
      </c>
      <c r="AE1179">
        <f>IF($Y1179="","",IF($Y1179=0,$Z1179*EXP($AA1179*-2),$Z1179*(1+$Y1179*$AA1179*-2)^(1/$Y1179)))</f>
        <v/>
      </c>
      <c r="AF1179">
        <f>IF($Y1179="","",IF($Y1179=0,$Z1179*EXP($AA1179*-3),$Z1179*(1+$Y1179*$AA1179*-3)^(1/$Y1179)))</f>
        <v/>
      </c>
      <c r="AG1179">
        <f>IF($W1179="","",IFERROR(INDEX(IF($T1179&lt;=60,est05_l,est519_l),MATCH($W1179,IF($T1179&lt;=60,est05_k,est519_k),1)),""))</f>
        <v/>
      </c>
      <c r="AH1179">
        <f>IF($W1179="","",IFERROR(INDEX(IF($T1179&lt;=60,est05_m,est519_m),MATCH($W1179,IF($T1179&lt;=60,est05_k,est519_k),1)),""))</f>
        <v/>
      </c>
      <c r="AI1179">
        <f>IF($W1179="","",IFERROR(INDEX(IF($T1179&lt;=60,est05_s,est519_s),MATCH($W1179,IF($T1179&lt;=60,est05_k,est519_k),1)),""))</f>
        <v/>
      </c>
      <c r="AJ1179">
        <f>IF($W1179="","",IFERROR(INDEX(IF($T1179&lt;=60,peso05_l,peso510_l),MATCH($W1179,IF($T1179&lt;=60,peso05_k,peso510_k),1)),""))</f>
        <v/>
      </c>
      <c r="AK1179">
        <f>IF($W1179="","",IFERROR(INDEX(IF($T1179&lt;=60,peso05_m,peso510_m),MATCH($W1179,IF($T1179&lt;=60,peso05_k,peso510_k),1)),""))</f>
        <v/>
      </c>
      <c r="AL1179">
        <f>IF($W1179="","",IFERROR(INDEX(IF($T1179&lt;=60,peso05_s,peso510_s),MATCH($W1179,IF($T1179&lt;=60,peso05_k,peso510_k),1)),""))</f>
        <v/>
      </c>
      <c r="AM1179">
        <f>IF($AJ1179="","",IF($AJ1179=0,LN($F1179/$AK1179)/$AL1179,((($F1179/$AK1179)^$AJ1179)-1)/($AJ1179*$AL1179)))</f>
        <v/>
      </c>
      <c r="AN1179">
        <f>IF($AJ1179="","",IF($AJ1179=0,$AK1179*EXP($AL1179*2),$AK1179*(1+$AJ1179*$AL1179*2)^(1/$AJ1179)))</f>
        <v/>
      </c>
      <c r="AO1179">
        <f>IF($AJ1179="","",IF($AJ1179=0,$AK1179*EXP($AL1179*3),$AK1179*(1+$AJ1179*$AL1179*3)^(1/$AJ1179)))</f>
        <v/>
      </c>
      <c r="AP1179">
        <f>IF($AJ1179="","",IF($AJ1179=0,$AK1179*EXP($AL1179*-2),$AK1179*(1+$AJ1179*$AL1179*-2)^(1/$AJ1179)))</f>
        <v/>
      </c>
      <c r="AQ1179">
        <f>IF($AJ1179="","",IF($AJ1179=0,$AK1179*EXP($AL1179*-3),$AK1179*(1+$AJ1179*$AL1179*-3)^(1/$AJ1179)))</f>
        <v/>
      </c>
      <c r="AR1179">
        <f>IF(OR($X1179="",$T1179&gt;60),"",IFERROR(INDEX(IF($T1179&lt;24,pcomp_l,palt_l),MATCH($X1179,IF($T1179&lt;24,pcomp_k,palt_k),1)),""))</f>
        <v/>
      </c>
      <c r="AS1179">
        <f>IF(OR($X1179="",$T1179&gt;60),"",IFERROR(INDEX(IF($T1179&lt;24,pcomp_m,palt_m),MATCH($X1179,IF($T1179&lt;24,pcomp_k,palt_k),1)),""))</f>
        <v/>
      </c>
      <c r="AT1179">
        <f>IF(OR($X1179="",$T1179&gt;60),"",IFERROR(INDEX(IF($T1179&lt;24,pcomp_s,palt_s),MATCH($X1179,IF($T1179&lt;24,pcomp_k,palt_k),1)),""))</f>
        <v/>
      </c>
      <c r="AU1179">
        <f>IF($AR1179="","",IF($AR1179=0,LN($F1179/$AS1179)/$AT1179,((($F1179/$AS1179)^$AR1179)-1)/($AR1179*$AT1179)))</f>
        <v/>
      </c>
      <c r="AV1179">
        <f>IF($AR1179="","",IF($AR1179=0,$AS1179*EXP($AT1179*2),$AS1179*(1+$AR1179*$AT1179*2)^(1/$AR1179)))</f>
        <v/>
      </c>
      <c r="AW1179">
        <f>IF($AR1179="","",IF($AR1179=0,$AS1179*EXP($AT1179*3),$AS1179*(1+$AR1179*$AT1179*3)^(1/$AR1179)))</f>
        <v/>
      </c>
      <c r="AX1179">
        <f>IF($AR1179="","",IF($AR1179=0,$AS1179*EXP($AT1179*-2),$AS1179*(1+$AR1179*$AT1179*-2)^(1/$AR1179)))</f>
        <v/>
      </c>
      <c r="AY1179">
        <f>IF($AR1179="","",IF($AR1179=0,$AS1179*EXP($AT1179*-3),$AS1179*(1+$AR1179*$AT1179*-3)^(1/$AR1179)))</f>
        <v/>
      </c>
      <c r="AZ1179">
        <f>IF(OR($A1179="",$A1179&lt;&gt;Ficha!$C$4),"",COUNTIF($A$2:$A1179,Ficha!$C$4))</f>
        <v/>
      </c>
    </row>
    <row r="1180">
      <c r="A1180" s="8">
        <f>IF(INDEX(Banco!$A:$A,ROW())="","",INDEX(Banco!$A:$A,ROW()))</f>
        <v/>
      </c>
      <c r="B1180" s="8">
        <f>IF(INDEX(Banco!$B:$B,ROW())="","",INDEX(Banco!$B:$B,ROW()))</f>
        <v/>
      </c>
      <c r="C1180" s="8">
        <f>IF(INDEX(Banco!$C:$C,ROW())="","",INDEX(Banco!$C:$C,ROW()))</f>
        <v/>
      </c>
      <c r="D1180" s="9">
        <f>IF(INDEX(Banco!$D:$D,ROW())="","",INDEX(Banco!$D:$D,ROW()))</f>
        <v/>
      </c>
      <c r="E1180" s="9">
        <f>IF(INDEX(Banco!$E:$E,ROW())="","",INDEX(Banco!$E:$E,ROW()))</f>
        <v/>
      </c>
      <c r="F1180" s="10">
        <f>IF(INDEX(Banco!$F:$F,ROW())="","",INDEX(Banco!$F:$F,ROW()))</f>
        <v/>
      </c>
      <c r="G1180" s="10">
        <f>IF(INDEX(Banco!$G:$G,ROW())="","",INDEX(Banco!$G:$G,ROW()))</f>
        <v/>
      </c>
      <c r="H1180" s="8">
        <f>IF(INDEX(Banco!$H:$H,ROW())="","",INDEX(Banco!$H:$H,ROW()))</f>
        <v/>
      </c>
      <c r="I1180">
        <f>IF($T1180="","",INT($T1180/12)&amp;"a "&amp;MOD($T1180,12)&amp;"m")</f>
        <v/>
      </c>
      <c r="J1180" s="11">
        <f>IF(OR($F1180="",$G1180=""),"",ROUND($F1180/($G1180/100)^2,2))</f>
        <v/>
      </c>
      <c r="K1180" s="12">
        <f>IF(OR($S1180="",$J1180="",$T1180="",$T1180&lt;0,$T1180&gt;228,$Y1180=""),"—",ROUND(IF(ABS($AB1180)&lt;=3,$AB1180,IF($AB1180&gt;3,3+($J1180-$AD1180)/($AD1180-$AC1180),-3+($J1180-$AF1180)/($AE1180-$AF1180))),2))</f>
        <v/>
      </c>
      <c r="L1180">
        <f>IF(OR($K1180="",$K1180="—"),"",IF($T1180&lt;=60,IF($K1180&lt;-3,"Magreza acentuada",IF($K1180&lt;-2,"Magreza",IF($K1180&lt;=1,"Eutrofia",IF($K1180&lt;=2,"Risco de sobrepeso",IF($K1180&lt;=3,"Sobrepeso","Obesidade"))))),IF($K1180&lt;-3,"Magreza acentuada",IF($K1180&lt;-2,"Magreza",IF($K1180&lt;=1,"Eutrofia",IF($K1180&lt;=2,"Sobrepeso",IF($K1180&lt;=3,"Obesidade","Obesidade grave")))))))</f>
        <v/>
      </c>
      <c r="M1180" s="12">
        <f>IF(OR($S1180="",$V1180="",$T1180="",$T1180&lt;0,$T1180&gt;228,$AG1180=""),"—",ROUND(IF($AG1180=0,LN($V1180/$AH1180)/$AI1180,((($V1180/$AH1180)^$AG1180)-1)/($AG1180*$AI1180)),2))</f>
        <v/>
      </c>
      <c r="N1180">
        <f>IF(OR($M1180="",$M1180="—"),"",IF($M1180&lt;-3,"Muito baixa",IF($M1180&lt;-2,"Baixa","Adequada")))</f>
        <v/>
      </c>
      <c r="O1180" s="12">
        <f>IF(OR($S1180="",$F1180="",$T1180="",$T1180&lt;0,$T1180&gt;120,$AJ1180=""),"—",ROUND(IF(ABS($AM1180)&lt;=3,$AM1180,IF($AM1180&gt;3,3+($F1180-$AO1180)/($AO1180-$AN1180),-3+($F1180-$AQ1180)/($AP1180-$AQ1180))),2))</f>
        <v/>
      </c>
      <c r="P1180">
        <f>IF(OR($O1180="",$O1180="—"),"",IF($O1180&lt;-3,"Muito baixo",IF($O1180&lt;-2,"Baixo",IF($O1180&lt;=2,"Adequado","Elevado"))))</f>
        <v/>
      </c>
      <c r="Q1180" s="12">
        <f>IF(OR($S1180="",$F1180="",$T1180="",$T1180&lt;0,$T1180&gt;60,$AR1180=""),"—",ROUND(IF(ABS($AU1180)&lt;=3,$AU1180,IF($AU1180&gt;3,3+($F1180-$AW1180)/($AW1180-$AV1180),-3+($F1180-$AY1180)/($AX1180-$AY1180))),2))</f>
        <v/>
      </c>
      <c r="R1180">
        <f>IF(OR($Q1180="",$Q1180="—"),"",IF($Q1180&lt;-3,"Magreza acentuada",IF($Q1180&lt;-2,"Magreza",IF($Q1180&lt;=1,"Eutrofia",IF($Q1180&lt;=2,"Risco de sobrepeso",IF($Q1180&lt;=3,"Sobrepeso","Obesidade"))))))</f>
        <v/>
      </c>
      <c r="S1180">
        <f>IF($C1180="","",IF(UPPER(LEFT($C1180,1))="M",1,IF(UPPER(LEFT($C1180,1))="F",2,"")))</f>
        <v/>
      </c>
      <c r="T1180">
        <f>IF(OR($D1180="",$E1180=""),"",DATEDIF($D1180,$E1180,"m"))</f>
        <v/>
      </c>
      <c r="U1180">
        <f>IF(OR($D1180="",$E1180=""),"",$E1180-$D1180)</f>
        <v/>
      </c>
      <c r="V1180">
        <f>IF(OR($G1180="",$T1180=""),"",IF($T1180&lt;24,IF(LEFT(LOWER($H1180),4)="em p",$G1180+0.7,$G1180),IF(LEFT(LOWER($H1180),4)="deit",$G1180-0.7,$G1180)))</f>
        <v/>
      </c>
      <c r="W1180">
        <f>IF(OR($S1180="",$T1180=""),"",$S1180*1000000+IF($T1180&lt;=60,$U1180,$T1180))</f>
        <v/>
      </c>
      <c r="X1180">
        <f>IF(OR($S1180="",$V1180="",$T1180&gt;60,$T1180=""),"",$S1180*1000000+ROUND($V1180*10,0))</f>
        <v/>
      </c>
      <c r="Y1180">
        <f>IF($W1180="","",IFERROR(INDEX(IF($T1180&lt;=60,imc05_l,imc519_l),MATCH($W1180,IF($T1180&lt;=60,imc05_k,imc519_k),1)),""))</f>
        <v/>
      </c>
      <c r="Z1180">
        <f>IF($W1180="","",IFERROR(INDEX(IF($T1180&lt;=60,imc05_m,imc519_m),MATCH($W1180,IF($T1180&lt;=60,imc05_k,imc519_k),1)),""))</f>
        <v/>
      </c>
      <c r="AA1180">
        <f>IF($W1180="","",IFERROR(INDEX(IF($T1180&lt;=60,imc05_s,imc519_s),MATCH($W1180,IF($T1180&lt;=60,imc05_k,imc519_k),1)),""))</f>
        <v/>
      </c>
      <c r="AB1180">
        <f>IF($Y1180="","",IF($Y1180=0,LN($J1180/$Z1180)/$AA1180,((($J1180/$Z1180)^$Y1180)-1)/($Y1180*$AA1180)))</f>
        <v/>
      </c>
      <c r="AC1180">
        <f>IF($Y1180="","",IF($Y1180=0,$Z1180*EXP($AA1180*2),$Z1180*(1+$Y1180*$AA1180*2)^(1/$Y1180)))</f>
        <v/>
      </c>
      <c r="AD1180">
        <f>IF($Y1180="","",IF($Y1180=0,$Z1180*EXP($AA1180*3),$Z1180*(1+$Y1180*$AA1180*3)^(1/$Y1180)))</f>
        <v/>
      </c>
      <c r="AE1180">
        <f>IF($Y1180="","",IF($Y1180=0,$Z1180*EXP($AA1180*-2),$Z1180*(1+$Y1180*$AA1180*-2)^(1/$Y1180)))</f>
        <v/>
      </c>
      <c r="AF1180">
        <f>IF($Y1180="","",IF($Y1180=0,$Z1180*EXP($AA1180*-3),$Z1180*(1+$Y1180*$AA1180*-3)^(1/$Y1180)))</f>
        <v/>
      </c>
      <c r="AG1180">
        <f>IF($W1180="","",IFERROR(INDEX(IF($T1180&lt;=60,est05_l,est519_l),MATCH($W1180,IF($T1180&lt;=60,est05_k,est519_k),1)),""))</f>
        <v/>
      </c>
      <c r="AH1180">
        <f>IF($W1180="","",IFERROR(INDEX(IF($T1180&lt;=60,est05_m,est519_m),MATCH($W1180,IF($T1180&lt;=60,est05_k,est519_k),1)),""))</f>
        <v/>
      </c>
      <c r="AI1180">
        <f>IF($W1180="","",IFERROR(INDEX(IF($T1180&lt;=60,est05_s,est519_s),MATCH($W1180,IF($T1180&lt;=60,est05_k,est519_k),1)),""))</f>
        <v/>
      </c>
      <c r="AJ1180">
        <f>IF($W1180="","",IFERROR(INDEX(IF($T1180&lt;=60,peso05_l,peso510_l),MATCH($W1180,IF($T1180&lt;=60,peso05_k,peso510_k),1)),""))</f>
        <v/>
      </c>
      <c r="AK1180">
        <f>IF($W1180="","",IFERROR(INDEX(IF($T1180&lt;=60,peso05_m,peso510_m),MATCH($W1180,IF($T1180&lt;=60,peso05_k,peso510_k),1)),""))</f>
        <v/>
      </c>
      <c r="AL1180">
        <f>IF($W1180="","",IFERROR(INDEX(IF($T1180&lt;=60,peso05_s,peso510_s),MATCH($W1180,IF($T1180&lt;=60,peso05_k,peso510_k),1)),""))</f>
        <v/>
      </c>
      <c r="AM1180">
        <f>IF($AJ1180="","",IF($AJ1180=0,LN($F1180/$AK1180)/$AL1180,((($F1180/$AK1180)^$AJ1180)-1)/($AJ1180*$AL1180)))</f>
        <v/>
      </c>
      <c r="AN1180">
        <f>IF($AJ1180="","",IF($AJ1180=0,$AK1180*EXP($AL1180*2),$AK1180*(1+$AJ1180*$AL1180*2)^(1/$AJ1180)))</f>
        <v/>
      </c>
      <c r="AO1180">
        <f>IF($AJ1180="","",IF($AJ1180=0,$AK1180*EXP($AL1180*3),$AK1180*(1+$AJ1180*$AL1180*3)^(1/$AJ1180)))</f>
        <v/>
      </c>
      <c r="AP1180">
        <f>IF($AJ1180="","",IF($AJ1180=0,$AK1180*EXP($AL1180*-2),$AK1180*(1+$AJ1180*$AL1180*-2)^(1/$AJ1180)))</f>
        <v/>
      </c>
      <c r="AQ1180">
        <f>IF($AJ1180="","",IF($AJ1180=0,$AK1180*EXP($AL1180*-3),$AK1180*(1+$AJ1180*$AL1180*-3)^(1/$AJ1180)))</f>
        <v/>
      </c>
      <c r="AR1180">
        <f>IF(OR($X1180="",$T1180&gt;60),"",IFERROR(INDEX(IF($T1180&lt;24,pcomp_l,palt_l),MATCH($X1180,IF($T1180&lt;24,pcomp_k,palt_k),1)),""))</f>
        <v/>
      </c>
      <c r="AS1180">
        <f>IF(OR($X1180="",$T1180&gt;60),"",IFERROR(INDEX(IF($T1180&lt;24,pcomp_m,palt_m),MATCH($X1180,IF($T1180&lt;24,pcomp_k,palt_k),1)),""))</f>
        <v/>
      </c>
      <c r="AT1180">
        <f>IF(OR($X1180="",$T1180&gt;60),"",IFERROR(INDEX(IF($T1180&lt;24,pcomp_s,palt_s),MATCH($X1180,IF($T1180&lt;24,pcomp_k,palt_k),1)),""))</f>
        <v/>
      </c>
      <c r="AU1180">
        <f>IF($AR1180="","",IF($AR1180=0,LN($F1180/$AS1180)/$AT1180,((($F1180/$AS1180)^$AR1180)-1)/($AR1180*$AT1180)))</f>
        <v/>
      </c>
      <c r="AV1180">
        <f>IF($AR1180="","",IF($AR1180=0,$AS1180*EXP($AT1180*2),$AS1180*(1+$AR1180*$AT1180*2)^(1/$AR1180)))</f>
        <v/>
      </c>
      <c r="AW1180">
        <f>IF($AR1180="","",IF($AR1180=0,$AS1180*EXP($AT1180*3),$AS1180*(1+$AR1180*$AT1180*3)^(1/$AR1180)))</f>
        <v/>
      </c>
      <c r="AX1180">
        <f>IF($AR1180="","",IF($AR1180=0,$AS1180*EXP($AT1180*-2),$AS1180*(1+$AR1180*$AT1180*-2)^(1/$AR1180)))</f>
        <v/>
      </c>
      <c r="AY1180">
        <f>IF($AR1180="","",IF($AR1180=0,$AS1180*EXP($AT1180*-3),$AS1180*(1+$AR1180*$AT1180*-3)^(1/$AR1180)))</f>
        <v/>
      </c>
      <c r="AZ1180">
        <f>IF(OR($A1180="",$A1180&lt;&gt;Ficha!$C$4),"",COUNTIF($A$2:$A1180,Ficha!$C$4))</f>
        <v/>
      </c>
    </row>
    <row r="1181">
      <c r="A1181" s="8">
        <f>IF(INDEX(Banco!$A:$A,ROW())="","",INDEX(Banco!$A:$A,ROW()))</f>
        <v/>
      </c>
      <c r="B1181" s="8">
        <f>IF(INDEX(Banco!$B:$B,ROW())="","",INDEX(Banco!$B:$B,ROW()))</f>
        <v/>
      </c>
      <c r="C1181" s="8">
        <f>IF(INDEX(Banco!$C:$C,ROW())="","",INDEX(Banco!$C:$C,ROW()))</f>
        <v/>
      </c>
      <c r="D1181" s="9">
        <f>IF(INDEX(Banco!$D:$D,ROW())="","",INDEX(Banco!$D:$D,ROW()))</f>
        <v/>
      </c>
      <c r="E1181" s="9">
        <f>IF(INDEX(Banco!$E:$E,ROW())="","",INDEX(Banco!$E:$E,ROW()))</f>
        <v/>
      </c>
      <c r="F1181" s="10">
        <f>IF(INDEX(Banco!$F:$F,ROW())="","",INDEX(Banco!$F:$F,ROW()))</f>
        <v/>
      </c>
      <c r="G1181" s="10">
        <f>IF(INDEX(Banco!$G:$G,ROW())="","",INDEX(Banco!$G:$G,ROW()))</f>
        <v/>
      </c>
      <c r="H1181" s="8">
        <f>IF(INDEX(Banco!$H:$H,ROW())="","",INDEX(Banco!$H:$H,ROW()))</f>
        <v/>
      </c>
      <c r="I1181">
        <f>IF($T1181="","",INT($T1181/12)&amp;"a "&amp;MOD($T1181,12)&amp;"m")</f>
        <v/>
      </c>
      <c r="J1181" s="11">
        <f>IF(OR($F1181="",$G1181=""),"",ROUND($F1181/($G1181/100)^2,2))</f>
        <v/>
      </c>
      <c r="K1181" s="12">
        <f>IF(OR($S1181="",$J1181="",$T1181="",$T1181&lt;0,$T1181&gt;228,$Y1181=""),"—",ROUND(IF(ABS($AB1181)&lt;=3,$AB1181,IF($AB1181&gt;3,3+($J1181-$AD1181)/($AD1181-$AC1181),-3+($J1181-$AF1181)/($AE1181-$AF1181))),2))</f>
        <v/>
      </c>
      <c r="L1181">
        <f>IF(OR($K1181="",$K1181="—"),"",IF($T1181&lt;=60,IF($K1181&lt;-3,"Magreza acentuada",IF($K1181&lt;-2,"Magreza",IF($K1181&lt;=1,"Eutrofia",IF($K1181&lt;=2,"Risco de sobrepeso",IF($K1181&lt;=3,"Sobrepeso","Obesidade"))))),IF($K1181&lt;-3,"Magreza acentuada",IF($K1181&lt;-2,"Magreza",IF($K1181&lt;=1,"Eutrofia",IF($K1181&lt;=2,"Sobrepeso",IF($K1181&lt;=3,"Obesidade","Obesidade grave")))))))</f>
        <v/>
      </c>
      <c r="M1181" s="12">
        <f>IF(OR($S1181="",$V1181="",$T1181="",$T1181&lt;0,$T1181&gt;228,$AG1181=""),"—",ROUND(IF($AG1181=0,LN($V1181/$AH1181)/$AI1181,((($V1181/$AH1181)^$AG1181)-1)/($AG1181*$AI1181)),2))</f>
        <v/>
      </c>
      <c r="N1181">
        <f>IF(OR($M1181="",$M1181="—"),"",IF($M1181&lt;-3,"Muito baixa",IF($M1181&lt;-2,"Baixa","Adequada")))</f>
        <v/>
      </c>
      <c r="O1181" s="12">
        <f>IF(OR($S1181="",$F1181="",$T1181="",$T1181&lt;0,$T1181&gt;120,$AJ1181=""),"—",ROUND(IF(ABS($AM1181)&lt;=3,$AM1181,IF($AM1181&gt;3,3+($F1181-$AO1181)/($AO1181-$AN1181),-3+($F1181-$AQ1181)/($AP1181-$AQ1181))),2))</f>
        <v/>
      </c>
      <c r="P1181">
        <f>IF(OR($O1181="",$O1181="—"),"",IF($O1181&lt;-3,"Muito baixo",IF($O1181&lt;-2,"Baixo",IF($O1181&lt;=2,"Adequado","Elevado"))))</f>
        <v/>
      </c>
      <c r="Q1181" s="12">
        <f>IF(OR($S1181="",$F1181="",$T1181="",$T1181&lt;0,$T1181&gt;60,$AR1181=""),"—",ROUND(IF(ABS($AU1181)&lt;=3,$AU1181,IF($AU1181&gt;3,3+($F1181-$AW1181)/($AW1181-$AV1181),-3+($F1181-$AY1181)/($AX1181-$AY1181))),2))</f>
        <v/>
      </c>
      <c r="R1181">
        <f>IF(OR($Q1181="",$Q1181="—"),"",IF($Q1181&lt;-3,"Magreza acentuada",IF($Q1181&lt;-2,"Magreza",IF($Q1181&lt;=1,"Eutrofia",IF($Q1181&lt;=2,"Risco de sobrepeso",IF($Q1181&lt;=3,"Sobrepeso","Obesidade"))))))</f>
        <v/>
      </c>
      <c r="S1181">
        <f>IF($C1181="","",IF(UPPER(LEFT($C1181,1))="M",1,IF(UPPER(LEFT($C1181,1))="F",2,"")))</f>
        <v/>
      </c>
      <c r="T1181">
        <f>IF(OR($D1181="",$E1181=""),"",DATEDIF($D1181,$E1181,"m"))</f>
        <v/>
      </c>
      <c r="U1181">
        <f>IF(OR($D1181="",$E1181=""),"",$E1181-$D1181)</f>
        <v/>
      </c>
      <c r="V1181">
        <f>IF(OR($G1181="",$T1181=""),"",IF($T1181&lt;24,IF(LEFT(LOWER($H1181),4)="em p",$G1181+0.7,$G1181),IF(LEFT(LOWER($H1181),4)="deit",$G1181-0.7,$G1181)))</f>
        <v/>
      </c>
      <c r="W1181">
        <f>IF(OR($S1181="",$T1181=""),"",$S1181*1000000+IF($T1181&lt;=60,$U1181,$T1181))</f>
        <v/>
      </c>
      <c r="X1181">
        <f>IF(OR($S1181="",$V1181="",$T1181&gt;60,$T1181=""),"",$S1181*1000000+ROUND($V1181*10,0))</f>
        <v/>
      </c>
      <c r="Y1181">
        <f>IF($W1181="","",IFERROR(INDEX(IF($T1181&lt;=60,imc05_l,imc519_l),MATCH($W1181,IF($T1181&lt;=60,imc05_k,imc519_k),1)),""))</f>
        <v/>
      </c>
      <c r="Z1181">
        <f>IF($W1181="","",IFERROR(INDEX(IF($T1181&lt;=60,imc05_m,imc519_m),MATCH($W1181,IF($T1181&lt;=60,imc05_k,imc519_k),1)),""))</f>
        <v/>
      </c>
      <c r="AA1181">
        <f>IF($W1181="","",IFERROR(INDEX(IF($T1181&lt;=60,imc05_s,imc519_s),MATCH($W1181,IF($T1181&lt;=60,imc05_k,imc519_k),1)),""))</f>
        <v/>
      </c>
      <c r="AB1181">
        <f>IF($Y1181="","",IF($Y1181=0,LN($J1181/$Z1181)/$AA1181,((($J1181/$Z1181)^$Y1181)-1)/($Y1181*$AA1181)))</f>
        <v/>
      </c>
      <c r="AC1181">
        <f>IF($Y1181="","",IF($Y1181=0,$Z1181*EXP($AA1181*2),$Z1181*(1+$Y1181*$AA1181*2)^(1/$Y1181)))</f>
        <v/>
      </c>
      <c r="AD1181">
        <f>IF($Y1181="","",IF($Y1181=0,$Z1181*EXP($AA1181*3),$Z1181*(1+$Y1181*$AA1181*3)^(1/$Y1181)))</f>
        <v/>
      </c>
      <c r="AE1181">
        <f>IF($Y1181="","",IF($Y1181=0,$Z1181*EXP($AA1181*-2),$Z1181*(1+$Y1181*$AA1181*-2)^(1/$Y1181)))</f>
        <v/>
      </c>
      <c r="AF1181">
        <f>IF($Y1181="","",IF($Y1181=0,$Z1181*EXP($AA1181*-3),$Z1181*(1+$Y1181*$AA1181*-3)^(1/$Y1181)))</f>
        <v/>
      </c>
      <c r="AG1181">
        <f>IF($W1181="","",IFERROR(INDEX(IF($T1181&lt;=60,est05_l,est519_l),MATCH($W1181,IF($T1181&lt;=60,est05_k,est519_k),1)),""))</f>
        <v/>
      </c>
      <c r="AH1181">
        <f>IF($W1181="","",IFERROR(INDEX(IF($T1181&lt;=60,est05_m,est519_m),MATCH($W1181,IF($T1181&lt;=60,est05_k,est519_k),1)),""))</f>
        <v/>
      </c>
      <c r="AI1181">
        <f>IF($W1181="","",IFERROR(INDEX(IF($T1181&lt;=60,est05_s,est519_s),MATCH($W1181,IF($T1181&lt;=60,est05_k,est519_k),1)),""))</f>
        <v/>
      </c>
      <c r="AJ1181">
        <f>IF($W1181="","",IFERROR(INDEX(IF($T1181&lt;=60,peso05_l,peso510_l),MATCH($W1181,IF($T1181&lt;=60,peso05_k,peso510_k),1)),""))</f>
        <v/>
      </c>
      <c r="AK1181">
        <f>IF($W1181="","",IFERROR(INDEX(IF($T1181&lt;=60,peso05_m,peso510_m),MATCH($W1181,IF($T1181&lt;=60,peso05_k,peso510_k),1)),""))</f>
        <v/>
      </c>
      <c r="AL1181">
        <f>IF($W1181="","",IFERROR(INDEX(IF($T1181&lt;=60,peso05_s,peso510_s),MATCH($W1181,IF($T1181&lt;=60,peso05_k,peso510_k),1)),""))</f>
        <v/>
      </c>
      <c r="AM1181">
        <f>IF($AJ1181="","",IF($AJ1181=0,LN($F1181/$AK1181)/$AL1181,((($F1181/$AK1181)^$AJ1181)-1)/($AJ1181*$AL1181)))</f>
        <v/>
      </c>
      <c r="AN1181">
        <f>IF($AJ1181="","",IF($AJ1181=0,$AK1181*EXP($AL1181*2),$AK1181*(1+$AJ1181*$AL1181*2)^(1/$AJ1181)))</f>
        <v/>
      </c>
      <c r="AO1181">
        <f>IF($AJ1181="","",IF($AJ1181=0,$AK1181*EXP($AL1181*3),$AK1181*(1+$AJ1181*$AL1181*3)^(1/$AJ1181)))</f>
        <v/>
      </c>
      <c r="AP1181">
        <f>IF($AJ1181="","",IF($AJ1181=0,$AK1181*EXP($AL1181*-2),$AK1181*(1+$AJ1181*$AL1181*-2)^(1/$AJ1181)))</f>
        <v/>
      </c>
      <c r="AQ1181">
        <f>IF($AJ1181="","",IF($AJ1181=0,$AK1181*EXP($AL1181*-3),$AK1181*(1+$AJ1181*$AL1181*-3)^(1/$AJ1181)))</f>
        <v/>
      </c>
      <c r="AR1181">
        <f>IF(OR($X1181="",$T1181&gt;60),"",IFERROR(INDEX(IF($T1181&lt;24,pcomp_l,palt_l),MATCH($X1181,IF($T1181&lt;24,pcomp_k,palt_k),1)),""))</f>
        <v/>
      </c>
      <c r="AS1181">
        <f>IF(OR($X1181="",$T1181&gt;60),"",IFERROR(INDEX(IF($T1181&lt;24,pcomp_m,palt_m),MATCH($X1181,IF($T1181&lt;24,pcomp_k,palt_k),1)),""))</f>
        <v/>
      </c>
      <c r="AT1181">
        <f>IF(OR($X1181="",$T1181&gt;60),"",IFERROR(INDEX(IF($T1181&lt;24,pcomp_s,palt_s),MATCH($X1181,IF($T1181&lt;24,pcomp_k,palt_k),1)),""))</f>
        <v/>
      </c>
      <c r="AU1181">
        <f>IF($AR1181="","",IF($AR1181=0,LN($F1181/$AS1181)/$AT1181,((($F1181/$AS1181)^$AR1181)-1)/($AR1181*$AT1181)))</f>
        <v/>
      </c>
      <c r="AV1181">
        <f>IF($AR1181="","",IF($AR1181=0,$AS1181*EXP($AT1181*2),$AS1181*(1+$AR1181*$AT1181*2)^(1/$AR1181)))</f>
        <v/>
      </c>
      <c r="AW1181">
        <f>IF($AR1181="","",IF($AR1181=0,$AS1181*EXP($AT1181*3),$AS1181*(1+$AR1181*$AT1181*3)^(1/$AR1181)))</f>
        <v/>
      </c>
      <c r="AX1181">
        <f>IF($AR1181="","",IF($AR1181=0,$AS1181*EXP($AT1181*-2),$AS1181*(1+$AR1181*$AT1181*-2)^(1/$AR1181)))</f>
        <v/>
      </c>
      <c r="AY1181">
        <f>IF($AR1181="","",IF($AR1181=0,$AS1181*EXP($AT1181*-3),$AS1181*(1+$AR1181*$AT1181*-3)^(1/$AR1181)))</f>
        <v/>
      </c>
      <c r="AZ1181">
        <f>IF(OR($A1181="",$A1181&lt;&gt;Ficha!$C$4),"",COUNTIF($A$2:$A1181,Ficha!$C$4))</f>
        <v/>
      </c>
    </row>
    <row r="1182">
      <c r="A1182" s="8">
        <f>IF(INDEX(Banco!$A:$A,ROW())="","",INDEX(Banco!$A:$A,ROW()))</f>
        <v/>
      </c>
      <c r="B1182" s="8">
        <f>IF(INDEX(Banco!$B:$B,ROW())="","",INDEX(Banco!$B:$B,ROW()))</f>
        <v/>
      </c>
      <c r="C1182" s="8">
        <f>IF(INDEX(Banco!$C:$C,ROW())="","",INDEX(Banco!$C:$C,ROW()))</f>
        <v/>
      </c>
      <c r="D1182" s="9">
        <f>IF(INDEX(Banco!$D:$D,ROW())="","",INDEX(Banco!$D:$D,ROW()))</f>
        <v/>
      </c>
      <c r="E1182" s="9">
        <f>IF(INDEX(Banco!$E:$E,ROW())="","",INDEX(Banco!$E:$E,ROW()))</f>
        <v/>
      </c>
      <c r="F1182" s="10">
        <f>IF(INDEX(Banco!$F:$F,ROW())="","",INDEX(Banco!$F:$F,ROW()))</f>
        <v/>
      </c>
      <c r="G1182" s="10">
        <f>IF(INDEX(Banco!$G:$G,ROW())="","",INDEX(Banco!$G:$G,ROW()))</f>
        <v/>
      </c>
      <c r="H1182" s="8">
        <f>IF(INDEX(Banco!$H:$H,ROW())="","",INDEX(Banco!$H:$H,ROW()))</f>
        <v/>
      </c>
      <c r="I1182">
        <f>IF($T1182="","",INT($T1182/12)&amp;"a "&amp;MOD($T1182,12)&amp;"m")</f>
        <v/>
      </c>
      <c r="J1182" s="11">
        <f>IF(OR($F1182="",$G1182=""),"",ROUND($F1182/($G1182/100)^2,2))</f>
        <v/>
      </c>
      <c r="K1182" s="12">
        <f>IF(OR($S1182="",$J1182="",$T1182="",$T1182&lt;0,$T1182&gt;228,$Y1182=""),"—",ROUND(IF(ABS($AB1182)&lt;=3,$AB1182,IF($AB1182&gt;3,3+($J1182-$AD1182)/($AD1182-$AC1182),-3+($J1182-$AF1182)/($AE1182-$AF1182))),2))</f>
        <v/>
      </c>
      <c r="L1182">
        <f>IF(OR($K1182="",$K1182="—"),"",IF($T1182&lt;=60,IF($K1182&lt;-3,"Magreza acentuada",IF($K1182&lt;-2,"Magreza",IF($K1182&lt;=1,"Eutrofia",IF($K1182&lt;=2,"Risco de sobrepeso",IF($K1182&lt;=3,"Sobrepeso","Obesidade"))))),IF($K1182&lt;-3,"Magreza acentuada",IF($K1182&lt;-2,"Magreza",IF($K1182&lt;=1,"Eutrofia",IF($K1182&lt;=2,"Sobrepeso",IF($K1182&lt;=3,"Obesidade","Obesidade grave")))))))</f>
        <v/>
      </c>
      <c r="M1182" s="12">
        <f>IF(OR($S1182="",$V1182="",$T1182="",$T1182&lt;0,$T1182&gt;228,$AG1182=""),"—",ROUND(IF($AG1182=0,LN($V1182/$AH1182)/$AI1182,((($V1182/$AH1182)^$AG1182)-1)/($AG1182*$AI1182)),2))</f>
        <v/>
      </c>
      <c r="N1182">
        <f>IF(OR($M1182="",$M1182="—"),"",IF($M1182&lt;-3,"Muito baixa",IF($M1182&lt;-2,"Baixa","Adequada")))</f>
        <v/>
      </c>
      <c r="O1182" s="12">
        <f>IF(OR($S1182="",$F1182="",$T1182="",$T1182&lt;0,$T1182&gt;120,$AJ1182=""),"—",ROUND(IF(ABS($AM1182)&lt;=3,$AM1182,IF($AM1182&gt;3,3+($F1182-$AO1182)/($AO1182-$AN1182),-3+($F1182-$AQ1182)/($AP1182-$AQ1182))),2))</f>
        <v/>
      </c>
      <c r="P1182">
        <f>IF(OR($O1182="",$O1182="—"),"",IF($O1182&lt;-3,"Muito baixo",IF($O1182&lt;-2,"Baixo",IF($O1182&lt;=2,"Adequado","Elevado"))))</f>
        <v/>
      </c>
      <c r="Q1182" s="12">
        <f>IF(OR($S1182="",$F1182="",$T1182="",$T1182&lt;0,$T1182&gt;60,$AR1182=""),"—",ROUND(IF(ABS($AU1182)&lt;=3,$AU1182,IF($AU1182&gt;3,3+($F1182-$AW1182)/($AW1182-$AV1182),-3+($F1182-$AY1182)/($AX1182-$AY1182))),2))</f>
        <v/>
      </c>
      <c r="R1182">
        <f>IF(OR($Q1182="",$Q1182="—"),"",IF($Q1182&lt;-3,"Magreza acentuada",IF($Q1182&lt;-2,"Magreza",IF($Q1182&lt;=1,"Eutrofia",IF($Q1182&lt;=2,"Risco de sobrepeso",IF($Q1182&lt;=3,"Sobrepeso","Obesidade"))))))</f>
        <v/>
      </c>
      <c r="S1182">
        <f>IF($C1182="","",IF(UPPER(LEFT($C1182,1))="M",1,IF(UPPER(LEFT($C1182,1))="F",2,"")))</f>
        <v/>
      </c>
      <c r="T1182">
        <f>IF(OR($D1182="",$E1182=""),"",DATEDIF($D1182,$E1182,"m"))</f>
        <v/>
      </c>
      <c r="U1182">
        <f>IF(OR($D1182="",$E1182=""),"",$E1182-$D1182)</f>
        <v/>
      </c>
      <c r="V1182">
        <f>IF(OR($G1182="",$T1182=""),"",IF($T1182&lt;24,IF(LEFT(LOWER($H1182),4)="em p",$G1182+0.7,$G1182),IF(LEFT(LOWER($H1182),4)="deit",$G1182-0.7,$G1182)))</f>
        <v/>
      </c>
      <c r="W1182">
        <f>IF(OR($S1182="",$T1182=""),"",$S1182*1000000+IF($T1182&lt;=60,$U1182,$T1182))</f>
        <v/>
      </c>
      <c r="X1182">
        <f>IF(OR($S1182="",$V1182="",$T1182&gt;60,$T1182=""),"",$S1182*1000000+ROUND($V1182*10,0))</f>
        <v/>
      </c>
      <c r="Y1182">
        <f>IF($W1182="","",IFERROR(INDEX(IF($T1182&lt;=60,imc05_l,imc519_l),MATCH($W1182,IF($T1182&lt;=60,imc05_k,imc519_k),1)),""))</f>
        <v/>
      </c>
      <c r="Z1182">
        <f>IF($W1182="","",IFERROR(INDEX(IF($T1182&lt;=60,imc05_m,imc519_m),MATCH($W1182,IF($T1182&lt;=60,imc05_k,imc519_k),1)),""))</f>
        <v/>
      </c>
      <c r="AA1182">
        <f>IF($W1182="","",IFERROR(INDEX(IF($T1182&lt;=60,imc05_s,imc519_s),MATCH($W1182,IF($T1182&lt;=60,imc05_k,imc519_k),1)),""))</f>
        <v/>
      </c>
      <c r="AB1182">
        <f>IF($Y1182="","",IF($Y1182=0,LN($J1182/$Z1182)/$AA1182,((($J1182/$Z1182)^$Y1182)-1)/($Y1182*$AA1182)))</f>
        <v/>
      </c>
      <c r="AC1182">
        <f>IF($Y1182="","",IF($Y1182=0,$Z1182*EXP($AA1182*2),$Z1182*(1+$Y1182*$AA1182*2)^(1/$Y1182)))</f>
        <v/>
      </c>
      <c r="AD1182">
        <f>IF($Y1182="","",IF($Y1182=0,$Z1182*EXP($AA1182*3),$Z1182*(1+$Y1182*$AA1182*3)^(1/$Y1182)))</f>
        <v/>
      </c>
      <c r="AE1182">
        <f>IF($Y1182="","",IF($Y1182=0,$Z1182*EXP($AA1182*-2),$Z1182*(1+$Y1182*$AA1182*-2)^(1/$Y1182)))</f>
        <v/>
      </c>
      <c r="AF1182">
        <f>IF($Y1182="","",IF($Y1182=0,$Z1182*EXP($AA1182*-3),$Z1182*(1+$Y1182*$AA1182*-3)^(1/$Y1182)))</f>
        <v/>
      </c>
      <c r="AG1182">
        <f>IF($W1182="","",IFERROR(INDEX(IF($T1182&lt;=60,est05_l,est519_l),MATCH($W1182,IF($T1182&lt;=60,est05_k,est519_k),1)),""))</f>
        <v/>
      </c>
      <c r="AH1182">
        <f>IF($W1182="","",IFERROR(INDEX(IF($T1182&lt;=60,est05_m,est519_m),MATCH($W1182,IF($T1182&lt;=60,est05_k,est519_k),1)),""))</f>
        <v/>
      </c>
      <c r="AI1182">
        <f>IF($W1182="","",IFERROR(INDEX(IF($T1182&lt;=60,est05_s,est519_s),MATCH($W1182,IF($T1182&lt;=60,est05_k,est519_k),1)),""))</f>
        <v/>
      </c>
      <c r="AJ1182">
        <f>IF($W1182="","",IFERROR(INDEX(IF($T1182&lt;=60,peso05_l,peso510_l),MATCH($W1182,IF($T1182&lt;=60,peso05_k,peso510_k),1)),""))</f>
        <v/>
      </c>
      <c r="AK1182">
        <f>IF($W1182="","",IFERROR(INDEX(IF($T1182&lt;=60,peso05_m,peso510_m),MATCH($W1182,IF($T1182&lt;=60,peso05_k,peso510_k),1)),""))</f>
        <v/>
      </c>
      <c r="AL1182">
        <f>IF($W1182="","",IFERROR(INDEX(IF($T1182&lt;=60,peso05_s,peso510_s),MATCH($W1182,IF($T1182&lt;=60,peso05_k,peso510_k),1)),""))</f>
        <v/>
      </c>
      <c r="AM1182">
        <f>IF($AJ1182="","",IF($AJ1182=0,LN($F1182/$AK1182)/$AL1182,((($F1182/$AK1182)^$AJ1182)-1)/($AJ1182*$AL1182)))</f>
        <v/>
      </c>
      <c r="AN1182">
        <f>IF($AJ1182="","",IF($AJ1182=0,$AK1182*EXP($AL1182*2),$AK1182*(1+$AJ1182*$AL1182*2)^(1/$AJ1182)))</f>
        <v/>
      </c>
      <c r="AO1182">
        <f>IF($AJ1182="","",IF($AJ1182=0,$AK1182*EXP($AL1182*3),$AK1182*(1+$AJ1182*$AL1182*3)^(1/$AJ1182)))</f>
        <v/>
      </c>
      <c r="AP1182">
        <f>IF($AJ1182="","",IF($AJ1182=0,$AK1182*EXP($AL1182*-2),$AK1182*(1+$AJ1182*$AL1182*-2)^(1/$AJ1182)))</f>
        <v/>
      </c>
      <c r="AQ1182">
        <f>IF($AJ1182="","",IF($AJ1182=0,$AK1182*EXP($AL1182*-3),$AK1182*(1+$AJ1182*$AL1182*-3)^(1/$AJ1182)))</f>
        <v/>
      </c>
      <c r="AR1182">
        <f>IF(OR($X1182="",$T1182&gt;60),"",IFERROR(INDEX(IF($T1182&lt;24,pcomp_l,palt_l),MATCH($X1182,IF($T1182&lt;24,pcomp_k,palt_k),1)),""))</f>
        <v/>
      </c>
      <c r="AS1182">
        <f>IF(OR($X1182="",$T1182&gt;60),"",IFERROR(INDEX(IF($T1182&lt;24,pcomp_m,palt_m),MATCH($X1182,IF($T1182&lt;24,pcomp_k,palt_k),1)),""))</f>
        <v/>
      </c>
      <c r="AT1182">
        <f>IF(OR($X1182="",$T1182&gt;60),"",IFERROR(INDEX(IF($T1182&lt;24,pcomp_s,palt_s),MATCH($X1182,IF($T1182&lt;24,pcomp_k,palt_k),1)),""))</f>
        <v/>
      </c>
      <c r="AU1182">
        <f>IF($AR1182="","",IF($AR1182=0,LN($F1182/$AS1182)/$AT1182,((($F1182/$AS1182)^$AR1182)-1)/($AR1182*$AT1182)))</f>
        <v/>
      </c>
      <c r="AV1182">
        <f>IF($AR1182="","",IF($AR1182=0,$AS1182*EXP($AT1182*2),$AS1182*(1+$AR1182*$AT1182*2)^(1/$AR1182)))</f>
        <v/>
      </c>
      <c r="AW1182">
        <f>IF($AR1182="","",IF($AR1182=0,$AS1182*EXP($AT1182*3),$AS1182*(1+$AR1182*$AT1182*3)^(1/$AR1182)))</f>
        <v/>
      </c>
      <c r="AX1182">
        <f>IF($AR1182="","",IF($AR1182=0,$AS1182*EXP($AT1182*-2),$AS1182*(1+$AR1182*$AT1182*-2)^(1/$AR1182)))</f>
        <v/>
      </c>
      <c r="AY1182">
        <f>IF($AR1182="","",IF($AR1182=0,$AS1182*EXP($AT1182*-3),$AS1182*(1+$AR1182*$AT1182*-3)^(1/$AR1182)))</f>
        <v/>
      </c>
      <c r="AZ1182">
        <f>IF(OR($A1182="",$A1182&lt;&gt;Ficha!$C$4),"",COUNTIF($A$2:$A1182,Ficha!$C$4))</f>
        <v/>
      </c>
    </row>
    <row r="1183">
      <c r="A1183" s="8">
        <f>IF(INDEX(Banco!$A:$A,ROW())="","",INDEX(Banco!$A:$A,ROW()))</f>
        <v/>
      </c>
      <c r="B1183" s="8">
        <f>IF(INDEX(Banco!$B:$B,ROW())="","",INDEX(Banco!$B:$B,ROW()))</f>
        <v/>
      </c>
      <c r="C1183" s="8">
        <f>IF(INDEX(Banco!$C:$C,ROW())="","",INDEX(Banco!$C:$C,ROW()))</f>
        <v/>
      </c>
      <c r="D1183" s="9">
        <f>IF(INDEX(Banco!$D:$D,ROW())="","",INDEX(Banco!$D:$D,ROW()))</f>
        <v/>
      </c>
      <c r="E1183" s="9">
        <f>IF(INDEX(Banco!$E:$E,ROW())="","",INDEX(Banco!$E:$E,ROW()))</f>
        <v/>
      </c>
      <c r="F1183" s="10">
        <f>IF(INDEX(Banco!$F:$F,ROW())="","",INDEX(Banco!$F:$F,ROW()))</f>
        <v/>
      </c>
      <c r="G1183" s="10">
        <f>IF(INDEX(Banco!$G:$G,ROW())="","",INDEX(Banco!$G:$G,ROW()))</f>
        <v/>
      </c>
      <c r="H1183" s="8">
        <f>IF(INDEX(Banco!$H:$H,ROW())="","",INDEX(Banco!$H:$H,ROW()))</f>
        <v/>
      </c>
      <c r="I1183">
        <f>IF($T1183="","",INT($T1183/12)&amp;"a "&amp;MOD($T1183,12)&amp;"m")</f>
        <v/>
      </c>
      <c r="J1183" s="11">
        <f>IF(OR($F1183="",$G1183=""),"",ROUND($F1183/($G1183/100)^2,2))</f>
        <v/>
      </c>
      <c r="K1183" s="12">
        <f>IF(OR($S1183="",$J1183="",$T1183="",$T1183&lt;0,$T1183&gt;228,$Y1183=""),"—",ROUND(IF(ABS($AB1183)&lt;=3,$AB1183,IF($AB1183&gt;3,3+($J1183-$AD1183)/($AD1183-$AC1183),-3+($J1183-$AF1183)/($AE1183-$AF1183))),2))</f>
        <v/>
      </c>
      <c r="L1183">
        <f>IF(OR($K1183="",$K1183="—"),"",IF($T1183&lt;=60,IF($K1183&lt;-3,"Magreza acentuada",IF($K1183&lt;-2,"Magreza",IF($K1183&lt;=1,"Eutrofia",IF($K1183&lt;=2,"Risco de sobrepeso",IF($K1183&lt;=3,"Sobrepeso","Obesidade"))))),IF($K1183&lt;-3,"Magreza acentuada",IF($K1183&lt;-2,"Magreza",IF($K1183&lt;=1,"Eutrofia",IF($K1183&lt;=2,"Sobrepeso",IF($K1183&lt;=3,"Obesidade","Obesidade grave")))))))</f>
        <v/>
      </c>
      <c r="M1183" s="12">
        <f>IF(OR($S1183="",$V1183="",$T1183="",$T1183&lt;0,$T1183&gt;228,$AG1183=""),"—",ROUND(IF($AG1183=0,LN($V1183/$AH1183)/$AI1183,((($V1183/$AH1183)^$AG1183)-1)/($AG1183*$AI1183)),2))</f>
        <v/>
      </c>
      <c r="N1183">
        <f>IF(OR($M1183="",$M1183="—"),"",IF($M1183&lt;-3,"Muito baixa",IF($M1183&lt;-2,"Baixa","Adequada")))</f>
        <v/>
      </c>
      <c r="O1183" s="12">
        <f>IF(OR($S1183="",$F1183="",$T1183="",$T1183&lt;0,$T1183&gt;120,$AJ1183=""),"—",ROUND(IF(ABS($AM1183)&lt;=3,$AM1183,IF($AM1183&gt;3,3+($F1183-$AO1183)/($AO1183-$AN1183),-3+($F1183-$AQ1183)/($AP1183-$AQ1183))),2))</f>
        <v/>
      </c>
      <c r="P1183">
        <f>IF(OR($O1183="",$O1183="—"),"",IF($O1183&lt;-3,"Muito baixo",IF($O1183&lt;-2,"Baixo",IF($O1183&lt;=2,"Adequado","Elevado"))))</f>
        <v/>
      </c>
      <c r="Q1183" s="12">
        <f>IF(OR($S1183="",$F1183="",$T1183="",$T1183&lt;0,$T1183&gt;60,$AR1183=""),"—",ROUND(IF(ABS($AU1183)&lt;=3,$AU1183,IF($AU1183&gt;3,3+($F1183-$AW1183)/($AW1183-$AV1183),-3+($F1183-$AY1183)/($AX1183-$AY1183))),2))</f>
        <v/>
      </c>
      <c r="R1183">
        <f>IF(OR($Q1183="",$Q1183="—"),"",IF($Q1183&lt;-3,"Magreza acentuada",IF($Q1183&lt;-2,"Magreza",IF($Q1183&lt;=1,"Eutrofia",IF($Q1183&lt;=2,"Risco de sobrepeso",IF($Q1183&lt;=3,"Sobrepeso","Obesidade"))))))</f>
        <v/>
      </c>
      <c r="S1183">
        <f>IF($C1183="","",IF(UPPER(LEFT($C1183,1))="M",1,IF(UPPER(LEFT($C1183,1))="F",2,"")))</f>
        <v/>
      </c>
      <c r="T1183">
        <f>IF(OR($D1183="",$E1183=""),"",DATEDIF($D1183,$E1183,"m"))</f>
        <v/>
      </c>
      <c r="U1183">
        <f>IF(OR($D1183="",$E1183=""),"",$E1183-$D1183)</f>
        <v/>
      </c>
      <c r="V1183">
        <f>IF(OR($G1183="",$T1183=""),"",IF($T1183&lt;24,IF(LEFT(LOWER($H1183),4)="em p",$G1183+0.7,$G1183),IF(LEFT(LOWER($H1183),4)="deit",$G1183-0.7,$G1183)))</f>
        <v/>
      </c>
      <c r="W1183">
        <f>IF(OR($S1183="",$T1183=""),"",$S1183*1000000+IF($T1183&lt;=60,$U1183,$T1183))</f>
        <v/>
      </c>
      <c r="X1183">
        <f>IF(OR($S1183="",$V1183="",$T1183&gt;60,$T1183=""),"",$S1183*1000000+ROUND($V1183*10,0))</f>
        <v/>
      </c>
      <c r="Y1183">
        <f>IF($W1183="","",IFERROR(INDEX(IF($T1183&lt;=60,imc05_l,imc519_l),MATCH($W1183,IF($T1183&lt;=60,imc05_k,imc519_k),1)),""))</f>
        <v/>
      </c>
      <c r="Z1183">
        <f>IF($W1183="","",IFERROR(INDEX(IF($T1183&lt;=60,imc05_m,imc519_m),MATCH($W1183,IF($T1183&lt;=60,imc05_k,imc519_k),1)),""))</f>
        <v/>
      </c>
      <c r="AA1183">
        <f>IF($W1183="","",IFERROR(INDEX(IF($T1183&lt;=60,imc05_s,imc519_s),MATCH($W1183,IF($T1183&lt;=60,imc05_k,imc519_k),1)),""))</f>
        <v/>
      </c>
      <c r="AB1183">
        <f>IF($Y1183="","",IF($Y1183=0,LN($J1183/$Z1183)/$AA1183,((($J1183/$Z1183)^$Y1183)-1)/($Y1183*$AA1183)))</f>
        <v/>
      </c>
      <c r="AC1183">
        <f>IF($Y1183="","",IF($Y1183=0,$Z1183*EXP($AA1183*2),$Z1183*(1+$Y1183*$AA1183*2)^(1/$Y1183)))</f>
        <v/>
      </c>
      <c r="AD1183">
        <f>IF($Y1183="","",IF($Y1183=0,$Z1183*EXP($AA1183*3),$Z1183*(1+$Y1183*$AA1183*3)^(1/$Y1183)))</f>
        <v/>
      </c>
      <c r="AE1183">
        <f>IF($Y1183="","",IF($Y1183=0,$Z1183*EXP($AA1183*-2),$Z1183*(1+$Y1183*$AA1183*-2)^(1/$Y1183)))</f>
        <v/>
      </c>
      <c r="AF1183">
        <f>IF($Y1183="","",IF($Y1183=0,$Z1183*EXP($AA1183*-3),$Z1183*(1+$Y1183*$AA1183*-3)^(1/$Y1183)))</f>
        <v/>
      </c>
      <c r="AG1183">
        <f>IF($W1183="","",IFERROR(INDEX(IF($T1183&lt;=60,est05_l,est519_l),MATCH($W1183,IF($T1183&lt;=60,est05_k,est519_k),1)),""))</f>
        <v/>
      </c>
      <c r="AH1183">
        <f>IF($W1183="","",IFERROR(INDEX(IF($T1183&lt;=60,est05_m,est519_m),MATCH($W1183,IF($T1183&lt;=60,est05_k,est519_k),1)),""))</f>
        <v/>
      </c>
      <c r="AI1183">
        <f>IF($W1183="","",IFERROR(INDEX(IF($T1183&lt;=60,est05_s,est519_s),MATCH($W1183,IF($T1183&lt;=60,est05_k,est519_k),1)),""))</f>
        <v/>
      </c>
      <c r="AJ1183">
        <f>IF($W1183="","",IFERROR(INDEX(IF($T1183&lt;=60,peso05_l,peso510_l),MATCH($W1183,IF($T1183&lt;=60,peso05_k,peso510_k),1)),""))</f>
        <v/>
      </c>
      <c r="AK1183">
        <f>IF($W1183="","",IFERROR(INDEX(IF($T1183&lt;=60,peso05_m,peso510_m),MATCH($W1183,IF($T1183&lt;=60,peso05_k,peso510_k),1)),""))</f>
        <v/>
      </c>
      <c r="AL1183">
        <f>IF($W1183="","",IFERROR(INDEX(IF($T1183&lt;=60,peso05_s,peso510_s),MATCH($W1183,IF($T1183&lt;=60,peso05_k,peso510_k),1)),""))</f>
        <v/>
      </c>
      <c r="AM1183">
        <f>IF($AJ1183="","",IF($AJ1183=0,LN($F1183/$AK1183)/$AL1183,((($F1183/$AK1183)^$AJ1183)-1)/($AJ1183*$AL1183)))</f>
        <v/>
      </c>
      <c r="AN1183">
        <f>IF($AJ1183="","",IF($AJ1183=0,$AK1183*EXP($AL1183*2),$AK1183*(1+$AJ1183*$AL1183*2)^(1/$AJ1183)))</f>
        <v/>
      </c>
      <c r="AO1183">
        <f>IF($AJ1183="","",IF($AJ1183=0,$AK1183*EXP($AL1183*3),$AK1183*(1+$AJ1183*$AL1183*3)^(1/$AJ1183)))</f>
        <v/>
      </c>
      <c r="AP1183">
        <f>IF($AJ1183="","",IF($AJ1183=0,$AK1183*EXP($AL1183*-2),$AK1183*(1+$AJ1183*$AL1183*-2)^(1/$AJ1183)))</f>
        <v/>
      </c>
      <c r="AQ1183">
        <f>IF($AJ1183="","",IF($AJ1183=0,$AK1183*EXP($AL1183*-3),$AK1183*(1+$AJ1183*$AL1183*-3)^(1/$AJ1183)))</f>
        <v/>
      </c>
      <c r="AR1183">
        <f>IF(OR($X1183="",$T1183&gt;60),"",IFERROR(INDEX(IF($T1183&lt;24,pcomp_l,palt_l),MATCH($X1183,IF($T1183&lt;24,pcomp_k,palt_k),1)),""))</f>
        <v/>
      </c>
      <c r="AS1183">
        <f>IF(OR($X1183="",$T1183&gt;60),"",IFERROR(INDEX(IF($T1183&lt;24,pcomp_m,palt_m),MATCH($X1183,IF($T1183&lt;24,pcomp_k,palt_k),1)),""))</f>
        <v/>
      </c>
      <c r="AT1183">
        <f>IF(OR($X1183="",$T1183&gt;60),"",IFERROR(INDEX(IF($T1183&lt;24,pcomp_s,palt_s),MATCH($X1183,IF($T1183&lt;24,pcomp_k,palt_k),1)),""))</f>
        <v/>
      </c>
      <c r="AU1183">
        <f>IF($AR1183="","",IF($AR1183=0,LN($F1183/$AS1183)/$AT1183,((($F1183/$AS1183)^$AR1183)-1)/($AR1183*$AT1183)))</f>
        <v/>
      </c>
      <c r="AV1183">
        <f>IF($AR1183="","",IF($AR1183=0,$AS1183*EXP($AT1183*2),$AS1183*(1+$AR1183*$AT1183*2)^(1/$AR1183)))</f>
        <v/>
      </c>
      <c r="AW1183">
        <f>IF($AR1183="","",IF($AR1183=0,$AS1183*EXP($AT1183*3),$AS1183*(1+$AR1183*$AT1183*3)^(1/$AR1183)))</f>
        <v/>
      </c>
      <c r="AX1183">
        <f>IF($AR1183="","",IF($AR1183=0,$AS1183*EXP($AT1183*-2),$AS1183*(1+$AR1183*$AT1183*-2)^(1/$AR1183)))</f>
        <v/>
      </c>
      <c r="AY1183">
        <f>IF($AR1183="","",IF($AR1183=0,$AS1183*EXP($AT1183*-3),$AS1183*(1+$AR1183*$AT1183*-3)^(1/$AR1183)))</f>
        <v/>
      </c>
      <c r="AZ1183">
        <f>IF(OR($A1183="",$A1183&lt;&gt;Ficha!$C$4),"",COUNTIF($A$2:$A1183,Ficha!$C$4))</f>
        <v/>
      </c>
    </row>
    <row r="1184">
      <c r="A1184" s="8">
        <f>IF(INDEX(Banco!$A:$A,ROW())="","",INDEX(Banco!$A:$A,ROW()))</f>
        <v/>
      </c>
      <c r="B1184" s="8">
        <f>IF(INDEX(Banco!$B:$B,ROW())="","",INDEX(Banco!$B:$B,ROW()))</f>
        <v/>
      </c>
      <c r="C1184" s="8">
        <f>IF(INDEX(Banco!$C:$C,ROW())="","",INDEX(Banco!$C:$C,ROW()))</f>
        <v/>
      </c>
      <c r="D1184" s="9">
        <f>IF(INDEX(Banco!$D:$D,ROW())="","",INDEX(Banco!$D:$D,ROW()))</f>
        <v/>
      </c>
      <c r="E1184" s="9">
        <f>IF(INDEX(Banco!$E:$E,ROW())="","",INDEX(Banco!$E:$E,ROW()))</f>
        <v/>
      </c>
      <c r="F1184" s="10">
        <f>IF(INDEX(Banco!$F:$F,ROW())="","",INDEX(Banco!$F:$F,ROW()))</f>
        <v/>
      </c>
      <c r="G1184" s="10">
        <f>IF(INDEX(Banco!$G:$G,ROW())="","",INDEX(Banco!$G:$G,ROW()))</f>
        <v/>
      </c>
      <c r="H1184" s="8">
        <f>IF(INDEX(Banco!$H:$H,ROW())="","",INDEX(Banco!$H:$H,ROW()))</f>
        <v/>
      </c>
      <c r="I1184">
        <f>IF($T1184="","",INT($T1184/12)&amp;"a "&amp;MOD($T1184,12)&amp;"m")</f>
        <v/>
      </c>
      <c r="J1184" s="11">
        <f>IF(OR($F1184="",$G1184=""),"",ROUND($F1184/($G1184/100)^2,2))</f>
        <v/>
      </c>
      <c r="K1184" s="12">
        <f>IF(OR($S1184="",$J1184="",$T1184="",$T1184&lt;0,$T1184&gt;228,$Y1184=""),"—",ROUND(IF(ABS($AB1184)&lt;=3,$AB1184,IF($AB1184&gt;3,3+($J1184-$AD1184)/($AD1184-$AC1184),-3+($J1184-$AF1184)/($AE1184-$AF1184))),2))</f>
        <v/>
      </c>
      <c r="L1184">
        <f>IF(OR($K1184="",$K1184="—"),"",IF($T1184&lt;=60,IF($K1184&lt;-3,"Magreza acentuada",IF($K1184&lt;-2,"Magreza",IF($K1184&lt;=1,"Eutrofia",IF($K1184&lt;=2,"Risco de sobrepeso",IF($K1184&lt;=3,"Sobrepeso","Obesidade"))))),IF($K1184&lt;-3,"Magreza acentuada",IF($K1184&lt;-2,"Magreza",IF($K1184&lt;=1,"Eutrofia",IF($K1184&lt;=2,"Sobrepeso",IF($K1184&lt;=3,"Obesidade","Obesidade grave")))))))</f>
        <v/>
      </c>
      <c r="M1184" s="12">
        <f>IF(OR($S1184="",$V1184="",$T1184="",$T1184&lt;0,$T1184&gt;228,$AG1184=""),"—",ROUND(IF($AG1184=0,LN($V1184/$AH1184)/$AI1184,((($V1184/$AH1184)^$AG1184)-1)/($AG1184*$AI1184)),2))</f>
        <v/>
      </c>
      <c r="N1184">
        <f>IF(OR($M1184="",$M1184="—"),"",IF($M1184&lt;-3,"Muito baixa",IF($M1184&lt;-2,"Baixa","Adequada")))</f>
        <v/>
      </c>
      <c r="O1184" s="12">
        <f>IF(OR($S1184="",$F1184="",$T1184="",$T1184&lt;0,$T1184&gt;120,$AJ1184=""),"—",ROUND(IF(ABS($AM1184)&lt;=3,$AM1184,IF($AM1184&gt;3,3+($F1184-$AO1184)/($AO1184-$AN1184),-3+($F1184-$AQ1184)/($AP1184-$AQ1184))),2))</f>
        <v/>
      </c>
      <c r="P1184">
        <f>IF(OR($O1184="",$O1184="—"),"",IF($O1184&lt;-3,"Muito baixo",IF($O1184&lt;-2,"Baixo",IF($O1184&lt;=2,"Adequado","Elevado"))))</f>
        <v/>
      </c>
      <c r="Q1184" s="12">
        <f>IF(OR($S1184="",$F1184="",$T1184="",$T1184&lt;0,$T1184&gt;60,$AR1184=""),"—",ROUND(IF(ABS($AU1184)&lt;=3,$AU1184,IF($AU1184&gt;3,3+($F1184-$AW1184)/($AW1184-$AV1184),-3+($F1184-$AY1184)/($AX1184-$AY1184))),2))</f>
        <v/>
      </c>
      <c r="R1184">
        <f>IF(OR($Q1184="",$Q1184="—"),"",IF($Q1184&lt;-3,"Magreza acentuada",IF($Q1184&lt;-2,"Magreza",IF($Q1184&lt;=1,"Eutrofia",IF($Q1184&lt;=2,"Risco de sobrepeso",IF($Q1184&lt;=3,"Sobrepeso","Obesidade"))))))</f>
        <v/>
      </c>
      <c r="S1184">
        <f>IF($C1184="","",IF(UPPER(LEFT($C1184,1))="M",1,IF(UPPER(LEFT($C1184,1))="F",2,"")))</f>
        <v/>
      </c>
      <c r="T1184">
        <f>IF(OR($D1184="",$E1184=""),"",DATEDIF($D1184,$E1184,"m"))</f>
        <v/>
      </c>
      <c r="U1184">
        <f>IF(OR($D1184="",$E1184=""),"",$E1184-$D1184)</f>
        <v/>
      </c>
      <c r="V1184">
        <f>IF(OR($G1184="",$T1184=""),"",IF($T1184&lt;24,IF(LEFT(LOWER($H1184),4)="em p",$G1184+0.7,$G1184),IF(LEFT(LOWER($H1184),4)="deit",$G1184-0.7,$G1184)))</f>
        <v/>
      </c>
      <c r="W1184">
        <f>IF(OR($S1184="",$T1184=""),"",$S1184*1000000+IF($T1184&lt;=60,$U1184,$T1184))</f>
        <v/>
      </c>
      <c r="X1184">
        <f>IF(OR($S1184="",$V1184="",$T1184&gt;60,$T1184=""),"",$S1184*1000000+ROUND($V1184*10,0))</f>
        <v/>
      </c>
      <c r="Y1184">
        <f>IF($W1184="","",IFERROR(INDEX(IF($T1184&lt;=60,imc05_l,imc519_l),MATCH($W1184,IF($T1184&lt;=60,imc05_k,imc519_k),1)),""))</f>
        <v/>
      </c>
      <c r="Z1184">
        <f>IF($W1184="","",IFERROR(INDEX(IF($T1184&lt;=60,imc05_m,imc519_m),MATCH($W1184,IF($T1184&lt;=60,imc05_k,imc519_k),1)),""))</f>
        <v/>
      </c>
      <c r="AA1184">
        <f>IF($W1184="","",IFERROR(INDEX(IF($T1184&lt;=60,imc05_s,imc519_s),MATCH($W1184,IF($T1184&lt;=60,imc05_k,imc519_k),1)),""))</f>
        <v/>
      </c>
      <c r="AB1184">
        <f>IF($Y1184="","",IF($Y1184=0,LN($J1184/$Z1184)/$AA1184,((($J1184/$Z1184)^$Y1184)-1)/($Y1184*$AA1184)))</f>
        <v/>
      </c>
      <c r="AC1184">
        <f>IF($Y1184="","",IF($Y1184=0,$Z1184*EXP($AA1184*2),$Z1184*(1+$Y1184*$AA1184*2)^(1/$Y1184)))</f>
        <v/>
      </c>
      <c r="AD1184">
        <f>IF($Y1184="","",IF($Y1184=0,$Z1184*EXP($AA1184*3),$Z1184*(1+$Y1184*$AA1184*3)^(1/$Y1184)))</f>
        <v/>
      </c>
      <c r="AE1184">
        <f>IF($Y1184="","",IF($Y1184=0,$Z1184*EXP($AA1184*-2),$Z1184*(1+$Y1184*$AA1184*-2)^(1/$Y1184)))</f>
        <v/>
      </c>
      <c r="AF1184">
        <f>IF($Y1184="","",IF($Y1184=0,$Z1184*EXP($AA1184*-3),$Z1184*(1+$Y1184*$AA1184*-3)^(1/$Y1184)))</f>
        <v/>
      </c>
      <c r="AG1184">
        <f>IF($W1184="","",IFERROR(INDEX(IF($T1184&lt;=60,est05_l,est519_l),MATCH($W1184,IF($T1184&lt;=60,est05_k,est519_k),1)),""))</f>
        <v/>
      </c>
      <c r="AH1184">
        <f>IF($W1184="","",IFERROR(INDEX(IF($T1184&lt;=60,est05_m,est519_m),MATCH($W1184,IF($T1184&lt;=60,est05_k,est519_k),1)),""))</f>
        <v/>
      </c>
      <c r="AI1184">
        <f>IF($W1184="","",IFERROR(INDEX(IF($T1184&lt;=60,est05_s,est519_s),MATCH($W1184,IF($T1184&lt;=60,est05_k,est519_k),1)),""))</f>
        <v/>
      </c>
      <c r="AJ1184">
        <f>IF($W1184="","",IFERROR(INDEX(IF($T1184&lt;=60,peso05_l,peso510_l),MATCH($W1184,IF($T1184&lt;=60,peso05_k,peso510_k),1)),""))</f>
        <v/>
      </c>
      <c r="AK1184">
        <f>IF($W1184="","",IFERROR(INDEX(IF($T1184&lt;=60,peso05_m,peso510_m),MATCH($W1184,IF($T1184&lt;=60,peso05_k,peso510_k),1)),""))</f>
        <v/>
      </c>
      <c r="AL1184">
        <f>IF($W1184="","",IFERROR(INDEX(IF($T1184&lt;=60,peso05_s,peso510_s),MATCH($W1184,IF($T1184&lt;=60,peso05_k,peso510_k),1)),""))</f>
        <v/>
      </c>
      <c r="AM1184">
        <f>IF($AJ1184="","",IF($AJ1184=0,LN($F1184/$AK1184)/$AL1184,((($F1184/$AK1184)^$AJ1184)-1)/($AJ1184*$AL1184)))</f>
        <v/>
      </c>
      <c r="AN1184">
        <f>IF($AJ1184="","",IF($AJ1184=0,$AK1184*EXP($AL1184*2),$AK1184*(1+$AJ1184*$AL1184*2)^(1/$AJ1184)))</f>
        <v/>
      </c>
      <c r="AO1184">
        <f>IF($AJ1184="","",IF($AJ1184=0,$AK1184*EXP($AL1184*3),$AK1184*(1+$AJ1184*$AL1184*3)^(1/$AJ1184)))</f>
        <v/>
      </c>
      <c r="AP1184">
        <f>IF($AJ1184="","",IF($AJ1184=0,$AK1184*EXP($AL1184*-2),$AK1184*(1+$AJ1184*$AL1184*-2)^(1/$AJ1184)))</f>
        <v/>
      </c>
      <c r="AQ1184">
        <f>IF($AJ1184="","",IF($AJ1184=0,$AK1184*EXP($AL1184*-3),$AK1184*(1+$AJ1184*$AL1184*-3)^(1/$AJ1184)))</f>
        <v/>
      </c>
      <c r="AR1184">
        <f>IF(OR($X1184="",$T1184&gt;60),"",IFERROR(INDEX(IF($T1184&lt;24,pcomp_l,palt_l),MATCH($X1184,IF($T1184&lt;24,pcomp_k,palt_k),1)),""))</f>
        <v/>
      </c>
      <c r="AS1184">
        <f>IF(OR($X1184="",$T1184&gt;60),"",IFERROR(INDEX(IF($T1184&lt;24,pcomp_m,palt_m),MATCH($X1184,IF($T1184&lt;24,pcomp_k,palt_k),1)),""))</f>
        <v/>
      </c>
      <c r="AT1184">
        <f>IF(OR($X1184="",$T1184&gt;60),"",IFERROR(INDEX(IF($T1184&lt;24,pcomp_s,palt_s),MATCH($X1184,IF($T1184&lt;24,pcomp_k,palt_k),1)),""))</f>
        <v/>
      </c>
      <c r="AU1184">
        <f>IF($AR1184="","",IF($AR1184=0,LN($F1184/$AS1184)/$AT1184,((($F1184/$AS1184)^$AR1184)-1)/($AR1184*$AT1184)))</f>
        <v/>
      </c>
      <c r="AV1184">
        <f>IF($AR1184="","",IF($AR1184=0,$AS1184*EXP($AT1184*2),$AS1184*(1+$AR1184*$AT1184*2)^(1/$AR1184)))</f>
        <v/>
      </c>
      <c r="AW1184">
        <f>IF($AR1184="","",IF($AR1184=0,$AS1184*EXP($AT1184*3),$AS1184*(1+$AR1184*$AT1184*3)^(1/$AR1184)))</f>
        <v/>
      </c>
      <c r="AX1184">
        <f>IF($AR1184="","",IF($AR1184=0,$AS1184*EXP($AT1184*-2),$AS1184*(1+$AR1184*$AT1184*-2)^(1/$AR1184)))</f>
        <v/>
      </c>
      <c r="AY1184">
        <f>IF($AR1184="","",IF($AR1184=0,$AS1184*EXP($AT1184*-3),$AS1184*(1+$AR1184*$AT1184*-3)^(1/$AR1184)))</f>
        <v/>
      </c>
      <c r="AZ1184">
        <f>IF(OR($A1184="",$A1184&lt;&gt;Ficha!$C$4),"",COUNTIF($A$2:$A1184,Ficha!$C$4))</f>
        <v/>
      </c>
    </row>
    <row r="1185">
      <c r="A1185" s="8">
        <f>IF(INDEX(Banco!$A:$A,ROW())="","",INDEX(Banco!$A:$A,ROW()))</f>
        <v/>
      </c>
      <c r="B1185" s="8">
        <f>IF(INDEX(Banco!$B:$B,ROW())="","",INDEX(Banco!$B:$B,ROW()))</f>
        <v/>
      </c>
      <c r="C1185" s="8">
        <f>IF(INDEX(Banco!$C:$C,ROW())="","",INDEX(Banco!$C:$C,ROW()))</f>
        <v/>
      </c>
      <c r="D1185" s="9">
        <f>IF(INDEX(Banco!$D:$D,ROW())="","",INDEX(Banco!$D:$D,ROW()))</f>
        <v/>
      </c>
      <c r="E1185" s="9">
        <f>IF(INDEX(Banco!$E:$E,ROW())="","",INDEX(Banco!$E:$E,ROW()))</f>
        <v/>
      </c>
      <c r="F1185" s="10">
        <f>IF(INDEX(Banco!$F:$F,ROW())="","",INDEX(Banco!$F:$F,ROW()))</f>
        <v/>
      </c>
      <c r="G1185" s="10">
        <f>IF(INDEX(Banco!$G:$G,ROW())="","",INDEX(Banco!$G:$G,ROW()))</f>
        <v/>
      </c>
      <c r="H1185" s="8">
        <f>IF(INDEX(Banco!$H:$H,ROW())="","",INDEX(Banco!$H:$H,ROW()))</f>
        <v/>
      </c>
      <c r="I1185">
        <f>IF($T1185="","",INT($T1185/12)&amp;"a "&amp;MOD($T1185,12)&amp;"m")</f>
        <v/>
      </c>
      <c r="J1185" s="11">
        <f>IF(OR($F1185="",$G1185=""),"",ROUND($F1185/($G1185/100)^2,2))</f>
        <v/>
      </c>
      <c r="K1185" s="12">
        <f>IF(OR($S1185="",$J1185="",$T1185="",$T1185&lt;0,$T1185&gt;228,$Y1185=""),"—",ROUND(IF(ABS($AB1185)&lt;=3,$AB1185,IF($AB1185&gt;3,3+($J1185-$AD1185)/($AD1185-$AC1185),-3+($J1185-$AF1185)/($AE1185-$AF1185))),2))</f>
        <v/>
      </c>
      <c r="L1185">
        <f>IF(OR($K1185="",$K1185="—"),"",IF($T1185&lt;=60,IF($K1185&lt;-3,"Magreza acentuada",IF($K1185&lt;-2,"Magreza",IF($K1185&lt;=1,"Eutrofia",IF($K1185&lt;=2,"Risco de sobrepeso",IF($K1185&lt;=3,"Sobrepeso","Obesidade"))))),IF($K1185&lt;-3,"Magreza acentuada",IF($K1185&lt;-2,"Magreza",IF($K1185&lt;=1,"Eutrofia",IF($K1185&lt;=2,"Sobrepeso",IF($K1185&lt;=3,"Obesidade","Obesidade grave")))))))</f>
        <v/>
      </c>
      <c r="M1185" s="12">
        <f>IF(OR($S1185="",$V1185="",$T1185="",$T1185&lt;0,$T1185&gt;228,$AG1185=""),"—",ROUND(IF($AG1185=0,LN($V1185/$AH1185)/$AI1185,((($V1185/$AH1185)^$AG1185)-1)/($AG1185*$AI1185)),2))</f>
        <v/>
      </c>
      <c r="N1185">
        <f>IF(OR($M1185="",$M1185="—"),"",IF($M1185&lt;-3,"Muito baixa",IF($M1185&lt;-2,"Baixa","Adequada")))</f>
        <v/>
      </c>
      <c r="O1185" s="12">
        <f>IF(OR($S1185="",$F1185="",$T1185="",$T1185&lt;0,$T1185&gt;120,$AJ1185=""),"—",ROUND(IF(ABS($AM1185)&lt;=3,$AM1185,IF($AM1185&gt;3,3+($F1185-$AO1185)/($AO1185-$AN1185),-3+($F1185-$AQ1185)/($AP1185-$AQ1185))),2))</f>
        <v/>
      </c>
      <c r="P1185">
        <f>IF(OR($O1185="",$O1185="—"),"",IF($O1185&lt;-3,"Muito baixo",IF($O1185&lt;-2,"Baixo",IF($O1185&lt;=2,"Adequado","Elevado"))))</f>
        <v/>
      </c>
      <c r="Q1185" s="12">
        <f>IF(OR($S1185="",$F1185="",$T1185="",$T1185&lt;0,$T1185&gt;60,$AR1185=""),"—",ROUND(IF(ABS($AU1185)&lt;=3,$AU1185,IF($AU1185&gt;3,3+($F1185-$AW1185)/($AW1185-$AV1185),-3+($F1185-$AY1185)/($AX1185-$AY1185))),2))</f>
        <v/>
      </c>
      <c r="R1185">
        <f>IF(OR($Q1185="",$Q1185="—"),"",IF($Q1185&lt;-3,"Magreza acentuada",IF($Q1185&lt;-2,"Magreza",IF($Q1185&lt;=1,"Eutrofia",IF($Q1185&lt;=2,"Risco de sobrepeso",IF($Q1185&lt;=3,"Sobrepeso","Obesidade"))))))</f>
        <v/>
      </c>
      <c r="S1185">
        <f>IF($C1185="","",IF(UPPER(LEFT($C1185,1))="M",1,IF(UPPER(LEFT($C1185,1))="F",2,"")))</f>
        <v/>
      </c>
      <c r="T1185">
        <f>IF(OR($D1185="",$E1185=""),"",DATEDIF($D1185,$E1185,"m"))</f>
        <v/>
      </c>
      <c r="U1185">
        <f>IF(OR($D1185="",$E1185=""),"",$E1185-$D1185)</f>
        <v/>
      </c>
      <c r="V1185">
        <f>IF(OR($G1185="",$T1185=""),"",IF($T1185&lt;24,IF(LEFT(LOWER($H1185),4)="em p",$G1185+0.7,$G1185),IF(LEFT(LOWER($H1185),4)="deit",$G1185-0.7,$G1185)))</f>
        <v/>
      </c>
      <c r="W1185">
        <f>IF(OR($S1185="",$T1185=""),"",$S1185*1000000+IF($T1185&lt;=60,$U1185,$T1185))</f>
        <v/>
      </c>
      <c r="X1185">
        <f>IF(OR($S1185="",$V1185="",$T1185&gt;60,$T1185=""),"",$S1185*1000000+ROUND($V1185*10,0))</f>
        <v/>
      </c>
      <c r="Y1185">
        <f>IF($W1185="","",IFERROR(INDEX(IF($T1185&lt;=60,imc05_l,imc519_l),MATCH($W1185,IF($T1185&lt;=60,imc05_k,imc519_k),1)),""))</f>
        <v/>
      </c>
      <c r="Z1185">
        <f>IF($W1185="","",IFERROR(INDEX(IF($T1185&lt;=60,imc05_m,imc519_m),MATCH($W1185,IF($T1185&lt;=60,imc05_k,imc519_k),1)),""))</f>
        <v/>
      </c>
      <c r="AA1185">
        <f>IF($W1185="","",IFERROR(INDEX(IF($T1185&lt;=60,imc05_s,imc519_s),MATCH($W1185,IF($T1185&lt;=60,imc05_k,imc519_k),1)),""))</f>
        <v/>
      </c>
      <c r="AB1185">
        <f>IF($Y1185="","",IF($Y1185=0,LN($J1185/$Z1185)/$AA1185,((($J1185/$Z1185)^$Y1185)-1)/($Y1185*$AA1185)))</f>
        <v/>
      </c>
      <c r="AC1185">
        <f>IF($Y1185="","",IF($Y1185=0,$Z1185*EXP($AA1185*2),$Z1185*(1+$Y1185*$AA1185*2)^(1/$Y1185)))</f>
        <v/>
      </c>
      <c r="AD1185">
        <f>IF($Y1185="","",IF($Y1185=0,$Z1185*EXP($AA1185*3),$Z1185*(1+$Y1185*$AA1185*3)^(1/$Y1185)))</f>
        <v/>
      </c>
      <c r="AE1185">
        <f>IF($Y1185="","",IF($Y1185=0,$Z1185*EXP($AA1185*-2),$Z1185*(1+$Y1185*$AA1185*-2)^(1/$Y1185)))</f>
        <v/>
      </c>
      <c r="AF1185">
        <f>IF($Y1185="","",IF($Y1185=0,$Z1185*EXP($AA1185*-3),$Z1185*(1+$Y1185*$AA1185*-3)^(1/$Y1185)))</f>
        <v/>
      </c>
      <c r="AG1185">
        <f>IF($W1185="","",IFERROR(INDEX(IF($T1185&lt;=60,est05_l,est519_l),MATCH($W1185,IF($T1185&lt;=60,est05_k,est519_k),1)),""))</f>
        <v/>
      </c>
      <c r="AH1185">
        <f>IF($W1185="","",IFERROR(INDEX(IF($T1185&lt;=60,est05_m,est519_m),MATCH($W1185,IF($T1185&lt;=60,est05_k,est519_k),1)),""))</f>
        <v/>
      </c>
      <c r="AI1185">
        <f>IF($W1185="","",IFERROR(INDEX(IF($T1185&lt;=60,est05_s,est519_s),MATCH($W1185,IF($T1185&lt;=60,est05_k,est519_k),1)),""))</f>
        <v/>
      </c>
      <c r="AJ1185">
        <f>IF($W1185="","",IFERROR(INDEX(IF($T1185&lt;=60,peso05_l,peso510_l),MATCH($W1185,IF($T1185&lt;=60,peso05_k,peso510_k),1)),""))</f>
        <v/>
      </c>
      <c r="AK1185">
        <f>IF($W1185="","",IFERROR(INDEX(IF($T1185&lt;=60,peso05_m,peso510_m),MATCH($W1185,IF($T1185&lt;=60,peso05_k,peso510_k),1)),""))</f>
        <v/>
      </c>
      <c r="AL1185">
        <f>IF($W1185="","",IFERROR(INDEX(IF($T1185&lt;=60,peso05_s,peso510_s),MATCH($W1185,IF($T1185&lt;=60,peso05_k,peso510_k),1)),""))</f>
        <v/>
      </c>
      <c r="AM1185">
        <f>IF($AJ1185="","",IF($AJ1185=0,LN($F1185/$AK1185)/$AL1185,((($F1185/$AK1185)^$AJ1185)-1)/($AJ1185*$AL1185)))</f>
        <v/>
      </c>
      <c r="AN1185">
        <f>IF($AJ1185="","",IF($AJ1185=0,$AK1185*EXP($AL1185*2),$AK1185*(1+$AJ1185*$AL1185*2)^(1/$AJ1185)))</f>
        <v/>
      </c>
      <c r="AO1185">
        <f>IF($AJ1185="","",IF($AJ1185=0,$AK1185*EXP($AL1185*3),$AK1185*(1+$AJ1185*$AL1185*3)^(1/$AJ1185)))</f>
        <v/>
      </c>
      <c r="AP1185">
        <f>IF($AJ1185="","",IF($AJ1185=0,$AK1185*EXP($AL1185*-2),$AK1185*(1+$AJ1185*$AL1185*-2)^(1/$AJ1185)))</f>
        <v/>
      </c>
      <c r="AQ1185">
        <f>IF($AJ1185="","",IF($AJ1185=0,$AK1185*EXP($AL1185*-3),$AK1185*(1+$AJ1185*$AL1185*-3)^(1/$AJ1185)))</f>
        <v/>
      </c>
      <c r="AR1185">
        <f>IF(OR($X1185="",$T1185&gt;60),"",IFERROR(INDEX(IF($T1185&lt;24,pcomp_l,palt_l),MATCH($X1185,IF($T1185&lt;24,pcomp_k,palt_k),1)),""))</f>
        <v/>
      </c>
      <c r="AS1185">
        <f>IF(OR($X1185="",$T1185&gt;60),"",IFERROR(INDEX(IF($T1185&lt;24,pcomp_m,palt_m),MATCH($X1185,IF($T1185&lt;24,pcomp_k,palt_k),1)),""))</f>
        <v/>
      </c>
      <c r="AT1185">
        <f>IF(OR($X1185="",$T1185&gt;60),"",IFERROR(INDEX(IF($T1185&lt;24,pcomp_s,palt_s),MATCH($X1185,IF($T1185&lt;24,pcomp_k,palt_k),1)),""))</f>
        <v/>
      </c>
      <c r="AU1185">
        <f>IF($AR1185="","",IF($AR1185=0,LN($F1185/$AS1185)/$AT1185,((($F1185/$AS1185)^$AR1185)-1)/($AR1185*$AT1185)))</f>
        <v/>
      </c>
      <c r="AV1185">
        <f>IF($AR1185="","",IF($AR1185=0,$AS1185*EXP($AT1185*2),$AS1185*(1+$AR1185*$AT1185*2)^(1/$AR1185)))</f>
        <v/>
      </c>
      <c r="AW1185">
        <f>IF($AR1185="","",IF($AR1185=0,$AS1185*EXP($AT1185*3),$AS1185*(1+$AR1185*$AT1185*3)^(1/$AR1185)))</f>
        <v/>
      </c>
      <c r="AX1185">
        <f>IF($AR1185="","",IF($AR1185=0,$AS1185*EXP($AT1185*-2),$AS1185*(1+$AR1185*$AT1185*-2)^(1/$AR1185)))</f>
        <v/>
      </c>
      <c r="AY1185">
        <f>IF($AR1185="","",IF($AR1185=0,$AS1185*EXP($AT1185*-3),$AS1185*(1+$AR1185*$AT1185*-3)^(1/$AR1185)))</f>
        <v/>
      </c>
      <c r="AZ1185">
        <f>IF(OR($A1185="",$A1185&lt;&gt;Ficha!$C$4),"",COUNTIF($A$2:$A1185,Ficha!$C$4))</f>
        <v/>
      </c>
    </row>
    <row r="1186">
      <c r="A1186" s="8">
        <f>IF(INDEX(Banco!$A:$A,ROW())="","",INDEX(Banco!$A:$A,ROW()))</f>
        <v/>
      </c>
      <c r="B1186" s="8">
        <f>IF(INDEX(Banco!$B:$B,ROW())="","",INDEX(Banco!$B:$B,ROW()))</f>
        <v/>
      </c>
      <c r="C1186" s="8">
        <f>IF(INDEX(Banco!$C:$C,ROW())="","",INDEX(Banco!$C:$C,ROW()))</f>
        <v/>
      </c>
      <c r="D1186" s="9">
        <f>IF(INDEX(Banco!$D:$D,ROW())="","",INDEX(Banco!$D:$D,ROW()))</f>
        <v/>
      </c>
      <c r="E1186" s="9">
        <f>IF(INDEX(Banco!$E:$E,ROW())="","",INDEX(Banco!$E:$E,ROW()))</f>
        <v/>
      </c>
      <c r="F1186" s="10">
        <f>IF(INDEX(Banco!$F:$F,ROW())="","",INDEX(Banco!$F:$F,ROW()))</f>
        <v/>
      </c>
      <c r="G1186" s="10">
        <f>IF(INDEX(Banco!$G:$G,ROW())="","",INDEX(Banco!$G:$G,ROW()))</f>
        <v/>
      </c>
      <c r="H1186" s="8">
        <f>IF(INDEX(Banco!$H:$H,ROW())="","",INDEX(Banco!$H:$H,ROW()))</f>
        <v/>
      </c>
      <c r="I1186">
        <f>IF($T1186="","",INT($T1186/12)&amp;"a "&amp;MOD($T1186,12)&amp;"m")</f>
        <v/>
      </c>
      <c r="J1186" s="11">
        <f>IF(OR($F1186="",$G1186=""),"",ROUND($F1186/($G1186/100)^2,2))</f>
        <v/>
      </c>
      <c r="K1186" s="12">
        <f>IF(OR($S1186="",$J1186="",$T1186="",$T1186&lt;0,$T1186&gt;228,$Y1186=""),"—",ROUND(IF(ABS($AB1186)&lt;=3,$AB1186,IF($AB1186&gt;3,3+($J1186-$AD1186)/($AD1186-$AC1186),-3+($J1186-$AF1186)/($AE1186-$AF1186))),2))</f>
        <v/>
      </c>
      <c r="L1186">
        <f>IF(OR($K1186="",$K1186="—"),"",IF($T1186&lt;=60,IF($K1186&lt;-3,"Magreza acentuada",IF($K1186&lt;-2,"Magreza",IF($K1186&lt;=1,"Eutrofia",IF($K1186&lt;=2,"Risco de sobrepeso",IF($K1186&lt;=3,"Sobrepeso","Obesidade"))))),IF($K1186&lt;-3,"Magreza acentuada",IF($K1186&lt;-2,"Magreza",IF($K1186&lt;=1,"Eutrofia",IF($K1186&lt;=2,"Sobrepeso",IF($K1186&lt;=3,"Obesidade","Obesidade grave")))))))</f>
        <v/>
      </c>
      <c r="M1186" s="12">
        <f>IF(OR($S1186="",$V1186="",$T1186="",$T1186&lt;0,$T1186&gt;228,$AG1186=""),"—",ROUND(IF($AG1186=0,LN($V1186/$AH1186)/$AI1186,((($V1186/$AH1186)^$AG1186)-1)/($AG1186*$AI1186)),2))</f>
        <v/>
      </c>
      <c r="N1186">
        <f>IF(OR($M1186="",$M1186="—"),"",IF($M1186&lt;-3,"Muito baixa",IF($M1186&lt;-2,"Baixa","Adequada")))</f>
        <v/>
      </c>
      <c r="O1186" s="12">
        <f>IF(OR($S1186="",$F1186="",$T1186="",$T1186&lt;0,$T1186&gt;120,$AJ1186=""),"—",ROUND(IF(ABS($AM1186)&lt;=3,$AM1186,IF($AM1186&gt;3,3+($F1186-$AO1186)/($AO1186-$AN1186),-3+($F1186-$AQ1186)/($AP1186-$AQ1186))),2))</f>
        <v/>
      </c>
      <c r="P1186">
        <f>IF(OR($O1186="",$O1186="—"),"",IF($O1186&lt;-3,"Muito baixo",IF($O1186&lt;-2,"Baixo",IF($O1186&lt;=2,"Adequado","Elevado"))))</f>
        <v/>
      </c>
      <c r="Q1186" s="12">
        <f>IF(OR($S1186="",$F1186="",$T1186="",$T1186&lt;0,$T1186&gt;60,$AR1186=""),"—",ROUND(IF(ABS($AU1186)&lt;=3,$AU1186,IF($AU1186&gt;3,3+($F1186-$AW1186)/($AW1186-$AV1186),-3+($F1186-$AY1186)/($AX1186-$AY1186))),2))</f>
        <v/>
      </c>
      <c r="R1186">
        <f>IF(OR($Q1186="",$Q1186="—"),"",IF($Q1186&lt;-3,"Magreza acentuada",IF($Q1186&lt;-2,"Magreza",IF($Q1186&lt;=1,"Eutrofia",IF($Q1186&lt;=2,"Risco de sobrepeso",IF($Q1186&lt;=3,"Sobrepeso","Obesidade"))))))</f>
        <v/>
      </c>
      <c r="S1186">
        <f>IF($C1186="","",IF(UPPER(LEFT($C1186,1))="M",1,IF(UPPER(LEFT($C1186,1))="F",2,"")))</f>
        <v/>
      </c>
      <c r="T1186">
        <f>IF(OR($D1186="",$E1186=""),"",DATEDIF($D1186,$E1186,"m"))</f>
        <v/>
      </c>
      <c r="U1186">
        <f>IF(OR($D1186="",$E1186=""),"",$E1186-$D1186)</f>
        <v/>
      </c>
      <c r="V1186">
        <f>IF(OR($G1186="",$T1186=""),"",IF($T1186&lt;24,IF(LEFT(LOWER($H1186),4)="em p",$G1186+0.7,$G1186),IF(LEFT(LOWER($H1186),4)="deit",$G1186-0.7,$G1186)))</f>
        <v/>
      </c>
      <c r="W1186">
        <f>IF(OR($S1186="",$T1186=""),"",$S1186*1000000+IF($T1186&lt;=60,$U1186,$T1186))</f>
        <v/>
      </c>
      <c r="X1186">
        <f>IF(OR($S1186="",$V1186="",$T1186&gt;60,$T1186=""),"",$S1186*1000000+ROUND($V1186*10,0))</f>
        <v/>
      </c>
      <c r="Y1186">
        <f>IF($W1186="","",IFERROR(INDEX(IF($T1186&lt;=60,imc05_l,imc519_l),MATCH($W1186,IF($T1186&lt;=60,imc05_k,imc519_k),1)),""))</f>
        <v/>
      </c>
      <c r="Z1186">
        <f>IF($W1186="","",IFERROR(INDEX(IF($T1186&lt;=60,imc05_m,imc519_m),MATCH($W1186,IF($T1186&lt;=60,imc05_k,imc519_k),1)),""))</f>
        <v/>
      </c>
      <c r="AA1186">
        <f>IF($W1186="","",IFERROR(INDEX(IF($T1186&lt;=60,imc05_s,imc519_s),MATCH($W1186,IF($T1186&lt;=60,imc05_k,imc519_k),1)),""))</f>
        <v/>
      </c>
      <c r="AB1186">
        <f>IF($Y1186="","",IF($Y1186=0,LN($J1186/$Z1186)/$AA1186,((($J1186/$Z1186)^$Y1186)-1)/($Y1186*$AA1186)))</f>
        <v/>
      </c>
      <c r="AC1186">
        <f>IF($Y1186="","",IF($Y1186=0,$Z1186*EXP($AA1186*2),$Z1186*(1+$Y1186*$AA1186*2)^(1/$Y1186)))</f>
        <v/>
      </c>
      <c r="AD1186">
        <f>IF($Y1186="","",IF($Y1186=0,$Z1186*EXP($AA1186*3),$Z1186*(1+$Y1186*$AA1186*3)^(1/$Y1186)))</f>
        <v/>
      </c>
      <c r="AE1186">
        <f>IF($Y1186="","",IF($Y1186=0,$Z1186*EXP($AA1186*-2),$Z1186*(1+$Y1186*$AA1186*-2)^(1/$Y1186)))</f>
        <v/>
      </c>
      <c r="AF1186">
        <f>IF($Y1186="","",IF($Y1186=0,$Z1186*EXP($AA1186*-3),$Z1186*(1+$Y1186*$AA1186*-3)^(1/$Y1186)))</f>
        <v/>
      </c>
      <c r="AG1186">
        <f>IF($W1186="","",IFERROR(INDEX(IF($T1186&lt;=60,est05_l,est519_l),MATCH($W1186,IF($T1186&lt;=60,est05_k,est519_k),1)),""))</f>
        <v/>
      </c>
      <c r="AH1186">
        <f>IF($W1186="","",IFERROR(INDEX(IF($T1186&lt;=60,est05_m,est519_m),MATCH($W1186,IF($T1186&lt;=60,est05_k,est519_k),1)),""))</f>
        <v/>
      </c>
      <c r="AI1186">
        <f>IF($W1186="","",IFERROR(INDEX(IF($T1186&lt;=60,est05_s,est519_s),MATCH($W1186,IF($T1186&lt;=60,est05_k,est519_k),1)),""))</f>
        <v/>
      </c>
      <c r="AJ1186">
        <f>IF($W1186="","",IFERROR(INDEX(IF($T1186&lt;=60,peso05_l,peso510_l),MATCH($W1186,IF($T1186&lt;=60,peso05_k,peso510_k),1)),""))</f>
        <v/>
      </c>
      <c r="AK1186">
        <f>IF($W1186="","",IFERROR(INDEX(IF($T1186&lt;=60,peso05_m,peso510_m),MATCH($W1186,IF($T1186&lt;=60,peso05_k,peso510_k),1)),""))</f>
        <v/>
      </c>
      <c r="AL1186">
        <f>IF($W1186="","",IFERROR(INDEX(IF($T1186&lt;=60,peso05_s,peso510_s),MATCH($W1186,IF($T1186&lt;=60,peso05_k,peso510_k),1)),""))</f>
        <v/>
      </c>
      <c r="AM1186">
        <f>IF($AJ1186="","",IF($AJ1186=0,LN($F1186/$AK1186)/$AL1186,((($F1186/$AK1186)^$AJ1186)-1)/($AJ1186*$AL1186)))</f>
        <v/>
      </c>
      <c r="AN1186">
        <f>IF($AJ1186="","",IF($AJ1186=0,$AK1186*EXP($AL1186*2),$AK1186*(1+$AJ1186*$AL1186*2)^(1/$AJ1186)))</f>
        <v/>
      </c>
      <c r="AO1186">
        <f>IF($AJ1186="","",IF($AJ1186=0,$AK1186*EXP($AL1186*3),$AK1186*(1+$AJ1186*$AL1186*3)^(1/$AJ1186)))</f>
        <v/>
      </c>
      <c r="AP1186">
        <f>IF($AJ1186="","",IF($AJ1186=0,$AK1186*EXP($AL1186*-2),$AK1186*(1+$AJ1186*$AL1186*-2)^(1/$AJ1186)))</f>
        <v/>
      </c>
      <c r="AQ1186">
        <f>IF($AJ1186="","",IF($AJ1186=0,$AK1186*EXP($AL1186*-3),$AK1186*(1+$AJ1186*$AL1186*-3)^(1/$AJ1186)))</f>
        <v/>
      </c>
      <c r="AR1186">
        <f>IF(OR($X1186="",$T1186&gt;60),"",IFERROR(INDEX(IF($T1186&lt;24,pcomp_l,palt_l),MATCH($X1186,IF($T1186&lt;24,pcomp_k,palt_k),1)),""))</f>
        <v/>
      </c>
      <c r="AS1186">
        <f>IF(OR($X1186="",$T1186&gt;60),"",IFERROR(INDEX(IF($T1186&lt;24,pcomp_m,palt_m),MATCH($X1186,IF($T1186&lt;24,pcomp_k,palt_k),1)),""))</f>
        <v/>
      </c>
      <c r="AT1186">
        <f>IF(OR($X1186="",$T1186&gt;60),"",IFERROR(INDEX(IF($T1186&lt;24,pcomp_s,palt_s),MATCH($X1186,IF($T1186&lt;24,pcomp_k,palt_k),1)),""))</f>
        <v/>
      </c>
      <c r="AU1186">
        <f>IF($AR1186="","",IF($AR1186=0,LN($F1186/$AS1186)/$AT1186,((($F1186/$AS1186)^$AR1186)-1)/($AR1186*$AT1186)))</f>
        <v/>
      </c>
      <c r="AV1186">
        <f>IF($AR1186="","",IF($AR1186=0,$AS1186*EXP($AT1186*2),$AS1186*(1+$AR1186*$AT1186*2)^(1/$AR1186)))</f>
        <v/>
      </c>
      <c r="AW1186">
        <f>IF($AR1186="","",IF($AR1186=0,$AS1186*EXP($AT1186*3),$AS1186*(1+$AR1186*$AT1186*3)^(1/$AR1186)))</f>
        <v/>
      </c>
      <c r="AX1186">
        <f>IF($AR1186="","",IF($AR1186=0,$AS1186*EXP($AT1186*-2),$AS1186*(1+$AR1186*$AT1186*-2)^(1/$AR1186)))</f>
        <v/>
      </c>
      <c r="AY1186">
        <f>IF($AR1186="","",IF($AR1186=0,$AS1186*EXP($AT1186*-3),$AS1186*(1+$AR1186*$AT1186*-3)^(1/$AR1186)))</f>
        <v/>
      </c>
      <c r="AZ1186">
        <f>IF(OR($A1186="",$A1186&lt;&gt;Ficha!$C$4),"",COUNTIF($A$2:$A1186,Ficha!$C$4))</f>
        <v/>
      </c>
    </row>
    <row r="1187">
      <c r="A1187" s="8">
        <f>IF(INDEX(Banco!$A:$A,ROW())="","",INDEX(Banco!$A:$A,ROW()))</f>
        <v/>
      </c>
      <c r="B1187" s="8">
        <f>IF(INDEX(Banco!$B:$B,ROW())="","",INDEX(Banco!$B:$B,ROW()))</f>
        <v/>
      </c>
      <c r="C1187" s="8">
        <f>IF(INDEX(Banco!$C:$C,ROW())="","",INDEX(Banco!$C:$C,ROW()))</f>
        <v/>
      </c>
      <c r="D1187" s="9">
        <f>IF(INDEX(Banco!$D:$D,ROW())="","",INDEX(Banco!$D:$D,ROW()))</f>
        <v/>
      </c>
      <c r="E1187" s="9">
        <f>IF(INDEX(Banco!$E:$E,ROW())="","",INDEX(Banco!$E:$E,ROW()))</f>
        <v/>
      </c>
      <c r="F1187" s="10">
        <f>IF(INDEX(Banco!$F:$F,ROW())="","",INDEX(Banco!$F:$F,ROW()))</f>
        <v/>
      </c>
      <c r="G1187" s="10">
        <f>IF(INDEX(Banco!$G:$G,ROW())="","",INDEX(Banco!$G:$G,ROW()))</f>
        <v/>
      </c>
      <c r="H1187" s="8">
        <f>IF(INDEX(Banco!$H:$H,ROW())="","",INDEX(Banco!$H:$H,ROW()))</f>
        <v/>
      </c>
      <c r="I1187">
        <f>IF($T1187="","",INT($T1187/12)&amp;"a "&amp;MOD($T1187,12)&amp;"m")</f>
        <v/>
      </c>
      <c r="J1187" s="11">
        <f>IF(OR($F1187="",$G1187=""),"",ROUND($F1187/($G1187/100)^2,2))</f>
        <v/>
      </c>
      <c r="K1187" s="12">
        <f>IF(OR($S1187="",$J1187="",$T1187="",$T1187&lt;0,$T1187&gt;228,$Y1187=""),"—",ROUND(IF(ABS($AB1187)&lt;=3,$AB1187,IF($AB1187&gt;3,3+($J1187-$AD1187)/($AD1187-$AC1187),-3+($J1187-$AF1187)/($AE1187-$AF1187))),2))</f>
        <v/>
      </c>
      <c r="L1187">
        <f>IF(OR($K1187="",$K1187="—"),"",IF($T1187&lt;=60,IF($K1187&lt;-3,"Magreza acentuada",IF($K1187&lt;-2,"Magreza",IF($K1187&lt;=1,"Eutrofia",IF($K1187&lt;=2,"Risco de sobrepeso",IF($K1187&lt;=3,"Sobrepeso","Obesidade"))))),IF($K1187&lt;-3,"Magreza acentuada",IF($K1187&lt;-2,"Magreza",IF($K1187&lt;=1,"Eutrofia",IF($K1187&lt;=2,"Sobrepeso",IF($K1187&lt;=3,"Obesidade","Obesidade grave")))))))</f>
        <v/>
      </c>
      <c r="M1187" s="12">
        <f>IF(OR($S1187="",$V1187="",$T1187="",$T1187&lt;0,$T1187&gt;228,$AG1187=""),"—",ROUND(IF($AG1187=0,LN($V1187/$AH1187)/$AI1187,((($V1187/$AH1187)^$AG1187)-1)/($AG1187*$AI1187)),2))</f>
        <v/>
      </c>
      <c r="N1187">
        <f>IF(OR($M1187="",$M1187="—"),"",IF($M1187&lt;-3,"Muito baixa",IF($M1187&lt;-2,"Baixa","Adequada")))</f>
        <v/>
      </c>
      <c r="O1187" s="12">
        <f>IF(OR($S1187="",$F1187="",$T1187="",$T1187&lt;0,$T1187&gt;120,$AJ1187=""),"—",ROUND(IF(ABS($AM1187)&lt;=3,$AM1187,IF($AM1187&gt;3,3+($F1187-$AO1187)/($AO1187-$AN1187),-3+($F1187-$AQ1187)/($AP1187-$AQ1187))),2))</f>
        <v/>
      </c>
      <c r="P1187">
        <f>IF(OR($O1187="",$O1187="—"),"",IF($O1187&lt;-3,"Muito baixo",IF($O1187&lt;-2,"Baixo",IF($O1187&lt;=2,"Adequado","Elevado"))))</f>
        <v/>
      </c>
      <c r="Q1187" s="12">
        <f>IF(OR($S1187="",$F1187="",$T1187="",$T1187&lt;0,$T1187&gt;60,$AR1187=""),"—",ROUND(IF(ABS($AU1187)&lt;=3,$AU1187,IF($AU1187&gt;3,3+($F1187-$AW1187)/($AW1187-$AV1187),-3+($F1187-$AY1187)/($AX1187-$AY1187))),2))</f>
        <v/>
      </c>
      <c r="R1187">
        <f>IF(OR($Q1187="",$Q1187="—"),"",IF($Q1187&lt;-3,"Magreza acentuada",IF($Q1187&lt;-2,"Magreza",IF($Q1187&lt;=1,"Eutrofia",IF($Q1187&lt;=2,"Risco de sobrepeso",IF($Q1187&lt;=3,"Sobrepeso","Obesidade"))))))</f>
        <v/>
      </c>
      <c r="S1187">
        <f>IF($C1187="","",IF(UPPER(LEFT($C1187,1))="M",1,IF(UPPER(LEFT($C1187,1))="F",2,"")))</f>
        <v/>
      </c>
      <c r="T1187">
        <f>IF(OR($D1187="",$E1187=""),"",DATEDIF($D1187,$E1187,"m"))</f>
        <v/>
      </c>
      <c r="U1187">
        <f>IF(OR($D1187="",$E1187=""),"",$E1187-$D1187)</f>
        <v/>
      </c>
      <c r="V1187">
        <f>IF(OR($G1187="",$T1187=""),"",IF($T1187&lt;24,IF(LEFT(LOWER($H1187),4)="em p",$G1187+0.7,$G1187),IF(LEFT(LOWER($H1187),4)="deit",$G1187-0.7,$G1187)))</f>
        <v/>
      </c>
      <c r="W1187">
        <f>IF(OR($S1187="",$T1187=""),"",$S1187*1000000+IF($T1187&lt;=60,$U1187,$T1187))</f>
        <v/>
      </c>
      <c r="X1187">
        <f>IF(OR($S1187="",$V1187="",$T1187&gt;60,$T1187=""),"",$S1187*1000000+ROUND($V1187*10,0))</f>
        <v/>
      </c>
      <c r="Y1187">
        <f>IF($W1187="","",IFERROR(INDEX(IF($T1187&lt;=60,imc05_l,imc519_l),MATCH($W1187,IF($T1187&lt;=60,imc05_k,imc519_k),1)),""))</f>
        <v/>
      </c>
      <c r="Z1187">
        <f>IF($W1187="","",IFERROR(INDEX(IF($T1187&lt;=60,imc05_m,imc519_m),MATCH($W1187,IF($T1187&lt;=60,imc05_k,imc519_k),1)),""))</f>
        <v/>
      </c>
      <c r="AA1187">
        <f>IF($W1187="","",IFERROR(INDEX(IF($T1187&lt;=60,imc05_s,imc519_s),MATCH($W1187,IF($T1187&lt;=60,imc05_k,imc519_k),1)),""))</f>
        <v/>
      </c>
      <c r="AB1187">
        <f>IF($Y1187="","",IF($Y1187=0,LN($J1187/$Z1187)/$AA1187,((($J1187/$Z1187)^$Y1187)-1)/($Y1187*$AA1187)))</f>
        <v/>
      </c>
      <c r="AC1187">
        <f>IF($Y1187="","",IF($Y1187=0,$Z1187*EXP($AA1187*2),$Z1187*(1+$Y1187*$AA1187*2)^(1/$Y1187)))</f>
        <v/>
      </c>
      <c r="AD1187">
        <f>IF($Y1187="","",IF($Y1187=0,$Z1187*EXP($AA1187*3),$Z1187*(1+$Y1187*$AA1187*3)^(1/$Y1187)))</f>
        <v/>
      </c>
      <c r="AE1187">
        <f>IF($Y1187="","",IF($Y1187=0,$Z1187*EXP($AA1187*-2),$Z1187*(1+$Y1187*$AA1187*-2)^(1/$Y1187)))</f>
        <v/>
      </c>
      <c r="AF1187">
        <f>IF($Y1187="","",IF($Y1187=0,$Z1187*EXP($AA1187*-3),$Z1187*(1+$Y1187*$AA1187*-3)^(1/$Y1187)))</f>
        <v/>
      </c>
      <c r="AG1187">
        <f>IF($W1187="","",IFERROR(INDEX(IF($T1187&lt;=60,est05_l,est519_l),MATCH($W1187,IF($T1187&lt;=60,est05_k,est519_k),1)),""))</f>
        <v/>
      </c>
      <c r="AH1187">
        <f>IF($W1187="","",IFERROR(INDEX(IF($T1187&lt;=60,est05_m,est519_m),MATCH($W1187,IF($T1187&lt;=60,est05_k,est519_k),1)),""))</f>
        <v/>
      </c>
      <c r="AI1187">
        <f>IF($W1187="","",IFERROR(INDEX(IF($T1187&lt;=60,est05_s,est519_s),MATCH($W1187,IF($T1187&lt;=60,est05_k,est519_k),1)),""))</f>
        <v/>
      </c>
      <c r="AJ1187">
        <f>IF($W1187="","",IFERROR(INDEX(IF($T1187&lt;=60,peso05_l,peso510_l),MATCH($W1187,IF($T1187&lt;=60,peso05_k,peso510_k),1)),""))</f>
        <v/>
      </c>
      <c r="AK1187">
        <f>IF($W1187="","",IFERROR(INDEX(IF($T1187&lt;=60,peso05_m,peso510_m),MATCH($W1187,IF($T1187&lt;=60,peso05_k,peso510_k),1)),""))</f>
        <v/>
      </c>
      <c r="AL1187">
        <f>IF($W1187="","",IFERROR(INDEX(IF($T1187&lt;=60,peso05_s,peso510_s),MATCH($W1187,IF($T1187&lt;=60,peso05_k,peso510_k),1)),""))</f>
        <v/>
      </c>
      <c r="AM1187">
        <f>IF($AJ1187="","",IF($AJ1187=0,LN($F1187/$AK1187)/$AL1187,((($F1187/$AK1187)^$AJ1187)-1)/($AJ1187*$AL1187)))</f>
        <v/>
      </c>
      <c r="AN1187">
        <f>IF($AJ1187="","",IF($AJ1187=0,$AK1187*EXP($AL1187*2),$AK1187*(1+$AJ1187*$AL1187*2)^(1/$AJ1187)))</f>
        <v/>
      </c>
      <c r="AO1187">
        <f>IF($AJ1187="","",IF($AJ1187=0,$AK1187*EXP($AL1187*3),$AK1187*(1+$AJ1187*$AL1187*3)^(1/$AJ1187)))</f>
        <v/>
      </c>
      <c r="AP1187">
        <f>IF($AJ1187="","",IF($AJ1187=0,$AK1187*EXP($AL1187*-2),$AK1187*(1+$AJ1187*$AL1187*-2)^(1/$AJ1187)))</f>
        <v/>
      </c>
      <c r="AQ1187">
        <f>IF($AJ1187="","",IF($AJ1187=0,$AK1187*EXP($AL1187*-3),$AK1187*(1+$AJ1187*$AL1187*-3)^(1/$AJ1187)))</f>
        <v/>
      </c>
      <c r="AR1187">
        <f>IF(OR($X1187="",$T1187&gt;60),"",IFERROR(INDEX(IF($T1187&lt;24,pcomp_l,palt_l),MATCH($X1187,IF($T1187&lt;24,pcomp_k,palt_k),1)),""))</f>
        <v/>
      </c>
      <c r="AS1187">
        <f>IF(OR($X1187="",$T1187&gt;60),"",IFERROR(INDEX(IF($T1187&lt;24,pcomp_m,palt_m),MATCH($X1187,IF($T1187&lt;24,pcomp_k,palt_k),1)),""))</f>
        <v/>
      </c>
      <c r="AT1187">
        <f>IF(OR($X1187="",$T1187&gt;60),"",IFERROR(INDEX(IF($T1187&lt;24,pcomp_s,palt_s),MATCH($X1187,IF($T1187&lt;24,pcomp_k,palt_k),1)),""))</f>
        <v/>
      </c>
      <c r="AU1187">
        <f>IF($AR1187="","",IF($AR1187=0,LN($F1187/$AS1187)/$AT1187,((($F1187/$AS1187)^$AR1187)-1)/($AR1187*$AT1187)))</f>
        <v/>
      </c>
      <c r="AV1187">
        <f>IF($AR1187="","",IF($AR1187=0,$AS1187*EXP($AT1187*2),$AS1187*(1+$AR1187*$AT1187*2)^(1/$AR1187)))</f>
        <v/>
      </c>
      <c r="AW1187">
        <f>IF($AR1187="","",IF($AR1187=0,$AS1187*EXP($AT1187*3),$AS1187*(1+$AR1187*$AT1187*3)^(1/$AR1187)))</f>
        <v/>
      </c>
      <c r="AX1187">
        <f>IF($AR1187="","",IF($AR1187=0,$AS1187*EXP($AT1187*-2),$AS1187*(1+$AR1187*$AT1187*-2)^(1/$AR1187)))</f>
        <v/>
      </c>
      <c r="AY1187">
        <f>IF($AR1187="","",IF($AR1187=0,$AS1187*EXP($AT1187*-3),$AS1187*(1+$AR1187*$AT1187*-3)^(1/$AR1187)))</f>
        <v/>
      </c>
      <c r="AZ1187">
        <f>IF(OR($A1187="",$A1187&lt;&gt;Ficha!$C$4),"",COUNTIF($A$2:$A1187,Ficha!$C$4))</f>
        <v/>
      </c>
    </row>
    <row r="1188">
      <c r="A1188" s="8">
        <f>IF(INDEX(Banco!$A:$A,ROW())="","",INDEX(Banco!$A:$A,ROW()))</f>
        <v/>
      </c>
      <c r="B1188" s="8">
        <f>IF(INDEX(Banco!$B:$B,ROW())="","",INDEX(Banco!$B:$B,ROW()))</f>
        <v/>
      </c>
      <c r="C1188" s="8">
        <f>IF(INDEX(Banco!$C:$C,ROW())="","",INDEX(Banco!$C:$C,ROW()))</f>
        <v/>
      </c>
      <c r="D1188" s="9">
        <f>IF(INDEX(Banco!$D:$D,ROW())="","",INDEX(Banco!$D:$D,ROW()))</f>
        <v/>
      </c>
      <c r="E1188" s="9">
        <f>IF(INDEX(Banco!$E:$E,ROW())="","",INDEX(Banco!$E:$E,ROW()))</f>
        <v/>
      </c>
      <c r="F1188" s="10">
        <f>IF(INDEX(Banco!$F:$F,ROW())="","",INDEX(Banco!$F:$F,ROW()))</f>
        <v/>
      </c>
      <c r="G1188" s="10">
        <f>IF(INDEX(Banco!$G:$G,ROW())="","",INDEX(Banco!$G:$G,ROW()))</f>
        <v/>
      </c>
      <c r="H1188" s="8">
        <f>IF(INDEX(Banco!$H:$H,ROW())="","",INDEX(Banco!$H:$H,ROW()))</f>
        <v/>
      </c>
      <c r="I1188">
        <f>IF($T1188="","",INT($T1188/12)&amp;"a "&amp;MOD($T1188,12)&amp;"m")</f>
        <v/>
      </c>
      <c r="J1188" s="11">
        <f>IF(OR($F1188="",$G1188=""),"",ROUND($F1188/($G1188/100)^2,2))</f>
        <v/>
      </c>
      <c r="K1188" s="12">
        <f>IF(OR($S1188="",$J1188="",$T1188="",$T1188&lt;0,$T1188&gt;228,$Y1188=""),"—",ROUND(IF(ABS($AB1188)&lt;=3,$AB1188,IF($AB1188&gt;3,3+($J1188-$AD1188)/($AD1188-$AC1188),-3+($J1188-$AF1188)/($AE1188-$AF1188))),2))</f>
        <v/>
      </c>
      <c r="L1188">
        <f>IF(OR($K1188="",$K1188="—"),"",IF($T1188&lt;=60,IF($K1188&lt;-3,"Magreza acentuada",IF($K1188&lt;-2,"Magreza",IF($K1188&lt;=1,"Eutrofia",IF($K1188&lt;=2,"Risco de sobrepeso",IF($K1188&lt;=3,"Sobrepeso","Obesidade"))))),IF($K1188&lt;-3,"Magreza acentuada",IF($K1188&lt;-2,"Magreza",IF($K1188&lt;=1,"Eutrofia",IF($K1188&lt;=2,"Sobrepeso",IF($K1188&lt;=3,"Obesidade","Obesidade grave")))))))</f>
        <v/>
      </c>
      <c r="M1188" s="12">
        <f>IF(OR($S1188="",$V1188="",$T1188="",$T1188&lt;0,$T1188&gt;228,$AG1188=""),"—",ROUND(IF($AG1188=0,LN($V1188/$AH1188)/$AI1188,((($V1188/$AH1188)^$AG1188)-1)/($AG1188*$AI1188)),2))</f>
        <v/>
      </c>
      <c r="N1188">
        <f>IF(OR($M1188="",$M1188="—"),"",IF($M1188&lt;-3,"Muito baixa",IF($M1188&lt;-2,"Baixa","Adequada")))</f>
        <v/>
      </c>
      <c r="O1188" s="12">
        <f>IF(OR($S1188="",$F1188="",$T1188="",$T1188&lt;0,$T1188&gt;120,$AJ1188=""),"—",ROUND(IF(ABS($AM1188)&lt;=3,$AM1188,IF($AM1188&gt;3,3+($F1188-$AO1188)/($AO1188-$AN1188),-3+($F1188-$AQ1188)/($AP1188-$AQ1188))),2))</f>
        <v/>
      </c>
      <c r="P1188">
        <f>IF(OR($O1188="",$O1188="—"),"",IF($O1188&lt;-3,"Muito baixo",IF($O1188&lt;-2,"Baixo",IF($O1188&lt;=2,"Adequado","Elevado"))))</f>
        <v/>
      </c>
      <c r="Q1188" s="12">
        <f>IF(OR($S1188="",$F1188="",$T1188="",$T1188&lt;0,$T1188&gt;60,$AR1188=""),"—",ROUND(IF(ABS($AU1188)&lt;=3,$AU1188,IF($AU1188&gt;3,3+($F1188-$AW1188)/($AW1188-$AV1188),-3+($F1188-$AY1188)/($AX1188-$AY1188))),2))</f>
        <v/>
      </c>
      <c r="R1188">
        <f>IF(OR($Q1188="",$Q1188="—"),"",IF($Q1188&lt;-3,"Magreza acentuada",IF($Q1188&lt;-2,"Magreza",IF($Q1188&lt;=1,"Eutrofia",IF($Q1188&lt;=2,"Risco de sobrepeso",IF($Q1188&lt;=3,"Sobrepeso","Obesidade"))))))</f>
        <v/>
      </c>
      <c r="S1188">
        <f>IF($C1188="","",IF(UPPER(LEFT($C1188,1))="M",1,IF(UPPER(LEFT($C1188,1))="F",2,"")))</f>
        <v/>
      </c>
      <c r="T1188">
        <f>IF(OR($D1188="",$E1188=""),"",DATEDIF($D1188,$E1188,"m"))</f>
        <v/>
      </c>
      <c r="U1188">
        <f>IF(OR($D1188="",$E1188=""),"",$E1188-$D1188)</f>
        <v/>
      </c>
      <c r="V1188">
        <f>IF(OR($G1188="",$T1188=""),"",IF($T1188&lt;24,IF(LEFT(LOWER($H1188),4)="em p",$G1188+0.7,$G1188),IF(LEFT(LOWER($H1188),4)="deit",$G1188-0.7,$G1188)))</f>
        <v/>
      </c>
      <c r="W1188">
        <f>IF(OR($S1188="",$T1188=""),"",$S1188*1000000+IF($T1188&lt;=60,$U1188,$T1188))</f>
        <v/>
      </c>
      <c r="X1188">
        <f>IF(OR($S1188="",$V1188="",$T1188&gt;60,$T1188=""),"",$S1188*1000000+ROUND($V1188*10,0))</f>
        <v/>
      </c>
      <c r="Y1188">
        <f>IF($W1188="","",IFERROR(INDEX(IF($T1188&lt;=60,imc05_l,imc519_l),MATCH($W1188,IF($T1188&lt;=60,imc05_k,imc519_k),1)),""))</f>
        <v/>
      </c>
      <c r="Z1188">
        <f>IF($W1188="","",IFERROR(INDEX(IF($T1188&lt;=60,imc05_m,imc519_m),MATCH($W1188,IF($T1188&lt;=60,imc05_k,imc519_k),1)),""))</f>
        <v/>
      </c>
      <c r="AA1188">
        <f>IF($W1188="","",IFERROR(INDEX(IF($T1188&lt;=60,imc05_s,imc519_s),MATCH($W1188,IF($T1188&lt;=60,imc05_k,imc519_k),1)),""))</f>
        <v/>
      </c>
      <c r="AB1188">
        <f>IF($Y1188="","",IF($Y1188=0,LN($J1188/$Z1188)/$AA1188,((($J1188/$Z1188)^$Y1188)-1)/($Y1188*$AA1188)))</f>
        <v/>
      </c>
      <c r="AC1188">
        <f>IF($Y1188="","",IF($Y1188=0,$Z1188*EXP($AA1188*2),$Z1188*(1+$Y1188*$AA1188*2)^(1/$Y1188)))</f>
        <v/>
      </c>
      <c r="AD1188">
        <f>IF($Y1188="","",IF($Y1188=0,$Z1188*EXP($AA1188*3),$Z1188*(1+$Y1188*$AA1188*3)^(1/$Y1188)))</f>
        <v/>
      </c>
      <c r="AE1188">
        <f>IF($Y1188="","",IF($Y1188=0,$Z1188*EXP($AA1188*-2),$Z1188*(1+$Y1188*$AA1188*-2)^(1/$Y1188)))</f>
        <v/>
      </c>
      <c r="AF1188">
        <f>IF($Y1188="","",IF($Y1188=0,$Z1188*EXP($AA1188*-3),$Z1188*(1+$Y1188*$AA1188*-3)^(1/$Y1188)))</f>
        <v/>
      </c>
      <c r="AG1188">
        <f>IF($W1188="","",IFERROR(INDEX(IF($T1188&lt;=60,est05_l,est519_l),MATCH($W1188,IF($T1188&lt;=60,est05_k,est519_k),1)),""))</f>
        <v/>
      </c>
      <c r="AH1188">
        <f>IF($W1188="","",IFERROR(INDEX(IF($T1188&lt;=60,est05_m,est519_m),MATCH($W1188,IF($T1188&lt;=60,est05_k,est519_k),1)),""))</f>
        <v/>
      </c>
      <c r="AI1188">
        <f>IF($W1188="","",IFERROR(INDEX(IF($T1188&lt;=60,est05_s,est519_s),MATCH($W1188,IF($T1188&lt;=60,est05_k,est519_k),1)),""))</f>
        <v/>
      </c>
      <c r="AJ1188">
        <f>IF($W1188="","",IFERROR(INDEX(IF($T1188&lt;=60,peso05_l,peso510_l),MATCH($W1188,IF($T1188&lt;=60,peso05_k,peso510_k),1)),""))</f>
        <v/>
      </c>
      <c r="AK1188">
        <f>IF($W1188="","",IFERROR(INDEX(IF($T1188&lt;=60,peso05_m,peso510_m),MATCH($W1188,IF($T1188&lt;=60,peso05_k,peso510_k),1)),""))</f>
        <v/>
      </c>
      <c r="AL1188">
        <f>IF($W1188="","",IFERROR(INDEX(IF($T1188&lt;=60,peso05_s,peso510_s),MATCH($W1188,IF($T1188&lt;=60,peso05_k,peso510_k),1)),""))</f>
        <v/>
      </c>
      <c r="AM1188">
        <f>IF($AJ1188="","",IF($AJ1188=0,LN($F1188/$AK1188)/$AL1188,((($F1188/$AK1188)^$AJ1188)-1)/($AJ1188*$AL1188)))</f>
        <v/>
      </c>
      <c r="AN1188">
        <f>IF($AJ1188="","",IF($AJ1188=0,$AK1188*EXP($AL1188*2),$AK1188*(1+$AJ1188*$AL1188*2)^(1/$AJ1188)))</f>
        <v/>
      </c>
      <c r="AO1188">
        <f>IF($AJ1188="","",IF($AJ1188=0,$AK1188*EXP($AL1188*3),$AK1188*(1+$AJ1188*$AL1188*3)^(1/$AJ1188)))</f>
        <v/>
      </c>
      <c r="AP1188">
        <f>IF($AJ1188="","",IF($AJ1188=0,$AK1188*EXP($AL1188*-2),$AK1188*(1+$AJ1188*$AL1188*-2)^(1/$AJ1188)))</f>
        <v/>
      </c>
      <c r="AQ1188">
        <f>IF($AJ1188="","",IF($AJ1188=0,$AK1188*EXP($AL1188*-3),$AK1188*(1+$AJ1188*$AL1188*-3)^(1/$AJ1188)))</f>
        <v/>
      </c>
      <c r="AR1188">
        <f>IF(OR($X1188="",$T1188&gt;60),"",IFERROR(INDEX(IF($T1188&lt;24,pcomp_l,palt_l),MATCH($X1188,IF($T1188&lt;24,pcomp_k,palt_k),1)),""))</f>
        <v/>
      </c>
      <c r="AS1188">
        <f>IF(OR($X1188="",$T1188&gt;60),"",IFERROR(INDEX(IF($T1188&lt;24,pcomp_m,palt_m),MATCH($X1188,IF($T1188&lt;24,pcomp_k,palt_k),1)),""))</f>
        <v/>
      </c>
      <c r="AT1188">
        <f>IF(OR($X1188="",$T1188&gt;60),"",IFERROR(INDEX(IF($T1188&lt;24,pcomp_s,palt_s),MATCH($X1188,IF($T1188&lt;24,pcomp_k,palt_k),1)),""))</f>
        <v/>
      </c>
      <c r="AU1188">
        <f>IF($AR1188="","",IF($AR1188=0,LN($F1188/$AS1188)/$AT1188,((($F1188/$AS1188)^$AR1188)-1)/($AR1188*$AT1188)))</f>
        <v/>
      </c>
      <c r="AV1188">
        <f>IF($AR1188="","",IF($AR1188=0,$AS1188*EXP($AT1188*2),$AS1188*(1+$AR1188*$AT1188*2)^(1/$AR1188)))</f>
        <v/>
      </c>
      <c r="AW1188">
        <f>IF($AR1188="","",IF($AR1188=0,$AS1188*EXP($AT1188*3),$AS1188*(1+$AR1188*$AT1188*3)^(1/$AR1188)))</f>
        <v/>
      </c>
      <c r="AX1188">
        <f>IF($AR1188="","",IF($AR1188=0,$AS1188*EXP($AT1188*-2),$AS1188*(1+$AR1188*$AT1188*-2)^(1/$AR1188)))</f>
        <v/>
      </c>
      <c r="AY1188">
        <f>IF($AR1188="","",IF($AR1188=0,$AS1188*EXP($AT1188*-3),$AS1188*(1+$AR1188*$AT1188*-3)^(1/$AR1188)))</f>
        <v/>
      </c>
      <c r="AZ1188">
        <f>IF(OR($A1188="",$A1188&lt;&gt;Ficha!$C$4),"",COUNTIF($A$2:$A1188,Ficha!$C$4))</f>
        <v/>
      </c>
    </row>
    <row r="1189">
      <c r="A1189" s="8">
        <f>IF(INDEX(Banco!$A:$A,ROW())="","",INDEX(Banco!$A:$A,ROW()))</f>
        <v/>
      </c>
      <c r="B1189" s="8">
        <f>IF(INDEX(Banco!$B:$B,ROW())="","",INDEX(Banco!$B:$B,ROW()))</f>
        <v/>
      </c>
      <c r="C1189" s="8">
        <f>IF(INDEX(Banco!$C:$C,ROW())="","",INDEX(Banco!$C:$C,ROW()))</f>
        <v/>
      </c>
      <c r="D1189" s="9">
        <f>IF(INDEX(Banco!$D:$D,ROW())="","",INDEX(Banco!$D:$D,ROW()))</f>
        <v/>
      </c>
      <c r="E1189" s="9">
        <f>IF(INDEX(Banco!$E:$E,ROW())="","",INDEX(Banco!$E:$E,ROW()))</f>
        <v/>
      </c>
      <c r="F1189" s="10">
        <f>IF(INDEX(Banco!$F:$F,ROW())="","",INDEX(Banco!$F:$F,ROW()))</f>
        <v/>
      </c>
      <c r="G1189" s="10">
        <f>IF(INDEX(Banco!$G:$G,ROW())="","",INDEX(Banco!$G:$G,ROW()))</f>
        <v/>
      </c>
      <c r="H1189" s="8">
        <f>IF(INDEX(Banco!$H:$H,ROW())="","",INDEX(Banco!$H:$H,ROW()))</f>
        <v/>
      </c>
      <c r="I1189">
        <f>IF($T1189="","",INT($T1189/12)&amp;"a "&amp;MOD($T1189,12)&amp;"m")</f>
        <v/>
      </c>
      <c r="J1189" s="11">
        <f>IF(OR($F1189="",$G1189=""),"",ROUND($F1189/($G1189/100)^2,2))</f>
        <v/>
      </c>
      <c r="K1189" s="12">
        <f>IF(OR($S1189="",$J1189="",$T1189="",$T1189&lt;0,$T1189&gt;228,$Y1189=""),"—",ROUND(IF(ABS($AB1189)&lt;=3,$AB1189,IF($AB1189&gt;3,3+($J1189-$AD1189)/($AD1189-$AC1189),-3+($J1189-$AF1189)/($AE1189-$AF1189))),2))</f>
        <v/>
      </c>
      <c r="L1189">
        <f>IF(OR($K1189="",$K1189="—"),"",IF($T1189&lt;=60,IF($K1189&lt;-3,"Magreza acentuada",IF($K1189&lt;-2,"Magreza",IF($K1189&lt;=1,"Eutrofia",IF($K1189&lt;=2,"Risco de sobrepeso",IF($K1189&lt;=3,"Sobrepeso","Obesidade"))))),IF($K1189&lt;-3,"Magreza acentuada",IF($K1189&lt;-2,"Magreza",IF($K1189&lt;=1,"Eutrofia",IF($K1189&lt;=2,"Sobrepeso",IF($K1189&lt;=3,"Obesidade","Obesidade grave")))))))</f>
        <v/>
      </c>
      <c r="M1189" s="12">
        <f>IF(OR($S1189="",$V1189="",$T1189="",$T1189&lt;0,$T1189&gt;228,$AG1189=""),"—",ROUND(IF($AG1189=0,LN($V1189/$AH1189)/$AI1189,((($V1189/$AH1189)^$AG1189)-1)/($AG1189*$AI1189)),2))</f>
        <v/>
      </c>
      <c r="N1189">
        <f>IF(OR($M1189="",$M1189="—"),"",IF($M1189&lt;-3,"Muito baixa",IF($M1189&lt;-2,"Baixa","Adequada")))</f>
        <v/>
      </c>
      <c r="O1189" s="12">
        <f>IF(OR($S1189="",$F1189="",$T1189="",$T1189&lt;0,$T1189&gt;120,$AJ1189=""),"—",ROUND(IF(ABS($AM1189)&lt;=3,$AM1189,IF($AM1189&gt;3,3+($F1189-$AO1189)/($AO1189-$AN1189),-3+($F1189-$AQ1189)/($AP1189-$AQ1189))),2))</f>
        <v/>
      </c>
      <c r="P1189">
        <f>IF(OR($O1189="",$O1189="—"),"",IF($O1189&lt;-3,"Muito baixo",IF($O1189&lt;-2,"Baixo",IF($O1189&lt;=2,"Adequado","Elevado"))))</f>
        <v/>
      </c>
      <c r="Q1189" s="12">
        <f>IF(OR($S1189="",$F1189="",$T1189="",$T1189&lt;0,$T1189&gt;60,$AR1189=""),"—",ROUND(IF(ABS($AU1189)&lt;=3,$AU1189,IF($AU1189&gt;3,3+($F1189-$AW1189)/($AW1189-$AV1189),-3+($F1189-$AY1189)/($AX1189-$AY1189))),2))</f>
        <v/>
      </c>
      <c r="R1189">
        <f>IF(OR($Q1189="",$Q1189="—"),"",IF($Q1189&lt;-3,"Magreza acentuada",IF($Q1189&lt;-2,"Magreza",IF($Q1189&lt;=1,"Eutrofia",IF($Q1189&lt;=2,"Risco de sobrepeso",IF($Q1189&lt;=3,"Sobrepeso","Obesidade"))))))</f>
        <v/>
      </c>
      <c r="S1189">
        <f>IF($C1189="","",IF(UPPER(LEFT($C1189,1))="M",1,IF(UPPER(LEFT($C1189,1))="F",2,"")))</f>
        <v/>
      </c>
      <c r="T1189">
        <f>IF(OR($D1189="",$E1189=""),"",DATEDIF($D1189,$E1189,"m"))</f>
        <v/>
      </c>
      <c r="U1189">
        <f>IF(OR($D1189="",$E1189=""),"",$E1189-$D1189)</f>
        <v/>
      </c>
      <c r="V1189">
        <f>IF(OR($G1189="",$T1189=""),"",IF($T1189&lt;24,IF(LEFT(LOWER($H1189),4)="em p",$G1189+0.7,$G1189),IF(LEFT(LOWER($H1189),4)="deit",$G1189-0.7,$G1189)))</f>
        <v/>
      </c>
      <c r="W1189">
        <f>IF(OR($S1189="",$T1189=""),"",$S1189*1000000+IF($T1189&lt;=60,$U1189,$T1189))</f>
        <v/>
      </c>
      <c r="X1189">
        <f>IF(OR($S1189="",$V1189="",$T1189&gt;60,$T1189=""),"",$S1189*1000000+ROUND($V1189*10,0))</f>
        <v/>
      </c>
      <c r="Y1189">
        <f>IF($W1189="","",IFERROR(INDEX(IF($T1189&lt;=60,imc05_l,imc519_l),MATCH($W1189,IF($T1189&lt;=60,imc05_k,imc519_k),1)),""))</f>
        <v/>
      </c>
      <c r="Z1189">
        <f>IF($W1189="","",IFERROR(INDEX(IF($T1189&lt;=60,imc05_m,imc519_m),MATCH($W1189,IF($T1189&lt;=60,imc05_k,imc519_k),1)),""))</f>
        <v/>
      </c>
      <c r="AA1189">
        <f>IF($W1189="","",IFERROR(INDEX(IF($T1189&lt;=60,imc05_s,imc519_s),MATCH($W1189,IF($T1189&lt;=60,imc05_k,imc519_k),1)),""))</f>
        <v/>
      </c>
      <c r="AB1189">
        <f>IF($Y1189="","",IF($Y1189=0,LN($J1189/$Z1189)/$AA1189,((($J1189/$Z1189)^$Y1189)-1)/($Y1189*$AA1189)))</f>
        <v/>
      </c>
      <c r="AC1189">
        <f>IF($Y1189="","",IF($Y1189=0,$Z1189*EXP($AA1189*2),$Z1189*(1+$Y1189*$AA1189*2)^(1/$Y1189)))</f>
        <v/>
      </c>
      <c r="AD1189">
        <f>IF($Y1189="","",IF($Y1189=0,$Z1189*EXP($AA1189*3),$Z1189*(1+$Y1189*$AA1189*3)^(1/$Y1189)))</f>
        <v/>
      </c>
      <c r="AE1189">
        <f>IF($Y1189="","",IF($Y1189=0,$Z1189*EXP($AA1189*-2),$Z1189*(1+$Y1189*$AA1189*-2)^(1/$Y1189)))</f>
        <v/>
      </c>
      <c r="AF1189">
        <f>IF($Y1189="","",IF($Y1189=0,$Z1189*EXP($AA1189*-3),$Z1189*(1+$Y1189*$AA1189*-3)^(1/$Y1189)))</f>
        <v/>
      </c>
      <c r="AG1189">
        <f>IF($W1189="","",IFERROR(INDEX(IF($T1189&lt;=60,est05_l,est519_l),MATCH($W1189,IF($T1189&lt;=60,est05_k,est519_k),1)),""))</f>
        <v/>
      </c>
      <c r="AH1189">
        <f>IF($W1189="","",IFERROR(INDEX(IF($T1189&lt;=60,est05_m,est519_m),MATCH($W1189,IF($T1189&lt;=60,est05_k,est519_k),1)),""))</f>
        <v/>
      </c>
      <c r="AI1189">
        <f>IF($W1189="","",IFERROR(INDEX(IF($T1189&lt;=60,est05_s,est519_s),MATCH($W1189,IF($T1189&lt;=60,est05_k,est519_k),1)),""))</f>
        <v/>
      </c>
      <c r="AJ1189">
        <f>IF($W1189="","",IFERROR(INDEX(IF($T1189&lt;=60,peso05_l,peso510_l),MATCH($W1189,IF($T1189&lt;=60,peso05_k,peso510_k),1)),""))</f>
        <v/>
      </c>
      <c r="AK1189">
        <f>IF($W1189="","",IFERROR(INDEX(IF($T1189&lt;=60,peso05_m,peso510_m),MATCH($W1189,IF($T1189&lt;=60,peso05_k,peso510_k),1)),""))</f>
        <v/>
      </c>
      <c r="AL1189">
        <f>IF($W1189="","",IFERROR(INDEX(IF($T1189&lt;=60,peso05_s,peso510_s),MATCH($W1189,IF($T1189&lt;=60,peso05_k,peso510_k),1)),""))</f>
        <v/>
      </c>
      <c r="AM1189">
        <f>IF($AJ1189="","",IF($AJ1189=0,LN($F1189/$AK1189)/$AL1189,((($F1189/$AK1189)^$AJ1189)-1)/($AJ1189*$AL1189)))</f>
        <v/>
      </c>
      <c r="AN1189">
        <f>IF($AJ1189="","",IF($AJ1189=0,$AK1189*EXP($AL1189*2),$AK1189*(1+$AJ1189*$AL1189*2)^(1/$AJ1189)))</f>
        <v/>
      </c>
      <c r="AO1189">
        <f>IF($AJ1189="","",IF($AJ1189=0,$AK1189*EXP($AL1189*3),$AK1189*(1+$AJ1189*$AL1189*3)^(1/$AJ1189)))</f>
        <v/>
      </c>
      <c r="AP1189">
        <f>IF($AJ1189="","",IF($AJ1189=0,$AK1189*EXP($AL1189*-2),$AK1189*(1+$AJ1189*$AL1189*-2)^(1/$AJ1189)))</f>
        <v/>
      </c>
      <c r="AQ1189">
        <f>IF($AJ1189="","",IF($AJ1189=0,$AK1189*EXP($AL1189*-3),$AK1189*(1+$AJ1189*$AL1189*-3)^(1/$AJ1189)))</f>
        <v/>
      </c>
      <c r="AR1189">
        <f>IF(OR($X1189="",$T1189&gt;60),"",IFERROR(INDEX(IF($T1189&lt;24,pcomp_l,palt_l),MATCH($X1189,IF($T1189&lt;24,pcomp_k,palt_k),1)),""))</f>
        <v/>
      </c>
      <c r="AS1189">
        <f>IF(OR($X1189="",$T1189&gt;60),"",IFERROR(INDEX(IF($T1189&lt;24,pcomp_m,palt_m),MATCH($X1189,IF($T1189&lt;24,pcomp_k,palt_k),1)),""))</f>
        <v/>
      </c>
      <c r="AT1189">
        <f>IF(OR($X1189="",$T1189&gt;60),"",IFERROR(INDEX(IF($T1189&lt;24,pcomp_s,palt_s),MATCH($X1189,IF($T1189&lt;24,pcomp_k,palt_k),1)),""))</f>
        <v/>
      </c>
      <c r="AU1189">
        <f>IF($AR1189="","",IF($AR1189=0,LN($F1189/$AS1189)/$AT1189,((($F1189/$AS1189)^$AR1189)-1)/($AR1189*$AT1189)))</f>
        <v/>
      </c>
      <c r="AV1189">
        <f>IF($AR1189="","",IF($AR1189=0,$AS1189*EXP($AT1189*2),$AS1189*(1+$AR1189*$AT1189*2)^(1/$AR1189)))</f>
        <v/>
      </c>
      <c r="AW1189">
        <f>IF($AR1189="","",IF($AR1189=0,$AS1189*EXP($AT1189*3),$AS1189*(1+$AR1189*$AT1189*3)^(1/$AR1189)))</f>
        <v/>
      </c>
      <c r="AX1189">
        <f>IF($AR1189="","",IF($AR1189=0,$AS1189*EXP($AT1189*-2),$AS1189*(1+$AR1189*$AT1189*-2)^(1/$AR1189)))</f>
        <v/>
      </c>
      <c r="AY1189">
        <f>IF($AR1189="","",IF($AR1189=0,$AS1189*EXP($AT1189*-3),$AS1189*(1+$AR1189*$AT1189*-3)^(1/$AR1189)))</f>
        <v/>
      </c>
      <c r="AZ1189">
        <f>IF(OR($A1189="",$A1189&lt;&gt;Ficha!$C$4),"",COUNTIF($A$2:$A1189,Ficha!$C$4))</f>
        <v/>
      </c>
    </row>
    <row r="1190">
      <c r="A1190" s="8">
        <f>IF(INDEX(Banco!$A:$A,ROW())="","",INDEX(Banco!$A:$A,ROW()))</f>
        <v/>
      </c>
      <c r="B1190" s="8">
        <f>IF(INDEX(Banco!$B:$B,ROW())="","",INDEX(Banco!$B:$B,ROW()))</f>
        <v/>
      </c>
      <c r="C1190" s="8">
        <f>IF(INDEX(Banco!$C:$C,ROW())="","",INDEX(Banco!$C:$C,ROW()))</f>
        <v/>
      </c>
      <c r="D1190" s="9">
        <f>IF(INDEX(Banco!$D:$D,ROW())="","",INDEX(Banco!$D:$D,ROW()))</f>
        <v/>
      </c>
      <c r="E1190" s="9">
        <f>IF(INDEX(Banco!$E:$E,ROW())="","",INDEX(Banco!$E:$E,ROW()))</f>
        <v/>
      </c>
      <c r="F1190" s="10">
        <f>IF(INDEX(Banco!$F:$F,ROW())="","",INDEX(Banco!$F:$F,ROW()))</f>
        <v/>
      </c>
      <c r="G1190" s="10">
        <f>IF(INDEX(Banco!$G:$G,ROW())="","",INDEX(Banco!$G:$G,ROW()))</f>
        <v/>
      </c>
      <c r="H1190" s="8">
        <f>IF(INDEX(Banco!$H:$H,ROW())="","",INDEX(Banco!$H:$H,ROW()))</f>
        <v/>
      </c>
      <c r="I1190">
        <f>IF($T1190="","",INT($T1190/12)&amp;"a "&amp;MOD($T1190,12)&amp;"m")</f>
        <v/>
      </c>
      <c r="J1190" s="11">
        <f>IF(OR($F1190="",$G1190=""),"",ROUND($F1190/($G1190/100)^2,2))</f>
        <v/>
      </c>
      <c r="K1190" s="12">
        <f>IF(OR($S1190="",$J1190="",$T1190="",$T1190&lt;0,$T1190&gt;228,$Y1190=""),"—",ROUND(IF(ABS($AB1190)&lt;=3,$AB1190,IF($AB1190&gt;3,3+($J1190-$AD1190)/($AD1190-$AC1190),-3+($J1190-$AF1190)/($AE1190-$AF1190))),2))</f>
        <v/>
      </c>
      <c r="L1190">
        <f>IF(OR($K1190="",$K1190="—"),"",IF($T1190&lt;=60,IF($K1190&lt;-3,"Magreza acentuada",IF($K1190&lt;-2,"Magreza",IF($K1190&lt;=1,"Eutrofia",IF($K1190&lt;=2,"Risco de sobrepeso",IF($K1190&lt;=3,"Sobrepeso","Obesidade"))))),IF($K1190&lt;-3,"Magreza acentuada",IF($K1190&lt;-2,"Magreza",IF($K1190&lt;=1,"Eutrofia",IF($K1190&lt;=2,"Sobrepeso",IF($K1190&lt;=3,"Obesidade","Obesidade grave")))))))</f>
        <v/>
      </c>
      <c r="M1190" s="12">
        <f>IF(OR($S1190="",$V1190="",$T1190="",$T1190&lt;0,$T1190&gt;228,$AG1190=""),"—",ROUND(IF($AG1190=0,LN($V1190/$AH1190)/$AI1190,((($V1190/$AH1190)^$AG1190)-1)/($AG1190*$AI1190)),2))</f>
        <v/>
      </c>
      <c r="N1190">
        <f>IF(OR($M1190="",$M1190="—"),"",IF($M1190&lt;-3,"Muito baixa",IF($M1190&lt;-2,"Baixa","Adequada")))</f>
        <v/>
      </c>
      <c r="O1190" s="12">
        <f>IF(OR($S1190="",$F1190="",$T1190="",$T1190&lt;0,$T1190&gt;120,$AJ1190=""),"—",ROUND(IF(ABS($AM1190)&lt;=3,$AM1190,IF($AM1190&gt;3,3+($F1190-$AO1190)/($AO1190-$AN1190),-3+($F1190-$AQ1190)/($AP1190-$AQ1190))),2))</f>
        <v/>
      </c>
      <c r="P1190">
        <f>IF(OR($O1190="",$O1190="—"),"",IF($O1190&lt;-3,"Muito baixo",IF($O1190&lt;-2,"Baixo",IF($O1190&lt;=2,"Adequado","Elevado"))))</f>
        <v/>
      </c>
      <c r="Q1190" s="12">
        <f>IF(OR($S1190="",$F1190="",$T1190="",$T1190&lt;0,$T1190&gt;60,$AR1190=""),"—",ROUND(IF(ABS($AU1190)&lt;=3,$AU1190,IF($AU1190&gt;3,3+($F1190-$AW1190)/($AW1190-$AV1190),-3+($F1190-$AY1190)/($AX1190-$AY1190))),2))</f>
        <v/>
      </c>
      <c r="R1190">
        <f>IF(OR($Q1190="",$Q1190="—"),"",IF($Q1190&lt;-3,"Magreza acentuada",IF($Q1190&lt;-2,"Magreza",IF($Q1190&lt;=1,"Eutrofia",IF($Q1190&lt;=2,"Risco de sobrepeso",IF($Q1190&lt;=3,"Sobrepeso","Obesidade"))))))</f>
        <v/>
      </c>
      <c r="S1190">
        <f>IF($C1190="","",IF(UPPER(LEFT($C1190,1))="M",1,IF(UPPER(LEFT($C1190,1))="F",2,"")))</f>
        <v/>
      </c>
      <c r="T1190">
        <f>IF(OR($D1190="",$E1190=""),"",DATEDIF($D1190,$E1190,"m"))</f>
        <v/>
      </c>
      <c r="U1190">
        <f>IF(OR($D1190="",$E1190=""),"",$E1190-$D1190)</f>
        <v/>
      </c>
      <c r="V1190">
        <f>IF(OR($G1190="",$T1190=""),"",IF($T1190&lt;24,IF(LEFT(LOWER($H1190),4)="em p",$G1190+0.7,$G1190),IF(LEFT(LOWER($H1190),4)="deit",$G1190-0.7,$G1190)))</f>
        <v/>
      </c>
      <c r="W1190">
        <f>IF(OR($S1190="",$T1190=""),"",$S1190*1000000+IF($T1190&lt;=60,$U1190,$T1190))</f>
        <v/>
      </c>
      <c r="X1190">
        <f>IF(OR($S1190="",$V1190="",$T1190&gt;60,$T1190=""),"",$S1190*1000000+ROUND($V1190*10,0))</f>
        <v/>
      </c>
      <c r="Y1190">
        <f>IF($W1190="","",IFERROR(INDEX(IF($T1190&lt;=60,imc05_l,imc519_l),MATCH($W1190,IF($T1190&lt;=60,imc05_k,imc519_k),1)),""))</f>
        <v/>
      </c>
      <c r="Z1190">
        <f>IF($W1190="","",IFERROR(INDEX(IF($T1190&lt;=60,imc05_m,imc519_m),MATCH($W1190,IF($T1190&lt;=60,imc05_k,imc519_k),1)),""))</f>
        <v/>
      </c>
      <c r="AA1190">
        <f>IF($W1190="","",IFERROR(INDEX(IF($T1190&lt;=60,imc05_s,imc519_s),MATCH($W1190,IF($T1190&lt;=60,imc05_k,imc519_k),1)),""))</f>
        <v/>
      </c>
      <c r="AB1190">
        <f>IF($Y1190="","",IF($Y1190=0,LN($J1190/$Z1190)/$AA1190,((($J1190/$Z1190)^$Y1190)-1)/($Y1190*$AA1190)))</f>
        <v/>
      </c>
      <c r="AC1190">
        <f>IF($Y1190="","",IF($Y1190=0,$Z1190*EXP($AA1190*2),$Z1190*(1+$Y1190*$AA1190*2)^(1/$Y1190)))</f>
        <v/>
      </c>
      <c r="AD1190">
        <f>IF($Y1190="","",IF($Y1190=0,$Z1190*EXP($AA1190*3),$Z1190*(1+$Y1190*$AA1190*3)^(1/$Y1190)))</f>
        <v/>
      </c>
      <c r="AE1190">
        <f>IF($Y1190="","",IF($Y1190=0,$Z1190*EXP($AA1190*-2),$Z1190*(1+$Y1190*$AA1190*-2)^(1/$Y1190)))</f>
        <v/>
      </c>
      <c r="AF1190">
        <f>IF($Y1190="","",IF($Y1190=0,$Z1190*EXP($AA1190*-3),$Z1190*(1+$Y1190*$AA1190*-3)^(1/$Y1190)))</f>
        <v/>
      </c>
      <c r="AG1190">
        <f>IF($W1190="","",IFERROR(INDEX(IF($T1190&lt;=60,est05_l,est519_l),MATCH($W1190,IF($T1190&lt;=60,est05_k,est519_k),1)),""))</f>
        <v/>
      </c>
      <c r="AH1190">
        <f>IF($W1190="","",IFERROR(INDEX(IF($T1190&lt;=60,est05_m,est519_m),MATCH($W1190,IF($T1190&lt;=60,est05_k,est519_k),1)),""))</f>
        <v/>
      </c>
      <c r="AI1190">
        <f>IF($W1190="","",IFERROR(INDEX(IF($T1190&lt;=60,est05_s,est519_s),MATCH($W1190,IF($T1190&lt;=60,est05_k,est519_k),1)),""))</f>
        <v/>
      </c>
      <c r="AJ1190">
        <f>IF($W1190="","",IFERROR(INDEX(IF($T1190&lt;=60,peso05_l,peso510_l),MATCH($W1190,IF($T1190&lt;=60,peso05_k,peso510_k),1)),""))</f>
        <v/>
      </c>
      <c r="AK1190">
        <f>IF($W1190="","",IFERROR(INDEX(IF($T1190&lt;=60,peso05_m,peso510_m),MATCH($W1190,IF($T1190&lt;=60,peso05_k,peso510_k),1)),""))</f>
        <v/>
      </c>
      <c r="AL1190">
        <f>IF($W1190="","",IFERROR(INDEX(IF($T1190&lt;=60,peso05_s,peso510_s),MATCH($W1190,IF($T1190&lt;=60,peso05_k,peso510_k),1)),""))</f>
        <v/>
      </c>
      <c r="AM1190">
        <f>IF($AJ1190="","",IF($AJ1190=0,LN($F1190/$AK1190)/$AL1190,((($F1190/$AK1190)^$AJ1190)-1)/($AJ1190*$AL1190)))</f>
        <v/>
      </c>
      <c r="AN1190">
        <f>IF($AJ1190="","",IF($AJ1190=0,$AK1190*EXP($AL1190*2),$AK1190*(1+$AJ1190*$AL1190*2)^(1/$AJ1190)))</f>
        <v/>
      </c>
      <c r="AO1190">
        <f>IF($AJ1190="","",IF($AJ1190=0,$AK1190*EXP($AL1190*3),$AK1190*(1+$AJ1190*$AL1190*3)^(1/$AJ1190)))</f>
        <v/>
      </c>
      <c r="AP1190">
        <f>IF($AJ1190="","",IF($AJ1190=0,$AK1190*EXP($AL1190*-2),$AK1190*(1+$AJ1190*$AL1190*-2)^(1/$AJ1190)))</f>
        <v/>
      </c>
      <c r="AQ1190">
        <f>IF($AJ1190="","",IF($AJ1190=0,$AK1190*EXP($AL1190*-3),$AK1190*(1+$AJ1190*$AL1190*-3)^(1/$AJ1190)))</f>
        <v/>
      </c>
      <c r="AR1190">
        <f>IF(OR($X1190="",$T1190&gt;60),"",IFERROR(INDEX(IF($T1190&lt;24,pcomp_l,palt_l),MATCH($X1190,IF($T1190&lt;24,pcomp_k,palt_k),1)),""))</f>
        <v/>
      </c>
      <c r="AS1190">
        <f>IF(OR($X1190="",$T1190&gt;60),"",IFERROR(INDEX(IF($T1190&lt;24,pcomp_m,palt_m),MATCH($X1190,IF($T1190&lt;24,pcomp_k,palt_k),1)),""))</f>
        <v/>
      </c>
      <c r="AT1190">
        <f>IF(OR($X1190="",$T1190&gt;60),"",IFERROR(INDEX(IF($T1190&lt;24,pcomp_s,palt_s),MATCH($X1190,IF($T1190&lt;24,pcomp_k,palt_k),1)),""))</f>
        <v/>
      </c>
      <c r="AU1190">
        <f>IF($AR1190="","",IF($AR1190=0,LN($F1190/$AS1190)/$AT1190,((($F1190/$AS1190)^$AR1190)-1)/($AR1190*$AT1190)))</f>
        <v/>
      </c>
      <c r="AV1190">
        <f>IF($AR1190="","",IF($AR1190=0,$AS1190*EXP($AT1190*2),$AS1190*(1+$AR1190*$AT1190*2)^(1/$AR1190)))</f>
        <v/>
      </c>
      <c r="AW1190">
        <f>IF($AR1190="","",IF($AR1190=0,$AS1190*EXP($AT1190*3),$AS1190*(1+$AR1190*$AT1190*3)^(1/$AR1190)))</f>
        <v/>
      </c>
      <c r="AX1190">
        <f>IF($AR1190="","",IF($AR1190=0,$AS1190*EXP($AT1190*-2),$AS1190*(1+$AR1190*$AT1190*-2)^(1/$AR1190)))</f>
        <v/>
      </c>
      <c r="AY1190">
        <f>IF($AR1190="","",IF($AR1190=0,$AS1190*EXP($AT1190*-3),$AS1190*(1+$AR1190*$AT1190*-3)^(1/$AR1190)))</f>
        <v/>
      </c>
      <c r="AZ1190">
        <f>IF(OR($A1190="",$A1190&lt;&gt;Ficha!$C$4),"",COUNTIF($A$2:$A1190,Ficha!$C$4))</f>
        <v/>
      </c>
    </row>
    <row r="1191">
      <c r="A1191" s="8">
        <f>IF(INDEX(Banco!$A:$A,ROW())="","",INDEX(Banco!$A:$A,ROW()))</f>
        <v/>
      </c>
      <c r="B1191" s="8">
        <f>IF(INDEX(Banco!$B:$B,ROW())="","",INDEX(Banco!$B:$B,ROW()))</f>
        <v/>
      </c>
      <c r="C1191" s="8">
        <f>IF(INDEX(Banco!$C:$C,ROW())="","",INDEX(Banco!$C:$C,ROW()))</f>
        <v/>
      </c>
      <c r="D1191" s="9">
        <f>IF(INDEX(Banco!$D:$D,ROW())="","",INDEX(Banco!$D:$D,ROW()))</f>
        <v/>
      </c>
      <c r="E1191" s="9">
        <f>IF(INDEX(Banco!$E:$E,ROW())="","",INDEX(Banco!$E:$E,ROW()))</f>
        <v/>
      </c>
      <c r="F1191" s="10">
        <f>IF(INDEX(Banco!$F:$F,ROW())="","",INDEX(Banco!$F:$F,ROW()))</f>
        <v/>
      </c>
      <c r="G1191" s="10">
        <f>IF(INDEX(Banco!$G:$G,ROW())="","",INDEX(Banco!$G:$G,ROW()))</f>
        <v/>
      </c>
      <c r="H1191" s="8">
        <f>IF(INDEX(Banco!$H:$H,ROW())="","",INDEX(Banco!$H:$H,ROW()))</f>
        <v/>
      </c>
      <c r="I1191">
        <f>IF($T1191="","",INT($T1191/12)&amp;"a "&amp;MOD($T1191,12)&amp;"m")</f>
        <v/>
      </c>
      <c r="J1191" s="11">
        <f>IF(OR($F1191="",$G1191=""),"",ROUND($F1191/($G1191/100)^2,2))</f>
        <v/>
      </c>
      <c r="K1191" s="12">
        <f>IF(OR($S1191="",$J1191="",$T1191="",$T1191&lt;0,$T1191&gt;228,$Y1191=""),"—",ROUND(IF(ABS($AB1191)&lt;=3,$AB1191,IF($AB1191&gt;3,3+($J1191-$AD1191)/($AD1191-$AC1191),-3+($J1191-$AF1191)/($AE1191-$AF1191))),2))</f>
        <v/>
      </c>
      <c r="L1191">
        <f>IF(OR($K1191="",$K1191="—"),"",IF($T1191&lt;=60,IF($K1191&lt;-3,"Magreza acentuada",IF($K1191&lt;-2,"Magreza",IF($K1191&lt;=1,"Eutrofia",IF($K1191&lt;=2,"Risco de sobrepeso",IF($K1191&lt;=3,"Sobrepeso","Obesidade"))))),IF($K1191&lt;-3,"Magreza acentuada",IF($K1191&lt;-2,"Magreza",IF($K1191&lt;=1,"Eutrofia",IF($K1191&lt;=2,"Sobrepeso",IF($K1191&lt;=3,"Obesidade","Obesidade grave")))))))</f>
        <v/>
      </c>
      <c r="M1191" s="12">
        <f>IF(OR($S1191="",$V1191="",$T1191="",$T1191&lt;0,$T1191&gt;228,$AG1191=""),"—",ROUND(IF($AG1191=0,LN($V1191/$AH1191)/$AI1191,((($V1191/$AH1191)^$AG1191)-1)/($AG1191*$AI1191)),2))</f>
        <v/>
      </c>
      <c r="N1191">
        <f>IF(OR($M1191="",$M1191="—"),"",IF($M1191&lt;-3,"Muito baixa",IF($M1191&lt;-2,"Baixa","Adequada")))</f>
        <v/>
      </c>
      <c r="O1191" s="12">
        <f>IF(OR($S1191="",$F1191="",$T1191="",$T1191&lt;0,$T1191&gt;120,$AJ1191=""),"—",ROUND(IF(ABS($AM1191)&lt;=3,$AM1191,IF($AM1191&gt;3,3+($F1191-$AO1191)/($AO1191-$AN1191),-3+($F1191-$AQ1191)/($AP1191-$AQ1191))),2))</f>
        <v/>
      </c>
      <c r="P1191">
        <f>IF(OR($O1191="",$O1191="—"),"",IF($O1191&lt;-3,"Muito baixo",IF($O1191&lt;-2,"Baixo",IF($O1191&lt;=2,"Adequado","Elevado"))))</f>
        <v/>
      </c>
      <c r="Q1191" s="12">
        <f>IF(OR($S1191="",$F1191="",$T1191="",$T1191&lt;0,$T1191&gt;60,$AR1191=""),"—",ROUND(IF(ABS($AU1191)&lt;=3,$AU1191,IF($AU1191&gt;3,3+($F1191-$AW1191)/($AW1191-$AV1191),-3+($F1191-$AY1191)/($AX1191-$AY1191))),2))</f>
        <v/>
      </c>
      <c r="R1191">
        <f>IF(OR($Q1191="",$Q1191="—"),"",IF($Q1191&lt;-3,"Magreza acentuada",IF($Q1191&lt;-2,"Magreza",IF($Q1191&lt;=1,"Eutrofia",IF($Q1191&lt;=2,"Risco de sobrepeso",IF($Q1191&lt;=3,"Sobrepeso","Obesidade"))))))</f>
        <v/>
      </c>
      <c r="S1191">
        <f>IF($C1191="","",IF(UPPER(LEFT($C1191,1))="M",1,IF(UPPER(LEFT($C1191,1))="F",2,"")))</f>
        <v/>
      </c>
      <c r="T1191">
        <f>IF(OR($D1191="",$E1191=""),"",DATEDIF($D1191,$E1191,"m"))</f>
        <v/>
      </c>
      <c r="U1191">
        <f>IF(OR($D1191="",$E1191=""),"",$E1191-$D1191)</f>
        <v/>
      </c>
      <c r="V1191">
        <f>IF(OR($G1191="",$T1191=""),"",IF($T1191&lt;24,IF(LEFT(LOWER($H1191),4)="em p",$G1191+0.7,$G1191),IF(LEFT(LOWER($H1191),4)="deit",$G1191-0.7,$G1191)))</f>
        <v/>
      </c>
      <c r="W1191">
        <f>IF(OR($S1191="",$T1191=""),"",$S1191*1000000+IF($T1191&lt;=60,$U1191,$T1191))</f>
        <v/>
      </c>
      <c r="X1191">
        <f>IF(OR($S1191="",$V1191="",$T1191&gt;60,$T1191=""),"",$S1191*1000000+ROUND($V1191*10,0))</f>
        <v/>
      </c>
      <c r="Y1191">
        <f>IF($W1191="","",IFERROR(INDEX(IF($T1191&lt;=60,imc05_l,imc519_l),MATCH($W1191,IF($T1191&lt;=60,imc05_k,imc519_k),1)),""))</f>
        <v/>
      </c>
      <c r="Z1191">
        <f>IF($W1191="","",IFERROR(INDEX(IF($T1191&lt;=60,imc05_m,imc519_m),MATCH($W1191,IF($T1191&lt;=60,imc05_k,imc519_k),1)),""))</f>
        <v/>
      </c>
      <c r="AA1191">
        <f>IF($W1191="","",IFERROR(INDEX(IF($T1191&lt;=60,imc05_s,imc519_s),MATCH($W1191,IF($T1191&lt;=60,imc05_k,imc519_k),1)),""))</f>
        <v/>
      </c>
      <c r="AB1191">
        <f>IF($Y1191="","",IF($Y1191=0,LN($J1191/$Z1191)/$AA1191,((($J1191/$Z1191)^$Y1191)-1)/($Y1191*$AA1191)))</f>
        <v/>
      </c>
      <c r="AC1191">
        <f>IF($Y1191="","",IF($Y1191=0,$Z1191*EXP($AA1191*2),$Z1191*(1+$Y1191*$AA1191*2)^(1/$Y1191)))</f>
        <v/>
      </c>
      <c r="AD1191">
        <f>IF($Y1191="","",IF($Y1191=0,$Z1191*EXP($AA1191*3),$Z1191*(1+$Y1191*$AA1191*3)^(1/$Y1191)))</f>
        <v/>
      </c>
      <c r="AE1191">
        <f>IF($Y1191="","",IF($Y1191=0,$Z1191*EXP($AA1191*-2),$Z1191*(1+$Y1191*$AA1191*-2)^(1/$Y1191)))</f>
        <v/>
      </c>
      <c r="AF1191">
        <f>IF($Y1191="","",IF($Y1191=0,$Z1191*EXP($AA1191*-3),$Z1191*(1+$Y1191*$AA1191*-3)^(1/$Y1191)))</f>
        <v/>
      </c>
      <c r="AG1191">
        <f>IF($W1191="","",IFERROR(INDEX(IF($T1191&lt;=60,est05_l,est519_l),MATCH($W1191,IF($T1191&lt;=60,est05_k,est519_k),1)),""))</f>
        <v/>
      </c>
      <c r="AH1191">
        <f>IF($W1191="","",IFERROR(INDEX(IF($T1191&lt;=60,est05_m,est519_m),MATCH($W1191,IF($T1191&lt;=60,est05_k,est519_k),1)),""))</f>
        <v/>
      </c>
      <c r="AI1191">
        <f>IF($W1191="","",IFERROR(INDEX(IF($T1191&lt;=60,est05_s,est519_s),MATCH($W1191,IF($T1191&lt;=60,est05_k,est519_k),1)),""))</f>
        <v/>
      </c>
      <c r="AJ1191">
        <f>IF($W1191="","",IFERROR(INDEX(IF($T1191&lt;=60,peso05_l,peso510_l),MATCH($W1191,IF($T1191&lt;=60,peso05_k,peso510_k),1)),""))</f>
        <v/>
      </c>
      <c r="AK1191">
        <f>IF($W1191="","",IFERROR(INDEX(IF($T1191&lt;=60,peso05_m,peso510_m),MATCH($W1191,IF($T1191&lt;=60,peso05_k,peso510_k),1)),""))</f>
        <v/>
      </c>
      <c r="AL1191">
        <f>IF($W1191="","",IFERROR(INDEX(IF($T1191&lt;=60,peso05_s,peso510_s),MATCH($W1191,IF($T1191&lt;=60,peso05_k,peso510_k),1)),""))</f>
        <v/>
      </c>
      <c r="AM1191">
        <f>IF($AJ1191="","",IF($AJ1191=0,LN($F1191/$AK1191)/$AL1191,((($F1191/$AK1191)^$AJ1191)-1)/($AJ1191*$AL1191)))</f>
        <v/>
      </c>
      <c r="AN1191">
        <f>IF($AJ1191="","",IF($AJ1191=0,$AK1191*EXP($AL1191*2),$AK1191*(1+$AJ1191*$AL1191*2)^(1/$AJ1191)))</f>
        <v/>
      </c>
      <c r="AO1191">
        <f>IF($AJ1191="","",IF($AJ1191=0,$AK1191*EXP($AL1191*3),$AK1191*(1+$AJ1191*$AL1191*3)^(1/$AJ1191)))</f>
        <v/>
      </c>
      <c r="AP1191">
        <f>IF($AJ1191="","",IF($AJ1191=0,$AK1191*EXP($AL1191*-2),$AK1191*(1+$AJ1191*$AL1191*-2)^(1/$AJ1191)))</f>
        <v/>
      </c>
      <c r="AQ1191">
        <f>IF($AJ1191="","",IF($AJ1191=0,$AK1191*EXP($AL1191*-3),$AK1191*(1+$AJ1191*$AL1191*-3)^(1/$AJ1191)))</f>
        <v/>
      </c>
      <c r="AR1191">
        <f>IF(OR($X1191="",$T1191&gt;60),"",IFERROR(INDEX(IF($T1191&lt;24,pcomp_l,palt_l),MATCH($X1191,IF($T1191&lt;24,pcomp_k,palt_k),1)),""))</f>
        <v/>
      </c>
      <c r="AS1191">
        <f>IF(OR($X1191="",$T1191&gt;60),"",IFERROR(INDEX(IF($T1191&lt;24,pcomp_m,palt_m),MATCH($X1191,IF($T1191&lt;24,pcomp_k,palt_k),1)),""))</f>
        <v/>
      </c>
      <c r="AT1191">
        <f>IF(OR($X1191="",$T1191&gt;60),"",IFERROR(INDEX(IF($T1191&lt;24,pcomp_s,palt_s),MATCH($X1191,IF($T1191&lt;24,pcomp_k,palt_k),1)),""))</f>
        <v/>
      </c>
      <c r="AU1191">
        <f>IF($AR1191="","",IF($AR1191=0,LN($F1191/$AS1191)/$AT1191,((($F1191/$AS1191)^$AR1191)-1)/($AR1191*$AT1191)))</f>
        <v/>
      </c>
      <c r="AV1191">
        <f>IF($AR1191="","",IF($AR1191=0,$AS1191*EXP($AT1191*2),$AS1191*(1+$AR1191*$AT1191*2)^(1/$AR1191)))</f>
        <v/>
      </c>
      <c r="AW1191">
        <f>IF($AR1191="","",IF($AR1191=0,$AS1191*EXP($AT1191*3),$AS1191*(1+$AR1191*$AT1191*3)^(1/$AR1191)))</f>
        <v/>
      </c>
      <c r="AX1191">
        <f>IF($AR1191="","",IF($AR1191=0,$AS1191*EXP($AT1191*-2),$AS1191*(1+$AR1191*$AT1191*-2)^(1/$AR1191)))</f>
        <v/>
      </c>
      <c r="AY1191">
        <f>IF($AR1191="","",IF($AR1191=0,$AS1191*EXP($AT1191*-3),$AS1191*(1+$AR1191*$AT1191*-3)^(1/$AR1191)))</f>
        <v/>
      </c>
      <c r="AZ1191">
        <f>IF(OR($A1191="",$A1191&lt;&gt;Ficha!$C$4),"",COUNTIF($A$2:$A1191,Ficha!$C$4))</f>
        <v/>
      </c>
    </row>
    <row r="1192">
      <c r="A1192" s="8">
        <f>IF(INDEX(Banco!$A:$A,ROW())="","",INDEX(Banco!$A:$A,ROW()))</f>
        <v/>
      </c>
      <c r="B1192" s="8">
        <f>IF(INDEX(Banco!$B:$B,ROW())="","",INDEX(Banco!$B:$B,ROW()))</f>
        <v/>
      </c>
      <c r="C1192" s="8">
        <f>IF(INDEX(Banco!$C:$C,ROW())="","",INDEX(Banco!$C:$C,ROW()))</f>
        <v/>
      </c>
      <c r="D1192" s="9">
        <f>IF(INDEX(Banco!$D:$D,ROW())="","",INDEX(Banco!$D:$D,ROW()))</f>
        <v/>
      </c>
      <c r="E1192" s="9">
        <f>IF(INDEX(Banco!$E:$E,ROW())="","",INDEX(Banco!$E:$E,ROW()))</f>
        <v/>
      </c>
      <c r="F1192" s="10">
        <f>IF(INDEX(Banco!$F:$F,ROW())="","",INDEX(Banco!$F:$F,ROW()))</f>
        <v/>
      </c>
      <c r="G1192" s="10">
        <f>IF(INDEX(Banco!$G:$G,ROW())="","",INDEX(Banco!$G:$G,ROW()))</f>
        <v/>
      </c>
      <c r="H1192" s="8">
        <f>IF(INDEX(Banco!$H:$H,ROW())="","",INDEX(Banco!$H:$H,ROW()))</f>
        <v/>
      </c>
      <c r="I1192">
        <f>IF($T1192="","",INT($T1192/12)&amp;"a "&amp;MOD($T1192,12)&amp;"m")</f>
        <v/>
      </c>
      <c r="J1192" s="11">
        <f>IF(OR($F1192="",$G1192=""),"",ROUND($F1192/($G1192/100)^2,2))</f>
        <v/>
      </c>
      <c r="K1192" s="12">
        <f>IF(OR($S1192="",$J1192="",$T1192="",$T1192&lt;0,$T1192&gt;228,$Y1192=""),"—",ROUND(IF(ABS($AB1192)&lt;=3,$AB1192,IF($AB1192&gt;3,3+($J1192-$AD1192)/($AD1192-$AC1192),-3+($J1192-$AF1192)/($AE1192-$AF1192))),2))</f>
        <v/>
      </c>
      <c r="L1192">
        <f>IF(OR($K1192="",$K1192="—"),"",IF($T1192&lt;=60,IF($K1192&lt;-3,"Magreza acentuada",IF($K1192&lt;-2,"Magreza",IF($K1192&lt;=1,"Eutrofia",IF($K1192&lt;=2,"Risco de sobrepeso",IF($K1192&lt;=3,"Sobrepeso","Obesidade"))))),IF($K1192&lt;-3,"Magreza acentuada",IF($K1192&lt;-2,"Magreza",IF($K1192&lt;=1,"Eutrofia",IF($K1192&lt;=2,"Sobrepeso",IF($K1192&lt;=3,"Obesidade","Obesidade grave")))))))</f>
        <v/>
      </c>
      <c r="M1192" s="12">
        <f>IF(OR($S1192="",$V1192="",$T1192="",$T1192&lt;0,$T1192&gt;228,$AG1192=""),"—",ROUND(IF($AG1192=0,LN($V1192/$AH1192)/$AI1192,((($V1192/$AH1192)^$AG1192)-1)/($AG1192*$AI1192)),2))</f>
        <v/>
      </c>
      <c r="N1192">
        <f>IF(OR($M1192="",$M1192="—"),"",IF($M1192&lt;-3,"Muito baixa",IF($M1192&lt;-2,"Baixa","Adequada")))</f>
        <v/>
      </c>
      <c r="O1192" s="12">
        <f>IF(OR($S1192="",$F1192="",$T1192="",$T1192&lt;0,$T1192&gt;120,$AJ1192=""),"—",ROUND(IF(ABS($AM1192)&lt;=3,$AM1192,IF($AM1192&gt;3,3+($F1192-$AO1192)/($AO1192-$AN1192),-3+($F1192-$AQ1192)/($AP1192-$AQ1192))),2))</f>
        <v/>
      </c>
      <c r="P1192">
        <f>IF(OR($O1192="",$O1192="—"),"",IF($O1192&lt;-3,"Muito baixo",IF($O1192&lt;-2,"Baixo",IF($O1192&lt;=2,"Adequado","Elevado"))))</f>
        <v/>
      </c>
      <c r="Q1192" s="12">
        <f>IF(OR($S1192="",$F1192="",$T1192="",$T1192&lt;0,$T1192&gt;60,$AR1192=""),"—",ROUND(IF(ABS($AU1192)&lt;=3,$AU1192,IF($AU1192&gt;3,3+($F1192-$AW1192)/($AW1192-$AV1192),-3+($F1192-$AY1192)/($AX1192-$AY1192))),2))</f>
        <v/>
      </c>
      <c r="R1192">
        <f>IF(OR($Q1192="",$Q1192="—"),"",IF($Q1192&lt;-3,"Magreza acentuada",IF($Q1192&lt;-2,"Magreza",IF($Q1192&lt;=1,"Eutrofia",IF($Q1192&lt;=2,"Risco de sobrepeso",IF($Q1192&lt;=3,"Sobrepeso","Obesidade"))))))</f>
        <v/>
      </c>
      <c r="S1192">
        <f>IF($C1192="","",IF(UPPER(LEFT($C1192,1))="M",1,IF(UPPER(LEFT($C1192,1))="F",2,"")))</f>
        <v/>
      </c>
      <c r="T1192">
        <f>IF(OR($D1192="",$E1192=""),"",DATEDIF($D1192,$E1192,"m"))</f>
        <v/>
      </c>
      <c r="U1192">
        <f>IF(OR($D1192="",$E1192=""),"",$E1192-$D1192)</f>
        <v/>
      </c>
      <c r="V1192">
        <f>IF(OR($G1192="",$T1192=""),"",IF($T1192&lt;24,IF(LEFT(LOWER($H1192),4)="em p",$G1192+0.7,$G1192),IF(LEFT(LOWER($H1192),4)="deit",$G1192-0.7,$G1192)))</f>
        <v/>
      </c>
      <c r="W1192">
        <f>IF(OR($S1192="",$T1192=""),"",$S1192*1000000+IF($T1192&lt;=60,$U1192,$T1192))</f>
        <v/>
      </c>
      <c r="X1192">
        <f>IF(OR($S1192="",$V1192="",$T1192&gt;60,$T1192=""),"",$S1192*1000000+ROUND($V1192*10,0))</f>
        <v/>
      </c>
      <c r="Y1192">
        <f>IF($W1192="","",IFERROR(INDEX(IF($T1192&lt;=60,imc05_l,imc519_l),MATCH($W1192,IF($T1192&lt;=60,imc05_k,imc519_k),1)),""))</f>
        <v/>
      </c>
      <c r="Z1192">
        <f>IF($W1192="","",IFERROR(INDEX(IF($T1192&lt;=60,imc05_m,imc519_m),MATCH($W1192,IF($T1192&lt;=60,imc05_k,imc519_k),1)),""))</f>
        <v/>
      </c>
      <c r="AA1192">
        <f>IF($W1192="","",IFERROR(INDEX(IF($T1192&lt;=60,imc05_s,imc519_s),MATCH($W1192,IF($T1192&lt;=60,imc05_k,imc519_k),1)),""))</f>
        <v/>
      </c>
      <c r="AB1192">
        <f>IF($Y1192="","",IF($Y1192=0,LN($J1192/$Z1192)/$AA1192,((($J1192/$Z1192)^$Y1192)-1)/($Y1192*$AA1192)))</f>
        <v/>
      </c>
      <c r="AC1192">
        <f>IF($Y1192="","",IF($Y1192=0,$Z1192*EXP($AA1192*2),$Z1192*(1+$Y1192*$AA1192*2)^(1/$Y1192)))</f>
        <v/>
      </c>
      <c r="AD1192">
        <f>IF($Y1192="","",IF($Y1192=0,$Z1192*EXP($AA1192*3),$Z1192*(1+$Y1192*$AA1192*3)^(1/$Y1192)))</f>
        <v/>
      </c>
      <c r="AE1192">
        <f>IF($Y1192="","",IF($Y1192=0,$Z1192*EXP($AA1192*-2),$Z1192*(1+$Y1192*$AA1192*-2)^(1/$Y1192)))</f>
        <v/>
      </c>
      <c r="AF1192">
        <f>IF($Y1192="","",IF($Y1192=0,$Z1192*EXP($AA1192*-3),$Z1192*(1+$Y1192*$AA1192*-3)^(1/$Y1192)))</f>
        <v/>
      </c>
      <c r="AG1192">
        <f>IF($W1192="","",IFERROR(INDEX(IF($T1192&lt;=60,est05_l,est519_l),MATCH($W1192,IF($T1192&lt;=60,est05_k,est519_k),1)),""))</f>
        <v/>
      </c>
      <c r="AH1192">
        <f>IF($W1192="","",IFERROR(INDEX(IF($T1192&lt;=60,est05_m,est519_m),MATCH($W1192,IF($T1192&lt;=60,est05_k,est519_k),1)),""))</f>
        <v/>
      </c>
      <c r="AI1192">
        <f>IF($W1192="","",IFERROR(INDEX(IF($T1192&lt;=60,est05_s,est519_s),MATCH($W1192,IF($T1192&lt;=60,est05_k,est519_k),1)),""))</f>
        <v/>
      </c>
      <c r="AJ1192">
        <f>IF($W1192="","",IFERROR(INDEX(IF($T1192&lt;=60,peso05_l,peso510_l),MATCH($W1192,IF($T1192&lt;=60,peso05_k,peso510_k),1)),""))</f>
        <v/>
      </c>
      <c r="AK1192">
        <f>IF($W1192="","",IFERROR(INDEX(IF($T1192&lt;=60,peso05_m,peso510_m),MATCH($W1192,IF($T1192&lt;=60,peso05_k,peso510_k),1)),""))</f>
        <v/>
      </c>
      <c r="AL1192">
        <f>IF($W1192="","",IFERROR(INDEX(IF($T1192&lt;=60,peso05_s,peso510_s),MATCH($W1192,IF($T1192&lt;=60,peso05_k,peso510_k),1)),""))</f>
        <v/>
      </c>
      <c r="AM1192">
        <f>IF($AJ1192="","",IF($AJ1192=0,LN($F1192/$AK1192)/$AL1192,((($F1192/$AK1192)^$AJ1192)-1)/($AJ1192*$AL1192)))</f>
        <v/>
      </c>
      <c r="AN1192">
        <f>IF($AJ1192="","",IF($AJ1192=0,$AK1192*EXP($AL1192*2),$AK1192*(1+$AJ1192*$AL1192*2)^(1/$AJ1192)))</f>
        <v/>
      </c>
      <c r="AO1192">
        <f>IF($AJ1192="","",IF($AJ1192=0,$AK1192*EXP($AL1192*3),$AK1192*(1+$AJ1192*$AL1192*3)^(1/$AJ1192)))</f>
        <v/>
      </c>
      <c r="AP1192">
        <f>IF($AJ1192="","",IF($AJ1192=0,$AK1192*EXP($AL1192*-2),$AK1192*(1+$AJ1192*$AL1192*-2)^(1/$AJ1192)))</f>
        <v/>
      </c>
      <c r="AQ1192">
        <f>IF($AJ1192="","",IF($AJ1192=0,$AK1192*EXP($AL1192*-3),$AK1192*(1+$AJ1192*$AL1192*-3)^(1/$AJ1192)))</f>
        <v/>
      </c>
      <c r="AR1192">
        <f>IF(OR($X1192="",$T1192&gt;60),"",IFERROR(INDEX(IF($T1192&lt;24,pcomp_l,palt_l),MATCH($X1192,IF($T1192&lt;24,pcomp_k,palt_k),1)),""))</f>
        <v/>
      </c>
      <c r="AS1192">
        <f>IF(OR($X1192="",$T1192&gt;60),"",IFERROR(INDEX(IF($T1192&lt;24,pcomp_m,palt_m),MATCH($X1192,IF($T1192&lt;24,pcomp_k,palt_k),1)),""))</f>
        <v/>
      </c>
      <c r="AT1192">
        <f>IF(OR($X1192="",$T1192&gt;60),"",IFERROR(INDEX(IF($T1192&lt;24,pcomp_s,palt_s),MATCH($X1192,IF($T1192&lt;24,pcomp_k,palt_k),1)),""))</f>
        <v/>
      </c>
      <c r="AU1192">
        <f>IF($AR1192="","",IF($AR1192=0,LN($F1192/$AS1192)/$AT1192,((($F1192/$AS1192)^$AR1192)-1)/($AR1192*$AT1192)))</f>
        <v/>
      </c>
      <c r="AV1192">
        <f>IF($AR1192="","",IF($AR1192=0,$AS1192*EXP($AT1192*2),$AS1192*(1+$AR1192*$AT1192*2)^(1/$AR1192)))</f>
        <v/>
      </c>
      <c r="AW1192">
        <f>IF($AR1192="","",IF($AR1192=0,$AS1192*EXP($AT1192*3),$AS1192*(1+$AR1192*$AT1192*3)^(1/$AR1192)))</f>
        <v/>
      </c>
      <c r="AX1192">
        <f>IF($AR1192="","",IF($AR1192=0,$AS1192*EXP($AT1192*-2),$AS1192*(1+$AR1192*$AT1192*-2)^(1/$AR1192)))</f>
        <v/>
      </c>
      <c r="AY1192">
        <f>IF($AR1192="","",IF($AR1192=0,$AS1192*EXP($AT1192*-3),$AS1192*(1+$AR1192*$AT1192*-3)^(1/$AR1192)))</f>
        <v/>
      </c>
      <c r="AZ1192">
        <f>IF(OR($A1192="",$A1192&lt;&gt;Ficha!$C$4),"",COUNTIF($A$2:$A1192,Ficha!$C$4))</f>
        <v/>
      </c>
    </row>
    <row r="1193">
      <c r="A1193" s="8">
        <f>IF(INDEX(Banco!$A:$A,ROW())="","",INDEX(Banco!$A:$A,ROW()))</f>
        <v/>
      </c>
      <c r="B1193" s="8">
        <f>IF(INDEX(Banco!$B:$B,ROW())="","",INDEX(Banco!$B:$B,ROW()))</f>
        <v/>
      </c>
      <c r="C1193" s="8">
        <f>IF(INDEX(Banco!$C:$C,ROW())="","",INDEX(Banco!$C:$C,ROW()))</f>
        <v/>
      </c>
      <c r="D1193" s="9">
        <f>IF(INDEX(Banco!$D:$D,ROW())="","",INDEX(Banco!$D:$D,ROW()))</f>
        <v/>
      </c>
      <c r="E1193" s="9">
        <f>IF(INDEX(Banco!$E:$E,ROW())="","",INDEX(Banco!$E:$E,ROW()))</f>
        <v/>
      </c>
      <c r="F1193" s="10">
        <f>IF(INDEX(Banco!$F:$F,ROW())="","",INDEX(Banco!$F:$F,ROW()))</f>
        <v/>
      </c>
      <c r="G1193" s="10">
        <f>IF(INDEX(Banco!$G:$G,ROW())="","",INDEX(Banco!$G:$G,ROW()))</f>
        <v/>
      </c>
      <c r="H1193" s="8">
        <f>IF(INDEX(Banco!$H:$H,ROW())="","",INDEX(Banco!$H:$H,ROW()))</f>
        <v/>
      </c>
      <c r="I1193">
        <f>IF($T1193="","",INT($T1193/12)&amp;"a "&amp;MOD($T1193,12)&amp;"m")</f>
        <v/>
      </c>
      <c r="J1193" s="11">
        <f>IF(OR($F1193="",$G1193=""),"",ROUND($F1193/($G1193/100)^2,2))</f>
        <v/>
      </c>
      <c r="K1193" s="12">
        <f>IF(OR($S1193="",$J1193="",$T1193="",$T1193&lt;0,$T1193&gt;228,$Y1193=""),"—",ROUND(IF(ABS($AB1193)&lt;=3,$AB1193,IF($AB1193&gt;3,3+($J1193-$AD1193)/($AD1193-$AC1193),-3+($J1193-$AF1193)/($AE1193-$AF1193))),2))</f>
        <v/>
      </c>
      <c r="L1193">
        <f>IF(OR($K1193="",$K1193="—"),"",IF($T1193&lt;=60,IF($K1193&lt;-3,"Magreza acentuada",IF($K1193&lt;-2,"Magreza",IF($K1193&lt;=1,"Eutrofia",IF($K1193&lt;=2,"Risco de sobrepeso",IF($K1193&lt;=3,"Sobrepeso","Obesidade"))))),IF($K1193&lt;-3,"Magreza acentuada",IF($K1193&lt;-2,"Magreza",IF($K1193&lt;=1,"Eutrofia",IF($K1193&lt;=2,"Sobrepeso",IF($K1193&lt;=3,"Obesidade","Obesidade grave")))))))</f>
        <v/>
      </c>
      <c r="M1193" s="12">
        <f>IF(OR($S1193="",$V1193="",$T1193="",$T1193&lt;0,$T1193&gt;228,$AG1193=""),"—",ROUND(IF($AG1193=0,LN($V1193/$AH1193)/$AI1193,((($V1193/$AH1193)^$AG1193)-1)/($AG1193*$AI1193)),2))</f>
        <v/>
      </c>
      <c r="N1193">
        <f>IF(OR($M1193="",$M1193="—"),"",IF($M1193&lt;-3,"Muito baixa",IF($M1193&lt;-2,"Baixa","Adequada")))</f>
        <v/>
      </c>
      <c r="O1193" s="12">
        <f>IF(OR($S1193="",$F1193="",$T1193="",$T1193&lt;0,$T1193&gt;120,$AJ1193=""),"—",ROUND(IF(ABS($AM1193)&lt;=3,$AM1193,IF($AM1193&gt;3,3+($F1193-$AO1193)/($AO1193-$AN1193),-3+($F1193-$AQ1193)/($AP1193-$AQ1193))),2))</f>
        <v/>
      </c>
      <c r="P1193">
        <f>IF(OR($O1193="",$O1193="—"),"",IF($O1193&lt;-3,"Muito baixo",IF($O1193&lt;-2,"Baixo",IF($O1193&lt;=2,"Adequado","Elevado"))))</f>
        <v/>
      </c>
      <c r="Q1193" s="12">
        <f>IF(OR($S1193="",$F1193="",$T1193="",$T1193&lt;0,$T1193&gt;60,$AR1193=""),"—",ROUND(IF(ABS($AU1193)&lt;=3,$AU1193,IF($AU1193&gt;3,3+($F1193-$AW1193)/($AW1193-$AV1193),-3+($F1193-$AY1193)/($AX1193-$AY1193))),2))</f>
        <v/>
      </c>
      <c r="R1193">
        <f>IF(OR($Q1193="",$Q1193="—"),"",IF($Q1193&lt;-3,"Magreza acentuada",IF($Q1193&lt;-2,"Magreza",IF($Q1193&lt;=1,"Eutrofia",IF($Q1193&lt;=2,"Risco de sobrepeso",IF($Q1193&lt;=3,"Sobrepeso","Obesidade"))))))</f>
        <v/>
      </c>
      <c r="S1193">
        <f>IF($C1193="","",IF(UPPER(LEFT($C1193,1))="M",1,IF(UPPER(LEFT($C1193,1))="F",2,"")))</f>
        <v/>
      </c>
      <c r="T1193">
        <f>IF(OR($D1193="",$E1193=""),"",DATEDIF($D1193,$E1193,"m"))</f>
        <v/>
      </c>
      <c r="U1193">
        <f>IF(OR($D1193="",$E1193=""),"",$E1193-$D1193)</f>
        <v/>
      </c>
      <c r="V1193">
        <f>IF(OR($G1193="",$T1193=""),"",IF($T1193&lt;24,IF(LEFT(LOWER($H1193),4)="em p",$G1193+0.7,$G1193),IF(LEFT(LOWER($H1193),4)="deit",$G1193-0.7,$G1193)))</f>
        <v/>
      </c>
      <c r="W1193">
        <f>IF(OR($S1193="",$T1193=""),"",$S1193*1000000+IF($T1193&lt;=60,$U1193,$T1193))</f>
        <v/>
      </c>
      <c r="X1193">
        <f>IF(OR($S1193="",$V1193="",$T1193&gt;60,$T1193=""),"",$S1193*1000000+ROUND($V1193*10,0))</f>
        <v/>
      </c>
      <c r="Y1193">
        <f>IF($W1193="","",IFERROR(INDEX(IF($T1193&lt;=60,imc05_l,imc519_l),MATCH($W1193,IF($T1193&lt;=60,imc05_k,imc519_k),1)),""))</f>
        <v/>
      </c>
      <c r="Z1193">
        <f>IF($W1193="","",IFERROR(INDEX(IF($T1193&lt;=60,imc05_m,imc519_m),MATCH($W1193,IF($T1193&lt;=60,imc05_k,imc519_k),1)),""))</f>
        <v/>
      </c>
      <c r="AA1193">
        <f>IF($W1193="","",IFERROR(INDEX(IF($T1193&lt;=60,imc05_s,imc519_s),MATCH($W1193,IF($T1193&lt;=60,imc05_k,imc519_k),1)),""))</f>
        <v/>
      </c>
      <c r="AB1193">
        <f>IF($Y1193="","",IF($Y1193=0,LN($J1193/$Z1193)/$AA1193,((($J1193/$Z1193)^$Y1193)-1)/($Y1193*$AA1193)))</f>
        <v/>
      </c>
      <c r="AC1193">
        <f>IF($Y1193="","",IF($Y1193=0,$Z1193*EXP($AA1193*2),$Z1193*(1+$Y1193*$AA1193*2)^(1/$Y1193)))</f>
        <v/>
      </c>
      <c r="AD1193">
        <f>IF($Y1193="","",IF($Y1193=0,$Z1193*EXP($AA1193*3),$Z1193*(1+$Y1193*$AA1193*3)^(1/$Y1193)))</f>
        <v/>
      </c>
      <c r="AE1193">
        <f>IF($Y1193="","",IF($Y1193=0,$Z1193*EXP($AA1193*-2),$Z1193*(1+$Y1193*$AA1193*-2)^(1/$Y1193)))</f>
        <v/>
      </c>
      <c r="AF1193">
        <f>IF($Y1193="","",IF($Y1193=0,$Z1193*EXP($AA1193*-3),$Z1193*(1+$Y1193*$AA1193*-3)^(1/$Y1193)))</f>
        <v/>
      </c>
      <c r="AG1193">
        <f>IF($W1193="","",IFERROR(INDEX(IF($T1193&lt;=60,est05_l,est519_l),MATCH($W1193,IF($T1193&lt;=60,est05_k,est519_k),1)),""))</f>
        <v/>
      </c>
      <c r="AH1193">
        <f>IF($W1193="","",IFERROR(INDEX(IF($T1193&lt;=60,est05_m,est519_m),MATCH($W1193,IF($T1193&lt;=60,est05_k,est519_k),1)),""))</f>
        <v/>
      </c>
      <c r="AI1193">
        <f>IF($W1193="","",IFERROR(INDEX(IF($T1193&lt;=60,est05_s,est519_s),MATCH($W1193,IF($T1193&lt;=60,est05_k,est519_k),1)),""))</f>
        <v/>
      </c>
      <c r="AJ1193">
        <f>IF($W1193="","",IFERROR(INDEX(IF($T1193&lt;=60,peso05_l,peso510_l),MATCH($W1193,IF($T1193&lt;=60,peso05_k,peso510_k),1)),""))</f>
        <v/>
      </c>
      <c r="AK1193">
        <f>IF($W1193="","",IFERROR(INDEX(IF($T1193&lt;=60,peso05_m,peso510_m),MATCH($W1193,IF($T1193&lt;=60,peso05_k,peso510_k),1)),""))</f>
        <v/>
      </c>
      <c r="AL1193">
        <f>IF($W1193="","",IFERROR(INDEX(IF($T1193&lt;=60,peso05_s,peso510_s),MATCH($W1193,IF($T1193&lt;=60,peso05_k,peso510_k),1)),""))</f>
        <v/>
      </c>
      <c r="AM1193">
        <f>IF($AJ1193="","",IF($AJ1193=0,LN($F1193/$AK1193)/$AL1193,((($F1193/$AK1193)^$AJ1193)-1)/($AJ1193*$AL1193)))</f>
        <v/>
      </c>
      <c r="AN1193">
        <f>IF($AJ1193="","",IF($AJ1193=0,$AK1193*EXP($AL1193*2),$AK1193*(1+$AJ1193*$AL1193*2)^(1/$AJ1193)))</f>
        <v/>
      </c>
      <c r="AO1193">
        <f>IF($AJ1193="","",IF($AJ1193=0,$AK1193*EXP($AL1193*3),$AK1193*(1+$AJ1193*$AL1193*3)^(1/$AJ1193)))</f>
        <v/>
      </c>
      <c r="AP1193">
        <f>IF($AJ1193="","",IF($AJ1193=0,$AK1193*EXP($AL1193*-2),$AK1193*(1+$AJ1193*$AL1193*-2)^(1/$AJ1193)))</f>
        <v/>
      </c>
      <c r="AQ1193">
        <f>IF($AJ1193="","",IF($AJ1193=0,$AK1193*EXP($AL1193*-3),$AK1193*(1+$AJ1193*$AL1193*-3)^(1/$AJ1193)))</f>
        <v/>
      </c>
      <c r="AR1193">
        <f>IF(OR($X1193="",$T1193&gt;60),"",IFERROR(INDEX(IF($T1193&lt;24,pcomp_l,palt_l),MATCH($X1193,IF($T1193&lt;24,pcomp_k,palt_k),1)),""))</f>
        <v/>
      </c>
      <c r="AS1193">
        <f>IF(OR($X1193="",$T1193&gt;60),"",IFERROR(INDEX(IF($T1193&lt;24,pcomp_m,palt_m),MATCH($X1193,IF($T1193&lt;24,pcomp_k,palt_k),1)),""))</f>
        <v/>
      </c>
      <c r="AT1193">
        <f>IF(OR($X1193="",$T1193&gt;60),"",IFERROR(INDEX(IF($T1193&lt;24,pcomp_s,palt_s),MATCH($X1193,IF($T1193&lt;24,pcomp_k,palt_k),1)),""))</f>
        <v/>
      </c>
      <c r="AU1193">
        <f>IF($AR1193="","",IF($AR1193=0,LN($F1193/$AS1193)/$AT1193,((($F1193/$AS1193)^$AR1193)-1)/($AR1193*$AT1193)))</f>
        <v/>
      </c>
      <c r="AV1193">
        <f>IF($AR1193="","",IF($AR1193=0,$AS1193*EXP($AT1193*2),$AS1193*(1+$AR1193*$AT1193*2)^(1/$AR1193)))</f>
        <v/>
      </c>
      <c r="AW1193">
        <f>IF($AR1193="","",IF($AR1193=0,$AS1193*EXP($AT1193*3),$AS1193*(1+$AR1193*$AT1193*3)^(1/$AR1193)))</f>
        <v/>
      </c>
      <c r="AX1193">
        <f>IF($AR1193="","",IF($AR1193=0,$AS1193*EXP($AT1193*-2),$AS1193*(1+$AR1193*$AT1193*-2)^(1/$AR1193)))</f>
        <v/>
      </c>
      <c r="AY1193">
        <f>IF($AR1193="","",IF($AR1193=0,$AS1193*EXP($AT1193*-3),$AS1193*(1+$AR1193*$AT1193*-3)^(1/$AR1193)))</f>
        <v/>
      </c>
      <c r="AZ1193">
        <f>IF(OR($A1193="",$A1193&lt;&gt;Ficha!$C$4),"",COUNTIF($A$2:$A1193,Ficha!$C$4))</f>
        <v/>
      </c>
    </row>
    <row r="1194">
      <c r="A1194" s="8">
        <f>IF(INDEX(Banco!$A:$A,ROW())="","",INDEX(Banco!$A:$A,ROW()))</f>
        <v/>
      </c>
      <c r="B1194" s="8">
        <f>IF(INDEX(Banco!$B:$B,ROW())="","",INDEX(Banco!$B:$B,ROW()))</f>
        <v/>
      </c>
      <c r="C1194" s="8">
        <f>IF(INDEX(Banco!$C:$C,ROW())="","",INDEX(Banco!$C:$C,ROW()))</f>
        <v/>
      </c>
      <c r="D1194" s="9">
        <f>IF(INDEX(Banco!$D:$D,ROW())="","",INDEX(Banco!$D:$D,ROW()))</f>
        <v/>
      </c>
      <c r="E1194" s="9">
        <f>IF(INDEX(Banco!$E:$E,ROW())="","",INDEX(Banco!$E:$E,ROW()))</f>
        <v/>
      </c>
      <c r="F1194" s="10">
        <f>IF(INDEX(Banco!$F:$F,ROW())="","",INDEX(Banco!$F:$F,ROW()))</f>
        <v/>
      </c>
      <c r="G1194" s="10">
        <f>IF(INDEX(Banco!$G:$G,ROW())="","",INDEX(Banco!$G:$G,ROW()))</f>
        <v/>
      </c>
      <c r="H1194" s="8">
        <f>IF(INDEX(Banco!$H:$H,ROW())="","",INDEX(Banco!$H:$H,ROW()))</f>
        <v/>
      </c>
      <c r="I1194">
        <f>IF($T1194="","",INT($T1194/12)&amp;"a "&amp;MOD($T1194,12)&amp;"m")</f>
        <v/>
      </c>
      <c r="J1194" s="11">
        <f>IF(OR($F1194="",$G1194=""),"",ROUND($F1194/($G1194/100)^2,2))</f>
        <v/>
      </c>
      <c r="K1194" s="12">
        <f>IF(OR($S1194="",$J1194="",$T1194="",$T1194&lt;0,$T1194&gt;228,$Y1194=""),"—",ROUND(IF(ABS($AB1194)&lt;=3,$AB1194,IF($AB1194&gt;3,3+($J1194-$AD1194)/($AD1194-$AC1194),-3+($J1194-$AF1194)/($AE1194-$AF1194))),2))</f>
        <v/>
      </c>
      <c r="L1194">
        <f>IF(OR($K1194="",$K1194="—"),"",IF($T1194&lt;=60,IF($K1194&lt;-3,"Magreza acentuada",IF($K1194&lt;-2,"Magreza",IF($K1194&lt;=1,"Eutrofia",IF($K1194&lt;=2,"Risco de sobrepeso",IF($K1194&lt;=3,"Sobrepeso","Obesidade"))))),IF($K1194&lt;-3,"Magreza acentuada",IF($K1194&lt;-2,"Magreza",IF($K1194&lt;=1,"Eutrofia",IF($K1194&lt;=2,"Sobrepeso",IF($K1194&lt;=3,"Obesidade","Obesidade grave")))))))</f>
        <v/>
      </c>
      <c r="M1194" s="12">
        <f>IF(OR($S1194="",$V1194="",$T1194="",$T1194&lt;0,$T1194&gt;228,$AG1194=""),"—",ROUND(IF($AG1194=0,LN($V1194/$AH1194)/$AI1194,((($V1194/$AH1194)^$AG1194)-1)/($AG1194*$AI1194)),2))</f>
        <v/>
      </c>
      <c r="N1194">
        <f>IF(OR($M1194="",$M1194="—"),"",IF($M1194&lt;-3,"Muito baixa",IF($M1194&lt;-2,"Baixa","Adequada")))</f>
        <v/>
      </c>
      <c r="O1194" s="12">
        <f>IF(OR($S1194="",$F1194="",$T1194="",$T1194&lt;0,$T1194&gt;120,$AJ1194=""),"—",ROUND(IF(ABS($AM1194)&lt;=3,$AM1194,IF($AM1194&gt;3,3+($F1194-$AO1194)/($AO1194-$AN1194),-3+($F1194-$AQ1194)/($AP1194-$AQ1194))),2))</f>
        <v/>
      </c>
      <c r="P1194">
        <f>IF(OR($O1194="",$O1194="—"),"",IF($O1194&lt;-3,"Muito baixo",IF($O1194&lt;-2,"Baixo",IF($O1194&lt;=2,"Adequado","Elevado"))))</f>
        <v/>
      </c>
      <c r="Q1194" s="12">
        <f>IF(OR($S1194="",$F1194="",$T1194="",$T1194&lt;0,$T1194&gt;60,$AR1194=""),"—",ROUND(IF(ABS($AU1194)&lt;=3,$AU1194,IF($AU1194&gt;3,3+($F1194-$AW1194)/($AW1194-$AV1194),-3+($F1194-$AY1194)/($AX1194-$AY1194))),2))</f>
        <v/>
      </c>
      <c r="R1194">
        <f>IF(OR($Q1194="",$Q1194="—"),"",IF($Q1194&lt;-3,"Magreza acentuada",IF($Q1194&lt;-2,"Magreza",IF($Q1194&lt;=1,"Eutrofia",IF($Q1194&lt;=2,"Risco de sobrepeso",IF($Q1194&lt;=3,"Sobrepeso","Obesidade"))))))</f>
        <v/>
      </c>
      <c r="S1194">
        <f>IF($C1194="","",IF(UPPER(LEFT($C1194,1))="M",1,IF(UPPER(LEFT($C1194,1))="F",2,"")))</f>
        <v/>
      </c>
      <c r="T1194">
        <f>IF(OR($D1194="",$E1194=""),"",DATEDIF($D1194,$E1194,"m"))</f>
        <v/>
      </c>
      <c r="U1194">
        <f>IF(OR($D1194="",$E1194=""),"",$E1194-$D1194)</f>
        <v/>
      </c>
      <c r="V1194">
        <f>IF(OR($G1194="",$T1194=""),"",IF($T1194&lt;24,IF(LEFT(LOWER($H1194),4)="em p",$G1194+0.7,$G1194),IF(LEFT(LOWER($H1194),4)="deit",$G1194-0.7,$G1194)))</f>
        <v/>
      </c>
      <c r="W1194">
        <f>IF(OR($S1194="",$T1194=""),"",$S1194*1000000+IF($T1194&lt;=60,$U1194,$T1194))</f>
        <v/>
      </c>
      <c r="X1194">
        <f>IF(OR($S1194="",$V1194="",$T1194&gt;60,$T1194=""),"",$S1194*1000000+ROUND($V1194*10,0))</f>
        <v/>
      </c>
      <c r="Y1194">
        <f>IF($W1194="","",IFERROR(INDEX(IF($T1194&lt;=60,imc05_l,imc519_l),MATCH($W1194,IF($T1194&lt;=60,imc05_k,imc519_k),1)),""))</f>
        <v/>
      </c>
      <c r="Z1194">
        <f>IF($W1194="","",IFERROR(INDEX(IF($T1194&lt;=60,imc05_m,imc519_m),MATCH($W1194,IF($T1194&lt;=60,imc05_k,imc519_k),1)),""))</f>
        <v/>
      </c>
      <c r="AA1194">
        <f>IF($W1194="","",IFERROR(INDEX(IF($T1194&lt;=60,imc05_s,imc519_s),MATCH($W1194,IF($T1194&lt;=60,imc05_k,imc519_k),1)),""))</f>
        <v/>
      </c>
      <c r="AB1194">
        <f>IF($Y1194="","",IF($Y1194=0,LN($J1194/$Z1194)/$AA1194,((($J1194/$Z1194)^$Y1194)-1)/($Y1194*$AA1194)))</f>
        <v/>
      </c>
      <c r="AC1194">
        <f>IF($Y1194="","",IF($Y1194=0,$Z1194*EXP($AA1194*2),$Z1194*(1+$Y1194*$AA1194*2)^(1/$Y1194)))</f>
        <v/>
      </c>
      <c r="AD1194">
        <f>IF($Y1194="","",IF($Y1194=0,$Z1194*EXP($AA1194*3),$Z1194*(1+$Y1194*$AA1194*3)^(1/$Y1194)))</f>
        <v/>
      </c>
      <c r="AE1194">
        <f>IF($Y1194="","",IF($Y1194=0,$Z1194*EXP($AA1194*-2),$Z1194*(1+$Y1194*$AA1194*-2)^(1/$Y1194)))</f>
        <v/>
      </c>
      <c r="AF1194">
        <f>IF($Y1194="","",IF($Y1194=0,$Z1194*EXP($AA1194*-3),$Z1194*(1+$Y1194*$AA1194*-3)^(1/$Y1194)))</f>
        <v/>
      </c>
      <c r="AG1194">
        <f>IF($W1194="","",IFERROR(INDEX(IF($T1194&lt;=60,est05_l,est519_l),MATCH($W1194,IF($T1194&lt;=60,est05_k,est519_k),1)),""))</f>
        <v/>
      </c>
      <c r="AH1194">
        <f>IF($W1194="","",IFERROR(INDEX(IF($T1194&lt;=60,est05_m,est519_m),MATCH($W1194,IF($T1194&lt;=60,est05_k,est519_k),1)),""))</f>
        <v/>
      </c>
      <c r="AI1194">
        <f>IF($W1194="","",IFERROR(INDEX(IF($T1194&lt;=60,est05_s,est519_s),MATCH($W1194,IF($T1194&lt;=60,est05_k,est519_k),1)),""))</f>
        <v/>
      </c>
      <c r="AJ1194">
        <f>IF($W1194="","",IFERROR(INDEX(IF($T1194&lt;=60,peso05_l,peso510_l),MATCH($W1194,IF($T1194&lt;=60,peso05_k,peso510_k),1)),""))</f>
        <v/>
      </c>
      <c r="AK1194">
        <f>IF($W1194="","",IFERROR(INDEX(IF($T1194&lt;=60,peso05_m,peso510_m),MATCH($W1194,IF($T1194&lt;=60,peso05_k,peso510_k),1)),""))</f>
        <v/>
      </c>
      <c r="AL1194">
        <f>IF($W1194="","",IFERROR(INDEX(IF($T1194&lt;=60,peso05_s,peso510_s),MATCH($W1194,IF($T1194&lt;=60,peso05_k,peso510_k),1)),""))</f>
        <v/>
      </c>
      <c r="AM1194">
        <f>IF($AJ1194="","",IF($AJ1194=0,LN($F1194/$AK1194)/$AL1194,((($F1194/$AK1194)^$AJ1194)-1)/($AJ1194*$AL1194)))</f>
        <v/>
      </c>
      <c r="AN1194">
        <f>IF($AJ1194="","",IF($AJ1194=0,$AK1194*EXP($AL1194*2),$AK1194*(1+$AJ1194*$AL1194*2)^(1/$AJ1194)))</f>
        <v/>
      </c>
      <c r="AO1194">
        <f>IF($AJ1194="","",IF($AJ1194=0,$AK1194*EXP($AL1194*3),$AK1194*(1+$AJ1194*$AL1194*3)^(1/$AJ1194)))</f>
        <v/>
      </c>
      <c r="AP1194">
        <f>IF($AJ1194="","",IF($AJ1194=0,$AK1194*EXP($AL1194*-2),$AK1194*(1+$AJ1194*$AL1194*-2)^(1/$AJ1194)))</f>
        <v/>
      </c>
      <c r="AQ1194">
        <f>IF($AJ1194="","",IF($AJ1194=0,$AK1194*EXP($AL1194*-3),$AK1194*(1+$AJ1194*$AL1194*-3)^(1/$AJ1194)))</f>
        <v/>
      </c>
      <c r="AR1194">
        <f>IF(OR($X1194="",$T1194&gt;60),"",IFERROR(INDEX(IF($T1194&lt;24,pcomp_l,palt_l),MATCH($X1194,IF($T1194&lt;24,pcomp_k,palt_k),1)),""))</f>
        <v/>
      </c>
      <c r="AS1194">
        <f>IF(OR($X1194="",$T1194&gt;60),"",IFERROR(INDEX(IF($T1194&lt;24,pcomp_m,palt_m),MATCH($X1194,IF($T1194&lt;24,pcomp_k,palt_k),1)),""))</f>
        <v/>
      </c>
      <c r="AT1194">
        <f>IF(OR($X1194="",$T1194&gt;60),"",IFERROR(INDEX(IF($T1194&lt;24,pcomp_s,palt_s),MATCH($X1194,IF($T1194&lt;24,pcomp_k,palt_k),1)),""))</f>
        <v/>
      </c>
      <c r="AU1194">
        <f>IF($AR1194="","",IF($AR1194=0,LN($F1194/$AS1194)/$AT1194,((($F1194/$AS1194)^$AR1194)-1)/($AR1194*$AT1194)))</f>
        <v/>
      </c>
      <c r="AV1194">
        <f>IF($AR1194="","",IF($AR1194=0,$AS1194*EXP($AT1194*2),$AS1194*(1+$AR1194*$AT1194*2)^(1/$AR1194)))</f>
        <v/>
      </c>
      <c r="AW1194">
        <f>IF($AR1194="","",IF($AR1194=0,$AS1194*EXP($AT1194*3),$AS1194*(1+$AR1194*$AT1194*3)^(1/$AR1194)))</f>
        <v/>
      </c>
      <c r="AX1194">
        <f>IF($AR1194="","",IF($AR1194=0,$AS1194*EXP($AT1194*-2),$AS1194*(1+$AR1194*$AT1194*-2)^(1/$AR1194)))</f>
        <v/>
      </c>
      <c r="AY1194">
        <f>IF($AR1194="","",IF($AR1194=0,$AS1194*EXP($AT1194*-3),$AS1194*(1+$AR1194*$AT1194*-3)^(1/$AR1194)))</f>
        <v/>
      </c>
      <c r="AZ1194">
        <f>IF(OR($A1194="",$A1194&lt;&gt;Ficha!$C$4),"",COUNTIF($A$2:$A1194,Ficha!$C$4))</f>
        <v/>
      </c>
    </row>
    <row r="1195">
      <c r="A1195" s="8">
        <f>IF(INDEX(Banco!$A:$A,ROW())="","",INDEX(Banco!$A:$A,ROW()))</f>
        <v/>
      </c>
      <c r="B1195" s="8">
        <f>IF(INDEX(Banco!$B:$B,ROW())="","",INDEX(Banco!$B:$B,ROW()))</f>
        <v/>
      </c>
      <c r="C1195" s="8">
        <f>IF(INDEX(Banco!$C:$C,ROW())="","",INDEX(Banco!$C:$C,ROW()))</f>
        <v/>
      </c>
      <c r="D1195" s="9">
        <f>IF(INDEX(Banco!$D:$D,ROW())="","",INDEX(Banco!$D:$D,ROW()))</f>
        <v/>
      </c>
      <c r="E1195" s="9">
        <f>IF(INDEX(Banco!$E:$E,ROW())="","",INDEX(Banco!$E:$E,ROW()))</f>
        <v/>
      </c>
      <c r="F1195" s="10">
        <f>IF(INDEX(Banco!$F:$F,ROW())="","",INDEX(Banco!$F:$F,ROW()))</f>
        <v/>
      </c>
      <c r="G1195" s="10">
        <f>IF(INDEX(Banco!$G:$G,ROW())="","",INDEX(Banco!$G:$G,ROW()))</f>
        <v/>
      </c>
      <c r="H1195" s="8">
        <f>IF(INDEX(Banco!$H:$H,ROW())="","",INDEX(Banco!$H:$H,ROW()))</f>
        <v/>
      </c>
      <c r="I1195">
        <f>IF($T1195="","",INT($T1195/12)&amp;"a "&amp;MOD($T1195,12)&amp;"m")</f>
        <v/>
      </c>
      <c r="J1195" s="11">
        <f>IF(OR($F1195="",$G1195=""),"",ROUND($F1195/($G1195/100)^2,2))</f>
        <v/>
      </c>
      <c r="K1195" s="12">
        <f>IF(OR($S1195="",$J1195="",$T1195="",$T1195&lt;0,$T1195&gt;228,$Y1195=""),"—",ROUND(IF(ABS($AB1195)&lt;=3,$AB1195,IF($AB1195&gt;3,3+($J1195-$AD1195)/($AD1195-$AC1195),-3+($J1195-$AF1195)/($AE1195-$AF1195))),2))</f>
        <v/>
      </c>
      <c r="L1195">
        <f>IF(OR($K1195="",$K1195="—"),"",IF($T1195&lt;=60,IF($K1195&lt;-3,"Magreza acentuada",IF($K1195&lt;-2,"Magreza",IF($K1195&lt;=1,"Eutrofia",IF($K1195&lt;=2,"Risco de sobrepeso",IF($K1195&lt;=3,"Sobrepeso","Obesidade"))))),IF($K1195&lt;-3,"Magreza acentuada",IF($K1195&lt;-2,"Magreza",IF($K1195&lt;=1,"Eutrofia",IF($K1195&lt;=2,"Sobrepeso",IF($K1195&lt;=3,"Obesidade","Obesidade grave")))))))</f>
        <v/>
      </c>
      <c r="M1195" s="12">
        <f>IF(OR($S1195="",$V1195="",$T1195="",$T1195&lt;0,$T1195&gt;228,$AG1195=""),"—",ROUND(IF($AG1195=0,LN($V1195/$AH1195)/$AI1195,((($V1195/$AH1195)^$AG1195)-1)/($AG1195*$AI1195)),2))</f>
        <v/>
      </c>
      <c r="N1195">
        <f>IF(OR($M1195="",$M1195="—"),"",IF($M1195&lt;-3,"Muito baixa",IF($M1195&lt;-2,"Baixa","Adequada")))</f>
        <v/>
      </c>
      <c r="O1195" s="12">
        <f>IF(OR($S1195="",$F1195="",$T1195="",$T1195&lt;0,$T1195&gt;120,$AJ1195=""),"—",ROUND(IF(ABS($AM1195)&lt;=3,$AM1195,IF($AM1195&gt;3,3+($F1195-$AO1195)/($AO1195-$AN1195),-3+($F1195-$AQ1195)/($AP1195-$AQ1195))),2))</f>
        <v/>
      </c>
      <c r="P1195">
        <f>IF(OR($O1195="",$O1195="—"),"",IF($O1195&lt;-3,"Muito baixo",IF($O1195&lt;-2,"Baixo",IF($O1195&lt;=2,"Adequado","Elevado"))))</f>
        <v/>
      </c>
      <c r="Q1195" s="12">
        <f>IF(OR($S1195="",$F1195="",$T1195="",$T1195&lt;0,$T1195&gt;60,$AR1195=""),"—",ROUND(IF(ABS($AU1195)&lt;=3,$AU1195,IF($AU1195&gt;3,3+($F1195-$AW1195)/($AW1195-$AV1195),-3+($F1195-$AY1195)/($AX1195-$AY1195))),2))</f>
        <v/>
      </c>
      <c r="R1195">
        <f>IF(OR($Q1195="",$Q1195="—"),"",IF($Q1195&lt;-3,"Magreza acentuada",IF($Q1195&lt;-2,"Magreza",IF($Q1195&lt;=1,"Eutrofia",IF($Q1195&lt;=2,"Risco de sobrepeso",IF($Q1195&lt;=3,"Sobrepeso","Obesidade"))))))</f>
        <v/>
      </c>
      <c r="S1195">
        <f>IF($C1195="","",IF(UPPER(LEFT($C1195,1))="M",1,IF(UPPER(LEFT($C1195,1))="F",2,"")))</f>
        <v/>
      </c>
      <c r="T1195">
        <f>IF(OR($D1195="",$E1195=""),"",DATEDIF($D1195,$E1195,"m"))</f>
        <v/>
      </c>
      <c r="U1195">
        <f>IF(OR($D1195="",$E1195=""),"",$E1195-$D1195)</f>
        <v/>
      </c>
      <c r="V1195">
        <f>IF(OR($G1195="",$T1195=""),"",IF($T1195&lt;24,IF(LEFT(LOWER($H1195),4)="em p",$G1195+0.7,$G1195),IF(LEFT(LOWER($H1195),4)="deit",$G1195-0.7,$G1195)))</f>
        <v/>
      </c>
      <c r="W1195">
        <f>IF(OR($S1195="",$T1195=""),"",$S1195*1000000+IF($T1195&lt;=60,$U1195,$T1195))</f>
        <v/>
      </c>
      <c r="X1195">
        <f>IF(OR($S1195="",$V1195="",$T1195&gt;60,$T1195=""),"",$S1195*1000000+ROUND($V1195*10,0))</f>
        <v/>
      </c>
      <c r="Y1195">
        <f>IF($W1195="","",IFERROR(INDEX(IF($T1195&lt;=60,imc05_l,imc519_l),MATCH($W1195,IF($T1195&lt;=60,imc05_k,imc519_k),1)),""))</f>
        <v/>
      </c>
      <c r="Z1195">
        <f>IF($W1195="","",IFERROR(INDEX(IF($T1195&lt;=60,imc05_m,imc519_m),MATCH($W1195,IF($T1195&lt;=60,imc05_k,imc519_k),1)),""))</f>
        <v/>
      </c>
      <c r="AA1195">
        <f>IF($W1195="","",IFERROR(INDEX(IF($T1195&lt;=60,imc05_s,imc519_s),MATCH($W1195,IF($T1195&lt;=60,imc05_k,imc519_k),1)),""))</f>
        <v/>
      </c>
      <c r="AB1195">
        <f>IF($Y1195="","",IF($Y1195=0,LN($J1195/$Z1195)/$AA1195,((($J1195/$Z1195)^$Y1195)-1)/($Y1195*$AA1195)))</f>
        <v/>
      </c>
      <c r="AC1195">
        <f>IF($Y1195="","",IF($Y1195=0,$Z1195*EXP($AA1195*2),$Z1195*(1+$Y1195*$AA1195*2)^(1/$Y1195)))</f>
        <v/>
      </c>
      <c r="AD1195">
        <f>IF($Y1195="","",IF($Y1195=0,$Z1195*EXP($AA1195*3),$Z1195*(1+$Y1195*$AA1195*3)^(1/$Y1195)))</f>
        <v/>
      </c>
      <c r="AE1195">
        <f>IF($Y1195="","",IF($Y1195=0,$Z1195*EXP($AA1195*-2),$Z1195*(1+$Y1195*$AA1195*-2)^(1/$Y1195)))</f>
        <v/>
      </c>
      <c r="AF1195">
        <f>IF($Y1195="","",IF($Y1195=0,$Z1195*EXP($AA1195*-3),$Z1195*(1+$Y1195*$AA1195*-3)^(1/$Y1195)))</f>
        <v/>
      </c>
      <c r="AG1195">
        <f>IF($W1195="","",IFERROR(INDEX(IF($T1195&lt;=60,est05_l,est519_l),MATCH($W1195,IF($T1195&lt;=60,est05_k,est519_k),1)),""))</f>
        <v/>
      </c>
      <c r="AH1195">
        <f>IF($W1195="","",IFERROR(INDEX(IF($T1195&lt;=60,est05_m,est519_m),MATCH($W1195,IF($T1195&lt;=60,est05_k,est519_k),1)),""))</f>
        <v/>
      </c>
      <c r="AI1195">
        <f>IF($W1195="","",IFERROR(INDEX(IF($T1195&lt;=60,est05_s,est519_s),MATCH($W1195,IF($T1195&lt;=60,est05_k,est519_k),1)),""))</f>
        <v/>
      </c>
      <c r="AJ1195">
        <f>IF($W1195="","",IFERROR(INDEX(IF($T1195&lt;=60,peso05_l,peso510_l),MATCH($W1195,IF($T1195&lt;=60,peso05_k,peso510_k),1)),""))</f>
        <v/>
      </c>
      <c r="AK1195">
        <f>IF($W1195="","",IFERROR(INDEX(IF($T1195&lt;=60,peso05_m,peso510_m),MATCH($W1195,IF($T1195&lt;=60,peso05_k,peso510_k),1)),""))</f>
        <v/>
      </c>
      <c r="AL1195">
        <f>IF($W1195="","",IFERROR(INDEX(IF($T1195&lt;=60,peso05_s,peso510_s),MATCH($W1195,IF($T1195&lt;=60,peso05_k,peso510_k),1)),""))</f>
        <v/>
      </c>
      <c r="AM1195">
        <f>IF($AJ1195="","",IF($AJ1195=0,LN($F1195/$AK1195)/$AL1195,((($F1195/$AK1195)^$AJ1195)-1)/($AJ1195*$AL1195)))</f>
        <v/>
      </c>
      <c r="AN1195">
        <f>IF($AJ1195="","",IF($AJ1195=0,$AK1195*EXP($AL1195*2),$AK1195*(1+$AJ1195*$AL1195*2)^(1/$AJ1195)))</f>
        <v/>
      </c>
      <c r="AO1195">
        <f>IF($AJ1195="","",IF($AJ1195=0,$AK1195*EXP($AL1195*3),$AK1195*(1+$AJ1195*$AL1195*3)^(1/$AJ1195)))</f>
        <v/>
      </c>
      <c r="AP1195">
        <f>IF($AJ1195="","",IF($AJ1195=0,$AK1195*EXP($AL1195*-2),$AK1195*(1+$AJ1195*$AL1195*-2)^(1/$AJ1195)))</f>
        <v/>
      </c>
      <c r="AQ1195">
        <f>IF($AJ1195="","",IF($AJ1195=0,$AK1195*EXP($AL1195*-3),$AK1195*(1+$AJ1195*$AL1195*-3)^(1/$AJ1195)))</f>
        <v/>
      </c>
      <c r="AR1195">
        <f>IF(OR($X1195="",$T1195&gt;60),"",IFERROR(INDEX(IF($T1195&lt;24,pcomp_l,palt_l),MATCH($X1195,IF($T1195&lt;24,pcomp_k,palt_k),1)),""))</f>
        <v/>
      </c>
      <c r="AS1195">
        <f>IF(OR($X1195="",$T1195&gt;60),"",IFERROR(INDEX(IF($T1195&lt;24,pcomp_m,palt_m),MATCH($X1195,IF($T1195&lt;24,pcomp_k,palt_k),1)),""))</f>
        <v/>
      </c>
      <c r="AT1195">
        <f>IF(OR($X1195="",$T1195&gt;60),"",IFERROR(INDEX(IF($T1195&lt;24,pcomp_s,palt_s),MATCH($X1195,IF($T1195&lt;24,pcomp_k,palt_k),1)),""))</f>
        <v/>
      </c>
      <c r="AU1195">
        <f>IF($AR1195="","",IF($AR1195=0,LN($F1195/$AS1195)/$AT1195,((($F1195/$AS1195)^$AR1195)-1)/($AR1195*$AT1195)))</f>
        <v/>
      </c>
      <c r="AV1195">
        <f>IF($AR1195="","",IF($AR1195=0,$AS1195*EXP($AT1195*2),$AS1195*(1+$AR1195*$AT1195*2)^(1/$AR1195)))</f>
        <v/>
      </c>
      <c r="AW1195">
        <f>IF($AR1195="","",IF($AR1195=0,$AS1195*EXP($AT1195*3),$AS1195*(1+$AR1195*$AT1195*3)^(1/$AR1195)))</f>
        <v/>
      </c>
      <c r="AX1195">
        <f>IF($AR1195="","",IF($AR1195=0,$AS1195*EXP($AT1195*-2),$AS1195*(1+$AR1195*$AT1195*-2)^(1/$AR1195)))</f>
        <v/>
      </c>
      <c r="AY1195">
        <f>IF($AR1195="","",IF($AR1195=0,$AS1195*EXP($AT1195*-3),$AS1195*(1+$AR1195*$AT1195*-3)^(1/$AR1195)))</f>
        <v/>
      </c>
      <c r="AZ1195">
        <f>IF(OR($A1195="",$A1195&lt;&gt;Ficha!$C$4),"",COUNTIF($A$2:$A1195,Ficha!$C$4))</f>
        <v/>
      </c>
    </row>
    <row r="1196">
      <c r="A1196" s="8">
        <f>IF(INDEX(Banco!$A:$A,ROW())="","",INDEX(Banco!$A:$A,ROW()))</f>
        <v/>
      </c>
      <c r="B1196" s="8">
        <f>IF(INDEX(Banco!$B:$B,ROW())="","",INDEX(Banco!$B:$B,ROW()))</f>
        <v/>
      </c>
      <c r="C1196" s="8">
        <f>IF(INDEX(Banco!$C:$C,ROW())="","",INDEX(Banco!$C:$C,ROW()))</f>
        <v/>
      </c>
      <c r="D1196" s="9">
        <f>IF(INDEX(Banco!$D:$D,ROW())="","",INDEX(Banco!$D:$D,ROW()))</f>
        <v/>
      </c>
      <c r="E1196" s="9">
        <f>IF(INDEX(Banco!$E:$E,ROW())="","",INDEX(Banco!$E:$E,ROW()))</f>
        <v/>
      </c>
      <c r="F1196" s="10">
        <f>IF(INDEX(Banco!$F:$F,ROW())="","",INDEX(Banco!$F:$F,ROW()))</f>
        <v/>
      </c>
      <c r="G1196" s="10">
        <f>IF(INDEX(Banco!$G:$G,ROW())="","",INDEX(Banco!$G:$G,ROW()))</f>
        <v/>
      </c>
      <c r="H1196" s="8">
        <f>IF(INDEX(Banco!$H:$H,ROW())="","",INDEX(Banco!$H:$H,ROW()))</f>
        <v/>
      </c>
      <c r="I1196">
        <f>IF($T1196="","",INT($T1196/12)&amp;"a "&amp;MOD($T1196,12)&amp;"m")</f>
        <v/>
      </c>
      <c r="J1196" s="11">
        <f>IF(OR($F1196="",$G1196=""),"",ROUND($F1196/($G1196/100)^2,2))</f>
        <v/>
      </c>
      <c r="K1196" s="12">
        <f>IF(OR($S1196="",$J1196="",$T1196="",$T1196&lt;0,$T1196&gt;228,$Y1196=""),"—",ROUND(IF(ABS($AB1196)&lt;=3,$AB1196,IF($AB1196&gt;3,3+($J1196-$AD1196)/($AD1196-$AC1196),-3+($J1196-$AF1196)/($AE1196-$AF1196))),2))</f>
        <v/>
      </c>
      <c r="L1196">
        <f>IF(OR($K1196="",$K1196="—"),"",IF($T1196&lt;=60,IF($K1196&lt;-3,"Magreza acentuada",IF($K1196&lt;-2,"Magreza",IF($K1196&lt;=1,"Eutrofia",IF($K1196&lt;=2,"Risco de sobrepeso",IF($K1196&lt;=3,"Sobrepeso","Obesidade"))))),IF($K1196&lt;-3,"Magreza acentuada",IF($K1196&lt;-2,"Magreza",IF($K1196&lt;=1,"Eutrofia",IF($K1196&lt;=2,"Sobrepeso",IF($K1196&lt;=3,"Obesidade","Obesidade grave")))))))</f>
        <v/>
      </c>
      <c r="M1196" s="12">
        <f>IF(OR($S1196="",$V1196="",$T1196="",$T1196&lt;0,$T1196&gt;228,$AG1196=""),"—",ROUND(IF($AG1196=0,LN($V1196/$AH1196)/$AI1196,((($V1196/$AH1196)^$AG1196)-1)/($AG1196*$AI1196)),2))</f>
        <v/>
      </c>
      <c r="N1196">
        <f>IF(OR($M1196="",$M1196="—"),"",IF($M1196&lt;-3,"Muito baixa",IF($M1196&lt;-2,"Baixa","Adequada")))</f>
        <v/>
      </c>
      <c r="O1196" s="12">
        <f>IF(OR($S1196="",$F1196="",$T1196="",$T1196&lt;0,$T1196&gt;120,$AJ1196=""),"—",ROUND(IF(ABS($AM1196)&lt;=3,$AM1196,IF($AM1196&gt;3,3+($F1196-$AO1196)/($AO1196-$AN1196),-3+($F1196-$AQ1196)/($AP1196-$AQ1196))),2))</f>
        <v/>
      </c>
      <c r="P1196">
        <f>IF(OR($O1196="",$O1196="—"),"",IF($O1196&lt;-3,"Muito baixo",IF($O1196&lt;-2,"Baixo",IF($O1196&lt;=2,"Adequado","Elevado"))))</f>
        <v/>
      </c>
      <c r="Q1196" s="12">
        <f>IF(OR($S1196="",$F1196="",$T1196="",$T1196&lt;0,$T1196&gt;60,$AR1196=""),"—",ROUND(IF(ABS($AU1196)&lt;=3,$AU1196,IF($AU1196&gt;3,3+($F1196-$AW1196)/($AW1196-$AV1196),-3+($F1196-$AY1196)/($AX1196-$AY1196))),2))</f>
        <v/>
      </c>
      <c r="R1196">
        <f>IF(OR($Q1196="",$Q1196="—"),"",IF($Q1196&lt;-3,"Magreza acentuada",IF($Q1196&lt;-2,"Magreza",IF($Q1196&lt;=1,"Eutrofia",IF($Q1196&lt;=2,"Risco de sobrepeso",IF($Q1196&lt;=3,"Sobrepeso","Obesidade"))))))</f>
        <v/>
      </c>
      <c r="S1196">
        <f>IF($C1196="","",IF(UPPER(LEFT($C1196,1))="M",1,IF(UPPER(LEFT($C1196,1))="F",2,"")))</f>
        <v/>
      </c>
      <c r="T1196">
        <f>IF(OR($D1196="",$E1196=""),"",DATEDIF($D1196,$E1196,"m"))</f>
        <v/>
      </c>
      <c r="U1196">
        <f>IF(OR($D1196="",$E1196=""),"",$E1196-$D1196)</f>
        <v/>
      </c>
      <c r="V1196">
        <f>IF(OR($G1196="",$T1196=""),"",IF($T1196&lt;24,IF(LEFT(LOWER($H1196),4)="em p",$G1196+0.7,$G1196),IF(LEFT(LOWER($H1196),4)="deit",$G1196-0.7,$G1196)))</f>
        <v/>
      </c>
      <c r="W1196">
        <f>IF(OR($S1196="",$T1196=""),"",$S1196*1000000+IF($T1196&lt;=60,$U1196,$T1196))</f>
        <v/>
      </c>
      <c r="X1196">
        <f>IF(OR($S1196="",$V1196="",$T1196&gt;60,$T1196=""),"",$S1196*1000000+ROUND($V1196*10,0))</f>
        <v/>
      </c>
      <c r="Y1196">
        <f>IF($W1196="","",IFERROR(INDEX(IF($T1196&lt;=60,imc05_l,imc519_l),MATCH($W1196,IF($T1196&lt;=60,imc05_k,imc519_k),1)),""))</f>
        <v/>
      </c>
      <c r="Z1196">
        <f>IF($W1196="","",IFERROR(INDEX(IF($T1196&lt;=60,imc05_m,imc519_m),MATCH($W1196,IF($T1196&lt;=60,imc05_k,imc519_k),1)),""))</f>
        <v/>
      </c>
      <c r="AA1196">
        <f>IF($W1196="","",IFERROR(INDEX(IF($T1196&lt;=60,imc05_s,imc519_s),MATCH($W1196,IF($T1196&lt;=60,imc05_k,imc519_k),1)),""))</f>
        <v/>
      </c>
      <c r="AB1196">
        <f>IF($Y1196="","",IF($Y1196=0,LN($J1196/$Z1196)/$AA1196,((($J1196/$Z1196)^$Y1196)-1)/($Y1196*$AA1196)))</f>
        <v/>
      </c>
      <c r="AC1196">
        <f>IF($Y1196="","",IF($Y1196=0,$Z1196*EXP($AA1196*2),$Z1196*(1+$Y1196*$AA1196*2)^(1/$Y1196)))</f>
        <v/>
      </c>
      <c r="AD1196">
        <f>IF($Y1196="","",IF($Y1196=0,$Z1196*EXP($AA1196*3),$Z1196*(1+$Y1196*$AA1196*3)^(1/$Y1196)))</f>
        <v/>
      </c>
      <c r="AE1196">
        <f>IF($Y1196="","",IF($Y1196=0,$Z1196*EXP($AA1196*-2),$Z1196*(1+$Y1196*$AA1196*-2)^(1/$Y1196)))</f>
        <v/>
      </c>
      <c r="AF1196">
        <f>IF($Y1196="","",IF($Y1196=0,$Z1196*EXP($AA1196*-3),$Z1196*(1+$Y1196*$AA1196*-3)^(1/$Y1196)))</f>
        <v/>
      </c>
      <c r="AG1196">
        <f>IF($W1196="","",IFERROR(INDEX(IF($T1196&lt;=60,est05_l,est519_l),MATCH($W1196,IF($T1196&lt;=60,est05_k,est519_k),1)),""))</f>
        <v/>
      </c>
      <c r="AH1196">
        <f>IF($W1196="","",IFERROR(INDEX(IF($T1196&lt;=60,est05_m,est519_m),MATCH($W1196,IF($T1196&lt;=60,est05_k,est519_k),1)),""))</f>
        <v/>
      </c>
      <c r="AI1196">
        <f>IF($W1196="","",IFERROR(INDEX(IF($T1196&lt;=60,est05_s,est519_s),MATCH($W1196,IF($T1196&lt;=60,est05_k,est519_k),1)),""))</f>
        <v/>
      </c>
      <c r="AJ1196">
        <f>IF($W1196="","",IFERROR(INDEX(IF($T1196&lt;=60,peso05_l,peso510_l),MATCH($W1196,IF($T1196&lt;=60,peso05_k,peso510_k),1)),""))</f>
        <v/>
      </c>
      <c r="AK1196">
        <f>IF($W1196="","",IFERROR(INDEX(IF($T1196&lt;=60,peso05_m,peso510_m),MATCH($W1196,IF($T1196&lt;=60,peso05_k,peso510_k),1)),""))</f>
        <v/>
      </c>
      <c r="AL1196">
        <f>IF($W1196="","",IFERROR(INDEX(IF($T1196&lt;=60,peso05_s,peso510_s),MATCH($W1196,IF($T1196&lt;=60,peso05_k,peso510_k),1)),""))</f>
        <v/>
      </c>
      <c r="AM1196">
        <f>IF($AJ1196="","",IF($AJ1196=0,LN($F1196/$AK1196)/$AL1196,((($F1196/$AK1196)^$AJ1196)-1)/($AJ1196*$AL1196)))</f>
        <v/>
      </c>
      <c r="AN1196">
        <f>IF($AJ1196="","",IF($AJ1196=0,$AK1196*EXP($AL1196*2),$AK1196*(1+$AJ1196*$AL1196*2)^(1/$AJ1196)))</f>
        <v/>
      </c>
      <c r="AO1196">
        <f>IF($AJ1196="","",IF($AJ1196=0,$AK1196*EXP($AL1196*3),$AK1196*(1+$AJ1196*$AL1196*3)^(1/$AJ1196)))</f>
        <v/>
      </c>
      <c r="AP1196">
        <f>IF($AJ1196="","",IF($AJ1196=0,$AK1196*EXP($AL1196*-2),$AK1196*(1+$AJ1196*$AL1196*-2)^(1/$AJ1196)))</f>
        <v/>
      </c>
      <c r="AQ1196">
        <f>IF($AJ1196="","",IF($AJ1196=0,$AK1196*EXP($AL1196*-3),$AK1196*(1+$AJ1196*$AL1196*-3)^(1/$AJ1196)))</f>
        <v/>
      </c>
      <c r="AR1196">
        <f>IF(OR($X1196="",$T1196&gt;60),"",IFERROR(INDEX(IF($T1196&lt;24,pcomp_l,palt_l),MATCH($X1196,IF($T1196&lt;24,pcomp_k,palt_k),1)),""))</f>
        <v/>
      </c>
      <c r="AS1196">
        <f>IF(OR($X1196="",$T1196&gt;60),"",IFERROR(INDEX(IF($T1196&lt;24,pcomp_m,palt_m),MATCH($X1196,IF($T1196&lt;24,pcomp_k,palt_k),1)),""))</f>
        <v/>
      </c>
      <c r="AT1196">
        <f>IF(OR($X1196="",$T1196&gt;60),"",IFERROR(INDEX(IF($T1196&lt;24,pcomp_s,palt_s),MATCH($X1196,IF($T1196&lt;24,pcomp_k,palt_k),1)),""))</f>
        <v/>
      </c>
      <c r="AU1196">
        <f>IF($AR1196="","",IF($AR1196=0,LN($F1196/$AS1196)/$AT1196,((($F1196/$AS1196)^$AR1196)-1)/($AR1196*$AT1196)))</f>
        <v/>
      </c>
      <c r="AV1196">
        <f>IF($AR1196="","",IF($AR1196=0,$AS1196*EXP($AT1196*2),$AS1196*(1+$AR1196*$AT1196*2)^(1/$AR1196)))</f>
        <v/>
      </c>
      <c r="AW1196">
        <f>IF($AR1196="","",IF($AR1196=0,$AS1196*EXP($AT1196*3),$AS1196*(1+$AR1196*$AT1196*3)^(1/$AR1196)))</f>
        <v/>
      </c>
      <c r="AX1196">
        <f>IF($AR1196="","",IF($AR1196=0,$AS1196*EXP($AT1196*-2),$AS1196*(1+$AR1196*$AT1196*-2)^(1/$AR1196)))</f>
        <v/>
      </c>
      <c r="AY1196">
        <f>IF($AR1196="","",IF($AR1196=0,$AS1196*EXP($AT1196*-3),$AS1196*(1+$AR1196*$AT1196*-3)^(1/$AR1196)))</f>
        <v/>
      </c>
      <c r="AZ1196">
        <f>IF(OR($A1196="",$A1196&lt;&gt;Ficha!$C$4),"",COUNTIF($A$2:$A1196,Ficha!$C$4))</f>
        <v/>
      </c>
    </row>
    <row r="1197">
      <c r="A1197" s="8">
        <f>IF(INDEX(Banco!$A:$A,ROW())="","",INDEX(Banco!$A:$A,ROW()))</f>
        <v/>
      </c>
      <c r="B1197" s="8">
        <f>IF(INDEX(Banco!$B:$B,ROW())="","",INDEX(Banco!$B:$B,ROW()))</f>
        <v/>
      </c>
      <c r="C1197" s="8">
        <f>IF(INDEX(Banco!$C:$C,ROW())="","",INDEX(Banco!$C:$C,ROW()))</f>
        <v/>
      </c>
      <c r="D1197" s="9">
        <f>IF(INDEX(Banco!$D:$D,ROW())="","",INDEX(Banco!$D:$D,ROW()))</f>
        <v/>
      </c>
      <c r="E1197" s="9">
        <f>IF(INDEX(Banco!$E:$E,ROW())="","",INDEX(Banco!$E:$E,ROW()))</f>
        <v/>
      </c>
      <c r="F1197" s="10">
        <f>IF(INDEX(Banco!$F:$F,ROW())="","",INDEX(Banco!$F:$F,ROW()))</f>
        <v/>
      </c>
      <c r="G1197" s="10">
        <f>IF(INDEX(Banco!$G:$G,ROW())="","",INDEX(Banco!$G:$G,ROW()))</f>
        <v/>
      </c>
      <c r="H1197" s="8">
        <f>IF(INDEX(Banco!$H:$H,ROW())="","",INDEX(Banco!$H:$H,ROW()))</f>
        <v/>
      </c>
      <c r="I1197">
        <f>IF($T1197="","",INT($T1197/12)&amp;"a "&amp;MOD($T1197,12)&amp;"m")</f>
        <v/>
      </c>
      <c r="J1197" s="11">
        <f>IF(OR($F1197="",$G1197=""),"",ROUND($F1197/($G1197/100)^2,2))</f>
        <v/>
      </c>
      <c r="K1197" s="12">
        <f>IF(OR($S1197="",$J1197="",$T1197="",$T1197&lt;0,$T1197&gt;228,$Y1197=""),"—",ROUND(IF(ABS($AB1197)&lt;=3,$AB1197,IF($AB1197&gt;3,3+($J1197-$AD1197)/($AD1197-$AC1197),-3+($J1197-$AF1197)/($AE1197-$AF1197))),2))</f>
        <v/>
      </c>
      <c r="L1197">
        <f>IF(OR($K1197="",$K1197="—"),"",IF($T1197&lt;=60,IF($K1197&lt;-3,"Magreza acentuada",IF($K1197&lt;-2,"Magreza",IF($K1197&lt;=1,"Eutrofia",IF($K1197&lt;=2,"Risco de sobrepeso",IF($K1197&lt;=3,"Sobrepeso","Obesidade"))))),IF($K1197&lt;-3,"Magreza acentuada",IF($K1197&lt;-2,"Magreza",IF($K1197&lt;=1,"Eutrofia",IF($K1197&lt;=2,"Sobrepeso",IF($K1197&lt;=3,"Obesidade","Obesidade grave")))))))</f>
        <v/>
      </c>
      <c r="M1197" s="12">
        <f>IF(OR($S1197="",$V1197="",$T1197="",$T1197&lt;0,$T1197&gt;228,$AG1197=""),"—",ROUND(IF($AG1197=0,LN($V1197/$AH1197)/$AI1197,((($V1197/$AH1197)^$AG1197)-1)/($AG1197*$AI1197)),2))</f>
        <v/>
      </c>
      <c r="N1197">
        <f>IF(OR($M1197="",$M1197="—"),"",IF($M1197&lt;-3,"Muito baixa",IF($M1197&lt;-2,"Baixa","Adequada")))</f>
        <v/>
      </c>
      <c r="O1197" s="12">
        <f>IF(OR($S1197="",$F1197="",$T1197="",$T1197&lt;0,$T1197&gt;120,$AJ1197=""),"—",ROUND(IF(ABS($AM1197)&lt;=3,$AM1197,IF($AM1197&gt;3,3+($F1197-$AO1197)/($AO1197-$AN1197),-3+($F1197-$AQ1197)/($AP1197-$AQ1197))),2))</f>
        <v/>
      </c>
      <c r="P1197">
        <f>IF(OR($O1197="",$O1197="—"),"",IF($O1197&lt;-3,"Muito baixo",IF($O1197&lt;-2,"Baixo",IF($O1197&lt;=2,"Adequado","Elevado"))))</f>
        <v/>
      </c>
      <c r="Q1197" s="12">
        <f>IF(OR($S1197="",$F1197="",$T1197="",$T1197&lt;0,$T1197&gt;60,$AR1197=""),"—",ROUND(IF(ABS($AU1197)&lt;=3,$AU1197,IF($AU1197&gt;3,3+($F1197-$AW1197)/($AW1197-$AV1197),-3+($F1197-$AY1197)/($AX1197-$AY1197))),2))</f>
        <v/>
      </c>
      <c r="R1197">
        <f>IF(OR($Q1197="",$Q1197="—"),"",IF($Q1197&lt;-3,"Magreza acentuada",IF($Q1197&lt;-2,"Magreza",IF($Q1197&lt;=1,"Eutrofia",IF($Q1197&lt;=2,"Risco de sobrepeso",IF($Q1197&lt;=3,"Sobrepeso","Obesidade"))))))</f>
        <v/>
      </c>
      <c r="S1197">
        <f>IF($C1197="","",IF(UPPER(LEFT($C1197,1))="M",1,IF(UPPER(LEFT($C1197,1))="F",2,"")))</f>
        <v/>
      </c>
      <c r="T1197">
        <f>IF(OR($D1197="",$E1197=""),"",DATEDIF($D1197,$E1197,"m"))</f>
        <v/>
      </c>
      <c r="U1197">
        <f>IF(OR($D1197="",$E1197=""),"",$E1197-$D1197)</f>
        <v/>
      </c>
      <c r="V1197">
        <f>IF(OR($G1197="",$T1197=""),"",IF($T1197&lt;24,IF(LEFT(LOWER($H1197),4)="em p",$G1197+0.7,$G1197),IF(LEFT(LOWER($H1197),4)="deit",$G1197-0.7,$G1197)))</f>
        <v/>
      </c>
      <c r="W1197">
        <f>IF(OR($S1197="",$T1197=""),"",$S1197*1000000+IF($T1197&lt;=60,$U1197,$T1197))</f>
        <v/>
      </c>
      <c r="X1197">
        <f>IF(OR($S1197="",$V1197="",$T1197&gt;60,$T1197=""),"",$S1197*1000000+ROUND($V1197*10,0))</f>
        <v/>
      </c>
      <c r="Y1197">
        <f>IF($W1197="","",IFERROR(INDEX(IF($T1197&lt;=60,imc05_l,imc519_l),MATCH($W1197,IF($T1197&lt;=60,imc05_k,imc519_k),1)),""))</f>
        <v/>
      </c>
      <c r="Z1197">
        <f>IF($W1197="","",IFERROR(INDEX(IF($T1197&lt;=60,imc05_m,imc519_m),MATCH($W1197,IF($T1197&lt;=60,imc05_k,imc519_k),1)),""))</f>
        <v/>
      </c>
      <c r="AA1197">
        <f>IF($W1197="","",IFERROR(INDEX(IF($T1197&lt;=60,imc05_s,imc519_s),MATCH($W1197,IF($T1197&lt;=60,imc05_k,imc519_k),1)),""))</f>
        <v/>
      </c>
      <c r="AB1197">
        <f>IF($Y1197="","",IF($Y1197=0,LN($J1197/$Z1197)/$AA1197,((($J1197/$Z1197)^$Y1197)-1)/($Y1197*$AA1197)))</f>
        <v/>
      </c>
      <c r="AC1197">
        <f>IF($Y1197="","",IF($Y1197=0,$Z1197*EXP($AA1197*2),$Z1197*(1+$Y1197*$AA1197*2)^(1/$Y1197)))</f>
        <v/>
      </c>
      <c r="AD1197">
        <f>IF($Y1197="","",IF($Y1197=0,$Z1197*EXP($AA1197*3),$Z1197*(1+$Y1197*$AA1197*3)^(1/$Y1197)))</f>
        <v/>
      </c>
      <c r="AE1197">
        <f>IF($Y1197="","",IF($Y1197=0,$Z1197*EXP($AA1197*-2),$Z1197*(1+$Y1197*$AA1197*-2)^(1/$Y1197)))</f>
        <v/>
      </c>
      <c r="AF1197">
        <f>IF($Y1197="","",IF($Y1197=0,$Z1197*EXP($AA1197*-3),$Z1197*(1+$Y1197*$AA1197*-3)^(1/$Y1197)))</f>
        <v/>
      </c>
      <c r="AG1197">
        <f>IF($W1197="","",IFERROR(INDEX(IF($T1197&lt;=60,est05_l,est519_l),MATCH($W1197,IF($T1197&lt;=60,est05_k,est519_k),1)),""))</f>
        <v/>
      </c>
      <c r="AH1197">
        <f>IF($W1197="","",IFERROR(INDEX(IF($T1197&lt;=60,est05_m,est519_m),MATCH($W1197,IF($T1197&lt;=60,est05_k,est519_k),1)),""))</f>
        <v/>
      </c>
      <c r="AI1197">
        <f>IF($W1197="","",IFERROR(INDEX(IF($T1197&lt;=60,est05_s,est519_s),MATCH($W1197,IF($T1197&lt;=60,est05_k,est519_k),1)),""))</f>
        <v/>
      </c>
      <c r="AJ1197">
        <f>IF($W1197="","",IFERROR(INDEX(IF($T1197&lt;=60,peso05_l,peso510_l),MATCH($W1197,IF($T1197&lt;=60,peso05_k,peso510_k),1)),""))</f>
        <v/>
      </c>
      <c r="AK1197">
        <f>IF($W1197="","",IFERROR(INDEX(IF($T1197&lt;=60,peso05_m,peso510_m),MATCH($W1197,IF($T1197&lt;=60,peso05_k,peso510_k),1)),""))</f>
        <v/>
      </c>
      <c r="AL1197">
        <f>IF($W1197="","",IFERROR(INDEX(IF($T1197&lt;=60,peso05_s,peso510_s),MATCH($W1197,IF($T1197&lt;=60,peso05_k,peso510_k),1)),""))</f>
        <v/>
      </c>
      <c r="AM1197">
        <f>IF($AJ1197="","",IF($AJ1197=0,LN($F1197/$AK1197)/$AL1197,((($F1197/$AK1197)^$AJ1197)-1)/($AJ1197*$AL1197)))</f>
        <v/>
      </c>
      <c r="AN1197">
        <f>IF($AJ1197="","",IF($AJ1197=0,$AK1197*EXP($AL1197*2),$AK1197*(1+$AJ1197*$AL1197*2)^(1/$AJ1197)))</f>
        <v/>
      </c>
      <c r="AO1197">
        <f>IF($AJ1197="","",IF($AJ1197=0,$AK1197*EXP($AL1197*3),$AK1197*(1+$AJ1197*$AL1197*3)^(1/$AJ1197)))</f>
        <v/>
      </c>
      <c r="AP1197">
        <f>IF($AJ1197="","",IF($AJ1197=0,$AK1197*EXP($AL1197*-2),$AK1197*(1+$AJ1197*$AL1197*-2)^(1/$AJ1197)))</f>
        <v/>
      </c>
      <c r="AQ1197">
        <f>IF($AJ1197="","",IF($AJ1197=0,$AK1197*EXP($AL1197*-3),$AK1197*(1+$AJ1197*$AL1197*-3)^(1/$AJ1197)))</f>
        <v/>
      </c>
      <c r="AR1197">
        <f>IF(OR($X1197="",$T1197&gt;60),"",IFERROR(INDEX(IF($T1197&lt;24,pcomp_l,palt_l),MATCH($X1197,IF($T1197&lt;24,pcomp_k,palt_k),1)),""))</f>
        <v/>
      </c>
      <c r="AS1197">
        <f>IF(OR($X1197="",$T1197&gt;60),"",IFERROR(INDEX(IF($T1197&lt;24,pcomp_m,palt_m),MATCH($X1197,IF($T1197&lt;24,pcomp_k,palt_k),1)),""))</f>
        <v/>
      </c>
      <c r="AT1197">
        <f>IF(OR($X1197="",$T1197&gt;60),"",IFERROR(INDEX(IF($T1197&lt;24,pcomp_s,palt_s),MATCH($X1197,IF($T1197&lt;24,pcomp_k,palt_k),1)),""))</f>
        <v/>
      </c>
      <c r="AU1197">
        <f>IF($AR1197="","",IF($AR1197=0,LN($F1197/$AS1197)/$AT1197,((($F1197/$AS1197)^$AR1197)-1)/($AR1197*$AT1197)))</f>
        <v/>
      </c>
      <c r="AV1197">
        <f>IF($AR1197="","",IF($AR1197=0,$AS1197*EXP($AT1197*2),$AS1197*(1+$AR1197*$AT1197*2)^(1/$AR1197)))</f>
        <v/>
      </c>
      <c r="AW1197">
        <f>IF($AR1197="","",IF($AR1197=0,$AS1197*EXP($AT1197*3),$AS1197*(1+$AR1197*$AT1197*3)^(1/$AR1197)))</f>
        <v/>
      </c>
      <c r="AX1197">
        <f>IF($AR1197="","",IF($AR1197=0,$AS1197*EXP($AT1197*-2),$AS1197*(1+$AR1197*$AT1197*-2)^(1/$AR1197)))</f>
        <v/>
      </c>
      <c r="AY1197">
        <f>IF($AR1197="","",IF($AR1197=0,$AS1197*EXP($AT1197*-3),$AS1197*(1+$AR1197*$AT1197*-3)^(1/$AR1197)))</f>
        <v/>
      </c>
      <c r="AZ1197">
        <f>IF(OR($A1197="",$A1197&lt;&gt;Ficha!$C$4),"",COUNTIF($A$2:$A1197,Ficha!$C$4))</f>
        <v/>
      </c>
    </row>
    <row r="1198">
      <c r="A1198" s="8">
        <f>IF(INDEX(Banco!$A:$A,ROW())="","",INDEX(Banco!$A:$A,ROW()))</f>
        <v/>
      </c>
      <c r="B1198" s="8">
        <f>IF(INDEX(Banco!$B:$B,ROW())="","",INDEX(Banco!$B:$B,ROW()))</f>
        <v/>
      </c>
      <c r="C1198" s="8">
        <f>IF(INDEX(Banco!$C:$C,ROW())="","",INDEX(Banco!$C:$C,ROW()))</f>
        <v/>
      </c>
      <c r="D1198" s="9">
        <f>IF(INDEX(Banco!$D:$D,ROW())="","",INDEX(Banco!$D:$D,ROW()))</f>
        <v/>
      </c>
      <c r="E1198" s="9">
        <f>IF(INDEX(Banco!$E:$E,ROW())="","",INDEX(Banco!$E:$E,ROW()))</f>
        <v/>
      </c>
      <c r="F1198" s="10">
        <f>IF(INDEX(Banco!$F:$F,ROW())="","",INDEX(Banco!$F:$F,ROW()))</f>
        <v/>
      </c>
      <c r="G1198" s="10">
        <f>IF(INDEX(Banco!$G:$G,ROW())="","",INDEX(Banco!$G:$G,ROW()))</f>
        <v/>
      </c>
      <c r="H1198" s="8">
        <f>IF(INDEX(Banco!$H:$H,ROW())="","",INDEX(Banco!$H:$H,ROW()))</f>
        <v/>
      </c>
      <c r="I1198">
        <f>IF($T1198="","",INT($T1198/12)&amp;"a "&amp;MOD($T1198,12)&amp;"m")</f>
        <v/>
      </c>
      <c r="J1198" s="11">
        <f>IF(OR($F1198="",$G1198=""),"",ROUND($F1198/($G1198/100)^2,2))</f>
        <v/>
      </c>
      <c r="K1198" s="12">
        <f>IF(OR($S1198="",$J1198="",$T1198="",$T1198&lt;0,$T1198&gt;228,$Y1198=""),"—",ROUND(IF(ABS($AB1198)&lt;=3,$AB1198,IF($AB1198&gt;3,3+($J1198-$AD1198)/($AD1198-$AC1198),-3+($J1198-$AF1198)/($AE1198-$AF1198))),2))</f>
        <v/>
      </c>
      <c r="L1198">
        <f>IF(OR($K1198="",$K1198="—"),"",IF($T1198&lt;=60,IF($K1198&lt;-3,"Magreza acentuada",IF($K1198&lt;-2,"Magreza",IF($K1198&lt;=1,"Eutrofia",IF($K1198&lt;=2,"Risco de sobrepeso",IF($K1198&lt;=3,"Sobrepeso","Obesidade"))))),IF($K1198&lt;-3,"Magreza acentuada",IF($K1198&lt;-2,"Magreza",IF($K1198&lt;=1,"Eutrofia",IF($K1198&lt;=2,"Sobrepeso",IF($K1198&lt;=3,"Obesidade","Obesidade grave")))))))</f>
        <v/>
      </c>
      <c r="M1198" s="12">
        <f>IF(OR($S1198="",$V1198="",$T1198="",$T1198&lt;0,$T1198&gt;228,$AG1198=""),"—",ROUND(IF($AG1198=0,LN($V1198/$AH1198)/$AI1198,((($V1198/$AH1198)^$AG1198)-1)/($AG1198*$AI1198)),2))</f>
        <v/>
      </c>
      <c r="N1198">
        <f>IF(OR($M1198="",$M1198="—"),"",IF($M1198&lt;-3,"Muito baixa",IF($M1198&lt;-2,"Baixa","Adequada")))</f>
        <v/>
      </c>
      <c r="O1198" s="12">
        <f>IF(OR($S1198="",$F1198="",$T1198="",$T1198&lt;0,$T1198&gt;120,$AJ1198=""),"—",ROUND(IF(ABS($AM1198)&lt;=3,$AM1198,IF($AM1198&gt;3,3+($F1198-$AO1198)/($AO1198-$AN1198),-3+($F1198-$AQ1198)/($AP1198-$AQ1198))),2))</f>
        <v/>
      </c>
      <c r="P1198">
        <f>IF(OR($O1198="",$O1198="—"),"",IF($O1198&lt;-3,"Muito baixo",IF($O1198&lt;-2,"Baixo",IF($O1198&lt;=2,"Adequado","Elevado"))))</f>
        <v/>
      </c>
      <c r="Q1198" s="12">
        <f>IF(OR($S1198="",$F1198="",$T1198="",$T1198&lt;0,$T1198&gt;60,$AR1198=""),"—",ROUND(IF(ABS($AU1198)&lt;=3,$AU1198,IF($AU1198&gt;3,3+($F1198-$AW1198)/($AW1198-$AV1198),-3+($F1198-$AY1198)/($AX1198-$AY1198))),2))</f>
        <v/>
      </c>
      <c r="R1198">
        <f>IF(OR($Q1198="",$Q1198="—"),"",IF($Q1198&lt;-3,"Magreza acentuada",IF($Q1198&lt;-2,"Magreza",IF($Q1198&lt;=1,"Eutrofia",IF($Q1198&lt;=2,"Risco de sobrepeso",IF($Q1198&lt;=3,"Sobrepeso","Obesidade"))))))</f>
        <v/>
      </c>
      <c r="S1198">
        <f>IF($C1198="","",IF(UPPER(LEFT($C1198,1))="M",1,IF(UPPER(LEFT($C1198,1))="F",2,"")))</f>
        <v/>
      </c>
      <c r="T1198">
        <f>IF(OR($D1198="",$E1198=""),"",DATEDIF($D1198,$E1198,"m"))</f>
        <v/>
      </c>
      <c r="U1198">
        <f>IF(OR($D1198="",$E1198=""),"",$E1198-$D1198)</f>
        <v/>
      </c>
      <c r="V1198">
        <f>IF(OR($G1198="",$T1198=""),"",IF($T1198&lt;24,IF(LEFT(LOWER($H1198),4)="em p",$G1198+0.7,$G1198),IF(LEFT(LOWER($H1198),4)="deit",$G1198-0.7,$G1198)))</f>
        <v/>
      </c>
      <c r="W1198">
        <f>IF(OR($S1198="",$T1198=""),"",$S1198*1000000+IF($T1198&lt;=60,$U1198,$T1198))</f>
        <v/>
      </c>
      <c r="X1198">
        <f>IF(OR($S1198="",$V1198="",$T1198&gt;60,$T1198=""),"",$S1198*1000000+ROUND($V1198*10,0))</f>
        <v/>
      </c>
      <c r="Y1198">
        <f>IF($W1198="","",IFERROR(INDEX(IF($T1198&lt;=60,imc05_l,imc519_l),MATCH($W1198,IF($T1198&lt;=60,imc05_k,imc519_k),1)),""))</f>
        <v/>
      </c>
      <c r="Z1198">
        <f>IF($W1198="","",IFERROR(INDEX(IF($T1198&lt;=60,imc05_m,imc519_m),MATCH($W1198,IF($T1198&lt;=60,imc05_k,imc519_k),1)),""))</f>
        <v/>
      </c>
      <c r="AA1198">
        <f>IF($W1198="","",IFERROR(INDEX(IF($T1198&lt;=60,imc05_s,imc519_s),MATCH($W1198,IF($T1198&lt;=60,imc05_k,imc519_k),1)),""))</f>
        <v/>
      </c>
      <c r="AB1198">
        <f>IF($Y1198="","",IF($Y1198=0,LN($J1198/$Z1198)/$AA1198,((($J1198/$Z1198)^$Y1198)-1)/($Y1198*$AA1198)))</f>
        <v/>
      </c>
      <c r="AC1198">
        <f>IF($Y1198="","",IF($Y1198=0,$Z1198*EXP($AA1198*2),$Z1198*(1+$Y1198*$AA1198*2)^(1/$Y1198)))</f>
        <v/>
      </c>
      <c r="AD1198">
        <f>IF($Y1198="","",IF($Y1198=0,$Z1198*EXP($AA1198*3),$Z1198*(1+$Y1198*$AA1198*3)^(1/$Y1198)))</f>
        <v/>
      </c>
      <c r="AE1198">
        <f>IF($Y1198="","",IF($Y1198=0,$Z1198*EXP($AA1198*-2),$Z1198*(1+$Y1198*$AA1198*-2)^(1/$Y1198)))</f>
        <v/>
      </c>
      <c r="AF1198">
        <f>IF($Y1198="","",IF($Y1198=0,$Z1198*EXP($AA1198*-3),$Z1198*(1+$Y1198*$AA1198*-3)^(1/$Y1198)))</f>
        <v/>
      </c>
      <c r="AG1198">
        <f>IF($W1198="","",IFERROR(INDEX(IF($T1198&lt;=60,est05_l,est519_l),MATCH($W1198,IF($T1198&lt;=60,est05_k,est519_k),1)),""))</f>
        <v/>
      </c>
      <c r="AH1198">
        <f>IF($W1198="","",IFERROR(INDEX(IF($T1198&lt;=60,est05_m,est519_m),MATCH($W1198,IF($T1198&lt;=60,est05_k,est519_k),1)),""))</f>
        <v/>
      </c>
      <c r="AI1198">
        <f>IF($W1198="","",IFERROR(INDEX(IF($T1198&lt;=60,est05_s,est519_s),MATCH($W1198,IF($T1198&lt;=60,est05_k,est519_k),1)),""))</f>
        <v/>
      </c>
      <c r="AJ1198">
        <f>IF($W1198="","",IFERROR(INDEX(IF($T1198&lt;=60,peso05_l,peso510_l),MATCH($W1198,IF($T1198&lt;=60,peso05_k,peso510_k),1)),""))</f>
        <v/>
      </c>
      <c r="AK1198">
        <f>IF($W1198="","",IFERROR(INDEX(IF($T1198&lt;=60,peso05_m,peso510_m),MATCH($W1198,IF($T1198&lt;=60,peso05_k,peso510_k),1)),""))</f>
        <v/>
      </c>
      <c r="AL1198">
        <f>IF($W1198="","",IFERROR(INDEX(IF($T1198&lt;=60,peso05_s,peso510_s),MATCH($W1198,IF($T1198&lt;=60,peso05_k,peso510_k),1)),""))</f>
        <v/>
      </c>
      <c r="AM1198">
        <f>IF($AJ1198="","",IF($AJ1198=0,LN($F1198/$AK1198)/$AL1198,((($F1198/$AK1198)^$AJ1198)-1)/($AJ1198*$AL1198)))</f>
        <v/>
      </c>
      <c r="AN1198">
        <f>IF($AJ1198="","",IF($AJ1198=0,$AK1198*EXP($AL1198*2),$AK1198*(1+$AJ1198*$AL1198*2)^(1/$AJ1198)))</f>
        <v/>
      </c>
      <c r="AO1198">
        <f>IF($AJ1198="","",IF($AJ1198=0,$AK1198*EXP($AL1198*3),$AK1198*(1+$AJ1198*$AL1198*3)^(1/$AJ1198)))</f>
        <v/>
      </c>
      <c r="AP1198">
        <f>IF($AJ1198="","",IF($AJ1198=0,$AK1198*EXP($AL1198*-2),$AK1198*(1+$AJ1198*$AL1198*-2)^(1/$AJ1198)))</f>
        <v/>
      </c>
      <c r="AQ1198">
        <f>IF($AJ1198="","",IF($AJ1198=0,$AK1198*EXP($AL1198*-3),$AK1198*(1+$AJ1198*$AL1198*-3)^(1/$AJ1198)))</f>
        <v/>
      </c>
      <c r="AR1198">
        <f>IF(OR($X1198="",$T1198&gt;60),"",IFERROR(INDEX(IF($T1198&lt;24,pcomp_l,palt_l),MATCH($X1198,IF($T1198&lt;24,pcomp_k,palt_k),1)),""))</f>
        <v/>
      </c>
      <c r="AS1198">
        <f>IF(OR($X1198="",$T1198&gt;60),"",IFERROR(INDEX(IF($T1198&lt;24,pcomp_m,palt_m),MATCH($X1198,IF($T1198&lt;24,pcomp_k,palt_k),1)),""))</f>
        <v/>
      </c>
      <c r="AT1198">
        <f>IF(OR($X1198="",$T1198&gt;60),"",IFERROR(INDEX(IF($T1198&lt;24,pcomp_s,palt_s),MATCH($X1198,IF($T1198&lt;24,pcomp_k,palt_k),1)),""))</f>
        <v/>
      </c>
      <c r="AU1198">
        <f>IF($AR1198="","",IF($AR1198=0,LN($F1198/$AS1198)/$AT1198,((($F1198/$AS1198)^$AR1198)-1)/($AR1198*$AT1198)))</f>
        <v/>
      </c>
      <c r="AV1198">
        <f>IF($AR1198="","",IF($AR1198=0,$AS1198*EXP($AT1198*2),$AS1198*(1+$AR1198*$AT1198*2)^(1/$AR1198)))</f>
        <v/>
      </c>
      <c r="AW1198">
        <f>IF($AR1198="","",IF($AR1198=0,$AS1198*EXP($AT1198*3),$AS1198*(1+$AR1198*$AT1198*3)^(1/$AR1198)))</f>
        <v/>
      </c>
      <c r="AX1198">
        <f>IF($AR1198="","",IF($AR1198=0,$AS1198*EXP($AT1198*-2),$AS1198*(1+$AR1198*$AT1198*-2)^(1/$AR1198)))</f>
        <v/>
      </c>
      <c r="AY1198">
        <f>IF($AR1198="","",IF($AR1198=0,$AS1198*EXP($AT1198*-3),$AS1198*(1+$AR1198*$AT1198*-3)^(1/$AR1198)))</f>
        <v/>
      </c>
      <c r="AZ1198">
        <f>IF(OR($A1198="",$A1198&lt;&gt;Ficha!$C$4),"",COUNTIF($A$2:$A1198,Ficha!$C$4))</f>
        <v/>
      </c>
    </row>
    <row r="1199">
      <c r="A1199" s="8">
        <f>IF(INDEX(Banco!$A:$A,ROW())="","",INDEX(Banco!$A:$A,ROW()))</f>
        <v/>
      </c>
      <c r="B1199" s="8">
        <f>IF(INDEX(Banco!$B:$B,ROW())="","",INDEX(Banco!$B:$B,ROW()))</f>
        <v/>
      </c>
      <c r="C1199" s="8">
        <f>IF(INDEX(Banco!$C:$C,ROW())="","",INDEX(Banco!$C:$C,ROW()))</f>
        <v/>
      </c>
      <c r="D1199" s="9">
        <f>IF(INDEX(Banco!$D:$D,ROW())="","",INDEX(Banco!$D:$D,ROW()))</f>
        <v/>
      </c>
      <c r="E1199" s="9">
        <f>IF(INDEX(Banco!$E:$E,ROW())="","",INDEX(Banco!$E:$E,ROW()))</f>
        <v/>
      </c>
      <c r="F1199" s="10">
        <f>IF(INDEX(Banco!$F:$F,ROW())="","",INDEX(Banco!$F:$F,ROW()))</f>
        <v/>
      </c>
      <c r="G1199" s="10">
        <f>IF(INDEX(Banco!$G:$G,ROW())="","",INDEX(Banco!$G:$G,ROW()))</f>
        <v/>
      </c>
      <c r="H1199" s="8">
        <f>IF(INDEX(Banco!$H:$H,ROW())="","",INDEX(Banco!$H:$H,ROW()))</f>
        <v/>
      </c>
      <c r="I1199">
        <f>IF($T1199="","",INT($T1199/12)&amp;"a "&amp;MOD($T1199,12)&amp;"m")</f>
        <v/>
      </c>
      <c r="J1199" s="11">
        <f>IF(OR($F1199="",$G1199=""),"",ROUND($F1199/($G1199/100)^2,2))</f>
        <v/>
      </c>
      <c r="K1199" s="12">
        <f>IF(OR($S1199="",$J1199="",$T1199="",$T1199&lt;0,$T1199&gt;228,$Y1199=""),"—",ROUND(IF(ABS($AB1199)&lt;=3,$AB1199,IF($AB1199&gt;3,3+($J1199-$AD1199)/($AD1199-$AC1199),-3+($J1199-$AF1199)/($AE1199-$AF1199))),2))</f>
        <v/>
      </c>
      <c r="L1199">
        <f>IF(OR($K1199="",$K1199="—"),"",IF($T1199&lt;=60,IF($K1199&lt;-3,"Magreza acentuada",IF($K1199&lt;-2,"Magreza",IF($K1199&lt;=1,"Eutrofia",IF($K1199&lt;=2,"Risco de sobrepeso",IF($K1199&lt;=3,"Sobrepeso","Obesidade"))))),IF($K1199&lt;-3,"Magreza acentuada",IF($K1199&lt;-2,"Magreza",IF($K1199&lt;=1,"Eutrofia",IF($K1199&lt;=2,"Sobrepeso",IF($K1199&lt;=3,"Obesidade","Obesidade grave")))))))</f>
        <v/>
      </c>
      <c r="M1199" s="12">
        <f>IF(OR($S1199="",$V1199="",$T1199="",$T1199&lt;0,$T1199&gt;228,$AG1199=""),"—",ROUND(IF($AG1199=0,LN($V1199/$AH1199)/$AI1199,((($V1199/$AH1199)^$AG1199)-1)/($AG1199*$AI1199)),2))</f>
        <v/>
      </c>
      <c r="N1199">
        <f>IF(OR($M1199="",$M1199="—"),"",IF($M1199&lt;-3,"Muito baixa",IF($M1199&lt;-2,"Baixa","Adequada")))</f>
        <v/>
      </c>
      <c r="O1199" s="12">
        <f>IF(OR($S1199="",$F1199="",$T1199="",$T1199&lt;0,$T1199&gt;120,$AJ1199=""),"—",ROUND(IF(ABS($AM1199)&lt;=3,$AM1199,IF($AM1199&gt;3,3+($F1199-$AO1199)/($AO1199-$AN1199),-3+($F1199-$AQ1199)/($AP1199-$AQ1199))),2))</f>
        <v/>
      </c>
      <c r="P1199">
        <f>IF(OR($O1199="",$O1199="—"),"",IF($O1199&lt;-3,"Muito baixo",IF($O1199&lt;-2,"Baixo",IF($O1199&lt;=2,"Adequado","Elevado"))))</f>
        <v/>
      </c>
      <c r="Q1199" s="12">
        <f>IF(OR($S1199="",$F1199="",$T1199="",$T1199&lt;0,$T1199&gt;60,$AR1199=""),"—",ROUND(IF(ABS($AU1199)&lt;=3,$AU1199,IF($AU1199&gt;3,3+($F1199-$AW1199)/($AW1199-$AV1199),-3+($F1199-$AY1199)/($AX1199-$AY1199))),2))</f>
        <v/>
      </c>
      <c r="R1199">
        <f>IF(OR($Q1199="",$Q1199="—"),"",IF($Q1199&lt;-3,"Magreza acentuada",IF($Q1199&lt;-2,"Magreza",IF($Q1199&lt;=1,"Eutrofia",IF($Q1199&lt;=2,"Risco de sobrepeso",IF($Q1199&lt;=3,"Sobrepeso","Obesidade"))))))</f>
        <v/>
      </c>
      <c r="S1199">
        <f>IF($C1199="","",IF(UPPER(LEFT($C1199,1))="M",1,IF(UPPER(LEFT($C1199,1))="F",2,"")))</f>
        <v/>
      </c>
      <c r="T1199">
        <f>IF(OR($D1199="",$E1199=""),"",DATEDIF($D1199,$E1199,"m"))</f>
        <v/>
      </c>
      <c r="U1199">
        <f>IF(OR($D1199="",$E1199=""),"",$E1199-$D1199)</f>
        <v/>
      </c>
      <c r="V1199">
        <f>IF(OR($G1199="",$T1199=""),"",IF($T1199&lt;24,IF(LEFT(LOWER($H1199),4)="em p",$G1199+0.7,$G1199),IF(LEFT(LOWER($H1199),4)="deit",$G1199-0.7,$G1199)))</f>
        <v/>
      </c>
      <c r="W1199">
        <f>IF(OR($S1199="",$T1199=""),"",$S1199*1000000+IF($T1199&lt;=60,$U1199,$T1199))</f>
        <v/>
      </c>
      <c r="X1199">
        <f>IF(OR($S1199="",$V1199="",$T1199&gt;60,$T1199=""),"",$S1199*1000000+ROUND($V1199*10,0))</f>
        <v/>
      </c>
      <c r="Y1199">
        <f>IF($W1199="","",IFERROR(INDEX(IF($T1199&lt;=60,imc05_l,imc519_l),MATCH($W1199,IF($T1199&lt;=60,imc05_k,imc519_k),1)),""))</f>
        <v/>
      </c>
      <c r="Z1199">
        <f>IF($W1199="","",IFERROR(INDEX(IF($T1199&lt;=60,imc05_m,imc519_m),MATCH($W1199,IF($T1199&lt;=60,imc05_k,imc519_k),1)),""))</f>
        <v/>
      </c>
      <c r="AA1199">
        <f>IF($W1199="","",IFERROR(INDEX(IF($T1199&lt;=60,imc05_s,imc519_s),MATCH($W1199,IF($T1199&lt;=60,imc05_k,imc519_k),1)),""))</f>
        <v/>
      </c>
      <c r="AB1199">
        <f>IF($Y1199="","",IF($Y1199=0,LN($J1199/$Z1199)/$AA1199,((($J1199/$Z1199)^$Y1199)-1)/($Y1199*$AA1199)))</f>
        <v/>
      </c>
      <c r="AC1199">
        <f>IF($Y1199="","",IF($Y1199=0,$Z1199*EXP($AA1199*2),$Z1199*(1+$Y1199*$AA1199*2)^(1/$Y1199)))</f>
        <v/>
      </c>
      <c r="AD1199">
        <f>IF($Y1199="","",IF($Y1199=0,$Z1199*EXP($AA1199*3),$Z1199*(1+$Y1199*$AA1199*3)^(1/$Y1199)))</f>
        <v/>
      </c>
      <c r="AE1199">
        <f>IF($Y1199="","",IF($Y1199=0,$Z1199*EXP($AA1199*-2),$Z1199*(1+$Y1199*$AA1199*-2)^(1/$Y1199)))</f>
        <v/>
      </c>
      <c r="AF1199">
        <f>IF($Y1199="","",IF($Y1199=0,$Z1199*EXP($AA1199*-3),$Z1199*(1+$Y1199*$AA1199*-3)^(1/$Y1199)))</f>
        <v/>
      </c>
      <c r="AG1199">
        <f>IF($W1199="","",IFERROR(INDEX(IF($T1199&lt;=60,est05_l,est519_l),MATCH($W1199,IF($T1199&lt;=60,est05_k,est519_k),1)),""))</f>
        <v/>
      </c>
      <c r="AH1199">
        <f>IF($W1199="","",IFERROR(INDEX(IF($T1199&lt;=60,est05_m,est519_m),MATCH($W1199,IF($T1199&lt;=60,est05_k,est519_k),1)),""))</f>
        <v/>
      </c>
      <c r="AI1199">
        <f>IF($W1199="","",IFERROR(INDEX(IF($T1199&lt;=60,est05_s,est519_s),MATCH($W1199,IF($T1199&lt;=60,est05_k,est519_k),1)),""))</f>
        <v/>
      </c>
      <c r="AJ1199">
        <f>IF($W1199="","",IFERROR(INDEX(IF($T1199&lt;=60,peso05_l,peso510_l),MATCH($W1199,IF($T1199&lt;=60,peso05_k,peso510_k),1)),""))</f>
        <v/>
      </c>
      <c r="AK1199">
        <f>IF($W1199="","",IFERROR(INDEX(IF($T1199&lt;=60,peso05_m,peso510_m),MATCH($W1199,IF($T1199&lt;=60,peso05_k,peso510_k),1)),""))</f>
        <v/>
      </c>
      <c r="AL1199">
        <f>IF($W1199="","",IFERROR(INDEX(IF($T1199&lt;=60,peso05_s,peso510_s),MATCH($W1199,IF($T1199&lt;=60,peso05_k,peso510_k),1)),""))</f>
        <v/>
      </c>
      <c r="AM1199">
        <f>IF($AJ1199="","",IF($AJ1199=0,LN($F1199/$AK1199)/$AL1199,((($F1199/$AK1199)^$AJ1199)-1)/($AJ1199*$AL1199)))</f>
        <v/>
      </c>
      <c r="AN1199">
        <f>IF($AJ1199="","",IF($AJ1199=0,$AK1199*EXP($AL1199*2),$AK1199*(1+$AJ1199*$AL1199*2)^(1/$AJ1199)))</f>
        <v/>
      </c>
      <c r="AO1199">
        <f>IF($AJ1199="","",IF($AJ1199=0,$AK1199*EXP($AL1199*3),$AK1199*(1+$AJ1199*$AL1199*3)^(1/$AJ1199)))</f>
        <v/>
      </c>
      <c r="AP1199">
        <f>IF($AJ1199="","",IF($AJ1199=0,$AK1199*EXP($AL1199*-2),$AK1199*(1+$AJ1199*$AL1199*-2)^(1/$AJ1199)))</f>
        <v/>
      </c>
      <c r="AQ1199">
        <f>IF($AJ1199="","",IF($AJ1199=0,$AK1199*EXP($AL1199*-3),$AK1199*(1+$AJ1199*$AL1199*-3)^(1/$AJ1199)))</f>
        <v/>
      </c>
      <c r="AR1199">
        <f>IF(OR($X1199="",$T1199&gt;60),"",IFERROR(INDEX(IF($T1199&lt;24,pcomp_l,palt_l),MATCH($X1199,IF($T1199&lt;24,pcomp_k,palt_k),1)),""))</f>
        <v/>
      </c>
      <c r="AS1199">
        <f>IF(OR($X1199="",$T1199&gt;60),"",IFERROR(INDEX(IF($T1199&lt;24,pcomp_m,palt_m),MATCH($X1199,IF($T1199&lt;24,pcomp_k,palt_k),1)),""))</f>
        <v/>
      </c>
      <c r="AT1199">
        <f>IF(OR($X1199="",$T1199&gt;60),"",IFERROR(INDEX(IF($T1199&lt;24,pcomp_s,palt_s),MATCH($X1199,IF($T1199&lt;24,pcomp_k,palt_k),1)),""))</f>
        <v/>
      </c>
      <c r="AU1199">
        <f>IF($AR1199="","",IF($AR1199=0,LN($F1199/$AS1199)/$AT1199,((($F1199/$AS1199)^$AR1199)-1)/($AR1199*$AT1199)))</f>
        <v/>
      </c>
      <c r="AV1199">
        <f>IF($AR1199="","",IF($AR1199=0,$AS1199*EXP($AT1199*2),$AS1199*(1+$AR1199*$AT1199*2)^(1/$AR1199)))</f>
        <v/>
      </c>
      <c r="AW1199">
        <f>IF($AR1199="","",IF($AR1199=0,$AS1199*EXP($AT1199*3),$AS1199*(1+$AR1199*$AT1199*3)^(1/$AR1199)))</f>
        <v/>
      </c>
      <c r="AX1199">
        <f>IF($AR1199="","",IF($AR1199=0,$AS1199*EXP($AT1199*-2),$AS1199*(1+$AR1199*$AT1199*-2)^(1/$AR1199)))</f>
        <v/>
      </c>
      <c r="AY1199">
        <f>IF($AR1199="","",IF($AR1199=0,$AS1199*EXP($AT1199*-3),$AS1199*(1+$AR1199*$AT1199*-3)^(1/$AR1199)))</f>
        <v/>
      </c>
      <c r="AZ1199">
        <f>IF(OR($A1199="",$A1199&lt;&gt;Ficha!$C$4),"",COUNTIF($A$2:$A1199,Ficha!$C$4))</f>
        <v/>
      </c>
    </row>
    <row r="1200">
      <c r="A1200" s="8">
        <f>IF(INDEX(Banco!$A:$A,ROW())="","",INDEX(Banco!$A:$A,ROW()))</f>
        <v/>
      </c>
      <c r="B1200" s="8">
        <f>IF(INDEX(Banco!$B:$B,ROW())="","",INDEX(Banco!$B:$B,ROW()))</f>
        <v/>
      </c>
      <c r="C1200" s="8">
        <f>IF(INDEX(Banco!$C:$C,ROW())="","",INDEX(Banco!$C:$C,ROW()))</f>
        <v/>
      </c>
      <c r="D1200" s="9">
        <f>IF(INDEX(Banco!$D:$D,ROW())="","",INDEX(Banco!$D:$D,ROW()))</f>
        <v/>
      </c>
      <c r="E1200" s="9">
        <f>IF(INDEX(Banco!$E:$E,ROW())="","",INDEX(Banco!$E:$E,ROW()))</f>
        <v/>
      </c>
      <c r="F1200" s="10">
        <f>IF(INDEX(Banco!$F:$F,ROW())="","",INDEX(Banco!$F:$F,ROW()))</f>
        <v/>
      </c>
      <c r="G1200" s="10">
        <f>IF(INDEX(Banco!$G:$G,ROW())="","",INDEX(Banco!$G:$G,ROW()))</f>
        <v/>
      </c>
      <c r="H1200" s="8">
        <f>IF(INDEX(Banco!$H:$H,ROW())="","",INDEX(Banco!$H:$H,ROW()))</f>
        <v/>
      </c>
      <c r="I1200">
        <f>IF($T1200="","",INT($T1200/12)&amp;"a "&amp;MOD($T1200,12)&amp;"m")</f>
        <v/>
      </c>
      <c r="J1200" s="11">
        <f>IF(OR($F1200="",$G1200=""),"",ROUND($F1200/($G1200/100)^2,2))</f>
        <v/>
      </c>
      <c r="K1200" s="12">
        <f>IF(OR($S1200="",$J1200="",$T1200="",$T1200&lt;0,$T1200&gt;228,$Y1200=""),"—",ROUND(IF(ABS($AB1200)&lt;=3,$AB1200,IF($AB1200&gt;3,3+($J1200-$AD1200)/($AD1200-$AC1200),-3+($J1200-$AF1200)/($AE1200-$AF1200))),2))</f>
        <v/>
      </c>
      <c r="L1200">
        <f>IF(OR($K1200="",$K1200="—"),"",IF($T1200&lt;=60,IF($K1200&lt;-3,"Magreza acentuada",IF($K1200&lt;-2,"Magreza",IF($K1200&lt;=1,"Eutrofia",IF($K1200&lt;=2,"Risco de sobrepeso",IF($K1200&lt;=3,"Sobrepeso","Obesidade"))))),IF($K1200&lt;-3,"Magreza acentuada",IF($K1200&lt;-2,"Magreza",IF($K1200&lt;=1,"Eutrofia",IF($K1200&lt;=2,"Sobrepeso",IF($K1200&lt;=3,"Obesidade","Obesidade grave")))))))</f>
        <v/>
      </c>
      <c r="M1200" s="12">
        <f>IF(OR($S1200="",$V1200="",$T1200="",$T1200&lt;0,$T1200&gt;228,$AG1200=""),"—",ROUND(IF($AG1200=0,LN($V1200/$AH1200)/$AI1200,((($V1200/$AH1200)^$AG1200)-1)/($AG1200*$AI1200)),2))</f>
        <v/>
      </c>
      <c r="N1200">
        <f>IF(OR($M1200="",$M1200="—"),"",IF($M1200&lt;-3,"Muito baixa",IF($M1200&lt;-2,"Baixa","Adequada")))</f>
        <v/>
      </c>
      <c r="O1200" s="12">
        <f>IF(OR($S1200="",$F1200="",$T1200="",$T1200&lt;0,$T1200&gt;120,$AJ1200=""),"—",ROUND(IF(ABS($AM1200)&lt;=3,$AM1200,IF($AM1200&gt;3,3+($F1200-$AO1200)/($AO1200-$AN1200),-3+($F1200-$AQ1200)/($AP1200-$AQ1200))),2))</f>
        <v/>
      </c>
      <c r="P1200">
        <f>IF(OR($O1200="",$O1200="—"),"",IF($O1200&lt;-3,"Muito baixo",IF($O1200&lt;-2,"Baixo",IF($O1200&lt;=2,"Adequado","Elevado"))))</f>
        <v/>
      </c>
      <c r="Q1200" s="12">
        <f>IF(OR($S1200="",$F1200="",$T1200="",$T1200&lt;0,$T1200&gt;60,$AR1200=""),"—",ROUND(IF(ABS($AU1200)&lt;=3,$AU1200,IF($AU1200&gt;3,3+($F1200-$AW1200)/($AW1200-$AV1200),-3+($F1200-$AY1200)/($AX1200-$AY1200))),2))</f>
        <v/>
      </c>
      <c r="R1200">
        <f>IF(OR($Q1200="",$Q1200="—"),"",IF($Q1200&lt;-3,"Magreza acentuada",IF($Q1200&lt;-2,"Magreza",IF($Q1200&lt;=1,"Eutrofia",IF($Q1200&lt;=2,"Risco de sobrepeso",IF($Q1200&lt;=3,"Sobrepeso","Obesidade"))))))</f>
        <v/>
      </c>
      <c r="S1200">
        <f>IF($C1200="","",IF(UPPER(LEFT($C1200,1))="M",1,IF(UPPER(LEFT($C1200,1))="F",2,"")))</f>
        <v/>
      </c>
      <c r="T1200">
        <f>IF(OR($D1200="",$E1200=""),"",DATEDIF($D1200,$E1200,"m"))</f>
        <v/>
      </c>
      <c r="U1200">
        <f>IF(OR($D1200="",$E1200=""),"",$E1200-$D1200)</f>
        <v/>
      </c>
      <c r="V1200">
        <f>IF(OR($G1200="",$T1200=""),"",IF($T1200&lt;24,IF(LEFT(LOWER($H1200),4)="em p",$G1200+0.7,$G1200),IF(LEFT(LOWER($H1200),4)="deit",$G1200-0.7,$G1200)))</f>
        <v/>
      </c>
      <c r="W1200">
        <f>IF(OR($S1200="",$T1200=""),"",$S1200*1000000+IF($T1200&lt;=60,$U1200,$T1200))</f>
        <v/>
      </c>
      <c r="X1200">
        <f>IF(OR($S1200="",$V1200="",$T1200&gt;60,$T1200=""),"",$S1200*1000000+ROUND($V1200*10,0))</f>
        <v/>
      </c>
      <c r="Y1200">
        <f>IF($W1200="","",IFERROR(INDEX(IF($T1200&lt;=60,imc05_l,imc519_l),MATCH($W1200,IF($T1200&lt;=60,imc05_k,imc519_k),1)),""))</f>
        <v/>
      </c>
      <c r="Z1200">
        <f>IF($W1200="","",IFERROR(INDEX(IF($T1200&lt;=60,imc05_m,imc519_m),MATCH($W1200,IF($T1200&lt;=60,imc05_k,imc519_k),1)),""))</f>
        <v/>
      </c>
      <c r="AA1200">
        <f>IF($W1200="","",IFERROR(INDEX(IF($T1200&lt;=60,imc05_s,imc519_s),MATCH($W1200,IF($T1200&lt;=60,imc05_k,imc519_k),1)),""))</f>
        <v/>
      </c>
      <c r="AB1200">
        <f>IF($Y1200="","",IF($Y1200=0,LN($J1200/$Z1200)/$AA1200,((($J1200/$Z1200)^$Y1200)-1)/($Y1200*$AA1200)))</f>
        <v/>
      </c>
      <c r="AC1200">
        <f>IF($Y1200="","",IF($Y1200=0,$Z1200*EXP($AA1200*2),$Z1200*(1+$Y1200*$AA1200*2)^(1/$Y1200)))</f>
        <v/>
      </c>
      <c r="AD1200">
        <f>IF($Y1200="","",IF($Y1200=0,$Z1200*EXP($AA1200*3),$Z1200*(1+$Y1200*$AA1200*3)^(1/$Y1200)))</f>
        <v/>
      </c>
      <c r="AE1200">
        <f>IF($Y1200="","",IF($Y1200=0,$Z1200*EXP($AA1200*-2),$Z1200*(1+$Y1200*$AA1200*-2)^(1/$Y1200)))</f>
        <v/>
      </c>
      <c r="AF1200">
        <f>IF($Y1200="","",IF($Y1200=0,$Z1200*EXP($AA1200*-3),$Z1200*(1+$Y1200*$AA1200*-3)^(1/$Y1200)))</f>
        <v/>
      </c>
      <c r="AG1200">
        <f>IF($W1200="","",IFERROR(INDEX(IF($T1200&lt;=60,est05_l,est519_l),MATCH($W1200,IF($T1200&lt;=60,est05_k,est519_k),1)),""))</f>
        <v/>
      </c>
      <c r="AH1200">
        <f>IF($W1200="","",IFERROR(INDEX(IF($T1200&lt;=60,est05_m,est519_m),MATCH($W1200,IF($T1200&lt;=60,est05_k,est519_k),1)),""))</f>
        <v/>
      </c>
      <c r="AI1200">
        <f>IF($W1200="","",IFERROR(INDEX(IF($T1200&lt;=60,est05_s,est519_s),MATCH($W1200,IF($T1200&lt;=60,est05_k,est519_k),1)),""))</f>
        <v/>
      </c>
      <c r="AJ1200">
        <f>IF($W1200="","",IFERROR(INDEX(IF($T1200&lt;=60,peso05_l,peso510_l),MATCH($W1200,IF($T1200&lt;=60,peso05_k,peso510_k),1)),""))</f>
        <v/>
      </c>
      <c r="AK1200">
        <f>IF($W1200="","",IFERROR(INDEX(IF($T1200&lt;=60,peso05_m,peso510_m),MATCH($W1200,IF($T1200&lt;=60,peso05_k,peso510_k),1)),""))</f>
        <v/>
      </c>
      <c r="AL1200">
        <f>IF($W1200="","",IFERROR(INDEX(IF($T1200&lt;=60,peso05_s,peso510_s),MATCH($W1200,IF($T1200&lt;=60,peso05_k,peso510_k),1)),""))</f>
        <v/>
      </c>
      <c r="AM1200">
        <f>IF($AJ1200="","",IF($AJ1200=0,LN($F1200/$AK1200)/$AL1200,((($F1200/$AK1200)^$AJ1200)-1)/($AJ1200*$AL1200)))</f>
        <v/>
      </c>
      <c r="AN1200">
        <f>IF($AJ1200="","",IF($AJ1200=0,$AK1200*EXP($AL1200*2),$AK1200*(1+$AJ1200*$AL1200*2)^(1/$AJ1200)))</f>
        <v/>
      </c>
      <c r="AO1200">
        <f>IF($AJ1200="","",IF($AJ1200=0,$AK1200*EXP($AL1200*3),$AK1200*(1+$AJ1200*$AL1200*3)^(1/$AJ1200)))</f>
        <v/>
      </c>
      <c r="AP1200">
        <f>IF($AJ1200="","",IF($AJ1200=0,$AK1200*EXP($AL1200*-2),$AK1200*(1+$AJ1200*$AL1200*-2)^(1/$AJ1200)))</f>
        <v/>
      </c>
      <c r="AQ1200">
        <f>IF($AJ1200="","",IF($AJ1200=0,$AK1200*EXP($AL1200*-3),$AK1200*(1+$AJ1200*$AL1200*-3)^(1/$AJ1200)))</f>
        <v/>
      </c>
      <c r="AR1200">
        <f>IF(OR($X1200="",$T1200&gt;60),"",IFERROR(INDEX(IF($T1200&lt;24,pcomp_l,palt_l),MATCH($X1200,IF($T1200&lt;24,pcomp_k,palt_k),1)),""))</f>
        <v/>
      </c>
      <c r="AS1200">
        <f>IF(OR($X1200="",$T1200&gt;60),"",IFERROR(INDEX(IF($T1200&lt;24,pcomp_m,palt_m),MATCH($X1200,IF($T1200&lt;24,pcomp_k,palt_k),1)),""))</f>
        <v/>
      </c>
      <c r="AT1200">
        <f>IF(OR($X1200="",$T1200&gt;60),"",IFERROR(INDEX(IF($T1200&lt;24,pcomp_s,palt_s),MATCH($X1200,IF($T1200&lt;24,pcomp_k,palt_k),1)),""))</f>
        <v/>
      </c>
      <c r="AU1200">
        <f>IF($AR1200="","",IF($AR1200=0,LN($F1200/$AS1200)/$AT1200,((($F1200/$AS1200)^$AR1200)-1)/($AR1200*$AT1200)))</f>
        <v/>
      </c>
      <c r="AV1200">
        <f>IF($AR1200="","",IF($AR1200=0,$AS1200*EXP($AT1200*2),$AS1200*(1+$AR1200*$AT1200*2)^(1/$AR1200)))</f>
        <v/>
      </c>
      <c r="AW1200">
        <f>IF($AR1200="","",IF($AR1200=0,$AS1200*EXP($AT1200*3),$AS1200*(1+$AR1200*$AT1200*3)^(1/$AR1200)))</f>
        <v/>
      </c>
      <c r="AX1200">
        <f>IF($AR1200="","",IF($AR1200=0,$AS1200*EXP($AT1200*-2),$AS1200*(1+$AR1200*$AT1200*-2)^(1/$AR1200)))</f>
        <v/>
      </c>
      <c r="AY1200">
        <f>IF($AR1200="","",IF($AR1200=0,$AS1200*EXP($AT1200*-3),$AS1200*(1+$AR1200*$AT1200*-3)^(1/$AR1200)))</f>
        <v/>
      </c>
      <c r="AZ1200">
        <f>IF(OR($A1200="",$A1200&lt;&gt;Ficha!$C$4),"",COUNTIF($A$2:$A1200,Ficha!$C$4))</f>
        <v/>
      </c>
    </row>
    <row r="1201">
      <c r="A1201" s="8">
        <f>IF(INDEX(Banco!$A:$A,ROW())="","",INDEX(Banco!$A:$A,ROW()))</f>
        <v/>
      </c>
      <c r="B1201" s="8">
        <f>IF(INDEX(Banco!$B:$B,ROW())="","",INDEX(Banco!$B:$B,ROW()))</f>
        <v/>
      </c>
      <c r="C1201" s="8">
        <f>IF(INDEX(Banco!$C:$C,ROW())="","",INDEX(Banco!$C:$C,ROW()))</f>
        <v/>
      </c>
      <c r="D1201" s="9">
        <f>IF(INDEX(Banco!$D:$D,ROW())="","",INDEX(Banco!$D:$D,ROW()))</f>
        <v/>
      </c>
      <c r="E1201" s="9">
        <f>IF(INDEX(Banco!$E:$E,ROW())="","",INDEX(Banco!$E:$E,ROW()))</f>
        <v/>
      </c>
      <c r="F1201" s="10">
        <f>IF(INDEX(Banco!$F:$F,ROW())="","",INDEX(Banco!$F:$F,ROW()))</f>
        <v/>
      </c>
      <c r="G1201" s="10">
        <f>IF(INDEX(Banco!$G:$G,ROW())="","",INDEX(Banco!$G:$G,ROW()))</f>
        <v/>
      </c>
      <c r="H1201" s="8">
        <f>IF(INDEX(Banco!$H:$H,ROW())="","",INDEX(Banco!$H:$H,ROW()))</f>
        <v/>
      </c>
      <c r="I1201">
        <f>IF($T1201="","",INT($T1201/12)&amp;"a "&amp;MOD($T1201,12)&amp;"m")</f>
        <v/>
      </c>
      <c r="J1201" s="11">
        <f>IF(OR($F1201="",$G1201=""),"",ROUND($F1201/($G1201/100)^2,2))</f>
        <v/>
      </c>
      <c r="K1201" s="12">
        <f>IF(OR($S1201="",$J1201="",$T1201="",$T1201&lt;0,$T1201&gt;228,$Y1201=""),"—",ROUND(IF(ABS($AB1201)&lt;=3,$AB1201,IF($AB1201&gt;3,3+($J1201-$AD1201)/($AD1201-$AC1201),-3+($J1201-$AF1201)/($AE1201-$AF1201))),2))</f>
        <v/>
      </c>
      <c r="L1201">
        <f>IF(OR($K1201="",$K1201="—"),"",IF($T1201&lt;=60,IF($K1201&lt;-3,"Magreza acentuada",IF($K1201&lt;-2,"Magreza",IF($K1201&lt;=1,"Eutrofia",IF($K1201&lt;=2,"Risco de sobrepeso",IF($K1201&lt;=3,"Sobrepeso","Obesidade"))))),IF($K1201&lt;-3,"Magreza acentuada",IF($K1201&lt;-2,"Magreza",IF($K1201&lt;=1,"Eutrofia",IF($K1201&lt;=2,"Sobrepeso",IF($K1201&lt;=3,"Obesidade","Obesidade grave")))))))</f>
        <v/>
      </c>
      <c r="M1201" s="12">
        <f>IF(OR($S1201="",$V1201="",$T1201="",$T1201&lt;0,$T1201&gt;228,$AG1201=""),"—",ROUND(IF($AG1201=0,LN($V1201/$AH1201)/$AI1201,((($V1201/$AH1201)^$AG1201)-1)/($AG1201*$AI1201)),2))</f>
        <v/>
      </c>
      <c r="N1201">
        <f>IF(OR($M1201="",$M1201="—"),"",IF($M1201&lt;-3,"Muito baixa",IF($M1201&lt;-2,"Baixa","Adequada")))</f>
        <v/>
      </c>
      <c r="O1201" s="12">
        <f>IF(OR($S1201="",$F1201="",$T1201="",$T1201&lt;0,$T1201&gt;120,$AJ1201=""),"—",ROUND(IF(ABS($AM1201)&lt;=3,$AM1201,IF($AM1201&gt;3,3+($F1201-$AO1201)/($AO1201-$AN1201),-3+($F1201-$AQ1201)/($AP1201-$AQ1201))),2))</f>
        <v/>
      </c>
      <c r="P1201">
        <f>IF(OR($O1201="",$O1201="—"),"",IF($O1201&lt;-3,"Muito baixo",IF($O1201&lt;-2,"Baixo",IF($O1201&lt;=2,"Adequado","Elevado"))))</f>
        <v/>
      </c>
      <c r="Q1201" s="12">
        <f>IF(OR($S1201="",$F1201="",$T1201="",$T1201&lt;0,$T1201&gt;60,$AR1201=""),"—",ROUND(IF(ABS($AU1201)&lt;=3,$AU1201,IF($AU1201&gt;3,3+($F1201-$AW1201)/($AW1201-$AV1201),-3+($F1201-$AY1201)/($AX1201-$AY1201))),2))</f>
        <v/>
      </c>
      <c r="R1201">
        <f>IF(OR($Q1201="",$Q1201="—"),"",IF($Q1201&lt;-3,"Magreza acentuada",IF($Q1201&lt;-2,"Magreza",IF($Q1201&lt;=1,"Eutrofia",IF($Q1201&lt;=2,"Risco de sobrepeso",IF($Q1201&lt;=3,"Sobrepeso","Obesidade"))))))</f>
        <v/>
      </c>
      <c r="S1201">
        <f>IF($C1201="","",IF(UPPER(LEFT($C1201,1))="M",1,IF(UPPER(LEFT($C1201,1))="F",2,"")))</f>
        <v/>
      </c>
      <c r="T1201">
        <f>IF(OR($D1201="",$E1201=""),"",DATEDIF($D1201,$E1201,"m"))</f>
        <v/>
      </c>
      <c r="U1201">
        <f>IF(OR($D1201="",$E1201=""),"",$E1201-$D1201)</f>
        <v/>
      </c>
      <c r="V1201">
        <f>IF(OR($G1201="",$T1201=""),"",IF($T1201&lt;24,IF(LEFT(LOWER($H1201),4)="em p",$G1201+0.7,$G1201),IF(LEFT(LOWER($H1201),4)="deit",$G1201-0.7,$G1201)))</f>
        <v/>
      </c>
      <c r="W1201">
        <f>IF(OR($S1201="",$T1201=""),"",$S1201*1000000+IF($T1201&lt;=60,$U1201,$T1201))</f>
        <v/>
      </c>
      <c r="X1201">
        <f>IF(OR($S1201="",$V1201="",$T1201&gt;60,$T1201=""),"",$S1201*1000000+ROUND($V1201*10,0))</f>
        <v/>
      </c>
      <c r="Y1201">
        <f>IF($W1201="","",IFERROR(INDEX(IF($T1201&lt;=60,imc05_l,imc519_l),MATCH($W1201,IF($T1201&lt;=60,imc05_k,imc519_k),1)),""))</f>
        <v/>
      </c>
      <c r="Z1201">
        <f>IF($W1201="","",IFERROR(INDEX(IF($T1201&lt;=60,imc05_m,imc519_m),MATCH($W1201,IF($T1201&lt;=60,imc05_k,imc519_k),1)),""))</f>
        <v/>
      </c>
      <c r="AA1201">
        <f>IF($W1201="","",IFERROR(INDEX(IF($T1201&lt;=60,imc05_s,imc519_s),MATCH($W1201,IF($T1201&lt;=60,imc05_k,imc519_k),1)),""))</f>
        <v/>
      </c>
      <c r="AB1201">
        <f>IF($Y1201="","",IF($Y1201=0,LN($J1201/$Z1201)/$AA1201,((($J1201/$Z1201)^$Y1201)-1)/($Y1201*$AA1201)))</f>
        <v/>
      </c>
      <c r="AC1201">
        <f>IF($Y1201="","",IF($Y1201=0,$Z1201*EXP($AA1201*2),$Z1201*(1+$Y1201*$AA1201*2)^(1/$Y1201)))</f>
        <v/>
      </c>
      <c r="AD1201">
        <f>IF($Y1201="","",IF($Y1201=0,$Z1201*EXP($AA1201*3),$Z1201*(1+$Y1201*$AA1201*3)^(1/$Y1201)))</f>
        <v/>
      </c>
      <c r="AE1201">
        <f>IF($Y1201="","",IF($Y1201=0,$Z1201*EXP($AA1201*-2),$Z1201*(1+$Y1201*$AA1201*-2)^(1/$Y1201)))</f>
        <v/>
      </c>
      <c r="AF1201">
        <f>IF($Y1201="","",IF($Y1201=0,$Z1201*EXP($AA1201*-3),$Z1201*(1+$Y1201*$AA1201*-3)^(1/$Y1201)))</f>
        <v/>
      </c>
      <c r="AG1201">
        <f>IF($W1201="","",IFERROR(INDEX(IF($T1201&lt;=60,est05_l,est519_l),MATCH($W1201,IF($T1201&lt;=60,est05_k,est519_k),1)),""))</f>
        <v/>
      </c>
      <c r="AH1201">
        <f>IF($W1201="","",IFERROR(INDEX(IF($T1201&lt;=60,est05_m,est519_m),MATCH($W1201,IF($T1201&lt;=60,est05_k,est519_k),1)),""))</f>
        <v/>
      </c>
      <c r="AI1201">
        <f>IF($W1201="","",IFERROR(INDEX(IF($T1201&lt;=60,est05_s,est519_s),MATCH($W1201,IF($T1201&lt;=60,est05_k,est519_k),1)),""))</f>
        <v/>
      </c>
      <c r="AJ1201">
        <f>IF($W1201="","",IFERROR(INDEX(IF($T1201&lt;=60,peso05_l,peso510_l),MATCH($W1201,IF($T1201&lt;=60,peso05_k,peso510_k),1)),""))</f>
        <v/>
      </c>
      <c r="AK1201">
        <f>IF($W1201="","",IFERROR(INDEX(IF($T1201&lt;=60,peso05_m,peso510_m),MATCH($W1201,IF($T1201&lt;=60,peso05_k,peso510_k),1)),""))</f>
        <v/>
      </c>
      <c r="AL1201">
        <f>IF($W1201="","",IFERROR(INDEX(IF($T1201&lt;=60,peso05_s,peso510_s),MATCH($W1201,IF($T1201&lt;=60,peso05_k,peso510_k),1)),""))</f>
        <v/>
      </c>
      <c r="AM1201">
        <f>IF($AJ1201="","",IF($AJ1201=0,LN($F1201/$AK1201)/$AL1201,((($F1201/$AK1201)^$AJ1201)-1)/($AJ1201*$AL1201)))</f>
        <v/>
      </c>
      <c r="AN1201">
        <f>IF($AJ1201="","",IF($AJ1201=0,$AK1201*EXP($AL1201*2),$AK1201*(1+$AJ1201*$AL1201*2)^(1/$AJ1201)))</f>
        <v/>
      </c>
      <c r="AO1201">
        <f>IF($AJ1201="","",IF($AJ1201=0,$AK1201*EXP($AL1201*3),$AK1201*(1+$AJ1201*$AL1201*3)^(1/$AJ1201)))</f>
        <v/>
      </c>
      <c r="AP1201">
        <f>IF($AJ1201="","",IF($AJ1201=0,$AK1201*EXP($AL1201*-2),$AK1201*(1+$AJ1201*$AL1201*-2)^(1/$AJ1201)))</f>
        <v/>
      </c>
      <c r="AQ1201">
        <f>IF($AJ1201="","",IF($AJ1201=0,$AK1201*EXP($AL1201*-3),$AK1201*(1+$AJ1201*$AL1201*-3)^(1/$AJ1201)))</f>
        <v/>
      </c>
      <c r="AR1201">
        <f>IF(OR($X1201="",$T1201&gt;60),"",IFERROR(INDEX(IF($T1201&lt;24,pcomp_l,palt_l),MATCH($X1201,IF($T1201&lt;24,pcomp_k,palt_k),1)),""))</f>
        <v/>
      </c>
      <c r="AS1201">
        <f>IF(OR($X1201="",$T1201&gt;60),"",IFERROR(INDEX(IF($T1201&lt;24,pcomp_m,palt_m),MATCH($X1201,IF($T1201&lt;24,pcomp_k,palt_k),1)),""))</f>
        <v/>
      </c>
      <c r="AT1201">
        <f>IF(OR($X1201="",$T1201&gt;60),"",IFERROR(INDEX(IF($T1201&lt;24,pcomp_s,palt_s),MATCH($X1201,IF($T1201&lt;24,pcomp_k,palt_k),1)),""))</f>
        <v/>
      </c>
      <c r="AU1201">
        <f>IF($AR1201="","",IF($AR1201=0,LN($F1201/$AS1201)/$AT1201,((($F1201/$AS1201)^$AR1201)-1)/($AR1201*$AT1201)))</f>
        <v/>
      </c>
      <c r="AV1201">
        <f>IF($AR1201="","",IF($AR1201=0,$AS1201*EXP($AT1201*2),$AS1201*(1+$AR1201*$AT1201*2)^(1/$AR1201)))</f>
        <v/>
      </c>
      <c r="AW1201">
        <f>IF($AR1201="","",IF($AR1201=0,$AS1201*EXP($AT1201*3),$AS1201*(1+$AR1201*$AT1201*3)^(1/$AR1201)))</f>
        <v/>
      </c>
      <c r="AX1201">
        <f>IF($AR1201="","",IF($AR1201=0,$AS1201*EXP($AT1201*-2),$AS1201*(1+$AR1201*$AT1201*-2)^(1/$AR1201)))</f>
        <v/>
      </c>
      <c r="AY1201">
        <f>IF($AR1201="","",IF($AR1201=0,$AS1201*EXP($AT1201*-3),$AS1201*(1+$AR1201*$AT1201*-3)^(1/$AR1201)))</f>
        <v/>
      </c>
      <c r="AZ1201">
        <f>IF(OR($A1201="",$A1201&lt;&gt;Ficha!$C$4),"",COUNTIF($A$2:$A1201,Ficha!$C$4))</f>
        <v/>
      </c>
    </row>
    <row r="1202">
      <c r="A1202" s="8">
        <f>IF(INDEX(Banco!$A:$A,ROW())="","",INDEX(Banco!$A:$A,ROW()))</f>
        <v/>
      </c>
      <c r="B1202" s="8">
        <f>IF(INDEX(Banco!$B:$B,ROW())="","",INDEX(Banco!$B:$B,ROW()))</f>
        <v/>
      </c>
      <c r="C1202" s="8">
        <f>IF(INDEX(Banco!$C:$C,ROW())="","",INDEX(Banco!$C:$C,ROW()))</f>
        <v/>
      </c>
      <c r="D1202" s="9">
        <f>IF(INDEX(Banco!$D:$D,ROW())="","",INDEX(Banco!$D:$D,ROW()))</f>
        <v/>
      </c>
      <c r="E1202" s="9">
        <f>IF(INDEX(Banco!$E:$E,ROW())="","",INDEX(Banco!$E:$E,ROW()))</f>
        <v/>
      </c>
      <c r="F1202" s="10">
        <f>IF(INDEX(Banco!$F:$F,ROW())="","",INDEX(Banco!$F:$F,ROW()))</f>
        <v/>
      </c>
      <c r="G1202" s="10">
        <f>IF(INDEX(Banco!$G:$G,ROW())="","",INDEX(Banco!$G:$G,ROW()))</f>
        <v/>
      </c>
      <c r="H1202" s="8">
        <f>IF(INDEX(Banco!$H:$H,ROW())="","",INDEX(Banco!$H:$H,ROW()))</f>
        <v/>
      </c>
      <c r="I1202">
        <f>IF($T1202="","",INT($T1202/12)&amp;"a "&amp;MOD($T1202,12)&amp;"m")</f>
        <v/>
      </c>
      <c r="J1202" s="11">
        <f>IF(OR($F1202="",$G1202=""),"",ROUND($F1202/($G1202/100)^2,2))</f>
        <v/>
      </c>
      <c r="K1202" s="12">
        <f>IF(OR($S1202="",$J1202="",$T1202="",$T1202&lt;0,$T1202&gt;228,$Y1202=""),"—",ROUND(IF(ABS($AB1202)&lt;=3,$AB1202,IF($AB1202&gt;3,3+($J1202-$AD1202)/($AD1202-$AC1202),-3+($J1202-$AF1202)/($AE1202-$AF1202))),2))</f>
        <v/>
      </c>
      <c r="L1202">
        <f>IF(OR($K1202="",$K1202="—"),"",IF($T1202&lt;=60,IF($K1202&lt;-3,"Magreza acentuada",IF($K1202&lt;-2,"Magreza",IF($K1202&lt;=1,"Eutrofia",IF($K1202&lt;=2,"Risco de sobrepeso",IF($K1202&lt;=3,"Sobrepeso","Obesidade"))))),IF($K1202&lt;-3,"Magreza acentuada",IF($K1202&lt;-2,"Magreza",IF($K1202&lt;=1,"Eutrofia",IF($K1202&lt;=2,"Sobrepeso",IF($K1202&lt;=3,"Obesidade","Obesidade grave")))))))</f>
        <v/>
      </c>
      <c r="M1202" s="12">
        <f>IF(OR($S1202="",$V1202="",$T1202="",$T1202&lt;0,$T1202&gt;228,$AG1202=""),"—",ROUND(IF($AG1202=0,LN($V1202/$AH1202)/$AI1202,((($V1202/$AH1202)^$AG1202)-1)/($AG1202*$AI1202)),2))</f>
        <v/>
      </c>
      <c r="N1202">
        <f>IF(OR($M1202="",$M1202="—"),"",IF($M1202&lt;-3,"Muito baixa",IF($M1202&lt;-2,"Baixa","Adequada")))</f>
        <v/>
      </c>
      <c r="O1202" s="12">
        <f>IF(OR($S1202="",$F1202="",$T1202="",$T1202&lt;0,$T1202&gt;120,$AJ1202=""),"—",ROUND(IF(ABS($AM1202)&lt;=3,$AM1202,IF($AM1202&gt;3,3+($F1202-$AO1202)/($AO1202-$AN1202),-3+($F1202-$AQ1202)/($AP1202-$AQ1202))),2))</f>
        <v/>
      </c>
      <c r="P1202">
        <f>IF(OR($O1202="",$O1202="—"),"",IF($O1202&lt;-3,"Muito baixo",IF($O1202&lt;-2,"Baixo",IF($O1202&lt;=2,"Adequado","Elevado"))))</f>
        <v/>
      </c>
      <c r="Q1202" s="12">
        <f>IF(OR($S1202="",$F1202="",$T1202="",$T1202&lt;0,$T1202&gt;60,$AR1202=""),"—",ROUND(IF(ABS($AU1202)&lt;=3,$AU1202,IF($AU1202&gt;3,3+($F1202-$AW1202)/($AW1202-$AV1202),-3+($F1202-$AY1202)/($AX1202-$AY1202))),2))</f>
        <v/>
      </c>
      <c r="R1202">
        <f>IF(OR($Q1202="",$Q1202="—"),"",IF($Q1202&lt;-3,"Magreza acentuada",IF($Q1202&lt;-2,"Magreza",IF($Q1202&lt;=1,"Eutrofia",IF($Q1202&lt;=2,"Risco de sobrepeso",IF($Q1202&lt;=3,"Sobrepeso","Obesidade"))))))</f>
        <v/>
      </c>
      <c r="S1202">
        <f>IF($C1202="","",IF(UPPER(LEFT($C1202,1))="M",1,IF(UPPER(LEFT($C1202,1))="F",2,"")))</f>
        <v/>
      </c>
      <c r="T1202">
        <f>IF(OR($D1202="",$E1202=""),"",DATEDIF($D1202,$E1202,"m"))</f>
        <v/>
      </c>
      <c r="U1202">
        <f>IF(OR($D1202="",$E1202=""),"",$E1202-$D1202)</f>
        <v/>
      </c>
      <c r="V1202">
        <f>IF(OR($G1202="",$T1202=""),"",IF($T1202&lt;24,IF(LEFT(LOWER($H1202),4)="em p",$G1202+0.7,$G1202),IF(LEFT(LOWER($H1202),4)="deit",$G1202-0.7,$G1202)))</f>
        <v/>
      </c>
      <c r="W1202">
        <f>IF(OR($S1202="",$T1202=""),"",$S1202*1000000+IF($T1202&lt;=60,$U1202,$T1202))</f>
        <v/>
      </c>
      <c r="X1202">
        <f>IF(OR($S1202="",$V1202="",$T1202&gt;60,$T1202=""),"",$S1202*1000000+ROUND($V1202*10,0))</f>
        <v/>
      </c>
      <c r="Y1202">
        <f>IF($W1202="","",IFERROR(INDEX(IF($T1202&lt;=60,imc05_l,imc519_l),MATCH($W1202,IF($T1202&lt;=60,imc05_k,imc519_k),1)),""))</f>
        <v/>
      </c>
      <c r="Z1202">
        <f>IF($W1202="","",IFERROR(INDEX(IF($T1202&lt;=60,imc05_m,imc519_m),MATCH($W1202,IF($T1202&lt;=60,imc05_k,imc519_k),1)),""))</f>
        <v/>
      </c>
      <c r="AA1202">
        <f>IF($W1202="","",IFERROR(INDEX(IF($T1202&lt;=60,imc05_s,imc519_s),MATCH($W1202,IF($T1202&lt;=60,imc05_k,imc519_k),1)),""))</f>
        <v/>
      </c>
      <c r="AB1202">
        <f>IF($Y1202="","",IF($Y1202=0,LN($J1202/$Z1202)/$AA1202,((($J1202/$Z1202)^$Y1202)-1)/($Y1202*$AA1202)))</f>
        <v/>
      </c>
      <c r="AC1202">
        <f>IF($Y1202="","",IF($Y1202=0,$Z1202*EXP($AA1202*2),$Z1202*(1+$Y1202*$AA1202*2)^(1/$Y1202)))</f>
        <v/>
      </c>
      <c r="AD1202">
        <f>IF($Y1202="","",IF($Y1202=0,$Z1202*EXP($AA1202*3),$Z1202*(1+$Y1202*$AA1202*3)^(1/$Y1202)))</f>
        <v/>
      </c>
      <c r="AE1202">
        <f>IF($Y1202="","",IF($Y1202=0,$Z1202*EXP($AA1202*-2),$Z1202*(1+$Y1202*$AA1202*-2)^(1/$Y1202)))</f>
        <v/>
      </c>
      <c r="AF1202">
        <f>IF($Y1202="","",IF($Y1202=0,$Z1202*EXP($AA1202*-3),$Z1202*(1+$Y1202*$AA1202*-3)^(1/$Y1202)))</f>
        <v/>
      </c>
      <c r="AG1202">
        <f>IF($W1202="","",IFERROR(INDEX(IF($T1202&lt;=60,est05_l,est519_l),MATCH($W1202,IF($T1202&lt;=60,est05_k,est519_k),1)),""))</f>
        <v/>
      </c>
      <c r="AH1202">
        <f>IF($W1202="","",IFERROR(INDEX(IF($T1202&lt;=60,est05_m,est519_m),MATCH($W1202,IF($T1202&lt;=60,est05_k,est519_k),1)),""))</f>
        <v/>
      </c>
      <c r="AI1202">
        <f>IF($W1202="","",IFERROR(INDEX(IF($T1202&lt;=60,est05_s,est519_s),MATCH($W1202,IF($T1202&lt;=60,est05_k,est519_k),1)),""))</f>
        <v/>
      </c>
      <c r="AJ1202">
        <f>IF($W1202="","",IFERROR(INDEX(IF($T1202&lt;=60,peso05_l,peso510_l),MATCH($W1202,IF($T1202&lt;=60,peso05_k,peso510_k),1)),""))</f>
        <v/>
      </c>
      <c r="AK1202">
        <f>IF($W1202="","",IFERROR(INDEX(IF($T1202&lt;=60,peso05_m,peso510_m),MATCH($W1202,IF($T1202&lt;=60,peso05_k,peso510_k),1)),""))</f>
        <v/>
      </c>
      <c r="AL1202">
        <f>IF($W1202="","",IFERROR(INDEX(IF($T1202&lt;=60,peso05_s,peso510_s),MATCH($W1202,IF($T1202&lt;=60,peso05_k,peso510_k),1)),""))</f>
        <v/>
      </c>
      <c r="AM1202">
        <f>IF($AJ1202="","",IF($AJ1202=0,LN($F1202/$AK1202)/$AL1202,((($F1202/$AK1202)^$AJ1202)-1)/($AJ1202*$AL1202)))</f>
        <v/>
      </c>
      <c r="AN1202">
        <f>IF($AJ1202="","",IF($AJ1202=0,$AK1202*EXP($AL1202*2),$AK1202*(1+$AJ1202*$AL1202*2)^(1/$AJ1202)))</f>
        <v/>
      </c>
      <c r="AO1202">
        <f>IF($AJ1202="","",IF($AJ1202=0,$AK1202*EXP($AL1202*3),$AK1202*(1+$AJ1202*$AL1202*3)^(1/$AJ1202)))</f>
        <v/>
      </c>
      <c r="AP1202">
        <f>IF($AJ1202="","",IF($AJ1202=0,$AK1202*EXP($AL1202*-2),$AK1202*(1+$AJ1202*$AL1202*-2)^(1/$AJ1202)))</f>
        <v/>
      </c>
      <c r="AQ1202">
        <f>IF($AJ1202="","",IF($AJ1202=0,$AK1202*EXP($AL1202*-3),$AK1202*(1+$AJ1202*$AL1202*-3)^(1/$AJ1202)))</f>
        <v/>
      </c>
      <c r="AR1202">
        <f>IF(OR($X1202="",$T1202&gt;60),"",IFERROR(INDEX(IF($T1202&lt;24,pcomp_l,palt_l),MATCH($X1202,IF($T1202&lt;24,pcomp_k,palt_k),1)),""))</f>
        <v/>
      </c>
      <c r="AS1202">
        <f>IF(OR($X1202="",$T1202&gt;60),"",IFERROR(INDEX(IF($T1202&lt;24,pcomp_m,palt_m),MATCH($X1202,IF($T1202&lt;24,pcomp_k,palt_k),1)),""))</f>
        <v/>
      </c>
      <c r="AT1202">
        <f>IF(OR($X1202="",$T1202&gt;60),"",IFERROR(INDEX(IF($T1202&lt;24,pcomp_s,palt_s),MATCH($X1202,IF($T1202&lt;24,pcomp_k,palt_k),1)),""))</f>
        <v/>
      </c>
      <c r="AU1202">
        <f>IF($AR1202="","",IF($AR1202=0,LN($F1202/$AS1202)/$AT1202,((($F1202/$AS1202)^$AR1202)-1)/($AR1202*$AT1202)))</f>
        <v/>
      </c>
      <c r="AV1202">
        <f>IF($AR1202="","",IF($AR1202=0,$AS1202*EXP($AT1202*2),$AS1202*(1+$AR1202*$AT1202*2)^(1/$AR1202)))</f>
        <v/>
      </c>
      <c r="AW1202">
        <f>IF($AR1202="","",IF($AR1202=0,$AS1202*EXP($AT1202*3),$AS1202*(1+$AR1202*$AT1202*3)^(1/$AR1202)))</f>
        <v/>
      </c>
      <c r="AX1202">
        <f>IF($AR1202="","",IF($AR1202=0,$AS1202*EXP($AT1202*-2),$AS1202*(1+$AR1202*$AT1202*-2)^(1/$AR1202)))</f>
        <v/>
      </c>
      <c r="AY1202">
        <f>IF($AR1202="","",IF($AR1202=0,$AS1202*EXP($AT1202*-3),$AS1202*(1+$AR1202*$AT1202*-3)^(1/$AR1202)))</f>
        <v/>
      </c>
      <c r="AZ1202">
        <f>IF(OR($A1202="",$A1202&lt;&gt;Ficha!$C$4),"",COUNTIF($A$2:$A1202,Ficha!$C$4))</f>
        <v/>
      </c>
    </row>
    <row r="1203">
      <c r="A1203" s="8">
        <f>IF(INDEX(Banco!$A:$A,ROW())="","",INDEX(Banco!$A:$A,ROW()))</f>
        <v/>
      </c>
      <c r="B1203" s="8">
        <f>IF(INDEX(Banco!$B:$B,ROW())="","",INDEX(Banco!$B:$B,ROW()))</f>
        <v/>
      </c>
      <c r="C1203" s="8">
        <f>IF(INDEX(Banco!$C:$C,ROW())="","",INDEX(Banco!$C:$C,ROW()))</f>
        <v/>
      </c>
      <c r="D1203" s="9">
        <f>IF(INDEX(Banco!$D:$D,ROW())="","",INDEX(Banco!$D:$D,ROW()))</f>
        <v/>
      </c>
      <c r="E1203" s="9">
        <f>IF(INDEX(Banco!$E:$E,ROW())="","",INDEX(Banco!$E:$E,ROW()))</f>
        <v/>
      </c>
      <c r="F1203" s="10">
        <f>IF(INDEX(Banco!$F:$F,ROW())="","",INDEX(Banco!$F:$F,ROW()))</f>
        <v/>
      </c>
      <c r="G1203" s="10">
        <f>IF(INDEX(Banco!$G:$G,ROW())="","",INDEX(Banco!$G:$G,ROW()))</f>
        <v/>
      </c>
      <c r="H1203" s="8">
        <f>IF(INDEX(Banco!$H:$H,ROW())="","",INDEX(Banco!$H:$H,ROW()))</f>
        <v/>
      </c>
      <c r="I1203">
        <f>IF($T1203="","",INT($T1203/12)&amp;"a "&amp;MOD($T1203,12)&amp;"m")</f>
        <v/>
      </c>
      <c r="J1203" s="11">
        <f>IF(OR($F1203="",$G1203=""),"",ROUND($F1203/($G1203/100)^2,2))</f>
        <v/>
      </c>
      <c r="K1203" s="12">
        <f>IF(OR($S1203="",$J1203="",$T1203="",$T1203&lt;0,$T1203&gt;228,$Y1203=""),"—",ROUND(IF(ABS($AB1203)&lt;=3,$AB1203,IF($AB1203&gt;3,3+($J1203-$AD1203)/($AD1203-$AC1203),-3+($J1203-$AF1203)/($AE1203-$AF1203))),2))</f>
        <v/>
      </c>
      <c r="L1203">
        <f>IF(OR($K1203="",$K1203="—"),"",IF($T1203&lt;=60,IF($K1203&lt;-3,"Magreza acentuada",IF($K1203&lt;-2,"Magreza",IF($K1203&lt;=1,"Eutrofia",IF($K1203&lt;=2,"Risco de sobrepeso",IF($K1203&lt;=3,"Sobrepeso","Obesidade"))))),IF($K1203&lt;-3,"Magreza acentuada",IF($K1203&lt;-2,"Magreza",IF($K1203&lt;=1,"Eutrofia",IF($K1203&lt;=2,"Sobrepeso",IF($K1203&lt;=3,"Obesidade","Obesidade grave")))))))</f>
        <v/>
      </c>
      <c r="M1203" s="12">
        <f>IF(OR($S1203="",$V1203="",$T1203="",$T1203&lt;0,$T1203&gt;228,$AG1203=""),"—",ROUND(IF($AG1203=0,LN($V1203/$AH1203)/$AI1203,((($V1203/$AH1203)^$AG1203)-1)/($AG1203*$AI1203)),2))</f>
        <v/>
      </c>
      <c r="N1203">
        <f>IF(OR($M1203="",$M1203="—"),"",IF($M1203&lt;-3,"Muito baixa",IF($M1203&lt;-2,"Baixa","Adequada")))</f>
        <v/>
      </c>
      <c r="O1203" s="12">
        <f>IF(OR($S1203="",$F1203="",$T1203="",$T1203&lt;0,$T1203&gt;120,$AJ1203=""),"—",ROUND(IF(ABS($AM1203)&lt;=3,$AM1203,IF($AM1203&gt;3,3+($F1203-$AO1203)/($AO1203-$AN1203),-3+($F1203-$AQ1203)/($AP1203-$AQ1203))),2))</f>
        <v/>
      </c>
      <c r="P1203">
        <f>IF(OR($O1203="",$O1203="—"),"",IF($O1203&lt;-3,"Muito baixo",IF($O1203&lt;-2,"Baixo",IF($O1203&lt;=2,"Adequado","Elevado"))))</f>
        <v/>
      </c>
      <c r="Q1203" s="12">
        <f>IF(OR($S1203="",$F1203="",$T1203="",$T1203&lt;0,$T1203&gt;60,$AR1203=""),"—",ROUND(IF(ABS($AU1203)&lt;=3,$AU1203,IF($AU1203&gt;3,3+($F1203-$AW1203)/($AW1203-$AV1203),-3+($F1203-$AY1203)/($AX1203-$AY1203))),2))</f>
        <v/>
      </c>
      <c r="R1203">
        <f>IF(OR($Q1203="",$Q1203="—"),"",IF($Q1203&lt;-3,"Magreza acentuada",IF($Q1203&lt;-2,"Magreza",IF($Q1203&lt;=1,"Eutrofia",IF($Q1203&lt;=2,"Risco de sobrepeso",IF($Q1203&lt;=3,"Sobrepeso","Obesidade"))))))</f>
        <v/>
      </c>
      <c r="S1203">
        <f>IF($C1203="","",IF(UPPER(LEFT($C1203,1))="M",1,IF(UPPER(LEFT($C1203,1))="F",2,"")))</f>
        <v/>
      </c>
      <c r="T1203">
        <f>IF(OR($D1203="",$E1203=""),"",DATEDIF($D1203,$E1203,"m"))</f>
        <v/>
      </c>
      <c r="U1203">
        <f>IF(OR($D1203="",$E1203=""),"",$E1203-$D1203)</f>
        <v/>
      </c>
      <c r="V1203">
        <f>IF(OR($G1203="",$T1203=""),"",IF($T1203&lt;24,IF(LEFT(LOWER($H1203),4)="em p",$G1203+0.7,$G1203),IF(LEFT(LOWER($H1203),4)="deit",$G1203-0.7,$G1203)))</f>
        <v/>
      </c>
      <c r="W1203">
        <f>IF(OR($S1203="",$T1203=""),"",$S1203*1000000+IF($T1203&lt;=60,$U1203,$T1203))</f>
        <v/>
      </c>
      <c r="X1203">
        <f>IF(OR($S1203="",$V1203="",$T1203&gt;60,$T1203=""),"",$S1203*1000000+ROUND($V1203*10,0))</f>
        <v/>
      </c>
      <c r="Y1203">
        <f>IF($W1203="","",IFERROR(INDEX(IF($T1203&lt;=60,imc05_l,imc519_l),MATCH($W1203,IF($T1203&lt;=60,imc05_k,imc519_k),1)),""))</f>
        <v/>
      </c>
      <c r="Z1203">
        <f>IF($W1203="","",IFERROR(INDEX(IF($T1203&lt;=60,imc05_m,imc519_m),MATCH($W1203,IF($T1203&lt;=60,imc05_k,imc519_k),1)),""))</f>
        <v/>
      </c>
      <c r="AA1203">
        <f>IF($W1203="","",IFERROR(INDEX(IF($T1203&lt;=60,imc05_s,imc519_s),MATCH($W1203,IF($T1203&lt;=60,imc05_k,imc519_k),1)),""))</f>
        <v/>
      </c>
      <c r="AB1203">
        <f>IF($Y1203="","",IF($Y1203=0,LN($J1203/$Z1203)/$AA1203,((($J1203/$Z1203)^$Y1203)-1)/($Y1203*$AA1203)))</f>
        <v/>
      </c>
      <c r="AC1203">
        <f>IF($Y1203="","",IF($Y1203=0,$Z1203*EXP($AA1203*2),$Z1203*(1+$Y1203*$AA1203*2)^(1/$Y1203)))</f>
        <v/>
      </c>
      <c r="AD1203">
        <f>IF($Y1203="","",IF($Y1203=0,$Z1203*EXP($AA1203*3),$Z1203*(1+$Y1203*$AA1203*3)^(1/$Y1203)))</f>
        <v/>
      </c>
      <c r="AE1203">
        <f>IF($Y1203="","",IF($Y1203=0,$Z1203*EXP($AA1203*-2),$Z1203*(1+$Y1203*$AA1203*-2)^(1/$Y1203)))</f>
        <v/>
      </c>
      <c r="AF1203">
        <f>IF($Y1203="","",IF($Y1203=0,$Z1203*EXP($AA1203*-3),$Z1203*(1+$Y1203*$AA1203*-3)^(1/$Y1203)))</f>
        <v/>
      </c>
      <c r="AG1203">
        <f>IF($W1203="","",IFERROR(INDEX(IF($T1203&lt;=60,est05_l,est519_l),MATCH($W1203,IF($T1203&lt;=60,est05_k,est519_k),1)),""))</f>
        <v/>
      </c>
      <c r="AH1203">
        <f>IF($W1203="","",IFERROR(INDEX(IF($T1203&lt;=60,est05_m,est519_m),MATCH($W1203,IF($T1203&lt;=60,est05_k,est519_k),1)),""))</f>
        <v/>
      </c>
      <c r="AI1203">
        <f>IF($W1203="","",IFERROR(INDEX(IF($T1203&lt;=60,est05_s,est519_s),MATCH($W1203,IF($T1203&lt;=60,est05_k,est519_k),1)),""))</f>
        <v/>
      </c>
      <c r="AJ1203">
        <f>IF($W1203="","",IFERROR(INDEX(IF($T1203&lt;=60,peso05_l,peso510_l),MATCH($W1203,IF($T1203&lt;=60,peso05_k,peso510_k),1)),""))</f>
        <v/>
      </c>
      <c r="AK1203">
        <f>IF($W1203="","",IFERROR(INDEX(IF($T1203&lt;=60,peso05_m,peso510_m),MATCH($W1203,IF($T1203&lt;=60,peso05_k,peso510_k),1)),""))</f>
        <v/>
      </c>
      <c r="AL1203">
        <f>IF($W1203="","",IFERROR(INDEX(IF($T1203&lt;=60,peso05_s,peso510_s),MATCH($W1203,IF($T1203&lt;=60,peso05_k,peso510_k),1)),""))</f>
        <v/>
      </c>
      <c r="AM1203">
        <f>IF($AJ1203="","",IF($AJ1203=0,LN($F1203/$AK1203)/$AL1203,((($F1203/$AK1203)^$AJ1203)-1)/($AJ1203*$AL1203)))</f>
        <v/>
      </c>
      <c r="AN1203">
        <f>IF($AJ1203="","",IF($AJ1203=0,$AK1203*EXP($AL1203*2),$AK1203*(1+$AJ1203*$AL1203*2)^(1/$AJ1203)))</f>
        <v/>
      </c>
      <c r="AO1203">
        <f>IF($AJ1203="","",IF($AJ1203=0,$AK1203*EXP($AL1203*3),$AK1203*(1+$AJ1203*$AL1203*3)^(1/$AJ1203)))</f>
        <v/>
      </c>
      <c r="AP1203">
        <f>IF($AJ1203="","",IF($AJ1203=0,$AK1203*EXP($AL1203*-2),$AK1203*(1+$AJ1203*$AL1203*-2)^(1/$AJ1203)))</f>
        <v/>
      </c>
      <c r="AQ1203">
        <f>IF($AJ1203="","",IF($AJ1203=0,$AK1203*EXP($AL1203*-3),$AK1203*(1+$AJ1203*$AL1203*-3)^(1/$AJ1203)))</f>
        <v/>
      </c>
      <c r="AR1203">
        <f>IF(OR($X1203="",$T1203&gt;60),"",IFERROR(INDEX(IF($T1203&lt;24,pcomp_l,palt_l),MATCH($X1203,IF($T1203&lt;24,pcomp_k,palt_k),1)),""))</f>
        <v/>
      </c>
      <c r="AS1203">
        <f>IF(OR($X1203="",$T1203&gt;60),"",IFERROR(INDEX(IF($T1203&lt;24,pcomp_m,palt_m),MATCH($X1203,IF($T1203&lt;24,pcomp_k,palt_k),1)),""))</f>
        <v/>
      </c>
      <c r="AT1203">
        <f>IF(OR($X1203="",$T1203&gt;60),"",IFERROR(INDEX(IF($T1203&lt;24,pcomp_s,palt_s),MATCH($X1203,IF($T1203&lt;24,pcomp_k,palt_k),1)),""))</f>
        <v/>
      </c>
      <c r="AU1203">
        <f>IF($AR1203="","",IF($AR1203=0,LN($F1203/$AS1203)/$AT1203,((($F1203/$AS1203)^$AR1203)-1)/($AR1203*$AT1203)))</f>
        <v/>
      </c>
      <c r="AV1203">
        <f>IF($AR1203="","",IF($AR1203=0,$AS1203*EXP($AT1203*2),$AS1203*(1+$AR1203*$AT1203*2)^(1/$AR1203)))</f>
        <v/>
      </c>
      <c r="AW1203">
        <f>IF($AR1203="","",IF($AR1203=0,$AS1203*EXP($AT1203*3),$AS1203*(1+$AR1203*$AT1203*3)^(1/$AR1203)))</f>
        <v/>
      </c>
      <c r="AX1203">
        <f>IF($AR1203="","",IF($AR1203=0,$AS1203*EXP($AT1203*-2),$AS1203*(1+$AR1203*$AT1203*-2)^(1/$AR1203)))</f>
        <v/>
      </c>
      <c r="AY1203">
        <f>IF($AR1203="","",IF($AR1203=0,$AS1203*EXP($AT1203*-3),$AS1203*(1+$AR1203*$AT1203*-3)^(1/$AR1203)))</f>
        <v/>
      </c>
      <c r="AZ1203">
        <f>IF(OR($A1203="",$A1203&lt;&gt;Ficha!$C$4),"",COUNTIF($A$2:$A1203,Ficha!$C$4))</f>
        <v/>
      </c>
    </row>
    <row r="1204">
      <c r="A1204" s="8">
        <f>IF(INDEX(Banco!$A:$A,ROW())="","",INDEX(Banco!$A:$A,ROW()))</f>
        <v/>
      </c>
      <c r="B1204" s="8">
        <f>IF(INDEX(Banco!$B:$B,ROW())="","",INDEX(Banco!$B:$B,ROW()))</f>
        <v/>
      </c>
      <c r="C1204" s="8">
        <f>IF(INDEX(Banco!$C:$C,ROW())="","",INDEX(Banco!$C:$C,ROW()))</f>
        <v/>
      </c>
      <c r="D1204" s="9">
        <f>IF(INDEX(Banco!$D:$D,ROW())="","",INDEX(Banco!$D:$D,ROW()))</f>
        <v/>
      </c>
      <c r="E1204" s="9">
        <f>IF(INDEX(Banco!$E:$E,ROW())="","",INDEX(Banco!$E:$E,ROW()))</f>
        <v/>
      </c>
      <c r="F1204" s="10">
        <f>IF(INDEX(Banco!$F:$F,ROW())="","",INDEX(Banco!$F:$F,ROW()))</f>
        <v/>
      </c>
      <c r="G1204" s="10">
        <f>IF(INDEX(Banco!$G:$G,ROW())="","",INDEX(Banco!$G:$G,ROW()))</f>
        <v/>
      </c>
      <c r="H1204" s="8">
        <f>IF(INDEX(Banco!$H:$H,ROW())="","",INDEX(Banco!$H:$H,ROW()))</f>
        <v/>
      </c>
      <c r="I1204">
        <f>IF($T1204="","",INT($T1204/12)&amp;"a "&amp;MOD($T1204,12)&amp;"m")</f>
        <v/>
      </c>
      <c r="J1204" s="11">
        <f>IF(OR($F1204="",$G1204=""),"",ROUND($F1204/($G1204/100)^2,2))</f>
        <v/>
      </c>
      <c r="K1204" s="12">
        <f>IF(OR($S1204="",$J1204="",$T1204="",$T1204&lt;0,$T1204&gt;228,$Y1204=""),"—",ROUND(IF(ABS($AB1204)&lt;=3,$AB1204,IF($AB1204&gt;3,3+($J1204-$AD1204)/($AD1204-$AC1204),-3+($J1204-$AF1204)/($AE1204-$AF1204))),2))</f>
        <v/>
      </c>
      <c r="L1204">
        <f>IF(OR($K1204="",$K1204="—"),"",IF($T1204&lt;=60,IF($K1204&lt;-3,"Magreza acentuada",IF($K1204&lt;-2,"Magreza",IF($K1204&lt;=1,"Eutrofia",IF($K1204&lt;=2,"Risco de sobrepeso",IF($K1204&lt;=3,"Sobrepeso","Obesidade"))))),IF($K1204&lt;-3,"Magreza acentuada",IF($K1204&lt;-2,"Magreza",IF($K1204&lt;=1,"Eutrofia",IF($K1204&lt;=2,"Sobrepeso",IF($K1204&lt;=3,"Obesidade","Obesidade grave")))))))</f>
        <v/>
      </c>
      <c r="M1204" s="12">
        <f>IF(OR($S1204="",$V1204="",$T1204="",$T1204&lt;0,$T1204&gt;228,$AG1204=""),"—",ROUND(IF($AG1204=0,LN($V1204/$AH1204)/$AI1204,((($V1204/$AH1204)^$AG1204)-1)/($AG1204*$AI1204)),2))</f>
        <v/>
      </c>
      <c r="N1204">
        <f>IF(OR($M1204="",$M1204="—"),"",IF($M1204&lt;-3,"Muito baixa",IF($M1204&lt;-2,"Baixa","Adequada")))</f>
        <v/>
      </c>
      <c r="O1204" s="12">
        <f>IF(OR($S1204="",$F1204="",$T1204="",$T1204&lt;0,$T1204&gt;120,$AJ1204=""),"—",ROUND(IF(ABS($AM1204)&lt;=3,$AM1204,IF($AM1204&gt;3,3+($F1204-$AO1204)/($AO1204-$AN1204),-3+($F1204-$AQ1204)/($AP1204-$AQ1204))),2))</f>
        <v/>
      </c>
      <c r="P1204">
        <f>IF(OR($O1204="",$O1204="—"),"",IF($O1204&lt;-3,"Muito baixo",IF($O1204&lt;-2,"Baixo",IF($O1204&lt;=2,"Adequado","Elevado"))))</f>
        <v/>
      </c>
      <c r="Q1204" s="12">
        <f>IF(OR($S1204="",$F1204="",$T1204="",$T1204&lt;0,$T1204&gt;60,$AR1204=""),"—",ROUND(IF(ABS($AU1204)&lt;=3,$AU1204,IF($AU1204&gt;3,3+($F1204-$AW1204)/($AW1204-$AV1204),-3+($F1204-$AY1204)/($AX1204-$AY1204))),2))</f>
        <v/>
      </c>
      <c r="R1204">
        <f>IF(OR($Q1204="",$Q1204="—"),"",IF($Q1204&lt;-3,"Magreza acentuada",IF($Q1204&lt;-2,"Magreza",IF($Q1204&lt;=1,"Eutrofia",IF($Q1204&lt;=2,"Risco de sobrepeso",IF($Q1204&lt;=3,"Sobrepeso","Obesidade"))))))</f>
        <v/>
      </c>
      <c r="S1204">
        <f>IF($C1204="","",IF(UPPER(LEFT($C1204,1))="M",1,IF(UPPER(LEFT($C1204,1))="F",2,"")))</f>
        <v/>
      </c>
      <c r="T1204">
        <f>IF(OR($D1204="",$E1204=""),"",DATEDIF($D1204,$E1204,"m"))</f>
        <v/>
      </c>
      <c r="U1204">
        <f>IF(OR($D1204="",$E1204=""),"",$E1204-$D1204)</f>
        <v/>
      </c>
      <c r="V1204">
        <f>IF(OR($G1204="",$T1204=""),"",IF($T1204&lt;24,IF(LEFT(LOWER($H1204),4)="em p",$G1204+0.7,$G1204),IF(LEFT(LOWER($H1204),4)="deit",$G1204-0.7,$G1204)))</f>
        <v/>
      </c>
      <c r="W1204">
        <f>IF(OR($S1204="",$T1204=""),"",$S1204*1000000+IF($T1204&lt;=60,$U1204,$T1204))</f>
        <v/>
      </c>
      <c r="X1204">
        <f>IF(OR($S1204="",$V1204="",$T1204&gt;60,$T1204=""),"",$S1204*1000000+ROUND($V1204*10,0))</f>
        <v/>
      </c>
      <c r="Y1204">
        <f>IF($W1204="","",IFERROR(INDEX(IF($T1204&lt;=60,imc05_l,imc519_l),MATCH($W1204,IF($T1204&lt;=60,imc05_k,imc519_k),1)),""))</f>
        <v/>
      </c>
      <c r="Z1204">
        <f>IF($W1204="","",IFERROR(INDEX(IF($T1204&lt;=60,imc05_m,imc519_m),MATCH($W1204,IF($T1204&lt;=60,imc05_k,imc519_k),1)),""))</f>
        <v/>
      </c>
      <c r="AA1204">
        <f>IF($W1204="","",IFERROR(INDEX(IF($T1204&lt;=60,imc05_s,imc519_s),MATCH($W1204,IF($T1204&lt;=60,imc05_k,imc519_k),1)),""))</f>
        <v/>
      </c>
      <c r="AB1204">
        <f>IF($Y1204="","",IF($Y1204=0,LN($J1204/$Z1204)/$AA1204,((($J1204/$Z1204)^$Y1204)-1)/($Y1204*$AA1204)))</f>
        <v/>
      </c>
      <c r="AC1204">
        <f>IF($Y1204="","",IF($Y1204=0,$Z1204*EXP($AA1204*2),$Z1204*(1+$Y1204*$AA1204*2)^(1/$Y1204)))</f>
        <v/>
      </c>
      <c r="AD1204">
        <f>IF($Y1204="","",IF($Y1204=0,$Z1204*EXP($AA1204*3),$Z1204*(1+$Y1204*$AA1204*3)^(1/$Y1204)))</f>
        <v/>
      </c>
      <c r="AE1204">
        <f>IF($Y1204="","",IF($Y1204=0,$Z1204*EXP($AA1204*-2),$Z1204*(1+$Y1204*$AA1204*-2)^(1/$Y1204)))</f>
        <v/>
      </c>
      <c r="AF1204">
        <f>IF($Y1204="","",IF($Y1204=0,$Z1204*EXP($AA1204*-3),$Z1204*(1+$Y1204*$AA1204*-3)^(1/$Y1204)))</f>
        <v/>
      </c>
      <c r="AG1204">
        <f>IF($W1204="","",IFERROR(INDEX(IF($T1204&lt;=60,est05_l,est519_l),MATCH($W1204,IF($T1204&lt;=60,est05_k,est519_k),1)),""))</f>
        <v/>
      </c>
      <c r="AH1204">
        <f>IF($W1204="","",IFERROR(INDEX(IF($T1204&lt;=60,est05_m,est519_m),MATCH($W1204,IF($T1204&lt;=60,est05_k,est519_k),1)),""))</f>
        <v/>
      </c>
      <c r="AI1204">
        <f>IF($W1204="","",IFERROR(INDEX(IF($T1204&lt;=60,est05_s,est519_s),MATCH($W1204,IF($T1204&lt;=60,est05_k,est519_k),1)),""))</f>
        <v/>
      </c>
      <c r="AJ1204">
        <f>IF($W1204="","",IFERROR(INDEX(IF($T1204&lt;=60,peso05_l,peso510_l),MATCH($W1204,IF($T1204&lt;=60,peso05_k,peso510_k),1)),""))</f>
        <v/>
      </c>
      <c r="AK1204">
        <f>IF($W1204="","",IFERROR(INDEX(IF($T1204&lt;=60,peso05_m,peso510_m),MATCH($W1204,IF($T1204&lt;=60,peso05_k,peso510_k),1)),""))</f>
        <v/>
      </c>
      <c r="AL1204">
        <f>IF($W1204="","",IFERROR(INDEX(IF($T1204&lt;=60,peso05_s,peso510_s),MATCH($W1204,IF($T1204&lt;=60,peso05_k,peso510_k),1)),""))</f>
        <v/>
      </c>
      <c r="AM1204">
        <f>IF($AJ1204="","",IF($AJ1204=0,LN($F1204/$AK1204)/$AL1204,((($F1204/$AK1204)^$AJ1204)-1)/($AJ1204*$AL1204)))</f>
        <v/>
      </c>
      <c r="AN1204">
        <f>IF($AJ1204="","",IF($AJ1204=0,$AK1204*EXP($AL1204*2),$AK1204*(1+$AJ1204*$AL1204*2)^(1/$AJ1204)))</f>
        <v/>
      </c>
      <c r="AO1204">
        <f>IF($AJ1204="","",IF($AJ1204=0,$AK1204*EXP($AL1204*3),$AK1204*(1+$AJ1204*$AL1204*3)^(1/$AJ1204)))</f>
        <v/>
      </c>
      <c r="AP1204">
        <f>IF($AJ1204="","",IF($AJ1204=0,$AK1204*EXP($AL1204*-2),$AK1204*(1+$AJ1204*$AL1204*-2)^(1/$AJ1204)))</f>
        <v/>
      </c>
      <c r="AQ1204">
        <f>IF($AJ1204="","",IF($AJ1204=0,$AK1204*EXP($AL1204*-3),$AK1204*(1+$AJ1204*$AL1204*-3)^(1/$AJ1204)))</f>
        <v/>
      </c>
      <c r="AR1204">
        <f>IF(OR($X1204="",$T1204&gt;60),"",IFERROR(INDEX(IF($T1204&lt;24,pcomp_l,palt_l),MATCH($X1204,IF($T1204&lt;24,pcomp_k,palt_k),1)),""))</f>
        <v/>
      </c>
      <c r="AS1204">
        <f>IF(OR($X1204="",$T1204&gt;60),"",IFERROR(INDEX(IF($T1204&lt;24,pcomp_m,palt_m),MATCH($X1204,IF($T1204&lt;24,pcomp_k,palt_k),1)),""))</f>
        <v/>
      </c>
      <c r="AT1204">
        <f>IF(OR($X1204="",$T1204&gt;60),"",IFERROR(INDEX(IF($T1204&lt;24,pcomp_s,palt_s),MATCH($X1204,IF($T1204&lt;24,pcomp_k,palt_k),1)),""))</f>
        <v/>
      </c>
      <c r="AU1204">
        <f>IF($AR1204="","",IF($AR1204=0,LN($F1204/$AS1204)/$AT1204,((($F1204/$AS1204)^$AR1204)-1)/($AR1204*$AT1204)))</f>
        <v/>
      </c>
      <c r="AV1204">
        <f>IF($AR1204="","",IF($AR1204=0,$AS1204*EXP($AT1204*2),$AS1204*(1+$AR1204*$AT1204*2)^(1/$AR1204)))</f>
        <v/>
      </c>
      <c r="AW1204">
        <f>IF($AR1204="","",IF($AR1204=0,$AS1204*EXP($AT1204*3),$AS1204*(1+$AR1204*$AT1204*3)^(1/$AR1204)))</f>
        <v/>
      </c>
      <c r="AX1204">
        <f>IF($AR1204="","",IF($AR1204=0,$AS1204*EXP($AT1204*-2),$AS1204*(1+$AR1204*$AT1204*-2)^(1/$AR1204)))</f>
        <v/>
      </c>
      <c r="AY1204">
        <f>IF($AR1204="","",IF($AR1204=0,$AS1204*EXP($AT1204*-3),$AS1204*(1+$AR1204*$AT1204*-3)^(1/$AR1204)))</f>
        <v/>
      </c>
      <c r="AZ1204">
        <f>IF(OR($A1204="",$A1204&lt;&gt;Ficha!$C$4),"",COUNTIF($A$2:$A1204,Ficha!$C$4))</f>
        <v/>
      </c>
    </row>
    <row r="1205">
      <c r="A1205" s="8">
        <f>IF(INDEX(Banco!$A:$A,ROW())="","",INDEX(Banco!$A:$A,ROW()))</f>
        <v/>
      </c>
      <c r="B1205" s="8">
        <f>IF(INDEX(Banco!$B:$B,ROW())="","",INDEX(Banco!$B:$B,ROW()))</f>
        <v/>
      </c>
      <c r="C1205" s="8">
        <f>IF(INDEX(Banco!$C:$C,ROW())="","",INDEX(Banco!$C:$C,ROW()))</f>
        <v/>
      </c>
      <c r="D1205" s="9">
        <f>IF(INDEX(Banco!$D:$D,ROW())="","",INDEX(Banco!$D:$D,ROW()))</f>
        <v/>
      </c>
      <c r="E1205" s="9">
        <f>IF(INDEX(Banco!$E:$E,ROW())="","",INDEX(Banco!$E:$E,ROW()))</f>
        <v/>
      </c>
      <c r="F1205" s="10">
        <f>IF(INDEX(Banco!$F:$F,ROW())="","",INDEX(Banco!$F:$F,ROW()))</f>
        <v/>
      </c>
      <c r="G1205" s="10">
        <f>IF(INDEX(Banco!$G:$G,ROW())="","",INDEX(Banco!$G:$G,ROW()))</f>
        <v/>
      </c>
      <c r="H1205" s="8">
        <f>IF(INDEX(Banco!$H:$H,ROW())="","",INDEX(Banco!$H:$H,ROW()))</f>
        <v/>
      </c>
      <c r="I1205">
        <f>IF($T1205="","",INT($T1205/12)&amp;"a "&amp;MOD($T1205,12)&amp;"m")</f>
        <v/>
      </c>
      <c r="J1205" s="11">
        <f>IF(OR($F1205="",$G1205=""),"",ROUND($F1205/($G1205/100)^2,2))</f>
        <v/>
      </c>
      <c r="K1205" s="12">
        <f>IF(OR($S1205="",$J1205="",$T1205="",$T1205&lt;0,$T1205&gt;228,$Y1205=""),"—",ROUND(IF(ABS($AB1205)&lt;=3,$AB1205,IF($AB1205&gt;3,3+($J1205-$AD1205)/($AD1205-$AC1205),-3+($J1205-$AF1205)/($AE1205-$AF1205))),2))</f>
        <v/>
      </c>
      <c r="L1205">
        <f>IF(OR($K1205="",$K1205="—"),"",IF($T1205&lt;=60,IF($K1205&lt;-3,"Magreza acentuada",IF($K1205&lt;-2,"Magreza",IF($K1205&lt;=1,"Eutrofia",IF($K1205&lt;=2,"Risco de sobrepeso",IF($K1205&lt;=3,"Sobrepeso","Obesidade"))))),IF($K1205&lt;-3,"Magreza acentuada",IF($K1205&lt;-2,"Magreza",IF($K1205&lt;=1,"Eutrofia",IF($K1205&lt;=2,"Sobrepeso",IF($K1205&lt;=3,"Obesidade","Obesidade grave")))))))</f>
        <v/>
      </c>
      <c r="M1205" s="12">
        <f>IF(OR($S1205="",$V1205="",$T1205="",$T1205&lt;0,$T1205&gt;228,$AG1205=""),"—",ROUND(IF($AG1205=0,LN($V1205/$AH1205)/$AI1205,((($V1205/$AH1205)^$AG1205)-1)/($AG1205*$AI1205)),2))</f>
        <v/>
      </c>
      <c r="N1205">
        <f>IF(OR($M1205="",$M1205="—"),"",IF($M1205&lt;-3,"Muito baixa",IF($M1205&lt;-2,"Baixa","Adequada")))</f>
        <v/>
      </c>
      <c r="O1205" s="12">
        <f>IF(OR($S1205="",$F1205="",$T1205="",$T1205&lt;0,$T1205&gt;120,$AJ1205=""),"—",ROUND(IF(ABS($AM1205)&lt;=3,$AM1205,IF($AM1205&gt;3,3+($F1205-$AO1205)/($AO1205-$AN1205),-3+($F1205-$AQ1205)/($AP1205-$AQ1205))),2))</f>
        <v/>
      </c>
      <c r="P1205">
        <f>IF(OR($O1205="",$O1205="—"),"",IF($O1205&lt;-3,"Muito baixo",IF($O1205&lt;-2,"Baixo",IF($O1205&lt;=2,"Adequado","Elevado"))))</f>
        <v/>
      </c>
      <c r="Q1205" s="12">
        <f>IF(OR($S1205="",$F1205="",$T1205="",$T1205&lt;0,$T1205&gt;60,$AR1205=""),"—",ROUND(IF(ABS($AU1205)&lt;=3,$AU1205,IF($AU1205&gt;3,3+($F1205-$AW1205)/($AW1205-$AV1205),-3+($F1205-$AY1205)/($AX1205-$AY1205))),2))</f>
        <v/>
      </c>
      <c r="R1205">
        <f>IF(OR($Q1205="",$Q1205="—"),"",IF($Q1205&lt;-3,"Magreza acentuada",IF($Q1205&lt;-2,"Magreza",IF($Q1205&lt;=1,"Eutrofia",IF($Q1205&lt;=2,"Risco de sobrepeso",IF($Q1205&lt;=3,"Sobrepeso","Obesidade"))))))</f>
        <v/>
      </c>
      <c r="S1205">
        <f>IF($C1205="","",IF(UPPER(LEFT($C1205,1))="M",1,IF(UPPER(LEFT($C1205,1))="F",2,"")))</f>
        <v/>
      </c>
      <c r="T1205">
        <f>IF(OR($D1205="",$E1205=""),"",DATEDIF($D1205,$E1205,"m"))</f>
        <v/>
      </c>
      <c r="U1205">
        <f>IF(OR($D1205="",$E1205=""),"",$E1205-$D1205)</f>
        <v/>
      </c>
      <c r="V1205">
        <f>IF(OR($G1205="",$T1205=""),"",IF($T1205&lt;24,IF(LEFT(LOWER($H1205),4)="em p",$G1205+0.7,$G1205),IF(LEFT(LOWER($H1205),4)="deit",$G1205-0.7,$G1205)))</f>
        <v/>
      </c>
      <c r="W1205">
        <f>IF(OR($S1205="",$T1205=""),"",$S1205*1000000+IF($T1205&lt;=60,$U1205,$T1205))</f>
        <v/>
      </c>
      <c r="X1205">
        <f>IF(OR($S1205="",$V1205="",$T1205&gt;60,$T1205=""),"",$S1205*1000000+ROUND($V1205*10,0))</f>
        <v/>
      </c>
      <c r="Y1205">
        <f>IF($W1205="","",IFERROR(INDEX(IF($T1205&lt;=60,imc05_l,imc519_l),MATCH($W1205,IF($T1205&lt;=60,imc05_k,imc519_k),1)),""))</f>
        <v/>
      </c>
      <c r="Z1205">
        <f>IF($W1205="","",IFERROR(INDEX(IF($T1205&lt;=60,imc05_m,imc519_m),MATCH($W1205,IF($T1205&lt;=60,imc05_k,imc519_k),1)),""))</f>
        <v/>
      </c>
      <c r="AA1205">
        <f>IF($W1205="","",IFERROR(INDEX(IF($T1205&lt;=60,imc05_s,imc519_s),MATCH($W1205,IF($T1205&lt;=60,imc05_k,imc519_k),1)),""))</f>
        <v/>
      </c>
      <c r="AB1205">
        <f>IF($Y1205="","",IF($Y1205=0,LN($J1205/$Z1205)/$AA1205,((($J1205/$Z1205)^$Y1205)-1)/($Y1205*$AA1205)))</f>
        <v/>
      </c>
      <c r="AC1205">
        <f>IF($Y1205="","",IF($Y1205=0,$Z1205*EXP($AA1205*2),$Z1205*(1+$Y1205*$AA1205*2)^(1/$Y1205)))</f>
        <v/>
      </c>
      <c r="AD1205">
        <f>IF($Y1205="","",IF($Y1205=0,$Z1205*EXP($AA1205*3),$Z1205*(1+$Y1205*$AA1205*3)^(1/$Y1205)))</f>
        <v/>
      </c>
      <c r="AE1205">
        <f>IF($Y1205="","",IF($Y1205=0,$Z1205*EXP($AA1205*-2),$Z1205*(1+$Y1205*$AA1205*-2)^(1/$Y1205)))</f>
        <v/>
      </c>
      <c r="AF1205">
        <f>IF($Y1205="","",IF($Y1205=0,$Z1205*EXP($AA1205*-3),$Z1205*(1+$Y1205*$AA1205*-3)^(1/$Y1205)))</f>
        <v/>
      </c>
      <c r="AG1205">
        <f>IF($W1205="","",IFERROR(INDEX(IF($T1205&lt;=60,est05_l,est519_l),MATCH($W1205,IF($T1205&lt;=60,est05_k,est519_k),1)),""))</f>
        <v/>
      </c>
      <c r="AH1205">
        <f>IF($W1205="","",IFERROR(INDEX(IF($T1205&lt;=60,est05_m,est519_m),MATCH($W1205,IF($T1205&lt;=60,est05_k,est519_k),1)),""))</f>
        <v/>
      </c>
      <c r="AI1205">
        <f>IF($W1205="","",IFERROR(INDEX(IF($T1205&lt;=60,est05_s,est519_s),MATCH($W1205,IF($T1205&lt;=60,est05_k,est519_k),1)),""))</f>
        <v/>
      </c>
      <c r="AJ1205">
        <f>IF($W1205="","",IFERROR(INDEX(IF($T1205&lt;=60,peso05_l,peso510_l),MATCH($W1205,IF($T1205&lt;=60,peso05_k,peso510_k),1)),""))</f>
        <v/>
      </c>
      <c r="AK1205">
        <f>IF($W1205="","",IFERROR(INDEX(IF($T1205&lt;=60,peso05_m,peso510_m),MATCH($W1205,IF($T1205&lt;=60,peso05_k,peso510_k),1)),""))</f>
        <v/>
      </c>
      <c r="AL1205">
        <f>IF($W1205="","",IFERROR(INDEX(IF($T1205&lt;=60,peso05_s,peso510_s),MATCH($W1205,IF($T1205&lt;=60,peso05_k,peso510_k),1)),""))</f>
        <v/>
      </c>
      <c r="AM1205">
        <f>IF($AJ1205="","",IF($AJ1205=0,LN($F1205/$AK1205)/$AL1205,((($F1205/$AK1205)^$AJ1205)-1)/($AJ1205*$AL1205)))</f>
        <v/>
      </c>
      <c r="AN1205">
        <f>IF($AJ1205="","",IF($AJ1205=0,$AK1205*EXP($AL1205*2),$AK1205*(1+$AJ1205*$AL1205*2)^(1/$AJ1205)))</f>
        <v/>
      </c>
      <c r="AO1205">
        <f>IF($AJ1205="","",IF($AJ1205=0,$AK1205*EXP($AL1205*3),$AK1205*(1+$AJ1205*$AL1205*3)^(1/$AJ1205)))</f>
        <v/>
      </c>
      <c r="AP1205">
        <f>IF($AJ1205="","",IF($AJ1205=0,$AK1205*EXP($AL1205*-2),$AK1205*(1+$AJ1205*$AL1205*-2)^(1/$AJ1205)))</f>
        <v/>
      </c>
      <c r="AQ1205">
        <f>IF($AJ1205="","",IF($AJ1205=0,$AK1205*EXP($AL1205*-3),$AK1205*(1+$AJ1205*$AL1205*-3)^(1/$AJ1205)))</f>
        <v/>
      </c>
      <c r="AR1205">
        <f>IF(OR($X1205="",$T1205&gt;60),"",IFERROR(INDEX(IF($T1205&lt;24,pcomp_l,palt_l),MATCH($X1205,IF($T1205&lt;24,pcomp_k,palt_k),1)),""))</f>
        <v/>
      </c>
      <c r="AS1205">
        <f>IF(OR($X1205="",$T1205&gt;60),"",IFERROR(INDEX(IF($T1205&lt;24,pcomp_m,palt_m),MATCH($X1205,IF($T1205&lt;24,pcomp_k,palt_k),1)),""))</f>
        <v/>
      </c>
      <c r="AT1205">
        <f>IF(OR($X1205="",$T1205&gt;60),"",IFERROR(INDEX(IF($T1205&lt;24,pcomp_s,palt_s),MATCH($X1205,IF($T1205&lt;24,pcomp_k,palt_k),1)),""))</f>
        <v/>
      </c>
      <c r="AU1205">
        <f>IF($AR1205="","",IF($AR1205=0,LN($F1205/$AS1205)/$AT1205,((($F1205/$AS1205)^$AR1205)-1)/($AR1205*$AT1205)))</f>
        <v/>
      </c>
      <c r="AV1205">
        <f>IF($AR1205="","",IF($AR1205=0,$AS1205*EXP($AT1205*2),$AS1205*(1+$AR1205*$AT1205*2)^(1/$AR1205)))</f>
        <v/>
      </c>
      <c r="AW1205">
        <f>IF($AR1205="","",IF($AR1205=0,$AS1205*EXP($AT1205*3),$AS1205*(1+$AR1205*$AT1205*3)^(1/$AR1205)))</f>
        <v/>
      </c>
      <c r="AX1205">
        <f>IF($AR1205="","",IF($AR1205=0,$AS1205*EXP($AT1205*-2),$AS1205*(1+$AR1205*$AT1205*-2)^(1/$AR1205)))</f>
        <v/>
      </c>
      <c r="AY1205">
        <f>IF($AR1205="","",IF($AR1205=0,$AS1205*EXP($AT1205*-3),$AS1205*(1+$AR1205*$AT1205*-3)^(1/$AR1205)))</f>
        <v/>
      </c>
      <c r="AZ1205">
        <f>IF(OR($A1205="",$A1205&lt;&gt;Ficha!$C$4),"",COUNTIF($A$2:$A1205,Ficha!$C$4))</f>
        <v/>
      </c>
    </row>
    <row r="1206">
      <c r="A1206" s="8">
        <f>IF(INDEX(Banco!$A:$A,ROW())="","",INDEX(Banco!$A:$A,ROW()))</f>
        <v/>
      </c>
      <c r="B1206" s="8">
        <f>IF(INDEX(Banco!$B:$B,ROW())="","",INDEX(Banco!$B:$B,ROW()))</f>
        <v/>
      </c>
      <c r="C1206" s="8">
        <f>IF(INDEX(Banco!$C:$C,ROW())="","",INDEX(Banco!$C:$C,ROW()))</f>
        <v/>
      </c>
      <c r="D1206" s="9">
        <f>IF(INDEX(Banco!$D:$D,ROW())="","",INDEX(Banco!$D:$D,ROW()))</f>
        <v/>
      </c>
      <c r="E1206" s="9">
        <f>IF(INDEX(Banco!$E:$E,ROW())="","",INDEX(Banco!$E:$E,ROW()))</f>
        <v/>
      </c>
      <c r="F1206" s="10">
        <f>IF(INDEX(Banco!$F:$F,ROW())="","",INDEX(Banco!$F:$F,ROW()))</f>
        <v/>
      </c>
      <c r="G1206" s="10">
        <f>IF(INDEX(Banco!$G:$G,ROW())="","",INDEX(Banco!$G:$G,ROW()))</f>
        <v/>
      </c>
      <c r="H1206" s="8">
        <f>IF(INDEX(Banco!$H:$H,ROW())="","",INDEX(Banco!$H:$H,ROW()))</f>
        <v/>
      </c>
      <c r="I1206">
        <f>IF($T1206="","",INT($T1206/12)&amp;"a "&amp;MOD($T1206,12)&amp;"m")</f>
        <v/>
      </c>
      <c r="J1206" s="11">
        <f>IF(OR($F1206="",$G1206=""),"",ROUND($F1206/($G1206/100)^2,2))</f>
        <v/>
      </c>
      <c r="K1206" s="12">
        <f>IF(OR($S1206="",$J1206="",$T1206="",$T1206&lt;0,$T1206&gt;228,$Y1206=""),"—",ROUND(IF(ABS($AB1206)&lt;=3,$AB1206,IF($AB1206&gt;3,3+($J1206-$AD1206)/($AD1206-$AC1206),-3+($J1206-$AF1206)/($AE1206-$AF1206))),2))</f>
        <v/>
      </c>
      <c r="L1206">
        <f>IF(OR($K1206="",$K1206="—"),"",IF($T1206&lt;=60,IF($K1206&lt;-3,"Magreza acentuada",IF($K1206&lt;-2,"Magreza",IF($K1206&lt;=1,"Eutrofia",IF($K1206&lt;=2,"Risco de sobrepeso",IF($K1206&lt;=3,"Sobrepeso","Obesidade"))))),IF($K1206&lt;-3,"Magreza acentuada",IF($K1206&lt;-2,"Magreza",IF($K1206&lt;=1,"Eutrofia",IF($K1206&lt;=2,"Sobrepeso",IF($K1206&lt;=3,"Obesidade","Obesidade grave")))))))</f>
        <v/>
      </c>
      <c r="M1206" s="12">
        <f>IF(OR($S1206="",$V1206="",$T1206="",$T1206&lt;0,$T1206&gt;228,$AG1206=""),"—",ROUND(IF($AG1206=0,LN($V1206/$AH1206)/$AI1206,((($V1206/$AH1206)^$AG1206)-1)/($AG1206*$AI1206)),2))</f>
        <v/>
      </c>
      <c r="N1206">
        <f>IF(OR($M1206="",$M1206="—"),"",IF($M1206&lt;-3,"Muito baixa",IF($M1206&lt;-2,"Baixa","Adequada")))</f>
        <v/>
      </c>
      <c r="O1206" s="12">
        <f>IF(OR($S1206="",$F1206="",$T1206="",$T1206&lt;0,$T1206&gt;120,$AJ1206=""),"—",ROUND(IF(ABS($AM1206)&lt;=3,$AM1206,IF($AM1206&gt;3,3+($F1206-$AO1206)/($AO1206-$AN1206),-3+($F1206-$AQ1206)/($AP1206-$AQ1206))),2))</f>
        <v/>
      </c>
      <c r="P1206">
        <f>IF(OR($O1206="",$O1206="—"),"",IF($O1206&lt;-3,"Muito baixo",IF($O1206&lt;-2,"Baixo",IF($O1206&lt;=2,"Adequado","Elevado"))))</f>
        <v/>
      </c>
      <c r="Q1206" s="12">
        <f>IF(OR($S1206="",$F1206="",$T1206="",$T1206&lt;0,$T1206&gt;60,$AR1206=""),"—",ROUND(IF(ABS($AU1206)&lt;=3,$AU1206,IF($AU1206&gt;3,3+($F1206-$AW1206)/($AW1206-$AV1206),-3+($F1206-$AY1206)/($AX1206-$AY1206))),2))</f>
        <v/>
      </c>
      <c r="R1206">
        <f>IF(OR($Q1206="",$Q1206="—"),"",IF($Q1206&lt;-3,"Magreza acentuada",IF($Q1206&lt;-2,"Magreza",IF($Q1206&lt;=1,"Eutrofia",IF($Q1206&lt;=2,"Risco de sobrepeso",IF($Q1206&lt;=3,"Sobrepeso","Obesidade"))))))</f>
        <v/>
      </c>
      <c r="S1206">
        <f>IF($C1206="","",IF(UPPER(LEFT($C1206,1))="M",1,IF(UPPER(LEFT($C1206,1))="F",2,"")))</f>
        <v/>
      </c>
      <c r="T1206">
        <f>IF(OR($D1206="",$E1206=""),"",DATEDIF($D1206,$E1206,"m"))</f>
        <v/>
      </c>
      <c r="U1206">
        <f>IF(OR($D1206="",$E1206=""),"",$E1206-$D1206)</f>
        <v/>
      </c>
      <c r="V1206">
        <f>IF(OR($G1206="",$T1206=""),"",IF($T1206&lt;24,IF(LEFT(LOWER($H1206),4)="em p",$G1206+0.7,$G1206),IF(LEFT(LOWER($H1206),4)="deit",$G1206-0.7,$G1206)))</f>
        <v/>
      </c>
      <c r="W1206">
        <f>IF(OR($S1206="",$T1206=""),"",$S1206*1000000+IF($T1206&lt;=60,$U1206,$T1206))</f>
        <v/>
      </c>
      <c r="X1206">
        <f>IF(OR($S1206="",$V1206="",$T1206&gt;60,$T1206=""),"",$S1206*1000000+ROUND($V1206*10,0))</f>
        <v/>
      </c>
      <c r="Y1206">
        <f>IF($W1206="","",IFERROR(INDEX(IF($T1206&lt;=60,imc05_l,imc519_l),MATCH($W1206,IF($T1206&lt;=60,imc05_k,imc519_k),1)),""))</f>
        <v/>
      </c>
      <c r="Z1206">
        <f>IF($W1206="","",IFERROR(INDEX(IF($T1206&lt;=60,imc05_m,imc519_m),MATCH($W1206,IF($T1206&lt;=60,imc05_k,imc519_k),1)),""))</f>
        <v/>
      </c>
      <c r="AA1206">
        <f>IF($W1206="","",IFERROR(INDEX(IF($T1206&lt;=60,imc05_s,imc519_s),MATCH($W1206,IF($T1206&lt;=60,imc05_k,imc519_k),1)),""))</f>
        <v/>
      </c>
      <c r="AB1206">
        <f>IF($Y1206="","",IF($Y1206=0,LN($J1206/$Z1206)/$AA1206,((($J1206/$Z1206)^$Y1206)-1)/($Y1206*$AA1206)))</f>
        <v/>
      </c>
      <c r="AC1206">
        <f>IF($Y1206="","",IF($Y1206=0,$Z1206*EXP($AA1206*2),$Z1206*(1+$Y1206*$AA1206*2)^(1/$Y1206)))</f>
        <v/>
      </c>
      <c r="AD1206">
        <f>IF($Y1206="","",IF($Y1206=0,$Z1206*EXP($AA1206*3),$Z1206*(1+$Y1206*$AA1206*3)^(1/$Y1206)))</f>
        <v/>
      </c>
      <c r="AE1206">
        <f>IF($Y1206="","",IF($Y1206=0,$Z1206*EXP($AA1206*-2),$Z1206*(1+$Y1206*$AA1206*-2)^(1/$Y1206)))</f>
        <v/>
      </c>
      <c r="AF1206">
        <f>IF($Y1206="","",IF($Y1206=0,$Z1206*EXP($AA1206*-3),$Z1206*(1+$Y1206*$AA1206*-3)^(1/$Y1206)))</f>
        <v/>
      </c>
      <c r="AG1206">
        <f>IF($W1206="","",IFERROR(INDEX(IF($T1206&lt;=60,est05_l,est519_l),MATCH($W1206,IF($T1206&lt;=60,est05_k,est519_k),1)),""))</f>
        <v/>
      </c>
      <c r="AH1206">
        <f>IF($W1206="","",IFERROR(INDEX(IF($T1206&lt;=60,est05_m,est519_m),MATCH($W1206,IF($T1206&lt;=60,est05_k,est519_k),1)),""))</f>
        <v/>
      </c>
      <c r="AI1206">
        <f>IF($W1206="","",IFERROR(INDEX(IF($T1206&lt;=60,est05_s,est519_s),MATCH($W1206,IF($T1206&lt;=60,est05_k,est519_k),1)),""))</f>
        <v/>
      </c>
      <c r="AJ1206">
        <f>IF($W1206="","",IFERROR(INDEX(IF($T1206&lt;=60,peso05_l,peso510_l),MATCH($W1206,IF($T1206&lt;=60,peso05_k,peso510_k),1)),""))</f>
        <v/>
      </c>
      <c r="AK1206">
        <f>IF($W1206="","",IFERROR(INDEX(IF($T1206&lt;=60,peso05_m,peso510_m),MATCH($W1206,IF($T1206&lt;=60,peso05_k,peso510_k),1)),""))</f>
        <v/>
      </c>
      <c r="AL1206">
        <f>IF($W1206="","",IFERROR(INDEX(IF($T1206&lt;=60,peso05_s,peso510_s),MATCH($W1206,IF($T1206&lt;=60,peso05_k,peso510_k),1)),""))</f>
        <v/>
      </c>
      <c r="AM1206">
        <f>IF($AJ1206="","",IF($AJ1206=0,LN($F1206/$AK1206)/$AL1206,((($F1206/$AK1206)^$AJ1206)-1)/($AJ1206*$AL1206)))</f>
        <v/>
      </c>
      <c r="AN1206">
        <f>IF($AJ1206="","",IF($AJ1206=0,$AK1206*EXP($AL1206*2),$AK1206*(1+$AJ1206*$AL1206*2)^(1/$AJ1206)))</f>
        <v/>
      </c>
      <c r="AO1206">
        <f>IF($AJ1206="","",IF($AJ1206=0,$AK1206*EXP($AL1206*3),$AK1206*(1+$AJ1206*$AL1206*3)^(1/$AJ1206)))</f>
        <v/>
      </c>
      <c r="AP1206">
        <f>IF($AJ1206="","",IF($AJ1206=0,$AK1206*EXP($AL1206*-2),$AK1206*(1+$AJ1206*$AL1206*-2)^(1/$AJ1206)))</f>
        <v/>
      </c>
      <c r="AQ1206">
        <f>IF($AJ1206="","",IF($AJ1206=0,$AK1206*EXP($AL1206*-3),$AK1206*(1+$AJ1206*$AL1206*-3)^(1/$AJ1206)))</f>
        <v/>
      </c>
      <c r="AR1206">
        <f>IF(OR($X1206="",$T1206&gt;60),"",IFERROR(INDEX(IF($T1206&lt;24,pcomp_l,palt_l),MATCH($X1206,IF($T1206&lt;24,pcomp_k,palt_k),1)),""))</f>
        <v/>
      </c>
      <c r="AS1206">
        <f>IF(OR($X1206="",$T1206&gt;60),"",IFERROR(INDEX(IF($T1206&lt;24,pcomp_m,palt_m),MATCH($X1206,IF($T1206&lt;24,pcomp_k,palt_k),1)),""))</f>
        <v/>
      </c>
      <c r="AT1206">
        <f>IF(OR($X1206="",$T1206&gt;60),"",IFERROR(INDEX(IF($T1206&lt;24,pcomp_s,palt_s),MATCH($X1206,IF($T1206&lt;24,pcomp_k,palt_k),1)),""))</f>
        <v/>
      </c>
      <c r="AU1206">
        <f>IF($AR1206="","",IF($AR1206=0,LN($F1206/$AS1206)/$AT1206,((($F1206/$AS1206)^$AR1206)-1)/($AR1206*$AT1206)))</f>
        <v/>
      </c>
      <c r="AV1206">
        <f>IF($AR1206="","",IF($AR1206=0,$AS1206*EXP($AT1206*2),$AS1206*(1+$AR1206*$AT1206*2)^(1/$AR1206)))</f>
        <v/>
      </c>
      <c r="AW1206">
        <f>IF($AR1206="","",IF($AR1206=0,$AS1206*EXP($AT1206*3),$AS1206*(1+$AR1206*$AT1206*3)^(1/$AR1206)))</f>
        <v/>
      </c>
      <c r="AX1206">
        <f>IF($AR1206="","",IF($AR1206=0,$AS1206*EXP($AT1206*-2),$AS1206*(1+$AR1206*$AT1206*-2)^(1/$AR1206)))</f>
        <v/>
      </c>
      <c r="AY1206">
        <f>IF($AR1206="","",IF($AR1206=0,$AS1206*EXP($AT1206*-3),$AS1206*(1+$AR1206*$AT1206*-3)^(1/$AR1206)))</f>
        <v/>
      </c>
      <c r="AZ1206">
        <f>IF(OR($A1206="",$A1206&lt;&gt;Ficha!$C$4),"",COUNTIF($A$2:$A1206,Ficha!$C$4))</f>
        <v/>
      </c>
    </row>
    <row r="1207">
      <c r="A1207" s="8">
        <f>IF(INDEX(Banco!$A:$A,ROW())="","",INDEX(Banco!$A:$A,ROW()))</f>
        <v/>
      </c>
      <c r="B1207" s="8">
        <f>IF(INDEX(Banco!$B:$B,ROW())="","",INDEX(Banco!$B:$B,ROW()))</f>
        <v/>
      </c>
      <c r="C1207" s="8">
        <f>IF(INDEX(Banco!$C:$C,ROW())="","",INDEX(Banco!$C:$C,ROW()))</f>
        <v/>
      </c>
      <c r="D1207" s="9">
        <f>IF(INDEX(Banco!$D:$D,ROW())="","",INDEX(Banco!$D:$D,ROW()))</f>
        <v/>
      </c>
      <c r="E1207" s="9">
        <f>IF(INDEX(Banco!$E:$E,ROW())="","",INDEX(Banco!$E:$E,ROW()))</f>
        <v/>
      </c>
      <c r="F1207" s="10">
        <f>IF(INDEX(Banco!$F:$F,ROW())="","",INDEX(Banco!$F:$F,ROW()))</f>
        <v/>
      </c>
      <c r="G1207" s="10">
        <f>IF(INDEX(Banco!$G:$G,ROW())="","",INDEX(Banco!$G:$G,ROW()))</f>
        <v/>
      </c>
      <c r="H1207" s="8">
        <f>IF(INDEX(Banco!$H:$H,ROW())="","",INDEX(Banco!$H:$H,ROW()))</f>
        <v/>
      </c>
      <c r="I1207">
        <f>IF($T1207="","",INT($T1207/12)&amp;"a "&amp;MOD($T1207,12)&amp;"m")</f>
        <v/>
      </c>
      <c r="J1207" s="11">
        <f>IF(OR($F1207="",$G1207=""),"",ROUND($F1207/($G1207/100)^2,2))</f>
        <v/>
      </c>
      <c r="K1207" s="12">
        <f>IF(OR($S1207="",$J1207="",$T1207="",$T1207&lt;0,$T1207&gt;228,$Y1207=""),"—",ROUND(IF(ABS($AB1207)&lt;=3,$AB1207,IF($AB1207&gt;3,3+($J1207-$AD1207)/($AD1207-$AC1207),-3+($J1207-$AF1207)/($AE1207-$AF1207))),2))</f>
        <v/>
      </c>
      <c r="L1207">
        <f>IF(OR($K1207="",$K1207="—"),"",IF($T1207&lt;=60,IF($K1207&lt;-3,"Magreza acentuada",IF($K1207&lt;-2,"Magreza",IF($K1207&lt;=1,"Eutrofia",IF($K1207&lt;=2,"Risco de sobrepeso",IF($K1207&lt;=3,"Sobrepeso","Obesidade"))))),IF($K1207&lt;-3,"Magreza acentuada",IF($K1207&lt;-2,"Magreza",IF($K1207&lt;=1,"Eutrofia",IF($K1207&lt;=2,"Sobrepeso",IF($K1207&lt;=3,"Obesidade","Obesidade grave")))))))</f>
        <v/>
      </c>
      <c r="M1207" s="12">
        <f>IF(OR($S1207="",$V1207="",$T1207="",$T1207&lt;0,$T1207&gt;228,$AG1207=""),"—",ROUND(IF($AG1207=0,LN($V1207/$AH1207)/$AI1207,((($V1207/$AH1207)^$AG1207)-1)/($AG1207*$AI1207)),2))</f>
        <v/>
      </c>
      <c r="N1207">
        <f>IF(OR($M1207="",$M1207="—"),"",IF($M1207&lt;-3,"Muito baixa",IF($M1207&lt;-2,"Baixa","Adequada")))</f>
        <v/>
      </c>
      <c r="O1207" s="12">
        <f>IF(OR($S1207="",$F1207="",$T1207="",$T1207&lt;0,$T1207&gt;120,$AJ1207=""),"—",ROUND(IF(ABS($AM1207)&lt;=3,$AM1207,IF($AM1207&gt;3,3+($F1207-$AO1207)/($AO1207-$AN1207),-3+($F1207-$AQ1207)/($AP1207-$AQ1207))),2))</f>
        <v/>
      </c>
      <c r="P1207">
        <f>IF(OR($O1207="",$O1207="—"),"",IF($O1207&lt;-3,"Muito baixo",IF($O1207&lt;-2,"Baixo",IF($O1207&lt;=2,"Adequado","Elevado"))))</f>
        <v/>
      </c>
      <c r="Q1207" s="12">
        <f>IF(OR($S1207="",$F1207="",$T1207="",$T1207&lt;0,$T1207&gt;60,$AR1207=""),"—",ROUND(IF(ABS($AU1207)&lt;=3,$AU1207,IF($AU1207&gt;3,3+($F1207-$AW1207)/($AW1207-$AV1207),-3+($F1207-$AY1207)/($AX1207-$AY1207))),2))</f>
        <v/>
      </c>
      <c r="R1207">
        <f>IF(OR($Q1207="",$Q1207="—"),"",IF($Q1207&lt;-3,"Magreza acentuada",IF($Q1207&lt;-2,"Magreza",IF($Q1207&lt;=1,"Eutrofia",IF($Q1207&lt;=2,"Risco de sobrepeso",IF($Q1207&lt;=3,"Sobrepeso","Obesidade"))))))</f>
        <v/>
      </c>
      <c r="S1207">
        <f>IF($C1207="","",IF(UPPER(LEFT($C1207,1))="M",1,IF(UPPER(LEFT($C1207,1))="F",2,"")))</f>
        <v/>
      </c>
      <c r="T1207">
        <f>IF(OR($D1207="",$E1207=""),"",DATEDIF($D1207,$E1207,"m"))</f>
        <v/>
      </c>
      <c r="U1207">
        <f>IF(OR($D1207="",$E1207=""),"",$E1207-$D1207)</f>
        <v/>
      </c>
      <c r="V1207">
        <f>IF(OR($G1207="",$T1207=""),"",IF($T1207&lt;24,IF(LEFT(LOWER($H1207),4)="em p",$G1207+0.7,$G1207),IF(LEFT(LOWER($H1207),4)="deit",$G1207-0.7,$G1207)))</f>
        <v/>
      </c>
      <c r="W1207">
        <f>IF(OR($S1207="",$T1207=""),"",$S1207*1000000+IF($T1207&lt;=60,$U1207,$T1207))</f>
        <v/>
      </c>
      <c r="X1207">
        <f>IF(OR($S1207="",$V1207="",$T1207&gt;60,$T1207=""),"",$S1207*1000000+ROUND($V1207*10,0))</f>
        <v/>
      </c>
      <c r="Y1207">
        <f>IF($W1207="","",IFERROR(INDEX(IF($T1207&lt;=60,imc05_l,imc519_l),MATCH($W1207,IF($T1207&lt;=60,imc05_k,imc519_k),1)),""))</f>
        <v/>
      </c>
      <c r="Z1207">
        <f>IF($W1207="","",IFERROR(INDEX(IF($T1207&lt;=60,imc05_m,imc519_m),MATCH($W1207,IF($T1207&lt;=60,imc05_k,imc519_k),1)),""))</f>
        <v/>
      </c>
      <c r="AA1207">
        <f>IF($W1207="","",IFERROR(INDEX(IF($T1207&lt;=60,imc05_s,imc519_s),MATCH($W1207,IF($T1207&lt;=60,imc05_k,imc519_k),1)),""))</f>
        <v/>
      </c>
      <c r="AB1207">
        <f>IF($Y1207="","",IF($Y1207=0,LN($J1207/$Z1207)/$AA1207,((($J1207/$Z1207)^$Y1207)-1)/($Y1207*$AA1207)))</f>
        <v/>
      </c>
      <c r="AC1207">
        <f>IF($Y1207="","",IF($Y1207=0,$Z1207*EXP($AA1207*2),$Z1207*(1+$Y1207*$AA1207*2)^(1/$Y1207)))</f>
        <v/>
      </c>
      <c r="AD1207">
        <f>IF($Y1207="","",IF($Y1207=0,$Z1207*EXP($AA1207*3),$Z1207*(1+$Y1207*$AA1207*3)^(1/$Y1207)))</f>
        <v/>
      </c>
      <c r="AE1207">
        <f>IF($Y1207="","",IF($Y1207=0,$Z1207*EXP($AA1207*-2),$Z1207*(1+$Y1207*$AA1207*-2)^(1/$Y1207)))</f>
        <v/>
      </c>
      <c r="AF1207">
        <f>IF($Y1207="","",IF($Y1207=0,$Z1207*EXP($AA1207*-3),$Z1207*(1+$Y1207*$AA1207*-3)^(1/$Y1207)))</f>
        <v/>
      </c>
      <c r="AG1207">
        <f>IF($W1207="","",IFERROR(INDEX(IF($T1207&lt;=60,est05_l,est519_l),MATCH($W1207,IF($T1207&lt;=60,est05_k,est519_k),1)),""))</f>
        <v/>
      </c>
      <c r="AH1207">
        <f>IF($W1207="","",IFERROR(INDEX(IF($T1207&lt;=60,est05_m,est519_m),MATCH($W1207,IF($T1207&lt;=60,est05_k,est519_k),1)),""))</f>
        <v/>
      </c>
      <c r="AI1207">
        <f>IF($W1207="","",IFERROR(INDEX(IF($T1207&lt;=60,est05_s,est519_s),MATCH($W1207,IF($T1207&lt;=60,est05_k,est519_k),1)),""))</f>
        <v/>
      </c>
      <c r="AJ1207">
        <f>IF($W1207="","",IFERROR(INDEX(IF($T1207&lt;=60,peso05_l,peso510_l),MATCH($W1207,IF($T1207&lt;=60,peso05_k,peso510_k),1)),""))</f>
        <v/>
      </c>
      <c r="AK1207">
        <f>IF($W1207="","",IFERROR(INDEX(IF($T1207&lt;=60,peso05_m,peso510_m),MATCH($W1207,IF($T1207&lt;=60,peso05_k,peso510_k),1)),""))</f>
        <v/>
      </c>
      <c r="AL1207">
        <f>IF($W1207="","",IFERROR(INDEX(IF($T1207&lt;=60,peso05_s,peso510_s),MATCH($W1207,IF($T1207&lt;=60,peso05_k,peso510_k),1)),""))</f>
        <v/>
      </c>
      <c r="AM1207">
        <f>IF($AJ1207="","",IF($AJ1207=0,LN($F1207/$AK1207)/$AL1207,((($F1207/$AK1207)^$AJ1207)-1)/($AJ1207*$AL1207)))</f>
        <v/>
      </c>
      <c r="AN1207">
        <f>IF($AJ1207="","",IF($AJ1207=0,$AK1207*EXP($AL1207*2),$AK1207*(1+$AJ1207*$AL1207*2)^(1/$AJ1207)))</f>
        <v/>
      </c>
      <c r="AO1207">
        <f>IF($AJ1207="","",IF($AJ1207=0,$AK1207*EXP($AL1207*3),$AK1207*(1+$AJ1207*$AL1207*3)^(1/$AJ1207)))</f>
        <v/>
      </c>
      <c r="AP1207">
        <f>IF($AJ1207="","",IF($AJ1207=0,$AK1207*EXP($AL1207*-2),$AK1207*(1+$AJ1207*$AL1207*-2)^(1/$AJ1207)))</f>
        <v/>
      </c>
      <c r="AQ1207">
        <f>IF($AJ1207="","",IF($AJ1207=0,$AK1207*EXP($AL1207*-3),$AK1207*(1+$AJ1207*$AL1207*-3)^(1/$AJ1207)))</f>
        <v/>
      </c>
      <c r="AR1207">
        <f>IF(OR($X1207="",$T1207&gt;60),"",IFERROR(INDEX(IF($T1207&lt;24,pcomp_l,palt_l),MATCH($X1207,IF($T1207&lt;24,pcomp_k,palt_k),1)),""))</f>
        <v/>
      </c>
      <c r="AS1207">
        <f>IF(OR($X1207="",$T1207&gt;60),"",IFERROR(INDEX(IF($T1207&lt;24,pcomp_m,palt_m),MATCH($X1207,IF($T1207&lt;24,pcomp_k,palt_k),1)),""))</f>
        <v/>
      </c>
      <c r="AT1207">
        <f>IF(OR($X1207="",$T1207&gt;60),"",IFERROR(INDEX(IF($T1207&lt;24,pcomp_s,palt_s),MATCH($X1207,IF($T1207&lt;24,pcomp_k,palt_k),1)),""))</f>
        <v/>
      </c>
      <c r="AU1207">
        <f>IF($AR1207="","",IF($AR1207=0,LN($F1207/$AS1207)/$AT1207,((($F1207/$AS1207)^$AR1207)-1)/($AR1207*$AT1207)))</f>
        <v/>
      </c>
      <c r="AV1207">
        <f>IF($AR1207="","",IF($AR1207=0,$AS1207*EXP($AT1207*2),$AS1207*(1+$AR1207*$AT1207*2)^(1/$AR1207)))</f>
        <v/>
      </c>
      <c r="AW1207">
        <f>IF($AR1207="","",IF($AR1207=0,$AS1207*EXP($AT1207*3),$AS1207*(1+$AR1207*$AT1207*3)^(1/$AR1207)))</f>
        <v/>
      </c>
      <c r="AX1207">
        <f>IF($AR1207="","",IF($AR1207=0,$AS1207*EXP($AT1207*-2),$AS1207*(1+$AR1207*$AT1207*-2)^(1/$AR1207)))</f>
        <v/>
      </c>
      <c r="AY1207">
        <f>IF($AR1207="","",IF($AR1207=0,$AS1207*EXP($AT1207*-3),$AS1207*(1+$AR1207*$AT1207*-3)^(1/$AR1207)))</f>
        <v/>
      </c>
      <c r="AZ1207">
        <f>IF(OR($A1207="",$A1207&lt;&gt;Ficha!$C$4),"",COUNTIF($A$2:$A1207,Ficha!$C$4))</f>
        <v/>
      </c>
    </row>
    <row r="1208">
      <c r="A1208" s="8">
        <f>IF(INDEX(Banco!$A:$A,ROW())="","",INDEX(Banco!$A:$A,ROW()))</f>
        <v/>
      </c>
      <c r="B1208" s="8">
        <f>IF(INDEX(Banco!$B:$B,ROW())="","",INDEX(Banco!$B:$B,ROW()))</f>
        <v/>
      </c>
      <c r="C1208" s="8">
        <f>IF(INDEX(Banco!$C:$C,ROW())="","",INDEX(Banco!$C:$C,ROW()))</f>
        <v/>
      </c>
      <c r="D1208" s="9">
        <f>IF(INDEX(Banco!$D:$D,ROW())="","",INDEX(Banco!$D:$D,ROW()))</f>
        <v/>
      </c>
      <c r="E1208" s="9">
        <f>IF(INDEX(Banco!$E:$E,ROW())="","",INDEX(Banco!$E:$E,ROW()))</f>
        <v/>
      </c>
      <c r="F1208" s="10">
        <f>IF(INDEX(Banco!$F:$F,ROW())="","",INDEX(Banco!$F:$F,ROW()))</f>
        <v/>
      </c>
      <c r="G1208" s="10">
        <f>IF(INDEX(Banco!$G:$G,ROW())="","",INDEX(Banco!$G:$G,ROW()))</f>
        <v/>
      </c>
      <c r="H1208" s="8">
        <f>IF(INDEX(Banco!$H:$H,ROW())="","",INDEX(Banco!$H:$H,ROW()))</f>
        <v/>
      </c>
      <c r="I1208">
        <f>IF($T1208="","",INT($T1208/12)&amp;"a "&amp;MOD($T1208,12)&amp;"m")</f>
        <v/>
      </c>
      <c r="J1208" s="11">
        <f>IF(OR($F1208="",$G1208=""),"",ROUND($F1208/($G1208/100)^2,2))</f>
        <v/>
      </c>
      <c r="K1208" s="12">
        <f>IF(OR($S1208="",$J1208="",$T1208="",$T1208&lt;0,$T1208&gt;228,$Y1208=""),"—",ROUND(IF(ABS($AB1208)&lt;=3,$AB1208,IF($AB1208&gt;3,3+($J1208-$AD1208)/($AD1208-$AC1208),-3+($J1208-$AF1208)/($AE1208-$AF1208))),2))</f>
        <v/>
      </c>
      <c r="L1208">
        <f>IF(OR($K1208="",$K1208="—"),"",IF($T1208&lt;=60,IF($K1208&lt;-3,"Magreza acentuada",IF($K1208&lt;-2,"Magreza",IF($K1208&lt;=1,"Eutrofia",IF($K1208&lt;=2,"Risco de sobrepeso",IF($K1208&lt;=3,"Sobrepeso","Obesidade"))))),IF($K1208&lt;-3,"Magreza acentuada",IF($K1208&lt;-2,"Magreza",IF($K1208&lt;=1,"Eutrofia",IF($K1208&lt;=2,"Sobrepeso",IF($K1208&lt;=3,"Obesidade","Obesidade grave")))))))</f>
        <v/>
      </c>
      <c r="M1208" s="12">
        <f>IF(OR($S1208="",$V1208="",$T1208="",$T1208&lt;0,$T1208&gt;228,$AG1208=""),"—",ROUND(IF($AG1208=0,LN($V1208/$AH1208)/$AI1208,((($V1208/$AH1208)^$AG1208)-1)/($AG1208*$AI1208)),2))</f>
        <v/>
      </c>
      <c r="N1208">
        <f>IF(OR($M1208="",$M1208="—"),"",IF($M1208&lt;-3,"Muito baixa",IF($M1208&lt;-2,"Baixa","Adequada")))</f>
        <v/>
      </c>
      <c r="O1208" s="12">
        <f>IF(OR($S1208="",$F1208="",$T1208="",$T1208&lt;0,$T1208&gt;120,$AJ1208=""),"—",ROUND(IF(ABS($AM1208)&lt;=3,$AM1208,IF($AM1208&gt;3,3+($F1208-$AO1208)/($AO1208-$AN1208),-3+($F1208-$AQ1208)/($AP1208-$AQ1208))),2))</f>
        <v/>
      </c>
      <c r="P1208">
        <f>IF(OR($O1208="",$O1208="—"),"",IF($O1208&lt;-3,"Muito baixo",IF($O1208&lt;-2,"Baixo",IF($O1208&lt;=2,"Adequado","Elevado"))))</f>
        <v/>
      </c>
      <c r="Q1208" s="12">
        <f>IF(OR($S1208="",$F1208="",$T1208="",$T1208&lt;0,$T1208&gt;60,$AR1208=""),"—",ROUND(IF(ABS($AU1208)&lt;=3,$AU1208,IF($AU1208&gt;3,3+($F1208-$AW1208)/($AW1208-$AV1208),-3+($F1208-$AY1208)/($AX1208-$AY1208))),2))</f>
        <v/>
      </c>
      <c r="R1208">
        <f>IF(OR($Q1208="",$Q1208="—"),"",IF($Q1208&lt;-3,"Magreza acentuada",IF($Q1208&lt;-2,"Magreza",IF($Q1208&lt;=1,"Eutrofia",IF($Q1208&lt;=2,"Risco de sobrepeso",IF($Q1208&lt;=3,"Sobrepeso","Obesidade"))))))</f>
        <v/>
      </c>
      <c r="S1208">
        <f>IF($C1208="","",IF(UPPER(LEFT($C1208,1))="M",1,IF(UPPER(LEFT($C1208,1))="F",2,"")))</f>
        <v/>
      </c>
      <c r="T1208">
        <f>IF(OR($D1208="",$E1208=""),"",DATEDIF($D1208,$E1208,"m"))</f>
        <v/>
      </c>
      <c r="U1208">
        <f>IF(OR($D1208="",$E1208=""),"",$E1208-$D1208)</f>
        <v/>
      </c>
      <c r="V1208">
        <f>IF(OR($G1208="",$T1208=""),"",IF($T1208&lt;24,IF(LEFT(LOWER($H1208),4)="em p",$G1208+0.7,$G1208),IF(LEFT(LOWER($H1208),4)="deit",$G1208-0.7,$G1208)))</f>
        <v/>
      </c>
      <c r="W1208">
        <f>IF(OR($S1208="",$T1208=""),"",$S1208*1000000+IF($T1208&lt;=60,$U1208,$T1208))</f>
        <v/>
      </c>
      <c r="X1208">
        <f>IF(OR($S1208="",$V1208="",$T1208&gt;60,$T1208=""),"",$S1208*1000000+ROUND($V1208*10,0))</f>
        <v/>
      </c>
      <c r="Y1208">
        <f>IF($W1208="","",IFERROR(INDEX(IF($T1208&lt;=60,imc05_l,imc519_l),MATCH($W1208,IF($T1208&lt;=60,imc05_k,imc519_k),1)),""))</f>
        <v/>
      </c>
      <c r="Z1208">
        <f>IF($W1208="","",IFERROR(INDEX(IF($T1208&lt;=60,imc05_m,imc519_m),MATCH($W1208,IF($T1208&lt;=60,imc05_k,imc519_k),1)),""))</f>
        <v/>
      </c>
      <c r="AA1208">
        <f>IF($W1208="","",IFERROR(INDEX(IF($T1208&lt;=60,imc05_s,imc519_s),MATCH($W1208,IF($T1208&lt;=60,imc05_k,imc519_k),1)),""))</f>
        <v/>
      </c>
      <c r="AB1208">
        <f>IF($Y1208="","",IF($Y1208=0,LN($J1208/$Z1208)/$AA1208,((($J1208/$Z1208)^$Y1208)-1)/($Y1208*$AA1208)))</f>
        <v/>
      </c>
      <c r="AC1208">
        <f>IF($Y1208="","",IF($Y1208=0,$Z1208*EXP($AA1208*2),$Z1208*(1+$Y1208*$AA1208*2)^(1/$Y1208)))</f>
        <v/>
      </c>
      <c r="AD1208">
        <f>IF($Y1208="","",IF($Y1208=0,$Z1208*EXP($AA1208*3),$Z1208*(1+$Y1208*$AA1208*3)^(1/$Y1208)))</f>
        <v/>
      </c>
      <c r="AE1208">
        <f>IF($Y1208="","",IF($Y1208=0,$Z1208*EXP($AA1208*-2),$Z1208*(1+$Y1208*$AA1208*-2)^(1/$Y1208)))</f>
        <v/>
      </c>
      <c r="AF1208">
        <f>IF($Y1208="","",IF($Y1208=0,$Z1208*EXP($AA1208*-3),$Z1208*(1+$Y1208*$AA1208*-3)^(1/$Y1208)))</f>
        <v/>
      </c>
      <c r="AG1208">
        <f>IF($W1208="","",IFERROR(INDEX(IF($T1208&lt;=60,est05_l,est519_l),MATCH($W1208,IF($T1208&lt;=60,est05_k,est519_k),1)),""))</f>
        <v/>
      </c>
      <c r="AH1208">
        <f>IF($W1208="","",IFERROR(INDEX(IF($T1208&lt;=60,est05_m,est519_m),MATCH($W1208,IF($T1208&lt;=60,est05_k,est519_k),1)),""))</f>
        <v/>
      </c>
      <c r="AI1208">
        <f>IF($W1208="","",IFERROR(INDEX(IF($T1208&lt;=60,est05_s,est519_s),MATCH($W1208,IF($T1208&lt;=60,est05_k,est519_k),1)),""))</f>
        <v/>
      </c>
      <c r="AJ1208">
        <f>IF($W1208="","",IFERROR(INDEX(IF($T1208&lt;=60,peso05_l,peso510_l),MATCH($W1208,IF($T1208&lt;=60,peso05_k,peso510_k),1)),""))</f>
        <v/>
      </c>
      <c r="AK1208">
        <f>IF($W1208="","",IFERROR(INDEX(IF($T1208&lt;=60,peso05_m,peso510_m),MATCH($W1208,IF($T1208&lt;=60,peso05_k,peso510_k),1)),""))</f>
        <v/>
      </c>
      <c r="AL1208">
        <f>IF($W1208="","",IFERROR(INDEX(IF($T1208&lt;=60,peso05_s,peso510_s),MATCH($W1208,IF($T1208&lt;=60,peso05_k,peso510_k),1)),""))</f>
        <v/>
      </c>
      <c r="AM1208">
        <f>IF($AJ1208="","",IF($AJ1208=0,LN($F1208/$AK1208)/$AL1208,((($F1208/$AK1208)^$AJ1208)-1)/($AJ1208*$AL1208)))</f>
        <v/>
      </c>
      <c r="AN1208">
        <f>IF($AJ1208="","",IF($AJ1208=0,$AK1208*EXP($AL1208*2),$AK1208*(1+$AJ1208*$AL1208*2)^(1/$AJ1208)))</f>
        <v/>
      </c>
      <c r="AO1208">
        <f>IF($AJ1208="","",IF($AJ1208=0,$AK1208*EXP($AL1208*3),$AK1208*(1+$AJ1208*$AL1208*3)^(1/$AJ1208)))</f>
        <v/>
      </c>
      <c r="AP1208">
        <f>IF($AJ1208="","",IF($AJ1208=0,$AK1208*EXP($AL1208*-2),$AK1208*(1+$AJ1208*$AL1208*-2)^(1/$AJ1208)))</f>
        <v/>
      </c>
      <c r="AQ1208">
        <f>IF($AJ1208="","",IF($AJ1208=0,$AK1208*EXP($AL1208*-3),$AK1208*(1+$AJ1208*$AL1208*-3)^(1/$AJ1208)))</f>
        <v/>
      </c>
      <c r="AR1208">
        <f>IF(OR($X1208="",$T1208&gt;60),"",IFERROR(INDEX(IF($T1208&lt;24,pcomp_l,palt_l),MATCH($X1208,IF($T1208&lt;24,pcomp_k,palt_k),1)),""))</f>
        <v/>
      </c>
      <c r="AS1208">
        <f>IF(OR($X1208="",$T1208&gt;60),"",IFERROR(INDEX(IF($T1208&lt;24,pcomp_m,palt_m),MATCH($X1208,IF($T1208&lt;24,pcomp_k,palt_k),1)),""))</f>
        <v/>
      </c>
      <c r="AT1208">
        <f>IF(OR($X1208="",$T1208&gt;60),"",IFERROR(INDEX(IF($T1208&lt;24,pcomp_s,palt_s),MATCH($X1208,IF($T1208&lt;24,pcomp_k,palt_k),1)),""))</f>
        <v/>
      </c>
      <c r="AU1208">
        <f>IF($AR1208="","",IF($AR1208=0,LN($F1208/$AS1208)/$AT1208,((($F1208/$AS1208)^$AR1208)-1)/($AR1208*$AT1208)))</f>
        <v/>
      </c>
      <c r="AV1208">
        <f>IF($AR1208="","",IF($AR1208=0,$AS1208*EXP($AT1208*2),$AS1208*(1+$AR1208*$AT1208*2)^(1/$AR1208)))</f>
        <v/>
      </c>
      <c r="AW1208">
        <f>IF($AR1208="","",IF($AR1208=0,$AS1208*EXP($AT1208*3),$AS1208*(1+$AR1208*$AT1208*3)^(1/$AR1208)))</f>
        <v/>
      </c>
      <c r="AX1208">
        <f>IF($AR1208="","",IF($AR1208=0,$AS1208*EXP($AT1208*-2),$AS1208*(1+$AR1208*$AT1208*-2)^(1/$AR1208)))</f>
        <v/>
      </c>
      <c r="AY1208">
        <f>IF($AR1208="","",IF($AR1208=0,$AS1208*EXP($AT1208*-3),$AS1208*(1+$AR1208*$AT1208*-3)^(1/$AR1208)))</f>
        <v/>
      </c>
      <c r="AZ1208">
        <f>IF(OR($A1208="",$A1208&lt;&gt;Ficha!$C$4),"",COUNTIF($A$2:$A1208,Ficha!$C$4))</f>
        <v/>
      </c>
    </row>
    <row r="1209">
      <c r="A1209" s="8">
        <f>IF(INDEX(Banco!$A:$A,ROW())="","",INDEX(Banco!$A:$A,ROW()))</f>
        <v/>
      </c>
      <c r="B1209" s="8">
        <f>IF(INDEX(Banco!$B:$B,ROW())="","",INDEX(Banco!$B:$B,ROW()))</f>
        <v/>
      </c>
      <c r="C1209" s="8">
        <f>IF(INDEX(Banco!$C:$C,ROW())="","",INDEX(Banco!$C:$C,ROW()))</f>
        <v/>
      </c>
      <c r="D1209" s="9">
        <f>IF(INDEX(Banco!$D:$D,ROW())="","",INDEX(Banco!$D:$D,ROW()))</f>
        <v/>
      </c>
      <c r="E1209" s="9">
        <f>IF(INDEX(Banco!$E:$E,ROW())="","",INDEX(Banco!$E:$E,ROW()))</f>
        <v/>
      </c>
      <c r="F1209" s="10">
        <f>IF(INDEX(Banco!$F:$F,ROW())="","",INDEX(Banco!$F:$F,ROW()))</f>
        <v/>
      </c>
      <c r="G1209" s="10">
        <f>IF(INDEX(Banco!$G:$G,ROW())="","",INDEX(Banco!$G:$G,ROW()))</f>
        <v/>
      </c>
      <c r="H1209" s="8">
        <f>IF(INDEX(Banco!$H:$H,ROW())="","",INDEX(Banco!$H:$H,ROW()))</f>
        <v/>
      </c>
      <c r="I1209">
        <f>IF($T1209="","",INT($T1209/12)&amp;"a "&amp;MOD($T1209,12)&amp;"m")</f>
        <v/>
      </c>
      <c r="J1209" s="11">
        <f>IF(OR($F1209="",$G1209=""),"",ROUND($F1209/($G1209/100)^2,2))</f>
        <v/>
      </c>
      <c r="K1209" s="12">
        <f>IF(OR($S1209="",$J1209="",$T1209="",$T1209&lt;0,$T1209&gt;228,$Y1209=""),"—",ROUND(IF(ABS($AB1209)&lt;=3,$AB1209,IF($AB1209&gt;3,3+($J1209-$AD1209)/($AD1209-$AC1209),-3+($J1209-$AF1209)/($AE1209-$AF1209))),2))</f>
        <v/>
      </c>
      <c r="L1209">
        <f>IF(OR($K1209="",$K1209="—"),"",IF($T1209&lt;=60,IF($K1209&lt;-3,"Magreza acentuada",IF($K1209&lt;-2,"Magreza",IF($K1209&lt;=1,"Eutrofia",IF($K1209&lt;=2,"Risco de sobrepeso",IF($K1209&lt;=3,"Sobrepeso","Obesidade"))))),IF($K1209&lt;-3,"Magreza acentuada",IF($K1209&lt;-2,"Magreza",IF($K1209&lt;=1,"Eutrofia",IF($K1209&lt;=2,"Sobrepeso",IF($K1209&lt;=3,"Obesidade","Obesidade grave")))))))</f>
        <v/>
      </c>
      <c r="M1209" s="12">
        <f>IF(OR($S1209="",$V1209="",$T1209="",$T1209&lt;0,$T1209&gt;228,$AG1209=""),"—",ROUND(IF($AG1209=0,LN($V1209/$AH1209)/$AI1209,((($V1209/$AH1209)^$AG1209)-1)/($AG1209*$AI1209)),2))</f>
        <v/>
      </c>
      <c r="N1209">
        <f>IF(OR($M1209="",$M1209="—"),"",IF($M1209&lt;-3,"Muito baixa",IF($M1209&lt;-2,"Baixa","Adequada")))</f>
        <v/>
      </c>
      <c r="O1209" s="12">
        <f>IF(OR($S1209="",$F1209="",$T1209="",$T1209&lt;0,$T1209&gt;120,$AJ1209=""),"—",ROUND(IF(ABS($AM1209)&lt;=3,$AM1209,IF($AM1209&gt;3,3+($F1209-$AO1209)/($AO1209-$AN1209),-3+($F1209-$AQ1209)/($AP1209-$AQ1209))),2))</f>
        <v/>
      </c>
      <c r="P1209">
        <f>IF(OR($O1209="",$O1209="—"),"",IF($O1209&lt;-3,"Muito baixo",IF($O1209&lt;-2,"Baixo",IF($O1209&lt;=2,"Adequado","Elevado"))))</f>
        <v/>
      </c>
      <c r="Q1209" s="12">
        <f>IF(OR($S1209="",$F1209="",$T1209="",$T1209&lt;0,$T1209&gt;60,$AR1209=""),"—",ROUND(IF(ABS($AU1209)&lt;=3,$AU1209,IF($AU1209&gt;3,3+($F1209-$AW1209)/($AW1209-$AV1209),-3+($F1209-$AY1209)/($AX1209-$AY1209))),2))</f>
        <v/>
      </c>
      <c r="R1209">
        <f>IF(OR($Q1209="",$Q1209="—"),"",IF($Q1209&lt;-3,"Magreza acentuada",IF($Q1209&lt;-2,"Magreza",IF($Q1209&lt;=1,"Eutrofia",IF($Q1209&lt;=2,"Risco de sobrepeso",IF($Q1209&lt;=3,"Sobrepeso","Obesidade"))))))</f>
        <v/>
      </c>
      <c r="S1209">
        <f>IF($C1209="","",IF(UPPER(LEFT($C1209,1))="M",1,IF(UPPER(LEFT($C1209,1))="F",2,"")))</f>
        <v/>
      </c>
      <c r="T1209">
        <f>IF(OR($D1209="",$E1209=""),"",DATEDIF($D1209,$E1209,"m"))</f>
        <v/>
      </c>
      <c r="U1209">
        <f>IF(OR($D1209="",$E1209=""),"",$E1209-$D1209)</f>
        <v/>
      </c>
      <c r="V1209">
        <f>IF(OR($G1209="",$T1209=""),"",IF($T1209&lt;24,IF(LEFT(LOWER($H1209),4)="em p",$G1209+0.7,$G1209),IF(LEFT(LOWER($H1209),4)="deit",$G1209-0.7,$G1209)))</f>
        <v/>
      </c>
      <c r="W1209">
        <f>IF(OR($S1209="",$T1209=""),"",$S1209*1000000+IF($T1209&lt;=60,$U1209,$T1209))</f>
        <v/>
      </c>
      <c r="X1209">
        <f>IF(OR($S1209="",$V1209="",$T1209&gt;60,$T1209=""),"",$S1209*1000000+ROUND($V1209*10,0))</f>
        <v/>
      </c>
      <c r="Y1209">
        <f>IF($W1209="","",IFERROR(INDEX(IF($T1209&lt;=60,imc05_l,imc519_l),MATCH($W1209,IF($T1209&lt;=60,imc05_k,imc519_k),1)),""))</f>
        <v/>
      </c>
      <c r="Z1209">
        <f>IF($W1209="","",IFERROR(INDEX(IF($T1209&lt;=60,imc05_m,imc519_m),MATCH($W1209,IF($T1209&lt;=60,imc05_k,imc519_k),1)),""))</f>
        <v/>
      </c>
      <c r="AA1209">
        <f>IF($W1209="","",IFERROR(INDEX(IF($T1209&lt;=60,imc05_s,imc519_s),MATCH($W1209,IF($T1209&lt;=60,imc05_k,imc519_k),1)),""))</f>
        <v/>
      </c>
      <c r="AB1209">
        <f>IF($Y1209="","",IF($Y1209=0,LN($J1209/$Z1209)/$AA1209,((($J1209/$Z1209)^$Y1209)-1)/($Y1209*$AA1209)))</f>
        <v/>
      </c>
      <c r="AC1209">
        <f>IF($Y1209="","",IF($Y1209=0,$Z1209*EXP($AA1209*2),$Z1209*(1+$Y1209*$AA1209*2)^(1/$Y1209)))</f>
        <v/>
      </c>
      <c r="AD1209">
        <f>IF($Y1209="","",IF($Y1209=0,$Z1209*EXP($AA1209*3),$Z1209*(1+$Y1209*$AA1209*3)^(1/$Y1209)))</f>
        <v/>
      </c>
      <c r="AE1209">
        <f>IF($Y1209="","",IF($Y1209=0,$Z1209*EXP($AA1209*-2),$Z1209*(1+$Y1209*$AA1209*-2)^(1/$Y1209)))</f>
        <v/>
      </c>
      <c r="AF1209">
        <f>IF($Y1209="","",IF($Y1209=0,$Z1209*EXP($AA1209*-3),$Z1209*(1+$Y1209*$AA1209*-3)^(1/$Y1209)))</f>
        <v/>
      </c>
      <c r="AG1209">
        <f>IF($W1209="","",IFERROR(INDEX(IF($T1209&lt;=60,est05_l,est519_l),MATCH($W1209,IF($T1209&lt;=60,est05_k,est519_k),1)),""))</f>
        <v/>
      </c>
      <c r="AH1209">
        <f>IF($W1209="","",IFERROR(INDEX(IF($T1209&lt;=60,est05_m,est519_m),MATCH($W1209,IF($T1209&lt;=60,est05_k,est519_k),1)),""))</f>
        <v/>
      </c>
      <c r="AI1209">
        <f>IF($W1209="","",IFERROR(INDEX(IF($T1209&lt;=60,est05_s,est519_s),MATCH($W1209,IF($T1209&lt;=60,est05_k,est519_k),1)),""))</f>
        <v/>
      </c>
      <c r="AJ1209">
        <f>IF($W1209="","",IFERROR(INDEX(IF($T1209&lt;=60,peso05_l,peso510_l),MATCH($W1209,IF($T1209&lt;=60,peso05_k,peso510_k),1)),""))</f>
        <v/>
      </c>
      <c r="AK1209">
        <f>IF($W1209="","",IFERROR(INDEX(IF($T1209&lt;=60,peso05_m,peso510_m),MATCH($W1209,IF($T1209&lt;=60,peso05_k,peso510_k),1)),""))</f>
        <v/>
      </c>
      <c r="AL1209">
        <f>IF($W1209="","",IFERROR(INDEX(IF($T1209&lt;=60,peso05_s,peso510_s),MATCH($W1209,IF($T1209&lt;=60,peso05_k,peso510_k),1)),""))</f>
        <v/>
      </c>
      <c r="AM1209">
        <f>IF($AJ1209="","",IF($AJ1209=0,LN($F1209/$AK1209)/$AL1209,((($F1209/$AK1209)^$AJ1209)-1)/($AJ1209*$AL1209)))</f>
        <v/>
      </c>
      <c r="AN1209">
        <f>IF($AJ1209="","",IF($AJ1209=0,$AK1209*EXP($AL1209*2),$AK1209*(1+$AJ1209*$AL1209*2)^(1/$AJ1209)))</f>
        <v/>
      </c>
      <c r="AO1209">
        <f>IF($AJ1209="","",IF($AJ1209=0,$AK1209*EXP($AL1209*3),$AK1209*(1+$AJ1209*$AL1209*3)^(1/$AJ1209)))</f>
        <v/>
      </c>
      <c r="AP1209">
        <f>IF($AJ1209="","",IF($AJ1209=0,$AK1209*EXP($AL1209*-2),$AK1209*(1+$AJ1209*$AL1209*-2)^(1/$AJ1209)))</f>
        <v/>
      </c>
      <c r="AQ1209">
        <f>IF($AJ1209="","",IF($AJ1209=0,$AK1209*EXP($AL1209*-3),$AK1209*(1+$AJ1209*$AL1209*-3)^(1/$AJ1209)))</f>
        <v/>
      </c>
      <c r="AR1209">
        <f>IF(OR($X1209="",$T1209&gt;60),"",IFERROR(INDEX(IF($T1209&lt;24,pcomp_l,palt_l),MATCH($X1209,IF($T1209&lt;24,pcomp_k,palt_k),1)),""))</f>
        <v/>
      </c>
      <c r="AS1209">
        <f>IF(OR($X1209="",$T1209&gt;60),"",IFERROR(INDEX(IF($T1209&lt;24,pcomp_m,palt_m),MATCH($X1209,IF($T1209&lt;24,pcomp_k,palt_k),1)),""))</f>
        <v/>
      </c>
      <c r="AT1209">
        <f>IF(OR($X1209="",$T1209&gt;60),"",IFERROR(INDEX(IF($T1209&lt;24,pcomp_s,palt_s),MATCH($X1209,IF($T1209&lt;24,pcomp_k,palt_k),1)),""))</f>
        <v/>
      </c>
      <c r="AU1209">
        <f>IF($AR1209="","",IF($AR1209=0,LN($F1209/$AS1209)/$AT1209,((($F1209/$AS1209)^$AR1209)-1)/($AR1209*$AT1209)))</f>
        <v/>
      </c>
      <c r="AV1209">
        <f>IF($AR1209="","",IF($AR1209=0,$AS1209*EXP($AT1209*2),$AS1209*(1+$AR1209*$AT1209*2)^(1/$AR1209)))</f>
        <v/>
      </c>
      <c r="AW1209">
        <f>IF($AR1209="","",IF($AR1209=0,$AS1209*EXP($AT1209*3),$AS1209*(1+$AR1209*$AT1209*3)^(1/$AR1209)))</f>
        <v/>
      </c>
      <c r="AX1209">
        <f>IF($AR1209="","",IF($AR1209=0,$AS1209*EXP($AT1209*-2),$AS1209*(1+$AR1209*$AT1209*-2)^(1/$AR1209)))</f>
        <v/>
      </c>
      <c r="AY1209">
        <f>IF($AR1209="","",IF($AR1209=0,$AS1209*EXP($AT1209*-3),$AS1209*(1+$AR1209*$AT1209*-3)^(1/$AR1209)))</f>
        <v/>
      </c>
      <c r="AZ1209">
        <f>IF(OR($A1209="",$A1209&lt;&gt;Ficha!$C$4),"",COUNTIF($A$2:$A1209,Ficha!$C$4))</f>
        <v/>
      </c>
    </row>
    <row r="1210">
      <c r="A1210" s="8">
        <f>IF(INDEX(Banco!$A:$A,ROW())="","",INDEX(Banco!$A:$A,ROW()))</f>
        <v/>
      </c>
      <c r="B1210" s="8">
        <f>IF(INDEX(Banco!$B:$B,ROW())="","",INDEX(Banco!$B:$B,ROW()))</f>
        <v/>
      </c>
      <c r="C1210" s="8">
        <f>IF(INDEX(Banco!$C:$C,ROW())="","",INDEX(Banco!$C:$C,ROW()))</f>
        <v/>
      </c>
      <c r="D1210" s="9">
        <f>IF(INDEX(Banco!$D:$D,ROW())="","",INDEX(Banco!$D:$D,ROW()))</f>
        <v/>
      </c>
      <c r="E1210" s="9">
        <f>IF(INDEX(Banco!$E:$E,ROW())="","",INDEX(Banco!$E:$E,ROW()))</f>
        <v/>
      </c>
      <c r="F1210" s="10">
        <f>IF(INDEX(Banco!$F:$F,ROW())="","",INDEX(Banco!$F:$F,ROW()))</f>
        <v/>
      </c>
      <c r="G1210" s="10">
        <f>IF(INDEX(Banco!$G:$G,ROW())="","",INDEX(Banco!$G:$G,ROW()))</f>
        <v/>
      </c>
      <c r="H1210" s="8">
        <f>IF(INDEX(Banco!$H:$H,ROW())="","",INDEX(Banco!$H:$H,ROW()))</f>
        <v/>
      </c>
      <c r="I1210">
        <f>IF($T1210="","",INT($T1210/12)&amp;"a "&amp;MOD($T1210,12)&amp;"m")</f>
        <v/>
      </c>
      <c r="J1210" s="11">
        <f>IF(OR($F1210="",$G1210=""),"",ROUND($F1210/($G1210/100)^2,2))</f>
        <v/>
      </c>
      <c r="K1210" s="12">
        <f>IF(OR($S1210="",$J1210="",$T1210="",$T1210&lt;0,$T1210&gt;228,$Y1210=""),"—",ROUND(IF(ABS($AB1210)&lt;=3,$AB1210,IF($AB1210&gt;3,3+($J1210-$AD1210)/($AD1210-$AC1210),-3+($J1210-$AF1210)/($AE1210-$AF1210))),2))</f>
        <v/>
      </c>
      <c r="L1210">
        <f>IF(OR($K1210="",$K1210="—"),"",IF($T1210&lt;=60,IF($K1210&lt;-3,"Magreza acentuada",IF($K1210&lt;-2,"Magreza",IF($K1210&lt;=1,"Eutrofia",IF($K1210&lt;=2,"Risco de sobrepeso",IF($K1210&lt;=3,"Sobrepeso","Obesidade"))))),IF($K1210&lt;-3,"Magreza acentuada",IF($K1210&lt;-2,"Magreza",IF($K1210&lt;=1,"Eutrofia",IF($K1210&lt;=2,"Sobrepeso",IF($K1210&lt;=3,"Obesidade","Obesidade grave")))))))</f>
        <v/>
      </c>
      <c r="M1210" s="12">
        <f>IF(OR($S1210="",$V1210="",$T1210="",$T1210&lt;0,$T1210&gt;228,$AG1210=""),"—",ROUND(IF($AG1210=0,LN($V1210/$AH1210)/$AI1210,((($V1210/$AH1210)^$AG1210)-1)/($AG1210*$AI1210)),2))</f>
        <v/>
      </c>
      <c r="N1210">
        <f>IF(OR($M1210="",$M1210="—"),"",IF($M1210&lt;-3,"Muito baixa",IF($M1210&lt;-2,"Baixa","Adequada")))</f>
        <v/>
      </c>
      <c r="O1210" s="12">
        <f>IF(OR($S1210="",$F1210="",$T1210="",$T1210&lt;0,$T1210&gt;120,$AJ1210=""),"—",ROUND(IF(ABS($AM1210)&lt;=3,$AM1210,IF($AM1210&gt;3,3+($F1210-$AO1210)/($AO1210-$AN1210),-3+($F1210-$AQ1210)/($AP1210-$AQ1210))),2))</f>
        <v/>
      </c>
      <c r="P1210">
        <f>IF(OR($O1210="",$O1210="—"),"",IF($O1210&lt;-3,"Muito baixo",IF($O1210&lt;-2,"Baixo",IF($O1210&lt;=2,"Adequado","Elevado"))))</f>
        <v/>
      </c>
      <c r="Q1210" s="12">
        <f>IF(OR($S1210="",$F1210="",$T1210="",$T1210&lt;0,$T1210&gt;60,$AR1210=""),"—",ROUND(IF(ABS($AU1210)&lt;=3,$AU1210,IF($AU1210&gt;3,3+($F1210-$AW1210)/($AW1210-$AV1210),-3+($F1210-$AY1210)/($AX1210-$AY1210))),2))</f>
        <v/>
      </c>
      <c r="R1210">
        <f>IF(OR($Q1210="",$Q1210="—"),"",IF($Q1210&lt;-3,"Magreza acentuada",IF($Q1210&lt;-2,"Magreza",IF($Q1210&lt;=1,"Eutrofia",IF($Q1210&lt;=2,"Risco de sobrepeso",IF($Q1210&lt;=3,"Sobrepeso","Obesidade"))))))</f>
        <v/>
      </c>
      <c r="S1210">
        <f>IF($C1210="","",IF(UPPER(LEFT($C1210,1))="M",1,IF(UPPER(LEFT($C1210,1))="F",2,"")))</f>
        <v/>
      </c>
      <c r="T1210">
        <f>IF(OR($D1210="",$E1210=""),"",DATEDIF($D1210,$E1210,"m"))</f>
        <v/>
      </c>
      <c r="U1210">
        <f>IF(OR($D1210="",$E1210=""),"",$E1210-$D1210)</f>
        <v/>
      </c>
      <c r="V1210">
        <f>IF(OR($G1210="",$T1210=""),"",IF($T1210&lt;24,IF(LEFT(LOWER($H1210),4)="em p",$G1210+0.7,$G1210),IF(LEFT(LOWER($H1210),4)="deit",$G1210-0.7,$G1210)))</f>
        <v/>
      </c>
      <c r="W1210">
        <f>IF(OR($S1210="",$T1210=""),"",$S1210*1000000+IF($T1210&lt;=60,$U1210,$T1210))</f>
        <v/>
      </c>
      <c r="X1210">
        <f>IF(OR($S1210="",$V1210="",$T1210&gt;60,$T1210=""),"",$S1210*1000000+ROUND($V1210*10,0))</f>
        <v/>
      </c>
      <c r="Y1210">
        <f>IF($W1210="","",IFERROR(INDEX(IF($T1210&lt;=60,imc05_l,imc519_l),MATCH($W1210,IF($T1210&lt;=60,imc05_k,imc519_k),1)),""))</f>
        <v/>
      </c>
      <c r="Z1210">
        <f>IF($W1210="","",IFERROR(INDEX(IF($T1210&lt;=60,imc05_m,imc519_m),MATCH($W1210,IF($T1210&lt;=60,imc05_k,imc519_k),1)),""))</f>
        <v/>
      </c>
      <c r="AA1210">
        <f>IF($W1210="","",IFERROR(INDEX(IF($T1210&lt;=60,imc05_s,imc519_s),MATCH($W1210,IF($T1210&lt;=60,imc05_k,imc519_k),1)),""))</f>
        <v/>
      </c>
      <c r="AB1210">
        <f>IF($Y1210="","",IF($Y1210=0,LN($J1210/$Z1210)/$AA1210,((($J1210/$Z1210)^$Y1210)-1)/($Y1210*$AA1210)))</f>
        <v/>
      </c>
      <c r="AC1210">
        <f>IF($Y1210="","",IF($Y1210=0,$Z1210*EXP($AA1210*2),$Z1210*(1+$Y1210*$AA1210*2)^(1/$Y1210)))</f>
        <v/>
      </c>
      <c r="AD1210">
        <f>IF($Y1210="","",IF($Y1210=0,$Z1210*EXP($AA1210*3),$Z1210*(1+$Y1210*$AA1210*3)^(1/$Y1210)))</f>
        <v/>
      </c>
      <c r="AE1210">
        <f>IF($Y1210="","",IF($Y1210=0,$Z1210*EXP($AA1210*-2),$Z1210*(1+$Y1210*$AA1210*-2)^(1/$Y1210)))</f>
        <v/>
      </c>
      <c r="AF1210">
        <f>IF($Y1210="","",IF($Y1210=0,$Z1210*EXP($AA1210*-3),$Z1210*(1+$Y1210*$AA1210*-3)^(1/$Y1210)))</f>
        <v/>
      </c>
      <c r="AG1210">
        <f>IF($W1210="","",IFERROR(INDEX(IF($T1210&lt;=60,est05_l,est519_l),MATCH($W1210,IF($T1210&lt;=60,est05_k,est519_k),1)),""))</f>
        <v/>
      </c>
      <c r="AH1210">
        <f>IF($W1210="","",IFERROR(INDEX(IF($T1210&lt;=60,est05_m,est519_m),MATCH($W1210,IF($T1210&lt;=60,est05_k,est519_k),1)),""))</f>
        <v/>
      </c>
      <c r="AI1210">
        <f>IF($W1210="","",IFERROR(INDEX(IF($T1210&lt;=60,est05_s,est519_s),MATCH($W1210,IF($T1210&lt;=60,est05_k,est519_k),1)),""))</f>
        <v/>
      </c>
      <c r="AJ1210">
        <f>IF($W1210="","",IFERROR(INDEX(IF($T1210&lt;=60,peso05_l,peso510_l),MATCH($W1210,IF($T1210&lt;=60,peso05_k,peso510_k),1)),""))</f>
        <v/>
      </c>
      <c r="AK1210">
        <f>IF($W1210="","",IFERROR(INDEX(IF($T1210&lt;=60,peso05_m,peso510_m),MATCH($W1210,IF($T1210&lt;=60,peso05_k,peso510_k),1)),""))</f>
        <v/>
      </c>
      <c r="AL1210">
        <f>IF($W1210="","",IFERROR(INDEX(IF($T1210&lt;=60,peso05_s,peso510_s),MATCH($W1210,IF($T1210&lt;=60,peso05_k,peso510_k),1)),""))</f>
        <v/>
      </c>
      <c r="AM1210">
        <f>IF($AJ1210="","",IF($AJ1210=0,LN($F1210/$AK1210)/$AL1210,((($F1210/$AK1210)^$AJ1210)-1)/($AJ1210*$AL1210)))</f>
        <v/>
      </c>
      <c r="AN1210">
        <f>IF($AJ1210="","",IF($AJ1210=0,$AK1210*EXP($AL1210*2),$AK1210*(1+$AJ1210*$AL1210*2)^(1/$AJ1210)))</f>
        <v/>
      </c>
      <c r="AO1210">
        <f>IF($AJ1210="","",IF($AJ1210=0,$AK1210*EXP($AL1210*3),$AK1210*(1+$AJ1210*$AL1210*3)^(1/$AJ1210)))</f>
        <v/>
      </c>
      <c r="AP1210">
        <f>IF($AJ1210="","",IF($AJ1210=0,$AK1210*EXP($AL1210*-2),$AK1210*(1+$AJ1210*$AL1210*-2)^(1/$AJ1210)))</f>
        <v/>
      </c>
      <c r="AQ1210">
        <f>IF($AJ1210="","",IF($AJ1210=0,$AK1210*EXP($AL1210*-3),$AK1210*(1+$AJ1210*$AL1210*-3)^(1/$AJ1210)))</f>
        <v/>
      </c>
      <c r="AR1210">
        <f>IF(OR($X1210="",$T1210&gt;60),"",IFERROR(INDEX(IF($T1210&lt;24,pcomp_l,palt_l),MATCH($X1210,IF($T1210&lt;24,pcomp_k,palt_k),1)),""))</f>
        <v/>
      </c>
      <c r="AS1210">
        <f>IF(OR($X1210="",$T1210&gt;60),"",IFERROR(INDEX(IF($T1210&lt;24,pcomp_m,palt_m),MATCH($X1210,IF($T1210&lt;24,pcomp_k,palt_k),1)),""))</f>
        <v/>
      </c>
      <c r="AT1210">
        <f>IF(OR($X1210="",$T1210&gt;60),"",IFERROR(INDEX(IF($T1210&lt;24,pcomp_s,palt_s),MATCH($X1210,IF($T1210&lt;24,pcomp_k,palt_k),1)),""))</f>
        <v/>
      </c>
      <c r="AU1210">
        <f>IF($AR1210="","",IF($AR1210=0,LN($F1210/$AS1210)/$AT1210,((($F1210/$AS1210)^$AR1210)-1)/($AR1210*$AT1210)))</f>
        <v/>
      </c>
      <c r="AV1210">
        <f>IF($AR1210="","",IF($AR1210=0,$AS1210*EXP($AT1210*2),$AS1210*(1+$AR1210*$AT1210*2)^(1/$AR1210)))</f>
        <v/>
      </c>
      <c r="AW1210">
        <f>IF($AR1210="","",IF($AR1210=0,$AS1210*EXP($AT1210*3),$AS1210*(1+$AR1210*$AT1210*3)^(1/$AR1210)))</f>
        <v/>
      </c>
      <c r="AX1210">
        <f>IF($AR1210="","",IF($AR1210=0,$AS1210*EXP($AT1210*-2),$AS1210*(1+$AR1210*$AT1210*-2)^(1/$AR1210)))</f>
        <v/>
      </c>
      <c r="AY1210">
        <f>IF($AR1210="","",IF($AR1210=0,$AS1210*EXP($AT1210*-3),$AS1210*(1+$AR1210*$AT1210*-3)^(1/$AR1210)))</f>
        <v/>
      </c>
      <c r="AZ1210">
        <f>IF(OR($A1210="",$A1210&lt;&gt;Ficha!$C$4),"",COUNTIF($A$2:$A1210,Ficha!$C$4))</f>
        <v/>
      </c>
    </row>
    <row r="1211">
      <c r="A1211" s="8">
        <f>IF(INDEX(Banco!$A:$A,ROW())="","",INDEX(Banco!$A:$A,ROW()))</f>
        <v/>
      </c>
      <c r="B1211" s="8">
        <f>IF(INDEX(Banco!$B:$B,ROW())="","",INDEX(Banco!$B:$B,ROW()))</f>
        <v/>
      </c>
      <c r="C1211" s="8">
        <f>IF(INDEX(Banco!$C:$C,ROW())="","",INDEX(Banco!$C:$C,ROW()))</f>
        <v/>
      </c>
      <c r="D1211" s="9">
        <f>IF(INDEX(Banco!$D:$D,ROW())="","",INDEX(Banco!$D:$D,ROW()))</f>
        <v/>
      </c>
      <c r="E1211" s="9">
        <f>IF(INDEX(Banco!$E:$E,ROW())="","",INDEX(Banco!$E:$E,ROW()))</f>
        <v/>
      </c>
      <c r="F1211" s="10">
        <f>IF(INDEX(Banco!$F:$F,ROW())="","",INDEX(Banco!$F:$F,ROW()))</f>
        <v/>
      </c>
      <c r="G1211" s="10">
        <f>IF(INDEX(Banco!$G:$G,ROW())="","",INDEX(Banco!$G:$G,ROW()))</f>
        <v/>
      </c>
      <c r="H1211" s="8">
        <f>IF(INDEX(Banco!$H:$H,ROW())="","",INDEX(Banco!$H:$H,ROW()))</f>
        <v/>
      </c>
      <c r="I1211">
        <f>IF($T1211="","",INT($T1211/12)&amp;"a "&amp;MOD($T1211,12)&amp;"m")</f>
        <v/>
      </c>
      <c r="J1211" s="11">
        <f>IF(OR($F1211="",$G1211=""),"",ROUND($F1211/($G1211/100)^2,2))</f>
        <v/>
      </c>
      <c r="K1211" s="12">
        <f>IF(OR($S1211="",$J1211="",$T1211="",$T1211&lt;0,$T1211&gt;228,$Y1211=""),"—",ROUND(IF(ABS($AB1211)&lt;=3,$AB1211,IF($AB1211&gt;3,3+($J1211-$AD1211)/($AD1211-$AC1211),-3+($J1211-$AF1211)/($AE1211-$AF1211))),2))</f>
        <v/>
      </c>
      <c r="L1211">
        <f>IF(OR($K1211="",$K1211="—"),"",IF($T1211&lt;=60,IF($K1211&lt;-3,"Magreza acentuada",IF($K1211&lt;-2,"Magreza",IF($K1211&lt;=1,"Eutrofia",IF($K1211&lt;=2,"Risco de sobrepeso",IF($K1211&lt;=3,"Sobrepeso","Obesidade"))))),IF($K1211&lt;-3,"Magreza acentuada",IF($K1211&lt;-2,"Magreza",IF($K1211&lt;=1,"Eutrofia",IF($K1211&lt;=2,"Sobrepeso",IF($K1211&lt;=3,"Obesidade","Obesidade grave")))))))</f>
        <v/>
      </c>
      <c r="M1211" s="12">
        <f>IF(OR($S1211="",$V1211="",$T1211="",$T1211&lt;0,$T1211&gt;228,$AG1211=""),"—",ROUND(IF($AG1211=0,LN($V1211/$AH1211)/$AI1211,((($V1211/$AH1211)^$AG1211)-1)/($AG1211*$AI1211)),2))</f>
        <v/>
      </c>
      <c r="N1211">
        <f>IF(OR($M1211="",$M1211="—"),"",IF($M1211&lt;-3,"Muito baixa",IF($M1211&lt;-2,"Baixa","Adequada")))</f>
        <v/>
      </c>
      <c r="O1211" s="12">
        <f>IF(OR($S1211="",$F1211="",$T1211="",$T1211&lt;0,$T1211&gt;120,$AJ1211=""),"—",ROUND(IF(ABS($AM1211)&lt;=3,$AM1211,IF($AM1211&gt;3,3+($F1211-$AO1211)/($AO1211-$AN1211),-3+($F1211-$AQ1211)/($AP1211-$AQ1211))),2))</f>
        <v/>
      </c>
      <c r="P1211">
        <f>IF(OR($O1211="",$O1211="—"),"",IF($O1211&lt;-3,"Muito baixo",IF($O1211&lt;-2,"Baixo",IF($O1211&lt;=2,"Adequado","Elevado"))))</f>
        <v/>
      </c>
      <c r="Q1211" s="12">
        <f>IF(OR($S1211="",$F1211="",$T1211="",$T1211&lt;0,$T1211&gt;60,$AR1211=""),"—",ROUND(IF(ABS($AU1211)&lt;=3,$AU1211,IF($AU1211&gt;3,3+($F1211-$AW1211)/($AW1211-$AV1211),-3+($F1211-$AY1211)/($AX1211-$AY1211))),2))</f>
        <v/>
      </c>
      <c r="R1211">
        <f>IF(OR($Q1211="",$Q1211="—"),"",IF($Q1211&lt;-3,"Magreza acentuada",IF($Q1211&lt;-2,"Magreza",IF($Q1211&lt;=1,"Eutrofia",IF($Q1211&lt;=2,"Risco de sobrepeso",IF($Q1211&lt;=3,"Sobrepeso","Obesidade"))))))</f>
        <v/>
      </c>
      <c r="S1211">
        <f>IF($C1211="","",IF(UPPER(LEFT($C1211,1))="M",1,IF(UPPER(LEFT($C1211,1))="F",2,"")))</f>
        <v/>
      </c>
      <c r="T1211">
        <f>IF(OR($D1211="",$E1211=""),"",DATEDIF($D1211,$E1211,"m"))</f>
        <v/>
      </c>
      <c r="U1211">
        <f>IF(OR($D1211="",$E1211=""),"",$E1211-$D1211)</f>
        <v/>
      </c>
      <c r="V1211">
        <f>IF(OR($G1211="",$T1211=""),"",IF($T1211&lt;24,IF(LEFT(LOWER($H1211),4)="em p",$G1211+0.7,$G1211),IF(LEFT(LOWER($H1211),4)="deit",$G1211-0.7,$G1211)))</f>
        <v/>
      </c>
      <c r="W1211">
        <f>IF(OR($S1211="",$T1211=""),"",$S1211*1000000+IF($T1211&lt;=60,$U1211,$T1211))</f>
        <v/>
      </c>
      <c r="X1211">
        <f>IF(OR($S1211="",$V1211="",$T1211&gt;60,$T1211=""),"",$S1211*1000000+ROUND($V1211*10,0))</f>
        <v/>
      </c>
      <c r="Y1211">
        <f>IF($W1211="","",IFERROR(INDEX(IF($T1211&lt;=60,imc05_l,imc519_l),MATCH($W1211,IF($T1211&lt;=60,imc05_k,imc519_k),1)),""))</f>
        <v/>
      </c>
      <c r="Z1211">
        <f>IF($W1211="","",IFERROR(INDEX(IF($T1211&lt;=60,imc05_m,imc519_m),MATCH($W1211,IF($T1211&lt;=60,imc05_k,imc519_k),1)),""))</f>
        <v/>
      </c>
      <c r="AA1211">
        <f>IF($W1211="","",IFERROR(INDEX(IF($T1211&lt;=60,imc05_s,imc519_s),MATCH($W1211,IF($T1211&lt;=60,imc05_k,imc519_k),1)),""))</f>
        <v/>
      </c>
      <c r="AB1211">
        <f>IF($Y1211="","",IF($Y1211=0,LN($J1211/$Z1211)/$AA1211,((($J1211/$Z1211)^$Y1211)-1)/($Y1211*$AA1211)))</f>
        <v/>
      </c>
      <c r="AC1211">
        <f>IF($Y1211="","",IF($Y1211=0,$Z1211*EXP($AA1211*2),$Z1211*(1+$Y1211*$AA1211*2)^(1/$Y1211)))</f>
        <v/>
      </c>
      <c r="AD1211">
        <f>IF($Y1211="","",IF($Y1211=0,$Z1211*EXP($AA1211*3),$Z1211*(1+$Y1211*$AA1211*3)^(1/$Y1211)))</f>
        <v/>
      </c>
      <c r="AE1211">
        <f>IF($Y1211="","",IF($Y1211=0,$Z1211*EXP($AA1211*-2),$Z1211*(1+$Y1211*$AA1211*-2)^(1/$Y1211)))</f>
        <v/>
      </c>
      <c r="AF1211">
        <f>IF($Y1211="","",IF($Y1211=0,$Z1211*EXP($AA1211*-3),$Z1211*(1+$Y1211*$AA1211*-3)^(1/$Y1211)))</f>
        <v/>
      </c>
      <c r="AG1211">
        <f>IF($W1211="","",IFERROR(INDEX(IF($T1211&lt;=60,est05_l,est519_l),MATCH($W1211,IF($T1211&lt;=60,est05_k,est519_k),1)),""))</f>
        <v/>
      </c>
      <c r="AH1211">
        <f>IF($W1211="","",IFERROR(INDEX(IF($T1211&lt;=60,est05_m,est519_m),MATCH($W1211,IF($T1211&lt;=60,est05_k,est519_k),1)),""))</f>
        <v/>
      </c>
      <c r="AI1211">
        <f>IF($W1211="","",IFERROR(INDEX(IF($T1211&lt;=60,est05_s,est519_s),MATCH($W1211,IF($T1211&lt;=60,est05_k,est519_k),1)),""))</f>
        <v/>
      </c>
      <c r="AJ1211">
        <f>IF($W1211="","",IFERROR(INDEX(IF($T1211&lt;=60,peso05_l,peso510_l),MATCH($W1211,IF($T1211&lt;=60,peso05_k,peso510_k),1)),""))</f>
        <v/>
      </c>
      <c r="AK1211">
        <f>IF($W1211="","",IFERROR(INDEX(IF($T1211&lt;=60,peso05_m,peso510_m),MATCH($W1211,IF($T1211&lt;=60,peso05_k,peso510_k),1)),""))</f>
        <v/>
      </c>
      <c r="AL1211">
        <f>IF($W1211="","",IFERROR(INDEX(IF($T1211&lt;=60,peso05_s,peso510_s),MATCH($W1211,IF($T1211&lt;=60,peso05_k,peso510_k),1)),""))</f>
        <v/>
      </c>
      <c r="AM1211">
        <f>IF($AJ1211="","",IF($AJ1211=0,LN($F1211/$AK1211)/$AL1211,((($F1211/$AK1211)^$AJ1211)-1)/($AJ1211*$AL1211)))</f>
        <v/>
      </c>
      <c r="AN1211">
        <f>IF($AJ1211="","",IF($AJ1211=0,$AK1211*EXP($AL1211*2),$AK1211*(1+$AJ1211*$AL1211*2)^(1/$AJ1211)))</f>
        <v/>
      </c>
      <c r="AO1211">
        <f>IF($AJ1211="","",IF($AJ1211=0,$AK1211*EXP($AL1211*3),$AK1211*(1+$AJ1211*$AL1211*3)^(1/$AJ1211)))</f>
        <v/>
      </c>
      <c r="AP1211">
        <f>IF($AJ1211="","",IF($AJ1211=0,$AK1211*EXP($AL1211*-2),$AK1211*(1+$AJ1211*$AL1211*-2)^(1/$AJ1211)))</f>
        <v/>
      </c>
      <c r="AQ1211">
        <f>IF($AJ1211="","",IF($AJ1211=0,$AK1211*EXP($AL1211*-3),$AK1211*(1+$AJ1211*$AL1211*-3)^(1/$AJ1211)))</f>
        <v/>
      </c>
      <c r="AR1211">
        <f>IF(OR($X1211="",$T1211&gt;60),"",IFERROR(INDEX(IF($T1211&lt;24,pcomp_l,palt_l),MATCH($X1211,IF($T1211&lt;24,pcomp_k,palt_k),1)),""))</f>
        <v/>
      </c>
      <c r="AS1211">
        <f>IF(OR($X1211="",$T1211&gt;60),"",IFERROR(INDEX(IF($T1211&lt;24,pcomp_m,palt_m),MATCH($X1211,IF($T1211&lt;24,pcomp_k,palt_k),1)),""))</f>
        <v/>
      </c>
      <c r="AT1211">
        <f>IF(OR($X1211="",$T1211&gt;60),"",IFERROR(INDEX(IF($T1211&lt;24,pcomp_s,palt_s),MATCH($X1211,IF($T1211&lt;24,pcomp_k,palt_k),1)),""))</f>
        <v/>
      </c>
      <c r="AU1211">
        <f>IF($AR1211="","",IF($AR1211=0,LN($F1211/$AS1211)/$AT1211,((($F1211/$AS1211)^$AR1211)-1)/($AR1211*$AT1211)))</f>
        <v/>
      </c>
      <c r="AV1211">
        <f>IF($AR1211="","",IF($AR1211=0,$AS1211*EXP($AT1211*2),$AS1211*(1+$AR1211*$AT1211*2)^(1/$AR1211)))</f>
        <v/>
      </c>
      <c r="AW1211">
        <f>IF($AR1211="","",IF($AR1211=0,$AS1211*EXP($AT1211*3),$AS1211*(1+$AR1211*$AT1211*3)^(1/$AR1211)))</f>
        <v/>
      </c>
      <c r="AX1211">
        <f>IF($AR1211="","",IF($AR1211=0,$AS1211*EXP($AT1211*-2),$AS1211*(1+$AR1211*$AT1211*-2)^(1/$AR1211)))</f>
        <v/>
      </c>
      <c r="AY1211">
        <f>IF($AR1211="","",IF($AR1211=0,$AS1211*EXP($AT1211*-3),$AS1211*(1+$AR1211*$AT1211*-3)^(1/$AR1211)))</f>
        <v/>
      </c>
      <c r="AZ1211">
        <f>IF(OR($A1211="",$A1211&lt;&gt;Ficha!$C$4),"",COUNTIF($A$2:$A1211,Ficha!$C$4))</f>
        <v/>
      </c>
    </row>
    <row r="1212">
      <c r="A1212" s="8">
        <f>IF(INDEX(Banco!$A:$A,ROW())="","",INDEX(Banco!$A:$A,ROW()))</f>
        <v/>
      </c>
      <c r="B1212" s="8">
        <f>IF(INDEX(Banco!$B:$B,ROW())="","",INDEX(Banco!$B:$B,ROW()))</f>
        <v/>
      </c>
      <c r="C1212" s="8">
        <f>IF(INDEX(Banco!$C:$C,ROW())="","",INDEX(Banco!$C:$C,ROW()))</f>
        <v/>
      </c>
      <c r="D1212" s="9">
        <f>IF(INDEX(Banco!$D:$D,ROW())="","",INDEX(Banco!$D:$D,ROW()))</f>
        <v/>
      </c>
      <c r="E1212" s="9">
        <f>IF(INDEX(Banco!$E:$E,ROW())="","",INDEX(Banco!$E:$E,ROW()))</f>
        <v/>
      </c>
      <c r="F1212" s="10">
        <f>IF(INDEX(Banco!$F:$F,ROW())="","",INDEX(Banco!$F:$F,ROW()))</f>
        <v/>
      </c>
      <c r="G1212" s="10">
        <f>IF(INDEX(Banco!$G:$G,ROW())="","",INDEX(Banco!$G:$G,ROW()))</f>
        <v/>
      </c>
      <c r="H1212" s="8">
        <f>IF(INDEX(Banco!$H:$H,ROW())="","",INDEX(Banco!$H:$H,ROW()))</f>
        <v/>
      </c>
      <c r="I1212">
        <f>IF($T1212="","",INT($T1212/12)&amp;"a "&amp;MOD($T1212,12)&amp;"m")</f>
        <v/>
      </c>
      <c r="J1212" s="11">
        <f>IF(OR($F1212="",$G1212=""),"",ROUND($F1212/($G1212/100)^2,2))</f>
        <v/>
      </c>
      <c r="K1212" s="12">
        <f>IF(OR($S1212="",$J1212="",$T1212="",$T1212&lt;0,$T1212&gt;228,$Y1212=""),"—",ROUND(IF(ABS($AB1212)&lt;=3,$AB1212,IF($AB1212&gt;3,3+($J1212-$AD1212)/($AD1212-$AC1212),-3+($J1212-$AF1212)/($AE1212-$AF1212))),2))</f>
        <v/>
      </c>
      <c r="L1212">
        <f>IF(OR($K1212="",$K1212="—"),"",IF($T1212&lt;=60,IF($K1212&lt;-3,"Magreza acentuada",IF($K1212&lt;-2,"Magreza",IF($K1212&lt;=1,"Eutrofia",IF($K1212&lt;=2,"Risco de sobrepeso",IF($K1212&lt;=3,"Sobrepeso","Obesidade"))))),IF($K1212&lt;-3,"Magreza acentuada",IF($K1212&lt;-2,"Magreza",IF($K1212&lt;=1,"Eutrofia",IF($K1212&lt;=2,"Sobrepeso",IF($K1212&lt;=3,"Obesidade","Obesidade grave")))))))</f>
        <v/>
      </c>
      <c r="M1212" s="12">
        <f>IF(OR($S1212="",$V1212="",$T1212="",$T1212&lt;0,$T1212&gt;228,$AG1212=""),"—",ROUND(IF($AG1212=0,LN($V1212/$AH1212)/$AI1212,((($V1212/$AH1212)^$AG1212)-1)/($AG1212*$AI1212)),2))</f>
        <v/>
      </c>
      <c r="N1212">
        <f>IF(OR($M1212="",$M1212="—"),"",IF($M1212&lt;-3,"Muito baixa",IF($M1212&lt;-2,"Baixa","Adequada")))</f>
        <v/>
      </c>
      <c r="O1212" s="12">
        <f>IF(OR($S1212="",$F1212="",$T1212="",$T1212&lt;0,$T1212&gt;120,$AJ1212=""),"—",ROUND(IF(ABS($AM1212)&lt;=3,$AM1212,IF($AM1212&gt;3,3+($F1212-$AO1212)/($AO1212-$AN1212),-3+($F1212-$AQ1212)/($AP1212-$AQ1212))),2))</f>
        <v/>
      </c>
      <c r="P1212">
        <f>IF(OR($O1212="",$O1212="—"),"",IF($O1212&lt;-3,"Muito baixo",IF($O1212&lt;-2,"Baixo",IF($O1212&lt;=2,"Adequado","Elevado"))))</f>
        <v/>
      </c>
      <c r="Q1212" s="12">
        <f>IF(OR($S1212="",$F1212="",$T1212="",$T1212&lt;0,$T1212&gt;60,$AR1212=""),"—",ROUND(IF(ABS($AU1212)&lt;=3,$AU1212,IF($AU1212&gt;3,3+($F1212-$AW1212)/($AW1212-$AV1212),-3+($F1212-$AY1212)/($AX1212-$AY1212))),2))</f>
        <v/>
      </c>
      <c r="R1212">
        <f>IF(OR($Q1212="",$Q1212="—"),"",IF($Q1212&lt;-3,"Magreza acentuada",IF($Q1212&lt;-2,"Magreza",IF($Q1212&lt;=1,"Eutrofia",IF($Q1212&lt;=2,"Risco de sobrepeso",IF($Q1212&lt;=3,"Sobrepeso","Obesidade"))))))</f>
        <v/>
      </c>
      <c r="S1212">
        <f>IF($C1212="","",IF(UPPER(LEFT($C1212,1))="M",1,IF(UPPER(LEFT($C1212,1))="F",2,"")))</f>
        <v/>
      </c>
      <c r="T1212">
        <f>IF(OR($D1212="",$E1212=""),"",DATEDIF($D1212,$E1212,"m"))</f>
        <v/>
      </c>
      <c r="U1212">
        <f>IF(OR($D1212="",$E1212=""),"",$E1212-$D1212)</f>
        <v/>
      </c>
      <c r="V1212">
        <f>IF(OR($G1212="",$T1212=""),"",IF($T1212&lt;24,IF(LEFT(LOWER($H1212),4)="em p",$G1212+0.7,$G1212),IF(LEFT(LOWER($H1212),4)="deit",$G1212-0.7,$G1212)))</f>
        <v/>
      </c>
      <c r="W1212">
        <f>IF(OR($S1212="",$T1212=""),"",$S1212*1000000+IF($T1212&lt;=60,$U1212,$T1212))</f>
        <v/>
      </c>
      <c r="X1212">
        <f>IF(OR($S1212="",$V1212="",$T1212&gt;60,$T1212=""),"",$S1212*1000000+ROUND($V1212*10,0))</f>
        <v/>
      </c>
      <c r="Y1212">
        <f>IF($W1212="","",IFERROR(INDEX(IF($T1212&lt;=60,imc05_l,imc519_l),MATCH($W1212,IF($T1212&lt;=60,imc05_k,imc519_k),1)),""))</f>
        <v/>
      </c>
      <c r="Z1212">
        <f>IF($W1212="","",IFERROR(INDEX(IF($T1212&lt;=60,imc05_m,imc519_m),MATCH($W1212,IF($T1212&lt;=60,imc05_k,imc519_k),1)),""))</f>
        <v/>
      </c>
      <c r="AA1212">
        <f>IF($W1212="","",IFERROR(INDEX(IF($T1212&lt;=60,imc05_s,imc519_s),MATCH($W1212,IF($T1212&lt;=60,imc05_k,imc519_k),1)),""))</f>
        <v/>
      </c>
      <c r="AB1212">
        <f>IF($Y1212="","",IF($Y1212=0,LN($J1212/$Z1212)/$AA1212,((($J1212/$Z1212)^$Y1212)-1)/($Y1212*$AA1212)))</f>
        <v/>
      </c>
      <c r="AC1212">
        <f>IF($Y1212="","",IF($Y1212=0,$Z1212*EXP($AA1212*2),$Z1212*(1+$Y1212*$AA1212*2)^(1/$Y1212)))</f>
        <v/>
      </c>
      <c r="AD1212">
        <f>IF($Y1212="","",IF($Y1212=0,$Z1212*EXP($AA1212*3),$Z1212*(1+$Y1212*$AA1212*3)^(1/$Y1212)))</f>
        <v/>
      </c>
      <c r="AE1212">
        <f>IF($Y1212="","",IF($Y1212=0,$Z1212*EXP($AA1212*-2),$Z1212*(1+$Y1212*$AA1212*-2)^(1/$Y1212)))</f>
        <v/>
      </c>
      <c r="AF1212">
        <f>IF($Y1212="","",IF($Y1212=0,$Z1212*EXP($AA1212*-3),$Z1212*(1+$Y1212*$AA1212*-3)^(1/$Y1212)))</f>
        <v/>
      </c>
      <c r="AG1212">
        <f>IF($W1212="","",IFERROR(INDEX(IF($T1212&lt;=60,est05_l,est519_l),MATCH($W1212,IF($T1212&lt;=60,est05_k,est519_k),1)),""))</f>
        <v/>
      </c>
      <c r="AH1212">
        <f>IF($W1212="","",IFERROR(INDEX(IF($T1212&lt;=60,est05_m,est519_m),MATCH($W1212,IF($T1212&lt;=60,est05_k,est519_k),1)),""))</f>
        <v/>
      </c>
      <c r="AI1212">
        <f>IF($W1212="","",IFERROR(INDEX(IF($T1212&lt;=60,est05_s,est519_s),MATCH($W1212,IF($T1212&lt;=60,est05_k,est519_k),1)),""))</f>
        <v/>
      </c>
      <c r="AJ1212">
        <f>IF($W1212="","",IFERROR(INDEX(IF($T1212&lt;=60,peso05_l,peso510_l),MATCH($W1212,IF($T1212&lt;=60,peso05_k,peso510_k),1)),""))</f>
        <v/>
      </c>
      <c r="AK1212">
        <f>IF($W1212="","",IFERROR(INDEX(IF($T1212&lt;=60,peso05_m,peso510_m),MATCH($W1212,IF($T1212&lt;=60,peso05_k,peso510_k),1)),""))</f>
        <v/>
      </c>
      <c r="AL1212">
        <f>IF($W1212="","",IFERROR(INDEX(IF($T1212&lt;=60,peso05_s,peso510_s),MATCH($W1212,IF($T1212&lt;=60,peso05_k,peso510_k),1)),""))</f>
        <v/>
      </c>
      <c r="AM1212">
        <f>IF($AJ1212="","",IF($AJ1212=0,LN($F1212/$AK1212)/$AL1212,((($F1212/$AK1212)^$AJ1212)-1)/($AJ1212*$AL1212)))</f>
        <v/>
      </c>
      <c r="AN1212">
        <f>IF($AJ1212="","",IF($AJ1212=0,$AK1212*EXP($AL1212*2),$AK1212*(1+$AJ1212*$AL1212*2)^(1/$AJ1212)))</f>
        <v/>
      </c>
      <c r="AO1212">
        <f>IF($AJ1212="","",IF($AJ1212=0,$AK1212*EXP($AL1212*3),$AK1212*(1+$AJ1212*$AL1212*3)^(1/$AJ1212)))</f>
        <v/>
      </c>
      <c r="AP1212">
        <f>IF($AJ1212="","",IF($AJ1212=0,$AK1212*EXP($AL1212*-2),$AK1212*(1+$AJ1212*$AL1212*-2)^(1/$AJ1212)))</f>
        <v/>
      </c>
      <c r="AQ1212">
        <f>IF($AJ1212="","",IF($AJ1212=0,$AK1212*EXP($AL1212*-3),$AK1212*(1+$AJ1212*$AL1212*-3)^(1/$AJ1212)))</f>
        <v/>
      </c>
      <c r="AR1212">
        <f>IF(OR($X1212="",$T1212&gt;60),"",IFERROR(INDEX(IF($T1212&lt;24,pcomp_l,palt_l),MATCH($X1212,IF($T1212&lt;24,pcomp_k,palt_k),1)),""))</f>
        <v/>
      </c>
      <c r="AS1212">
        <f>IF(OR($X1212="",$T1212&gt;60),"",IFERROR(INDEX(IF($T1212&lt;24,pcomp_m,palt_m),MATCH($X1212,IF($T1212&lt;24,pcomp_k,palt_k),1)),""))</f>
        <v/>
      </c>
      <c r="AT1212">
        <f>IF(OR($X1212="",$T1212&gt;60),"",IFERROR(INDEX(IF($T1212&lt;24,pcomp_s,palt_s),MATCH($X1212,IF($T1212&lt;24,pcomp_k,palt_k),1)),""))</f>
        <v/>
      </c>
      <c r="AU1212">
        <f>IF($AR1212="","",IF($AR1212=0,LN($F1212/$AS1212)/$AT1212,((($F1212/$AS1212)^$AR1212)-1)/($AR1212*$AT1212)))</f>
        <v/>
      </c>
      <c r="AV1212">
        <f>IF($AR1212="","",IF($AR1212=0,$AS1212*EXP($AT1212*2),$AS1212*(1+$AR1212*$AT1212*2)^(1/$AR1212)))</f>
        <v/>
      </c>
      <c r="AW1212">
        <f>IF($AR1212="","",IF($AR1212=0,$AS1212*EXP($AT1212*3),$AS1212*(1+$AR1212*$AT1212*3)^(1/$AR1212)))</f>
        <v/>
      </c>
      <c r="AX1212">
        <f>IF($AR1212="","",IF($AR1212=0,$AS1212*EXP($AT1212*-2),$AS1212*(1+$AR1212*$AT1212*-2)^(1/$AR1212)))</f>
        <v/>
      </c>
      <c r="AY1212">
        <f>IF($AR1212="","",IF($AR1212=0,$AS1212*EXP($AT1212*-3),$AS1212*(1+$AR1212*$AT1212*-3)^(1/$AR1212)))</f>
        <v/>
      </c>
      <c r="AZ1212">
        <f>IF(OR($A1212="",$A1212&lt;&gt;Ficha!$C$4),"",COUNTIF($A$2:$A1212,Ficha!$C$4))</f>
        <v/>
      </c>
    </row>
    <row r="1213">
      <c r="A1213" s="8">
        <f>IF(INDEX(Banco!$A:$A,ROW())="","",INDEX(Banco!$A:$A,ROW()))</f>
        <v/>
      </c>
      <c r="B1213" s="8">
        <f>IF(INDEX(Banco!$B:$B,ROW())="","",INDEX(Banco!$B:$B,ROW()))</f>
        <v/>
      </c>
      <c r="C1213" s="8">
        <f>IF(INDEX(Banco!$C:$C,ROW())="","",INDEX(Banco!$C:$C,ROW()))</f>
        <v/>
      </c>
      <c r="D1213" s="9">
        <f>IF(INDEX(Banco!$D:$D,ROW())="","",INDEX(Banco!$D:$D,ROW()))</f>
        <v/>
      </c>
      <c r="E1213" s="9">
        <f>IF(INDEX(Banco!$E:$E,ROW())="","",INDEX(Banco!$E:$E,ROW()))</f>
        <v/>
      </c>
      <c r="F1213" s="10">
        <f>IF(INDEX(Banco!$F:$F,ROW())="","",INDEX(Banco!$F:$F,ROW()))</f>
        <v/>
      </c>
      <c r="G1213" s="10">
        <f>IF(INDEX(Banco!$G:$G,ROW())="","",INDEX(Banco!$G:$G,ROW()))</f>
        <v/>
      </c>
      <c r="H1213" s="8">
        <f>IF(INDEX(Banco!$H:$H,ROW())="","",INDEX(Banco!$H:$H,ROW()))</f>
        <v/>
      </c>
      <c r="I1213">
        <f>IF($T1213="","",INT($T1213/12)&amp;"a "&amp;MOD($T1213,12)&amp;"m")</f>
        <v/>
      </c>
      <c r="J1213" s="11">
        <f>IF(OR($F1213="",$G1213=""),"",ROUND($F1213/($G1213/100)^2,2))</f>
        <v/>
      </c>
      <c r="K1213" s="12">
        <f>IF(OR($S1213="",$J1213="",$T1213="",$T1213&lt;0,$T1213&gt;228,$Y1213=""),"—",ROUND(IF(ABS($AB1213)&lt;=3,$AB1213,IF($AB1213&gt;3,3+($J1213-$AD1213)/($AD1213-$AC1213),-3+($J1213-$AF1213)/($AE1213-$AF1213))),2))</f>
        <v/>
      </c>
      <c r="L1213">
        <f>IF(OR($K1213="",$K1213="—"),"",IF($T1213&lt;=60,IF($K1213&lt;-3,"Magreza acentuada",IF($K1213&lt;-2,"Magreza",IF($K1213&lt;=1,"Eutrofia",IF($K1213&lt;=2,"Risco de sobrepeso",IF($K1213&lt;=3,"Sobrepeso","Obesidade"))))),IF($K1213&lt;-3,"Magreza acentuada",IF($K1213&lt;-2,"Magreza",IF($K1213&lt;=1,"Eutrofia",IF($K1213&lt;=2,"Sobrepeso",IF($K1213&lt;=3,"Obesidade","Obesidade grave")))))))</f>
        <v/>
      </c>
      <c r="M1213" s="12">
        <f>IF(OR($S1213="",$V1213="",$T1213="",$T1213&lt;0,$T1213&gt;228,$AG1213=""),"—",ROUND(IF($AG1213=0,LN($V1213/$AH1213)/$AI1213,((($V1213/$AH1213)^$AG1213)-1)/($AG1213*$AI1213)),2))</f>
        <v/>
      </c>
      <c r="N1213">
        <f>IF(OR($M1213="",$M1213="—"),"",IF($M1213&lt;-3,"Muito baixa",IF($M1213&lt;-2,"Baixa","Adequada")))</f>
        <v/>
      </c>
      <c r="O1213" s="12">
        <f>IF(OR($S1213="",$F1213="",$T1213="",$T1213&lt;0,$T1213&gt;120,$AJ1213=""),"—",ROUND(IF(ABS($AM1213)&lt;=3,$AM1213,IF($AM1213&gt;3,3+($F1213-$AO1213)/($AO1213-$AN1213),-3+($F1213-$AQ1213)/($AP1213-$AQ1213))),2))</f>
        <v/>
      </c>
      <c r="P1213">
        <f>IF(OR($O1213="",$O1213="—"),"",IF($O1213&lt;-3,"Muito baixo",IF($O1213&lt;-2,"Baixo",IF($O1213&lt;=2,"Adequado","Elevado"))))</f>
        <v/>
      </c>
      <c r="Q1213" s="12">
        <f>IF(OR($S1213="",$F1213="",$T1213="",$T1213&lt;0,$T1213&gt;60,$AR1213=""),"—",ROUND(IF(ABS($AU1213)&lt;=3,$AU1213,IF($AU1213&gt;3,3+($F1213-$AW1213)/($AW1213-$AV1213),-3+($F1213-$AY1213)/($AX1213-$AY1213))),2))</f>
        <v/>
      </c>
      <c r="R1213">
        <f>IF(OR($Q1213="",$Q1213="—"),"",IF($Q1213&lt;-3,"Magreza acentuada",IF($Q1213&lt;-2,"Magreza",IF($Q1213&lt;=1,"Eutrofia",IF($Q1213&lt;=2,"Risco de sobrepeso",IF($Q1213&lt;=3,"Sobrepeso","Obesidade"))))))</f>
        <v/>
      </c>
      <c r="S1213">
        <f>IF($C1213="","",IF(UPPER(LEFT($C1213,1))="M",1,IF(UPPER(LEFT($C1213,1))="F",2,"")))</f>
        <v/>
      </c>
      <c r="T1213">
        <f>IF(OR($D1213="",$E1213=""),"",DATEDIF($D1213,$E1213,"m"))</f>
        <v/>
      </c>
      <c r="U1213">
        <f>IF(OR($D1213="",$E1213=""),"",$E1213-$D1213)</f>
        <v/>
      </c>
      <c r="V1213">
        <f>IF(OR($G1213="",$T1213=""),"",IF($T1213&lt;24,IF(LEFT(LOWER($H1213),4)="em p",$G1213+0.7,$G1213),IF(LEFT(LOWER($H1213),4)="deit",$G1213-0.7,$G1213)))</f>
        <v/>
      </c>
      <c r="W1213">
        <f>IF(OR($S1213="",$T1213=""),"",$S1213*1000000+IF($T1213&lt;=60,$U1213,$T1213))</f>
        <v/>
      </c>
      <c r="X1213">
        <f>IF(OR($S1213="",$V1213="",$T1213&gt;60,$T1213=""),"",$S1213*1000000+ROUND($V1213*10,0))</f>
        <v/>
      </c>
      <c r="Y1213">
        <f>IF($W1213="","",IFERROR(INDEX(IF($T1213&lt;=60,imc05_l,imc519_l),MATCH($W1213,IF($T1213&lt;=60,imc05_k,imc519_k),1)),""))</f>
        <v/>
      </c>
      <c r="Z1213">
        <f>IF($W1213="","",IFERROR(INDEX(IF($T1213&lt;=60,imc05_m,imc519_m),MATCH($W1213,IF($T1213&lt;=60,imc05_k,imc519_k),1)),""))</f>
        <v/>
      </c>
      <c r="AA1213">
        <f>IF($W1213="","",IFERROR(INDEX(IF($T1213&lt;=60,imc05_s,imc519_s),MATCH($W1213,IF($T1213&lt;=60,imc05_k,imc519_k),1)),""))</f>
        <v/>
      </c>
      <c r="AB1213">
        <f>IF($Y1213="","",IF($Y1213=0,LN($J1213/$Z1213)/$AA1213,((($J1213/$Z1213)^$Y1213)-1)/($Y1213*$AA1213)))</f>
        <v/>
      </c>
      <c r="AC1213">
        <f>IF($Y1213="","",IF($Y1213=0,$Z1213*EXP($AA1213*2),$Z1213*(1+$Y1213*$AA1213*2)^(1/$Y1213)))</f>
        <v/>
      </c>
      <c r="AD1213">
        <f>IF($Y1213="","",IF($Y1213=0,$Z1213*EXP($AA1213*3),$Z1213*(1+$Y1213*$AA1213*3)^(1/$Y1213)))</f>
        <v/>
      </c>
      <c r="AE1213">
        <f>IF($Y1213="","",IF($Y1213=0,$Z1213*EXP($AA1213*-2),$Z1213*(1+$Y1213*$AA1213*-2)^(1/$Y1213)))</f>
        <v/>
      </c>
      <c r="AF1213">
        <f>IF($Y1213="","",IF($Y1213=0,$Z1213*EXP($AA1213*-3),$Z1213*(1+$Y1213*$AA1213*-3)^(1/$Y1213)))</f>
        <v/>
      </c>
      <c r="AG1213">
        <f>IF($W1213="","",IFERROR(INDEX(IF($T1213&lt;=60,est05_l,est519_l),MATCH($W1213,IF($T1213&lt;=60,est05_k,est519_k),1)),""))</f>
        <v/>
      </c>
      <c r="AH1213">
        <f>IF($W1213="","",IFERROR(INDEX(IF($T1213&lt;=60,est05_m,est519_m),MATCH($W1213,IF($T1213&lt;=60,est05_k,est519_k),1)),""))</f>
        <v/>
      </c>
      <c r="AI1213">
        <f>IF($W1213="","",IFERROR(INDEX(IF($T1213&lt;=60,est05_s,est519_s),MATCH($W1213,IF($T1213&lt;=60,est05_k,est519_k),1)),""))</f>
        <v/>
      </c>
      <c r="AJ1213">
        <f>IF($W1213="","",IFERROR(INDEX(IF($T1213&lt;=60,peso05_l,peso510_l),MATCH($W1213,IF($T1213&lt;=60,peso05_k,peso510_k),1)),""))</f>
        <v/>
      </c>
      <c r="AK1213">
        <f>IF($W1213="","",IFERROR(INDEX(IF($T1213&lt;=60,peso05_m,peso510_m),MATCH($W1213,IF($T1213&lt;=60,peso05_k,peso510_k),1)),""))</f>
        <v/>
      </c>
      <c r="AL1213">
        <f>IF($W1213="","",IFERROR(INDEX(IF($T1213&lt;=60,peso05_s,peso510_s),MATCH($W1213,IF($T1213&lt;=60,peso05_k,peso510_k),1)),""))</f>
        <v/>
      </c>
      <c r="AM1213">
        <f>IF($AJ1213="","",IF($AJ1213=0,LN($F1213/$AK1213)/$AL1213,((($F1213/$AK1213)^$AJ1213)-1)/($AJ1213*$AL1213)))</f>
        <v/>
      </c>
      <c r="AN1213">
        <f>IF($AJ1213="","",IF($AJ1213=0,$AK1213*EXP($AL1213*2),$AK1213*(1+$AJ1213*$AL1213*2)^(1/$AJ1213)))</f>
        <v/>
      </c>
      <c r="AO1213">
        <f>IF($AJ1213="","",IF($AJ1213=0,$AK1213*EXP($AL1213*3),$AK1213*(1+$AJ1213*$AL1213*3)^(1/$AJ1213)))</f>
        <v/>
      </c>
      <c r="AP1213">
        <f>IF($AJ1213="","",IF($AJ1213=0,$AK1213*EXP($AL1213*-2),$AK1213*(1+$AJ1213*$AL1213*-2)^(1/$AJ1213)))</f>
        <v/>
      </c>
      <c r="AQ1213">
        <f>IF($AJ1213="","",IF($AJ1213=0,$AK1213*EXP($AL1213*-3),$AK1213*(1+$AJ1213*$AL1213*-3)^(1/$AJ1213)))</f>
        <v/>
      </c>
      <c r="AR1213">
        <f>IF(OR($X1213="",$T1213&gt;60),"",IFERROR(INDEX(IF($T1213&lt;24,pcomp_l,palt_l),MATCH($X1213,IF($T1213&lt;24,pcomp_k,palt_k),1)),""))</f>
        <v/>
      </c>
      <c r="AS1213">
        <f>IF(OR($X1213="",$T1213&gt;60),"",IFERROR(INDEX(IF($T1213&lt;24,pcomp_m,palt_m),MATCH($X1213,IF($T1213&lt;24,pcomp_k,palt_k),1)),""))</f>
        <v/>
      </c>
      <c r="AT1213">
        <f>IF(OR($X1213="",$T1213&gt;60),"",IFERROR(INDEX(IF($T1213&lt;24,pcomp_s,palt_s),MATCH($X1213,IF($T1213&lt;24,pcomp_k,palt_k),1)),""))</f>
        <v/>
      </c>
      <c r="AU1213">
        <f>IF($AR1213="","",IF($AR1213=0,LN($F1213/$AS1213)/$AT1213,((($F1213/$AS1213)^$AR1213)-1)/($AR1213*$AT1213)))</f>
        <v/>
      </c>
      <c r="AV1213">
        <f>IF($AR1213="","",IF($AR1213=0,$AS1213*EXP($AT1213*2),$AS1213*(1+$AR1213*$AT1213*2)^(1/$AR1213)))</f>
        <v/>
      </c>
      <c r="AW1213">
        <f>IF($AR1213="","",IF($AR1213=0,$AS1213*EXP($AT1213*3),$AS1213*(1+$AR1213*$AT1213*3)^(1/$AR1213)))</f>
        <v/>
      </c>
      <c r="AX1213">
        <f>IF($AR1213="","",IF($AR1213=0,$AS1213*EXP($AT1213*-2),$AS1213*(1+$AR1213*$AT1213*-2)^(1/$AR1213)))</f>
        <v/>
      </c>
      <c r="AY1213">
        <f>IF($AR1213="","",IF($AR1213=0,$AS1213*EXP($AT1213*-3),$AS1213*(1+$AR1213*$AT1213*-3)^(1/$AR1213)))</f>
        <v/>
      </c>
      <c r="AZ1213">
        <f>IF(OR($A1213="",$A1213&lt;&gt;Ficha!$C$4),"",COUNTIF($A$2:$A1213,Ficha!$C$4))</f>
        <v/>
      </c>
    </row>
    <row r="1214">
      <c r="A1214" s="8">
        <f>IF(INDEX(Banco!$A:$A,ROW())="","",INDEX(Banco!$A:$A,ROW()))</f>
        <v/>
      </c>
      <c r="B1214" s="8">
        <f>IF(INDEX(Banco!$B:$B,ROW())="","",INDEX(Banco!$B:$B,ROW()))</f>
        <v/>
      </c>
      <c r="C1214" s="8">
        <f>IF(INDEX(Banco!$C:$C,ROW())="","",INDEX(Banco!$C:$C,ROW()))</f>
        <v/>
      </c>
      <c r="D1214" s="9">
        <f>IF(INDEX(Banco!$D:$D,ROW())="","",INDEX(Banco!$D:$D,ROW()))</f>
        <v/>
      </c>
      <c r="E1214" s="9">
        <f>IF(INDEX(Banco!$E:$E,ROW())="","",INDEX(Banco!$E:$E,ROW()))</f>
        <v/>
      </c>
      <c r="F1214" s="10">
        <f>IF(INDEX(Banco!$F:$F,ROW())="","",INDEX(Banco!$F:$F,ROW()))</f>
        <v/>
      </c>
      <c r="G1214" s="10">
        <f>IF(INDEX(Banco!$G:$G,ROW())="","",INDEX(Banco!$G:$G,ROW()))</f>
        <v/>
      </c>
      <c r="H1214" s="8">
        <f>IF(INDEX(Banco!$H:$H,ROW())="","",INDEX(Banco!$H:$H,ROW()))</f>
        <v/>
      </c>
      <c r="I1214">
        <f>IF($T1214="","",INT($T1214/12)&amp;"a "&amp;MOD($T1214,12)&amp;"m")</f>
        <v/>
      </c>
      <c r="J1214" s="11">
        <f>IF(OR($F1214="",$G1214=""),"",ROUND($F1214/($G1214/100)^2,2))</f>
        <v/>
      </c>
      <c r="K1214" s="12">
        <f>IF(OR($S1214="",$J1214="",$T1214="",$T1214&lt;0,$T1214&gt;228,$Y1214=""),"—",ROUND(IF(ABS($AB1214)&lt;=3,$AB1214,IF($AB1214&gt;3,3+($J1214-$AD1214)/($AD1214-$AC1214),-3+($J1214-$AF1214)/($AE1214-$AF1214))),2))</f>
        <v/>
      </c>
      <c r="L1214">
        <f>IF(OR($K1214="",$K1214="—"),"",IF($T1214&lt;=60,IF($K1214&lt;-3,"Magreza acentuada",IF($K1214&lt;-2,"Magreza",IF($K1214&lt;=1,"Eutrofia",IF($K1214&lt;=2,"Risco de sobrepeso",IF($K1214&lt;=3,"Sobrepeso","Obesidade"))))),IF($K1214&lt;-3,"Magreza acentuada",IF($K1214&lt;-2,"Magreza",IF($K1214&lt;=1,"Eutrofia",IF($K1214&lt;=2,"Sobrepeso",IF($K1214&lt;=3,"Obesidade","Obesidade grave")))))))</f>
        <v/>
      </c>
      <c r="M1214" s="12">
        <f>IF(OR($S1214="",$V1214="",$T1214="",$T1214&lt;0,$T1214&gt;228,$AG1214=""),"—",ROUND(IF($AG1214=0,LN($V1214/$AH1214)/$AI1214,((($V1214/$AH1214)^$AG1214)-1)/($AG1214*$AI1214)),2))</f>
        <v/>
      </c>
      <c r="N1214">
        <f>IF(OR($M1214="",$M1214="—"),"",IF($M1214&lt;-3,"Muito baixa",IF($M1214&lt;-2,"Baixa","Adequada")))</f>
        <v/>
      </c>
      <c r="O1214" s="12">
        <f>IF(OR($S1214="",$F1214="",$T1214="",$T1214&lt;0,$T1214&gt;120,$AJ1214=""),"—",ROUND(IF(ABS($AM1214)&lt;=3,$AM1214,IF($AM1214&gt;3,3+($F1214-$AO1214)/($AO1214-$AN1214),-3+($F1214-$AQ1214)/($AP1214-$AQ1214))),2))</f>
        <v/>
      </c>
      <c r="P1214">
        <f>IF(OR($O1214="",$O1214="—"),"",IF($O1214&lt;-3,"Muito baixo",IF($O1214&lt;-2,"Baixo",IF($O1214&lt;=2,"Adequado","Elevado"))))</f>
        <v/>
      </c>
      <c r="Q1214" s="12">
        <f>IF(OR($S1214="",$F1214="",$T1214="",$T1214&lt;0,$T1214&gt;60,$AR1214=""),"—",ROUND(IF(ABS($AU1214)&lt;=3,$AU1214,IF($AU1214&gt;3,3+($F1214-$AW1214)/($AW1214-$AV1214),-3+($F1214-$AY1214)/($AX1214-$AY1214))),2))</f>
        <v/>
      </c>
      <c r="R1214">
        <f>IF(OR($Q1214="",$Q1214="—"),"",IF($Q1214&lt;-3,"Magreza acentuada",IF($Q1214&lt;-2,"Magreza",IF($Q1214&lt;=1,"Eutrofia",IF($Q1214&lt;=2,"Risco de sobrepeso",IF($Q1214&lt;=3,"Sobrepeso","Obesidade"))))))</f>
        <v/>
      </c>
      <c r="S1214">
        <f>IF($C1214="","",IF(UPPER(LEFT($C1214,1))="M",1,IF(UPPER(LEFT($C1214,1))="F",2,"")))</f>
        <v/>
      </c>
      <c r="T1214">
        <f>IF(OR($D1214="",$E1214=""),"",DATEDIF($D1214,$E1214,"m"))</f>
        <v/>
      </c>
      <c r="U1214">
        <f>IF(OR($D1214="",$E1214=""),"",$E1214-$D1214)</f>
        <v/>
      </c>
      <c r="V1214">
        <f>IF(OR($G1214="",$T1214=""),"",IF($T1214&lt;24,IF(LEFT(LOWER($H1214),4)="em p",$G1214+0.7,$G1214),IF(LEFT(LOWER($H1214),4)="deit",$G1214-0.7,$G1214)))</f>
        <v/>
      </c>
      <c r="W1214">
        <f>IF(OR($S1214="",$T1214=""),"",$S1214*1000000+IF($T1214&lt;=60,$U1214,$T1214))</f>
        <v/>
      </c>
      <c r="X1214">
        <f>IF(OR($S1214="",$V1214="",$T1214&gt;60,$T1214=""),"",$S1214*1000000+ROUND($V1214*10,0))</f>
        <v/>
      </c>
      <c r="Y1214">
        <f>IF($W1214="","",IFERROR(INDEX(IF($T1214&lt;=60,imc05_l,imc519_l),MATCH($W1214,IF($T1214&lt;=60,imc05_k,imc519_k),1)),""))</f>
        <v/>
      </c>
      <c r="Z1214">
        <f>IF($W1214="","",IFERROR(INDEX(IF($T1214&lt;=60,imc05_m,imc519_m),MATCH($W1214,IF($T1214&lt;=60,imc05_k,imc519_k),1)),""))</f>
        <v/>
      </c>
      <c r="AA1214">
        <f>IF($W1214="","",IFERROR(INDEX(IF($T1214&lt;=60,imc05_s,imc519_s),MATCH($W1214,IF($T1214&lt;=60,imc05_k,imc519_k),1)),""))</f>
        <v/>
      </c>
      <c r="AB1214">
        <f>IF($Y1214="","",IF($Y1214=0,LN($J1214/$Z1214)/$AA1214,((($J1214/$Z1214)^$Y1214)-1)/($Y1214*$AA1214)))</f>
        <v/>
      </c>
      <c r="AC1214">
        <f>IF($Y1214="","",IF($Y1214=0,$Z1214*EXP($AA1214*2),$Z1214*(1+$Y1214*$AA1214*2)^(1/$Y1214)))</f>
        <v/>
      </c>
      <c r="AD1214">
        <f>IF($Y1214="","",IF($Y1214=0,$Z1214*EXP($AA1214*3),$Z1214*(1+$Y1214*$AA1214*3)^(1/$Y1214)))</f>
        <v/>
      </c>
      <c r="AE1214">
        <f>IF($Y1214="","",IF($Y1214=0,$Z1214*EXP($AA1214*-2),$Z1214*(1+$Y1214*$AA1214*-2)^(1/$Y1214)))</f>
        <v/>
      </c>
      <c r="AF1214">
        <f>IF($Y1214="","",IF($Y1214=0,$Z1214*EXP($AA1214*-3),$Z1214*(1+$Y1214*$AA1214*-3)^(1/$Y1214)))</f>
        <v/>
      </c>
      <c r="AG1214">
        <f>IF($W1214="","",IFERROR(INDEX(IF($T1214&lt;=60,est05_l,est519_l),MATCH($W1214,IF($T1214&lt;=60,est05_k,est519_k),1)),""))</f>
        <v/>
      </c>
      <c r="AH1214">
        <f>IF($W1214="","",IFERROR(INDEX(IF($T1214&lt;=60,est05_m,est519_m),MATCH($W1214,IF($T1214&lt;=60,est05_k,est519_k),1)),""))</f>
        <v/>
      </c>
      <c r="AI1214">
        <f>IF($W1214="","",IFERROR(INDEX(IF($T1214&lt;=60,est05_s,est519_s),MATCH($W1214,IF($T1214&lt;=60,est05_k,est519_k),1)),""))</f>
        <v/>
      </c>
      <c r="AJ1214">
        <f>IF($W1214="","",IFERROR(INDEX(IF($T1214&lt;=60,peso05_l,peso510_l),MATCH($W1214,IF($T1214&lt;=60,peso05_k,peso510_k),1)),""))</f>
        <v/>
      </c>
      <c r="AK1214">
        <f>IF($W1214="","",IFERROR(INDEX(IF($T1214&lt;=60,peso05_m,peso510_m),MATCH($W1214,IF($T1214&lt;=60,peso05_k,peso510_k),1)),""))</f>
        <v/>
      </c>
      <c r="AL1214">
        <f>IF($W1214="","",IFERROR(INDEX(IF($T1214&lt;=60,peso05_s,peso510_s),MATCH($W1214,IF($T1214&lt;=60,peso05_k,peso510_k),1)),""))</f>
        <v/>
      </c>
      <c r="AM1214">
        <f>IF($AJ1214="","",IF($AJ1214=0,LN($F1214/$AK1214)/$AL1214,((($F1214/$AK1214)^$AJ1214)-1)/($AJ1214*$AL1214)))</f>
        <v/>
      </c>
      <c r="AN1214">
        <f>IF($AJ1214="","",IF($AJ1214=0,$AK1214*EXP($AL1214*2),$AK1214*(1+$AJ1214*$AL1214*2)^(1/$AJ1214)))</f>
        <v/>
      </c>
      <c r="AO1214">
        <f>IF($AJ1214="","",IF($AJ1214=0,$AK1214*EXP($AL1214*3),$AK1214*(1+$AJ1214*$AL1214*3)^(1/$AJ1214)))</f>
        <v/>
      </c>
      <c r="AP1214">
        <f>IF($AJ1214="","",IF($AJ1214=0,$AK1214*EXP($AL1214*-2),$AK1214*(1+$AJ1214*$AL1214*-2)^(1/$AJ1214)))</f>
        <v/>
      </c>
      <c r="AQ1214">
        <f>IF($AJ1214="","",IF($AJ1214=0,$AK1214*EXP($AL1214*-3),$AK1214*(1+$AJ1214*$AL1214*-3)^(1/$AJ1214)))</f>
        <v/>
      </c>
      <c r="AR1214">
        <f>IF(OR($X1214="",$T1214&gt;60),"",IFERROR(INDEX(IF($T1214&lt;24,pcomp_l,palt_l),MATCH($X1214,IF($T1214&lt;24,pcomp_k,palt_k),1)),""))</f>
        <v/>
      </c>
      <c r="AS1214">
        <f>IF(OR($X1214="",$T1214&gt;60),"",IFERROR(INDEX(IF($T1214&lt;24,pcomp_m,palt_m),MATCH($X1214,IF($T1214&lt;24,pcomp_k,palt_k),1)),""))</f>
        <v/>
      </c>
      <c r="AT1214">
        <f>IF(OR($X1214="",$T1214&gt;60),"",IFERROR(INDEX(IF($T1214&lt;24,pcomp_s,palt_s),MATCH($X1214,IF($T1214&lt;24,pcomp_k,palt_k),1)),""))</f>
        <v/>
      </c>
      <c r="AU1214">
        <f>IF($AR1214="","",IF($AR1214=0,LN($F1214/$AS1214)/$AT1214,((($F1214/$AS1214)^$AR1214)-1)/($AR1214*$AT1214)))</f>
        <v/>
      </c>
      <c r="AV1214">
        <f>IF($AR1214="","",IF($AR1214=0,$AS1214*EXP($AT1214*2),$AS1214*(1+$AR1214*$AT1214*2)^(1/$AR1214)))</f>
        <v/>
      </c>
      <c r="AW1214">
        <f>IF($AR1214="","",IF($AR1214=0,$AS1214*EXP($AT1214*3),$AS1214*(1+$AR1214*$AT1214*3)^(1/$AR1214)))</f>
        <v/>
      </c>
      <c r="AX1214">
        <f>IF($AR1214="","",IF($AR1214=0,$AS1214*EXP($AT1214*-2),$AS1214*(1+$AR1214*$AT1214*-2)^(1/$AR1214)))</f>
        <v/>
      </c>
      <c r="AY1214">
        <f>IF($AR1214="","",IF($AR1214=0,$AS1214*EXP($AT1214*-3),$AS1214*(1+$AR1214*$AT1214*-3)^(1/$AR1214)))</f>
        <v/>
      </c>
      <c r="AZ1214">
        <f>IF(OR($A1214="",$A1214&lt;&gt;Ficha!$C$4),"",COUNTIF($A$2:$A1214,Ficha!$C$4))</f>
        <v/>
      </c>
    </row>
    <row r="1215">
      <c r="A1215" s="8">
        <f>IF(INDEX(Banco!$A:$A,ROW())="","",INDEX(Banco!$A:$A,ROW()))</f>
        <v/>
      </c>
      <c r="B1215" s="8">
        <f>IF(INDEX(Banco!$B:$B,ROW())="","",INDEX(Banco!$B:$B,ROW()))</f>
        <v/>
      </c>
      <c r="C1215" s="8">
        <f>IF(INDEX(Banco!$C:$C,ROW())="","",INDEX(Banco!$C:$C,ROW()))</f>
        <v/>
      </c>
      <c r="D1215" s="9">
        <f>IF(INDEX(Banco!$D:$D,ROW())="","",INDEX(Banco!$D:$D,ROW()))</f>
        <v/>
      </c>
      <c r="E1215" s="9">
        <f>IF(INDEX(Banco!$E:$E,ROW())="","",INDEX(Banco!$E:$E,ROW()))</f>
        <v/>
      </c>
      <c r="F1215" s="10">
        <f>IF(INDEX(Banco!$F:$F,ROW())="","",INDEX(Banco!$F:$F,ROW()))</f>
        <v/>
      </c>
      <c r="G1215" s="10">
        <f>IF(INDEX(Banco!$G:$G,ROW())="","",INDEX(Banco!$G:$G,ROW()))</f>
        <v/>
      </c>
      <c r="H1215" s="8">
        <f>IF(INDEX(Banco!$H:$H,ROW())="","",INDEX(Banco!$H:$H,ROW()))</f>
        <v/>
      </c>
      <c r="I1215">
        <f>IF($T1215="","",INT($T1215/12)&amp;"a "&amp;MOD($T1215,12)&amp;"m")</f>
        <v/>
      </c>
      <c r="J1215" s="11">
        <f>IF(OR($F1215="",$G1215=""),"",ROUND($F1215/($G1215/100)^2,2))</f>
        <v/>
      </c>
      <c r="K1215" s="12">
        <f>IF(OR($S1215="",$J1215="",$T1215="",$T1215&lt;0,$T1215&gt;228,$Y1215=""),"—",ROUND(IF(ABS($AB1215)&lt;=3,$AB1215,IF($AB1215&gt;3,3+($J1215-$AD1215)/($AD1215-$AC1215),-3+($J1215-$AF1215)/($AE1215-$AF1215))),2))</f>
        <v/>
      </c>
      <c r="L1215">
        <f>IF(OR($K1215="",$K1215="—"),"",IF($T1215&lt;=60,IF($K1215&lt;-3,"Magreza acentuada",IF($K1215&lt;-2,"Magreza",IF($K1215&lt;=1,"Eutrofia",IF($K1215&lt;=2,"Risco de sobrepeso",IF($K1215&lt;=3,"Sobrepeso","Obesidade"))))),IF($K1215&lt;-3,"Magreza acentuada",IF($K1215&lt;-2,"Magreza",IF($K1215&lt;=1,"Eutrofia",IF($K1215&lt;=2,"Sobrepeso",IF($K1215&lt;=3,"Obesidade","Obesidade grave")))))))</f>
        <v/>
      </c>
      <c r="M1215" s="12">
        <f>IF(OR($S1215="",$V1215="",$T1215="",$T1215&lt;0,$T1215&gt;228,$AG1215=""),"—",ROUND(IF($AG1215=0,LN($V1215/$AH1215)/$AI1215,((($V1215/$AH1215)^$AG1215)-1)/($AG1215*$AI1215)),2))</f>
        <v/>
      </c>
      <c r="N1215">
        <f>IF(OR($M1215="",$M1215="—"),"",IF($M1215&lt;-3,"Muito baixa",IF($M1215&lt;-2,"Baixa","Adequada")))</f>
        <v/>
      </c>
      <c r="O1215" s="12">
        <f>IF(OR($S1215="",$F1215="",$T1215="",$T1215&lt;0,$T1215&gt;120,$AJ1215=""),"—",ROUND(IF(ABS($AM1215)&lt;=3,$AM1215,IF($AM1215&gt;3,3+($F1215-$AO1215)/($AO1215-$AN1215),-3+($F1215-$AQ1215)/($AP1215-$AQ1215))),2))</f>
        <v/>
      </c>
      <c r="P1215">
        <f>IF(OR($O1215="",$O1215="—"),"",IF($O1215&lt;-3,"Muito baixo",IF($O1215&lt;-2,"Baixo",IF($O1215&lt;=2,"Adequado","Elevado"))))</f>
        <v/>
      </c>
      <c r="Q1215" s="12">
        <f>IF(OR($S1215="",$F1215="",$T1215="",$T1215&lt;0,$T1215&gt;60,$AR1215=""),"—",ROUND(IF(ABS($AU1215)&lt;=3,$AU1215,IF($AU1215&gt;3,3+($F1215-$AW1215)/($AW1215-$AV1215),-3+($F1215-$AY1215)/($AX1215-$AY1215))),2))</f>
        <v/>
      </c>
      <c r="R1215">
        <f>IF(OR($Q1215="",$Q1215="—"),"",IF($Q1215&lt;-3,"Magreza acentuada",IF($Q1215&lt;-2,"Magreza",IF($Q1215&lt;=1,"Eutrofia",IF($Q1215&lt;=2,"Risco de sobrepeso",IF($Q1215&lt;=3,"Sobrepeso","Obesidade"))))))</f>
        <v/>
      </c>
      <c r="S1215">
        <f>IF($C1215="","",IF(UPPER(LEFT($C1215,1))="M",1,IF(UPPER(LEFT($C1215,1))="F",2,"")))</f>
        <v/>
      </c>
      <c r="T1215">
        <f>IF(OR($D1215="",$E1215=""),"",DATEDIF($D1215,$E1215,"m"))</f>
        <v/>
      </c>
      <c r="U1215">
        <f>IF(OR($D1215="",$E1215=""),"",$E1215-$D1215)</f>
        <v/>
      </c>
      <c r="V1215">
        <f>IF(OR($G1215="",$T1215=""),"",IF($T1215&lt;24,IF(LEFT(LOWER($H1215),4)="em p",$G1215+0.7,$G1215),IF(LEFT(LOWER($H1215),4)="deit",$G1215-0.7,$G1215)))</f>
        <v/>
      </c>
      <c r="W1215">
        <f>IF(OR($S1215="",$T1215=""),"",$S1215*1000000+IF($T1215&lt;=60,$U1215,$T1215))</f>
        <v/>
      </c>
      <c r="X1215">
        <f>IF(OR($S1215="",$V1215="",$T1215&gt;60,$T1215=""),"",$S1215*1000000+ROUND($V1215*10,0))</f>
        <v/>
      </c>
      <c r="Y1215">
        <f>IF($W1215="","",IFERROR(INDEX(IF($T1215&lt;=60,imc05_l,imc519_l),MATCH($W1215,IF($T1215&lt;=60,imc05_k,imc519_k),1)),""))</f>
        <v/>
      </c>
      <c r="Z1215">
        <f>IF($W1215="","",IFERROR(INDEX(IF($T1215&lt;=60,imc05_m,imc519_m),MATCH($W1215,IF($T1215&lt;=60,imc05_k,imc519_k),1)),""))</f>
        <v/>
      </c>
      <c r="AA1215">
        <f>IF($W1215="","",IFERROR(INDEX(IF($T1215&lt;=60,imc05_s,imc519_s),MATCH($W1215,IF($T1215&lt;=60,imc05_k,imc519_k),1)),""))</f>
        <v/>
      </c>
      <c r="AB1215">
        <f>IF($Y1215="","",IF($Y1215=0,LN($J1215/$Z1215)/$AA1215,((($J1215/$Z1215)^$Y1215)-1)/($Y1215*$AA1215)))</f>
        <v/>
      </c>
      <c r="AC1215">
        <f>IF($Y1215="","",IF($Y1215=0,$Z1215*EXP($AA1215*2),$Z1215*(1+$Y1215*$AA1215*2)^(1/$Y1215)))</f>
        <v/>
      </c>
      <c r="AD1215">
        <f>IF($Y1215="","",IF($Y1215=0,$Z1215*EXP($AA1215*3),$Z1215*(1+$Y1215*$AA1215*3)^(1/$Y1215)))</f>
        <v/>
      </c>
      <c r="AE1215">
        <f>IF($Y1215="","",IF($Y1215=0,$Z1215*EXP($AA1215*-2),$Z1215*(1+$Y1215*$AA1215*-2)^(1/$Y1215)))</f>
        <v/>
      </c>
      <c r="AF1215">
        <f>IF($Y1215="","",IF($Y1215=0,$Z1215*EXP($AA1215*-3),$Z1215*(1+$Y1215*$AA1215*-3)^(1/$Y1215)))</f>
        <v/>
      </c>
      <c r="AG1215">
        <f>IF($W1215="","",IFERROR(INDEX(IF($T1215&lt;=60,est05_l,est519_l),MATCH($W1215,IF($T1215&lt;=60,est05_k,est519_k),1)),""))</f>
        <v/>
      </c>
      <c r="AH1215">
        <f>IF($W1215="","",IFERROR(INDEX(IF($T1215&lt;=60,est05_m,est519_m),MATCH($W1215,IF($T1215&lt;=60,est05_k,est519_k),1)),""))</f>
        <v/>
      </c>
      <c r="AI1215">
        <f>IF($W1215="","",IFERROR(INDEX(IF($T1215&lt;=60,est05_s,est519_s),MATCH($W1215,IF($T1215&lt;=60,est05_k,est519_k),1)),""))</f>
        <v/>
      </c>
      <c r="AJ1215">
        <f>IF($W1215="","",IFERROR(INDEX(IF($T1215&lt;=60,peso05_l,peso510_l),MATCH($W1215,IF($T1215&lt;=60,peso05_k,peso510_k),1)),""))</f>
        <v/>
      </c>
      <c r="AK1215">
        <f>IF($W1215="","",IFERROR(INDEX(IF($T1215&lt;=60,peso05_m,peso510_m),MATCH($W1215,IF($T1215&lt;=60,peso05_k,peso510_k),1)),""))</f>
        <v/>
      </c>
      <c r="AL1215">
        <f>IF($W1215="","",IFERROR(INDEX(IF($T1215&lt;=60,peso05_s,peso510_s),MATCH($W1215,IF($T1215&lt;=60,peso05_k,peso510_k),1)),""))</f>
        <v/>
      </c>
      <c r="AM1215">
        <f>IF($AJ1215="","",IF($AJ1215=0,LN($F1215/$AK1215)/$AL1215,((($F1215/$AK1215)^$AJ1215)-1)/($AJ1215*$AL1215)))</f>
        <v/>
      </c>
      <c r="AN1215">
        <f>IF($AJ1215="","",IF($AJ1215=0,$AK1215*EXP($AL1215*2),$AK1215*(1+$AJ1215*$AL1215*2)^(1/$AJ1215)))</f>
        <v/>
      </c>
      <c r="AO1215">
        <f>IF($AJ1215="","",IF($AJ1215=0,$AK1215*EXP($AL1215*3),$AK1215*(1+$AJ1215*$AL1215*3)^(1/$AJ1215)))</f>
        <v/>
      </c>
      <c r="AP1215">
        <f>IF($AJ1215="","",IF($AJ1215=0,$AK1215*EXP($AL1215*-2),$AK1215*(1+$AJ1215*$AL1215*-2)^(1/$AJ1215)))</f>
        <v/>
      </c>
      <c r="AQ1215">
        <f>IF($AJ1215="","",IF($AJ1215=0,$AK1215*EXP($AL1215*-3),$AK1215*(1+$AJ1215*$AL1215*-3)^(1/$AJ1215)))</f>
        <v/>
      </c>
      <c r="AR1215">
        <f>IF(OR($X1215="",$T1215&gt;60),"",IFERROR(INDEX(IF($T1215&lt;24,pcomp_l,palt_l),MATCH($X1215,IF($T1215&lt;24,pcomp_k,palt_k),1)),""))</f>
        <v/>
      </c>
      <c r="AS1215">
        <f>IF(OR($X1215="",$T1215&gt;60),"",IFERROR(INDEX(IF($T1215&lt;24,pcomp_m,palt_m),MATCH($X1215,IF($T1215&lt;24,pcomp_k,palt_k),1)),""))</f>
        <v/>
      </c>
      <c r="AT1215">
        <f>IF(OR($X1215="",$T1215&gt;60),"",IFERROR(INDEX(IF($T1215&lt;24,pcomp_s,palt_s),MATCH($X1215,IF($T1215&lt;24,pcomp_k,palt_k),1)),""))</f>
        <v/>
      </c>
      <c r="AU1215">
        <f>IF($AR1215="","",IF($AR1215=0,LN($F1215/$AS1215)/$AT1215,((($F1215/$AS1215)^$AR1215)-1)/($AR1215*$AT1215)))</f>
        <v/>
      </c>
      <c r="AV1215">
        <f>IF($AR1215="","",IF($AR1215=0,$AS1215*EXP($AT1215*2),$AS1215*(1+$AR1215*$AT1215*2)^(1/$AR1215)))</f>
        <v/>
      </c>
      <c r="AW1215">
        <f>IF($AR1215="","",IF($AR1215=0,$AS1215*EXP($AT1215*3),$AS1215*(1+$AR1215*$AT1215*3)^(1/$AR1215)))</f>
        <v/>
      </c>
      <c r="AX1215">
        <f>IF($AR1215="","",IF($AR1215=0,$AS1215*EXP($AT1215*-2),$AS1215*(1+$AR1215*$AT1215*-2)^(1/$AR1215)))</f>
        <v/>
      </c>
      <c r="AY1215">
        <f>IF($AR1215="","",IF($AR1215=0,$AS1215*EXP($AT1215*-3),$AS1215*(1+$AR1215*$AT1215*-3)^(1/$AR1215)))</f>
        <v/>
      </c>
      <c r="AZ1215">
        <f>IF(OR($A1215="",$A1215&lt;&gt;Ficha!$C$4),"",COUNTIF($A$2:$A1215,Ficha!$C$4))</f>
        <v/>
      </c>
    </row>
    <row r="1216">
      <c r="A1216" s="8">
        <f>IF(INDEX(Banco!$A:$A,ROW())="","",INDEX(Banco!$A:$A,ROW()))</f>
        <v/>
      </c>
      <c r="B1216" s="8">
        <f>IF(INDEX(Banco!$B:$B,ROW())="","",INDEX(Banco!$B:$B,ROW()))</f>
        <v/>
      </c>
      <c r="C1216" s="8">
        <f>IF(INDEX(Banco!$C:$C,ROW())="","",INDEX(Banco!$C:$C,ROW()))</f>
        <v/>
      </c>
      <c r="D1216" s="9">
        <f>IF(INDEX(Banco!$D:$D,ROW())="","",INDEX(Banco!$D:$D,ROW()))</f>
        <v/>
      </c>
      <c r="E1216" s="9">
        <f>IF(INDEX(Banco!$E:$E,ROW())="","",INDEX(Banco!$E:$E,ROW()))</f>
        <v/>
      </c>
      <c r="F1216" s="10">
        <f>IF(INDEX(Banco!$F:$F,ROW())="","",INDEX(Banco!$F:$F,ROW()))</f>
        <v/>
      </c>
      <c r="G1216" s="10">
        <f>IF(INDEX(Banco!$G:$G,ROW())="","",INDEX(Banco!$G:$G,ROW()))</f>
        <v/>
      </c>
      <c r="H1216" s="8">
        <f>IF(INDEX(Banco!$H:$H,ROW())="","",INDEX(Banco!$H:$H,ROW()))</f>
        <v/>
      </c>
      <c r="I1216">
        <f>IF($T1216="","",INT($T1216/12)&amp;"a "&amp;MOD($T1216,12)&amp;"m")</f>
        <v/>
      </c>
      <c r="J1216" s="11">
        <f>IF(OR($F1216="",$G1216=""),"",ROUND($F1216/($G1216/100)^2,2))</f>
        <v/>
      </c>
      <c r="K1216" s="12">
        <f>IF(OR($S1216="",$J1216="",$T1216="",$T1216&lt;0,$T1216&gt;228,$Y1216=""),"—",ROUND(IF(ABS($AB1216)&lt;=3,$AB1216,IF($AB1216&gt;3,3+($J1216-$AD1216)/($AD1216-$AC1216),-3+($J1216-$AF1216)/($AE1216-$AF1216))),2))</f>
        <v/>
      </c>
      <c r="L1216">
        <f>IF(OR($K1216="",$K1216="—"),"",IF($T1216&lt;=60,IF($K1216&lt;-3,"Magreza acentuada",IF($K1216&lt;-2,"Magreza",IF($K1216&lt;=1,"Eutrofia",IF($K1216&lt;=2,"Risco de sobrepeso",IF($K1216&lt;=3,"Sobrepeso","Obesidade"))))),IF($K1216&lt;-3,"Magreza acentuada",IF($K1216&lt;-2,"Magreza",IF($K1216&lt;=1,"Eutrofia",IF($K1216&lt;=2,"Sobrepeso",IF($K1216&lt;=3,"Obesidade","Obesidade grave")))))))</f>
        <v/>
      </c>
      <c r="M1216" s="12">
        <f>IF(OR($S1216="",$V1216="",$T1216="",$T1216&lt;0,$T1216&gt;228,$AG1216=""),"—",ROUND(IF($AG1216=0,LN($V1216/$AH1216)/$AI1216,((($V1216/$AH1216)^$AG1216)-1)/($AG1216*$AI1216)),2))</f>
        <v/>
      </c>
      <c r="N1216">
        <f>IF(OR($M1216="",$M1216="—"),"",IF($M1216&lt;-3,"Muito baixa",IF($M1216&lt;-2,"Baixa","Adequada")))</f>
        <v/>
      </c>
      <c r="O1216" s="12">
        <f>IF(OR($S1216="",$F1216="",$T1216="",$T1216&lt;0,$T1216&gt;120,$AJ1216=""),"—",ROUND(IF(ABS($AM1216)&lt;=3,$AM1216,IF($AM1216&gt;3,3+($F1216-$AO1216)/($AO1216-$AN1216),-3+($F1216-$AQ1216)/($AP1216-$AQ1216))),2))</f>
        <v/>
      </c>
      <c r="P1216">
        <f>IF(OR($O1216="",$O1216="—"),"",IF($O1216&lt;-3,"Muito baixo",IF($O1216&lt;-2,"Baixo",IF($O1216&lt;=2,"Adequado","Elevado"))))</f>
        <v/>
      </c>
      <c r="Q1216" s="12">
        <f>IF(OR($S1216="",$F1216="",$T1216="",$T1216&lt;0,$T1216&gt;60,$AR1216=""),"—",ROUND(IF(ABS($AU1216)&lt;=3,$AU1216,IF($AU1216&gt;3,3+($F1216-$AW1216)/($AW1216-$AV1216),-3+($F1216-$AY1216)/($AX1216-$AY1216))),2))</f>
        <v/>
      </c>
      <c r="R1216">
        <f>IF(OR($Q1216="",$Q1216="—"),"",IF($Q1216&lt;-3,"Magreza acentuada",IF($Q1216&lt;-2,"Magreza",IF($Q1216&lt;=1,"Eutrofia",IF($Q1216&lt;=2,"Risco de sobrepeso",IF($Q1216&lt;=3,"Sobrepeso","Obesidade"))))))</f>
        <v/>
      </c>
      <c r="S1216">
        <f>IF($C1216="","",IF(UPPER(LEFT($C1216,1))="M",1,IF(UPPER(LEFT($C1216,1))="F",2,"")))</f>
        <v/>
      </c>
      <c r="T1216">
        <f>IF(OR($D1216="",$E1216=""),"",DATEDIF($D1216,$E1216,"m"))</f>
        <v/>
      </c>
      <c r="U1216">
        <f>IF(OR($D1216="",$E1216=""),"",$E1216-$D1216)</f>
        <v/>
      </c>
      <c r="V1216">
        <f>IF(OR($G1216="",$T1216=""),"",IF($T1216&lt;24,IF(LEFT(LOWER($H1216),4)="em p",$G1216+0.7,$G1216),IF(LEFT(LOWER($H1216),4)="deit",$G1216-0.7,$G1216)))</f>
        <v/>
      </c>
      <c r="W1216">
        <f>IF(OR($S1216="",$T1216=""),"",$S1216*1000000+IF($T1216&lt;=60,$U1216,$T1216))</f>
        <v/>
      </c>
      <c r="X1216">
        <f>IF(OR($S1216="",$V1216="",$T1216&gt;60,$T1216=""),"",$S1216*1000000+ROUND($V1216*10,0))</f>
        <v/>
      </c>
      <c r="Y1216">
        <f>IF($W1216="","",IFERROR(INDEX(IF($T1216&lt;=60,imc05_l,imc519_l),MATCH($W1216,IF($T1216&lt;=60,imc05_k,imc519_k),1)),""))</f>
        <v/>
      </c>
      <c r="Z1216">
        <f>IF($W1216="","",IFERROR(INDEX(IF($T1216&lt;=60,imc05_m,imc519_m),MATCH($W1216,IF($T1216&lt;=60,imc05_k,imc519_k),1)),""))</f>
        <v/>
      </c>
      <c r="AA1216">
        <f>IF($W1216="","",IFERROR(INDEX(IF($T1216&lt;=60,imc05_s,imc519_s),MATCH($W1216,IF($T1216&lt;=60,imc05_k,imc519_k),1)),""))</f>
        <v/>
      </c>
      <c r="AB1216">
        <f>IF($Y1216="","",IF($Y1216=0,LN($J1216/$Z1216)/$AA1216,((($J1216/$Z1216)^$Y1216)-1)/($Y1216*$AA1216)))</f>
        <v/>
      </c>
      <c r="AC1216">
        <f>IF($Y1216="","",IF($Y1216=0,$Z1216*EXP($AA1216*2),$Z1216*(1+$Y1216*$AA1216*2)^(1/$Y1216)))</f>
        <v/>
      </c>
      <c r="AD1216">
        <f>IF($Y1216="","",IF($Y1216=0,$Z1216*EXP($AA1216*3),$Z1216*(1+$Y1216*$AA1216*3)^(1/$Y1216)))</f>
        <v/>
      </c>
      <c r="AE1216">
        <f>IF($Y1216="","",IF($Y1216=0,$Z1216*EXP($AA1216*-2),$Z1216*(1+$Y1216*$AA1216*-2)^(1/$Y1216)))</f>
        <v/>
      </c>
      <c r="AF1216">
        <f>IF($Y1216="","",IF($Y1216=0,$Z1216*EXP($AA1216*-3),$Z1216*(1+$Y1216*$AA1216*-3)^(1/$Y1216)))</f>
        <v/>
      </c>
      <c r="AG1216">
        <f>IF($W1216="","",IFERROR(INDEX(IF($T1216&lt;=60,est05_l,est519_l),MATCH($W1216,IF($T1216&lt;=60,est05_k,est519_k),1)),""))</f>
        <v/>
      </c>
      <c r="AH1216">
        <f>IF($W1216="","",IFERROR(INDEX(IF($T1216&lt;=60,est05_m,est519_m),MATCH($W1216,IF($T1216&lt;=60,est05_k,est519_k),1)),""))</f>
        <v/>
      </c>
      <c r="AI1216">
        <f>IF($W1216="","",IFERROR(INDEX(IF($T1216&lt;=60,est05_s,est519_s),MATCH($W1216,IF($T1216&lt;=60,est05_k,est519_k),1)),""))</f>
        <v/>
      </c>
      <c r="AJ1216">
        <f>IF($W1216="","",IFERROR(INDEX(IF($T1216&lt;=60,peso05_l,peso510_l),MATCH($W1216,IF($T1216&lt;=60,peso05_k,peso510_k),1)),""))</f>
        <v/>
      </c>
      <c r="AK1216">
        <f>IF($W1216="","",IFERROR(INDEX(IF($T1216&lt;=60,peso05_m,peso510_m),MATCH($W1216,IF($T1216&lt;=60,peso05_k,peso510_k),1)),""))</f>
        <v/>
      </c>
      <c r="AL1216">
        <f>IF($W1216="","",IFERROR(INDEX(IF($T1216&lt;=60,peso05_s,peso510_s),MATCH($W1216,IF($T1216&lt;=60,peso05_k,peso510_k),1)),""))</f>
        <v/>
      </c>
      <c r="AM1216">
        <f>IF($AJ1216="","",IF($AJ1216=0,LN($F1216/$AK1216)/$AL1216,((($F1216/$AK1216)^$AJ1216)-1)/($AJ1216*$AL1216)))</f>
        <v/>
      </c>
      <c r="AN1216">
        <f>IF($AJ1216="","",IF($AJ1216=0,$AK1216*EXP($AL1216*2),$AK1216*(1+$AJ1216*$AL1216*2)^(1/$AJ1216)))</f>
        <v/>
      </c>
      <c r="AO1216">
        <f>IF($AJ1216="","",IF($AJ1216=0,$AK1216*EXP($AL1216*3),$AK1216*(1+$AJ1216*$AL1216*3)^(1/$AJ1216)))</f>
        <v/>
      </c>
      <c r="AP1216">
        <f>IF($AJ1216="","",IF($AJ1216=0,$AK1216*EXP($AL1216*-2),$AK1216*(1+$AJ1216*$AL1216*-2)^(1/$AJ1216)))</f>
        <v/>
      </c>
      <c r="AQ1216">
        <f>IF($AJ1216="","",IF($AJ1216=0,$AK1216*EXP($AL1216*-3),$AK1216*(1+$AJ1216*$AL1216*-3)^(1/$AJ1216)))</f>
        <v/>
      </c>
      <c r="AR1216">
        <f>IF(OR($X1216="",$T1216&gt;60),"",IFERROR(INDEX(IF($T1216&lt;24,pcomp_l,palt_l),MATCH($X1216,IF($T1216&lt;24,pcomp_k,palt_k),1)),""))</f>
        <v/>
      </c>
      <c r="AS1216">
        <f>IF(OR($X1216="",$T1216&gt;60),"",IFERROR(INDEX(IF($T1216&lt;24,pcomp_m,palt_m),MATCH($X1216,IF($T1216&lt;24,pcomp_k,palt_k),1)),""))</f>
        <v/>
      </c>
      <c r="AT1216">
        <f>IF(OR($X1216="",$T1216&gt;60),"",IFERROR(INDEX(IF($T1216&lt;24,pcomp_s,palt_s),MATCH($X1216,IF($T1216&lt;24,pcomp_k,palt_k),1)),""))</f>
        <v/>
      </c>
      <c r="AU1216">
        <f>IF($AR1216="","",IF($AR1216=0,LN($F1216/$AS1216)/$AT1216,((($F1216/$AS1216)^$AR1216)-1)/($AR1216*$AT1216)))</f>
        <v/>
      </c>
      <c r="AV1216">
        <f>IF($AR1216="","",IF($AR1216=0,$AS1216*EXP($AT1216*2),$AS1216*(1+$AR1216*$AT1216*2)^(1/$AR1216)))</f>
        <v/>
      </c>
      <c r="AW1216">
        <f>IF($AR1216="","",IF($AR1216=0,$AS1216*EXP($AT1216*3),$AS1216*(1+$AR1216*$AT1216*3)^(1/$AR1216)))</f>
        <v/>
      </c>
      <c r="AX1216">
        <f>IF($AR1216="","",IF($AR1216=0,$AS1216*EXP($AT1216*-2),$AS1216*(1+$AR1216*$AT1216*-2)^(1/$AR1216)))</f>
        <v/>
      </c>
      <c r="AY1216">
        <f>IF($AR1216="","",IF($AR1216=0,$AS1216*EXP($AT1216*-3),$AS1216*(1+$AR1216*$AT1216*-3)^(1/$AR1216)))</f>
        <v/>
      </c>
      <c r="AZ1216">
        <f>IF(OR($A1216="",$A1216&lt;&gt;Ficha!$C$4),"",COUNTIF($A$2:$A1216,Ficha!$C$4))</f>
        <v/>
      </c>
    </row>
    <row r="1217">
      <c r="A1217" s="8">
        <f>IF(INDEX(Banco!$A:$A,ROW())="","",INDEX(Banco!$A:$A,ROW()))</f>
        <v/>
      </c>
      <c r="B1217" s="8">
        <f>IF(INDEX(Banco!$B:$B,ROW())="","",INDEX(Banco!$B:$B,ROW()))</f>
        <v/>
      </c>
      <c r="C1217" s="8">
        <f>IF(INDEX(Banco!$C:$C,ROW())="","",INDEX(Banco!$C:$C,ROW()))</f>
        <v/>
      </c>
      <c r="D1217" s="9">
        <f>IF(INDEX(Banco!$D:$D,ROW())="","",INDEX(Banco!$D:$D,ROW()))</f>
        <v/>
      </c>
      <c r="E1217" s="9">
        <f>IF(INDEX(Banco!$E:$E,ROW())="","",INDEX(Banco!$E:$E,ROW()))</f>
        <v/>
      </c>
      <c r="F1217" s="10">
        <f>IF(INDEX(Banco!$F:$F,ROW())="","",INDEX(Banco!$F:$F,ROW()))</f>
        <v/>
      </c>
      <c r="G1217" s="10">
        <f>IF(INDEX(Banco!$G:$G,ROW())="","",INDEX(Banco!$G:$G,ROW()))</f>
        <v/>
      </c>
      <c r="H1217" s="8">
        <f>IF(INDEX(Banco!$H:$H,ROW())="","",INDEX(Banco!$H:$H,ROW()))</f>
        <v/>
      </c>
      <c r="I1217">
        <f>IF($T1217="","",INT($T1217/12)&amp;"a "&amp;MOD($T1217,12)&amp;"m")</f>
        <v/>
      </c>
      <c r="J1217" s="11">
        <f>IF(OR($F1217="",$G1217=""),"",ROUND($F1217/($G1217/100)^2,2))</f>
        <v/>
      </c>
      <c r="K1217" s="12">
        <f>IF(OR($S1217="",$J1217="",$T1217="",$T1217&lt;0,$T1217&gt;228,$Y1217=""),"—",ROUND(IF(ABS($AB1217)&lt;=3,$AB1217,IF($AB1217&gt;3,3+($J1217-$AD1217)/($AD1217-$AC1217),-3+($J1217-$AF1217)/($AE1217-$AF1217))),2))</f>
        <v/>
      </c>
      <c r="L1217">
        <f>IF(OR($K1217="",$K1217="—"),"",IF($T1217&lt;=60,IF($K1217&lt;-3,"Magreza acentuada",IF($K1217&lt;-2,"Magreza",IF($K1217&lt;=1,"Eutrofia",IF($K1217&lt;=2,"Risco de sobrepeso",IF($K1217&lt;=3,"Sobrepeso","Obesidade"))))),IF($K1217&lt;-3,"Magreza acentuada",IF($K1217&lt;-2,"Magreza",IF($K1217&lt;=1,"Eutrofia",IF($K1217&lt;=2,"Sobrepeso",IF($K1217&lt;=3,"Obesidade","Obesidade grave")))))))</f>
        <v/>
      </c>
      <c r="M1217" s="12">
        <f>IF(OR($S1217="",$V1217="",$T1217="",$T1217&lt;0,$T1217&gt;228,$AG1217=""),"—",ROUND(IF($AG1217=0,LN($V1217/$AH1217)/$AI1217,((($V1217/$AH1217)^$AG1217)-1)/($AG1217*$AI1217)),2))</f>
        <v/>
      </c>
      <c r="N1217">
        <f>IF(OR($M1217="",$M1217="—"),"",IF($M1217&lt;-3,"Muito baixa",IF($M1217&lt;-2,"Baixa","Adequada")))</f>
        <v/>
      </c>
      <c r="O1217" s="12">
        <f>IF(OR($S1217="",$F1217="",$T1217="",$T1217&lt;0,$T1217&gt;120,$AJ1217=""),"—",ROUND(IF(ABS($AM1217)&lt;=3,$AM1217,IF($AM1217&gt;3,3+($F1217-$AO1217)/($AO1217-$AN1217),-3+($F1217-$AQ1217)/($AP1217-$AQ1217))),2))</f>
        <v/>
      </c>
      <c r="P1217">
        <f>IF(OR($O1217="",$O1217="—"),"",IF($O1217&lt;-3,"Muito baixo",IF($O1217&lt;-2,"Baixo",IF($O1217&lt;=2,"Adequado","Elevado"))))</f>
        <v/>
      </c>
      <c r="Q1217" s="12">
        <f>IF(OR($S1217="",$F1217="",$T1217="",$T1217&lt;0,$T1217&gt;60,$AR1217=""),"—",ROUND(IF(ABS($AU1217)&lt;=3,$AU1217,IF($AU1217&gt;3,3+($F1217-$AW1217)/($AW1217-$AV1217),-3+($F1217-$AY1217)/($AX1217-$AY1217))),2))</f>
        <v/>
      </c>
      <c r="R1217">
        <f>IF(OR($Q1217="",$Q1217="—"),"",IF($Q1217&lt;-3,"Magreza acentuada",IF($Q1217&lt;-2,"Magreza",IF($Q1217&lt;=1,"Eutrofia",IF($Q1217&lt;=2,"Risco de sobrepeso",IF($Q1217&lt;=3,"Sobrepeso","Obesidade"))))))</f>
        <v/>
      </c>
      <c r="S1217">
        <f>IF($C1217="","",IF(UPPER(LEFT($C1217,1))="M",1,IF(UPPER(LEFT($C1217,1))="F",2,"")))</f>
        <v/>
      </c>
      <c r="T1217">
        <f>IF(OR($D1217="",$E1217=""),"",DATEDIF($D1217,$E1217,"m"))</f>
        <v/>
      </c>
      <c r="U1217">
        <f>IF(OR($D1217="",$E1217=""),"",$E1217-$D1217)</f>
        <v/>
      </c>
      <c r="V1217">
        <f>IF(OR($G1217="",$T1217=""),"",IF($T1217&lt;24,IF(LEFT(LOWER($H1217),4)="em p",$G1217+0.7,$G1217),IF(LEFT(LOWER($H1217),4)="deit",$G1217-0.7,$G1217)))</f>
        <v/>
      </c>
      <c r="W1217">
        <f>IF(OR($S1217="",$T1217=""),"",$S1217*1000000+IF($T1217&lt;=60,$U1217,$T1217))</f>
        <v/>
      </c>
      <c r="X1217">
        <f>IF(OR($S1217="",$V1217="",$T1217&gt;60,$T1217=""),"",$S1217*1000000+ROUND($V1217*10,0))</f>
        <v/>
      </c>
      <c r="Y1217">
        <f>IF($W1217="","",IFERROR(INDEX(IF($T1217&lt;=60,imc05_l,imc519_l),MATCH($W1217,IF($T1217&lt;=60,imc05_k,imc519_k),1)),""))</f>
        <v/>
      </c>
      <c r="Z1217">
        <f>IF($W1217="","",IFERROR(INDEX(IF($T1217&lt;=60,imc05_m,imc519_m),MATCH($W1217,IF($T1217&lt;=60,imc05_k,imc519_k),1)),""))</f>
        <v/>
      </c>
      <c r="AA1217">
        <f>IF($W1217="","",IFERROR(INDEX(IF($T1217&lt;=60,imc05_s,imc519_s),MATCH($W1217,IF($T1217&lt;=60,imc05_k,imc519_k),1)),""))</f>
        <v/>
      </c>
      <c r="AB1217">
        <f>IF($Y1217="","",IF($Y1217=0,LN($J1217/$Z1217)/$AA1217,((($J1217/$Z1217)^$Y1217)-1)/($Y1217*$AA1217)))</f>
        <v/>
      </c>
      <c r="AC1217">
        <f>IF($Y1217="","",IF($Y1217=0,$Z1217*EXP($AA1217*2),$Z1217*(1+$Y1217*$AA1217*2)^(1/$Y1217)))</f>
        <v/>
      </c>
      <c r="AD1217">
        <f>IF($Y1217="","",IF($Y1217=0,$Z1217*EXP($AA1217*3),$Z1217*(1+$Y1217*$AA1217*3)^(1/$Y1217)))</f>
        <v/>
      </c>
      <c r="AE1217">
        <f>IF($Y1217="","",IF($Y1217=0,$Z1217*EXP($AA1217*-2),$Z1217*(1+$Y1217*$AA1217*-2)^(1/$Y1217)))</f>
        <v/>
      </c>
      <c r="AF1217">
        <f>IF($Y1217="","",IF($Y1217=0,$Z1217*EXP($AA1217*-3),$Z1217*(1+$Y1217*$AA1217*-3)^(1/$Y1217)))</f>
        <v/>
      </c>
      <c r="AG1217">
        <f>IF($W1217="","",IFERROR(INDEX(IF($T1217&lt;=60,est05_l,est519_l),MATCH($W1217,IF($T1217&lt;=60,est05_k,est519_k),1)),""))</f>
        <v/>
      </c>
      <c r="AH1217">
        <f>IF($W1217="","",IFERROR(INDEX(IF($T1217&lt;=60,est05_m,est519_m),MATCH($W1217,IF($T1217&lt;=60,est05_k,est519_k),1)),""))</f>
        <v/>
      </c>
      <c r="AI1217">
        <f>IF($W1217="","",IFERROR(INDEX(IF($T1217&lt;=60,est05_s,est519_s),MATCH($W1217,IF($T1217&lt;=60,est05_k,est519_k),1)),""))</f>
        <v/>
      </c>
      <c r="AJ1217">
        <f>IF($W1217="","",IFERROR(INDEX(IF($T1217&lt;=60,peso05_l,peso510_l),MATCH($W1217,IF($T1217&lt;=60,peso05_k,peso510_k),1)),""))</f>
        <v/>
      </c>
      <c r="AK1217">
        <f>IF($W1217="","",IFERROR(INDEX(IF($T1217&lt;=60,peso05_m,peso510_m),MATCH($W1217,IF($T1217&lt;=60,peso05_k,peso510_k),1)),""))</f>
        <v/>
      </c>
      <c r="AL1217">
        <f>IF($W1217="","",IFERROR(INDEX(IF($T1217&lt;=60,peso05_s,peso510_s),MATCH($W1217,IF($T1217&lt;=60,peso05_k,peso510_k),1)),""))</f>
        <v/>
      </c>
      <c r="AM1217">
        <f>IF($AJ1217="","",IF($AJ1217=0,LN($F1217/$AK1217)/$AL1217,((($F1217/$AK1217)^$AJ1217)-1)/($AJ1217*$AL1217)))</f>
        <v/>
      </c>
      <c r="AN1217">
        <f>IF($AJ1217="","",IF($AJ1217=0,$AK1217*EXP($AL1217*2),$AK1217*(1+$AJ1217*$AL1217*2)^(1/$AJ1217)))</f>
        <v/>
      </c>
      <c r="AO1217">
        <f>IF($AJ1217="","",IF($AJ1217=0,$AK1217*EXP($AL1217*3),$AK1217*(1+$AJ1217*$AL1217*3)^(1/$AJ1217)))</f>
        <v/>
      </c>
      <c r="AP1217">
        <f>IF($AJ1217="","",IF($AJ1217=0,$AK1217*EXP($AL1217*-2),$AK1217*(1+$AJ1217*$AL1217*-2)^(1/$AJ1217)))</f>
        <v/>
      </c>
      <c r="AQ1217">
        <f>IF($AJ1217="","",IF($AJ1217=0,$AK1217*EXP($AL1217*-3),$AK1217*(1+$AJ1217*$AL1217*-3)^(1/$AJ1217)))</f>
        <v/>
      </c>
      <c r="AR1217">
        <f>IF(OR($X1217="",$T1217&gt;60),"",IFERROR(INDEX(IF($T1217&lt;24,pcomp_l,palt_l),MATCH($X1217,IF($T1217&lt;24,pcomp_k,palt_k),1)),""))</f>
        <v/>
      </c>
      <c r="AS1217">
        <f>IF(OR($X1217="",$T1217&gt;60),"",IFERROR(INDEX(IF($T1217&lt;24,pcomp_m,palt_m),MATCH($X1217,IF($T1217&lt;24,pcomp_k,palt_k),1)),""))</f>
        <v/>
      </c>
      <c r="AT1217">
        <f>IF(OR($X1217="",$T1217&gt;60),"",IFERROR(INDEX(IF($T1217&lt;24,pcomp_s,palt_s),MATCH($X1217,IF($T1217&lt;24,pcomp_k,palt_k),1)),""))</f>
        <v/>
      </c>
      <c r="AU1217">
        <f>IF($AR1217="","",IF($AR1217=0,LN($F1217/$AS1217)/$AT1217,((($F1217/$AS1217)^$AR1217)-1)/($AR1217*$AT1217)))</f>
        <v/>
      </c>
      <c r="AV1217">
        <f>IF($AR1217="","",IF($AR1217=0,$AS1217*EXP($AT1217*2),$AS1217*(1+$AR1217*$AT1217*2)^(1/$AR1217)))</f>
        <v/>
      </c>
      <c r="AW1217">
        <f>IF($AR1217="","",IF($AR1217=0,$AS1217*EXP($AT1217*3),$AS1217*(1+$AR1217*$AT1217*3)^(1/$AR1217)))</f>
        <v/>
      </c>
      <c r="AX1217">
        <f>IF($AR1217="","",IF($AR1217=0,$AS1217*EXP($AT1217*-2),$AS1217*(1+$AR1217*$AT1217*-2)^(1/$AR1217)))</f>
        <v/>
      </c>
      <c r="AY1217">
        <f>IF($AR1217="","",IF($AR1217=0,$AS1217*EXP($AT1217*-3),$AS1217*(1+$AR1217*$AT1217*-3)^(1/$AR1217)))</f>
        <v/>
      </c>
      <c r="AZ1217">
        <f>IF(OR($A1217="",$A1217&lt;&gt;Ficha!$C$4),"",COUNTIF($A$2:$A1217,Ficha!$C$4))</f>
        <v/>
      </c>
    </row>
    <row r="1218">
      <c r="A1218" s="8">
        <f>IF(INDEX(Banco!$A:$A,ROW())="","",INDEX(Banco!$A:$A,ROW()))</f>
        <v/>
      </c>
      <c r="B1218" s="8">
        <f>IF(INDEX(Banco!$B:$B,ROW())="","",INDEX(Banco!$B:$B,ROW()))</f>
        <v/>
      </c>
      <c r="C1218" s="8">
        <f>IF(INDEX(Banco!$C:$C,ROW())="","",INDEX(Banco!$C:$C,ROW()))</f>
        <v/>
      </c>
      <c r="D1218" s="9">
        <f>IF(INDEX(Banco!$D:$D,ROW())="","",INDEX(Banco!$D:$D,ROW()))</f>
        <v/>
      </c>
      <c r="E1218" s="9">
        <f>IF(INDEX(Banco!$E:$E,ROW())="","",INDEX(Banco!$E:$E,ROW()))</f>
        <v/>
      </c>
      <c r="F1218" s="10">
        <f>IF(INDEX(Banco!$F:$F,ROW())="","",INDEX(Banco!$F:$F,ROW()))</f>
        <v/>
      </c>
      <c r="G1218" s="10">
        <f>IF(INDEX(Banco!$G:$G,ROW())="","",INDEX(Banco!$G:$G,ROW()))</f>
        <v/>
      </c>
      <c r="H1218" s="8">
        <f>IF(INDEX(Banco!$H:$H,ROW())="","",INDEX(Banco!$H:$H,ROW()))</f>
        <v/>
      </c>
      <c r="I1218">
        <f>IF($T1218="","",INT($T1218/12)&amp;"a "&amp;MOD($T1218,12)&amp;"m")</f>
        <v/>
      </c>
      <c r="J1218" s="11">
        <f>IF(OR($F1218="",$G1218=""),"",ROUND($F1218/($G1218/100)^2,2))</f>
        <v/>
      </c>
      <c r="K1218" s="12">
        <f>IF(OR($S1218="",$J1218="",$T1218="",$T1218&lt;0,$T1218&gt;228,$Y1218=""),"—",ROUND(IF(ABS($AB1218)&lt;=3,$AB1218,IF($AB1218&gt;3,3+($J1218-$AD1218)/($AD1218-$AC1218),-3+($J1218-$AF1218)/($AE1218-$AF1218))),2))</f>
        <v/>
      </c>
      <c r="L1218">
        <f>IF(OR($K1218="",$K1218="—"),"",IF($T1218&lt;=60,IF($K1218&lt;-3,"Magreza acentuada",IF($K1218&lt;-2,"Magreza",IF($K1218&lt;=1,"Eutrofia",IF($K1218&lt;=2,"Risco de sobrepeso",IF($K1218&lt;=3,"Sobrepeso","Obesidade"))))),IF($K1218&lt;-3,"Magreza acentuada",IF($K1218&lt;-2,"Magreza",IF($K1218&lt;=1,"Eutrofia",IF($K1218&lt;=2,"Sobrepeso",IF($K1218&lt;=3,"Obesidade","Obesidade grave")))))))</f>
        <v/>
      </c>
      <c r="M1218" s="12">
        <f>IF(OR($S1218="",$V1218="",$T1218="",$T1218&lt;0,$T1218&gt;228,$AG1218=""),"—",ROUND(IF($AG1218=0,LN($V1218/$AH1218)/$AI1218,((($V1218/$AH1218)^$AG1218)-1)/($AG1218*$AI1218)),2))</f>
        <v/>
      </c>
      <c r="N1218">
        <f>IF(OR($M1218="",$M1218="—"),"",IF($M1218&lt;-3,"Muito baixa",IF($M1218&lt;-2,"Baixa","Adequada")))</f>
        <v/>
      </c>
      <c r="O1218" s="12">
        <f>IF(OR($S1218="",$F1218="",$T1218="",$T1218&lt;0,$T1218&gt;120,$AJ1218=""),"—",ROUND(IF(ABS($AM1218)&lt;=3,$AM1218,IF($AM1218&gt;3,3+($F1218-$AO1218)/($AO1218-$AN1218),-3+($F1218-$AQ1218)/($AP1218-$AQ1218))),2))</f>
        <v/>
      </c>
      <c r="P1218">
        <f>IF(OR($O1218="",$O1218="—"),"",IF($O1218&lt;-3,"Muito baixo",IF($O1218&lt;-2,"Baixo",IF($O1218&lt;=2,"Adequado","Elevado"))))</f>
        <v/>
      </c>
      <c r="Q1218" s="12">
        <f>IF(OR($S1218="",$F1218="",$T1218="",$T1218&lt;0,$T1218&gt;60,$AR1218=""),"—",ROUND(IF(ABS($AU1218)&lt;=3,$AU1218,IF($AU1218&gt;3,3+($F1218-$AW1218)/($AW1218-$AV1218),-3+($F1218-$AY1218)/($AX1218-$AY1218))),2))</f>
        <v/>
      </c>
      <c r="R1218">
        <f>IF(OR($Q1218="",$Q1218="—"),"",IF($Q1218&lt;-3,"Magreza acentuada",IF($Q1218&lt;-2,"Magreza",IF($Q1218&lt;=1,"Eutrofia",IF($Q1218&lt;=2,"Risco de sobrepeso",IF($Q1218&lt;=3,"Sobrepeso","Obesidade"))))))</f>
        <v/>
      </c>
      <c r="S1218">
        <f>IF($C1218="","",IF(UPPER(LEFT($C1218,1))="M",1,IF(UPPER(LEFT($C1218,1))="F",2,"")))</f>
        <v/>
      </c>
      <c r="T1218">
        <f>IF(OR($D1218="",$E1218=""),"",DATEDIF($D1218,$E1218,"m"))</f>
        <v/>
      </c>
      <c r="U1218">
        <f>IF(OR($D1218="",$E1218=""),"",$E1218-$D1218)</f>
        <v/>
      </c>
      <c r="V1218">
        <f>IF(OR($G1218="",$T1218=""),"",IF($T1218&lt;24,IF(LEFT(LOWER($H1218),4)="em p",$G1218+0.7,$G1218),IF(LEFT(LOWER($H1218),4)="deit",$G1218-0.7,$G1218)))</f>
        <v/>
      </c>
      <c r="W1218">
        <f>IF(OR($S1218="",$T1218=""),"",$S1218*1000000+IF($T1218&lt;=60,$U1218,$T1218))</f>
        <v/>
      </c>
      <c r="X1218">
        <f>IF(OR($S1218="",$V1218="",$T1218&gt;60,$T1218=""),"",$S1218*1000000+ROUND($V1218*10,0))</f>
        <v/>
      </c>
      <c r="Y1218">
        <f>IF($W1218="","",IFERROR(INDEX(IF($T1218&lt;=60,imc05_l,imc519_l),MATCH($W1218,IF($T1218&lt;=60,imc05_k,imc519_k),1)),""))</f>
        <v/>
      </c>
      <c r="Z1218">
        <f>IF($W1218="","",IFERROR(INDEX(IF($T1218&lt;=60,imc05_m,imc519_m),MATCH($W1218,IF($T1218&lt;=60,imc05_k,imc519_k),1)),""))</f>
        <v/>
      </c>
      <c r="AA1218">
        <f>IF($W1218="","",IFERROR(INDEX(IF($T1218&lt;=60,imc05_s,imc519_s),MATCH($W1218,IF($T1218&lt;=60,imc05_k,imc519_k),1)),""))</f>
        <v/>
      </c>
      <c r="AB1218">
        <f>IF($Y1218="","",IF($Y1218=0,LN($J1218/$Z1218)/$AA1218,((($J1218/$Z1218)^$Y1218)-1)/($Y1218*$AA1218)))</f>
        <v/>
      </c>
      <c r="AC1218">
        <f>IF($Y1218="","",IF($Y1218=0,$Z1218*EXP($AA1218*2),$Z1218*(1+$Y1218*$AA1218*2)^(1/$Y1218)))</f>
        <v/>
      </c>
      <c r="AD1218">
        <f>IF($Y1218="","",IF($Y1218=0,$Z1218*EXP($AA1218*3),$Z1218*(1+$Y1218*$AA1218*3)^(1/$Y1218)))</f>
        <v/>
      </c>
      <c r="AE1218">
        <f>IF($Y1218="","",IF($Y1218=0,$Z1218*EXP($AA1218*-2),$Z1218*(1+$Y1218*$AA1218*-2)^(1/$Y1218)))</f>
        <v/>
      </c>
      <c r="AF1218">
        <f>IF($Y1218="","",IF($Y1218=0,$Z1218*EXP($AA1218*-3),$Z1218*(1+$Y1218*$AA1218*-3)^(1/$Y1218)))</f>
        <v/>
      </c>
      <c r="AG1218">
        <f>IF($W1218="","",IFERROR(INDEX(IF($T1218&lt;=60,est05_l,est519_l),MATCH($W1218,IF($T1218&lt;=60,est05_k,est519_k),1)),""))</f>
        <v/>
      </c>
      <c r="AH1218">
        <f>IF($W1218="","",IFERROR(INDEX(IF($T1218&lt;=60,est05_m,est519_m),MATCH($W1218,IF($T1218&lt;=60,est05_k,est519_k),1)),""))</f>
        <v/>
      </c>
      <c r="AI1218">
        <f>IF($W1218="","",IFERROR(INDEX(IF($T1218&lt;=60,est05_s,est519_s),MATCH($W1218,IF($T1218&lt;=60,est05_k,est519_k),1)),""))</f>
        <v/>
      </c>
      <c r="AJ1218">
        <f>IF($W1218="","",IFERROR(INDEX(IF($T1218&lt;=60,peso05_l,peso510_l),MATCH($W1218,IF($T1218&lt;=60,peso05_k,peso510_k),1)),""))</f>
        <v/>
      </c>
      <c r="AK1218">
        <f>IF($W1218="","",IFERROR(INDEX(IF($T1218&lt;=60,peso05_m,peso510_m),MATCH($W1218,IF($T1218&lt;=60,peso05_k,peso510_k),1)),""))</f>
        <v/>
      </c>
      <c r="AL1218">
        <f>IF($W1218="","",IFERROR(INDEX(IF($T1218&lt;=60,peso05_s,peso510_s),MATCH($W1218,IF($T1218&lt;=60,peso05_k,peso510_k),1)),""))</f>
        <v/>
      </c>
      <c r="AM1218">
        <f>IF($AJ1218="","",IF($AJ1218=0,LN($F1218/$AK1218)/$AL1218,((($F1218/$AK1218)^$AJ1218)-1)/($AJ1218*$AL1218)))</f>
        <v/>
      </c>
      <c r="AN1218">
        <f>IF($AJ1218="","",IF($AJ1218=0,$AK1218*EXP($AL1218*2),$AK1218*(1+$AJ1218*$AL1218*2)^(1/$AJ1218)))</f>
        <v/>
      </c>
      <c r="AO1218">
        <f>IF($AJ1218="","",IF($AJ1218=0,$AK1218*EXP($AL1218*3),$AK1218*(1+$AJ1218*$AL1218*3)^(1/$AJ1218)))</f>
        <v/>
      </c>
      <c r="AP1218">
        <f>IF($AJ1218="","",IF($AJ1218=0,$AK1218*EXP($AL1218*-2),$AK1218*(1+$AJ1218*$AL1218*-2)^(1/$AJ1218)))</f>
        <v/>
      </c>
      <c r="AQ1218">
        <f>IF($AJ1218="","",IF($AJ1218=0,$AK1218*EXP($AL1218*-3),$AK1218*(1+$AJ1218*$AL1218*-3)^(1/$AJ1218)))</f>
        <v/>
      </c>
      <c r="AR1218">
        <f>IF(OR($X1218="",$T1218&gt;60),"",IFERROR(INDEX(IF($T1218&lt;24,pcomp_l,palt_l),MATCH($X1218,IF($T1218&lt;24,pcomp_k,palt_k),1)),""))</f>
        <v/>
      </c>
      <c r="AS1218">
        <f>IF(OR($X1218="",$T1218&gt;60),"",IFERROR(INDEX(IF($T1218&lt;24,pcomp_m,palt_m),MATCH($X1218,IF($T1218&lt;24,pcomp_k,palt_k),1)),""))</f>
        <v/>
      </c>
      <c r="AT1218">
        <f>IF(OR($X1218="",$T1218&gt;60),"",IFERROR(INDEX(IF($T1218&lt;24,pcomp_s,palt_s),MATCH($X1218,IF($T1218&lt;24,pcomp_k,palt_k),1)),""))</f>
        <v/>
      </c>
      <c r="AU1218">
        <f>IF($AR1218="","",IF($AR1218=0,LN($F1218/$AS1218)/$AT1218,((($F1218/$AS1218)^$AR1218)-1)/($AR1218*$AT1218)))</f>
        <v/>
      </c>
      <c r="AV1218">
        <f>IF($AR1218="","",IF($AR1218=0,$AS1218*EXP($AT1218*2),$AS1218*(1+$AR1218*$AT1218*2)^(1/$AR1218)))</f>
        <v/>
      </c>
      <c r="AW1218">
        <f>IF($AR1218="","",IF($AR1218=0,$AS1218*EXP($AT1218*3),$AS1218*(1+$AR1218*$AT1218*3)^(1/$AR1218)))</f>
        <v/>
      </c>
      <c r="AX1218">
        <f>IF($AR1218="","",IF($AR1218=0,$AS1218*EXP($AT1218*-2),$AS1218*(1+$AR1218*$AT1218*-2)^(1/$AR1218)))</f>
        <v/>
      </c>
      <c r="AY1218">
        <f>IF($AR1218="","",IF($AR1218=0,$AS1218*EXP($AT1218*-3),$AS1218*(1+$AR1218*$AT1218*-3)^(1/$AR1218)))</f>
        <v/>
      </c>
      <c r="AZ1218">
        <f>IF(OR($A1218="",$A1218&lt;&gt;Ficha!$C$4),"",COUNTIF($A$2:$A1218,Ficha!$C$4))</f>
        <v/>
      </c>
    </row>
    <row r="1219">
      <c r="A1219" s="8">
        <f>IF(INDEX(Banco!$A:$A,ROW())="","",INDEX(Banco!$A:$A,ROW()))</f>
        <v/>
      </c>
      <c r="B1219" s="8">
        <f>IF(INDEX(Banco!$B:$B,ROW())="","",INDEX(Banco!$B:$B,ROW()))</f>
        <v/>
      </c>
      <c r="C1219" s="8">
        <f>IF(INDEX(Banco!$C:$C,ROW())="","",INDEX(Banco!$C:$C,ROW()))</f>
        <v/>
      </c>
      <c r="D1219" s="9">
        <f>IF(INDEX(Banco!$D:$D,ROW())="","",INDEX(Banco!$D:$D,ROW()))</f>
        <v/>
      </c>
      <c r="E1219" s="9">
        <f>IF(INDEX(Banco!$E:$E,ROW())="","",INDEX(Banco!$E:$E,ROW()))</f>
        <v/>
      </c>
      <c r="F1219" s="10">
        <f>IF(INDEX(Banco!$F:$F,ROW())="","",INDEX(Banco!$F:$F,ROW()))</f>
        <v/>
      </c>
      <c r="G1219" s="10">
        <f>IF(INDEX(Banco!$G:$G,ROW())="","",INDEX(Banco!$G:$G,ROW()))</f>
        <v/>
      </c>
      <c r="H1219" s="8">
        <f>IF(INDEX(Banco!$H:$H,ROW())="","",INDEX(Banco!$H:$H,ROW()))</f>
        <v/>
      </c>
      <c r="I1219">
        <f>IF($T1219="","",INT($T1219/12)&amp;"a "&amp;MOD($T1219,12)&amp;"m")</f>
        <v/>
      </c>
      <c r="J1219" s="11">
        <f>IF(OR($F1219="",$G1219=""),"",ROUND($F1219/($G1219/100)^2,2))</f>
        <v/>
      </c>
      <c r="K1219" s="12">
        <f>IF(OR($S1219="",$J1219="",$T1219="",$T1219&lt;0,$T1219&gt;228,$Y1219=""),"—",ROUND(IF(ABS($AB1219)&lt;=3,$AB1219,IF($AB1219&gt;3,3+($J1219-$AD1219)/($AD1219-$AC1219),-3+($J1219-$AF1219)/($AE1219-$AF1219))),2))</f>
        <v/>
      </c>
      <c r="L1219">
        <f>IF(OR($K1219="",$K1219="—"),"",IF($T1219&lt;=60,IF($K1219&lt;-3,"Magreza acentuada",IF($K1219&lt;-2,"Magreza",IF($K1219&lt;=1,"Eutrofia",IF($K1219&lt;=2,"Risco de sobrepeso",IF($K1219&lt;=3,"Sobrepeso","Obesidade"))))),IF($K1219&lt;-3,"Magreza acentuada",IF($K1219&lt;-2,"Magreza",IF($K1219&lt;=1,"Eutrofia",IF($K1219&lt;=2,"Sobrepeso",IF($K1219&lt;=3,"Obesidade","Obesidade grave")))))))</f>
        <v/>
      </c>
      <c r="M1219" s="12">
        <f>IF(OR($S1219="",$V1219="",$T1219="",$T1219&lt;0,$T1219&gt;228,$AG1219=""),"—",ROUND(IF($AG1219=0,LN($V1219/$AH1219)/$AI1219,((($V1219/$AH1219)^$AG1219)-1)/($AG1219*$AI1219)),2))</f>
        <v/>
      </c>
      <c r="N1219">
        <f>IF(OR($M1219="",$M1219="—"),"",IF($M1219&lt;-3,"Muito baixa",IF($M1219&lt;-2,"Baixa","Adequada")))</f>
        <v/>
      </c>
      <c r="O1219" s="12">
        <f>IF(OR($S1219="",$F1219="",$T1219="",$T1219&lt;0,$T1219&gt;120,$AJ1219=""),"—",ROUND(IF(ABS($AM1219)&lt;=3,$AM1219,IF($AM1219&gt;3,3+($F1219-$AO1219)/($AO1219-$AN1219),-3+($F1219-$AQ1219)/($AP1219-$AQ1219))),2))</f>
        <v/>
      </c>
      <c r="P1219">
        <f>IF(OR($O1219="",$O1219="—"),"",IF($O1219&lt;-3,"Muito baixo",IF($O1219&lt;-2,"Baixo",IF($O1219&lt;=2,"Adequado","Elevado"))))</f>
        <v/>
      </c>
      <c r="Q1219" s="12">
        <f>IF(OR($S1219="",$F1219="",$T1219="",$T1219&lt;0,$T1219&gt;60,$AR1219=""),"—",ROUND(IF(ABS($AU1219)&lt;=3,$AU1219,IF($AU1219&gt;3,3+($F1219-$AW1219)/($AW1219-$AV1219),-3+($F1219-$AY1219)/($AX1219-$AY1219))),2))</f>
        <v/>
      </c>
      <c r="R1219">
        <f>IF(OR($Q1219="",$Q1219="—"),"",IF($Q1219&lt;-3,"Magreza acentuada",IF($Q1219&lt;-2,"Magreza",IF($Q1219&lt;=1,"Eutrofia",IF($Q1219&lt;=2,"Risco de sobrepeso",IF($Q1219&lt;=3,"Sobrepeso","Obesidade"))))))</f>
        <v/>
      </c>
      <c r="S1219">
        <f>IF($C1219="","",IF(UPPER(LEFT($C1219,1))="M",1,IF(UPPER(LEFT($C1219,1))="F",2,"")))</f>
        <v/>
      </c>
      <c r="T1219">
        <f>IF(OR($D1219="",$E1219=""),"",DATEDIF($D1219,$E1219,"m"))</f>
        <v/>
      </c>
      <c r="U1219">
        <f>IF(OR($D1219="",$E1219=""),"",$E1219-$D1219)</f>
        <v/>
      </c>
      <c r="V1219">
        <f>IF(OR($G1219="",$T1219=""),"",IF($T1219&lt;24,IF(LEFT(LOWER($H1219),4)="em p",$G1219+0.7,$G1219),IF(LEFT(LOWER($H1219),4)="deit",$G1219-0.7,$G1219)))</f>
        <v/>
      </c>
      <c r="W1219">
        <f>IF(OR($S1219="",$T1219=""),"",$S1219*1000000+IF($T1219&lt;=60,$U1219,$T1219))</f>
        <v/>
      </c>
      <c r="X1219">
        <f>IF(OR($S1219="",$V1219="",$T1219&gt;60,$T1219=""),"",$S1219*1000000+ROUND($V1219*10,0))</f>
        <v/>
      </c>
      <c r="Y1219">
        <f>IF($W1219="","",IFERROR(INDEX(IF($T1219&lt;=60,imc05_l,imc519_l),MATCH($W1219,IF($T1219&lt;=60,imc05_k,imc519_k),1)),""))</f>
        <v/>
      </c>
      <c r="Z1219">
        <f>IF($W1219="","",IFERROR(INDEX(IF($T1219&lt;=60,imc05_m,imc519_m),MATCH($W1219,IF($T1219&lt;=60,imc05_k,imc519_k),1)),""))</f>
        <v/>
      </c>
      <c r="AA1219">
        <f>IF($W1219="","",IFERROR(INDEX(IF($T1219&lt;=60,imc05_s,imc519_s),MATCH($W1219,IF($T1219&lt;=60,imc05_k,imc519_k),1)),""))</f>
        <v/>
      </c>
      <c r="AB1219">
        <f>IF($Y1219="","",IF($Y1219=0,LN($J1219/$Z1219)/$AA1219,((($J1219/$Z1219)^$Y1219)-1)/($Y1219*$AA1219)))</f>
        <v/>
      </c>
      <c r="AC1219">
        <f>IF($Y1219="","",IF($Y1219=0,$Z1219*EXP($AA1219*2),$Z1219*(1+$Y1219*$AA1219*2)^(1/$Y1219)))</f>
        <v/>
      </c>
      <c r="AD1219">
        <f>IF($Y1219="","",IF($Y1219=0,$Z1219*EXP($AA1219*3),$Z1219*(1+$Y1219*$AA1219*3)^(1/$Y1219)))</f>
        <v/>
      </c>
      <c r="AE1219">
        <f>IF($Y1219="","",IF($Y1219=0,$Z1219*EXP($AA1219*-2),$Z1219*(1+$Y1219*$AA1219*-2)^(1/$Y1219)))</f>
        <v/>
      </c>
      <c r="AF1219">
        <f>IF($Y1219="","",IF($Y1219=0,$Z1219*EXP($AA1219*-3),$Z1219*(1+$Y1219*$AA1219*-3)^(1/$Y1219)))</f>
        <v/>
      </c>
      <c r="AG1219">
        <f>IF($W1219="","",IFERROR(INDEX(IF($T1219&lt;=60,est05_l,est519_l),MATCH($W1219,IF($T1219&lt;=60,est05_k,est519_k),1)),""))</f>
        <v/>
      </c>
      <c r="AH1219">
        <f>IF($W1219="","",IFERROR(INDEX(IF($T1219&lt;=60,est05_m,est519_m),MATCH($W1219,IF($T1219&lt;=60,est05_k,est519_k),1)),""))</f>
        <v/>
      </c>
      <c r="AI1219">
        <f>IF($W1219="","",IFERROR(INDEX(IF($T1219&lt;=60,est05_s,est519_s),MATCH($W1219,IF($T1219&lt;=60,est05_k,est519_k),1)),""))</f>
        <v/>
      </c>
      <c r="AJ1219">
        <f>IF($W1219="","",IFERROR(INDEX(IF($T1219&lt;=60,peso05_l,peso510_l),MATCH($W1219,IF($T1219&lt;=60,peso05_k,peso510_k),1)),""))</f>
        <v/>
      </c>
      <c r="AK1219">
        <f>IF($W1219="","",IFERROR(INDEX(IF($T1219&lt;=60,peso05_m,peso510_m),MATCH($W1219,IF($T1219&lt;=60,peso05_k,peso510_k),1)),""))</f>
        <v/>
      </c>
      <c r="AL1219">
        <f>IF($W1219="","",IFERROR(INDEX(IF($T1219&lt;=60,peso05_s,peso510_s),MATCH($W1219,IF($T1219&lt;=60,peso05_k,peso510_k),1)),""))</f>
        <v/>
      </c>
      <c r="AM1219">
        <f>IF($AJ1219="","",IF($AJ1219=0,LN($F1219/$AK1219)/$AL1219,((($F1219/$AK1219)^$AJ1219)-1)/($AJ1219*$AL1219)))</f>
        <v/>
      </c>
      <c r="AN1219">
        <f>IF($AJ1219="","",IF($AJ1219=0,$AK1219*EXP($AL1219*2),$AK1219*(1+$AJ1219*$AL1219*2)^(1/$AJ1219)))</f>
        <v/>
      </c>
      <c r="AO1219">
        <f>IF($AJ1219="","",IF($AJ1219=0,$AK1219*EXP($AL1219*3),$AK1219*(1+$AJ1219*$AL1219*3)^(1/$AJ1219)))</f>
        <v/>
      </c>
      <c r="AP1219">
        <f>IF($AJ1219="","",IF($AJ1219=0,$AK1219*EXP($AL1219*-2),$AK1219*(1+$AJ1219*$AL1219*-2)^(1/$AJ1219)))</f>
        <v/>
      </c>
      <c r="AQ1219">
        <f>IF($AJ1219="","",IF($AJ1219=0,$AK1219*EXP($AL1219*-3),$AK1219*(1+$AJ1219*$AL1219*-3)^(1/$AJ1219)))</f>
        <v/>
      </c>
      <c r="AR1219">
        <f>IF(OR($X1219="",$T1219&gt;60),"",IFERROR(INDEX(IF($T1219&lt;24,pcomp_l,palt_l),MATCH($X1219,IF($T1219&lt;24,pcomp_k,palt_k),1)),""))</f>
        <v/>
      </c>
      <c r="AS1219">
        <f>IF(OR($X1219="",$T1219&gt;60),"",IFERROR(INDEX(IF($T1219&lt;24,pcomp_m,palt_m),MATCH($X1219,IF($T1219&lt;24,pcomp_k,palt_k),1)),""))</f>
        <v/>
      </c>
      <c r="AT1219">
        <f>IF(OR($X1219="",$T1219&gt;60),"",IFERROR(INDEX(IF($T1219&lt;24,pcomp_s,palt_s),MATCH($X1219,IF($T1219&lt;24,pcomp_k,palt_k),1)),""))</f>
        <v/>
      </c>
      <c r="AU1219">
        <f>IF($AR1219="","",IF($AR1219=0,LN($F1219/$AS1219)/$AT1219,((($F1219/$AS1219)^$AR1219)-1)/($AR1219*$AT1219)))</f>
        <v/>
      </c>
      <c r="AV1219">
        <f>IF($AR1219="","",IF($AR1219=0,$AS1219*EXP($AT1219*2),$AS1219*(1+$AR1219*$AT1219*2)^(1/$AR1219)))</f>
        <v/>
      </c>
      <c r="AW1219">
        <f>IF($AR1219="","",IF($AR1219=0,$AS1219*EXP($AT1219*3),$AS1219*(1+$AR1219*$AT1219*3)^(1/$AR1219)))</f>
        <v/>
      </c>
      <c r="AX1219">
        <f>IF($AR1219="","",IF($AR1219=0,$AS1219*EXP($AT1219*-2),$AS1219*(1+$AR1219*$AT1219*-2)^(1/$AR1219)))</f>
        <v/>
      </c>
      <c r="AY1219">
        <f>IF($AR1219="","",IF($AR1219=0,$AS1219*EXP($AT1219*-3),$AS1219*(1+$AR1219*$AT1219*-3)^(1/$AR1219)))</f>
        <v/>
      </c>
      <c r="AZ1219">
        <f>IF(OR($A1219="",$A1219&lt;&gt;Ficha!$C$4),"",COUNTIF($A$2:$A1219,Ficha!$C$4))</f>
        <v/>
      </c>
    </row>
    <row r="1220">
      <c r="A1220" s="8">
        <f>IF(INDEX(Banco!$A:$A,ROW())="","",INDEX(Banco!$A:$A,ROW()))</f>
        <v/>
      </c>
      <c r="B1220" s="8">
        <f>IF(INDEX(Banco!$B:$B,ROW())="","",INDEX(Banco!$B:$B,ROW()))</f>
        <v/>
      </c>
      <c r="C1220" s="8">
        <f>IF(INDEX(Banco!$C:$C,ROW())="","",INDEX(Banco!$C:$C,ROW()))</f>
        <v/>
      </c>
      <c r="D1220" s="9">
        <f>IF(INDEX(Banco!$D:$D,ROW())="","",INDEX(Banco!$D:$D,ROW()))</f>
        <v/>
      </c>
      <c r="E1220" s="9">
        <f>IF(INDEX(Banco!$E:$E,ROW())="","",INDEX(Banco!$E:$E,ROW()))</f>
        <v/>
      </c>
      <c r="F1220" s="10">
        <f>IF(INDEX(Banco!$F:$F,ROW())="","",INDEX(Banco!$F:$F,ROW()))</f>
        <v/>
      </c>
      <c r="G1220" s="10">
        <f>IF(INDEX(Banco!$G:$G,ROW())="","",INDEX(Banco!$G:$G,ROW()))</f>
        <v/>
      </c>
      <c r="H1220" s="8">
        <f>IF(INDEX(Banco!$H:$H,ROW())="","",INDEX(Banco!$H:$H,ROW()))</f>
        <v/>
      </c>
      <c r="I1220">
        <f>IF($T1220="","",INT($T1220/12)&amp;"a "&amp;MOD($T1220,12)&amp;"m")</f>
        <v/>
      </c>
      <c r="J1220" s="11">
        <f>IF(OR($F1220="",$G1220=""),"",ROUND($F1220/($G1220/100)^2,2))</f>
        <v/>
      </c>
      <c r="K1220" s="12">
        <f>IF(OR($S1220="",$J1220="",$T1220="",$T1220&lt;0,$T1220&gt;228,$Y1220=""),"—",ROUND(IF(ABS($AB1220)&lt;=3,$AB1220,IF($AB1220&gt;3,3+($J1220-$AD1220)/($AD1220-$AC1220),-3+($J1220-$AF1220)/($AE1220-$AF1220))),2))</f>
        <v/>
      </c>
      <c r="L1220">
        <f>IF(OR($K1220="",$K1220="—"),"",IF($T1220&lt;=60,IF($K1220&lt;-3,"Magreza acentuada",IF($K1220&lt;-2,"Magreza",IF($K1220&lt;=1,"Eutrofia",IF($K1220&lt;=2,"Risco de sobrepeso",IF($K1220&lt;=3,"Sobrepeso","Obesidade"))))),IF($K1220&lt;-3,"Magreza acentuada",IF($K1220&lt;-2,"Magreza",IF($K1220&lt;=1,"Eutrofia",IF($K1220&lt;=2,"Sobrepeso",IF($K1220&lt;=3,"Obesidade","Obesidade grave")))))))</f>
        <v/>
      </c>
      <c r="M1220" s="12">
        <f>IF(OR($S1220="",$V1220="",$T1220="",$T1220&lt;0,$T1220&gt;228,$AG1220=""),"—",ROUND(IF($AG1220=0,LN($V1220/$AH1220)/$AI1220,((($V1220/$AH1220)^$AG1220)-1)/($AG1220*$AI1220)),2))</f>
        <v/>
      </c>
      <c r="N1220">
        <f>IF(OR($M1220="",$M1220="—"),"",IF($M1220&lt;-3,"Muito baixa",IF($M1220&lt;-2,"Baixa","Adequada")))</f>
        <v/>
      </c>
      <c r="O1220" s="12">
        <f>IF(OR($S1220="",$F1220="",$T1220="",$T1220&lt;0,$T1220&gt;120,$AJ1220=""),"—",ROUND(IF(ABS($AM1220)&lt;=3,$AM1220,IF($AM1220&gt;3,3+($F1220-$AO1220)/($AO1220-$AN1220),-3+($F1220-$AQ1220)/($AP1220-$AQ1220))),2))</f>
        <v/>
      </c>
      <c r="P1220">
        <f>IF(OR($O1220="",$O1220="—"),"",IF($O1220&lt;-3,"Muito baixo",IF($O1220&lt;-2,"Baixo",IF($O1220&lt;=2,"Adequado","Elevado"))))</f>
        <v/>
      </c>
      <c r="Q1220" s="12">
        <f>IF(OR($S1220="",$F1220="",$T1220="",$T1220&lt;0,$T1220&gt;60,$AR1220=""),"—",ROUND(IF(ABS($AU1220)&lt;=3,$AU1220,IF($AU1220&gt;3,3+($F1220-$AW1220)/($AW1220-$AV1220),-3+($F1220-$AY1220)/($AX1220-$AY1220))),2))</f>
        <v/>
      </c>
      <c r="R1220">
        <f>IF(OR($Q1220="",$Q1220="—"),"",IF($Q1220&lt;-3,"Magreza acentuada",IF($Q1220&lt;-2,"Magreza",IF($Q1220&lt;=1,"Eutrofia",IF($Q1220&lt;=2,"Risco de sobrepeso",IF($Q1220&lt;=3,"Sobrepeso","Obesidade"))))))</f>
        <v/>
      </c>
      <c r="S1220">
        <f>IF($C1220="","",IF(UPPER(LEFT($C1220,1))="M",1,IF(UPPER(LEFT($C1220,1))="F",2,"")))</f>
        <v/>
      </c>
      <c r="T1220">
        <f>IF(OR($D1220="",$E1220=""),"",DATEDIF($D1220,$E1220,"m"))</f>
        <v/>
      </c>
      <c r="U1220">
        <f>IF(OR($D1220="",$E1220=""),"",$E1220-$D1220)</f>
        <v/>
      </c>
      <c r="V1220">
        <f>IF(OR($G1220="",$T1220=""),"",IF($T1220&lt;24,IF(LEFT(LOWER($H1220),4)="em p",$G1220+0.7,$G1220),IF(LEFT(LOWER($H1220),4)="deit",$G1220-0.7,$G1220)))</f>
        <v/>
      </c>
      <c r="W1220">
        <f>IF(OR($S1220="",$T1220=""),"",$S1220*1000000+IF($T1220&lt;=60,$U1220,$T1220))</f>
        <v/>
      </c>
      <c r="X1220">
        <f>IF(OR($S1220="",$V1220="",$T1220&gt;60,$T1220=""),"",$S1220*1000000+ROUND($V1220*10,0))</f>
        <v/>
      </c>
      <c r="Y1220">
        <f>IF($W1220="","",IFERROR(INDEX(IF($T1220&lt;=60,imc05_l,imc519_l),MATCH($W1220,IF($T1220&lt;=60,imc05_k,imc519_k),1)),""))</f>
        <v/>
      </c>
      <c r="Z1220">
        <f>IF($W1220="","",IFERROR(INDEX(IF($T1220&lt;=60,imc05_m,imc519_m),MATCH($W1220,IF($T1220&lt;=60,imc05_k,imc519_k),1)),""))</f>
        <v/>
      </c>
      <c r="AA1220">
        <f>IF($W1220="","",IFERROR(INDEX(IF($T1220&lt;=60,imc05_s,imc519_s),MATCH($W1220,IF($T1220&lt;=60,imc05_k,imc519_k),1)),""))</f>
        <v/>
      </c>
      <c r="AB1220">
        <f>IF($Y1220="","",IF($Y1220=0,LN($J1220/$Z1220)/$AA1220,((($J1220/$Z1220)^$Y1220)-1)/($Y1220*$AA1220)))</f>
        <v/>
      </c>
      <c r="AC1220">
        <f>IF($Y1220="","",IF($Y1220=0,$Z1220*EXP($AA1220*2),$Z1220*(1+$Y1220*$AA1220*2)^(1/$Y1220)))</f>
        <v/>
      </c>
      <c r="AD1220">
        <f>IF($Y1220="","",IF($Y1220=0,$Z1220*EXP($AA1220*3),$Z1220*(1+$Y1220*$AA1220*3)^(1/$Y1220)))</f>
        <v/>
      </c>
      <c r="AE1220">
        <f>IF($Y1220="","",IF($Y1220=0,$Z1220*EXP($AA1220*-2),$Z1220*(1+$Y1220*$AA1220*-2)^(1/$Y1220)))</f>
        <v/>
      </c>
      <c r="AF1220">
        <f>IF($Y1220="","",IF($Y1220=0,$Z1220*EXP($AA1220*-3),$Z1220*(1+$Y1220*$AA1220*-3)^(1/$Y1220)))</f>
        <v/>
      </c>
      <c r="AG1220">
        <f>IF($W1220="","",IFERROR(INDEX(IF($T1220&lt;=60,est05_l,est519_l),MATCH($W1220,IF($T1220&lt;=60,est05_k,est519_k),1)),""))</f>
        <v/>
      </c>
      <c r="AH1220">
        <f>IF($W1220="","",IFERROR(INDEX(IF($T1220&lt;=60,est05_m,est519_m),MATCH($W1220,IF($T1220&lt;=60,est05_k,est519_k),1)),""))</f>
        <v/>
      </c>
      <c r="AI1220">
        <f>IF($W1220="","",IFERROR(INDEX(IF($T1220&lt;=60,est05_s,est519_s),MATCH($W1220,IF($T1220&lt;=60,est05_k,est519_k),1)),""))</f>
        <v/>
      </c>
      <c r="AJ1220">
        <f>IF($W1220="","",IFERROR(INDEX(IF($T1220&lt;=60,peso05_l,peso510_l),MATCH($W1220,IF($T1220&lt;=60,peso05_k,peso510_k),1)),""))</f>
        <v/>
      </c>
      <c r="AK1220">
        <f>IF($W1220="","",IFERROR(INDEX(IF($T1220&lt;=60,peso05_m,peso510_m),MATCH($W1220,IF($T1220&lt;=60,peso05_k,peso510_k),1)),""))</f>
        <v/>
      </c>
      <c r="AL1220">
        <f>IF($W1220="","",IFERROR(INDEX(IF($T1220&lt;=60,peso05_s,peso510_s),MATCH($W1220,IF($T1220&lt;=60,peso05_k,peso510_k),1)),""))</f>
        <v/>
      </c>
      <c r="AM1220">
        <f>IF($AJ1220="","",IF($AJ1220=0,LN($F1220/$AK1220)/$AL1220,((($F1220/$AK1220)^$AJ1220)-1)/($AJ1220*$AL1220)))</f>
        <v/>
      </c>
      <c r="AN1220">
        <f>IF($AJ1220="","",IF($AJ1220=0,$AK1220*EXP($AL1220*2),$AK1220*(1+$AJ1220*$AL1220*2)^(1/$AJ1220)))</f>
        <v/>
      </c>
      <c r="AO1220">
        <f>IF($AJ1220="","",IF($AJ1220=0,$AK1220*EXP($AL1220*3),$AK1220*(1+$AJ1220*$AL1220*3)^(1/$AJ1220)))</f>
        <v/>
      </c>
      <c r="AP1220">
        <f>IF($AJ1220="","",IF($AJ1220=0,$AK1220*EXP($AL1220*-2),$AK1220*(1+$AJ1220*$AL1220*-2)^(1/$AJ1220)))</f>
        <v/>
      </c>
      <c r="AQ1220">
        <f>IF($AJ1220="","",IF($AJ1220=0,$AK1220*EXP($AL1220*-3),$AK1220*(1+$AJ1220*$AL1220*-3)^(1/$AJ1220)))</f>
        <v/>
      </c>
      <c r="AR1220">
        <f>IF(OR($X1220="",$T1220&gt;60),"",IFERROR(INDEX(IF($T1220&lt;24,pcomp_l,palt_l),MATCH($X1220,IF($T1220&lt;24,pcomp_k,palt_k),1)),""))</f>
        <v/>
      </c>
      <c r="AS1220">
        <f>IF(OR($X1220="",$T1220&gt;60),"",IFERROR(INDEX(IF($T1220&lt;24,pcomp_m,palt_m),MATCH($X1220,IF($T1220&lt;24,pcomp_k,palt_k),1)),""))</f>
        <v/>
      </c>
      <c r="AT1220">
        <f>IF(OR($X1220="",$T1220&gt;60),"",IFERROR(INDEX(IF($T1220&lt;24,pcomp_s,palt_s),MATCH($X1220,IF($T1220&lt;24,pcomp_k,palt_k),1)),""))</f>
        <v/>
      </c>
      <c r="AU1220">
        <f>IF($AR1220="","",IF($AR1220=0,LN($F1220/$AS1220)/$AT1220,((($F1220/$AS1220)^$AR1220)-1)/($AR1220*$AT1220)))</f>
        <v/>
      </c>
      <c r="AV1220">
        <f>IF($AR1220="","",IF($AR1220=0,$AS1220*EXP($AT1220*2),$AS1220*(1+$AR1220*$AT1220*2)^(1/$AR1220)))</f>
        <v/>
      </c>
      <c r="AW1220">
        <f>IF($AR1220="","",IF($AR1220=0,$AS1220*EXP($AT1220*3),$AS1220*(1+$AR1220*$AT1220*3)^(1/$AR1220)))</f>
        <v/>
      </c>
      <c r="AX1220">
        <f>IF($AR1220="","",IF($AR1220=0,$AS1220*EXP($AT1220*-2),$AS1220*(1+$AR1220*$AT1220*-2)^(1/$AR1220)))</f>
        <v/>
      </c>
      <c r="AY1220">
        <f>IF($AR1220="","",IF($AR1220=0,$AS1220*EXP($AT1220*-3),$AS1220*(1+$AR1220*$AT1220*-3)^(1/$AR1220)))</f>
        <v/>
      </c>
      <c r="AZ1220">
        <f>IF(OR($A1220="",$A1220&lt;&gt;Ficha!$C$4),"",COUNTIF($A$2:$A1220,Ficha!$C$4))</f>
        <v/>
      </c>
    </row>
    <row r="1221">
      <c r="A1221" s="8">
        <f>IF(INDEX(Banco!$A:$A,ROW())="","",INDEX(Banco!$A:$A,ROW()))</f>
        <v/>
      </c>
      <c r="B1221" s="8">
        <f>IF(INDEX(Banco!$B:$B,ROW())="","",INDEX(Banco!$B:$B,ROW()))</f>
        <v/>
      </c>
      <c r="C1221" s="8">
        <f>IF(INDEX(Banco!$C:$C,ROW())="","",INDEX(Banco!$C:$C,ROW()))</f>
        <v/>
      </c>
      <c r="D1221" s="9">
        <f>IF(INDEX(Banco!$D:$D,ROW())="","",INDEX(Banco!$D:$D,ROW()))</f>
        <v/>
      </c>
      <c r="E1221" s="9">
        <f>IF(INDEX(Banco!$E:$E,ROW())="","",INDEX(Banco!$E:$E,ROW()))</f>
        <v/>
      </c>
      <c r="F1221" s="10">
        <f>IF(INDEX(Banco!$F:$F,ROW())="","",INDEX(Banco!$F:$F,ROW()))</f>
        <v/>
      </c>
      <c r="G1221" s="10">
        <f>IF(INDEX(Banco!$G:$G,ROW())="","",INDEX(Banco!$G:$G,ROW()))</f>
        <v/>
      </c>
      <c r="H1221" s="8">
        <f>IF(INDEX(Banco!$H:$H,ROW())="","",INDEX(Banco!$H:$H,ROW()))</f>
        <v/>
      </c>
      <c r="I1221">
        <f>IF($T1221="","",INT($T1221/12)&amp;"a "&amp;MOD($T1221,12)&amp;"m")</f>
        <v/>
      </c>
      <c r="J1221" s="11">
        <f>IF(OR($F1221="",$G1221=""),"",ROUND($F1221/($G1221/100)^2,2))</f>
        <v/>
      </c>
      <c r="K1221" s="12">
        <f>IF(OR($S1221="",$J1221="",$T1221="",$T1221&lt;0,$T1221&gt;228,$Y1221=""),"—",ROUND(IF(ABS($AB1221)&lt;=3,$AB1221,IF($AB1221&gt;3,3+($J1221-$AD1221)/($AD1221-$AC1221),-3+($J1221-$AF1221)/($AE1221-$AF1221))),2))</f>
        <v/>
      </c>
      <c r="L1221">
        <f>IF(OR($K1221="",$K1221="—"),"",IF($T1221&lt;=60,IF($K1221&lt;-3,"Magreza acentuada",IF($K1221&lt;-2,"Magreza",IF($K1221&lt;=1,"Eutrofia",IF($K1221&lt;=2,"Risco de sobrepeso",IF($K1221&lt;=3,"Sobrepeso","Obesidade"))))),IF($K1221&lt;-3,"Magreza acentuada",IF($K1221&lt;-2,"Magreza",IF($K1221&lt;=1,"Eutrofia",IF($K1221&lt;=2,"Sobrepeso",IF($K1221&lt;=3,"Obesidade","Obesidade grave")))))))</f>
        <v/>
      </c>
      <c r="M1221" s="12">
        <f>IF(OR($S1221="",$V1221="",$T1221="",$T1221&lt;0,$T1221&gt;228,$AG1221=""),"—",ROUND(IF($AG1221=0,LN($V1221/$AH1221)/$AI1221,((($V1221/$AH1221)^$AG1221)-1)/($AG1221*$AI1221)),2))</f>
        <v/>
      </c>
      <c r="N1221">
        <f>IF(OR($M1221="",$M1221="—"),"",IF($M1221&lt;-3,"Muito baixa",IF($M1221&lt;-2,"Baixa","Adequada")))</f>
        <v/>
      </c>
      <c r="O1221" s="12">
        <f>IF(OR($S1221="",$F1221="",$T1221="",$T1221&lt;0,$T1221&gt;120,$AJ1221=""),"—",ROUND(IF(ABS($AM1221)&lt;=3,$AM1221,IF($AM1221&gt;3,3+($F1221-$AO1221)/($AO1221-$AN1221),-3+($F1221-$AQ1221)/($AP1221-$AQ1221))),2))</f>
        <v/>
      </c>
      <c r="P1221">
        <f>IF(OR($O1221="",$O1221="—"),"",IF($O1221&lt;-3,"Muito baixo",IF($O1221&lt;-2,"Baixo",IF($O1221&lt;=2,"Adequado","Elevado"))))</f>
        <v/>
      </c>
      <c r="Q1221" s="12">
        <f>IF(OR($S1221="",$F1221="",$T1221="",$T1221&lt;0,$T1221&gt;60,$AR1221=""),"—",ROUND(IF(ABS($AU1221)&lt;=3,$AU1221,IF($AU1221&gt;3,3+($F1221-$AW1221)/($AW1221-$AV1221),-3+($F1221-$AY1221)/($AX1221-$AY1221))),2))</f>
        <v/>
      </c>
      <c r="R1221">
        <f>IF(OR($Q1221="",$Q1221="—"),"",IF($Q1221&lt;-3,"Magreza acentuada",IF($Q1221&lt;-2,"Magreza",IF($Q1221&lt;=1,"Eutrofia",IF($Q1221&lt;=2,"Risco de sobrepeso",IF($Q1221&lt;=3,"Sobrepeso","Obesidade"))))))</f>
        <v/>
      </c>
      <c r="S1221">
        <f>IF($C1221="","",IF(UPPER(LEFT($C1221,1))="M",1,IF(UPPER(LEFT($C1221,1))="F",2,"")))</f>
        <v/>
      </c>
      <c r="T1221">
        <f>IF(OR($D1221="",$E1221=""),"",DATEDIF($D1221,$E1221,"m"))</f>
        <v/>
      </c>
      <c r="U1221">
        <f>IF(OR($D1221="",$E1221=""),"",$E1221-$D1221)</f>
        <v/>
      </c>
      <c r="V1221">
        <f>IF(OR($G1221="",$T1221=""),"",IF($T1221&lt;24,IF(LEFT(LOWER($H1221),4)="em p",$G1221+0.7,$G1221),IF(LEFT(LOWER($H1221),4)="deit",$G1221-0.7,$G1221)))</f>
        <v/>
      </c>
      <c r="W1221">
        <f>IF(OR($S1221="",$T1221=""),"",$S1221*1000000+IF($T1221&lt;=60,$U1221,$T1221))</f>
        <v/>
      </c>
      <c r="X1221">
        <f>IF(OR($S1221="",$V1221="",$T1221&gt;60,$T1221=""),"",$S1221*1000000+ROUND($V1221*10,0))</f>
        <v/>
      </c>
      <c r="Y1221">
        <f>IF($W1221="","",IFERROR(INDEX(IF($T1221&lt;=60,imc05_l,imc519_l),MATCH($W1221,IF($T1221&lt;=60,imc05_k,imc519_k),1)),""))</f>
        <v/>
      </c>
      <c r="Z1221">
        <f>IF($W1221="","",IFERROR(INDEX(IF($T1221&lt;=60,imc05_m,imc519_m),MATCH($W1221,IF($T1221&lt;=60,imc05_k,imc519_k),1)),""))</f>
        <v/>
      </c>
      <c r="AA1221">
        <f>IF($W1221="","",IFERROR(INDEX(IF($T1221&lt;=60,imc05_s,imc519_s),MATCH($W1221,IF($T1221&lt;=60,imc05_k,imc519_k),1)),""))</f>
        <v/>
      </c>
      <c r="AB1221">
        <f>IF($Y1221="","",IF($Y1221=0,LN($J1221/$Z1221)/$AA1221,((($J1221/$Z1221)^$Y1221)-1)/($Y1221*$AA1221)))</f>
        <v/>
      </c>
      <c r="AC1221">
        <f>IF($Y1221="","",IF($Y1221=0,$Z1221*EXP($AA1221*2),$Z1221*(1+$Y1221*$AA1221*2)^(1/$Y1221)))</f>
        <v/>
      </c>
      <c r="AD1221">
        <f>IF($Y1221="","",IF($Y1221=0,$Z1221*EXP($AA1221*3),$Z1221*(1+$Y1221*$AA1221*3)^(1/$Y1221)))</f>
        <v/>
      </c>
      <c r="AE1221">
        <f>IF($Y1221="","",IF($Y1221=0,$Z1221*EXP($AA1221*-2),$Z1221*(1+$Y1221*$AA1221*-2)^(1/$Y1221)))</f>
        <v/>
      </c>
      <c r="AF1221">
        <f>IF($Y1221="","",IF($Y1221=0,$Z1221*EXP($AA1221*-3),$Z1221*(1+$Y1221*$AA1221*-3)^(1/$Y1221)))</f>
        <v/>
      </c>
      <c r="AG1221">
        <f>IF($W1221="","",IFERROR(INDEX(IF($T1221&lt;=60,est05_l,est519_l),MATCH($W1221,IF($T1221&lt;=60,est05_k,est519_k),1)),""))</f>
        <v/>
      </c>
      <c r="AH1221">
        <f>IF($W1221="","",IFERROR(INDEX(IF($T1221&lt;=60,est05_m,est519_m),MATCH($W1221,IF($T1221&lt;=60,est05_k,est519_k),1)),""))</f>
        <v/>
      </c>
      <c r="AI1221">
        <f>IF($W1221="","",IFERROR(INDEX(IF($T1221&lt;=60,est05_s,est519_s),MATCH($W1221,IF($T1221&lt;=60,est05_k,est519_k),1)),""))</f>
        <v/>
      </c>
      <c r="AJ1221">
        <f>IF($W1221="","",IFERROR(INDEX(IF($T1221&lt;=60,peso05_l,peso510_l),MATCH($W1221,IF($T1221&lt;=60,peso05_k,peso510_k),1)),""))</f>
        <v/>
      </c>
      <c r="AK1221">
        <f>IF($W1221="","",IFERROR(INDEX(IF($T1221&lt;=60,peso05_m,peso510_m),MATCH($W1221,IF($T1221&lt;=60,peso05_k,peso510_k),1)),""))</f>
        <v/>
      </c>
      <c r="AL1221">
        <f>IF($W1221="","",IFERROR(INDEX(IF($T1221&lt;=60,peso05_s,peso510_s),MATCH($W1221,IF($T1221&lt;=60,peso05_k,peso510_k),1)),""))</f>
        <v/>
      </c>
      <c r="AM1221">
        <f>IF($AJ1221="","",IF($AJ1221=0,LN($F1221/$AK1221)/$AL1221,((($F1221/$AK1221)^$AJ1221)-1)/($AJ1221*$AL1221)))</f>
        <v/>
      </c>
      <c r="AN1221">
        <f>IF($AJ1221="","",IF($AJ1221=0,$AK1221*EXP($AL1221*2),$AK1221*(1+$AJ1221*$AL1221*2)^(1/$AJ1221)))</f>
        <v/>
      </c>
      <c r="AO1221">
        <f>IF($AJ1221="","",IF($AJ1221=0,$AK1221*EXP($AL1221*3),$AK1221*(1+$AJ1221*$AL1221*3)^(1/$AJ1221)))</f>
        <v/>
      </c>
      <c r="AP1221">
        <f>IF($AJ1221="","",IF($AJ1221=0,$AK1221*EXP($AL1221*-2),$AK1221*(1+$AJ1221*$AL1221*-2)^(1/$AJ1221)))</f>
        <v/>
      </c>
      <c r="AQ1221">
        <f>IF($AJ1221="","",IF($AJ1221=0,$AK1221*EXP($AL1221*-3),$AK1221*(1+$AJ1221*$AL1221*-3)^(1/$AJ1221)))</f>
        <v/>
      </c>
      <c r="AR1221">
        <f>IF(OR($X1221="",$T1221&gt;60),"",IFERROR(INDEX(IF($T1221&lt;24,pcomp_l,palt_l),MATCH($X1221,IF($T1221&lt;24,pcomp_k,palt_k),1)),""))</f>
        <v/>
      </c>
      <c r="AS1221">
        <f>IF(OR($X1221="",$T1221&gt;60),"",IFERROR(INDEX(IF($T1221&lt;24,pcomp_m,palt_m),MATCH($X1221,IF($T1221&lt;24,pcomp_k,palt_k),1)),""))</f>
        <v/>
      </c>
      <c r="AT1221">
        <f>IF(OR($X1221="",$T1221&gt;60),"",IFERROR(INDEX(IF($T1221&lt;24,pcomp_s,palt_s),MATCH($X1221,IF($T1221&lt;24,pcomp_k,palt_k),1)),""))</f>
        <v/>
      </c>
      <c r="AU1221">
        <f>IF($AR1221="","",IF($AR1221=0,LN($F1221/$AS1221)/$AT1221,((($F1221/$AS1221)^$AR1221)-1)/($AR1221*$AT1221)))</f>
        <v/>
      </c>
      <c r="AV1221">
        <f>IF($AR1221="","",IF($AR1221=0,$AS1221*EXP($AT1221*2),$AS1221*(1+$AR1221*$AT1221*2)^(1/$AR1221)))</f>
        <v/>
      </c>
      <c r="AW1221">
        <f>IF($AR1221="","",IF($AR1221=0,$AS1221*EXP($AT1221*3),$AS1221*(1+$AR1221*$AT1221*3)^(1/$AR1221)))</f>
        <v/>
      </c>
      <c r="AX1221">
        <f>IF($AR1221="","",IF($AR1221=0,$AS1221*EXP($AT1221*-2),$AS1221*(1+$AR1221*$AT1221*-2)^(1/$AR1221)))</f>
        <v/>
      </c>
      <c r="AY1221">
        <f>IF($AR1221="","",IF($AR1221=0,$AS1221*EXP($AT1221*-3),$AS1221*(1+$AR1221*$AT1221*-3)^(1/$AR1221)))</f>
        <v/>
      </c>
      <c r="AZ1221">
        <f>IF(OR($A1221="",$A1221&lt;&gt;Ficha!$C$4),"",COUNTIF($A$2:$A1221,Ficha!$C$4))</f>
        <v/>
      </c>
    </row>
    <row r="1222">
      <c r="A1222" s="8">
        <f>IF(INDEX(Banco!$A:$A,ROW())="","",INDEX(Banco!$A:$A,ROW()))</f>
        <v/>
      </c>
      <c r="B1222" s="8">
        <f>IF(INDEX(Banco!$B:$B,ROW())="","",INDEX(Banco!$B:$B,ROW()))</f>
        <v/>
      </c>
      <c r="C1222" s="8">
        <f>IF(INDEX(Banco!$C:$C,ROW())="","",INDEX(Banco!$C:$C,ROW()))</f>
        <v/>
      </c>
      <c r="D1222" s="9">
        <f>IF(INDEX(Banco!$D:$D,ROW())="","",INDEX(Banco!$D:$D,ROW()))</f>
        <v/>
      </c>
      <c r="E1222" s="9">
        <f>IF(INDEX(Banco!$E:$E,ROW())="","",INDEX(Banco!$E:$E,ROW()))</f>
        <v/>
      </c>
      <c r="F1222" s="10">
        <f>IF(INDEX(Banco!$F:$F,ROW())="","",INDEX(Banco!$F:$F,ROW()))</f>
        <v/>
      </c>
      <c r="G1222" s="10">
        <f>IF(INDEX(Banco!$G:$G,ROW())="","",INDEX(Banco!$G:$G,ROW()))</f>
        <v/>
      </c>
      <c r="H1222" s="8">
        <f>IF(INDEX(Banco!$H:$H,ROW())="","",INDEX(Banco!$H:$H,ROW()))</f>
        <v/>
      </c>
      <c r="I1222">
        <f>IF($T1222="","",INT($T1222/12)&amp;"a "&amp;MOD($T1222,12)&amp;"m")</f>
        <v/>
      </c>
      <c r="J1222" s="11">
        <f>IF(OR($F1222="",$G1222=""),"",ROUND($F1222/($G1222/100)^2,2))</f>
        <v/>
      </c>
      <c r="K1222" s="12">
        <f>IF(OR($S1222="",$J1222="",$T1222="",$T1222&lt;0,$T1222&gt;228,$Y1222=""),"—",ROUND(IF(ABS($AB1222)&lt;=3,$AB1222,IF($AB1222&gt;3,3+($J1222-$AD1222)/($AD1222-$AC1222),-3+($J1222-$AF1222)/($AE1222-$AF1222))),2))</f>
        <v/>
      </c>
      <c r="L1222">
        <f>IF(OR($K1222="",$K1222="—"),"",IF($T1222&lt;=60,IF($K1222&lt;-3,"Magreza acentuada",IF($K1222&lt;-2,"Magreza",IF($K1222&lt;=1,"Eutrofia",IF($K1222&lt;=2,"Risco de sobrepeso",IF($K1222&lt;=3,"Sobrepeso","Obesidade"))))),IF($K1222&lt;-3,"Magreza acentuada",IF($K1222&lt;-2,"Magreza",IF($K1222&lt;=1,"Eutrofia",IF($K1222&lt;=2,"Sobrepeso",IF($K1222&lt;=3,"Obesidade","Obesidade grave")))))))</f>
        <v/>
      </c>
      <c r="M1222" s="12">
        <f>IF(OR($S1222="",$V1222="",$T1222="",$T1222&lt;0,$T1222&gt;228,$AG1222=""),"—",ROUND(IF($AG1222=0,LN($V1222/$AH1222)/$AI1222,((($V1222/$AH1222)^$AG1222)-1)/($AG1222*$AI1222)),2))</f>
        <v/>
      </c>
      <c r="N1222">
        <f>IF(OR($M1222="",$M1222="—"),"",IF($M1222&lt;-3,"Muito baixa",IF($M1222&lt;-2,"Baixa","Adequada")))</f>
        <v/>
      </c>
      <c r="O1222" s="12">
        <f>IF(OR($S1222="",$F1222="",$T1222="",$T1222&lt;0,$T1222&gt;120,$AJ1222=""),"—",ROUND(IF(ABS($AM1222)&lt;=3,$AM1222,IF($AM1222&gt;3,3+($F1222-$AO1222)/($AO1222-$AN1222),-3+($F1222-$AQ1222)/($AP1222-$AQ1222))),2))</f>
        <v/>
      </c>
      <c r="P1222">
        <f>IF(OR($O1222="",$O1222="—"),"",IF($O1222&lt;-3,"Muito baixo",IF($O1222&lt;-2,"Baixo",IF($O1222&lt;=2,"Adequado","Elevado"))))</f>
        <v/>
      </c>
      <c r="Q1222" s="12">
        <f>IF(OR($S1222="",$F1222="",$T1222="",$T1222&lt;0,$T1222&gt;60,$AR1222=""),"—",ROUND(IF(ABS($AU1222)&lt;=3,$AU1222,IF($AU1222&gt;3,3+($F1222-$AW1222)/($AW1222-$AV1222),-3+($F1222-$AY1222)/($AX1222-$AY1222))),2))</f>
        <v/>
      </c>
      <c r="R1222">
        <f>IF(OR($Q1222="",$Q1222="—"),"",IF($Q1222&lt;-3,"Magreza acentuada",IF($Q1222&lt;-2,"Magreza",IF($Q1222&lt;=1,"Eutrofia",IF($Q1222&lt;=2,"Risco de sobrepeso",IF($Q1222&lt;=3,"Sobrepeso","Obesidade"))))))</f>
        <v/>
      </c>
      <c r="S1222">
        <f>IF($C1222="","",IF(UPPER(LEFT($C1222,1))="M",1,IF(UPPER(LEFT($C1222,1))="F",2,"")))</f>
        <v/>
      </c>
      <c r="T1222">
        <f>IF(OR($D1222="",$E1222=""),"",DATEDIF($D1222,$E1222,"m"))</f>
        <v/>
      </c>
      <c r="U1222">
        <f>IF(OR($D1222="",$E1222=""),"",$E1222-$D1222)</f>
        <v/>
      </c>
      <c r="V1222">
        <f>IF(OR($G1222="",$T1222=""),"",IF($T1222&lt;24,IF(LEFT(LOWER($H1222),4)="em p",$G1222+0.7,$G1222),IF(LEFT(LOWER($H1222),4)="deit",$G1222-0.7,$G1222)))</f>
        <v/>
      </c>
      <c r="W1222">
        <f>IF(OR($S1222="",$T1222=""),"",$S1222*1000000+IF($T1222&lt;=60,$U1222,$T1222))</f>
        <v/>
      </c>
      <c r="X1222">
        <f>IF(OR($S1222="",$V1222="",$T1222&gt;60,$T1222=""),"",$S1222*1000000+ROUND($V1222*10,0))</f>
        <v/>
      </c>
      <c r="Y1222">
        <f>IF($W1222="","",IFERROR(INDEX(IF($T1222&lt;=60,imc05_l,imc519_l),MATCH($W1222,IF($T1222&lt;=60,imc05_k,imc519_k),1)),""))</f>
        <v/>
      </c>
      <c r="Z1222">
        <f>IF($W1222="","",IFERROR(INDEX(IF($T1222&lt;=60,imc05_m,imc519_m),MATCH($W1222,IF($T1222&lt;=60,imc05_k,imc519_k),1)),""))</f>
        <v/>
      </c>
      <c r="AA1222">
        <f>IF($W1222="","",IFERROR(INDEX(IF($T1222&lt;=60,imc05_s,imc519_s),MATCH($W1222,IF($T1222&lt;=60,imc05_k,imc519_k),1)),""))</f>
        <v/>
      </c>
      <c r="AB1222">
        <f>IF($Y1222="","",IF($Y1222=0,LN($J1222/$Z1222)/$AA1222,((($J1222/$Z1222)^$Y1222)-1)/($Y1222*$AA1222)))</f>
        <v/>
      </c>
      <c r="AC1222">
        <f>IF($Y1222="","",IF($Y1222=0,$Z1222*EXP($AA1222*2),$Z1222*(1+$Y1222*$AA1222*2)^(1/$Y1222)))</f>
        <v/>
      </c>
      <c r="AD1222">
        <f>IF($Y1222="","",IF($Y1222=0,$Z1222*EXP($AA1222*3),$Z1222*(1+$Y1222*$AA1222*3)^(1/$Y1222)))</f>
        <v/>
      </c>
      <c r="AE1222">
        <f>IF($Y1222="","",IF($Y1222=0,$Z1222*EXP($AA1222*-2),$Z1222*(1+$Y1222*$AA1222*-2)^(1/$Y1222)))</f>
        <v/>
      </c>
      <c r="AF1222">
        <f>IF($Y1222="","",IF($Y1222=0,$Z1222*EXP($AA1222*-3),$Z1222*(1+$Y1222*$AA1222*-3)^(1/$Y1222)))</f>
        <v/>
      </c>
      <c r="AG1222">
        <f>IF($W1222="","",IFERROR(INDEX(IF($T1222&lt;=60,est05_l,est519_l),MATCH($W1222,IF($T1222&lt;=60,est05_k,est519_k),1)),""))</f>
        <v/>
      </c>
      <c r="AH1222">
        <f>IF($W1222="","",IFERROR(INDEX(IF($T1222&lt;=60,est05_m,est519_m),MATCH($W1222,IF($T1222&lt;=60,est05_k,est519_k),1)),""))</f>
        <v/>
      </c>
      <c r="AI1222">
        <f>IF($W1222="","",IFERROR(INDEX(IF($T1222&lt;=60,est05_s,est519_s),MATCH($W1222,IF($T1222&lt;=60,est05_k,est519_k),1)),""))</f>
        <v/>
      </c>
      <c r="AJ1222">
        <f>IF($W1222="","",IFERROR(INDEX(IF($T1222&lt;=60,peso05_l,peso510_l),MATCH($W1222,IF($T1222&lt;=60,peso05_k,peso510_k),1)),""))</f>
        <v/>
      </c>
      <c r="AK1222">
        <f>IF($W1222="","",IFERROR(INDEX(IF($T1222&lt;=60,peso05_m,peso510_m),MATCH($W1222,IF($T1222&lt;=60,peso05_k,peso510_k),1)),""))</f>
        <v/>
      </c>
      <c r="AL1222">
        <f>IF($W1222="","",IFERROR(INDEX(IF($T1222&lt;=60,peso05_s,peso510_s),MATCH($W1222,IF($T1222&lt;=60,peso05_k,peso510_k),1)),""))</f>
        <v/>
      </c>
      <c r="AM1222">
        <f>IF($AJ1222="","",IF($AJ1222=0,LN($F1222/$AK1222)/$AL1222,((($F1222/$AK1222)^$AJ1222)-1)/($AJ1222*$AL1222)))</f>
        <v/>
      </c>
      <c r="AN1222">
        <f>IF($AJ1222="","",IF($AJ1222=0,$AK1222*EXP($AL1222*2),$AK1222*(1+$AJ1222*$AL1222*2)^(1/$AJ1222)))</f>
        <v/>
      </c>
      <c r="AO1222">
        <f>IF($AJ1222="","",IF($AJ1222=0,$AK1222*EXP($AL1222*3),$AK1222*(1+$AJ1222*$AL1222*3)^(1/$AJ1222)))</f>
        <v/>
      </c>
      <c r="AP1222">
        <f>IF($AJ1222="","",IF($AJ1222=0,$AK1222*EXP($AL1222*-2),$AK1222*(1+$AJ1222*$AL1222*-2)^(1/$AJ1222)))</f>
        <v/>
      </c>
      <c r="AQ1222">
        <f>IF($AJ1222="","",IF($AJ1222=0,$AK1222*EXP($AL1222*-3),$AK1222*(1+$AJ1222*$AL1222*-3)^(1/$AJ1222)))</f>
        <v/>
      </c>
      <c r="AR1222">
        <f>IF(OR($X1222="",$T1222&gt;60),"",IFERROR(INDEX(IF($T1222&lt;24,pcomp_l,palt_l),MATCH($X1222,IF($T1222&lt;24,pcomp_k,palt_k),1)),""))</f>
        <v/>
      </c>
      <c r="AS1222">
        <f>IF(OR($X1222="",$T1222&gt;60),"",IFERROR(INDEX(IF($T1222&lt;24,pcomp_m,palt_m),MATCH($X1222,IF($T1222&lt;24,pcomp_k,palt_k),1)),""))</f>
        <v/>
      </c>
      <c r="AT1222">
        <f>IF(OR($X1222="",$T1222&gt;60),"",IFERROR(INDEX(IF($T1222&lt;24,pcomp_s,palt_s),MATCH($X1222,IF($T1222&lt;24,pcomp_k,palt_k),1)),""))</f>
        <v/>
      </c>
      <c r="AU1222">
        <f>IF($AR1222="","",IF($AR1222=0,LN($F1222/$AS1222)/$AT1222,((($F1222/$AS1222)^$AR1222)-1)/($AR1222*$AT1222)))</f>
        <v/>
      </c>
      <c r="AV1222">
        <f>IF($AR1222="","",IF($AR1222=0,$AS1222*EXP($AT1222*2),$AS1222*(1+$AR1222*$AT1222*2)^(1/$AR1222)))</f>
        <v/>
      </c>
      <c r="AW1222">
        <f>IF($AR1222="","",IF($AR1222=0,$AS1222*EXP($AT1222*3),$AS1222*(1+$AR1222*$AT1222*3)^(1/$AR1222)))</f>
        <v/>
      </c>
      <c r="AX1222">
        <f>IF($AR1222="","",IF($AR1222=0,$AS1222*EXP($AT1222*-2),$AS1222*(1+$AR1222*$AT1222*-2)^(1/$AR1222)))</f>
        <v/>
      </c>
      <c r="AY1222">
        <f>IF($AR1222="","",IF($AR1222=0,$AS1222*EXP($AT1222*-3),$AS1222*(1+$AR1222*$AT1222*-3)^(1/$AR1222)))</f>
        <v/>
      </c>
      <c r="AZ1222">
        <f>IF(OR($A1222="",$A1222&lt;&gt;Ficha!$C$4),"",COUNTIF($A$2:$A1222,Ficha!$C$4))</f>
        <v/>
      </c>
    </row>
    <row r="1223">
      <c r="A1223" s="8">
        <f>IF(INDEX(Banco!$A:$A,ROW())="","",INDEX(Banco!$A:$A,ROW()))</f>
        <v/>
      </c>
      <c r="B1223" s="8">
        <f>IF(INDEX(Banco!$B:$B,ROW())="","",INDEX(Banco!$B:$B,ROW()))</f>
        <v/>
      </c>
      <c r="C1223" s="8">
        <f>IF(INDEX(Banco!$C:$C,ROW())="","",INDEX(Banco!$C:$C,ROW()))</f>
        <v/>
      </c>
      <c r="D1223" s="9">
        <f>IF(INDEX(Banco!$D:$D,ROW())="","",INDEX(Banco!$D:$D,ROW()))</f>
        <v/>
      </c>
      <c r="E1223" s="9">
        <f>IF(INDEX(Banco!$E:$E,ROW())="","",INDEX(Banco!$E:$E,ROW()))</f>
        <v/>
      </c>
      <c r="F1223" s="10">
        <f>IF(INDEX(Banco!$F:$F,ROW())="","",INDEX(Banco!$F:$F,ROW()))</f>
        <v/>
      </c>
      <c r="G1223" s="10">
        <f>IF(INDEX(Banco!$G:$G,ROW())="","",INDEX(Banco!$G:$G,ROW()))</f>
        <v/>
      </c>
      <c r="H1223" s="8">
        <f>IF(INDEX(Banco!$H:$H,ROW())="","",INDEX(Banco!$H:$H,ROW()))</f>
        <v/>
      </c>
      <c r="I1223">
        <f>IF($T1223="","",INT($T1223/12)&amp;"a "&amp;MOD($T1223,12)&amp;"m")</f>
        <v/>
      </c>
      <c r="J1223" s="11">
        <f>IF(OR($F1223="",$G1223=""),"",ROUND($F1223/($G1223/100)^2,2))</f>
        <v/>
      </c>
      <c r="K1223" s="12">
        <f>IF(OR($S1223="",$J1223="",$T1223="",$T1223&lt;0,$T1223&gt;228,$Y1223=""),"—",ROUND(IF(ABS($AB1223)&lt;=3,$AB1223,IF($AB1223&gt;3,3+($J1223-$AD1223)/($AD1223-$AC1223),-3+($J1223-$AF1223)/($AE1223-$AF1223))),2))</f>
        <v/>
      </c>
      <c r="L1223">
        <f>IF(OR($K1223="",$K1223="—"),"",IF($T1223&lt;=60,IF($K1223&lt;-3,"Magreza acentuada",IF($K1223&lt;-2,"Magreza",IF($K1223&lt;=1,"Eutrofia",IF($K1223&lt;=2,"Risco de sobrepeso",IF($K1223&lt;=3,"Sobrepeso","Obesidade"))))),IF($K1223&lt;-3,"Magreza acentuada",IF($K1223&lt;-2,"Magreza",IF($K1223&lt;=1,"Eutrofia",IF($K1223&lt;=2,"Sobrepeso",IF($K1223&lt;=3,"Obesidade","Obesidade grave")))))))</f>
        <v/>
      </c>
      <c r="M1223" s="12">
        <f>IF(OR($S1223="",$V1223="",$T1223="",$T1223&lt;0,$T1223&gt;228,$AG1223=""),"—",ROUND(IF($AG1223=0,LN($V1223/$AH1223)/$AI1223,((($V1223/$AH1223)^$AG1223)-1)/($AG1223*$AI1223)),2))</f>
        <v/>
      </c>
      <c r="N1223">
        <f>IF(OR($M1223="",$M1223="—"),"",IF($M1223&lt;-3,"Muito baixa",IF($M1223&lt;-2,"Baixa","Adequada")))</f>
        <v/>
      </c>
      <c r="O1223" s="12">
        <f>IF(OR($S1223="",$F1223="",$T1223="",$T1223&lt;0,$T1223&gt;120,$AJ1223=""),"—",ROUND(IF(ABS($AM1223)&lt;=3,$AM1223,IF($AM1223&gt;3,3+($F1223-$AO1223)/($AO1223-$AN1223),-3+($F1223-$AQ1223)/($AP1223-$AQ1223))),2))</f>
        <v/>
      </c>
      <c r="P1223">
        <f>IF(OR($O1223="",$O1223="—"),"",IF($O1223&lt;-3,"Muito baixo",IF($O1223&lt;-2,"Baixo",IF($O1223&lt;=2,"Adequado","Elevado"))))</f>
        <v/>
      </c>
      <c r="Q1223" s="12">
        <f>IF(OR($S1223="",$F1223="",$T1223="",$T1223&lt;0,$T1223&gt;60,$AR1223=""),"—",ROUND(IF(ABS($AU1223)&lt;=3,$AU1223,IF($AU1223&gt;3,3+($F1223-$AW1223)/($AW1223-$AV1223),-3+($F1223-$AY1223)/($AX1223-$AY1223))),2))</f>
        <v/>
      </c>
      <c r="R1223">
        <f>IF(OR($Q1223="",$Q1223="—"),"",IF($Q1223&lt;-3,"Magreza acentuada",IF($Q1223&lt;-2,"Magreza",IF($Q1223&lt;=1,"Eutrofia",IF($Q1223&lt;=2,"Risco de sobrepeso",IF($Q1223&lt;=3,"Sobrepeso","Obesidade"))))))</f>
        <v/>
      </c>
      <c r="S1223">
        <f>IF($C1223="","",IF(UPPER(LEFT($C1223,1))="M",1,IF(UPPER(LEFT($C1223,1))="F",2,"")))</f>
        <v/>
      </c>
      <c r="T1223">
        <f>IF(OR($D1223="",$E1223=""),"",DATEDIF($D1223,$E1223,"m"))</f>
        <v/>
      </c>
      <c r="U1223">
        <f>IF(OR($D1223="",$E1223=""),"",$E1223-$D1223)</f>
        <v/>
      </c>
      <c r="V1223">
        <f>IF(OR($G1223="",$T1223=""),"",IF($T1223&lt;24,IF(LEFT(LOWER($H1223),4)="em p",$G1223+0.7,$G1223),IF(LEFT(LOWER($H1223),4)="deit",$G1223-0.7,$G1223)))</f>
        <v/>
      </c>
      <c r="W1223">
        <f>IF(OR($S1223="",$T1223=""),"",$S1223*1000000+IF($T1223&lt;=60,$U1223,$T1223))</f>
        <v/>
      </c>
      <c r="X1223">
        <f>IF(OR($S1223="",$V1223="",$T1223&gt;60,$T1223=""),"",$S1223*1000000+ROUND($V1223*10,0))</f>
        <v/>
      </c>
      <c r="Y1223">
        <f>IF($W1223="","",IFERROR(INDEX(IF($T1223&lt;=60,imc05_l,imc519_l),MATCH($W1223,IF($T1223&lt;=60,imc05_k,imc519_k),1)),""))</f>
        <v/>
      </c>
      <c r="Z1223">
        <f>IF($W1223="","",IFERROR(INDEX(IF($T1223&lt;=60,imc05_m,imc519_m),MATCH($W1223,IF($T1223&lt;=60,imc05_k,imc519_k),1)),""))</f>
        <v/>
      </c>
      <c r="AA1223">
        <f>IF($W1223="","",IFERROR(INDEX(IF($T1223&lt;=60,imc05_s,imc519_s),MATCH($W1223,IF($T1223&lt;=60,imc05_k,imc519_k),1)),""))</f>
        <v/>
      </c>
      <c r="AB1223">
        <f>IF($Y1223="","",IF($Y1223=0,LN($J1223/$Z1223)/$AA1223,((($J1223/$Z1223)^$Y1223)-1)/($Y1223*$AA1223)))</f>
        <v/>
      </c>
      <c r="AC1223">
        <f>IF($Y1223="","",IF($Y1223=0,$Z1223*EXP($AA1223*2),$Z1223*(1+$Y1223*$AA1223*2)^(1/$Y1223)))</f>
        <v/>
      </c>
      <c r="AD1223">
        <f>IF($Y1223="","",IF($Y1223=0,$Z1223*EXP($AA1223*3),$Z1223*(1+$Y1223*$AA1223*3)^(1/$Y1223)))</f>
        <v/>
      </c>
      <c r="AE1223">
        <f>IF($Y1223="","",IF($Y1223=0,$Z1223*EXP($AA1223*-2),$Z1223*(1+$Y1223*$AA1223*-2)^(1/$Y1223)))</f>
        <v/>
      </c>
      <c r="AF1223">
        <f>IF($Y1223="","",IF($Y1223=0,$Z1223*EXP($AA1223*-3),$Z1223*(1+$Y1223*$AA1223*-3)^(1/$Y1223)))</f>
        <v/>
      </c>
      <c r="AG1223">
        <f>IF($W1223="","",IFERROR(INDEX(IF($T1223&lt;=60,est05_l,est519_l),MATCH($W1223,IF($T1223&lt;=60,est05_k,est519_k),1)),""))</f>
        <v/>
      </c>
      <c r="AH1223">
        <f>IF($W1223="","",IFERROR(INDEX(IF($T1223&lt;=60,est05_m,est519_m),MATCH($W1223,IF($T1223&lt;=60,est05_k,est519_k),1)),""))</f>
        <v/>
      </c>
      <c r="AI1223">
        <f>IF($W1223="","",IFERROR(INDEX(IF($T1223&lt;=60,est05_s,est519_s),MATCH($W1223,IF($T1223&lt;=60,est05_k,est519_k),1)),""))</f>
        <v/>
      </c>
      <c r="AJ1223">
        <f>IF($W1223="","",IFERROR(INDEX(IF($T1223&lt;=60,peso05_l,peso510_l),MATCH($W1223,IF($T1223&lt;=60,peso05_k,peso510_k),1)),""))</f>
        <v/>
      </c>
      <c r="AK1223">
        <f>IF($W1223="","",IFERROR(INDEX(IF($T1223&lt;=60,peso05_m,peso510_m),MATCH($W1223,IF($T1223&lt;=60,peso05_k,peso510_k),1)),""))</f>
        <v/>
      </c>
      <c r="AL1223">
        <f>IF($W1223="","",IFERROR(INDEX(IF($T1223&lt;=60,peso05_s,peso510_s),MATCH($W1223,IF($T1223&lt;=60,peso05_k,peso510_k),1)),""))</f>
        <v/>
      </c>
      <c r="AM1223">
        <f>IF($AJ1223="","",IF($AJ1223=0,LN($F1223/$AK1223)/$AL1223,((($F1223/$AK1223)^$AJ1223)-1)/($AJ1223*$AL1223)))</f>
        <v/>
      </c>
      <c r="AN1223">
        <f>IF($AJ1223="","",IF($AJ1223=0,$AK1223*EXP($AL1223*2),$AK1223*(1+$AJ1223*$AL1223*2)^(1/$AJ1223)))</f>
        <v/>
      </c>
      <c r="AO1223">
        <f>IF($AJ1223="","",IF($AJ1223=0,$AK1223*EXP($AL1223*3),$AK1223*(1+$AJ1223*$AL1223*3)^(1/$AJ1223)))</f>
        <v/>
      </c>
      <c r="AP1223">
        <f>IF($AJ1223="","",IF($AJ1223=0,$AK1223*EXP($AL1223*-2),$AK1223*(1+$AJ1223*$AL1223*-2)^(1/$AJ1223)))</f>
        <v/>
      </c>
      <c r="AQ1223">
        <f>IF($AJ1223="","",IF($AJ1223=0,$AK1223*EXP($AL1223*-3),$AK1223*(1+$AJ1223*$AL1223*-3)^(1/$AJ1223)))</f>
        <v/>
      </c>
      <c r="AR1223">
        <f>IF(OR($X1223="",$T1223&gt;60),"",IFERROR(INDEX(IF($T1223&lt;24,pcomp_l,palt_l),MATCH($X1223,IF($T1223&lt;24,pcomp_k,palt_k),1)),""))</f>
        <v/>
      </c>
      <c r="AS1223">
        <f>IF(OR($X1223="",$T1223&gt;60),"",IFERROR(INDEX(IF($T1223&lt;24,pcomp_m,palt_m),MATCH($X1223,IF($T1223&lt;24,pcomp_k,palt_k),1)),""))</f>
        <v/>
      </c>
      <c r="AT1223">
        <f>IF(OR($X1223="",$T1223&gt;60),"",IFERROR(INDEX(IF($T1223&lt;24,pcomp_s,palt_s),MATCH($X1223,IF($T1223&lt;24,pcomp_k,palt_k),1)),""))</f>
        <v/>
      </c>
      <c r="AU1223">
        <f>IF($AR1223="","",IF($AR1223=0,LN($F1223/$AS1223)/$AT1223,((($F1223/$AS1223)^$AR1223)-1)/($AR1223*$AT1223)))</f>
        <v/>
      </c>
      <c r="AV1223">
        <f>IF($AR1223="","",IF($AR1223=0,$AS1223*EXP($AT1223*2),$AS1223*(1+$AR1223*$AT1223*2)^(1/$AR1223)))</f>
        <v/>
      </c>
      <c r="AW1223">
        <f>IF($AR1223="","",IF($AR1223=0,$AS1223*EXP($AT1223*3),$AS1223*(1+$AR1223*$AT1223*3)^(1/$AR1223)))</f>
        <v/>
      </c>
      <c r="AX1223">
        <f>IF($AR1223="","",IF($AR1223=0,$AS1223*EXP($AT1223*-2),$AS1223*(1+$AR1223*$AT1223*-2)^(1/$AR1223)))</f>
        <v/>
      </c>
      <c r="AY1223">
        <f>IF($AR1223="","",IF($AR1223=0,$AS1223*EXP($AT1223*-3),$AS1223*(1+$AR1223*$AT1223*-3)^(1/$AR1223)))</f>
        <v/>
      </c>
      <c r="AZ1223">
        <f>IF(OR($A1223="",$A1223&lt;&gt;Ficha!$C$4),"",COUNTIF($A$2:$A1223,Ficha!$C$4))</f>
        <v/>
      </c>
    </row>
    <row r="1224">
      <c r="A1224" s="8">
        <f>IF(INDEX(Banco!$A:$A,ROW())="","",INDEX(Banco!$A:$A,ROW()))</f>
        <v/>
      </c>
      <c r="B1224" s="8">
        <f>IF(INDEX(Banco!$B:$B,ROW())="","",INDEX(Banco!$B:$B,ROW()))</f>
        <v/>
      </c>
      <c r="C1224" s="8">
        <f>IF(INDEX(Banco!$C:$C,ROW())="","",INDEX(Banco!$C:$C,ROW()))</f>
        <v/>
      </c>
      <c r="D1224" s="9">
        <f>IF(INDEX(Banco!$D:$D,ROW())="","",INDEX(Banco!$D:$D,ROW()))</f>
        <v/>
      </c>
      <c r="E1224" s="9">
        <f>IF(INDEX(Banco!$E:$E,ROW())="","",INDEX(Banco!$E:$E,ROW()))</f>
        <v/>
      </c>
      <c r="F1224" s="10">
        <f>IF(INDEX(Banco!$F:$F,ROW())="","",INDEX(Banco!$F:$F,ROW()))</f>
        <v/>
      </c>
      <c r="G1224" s="10">
        <f>IF(INDEX(Banco!$G:$G,ROW())="","",INDEX(Banco!$G:$G,ROW()))</f>
        <v/>
      </c>
      <c r="H1224" s="8">
        <f>IF(INDEX(Banco!$H:$H,ROW())="","",INDEX(Banco!$H:$H,ROW()))</f>
        <v/>
      </c>
      <c r="I1224">
        <f>IF($T1224="","",INT($T1224/12)&amp;"a "&amp;MOD($T1224,12)&amp;"m")</f>
        <v/>
      </c>
      <c r="J1224" s="11">
        <f>IF(OR($F1224="",$G1224=""),"",ROUND($F1224/($G1224/100)^2,2))</f>
        <v/>
      </c>
      <c r="K1224" s="12">
        <f>IF(OR($S1224="",$J1224="",$T1224="",$T1224&lt;0,$T1224&gt;228,$Y1224=""),"—",ROUND(IF(ABS($AB1224)&lt;=3,$AB1224,IF($AB1224&gt;3,3+($J1224-$AD1224)/($AD1224-$AC1224),-3+($J1224-$AF1224)/($AE1224-$AF1224))),2))</f>
        <v/>
      </c>
      <c r="L1224">
        <f>IF(OR($K1224="",$K1224="—"),"",IF($T1224&lt;=60,IF($K1224&lt;-3,"Magreza acentuada",IF($K1224&lt;-2,"Magreza",IF($K1224&lt;=1,"Eutrofia",IF($K1224&lt;=2,"Risco de sobrepeso",IF($K1224&lt;=3,"Sobrepeso","Obesidade"))))),IF($K1224&lt;-3,"Magreza acentuada",IF($K1224&lt;-2,"Magreza",IF($K1224&lt;=1,"Eutrofia",IF($K1224&lt;=2,"Sobrepeso",IF($K1224&lt;=3,"Obesidade","Obesidade grave")))))))</f>
        <v/>
      </c>
      <c r="M1224" s="12">
        <f>IF(OR($S1224="",$V1224="",$T1224="",$T1224&lt;0,$T1224&gt;228,$AG1224=""),"—",ROUND(IF($AG1224=0,LN($V1224/$AH1224)/$AI1224,((($V1224/$AH1224)^$AG1224)-1)/($AG1224*$AI1224)),2))</f>
        <v/>
      </c>
      <c r="N1224">
        <f>IF(OR($M1224="",$M1224="—"),"",IF($M1224&lt;-3,"Muito baixa",IF($M1224&lt;-2,"Baixa","Adequada")))</f>
        <v/>
      </c>
      <c r="O1224" s="12">
        <f>IF(OR($S1224="",$F1224="",$T1224="",$T1224&lt;0,$T1224&gt;120,$AJ1224=""),"—",ROUND(IF(ABS($AM1224)&lt;=3,$AM1224,IF($AM1224&gt;3,3+($F1224-$AO1224)/($AO1224-$AN1224),-3+($F1224-$AQ1224)/($AP1224-$AQ1224))),2))</f>
        <v/>
      </c>
      <c r="P1224">
        <f>IF(OR($O1224="",$O1224="—"),"",IF($O1224&lt;-3,"Muito baixo",IF($O1224&lt;-2,"Baixo",IF($O1224&lt;=2,"Adequado","Elevado"))))</f>
        <v/>
      </c>
      <c r="Q1224" s="12">
        <f>IF(OR($S1224="",$F1224="",$T1224="",$T1224&lt;0,$T1224&gt;60,$AR1224=""),"—",ROUND(IF(ABS($AU1224)&lt;=3,$AU1224,IF($AU1224&gt;3,3+($F1224-$AW1224)/($AW1224-$AV1224),-3+($F1224-$AY1224)/($AX1224-$AY1224))),2))</f>
        <v/>
      </c>
      <c r="R1224">
        <f>IF(OR($Q1224="",$Q1224="—"),"",IF($Q1224&lt;-3,"Magreza acentuada",IF($Q1224&lt;-2,"Magreza",IF($Q1224&lt;=1,"Eutrofia",IF($Q1224&lt;=2,"Risco de sobrepeso",IF($Q1224&lt;=3,"Sobrepeso","Obesidade"))))))</f>
        <v/>
      </c>
      <c r="S1224">
        <f>IF($C1224="","",IF(UPPER(LEFT($C1224,1))="M",1,IF(UPPER(LEFT($C1224,1))="F",2,"")))</f>
        <v/>
      </c>
      <c r="T1224">
        <f>IF(OR($D1224="",$E1224=""),"",DATEDIF($D1224,$E1224,"m"))</f>
        <v/>
      </c>
      <c r="U1224">
        <f>IF(OR($D1224="",$E1224=""),"",$E1224-$D1224)</f>
        <v/>
      </c>
      <c r="V1224">
        <f>IF(OR($G1224="",$T1224=""),"",IF($T1224&lt;24,IF(LEFT(LOWER($H1224),4)="em p",$G1224+0.7,$G1224),IF(LEFT(LOWER($H1224),4)="deit",$G1224-0.7,$G1224)))</f>
        <v/>
      </c>
      <c r="W1224">
        <f>IF(OR($S1224="",$T1224=""),"",$S1224*1000000+IF($T1224&lt;=60,$U1224,$T1224))</f>
        <v/>
      </c>
      <c r="X1224">
        <f>IF(OR($S1224="",$V1224="",$T1224&gt;60,$T1224=""),"",$S1224*1000000+ROUND($V1224*10,0))</f>
        <v/>
      </c>
      <c r="Y1224">
        <f>IF($W1224="","",IFERROR(INDEX(IF($T1224&lt;=60,imc05_l,imc519_l),MATCH($W1224,IF($T1224&lt;=60,imc05_k,imc519_k),1)),""))</f>
        <v/>
      </c>
      <c r="Z1224">
        <f>IF($W1224="","",IFERROR(INDEX(IF($T1224&lt;=60,imc05_m,imc519_m),MATCH($W1224,IF($T1224&lt;=60,imc05_k,imc519_k),1)),""))</f>
        <v/>
      </c>
      <c r="AA1224">
        <f>IF($W1224="","",IFERROR(INDEX(IF($T1224&lt;=60,imc05_s,imc519_s),MATCH($W1224,IF($T1224&lt;=60,imc05_k,imc519_k),1)),""))</f>
        <v/>
      </c>
      <c r="AB1224">
        <f>IF($Y1224="","",IF($Y1224=0,LN($J1224/$Z1224)/$AA1224,((($J1224/$Z1224)^$Y1224)-1)/($Y1224*$AA1224)))</f>
        <v/>
      </c>
      <c r="AC1224">
        <f>IF($Y1224="","",IF($Y1224=0,$Z1224*EXP($AA1224*2),$Z1224*(1+$Y1224*$AA1224*2)^(1/$Y1224)))</f>
        <v/>
      </c>
      <c r="AD1224">
        <f>IF($Y1224="","",IF($Y1224=0,$Z1224*EXP($AA1224*3),$Z1224*(1+$Y1224*$AA1224*3)^(1/$Y1224)))</f>
        <v/>
      </c>
      <c r="AE1224">
        <f>IF($Y1224="","",IF($Y1224=0,$Z1224*EXP($AA1224*-2),$Z1224*(1+$Y1224*$AA1224*-2)^(1/$Y1224)))</f>
        <v/>
      </c>
      <c r="AF1224">
        <f>IF($Y1224="","",IF($Y1224=0,$Z1224*EXP($AA1224*-3),$Z1224*(1+$Y1224*$AA1224*-3)^(1/$Y1224)))</f>
        <v/>
      </c>
      <c r="AG1224">
        <f>IF($W1224="","",IFERROR(INDEX(IF($T1224&lt;=60,est05_l,est519_l),MATCH($W1224,IF($T1224&lt;=60,est05_k,est519_k),1)),""))</f>
        <v/>
      </c>
      <c r="AH1224">
        <f>IF($W1224="","",IFERROR(INDEX(IF($T1224&lt;=60,est05_m,est519_m),MATCH($W1224,IF($T1224&lt;=60,est05_k,est519_k),1)),""))</f>
        <v/>
      </c>
      <c r="AI1224">
        <f>IF($W1224="","",IFERROR(INDEX(IF($T1224&lt;=60,est05_s,est519_s),MATCH($W1224,IF($T1224&lt;=60,est05_k,est519_k),1)),""))</f>
        <v/>
      </c>
      <c r="AJ1224">
        <f>IF($W1224="","",IFERROR(INDEX(IF($T1224&lt;=60,peso05_l,peso510_l),MATCH($W1224,IF($T1224&lt;=60,peso05_k,peso510_k),1)),""))</f>
        <v/>
      </c>
      <c r="AK1224">
        <f>IF($W1224="","",IFERROR(INDEX(IF($T1224&lt;=60,peso05_m,peso510_m),MATCH($W1224,IF($T1224&lt;=60,peso05_k,peso510_k),1)),""))</f>
        <v/>
      </c>
      <c r="AL1224">
        <f>IF($W1224="","",IFERROR(INDEX(IF($T1224&lt;=60,peso05_s,peso510_s),MATCH($W1224,IF($T1224&lt;=60,peso05_k,peso510_k),1)),""))</f>
        <v/>
      </c>
      <c r="AM1224">
        <f>IF($AJ1224="","",IF($AJ1224=0,LN($F1224/$AK1224)/$AL1224,((($F1224/$AK1224)^$AJ1224)-1)/($AJ1224*$AL1224)))</f>
        <v/>
      </c>
      <c r="AN1224">
        <f>IF($AJ1224="","",IF($AJ1224=0,$AK1224*EXP($AL1224*2),$AK1224*(1+$AJ1224*$AL1224*2)^(1/$AJ1224)))</f>
        <v/>
      </c>
      <c r="AO1224">
        <f>IF($AJ1224="","",IF($AJ1224=0,$AK1224*EXP($AL1224*3),$AK1224*(1+$AJ1224*$AL1224*3)^(1/$AJ1224)))</f>
        <v/>
      </c>
      <c r="AP1224">
        <f>IF($AJ1224="","",IF($AJ1224=0,$AK1224*EXP($AL1224*-2),$AK1224*(1+$AJ1224*$AL1224*-2)^(1/$AJ1224)))</f>
        <v/>
      </c>
      <c r="AQ1224">
        <f>IF($AJ1224="","",IF($AJ1224=0,$AK1224*EXP($AL1224*-3),$AK1224*(1+$AJ1224*$AL1224*-3)^(1/$AJ1224)))</f>
        <v/>
      </c>
      <c r="AR1224">
        <f>IF(OR($X1224="",$T1224&gt;60),"",IFERROR(INDEX(IF($T1224&lt;24,pcomp_l,palt_l),MATCH($X1224,IF($T1224&lt;24,pcomp_k,palt_k),1)),""))</f>
        <v/>
      </c>
      <c r="AS1224">
        <f>IF(OR($X1224="",$T1224&gt;60),"",IFERROR(INDEX(IF($T1224&lt;24,pcomp_m,palt_m),MATCH($X1224,IF($T1224&lt;24,pcomp_k,palt_k),1)),""))</f>
        <v/>
      </c>
      <c r="AT1224">
        <f>IF(OR($X1224="",$T1224&gt;60),"",IFERROR(INDEX(IF($T1224&lt;24,pcomp_s,palt_s),MATCH($X1224,IF($T1224&lt;24,pcomp_k,palt_k),1)),""))</f>
        <v/>
      </c>
      <c r="AU1224">
        <f>IF($AR1224="","",IF($AR1224=0,LN($F1224/$AS1224)/$AT1224,((($F1224/$AS1224)^$AR1224)-1)/($AR1224*$AT1224)))</f>
        <v/>
      </c>
      <c r="AV1224">
        <f>IF($AR1224="","",IF($AR1224=0,$AS1224*EXP($AT1224*2),$AS1224*(1+$AR1224*$AT1224*2)^(1/$AR1224)))</f>
        <v/>
      </c>
      <c r="AW1224">
        <f>IF($AR1224="","",IF($AR1224=0,$AS1224*EXP($AT1224*3),$AS1224*(1+$AR1224*$AT1224*3)^(1/$AR1224)))</f>
        <v/>
      </c>
      <c r="AX1224">
        <f>IF($AR1224="","",IF($AR1224=0,$AS1224*EXP($AT1224*-2),$AS1224*(1+$AR1224*$AT1224*-2)^(1/$AR1224)))</f>
        <v/>
      </c>
      <c r="AY1224">
        <f>IF($AR1224="","",IF($AR1224=0,$AS1224*EXP($AT1224*-3),$AS1224*(1+$AR1224*$AT1224*-3)^(1/$AR1224)))</f>
        <v/>
      </c>
      <c r="AZ1224">
        <f>IF(OR($A1224="",$A1224&lt;&gt;Ficha!$C$4),"",COUNTIF($A$2:$A1224,Ficha!$C$4))</f>
        <v/>
      </c>
    </row>
    <row r="1225">
      <c r="A1225" s="8">
        <f>IF(INDEX(Banco!$A:$A,ROW())="","",INDEX(Banco!$A:$A,ROW()))</f>
        <v/>
      </c>
      <c r="B1225" s="8">
        <f>IF(INDEX(Banco!$B:$B,ROW())="","",INDEX(Banco!$B:$B,ROW()))</f>
        <v/>
      </c>
      <c r="C1225" s="8">
        <f>IF(INDEX(Banco!$C:$C,ROW())="","",INDEX(Banco!$C:$C,ROW()))</f>
        <v/>
      </c>
      <c r="D1225" s="9">
        <f>IF(INDEX(Banco!$D:$D,ROW())="","",INDEX(Banco!$D:$D,ROW()))</f>
        <v/>
      </c>
      <c r="E1225" s="9">
        <f>IF(INDEX(Banco!$E:$E,ROW())="","",INDEX(Banco!$E:$E,ROW()))</f>
        <v/>
      </c>
      <c r="F1225" s="10">
        <f>IF(INDEX(Banco!$F:$F,ROW())="","",INDEX(Banco!$F:$F,ROW()))</f>
        <v/>
      </c>
      <c r="G1225" s="10">
        <f>IF(INDEX(Banco!$G:$G,ROW())="","",INDEX(Banco!$G:$G,ROW()))</f>
        <v/>
      </c>
      <c r="H1225" s="8">
        <f>IF(INDEX(Banco!$H:$H,ROW())="","",INDEX(Banco!$H:$H,ROW()))</f>
        <v/>
      </c>
      <c r="I1225">
        <f>IF($T1225="","",INT($T1225/12)&amp;"a "&amp;MOD($T1225,12)&amp;"m")</f>
        <v/>
      </c>
      <c r="J1225" s="11">
        <f>IF(OR($F1225="",$G1225=""),"",ROUND($F1225/($G1225/100)^2,2))</f>
        <v/>
      </c>
      <c r="K1225" s="12">
        <f>IF(OR($S1225="",$J1225="",$T1225="",$T1225&lt;0,$T1225&gt;228,$Y1225=""),"—",ROUND(IF(ABS($AB1225)&lt;=3,$AB1225,IF($AB1225&gt;3,3+($J1225-$AD1225)/($AD1225-$AC1225),-3+($J1225-$AF1225)/($AE1225-$AF1225))),2))</f>
        <v/>
      </c>
      <c r="L1225">
        <f>IF(OR($K1225="",$K1225="—"),"",IF($T1225&lt;=60,IF($K1225&lt;-3,"Magreza acentuada",IF($K1225&lt;-2,"Magreza",IF($K1225&lt;=1,"Eutrofia",IF($K1225&lt;=2,"Risco de sobrepeso",IF($K1225&lt;=3,"Sobrepeso","Obesidade"))))),IF($K1225&lt;-3,"Magreza acentuada",IF($K1225&lt;-2,"Magreza",IF($K1225&lt;=1,"Eutrofia",IF($K1225&lt;=2,"Sobrepeso",IF($K1225&lt;=3,"Obesidade","Obesidade grave")))))))</f>
        <v/>
      </c>
      <c r="M1225" s="12">
        <f>IF(OR($S1225="",$V1225="",$T1225="",$T1225&lt;0,$T1225&gt;228,$AG1225=""),"—",ROUND(IF($AG1225=0,LN($V1225/$AH1225)/$AI1225,((($V1225/$AH1225)^$AG1225)-1)/($AG1225*$AI1225)),2))</f>
        <v/>
      </c>
      <c r="N1225">
        <f>IF(OR($M1225="",$M1225="—"),"",IF($M1225&lt;-3,"Muito baixa",IF($M1225&lt;-2,"Baixa","Adequada")))</f>
        <v/>
      </c>
      <c r="O1225" s="12">
        <f>IF(OR($S1225="",$F1225="",$T1225="",$T1225&lt;0,$T1225&gt;120,$AJ1225=""),"—",ROUND(IF(ABS($AM1225)&lt;=3,$AM1225,IF($AM1225&gt;3,3+($F1225-$AO1225)/($AO1225-$AN1225),-3+($F1225-$AQ1225)/($AP1225-$AQ1225))),2))</f>
        <v/>
      </c>
      <c r="P1225">
        <f>IF(OR($O1225="",$O1225="—"),"",IF($O1225&lt;-3,"Muito baixo",IF($O1225&lt;-2,"Baixo",IF($O1225&lt;=2,"Adequado","Elevado"))))</f>
        <v/>
      </c>
      <c r="Q1225" s="12">
        <f>IF(OR($S1225="",$F1225="",$T1225="",$T1225&lt;0,$T1225&gt;60,$AR1225=""),"—",ROUND(IF(ABS($AU1225)&lt;=3,$AU1225,IF($AU1225&gt;3,3+($F1225-$AW1225)/($AW1225-$AV1225),-3+($F1225-$AY1225)/($AX1225-$AY1225))),2))</f>
        <v/>
      </c>
      <c r="R1225">
        <f>IF(OR($Q1225="",$Q1225="—"),"",IF($Q1225&lt;-3,"Magreza acentuada",IF($Q1225&lt;-2,"Magreza",IF($Q1225&lt;=1,"Eutrofia",IF($Q1225&lt;=2,"Risco de sobrepeso",IF($Q1225&lt;=3,"Sobrepeso","Obesidade"))))))</f>
        <v/>
      </c>
      <c r="S1225">
        <f>IF($C1225="","",IF(UPPER(LEFT($C1225,1))="M",1,IF(UPPER(LEFT($C1225,1))="F",2,"")))</f>
        <v/>
      </c>
      <c r="T1225">
        <f>IF(OR($D1225="",$E1225=""),"",DATEDIF($D1225,$E1225,"m"))</f>
        <v/>
      </c>
      <c r="U1225">
        <f>IF(OR($D1225="",$E1225=""),"",$E1225-$D1225)</f>
        <v/>
      </c>
      <c r="V1225">
        <f>IF(OR($G1225="",$T1225=""),"",IF($T1225&lt;24,IF(LEFT(LOWER($H1225),4)="em p",$G1225+0.7,$G1225),IF(LEFT(LOWER($H1225),4)="deit",$G1225-0.7,$G1225)))</f>
        <v/>
      </c>
      <c r="W1225">
        <f>IF(OR($S1225="",$T1225=""),"",$S1225*1000000+IF($T1225&lt;=60,$U1225,$T1225))</f>
        <v/>
      </c>
      <c r="X1225">
        <f>IF(OR($S1225="",$V1225="",$T1225&gt;60,$T1225=""),"",$S1225*1000000+ROUND($V1225*10,0))</f>
        <v/>
      </c>
      <c r="Y1225">
        <f>IF($W1225="","",IFERROR(INDEX(IF($T1225&lt;=60,imc05_l,imc519_l),MATCH($W1225,IF($T1225&lt;=60,imc05_k,imc519_k),1)),""))</f>
        <v/>
      </c>
      <c r="Z1225">
        <f>IF($W1225="","",IFERROR(INDEX(IF($T1225&lt;=60,imc05_m,imc519_m),MATCH($W1225,IF($T1225&lt;=60,imc05_k,imc519_k),1)),""))</f>
        <v/>
      </c>
      <c r="AA1225">
        <f>IF($W1225="","",IFERROR(INDEX(IF($T1225&lt;=60,imc05_s,imc519_s),MATCH($W1225,IF($T1225&lt;=60,imc05_k,imc519_k),1)),""))</f>
        <v/>
      </c>
      <c r="AB1225">
        <f>IF($Y1225="","",IF($Y1225=0,LN($J1225/$Z1225)/$AA1225,((($J1225/$Z1225)^$Y1225)-1)/($Y1225*$AA1225)))</f>
        <v/>
      </c>
      <c r="AC1225">
        <f>IF($Y1225="","",IF($Y1225=0,$Z1225*EXP($AA1225*2),$Z1225*(1+$Y1225*$AA1225*2)^(1/$Y1225)))</f>
        <v/>
      </c>
      <c r="AD1225">
        <f>IF($Y1225="","",IF($Y1225=0,$Z1225*EXP($AA1225*3),$Z1225*(1+$Y1225*$AA1225*3)^(1/$Y1225)))</f>
        <v/>
      </c>
      <c r="AE1225">
        <f>IF($Y1225="","",IF($Y1225=0,$Z1225*EXP($AA1225*-2),$Z1225*(1+$Y1225*$AA1225*-2)^(1/$Y1225)))</f>
        <v/>
      </c>
      <c r="AF1225">
        <f>IF($Y1225="","",IF($Y1225=0,$Z1225*EXP($AA1225*-3),$Z1225*(1+$Y1225*$AA1225*-3)^(1/$Y1225)))</f>
        <v/>
      </c>
      <c r="AG1225">
        <f>IF($W1225="","",IFERROR(INDEX(IF($T1225&lt;=60,est05_l,est519_l),MATCH($W1225,IF($T1225&lt;=60,est05_k,est519_k),1)),""))</f>
        <v/>
      </c>
      <c r="AH1225">
        <f>IF($W1225="","",IFERROR(INDEX(IF($T1225&lt;=60,est05_m,est519_m),MATCH($W1225,IF($T1225&lt;=60,est05_k,est519_k),1)),""))</f>
        <v/>
      </c>
      <c r="AI1225">
        <f>IF($W1225="","",IFERROR(INDEX(IF($T1225&lt;=60,est05_s,est519_s),MATCH($W1225,IF($T1225&lt;=60,est05_k,est519_k),1)),""))</f>
        <v/>
      </c>
      <c r="AJ1225">
        <f>IF($W1225="","",IFERROR(INDEX(IF($T1225&lt;=60,peso05_l,peso510_l),MATCH($W1225,IF($T1225&lt;=60,peso05_k,peso510_k),1)),""))</f>
        <v/>
      </c>
      <c r="AK1225">
        <f>IF($W1225="","",IFERROR(INDEX(IF($T1225&lt;=60,peso05_m,peso510_m),MATCH($W1225,IF($T1225&lt;=60,peso05_k,peso510_k),1)),""))</f>
        <v/>
      </c>
      <c r="AL1225">
        <f>IF($W1225="","",IFERROR(INDEX(IF($T1225&lt;=60,peso05_s,peso510_s),MATCH($W1225,IF($T1225&lt;=60,peso05_k,peso510_k),1)),""))</f>
        <v/>
      </c>
      <c r="AM1225">
        <f>IF($AJ1225="","",IF($AJ1225=0,LN($F1225/$AK1225)/$AL1225,((($F1225/$AK1225)^$AJ1225)-1)/($AJ1225*$AL1225)))</f>
        <v/>
      </c>
      <c r="AN1225">
        <f>IF($AJ1225="","",IF($AJ1225=0,$AK1225*EXP($AL1225*2),$AK1225*(1+$AJ1225*$AL1225*2)^(1/$AJ1225)))</f>
        <v/>
      </c>
      <c r="AO1225">
        <f>IF($AJ1225="","",IF($AJ1225=0,$AK1225*EXP($AL1225*3),$AK1225*(1+$AJ1225*$AL1225*3)^(1/$AJ1225)))</f>
        <v/>
      </c>
      <c r="AP1225">
        <f>IF($AJ1225="","",IF($AJ1225=0,$AK1225*EXP($AL1225*-2),$AK1225*(1+$AJ1225*$AL1225*-2)^(1/$AJ1225)))</f>
        <v/>
      </c>
      <c r="AQ1225">
        <f>IF($AJ1225="","",IF($AJ1225=0,$AK1225*EXP($AL1225*-3),$AK1225*(1+$AJ1225*$AL1225*-3)^(1/$AJ1225)))</f>
        <v/>
      </c>
      <c r="AR1225">
        <f>IF(OR($X1225="",$T1225&gt;60),"",IFERROR(INDEX(IF($T1225&lt;24,pcomp_l,palt_l),MATCH($X1225,IF($T1225&lt;24,pcomp_k,palt_k),1)),""))</f>
        <v/>
      </c>
      <c r="AS1225">
        <f>IF(OR($X1225="",$T1225&gt;60),"",IFERROR(INDEX(IF($T1225&lt;24,pcomp_m,palt_m),MATCH($X1225,IF($T1225&lt;24,pcomp_k,palt_k),1)),""))</f>
        <v/>
      </c>
      <c r="AT1225">
        <f>IF(OR($X1225="",$T1225&gt;60),"",IFERROR(INDEX(IF($T1225&lt;24,pcomp_s,palt_s),MATCH($X1225,IF($T1225&lt;24,pcomp_k,palt_k),1)),""))</f>
        <v/>
      </c>
      <c r="AU1225">
        <f>IF($AR1225="","",IF($AR1225=0,LN($F1225/$AS1225)/$AT1225,((($F1225/$AS1225)^$AR1225)-1)/($AR1225*$AT1225)))</f>
        <v/>
      </c>
      <c r="AV1225">
        <f>IF($AR1225="","",IF($AR1225=0,$AS1225*EXP($AT1225*2),$AS1225*(1+$AR1225*$AT1225*2)^(1/$AR1225)))</f>
        <v/>
      </c>
      <c r="AW1225">
        <f>IF($AR1225="","",IF($AR1225=0,$AS1225*EXP($AT1225*3),$AS1225*(1+$AR1225*$AT1225*3)^(1/$AR1225)))</f>
        <v/>
      </c>
      <c r="AX1225">
        <f>IF($AR1225="","",IF($AR1225=0,$AS1225*EXP($AT1225*-2),$AS1225*(1+$AR1225*$AT1225*-2)^(1/$AR1225)))</f>
        <v/>
      </c>
      <c r="AY1225">
        <f>IF($AR1225="","",IF($AR1225=0,$AS1225*EXP($AT1225*-3),$AS1225*(1+$AR1225*$AT1225*-3)^(1/$AR1225)))</f>
        <v/>
      </c>
      <c r="AZ1225">
        <f>IF(OR($A1225="",$A1225&lt;&gt;Ficha!$C$4),"",COUNTIF($A$2:$A1225,Ficha!$C$4))</f>
        <v/>
      </c>
    </row>
    <row r="1226">
      <c r="A1226" s="8">
        <f>IF(INDEX(Banco!$A:$A,ROW())="","",INDEX(Banco!$A:$A,ROW()))</f>
        <v/>
      </c>
      <c r="B1226" s="8">
        <f>IF(INDEX(Banco!$B:$B,ROW())="","",INDEX(Banco!$B:$B,ROW()))</f>
        <v/>
      </c>
      <c r="C1226" s="8">
        <f>IF(INDEX(Banco!$C:$C,ROW())="","",INDEX(Banco!$C:$C,ROW()))</f>
        <v/>
      </c>
      <c r="D1226" s="9">
        <f>IF(INDEX(Banco!$D:$D,ROW())="","",INDEX(Banco!$D:$D,ROW()))</f>
        <v/>
      </c>
      <c r="E1226" s="9">
        <f>IF(INDEX(Banco!$E:$E,ROW())="","",INDEX(Banco!$E:$E,ROW()))</f>
        <v/>
      </c>
      <c r="F1226" s="10">
        <f>IF(INDEX(Banco!$F:$F,ROW())="","",INDEX(Banco!$F:$F,ROW()))</f>
        <v/>
      </c>
      <c r="G1226" s="10">
        <f>IF(INDEX(Banco!$G:$G,ROW())="","",INDEX(Banco!$G:$G,ROW()))</f>
        <v/>
      </c>
      <c r="H1226" s="8">
        <f>IF(INDEX(Banco!$H:$H,ROW())="","",INDEX(Banco!$H:$H,ROW()))</f>
        <v/>
      </c>
      <c r="I1226">
        <f>IF($T1226="","",INT($T1226/12)&amp;"a "&amp;MOD($T1226,12)&amp;"m")</f>
        <v/>
      </c>
      <c r="J1226" s="11">
        <f>IF(OR($F1226="",$G1226=""),"",ROUND($F1226/($G1226/100)^2,2))</f>
        <v/>
      </c>
      <c r="K1226" s="12">
        <f>IF(OR($S1226="",$J1226="",$T1226="",$T1226&lt;0,$T1226&gt;228,$Y1226=""),"—",ROUND(IF(ABS($AB1226)&lt;=3,$AB1226,IF($AB1226&gt;3,3+($J1226-$AD1226)/($AD1226-$AC1226),-3+($J1226-$AF1226)/($AE1226-$AF1226))),2))</f>
        <v/>
      </c>
      <c r="L1226">
        <f>IF(OR($K1226="",$K1226="—"),"",IF($T1226&lt;=60,IF($K1226&lt;-3,"Magreza acentuada",IF($K1226&lt;-2,"Magreza",IF($K1226&lt;=1,"Eutrofia",IF($K1226&lt;=2,"Risco de sobrepeso",IF($K1226&lt;=3,"Sobrepeso","Obesidade"))))),IF($K1226&lt;-3,"Magreza acentuada",IF($K1226&lt;-2,"Magreza",IF($K1226&lt;=1,"Eutrofia",IF($K1226&lt;=2,"Sobrepeso",IF($K1226&lt;=3,"Obesidade","Obesidade grave")))))))</f>
        <v/>
      </c>
      <c r="M1226" s="12">
        <f>IF(OR($S1226="",$V1226="",$T1226="",$T1226&lt;0,$T1226&gt;228,$AG1226=""),"—",ROUND(IF($AG1226=0,LN($V1226/$AH1226)/$AI1226,((($V1226/$AH1226)^$AG1226)-1)/($AG1226*$AI1226)),2))</f>
        <v/>
      </c>
      <c r="N1226">
        <f>IF(OR($M1226="",$M1226="—"),"",IF($M1226&lt;-3,"Muito baixa",IF($M1226&lt;-2,"Baixa","Adequada")))</f>
        <v/>
      </c>
      <c r="O1226" s="12">
        <f>IF(OR($S1226="",$F1226="",$T1226="",$T1226&lt;0,$T1226&gt;120,$AJ1226=""),"—",ROUND(IF(ABS($AM1226)&lt;=3,$AM1226,IF($AM1226&gt;3,3+($F1226-$AO1226)/($AO1226-$AN1226),-3+($F1226-$AQ1226)/($AP1226-$AQ1226))),2))</f>
        <v/>
      </c>
      <c r="P1226">
        <f>IF(OR($O1226="",$O1226="—"),"",IF($O1226&lt;-3,"Muito baixo",IF($O1226&lt;-2,"Baixo",IF($O1226&lt;=2,"Adequado","Elevado"))))</f>
        <v/>
      </c>
      <c r="Q1226" s="12">
        <f>IF(OR($S1226="",$F1226="",$T1226="",$T1226&lt;0,$T1226&gt;60,$AR1226=""),"—",ROUND(IF(ABS($AU1226)&lt;=3,$AU1226,IF($AU1226&gt;3,3+($F1226-$AW1226)/($AW1226-$AV1226),-3+($F1226-$AY1226)/($AX1226-$AY1226))),2))</f>
        <v/>
      </c>
      <c r="R1226">
        <f>IF(OR($Q1226="",$Q1226="—"),"",IF($Q1226&lt;-3,"Magreza acentuada",IF($Q1226&lt;-2,"Magreza",IF($Q1226&lt;=1,"Eutrofia",IF($Q1226&lt;=2,"Risco de sobrepeso",IF($Q1226&lt;=3,"Sobrepeso","Obesidade"))))))</f>
        <v/>
      </c>
      <c r="S1226">
        <f>IF($C1226="","",IF(UPPER(LEFT($C1226,1))="M",1,IF(UPPER(LEFT($C1226,1))="F",2,"")))</f>
        <v/>
      </c>
      <c r="T1226">
        <f>IF(OR($D1226="",$E1226=""),"",DATEDIF($D1226,$E1226,"m"))</f>
        <v/>
      </c>
      <c r="U1226">
        <f>IF(OR($D1226="",$E1226=""),"",$E1226-$D1226)</f>
        <v/>
      </c>
      <c r="V1226">
        <f>IF(OR($G1226="",$T1226=""),"",IF($T1226&lt;24,IF(LEFT(LOWER($H1226),4)="em p",$G1226+0.7,$G1226),IF(LEFT(LOWER($H1226),4)="deit",$G1226-0.7,$G1226)))</f>
        <v/>
      </c>
      <c r="W1226">
        <f>IF(OR($S1226="",$T1226=""),"",$S1226*1000000+IF($T1226&lt;=60,$U1226,$T1226))</f>
        <v/>
      </c>
      <c r="X1226">
        <f>IF(OR($S1226="",$V1226="",$T1226&gt;60,$T1226=""),"",$S1226*1000000+ROUND($V1226*10,0))</f>
        <v/>
      </c>
      <c r="Y1226">
        <f>IF($W1226="","",IFERROR(INDEX(IF($T1226&lt;=60,imc05_l,imc519_l),MATCH($W1226,IF($T1226&lt;=60,imc05_k,imc519_k),1)),""))</f>
        <v/>
      </c>
      <c r="Z1226">
        <f>IF($W1226="","",IFERROR(INDEX(IF($T1226&lt;=60,imc05_m,imc519_m),MATCH($W1226,IF($T1226&lt;=60,imc05_k,imc519_k),1)),""))</f>
        <v/>
      </c>
      <c r="AA1226">
        <f>IF($W1226="","",IFERROR(INDEX(IF($T1226&lt;=60,imc05_s,imc519_s),MATCH($W1226,IF($T1226&lt;=60,imc05_k,imc519_k),1)),""))</f>
        <v/>
      </c>
      <c r="AB1226">
        <f>IF($Y1226="","",IF($Y1226=0,LN($J1226/$Z1226)/$AA1226,((($J1226/$Z1226)^$Y1226)-1)/($Y1226*$AA1226)))</f>
        <v/>
      </c>
      <c r="AC1226">
        <f>IF($Y1226="","",IF($Y1226=0,$Z1226*EXP($AA1226*2),$Z1226*(1+$Y1226*$AA1226*2)^(1/$Y1226)))</f>
        <v/>
      </c>
      <c r="AD1226">
        <f>IF($Y1226="","",IF($Y1226=0,$Z1226*EXP($AA1226*3),$Z1226*(1+$Y1226*$AA1226*3)^(1/$Y1226)))</f>
        <v/>
      </c>
      <c r="AE1226">
        <f>IF($Y1226="","",IF($Y1226=0,$Z1226*EXP($AA1226*-2),$Z1226*(1+$Y1226*$AA1226*-2)^(1/$Y1226)))</f>
        <v/>
      </c>
      <c r="AF1226">
        <f>IF($Y1226="","",IF($Y1226=0,$Z1226*EXP($AA1226*-3),$Z1226*(1+$Y1226*$AA1226*-3)^(1/$Y1226)))</f>
        <v/>
      </c>
      <c r="AG1226">
        <f>IF($W1226="","",IFERROR(INDEX(IF($T1226&lt;=60,est05_l,est519_l),MATCH($W1226,IF($T1226&lt;=60,est05_k,est519_k),1)),""))</f>
        <v/>
      </c>
      <c r="AH1226">
        <f>IF($W1226="","",IFERROR(INDEX(IF($T1226&lt;=60,est05_m,est519_m),MATCH($W1226,IF($T1226&lt;=60,est05_k,est519_k),1)),""))</f>
        <v/>
      </c>
      <c r="AI1226">
        <f>IF($W1226="","",IFERROR(INDEX(IF($T1226&lt;=60,est05_s,est519_s),MATCH($W1226,IF($T1226&lt;=60,est05_k,est519_k),1)),""))</f>
        <v/>
      </c>
      <c r="AJ1226">
        <f>IF($W1226="","",IFERROR(INDEX(IF($T1226&lt;=60,peso05_l,peso510_l),MATCH($W1226,IF($T1226&lt;=60,peso05_k,peso510_k),1)),""))</f>
        <v/>
      </c>
      <c r="AK1226">
        <f>IF($W1226="","",IFERROR(INDEX(IF($T1226&lt;=60,peso05_m,peso510_m),MATCH($W1226,IF($T1226&lt;=60,peso05_k,peso510_k),1)),""))</f>
        <v/>
      </c>
      <c r="AL1226">
        <f>IF($W1226="","",IFERROR(INDEX(IF($T1226&lt;=60,peso05_s,peso510_s),MATCH($W1226,IF($T1226&lt;=60,peso05_k,peso510_k),1)),""))</f>
        <v/>
      </c>
      <c r="AM1226">
        <f>IF($AJ1226="","",IF($AJ1226=0,LN($F1226/$AK1226)/$AL1226,((($F1226/$AK1226)^$AJ1226)-1)/($AJ1226*$AL1226)))</f>
        <v/>
      </c>
      <c r="AN1226">
        <f>IF($AJ1226="","",IF($AJ1226=0,$AK1226*EXP($AL1226*2),$AK1226*(1+$AJ1226*$AL1226*2)^(1/$AJ1226)))</f>
        <v/>
      </c>
      <c r="AO1226">
        <f>IF($AJ1226="","",IF($AJ1226=0,$AK1226*EXP($AL1226*3),$AK1226*(1+$AJ1226*$AL1226*3)^(1/$AJ1226)))</f>
        <v/>
      </c>
      <c r="AP1226">
        <f>IF($AJ1226="","",IF($AJ1226=0,$AK1226*EXP($AL1226*-2),$AK1226*(1+$AJ1226*$AL1226*-2)^(1/$AJ1226)))</f>
        <v/>
      </c>
      <c r="AQ1226">
        <f>IF($AJ1226="","",IF($AJ1226=0,$AK1226*EXP($AL1226*-3),$AK1226*(1+$AJ1226*$AL1226*-3)^(1/$AJ1226)))</f>
        <v/>
      </c>
      <c r="AR1226">
        <f>IF(OR($X1226="",$T1226&gt;60),"",IFERROR(INDEX(IF($T1226&lt;24,pcomp_l,palt_l),MATCH($X1226,IF($T1226&lt;24,pcomp_k,palt_k),1)),""))</f>
        <v/>
      </c>
      <c r="AS1226">
        <f>IF(OR($X1226="",$T1226&gt;60),"",IFERROR(INDEX(IF($T1226&lt;24,pcomp_m,palt_m),MATCH($X1226,IF($T1226&lt;24,pcomp_k,palt_k),1)),""))</f>
        <v/>
      </c>
      <c r="AT1226">
        <f>IF(OR($X1226="",$T1226&gt;60),"",IFERROR(INDEX(IF($T1226&lt;24,pcomp_s,palt_s),MATCH($X1226,IF($T1226&lt;24,pcomp_k,palt_k),1)),""))</f>
        <v/>
      </c>
      <c r="AU1226">
        <f>IF($AR1226="","",IF($AR1226=0,LN($F1226/$AS1226)/$AT1226,((($F1226/$AS1226)^$AR1226)-1)/($AR1226*$AT1226)))</f>
        <v/>
      </c>
      <c r="AV1226">
        <f>IF($AR1226="","",IF($AR1226=0,$AS1226*EXP($AT1226*2),$AS1226*(1+$AR1226*$AT1226*2)^(1/$AR1226)))</f>
        <v/>
      </c>
      <c r="AW1226">
        <f>IF($AR1226="","",IF($AR1226=0,$AS1226*EXP($AT1226*3),$AS1226*(1+$AR1226*$AT1226*3)^(1/$AR1226)))</f>
        <v/>
      </c>
      <c r="AX1226">
        <f>IF($AR1226="","",IF($AR1226=0,$AS1226*EXP($AT1226*-2),$AS1226*(1+$AR1226*$AT1226*-2)^(1/$AR1226)))</f>
        <v/>
      </c>
      <c r="AY1226">
        <f>IF($AR1226="","",IF($AR1226=0,$AS1226*EXP($AT1226*-3),$AS1226*(1+$AR1226*$AT1226*-3)^(1/$AR1226)))</f>
        <v/>
      </c>
      <c r="AZ1226">
        <f>IF(OR($A1226="",$A1226&lt;&gt;Ficha!$C$4),"",COUNTIF($A$2:$A1226,Ficha!$C$4))</f>
        <v/>
      </c>
    </row>
    <row r="1227">
      <c r="A1227" s="8">
        <f>IF(INDEX(Banco!$A:$A,ROW())="","",INDEX(Banco!$A:$A,ROW()))</f>
        <v/>
      </c>
      <c r="B1227" s="8">
        <f>IF(INDEX(Banco!$B:$B,ROW())="","",INDEX(Banco!$B:$B,ROW()))</f>
        <v/>
      </c>
      <c r="C1227" s="8">
        <f>IF(INDEX(Banco!$C:$C,ROW())="","",INDEX(Banco!$C:$C,ROW()))</f>
        <v/>
      </c>
      <c r="D1227" s="9">
        <f>IF(INDEX(Banco!$D:$D,ROW())="","",INDEX(Banco!$D:$D,ROW()))</f>
        <v/>
      </c>
      <c r="E1227" s="9">
        <f>IF(INDEX(Banco!$E:$E,ROW())="","",INDEX(Banco!$E:$E,ROW()))</f>
        <v/>
      </c>
      <c r="F1227" s="10">
        <f>IF(INDEX(Banco!$F:$F,ROW())="","",INDEX(Banco!$F:$F,ROW()))</f>
        <v/>
      </c>
      <c r="G1227" s="10">
        <f>IF(INDEX(Banco!$G:$G,ROW())="","",INDEX(Banco!$G:$G,ROW()))</f>
        <v/>
      </c>
      <c r="H1227" s="8">
        <f>IF(INDEX(Banco!$H:$H,ROW())="","",INDEX(Banco!$H:$H,ROW()))</f>
        <v/>
      </c>
      <c r="I1227">
        <f>IF($T1227="","",INT($T1227/12)&amp;"a "&amp;MOD($T1227,12)&amp;"m")</f>
        <v/>
      </c>
      <c r="J1227" s="11">
        <f>IF(OR($F1227="",$G1227=""),"",ROUND($F1227/($G1227/100)^2,2))</f>
        <v/>
      </c>
      <c r="K1227" s="12">
        <f>IF(OR($S1227="",$J1227="",$T1227="",$T1227&lt;0,$T1227&gt;228,$Y1227=""),"—",ROUND(IF(ABS($AB1227)&lt;=3,$AB1227,IF($AB1227&gt;3,3+($J1227-$AD1227)/($AD1227-$AC1227),-3+($J1227-$AF1227)/($AE1227-$AF1227))),2))</f>
        <v/>
      </c>
      <c r="L1227">
        <f>IF(OR($K1227="",$K1227="—"),"",IF($T1227&lt;=60,IF($K1227&lt;-3,"Magreza acentuada",IF($K1227&lt;-2,"Magreza",IF($K1227&lt;=1,"Eutrofia",IF($K1227&lt;=2,"Risco de sobrepeso",IF($K1227&lt;=3,"Sobrepeso","Obesidade"))))),IF($K1227&lt;-3,"Magreza acentuada",IF($K1227&lt;-2,"Magreza",IF($K1227&lt;=1,"Eutrofia",IF($K1227&lt;=2,"Sobrepeso",IF($K1227&lt;=3,"Obesidade","Obesidade grave")))))))</f>
        <v/>
      </c>
      <c r="M1227" s="12">
        <f>IF(OR($S1227="",$V1227="",$T1227="",$T1227&lt;0,$T1227&gt;228,$AG1227=""),"—",ROUND(IF($AG1227=0,LN($V1227/$AH1227)/$AI1227,((($V1227/$AH1227)^$AG1227)-1)/($AG1227*$AI1227)),2))</f>
        <v/>
      </c>
      <c r="N1227">
        <f>IF(OR($M1227="",$M1227="—"),"",IF($M1227&lt;-3,"Muito baixa",IF($M1227&lt;-2,"Baixa","Adequada")))</f>
        <v/>
      </c>
      <c r="O1227" s="12">
        <f>IF(OR($S1227="",$F1227="",$T1227="",$T1227&lt;0,$T1227&gt;120,$AJ1227=""),"—",ROUND(IF(ABS($AM1227)&lt;=3,$AM1227,IF($AM1227&gt;3,3+($F1227-$AO1227)/($AO1227-$AN1227),-3+($F1227-$AQ1227)/($AP1227-$AQ1227))),2))</f>
        <v/>
      </c>
      <c r="P1227">
        <f>IF(OR($O1227="",$O1227="—"),"",IF($O1227&lt;-3,"Muito baixo",IF($O1227&lt;-2,"Baixo",IF($O1227&lt;=2,"Adequado","Elevado"))))</f>
        <v/>
      </c>
      <c r="Q1227" s="12">
        <f>IF(OR($S1227="",$F1227="",$T1227="",$T1227&lt;0,$T1227&gt;60,$AR1227=""),"—",ROUND(IF(ABS($AU1227)&lt;=3,$AU1227,IF($AU1227&gt;3,3+($F1227-$AW1227)/($AW1227-$AV1227),-3+($F1227-$AY1227)/($AX1227-$AY1227))),2))</f>
        <v/>
      </c>
      <c r="R1227">
        <f>IF(OR($Q1227="",$Q1227="—"),"",IF($Q1227&lt;-3,"Magreza acentuada",IF($Q1227&lt;-2,"Magreza",IF($Q1227&lt;=1,"Eutrofia",IF($Q1227&lt;=2,"Risco de sobrepeso",IF($Q1227&lt;=3,"Sobrepeso","Obesidade"))))))</f>
        <v/>
      </c>
      <c r="S1227">
        <f>IF($C1227="","",IF(UPPER(LEFT($C1227,1))="M",1,IF(UPPER(LEFT($C1227,1))="F",2,"")))</f>
        <v/>
      </c>
      <c r="T1227">
        <f>IF(OR($D1227="",$E1227=""),"",DATEDIF($D1227,$E1227,"m"))</f>
        <v/>
      </c>
      <c r="U1227">
        <f>IF(OR($D1227="",$E1227=""),"",$E1227-$D1227)</f>
        <v/>
      </c>
      <c r="V1227">
        <f>IF(OR($G1227="",$T1227=""),"",IF($T1227&lt;24,IF(LEFT(LOWER($H1227),4)="em p",$G1227+0.7,$G1227),IF(LEFT(LOWER($H1227),4)="deit",$G1227-0.7,$G1227)))</f>
        <v/>
      </c>
      <c r="W1227">
        <f>IF(OR($S1227="",$T1227=""),"",$S1227*1000000+IF($T1227&lt;=60,$U1227,$T1227))</f>
        <v/>
      </c>
      <c r="X1227">
        <f>IF(OR($S1227="",$V1227="",$T1227&gt;60,$T1227=""),"",$S1227*1000000+ROUND($V1227*10,0))</f>
        <v/>
      </c>
      <c r="Y1227">
        <f>IF($W1227="","",IFERROR(INDEX(IF($T1227&lt;=60,imc05_l,imc519_l),MATCH($W1227,IF($T1227&lt;=60,imc05_k,imc519_k),1)),""))</f>
        <v/>
      </c>
      <c r="Z1227">
        <f>IF($W1227="","",IFERROR(INDEX(IF($T1227&lt;=60,imc05_m,imc519_m),MATCH($W1227,IF($T1227&lt;=60,imc05_k,imc519_k),1)),""))</f>
        <v/>
      </c>
      <c r="AA1227">
        <f>IF($W1227="","",IFERROR(INDEX(IF($T1227&lt;=60,imc05_s,imc519_s),MATCH($W1227,IF($T1227&lt;=60,imc05_k,imc519_k),1)),""))</f>
        <v/>
      </c>
      <c r="AB1227">
        <f>IF($Y1227="","",IF($Y1227=0,LN($J1227/$Z1227)/$AA1227,((($J1227/$Z1227)^$Y1227)-1)/($Y1227*$AA1227)))</f>
        <v/>
      </c>
      <c r="AC1227">
        <f>IF($Y1227="","",IF($Y1227=0,$Z1227*EXP($AA1227*2),$Z1227*(1+$Y1227*$AA1227*2)^(1/$Y1227)))</f>
        <v/>
      </c>
      <c r="AD1227">
        <f>IF($Y1227="","",IF($Y1227=0,$Z1227*EXP($AA1227*3),$Z1227*(1+$Y1227*$AA1227*3)^(1/$Y1227)))</f>
        <v/>
      </c>
      <c r="AE1227">
        <f>IF($Y1227="","",IF($Y1227=0,$Z1227*EXP($AA1227*-2),$Z1227*(1+$Y1227*$AA1227*-2)^(1/$Y1227)))</f>
        <v/>
      </c>
      <c r="AF1227">
        <f>IF($Y1227="","",IF($Y1227=0,$Z1227*EXP($AA1227*-3),$Z1227*(1+$Y1227*$AA1227*-3)^(1/$Y1227)))</f>
        <v/>
      </c>
      <c r="AG1227">
        <f>IF($W1227="","",IFERROR(INDEX(IF($T1227&lt;=60,est05_l,est519_l),MATCH($W1227,IF($T1227&lt;=60,est05_k,est519_k),1)),""))</f>
        <v/>
      </c>
      <c r="AH1227">
        <f>IF($W1227="","",IFERROR(INDEX(IF($T1227&lt;=60,est05_m,est519_m),MATCH($W1227,IF($T1227&lt;=60,est05_k,est519_k),1)),""))</f>
        <v/>
      </c>
      <c r="AI1227">
        <f>IF($W1227="","",IFERROR(INDEX(IF($T1227&lt;=60,est05_s,est519_s),MATCH($W1227,IF($T1227&lt;=60,est05_k,est519_k),1)),""))</f>
        <v/>
      </c>
      <c r="AJ1227">
        <f>IF($W1227="","",IFERROR(INDEX(IF($T1227&lt;=60,peso05_l,peso510_l),MATCH($W1227,IF($T1227&lt;=60,peso05_k,peso510_k),1)),""))</f>
        <v/>
      </c>
      <c r="AK1227">
        <f>IF($W1227="","",IFERROR(INDEX(IF($T1227&lt;=60,peso05_m,peso510_m),MATCH($W1227,IF($T1227&lt;=60,peso05_k,peso510_k),1)),""))</f>
        <v/>
      </c>
      <c r="AL1227">
        <f>IF($W1227="","",IFERROR(INDEX(IF($T1227&lt;=60,peso05_s,peso510_s),MATCH($W1227,IF($T1227&lt;=60,peso05_k,peso510_k),1)),""))</f>
        <v/>
      </c>
      <c r="AM1227">
        <f>IF($AJ1227="","",IF($AJ1227=0,LN($F1227/$AK1227)/$AL1227,((($F1227/$AK1227)^$AJ1227)-1)/($AJ1227*$AL1227)))</f>
        <v/>
      </c>
      <c r="AN1227">
        <f>IF($AJ1227="","",IF($AJ1227=0,$AK1227*EXP($AL1227*2),$AK1227*(1+$AJ1227*$AL1227*2)^(1/$AJ1227)))</f>
        <v/>
      </c>
      <c r="AO1227">
        <f>IF($AJ1227="","",IF($AJ1227=0,$AK1227*EXP($AL1227*3),$AK1227*(1+$AJ1227*$AL1227*3)^(1/$AJ1227)))</f>
        <v/>
      </c>
      <c r="AP1227">
        <f>IF($AJ1227="","",IF($AJ1227=0,$AK1227*EXP($AL1227*-2),$AK1227*(1+$AJ1227*$AL1227*-2)^(1/$AJ1227)))</f>
        <v/>
      </c>
      <c r="AQ1227">
        <f>IF($AJ1227="","",IF($AJ1227=0,$AK1227*EXP($AL1227*-3),$AK1227*(1+$AJ1227*$AL1227*-3)^(1/$AJ1227)))</f>
        <v/>
      </c>
      <c r="AR1227">
        <f>IF(OR($X1227="",$T1227&gt;60),"",IFERROR(INDEX(IF($T1227&lt;24,pcomp_l,palt_l),MATCH($X1227,IF($T1227&lt;24,pcomp_k,palt_k),1)),""))</f>
        <v/>
      </c>
      <c r="AS1227">
        <f>IF(OR($X1227="",$T1227&gt;60),"",IFERROR(INDEX(IF($T1227&lt;24,pcomp_m,palt_m),MATCH($X1227,IF($T1227&lt;24,pcomp_k,palt_k),1)),""))</f>
        <v/>
      </c>
      <c r="AT1227">
        <f>IF(OR($X1227="",$T1227&gt;60),"",IFERROR(INDEX(IF($T1227&lt;24,pcomp_s,palt_s),MATCH($X1227,IF($T1227&lt;24,pcomp_k,palt_k),1)),""))</f>
        <v/>
      </c>
      <c r="AU1227">
        <f>IF($AR1227="","",IF($AR1227=0,LN($F1227/$AS1227)/$AT1227,((($F1227/$AS1227)^$AR1227)-1)/($AR1227*$AT1227)))</f>
        <v/>
      </c>
      <c r="AV1227">
        <f>IF($AR1227="","",IF($AR1227=0,$AS1227*EXP($AT1227*2),$AS1227*(1+$AR1227*$AT1227*2)^(1/$AR1227)))</f>
        <v/>
      </c>
      <c r="AW1227">
        <f>IF($AR1227="","",IF($AR1227=0,$AS1227*EXP($AT1227*3),$AS1227*(1+$AR1227*$AT1227*3)^(1/$AR1227)))</f>
        <v/>
      </c>
      <c r="AX1227">
        <f>IF($AR1227="","",IF($AR1227=0,$AS1227*EXP($AT1227*-2),$AS1227*(1+$AR1227*$AT1227*-2)^(1/$AR1227)))</f>
        <v/>
      </c>
      <c r="AY1227">
        <f>IF($AR1227="","",IF($AR1227=0,$AS1227*EXP($AT1227*-3),$AS1227*(1+$AR1227*$AT1227*-3)^(1/$AR1227)))</f>
        <v/>
      </c>
      <c r="AZ1227">
        <f>IF(OR($A1227="",$A1227&lt;&gt;Ficha!$C$4),"",COUNTIF($A$2:$A1227,Ficha!$C$4))</f>
        <v/>
      </c>
    </row>
    <row r="1228">
      <c r="A1228" s="8">
        <f>IF(INDEX(Banco!$A:$A,ROW())="","",INDEX(Banco!$A:$A,ROW()))</f>
        <v/>
      </c>
      <c r="B1228" s="8">
        <f>IF(INDEX(Banco!$B:$B,ROW())="","",INDEX(Banco!$B:$B,ROW()))</f>
        <v/>
      </c>
      <c r="C1228" s="8">
        <f>IF(INDEX(Banco!$C:$C,ROW())="","",INDEX(Banco!$C:$C,ROW()))</f>
        <v/>
      </c>
      <c r="D1228" s="9">
        <f>IF(INDEX(Banco!$D:$D,ROW())="","",INDEX(Banco!$D:$D,ROW()))</f>
        <v/>
      </c>
      <c r="E1228" s="9">
        <f>IF(INDEX(Banco!$E:$E,ROW())="","",INDEX(Banco!$E:$E,ROW()))</f>
        <v/>
      </c>
      <c r="F1228" s="10">
        <f>IF(INDEX(Banco!$F:$F,ROW())="","",INDEX(Banco!$F:$F,ROW()))</f>
        <v/>
      </c>
      <c r="G1228" s="10">
        <f>IF(INDEX(Banco!$G:$G,ROW())="","",INDEX(Banco!$G:$G,ROW()))</f>
        <v/>
      </c>
      <c r="H1228" s="8">
        <f>IF(INDEX(Banco!$H:$H,ROW())="","",INDEX(Banco!$H:$H,ROW()))</f>
        <v/>
      </c>
      <c r="I1228">
        <f>IF($T1228="","",INT($T1228/12)&amp;"a "&amp;MOD($T1228,12)&amp;"m")</f>
        <v/>
      </c>
      <c r="J1228" s="11">
        <f>IF(OR($F1228="",$G1228=""),"",ROUND($F1228/($G1228/100)^2,2))</f>
        <v/>
      </c>
      <c r="K1228" s="12">
        <f>IF(OR($S1228="",$J1228="",$T1228="",$T1228&lt;0,$T1228&gt;228,$Y1228=""),"—",ROUND(IF(ABS($AB1228)&lt;=3,$AB1228,IF($AB1228&gt;3,3+($J1228-$AD1228)/($AD1228-$AC1228),-3+($J1228-$AF1228)/($AE1228-$AF1228))),2))</f>
        <v/>
      </c>
      <c r="L1228">
        <f>IF(OR($K1228="",$K1228="—"),"",IF($T1228&lt;=60,IF($K1228&lt;-3,"Magreza acentuada",IF($K1228&lt;-2,"Magreza",IF($K1228&lt;=1,"Eutrofia",IF($K1228&lt;=2,"Risco de sobrepeso",IF($K1228&lt;=3,"Sobrepeso","Obesidade"))))),IF($K1228&lt;-3,"Magreza acentuada",IF($K1228&lt;-2,"Magreza",IF($K1228&lt;=1,"Eutrofia",IF($K1228&lt;=2,"Sobrepeso",IF($K1228&lt;=3,"Obesidade","Obesidade grave")))))))</f>
        <v/>
      </c>
      <c r="M1228" s="12">
        <f>IF(OR($S1228="",$V1228="",$T1228="",$T1228&lt;0,$T1228&gt;228,$AG1228=""),"—",ROUND(IF($AG1228=0,LN($V1228/$AH1228)/$AI1228,((($V1228/$AH1228)^$AG1228)-1)/($AG1228*$AI1228)),2))</f>
        <v/>
      </c>
      <c r="N1228">
        <f>IF(OR($M1228="",$M1228="—"),"",IF($M1228&lt;-3,"Muito baixa",IF($M1228&lt;-2,"Baixa","Adequada")))</f>
        <v/>
      </c>
      <c r="O1228" s="12">
        <f>IF(OR($S1228="",$F1228="",$T1228="",$T1228&lt;0,$T1228&gt;120,$AJ1228=""),"—",ROUND(IF(ABS($AM1228)&lt;=3,$AM1228,IF($AM1228&gt;3,3+($F1228-$AO1228)/($AO1228-$AN1228),-3+($F1228-$AQ1228)/($AP1228-$AQ1228))),2))</f>
        <v/>
      </c>
      <c r="P1228">
        <f>IF(OR($O1228="",$O1228="—"),"",IF($O1228&lt;-3,"Muito baixo",IF($O1228&lt;-2,"Baixo",IF($O1228&lt;=2,"Adequado","Elevado"))))</f>
        <v/>
      </c>
      <c r="Q1228" s="12">
        <f>IF(OR($S1228="",$F1228="",$T1228="",$T1228&lt;0,$T1228&gt;60,$AR1228=""),"—",ROUND(IF(ABS($AU1228)&lt;=3,$AU1228,IF($AU1228&gt;3,3+($F1228-$AW1228)/($AW1228-$AV1228),-3+($F1228-$AY1228)/($AX1228-$AY1228))),2))</f>
        <v/>
      </c>
      <c r="R1228">
        <f>IF(OR($Q1228="",$Q1228="—"),"",IF($Q1228&lt;-3,"Magreza acentuada",IF($Q1228&lt;-2,"Magreza",IF($Q1228&lt;=1,"Eutrofia",IF($Q1228&lt;=2,"Risco de sobrepeso",IF($Q1228&lt;=3,"Sobrepeso","Obesidade"))))))</f>
        <v/>
      </c>
      <c r="S1228">
        <f>IF($C1228="","",IF(UPPER(LEFT($C1228,1))="M",1,IF(UPPER(LEFT($C1228,1))="F",2,"")))</f>
        <v/>
      </c>
      <c r="T1228">
        <f>IF(OR($D1228="",$E1228=""),"",DATEDIF($D1228,$E1228,"m"))</f>
        <v/>
      </c>
      <c r="U1228">
        <f>IF(OR($D1228="",$E1228=""),"",$E1228-$D1228)</f>
        <v/>
      </c>
      <c r="V1228">
        <f>IF(OR($G1228="",$T1228=""),"",IF($T1228&lt;24,IF(LEFT(LOWER($H1228),4)="em p",$G1228+0.7,$G1228),IF(LEFT(LOWER($H1228),4)="deit",$G1228-0.7,$G1228)))</f>
        <v/>
      </c>
      <c r="W1228">
        <f>IF(OR($S1228="",$T1228=""),"",$S1228*1000000+IF($T1228&lt;=60,$U1228,$T1228))</f>
        <v/>
      </c>
      <c r="X1228">
        <f>IF(OR($S1228="",$V1228="",$T1228&gt;60,$T1228=""),"",$S1228*1000000+ROUND($V1228*10,0))</f>
        <v/>
      </c>
      <c r="Y1228">
        <f>IF($W1228="","",IFERROR(INDEX(IF($T1228&lt;=60,imc05_l,imc519_l),MATCH($W1228,IF($T1228&lt;=60,imc05_k,imc519_k),1)),""))</f>
        <v/>
      </c>
      <c r="Z1228">
        <f>IF($W1228="","",IFERROR(INDEX(IF($T1228&lt;=60,imc05_m,imc519_m),MATCH($W1228,IF($T1228&lt;=60,imc05_k,imc519_k),1)),""))</f>
        <v/>
      </c>
      <c r="AA1228">
        <f>IF($W1228="","",IFERROR(INDEX(IF($T1228&lt;=60,imc05_s,imc519_s),MATCH($W1228,IF($T1228&lt;=60,imc05_k,imc519_k),1)),""))</f>
        <v/>
      </c>
      <c r="AB1228">
        <f>IF($Y1228="","",IF($Y1228=0,LN($J1228/$Z1228)/$AA1228,((($J1228/$Z1228)^$Y1228)-1)/($Y1228*$AA1228)))</f>
        <v/>
      </c>
      <c r="AC1228">
        <f>IF($Y1228="","",IF($Y1228=0,$Z1228*EXP($AA1228*2),$Z1228*(1+$Y1228*$AA1228*2)^(1/$Y1228)))</f>
        <v/>
      </c>
      <c r="AD1228">
        <f>IF($Y1228="","",IF($Y1228=0,$Z1228*EXP($AA1228*3),$Z1228*(1+$Y1228*$AA1228*3)^(1/$Y1228)))</f>
        <v/>
      </c>
      <c r="AE1228">
        <f>IF($Y1228="","",IF($Y1228=0,$Z1228*EXP($AA1228*-2),$Z1228*(1+$Y1228*$AA1228*-2)^(1/$Y1228)))</f>
        <v/>
      </c>
      <c r="AF1228">
        <f>IF($Y1228="","",IF($Y1228=0,$Z1228*EXP($AA1228*-3),$Z1228*(1+$Y1228*$AA1228*-3)^(1/$Y1228)))</f>
        <v/>
      </c>
      <c r="AG1228">
        <f>IF($W1228="","",IFERROR(INDEX(IF($T1228&lt;=60,est05_l,est519_l),MATCH($W1228,IF($T1228&lt;=60,est05_k,est519_k),1)),""))</f>
        <v/>
      </c>
      <c r="AH1228">
        <f>IF($W1228="","",IFERROR(INDEX(IF($T1228&lt;=60,est05_m,est519_m),MATCH($W1228,IF($T1228&lt;=60,est05_k,est519_k),1)),""))</f>
        <v/>
      </c>
      <c r="AI1228">
        <f>IF($W1228="","",IFERROR(INDEX(IF($T1228&lt;=60,est05_s,est519_s),MATCH($W1228,IF($T1228&lt;=60,est05_k,est519_k),1)),""))</f>
        <v/>
      </c>
      <c r="AJ1228">
        <f>IF($W1228="","",IFERROR(INDEX(IF($T1228&lt;=60,peso05_l,peso510_l),MATCH($W1228,IF($T1228&lt;=60,peso05_k,peso510_k),1)),""))</f>
        <v/>
      </c>
      <c r="AK1228">
        <f>IF($W1228="","",IFERROR(INDEX(IF($T1228&lt;=60,peso05_m,peso510_m),MATCH($W1228,IF($T1228&lt;=60,peso05_k,peso510_k),1)),""))</f>
        <v/>
      </c>
      <c r="AL1228">
        <f>IF($W1228="","",IFERROR(INDEX(IF($T1228&lt;=60,peso05_s,peso510_s),MATCH($W1228,IF($T1228&lt;=60,peso05_k,peso510_k),1)),""))</f>
        <v/>
      </c>
      <c r="AM1228">
        <f>IF($AJ1228="","",IF($AJ1228=0,LN($F1228/$AK1228)/$AL1228,((($F1228/$AK1228)^$AJ1228)-1)/($AJ1228*$AL1228)))</f>
        <v/>
      </c>
      <c r="AN1228">
        <f>IF($AJ1228="","",IF($AJ1228=0,$AK1228*EXP($AL1228*2),$AK1228*(1+$AJ1228*$AL1228*2)^(1/$AJ1228)))</f>
        <v/>
      </c>
      <c r="AO1228">
        <f>IF($AJ1228="","",IF($AJ1228=0,$AK1228*EXP($AL1228*3),$AK1228*(1+$AJ1228*$AL1228*3)^(1/$AJ1228)))</f>
        <v/>
      </c>
      <c r="AP1228">
        <f>IF($AJ1228="","",IF($AJ1228=0,$AK1228*EXP($AL1228*-2),$AK1228*(1+$AJ1228*$AL1228*-2)^(1/$AJ1228)))</f>
        <v/>
      </c>
      <c r="AQ1228">
        <f>IF($AJ1228="","",IF($AJ1228=0,$AK1228*EXP($AL1228*-3),$AK1228*(1+$AJ1228*$AL1228*-3)^(1/$AJ1228)))</f>
        <v/>
      </c>
      <c r="AR1228">
        <f>IF(OR($X1228="",$T1228&gt;60),"",IFERROR(INDEX(IF($T1228&lt;24,pcomp_l,palt_l),MATCH($X1228,IF($T1228&lt;24,pcomp_k,palt_k),1)),""))</f>
        <v/>
      </c>
      <c r="AS1228">
        <f>IF(OR($X1228="",$T1228&gt;60),"",IFERROR(INDEX(IF($T1228&lt;24,pcomp_m,palt_m),MATCH($X1228,IF($T1228&lt;24,pcomp_k,palt_k),1)),""))</f>
        <v/>
      </c>
      <c r="AT1228">
        <f>IF(OR($X1228="",$T1228&gt;60),"",IFERROR(INDEX(IF($T1228&lt;24,pcomp_s,palt_s),MATCH($X1228,IF($T1228&lt;24,pcomp_k,palt_k),1)),""))</f>
        <v/>
      </c>
      <c r="AU1228">
        <f>IF($AR1228="","",IF($AR1228=0,LN($F1228/$AS1228)/$AT1228,((($F1228/$AS1228)^$AR1228)-1)/($AR1228*$AT1228)))</f>
        <v/>
      </c>
      <c r="AV1228">
        <f>IF($AR1228="","",IF($AR1228=0,$AS1228*EXP($AT1228*2),$AS1228*(1+$AR1228*$AT1228*2)^(1/$AR1228)))</f>
        <v/>
      </c>
      <c r="AW1228">
        <f>IF($AR1228="","",IF($AR1228=0,$AS1228*EXP($AT1228*3),$AS1228*(1+$AR1228*$AT1228*3)^(1/$AR1228)))</f>
        <v/>
      </c>
      <c r="AX1228">
        <f>IF($AR1228="","",IF($AR1228=0,$AS1228*EXP($AT1228*-2),$AS1228*(1+$AR1228*$AT1228*-2)^(1/$AR1228)))</f>
        <v/>
      </c>
      <c r="AY1228">
        <f>IF($AR1228="","",IF($AR1228=0,$AS1228*EXP($AT1228*-3),$AS1228*(1+$AR1228*$AT1228*-3)^(1/$AR1228)))</f>
        <v/>
      </c>
      <c r="AZ1228">
        <f>IF(OR($A1228="",$A1228&lt;&gt;Ficha!$C$4),"",COUNTIF($A$2:$A1228,Ficha!$C$4))</f>
        <v/>
      </c>
    </row>
    <row r="1229">
      <c r="A1229" s="8">
        <f>IF(INDEX(Banco!$A:$A,ROW())="","",INDEX(Banco!$A:$A,ROW()))</f>
        <v/>
      </c>
      <c r="B1229" s="8">
        <f>IF(INDEX(Banco!$B:$B,ROW())="","",INDEX(Banco!$B:$B,ROW()))</f>
        <v/>
      </c>
      <c r="C1229" s="8">
        <f>IF(INDEX(Banco!$C:$C,ROW())="","",INDEX(Banco!$C:$C,ROW()))</f>
        <v/>
      </c>
      <c r="D1229" s="9">
        <f>IF(INDEX(Banco!$D:$D,ROW())="","",INDEX(Banco!$D:$D,ROW()))</f>
        <v/>
      </c>
      <c r="E1229" s="9">
        <f>IF(INDEX(Banco!$E:$E,ROW())="","",INDEX(Banco!$E:$E,ROW()))</f>
        <v/>
      </c>
      <c r="F1229" s="10">
        <f>IF(INDEX(Banco!$F:$F,ROW())="","",INDEX(Banco!$F:$F,ROW()))</f>
        <v/>
      </c>
      <c r="G1229" s="10">
        <f>IF(INDEX(Banco!$G:$G,ROW())="","",INDEX(Banco!$G:$G,ROW()))</f>
        <v/>
      </c>
      <c r="H1229" s="8">
        <f>IF(INDEX(Banco!$H:$H,ROW())="","",INDEX(Banco!$H:$H,ROW()))</f>
        <v/>
      </c>
      <c r="I1229">
        <f>IF($T1229="","",INT($T1229/12)&amp;"a "&amp;MOD($T1229,12)&amp;"m")</f>
        <v/>
      </c>
      <c r="J1229" s="11">
        <f>IF(OR($F1229="",$G1229=""),"",ROUND($F1229/($G1229/100)^2,2))</f>
        <v/>
      </c>
      <c r="K1229" s="12">
        <f>IF(OR($S1229="",$J1229="",$T1229="",$T1229&lt;0,$T1229&gt;228,$Y1229=""),"—",ROUND(IF(ABS($AB1229)&lt;=3,$AB1229,IF($AB1229&gt;3,3+($J1229-$AD1229)/($AD1229-$AC1229),-3+($J1229-$AF1229)/($AE1229-$AF1229))),2))</f>
        <v/>
      </c>
      <c r="L1229">
        <f>IF(OR($K1229="",$K1229="—"),"",IF($T1229&lt;=60,IF($K1229&lt;-3,"Magreza acentuada",IF($K1229&lt;-2,"Magreza",IF($K1229&lt;=1,"Eutrofia",IF($K1229&lt;=2,"Risco de sobrepeso",IF($K1229&lt;=3,"Sobrepeso","Obesidade"))))),IF($K1229&lt;-3,"Magreza acentuada",IF($K1229&lt;-2,"Magreza",IF($K1229&lt;=1,"Eutrofia",IF($K1229&lt;=2,"Sobrepeso",IF($K1229&lt;=3,"Obesidade","Obesidade grave")))))))</f>
        <v/>
      </c>
      <c r="M1229" s="12">
        <f>IF(OR($S1229="",$V1229="",$T1229="",$T1229&lt;0,$T1229&gt;228,$AG1229=""),"—",ROUND(IF($AG1229=0,LN($V1229/$AH1229)/$AI1229,((($V1229/$AH1229)^$AG1229)-1)/($AG1229*$AI1229)),2))</f>
        <v/>
      </c>
      <c r="N1229">
        <f>IF(OR($M1229="",$M1229="—"),"",IF($M1229&lt;-3,"Muito baixa",IF($M1229&lt;-2,"Baixa","Adequada")))</f>
        <v/>
      </c>
      <c r="O1229" s="12">
        <f>IF(OR($S1229="",$F1229="",$T1229="",$T1229&lt;0,$T1229&gt;120,$AJ1229=""),"—",ROUND(IF(ABS($AM1229)&lt;=3,$AM1229,IF($AM1229&gt;3,3+($F1229-$AO1229)/($AO1229-$AN1229),-3+($F1229-$AQ1229)/($AP1229-$AQ1229))),2))</f>
        <v/>
      </c>
      <c r="P1229">
        <f>IF(OR($O1229="",$O1229="—"),"",IF($O1229&lt;-3,"Muito baixo",IF($O1229&lt;-2,"Baixo",IF($O1229&lt;=2,"Adequado","Elevado"))))</f>
        <v/>
      </c>
      <c r="Q1229" s="12">
        <f>IF(OR($S1229="",$F1229="",$T1229="",$T1229&lt;0,$T1229&gt;60,$AR1229=""),"—",ROUND(IF(ABS($AU1229)&lt;=3,$AU1229,IF($AU1229&gt;3,3+($F1229-$AW1229)/($AW1229-$AV1229),-3+($F1229-$AY1229)/($AX1229-$AY1229))),2))</f>
        <v/>
      </c>
      <c r="R1229">
        <f>IF(OR($Q1229="",$Q1229="—"),"",IF($Q1229&lt;-3,"Magreza acentuada",IF($Q1229&lt;-2,"Magreza",IF($Q1229&lt;=1,"Eutrofia",IF($Q1229&lt;=2,"Risco de sobrepeso",IF($Q1229&lt;=3,"Sobrepeso","Obesidade"))))))</f>
        <v/>
      </c>
      <c r="S1229">
        <f>IF($C1229="","",IF(UPPER(LEFT($C1229,1))="M",1,IF(UPPER(LEFT($C1229,1))="F",2,"")))</f>
        <v/>
      </c>
      <c r="T1229">
        <f>IF(OR($D1229="",$E1229=""),"",DATEDIF($D1229,$E1229,"m"))</f>
        <v/>
      </c>
      <c r="U1229">
        <f>IF(OR($D1229="",$E1229=""),"",$E1229-$D1229)</f>
        <v/>
      </c>
      <c r="V1229">
        <f>IF(OR($G1229="",$T1229=""),"",IF($T1229&lt;24,IF(LEFT(LOWER($H1229),4)="em p",$G1229+0.7,$G1229),IF(LEFT(LOWER($H1229),4)="deit",$G1229-0.7,$G1229)))</f>
        <v/>
      </c>
      <c r="W1229">
        <f>IF(OR($S1229="",$T1229=""),"",$S1229*1000000+IF($T1229&lt;=60,$U1229,$T1229))</f>
        <v/>
      </c>
      <c r="X1229">
        <f>IF(OR($S1229="",$V1229="",$T1229&gt;60,$T1229=""),"",$S1229*1000000+ROUND($V1229*10,0))</f>
        <v/>
      </c>
      <c r="Y1229">
        <f>IF($W1229="","",IFERROR(INDEX(IF($T1229&lt;=60,imc05_l,imc519_l),MATCH($W1229,IF($T1229&lt;=60,imc05_k,imc519_k),1)),""))</f>
        <v/>
      </c>
      <c r="Z1229">
        <f>IF($W1229="","",IFERROR(INDEX(IF($T1229&lt;=60,imc05_m,imc519_m),MATCH($W1229,IF($T1229&lt;=60,imc05_k,imc519_k),1)),""))</f>
        <v/>
      </c>
      <c r="AA1229">
        <f>IF($W1229="","",IFERROR(INDEX(IF($T1229&lt;=60,imc05_s,imc519_s),MATCH($W1229,IF($T1229&lt;=60,imc05_k,imc519_k),1)),""))</f>
        <v/>
      </c>
      <c r="AB1229">
        <f>IF($Y1229="","",IF($Y1229=0,LN($J1229/$Z1229)/$AA1229,((($J1229/$Z1229)^$Y1229)-1)/($Y1229*$AA1229)))</f>
        <v/>
      </c>
      <c r="AC1229">
        <f>IF($Y1229="","",IF($Y1229=0,$Z1229*EXP($AA1229*2),$Z1229*(1+$Y1229*$AA1229*2)^(1/$Y1229)))</f>
        <v/>
      </c>
      <c r="AD1229">
        <f>IF($Y1229="","",IF($Y1229=0,$Z1229*EXP($AA1229*3),$Z1229*(1+$Y1229*$AA1229*3)^(1/$Y1229)))</f>
        <v/>
      </c>
      <c r="AE1229">
        <f>IF($Y1229="","",IF($Y1229=0,$Z1229*EXP($AA1229*-2),$Z1229*(1+$Y1229*$AA1229*-2)^(1/$Y1229)))</f>
        <v/>
      </c>
      <c r="AF1229">
        <f>IF($Y1229="","",IF($Y1229=0,$Z1229*EXP($AA1229*-3),$Z1229*(1+$Y1229*$AA1229*-3)^(1/$Y1229)))</f>
        <v/>
      </c>
      <c r="AG1229">
        <f>IF($W1229="","",IFERROR(INDEX(IF($T1229&lt;=60,est05_l,est519_l),MATCH($W1229,IF($T1229&lt;=60,est05_k,est519_k),1)),""))</f>
        <v/>
      </c>
      <c r="AH1229">
        <f>IF($W1229="","",IFERROR(INDEX(IF($T1229&lt;=60,est05_m,est519_m),MATCH($W1229,IF($T1229&lt;=60,est05_k,est519_k),1)),""))</f>
        <v/>
      </c>
      <c r="AI1229">
        <f>IF($W1229="","",IFERROR(INDEX(IF($T1229&lt;=60,est05_s,est519_s),MATCH($W1229,IF($T1229&lt;=60,est05_k,est519_k),1)),""))</f>
        <v/>
      </c>
      <c r="AJ1229">
        <f>IF($W1229="","",IFERROR(INDEX(IF($T1229&lt;=60,peso05_l,peso510_l),MATCH($W1229,IF($T1229&lt;=60,peso05_k,peso510_k),1)),""))</f>
        <v/>
      </c>
      <c r="AK1229">
        <f>IF($W1229="","",IFERROR(INDEX(IF($T1229&lt;=60,peso05_m,peso510_m),MATCH($W1229,IF($T1229&lt;=60,peso05_k,peso510_k),1)),""))</f>
        <v/>
      </c>
      <c r="AL1229">
        <f>IF($W1229="","",IFERROR(INDEX(IF($T1229&lt;=60,peso05_s,peso510_s),MATCH($W1229,IF($T1229&lt;=60,peso05_k,peso510_k),1)),""))</f>
        <v/>
      </c>
      <c r="AM1229">
        <f>IF($AJ1229="","",IF($AJ1229=0,LN($F1229/$AK1229)/$AL1229,((($F1229/$AK1229)^$AJ1229)-1)/($AJ1229*$AL1229)))</f>
        <v/>
      </c>
      <c r="AN1229">
        <f>IF($AJ1229="","",IF($AJ1229=0,$AK1229*EXP($AL1229*2),$AK1229*(1+$AJ1229*$AL1229*2)^(1/$AJ1229)))</f>
        <v/>
      </c>
      <c r="AO1229">
        <f>IF($AJ1229="","",IF($AJ1229=0,$AK1229*EXP($AL1229*3),$AK1229*(1+$AJ1229*$AL1229*3)^(1/$AJ1229)))</f>
        <v/>
      </c>
      <c r="AP1229">
        <f>IF($AJ1229="","",IF($AJ1229=0,$AK1229*EXP($AL1229*-2),$AK1229*(1+$AJ1229*$AL1229*-2)^(1/$AJ1229)))</f>
        <v/>
      </c>
      <c r="AQ1229">
        <f>IF($AJ1229="","",IF($AJ1229=0,$AK1229*EXP($AL1229*-3),$AK1229*(1+$AJ1229*$AL1229*-3)^(1/$AJ1229)))</f>
        <v/>
      </c>
      <c r="AR1229">
        <f>IF(OR($X1229="",$T1229&gt;60),"",IFERROR(INDEX(IF($T1229&lt;24,pcomp_l,palt_l),MATCH($X1229,IF($T1229&lt;24,pcomp_k,palt_k),1)),""))</f>
        <v/>
      </c>
      <c r="AS1229">
        <f>IF(OR($X1229="",$T1229&gt;60),"",IFERROR(INDEX(IF($T1229&lt;24,pcomp_m,palt_m),MATCH($X1229,IF($T1229&lt;24,pcomp_k,palt_k),1)),""))</f>
        <v/>
      </c>
      <c r="AT1229">
        <f>IF(OR($X1229="",$T1229&gt;60),"",IFERROR(INDEX(IF($T1229&lt;24,pcomp_s,palt_s),MATCH($X1229,IF($T1229&lt;24,pcomp_k,palt_k),1)),""))</f>
        <v/>
      </c>
      <c r="AU1229">
        <f>IF($AR1229="","",IF($AR1229=0,LN($F1229/$AS1229)/$AT1229,((($F1229/$AS1229)^$AR1229)-1)/($AR1229*$AT1229)))</f>
        <v/>
      </c>
      <c r="AV1229">
        <f>IF($AR1229="","",IF($AR1229=0,$AS1229*EXP($AT1229*2),$AS1229*(1+$AR1229*$AT1229*2)^(1/$AR1229)))</f>
        <v/>
      </c>
      <c r="AW1229">
        <f>IF($AR1229="","",IF($AR1229=0,$AS1229*EXP($AT1229*3),$AS1229*(1+$AR1229*$AT1229*3)^(1/$AR1229)))</f>
        <v/>
      </c>
      <c r="AX1229">
        <f>IF($AR1229="","",IF($AR1229=0,$AS1229*EXP($AT1229*-2),$AS1229*(1+$AR1229*$AT1229*-2)^(1/$AR1229)))</f>
        <v/>
      </c>
      <c r="AY1229">
        <f>IF($AR1229="","",IF($AR1229=0,$AS1229*EXP($AT1229*-3),$AS1229*(1+$AR1229*$AT1229*-3)^(1/$AR1229)))</f>
        <v/>
      </c>
      <c r="AZ1229">
        <f>IF(OR($A1229="",$A1229&lt;&gt;Ficha!$C$4),"",COUNTIF($A$2:$A1229,Ficha!$C$4))</f>
        <v/>
      </c>
    </row>
    <row r="1230">
      <c r="A1230" s="8">
        <f>IF(INDEX(Banco!$A:$A,ROW())="","",INDEX(Banco!$A:$A,ROW()))</f>
        <v/>
      </c>
      <c r="B1230" s="8">
        <f>IF(INDEX(Banco!$B:$B,ROW())="","",INDEX(Banco!$B:$B,ROW()))</f>
        <v/>
      </c>
      <c r="C1230" s="8">
        <f>IF(INDEX(Banco!$C:$C,ROW())="","",INDEX(Banco!$C:$C,ROW()))</f>
        <v/>
      </c>
      <c r="D1230" s="9">
        <f>IF(INDEX(Banco!$D:$D,ROW())="","",INDEX(Banco!$D:$D,ROW()))</f>
        <v/>
      </c>
      <c r="E1230" s="9">
        <f>IF(INDEX(Banco!$E:$E,ROW())="","",INDEX(Banco!$E:$E,ROW()))</f>
        <v/>
      </c>
      <c r="F1230" s="10">
        <f>IF(INDEX(Banco!$F:$F,ROW())="","",INDEX(Banco!$F:$F,ROW()))</f>
        <v/>
      </c>
      <c r="G1230" s="10">
        <f>IF(INDEX(Banco!$G:$G,ROW())="","",INDEX(Banco!$G:$G,ROW()))</f>
        <v/>
      </c>
      <c r="H1230" s="8">
        <f>IF(INDEX(Banco!$H:$H,ROW())="","",INDEX(Banco!$H:$H,ROW()))</f>
        <v/>
      </c>
      <c r="I1230">
        <f>IF($T1230="","",INT($T1230/12)&amp;"a "&amp;MOD($T1230,12)&amp;"m")</f>
        <v/>
      </c>
      <c r="J1230" s="11">
        <f>IF(OR($F1230="",$G1230=""),"",ROUND($F1230/($G1230/100)^2,2))</f>
        <v/>
      </c>
      <c r="K1230" s="12">
        <f>IF(OR($S1230="",$J1230="",$T1230="",$T1230&lt;0,$T1230&gt;228,$Y1230=""),"—",ROUND(IF(ABS($AB1230)&lt;=3,$AB1230,IF($AB1230&gt;3,3+($J1230-$AD1230)/($AD1230-$AC1230),-3+($J1230-$AF1230)/($AE1230-$AF1230))),2))</f>
        <v/>
      </c>
      <c r="L1230">
        <f>IF(OR($K1230="",$K1230="—"),"",IF($T1230&lt;=60,IF($K1230&lt;-3,"Magreza acentuada",IF($K1230&lt;-2,"Magreza",IF($K1230&lt;=1,"Eutrofia",IF($K1230&lt;=2,"Risco de sobrepeso",IF($K1230&lt;=3,"Sobrepeso","Obesidade"))))),IF($K1230&lt;-3,"Magreza acentuada",IF($K1230&lt;-2,"Magreza",IF($K1230&lt;=1,"Eutrofia",IF($K1230&lt;=2,"Sobrepeso",IF($K1230&lt;=3,"Obesidade","Obesidade grave")))))))</f>
        <v/>
      </c>
      <c r="M1230" s="12">
        <f>IF(OR($S1230="",$V1230="",$T1230="",$T1230&lt;0,$T1230&gt;228,$AG1230=""),"—",ROUND(IF($AG1230=0,LN($V1230/$AH1230)/$AI1230,((($V1230/$AH1230)^$AG1230)-1)/($AG1230*$AI1230)),2))</f>
        <v/>
      </c>
      <c r="N1230">
        <f>IF(OR($M1230="",$M1230="—"),"",IF($M1230&lt;-3,"Muito baixa",IF($M1230&lt;-2,"Baixa","Adequada")))</f>
        <v/>
      </c>
      <c r="O1230" s="12">
        <f>IF(OR($S1230="",$F1230="",$T1230="",$T1230&lt;0,$T1230&gt;120,$AJ1230=""),"—",ROUND(IF(ABS($AM1230)&lt;=3,$AM1230,IF($AM1230&gt;3,3+($F1230-$AO1230)/($AO1230-$AN1230),-3+($F1230-$AQ1230)/($AP1230-$AQ1230))),2))</f>
        <v/>
      </c>
      <c r="P1230">
        <f>IF(OR($O1230="",$O1230="—"),"",IF($O1230&lt;-3,"Muito baixo",IF($O1230&lt;-2,"Baixo",IF($O1230&lt;=2,"Adequado","Elevado"))))</f>
        <v/>
      </c>
      <c r="Q1230" s="12">
        <f>IF(OR($S1230="",$F1230="",$T1230="",$T1230&lt;0,$T1230&gt;60,$AR1230=""),"—",ROUND(IF(ABS($AU1230)&lt;=3,$AU1230,IF($AU1230&gt;3,3+($F1230-$AW1230)/($AW1230-$AV1230),-3+($F1230-$AY1230)/($AX1230-$AY1230))),2))</f>
        <v/>
      </c>
      <c r="R1230">
        <f>IF(OR($Q1230="",$Q1230="—"),"",IF($Q1230&lt;-3,"Magreza acentuada",IF($Q1230&lt;-2,"Magreza",IF($Q1230&lt;=1,"Eutrofia",IF($Q1230&lt;=2,"Risco de sobrepeso",IF($Q1230&lt;=3,"Sobrepeso","Obesidade"))))))</f>
        <v/>
      </c>
      <c r="S1230">
        <f>IF($C1230="","",IF(UPPER(LEFT($C1230,1))="M",1,IF(UPPER(LEFT($C1230,1))="F",2,"")))</f>
        <v/>
      </c>
      <c r="T1230">
        <f>IF(OR($D1230="",$E1230=""),"",DATEDIF($D1230,$E1230,"m"))</f>
        <v/>
      </c>
      <c r="U1230">
        <f>IF(OR($D1230="",$E1230=""),"",$E1230-$D1230)</f>
        <v/>
      </c>
      <c r="V1230">
        <f>IF(OR($G1230="",$T1230=""),"",IF($T1230&lt;24,IF(LEFT(LOWER($H1230),4)="em p",$G1230+0.7,$G1230),IF(LEFT(LOWER($H1230),4)="deit",$G1230-0.7,$G1230)))</f>
        <v/>
      </c>
      <c r="W1230">
        <f>IF(OR($S1230="",$T1230=""),"",$S1230*1000000+IF($T1230&lt;=60,$U1230,$T1230))</f>
        <v/>
      </c>
      <c r="X1230">
        <f>IF(OR($S1230="",$V1230="",$T1230&gt;60,$T1230=""),"",$S1230*1000000+ROUND($V1230*10,0))</f>
        <v/>
      </c>
      <c r="Y1230">
        <f>IF($W1230="","",IFERROR(INDEX(IF($T1230&lt;=60,imc05_l,imc519_l),MATCH($W1230,IF($T1230&lt;=60,imc05_k,imc519_k),1)),""))</f>
        <v/>
      </c>
      <c r="Z1230">
        <f>IF($W1230="","",IFERROR(INDEX(IF($T1230&lt;=60,imc05_m,imc519_m),MATCH($W1230,IF($T1230&lt;=60,imc05_k,imc519_k),1)),""))</f>
        <v/>
      </c>
      <c r="AA1230">
        <f>IF($W1230="","",IFERROR(INDEX(IF($T1230&lt;=60,imc05_s,imc519_s),MATCH($W1230,IF($T1230&lt;=60,imc05_k,imc519_k),1)),""))</f>
        <v/>
      </c>
      <c r="AB1230">
        <f>IF($Y1230="","",IF($Y1230=0,LN($J1230/$Z1230)/$AA1230,((($J1230/$Z1230)^$Y1230)-1)/($Y1230*$AA1230)))</f>
        <v/>
      </c>
      <c r="AC1230">
        <f>IF($Y1230="","",IF($Y1230=0,$Z1230*EXP($AA1230*2),$Z1230*(1+$Y1230*$AA1230*2)^(1/$Y1230)))</f>
        <v/>
      </c>
      <c r="AD1230">
        <f>IF($Y1230="","",IF($Y1230=0,$Z1230*EXP($AA1230*3),$Z1230*(1+$Y1230*$AA1230*3)^(1/$Y1230)))</f>
        <v/>
      </c>
      <c r="AE1230">
        <f>IF($Y1230="","",IF($Y1230=0,$Z1230*EXP($AA1230*-2),$Z1230*(1+$Y1230*$AA1230*-2)^(1/$Y1230)))</f>
        <v/>
      </c>
      <c r="AF1230">
        <f>IF($Y1230="","",IF($Y1230=0,$Z1230*EXP($AA1230*-3),$Z1230*(1+$Y1230*$AA1230*-3)^(1/$Y1230)))</f>
        <v/>
      </c>
      <c r="AG1230">
        <f>IF($W1230="","",IFERROR(INDEX(IF($T1230&lt;=60,est05_l,est519_l),MATCH($W1230,IF($T1230&lt;=60,est05_k,est519_k),1)),""))</f>
        <v/>
      </c>
      <c r="AH1230">
        <f>IF($W1230="","",IFERROR(INDEX(IF($T1230&lt;=60,est05_m,est519_m),MATCH($W1230,IF($T1230&lt;=60,est05_k,est519_k),1)),""))</f>
        <v/>
      </c>
      <c r="AI1230">
        <f>IF($W1230="","",IFERROR(INDEX(IF($T1230&lt;=60,est05_s,est519_s),MATCH($W1230,IF($T1230&lt;=60,est05_k,est519_k),1)),""))</f>
        <v/>
      </c>
      <c r="AJ1230">
        <f>IF($W1230="","",IFERROR(INDEX(IF($T1230&lt;=60,peso05_l,peso510_l),MATCH($W1230,IF($T1230&lt;=60,peso05_k,peso510_k),1)),""))</f>
        <v/>
      </c>
      <c r="AK1230">
        <f>IF($W1230="","",IFERROR(INDEX(IF($T1230&lt;=60,peso05_m,peso510_m),MATCH($W1230,IF($T1230&lt;=60,peso05_k,peso510_k),1)),""))</f>
        <v/>
      </c>
      <c r="AL1230">
        <f>IF($W1230="","",IFERROR(INDEX(IF($T1230&lt;=60,peso05_s,peso510_s),MATCH($W1230,IF($T1230&lt;=60,peso05_k,peso510_k),1)),""))</f>
        <v/>
      </c>
      <c r="AM1230">
        <f>IF($AJ1230="","",IF($AJ1230=0,LN($F1230/$AK1230)/$AL1230,((($F1230/$AK1230)^$AJ1230)-1)/($AJ1230*$AL1230)))</f>
        <v/>
      </c>
      <c r="AN1230">
        <f>IF($AJ1230="","",IF($AJ1230=0,$AK1230*EXP($AL1230*2),$AK1230*(1+$AJ1230*$AL1230*2)^(1/$AJ1230)))</f>
        <v/>
      </c>
      <c r="AO1230">
        <f>IF($AJ1230="","",IF($AJ1230=0,$AK1230*EXP($AL1230*3),$AK1230*(1+$AJ1230*$AL1230*3)^(1/$AJ1230)))</f>
        <v/>
      </c>
      <c r="AP1230">
        <f>IF($AJ1230="","",IF($AJ1230=0,$AK1230*EXP($AL1230*-2),$AK1230*(1+$AJ1230*$AL1230*-2)^(1/$AJ1230)))</f>
        <v/>
      </c>
      <c r="AQ1230">
        <f>IF($AJ1230="","",IF($AJ1230=0,$AK1230*EXP($AL1230*-3),$AK1230*(1+$AJ1230*$AL1230*-3)^(1/$AJ1230)))</f>
        <v/>
      </c>
      <c r="AR1230">
        <f>IF(OR($X1230="",$T1230&gt;60),"",IFERROR(INDEX(IF($T1230&lt;24,pcomp_l,palt_l),MATCH($X1230,IF($T1230&lt;24,pcomp_k,palt_k),1)),""))</f>
        <v/>
      </c>
      <c r="AS1230">
        <f>IF(OR($X1230="",$T1230&gt;60),"",IFERROR(INDEX(IF($T1230&lt;24,pcomp_m,palt_m),MATCH($X1230,IF($T1230&lt;24,pcomp_k,palt_k),1)),""))</f>
        <v/>
      </c>
      <c r="AT1230">
        <f>IF(OR($X1230="",$T1230&gt;60),"",IFERROR(INDEX(IF($T1230&lt;24,pcomp_s,palt_s),MATCH($X1230,IF($T1230&lt;24,pcomp_k,palt_k),1)),""))</f>
        <v/>
      </c>
      <c r="AU1230">
        <f>IF($AR1230="","",IF($AR1230=0,LN($F1230/$AS1230)/$AT1230,((($F1230/$AS1230)^$AR1230)-1)/($AR1230*$AT1230)))</f>
        <v/>
      </c>
      <c r="AV1230">
        <f>IF($AR1230="","",IF($AR1230=0,$AS1230*EXP($AT1230*2),$AS1230*(1+$AR1230*$AT1230*2)^(1/$AR1230)))</f>
        <v/>
      </c>
      <c r="AW1230">
        <f>IF($AR1230="","",IF($AR1230=0,$AS1230*EXP($AT1230*3),$AS1230*(1+$AR1230*$AT1230*3)^(1/$AR1230)))</f>
        <v/>
      </c>
      <c r="AX1230">
        <f>IF($AR1230="","",IF($AR1230=0,$AS1230*EXP($AT1230*-2),$AS1230*(1+$AR1230*$AT1230*-2)^(1/$AR1230)))</f>
        <v/>
      </c>
      <c r="AY1230">
        <f>IF($AR1230="","",IF($AR1230=0,$AS1230*EXP($AT1230*-3),$AS1230*(1+$AR1230*$AT1230*-3)^(1/$AR1230)))</f>
        <v/>
      </c>
      <c r="AZ1230">
        <f>IF(OR($A1230="",$A1230&lt;&gt;Ficha!$C$4),"",COUNTIF($A$2:$A1230,Ficha!$C$4))</f>
        <v/>
      </c>
    </row>
    <row r="1231">
      <c r="A1231" s="8">
        <f>IF(INDEX(Banco!$A:$A,ROW())="","",INDEX(Banco!$A:$A,ROW()))</f>
        <v/>
      </c>
      <c r="B1231" s="8">
        <f>IF(INDEX(Banco!$B:$B,ROW())="","",INDEX(Banco!$B:$B,ROW()))</f>
        <v/>
      </c>
      <c r="C1231" s="8">
        <f>IF(INDEX(Banco!$C:$C,ROW())="","",INDEX(Banco!$C:$C,ROW()))</f>
        <v/>
      </c>
      <c r="D1231" s="9">
        <f>IF(INDEX(Banco!$D:$D,ROW())="","",INDEX(Banco!$D:$D,ROW()))</f>
        <v/>
      </c>
      <c r="E1231" s="9">
        <f>IF(INDEX(Banco!$E:$E,ROW())="","",INDEX(Banco!$E:$E,ROW()))</f>
        <v/>
      </c>
      <c r="F1231" s="10">
        <f>IF(INDEX(Banco!$F:$F,ROW())="","",INDEX(Banco!$F:$F,ROW()))</f>
        <v/>
      </c>
      <c r="G1231" s="10">
        <f>IF(INDEX(Banco!$G:$G,ROW())="","",INDEX(Banco!$G:$G,ROW()))</f>
        <v/>
      </c>
      <c r="H1231" s="8">
        <f>IF(INDEX(Banco!$H:$H,ROW())="","",INDEX(Banco!$H:$H,ROW()))</f>
        <v/>
      </c>
      <c r="I1231">
        <f>IF($T1231="","",INT($T1231/12)&amp;"a "&amp;MOD($T1231,12)&amp;"m")</f>
        <v/>
      </c>
      <c r="J1231" s="11">
        <f>IF(OR($F1231="",$G1231=""),"",ROUND($F1231/($G1231/100)^2,2))</f>
        <v/>
      </c>
      <c r="K1231" s="12">
        <f>IF(OR($S1231="",$J1231="",$T1231="",$T1231&lt;0,$T1231&gt;228,$Y1231=""),"—",ROUND(IF(ABS($AB1231)&lt;=3,$AB1231,IF($AB1231&gt;3,3+($J1231-$AD1231)/($AD1231-$AC1231),-3+($J1231-$AF1231)/($AE1231-$AF1231))),2))</f>
        <v/>
      </c>
      <c r="L1231">
        <f>IF(OR($K1231="",$K1231="—"),"",IF($T1231&lt;=60,IF($K1231&lt;-3,"Magreza acentuada",IF($K1231&lt;-2,"Magreza",IF($K1231&lt;=1,"Eutrofia",IF($K1231&lt;=2,"Risco de sobrepeso",IF($K1231&lt;=3,"Sobrepeso","Obesidade"))))),IF($K1231&lt;-3,"Magreza acentuada",IF($K1231&lt;-2,"Magreza",IF($K1231&lt;=1,"Eutrofia",IF($K1231&lt;=2,"Sobrepeso",IF($K1231&lt;=3,"Obesidade","Obesidade grave")))))))</f>
        <v/>
      </c>
      <c r="M1231" s="12">
        <f>IF(OR($S1231="",$V1231="",$T1231="",$T1231&lt;0,$T1231&gt;228,$AG1231=""),"—",ROUND(IF($AG1231=0,LN($V1231/$AH1231)/$AI1231,((($V1231/$AH1231)^$AG1231)-1)/($AG1231*$AI1231)),2))</f>
        <v/>
      </c>
      <c r="N1231">
        <f>IF(OR($M1231="",$M1231="—"),"",IF($M1231&lt;-3,"Muito baixa",IF($M1231&lt;-2,"Baixa","Adequada")))</f>
        <v/>
      </c>
      <c r="O1231" s="12">
        <f>IF(OR($S1231="",$F1231="",$T1231="",$T1231&lt;0,$T1231&gt;120,$AJ1231=""),"—",ROUND(IF(ABS($AM1231)&lt;=3,$AM1231,IF($AM1231&gt;3,3+($F1231-$AO1231)/($AO1231-$AN1231),-3+($F1231-$AQ1231)/($AP1231-$AQ1231))),2))</f>
        <v/>
      </c>
      <c r="P1231">
        <f>IF(OR($O1231="",$O1231="—"),"",IF($O1231&lt;-3,"Muito baixo",IF($O1231&lt;-2,"Baixo",IF($O1231&lt;=2,"Adequado","Elevado"))))</f>
        <v/>
      </c>
      <c r="Q1231" s="12">
        <f>IF(OR($S1231="",$F1231="",$T1231="",$T1231&lt;0,$T1231&gt;60,$AR1231=""),"—",ROUND(IF(ABS($AU1231)&lt;=3,$AU1231,IF($AU1231&gt;3,3+($F1231-$AW1231)/($AW1231-$AV1231),-3+($F1231-$AY1231)/($AX1231-$AY1231))),2))</f>
        <v/>
      </c>
      <c r="R1231">
        <f>IF(OR($Q1231="",$Q1231="—"),"",IF($Q1231&lt;-3,"Magreza acentuada",IF($Q1231&lt;-2,"Magreza",IF($Q1231&lt;=1,"Eutrofia",IF($Q1231&lt;=2,"Risco de sobrepeso",IF($Q1231&lt;=3,"Sobrepeso","Obesidade"))))))</f>
        <v/>
      </c>
      <c r="S1231">
        <f>IF($C1231="","",IF(UPPER(LEFT($C1231,1))="M",1,IF(UPPER(LEFT($C1231,1))="F",2,"")))</f>
        <v/>
      </c>
      <c r="T1231">
        <f>IF(OR($D1231="",$E1231=""),"",DATEDIF($D1231,$E1231,"m"))</f>
        <v/>
      </c>
      <c r="U1231">
        <f>IF(OR($D1231="",$E1231=""),"",$E1231-$D1231)</f>
        <v/>
      </c>
      <c r="V1231">
        <f>IF(OR($G1231="",$T1231=""),"",IF($T1231&lt;24,IF(LEFT(LOWER($H1231),4)="em p",$G1231+0.7,$G1231),IF(LEFT(LOWER($H1231),4)="deit",$G1231-0.7,$G1231)))</f>
        <v/>
      </c>
      <c r="W1231">
        <f>IF(OR($S1231="",$T1231=""),"",$S1231*1000000+IF($T1231&lt;=60,$U1231,$T1231))</f>
        <v/>
      </c>
      <c r="X1231">
        <f>IF(OR($S1231="",$V1231="",$T1231&gt;60,$T1231=""),"",$S1231*1000000+ROUND($V1231*10,0))</f>
        <v/>
      </c>
      <c r="Y1231">
        <f>IF($W1231="","",IFERROR(INDEX(IF($T1231&lt;=60,imc05_l,imc519_l),MATCH($W1231,IF($T1231&lt;=60,imc05_k,imc519_k),1)),""))</f>
        <v/>
      </c>
      <c r="Z1231">
        <f>IF($W1231="","",IFERROR(INDEX(IF($T1231&lt;=60,imc05_m,imc519_m),MATCH($W1231,IF($T1231&lt;=60,imc05_k,imc519_k),1)),""))</f>
        <v/>
      </c>
      <c r="AA1231">
        <f>IF($W1231="","",IFERROR(INDEX(IF($T1231&lt;=60,imc05_s,imc519_s),MATCH($W1231,IF($T1231&lt;=60,imc05_k,imc519_k),1)),""))</f>
        <v/>
      </c>
      <c r="AB1231">
        <f>IF($Y1231="","",IF($Y1231=0,LN($J1231/$Z1231)/$AA1231,((($J1231/$Z1231)^$Y1231)-1)/($Y1231*$AA1231)))</f>
        <v/>
      </c>
      <c r="AC1231">
        <f>IF($Y1231="","",IF($Y1231=0,$Z1231*EXP($AA1231*2),$Z1231*(1+$Y1231*$AA1231*2)^(1/$Y1231)))</f>
        <v/>
      </c>
      <c r="AD1231">
        <f>IF($Y1231="","",IF($Y1231=0,$Z1231*EXP($AA1231*3),$Z1231*(1+$Y1231*$AA1231*3)^(1/$Y1231)))</f>
        <v/>
      </c>
      <c r="AE1231">
        <f>IF($Y1231="","",IF($Y1231=0,$Z1231*EXP($AA1231*-2),$Z1231*(1+$Y1231*$AA1231*-2)^(1/$Y1231)))</f>
        <v/>
      </c>
      <c r="AF1231">
        <f>IF($Y1231="","",IF($Y1231=0,$Z1231*EXP($AA1231*-3),$Z1231*(1+$Y1231*$AA1231*-3)^(1/$Y1231)))</f>
        <v/>
      </c>
      <c r="AG1231">
        <f>IF($W1231="","",IFERROR(INDEX(IF($T1231&lt;=60,est05_l,est519_l),MATCH($W1231,IF($T1231&lt;=60,est05_k,est519_k),1)),""))</f>
        <v/>
      </c>
      <c r="AH1231">
        <f>IF($W1231="","",IFERROR(INDEX(IF($T1231&lt;=60,est05_m,est519_m),MATCH($W1231,IF($T1231&lt;=60,est05_k,est519_k),1)),""))</f>
        <v/>
      </c>
      <c r="AI1231">
        <f>IF($W1231="","",IFERROR(INDEX(IF($T1231&lt;=60,est05_s,est519_s),MATCH($W1231,IF($T1231&lt;=60,est05_k,est519_k),1)),""))</f>
        <v/>
      </c>
      <c r="AJ1231">
        <f>IF($W1231="","",IFERROR(INDEX(IF($T1231&lt;=60,peso05_l,peso510_l),MATCH($W1231,IF($T1231&lt;=60,peso05_k,peso510_k),1)),""))</f>
        <v/>
      </c>
      <c r="AK1231">
        <f>IF($W1231="","",IFERROR(INDEX(IF($T1231&lt;=60,peso05_m,peso510_m),MATCH($W1231,IF($T1231&lt;=60,peso05_k,peso510_k),1)),""))</f>
        <v/>
      </c>
      <c r="AL1231">
        <f>IF($W1231="","",IFERROR(INDEX(IF($T1231&lt;=60,peso05_s,peso510_s),MATCH($W1231,IF($T1231&lt;=60,peso05_k,peso510_k),1)),""))</f>
        <v/>
      </c>
      <c r="AM1231">
        <f>IF($AJ1231="","",IF($AJ1231=0,LN($F1231/$AK1231)/$AL1231,((($F1231/$AK1231)^$AJ1231)-1)/($AJ1231*$AL1231)))</f>
        <v/>
      </c>
      <c r="AN1231">
        <f>IF($AJ1231="","",IF($AJ1231=0,$AK1231*EXP($AL1231*2),$AK1231*(1+$AJ1231*$AL1231*2)^(1/$AJ1231)))</f>
        <v/>
      </c>
      <c r="AO1231">
        <f>IF($AJ1231="","",IF($AJ1231=0,$AK1231*EXP($AL1231*3),$AK1231*(1+$AJ1231*$AL1231*3)^(1/$AJ1231)))</f>
        <v/>
      </c>
      <c r="AP1231">
        <f>IF($AJ1231="","",IF($AJ1231=0,$AK1231*EXP($AL1231*-2),$AK1231*(1+$AJ1231*$AL1231*-2)^(1/$AJ1231)))</f>
        <v/>
      </c>
      <c r="AQ1231">
        <f>IF($AJ1231="","",IF($AJ1231=0,$AK1231*EXP($AL1231*-3),$AK1231*(1+$AJ1231*$AL1231*-3)^(1/$AJ1231)))</f>
        <v/>
      </c>
      <c r="AR1231">
        <f>IF(OR($X1231="",$T1231&gt;60),"",IFERROR(INDEX(IF($T1231&lt;24,pcomp_l,palt_l),MATCH($X1231,IF($T1231&lt;24,pcomp_k,palt_k),1)),""))</f>
        <v/>
      </c>
      <c r="AS1231">
        <f>IF(OR($X1231="",$T1231&gt;60),"",IFERROR(INDEX(IF($T1231&lt;24,pcomp_m,palt_m),MATCH($X1231,IF($T1231&lt;24,pcomp_k,palt_k),1)),""))</f>
        <v/>
      </c>
      <c r="AT1231">
        <f>IF(OR($X1231="",$T1231&gt;60),"",IFERROR(INDEX(IF($T1231&lt;24,pcomp_s,palt_s),MATCH($X1231,IF($T1231&lt;24,pcomp_k,palt_k),1)),""))</f>
        <v/>
      </c>
      <c r="AU1231">
        <f>IF($AR1231="","",IF($AR1231=0,LN($F1231/$AS1231)/$AT1231,((($F1231/$AS1231)^$AR1231)-1)/($AR1231*$AT1231)))</f>
        <v/>
      </c>
      <c r="AV1231">
        <f>IF($AR1231="","",IF($AR1231=0,$AS1231*EXP($AT1231*2),$AS1231*(1+$AR1231*$AT1231*2)^(1/$AR1231)))</f>
        <v/>
      </c>
      <c r="AW1231">
        <f>IF($AR1231="","",IF($AR1231=0,$AS1231*EXP($AT1231*3),$AS1231*(1+$AR1231*$AT1231*3)^(1/$AR1231)))</f>
        <v/>
      </c>
      <c r="AX1231">
        <f>IF($AR1231="","",IF($AR1231=0,$AS1231*EXP($AT1231*-2),$AS1231*(1+$AR1231*$AT1231*-2)^(1/$AR1231)))</f>
        <v/>
      </c>
      <c r="AY1231">
        <f>IF($AR1231="","",IF($AR1231=0,$AS1231*EXP($AT1231*-3),$AS1231*(1+$AR1231*$AT1231*-3)^(1/$AR1231)))</f>
        <v/>
      </c>
      <c r="AZ1231">
        <f>IF(OR($A1231="",$A1231&lt;&gt;Ficha!$C$4),"",COUNTIF($A$2:$A1231,Ficha!$C$4))</f>
        <v/>
      </c>
    </row>
    <row r="1232">
      <c r="A1232" s="8">
        <f>IF(INDEX(Banco!$A:$A,ROW())="","",INDEX(Banco!$A:$A,ROW()))</f>
        <v/>
      </c>
      <c r="B1232" s="8">
        <f>IF(INDEX(Banco!$B:$B,ROW())="","",INDEX(Banco!$B:$B,ROW()))</f>
        <v/>
      </c>
      <c r="C1232" s="8">
        <f>IF(INDEX(Banco!$C:$C,ROW())="","",INDEX(Banco!$C:$C,ROW()))</f>
        <v/>
      </c>
      <c r="D1232" s="9">
        <f>IF(INDEX(Banco!$D:$D,ROW())="","",INDEX(Banco!$D:$D,ROW()))</f>
        <v/>
      </c>
      <c r="E1232" s="9">
        <f>IF(INDEX(Banco!$E:$E,ROW())="","",INDEX(Banco!$E:$E,ROW()))</f>
        <v/>
      </c>
      <c r="F1232" s="10">
        <f>IF(INDEX(Banco!$F:$F,ROW())="","",INDEX(Banco!$F:$F,ROW()))</f>
        <v/>
      </c>
      <c r="G1232" s="10">
        <f>IF(INDEX(Banco!$G:$G,ROW())="","",INDEX(Banco!$G:$G,ROW()))</f>
        <v/>
      </c>
      <c r="H1232" s="8">
        <f>IF(INDEX(Banco!$H:$H,ROW())="","",INDEX(Banco!$H:$H,ROW()))</f>
        <v/>
      </c>
      <c r="I1232">
        <f>IF($T1232="","",INT($T1232/12)&amp;"a "&amp;MOD($T1232,12)&amp;"m")</f>
        <v/>
      </c>
      <c r="J1232" s="11">
        <f>IF(OR($F1232="",$G1232=""),"",ROUND($F1232/($G1232/100)^2,2))</f>
        <v/>
      </c>
      <c r="K1232" s="12">
        <f>IF(OR($S1232="",$J1232="",$T1232="",$T1232&lt;0,$T1232&gt;228,$Y1232=""),"—",ROUND(IF(ABS($AB1232)&lt;=3,$AB1232,IF($AB1232&gt;3,3+($J1232-$AD1232)/($AD1232-$AC1232),-3+($J1232-$AF1232)/($AE1232-$AF1232))),2))</f>
        <v/>
      </c>
      <c r="L1232">
        <f>IF(OR($K1232="",$K1232="—"),"",IF($T1232&lt;=60,IF($K1232&lt;-3,"Magreza acentuada",IF($K1232&lt;-2,"Magreza",IF($K1232&lt;=1,"Eutrofia",IF($K1232&lt;=2,"Risco de sobrepeso",IF($K1232&lt;=3,"Sobrepeso","Obesidade"))))),IF($K1232&lt;-3,"Magreza acentuada",IF($K1232&lt;-2,"Magreza",IF($K1232&lt;=1,"Eutrofia",IF($K1232&lt;=2,"Sobrepeso",IF($K1232&lt;=3,"Obesidade","Obesidade grave")))))))</f>
        <v/>
      </c>
      <c r="M1232" s="12">
        <f>IF(OR($S1232="",$V1232="",$T1232="",$T1232&lt;0,$T1232&gt;228,$AG1232=""),"—",ROUND(IF($AG1232=0,LN($V1232/$AH1232)/$AI1232,((($V1232/$AH1232)^$AG1232)-1)/($AG1232*$AI1232)),2))</f>
        <v/>
      </c>
      <c r="N1232">
        <f>IF(OR($M1232="",$M1232="—"),"",IF($M1232&lt;-3,"Muito baixa",IF($M1232&lt;-2,"Baixa","Adequada")))</f>
        <v/>
      </c>
      <c r="O1232" s="12">
        <f>IF(OR($S1232="",$F1232="",$T1232="",$T1232&lt;0,$T1232&gt;120,$AJ1232=""),"—",ROUND(IF(ABS($AM1232)&lt;=3,$AM1232,IF($AM1232&gt;3,3+($F1232-$AO1232)/($AO1232-$AN1232),-3+($F1232-$AQ1232)/($AP1232-$AQ1232))),2))</f>
        <v/>
      </c>
      <c r="P1232">
        <f>IF(OR($O1232="",$O1232="—"),"",IF($O1232&lt;-3,"Muito baixo",IF($O1232&lt;-2,"Baixo",IF($O1232&lt;=2,"Adequado","Elevado"))))</f>
        <v/>
      </c>
      <c r="Q1232" s="12">
        <f>IF(OR($S1232="",$F1232="",$T1232="",$T1232&lt;0,$T1232&gt;60,$AR1232=""),"—",ROUND(IF(ABS($AU1232)&lt;=3,$AU1232,IF($AU1232&gt;3,3+($F1232-$AW1232)/($AW1232-$AV1232),-3+($F1232-$AY1232)/($AX1232-$AY1232))),2))</f>
        <v/>
      </c>
      <c r="R1232">
        <f>IF(OR($Q1232="",$Q1232="—"),"",IF($Q1232&lt;-3,"Magreza acentuada",IF($Q1232&lt;-2,"Magreza",IF($Q1232&lt;=1,"Eutrofia",IF($Q1232&lt;=2,"Risco de sobrepeso",IF($Q1232&lt;=3,"Sobrepeso","Obesidade"))))))</f>
        <v/>
      </c>
      <c r="S1232">
        <f>IF($C1232="","",IF(UPPER(LEFT($C1232,1))="M",1,IF(UPPER(LEFT($C1232,1))="F",2,"")))</f>
        <v/>
      </c>
      <c r="T1232">
        <f>IF(OR($D1232="",$E1232=""),"",DATEDIF($D1232,$E1232,"m"))</f>
        <v/>
      </c>
      <c r="U1232">
        <f>IF(OR($D1232="",$E1232=""),"",$E1232-$D1232)</f>
        <v/>
      </c>
      <c r="V1232">
        <f>IF(OR($G1232="",$T1232=""),"",IF($T1232&lt;24,IF(LEFT(LOWER($H1232),4)="em p",$G1232+0.7,$G1232),IF(LEFT(LOWER($H1232),4)="deit",$G1232-0.7,$G1232)))</f>
        <v/>
      </c>
      <c r="W1232">
        <f>IF(OR($S1232="",$T1232=""),"",$S1232*1000000+IF($T1232&lt;=60,$U1232,$T1232))</f>
        <v/>
      </c>
      <c r="X1232">
        <f>IF(OR($S1232="",$V1232="",$T1232&gt;60,$T1232=""),"",$S1232*1000000+ROUND($V1232*10,0))</f>
        <v/>
      </c>
      <c r="Y1232">
        <f>IF($W1232="","",IFERROR(INDEX(IF($T1232&lt;=60,imc05_l,imc519_l),MATCH($W1232,IF($T1232&lt;=60,imc05_k,imc519_k),1)),""))</f>
        <v/>
      </c>
      <c r="Z1232">
        <f>IF($W1232="","",IFERROR(INDEX(IF($T1232&lt;=60,imc05_m,imc519_m),MATCH($W1232,IF($T1232&lt;=60,imc05_k,imc519_k),1)),""))</f>
        <v/>
      </c>
      <c r="AA1232">
        <f>IF($W1232="","",IFERROR(INDEX(IF($T1232&lt;=60,imc05_s,imc519_s),MATCH($W1232,IF($T1232&lt;=60,imc05_k,imc519_k),1)),""))</f>
        <v/>
      </c>
      <c r="AB1232">
        <f>IF($Y1232="","",IF($Y1232=0,LN($J1232/$Z1232)/$AA1232,((($J1232/$Z1232)^$Y1232)-1)/($Y1232*$AA1232)))</f>
        <v/>
      </c>
      <c r="AC1232">
        <f>IF($Y1232="","",IF($Y1232=0,$Z1232*EXP($AA1232*2),$Z1232*(1+$Y1232*$AA1232*2)^(1/$Y1232)))</f>
        <v/>
      </c>
      <c r="AD1232">
        <f>IF($Y1232="","",IF($Y1232=0,$Z1232*EXP($AA1232*3),$Z1232*(1+$Y1232*$AA1232*3)^(1/$Y1232)))</f>
        <v/>
      </c>
      <c r="AE1232">
        <f>IF($Y1232="","",IF($Y1232=0,$Z1232*EXP($AA1232*-2),$Z1232*(1+$Y1232*$AA1232*-2)^(1/$Y1232)))</f>
        <v/>
      </c>
      <c r="AF1232">
        <f>IF($Y1232="","",IF($Y1232=0,$Z1232*EXP($AA1232*-3),$Z1232*(1+$Y1232*$AA1232*-3)^(1/$Y1232)))</f>
        <v/>
      </c>
      <c r="AG1232">
        <f>IF($W1232="","",IFERROR(INDEX(IF($T1232&lt;=60,est05_l,est519_l),MATCH($W1232,IF($T1232&lt;=60,est05_k,est519_k),1)),""))</f>
        <v/>
      </c>
      <c r="AH1232">
        <f>IF($W1232="","",IFERROR(INDEX(IF($T1232&lt;=60,est05_m,est519_m),MATCH($W1232,IF($T1232&lt;=60,est05_k,est519_k),1)),""))</f>
        <v/>
      </c>
      <c r="AI1232">
        <f>IF($W1232="","",IFERROR(INDEX(IF($T1232&lt;=60,est05_s,est519_s),MATCH($W1232,IF($T1232&lt;=60,est05_k,est519_k),1)),""))</f>
        <v/>
      </c>
      <c r="AJ1232">
        <f>IF($W1232="","",IFERROR(INDEX(IF($T1232&lt;=60,peso05_l,peso510_l),MATCH($W1232,IF($T1232&lt;=60,peso05_k,peso510_k),1)),""))</f>
        <v/>
      </c>
      <c r="AK1232">
        <f>IF($W1232="","",IFERROR(INDEX(IF($T1232&lt;=60,peso05_m,peso510_m),MATCH($W1232,IF($T1232&lt;=60,peso05_k,peso510_k),1)),""))</f>
        <v/>
      </c>
      <c r="AL1232">
        <f>IF($W1232="","",IFERROR(INDEX(IF($T1232&lt;=60,peso05_s,peso510_s),MATCH($W1232,IF($T1232&lt;=60,peso05_k,peso510_k),1)),""))</f>
        <v/>
      </c>
      <c r="AM1232">
        <f>IF($AJ1232="","",IF($AJ1232=0,LN($F1232/$AK1232)/$AL1232,((($F1232/$AK1232)^$AJ1232)-1)/($AJ1232*$AL1232)))</f>
        <v/>
      </c>
      <c r="AN1232">
        <f>IF($AJ1232="","",IF($AJ1232=0,$AK1232*EXP($AL1232*2),$AK1232*(1+$AJ1232*$AL1232*2)^(1/$AJ1232)))</f>
        <v/>
      </c>
      <c r="AO1232">
        <f>IF($AJ1232="","",IF($AJ1232=0,$AK1232*EXP($AL1232*3),$AK1232*(1+$AJ1232*$AL1232*3)^(1/$AJ1232)))</f>
        <v/>
      </c>
      <c r="AP1232">
        <f>IF($AJ1232="","",IF($AJ1232=0,$AK1232*EXP($AL1232*-2),$AK1232*(1+$AJ1232*$AL1232*-2)^(1/$AJ1232)))</f>
        <v/>
      </c>
      <c r="AQ1232">
        <f>IF($AJ1232="","",IF($AJ1232=0,$AK1232*EXP($AL1232*-3),$AK1232*(1+$AJ1232*$AL1232*-3)^(1/$AJ1232)))</f>
        <v/>
      </c>
      <c r="AR1232">
        <f>IF(OR($X1232="",$T1232&gt;60),"",IFERROR(INDEX(IF($T1232&lt;24,pcomp_l,palt_l),MATCH($X1232,IF($T1232&lt;24,pcomp_k,palt_k),1)),""))</f>
        <v/>
      </c>
      <c r="AS1232">
        <f>IF(OR($X1232="",$T1232&gt;60),"",IFERROR(INDEX(IF($T1232&lt;24,pcomp_m,palt_m),MATCH($X1232,IF($T1232&lt;24,pcomp_k,palt_k),1)),""))</f>
        <v/>
      </c>
      <c r="AT1232">
        <f>IF(OR($X1232="",$T1232&gt;60),"",IFERROR(INDEX(IF($T1232&lt;24,pcomp_s,palt_s),MATCH($X1232,IF($T1232&lt;24,pcomp_k,palt_k),1)),""))</f>
        <v/>
      </c>
      <c r="AU1232">
        <f>IF($AR1232="","",IF($AR1232=0,LN($F1232/$AS1232)/$AT1232,((($F1232/$AS1232)^$AR1232)-1)/($AR1232*$AT1232)))</f>
        <v/>
      </c>
      <c r="AV1232">
        <f>IF($AR1232="","",IF($AR1232=0,$AS1232*EXP($AT1232*2),$AS1232*(1+$AR1232*$AT1232*2)^(1/$AR1232)))</f>
        <v/>
      </c>
      <c r="AW1232">
        <f>IF($AR1232="","",IF($AR1232=0,$AS1232*EXP($AT1232*3),$AS1232*(1+$AR1232*$AT1232*3)^(1/$AR1232)))</f>
        <v/>
      </c>
      <c r="AX1232">
        <f>IF($AR1232="","",IF($AR1232=0,$AS1232*EXP($AT1232*-2),$AS1232*(1+$AR1232*$AT1232*-2)^(1/$AR1232)))</f>
        <v/>
      </c>
      <c r="AY1232">
        <f>IF($AR1232="","",IF($AR1232=0,$AS1232*EXP($AT1232*-3),$AS1232*(1+$AR1232*$AT1232*-3)^(1/$AR1232)))</f>
        <v/>
      </c>
      <c r="AZ1232">
        <f>IF(OR($A1232="",$A1232&lt;&gt;Ficha!$C$4),"",COUNTIF($A$2:$A1232,Ficha!$C$4))</f>
        <v/>
      </c>
    </row>
    <row r="1233">
      <c r="A1233" s="8">
        <f>IF(INDEX(Banco!$A:$A,ROW())="","",INDEX(Banco!$A:$A,ROW()))</f>
        <v/>
      </c>
      <c r="B1233" s="8">
        <f>IF(INDEX(Banco!$B:$B,ROW())="","",INDEX(Banco!$B:$B,ROW()))</f>
        <v/>
      </c>
      <c r="C1233" s="8">
        <f>IF(INDEX(Banco!$C:$C,ROW())="","",INDEX(Banco!$C:$C,ROW()))</f>
        <v/>
      </c>
      <c r="D1233" s="9">
        <f>IF(INDEX(Banco!$D:$D,ROW())="","",INDEX(Banco!$D:$D,ROW()))</f>
        <v/>
      </c>
      <c r="E1233" s="9">
        <f>IF(INDEX(Banco!$E:$E,ROW())="","",INDEX(Banco!$E:$E,ROW()))</f>
        <v/>
      </c>
      <c r="F1233" s="10">
        <f>IF(INDEX(Banco!$F:$F,ROW())="","",INDEX(Banco!$F:$F,ROW()))</f>
        <v/>
      </c>
      <c r="G1233" s="10">
        <f>IF(INDEX(Banco!$G:$G,ROW())="","",INDEX(Banco!$G:$G,ROW()))</f>
        <v/>
      </c>
      <c r="H1233" s="8">
        <f>IF(INDEX(Banco!$H:$H,ROW())="","",INDEX(Banco!$H:$H,ROW()))</f>
        <v/>
      </c>
      <c r="I1233">
        <f>IF($T1233="","",INT($T1233/12)&amp;"a "&amp;MOD($T1233,12)&amp;"m")</f>
        <v/>
      </c>
      <c r="J1233" s="11">
        <f>IF(OR($F1233="",$G1233=""),"",ROUND($F1233/($G1233/100)^2,2))</f>
        <v/>
      </c>
      <c r="K1233" s="12">
        <f>IF(OR($S1233="",$J1233="",$T1233="",$T1233&lt;0,$T1233&gt;228,$Y1233=""),"—",ROUND(IF(ABS($AB1233)&lt;=3,$AB1233,IF($AB1233&gt;3,3+($J1233-$AD1233)/($AD1233-$AC1233),-3+($J1233-$AF1233)/($AE1233-$AF1233))),2))</f>
        <v/>
      </c>
      <c r="L1233">
        <f>IF(OR($K1233="",$K1233="—"),"",IF($T1233&lt;=60,IF($K1233&lt;-3,"Magreza acentuada",IF($K1233&lt;-2,"Magreza",IF($K1233&lt;=1,"Eutrofia",IF($K1233&lt;=2,"Risco de sobrepeso",IF($K1233&lt;=3,"Sobrepeso","Obesidade"))))),IF($K1233&lt;-3,"Magreza acentuada",IF($K1233&lt;-2,"Magreza",IF($K1233&lt;=1,"Eutrofia",IF($K1233&lt;=2,"Sobrepeso",IF($K1233&lt;=3,"Obesidade","Obesidade grave")))))))</f>
        <v/>
      </c>
      <c r="M1233" s="12">
        <f>IF(OR($S1233="",$V1233="",$T1233="",$T1233&lt;0,$T1233&gt;228,$AG1233=""),"—",ROUND(IF($AG1233=0,LN($V1233/$AH1233)/$AI1233,((($V1233/$AH1233)^$AG1233)-1)/($AG1233*$AI1233)),2))</f>
        <v/>
      </c>
      <c r="N1233">
        <f>IF(OR($M1233="",$M1233="—"),"",IF($M1233&lt;-3,"Muito baixa",IF($M1233&lt;-2,"Baixa","Adequada")))</f>
        <v/>
      </c>
      <c r="O1233" s="12">
        <f>IF(OR($S1233="",$F1233="",$T1233="",$T1233&lt;0,$T1233&gt;120,$AJ1233=""),"—",ROUND(IF(ABS($AM1233)&lt;=3,$AM1233,IF($AM1233&gt;3,3+($F1233-$AO1233)/($AO1233-$AN1233),-3+($F1233-$AQ1233)/($AP1233-$AQ1233))),2))</f>
        <v/>
      </c>
      <c r="P1233">
        <f>IF(OR($O1233="",$O1233="—"),"",IF($O1233&lt;-3,"Muito baixo",IF($O1233&lt;-2,"Baixo",IF($O1233&lt;=2,"Adequado","Elevado"))))</f>
        <v/>
      </c>
      <c r="Q1233" s="12">
        <f>IF(OR($S1233="",$F1233="",$T1233="",$T1233&lt;0,$T1233&gt;60,$AR1233=""),"—",ROUND(IF(ABS($AU1233)&lt;=3,$AU1233,IF($AU1233&gt;3,3+($F1233-$AW1233)/($AW1233-$AV1233),-3+($F1233-$AY1233)/($AX1233-$AY1233))),2))</f>
        <v/>
      </c>
      <c r="R1233">
        <f>IF(OR($Q1233="",$Q1233="—"),"",IF($Q1233&lt;-3,"Magreza acentuada",IF($Q1233&lt;-2,"Magreza",IF($Q1233&lt;=1,"Eutrofia",IF($Q1233&lt;=2,"Risco de sobrepeso",IF($Q1233&lt;=3,"Sobrepeso","Obesidade"))))))</f>
        <v/>
      </c>
      <c r="S1233">
        <f>IF($C1233="","",IF(UPPER(LEFT($C1233,1))="M",1,IF(UPPER(LEFT($C1233,1))="F",2,"")))</f>
        <v/>
      </c>
      <c r="T1233">
        <f>IF(OR($D1233="",$E1233=""),"",DATEDIF($D1233,$E1233,"m"))</f>
        <v/>
      </c>
      <c r="U1233">
        <f>IF(OR($D1233="",$E1233=""),"",$E1233-$D1233)</f>
        <v/>
      </c>
      <c r="V1233">
        <f>IF(OR($G1233="",$T1233=""),"",IF($T1233&lt;24,IF(LEFT(LOWER($H1233),4)="em p",$G1233+0.7,$G1233),IF(LEFT(LOWER($H1233),4)="deit",$G1233-0.7,$G1233)))</f>
        <v/>
      </c>
      <c r="W1233">
        <f>IF(OR($S1233="",$T1233=""),"",$S1233*1000000+IF($T1233&lt;=60,$U1233,$T1233))</f>
        <v/>
      </c>
      <c r="X1233">
        <f>IF(OR($S1233="",$V1233="",$T1233&gt;60,$T1233=""),"",$S1233*1000000+ROUND($V1233*10,0))</f>
        <v/>
      </c>
      <c r="Y1233">
        <f>IF($W1233="","",IFERROR(INDEX(IF($T1233&lt;=60,imc05_l,imc519_l),MATCH($W1233,IF($T1233&lt;=60,imc05_k,imc519_k),1)),""))</f>
        <v/>
      </c>
      <c r="Z1233">
        <f>IF($W1233="","",IFERROR(INDEX(IF($T1233&lt;=60,imc05_m,imc519_m),MATCH($W1233,IF($T1233&lt;=60,imc05_k,imc519_k),1)),""))</f>
        <v/>
      </c>
      <c r="AA1233">
        <f>IF($W1233="","",IFERROR(INDEX(IF($T1233&lt;=60,imc05_s,imc519_s),MATCH($W1233,IF($T1233&lt;=60,imc05_k,imc519_k),1)),""))</f>
        <v/>
      </c>
      <c r="AB1233">
        <f>IF($Y1233="","",IF($Y1233=0,LN($J1233/$Z1233)/$AA1233,((($J1233/$Z1233)^$Y1233)-1)/($Y1233*$AA1233)))</f>
        <v/>
      </c>
      <c r="AC1233">
        <f>IF($Y1233="","",IF($Y1233=0,$Z1233*EXP($AA1233*2),$Z1233*(1+$Y1233*$AA1233*2)^(1/$Y1233)))</f>
        <v/>
      </c>
      <c r="AD1233">
        <f>IF($Y1233="","",IF($Y1233=0,$Z1233*EXP($AA1233*3),$Z1233*(1+$Y1233*$AA1233*3)^(1/$Y1233)))</f>
        <v/>
      </c>
      <c r="AE1233">
        <f>IF($Y1233="","",IF($Y1233=0,$Z1233*EXP($AA1233*-2),$Z1233*(1+$Y1233*$AA1233*-2)^(1/$Y1233)))</f>
        <v/>
      </c>
      <c r="AF1233">
        <f>IF($Y1233="","",IF($Y1233=0,$Z1233*EXP($AA1233*-3),$Z1233*(1+$Y1233*$AA1233*-3)^(1/$Y1233)))</f>
        <v/>
      </c>
      <c r="AG1233">
        <f>IF($W1233="","",IFERROR(INDEX(IF($T1233&lt;=60,est05_l,est519_l),MATCH($W1233,IF($T1233&lt;=60,est05_k,est519_k),1)),""))</f>
        <v/>
      </c>
      <c r="AH1233">
        <f>IF($W1233="","",IFERROR(INDEX(IF($T1233&lt;=60,est05_m,est519_m),MATCH($W1233,IF($T1233&lt;=60,est05_k,est519_k),1)),""))</f>
        <v/>
      </c>
      <c r="AI1233">
        <f>IF($W1233="","",IFERROR(INDEX(IF($T1233&lt;=60,est05_s,est519_s),MATCH($W1233,IF($T1233&lt;=60,est05_k,est519_k),1)),""))</f>
        <v/>
      </c>
      <c r="AJ1233">
        <f>IF($W1233="","",IFERROR(INDEX(IF($T1233&lt;=60,peso05_l,peso510_l),MATCH($W1233,IF($T1233&lt;=60,peso05_k,peso510_k),1)),""))</f>
        <v/>
      </c>
      <c r="AK1233">
        <f>IF($W1233="","",IFERROR(INDEX(IF($T1233&lt;=60,peso05_m,peso510_m),MATCH($W1233,IF($T1233&lt;=60,peso05_k,peso510_k),1)),""))</f>
        <v/>
      </c>
      <c r="AL1233">
        <f>IF($W1233="","",IFERROR(INDEX(IF($T1233&lt;=60,peso05_s,peso510_s),MATCH($W1233,IF($T1233&lt;=60,peso05_k,peso510_k),1)),""))</f>
        <v/>
      </c>
      <c r="AM1233">
        <f>IF($AJ1233="","",IF($AJ1233=0,LN($F1233/$AK1233)/$AL1233,((($F1233/$AK1233)^$AJ1233)-1)/($AJ1233*$AL1233)))</f>
        <v/>
      </c>
      <c r="AN1233">
        <f>IF($AJ1233="","",IF($AJ1233=0,$AK1233*EXP($AL1233*2),$AK1233*(1+$AJ1233*$AL1233*2)^(1/$AJ1233)))</f>
        <v/>
      </c>
      <c r="AO1233">
        <f>IF($AJ1233="","",IF($AJ1233=0,$AK1233*EXP($AL1233*3),$AK1233*(1+$AJ1233*$AL1233*3)^(1/$AJ1233)))</f>
        <v/>
      </c>
      <c r="AP1233">
        <f>IF($AJ1233="","",IF($AJ1233=0,$AK1233*EXP($AL1233*-2),$AK1233*(1+$AJ1233*$AL1233*-2)^(1/$AJ1233)))</f>
        <v/>
      </c>
      <c r="AQ1233">
        <f>IF($AJ1233="","",IF($AJ1233=0,$AK1233*EXP($AL1233*-3),$AK1233*(1+$AJ1233*$AL1233*-3)^(1/$AJ1233)))</f>
        <v/>
      </c>
      <c r="AR1233">
        <f>IF(OR($X1233="",$T1233&gt;60),"",IFERROR(INDEX(IF($T1233&lt;24,pcomp_l,palt_l),MATCH($X1233,IF($T1233&lt;24,pcomp_k,palt_k),1)),""))</f>
        <v/>
      </c>
      <c r="AS1233">
        <f>IF(OR($X1233="",$T1233&gt;60),"",IFERROR(INDEX(IF($T1233&lt;24,pcomp_m,palt_m),MATCH($X1233,IF($T1233&lt;24,pcomp_k,palt_k),1)),""))</f>
        <v/>
      </c>
      <c r="AT1233">
        <f>IF(OR($X1233="",$T1233&gt;60),"",IFERROR(INDEX(IF($T1233&lt;24,pcomp_s,palt_s),MATCH($X1233,IF($T1233&lt;24,pcomp_k,palt_k),1)),""))</f>
        <v/>
      </c>
      <c r="AU1233">
        <f>IF($AR1233="","",IF($AR1233=0,LN($F1233/$AS1233)/$AT1233,((($F1233/$AS1233)^$AR1233)-1)/($AR1233*$AT1233)))</f>
        <v/>
      </c>
      <c r="AV1233">
        <f>IF($AR1233="","",IF($AR1233=0,$AS1233*EXP($AT1233*2),$AS1233*(1+$AR1233*$AT1233*2)^(1/$AR1233)))</f>
        <v/>
      </c>
      <c r="AW1233">
        <f>IF($AR1233="","",IF($AR1233=0,$AS1233*EXP($AT1233*3),$AS1233*(1+$AR1233*$AT1233*3)^(1/$AR1233)))</f>
        <v/>
      </c>
      <c r="AX1233">
        <f>IF($AR1233="","",IF($AR1233=0,$AS1233*EXP($AT1233*-2),$AS1233*(1+$AR1233*$AT1233*-2)^(1/$AR1233)))</f>
        <v/>
      </c>
      <c r="AY1233">
        <f>IF($AR1233="","",IF($AR1233=0,$AS1233*EXP($AT1233*-3),$AS1233*(1+$AR1233*$AT1233*-3)^(1/$AR1233)))</f>
        <v/>
      </c>
      <c r="AZ1233">
        <f>IF(OR($A1233="",$A1233&lt;&gt;Ficha!$C$4),"",COUNTIF($A$2:$A1233,Ficha!$C$4))</f>
        <v/>
      </c>
    </row>
    <row r="1234">
      <c r="A1234" s="8">
        <f>IF(INDEX(Banco!$A:$A,ROW())="","",INDEX(Banco!$A:$A,ROW()))</f>
        <v/>
      </c>
      <c r="B1234" s="8">
        <f>IF(INDEX(Banco!$B:$B,ROW())="","",INDEX(Banco!$B:$B,ROW()))</f>
        <v/>
      </c>
      <c r="C1234" s="8">
        <f>IF(INDEX(Banco!$C:$C,ROW())="","",INDEX(Banco!$C:$C,ROW()))</f>
        <v/>
      </c>
      <c r="D1234" s="9">
        <f>IF(INDEX(Banco!$D:$D,ROW())="","",INDEX(Banco!$D:$D,ROW()))</f>
        <v/>
      </c>
      <c r="E1234" s="9">
        <f>IF(INDEX(Banco!$E:$E,ROW())="","",INDEX(Banco!$E:$E,ROW()))</f>
        <v/>
      </c>
      <c r="F1234" s="10">
        <f>IF(INDEX(Banco!$F:$F,ROW())="","",INDEX(Banco!$F:$F,ROW()))</f>
        <v/>
      </c>
      <c r="G1234" s="10">
        <f>IF(INDEX(Banco!$G:$G,ROW())="","",INDEX(Banco!$G:$G,ROW()))</f>
        <v/>
      </c>
      <c r="H1234" s="8">
        <f>IF(INDEX(Banco!$H:$H,ROW())="","",INDEX(Banco!$H:$H,ROW()))</f>
        <v/>
      </c>
      <c r="I1234">
        <f>IF($T1234="","",INT($T1234/12)&amp;"a "&amp;MOD($T1234,12)&amp;"m")</f>
        <v/>
      </c>
      <c r="J1234" s="11">
        <f>IF(OR($F1234="",$G1234=""),"",ROUND($F1234/($G1234/100)^2,2))</f>
        <v/>
      </c>
      <c r="K1234" s="12">
        <f>IF(OR($S1234="",$J1234="",$T1234="",$T1234&lt;0,$T1234&gt;228,$Y1234=""),"—",ROUND(IF(ABS($AB1234)&lt;=3,$AB1234,IF($AB1234&gt;3,3+($J1234-$AD1234)/($AD1234-$AC1234),-3+($J1234-$AF1234)/($AE1234-$AF1234))),2))</f>
        <v/>
      </c>
      <c r="L1234">
        <f>IF(OR($K1234="",$K1234="—"),"",IF($T1234&lt;=60,IF($K1234&lt;-3,"Magreza acentuada",IF($K1234&lt;-2,"Magreza",IF($K1234&lt;=1,"Eutrofia",IF($K1234&lt;=2,"Risco de sobrepeso",IF($K1234&lt;=3,"Sobrepeso","Obesidade"))))),IF($K1234&lt;-3,"Magreza acentuada",IF($K1234&lt;-2,"Magreza",IF($K1234&lt;=1,"Eutrofia",IF($K1234&lt;=2,"Sobrepeso",IF($K1234&lt;=3,"Obesidade","Obesidade grave")))))))</f>
        <v/>
      </c>
      <c r="M1234" s="12">
        <f>IF(OR($S1234="",$V1234="",$T1234="",$T1234&lt;0,$T1234&gt;228,$AG1234=""),"—",ROUND(IF($AG1234=0,LN($V1234/$AH1234)/$AI1234,((($V1234/$AH1234)^$AG1234)-1)/($AG1234*$AI1234)),2))</f>
        <v/>
      </c>
      <c r="N1234">
        <f>IF(OR($M1234="",$M1234="—"),"",IF($M1234&lt;-3,"Muito baixa",IF($M1234&lt;-2,"Baixa","Adequada")))</f>
        <v/>
      </c>
      <c r="O1234" s="12">
        <f>IF(OR($S1234="",$F1234="",$T1234="",$T1234&lt;0,$T1234&gt;120,$AJ1234=""),"—",ROUND(IF(ABS($AM1234)&lt;=3,$AM1234,IF($AM1234&gt;3,3+($F1234-$AO1234)/($AO1234-$AN1234),-3+($F1234-$AQ1234)/($AP1234-$AQ1234))),2))</f>
        <v/>
      </c>
      <c r="P1234">
        <f>IF(OR($O1234="",$O1234="—"),"",IF($O1234&lt;-3,"Muito baixo",IF($O1234&lt;-2,"Baixo",IF($O1234&lt;=2,"Adequado","Elevado"))))</f>
        <v/>
      </c>
      <c r="Q1234" s="12">
        <f>IF(OR($S1234="",$F1234="",$T1234="",$T1234&lt;0,$T1234&gt;60,$AR1234=""),"—",ROUND(IF(ABS($AU1234)&lt;=3,$AU1234,IF($AU1234&gt;3,3+($F1234-$AW1234)/($AW1234-$AV1234),-3+($F1234-$AY1234)/($AX1234-$AY1234))),2))</f>
        <v/>
      </c>
      <c r="R1234">
        <f>IF(OR($Q1234="",$Q1234="—"),"",IF($Q1234&lt;-3,"Magreza acentuada",IF($Q1234&lt;-2,"Magreza",IF($Q1234&lt;=1,"Eutrofia",IF($Q1234&lt;=2,"Risco de sobrepeso",IF($Q1234&lt;=3,"Sobrepeso","Obesidade"))))))</f>
        <v/>
      </c>
      <c r="S1234">
        <f>IF($C1234="","",IF(UPPER(LEFT($C1234,1))="M",1,IF(UPPER(LEFT($C1234,1))="F",2,"")))</f>
        <v/>
      </c>
      <c r="T1234">
        <f>IF(OR($D1234="",$E1234=""),"",DATEDIF($D1234,$E1234,"m"))</f>
        <v/>
      </c>
      <c r="U1234">
        <f>IF(OR($D1234="",$E1234=""),"",$E1234-$D1234)</f>
        <v/>
      </c>
      <c r="V1234">
        <f>IF(OR($G1234="",$T1234=""),"",IF($T1234&lt;24,IF(LEFT(LOWER($H1234),4)="em p",$G1234+0.7,$G1234),IF(LEFT(LOWER($H1234),4)="deit",$G1234-0.7,$G1234)))</f>
        <v/>
      </c>
      <c r="W1234">
        <f>IF(OR($S1234="",$T1234=""),"",$S1234*1000000+IF($T1234&lt;=60,$U1234,$T1234))</f>
        <v/>
      </c>
      <c r="X1234">
        <f>IF(OR($S1234="",$V1234="",$T1234&gt;60,$T1234=""),"",$S1234*1000000+ROUND($V1234*10,0))</f>
        <v/>
      </c>
      <c r="Y1234">
        <f>IF($W1234="","",IFERROR(INDEX(IF($T1234&lt;=60,imc05_l,imc519_l),MATCH($W1234,IF($T1234&lt;=60,imc05_k,imc519_k),1)),""))</f>
        <v/>
      </c>
      <c r="Z1234">
        <f>IF($W1234="","",IFERROR(INDEX(IF($T1234&lt;=60,imc05_m,imc519_m),MATCH($W1234,IF($T1234&lt;=60,imc05_k,imc519_k),1)),""))</f>
        <v/>
      </c>
      <c r="AA1234">
        <f>IF($W1234="","",IFERROR(INDEX(IF($T1234&lt;=60,imc05_s,imc519_s),MATCH($W1234,IF($T1234&lt;=60,imc05_k,imc519_k),1)),""))</f>
        <v/>
      </c>
      <c r="AB1234">
        <f>IF($Y1234="","",IF($Y1234=0,LN($J1234/$Z1234)/$AA1234,((($J1234/$Z1234)^$Y1234)-1)/($Y1234*$AA1234)))</f>
        <v/>
      </c>
      <c r="AC1234">
        <f>IF($Y1234="","",IF($Y1234=0,$Z1234*EXP($AA1234*2),$Z1234*(1+$Y1234*$AA1234*2)^(1/$Y1234)))</f>
        <v/>
      </c>
      <c r="AD1234">
        <f>IF($Y1234="","",IF($Y1234=0,$Z1234*EXP($AA1234*3),$Z1234*(1+$Y1234*$AA1234*3)^(1/$Y1234)))</f>
        <v/>
      </c>
      <c r="AE1234">
        <f>IF($Y1234="","",IF($Y1234=0,$Z1234*EXP($AA1234*-2),$Z1234*(1+$Y1234*$AA1234*-2)^(1/$Y1234)))</f>
        <v/>
      </c>
      <c r="AF1234">
        <f>IF($Y1234="","",IF($Y1234=0,$Z1234*EXP($AA1234*-3),$Z1234*(1+$Y1234*$AA1234*-3)^(1/$Y1234)))</f>
        <v/>
      </c>
      <c r="AG1234">
        <f>IF($W1234="","",IFERROR(INDEX(IF($T1234&lt;=60,est05_l,est519_l),MATCH($W1234,IF($T1234&lt;=60,est05_k,est519_k),1)),""))</f>
        <v/>
      </c>
      <c r="AH1234">
        <f>IF($W1234="","",IFERROR(INDEX(IF($T1234&lt;=60,est05_m,est519_m),MATCH($W1234,IF($T1234&lt;=60,est05_k,est519_k),1)),""))</f>
        <v/>
      </c>
      <c r="AI1234">
        <f>IF($W1234="","",IFERROR(INDEX(IF($T1234&lt;=60,est05_s,est519_s),MATCH($W1234,IF($T1234&lt;=60,est05_k,est519_k),1)),""))</f>
        <v/>
      </c>
      <c r="AJ1234">
        <f>IF($W1234="","",IFERROR(INDEX(IF($T1234&lt;=60,peso05_l,peso510_l),MATCH($W1234,IF($T1234&lt;=60,peso05_k,peso510_k),1)),""))</f>
        <v/>
      </c>
      <c r="AK1234">
        <f>IF($W1234="","",IFERROR(INDEX(IF($T1234&lt;=60,peso05_m,peso510_m),MATCH($W1234,IF($T1234&lt;=60,peso05_k,peso510_k),1)),""))</f>
        <v/>
      </c>
      <c r="AL1234">
        <f>IF($W1234="","",IFERROR(INDEX(IF($T1234&lt;=60,peso05_s,peso510_s),MATCH($W1234,IF($T1234&lt;=60,peso05_k,peso510_k),1)),""))</f>
        <v/>
      </c>
      <c r="AM1234">
        <f>IF($AJ1234="","",IF($AJ1234=0,LN($F1234/$AK1234)/$AL1234,((($F1234/$AK1234)^$AJ1234)-1)/($AJ1234*$AL1234)))</f>
        <v/>
      </c>
      <c r="AN1234">
        <f>IF($AJ1234="","",IF($AJ1234=0,$AK1234*EXP($AL1234*2),$AK1234*(1+$AJ1234*$AL1234*2)^(1/$AJ1234)))</f>
        <v/>
      </c>
      <c r="AO1234">
        <f>IF($AJ1234="","",IF($AJ1234=0,$AK1234*EXP($AL1234*3),$AK1234*(1+$AJ1234*$AL1234*3)^(1/$AJ1234)))</f>
        <v/>
      </c>
      <c r="AP1234">
        <f>IF($AJ1234="","",IF($AJ1234=0,$AK1234*EXP($AL1234*-2),$AK1234*(1+$AJ1234*$AL1234*-2)^(1/$AJ1234)))</f>
        <v/>
      </c>
      <c r="AQ1234">
        <f>IF($AJ1234="","",IF($AJ1234=0,$AK1234*EXP($AL1234*-3),$AK1234*(1+$AJ1234*$AL1234*-3)^(1/$AJ1234)))</f>
        <v/>
      </c>
      <c r="AR1234">
        <f>IF(OR($X1234="",$T1234&gt;60),"",IFERROR(INDEX(IF($T1234&lt;24,pcomp_l,palt_l),MATCH($X1234,IF($T1234&lt;24,pcomp_k,palt_k),1)),""))</f>
        <v/>
      </c>
      <c r="AS1234">
        <f>IF(OR($X1234="",$T1234&gt;60),"",IFERROR(INDEX(IF($T1234&lt;24,pcomp_m,palt_m),MATCH($X1234,IF($T1234&lt;24,pcomp_k,palt_k),1)),""))</f>
        <v/>
      </c>
      <c r="AT1234">
        <f>IF(OR($X1234="",$T1234&gt;60),"",IFERROR(INDEX(IF($T1234&lt;24,pcomp_s,palt_s),MATCH($X1234,IF($T1234&lt;24,pcomp_k,palt_k),1)),""))</f>
        <v/>
      </c>
      <c r="AU1234">
        <f>IF($AR1234="","",IF($AR1234=0,LN($F1234/$AS1234)/$AT1234,((($F1234/$AS1234)^$AR1234)-1)/($AR1234*$AT1234)))</f>
        <v/>
      </c>
      <c r="AV1234">
        <f>IF($AR1234="","",IF($AR1234=0,$AS1234*EXP($AT1234*2),$AS1234*(1+$AR1234*$AT1234*2)^(1/$AR1234)))</f>
        <v/>
      </c>
      <c r="AW1234">
        <f>IF($AR1234="","",IF($AR1234=0,$AS1234*EXP($AT1234*3),$AS1234*(1+$AR1234*$AT1234*3)^(1/$AR1234)))</f>
        <v/>
      </c>
      <c r="AX1234">
        <f>IF($AR1234="","",IF($AR1234=0,$AS1234*EXP($AT1234*-2),$AS1234*(1+$AR1234*$AT1234*-2)^(1/$AR1234)))</f>
        <v/>
      </c>
      <c r="AY1234">
        <f>IF($AR1234="","",IF($AR1234=0,$AS1234*EXP($AT1234*-3),$AS1234*(1+$AR1234*$AT1234*-3)^(1/$AR1234)))</f>
        <v/>
      </c>
      <c r="AZ1234">
        <f>IF(OR($A1234="",$A1234&lt;&gt;Ficha!$C$4),"",COUNTIF($A$2:$A1234,Ficha!$C$4))</f>
        <v/>
      </c>
    </row>
    <row r="1235">
      <c r="A1235" s="8">
        <f>IF(INDEX(Banco!$A:$A,ROW())="","",INDEX(Banco!$A:$A,ROW()))</f>
        <v/>
      </c>
      <c r="B1235" s="8">
        <f>IF(INDEX(Banco!$B:$B,ROW())="","",INDEX(Banco!$B:$B,ROW()))</f>
        <v/>
      </c>
      <c r="C1235" s="8">
        <f>IF(INDEX(Banco!$C:$C,ROW())="","",INDEX(Banco!$C:$C,ROW()))</f>
        <v/>
      </c>
      <c r="D1235" s="9">
        <f>IF(INDEX(Banco!$D:$D,ROW())="","",INDEX(Banco!$D:$D,ROW()))</f>
        <v/>
      </c>
      <c r="E1235" s="9">
        <f>IF(INDEX(Banco!$E:$E,ROW())="","",INDEX(Banco!$E:$E,ROW()))</f>
        <v/>
      </c>
      <c r="F1235" s="10">
        <f>IF(INDEX(Banco!$F:$F,ROW())="","",INDEX(Banco!$F:$F,ROW()))</f>
        <v/>
      </c>
      <c r="G1235" s="10">
        <f>IF(INDEX(Banco!$G:$G,ROW())="","",INDEX(Banco!$G:$G,ROW()))</f>
        <v/>
      </c>
      <c r="H1235" s="8">
        <f>IF(INDEX(Banco!$H:$H,ROW())="","",INDEX(Banco!$H:$H,ROW()))</f>
        <v/>
      </c>
      <c r="I1235">
        <f>IF($T1235="","",INT($T1235/12)&amp;"a "&amp;MOD($T1235,12)&amp;"m")</f>
        <v/>
      </c>
      <c r="J1235" s="11">
        <f>IF(OR($F1235="",$G1235=""),"",ROUND($F1235/($G1235/100)^2,2))</f>
        <v/>
      </c>
      <c r="K1235" s="12">
        <f>IF(OR($S1235="",$J1235="",$T1235="",$T1235&lt;0,$T1235&gt;228,$Y1235=""),"—",ROUND(IF(ABS($AB1235)&lt;=3,$AB1235,IF($AB1235&gt;3,3+($J1235-$AD1235)/($AD1235-$AC1235),-3+($J1235-$AF1235)/($AE1235-$AF1235))),2))</f>
        <v/>
      </c>
      <c r="L1235">
        <f>IF(OR($K1235="",$K1235="—"),"",IF($T1235&lt;=60,IF($K1235&lt;-3,"Magreza acentuada",IF($K1235&lt;-2,"Magreza",IF($K1235&lt;=1,"Eutrofia",IF($K1235&lt;=2,"Risco de sobrepeso",IF($K1235&lt;=3,"Sobrepeso","Obesidade"))))),IF($K1235&lt;-3,"Magreza acentuada",IF($K1235&lt;-2,"Magreza",IF($K1235&lt;=1,"Eutrofia",IF($K1235&lt;=2,"Sobrepeso",IF($K1235&lt;=3,"Obesidade","Obesidade grave")))))))</f>
        <v/>
      </c>
      <c r="M1235" s="12">
        <f>IF(OR($S1235="",$V1235="",$T1235="",$T1235&lt;0,$T1235&gt;228,$AG1235=""),"—",ROUND(IF($AG1235=0,LN($V1235/$AH1235)/$AI1235,((($V1235/$AH1235)^$AG1235)-1)/($AG1235*$AI1235)),2))</f>
        <v/>
      </c>
      <c r="N1235">
        <f>IF(OR($M1235="",$M1235="—"),"",IF($M1235&lt;-3,"Muito baixa",IF($M1235&lt;-2,"Baixa","Adequada")))</f>
        <v/>
      </c>
      <c r="O1235" s="12">
        <f>IF(OR($S1235="",$F1235="",$T1235="",$T1235&lt;0,$T1235&gt;120,$AJ1235=""),"—",ROUND(IF(ABS($AM1235)&lt;=3,$AM1235,IF($AM1235&gt;3,3+($F1235-$AO1235)/($AO1235-$AN1235),-3+($F1235-$AQ1235)/($AP1235-$AQ1235))),2))</f>
        <v/>
      </c>
      <c r="P1235">
        <f>IF(OR($O1235="",$O1235="—"),"",IF($O1235&lt;-3,"Muito baixo",IF($O1235&lt;-2,"Baixo",IF($O1235&lt;=2,"Adequado","Elevado"))))</f>
        <v/>
      </c>
      <c r="Q1235" s="12">
        <f>IF(OR($S1235="",$F1235="",$T1235="",$T1235&lt;0,$T1235&gt;60,$AR1235=""),"—",ROUND(IF(ABS($AU1235)&lt;=3,$AU1235,IF($AU1235&gt;3,3+($F1235-$AW1235)/($AW1235-$AV1235),-3+($F1235-$AY1235)/($AX1235-$AY1235))),2))</f>
        <v/>
      </c>
      <c r="R1235">
        <f>IF(OR($Q1235="",$Q1235="—"),"",IF($Q1235&lt;-3,"Magreza acentuada",IF($Q1235&lt;-2,"Magreza",IF($Q1235&lt;=1,"Eutrofia",IF($Q1235&lt;=2,"Risco de sobrepeso",IF($Q1235&lt;=3,"Sobrepeso","Obesidade"))))))</f>
        <v/>
      </c>
      <c r="S1235">
        <f>IF($C1235="","",IF(UPPER(LEFT($C1235,1))="M",1,IF(UPPER(LEFT($C1235,1))="F",2,"")))</f>
        <v/>
      </c>
      <c r="T1235">
        <f>IF(OR($D1235="",$E1235=""),"",DATEDIF($D1235,$E1235,"m"))</f>
        <v/>
      </c>
      <c r="U1235">
        <f>IF(OR($D1235="",$E1235=""),"",$E1235-$D1235)</f>
        <v/>
      </c>
      <c r="V1235">
        <f>IF(OR($G1235="",$T1235=""),"",IF($T1235&lt;24,IF(LEFT(LOWER($H1235),4)="em p",$G1235+0.7,$G1235),IF(LEFT(LOWER($H1235),4)="deit",$G1235-0.7,$G1235)))</f>
        <v/>
      </c>
      <c r="W1235">
        <f>IF(OR($S1235="",$T1235=""),"",$S1235*1000000+IF($T1235&lt;=60,$U1235,$T1235))</f>
        <v/>
      </c>
      <c r="X1235">
        <f>IF(OR($S1235="",$V1235="",$T1235&gt;60,$T1235=""),"",$S1235*1000000+ROUND($V1235*10,0))</f>
        <v/>
      </c>
      <c r="Y1235">
        <f>IF($W1235="","",IFERROR(INDEX(IF($T1235&lt;=60,imc05_l,imc519_l),MATCH($W1235,IF($T1235&lt;=60,imc05_k,imc519_k),1)),""))</f>
        <v/>
      </c>
      <c r="Z1235">
        <f>IF($W1235="","",IFERROR(INDEX(IF($T1235&lt;=60,imc05_m,imc519_m),MATCH($W1235,IF($T1235&lt;=60,imc05_k,imc519_k),1)),""))</f>
        <v/>
      </c>
      <c r="AA1235">
        <f>IF($W1235="","",IFERROR(INDEX(IF($T1235&lt;=60,imc05_s,imc519_s),MATCH($W1235,IF($T1235&lt;=60,imc05_k,imc519_k),1)),""))</f>
        <v/>
      </c>
      <c r="AB1235">
        <f>IF($Y1235="","",IF($Y1235=0,LN($J1235/$Z1235)/$AA1235,((($J1235/$Z1235)^$Y1235)-1)/($Y1235*$AA1235)))</f>
        <v/>
      </c>
      <c r="AC1235">
        <f>IF($Y1235="","",IF($Y1235=0,$Z1235*EXP($AA1235*2),$Z1235*(1+$Y1235*$AA1235*2)^(1/$Y1235)))</f>
        <v/>
      </c>
      <c r="AD1235">
        <f>IF($Y1235="","",IF($Y1235=0,$Z1235*EXP($AA1235*3),$Z1235*(1+$Y1235*$AA1235*3)^(1/$Y1235)))</f>
        <v/>
      </c>
      <c r="AE1235">
        <f>IF($Y1235="","",IF($Y1235=0,$Z1235*EXP($AA1235*-2),$Z1235*(1+$Y1235*$AA1235*-2)^(1/$Y1235)))</f>
        <v/>
      </c>
      <c r="AF1235">
        <f>IF($Y1235="","",IF($Y1235=0,$Z1235*EXP($AA1235*-3),$Z1235*(1+$Y1235*$AA1235*-3)^(1/$Y1235)))</f>
        <v/>
      </c>
      <c r="AG1235">
        <f>IF($W1235="","",IFERROR(INDEX(IF($T1235&lt;=60,est05_l,est519_l),MATCH($W1235,IF($T1235&lt;=60,est05_k,est519_k),1)),""))</f>
        <v/>
      </c>
      <c r="AH1235">
        <f>IF($W1235="","",IFERROR(INDEX(IF($T1235&lt;=60,est05_m,est519_m),MATCH($W1235,IF($T1235&lt;=60,est05_k,est519_k),1)),""))</f>
        <v/>
      </c>
      <c r="AI1235">
        <f>IF($W1235="","",IFERROR(INDEX(IF($T1235&lt;=60,est05_s,est519_s),MATCH($W1235,IF($T1235&lt;=60,est05_k,est519_k),1)),""))</f>
        <v/>
      </c>
      <c r="AJ1235">
        <f>IF($W1235="","",IFERROR(INDEX(IF($T1235&lt;=60,peso05_l,peso510_l),MATCH($W1235,IF($T1235&lt;=60,peso05_k,peso510_k),1)),""))</f>
        <v/>
      </c>
      <c r="AK1235">
        <f>IF($W1235="","",IFERROR(INDEX(IF($T1235&lt;=60,peso05_m,peso510_m),MATCH($W1235,IF($T1235&lt;=60,peso05_k,peso510_k),1)),""))</f>
        <v/>
      </c>
      <c r="AL1235">
        <f>IF($W1235="","",IFERROR(INDEX(IF($T1235&lt;=60,peso05_s,peso510_s),MATCH($W1235,IF($T1235&lt;=60,peso05_k,peso510_k),1)),""))</f>
        <v/>
      </c>
      <c r="AM1235">
        <f>IF($AJ1235="","",IF($AJ1235=0,LN($F1235/$AK1235)/$AL1235,((($F1235/$AK1235)^$AJ1235)-1)/($AJ1235*$AL1235)))</f>
        <v/>
      </c>
      <c r="AN1235">
        <f>IF($AJ1235="","",IF($AJ1235=0,$AK1235*EXP($AL1235*2),$AK1235*(1+$AJ1235*$AL1235*2)^(1/$AJ1235)))</f>
        <v/>
      </c>
      <c r="AO1235">
        <f>IF($AJ1235="","",IF($AJ1235=0,$AK1235*EXP($AL1235*3),$AK1235*(1+$AJ1235*$AL1235*3)^(1/$AJ1235)))</f>
        <v/>
      </c>
      <c r="AP1235">
        <f>IF($AJ1235="","",IF($AJ1235=0,$AK1235*EXP($AL1235*-2),$AK1235*(1+$AJ1235*$AL1235*-2)^(1/$AJ1235)))</f>
        <v/>
      </c>
      <c r="AQ1235">
        <f>IF($AJ1235="","",IF($AJ1235=0,$AK1235*EXP($AL1235*-3),$AK1235*(1+$AJ1235*$AL1235*-3)^(1/$AJ1235)))</f>
        <v/>
      </c>
      <c r="AR1235">
        <f>IF(OR($X1235="",$T1235&gt;60),"",IFERROR(INDEX(IF($T1235&lt;24,pcomp_l,palt_l),MATCH($X1235,IF($T1235&lt;24,pcomp_k,palt_k),1)),""))</f>
        <v/>
      </c>
      <c r="AS1235">
        <f>IF(OR($X1235="",$T1235&gt;60),"",IFERROR(INDEX(IF($T1235&lt;24,pcomp_m,palt_m),MATCH($X1235,IF($T1235&lt;24,pcomp_k,palt_k),1)),""))</f>
        <v/>
      </c>
      <c r="AT1235">
        <f>IF(OR($X1235="",$T1235&gt;60),"",IFERROR(INDEX(IF($T1235&lt;24,pcomp_s,palt_s),MATCH($X1235,IF($T1235&lt;24,pcomp_k,palt_k),1)),""))</f>
        <v/>
      </c>
      <c r="AU1235">
        <f>IF($AR1235="","",IF($AR1235=0,LN($F1235/$AS1235)/$AT1235,((($F1235/$AS1235)^$AR1235)-1)/($AR1235*$AT1235)))</f>
        <v/>
      </c>
      <c r="AV1235">
        <f>IF($AR1235="","",IF($AR1235=0,$AS1235*EXP($AT1235*2),$AS1235*(1+$AR1235*$AT1235*2)^(1/$AR1235)))</f>
        <v/>
      </c>
      <c r="AW1235">
        <f>IF($AR1235="","",IF($AR1235=0,$AS1235*EXP($AT1235*3),$AS1235*(1+$AR1235*$AT1235*3)^(1/$AR1235)))</f>
        <v/>
      </c>
      <c r="AX1235">
        <f>IF($AR1235="","",IF($AR1235=0,$AS1235*EXP($AT1235*-2),$AS1235*(1+$AR1235*$AT1235*-2)^(1/$AR1235)))</f>
        <v/>
      </c>
      <c r="AY1235">
        <f>IF($AR1235="","",IF($AR1235=0,$AS1235*EXP($AT1235*-3),$AS1235*(1+$AR1235*$AT1235*-3)^(1/$AR1235)))</f>
        <v/>
      </c>
      <c r="AZ1235">
        <f>IF(OR($A1235="",$A1235&lt;&gt;Ficha!$C$4),"",COUNTIF($A$2:$A1235,Ficha!$C$4))</f>
        <v/>
      </c>
    </row>
    <row r="1236">
      <c r="A1236" s="8">
        <f>IF(INDEX(Banco!$A:$A,ROW())="","",INDEX(Banco!$A:$A,ROW()))</f>
        <v/>
      </c>
      <c r="B1236" s="8">
        <f>IF(INDEX(Banco!$B:$B,ROW())="","",INDEX(Banco!$B:$B,ROW()))</f>
        <v/>
      </c>
      <c r="C1236" s="8">
        <f>IF(INDEX(Banco!$C:$C,ROW())="","",INDEX(Banco!$C:$C,ROW()))</f>
        <v/>
      </c>
      <c r="D1236" s="9">
        <f>IF(INDEX(Banco!$D:$D,ROW())="","",INDEX(Banco!$D:$D,ROW()))</f>
        <v/>
      </c>
      <c r="E1236" s="9">
        <f>IF(INDEX(Banco!$E:$E,ROW())="","",INDEX(Banco!$E:$E,ROW()))</f>
        <v/>
      </c>
      <c r="F1236" s="10">
        <f>IF(INDEX(Banco!$F:$F,ROW())="","",INDEX(Banco!$F:$F,ROW()))</f>
        <v/>
      </c>
      <c r="G1236" s="10">
        <f>IF(INDEX(Banco!$G:$G,ROW())="","",INDEX(Banco!$G:$G,ROW()))</f>
        <v/>
      </c>
      <c r="H1236" s="8">
        <f>IF(INDEX(Banco!$H:$H,ROW())="","",INDEX(Banco!$H:$H,ROW()))</f>
        <v/>
      </c>
      <c r="I1236">
        <f>IF($T1236="","",INT($T1236/12)&amp;"a "&amp;MOD($T1236,12)&amp;"m")</f>
        <v/>
      </c>
      <c r="J1236" s="11">
        <f>IF(OR($F1236="",$G1236=""),"",ROUND($F1236/($G1236/100)^2,2))</f>
        <v/>
      </c>
      <c r="K1236" s="12">
        <f>IF(OR($S1236="",$J1236="",$T1236="",$T1236&lt;0,$T1236&gt;228,$Y1236=""),"—",ROUND(IF(ABS($AB1236)&lt;=3,$AB1236,IF($AB1236&gt;3,3+($J1236-$AD1236)/($AD1236-$AC1236),-3+($J1236-$AF1236)/($AE1236-$AF1236))),2))</f>
        <v/>
      </c>
      <c r="L1236">
        <f>IF(OR($K1236="",$K1236="—"),"",IF($T1236&lt;=60,IF($K1236&lt;-3,"Magreza acentuada",IF($K1236&lt;-2,"Magreza",IF($K1236&lt;=1,"Eutrofia",IF($K1236&lt;=2,"Risco de sobrepeso",IF($K1236&lt;=3,"Sobrepeso","Obesidade"))))),IF($K1236&lt;-3,"Magreza acentuada",IF($K1236&lt;-2,"Magreza",IF($K1236&lt;=1,"Eutrofia",IF($K1236&lt;=2,"Sobrepeso",IF($K1236&lt;=3,"Obesidade","Obesidade grave")))))))</f>
        <v/>
      </c>
      <c r="M1236" s="12">
        <f>IF(OR($S1236="",$V1236="",$T1236="",$T1236&lt;0,$T1236&gt;228,$AG1236=""),"—",ROUND(IF($AG1236=0,LN($V1236/$AH1236)/$AI1236,((($V1236/$AH1236)^$AG1236)-1)/($AG1236*$AI1236)),2))</f>
        <v/>
      </c>
      <c r="N1236">
        <f>IF(OR($M1236="",$M1236="—"),"",IF($M1236&lt;-3,"Muito baixa",IF($M1236&lt;-2,"Baixa","Adequada")))</f>
        <v/>
      </c>
      <c r="O1236" s="12">
        <f>IF(OR($S1236="",$F1236="",$T1236="",$T1236&lt;0,$T1236&gt;120,$AJ1236=""),"—",ROUND(IF(ABS($AM1236)&lt;=3,$AM1236,IF($AM1236&gt;3,3+($F1236-$AO1236)/($AO1236-$AN1236),-3+($F1236-$AQ1236)/($AP1236-$AQ1236))),2))</f>
        <v/>
      </c>
      <c r="P1236">
        <f>IF(OR($O1236="",$O1236="—"),"",IF($O1236&lt;-3,"Muito baixo",IF($O1236&lt;-2,"Baixo",IF($O1236&lt;=2,"Adequado","Elevado"))))</f>
        <v/>
      </c>
      <c r="Q1236" s="12">
        <f>IF(OR($S1236="",$F1236="",$T1236="",$T1236&lt;0,$T1236&gt;60,$AR1236=""),"—",ROUND(IF(ABS($AU1236)&lt;=3,$AU1236,IF($AU1236&gt;3,3+($F1236-$AW1236)/($AW1236-$AV1236),-3+($F1236-$AY1236)/($AX1236-$AY1236))),2))</f>
        <v/>
      </c>
      <c r="R1236">
        <f>IF(OR($Q1236="",$Q1236="—"),"",IF($Q1236&lt;-3,"Magreza acentuada",IF($Q1236&lt;-2,"Magreza",IF($Q1236&lt;=1,"Eutrofia",IF($Q1236&lt;=2,"Risco de sobrepeso",IF($Q1236&lt;=3,"Sobrepeso","Obesidade"))))))</f>
        <v/>
      </c>
      <c r="S1236">
        <f>IF($C1236="","",IF(UPPER(LEFT($C1236,1))="M",1,IF(UPPER(LEFT($C1236,1))="F",2,"")))</f>
        <v/>
      </c>
      <c r="T1236">
        <f>IF(OR($D1236="",$E1236=""),"",DATEDIF($D1236,$E1236,"m"))</f>
        <v/>
      </c>
      <c r="U1236">
        <f>IF(OR($D1236="",$E1236=""),"",$E1236-$D1236)</f>
        <v/>
      </c>
      <c r="V1236">
        <f>IF(OR($G1236="",$T1236=""),"",IF($T1236&lt;24,IF(LEFT(LOWER($H1236),4)="em p",$G1236+0.7,$G1236),IF(LEFT(LOWER($H1236),4)="deit",$G1236-0.7,$G1236)))</f>
        <v/>
      </c>
      <c r="W1236">
        <f>IF(OR($S1236="",$T1236=""),"",$S1236*1000000+IF($T1236&lt;=60,$U1236,$T1236))</f>
        <v/>
      </c>
      <c r="X1236">
        <f>IF(OR($S1236="",$V1236="",$T1236&gt;60,$T1236=""),"",$S1236*1000000+ROUND($V1236*10,0))</f>
        <v/>
      </c>
      <c r="Y1236">
        <f>IF($W1236="","",IFERROR(INDEX(IF($T1236&lt;=60,imc05_l,imc519_l),MATCH($W1236,IF($T1236&lt;=60,imc05_k,imc519_k),1)),""))</f>
        <v/>
      </c>
      <c r="Z1236">
        <f>IF($W1236="","",IFERROR(INDEX(IF($T1236&lt;=60,imc05_m,imc519_m),MATCH($W1236,IF($T1236&lt;=60,imc05_k,imc519_k),1)),""))</f>
        <v/>
      </c>
      <c r="AA1236">
        <f>IF($W1236="","",IFERROR(INDEX(IF($T1236&lt;=60,imc05_s,imc519_s),MATCH($W1236,IF($T1236&lt;=60,imc05_k,imc519_k),1)),""))</f>
        <v/>
      </c>
      <c r="AB1236">
        <f>IF($Y1236="","",IF($Y1236=0,LN($J1236/$Z1236)/$AA1236,((($J1236/$Z1236)^$Y1236)-1)/($Y1236*$AA1236)))</f>
        <v/>
      </c>
      <c r="AC1236">
        <f>IF($Y1236="","",IF($Y1236=0,$Z1236*EXP($AA1236*2),$Z1236*(1+$Y1236*$AA1236*2)^(1/$Y1236)))</f>
        <v/>
      </c>
      <c r="AD1236">
        <f>IF($Y1236="","",IF($Y1236=0,$Z1236*EXP($AA1236*3),$Z1236*(1+$Y1236*$AA1236*3)^(1/$Y1236)))</f>
        <v/>
      </c>
      <c r="AE1236">
        <f>IF($Y1236="","",IF($Y1236=0,$Z1236*EXP($AA1236*-2),$Z1236*(1+$Y1236*$AA1236*-2)^(1/$Y1236)))</f>
        <v/>
      </c>
      <c r="AF1236">
        <f>IF($Y1236="","",IF($Y1236=0,$Z1236*EXP($AA1236*-3),$Z1236*(1+$Y1236*$AA1236*-3)^(1/$Y1236)))</f>
        <v/>
      </c>
      <c r="AG1236">
        <f>IF($W1236="","",IFERROR(INDEX(IF($T1236&lt;=60,est05_l,est519_l),MATCH($W1236,IF($T1236&lt;=60,est05_k,est519_k),1)),""))</f>
        <v/>
      </c>
      <c r="AH1236">
        <f>IF($W1236="","",IFERROR(INDEX(IF($T1236&lt;=60,est05_m,est519_m),MATCH($W1236,IF($T1236&lt;=60,est05_k,est519_k),1)),""))</f>
        <v/>
      </c>
      <c r="AI1236">
        <f>IF($W1236="","",IFERROR(INDEX(IF($T1236&lt;=60,est05_s,est519_s),MATCH($W1236,IF($T1236&lt;=60,est05_k,est519_k),1)),""))</f>
        <v/>
      </c>
      <c r="AJ1236">
        <f>IF($W1236="","",IFERROR(INDEX(IF($T1236&lt;=60,peso05_l,peso510_l),MATCH($W1236,IF($T1236&lt;=60,peso05_k,peso510_k),1)),""))</f>
        <v/>
      </c>
      <c r="AK1236">
        <f>IF($W1236="","",IFERROR(INDEX(IF($T1236&lt;=60,peso05_m,peso510_m),MATCH($W1236,IF($T1236&lt;=60,peso05_k,peso510_k),1)),""))</f>
        <v/>
      </c>
      <c r="AL1236">
        <f>IF($W1236="","",IFERROR(INDEX(IF($T1236&lt;=60,peso05_s,peso510_s),MATCH($W1236,IF($T1236&lt;=60,peso05_k,peso510_k),1)),""))</f>
        <v/>
      </c>
      <c r="AM1236">
        <f>IF($AJ1236="","",IF($AJ1236=0,LN($F1236/$AK1236)/$AL1236,((($F1236/$AK1236)^$AJ1236)-1)/($AJ1236*$AL1236)))</f>
        <v/>
      </c>
      <c r="AN1236">
        <f>IF($AJ1236="","",IF($AJ1236=0,$AK1236*EXP($AL1236*2),$AK1236*(1+$AJ1236*$AL1236*2)^(1/$AJ1236)))</f>
        <v/>
      </c>
      <c r="AO1236">
        <f>IF($AJ1236="","",IF($AJ1236=0,$AK1236*EXP($AL1236*3),$AK1236*(1+$AJ1236*$AL1236*3)^(1/$AJ1236)))</f>
        <v/>
      </c>
      <c r="AP1236">
        <f>IF($AJ1236="","",IF($AJ1236=0,$AK1236*EXP($AL1236*-2),$AK1236*(1+$AJ1236*$AL1236*-2)^(1/$AJ1236)))</f>
        <v/>
      </c>
      <c r="AQ1236">
        <f>IF($AJ1236="","",IF($AJ1236=0,$AK1236*EXP($AL1236*-3),$AK1236*(1+$AJ1236*$AL1236*-3)^(1/$AJ1236)))</f>
        <v/>
      </c>
      <c r="AR1236">
        <f>IF(OR($X1236="",$T1236&gt;60),"",IFERROR(INDEX(IF($T1236&lt;24,pcomp_l,palt_l),MATCH($X1236,IF($T1236&lt;24,pcomp_k,palt_k),1)),""))</f>
        <v/>
      </c>
      <c r="AS1236">
        <f>IF(OR($X1236="",$T1236&gt;60),"",IFERROR(INDEX(IF($T1236&lt;24,pcomp_m,palt_m),MATCH($X1236,IF($T1236&lt;24,pcomp_k,palt_k),1)),""))</f>
        <v/>
      </c>
      <c r="AT1236">
        <f>IF(OR($X1236="",$T1236&gt;60),"",IFERROR(INDEX(IF($T1236&lt;24,pcomp_s,palt_s),MATCH($X1236,IF($T1236&lt;24,pcomp_k,palt_k),1)),""))</f>
        <v/>
      </c>
      <c r="AU1236">
        <f>IF($AR1236="","",IF($AR1236=0,LN($F1236/$AS1236)/$AT1236,((($F1236/$AS1236)^$AR1236)-1)/($AR1236*$AT1236)))</f>
        <v/>
      </c>
      <c r="AV1236">
        <f>IF($AR1236="","",IF($AR1236=0,$AS1236*EXP($AT1236*2),$AS1236*(1+$AR1236*$AT1236*2)^(1/$AR1236)))</f>
        <v/>
      </c>
      <c r="AW1236">
        <f>IF($AR1236="","",IF($AR1236=0,$AS1236*EXP($AT1236*3),$AS1236*(1+$AR1236*$AT1236*3)^(1/$AR1236)))</f>
        <v/>
      </c>
      <c r="AX1236">
        <f>IF($AR1236="","",IF($AR1236=0,$AS1236*EXP($AT1236*-2),$AS1236*(1+$AR1236*$AT1236*-2)^(1/$AR1236)))</f>
        <v/>
      </c>
      <c r="AY1236">
        <f>IF($AR1236="","",IF($AR1236=0,$AS1236*EXP($AT1236*-3),$AS1236*(1+$AR1236*$AT1236*-3)^(1/$AR1236)))</f>
        <v/>
      </c>
      <c r="AZ1236">
        <f>IF(OR($A1236="",$A1236&lt;&gt;Ficha!$C$4),"",COUNTIF($A$2:$A1236,Ficha!$C$4))</f>
        <v/>
      </c>
    </row>
    <row r="1237">
      <c r="A1237" s="8">
        <f>IF(INDEX(Banco!$A:$A,ROW())="","",INDEX(Banco!$A:$A,ROW()))</f>
        <v/>
      </c>
      <c r="B1237" s="8">
        <f>IF(INDEX(Banco!$B:$B,ROW())="","",INDEX(Banco!$B:$B,ROW()))</f>
        <v/>
      </c>
      <c r="C1237" s="8">
        <f>IF(INDEX(Banco!$C:$C,ROW())="","",INDEX(Banco!$C:$C,ROW()))</f>
        <v/>
      </c>
      <c r="D1237" s="9">
        <f>IF(INDEX(Banco!$D:$D,ROW())="","",INDEX(Banco!$D:$D,ROW()))</f>
        <v/>
      </c>
      <c r="E1237" s="9">
        <f>IF(INDEX(Banco!$E:$E,ROW())="","",INDEX(Banco!$E:$E,ROW()))</f>
        <v/>
      </c>
      <c r="F1237" s="10">
        <f>IF(INDEX(Banco!$F:$F,ROW())="","",INDEX(Banco!$F:$F,ROW()))</f>
        <v/>
      </c>
      <c r="G1237" s="10">
        <f>IF(INDEX(Banco!$G:$G,ROW())="","",INDEX(Banco!$G:$G,ROW()))</f>
        <v/>
      </c>
      <c r="H1237" s="8">
        <f>IF(INDEX(Banco!$H:$H,ROW())="","",INDEX(Banco!$H:$H,ROW()))</f>
        <v/>
      </c>
      <c r="I1237">
        <f>IF($T1237="","",INT($T1237/12)&amp;"a "&amp;MOD($T1237,12)&amp;"m")</f>
        <v/>
      </c>
      <c r="J1237" s="11">
        <f>IF(OR($F1237="",$G1237=""),"",ROUND($F1237/($G1237/100)^2,2))</f>
        <v/>
      </c>
      <c r="K1237" s="12">
        <f>IF(OR($S1237="",$J1237="",$T1237="",$T1237&lt;0,$T1237&gt;228,$Y1237=""),"—",ROUND(IF(ABS($AB1237)&lt;=3,$AB1237,IF($AB1237&gt;3,3+($J1237-$AD1237)/($AD1237-$AC1237),-3+($J1237-$AF1237)/($AE1237-$AF1237))),2))</f>
        <v/>
      </c>
      <c r="L1237">
        <f>IF(OR($K1237="",$K1237="—"),"",IF($T1237&lt;=60,IF($K1237&lt;-3,"Magreza acentuada",IF($K1237&lt;-2,"Magreza",IF($K1237&lt;=1,"Eutrofia",IF($K1237&lt;=2,"Risco de sobrepeso",IF($K1237&lt;=3,"Sobrepeso","Obesidade"))))),IF($K1237&lt;-3,"Magreza acentuada",IF($K1237&lt;-2,"Magreza",IF($K1237&lt;=1,"Eutrofia",IF($K1237&lt;=2,"Sobrepeso",IF($K1237&lt;=3,"Obesidade","Obesidade grave")))))))</f>
        <v/>
      </c>
      <c r="M1237" s="12">
        <f>IF(OR($S1237="",$V1237="",$T1237="",$T1237&lt;0,$T1237&gt;228,$AG1237=""),"—",ROUND(IF($AG1237=0,LN($V1237/$AH1237)/$AI1237,((($V1237/$AH1237)^$AG1237)-1)/($AG1237*$AI1237)),2))</f>
        <v/>
      </c>
      <c r="N1237">
        <f>IF(OR($M1237="",$M1237="—"),"",IF($M1237&lt;-3,"Muito baixa",IF($M1237&lt;-2,"Baixa","Adequada")))</f>
        <v/>
      </c>
      <c r="O1237" s="12">
        <f>IF(OR($S1237="",$F1237="",$T1237="",$T1237&lt;0,$T1237&gt;120,$AJ1237=""),"—",ROUND(IF(ABS($AM1237)&lt;=3,$AM1237,IF($AM1237&gt;3,3+($F1237-$AO1237)/($AO1237-$AN1237),-3+($F1237-$AQ1237)/($AP1237-$AQ1237))),2))</f>
        <v/>
      </c>
      <c r="P1237">
        <f>IF(OR($O1237="",$O1237="—"),"",IF($O1237&lt;-3,"Muito baixo",IF($O1237&lt;-2,"Baixo",IF($O1237&lt;=2,"Adequado","Elevado"))))</f>
        <v/>
      </c>
      <c r="Q1237" s="12">
        <f>IF(OR($S1237="",$F1237="",$T1237="",$T1237&lt;0,$T1237&gt;60,$AR1237=""),"—",ROUND(IF(ABS($AU1237)&lt;=3,$AU1237,IF($AU1237&gt;3,3+($F1237-$AW1237)/($AW1237-$AV1237),-3+($F1237-$AY1237)/($AX1237-$AY1237))),2))</f>
        <v/>
      </c>
      <c r="R1237">
        <f>IF(OR($Q1237="",$Q1237="—"),"",IF($Q1237&lt;-3,"Magreza acentuada",IF($Q1237&lt;-2,"Magreza",IF($Q1237&lt;=1,"Eutrofia",IF($Q1237&lt;=2,"Risco de sobrepeso",IF($Q1237&lt;=3,"Sobrepeso","Obesidade"))))))</f>
        <v/>
      </c>
      <c r="S1237">
        <f>IF($C1237="","",IF(UPPER(LEFT($C1237,1))="M",1,IF(UPPER(LEFT($C1237,1))="F",2,"")))</f>
        <v/>
      </c>
      <c r="T1237">
        <f>IF(OR($D1237="",$E1237=""),"",DATEDIF($D1237,$E1237,"m"))</f>
        <v/>
      </c>
      <c r="U1237">
        <f>IF(OR($D1237="",$E1237=""),"",$E1237-$D1237)</f>
        <v/>
      </c>
      <c r="V1237">
        <f>IF(OR($G1237="",$T1237=""),"",IF($T1237&lt;24,IF(LEFT(LOWER($H1237),4)="em p",$G1237+0.7,$G1237),IF(LEFT(LOWER($H1237),4)="deit",$G1237-0.7,$G1237)))</f>
        <v/>
      </c>
      <c r="W1237">
        <f>IF(OR($S1237="",$T1237=""),"",$S1237*1000000+IF($T1237&lt;=60,$U1237,$T1237))</f>
        <v/>
      </c>
      <c r="X1237">
        <f>IF(OR($S1237="",$V1237="",$T1237&gt;60,$T1237=""),"",$S1237*1000000+ROUND($V1237*10,0))</f>
        <v/>
      </c>
      <c r="Y1237">
        <f>IF($W1237="","",IFERROR(INDEX(IF($T1237&lt;=60,imc05_l,imc519_l),MATCH($W1237,IF($T1237&lt;=60,imc05_k,imc519_k),1)),""))</f>
        <v/>
      </c>
      <c r="Z1237">
        <f>IF($W1237="","",IFERROR(INDEX(IF($T1237&lt;=60,imc05_m,imc519_m),MATCH($W1237,IF($T1237&lt;=60,imc05_k,imc519_k),1)),""))</f>
        <v/>
      </c>
      <c r="AA1237">
        <f>IF($W1237="","",IFERROR(INDEX(IF($T1237&lt;=60,imc05_s,imc519_s),MATCH($W1237,IF($T1237&lt;=60,imc05_k,imc519_k),1)),""))</f>
        <v/>
      </c>
      <c r="AB1237">
        <f>IF($Y1237="","",IF($Y1237=0,LN($J1237/$Z1237)/$AA1237,((($J1237/$Z1237)^$Y1237)-1)/($Y1237*$AA1237)))</f>
        <v/>
      </c>
      <c r="AC1237">
        <f>IF($Y1237="","",IF($Y1237=0,$Z1237*EXP($AA1237*2),$Z1237*(1+$Y1237*$AA1237*2)^(1/$Y1237)))</f>
        <v/>
      </c>
      <c r="AD1237">
        <f>IF($Y1237="","",IF($Y1237=0,$Z1237*EXP($AA1237*3),$Z1237*(1+$Y1237*$AA1237*3)^(1/$Y1237)))</f>
        <v/>
      </c>
      <c r="AE1237">
        <f>IF($Y1237="","",IF($Y1237=0,$Z1237*EXP($AA1237*-2),$Z1237*(1+$Y1237*$AA1237*-2)^(1/$Y1237)))</f>
        <v/>
      </c>
      <c r="AF1237">
        <f>IF($Y1237="","",IF($Y1237=0,$Z1237*EXP($AA1237*-3),$Z1237*(1+$Y1237*$AA1237*-3)^(1/$Y1237)))</f>
        <v/>
      </c>
      <c r="AG1237">
        <f>IF($W1237="","",IFERROR(INDEX(IF($T1237&lt;=60,est05_l,est519_l),MATCH($W1237,IF($T1237&lt;=60,est05_k,est519_k),1)),""))</f>
        <v/>
      </c>
      <c r="AH1237">
        <f>IF($W1237="","",IFERROR(INDEX(IF($T1237&lt;=60,est05_m,est519_m),MATCH($W1237,IF($T1237&lt;=60,est05_k,est519_k),1)),""))</f>
        <v/>
      </c>
      <c r="AI1237">
        <f>IF($W1237="","",IFERROR(INDEX(IF($T1237&lt;=60,est05_s,est519_s),MATCH($W1237,IF($T1237&lt;=60,est05_k,est519_k),1)),""))</f>
        <v/>
      </c>
      <c r="AJ1237">
        <f>IF($W1237="","",IFERROR(INDEX(IF($T1237&lt;=60,peso05_l,peso510_l),MATCH($W1237,IF($T1237&lt;=60,peso05_k,peso510_k),1)),""))</f>
        <v/>
      </c>
      <c r="AK1237">
        <f>IF($W1237="","",IFERROR(INDEX(IF($T1237&lt;=60,peso05_m,peso510_m),MATCH($W1237,IF($T1237&lt;=60,peso05_k,peso510_k),1)),""))</f>
        <v/>
      </c>
      <c r="AL1237">
        <f>IF($W1237="","",IFERROR(INDEX(IF($T1237&lt;=60,peso05_s,peso510_s),MATCH($W1237,IF($T1237&lt;=60,peso05_k,peso510_k),1)),""))</f>
        <v/>
      </c>
      <c r="AM1237">
        <f>IF($AJ1237="","",IF($AJ1237=0,LN($F1237/$AK1237)/$AL1237,((($F1237/$AK1237)^$AJ1237)-1)/($AJ1237*$AL1237)))</f>
        <v/>
      </c>
      <c r="AN1237">
        <f>IF($AJ1237="","",IF($AJ1237=0,$AK1237*EXP($AL1237*2),$AK1237*(1+$AJ1237*$AL1237*2)^(1/$AJ1237)))</f>
        <v/>
      </c>
      <c r="AO1237">
        <f>IF($AJ1237="","",IF($AJ1237=0,$AK1237*EXP($AL1237*3),$AK1237*(1+$AJ1237*$AL1237*3)^(1/$AJ1237)))</f>
        <v/>
      </c>
      <c r="AP1237">
        <f>IF($AJ1237="","",IF($AJ1237=0,$AK1237*EXP($AL1237*-2),$AK1237*(1+$AJ1237*$AL1237*-2)^(1/$AJ1237)))</f>
        <v/>
      </c>
      <c r="AQ1237">
        <f>IF($AJ1237="","",IF($AJ1237=0,$AK1237*EXP($AL1237*-3),$AK1237*(1+$AJ1237*$AL1237*-3)^(1/$AJ1237)))</f>
        <v/>
      </c>
      <c r="AR1237">
        <f>IF(OR($X1237="",$T1237&gt;60),"",IFERROR(INDEX(IF($T1237&lt;24,pcomp_l,palt_l),MATCH($X1237,IF($T1237&lt;24,pcomp_k,palt_k),1)),""))</f>
        <v/>
      </c>
      <c r="AS1237">
        <f>IF(OR($X1237="",$T1237&gt;60),"",IFERROR(INDEX(IF($T1237&lt;24,pcomp_m,palt_m),MATCH($X1237,IF($T1237&lt;24,pcomp_k,palt_k),1)),""))</f>
        <v/>
      </c>
      <c r="AT1237">
        <f>IF(OR($X1237="",$T1237&gt;60),"",IFERROR(INDEX(IF($T1237&lt;24,pcomp_s,palt_s),MATCH($X1237,IF($T1237&lt;24,pcomp_k,palt_k),1)),""))</f>
        <v/>
      </c>
      <c r="AU1237">
        <f>IF($AR1237="","",IF($AR1237=0,LN($F1237/$AS1237)/$AT1237,((($F1237/$AS1237)^$AR1237)-1)/($AR1237*$AT1237)))</f>
        <v/>
      </c>
      <c r="AV1237">
        <f>IF($AR1237="","",IF($AR1237=0,$AS1237*EXP($AT1237*2),$AS1237*(1+$AR1237*$AT1237*2)^(1/$AR1237)))</f>
        <v/>
      </c>
      <c r="AW1237">
        <f>IF($AR1237="","",IF($AR1237=0,$AS1237*EXP($AT1237*3),$AS1237*(1+$AR1237*$AT1237*3)^(1/$AR1237)))</f>
        <v/>
      </c>
      <c r="AX1237">
        <f>IF($AR1237="","",IF($AR1237=0,$AS1237*EXP($AT1237*-2),$AS1237*(1+$AR1237*$AT1237*-2)^(1/$AR1237)))</f>
        <v/>
      </c>
      <c r="AY1237">
        <f>IF($AR1237="","",IF($AR1237=0,$AS1237*EXP($AT1237*-3),$AS1237*(1+$AR1237*$AT1237*-3)^(1/$AR1237)))</f>
        <v/>
      </c>
      <c r="AZ1237">
        <f>IF(OR($A1237="",$A1237&lt;&gt;Ficha!$C$4),"",COUNTIF($A$2:$A1237,Ficha!$C$4))</f>
        <v/>
      </c>
    </row>
    <row r="1238">
      <c r="A1238" s="8">
        <f>IF(INDEX(Banco!$A:$A,ROW())="","",INDEX(Banco!$A:$A,ROW()))</f>
        <v/>
      </c>
      <c r="B1238" s="8">
        <f>IF(INDEX(Banco!$B:$B,ROW())="","",INDEX(Banco!$B:$B,ROW()))</f>
        <v/>
      </c>
      <c r="C1238" s="8">
        <f>IF(INDEX(Banco!$C:$C,ROW())="","",INDEX(Banco!$C:$C,ROW()))</f>
        <v/>
      </c>
      <c r="D1238" s="9">
        <f>IF(INDEX(Banco!$D:$D,ROW())="","",INDEX(Banco!$D:$D,ROW()))</f>
        <v/>
      </c>
      <c r="E1238" s="9">
        <f>IF(INDEX(Banco!$E:$E,ROW())="","",INDEX(Banco!$E:$E,ROW()))</f>
        <v/>
      </c>
      <c r="F1238" s="10">
        <f>IF(INDEX(Banco!$F:$F,ROW())="","",INDEX(Banco!$F:$F,ROW()))</f>
        <v/>
      </c>
      <c r="G1238" s="10">
        <f>IF(INDEX(Banco!$G:$G,ROW())="","",INDEX(Banco!$G:$G,ROW()))</f>
        <v/>
      </c>
      <c r="H1238" s="8">
        <f>IF(INDEX(Banco!$H:$H,ROW())="","",INDEX(Banco!$H:$H,ROW()))</f>
        <v/>
      </c>
      <c r="I1238">
        <f>IF($T1238="","",INT($T1238/12)&amp;"a "&amp;MOD($T1238,12)&amp;"m")</f>
        <v/>
      </c>
      <c r="J1238" s="11">
        <f>IF(OR($F1238="",$G1238=""),"",ROUND($F1238/($G1238/100)^2,2))</f>
        <v/>
      </c>
      <c r="K1238" s="12">
        <f>IF(OR($S1238="",$J1238="",$T1238="",$T1238&lt;0,$T1238&gt;228,$Y1238=""),"—",ROUND(IF(ABS($AB1238)&lt;=3,$AB1238,IF($AB1238&gt;3,3+($J1238-$AD1238)/($AD1238-$AC1238),-3+($J1238-$AF1238)/($AE1238-$AF1238))),2))</f>
        <v/>
      </c>
      <c r="L1238">
        <f>IF(OR($K1238="",$K1238="—"),"",IF($T1238&lt;=60,IF($K1238&lt;-3,"Magreza acentuada",IF($K1238&lt;-2,"Magreza",IF($K1238&lt;=1,"Eutrofia",IF($K1238&lt;=2,"Risco de sobrepeso",IF($K1238&lt;=3,"Sobrepeso","Obesidade"))))),IF($K1238&lt;-3,"Magreza acentuada",IF($K1238&lt;-2,"Magreza",IF($K1238&lt;=1,"Eutrofia",IF($K1238&lt;=2,"Sobrepeso",IF($K1238&lt;=3,"Obesidade","Obesidade grave")))))))</f>
        <v/>
      </c>
      <c r="M1238" s="12">
        <f>IF(OR($S1238="",$V1238="",$T1238="",$T1238&lt;0,$T1238&gt;228,$AG1238=""),"—",ROUND(IF($AG1238=0,LN($V1238/$AH1238)/$AI1238,((($V1238/$AH1238)^$AG1238)-1)/($AG1238*$AI1238)),2))</f>
        <v/>
      </c>
      <c r="N1238">
        <f>IF(OR($M1238="",$M1238="—"),"",IF($M1238&lt;-3,"Muito baixa",IF($M1238&lt;-2,"Baixa","Adequada")))</f>
        <v/>
      </c>
      <c r="O1238" s="12">
        <f>IF(OR($S1238="",$F1238="",$T1238="",$T1238&lt;0,$T1238&gt;120,$AJ1238=""),"—",ROUND(IF(ABS($AM1238)&lt;=3,$AM1238,IF($AM1238&gt;3,3+($F1238-$AO1238)/($AO1238-$AN1238),-3+($F1238-$AQ1238)/($AP1238-$AQ1238))),2))</f>
        <v/>
      </c>
      <c r="P1238">
        <f>IF(OR($O1238="",$O1238="—"),"",IF($O1238&lt;-3,"Muito baixo",IF($O1238&lt;-2,"Baixo",IF($O1238&lt;=2,"Adequado","Elevado"))))</f>
        <v/>
      </c>
      <c r="Q1238" s="12">
        <f>IF(OR($S1238="",$F1238="",$T1238="",$T1238&lt;0,$T1238&gt;60,$AR1238=""),"—",ROUND(IF(ABS($AU1238)&lt;=3,$AU1238,IF($AU1238&gt;3,3+($F1238-$AW1238)/($AW1238-$AV1238),-3+($F1238-$AY1238)/($AX1238-$AY1238))),2))</f>
        <v/>
      </c>
      <c r="R1238">
        <f>IF(OR($Q1238="",$Q1238="—"),"",IF($Q1238&lt;-3,"Magreza acentuada",IF($Q1238&lt;-2,"Magreza",IF($Q1238&lt;=1,"Eutrofia",IF($Q1238&lt;=2,"Risco de sobrepeso",IF($Q1238&lt;=3,"Sobrepeso","Obesidade"))))))</f>
        <v/>
      </c>
      <c r="S1238">
        <f>IF($C1238="","",IF(UPPER(LEFT($C1238,1))="M",1,IF(UPPER(LEFT($C1238,1))="F",2,"")))</f>
        <v/>
      </c>
      <c r="T1238">
        <f>IF(OR($D1238="",$E1238=""),"",DATEDIF($D1238,$E1238,"m"))</f>
        <v/>
      </c>
      <c r="U1238">
        <f>IF(OR($D1238="",$E1238=""),"",$E1238-$D1238)</f>
        <v/>
      </c>
      <c r="V1238">
        <f>IF(OR($G1238="",$T1238=""),"",IF($T1238&lt;24,IF(LEFT(LOWER($H1238),4)="em p",$G1238+0.7,$G1238),IF(LEFT(LOWER($H1238),4)="deit",$G1238-0.7,$G1238)))</f>
        <v/>
      </c>
      <c r="W1238">
        <f>IF(OR($S1238="",$T1238=""),"",$S1238*1000000+IF($T1238&lt;=60,$U1238,$T1238))</f>
        <v/>
      </c>
      <c r="X1238">
        <f>IF(OR($S1238="",$V1238="",$T1238&gt;60,$T1238=""),"",$S1238*1000000+ROUND($V1238*10,0))</f>
        <v/>
      </c>
      <c r="Y1238">
        <f>IF($W1238="","",IFERROR(INDEX(IF($T1238&lt;=60,imc05_l,imc519_l),MATCH($W1238,IF($T1238&lt;=60,imc05_k,imc519_k),1)),""))</f>
        <v/>
      </c>
      <c r="Z1238">
        <f>IF($W1238="","",IFERROR(INDEX(IF($T1238&lt;=60,imc05_m,imc519_m),MATCH($W1238,IF($T1238&lt;=60,imc05_k,imc519_k),1)),""))</f>
        <v/>
      </c>
      <c r="AA1238">
        <f>IF($W1238="","",IFERROR(INDEX(IF($T1238&lt;=60,imc05_s,imc519_s),MATCH($W1238,IF($T1238&lt;=60,imc05_k,imc519_k),1)),""))</f>
        <v/>
      </c>
      <c r="AB1238">
        <f>IF($Y1238="","",IF($Y1238=0,LN($J1238/$Z1238)/$AA1238,((($J1238/$Z1238)^$Y1238)-1)/($Y1238*$AA1238)))</f>
        <v/>
      </c>
      <c r="AC1238">
        <f>IF($Y1238="","",IF($Y1238=0,$Z1238*EXP($AA1238*2),$Z1238*(1+$Y1238*$AA1238*2)^(1/$Y1238)))</f>
        <v/>
      </c>
      <c r="AD1238">
        <f>IF($Y1238="","",IF($Y1238=0,$Z1238*EXP($AA1238*3),$Z1238*(1+$Y1238*$AA1238*3)^(1/$Y1238)))</f>
        <v/>
      </c>
      <c r="AE1238">
        <f>IF($Y1238="","",IF($Y1238=0,$Z1238*EXP($AA1238*-2),$Z1238*(1+$Y1238*$AA1238*-2)^(1/$Y1238)))</f>
        <v/>
      </c>
      <c r="AF1238">
        <f>IF($Y1238="","",IF($Y1238=0,$Z1238*EXP($AA1238*-3),$Z1238*(1+$Y1238*$AA1238*-3)^(1/$Y1238)))</f>
        <v/>
      </c>
      <c r="AG1238">
        <f>IF($W1238="","",IFERROR(INDEX(IF($T1238&lt;=60,est05_l,est519_l),MATCH($W1238,IF($T1238&lt;=60,est05_k,est519_k),1)),""))</f>
        <v/>
      </c>
      <c r="AH1238">
        <f>IF($W1238="","",IFERROR(INDEX(IF($T1238&lt;=60,est05_m,est519_m),MATCH($W1238,IF($T1238&lt;=60,est05_k,est519_k),1)),""))</f>
        <v/>
      </c>
      <c r="AI1238">
        <f>IF($W1238="","",IFERROR(INDEX(IF($T1238&lt;=60,est05_s,est519_s),MATCH($W1238,IF($T1238&lt;=60,est05_k,est519_k),1)),""))</f>
        <v/>
      </c>
      <c r="AJ1238">
        <f>IF($W1238="","",IFERROR(INDEX(IF($T1238&lt;=60,peso05_l,peso510_l),MATCH($W1238,IF($T1238&lt;=60,peso05_k,peso510_k),1)),""))</f>
        <v/>
      </c>
      <c r="AK1238">
        <f>IF($W1238="","",IFERROR(INDEX(IF($T1238&lt;=60,peso05_m,peso510_m),MATCH($W1238,IF($T1238&lt;=60,peso05_k,peso510_k),1)),""))</f>
        <v/>
      </c>
      <c r="AL1238">
        <f>IF($W1238="","",IFERROR(INDEX(IF($T1238&lt;=60,peso05_s,peso510_s),MATCH($W1238,IF($T1238&lt;=60,peso05_k,peso510_k),1)),""))</f>
        <v/>
      </c>
      <c r="AM1238">
        <f>IF($AJ1238="","",IF($AJ1238=0,LN($F1238/$AK1238)/$AL1238,((($F1238/$AK1238)^$AJ1238)-1)/($AJ1238*$AL1238)))</f>
        <v/>
      </c>
      <c r="AN1238">
        <f>IF($AJ1238="","",IF($AJ1238=0,$AK1238*EXP($AL1238*2),$AK1238*(1+$AJ1238*$AL1238*2)^(1/$AJ1238)))</f>
        <v/>
      </c>
      <c r="AO1238">
        <f>IF($AJ1238="","",IF($AJ1238=0,$AK1238*EXP($AL1238*3),$AK1238*(1+$AJ1238*$AL1238*3)^(1/$AJ1238)))</f>
        <v/>
      </c>
      <c r="AP1238">
        <f>IF($AJ1238="","",IF($AJ1238=0,$AK1238*EXP($AL1238*-2),$AK1238*(1+$AJ1238*$AL1238*-2)^(1/$AJ1238)))</f>
        <v/>
      </c>
      <c r="AQ1238">
        <f>IF($AJ1238="","",IF($AJ1238=0,$AK1238*EXP($AL1238*-3),$AK1238*(1+$AJ1238*$AL1238*-3)^(1/$AJ1238)))</f>
        <v/>
      </c>
      <c r="AR1238">
        <f>IF(OR($X1238="",$T1238&gt;60),"",IFERROR(INDEX(IF($T1238&lt;24,pcomp_l,palt_l),MATCH($X1238,IF($T1238&lt;24,pcomp_k,palt_k),1)),""))</f>
        <v/>
      </c>
      <c r="AS1238">
        <f>IF(OR($X1238="",$T1238&gt;60),"",IFERROR(INDEX(IF($T1238&lt;24,pcomp_m,palt_m),MATCH($X1238,IF($T1238&lt;24,pcomp_k,palt_k),1)),""))</f>
        <v/>
      </c>
      <c r="AT1238">
        <f>IF(OR($X1238="",$T1238&gt;60),"",IFERROR(INDEX(IF($T1238&lt;24,pcomp_s,palt_s),MATCH($X1238,IF($T1238&lt;24,pcomp_k,palt_k),1)),""))</f>
        <v/>
      </c>
      <c r="AU1238">
        <f>IF($AR1238="","",IF($AR1238=0,LN($F1238/$AS1238)/$AT1238,((($F1238/$AS1238)^$AR1238)-1)/($AR1238*$AT1238)))</f>
        <v/>
      </c>
      <c r="AV1238">
        <f>IF($AR1238="","",IF($AR1238=0,$AS1238*EXP($AT1238*2),$AS1238*(1+$AR1238*$AT1238*2)^(1/$AR1238)))</f>
        <v/>
      </c>
      <c r="AW1238">
        <f>IF($AR1238="","",IF($AR1238=0,$AS1238*EXP($AT1238*3),$AS1238*(1+$AR1238*$AT1238*3)^(1/$AR1238)))</f>
        <v/>
      </c>
      <c r="AX1238">
        <f>IF($AR1238="","",IF($AR1238=0,$AS1238*EXP($AT1238*-2),$AS1238*(1+$AR1238*$AT1238*-2)^(1/$AR1238)))</f>
        <v/>
      </c>
      <c r="AY1238">
        <f>IF($AR1238="","",IF($AR1238=0,$AS1238*EXP($AT1238*-3),$AS1238*(1+$AR1238*$AT1238*-3)^(1/$AR1238)))</f>
        <v/>
      </c>
      <c r="AZ1238">
        <f>IF(OR($A1238="",$A1238&lt;&gt;Ficha!$C$4),"",COUNTIF($A$2:$A1238,Ficha!$C$4))</f>
        <v/>
      </c>
    </row>
    <row r="1239">
      <c r="A1239" s="8">
        <f>IF(INDEX(Banco!$A:$A,ROW())="","",INDEX(Banco!$A:$A,ROW()))</f>
        <v/>
      </c>
      <c r="B1239" s="8">
        <f>IF(INDEX(Banco!$B:$B,ROW())="","",INDEX(Banco!$B:$B,ROW()))</f>
        <v/>
      </c>
      <c r="C1239" s="8">
        <f>IF(INDEX(Banco!$C:$C,ROW())="","",INDEX(Banco!$C:$C,ROW()))</f>
        <v/>
      </c>
      <c r="D1239" s="9">
        <f>IF(INDEX(Banco!$D:$D,ROW())="","",INDEX(Banco!$D:$D,ROW()))</f>
        <v/>
      </c>
      <c r="E1239" s="9">
        <f>IF(INDEX(Banco!$E:$E,ROW())="","",INDEX(Banco!$E:$E,ROW()))</f>
        <v/>
      </c>
      <c r="F1239" s="10">
        <f>IF(INDEX(Banco!$F:$F,ROW())="","",INDEX(Banco!$F:$F,ROW()))</f>
        <v/>
      </c>
      <c r="G1239" s="10">
        <f>IF(INDEX(Banco!$G:$G,ROW())="","",INDEX(Banco!$G:$G,ROW()))</f>
        <v/>
      </c>
      <c r="H1239" s="8">
        <f>IF(INDEX(Banco!$H:$H,ROW())="","",INDEX(Banco!$H:$H,ROW()))</f>
        <v/>
      </c>
      <c r="I1239">
        <f>IF($T1239="","",INT($T1239/12)&amp;"a "&amp;MOD($T1239,12)&amp;"m")</f>
        <v/>
      </c>
      <c r="J1239" s="11">
        <f>IF(OR($F1239="",$G1239=""),"",ROUND($F1239/($G1239/100)^2,2))</f>
        <v/>
      </c>
      <c r="K1239" s="12">
        <f>IF(OR($S1239="",$J1239="",$T1239="",$T1239&lt;0,$T1239&gt;228,$Y1239=""),"—",ROUND(IF(ABS($AB1239)&lt;=3,$AB1239,IF($AB1239&gt;3,3+($J1239-$AD1239)/($AD1239-$AC1239),-3+($J1239-$AF1239)/($AE1239-$AF1239))),2))</f>
        <v/>
      </c>
      <c r="L1239">
        <f>IF(OR($K1239="",$K1239="—"),"",IF($T1239&lt;=60,IF($K1239&lt;-3,"Magreza acentuada",IF($K1239&lt;-2,"Magreza",IF($K1239&lt;=1,"Eutrofia",IF($K1239&lt;=2,"Risco de sobrepeso",IF($K1239&lt;=3,"Sobrepeso","Obesidade"))))),IF($K1239&lt;-3,"Magreza acentuada",IF($K1239&lt;-2,"Magreza",IF($K1239&lt;=1,"Eutrofia",IF($K1239&lt;=2,"Sobrepeso",IF($K1239&lt;=3,"Obesidade","Obesidade grave")))))))</f>
        <v/>
      </c>
      <c r="M1239" s="12">
        <f>IF(OR($S1239="",$V1239="",$T1239="",$T1239&lt;0,$T1239&gt;228,$AG1239=""),"—",ROUND(IF($AG1239=0,LN($V1239/$AH1239)/$AI1239,((($V1239/$AH1239)^$AG1239)-1)/($AG1239*$AI1239)),2))</f>
        <v/>
      </c>
      <c r="N1239">
        <f>IF(OR($M1239="",$M1239="—"),"",IF($M1239&lt;-3,"Muito baixa",IF($M1239&lt;-2,"Baixa","Adequada")))</f>
        <v/>
      </c>
      <c r="O1239" s="12">
        <f>IF(OR($S1239="",$F1239="",$T1239="",$T1239&lt;0,$T1239&gt;120,$AJ1239=""),"—",ROUND(IF(ABS($AM1239)&lt;=3,$AM1239,IF($AM1239&gt;3,3+($F1239-$AO1239)/($AO1239-$AN1239),-3+($F1239-$AQ1239)/($AP1239-$AQ1239))),2))</f>
        <v/>
      </c>
      <c r="P1239">
        <f>IF(OR($O1239="",$O1239="—"),"",IF($O1239&lt;-3,"Muito baixo",IF($O1239&lt;-2,"Baixo",IF($O1239&lt;=2,"Adequado","Elevado"))))</f>
        <v/>
      </c>
      <c r="Q1239" s="12">
        <f>IF(OR($S1239="",$F1239="",$T1239="",$T1239&lt;0,$T1239&gt;60,$AR1239=""),"—",ROUND(IF(ABS($AU1239)&lt;=3,$AU1239,IF($AU1239&gt;3,3+($F1239-$AW1239)/($AW1239-$AV1239),-3+($F1239-$AY1239)/($AX1239-$AY1239))),2))</f>
        <v/>
      </c>
      <c r="R1239">
        <f>IF(OR($Q1239="",$Q1239="—"),"",IF($Q1239&lt;-3,"Magreza acentuada",IF($Q1239&lt;-2,"Magreza",IF($Q1239&lt;=1,"Eutrofia",IF($Q1239&lt;=2,"Risco de sobrepeso",IF($Q1239&lt;=3,"Sobrepeso","Obesidade"))))))</f>
        <v/>
      </c>
      <c r="S1239">
        <f>IF($C1239="","",IF(UPPER(LEFT($C1239,1))="M",1,IF(UPPER(LEFT($C1239,1))="F",2,"")))</f>
        <v/>
      </c>
      <c r="T1239">
        <f>IF(OR($D1239="",$E1239=""),"",DATEDIF($D1239,$E1239,"m"))</f>
        <v/>
      </c>
      <c r="U1239">
        <f>IF(OR($D1239="",$E1239=""),"",$E1239-$D1239)</f>
        <v/>
      </c>
      <c r="V1239">
        <f>IF(OR($G1239="",$T1239=""),"",IF($T1239&lt;24,IF(LEFT(LOWER($H1239),4)="em p",$G1239+0.7,$G1239),IF(LEFT(LOWER($H1239),4)="deit",$G1239-0.7,$G1239)))</f>
        <v/>
      </c>
      <c r="W1239">
        <f>IF(OR($S1239="",$T1239=""),"",$S1239*1000000+IF($T1239&lt;=60,$U1239,$T1239))</f>
        <v/>
      </c>
      <c r="X1239">
        <f>IF(OR($S1239="",$V1239="",$T1239&gt;60,$T1239=""),"",$S1239*1000000+ROUND($V1239*10,0))</f>
        <v/>
      </c>
      <c r="Y1239">
        <f>IF($W1239="","",IFERROR(INDEX(IF($T1239&lt;=60,imc05_l,imc519_l),MATCH($W1239,IF($T1239&lt;=60,imc05_k,imc519_k),1)),""))</f>
        <v/>
      </c>
      <c r="Z1239">
        <f>IF($W1239="","",IFERROR(INDEX(IF($T1239&lt;=60,imc05_m,imc519_m),MATCH($W1239,IF($T1239&lt;=60,imc05_k,imc519_k),1)),""))</f>
        <v/>
      </c>
      <c r="AA1239">
        <f>IF($W1239="","",IFERROR(INDEX(IF($T1239&lt;=60,imc05_s,imc519_s),MATCH($W1239,IF($T1239&lt;=60,imc05_k,imc519_k),1)),""))</f>
        <v/>
      </c>
      <c r="AB1239">
        <f>IF($Y1239="","",IF($Y1239=0,LN($J1239/$Z1239)/$AA1239,((($J1239/$Z1239)^$Y1239)-1)/($Y1239*$AA1239)))</f>
        <v/>
      </c>
      <c r="AC1239">
        <f>IF($Y1239="","",IF($Y1239=0,$Z1239*EXP($AA1239*2),$Z1239*(1+$Y1239*$AA1239*2)^(1/$Y1239)))</f>
        <v/>
      </c>
      <c r="AD1239">
        <f>IF($Y1239="","",IF($Y1239=0,$Z1239*EXP($AA1239*3),$Z1239*(1+$Y1239*$AA1239*3)^(1/$Y1239)))</f>
        <v/>
      </c>
      <c r="AE1239">
        <f>IF($Y1239="","",IF($Y1239=0,$Z1239*EXP($AA1239*-2),$Z1239*(1+$Y1239*$AA1239*-2)^(1/$Y1239)))</f>
        <v/>
      </c>
      <c r="AF1239">
        <f>IF($Y1239="","",IF($Y1239=0,$Z1239*EXP($AA1239*-3),$Z1239*(1+$Y1239*$AA1239*-3)^(1/$Y1239)))</f>
        <v/>
      </c>
      <c r="AG1239">
        <f>IF($W1239="","",IFERROR(INDEX(IF($T1239&lt;=60,est05_l,est519_l),MATCH($W1239,IF($T1239&lt;=60,est05_k,est519_k),1)),""))</f>
        <v/>
      </c>
      <c r="AH1239">
        <f>IF($W1239="","",IFERROR(INDEX(IF($T1239&lt;=60,est05_m,est519_m),MATCH($W1239,IF($T1239&lt;=60,est05_k,est519_k),1)),""))</f>
        <v/>
      </c>
      <c r="AI1239">
        <f>IF($W1239="","",IFERROR(INDEX(IF($T1239&lt;=60,est05_s,est519_s),MATCH($W1239,IF($T1239&lt;=60,est05_k,est519_k),1)),""))</f>
        <v/>
      </c>
      <c r="AJ1239">
        <f>IF($W1239="","",IFERROR(INDEX(IF($T1239&lt;=60,peso05_l,peso510_l),MATCH($W1239,IF($T1239&lt;=60,peso05_k,peso510_k),1)),""))</f>
        <v/>
      </c>
      <c r="AK1239">
        <f>IF($W1239="","",IFERROR(INDEX(IF($T1239&lt;=60,peso05_m,peso510_m),MATCH($W1239,IF($T1239&lt;=60,peso05_k,peso510_k),1)),""))</f>
        <v/>
      </c>
      <c r="AL1239">
        <f>IF($W1239="","",IFERROR(INDEX(IF($T1239&lt;=60,peso05_s,peso510_s),MATCH($W1239,IF($T1239&lt;=60,peso05_k,peso510_k),1)),""))</f>
        <v/>
      </c>
      <c r="AM1239">
        <f>IF($AJ1239="","",IF($AJ1239=0,LN($F1239/$AK1239)/$AL1239,((($F1239/$AK1239)^$AJ1239)-1)/($AJ1239*$AL1239)))</f>
        <v/>
      </c>
      <c r="AN1239">
        <f>IF($AJ1239="","",IF($AJ1239=0,$AK1239*EXP($AL1239*2),$AK1239*(1+$AJ1239*$AL1239*2)^(1/$AJ1239)))</f>
        <v/>
      </c>
      <c r="AO1239">
        <f>IF($AJ1239="","",IF($AJ1239=0,$AK1239*EXP($AL1239*3),$AK1239*(1+$AJ1239*$AL1239*3)^(1/$AJ1239)))</f>
        <v/>
      </c>
      <c r="AP1239">
        <f>IF($AJ1239="","",IF($AJ1239=0,$AK1239*EXP($AL1239*-2),$AK1239*(1+$AJ1239*$AL1239*-2)^(1/$AJ1239)))</f>
        <v/>
      </c>
      <c r="AQ1239">
        <f>IF($AJ1239="","",IF($AJ1239=0,$AK1239*EXP($AL1239*-3),$AK1239*(1+$AJ1239*$AL1239*-3)^(1/$AJ1239)))</f>
        <v/>
      </c>
      <c r="AR1239">
        <f>IF(OR($X1239="",$T1239&gt;60),"",IFERROR(INDEX(IF($T1239&lt;24,pcomp_l,palt_l),MATCH($X1239,IF($T1239&lt;24,pcomp_k,palt_k),1)),""))</f>
        <v/>
      </c>
      <c r="AS1239">
        <f>IF(OR($X1239="",$T1239&gt;60),"",IFERROR(INDEX(IF($T1239&lt;24,pcomp_m,palt_m),MATCH($X1239,IF($T1239&lt;24,pcomp_k,palt_k),1)),""))</f>
        <v/>
      </c>
      <c r="AT1239">
        <f>IF(OR($X1239="",$T1239&gt;60),"",IFERROR(INDEX(IF($T1239&lt;24,pcomp_s,palt_s),MATCH($X1239,IF($T1239&lt;24,pcomp_k,palt_k),1)),""))</f>
        <v/>
      </c>
      <c r="AU1239">
        <f>IF($AR1239="","",IF($AR1239=0,LN($F1239/$AS1239)/$AT1239,((($F1239/$AS1239)^$AR1239)-1)/($AR1239*$AT1239)))</f>
        <v/>
      </c>
      <c r="AV1239">
        <f>IF($AR1239="","",IF($AR1239=0,$AS1239*EXP($AT1239*2),$AS1239*(1+$AR1239*$AT1239*2)^(1/$AR1239)))</f>
        <v/>
      </c>
      <c r="AW1239">
        <f>IF($AR1239="","",IF($AR1239=0,$AS1239*EXP($AT1239*3),$AS1239*(1+$AR1239*$AT1239*3)^(1/$AR1239)))</f>
        <v/>
      </c>
      <c r="AX1239">
        <f>IF($AR1239="","",IF($AR1239=0,$AS1239*EXP($AT1239*-2),$AS1239*(1+$AR1239*$AT1239*-2)^(1/$AR1239)))</f>
        <v/>
      </c>
      <c r="AY1239">
        <f>IF($AR1239="","",IF($AR1239=0,$AS1239*EXP($AT1239*-3),$AS1239*(1+$AR1239*$AT1239*-3)^(1/$AR1239)))</f>
        <v/>
      </c>
      <c r="AZ1239">
        <f>IF(OR($A1239="",$A1239&lt;&gt;Ficha!$C$4),"",COUNTIF($A$2:$A1239,Ficha!$C$4))</f>
        <v/>
      </c>
    </row>
    <row r="1240">
      <c r="A1240" s="8">
        <f>IF(INDEX(Banco!$A:$A,ROW())="","",INDEX(Banco!$A:$A,ROW()))</f>
        <v/>
      </c>
      <c r="B1240" s="8">
        <f>IF(INDEX(Banco!$B:$B,ROW())="","",INDEX(Banco!$B:$B,ROW()))</f>
        <v/>
      </c>
      <c r="C1240" s="8">
        <f>IF(INDEX(Banco!$C:$C,ROW())="","",INDEX(Banco!$C:$C,ROW()))</f>
        <v/>
      </c>
      <c r="D1240" s="9">
        <f>IF(INDEX(Banco!$D:$D,ROW())="","",INDEX(Banco!$D:$D,ROW()))</f>
        <v/>
      </c>
      <c r="E1240" s="9">
        <f>IF(INDEX(Banco!$E:$E,ROW())="","",INDEX(Banco!$E:$E,ROW()))</f>
        <v/>
      </c>
      <c r="F1240" s="10">
        <f>IF(INDEX(Banco!$F:$F,ROW())="","",INDEX(Banco!$F:$F,ROW()))</f>
        <v/>
      </c>
      <c r="G1240" s="10">
        <f>IF(INDEX(Banco!$G:$G,ROW())="","",INDEX(Banco!$G:$G,ROW()))</f>
        <v/>
      </c>
      <c r="H1240" s="8">
        <f>IF(INDEX(Banco!$H:$H,ROW())="","",INDEX(Banco!$H:$H,ROW()))</f>
        <v/>
      </c>
      <c r="I1240">
        <f>IF($T1240="","",INT($T1240/12)&amp;"a "&amp;MOD($T1240,12)&amp;"m")</f>
        <v/>
      </c>
      <c r="J1240" s="11">
        <f>IF(OR($F1240="",$G1240=""),"",ROUND($F1240/($G1240/100)^2,2))</f>
        <v/>
      </c>
      <c r="K1240" s="12">
        <f>IF(OR($S1240="",$J1240="",$T1240="",$T1240&lt;0,$T1240&gt;228,$Y1240=""),"—",ROUND(IF(ABS($AB1240)&lt;=3,$AB1240,IF($AB1240&gt;3,3+($J1240-$AD1240)/($AD1240-$AC1240),-3+($J1240-$AF1240)/($AE1240-$AF1240))),2))</f>
        <v/>
      </c>
      <c r="L1240">
        <f>IF(OR($K1240="",$K1240="—"),"",IF($T1240&lt;=60,IF($K1240&lt;-3,"Magreza acentuada",IF($K1240&lt;-2,"Magreza",IF($K1240&lt;=1,"Eutrofia",IF($K1240&lt;=2,"Risco de sobrepeso",IF($K1240&lt;=3,"Sobrepeso","Obesidade"))))),IF($K1240&lt;-3,"Magreza acentuada",IF($K1240&lt;-2,"Magreza",IF($K1240&lt;=1,"Eutrofia",IF($K1240&lt;=2,"Sobrepeso",IF($K1240&lt;=3,"Obesidade","Obesidade grave")))))))</f>
        <v/>
      </c>
      <c r="M1240" s="12">
        <f>IF(OR($S1240="",$V1240="",$T1240="",$T1240&lt;0,$T1240&gt;228,$AG1240=""),"—",ROUND(IF($AG1240=0,LN($V1240/$AH1240)/$AI1240,((($V1240/$AH1240)^$AG1240)-1)/($AG1240*$AI1240)),2))</f>
        <v/>
      </c>
      <c r="N1240">
        <f>IF(OR($M1240="",$M1240="—"),"",IF($M1240&lt;-3,"Muito baixa",IF($M1240&lt;-2,"Baixa","Adequada")))</f>
        <v/>
      </c>
      <c r="O1240" s="12">
        <f>IF(OR($S1240="",$F1240="",$T1240="",$T1240&lt;0,$T1240&gt;120,$AJ1240=""),"—",ROUND(IF(ABS($AM1240)&lt;=3,$AM1240,IF($AM1240&gt;3,3+($F1240-$AO1240)/($AO1240-$AN1240),-3+($F1240-$AQ1240)/($AP1240-$AQ1240))),2))</f>
        <v/>
      </c>
      <c r="P1240">
        <f>IF(OR($O1240="",$O1240="—"),"",IF($O1240&lt;-3,"Muito baixo",IF($O1240&lt;-2,"Baixo",IF($O1240&lt;=2,"Adequado","Elevado"))))</f>
        <v/>
      </c>
      <c r="Q1240" s="12">
        <f>IF(OR($S1240="",$F1240="",$T1240="",$T1240&lt;0,$T1240&gt;60,$AR1240=""),"—",ROUND(IF(ABS($AU1240)&lt;=3,$AU1240,IF($AU1240&gt;3,3+($F1240-$AW1240)/($AW1240-$AV1240),-3+($F1240-$AY1240)/($AX1240-$AY1240))),2))</f>
        <v/>
      </c>
      <c r="R1240">
        <f>IF(OR($Q1240="",$Q1240="—"),"",IF($Q1240&lt;-3,"Magreza acentuada",IF($Q1240&lt;-2,"Magreza",IF($Q1240&lt;=1,"Eutrofia",IF($Q1240&lt;=2,"Risco de sobrepeso",IF($Q1240&lt;=3,"Sobrepeso","Obesidade"))))))</f>
        <v/>
      </c>
      <c r="S1240">
        <f>IF($C1240="","",IF(UPPER(LEFT($C1240,1))="M",1,IF(UPPER(LEFT($C1240,1))="F",2,"")))</f>
        <v/>
      </c>
      <c r="T1240">
        <f>IF(OR($D1240="",$E1240=""),"",DATEDIF($D1240,$E1240,"m"))</f>
        <v/>
      </c>
      <c r="U1240">
        <f>IF(OR($D1240="",$E1240=""),"",$E1240-$D1240)</f>
        <v/>
      </c>
      <c r="V1240">
        <f>IF(OR($G1240="",$T1240=""),"",IF($T1240&lt;24,IF(LEFT(LOWER($H1240),4)="em p",$G1240+0.7,$G1240),IF(LEFT(LOWER($H1240),4)="deit",$G1240-0.7,$G1240)))</f>
        <v/>
      </c>
      <c r="W1240">
        <f>IF(OR($S1240="",$T1240=""),"",$S1240*1000000+IF($T1240&lt;=60,$U1240,$T1240))</f>
        <v/>
      </c>
      <c r="X1240">
        <f>IF(OR($S1240="",$V1240="",$T1240&gt;60,$T1240=""),"",$S1240*1000000+ROUND($V1240*10,0))</f>
        <v/>
      </c>
      <c r="Y1240">
        <f>IF($W1240="","",IFERROR(INDEX(IF($T1240&lt;=60,imc05_l,imc519_l),MATCH($W1240,IF($T1240&lt;=60,imc05_k,imc519_k),1)),""))</f>
        <v/>
      </c>
      <c r="Z1240">
        <f>IF($W1240="","",IFERROR(INDEX(IF($T1240&lt;=60,imc05_m,imc519_m),MATCH($W1240,IF($T1240&lt;=60,imc05_k,imc519_k),1)),""))</f>
        <v/>
      </c>
      <c r="AA1240">
        <f>IF($W1240="","",IFERROR(INDEX(IF($T1240&lt;=60,imc05_s,imc519_s),MATCH($W1240,IF($T1240&lt;=60,imc05_k,imc519_k),1)),""))</f>
        <v/>
      </c>
      <c r="AB1240">
        <f>IF($Y1240="","",IF($Y1240=0,LN($J1240/$Z1240)/$AA1240,((($J1240/$Z1240)^$Y1240)-1)/($Y1240*$AA1240)))</f>
        <v/>
      </c>
      <c r="AC1240">
        <f>IF($Y1240="","",IF($Y1240=0,$Z1240*EXP($AA1240*2),$Z1240*(1+$Y1240*$AA1240*2)^(1/$Y1240)))</f>
        <v/>
      </c>
      <c r="AD1240">
        <f>IF($Y1240="","",IF($Y1240=0,$Z1240*EXP($AA1240*3),$Z1240*(1+$Y1240*$AA1240*3)^(1/$Y1240)))</f>
        <v/>
      </c>
      <c r="AE1240">
        <f>IF($Y1240="","",IF($Y1240=0,$Z1240*EXP($AA1240*-2),$Z1240*(1+$Y1240*$AA1240*-2)^(1/$Y1240)))</f>
        <v/>
      </c>
      <c r="AF1240">
        <f>IF($Y1240="","",IF($Y1240=0,$Z1240*EXP($AA1240*-3),$Z1240*(1+$Y1240*$AA1240*-3)^(1/$Y1240)))</f>
        <v/>
      </c>
      <c r="AG1240">
        <f>IF($W1240="","",IFERROR(INDEX(IF($T1240&lt;=60,est05_l,est519_l),MATCH($W1240,IF($T1240&lt;=60,est05_k,est519_k),1)),""))</f>
        <v/>
      </c>
      <c r="AH1240">
        <f>IF($W1240="","",IFERROR(INDEX(IF($T1240&lt;=60,est05_m,est519_m),MATCH($W1240,IF($T1240&lt;=60,est05_k,est519_k),1)),""))</f>
        <v/>
      </c>
      <c r="AI1240">
        <f>IF($W1240="","",IFERROR(INDEX(IF($T1240&lt;=60,est05_s,est519_s),MATCH($W1240,IF($T1240&lt;=60,est05_k,est519_k),1)),""))</f>
        <v/>
      </c>
      <c r="AJ1240">
        <f>IF($W1240="","",IFERROR(INDEX(IF($T1240&lt;=60,peso05_l,peso510_l),MATCH($W1240,IF($T1240&lt;=60,peso05_k,peso510_k),1)),""))</f>
        <v/>
      </c>
      <c r="AK1240">
        <f>IF($W1240="","",IFERROR(INDEX(IF($T1240&lt;=60,peso05_m,peso510_m),MATCH($W1240,IF($T1240&lt;=60,peso05_k,peso510_k),1)),""))</f>
        <v/>
      </c>
      <c r="AL1240">
        <f>IF($W1240="","",IFERROR(INDEX(IF($T1240&lt;=60,peso05_s,peso510_s),MATCH($W1240,IF($T1240&lt;=60,peso05_k,peso510_k),1)),""))</f>
        <v/>
      </c>
      <c r="AM1240">
        <f>IF($AJ1240="","",IF($AJ1240=0,LN($F1240/$AK1240)/$AL1240,((($F1240/$AK1240)^$AJ1240)-1)/($AJ1240*$AL1240)))</f>
        <v/>
      </c>
      <c r="AN1240">
        <f>IF($AJ1240="","",IF($AJ1240=0,$AK1240*EXP($AL1240*2),$AK1240*(1+$AJ1240*$AL1240*2)^(1/$AJ1240)))</f>
        <v/>
      </c>
      <c r="AO1240">
        <f>IF($AJ1240="","",IF($AJ1240=0,$AK1240*EXP($AL1240*3),$AK1240*(1+$AJ1240*$AL1240*3)^(1/$AJ1240)))</f>
        <v/>
      </c>
      <c r="AP1240">
        <f>IF($AJ1240="","",IF($AJ1240=0,$AK1240*EXP($AL1240*-2),$AK1240*(1+$AJ1240*$AL1240*-2)^(1/$AJ1240)))</f>
        <v/>
      </c>
      <c r="AQ1240">
        <f>IF($AJ1240="","",IF($AJ1240=0,$AK1240*EXP($AL1240*-3),$AK1240*(1+$AJ1240*$AL1240*-3)^(1/$AJ1240)))</f>
        <v/>
      </c>
      <c r="AR1240">
        <f>IF(OR($X1240="",$T1240&gt;60),"",IFERROR(INDEX(IF($T1240&lt;24,pcomp_l,palt_l),MATCH($X1240,IF($T1240&lt;24,pcomp_k,palt_k),1)),""))</f>
        <v/>
      </c>
      <c r="AS1240">
        <f>IF(OR($X1240="",$T1240&gt;60),"",IFERROR(INDEX(IF($T1240&lt;24,pcomp_m,palt_m),MATCH($X1240,IF($T1240&lt;24,pcomp_k,palt_k),1)),""))</f>
        <v/>
      </c>
      <c r="AT1240">
        <f>IF(OR($X1240="",$T1240&gt;60),"",IFERROR(INDEX(IF($T1240&lt;24,pcomp_s,palt_s),MATCH($X1240,IF($T1240&lt;24,pcomp_k,palt_k),1)),""))</f>
        <v/>
      </c>
      <c r="AU1240">
        <f>IF($AR1240="","",IF($AR1240=0,LN($F1240/$AS1240)/$AT1240,((($F1240/$AS1240)^$AR1240)-1)/($AR1240*$AT1240)))</f>
        <v/>
      </c>
      <c r="AV1240">
        <f>IF($AR1240="","",IF($AR1240=0,$AS1240*EXP($AT1240*2),$AS1240*(1+$AR1240*$AT1240*2)^(1/$AR1240)))</f>
        <v/>
      </c>
      <c r="AW1240">
        <f>IF($AR1240="","",IF($AR1240=0,$AS1240*EXP($AT1240*3),$AS1240*(1+$AR1240*$AT1240*3)^(1/$AR1240)))</f>
        <v/>
      </c>
      <c r="AX1240">
        <f>IF($AR1240="","",IF($AR1240=0,$AS1240*EXP($AT1240*-2),$AS1240*(1+$AR1240*$AT1240*-2)^(1/$AR1240)))</f>
        <v/>
      </c>
      <c r="AY1240">
        <f>IF($AR1240="","",IF($AR1240=0,$AS1240*EXP($AT1240*-3),$AS1240*(1+$AR1240*$AT1240*-3)^(1/$AR1240)))</f>
        <v/>
      </c>
      <c r="AZ1240">
        <f>IF(OR($A1240="",$A1240&lt;&gt;Ficha!$C$4),"",COUNTIF($A$2:$A1240,Ficha!$C$4))</f>
        <v/>
      </c>
    </row>
    <row r="1241">
      <c r="A1241" s="8">
        <f>IF(INDEX(Banco!$A:$A,ROW())="","",INDEX(Banco!$A:$A,ROW()))</f>
        <v/>
      </c>
      <c r="B1241" s="8">
        <f>IF(INDEX(Banco!$B:$B,ROW())="","",INDEX(Banco!$B:$B,ROW()))</f>
        <v/>
      </c>
      <c r="C1241" s="8">
        <f>IF(INDEX(Banco!$C:$C,ROW())="","",INDEX(Banco!$C:$C,ROW()))</f>
        <v/>
      </c>
      <c r="D1241" s="9">
        <f>IF(INDEX(Banco!$D:$D,ROW())="","",INDEX(Banco!$D:$D,ROW()))</f>
        <v/>
      </c>
      <c r="E1241" s="9">
        <f>IF(INDEX(Banco!$E:$E,ROW())="","",INDEX(Banco!$E:$E,ROW()))</f>
        <v/>
      </c>
      <c r="F1241" s="10">
        <f>IF(INDEX(Banco!$F:$F,ROW())="","",INDEX(Banco!$F:$F,ROW()))</f>
        <v/>
      </c>
      <c r="G1241" s="10">
        <f>IF(INDEX(Banco!$G:$G,ROW())="","",INDEX(Banco!$G:$G,ROW()))</f>
        <v/>
      </c>
      <c r="H1241" s="8">
        <f>IF(INDEX(Banco!$H:$H,ROW())="","",INDEX(Banco!$H:$H,ROW()))</f>
        <v/>
      </c>
      <c r="I1241">
        <f>IF($T1241="","",INT($T1241/12)&amp;"a "&amp;MOD($T1241,12)&amp;"m")</f>
        <v/>
      </c>
      <c r="J1241" s="11">
        <f>IF(OR($F1241="",$G1241=""),"",ROUND($F1241/($G1241/100)^2,2))</f>
        <v/>
      </c>
      <c r="K1241" s="12">
        <f>IF(OR($S1241="",$J1241="",$T1241="",$T1241&lt;0,$T1241&gt;228,$Y1241=""),"—",ROUND(IF(ABS($AB1241)&lt;=3,$AB1241,IF($AB1241&gt;3,3+($J1241-$AD1241)/($AD1241-$AC1241),-3+($J1241-$AF1241)/($AE1241-$AF1241))),2))</f>
        <v/>
      </c>
      <c r="L1241">
        <f>IF(OR($K1241="",$K1241="—"),"",IF($T1241&lt;=60,IF($K1241&lt;-3,"Magreza acentuada",IF($K1241&lt;-2,"Magreza",IF($K1241&lt;=1,"Eutrofia",IF($K1241&lt;=2,"Risco de sobrepeso",IF($K1241&lt;=3,"Sobrepeso","Obesidade"))))),IF($K1241&lt;-3,"Magreza acentuada",IF($K1241&lt;-2,"Magreza",IF($K1241&lt;=1,"Eutrofia",IF($K1241&lt;=2,"Sobrepeso",IF($K1241&lt;=3,"Obesidade","Obesidade grave")))))))</f>
        <v/>
      </c>
      <c r="M1241" s="12">
        <f>IF(OR($S1241="",$V1241="",$T1241="",$T1241&lt;0,$T1241&gt;228,$AG1241=""),"—",ROUND(IF($AG1241=0,LN($V1241/$AH1241)/$AI1241,((($V1241/$AH1241)^$AG1241)-1)/($AG1241*$AI1241)),2))</f>
        <v/>
      </c>
      <c r="N1241">
        <f>IF(OR($M1241="",$M1241="—"),"",IF($M1241&lt;-3,"Muito baixa",IF($M1241&lt;-2,"Baixa","Adequada")))</f>
        <v/>
      </c>
      <c r="O1241" s="12">
        <f>IF(OR($S1241="",$F1241="",$T1241="",$T1241&lt;0,$T1241&gt;120,$AJ1241=""),"—",ROUND(IF(ABS($AM1241)&lt;=3,$AM1241,IF($AM1241&gt;3,3+($F1241-$AO1241)/($AO1241-$AN1241),-3+($F1241-$AQ1241)/($AP1241-$AQ1241))),2))</f>
        <v/>
      </c>
      <c r="P1241">
        <f>IF(OR($O1241="",$O1241="—"),"",IF($O1241&lt;-3,"Muito baixo",IF($O1241&lt;-2,"Baixo",IF($O1241&lt;=2,"Adequado","Elevado"))))</f>
        <v/>
      </c>
      <c r="Q1241" s="12">
        <f>IF(OR($S1241="",$F1241="",$T1241="",$T1241&lt;0,$T1241&gt;60,$AR1241=""),"—",ROUND(IF(ABS($AU1241)&lt;=3,$AU1241,IF($AU1241&gt;3,3+($F1241-$AW1241)/($AW1241-$AV1241),-3+($F1241-$AY1241)/($AX1241-$AY1241))),2))</f>
        <v/>
      </c>
      <c r="R1241">
        <f>IF(OR($Q1241="",$Q1241="—"),"",IF($Q1241&lt;-3,"Magreza acentuada",IF($Q1241&lt;-2,"Magreza",IF($Q1241&lt;=1,"Eutrofia",IF($Q1241&lt;=2,"Risco de sobrepeso",IF($Q1241&lt;=3,"Sobrepeso","Obesidade"))))))</f>
        <v/>
      </c>
      <c r="S1241">
        <f>IF($C1241="","",IF(UPPER(LEFT($C1241,1))="M",1,IF(UPPER(LEFT($C1241,1))="F",2,"")))</f>
        <v/>
      </c>
      <c r="T1241">
        <f>IF(OR($D1241="",$E1241=""),"",DATEDIF($D1241,$E1241,"m"))</f>
        <v/>
      </c>
      <c r="U1241">
        <f>IF(OR($D1241="",$E1241=""),"",$E1241-$D1241)</f>
        <v/>
      </c>
      <c r="V1241">
        <f>IF(OR($G1241="",$T1241=""),"",IF($T1241&lt;24,IF(LEFT(LOWER($H1241),4)="em p",$G1241+0.7,$G1241),IF(LEFT(LOWER($H1241),4)="deit",$G1241-0.7,$G1241)))</f>
        <v/>
      </c>
      <c r="W1241">
        <f>IF(OR($S1241="",$T1241=""),"",$S1241*1000000+IF($T1241&lt;=60,$U1241,$T1241))</f>
        <v/>
      </c>
      <c r="X1241">
        <f>IF(OR($S1241="",$V1241="",$T1241&gt;60,$T1241=""),"",$S1241*1000000+ROUND($V1241*10,0))</f>
        <v/>
      </c>
      <c r="Y1241">
        <f>IF($W1241="","",IFERROR(INDEX(IF($T1241&lt;=60,imc05_l,imc519_l),MATCH($W1241,IF($T1241&lt;=60,imc05_k,imc519_k),1)),""))</f>
        <v/>
      </c>
      <c r="Z1241">
        <f>IF($W1241="","",IFERROR(INDEX(IF($T1241&lt;=60,imc05_m,imc519_m),MATCH($W1241,IF($T1241&lt;=60,imc05_k,imc519_k),1)),""))</f>
        <v/>
      </c>
      <c r="AA1241">
        <f>IF($W1241="","",IFERROR(INDEX(IF($T1241&lt;=60,imc05_s,imc519_s),MATCH($W1241,IF($T1241&lt;=60,imc05_k,imc519_k),1)),""))</f>
        <v/>
      </c>
      <c r="AB1241">
        <f>IF($Y1241="","",IF($Y1241=0,LN($J1241/$Z1241)/$AA1241,((($J1241/$Z1241)^$Y1241)-1)/($Y1241*$AA1241)))</f>
        <v/>
      </c>
      <c r="AC1241">
        <f>IF($Y1241="","",IF($Y1241=0,$Z1241*EXP($AA1241*2),$Z1241*(1+$Y1241*$AA1241*2)^(1/$Y1241)))</f>
        <v/>
      </c>
      <c r="AD1241">
        <f>IF($Y1241="","",IF($Y1241=0,$Z1241*EXP($AA1241*3),$Z1241*(1+$Y1241*$AA1241*3)^(1/$Y1241)))</f>
        <v/>
      </c>
      <c r="AE1241">
        <f>IF($Y1241="","",IF($Y1241=0,$Z1241*EXP($AA1241*-2),$Z1241*(1+$Y1241*$AA1241*-2)^(1/$Y1241)))</f>
        <v/>
      </c>
      <c r="AF1241">
        <f>IF($Y1241="","",IF($Y1241=0,$Z1241*EXP($AA1241*-3),$Z1241*(1+$Y1241*$AA1241*-3)^(1/$Y1241)))</f>
        <v/>
      </c>
      <c r="AG1241">
        <f>IF($W1241="","",IFERROR(INDEX(IF($T1241&lt;=60,est05_l,est519_l),MATCH($W1241,IF($T1241&lt;=60,est05_k,est519_k),1)),""))</f>
        <v/>
      </c>
      <c r="AH1241">
        <f>IF($W1241="","",IFERROR(INDEX(IF($T1241&lt;=60,est05_m,est519_m),MATCH($W1241,IF($T1241&lt;=60,est05_k,est519_k),1)),""))</f>
        <v/>
      </c>
      <c r="AI1241">
        <f>IF($W1241="","",IFERROR(INDEX(IF($T1241&lt;=60,est05_s,est519_s),MATCH($W1241,IF($T1241&lt;=60,est05_k,est519_k),1)),""))</f>
        <v/>
      </c>
      <c r="AJ1241">
        <f>IF($W1241="","",IFERROR(INDEX(IF($T1241&lt;=60,peso05_l,peso510_l),MATCH($W1241,IF($T1241&lt;=60,peso05_k,peso510_k),1)),""))</f>
        <v/>
      </c>
      <c r="AK1241">
        <f>IF($W1241="","",IFERROR(INDEX(IF($T1241&lt;=60,peso05_m,peso510_m),MATCH($W1241,IF($T1241&lt;=60,peso05_k,peso510_k),1)),""))</f>
        <v/>
      </c>
      <c r="AL1241">
        <f>IF($W1241="","",IFERROR(INDEX(IF($T1241&lt;=60,peso05_s,peso510_s),MATCH($W1241,IF($T1241&lt;=60,peso05_k,peso510_k),1)),""))</f>
        <v/>
      </c>
      <c r="AM1241">
        <f>IF($AJ1241="","",IF($AJ1241=0,LN($F1241/$AK1241)/$AL1241,((($F1241/$AK1241)^$AJ1241)-1)/($AJ1241*$AL1241)))</f>
        <v/>
      </c>
      <c r="AN1241">
        <f>IF($AJ1241="","",IF($AJ1241=0,$AK1241*EXP($AL1241*2),$AK1241*(1+$AJ1241*$AL1241*2)^(1/$AJ1241)))</f>
        <v/>
      </c>
      <c r="AO1241">
        <f>IF($AJ1241="","",IF($AJ1241=0,$AK1241*EXP($AL1241*3),$AK1241*(1+$AJ1241*$AL1241*3)^(1/$AJ1241)))</f>
        <v/>
      </c>
      <c r="AP1241">
        <f>IF($AJ1241="","",IF($AJ1241=0,$AK1241*EXP($AL1241*-2),$AK1241*(1+$AJ1241*$AL1241*-2)^(1/$AJ1241)))</f>
        <v/>
      </c>
      <c r="AQ1241">
        <f>IF($AJ1241="","",IF($AJ1241=0,$AK1241*EXP($AL1241*-3),$AK1241*(1+$AJ1241*$AL1241*-3)^(1/$AJ1241)))</f>
        <v/>
      </c>
      <c r="AR1241">
        <f>IF(OR($X1241="",$T1241&gt;60),"",IFERROR(INDEX(IF($T1241&lt;24,pcomp_l,palt_l),MATCH($X1241,IF($T1241&lt;24,pcomp_k,palt_k),1)),""))</f>
        <v/>
      </c>
      <c r="AS1241">
        <f>IF(OR($X1241="",$T1241&gt;60),"",IFERROR(INDEX(IF($T1241&lt;24,pcomp_m,palt_m),MATCH($X1241,IF($T1241&lt;24,pcomp_k,palt_k),1)),""))</f>
        <v/>
      </c>
      <c r="AT1241">
        <f>IF(OR($X1241="",$T1241&gt;60),"",IFERROR(INDEX(IF($T1241&lt;24,pcomp_s,palt_s),MATCH($X1241,IF($T1241&lt;24,pcomp_k,palt_k),1)),""))</f>
        <v/>
      </c>
      <c r="AU1241">
        <f>IF($AR1241="","",IF($AR1241=0,LN($F1241/$AS1241)/$AT1241,((($F1241/$AS1241)^$AR1241)-1)/($AR1241*$AT1241)))</f>
        <v/>
      </c>
      <c r="AV1241">
        <f>IF($AR1241="","",IF($AR1241=0,$AS1241*EXP($AT1241*2),$AS1241*(1+$AR1241*$AT1241*2)^(1/$AR1241)))</f>
        <v/>
      </c>
      <c r="AW1241">
        <f>IF($AR1241="","",IF($AR1241=0,$AS1241*EXP($AT1241*3),$AS1241*(1+$AR1241*$AT1241*3)^(1/$AR1241)))</f>
        <v/>
      </c>
      <c r="AX1241">
        <f>IF($AR1241="","",IF($AR1241=0,$AS1241*EXP($AT1241*-2),$AS1241*(1+$AR1241*$AT1241*-2)^(1/$AR1241)))</f>
        <v/>
      </c>
      <c r="AY1241">
        <f>IF($AR1241="","",IF($AR1241=0,$AS1241*EXP($AT1241*-3),$AS1241*(1+$AR1241*$AT1241*-3)^(1/$AR1241)))</f>
        <v/>
      </c>
      <c r="AZ1241">
        <f>IF(OR($A1241="",$A1241&lt;&gt;Ficha!$C$4),"",COUNTIF($A$2:$A1241,Ficha!$C$4))</f>
        <v/>
      </c>
    </row>
    <row r="1242">
      <c r="A1242" s="8">
        <f>IF(INDEX(Banco!$A:$A,ROW())="","",INDEX(Banco!$A:$A,ROW()))</f>
        <v/>
      </c>
      <c r="B1242" s="8">
        <f>IF(INDEX(Banco!$B:$B,ROW())="","",INDEX(Banco!$B:$B,ROW()))</f>
        <v/>
      </c>
      <c r="C1242" s="8">
        <f>IF(INDEX(Banco!$C:$C,ROW())="","",INDEX(Banco!$C:$C,ROW()))</f>
        <v/>
      </c>
      <c r="D1242" s="9">
        <f>IF(INDEX(Banco!$D:$D,ROW())="","",INDEX(Banco!$D:$D,ROW()))</f>
        <v/>
      </c>
      <c r="E1242" s="9">
        <f>IF(INDEX(Banco!$E:$E,ROW())="","",INDEX(Banco!$E:$E,ROW()))</f>
        <v/>
      </c>
      <c r="F1242" s="10">
        <f>IF(INDEX(Banco!$F:$F,ROW())="","",INDEX(Banco!$F:$F,ROW()))</f>
        <v/>
      </c>
      <c r="G1242" s="10">
        <f>IF(INDEX(Banco!$G:$G,ROW())="","",INDEX(Banco!$G:$G,ROW()))</f>
        <v/>
      </c>
      <c r="H1242" s="8">
        <f>IF(INDEX(Banco!$H:$H,ROW())="","",INDEX(Banco!$H:$H,ROW()))</f>
        <v/>
      </c>
      <c r="I1242">
        <f>IF($T1242="","",INT($T1242/12)&amp;"a "&amp;MOD($T1242,12)&amp;"m")</f>
        <v/>
      </c>
      <c r="J1242" s="11">
        <f>IF(OR($F1242="",$G1242=""),"",ROUND($F1242/($G1242/100)^2,2))</f>
        <v/>
      </c>
      <c r="K1242" s="12">
        <f>IF(OR($S1242="",$J1242="",$T1242="",$T1242&lt;0,$T1242&gt;228,$Y1242=""),"—",ROUND(IF(ABS($AB1242)&lt;=3,$AB1242,IF($AB1242&gt;3,3+($J1242-$AD1242)/($AD1242-$AC1242),-3+($J1242-$AF1242)/($AE1242-$AF1242))),2))</f>
        <v/>
      </c>
      <c r="L1242">
        <f>IF(OR($K1242="",$K1242="—"),"",IF($T1242&lt;=60,IF($K1242&lt;-3,"Magreza acentuada",IF($K1242&lt;-2,"Magreza",IF($K1242&lt;=1,"Eutrofia",IF($K1242&lt;=2,"Risco de sobrepeso",IF($K1242&lt;=3,"Sobrepeso","Obesidade"))))),IF($K1242&lt;-3,"Magreza acentuada",IF($K1242&lt;-2,"Magreza",IF($K1242&lt;=1,"Eutrofia",IF($K1242&lt;=2,"Sobrepeso",IF($K1242&lt;=3,"Obesidade","Obesidade grave")))))))</f>
        <v/>
      </c>
      <c r="M1242" s="12">
        <f>IF(OR($S1242="",$V1242="",$T1242="",$T1242&lt;0,$T1242&gt;228,$AG1242=""),"—",ROUND(IF($AG1242=0,LN($V1242/$AH1242)/$AI1242,((($V1242/$AH1242)^$AG1242)-1)/($AG1242*$AI1242)),2))</f>
        <v/>
      </c>
      <c r="N1242">
        <f>IF(OR($M1242="",$M1242="—"),"",IF($M1242&lt;-3,"Muito baixa",IF($M1242&lt;-2,"Baixa","Adequada")))</f>
        <v/>
      </c>
      <c r="O1242" s="12">
        <f>IF(OR($S1242="",$F1242="",$T1242="",$T1242&lt;0,$T1242&gt;120,$AJ1242=""),"—",ROUND(IF(ABS($AM1242)&lt;=3,$AM1242,IF($AM1242&gt;3,3+($F1242-$AO1242)/($AO1242-$AN1242),-3+($F1242-$AQ1242)/($AP1242-$AQ1242))),2))</f>
        <v/>
      </c>
      <c r="P1242">
        <f>IF(OR($O1242="",$O1242="—"),"",IF($O1242&lt;-3,"Muito baixo",IF($O1242&lt;-2,"Baixo",IF($O1242&lt;=2,"Adequado","Elevado"))))</f>
        <v/>
      </c>
      <c r="Q1242" s="12">
        <f>IF(OR($S1242="",$F1242="",$T1242="",$T1242&lt;0,$T1242&gt;60,$AR1242=""),"—",ROUND(IF(ABS($AU1242)&lt;=3,$AU1242,IF($AU1242&gt;3,3+($F1242-$AW1242)/($AW1242-$AV1242),-3+($F1242-$AY1242)/($AX1242-$AY1242))),2))</f>
        <v/>
      </c>
      <c r="R1242">
        <f>IF(OR($Q1242="",$Q1242="—"),"",IF($Q1242&lt;-3,"Magreza acentuada",IF($Q1242&lt;-2,"Magreza",IF($Q1242&lt;=1,"Eutrofia",IF($Q1242&lt;=2,"Risco de sobrepeso",IF($Q1242&lt;=3,"Sobrepeso","Obesidade"))))))</f>
        <v/>
      </c>
      <c r="S1242">
        <f>IF($C1242="","",IF(UPPER(LEFT($C1242,1))="M",1,IF(UPPER(LEFT($C1242,1))="F",2,"")))</f>
        <v/>
      </c>
      <c r="T1242">
        <f>IF(OR($D1242="",$E1242=""),"",DATEDIF($D1242,$E1242,"m"))</f>
        <v/>
      </c>
      <c r="U1242">
        <f>IF(OR($D1242="",$E1242=""),"",$E1242-$D1242)</f>
        <v/>
      </c>
      <c r="V1242">
        <f>IF(OR($G1242="",$T1242=""),"",IF($T1242&lt;24,IF(LEFT(LOWER($H1242),4)="em p",$G1242+0.7,$G1242),IF(LEFT(LOWER($H1242),4)="deit",$G1242-0.7,$G1242)))</f>
        <v/>
      </c>
      <c r="W1242">
        <f>IF(OR($S1242="",$T1242=""),"",$S1242*1000000+IF($T1242&lt;=60,$U1242,$T1242))</f>
        <v/>
      </c>
      <c r="X1242">
        <f>IF(OR($S1242="",$V1242="",$T1242&gt;60,$T1242=""),"",$S1242*1000000+ROUND($V1242*10,0))</f>
        <v/>
      </c>
      <c r="Y1242">
        <f>IF($W1242="","",IFERROR(INDEX(IF($T1242&lt;=60,imc05_l,imc519_l),MATCH($W1242,IF($T1242&lt;=60,imc05_k,imc519_k),1)),""))</f>
        <v/>
      </c>
      <c r="Z1242">
        <f>IF($W1242="","",IFERROR(INDEX(IF($T1242&lt;=60,imc05_m,imc519_m),MATCH($W1242,IF($T1242&lt;=60,imc05_k,imc519_k),1)),""))</f>
        <v/>
      </c>
      <c r="AA1242">
        <f>IF($W1242="","",IFERROR(INDEX(IF($T1242&lt;=60,imc05_s,imc519_s),MATCH($W1242,IF($T1242&lt;=60,imc05_k,imc519_k),1)),""))</f>
        <v/>
      </c>
      <c r="AB1242">
        <f>IF($Y1242="","",IF($Y1242=0,LN($J1242/$Z1242)/$AA1242,((($J1242/$Z1242)^$Y1242)-1)/($Y1242*$AA1242)))</f>
        <v/>
      </c>
      <c r="AC1242">
        <f>IF($Y1242="","",IF($Y1242=0,$Z1242*EXP($AA1242*2),$Z1242*(1+$Y1242*$AA1242*2)^(1/$Y1242)))</f>
        <v/>
      </c>
      <c r="AD1242">
        <f>IF($Y1242="","",IF($Y1242=0,$Z1242*EXP($AA1242*3),$Z1242*(1+$Y1242*$AA1242*3)^(1/$Y1242)))</f>
        <v/>
      </c>
      <c r="AE1242">
        <f>IF($Y1242="","",IF($Y1242=0,$Z1242*EXP($AA1242*-2),$Z1242*(1+$Y1242*$AA1242*-2)^(1/$Y1242)))</f>
        <v/>
      </c>
      <c r="AF1242">
        <f>IF($Y1242="","",IF($Y1242=0,$Z1242*EXP($AA1242*-3),$Z1242*(1+$Y1242*$AA1242*-3)^(1/$Y1242)))</f>
        <v/>
      </c>
      <c r="AG1242">
        <f>IF($W1242="","",IFERROR(INDEX(IF($T1242&lt;=60,est05_l,est519_l),MATCH($W1242,IF($T1242&lt;=60,est05_k,est519_k),1)),""))</f>
        <v/>
      </c>
      <c r="AH1242">
        <f>IF($W1242="","",IFERROR(INDEX(IF($T1242&lt;=60,est05_m,est519_m),MATCH($W1242,IF($T1242&lt;=60,est05_k,est519_k),1)),""))</f>
        <v/>
      </c>
      <c r="AI1242">
        <f>IF($W1242="","",IFERROR(INDEX(IF($T1242&lt;=60,est05_s,est519_s),MATCH($W1242,IF($T1242&lt;=60,est05_k,est519_k),1)),""))</f>
        <v/>
      </c>
      <c r="AJ1242">
        <f>IF($W1242="","",IFERROR(INDEX(IF($T1242&lt;=60,peso05_l,peso510_l),MATCH($W1242,IF($T1242&lt;=60,peso05_k,peso510_k),1)),""))</f>
        <v/>
      </c>
      <c r="AK1242">
        <f>IF($W1242="","",IFERROR(INDEX(IF($T1242&lt;=60,peso05_m,peso510_m),MATCH($W1242,IF($T1242&lt;=60,peso05_k,peso510_k),1)),""))</f>
        <v/>
      </c>
      <c r="AL1242">
        <f>IF($W1242="","",IFERROR(INDEX(IF($T1242&lt;=60,peso05_s,peso510_s),MATCH($W1242,IF($T1242&lt;=60,peso05_k,peso510_k),1)),""))</f>
        <v/>
      </c>
      <c r="AM1242">
        <f>IF($AJ1242="","",IF($AJ1242=0,LN($F1242/$AK1242)/$AL1242,((($F1242/$AK1242)^$AJ1242)-1)/($AJ1242*$AL1242)))</f>
        <v/>
      </c>
      <c r="AN1242">
        <f>IF($AJ1242="","",IF($AJ1242=0,$AK1242*EXP($AL1242*2),$AK1242*(1+$AJ1242*$AL1242*2)^(1/$AJ1242)))</f>
        <v/>
      </c>
      <c r="AO1242">
        <f>IF($AJ1242="","",IF($AJ1242=0,$AK1242*EXP($AL1242*3),$AK1242*(1+$AJ1242*$AL1242*3)^(1/$AJ1242)))</f>
        <v/>
      </c>
      <c r="AP1242">
        <f>IF($AJ1242="","",IF($AJ1242=0,$AK1242*EXP($AL1242*-2),$AK1242*(1+$AJ1242*$AL1242*-2)^(1/$AJ1242)))</f>
        <v/>
      </c>
      <c r="AQ1242">
        <f>IF($AJ1242="","",IF($AJ1242=0,$AK1242*EXP($AL1242*-3),$AK1242*(1+$AJ1242*$AL1242*-3)^(1/$AJ1242)))</f>
        <v/>
      </c>
      <c r="AR1242">
        <f>IF(OR($X1242="",$T1242&gt;60),"",IFERROR(INDEX(IF($T1242&lt;24,pcomp_l,palt_l),MATCH($X1242,IF($T1242&lt;24,pcomp_k,palt_k),1)),""))</f>
        <v/>
      </c>
      <c r="AS1242">
        <f>IF(OR($X1242="",$T1242&gt;60),"",IFERROR(INDEX(IF($T1242&lt;24,pcomp_m,palt_m),MATCH($X1242,IF($T1242&lt;24,pcomp_k,palt_k),1)),""))</f>
        <v/>
      </c>
      <c r="AT1242">
        <f>IF(OR($X1242="",$T1242&gt;60),"",IFERROR(INDEX(IF($T1242&lt;24,pcomp_s,palt_s),MATCH($X1242,IF($T1242&lt;24,pcomp_k,palt_k),1)),""))</f>
        <v/>
      </c>
      <c r="AU1242">
        <f>IF($AR1242="","",IF($AR1242=0,LN($F1242/$AS1242)/$AT1242,((($F1242/$AS1242)^$AR1242)-1)/($AR1242*$AT1242)))</f>
        <v/>
      </c>
      <c r="AV1242">
        <f>IF($AR1242="","",IF($AR1242=0,$AS1242*EXP($AT1242*2),$AS1242*(1+$AR1242*$AT1242*2)^(1/$AR1242)))</f>
        <v/>
      </c>
      <c r="AW1242">
        <f>IF($AR1242="","",IF($AR1242=0,$AS1242*EXP($AT1242*3),$AS1242*(1+$AR1242*$AT1242*3)^(1/$AR1242)))</f>
        <v/>
      </c>
      <c r="AX1242">
        <f>IF($AR1242="","",IF($AR1242=0,$AS1242*EXP($AT1242*-2),$AS1242*(1+$AR1242*$AT1242*-2)^(1/$AR1242)))</f>
        <v/>
      </c>
      <c r="AY1242">
        <f>IF($AR1242="","",IF($AR1242=0,$AS1242*EXP($AT1242*-3),$AS1242*(1+$AR1242*$AT1242*-3)^(1/$AR1242)))</f>
        <v/>
      </c>
      <c r="AZ1242">
        <f>IF(OR($A1242="",$A1242&lt;&gt;Ficha!$C$4),"",COUNTIF($A$2:$A1242,Ficha!$C$4))</f>
        <v/>
      </c>
    </row>
    <row r="1243">
      <c r="A1243" s="8">
        <f>IF(INDEX(Banco!$A:$A,ROW())="","",INDEX(Banco!$A:$A,ROW()))</f>
        <v/>
      </c>
      <c r="B1243" s="8">
        <f>IF(INDEX(Banco!$B:$B,ROW())="","",INDEX(Banco!$B:$B,ROW()))</f>
        <v/>
      </c>
      <c r="C1243" s="8">
        <f>IF(INDEX(Banco!$C:$C,ROW())="","",INDEX(Banco!$C:$C,ROW()))</f>
        <v/>
      </c>
      <c r="D1243" s="9">
        <f>IF(INDEX(Banco!$D:$D,ROW())="","",INDEX(Banco!$D:$D,ROW()))</f>
        <v/>
      </c>
      <c r="E1243" s="9">
        <f>IF(INDEX(Banco!$E:$E,ROW())="","",INDEX(Banco!$E:$E,ROW()))</f>
        <v/>
      </c>
      <c r="F1243" s="10">
        <f>IF(INDEX(Banco!$F:$F,ROW())="","",INDEX(Banco!$F:$F,ROW()))</f>
        <v/>
      </c>
      <c r="G1243" s="10">
        <f>IF(INDEX(Banco!$G:$G,ROW())="","",INDEX(Banco!$G:$G,ROW()))</f>
        <v/>
      </c>
      <c r="H1243" s="8">
        <f>IF(INDEX(Banco!$H:$H,ROW())="","",INDEX(Banco!$H:$H,ROW()))</f>
        <v/>
      </c>
      <c r="I1243">
        <f>IF($T1243="","",INT($T1243/12)&amp;"a "&amp;MOD($T1243,12)&amp;"m")</f>
        <v/>
      </c>
      <c r="J1243" s="11">
        <f>IF(OR($F1243="",$G1243=""),"",ROUND($F1243/($G1243/100)^2,2))</f>
        <v/>
      </c>
      <c r="K1243" s="12">
        <f>IF(OR($S1243="",$J1243="",$T1243="",$T1243&lt;0,$T1243&gt;228,$Y1243=""),"—",ROUND(IF(ABS($AB1243)&lt;=3,$AB1243,IF($AB1243&gt;3,3+($J1243-$AD1243)/($AD1243-$AC1243),-3+($J1243-$AF1243)/($AE1243-$AF1243))),2))</f>
        <v/>
      </c>
      <c r="L1243">
        <f>IF(OR($K1243="",$K1243="—"),"",IF($T1243&lt;=60,IF($K1243&lt;-3,"Magreza acentuada",IF($K1243&lt;-2,"Magreza",IF($K1243&lt;=1,"Eutrofia",IF($K1243&lt;=2,"Risco de sobrepeso",IF($K1243&lt;=3,"Sobrepeso","Obesidade"))))),IF($K1243&lt;-3,"Magreza acentuada",IF($K1243&lt;-2,"Magreza",IF($K1243&lt;=1,"Eutrofia",IF($K1243&lt;=2,"Sobrepeso",IF($K1243&lt;=3,"Obesidade","Obesidade grave")))))))</f>
        <v/>
      </c>
      <c r="M1243" s="12">
        <f>IF(OR($S1243="",$V1243="",$T1243="",$T1243&lt;0,$T1243&gt;228,$AG1243=""),"—",ROUND(IF($AG1243=0,LN($V1243/$AH1243)/$AI1243,((($V1243/$AH1243)^$AG1243)-1)/($AG1243*$AI1243)),2))</f>
        <v/>
      </c>
      <c r="N1243">
        <f>IF(OR($M1243="",$M1243="—"),"",IF($M1243&lt;-3,"Muito baixa",IF($M1243&lt;-2,"Baixa","Adequada")))</f>
        <v/>
      </c>
      <c r="O1243" s="12">
        <f>IF(OR($S1243="",$F1243="",$T1243="",$T1243&lt;0,$T1243&gt;120,$AJ1243=""),"—",ROUND(IF(ABS($AM1243)&lt;=3,$AM1243,IF($AM1243&gt;3,3+($F1243-$AO1243)/($AO1243-$AN1243),-3+($F1243-$AQ1243)/($AP1243-$AQ1243))),2))</f>
        <v/>
      </c>
      <c r="P1243">
        <f>IF(OR($O1243="",$O1243="—"),"",IF($O1243&lt;-3,"Muito baixo",IF($O1243&lt;-2,"Baixo",IF($O1243&lt;=2,"Adequado","Elevado"))))</f>
        <v/>
      </c>
      <c r="Q1243" s="12">
        <f>IF(OR($S1243="",$F1243="",$T1243="",$T1243&lt;0,$T1243&gt;60,$AR1243=""),"—",ROUND(IF(ABS($AU1243)&lt;=3,$AU1243,IF($AU1243&gt;3,3+($F1243-$AW1243)/($AW1243-$AV1243),-3+($F1243-$AY1243)/($AX1243-$AY1243))),2))</f>
        <v/>
      </c>
      <c r="R1243">
        <f>IF(OR($Q1243="",$Q1243="—"),"",IF($Q1243&lt;-3,"Magreza acentuada",IF($Q1243&lt;-2,"Magreza",IF($Q1243&lt;=1,"Eutrofia",IF($Q1243&lt;=2,"Risco de sobrepeso",IF($Q1243&lt;=3,"Sobrepeso","Obesidade"))))))</f>
        <v/>
      </c>
      <c r="S1243">
        <f>IF($C1243="","",IF(UPPER(LEFT($C1243,1))="M",1,IF(UPPER(LEFT($C1243,1))="F",2,"")))</f>
        <v/>
      </c>
      <c r="T1243">
        <f>IF(OR($D1243="",$E1243=""),"",DATEDIF($D1243,$E1243,"m"))</f>
        <v/>
      </c>
      <c r="U1243">
        <f>IF(OR($D1243="",$E1243=""),"",$E1243-$D1243)</f>
        <v/>
      </c>
      <c r="V1243">
        <f>IF(OR($G1243="",$T1243=""),"",IF($T1243&lt;24,IF(LEFT(LOWER($H1243),4)="em p",$G1243+0.7,$G1243),IF(LEFT(LOWER($H1243),4)="deit",$G1243-0.7,$G1243)))</f>
        <v/>
      </c>
      <c r="W1243">
        <f>IF(OR($S1243="",$T1243=""),"",$S1243*1000000+IF($T1243&lt;=60,$U1243,$T1243))</f>
        <v/>
      </c>
      <c r="X1243">
        <f>IF(OR($S1243="",$V1243="",$T1243&gt;60,$T1243=""),"",$S1243*1000000+ROUND($V1243*10,0))</f>
        <v/>
      </c>
      <c r="Y1243">
        <f>IF($W1243="","",IFERROR(INDEX(IF($T1243&lt;=60,imc05_l,imc519_l),MATCH($W1243,IF($T1243&lt;=60,imc05_k,imc519_k),1)),""))</f>
        <v/>
      </c>
      <c r="Z1243">
        <f>IF($W1243="","",IFERROR(INDEX(IF($T1243&lt;=60,imc05_m,imc519_m),MATCH($W1243,IF($T1243&lt;=60,imc05_k,imc519_k),1)),""))</f>
        <v/>
      </c>
      <c r="AA1243">
        <f>IF($W1243="","",IFERROR(INDEX(IF($T1243&lt;=60,imc05_s,imc519_s),MATCH($W1243,IF($T1243&lt;=60,imc05_k,imc519_k),1)),""))</f>
        <v/>
      </c>
      <c r="AB1243">
        <f>IF($Y1243="","",IF($Y1243=0,LN($J1243/$Z1243)/$AA1243,((($J1243/$Z1243)^$Y1243)-1)/($Y1243*$AA1243)))</f>
        <v/>
      </c>
      <c r="AC1243">
        <f>IF($Y1243="","",IF($Y1243=0,$Z1243*EXP($AA1243*2),$Z1243*(1+$Y1243*$AA1243*2)^(1/$Y1243)))</f>
        <v/>
      </c>
      <c r="AD1243">
        <f>IF($Y1243="","",IF($Y1243=0,$Z1243*EXP($AA1243*3),$Z1243*(1+$Y1243*$AA1243*3)^(1/$Y1243)))</f>
        <v/>
      </c>
      <c r="AE1243">
        <f>IF($Y1243="","",IF($Y1243=0,$Z1243*EXP($AA1243*-2),$Z1243*(1+$Y1243*$AA1243*-2)^(1/$Y1243)))</f>
        <v/>
      </c>
      <c r="AF1243">
        <f>IF($Y1243="","",IF($Y1243=0,$Z1243*EXP($AA1243*-3),$Z1243*(1+$Y1243*$AA1243*-3)^(1/$Y1243)))</f>
        <v/>
      </c>
      <c r="AG1243">
        <f>IF($W1243="","",IFERROR(INDEX(IF($T1243&lt;=60,est05_l,est519_l),MATCH($W1243,IF($T1243&lt;=60,est05_k,est519_k),1)),""))</f>
        <v/>
      </c>
      <c r="AH1243">
        <f>IF($W1243="","",IFERROR(INDEX(IF($T1243&lt;=60,est05_m,est519_m),MATCH($W1243,IF($T1243&lt;=60,est05_k,est519_k),1)),""))</f>
        <v/>
      </c>
      <c r="AI1243">
        <f>IF($W1243="","",IFERROR(INDEX(IF($T1243&lt;=60,est05_s,est519_s),MATCH($W1243,IF($T1243&lt;=60,est05_k,est519_k),1)),""))</f>
        <v/>
      </c>
      <c r="AJ1243">
        <f>IF($W1243="","",IFERROR(INDEX(IF($T1243&lt;=60,peso05_l,peso510_l),MATCH($W1243,IF($T1243&lt;=60,peso05_k,peso510_k),1)),""))</f>
        <v/>
      </c>
      <c r="AK1243">
        <f>IF($W1243="","",IFERROR(INDEX(IF($T1243&lt;=60,peso05_m,peso510_m),MATCH($W1243,IF($T1243&lt;=60,peso05_k,peso510_k),1)),""))</f>
        <v/>
      </c>
      <c r="AL1243">
        <f>IF($W1243="","",IFERROR(INDEX(IF($T1243&lt;=60,peso05_s,peso510_s),MATCH($W1243,IF($T1243&lt;=60,peso05_k,peso510_k),1)),""))</f>
        <v/>
      </c>
      <c r="AM1243">
        <f>IF($AJ1243="","",IF($AJ1243=0,LN($F1243/$AK1243)/$AL1243,((($F1243/$AK1243)^$AJ1243)-1)/($AJ1243*$AL1243)))</f>
        <v/>
      </c>
      <c r="AN1243">
        <f>IF($AJ1243="","",IF($AJ1243=0,$AK1243*EXP($AL1243*2),$AK1243*(1+$AJ1243*$AL1243*2)^(1/$AJ1243)))</f>
        <v/>
      </c>
      <c r="AO1243">
        <f>IF($AJ1243="","",IF($AJ1243=0,$AK1243*EXP($AL1243*3),$AK1243*(1+$AJ1243*$AL1243*3)^(1/$AJ1243)))</f>
        <v/>
      </c>
      <c r="AP1243">
        <f>IF($AJ1243="","",IF($AJ1243=0,$AK1243*EXP($AL1243*-2),$AK1243*(1+$AJ1243*$AL1243*-2)^(1/$AJ1243)))</f>
        <v/>
      </c>
      <c r="AQ1243">
        <f>IF($AJ1243="","",IF($AJ1243=0,$AK1243*EXP($AL1243*-3),$AK1243*(1+$AJ1243*$AL1243*-3)^(1/$AJ1243)))</f>
        <v/>
      </c>
      <c r="AR1243">
        <f>IF(OR($X1243="",$T1243&gt;60),"",IFERROR(INDEX(IF($T1243&lt;24,pcomp_l,palt_l),MATCH($X1243,IF($T1243&lt;24,pcomp_k,palt_k),1)),""))</f>
        <v/>
      </c>
      <c r="AS1243">
        <f>IF(OR($X1243="",$T1243&gt;60),"",IFERROR(INDEX(IF($T1243&lt;24,pcomp_m,palt_m),MATCH($X1243,IF($T1243&lt;24,pcomp_k,palt_k),1)),""))</f>
        <v/>
      </c>
      <c r="AT1243">
        <f>IF(OR($X1243="",$T1243&gt;60),"",IFERROR(INDEX(IF($T1243&lt;24,pcomp_s,palt_s),MATCH($X1243,IF($T1243&lt;24,pcomp_k,palt_k),1)),""))</f>
        <v/>
      </c>
      <c r="AU1243">
        <f>IF($AR1243="","",IF($AR1243=0,LN($F1243/$AS1243)/$AT1243,((($F1243/$AS1243)^$AR1243)-1)/($AR1243*$AT1243)))</f>
        <v/>
      </c>
      <c r="AV1243">
        <f>IF($AR1243="","",IF($AR1243=0,$AS1243*EXP($AT1243*2),$AS1243*(1+$AR1243*$AT1243*2)^(1/$AR1243)))</f>
        <v/>
      </c>
      <c r="AW1243">
        <f>IF($AR1243="","",IF($AR1243=0,$AS1243*EXP($AT1243*3),$AS1243*(1+$AR1243*$AT1243*3)^(1/$AR1243)))</f>
        <v/>
      </c>
      <c r="AX1243">
        <f>IF($AR1243="","",IF($AR1243=0,$AS1243*EXP($AT1243*-2),$AS1243*(1+$AR1243*$AT1243*-2)^(1/$AR1243)))</f>
        <v/>
      </c>
      <c r="AY1243">
        <f>IF($AR1243="","",IF($AR1243=0,$AS1243*EXP($AT1243*-3),$AS1243*(1+$AR1243*$AT1243*-3)^(1/$AR1243)))</f>
        <v/>
      </c>
      <c r="AZ1243">
        <f>IF(OR($A1243="",$A1243&lt;&gt;Ficha!$C$4),"",COUNTIF($A$2:$A1243,Ficha!$C$4))</f>
        <v/>
      </c>
    </row>
    <row r="1244">
      <c r="A1244" s="8">
        <f>IF(INDEX(Banco!$A:$A,ROW())="","",INDEX(Banco!$A:$A,ROW()))</f>
        <v/>
      </c>
      <c r="B1244" s="8">
        <f>IF(INDEX(Banco!$B:$B,ROW())="","",INDEX(Banco!$B:$B,ROW()))</f>
        <v/>
      </c>
      <c r="C1244" s="8">
        <f>IF(INDEX(Banco!$C:$C,ROW())="","",INDEX(Banco!$C:$C,ROW()))</f>
        <v/>
      </c>
      <c r="D1244" s="9">
        <f>IF(INDEX(Banco!$D:$D,ROW())="","",INDEX(Banco!$D:$D,ROW()))</f>
        <v/>
      </c>
      <c r="E1244" s="9">
        <f>IF(INDEX(Banco!$E:$E,ROW())="","",INDEX(Banco!$E:$E,ROW()))</f>
        <v/>
      </c>
      <c r="F1244" s="10">
        <f>IF(INDEX(Banco!$F:$F,ROW())="","",INDEX(Banco!$F:$F,ROW()))</f>
        <v/>
      </c>
      <c r="G1244" s="10">
        <f>IF(INDEX(Banco!$G:$G,ROW())="","",INDEX(Banco!$G:$G,ROW()))</f>
        <v/>
      </c>
      <c r="H1244" s="8">
        <f>IF(INDEX(Banco!$H:$H,ROW())="","",INDEX(Banco!$H:$H,ROW()))</f>
        <v/>
      </c>
      <c r="I1244">
        <f>IF($T1244="","",INT($T1244/12)&amp;"a "&amp;MOD($T1244,12)&amp;"m")</f>
        <v/>
      </c>
      <c r="J1244" s="11">
        <f>IF(OR($F1244="",$G1244=""),"",ROUND($F1244/($G1244/100)^2,2))</f>
        <v/>
      </c>
      <c r="K1244" s="12">
        <f>IF(OR($S1244="",$J1244="",$T1244="",$T1244&lt;0,$T1244&gt;228,$Y1244=""),"—",ROUND(IF(ABS($AB1244)&lt;=3,$AB1244,IF($AB1244&gt;3,3+($J1244-$AD1244)/($AD1244-$AC1244),-3+($J1244-$AF1244)/($AE1244-$AF1244))),2))</f>
        <v/>
      </c>
      <c r="L1244">
        <f>IF(OR($K1244="",$K1244="—"),"",IF($T1244&lt;=60,IF($K1244&lt;-3,"Magreza acentuada",IF($K1244&lt;-2,"Magreza",IF($K1244&lt;=1,"Eutrofia",IF($K1244&lt;=2,"Risco de sobrepeso",IF($K1244&lt;=3,"Sobrepeso","Obesidade"))))),IF($K1244&lt;-3,"Magreza acentuada",IF($K1244&lt;-2,"Magreza",IF($K1244&lt;=1,"Eutrofia",IF($K1244&lt;=2,"Sobrepeso",IF($K1244&lt;=3,"Obesidade","Obesidade grave")))))))</f>
        <v/>
      </c>
      <c r="M1244" s="12">
        <f>IF(OR($S1244="",$V1244="",$T1244="",$T1244&lt;0,$T1244&gt;228,$AG1244=""),"—",ROUND(IF($AG1244=0,LN($V1244/$AH1244)/$AI1244,((($V1244/$AH1244)^$AG1244)-1)/($AG1244*$AI1244)),2))</f>
        <v/>
      </c>
      <c r="N1244">
        <f>IF(OR($M1244="",$M1244="—"),"",IF($M1244&lt;-3,"Muito baixa",IF($M1244&lt;-2,"Baixa","Adequada")))</f>
        <v/>
      </c>
      <c r="O1244" s="12">
        <f>IF(OR($S1244="",$F1244="",$T1244="",$T1244&lt;0,$T1244&gt;120,$AJ1244=""),"—",ROUND(IF(ABS($AM1244)&lt;=3,$AM1244,IF($AM1244&gt;3,3+($F1244-$AO1244)/($AO1244-$AN1244),-3+($F1244-$AQ1244)/($AP1244-$AQ1244))),2))</f>
        <v/>
      </c>
      <c r="P1244">
        <f>IF(OR($O1244="",$O1244="—"),"",IF($O1244&lt;-3,"Muito baixo",IF($O1244&lt;-2,"Baixo",IF($O1244&lt;=2,"Adequado","Elevado"))))</f>
        <v/>
      </c>
      <c r="Q1244" s="12">
        <f>IF(OR($S1244="",$F1244="",$T1244="",$T1244&lt;0,$T1244&gt;60,$AR1244=""),"—",ROUND(IF(ABS($AU1244)&lt;=3,$AU1244,IF($AU1244&gt;3,3+($F1244-$AW1244)/($AW1244-$AV1244),-3+($F1244-$AY1244)/($AX1244-$AY1244))),2))</f>
        <v/>
      </c>
      <c r="R1244">
        <f>IF(OR($Q1244="",$Q1244="—"),"",IF($Q1244&lt;-3,"Magreza acentuada",IF($Q1244&lt;-2,"Magreza",IF($Q1244&lt;=1,"Eutrofia",IF($Q1244&lt;=2,"Risco de sobrepeso",IF($Q1244&lt;=3,"Sobrepeso","Obesidade"))))))</f>
        <v/>
      </c>
      <c r="S1244">
        <f>IF($C1244="","",IF(UPPER(LEFT($C1244,1))="M",1,IF(UPPER(LEFT($C1244,1))="F",2,"")))</f>
        <v/>
      </c>
      <c r="T1244">
        <f>IF(OR($D1244="",$E1244=""),"",DATEDIF($D1244,$E1244,"m"))</f>
        <v/>
      </c>
      <c r="U1244">
        <f>IF(OR($D1244="",$E1244=""),"",$E1244-$D1244)</f>
        <v/>
      </c>
      <c r="V1244">
        <f>IF(OR($G1244="",$T1244=""),"",IF($T1244&lt;24,IF(LEFT(LOWER($H1244),4)="em p",$G1244+0.7,$G1244),IF(LEFT(LOWER($H1244),4)="deit",$G1244-0.7,$G1244)))</f>
        <v/>
      </c>
      <c r="W1244">
        <f>IF(OR($S1244="",$T1244=""),"",$S1244*1000000+IF($T1244&lt;=60,$U1244,$T1244))</f>
        <v/>
      </c>
      <c r="X1244">
        <f>IF(OR($S1244="",$V1244="",$T1244&gt;60,$T1244=""),"",$S1244*1000000+ROUND($V1244*10,0))</f>
        <v/>
      </c>
      <c r="Y1244">
        <f>IF($W1244="","",IFERROR(INDEX(IF($T1244&lt;=60,imc05_l,imc519_l),MATCH($W1244,IF($T1244&lt;=60,imc05_k,imc519_k),1)),""))</f>
        <v/>
      </c>
      <c r="Z1244">
        <f>IF($W1244="","",IFERROR(INDEX(IF($T1244&lt;=60,imc05_m,imc519_m),MATCH($W1244,IF($T1244&lt;=60,imc05_k,imc519_k),1)),""))</f>
        <v/>
      </c>
      <c r="AA1244">
        <f>IF($W1244="","",IFERROR(INDEX(IF($T1244&lt;=60,imc05_s,imc519_s),MATCH($W1244,IF($T1244&lt;=60,imc05_k,imc519_k),1)),""))</f>
        <v/>
      </c>
      <c r="AB1244">
        <f>IF($Y1244="","",IF($Y1244=0,LN($J1244/$Z1244)/$AA1244,((($J1244/$Z1244)^$Y1244)-1)/($Y1244*$AA1244)))</f>
        <v/>
      </c>
      <c r="AC1244">
        <f>IF($Y1244="","",IF($Y1244=0,$Z1244*EXP($AA1244*2),$Z1244*(1+$Y1244*$AA1244*2)^(1/$Y1244)))</f>
        <v/>
      </c>
      <c r="AD1244">
        <f>IF($Y1244="","",IF($Y1244=0,$Z1244*EXP($AA1244*3),$Z1244*(1+$Y1244*$AA1244*3)^(1/$Y1244)))</f>
        <v/>
      </c>
      <c r="AE1244">
        <f>IF($Y1244="","",IF($Y1244=0,$Z1244*EXP($AA1244*-2),$Z1244*(1+$Y1244*$AA1244*-2)^(1/$Y1244)))</f>
        <v/>
      </c>
      <c r="AF1244">
        <f>IF($Y1244="","",IF($Y1244=0,$Z1244*EXP($AA1244*-3),$Z1244*(1+$Y1244*$AA1244*-3)^(1/$Y1244)))</f>
        <v/>
      </c>
      <c r="AG1244">
        <f>IF($W1244="","",IFERROR(INDEX(IF($T1244&lt;=60,est05_l,est519_l),MATCH($W1244,IF($T1244&lt;=60,est05_k,est519_k),1)),""))</f>
        <v/>
      </c>
      <c r="AH1244">
        <f>IF($W1244="","",IFERROR(INDEX(IF($T1244&lt;=60,est05_m,est519_m),MATCH($W1244,IF($T1244&lt;=60,est05_k,est519_k),1)),""))</f>
        <v/>
      </c>
      <c r="AI1244">
        <f>IF($W1244="","",IFERROR(INDEX(IF($T1244&lt;=60,est05_s,est519_s),MATCH($W1244,IF($T1244&lt;=60,est05_k,est519_k),1)),""))</f>
        <v/>
      </c>
      <c r="AJ1244">
        <f>IF($W1244="","",IFERROR(INDEX(IF($T1244&lt;=60,peso05_l,peso510_l),MATCH($W1244,IF($T1244&lt;=60,peso05_k,peso510_k),1)),""))</f>
        <v/>
      </c>
      <c r="AK1244">
        <f>IF($W1244="","",IFERROR(INDEX(IF($T1244&lt;=60,peso05_m,peso510_m),MATCH($W1244,IF($T1244&lt;=60,peso05_k,peso510_k),1)),""))</f>
        <v/>
      </c>
      <c r="AL1244">
        <f>IF($W1244="","",IFERROR(INDEX(IF($T1244&lt;=60,peso05_s,peso510_s),MATCH($W1244,IF($T1244&lt;=60,peso05_k,peso510_k),1)),""))</f>
        <v/>
      </c>
      <c r="AM1244">
        <f>IF($AJ1244="","",IF($AJ1244=0,LN($F1244/$AK1244)/$AL1244,((($F1244/$AK1244)^$AJ1244)-1)/($AJ1244*$AL1244)))</f>
        <v/>
      </c>
      <c r="AN1244">
        <f>IF($AJ1244="","",IF($AJ1244=0,$AK1244*EXP($AL1244*2),$AK1244*(1+$AJ1244*$AL1244*2)^(1/$AJ1244)))</f>
        <v/>
      </c>
      <c r="AO1244">
        <f>IF($AJ1244="","",IF($AJ1244=0,$AK1244*EXP($AL1244*3),$AK1244*(1+$AJ1244*$AL1244*3)^(1/$AJ1244)))</f>
        <v/>
      </c>
      <c r="AP1244">
        <f>IF($AJ1244="","",IF($AJ1244=0,$AK1244*EXP($AL1244*-2),$AK1244*(1+$AJ1244*$AL1244*-2)^(1/$AJ1244)))</f>
        <v/>
      </c>
      <c r="AQ1244">
        <f>IF($AJ1244="","",IF($AJ1244=0,$AK1244*EXP($AL1244*-3),$AK1244*(1+$AJ1244*$AL1244*-3)^(1/$AJ1244)))</f>
        <v/>
      </c>
      <c r="AR1244">
        <f>IF(OR($X1244="",$T1244&gt;60),"",IFERROR(INDEX(IF($T1244&lt;24,pcomp_l,palt_l),MATCH($X1244,IF($T1244&lt;24,pcomp_k,palt_k),1)),""))</f>
        <v/>
      </c>
      <c r="AS1244">
        <f>IF(OR($X1244="",$T1244&gt;60),"",IFERROR(INDEX(IF($T1244&lt;24,pcomp_m,palt_m),MATCH($X1244,IF($T1244&lt;24,pcomp_k,palt_k),1)),""))</f>
        <v/>
      </c>
      <c r="AT1244">
        <f>IF(OR($X1244="",$T1244&gt;60),"",IFERROR(INDEX(IF($T1244&lt;24,pcomp_s,palt_s),MATCH($X1244,IF($T1244&lt;24,pcomp_k,palt_k),1)),""))</f>
        <v/>
      </c>
      <c r="AU1244">
        <f>IF($AR1244="","",IF($AR1244=0,LN($F1244/$AS1244)/$AT1244,((($F1244/$AS1244)^$AR1244)-1)/($AR1244*$AT1244)))</f>
        <v/>
      </c>
      <c r="AV1244">
        <f>IF($AR1244="","",IF($AR1244=0,$AS1244*EXP($AT1244*2),$AS1244*(1+$AR1244*$AT1244*2)^(1/$AR1244)))</f>
        <v/>
      </c>
      <c r="AW1244">
        <f>IF($AR1244="","",IF($AR1244=0,$AS1244*EXP($AT1244*3),$AS1244*(1+$AR1244*$AT1244*3)^(1/$AR1244)))</f>
        <v/>
      </c>
      <c r="AX1244">
        <f>IF($AR1244="","",IF($AR1244=0,$AS1244*EXP($AT1244*-2),$AS1244*(1+$AR1244*$AT1244*-2)^(1/$AR1244)))</f>
        <v/>
      </c>
      <c r="AY1244">
        <f>IF($AR1244="","",IF($AR1244=0,$AS1244*EXP($AT1244*-3),$AS1244*(1+$AR1244*$AT1244*-3)^(1/$AR1244)))</f>
        <v/>
      </c>
      <c r="AZ1244">
        <f>IF(OR($A1244="",$A1244&lt;&gt;Ficha!$C$4),"",COUNTIF($A$2:$A1244,Ficha!$C$4))</f>
        <v/>
      </c>
    </row>
    <row r="1245">
      <c r="A1245" s="8">
        <f>IF(INDEX(Banco!$A:$A,ROW())="","",INDEX(Banco!$A:$A,ROW()))</f>
        <v/>
      </c>
      <c r="B1245" s="8">
        <f>IF(INDEX(Banco!$B:$B,ROW())="","",INDEX(Banco!$B:$B,ROW()))</f>
        <v/>
      </c>
      <c r="C1245" s="8">
        <f>IF(INDEX(Banco!$C:$C,ROW())="","",INDEX(Banco!$C:$C,ROW()))</f>
        <v/>
      </c>
      <c r="D1245" s="9">
        <f>IF(INDEX(Banco!$D:$D,ROW())="","",INDEX(Banco!$D:$D,ROW()))</f>
        <v/>
      </c>
      <c r="E1245" s="9">
        <f>IF(INDEX(Banco!$E:$E,ROW())="","",INDEX(Banco!$E:$E,ROW()))</f>
        <v/>
      </c>
      <c r="F1245" s="10">
        <f>IF(INDEX(Banco!$F:$F,ROW())="","",INDEX(Banco!$F:$F,ROW()))</f>
        <v/>
      </c>
      <c r="G1245" s="10">
        <f>IF(INDEX(Banco!$G:$G,ROW())="","",INDEX(Banco!$G:$G,ROW()))</f>
        <v/>
      </c>
      <c r="H1245" s="8">
        <f>IF(INDEX(Banco!$H:$H,ROW())="","",INDEX(Banco!$H:$H,ROW()))</f>
        <v/>
      </c>
      <c r="I1245">
        <f>IF($T1245="","",INT($T1245/12)&amp;"a "&amp;MOD($T1245,12)&amp;"m")</f>
        <v/>
      </c>
      <c r="J1245" s="11">
        <f>IF(OR($F1245="",$G1245=""),"",ROUND($F1245/($G1245/100)^2,2))</f>
        <v/>
      </c>
      <c r="K1245" s="12">
        <f>IF(OR($S1245="",$J1245="",$T1245="",$T1245&lt;0,$T1245&gt;228,$Y1245=""),"—",ROUND(IF(ABS($AB1245)&lt;=3,$AB1245,IF($AB1245&gt;3,3+($J1245-$AD1245)/($AD1245-$AC1245),-3+($J1245-$AF1245)/($AE1245-$AF1245))),2))</f>
        <v/>
      </c>
      <c r="L1245">
        <f>IF(OR($K1245="",$K1245="—"),"",IF($T1245&lt;=60,IF($K1245&lt;-3,"Magreza acentuada",IF($K1245&lt;-2,"Magreza",IF($K1245&lt;=1,"Eutrofia",IF($K1245&lt;=2,"Risco de sobrepeso",IF($K1245&lt;=3,"Sobrepeso","Obesidade"))))),IF($K1245&lt;-3,"Magreza acentuada",IF($K1245&lt;-2,"Magreza",IF($K1245&lt;=1,"Eutrofia",IF($K1245&lt;=2,"Sobrepeso",IF($K1245&lt;=3,"Obesidade","Obesidade grave")))))))</f>
        <v/>
      </c>
      <c r="M1245" s="12">
        <f>IF(OR($S1245="",$V1245="",$T1245="",$T1245&lt;0,$T1245&gt;228,$AG1245=""),"—",ROUND(IF($AG1245=0,LN($V1245/$AH1245)/$AI1245,((($V1245/$AH1245)^$AG1245)-1)/($AG1245*$AI1245)),2))</f>
        <v/>
      </c>
      <c r="N1245">
        <f>IF(OR($M1245="",$M1245="—"),"",IF($M1245&lt;-3,"Muito baixa",IF($M1245&lt;-2,"Baixa","Adequada")))</f>
        <v/>
      </c>
      <c r="O1245" s="12">
        <f>IF(OR($S1245="",$F1245="",$T1245="",$T1245&lt;0,$T1245&gt;120,$AJ1245=""),"—",ROUND(IF(ABS($AM1245)&lt;=3,$AM1245,IF($AM1245&gt;3,3+($F1245-$AO1245)/($AO1245-$AN1245),-3+($F1245-$AQ1245)/($AP1245-$AQ1245))),2))</f>
        <v/>
      </c>
      <c r="P1245">
        <f>IF(OR($O1245="",$O1245="—"),"",IF($O1245&lt;-3,"Muito baixo",IF($O1245&lt;-2,"Baixo",IF($O1245&lt;=2,"Adequado","Elevado"))))</f>
        <v/>
      </c>
      <c r="Q1245" s="12">
        <f>IF(OR($S1245="",$F1245="",$T1245="",$T1245&lt;0,$T1245&gt;60,$AR1245=""),"—",ROUND(IF(ABS($AU1245)&lt;=3,$AU1245,IF($AU1245&gt;3,3+($F1245-$AW1245)/($AW1245-$AV1245),-3+($F1245-$AY1245)/($AX1245-$AY1245))),2))</f>
        <v/>
      </c>
      <c r="R1245">
        <f>IF(OR($Q1245="",$Q1245="—"),"",IF($Q1245&lt;-3,"Magreza acentuada",IF($Q1245&lt;-2,"Magreza",IF($Q1245&lt;=1,"Eutrofia",IF($Q1245&lt;=2,"Risco de sobrepeso",IF($Q1245&lt;=3,"Sobrepeso","Obesidade"))))))</f>
        <v/>
      </c>
      <c r="S1245">
        <f>IF($C1245="","",IF(UPPER(LEFT($C1245,1))="M",1,IF(UPPER(LEFT($C1245,1))="F",2,"")))</f>
        <v/>
      </c>
      <c r="T1245">
        <f>IF(OR($D1245="",$E1245=""),"",DATEDIF($D1245,$E1245,"m"))</f>
        <v/>
      </c>
      <c r="U1245">
        <f>IF(OR($D1245="",$E1245=""),"",$E1245-$D1245)</f>
        <v/>
      </c>
      <c r="V1245">
        <f>IF(OR($G1245="",$T1245=""),"",IF($T1245&lt;24,IF(LEFT(LOWER($H1245),4)="em p",$G1245+0.7,$G1245),IF(LEFT(LOWER($H1245),4)="deit",$G1245-0.7,$G1245)))</f>
        <v/>
      </c>
      <c r="W1245">
        <f>IF(OR($S1245="",$T1245=""),"",$S1245*1000000+IF($T1245&lt;=60,$U1245,$T1245))</f>
        <v/>
      </c>
      <c r="X1245">
        <f>IF(OR($S1245="",$V1245="",$T1245&gt;60,$T1245=""),"",$S1245*1000000+ROUND($V1245*10,0))</f>
        <v/>
      </c>
      <c r="Y1245">
        <f>IF($W1245="","",IFERROR(INDEX(IF($T1245&lt;=60,imc05_l,imc519_l),MATCH($W1245,IF($T1245&lt;=60,imc05_k,imc519_k),1)),""))</f>
        <v/>
      </c>
      <c r="Z1245">
        <f>IF($W1245="","",IFERROR(INDEX(IF($T1245&lt;=60,imc05_m,imc519_m),MATCH($W1245,IF($T1245&lt;=60,imc05_k,imc519_k),1)),""))</f>
        <v/>
      </c>
      <c r="AA1245">
        <f>IF($W1245="","",IFERROR(INDEX(IF($T1245&lt;=60,imc05_s,imc519_s),MATCH($W1245,IF($T1245&lt;=60,imc05_k,imc519_k),1)),""))</f>
        <v/>
      </c>
      <c r="AB1245">
        <f>IF($Y1245="","",IF($Y1245=0,LN($J1245/$Z1245)/$AA1245,((($J1245/$Z1245)^$Y1245)-1)/($Y1245*$AA1245)))</f>
        <v/>
      </c>
      <c r="AC1245">
        <f>IF($Y1245="","",IF($Y1245=0,$Z1245*EXP($AA1245*2),$Z1245*(1+$Y1245*$AA1245*2)^(1/$Y1245)))</f>
        <v/>
      </c>
      <c r="AD1245">
        <f>IF($Y1245="","",IF($Y1245=0,$Z1245*EXP($AA1245*3),$Z1245*(1+$Y1245*$AA1245*3)^(1/$Y1245)))</f>
        <v/>
      </c>
      <c r="AE1245">
        <f>IF($Y1245="","",IF($Y1245=0,$Z1245*EXP($AA1245*-2),$Z1245*(1+$Y1245*$AA1245*-2)^(1/$Y1245)))</f>
        <v/>
      </c>
      <c r="AF1245">
        <f>IF($Y1245="","",IF($Y1245=0,$Z1245*EXP($AA1245*-3),$Z1245*(1+$Y1245*$AA1245*-3)^(1/$Y1245)))</f>
        <v/>
      </c>
      <c r="AG1245">
        <f>IF($W1245="","",IFERROR(INDEX(IF($T1245&lt;=60,est05_l,est519_l),MATCH($W1245,IF($T1245&lt;=60,est05_k,est519_k),1)),""))</f>
        <v/>
      </c>
      <c r="AH1245">
        <f>IF($W1245="","",IFERROR(INDEX(IF($T1245&lt;=60,est05_m,est519_m),MATCH($W1245,IF($T1245&lt;=60,est05_k,est519_k),1)),""))</f>
        <v/>
      </c>
      <c r="AI1245">
        <f>IF($W1245="","",IFERROR(INDEX(IF($T1245&lt;=60,est05_s,est519_s),MATCH($W1245,IF($T1245&lt;=60,est05_k,est519_k),1)),""))</f>
        <v/>
      </c>
      <c r="AJ1245">
        <f>IF($W1245="","",IFERROR(INDEX(IF($T1245&lt;=60,peso05_l,peso510_l),MATCH($W1245,IF($T1245&lt;=60,peso05_k,peso510_k),1)),""))</f>
        <v/>
      </c>
      <c r="AK1245">
        <f>IF($W1245="","",IFERROR(INDEX(IF($T1245&lt;=60,peso05_m,peso510_m),MATCH($W1245,IF($T1245&lt;=60,peso05_k,peso510_k),1)),""))</f>
        <v/>
      </c>
      <c r="AL1245">
        <f>IF($W1245="","",IFERROR(INDEX(IF($T1245&lt;=60,peso05_s,peso510_s),MATCH($W1245,IF($T1245&lt;=60,peso05_k,peso510_k),1)),""))</f>
        <v/>
      </c>
      <c r="AM1245">
        <f>IF($AJ1245="","",IF($AJ1245=0,LN($F1245/$AK1245)/$AL1245,((($F1245/$AK1245)^$AJ1245)-1)/($AJ1245*$AL1245)))</f>
        <v/>
      </c>
      <c r="AN1245">
        <f>IF($AJ1245="","",IF($AJ1245=0,$AK1245*EXP($AL1245*2),$AK1245*(1+$AJ1245*$AL1245*2)^(1/$AJ1245)))</f>
        <v/>
      </c>
      <c r="AO1245">
        <f>IF($AJ1245="","",IF($AJ1245=0,$AK1245*EXP($AL1245*3),$AK1245*(1+$AJ1245*$AL1245*3)^(1/$AJ1245)))</f>
        <v/>
      </c>
      <c r="AP1245">
        <f>IF($AJ1245="","",IF($AJ1245=0,$AK1245*EXP($AL1245*-2),$AK1245*(1+$AJ1245*$AL1245*-2)^(1/$AJ1245)))</f>
        <v/>
      </c>
      <c r="AQ1245">
        <f>IF($AJ1245="","",IF($AJ1245=0,$AK1245*EXP($AL1245*-3),$AK1245*(1+$AJ1245*$AL1245*-3)^(1/$AJ1245)))</f>
        <v/>
      </c>
      <c r="AR1245">
        <f>IF(OR($X1245="",$T1245&gt;60),"",IFERROR(INDEX(IF($T1245&lt;24,pcomp_l,palt_l),MATCH($X1245,IF($T1245&lt;24,pcomp_k,palt_k),1)),""))</f>
        <v/>
      </c>
      <c r="AS1245">
        <f>IF(OR($X1245="",$T1245&gt;60),"",IFERROR(INDEX(IF($T1245&lt;24,pcomp_m,palt_m),MATCH($X1245,IF($T1245&lt;24,pcomp_k,palt_k),1)),""))</f>
        <v/>
      </c>
      <c r="AT1245">
        <f>IF(OR($X1245="",$T1245&gt;60),"",IFERROR(INDEX(IF($T1245&lt;24,pcomp_s,palt_s),MATCH($X1245,IF($T1245&lt;24,pcomp_k,palt_k),1)),""))</f>
        <v/>
      </c>
      <c r="AU1245">
        <f>IF($AR1245="","",IF($AR1245=0,LN($F1245/$AS1245)/$AT1245,((($F1245/$AS1245)^$AR1245)-1)/($AR1245*$AT1245)))</f>
        <v/>
      </c>
      <c r="AV1245">
        <f>IF($AR1245="","",IF($AR1245=0,$AS1245*EXP($AT1245*2),$AS1245*(1+$AR1245*$AT1245*2)^(1/$AR1245)))</f>
        <v/>
      </c>
      <c r="AW1245">
        <f>IF($AR1245="","",IF($AR1245=0,$AS1245*EXP($AT1245*3),$AS1245*(1+$AR1245*$AT1245*3)^(1/$AR1245)))</f>
        <v/>
      </c>
      <c r="AX1245">
        <f>IF($AR1245="","",IF($AR1245=0,$AS1245*EXP($AT1245*-2),$AS1245*(1+$AR1245*$AT1245*-2)^(1/$AR1245)))</f>
        <v/>
      </c>
      <c r="AY1245">
        <f>IF($AR1245="","",IF($AR1245=0,$AS1245*EXP($AT1245*-3),$AS1245*(1+$AR1245*$AT1245*-3)^(1/$AR1245)))</f>
        <v/>
      </c>
      <c r="AZ1245">
        <f>IF(OR($A1245="",$A1245&lt;&gt;Ficha!$C$4),"",COUNTIF($A$2:$A1245,Ficha!$C$4))</f>
        <v/>
      </c>
    </row>
    <row r="1246">
      <c r="A1246" s="8">
        <f>IF(INDEX(Banco!$A:$A,ROW())="","",INDEX(Banco!$A:$A,ROW()))</f>
        <v/>
      </c>
      <c r="B1246" s="8">
        <f>IF(INDEX(Banco!$B:$B,ROW())="","",INDEX(Banco!$B:$B,ROW()))</f>
        <v/>
      </c>
      <c r="C1246" s="8">
        <f>IF(INDEX(Banco!$C:$C,ROW())="","",INDEX(Banco!$C:$C,ROW()))</f>
        <v/>
      </c>
      <c r="D1246" s="9">
        <f>IF(INDEX(Banco!$D:$D,ROW())="","",INDEX(Banco!$D:$D,ROW()))</f>
        <v/>
      </c>
      <c r="E1246" s="9">
        <f>IF(INDEX(Banco!$E:$E,ROW())="","",INDEX(Banco!$E:$E,ROW()))</f>
        <v/>
      </c>
      <c r="F1246" s="10">
        <f>IF(INDEX(Banco!$F:$F,ROW())="","",INDEX(Banco!$F:$F,ROW()))</f>
        <v/>
      </c>
      <c r="G1246" s="10">
        <f>IF(INDEX(Banco!$G:$G,ROW())="","",INDEX(Banco!$G:$G,ROW()))</f>
        <v/>
      </c>
      <c r="H1246" s="8">
        <f>IF(INDEX(Banco!$H:$H,ROW())="","",INDEX(Banco!$H:$H,ROW()))</f>
        <v/>
      </c>
      <c r="I1246">
        <f>IF($T1246="","",INT($T1246/12)&amp;"a "&amp;MOD($T1246,12)&amp;"m")</f>
        <v/>
      </c>
      <c r="J1246" s="11">
        <f>IF(OR($F1246="",$G1246=""),"",ROUND($F1246/($G1246/100)^2,2))</f>
        <v/>
      </c>
      <c r="K1246" s="12">
        <f>IF(OR($S1246="",$J1246="",$T1246="",$T1246&lt;0,$T1246&gt;228,$Y1246=""),"—",ROUND(IF(ABS($AB1246)&lt;=3,$AB1246,IF($AB1246&gt;3,3+($J1246-$AD1246)/($AD1246-$AC1246),-3+($J1246-$AF1246)/($AE1246-$AF1246))),2))</f>
        <v/>
      </c>
      <c r="L1246">
        <f>IF(OR($K1246="",$K1246="—"),"",IF($T1246&lt;=60,IF($K1246&lt;-3,"Magreza acentuada",IF($K1246&lt;-2,"Magreza",IF($K1246&lt;=1,"Eutrofia",IF($K1246&lt;=2,"Risco de sobrepeso",IF($K1246&lt;=3,"Sobrepeso","Obesidade"))))),IF($K1246&lt;-3,"Magreza acentuada",IF($K1246&lt;-2,"Magreza",IF($K1246&lt;=1,"Eutrofia",IF($K1246&lt;=2,"Sobrepeso",IF($K1246&lt;=3,"Obesidade","Obesidade grave")))))))</f>
        <v/>
      </c>
      <c r="M1246" s="12">
        <f>IF(OR($S1246="",$V1246="",$T1246="",$T1246&lt;0,$T1246&gt;228,$AG1246=""),"—",ROUND(IF($AG1246=0,LN($V1246/$AH1246)/$AI1246,((($V1246/$AH1246)^$AG1246)-1)/($AG1246*$AI1246)),2))</f>
        <v/>
      </c>
      <c r="N1246">
        <f>IF(OR($M1246="",$M1246="—"),"",IF($M1246&lt;-3,"Muito baixa",IF($M1246&lt;-2,"Baixa","Adequada")))</f>
        <v/>
      </c>
      <c r="O1246" s="12">
        <f>IF(OR($S1246="",$F1246="",$T1246="",$T1246&lt;0,$T1246&gt;120,$AJ1246=""),"—",ROUND(IF(ABS($AM1246)&lt;=3,$AM1246,IF($AM1246&gt;3,3+($F1246-$AO1246)/($AO1246-$AN1246),-3+($F1246-$AQ1246)/($AP1246-$AQ1246))),2))</f>
        <v/>
      </c>
      <c r="P1246">
        <f>IF(OR($O1246="",$O1246="—"),"",IF($O1246&lt;-3,"Muito baixo",IF($O1246&lt;-2,"Baixo",IF($O1246&lt;=2,"Adequado","Elevado"))))</f>
        <v/>
      </c>
      <c r="Q1246" s="12">
        <f>IF(OR($S1246="",$F1246="",$T1246="",$T1246&lt;0,$T1246&gt;60,$AR1246=""),"—",ROUND(IF(ABS($AU1246)&lt;=3,$AU1246,IF($AU1246&gt;3,3+($F1246-$AW1246)/($AW1246-$AV1246),-3+($F1246-$AY1246)/($AX1246-$AY1246))),2))</f>
        <v/>
      </c>
      <c r="R1246">
        <f>IF(OR($Q1246="",$Q1246="—"),"",IF($Q1246&lt;-3,"Magreza acentuada",IF($Q1246&lt;-2,"Magreza",IF($Q1246&lt;=1,"Eutrofia",IF($Q1246&lt;=2,"Risco de sobrepeso",IF($Q1246&lt;=3,"Sobrepeso","Obesidade"))))))</f>
        <v/>
      </c>
      <c r="S1246">
        <f>IF($C1246="","",IF(UPPER(LEFT($C1246,1))="M",1,IF(UPPER(LEFT($C1246,1))="F",2,"")))</f>
        <v/>
      </c>
      <c r="T1246">
        <f>IF(OR($D1246="",$E1246=""),"",DATEDIF($D1246,$E1246,"m"))</f>
        <v/>
      </c>
      <c r="U1246">
        <f>IF(OR($D1246="",$E1246=""),"",$E1246-$D1246)</f>
        <v/>
      </c>
      <c r="V1246">
        <f>IF(OR($G1246="",$T1246=""),"",IF($T1246&lt;24,IF(LEFT(LOWER($H1246),4)="em p",$G1246+0.7,$G1246),IF(LEFT(LOWER($H1246),4)="deit",$G1246-0.7,$G1246)))</f>
        <v/>
      </c>
      <c r="W1246">
        <f>IF(OR($S1246="",$T1246=""),"",$S1246*1000000+IF($T1246&lt;=60,$U1246,$T1246))</f>
        <v/>
      </c>
      <c r="X1246">
        <f>IF(OR($S1246="",$V1246="",$T1246&gt;60,$T1246=""),"",$S1246*1000000+ROUND($V1246*10,0))</f>
        <v/>
      </c>
      <c r="Y1246">
        <f>IF($W1246="","",IFERROR(INDEX(IF($T1246&lt;=60,imc05_l,imc519_l),MATCH($W1246,IF($T1246&lt;=60,imc05_k,imc519_k),1)),""))</f>
        <v/>
      </c>
      <c r="Z1246">
        <f>IF($W1246="","",IFERROR(INDEX(IF($T1246&lt;=60,imc05_m,imc519_m),MATCH($W1246,IF($T1246&lt;=60,imc05_k,imc519_k),1)),""))</f>
        <v/>
      </c>
      <c r="AA1246">
        <f>IF($W1246="","",IFERROR(INDEX(IF($T1246&lt;=60,imc05_s,imc519_s),MATCH($W1246,IF($T1246&lt;=60,imc05_k,imc519_k),1)),""))</f>
        <v/>
      </c>
      <c r="AB1246">
        <f>IF($Y1246="","",IF($Y1246=0,LN($J1246/$Z1246)/$AA1246,((($J1246/$Z1246)^$Y1246)-1)/($Y1246*$AA1246)))</f>
        <v/>
      </c>
      <c r="AC1246">
        <f>IF($Y1246="","",IF($Y1246=0,$Z1246*EXP($AA1246*2),$Z1246*(1+$Y1246*$AA1246*2)^(1/$Y1246)))</f>
        <v/>
      </c>
      <c r="AD1246">
        <f>IF($Y1246="","",IF($Y1246=0,$Z1246*EXP($AA1246*3),$Z1246*(1+$Y1246*$AA1246*3)^(1/$Y1246)))</f>
        <v/>
      </c>
      <c r="AE1246">
        <f>IF($Y1246="","",IF($Y1246=0,$Z1246*EXP($AA1246*-2),$Z1246*(1+$Y1246*$AA1246*-2)^(1/$Y1246)))</f>
        <v/>
      </c>
      <c r="AF1246">
        <f>IF($Y1246="","",IF($Y1246=0,$Z1246*EXP($AA1246*-3),$Z1246*(1+$Y1246*$AA1246*-3)^(1/$Y1246)))</f>
        <v/>
      </c>
      <c r="AG1246">
        <f>IF($W1246="","",IFERROR(INDEX(IF($T1246&lt;=60,est05_l,est519_l),MATCH($W1246,IF($T1246&lt;=60,est05_k,est519_k),1)),""))</f>
        <v/>
      </c>
      <c r="AH1246">
        <f>IF($W1246="","",IFERROR(INDEX(IF($T1246&lt;=60,est05_m,est519_m),MATCH($W1246,IF($T1246&lt;=60,est05_k,est519_k),1)),""))</f>
        <v/>
      </c>
      <c r="AI1246">
        <f>IF($W1246="","",IFERROR(INDEX(IF($T1246&lt;=60,est05_s,est519_s),MATCH($W1246,IF($T1246&lt;=60,est05_k,est519_k),1)),""))</f>
        <v/>
      </c>
      <c r="AJ1246">
        <f>IF($W1246="","",IFERROR(INDEX(IF($T1246&lt;=60,peso05_l,peso510_l),MATCH($W1246,IF($T1246&lt;=60,peso05_k,peso510_k),1)),""))</f>
        <v/>
      </c>
      <c r="AK1246">
        <f>IF($W1246="","",IFERROR(INDEX(IF($T1246&lt;=60,peso05_m,peso510_m),MATCH($W1246,IF($T1246&lt;=60,peso05_k,peso510_k),1)),""))</f>
        <v/>
      </c>
      <c r="AL1246">
        <f>IF($W1246="","",IFERROR(INDEX(IF($T1246&lt;=60,peso05_s,peso510_s),MATCH($W1246,IF($T1246&lt;=60,peso05_k,peso510_k),1)),""))</f>
        <v/>
      </c>
      <c r="AM1246">
        <f>IF($AJ1246="","",IF($AJ1246=0,LN($F1246/$AK1246)/$AL1246,((($F1246/$AK1246)^$AJ1246)-1)/($AJ1246*$AL1246)))</f>
        <v/>
      </c>
      <c r="AN1246">
        <f>IF($AJ1246="","",IF($AJ1246=0,$AK1246*EXP($AL1246*2),$AK1246*(1+$AJ1246*$AL1246*2)^(1/$AJ1246)))</f>
        <v/>
      </c>
      <c r="AO1246">
        <f>IF($AJ1246="","",IF($AJ1246=0,$AK1246*EXP($AL1246*3),$AK1246*(1+$AJ1246*$AL1246*3)^(1/$AJ1246)))</f>
        <v/>
      </c>
      <c r="AP1246">
        <f>IF($AJ1246="","",IF($AJ1246=0,$AK1246*EXP($AL1246*-2),$AK1246*(1+$AJ1246*$AL1246*-2)^(1/$AJ1246)))</f>
        <v/>
      </c>
      <c r="AQ1246">
        <f>IF($AJ1246="","",IF($AJ1246=0,$AK1246*EXP($AL1246*-3),$AK1246*(1+$AJ1246*$AL1246*-3)^(1/$AJ1246)))</f>
        <v/>
      </c>
      <c r="AR1246">
        <f>IF(OR($X1246="",$T1246&gt;60),"",IFERROR(INDEX(IF($T1246&lt;24,pcomp_l,palt_l),MATCH($X1246,IF($T1246&lt;24,pcomp_k,palt_k),1)),""))</f>
        <v/>
      </c>
      <c r="AS1246">
        <f>IF(OR($X1246="",$T1246&gt;60),"",IFERROR(INDEX(IF($T1246&lt;24,pcomp_m,palt_m),MATCH($X1246,IF($T1246&lt;24,pcomp_k,palt_k),1)),""))</f>
        <v/>
      </c>
      <c r="AT1246">
        <f>IF(OR($X1246="",$T1246&gt;60),"",IFERROR(INDEX(IF($T1246&lt;24,pcomp_s,palt_s),MATCH($X1246,IF($T1246&lt;24,pcomp_k,palt_k),1)),""))</f>
        <v/>
      </c>
      <c r="AU1246">
        <f>IF($AR1246="","",IF($AR1246=0,LN($F1246/$AS1246)/$AT1246,((($F1246/$AS1246)^$AR1246)-1)/($AR1246*$AT1246)))</f>
        <v/>
      </c>
      <c r="AV1246">
        <f>IF($AR1246="","",IF($AR1246=0,$AS1246*EXP($AT1246*2),$AS1246*(1+$AR1246*$AT1246*2)^(1/$AR1246)))</f>
        <v/>
      </c>
      <c r="AW1246">
        <f>IF($AR1246="","",IF($AR1246=0,$AS1246*EXP($AT1246*3),$AS1246*(1+$AR1246*$AT1246*3)^(1/$AR1246)))</f>
        <v/>
      </c>
      <c r="AX1246">
        <f>IF($AR1246="","",IF($AR1246=0,$AS1246*EXP($AT1246*-2),$AS1246*(1+$AR1246*$AT1246*-2)^(1/$AR1246)))</f>
        <v/>
      </c>
      <c r="AY1246">
        <f>IF($AR1246="","",IF($AR1246=0,$AS1246*EXP($AT1246*-3),$AS1246*(1+$AR1246*$AT1246*-3)^(1/$AR1246)))</f>
        <v/>
      </c>
      <c r="AZ1246">
        <f>IF(OR($A1246="",$A1246&lt;&gt;Ficha!$C$4),"",COUNTIF($A$2:$A1246,Ficha!$C$4))</f>
        <v/>
      </c>
    </row>
    <row r="1247">
      <c r="A1247" s="8">
        <f>IF(INDEX(Banco!$A:$A,ROW())="","",INDEX(Banco!$A:$A,ROW()))</f>
        <v/>
      </c>
      <c r="B1247" s="8">
        <f>IF(INDEX(Banco!$B:$B,ROW())="","",INDEX(Banco!$B:$B,ROW()))</f>
        <v/>
      </c>
      <c r="C1247" s="8">
        <f>IF(INDEX(Banco!$C:$C,ROW())="","",INDEX(Banco!$C:$C,ROW()))</f>
        <v/>
      </c>
      <c r="D1247" s="9">
        <f>IF(INDEX(Banco!$D:$D,ROW())="","",INDEX(Banco!$D:$D,ROW()))</f>
        <v/>
      </c>
      <c r="E1247" s="9">
        <f>IF(INDEX(Banco!$E:$E,ROW())="","",INDEX(Banco!$E:$E,ROW()))</f>
        <v/>
      </c>
      <c r="F1247" s="10">
        <f>IF(INDEX(Banco!$F:$F,ROW())="","",INDEX(Banco!$F:$F,ROW()))</f>
        <v/>
      </c>
      <c r="G1247" s="10">
        <f>IF(INDEX(Banco!$G:$G,ROW())="","",INDEX(Banco!$G:$G,ROW()))</f>
        <v/>
      </c>
      <c r="H1247" s="8">
        <f>IF(INDEX(Banco!$H:$H,ROW())="","",INDEX(Banco!$H:$H,ROW()))</f>
        <v/>
      </c>
      <c r="I1247">
        <f>IF($T1247="","",INT($T1247/12)&amp;"a "&amp;MOD($T1247,12)&amp;"m")</f>
        <v/>
      </c>
      <c r="J1247" s="11">
        <f>IF(OR($F1247="",$G1247=""),"",ROUND($F1247/($G1247/100)^2,2))</f>
        <v/>
      </c>
      <c r="K1247" s="12">
        <f>IF(OR($S1247="",$J1247="",$T1247="",$T1247&lt;0,$T1247&gt;228,$Y1247=""),"—",ROUND(IF(ABS($AB1247)&lt;=3,$AB1247,IF($AB1247&gt;3,3+($J1247-$AD1247)/($AD1247-$AC1247),-3+($J1247-$AF1247)/($AE1247-$AF1247))),2))</f>
        <v/>
      </c>
      <c r="L1247">
        <f>IF(OR($K1247="",$K1247="—"),"",IF($T1247&lt;=60,IF($K1247&lt;-3,"Magreza acentuada",IF($K1247&lt;-2,"Magreza",IF($K1247&lt;=1,"Eutrofia",IF($K1247&lt;=2,"Risco de sobrepeso",IF($K1247&lt;=3,"Sobrepeso","Obesidade"))))),IF($K1247&lt;-3,"Magreza acentuada",IF($K1247&lt;-2,"Magreza",IF($K1247&lt;=1,"Eutrofia",IF($K1247&lt;=2,"Sobrepeso",IF($K1247&lt;=3,"Obesidade","Obesidade grave")))))))</f>
        <v/>
      </c>
      <c r="M1247" s="12">
        <f>IF(OR($S1247="",$V1247="",$T1247="",$T1247&lt;0,$T1247&gt;228,$AG1247=""),"—",ROUND(IF($AG1247=0,LN($V1247/$AH1247)/$AI1247,((($V1247/$AH1247)^$AG1247)-1)/($AG1247*$AI1247)),2))</f>
        <v/>
      </c>
      <c r="N1247">
        <f>IF(OR($M1247="",$M1247="—"),"",IF($M1247&lt;-3,"Muito baixa",IF($M1247&lt;-2,"Baixa","Adequada")))</f>
        <v/>
      </c>
      <c r="O1247" s="12">
        <f>IF(OR($S1247="",$F1247="",$T1247="",$T1247&lt;0,$T1247&gt;120,$AJ1247=""),"—",ROUND(IF(ABS($AM1247)&lt;=3,$AM1247,IF($AM1247&gt;3,3+($F1247-$AO1247)/($AO1247-$AN1247),-3+($F1247-$AQ1247)/($AP1247-$AQ1247))),2))</f>
        <v/>
      </c>
      <c r="P1247">
        <f>IF(OR($O1247="",$O1247="—"),"",IF($O1247&lt;-3,"Muito baixo",IF($O1247&lt;-2,"Baixo",IF($O1247&lt;=2,"Adequado","Elevado"))))</f>
        <v/>
      </c>
      <c r="Q1247" s="12">
        <f>IF(OR($S1247="",$F1247="",$T1247="",$T1247&lt;0,$T1247&gt;60,$AR1247=""),"—",ROUND(IF(ABS($AU1247)&lt;=3,$AU1247,IF($AU1247&gt;3,3+($F1247-$AW1247)/($AW1247-$AV1247),-3+($F1247-$AY1247)/($AX1247-$AY1247))),2))</f>
        <v/>
      </c>
      <c r="R1247">
        <f>IF(OR($Q1247="",$Q1247="—"),"",IF($Q1247&lt;-3,"Magreza acentuada",IF($Q1247&lt;-2,"Magreza",IF($Q1247&lt;=1,"Eutrofia",IF($Q1247&lt;=2,"Risco de sobrepeso",IF($Q1247&lt;=3,"Sobrepeso","Obesidade"))))))</f>
        <v/>
      </c>
      <c r="S1247">
        <f>IF($C1247="","",IF(UPPER(LEFT($C1247,1))="M",1,IF(UPPER(LEFT($C1247,1))="F",2,"")))</f>
        <v/>
      </c>
      <c r="T1247">
        <f>IF(OR($D1247="",$E1247=""),"",DATEDIF($D1247,$E1247,"m"))</f>
        <v/>
      </c>
      <c r="U1247">
        <f>IF(OR($D1247="",$E1247=""),"",$E1247-$D1247)</f>
        <v/>
      </c>
      <c r="V1247">
        <f>IF(OR($G1247="",$T1247=""),"",IF($T1247&lt;24,IF(LEFT(LOWER($H1247),4)="em p",$G1247+0.7,$G1247),IF(LEFT(LOWER($H1247),4)="deit",$G1247-0.7,$G1247)))</f>
        <v/>
      </c>
      <c r="W1247">
        <f>IF(OR($S1247="",$T1247=""),"",$S1247*1000000+IF($T1247&lt;=60,$U1247,$T1247))</f>
        <v/>
      </c>
      <c r="X1247">
        <f>IF(OR($S1247="",$V1247="",$T1247&gt;60,$T1247=""),"",$S1247*1000000+ROUND($V1247*10,0))</f>
        <v/>
      </c>
      <c r="Y1247">
        <f>IF($W1247="","",IFERROR(INDEX(IF($T1247&lt;=60,imc05_l,imc519_l),MATCH($W1247,IF($T1247&lt;=60,imc05_k,imc519_k),1)),""))</f>
        <v/>
      </c>
      <c r="Z1247">
        <f>IF($W1247="","",IFERROR(INDEX(IF($T1247&lt;=60,imc05_m,imc519_m),MATCH($W1247,IF($T1247&lt;=60,imc05_k,imc519_k),1)),""))</f>
        <v/>
      </c>
      <c r="AA1247">
        <f>IF($W1247="","",IFERROR(INDEX(IF($T1247&lt;=60,imc05_s,imc519_s),MATCH($W1247,IF($T1247&lt;=60,imc05_k,imc519_k),1)),""))</f>
        <v/>
      </c>
      <c r="AB1247">
        <f>IF($Y1247="","",IF($Y1247=0,LN($J1247/$Z1247)/$AA1247,((($J1247/$Z1247)^$Y1247)-1)/($Y1247*$AA1247)))</f>
        <v/>
      </c>
      <c r="AC1247">
        <f>IF($Y1247="","",IF($Y1247=0,$Z1247*EXP($AA1247*2),$Z1247*(1+$Y1247*$AA1247*2)^(1/$Y1247)))</f>
        <v/>
      </c>
      <c r="AD1247">
        <f>IF($Y1247="","",IF($Y1247=0,$Z1247*EXP($AA1247*3),$Z1247*(1+$Y1247*$AA1247*3)^(1/$Y1247)))</f>
        <v/>
      </c>
      <c r="AE1247">
        <f>IF($Y1247="","",IF($Y1247=0,$Z1247*EXP($AA1247*-2),$Z1247*(1+$Y1247*$AA1247*-2)^(1/$Y1247)))</f>
        <v/>
      </c>
      <c r="AF1247">
        <f>IF($Y1247="","",IF($Y1247=0,$Z1247*EXP($AA1247*-3),$Z1247*(1+$Y1247*$AA1247*-3)^(1/$Y1247)))</f>
        <v/>
      </c>
      <c r="AG1247">
        <f>IF($W1247="","",IFERROR(INDEX(IF($T1247&lt;=60,est05_l,est519_l),MATCH($W1247,IF($T1247&lt;=60,est05_k,est519_k),1)),""))</f>
        <v/>
      </c>
      <c r="AH1247">
        <f>IF($W1247="","",IFERROR(INDEX(IF($T1247&lt;=60,est05_m,est519_m),MATCH($W1247,IF($T1247&lt;=60,est05_k,est519_k),1)),""))</f>
        <v/>
      </c>
      <c r="AI1247">
        <f>IF($W1247="","",IFERROR(INDEX(IF($T1247&lt;=60,est05_s,est519_s),MATCH($W1247,IF($T1247&lt;=60,est05_k,est519_k),1)),""))</f>
        <v/>
      </c>
      <c r="AJ1247">
        <f>IF($W1247="","",IFERROR(INDEX(IF($T1247&lt;=60,peso05_l,peso510_l),MATCH($W1247,IF($T1247&lt;=60,peso05_k,peso510_k),1)),""))</f>
        <v/>
      </c>
      <c r="AK1247">
        <f>IF($W1247="","",IFERROR(INDEX(IF($T1247&lt;=60,peso05_m,peso510_m),MATCH($W1247,IF($T1247&lt;=60,peso05_k,peso510_k),1)),""))</f>
        <v/>
      </c>
      <c r="AL1247">
        <f>IF($W1247="","",IFERROR(INDEX(IF($T1247&lt;=60,peso05_s,peso510_s),MATCH($W1247,IF($T1247&lt;=60,peso05_k,peso510_k),1)),""))</f>
        <v/>
      </c>
      <c r="AM1247">
        <f>IF($AJ1247="","",IF($AJ1247=0,LN($F1247/$AK1247)/$AL1247,((($F1247/$AK1247)^$AJ1247)-1)/($AJ1247*$AL1247)))</f>
        <v/>
      </c>
      <c r="AN1247">
        <f>IF($AJ1247="","",IF($AJ1247=0,$AK1247*EXP($AL1247*2),$AK1247*(1+$AJ1247*$AL1247*2)^(1/$AJ1247)))</f>
        <v/>
      </c>
      <c r="AO1247">
        <f>IF($AJ1247="","",IF($AJ1247=0,$AK1247*EXP($AL1247*3),$AK1247*(1+$AJ1247*$AL1247*3)^(1/$AJ1247)))</f>
        <v/>
      </c>
      <c r="AP1247">
        <f>IF($AJ1247="","",IF($AJ1247=0,$AK1247*EXP($AL1247*-2),$AK1247*(1+$AJ1247*$AL1247*-2)^(1/$AJ1247)))</f>
        <v/>
      </c>
      <c r="AQ1247">
        <f>IF($AJ1247="","",IF($AJ1247=0,$AK1247*EXP($AL1247*-3),$AK1247*(1+$AJ1247*$AL1247*-3)^(1/$AJ1247)))</f>
        <v/>
      </c>
      <c r="AR1247">
        <f>IF(OR($X1247="",$T1247&gt;60),"",IFERROR(INDEX(IF($T1247&lt;24,pcomp_l,palt_l),MATCH($X1247,IF($T1247&lt;24,pcomp_k,palt_k),1)),""))</f>
        <v/>
      </c>
      <c r="AS1247">
        <f>IF(OR($X1247="",$T1247&gt;60),"",IFERROR(INDEX(IF($T1247&lt;24,pcomp_m,palt_m),MATCH($X1247,IF($T1247&lt;24,pcomp_k,palt_k),1)),""))</f>
        <v/>
      </c>
      <c r="AT1247">
        <f>IF(OR($X1247="",$T1247&gt;60),"",IFERROR(INDEX(IF($T1247&lt;24,pcomp_s,palt_s),MATCH($X1247,IF($T1247&lt;24,pcomp_k,palt_k),1)),""))</f>
        <v/>
      </c>
      <c r="AU1247">
        <f>IF($AR1247="","",IF($AR1247=0,LN($F1247/$AS1247)/$AT1247,((($F1247/$AS1247)^$AR1247)-1)/($AR1247*$AT1247)))</f>
        <v/>
      </c>
      <c r="AV1247">
        <f>IF($AR1247="","",IF($AR1247=0,$AS1247*EXP($AT1247*2),$AS1247*(1+$AR1247*$AT1247*2)^(1/$AR1247)))</f>
        <v/>
      </c>
      <c r="AW1247">
        <f>IF($AR1247="","",IF($AR1247=0,$AS1247*EXP($AT1247*3),$AS1247*(1+$AR1247*$AT1247*3)^(1/$AR1247)))</f>
        <v/>
      </c>
      <c r="AX1247">
        <f>IF($AR1247="","",IF($AR1247=0,$AS1247*EXP($AT1247*-2),$AS1247*(1+$AR1247*$AT1247*-2)^(1/$AR1247)))</f>
        <v/>
      </c>
      <c r="AY1247">
        <f>IF($AR1247="","",IF($AR1247=0,$AS1247*EXP($AT1247*-3),$AS1247*(1+$AR1247*$AT1247*-3)^(1/$AR1247)))</f>
        <v/>
      </c>
      <c r="AZ1247">
        <f>IF(OR($A1247="",$A1247&lt;&gt;Ficha!$C$4),"",COUNTIF($A$2:$A1247,Ficha!$C$4))</f>
        <v/>
      </c>
    </row>
    <row r="1248">
      <c r="A1248" s="8">
        <f>IF(INDEX(Banco!$A:$A,ROW())="","",INDEX(Banco!$A:$A,ROW()))</f>
        <v/>
      </c>
      <c r="B1248" s="8">
        <f>IF(INDEX(Banco!$B:$B,ROW())="","",INDEX(Banco!$B:$B,ROW()))</f>
        <v/>
      </c>
      <c r="C1248" s="8">
        <f>IF(INDEX(Banco!$C:$C,ROW())="","",INDEX(Banco!$C:$C,ROW()))</f>
        <v/>
      </c>
      <c r="D1248" s="9">
        <f>IF(INDEX(Banco!$D:$D,ROW())="","",INDEX(Banco!$D:$D,ROW()))</f>
        <v/>
      </c>
      <c r="E1248" s="9">
        <f>IF(INDEX(Banco!$E:$E,ROW())="","",INDEX(Banco!$E:$E,ROW()))</f>
        <v/>
      </c>
      <c r="F1248" s="10">
        <f>IF(INDEX(Banco!$F:$F,ROW())="","",INDEX(Banco!$F:$F,ROW()))</f>
        <v/>
      </c>
      <c r="G1248" s="10">
        <f>IF(INDEX(Banco!$G:$G,ROW())="","",INDEX(Banco!$G:$G,ROW()))</f>
        <v/>
      </c>
      <c r="H1248" s="8">
        <f>IF(INDEX(Banco!$H:$H,ROW())="","",INDEX(Banco!$H:$H,ROW()))</f>
        <v/>
      </c>
      <c r="I1248">
        <f>IF($T1248="","",INT($T1248/12)&amp;"a "&amp;MOD($T1248,12)&amp;"m")</f>
        <v/>
      </c>
      <c r="J1248" s="11">
        <f>IF(OR($F1248="",$G1248=""),"",ROUND($F1248/($G1248/100)^2,2))</f>
        <v/>
      </c>
      <c r="K1248" s="12">
        <f>IF(OR($S1248="",$J1248="",$T1248="",$T1248&lt;0,$T1248&gt;228,$Y1248=""),"—",ROUND(IF(ABS($AB1248)&lt;=3,$AB1248,IF($AB1248&gt;3,3+($J1248-$AD1248)/($AD1248-$AC1248),-3+($J1248-$AF1248)/($AE1248-$AF1248))),2))</f>
        <v/>
      </c>
      <c r="L1248">
        <f>IF(OR($K1248="",$K1248="—"),"",IF($T1248&lt;=60,IF($K1248&lt;-3,"Magreza acentuada",IF($K1248&lt;-2,"Magreza",IF($K1248&lt;=1,"Eutrofia",IF($K1248&lt;=2,"Risco de sobrepeso",IF($K1248&lt;=3,"Sobrepeso","Obesidade"))))),IF($K1248&lt;-3,"Magreza acentuada",IF($K1248&lt;-2,"Magreza",IF($K1248&lt;=1,"Eutrofia",IF($K1248&lt;=2,"Sobrepeso",IF($K1248&lt;=3,"Obesidade","Obesidade grave")))))))</f>
        <v/>
      </c>
      <c r="M1248" s="12">
        <f>IF(OR($S1248="",$V1248="",$T1248="",$T1248&lt;0,$T1248&gt;228,$AG1248=""),"—",ROUND(IF($AG1248=0,LN($V1248/$AH1248)/$AI1248,((($V1248/$AH1248)^$AG1248)-1)/($AG1248*$AI1248)),2))</f>
        <v/>
      </c>
      <c r="N1248">
        <f>IF(OR($M1248="",$M1248="—"),"",IF($M1248&lt;-3,"Muito baixa",IF($M1248&lt;-2,"Baixa","Adequada")))</f>
        <v/>
      </c>
      <c r="O1248" s="12">
        <f>IF(OR($S1248="",$F1248="",$T1248="",$T1248&lt;0,$T1248&gt;120,$AJ1248=""),"—",ROUND(IF(ABS($AM1248)&lt;=3,$AM1248,IF($AM1248&gt;3,3+($F1248-$AO1248)/($AO1248-$AN1248),-3+($F1248-$AQ1248)/($AP1248-$AQ1248))),2))</f>
        <v/>
      </c>
      <c r="P1248">
        <f>IF(OR($O1248="",$O1248="—"),"",IF($O1248&lt;-3,"Muito baixo",IF($O1248&lt;-2,"Baixo",IF($O1248&lt;=2,"Adequado","Elevado"))))</f>
        <v/>
      </c>
      <c r="Q1248" s="12">
        <f>IF(OR($S1248="",$F1248="",$T1248="",$T1248&lt;0,$T1248&gt;60,$AR1248=""),"—",ROUND(IF(ABS($AU1248)&lt;=3,$AU1248,IF($AU1248&gt;3,3+($F1248-$AW1248)/($AW1248-$AV1248),-3+($F1248-$AY1248)/($AX1248-$AY1248))),2))</f>
        <v/>
      </c>
      <c r="R1248">
        <f>IF(OR($Q1248="",$Q1248="—"),"",IF($Q1248&lt;-3,"Magreza acentuada",IF($Q1248&lt;-2,"Magreza",IF($Q1248&lt;=1,"Eutrofia",IF($Q1248&lt;=2,"Risco de sobrepeso",IF($Q1248&lt;=3,"Sobrepeso","Obesidade"))))))</f>
        <v/>
      </c>
      <c r="S1248">
        <f>IF($C1248="","",IF(UPPER(LEFT($C1248,1))="M",1,IF(UPPER(LEFT($C1248,1))="F",2,"")))</f>
        <v/>
      </c>
      <c r="T1248">
        <f>IF(OR($D1248="",$E1248=""),"",DATEDIF($D1248,$E1248,"m"))</f>
        <v/>
      </c>
      <c r="U1248">
        <f>IF(OR($D1248="",$E1248=""),"",$E1248-$D1248)</f>
        <v/>
      </c>
      <c r="V1248">
        <f>IF(OR($G1248="",$T1248=""),"",IF($T1248&lt;24,IF(LEFT(LOWER($H1248),4)="em p",$G1248+0.7,$G1248),IF(LEFT(LOWER($H1248),4)="deit",$G1248-0.7,$G1248)))</f>
        <v/>
      </c>
      <c r="W1248">
        <f>IF(OR($S1248="",$T1248=""),"",$S1248*1000000+IF($T1248&lt;=60,$U1248,$T1248))</f>
        <v/>
      </c>
      <c r="X1248">
        <f>IF(OR($S1248="",$V1248="",$T1248&gt;60,$T1248=""),"",$S1248*1000000+ROUND($V1248*10,0))</f>
        <v/>
      </c>
      <c r="Y1248">
        <f>IF($W1248="","",IFERROR(INDEX(IF($T1248&lt;=60,imc05_l,imc519_l),MATCH($W1248,IF($T1248&lt;=60,imc05_k,imc519_k),1)),""))</f>
        <v/>
      </c>
      <c r="Z1248">
        <f>IF($W1248="","",IFERROR(INDEX(IF($T1248&lt;=60,imc05_m,imc519_m),MATCH($W1248,IF($T1248&lt;=60,imc05_k,imc519_k),1)),""))</f>
        <v/>
      </c>
      <c r="AA1248">
        <f>IF($W1248="","",IFERROR(INDEX(IF($T1248&lt;=60,imc05_s,imc519_s),MATCH($W1248,IF($T1248&lt;=60,imc05_k,imc519_k),1)),""))</f>
        <v/>
      </c>
      <c r="AB1248">
        <f>IF($Y1248="","",IF($Y1248=0,LN($J1248/$Z1248)/$AA1248,((($J1248/$Z1248)^$Y1248)-1)/($Y1248*$AA1248)))</f>
        <v/>
      </c>
      <c r="AC1248">
        <f>IF($Y1248="","",IF($Y1248=0,$Z1248*EXP($AA1248*2),$Z1248*(1+$Y1248*$AA1248*2)^(1/$Y1248)))</f>
        <v/>
      </c>
      <c r="AD1248">
        <f>IF($Y1248="","",IF($Y1248=0,$Z1248*EXP($AA1248*3),$Z1248*(1+$Y1248*$AA1248*3)^(1/$Y1248)))</f>
        <v/>
      </c>
      <c r="AE1248">
        <f>IF($Y1248="","",IF($Y1248=0,$Z1248*EXP($AA1248*-2),$Z1248*(1+$Y1248*$AA1248*-2)^(1/$Y1248)))</f>
        <v/>
      </c>
      <c r="AF1248">
        <f>IF($Y1248="","",IF($Y1248=0,$Z1248*EXP($AA1248*-3),$Z1248*(1+$Y1248*$AA1248*-3)^(1/$Y1248)))</f>
        <v/>
      </c>
      <c r="AG1248">
        <f>IF($W1248="","",IFERROR(INDEX(IF($T1248&lt;=60,est05_l,est519_l),MATCH($W1248,IF($T1248&lt;=60,est05_k,est519_k),1)),""))</f>
        <v/>
      </c>
      <c r="AH1248">
        <f>IF($W1248="","",IFERROR(INDEX(IF($T1248&lt;=60,est05_m,est519_m),MATCH($W1248,IF($T1248&lt;=60,est05_k,est519_k),1)),""))</f>
        <v/>
      </c>
      <c r="AI1248">
        <f>IF($W1248="","",IFERROR(INDEX(IF($T1248&lt;=60,est05_s,est519_s),MATCH($W1248,IF($T1248&lt;=60,est05_k,est519_k),1)),""))</f>
        <v/>
      </c>
      <c r="AJ1248">
        <f>IF($W1248="","",IFERROR(INDEX(IF($T1248&lt;=60,peso05_l,peso510_l),MATCH($W1248,IF($T1248&lt;=60,peso05_k,peso510_k),1)),""))</f>
        <v/>
      </c>
      <c r="AK1248">
        <f>IF($W1248="","",IFERROR(INDEX(IF($T1248&lt;=60,peso05_m,peso510_m),MATCH($W1248,IF($T1248&lt;=60,peso05_k,peso510_k),1)),""))</f>
        <v/>
      </c>
      <c r="AL1248">
        <f>IF($W1248="","",IFERROR(INDEX(IF($T1248&lt;=60,peso05_s,peso510_s),MATCH($W1248,IF($T1248&lt;=60,peso05_k,peso510_k),1)),""))</f>
        <v/>
      </c>
      <c r="AM1248">
        <f>IF($AJ1248="","",IF($AJ1248=0,LN($F1248/$AK1248)/$AL1248,((($F1248/$AK1248)^$AJ1248)-1)/($AJ1248*$AL1248)))</f>
        <v/>
      </c>
      <c r="AN1248">
        <f>IF($AJ1248="","",IF($AJ1248=0,$AK1248*EXP($AL1248*2),$AK1248*(1+$AJ1248*$AL1248*2)^(1/$AJ1248)))</f>
        <v/>
      </c>
      <c r="AO1248">
        <f>IF($AJ1248="","",IF($AJ1248=0,$AK1248*EXP($AL1248*3),$AK1248*(1+$AJ1248*$AL1248*3)^(1/$AJ1248)))</f>
        <v/>
      </c>
      <c r="AP1248">
        <f>IF($AJ1248="","",IF($AJ1248=0,$AK1248*EXP($AL1248*-2),$AK1248*(1+$AJ1248*$AL1248*-2)^(1/$AJ1248)))</f>
        <v/>
      </c>
      <c r="AQ1248">
        <f>IF($AJ1248="","",IF($AJ1248=0,$AK1248*EXP($AL1248*-3),$AK1248*(1+$AJ1248*$AL1248*-3)^(1/$AJ1248)))</f>
        <v/>
      </c>
      <c r="AR1248">
        <f>IF(OR($X1248="",$T1248&gt;60),"",IFERROR(INDEX(IF($T1248&lt;24,pcomp_l,palt_l),MATCH($X1248,IF($T1248&lt;24,pcomp_k,palt_k),1)),""))</f>
        <v/>
      </c>
      <c r="AS1248">
        <f>IF(OR($X1248="",$T1248&gt;60),"",IFERROR(INDEX(IF($T1248&lt;24,pcomp_m,palt_m),MATCH($X1248,IF($T1248&lt;24,pcomp_k,palt_k),1)),""))</f>
        <v/>
      </c>
      <c r="AT1248">
        <f>IF(OR($X1248="",$T1248&gt;60),"",IFERROR(INDEX(IF($T1248&lt;24,pcomp_s,palt_s),MATCH($X1248,IF($T1248&lt;24,pcomp_k,palt_k),1)),""))</f>
        <v/>
      </c>
      <c r="AU1248">
        <f>IF($AR1248="","",IF($AR1248=0,LN($F1248/$AS1248)/$AT1248,((($F1248/$AS1248)^$AR1248)-1)/($AR1248*$AT1248)))</f>
        <v/>
      </c>
      <c r="AV1248">
        <f>IF($AR1248="","",IF($AR1248=0,$AS1248*EXP($AT1248*2),$AS1248*(1+$AR1248*$AT1248*2)^(1/$AR1248)))</f>
        <v/>
      </c>
      <c r="AW1248">
        <f>IF($AR1248="","",IF($AR1248=0,$AS1248*EXP($AT1248*3),$AS1248*(1+$AR1248*$AT1248*3)^(1/$AR1248)))</f>
        <v/>
      </c>
      <c r="AX1248">
        <f>IF($AR1248="","",IF($AR1248=0,$AS1248*EXP($AT1248*-2),$AS1248*(1+$AR1248*$AT1248*-2)^(1/$AR1248)))</f>
        <v/>
      </c>
      <c r="AY1248">
        <f>IF($AR1248="","",IF($AR1248=0,$AS1248*EXP($AT1248*-3),$AS1248*(1+$AR1248*$AT1248*-3)^(1/$AR1248)))</f>
        <v/>
      </c>
      <c r="AZ1248">
        <f>IF(OR($A1248="",$A1248&lt;&gt;Ficha!$C$4),"",COUNTIF($A$2:$A1248,Ficha!$C$4))</f>
        <v/>
      </c>
    </row>
    <row r="1249">
      <c r="A1249" s="8">
        <f>IF(INDEX(Banco!$A:$A,ROW())="","",INDEX(Banco!$A:$A,ROW()))</f>
        <v/>
      </c>
      <c r="B1249" s="8">
        <f>IF(INDEX(Banco!$B:$B,ROW())="","",INDEX(Banco!$B:$B,ROW()))</f>
        <v/>
      </c>
      <c r="C1249" s="8">
        <f>IF(INDEX(Banco!$C:$C,ROW())="","",INDEX(Banco!$C:$C,ROW()))</f>
        <v/>
      </c>
      <c r="D1249" s="9">
        <f>IF(INDEX(Banco!$D:$D,ROW())="","",INDEX(Banco!$D:$D,ROW()))</f>
        <v/>
      </c>
      <c r="E1249" s="9">
        <f>IF(INDEX(Banco!$E:$E,ROW())="","",INDEX(Banco!$E:$E,ROW()))</f>
        <v/>
      </c>
      <c r="F1249" s="10">
        <f>IF(INDEX(Banco!$F:$F,ROW())="","",INDEX(Banco!$F:$F,ROW()))</f>
        <v/>
      </c>
      <c r="G1249" s="10">
        <f>IF(INDEX(Banco!$G:$G,ROW())="","",INDEX(Banco!$G:$G,ROW()))</f>
        <v/>
      </c>
      <c r="H1249" s="8">
        <f>IF(INDEX(Banco!$H:$H,ROW())="","",INDEX(Banco!$H:$H,ROW()))</f>
        <v/>
      </c>
      <c r="I1249">
        <f>IF($T1249="","",INT($T1249/12)&amp;"a "&amp;MOD($T1249,12)&amp;"m")</f>
        <v/>
      </c>
      <c r="J1249" s="11">
        <f>IF(OR($F1249="",$G1249=""),"",ROUND($F1249/($G1249/100)^2,2))</f>
        <v/>
      </c>
      <c r="K1249" s="12">
        <f>IF(OR($S1249="",$J1249="",$T1249="",$T1249&lt;0,$T1249&gt;228,$Y1249=""),"—",ROUND(IF(ABS($AB1249)&lt;=3,$AB1249,IF($AB1249&gt;3,3+($J1249-$AD1249)/($AD1249-$AC1249),-3+($J1249-$AF1249)/($AE1249-$AF1249))),2))</f>
        <v/>
      </c>
      <c r="L1249">
        <f>IF(OR($K1249="",$K1249="—"),"",IF($T1249&lt;=60,IF($K1249&lt;-3,"Magreza acentuada",IF($K1249&lt;-2,"Magreza",IF($K1249&lt;=1,"Eutrofia",IF($K1249&lt;=2,"Risco de sobrepeso",IF($K1249&lt;=3,"Sobrepeso","Obesidade"))))),IF($K1249&lt;-3,"Magreza acentuada",IF($K1249&lt;-2,"Magreza",IF($K1249&lt;=1,"Eutrofia",IF($K1249&lt;=2,"Sobrepeso",IF($K1249&lt;=3,"Obesidade","Obesidade grave")))))))</f>
        <v/>
      </c>
      <c r="M1249" s="12">
        <f>IF(OR($S1249="",$V1249="",$T1249="",$T1249&lt;0,$T1249&gt;228,$AG1249=""),"—",ROUND(IF($AG1249=0,LN($V1249/$AH1249)/$AI1249,((($V1249/$AH1249)^$AG1249)-1)/($AG1249*$AI1249)),2))</f>
        <v/>
      </c>
      <c r="N1249">
        <f>IF(OR($M1249="",$M1249="—"),"",IF($M1249&lt;-3,"Muito baixa",IF($M1249&lt;-2,"Baixa","Adequada")))</f>
        <v/>
      </c>
      <c r="O1249" s="12">
        <f>IF(OR($S1249="",$F1249="",$T1249="",$T1249&lt;0,$T1249&gt;120,$AJ1249=""),"—",ROUND(IF(ABS($AM1249)&lt;=3,$AM1249,IF($AM1249&gt;3,3+($F1249-$AO1249)/($AO1249-$AN1249),-3+($F1249-$AQ1249)/($AP1249-$AQ1249))),2))</f>
        <v/>
      </c>
      <c r="P1249">
        <f>IF(OR($O1249="",$O1249="—"),"",IF($O1249&lt;-3,"Muito baixo",IF($O1249&lt;-2,"Baixo",IF($O1249&lt;=2,"Adequado","Elevado"))))</f>
        <v/>
      </c>
      <c r="Q1249" s="12">
        <f>IF(OR($S1249="",$F1249="",$T1249="",$T1249&lt;0,$T1249&gt;60,$AR1249=""),"—",ROUND(IF(ABS($AU1249)&lt;=3,$AU1249,IF($AU1249&gt;3,3+($F1249-$AW1249)/($AW1249-$AV1249),-3+($F1249-$AY1249)/($AX1249-$AY1249))),2))</f>
        <v/>
      </c>
      <c r="R1249">
        <f>IF(OR($Q1249="",$Q1249="—"),"",IF($Q1249&lt;-3,"Magreza acentuada",IF($Q1249&lt;-2,"Magreza",IF($Q1249&lt;=1,"Eutrofia",IF($Q1249&lt;=2,"Risco de sobrepeso",IF($Q1249&lt;=3,"Sobrepeso","Obesidade"))))))</f>
        <v/>
      </c>
      <c r="S1249">
        <f>IF($C1249="","",IF(UPPER(LEFT($C1249,1))="M",1,IF(UPPER(LEFT($C1249,1))="F",2,"")))</f>
        <v/>
      </c>
      <c r="T1249">
        <f>IF(OR($D1249="",$E1249=""),"",DATEDIF($D1249,$E1249,"m"))</f>
        <v/>
      </c>
      <c r="U1249">
        <f>IF(OR($D1249="",$E1249=""),"",$E1249-$D1249)</f>
        <v/>
      </c>
      <c r="V1249">
        <f>IF(OR($G1249="",$T1249=""),"",IF($T1249&lt;24,IF(LEFT(LOWER($H1249),4)="em p",$G1249+0.7,$G1249),IF(LEFT(LOWER($H1249),4)="deit",$G1249-0.7,$G1249)))</f>
        <v/>
      </c>
      <c r="W1249">
        <f>IF(OR($S1249="",$T1249=""),"",$S1249*1000000+IF($T1249&lt;=60,$U1249,$T1249))</f>
        <v/>
      </c>
      <c r="X1249">
        <f>IF(OR($S1249="",$V1249="",$T1249&gt;60,$T1249=""),"",$S1249*1000000+ROUND($V1249*10,0))</f>
        <v/>
      </c>
      <c r="Y1249">
        <f>IF($W1249="","",IFERROR(INDEX(IF($T1249&lt;=60,imc05_l,imc519_l),MATCH($W1249,IF($T1249&lt;=60,imc05_k,imc519_k),1)),""))</f>
        <v/>
      </c>
      <c r="Z1249">
        <f>IF($W1249="","",IFERROR(INDEX(IF($T1249&lt;=60,imc05_m,imc519_m),MATCH($W1249,IF($T1249&lt;=60,imc05_k,imc519_k),1)),""))</f>
        <v/>
      </c>
      <c r="AA1249">
        <f>IF($W1249="","",IFERROR(INDEX(IF($T1249&lt;=60,imc05_s,imc519_s),MATCH($W1249,IF($T1249&lt;=60,imc05_k,imc519_k),1)),""))</f>
        <v/>
      </c>
      <c r="AB1249">
        <f>IF($Y1249="","",IF($Y1249=0,LN($J1249/$Z1249)/$AA1249,((($J1249/$Z1249)^$Y1249)-1)/($Y1249*$AA1249)))</f>
        <v/>
      </c>
      <c r="AC1249">
        <f>IF($Y1249="","",IF($Y1249=0,$Z1249*EXP($AA1249*2),$Z1249*(1+$Y1249*$AA1249*2)^(1/$Y1249)))</f>
        <v/>
      </c>
      <c r="AD1249">
        <f>IF($Y1249="","",IF($Y1249=0,$Z1249*EXP($AA1249*3),$Z1249*(1+$Y1249*$AA1249*3)^(1/$Y1249)))</f>
        <v/>
      </c>
      <c r="AE1249">
        <f>IF($Y1249="","",IF($Y1249=0,$Z1249*EXP($AA1249*-2),$Z1249*(1+$Y1249*$AA1249*-2)^(1/$Y1249)))</f>
        <v/>
      </c>
      <c r="AF1249">
        <f>IF($Y1249="","",IF($Y1249=0,$Z1249*EXP($AA1249*-3),$Z1249*(1+$Y1249*$AA1249*-3)^(1/$Y1249)))</f>
        <v/>
      </c>
      <c r="AG1249">
        <f>IF($W1249="","",IFERROR(INDEX(IF($T1249&lt;=60,est05_l,est519_l),MATCH($W1249,IF($T1249&lt;=60,est05_k,est519_k),1)),""))</f>
        <v/>
      </c>
      <c r="AH1249">
        <f>IF($W1249="","",IFERROR(INDEX(IF($T1249&lt;=60,est05_m,est519_m),MATCH($W1249,IF($T1249&lt;=60,est05_k,est519_k),1)),""))</f>
        <v/>
      </c>
      <c r="AI1249">
        <f>IF($W1249="","",IFERROR(INDEX(IF($T1249&lt;=60,est05_s,est519_s),MATCH($W1249,IF($T1249&lt;=60,est05_k,est519_k),1)),""))</f>
        <v/>
      </c>
      <c r="AJ1249">
        <f>IF($W1249="","",IFERROR(INDEX(IF($T1249&lt;=60,peso05_l,peso510_l),MATCH($W1249,IF($T1249&lt;=60,peso05_k,peso510_k),1)),""))</f>
        <v/>
      </c>
      <c r="AK1249">
        <f>IF($W1249="","",IFERROR(INDEX(IF($T1249&lt;=60,peso05_m,peso510_m),MATCH($W1249,IF($T1249&lt;=60,peso05_k,peso510_k),1)),""))</f>
        <v/>
      </c>
      <c r="AL1249">
        <f>IF($W1249="","",IFERROR(INDEX(IF($T1249&lt;=60,peso05_s,peso510_s),MATCH($W1249,IF($T1249&lt;=60,peso05_k,peso510_k),1)),""))</f>
        <v/>
      </c>
      <c r="AM1249">
        <f>IF($AJ1249="","",IF($AJ1249=0,LN($F1249/$AK1249)/$AL1249,((($F1249/$AK1249)^$AJ1249)-1)/($AJ1249*$AL1249)))</f>
        <v/>
      </c>
      <c r="AN1249">
        <f>IF($AJ1249="","",IF($AJ1249=0,$AK1249*EXP($AL1249*2),$AK1249*(1+$AJ1249*$AL1249*2)^(1/$AJ1249)))</f>
        <v/>
      </c>
      <c r="AO1249">
        <f>IF($AJ1249="","",IF($AJ1249=0,$AK1249*EXP($AL1249*3),$AK1249*(1+$AJ1249*$AL1249*3)^(1/$AJ1249)))</f>
        <v/>
      </c>
      <c r="AP1249">
        <f>IF($AJ1249="","",IF($AJ1249=0,$AK1249*EXP($AL1249*-2),$AK1249*(1+$AJ1249*$AL1249*-2)^(1/$AJ1249)))</f>
        <v/>
      </c>
      <c r="AQ1249">
        <f>IF($AJ1249="","",IF($AJ1249=0,$AK1249*EXP($AL1249*-3),$AK1249*(1+$AJ1249*$AL1249*-3)^(1/$AJ1249)))</f>
        <v/>
      </c>
      <c r="AR1249">
        <f>IF(OR($X1249="",$T1249&gt;60),"",IFERROR(INDEX(IF($T1249&lt;24,pcomp_l,palt_l),MATCH($X1249,IF($T1249&lt;24,pcomp_k,palt_k),1)),""))</f>
        <v/>
      </c>
      <c r="AS1249">
        <f>IF(OR($X1249="",$T1249&gt;60),"",IFERROR(INDEX(IF($T1249&lt;24,pcomp_m,palt_m),MATCH($X1249,IF($T1249&lt;24,pcomp_k,palt_k),1)),""))</f>
        <v/>
      </c>
      <c r="AT1249">
        <f>IF(OR($X1249="",$T1249&gt;60),"",IFERROR(INDEX(IF($T1249&lt;24,pcomp_s,palt_s),MATCH($X1249,IF($T1249&lt;24,pcomp_k,palt_k),1)),""))</f>
        <v/>
      </c>
      <c r="AU1249">
        <f>IF($AR1249="","",IF($AR1249=0,LN($F1249/$AS1249)/$AT1249,((($F1249/$AS1249)^$AR1249)-1)/($AR1249*$AT1249)))</f>
        <v/>
      </c>
      <c r="AV1249">
        <f>IF($AR1249="","",IF($AR1249=0,$AS1249*EXP($AT1249*2),$AS1249*(1+$AR1249*$AT1249*2)^(1/$AR1249)))</f>
        <v/>
      </c>
      <c r="AW1249">
        <f>IF($AR1249="","",IF($AR1249=0,$AS1249*EXP($AT1249*3),$AS1249*(1+$AR1249*$AT1249*3)^(1/$AR1249)))</f>
        <v/>
      </c>
      <c r="AX1249">
        <f>IF($AR1249="","",IF($AR1249=0,$AS1249*EXP($AT1249*-2),$AS1249*(1+$AR1249*$AT1249*-2)^(1/$AR1249)))</f>
        <v/>
      </c>
      <c r="AY1249">
        <f>IF($AR1249="","",IF($AR1249=0,$AS1249*EXP($AT1249*-3),$AS1249*(1+$AR1249*$AT1249*-3)^(1/$AR1249)))</f>
        <v/>
      </c>
      <c r="AZ1249">
        <f>IF(OR($A1249="",$A1249&lt;&gt;Ficha!$C$4),"",COUNTIF($A$2:$A1249,Ficha!$C$4))</f>
        <v/>
      </c>
    </row>
    <row r="1250">
      <c r="A1250" s="8">
        <f>IF(INDEX(Banco!$A:$A,ROW())="","",INDEX(Banco!$A:$A,ROW()))</f>
        <v/>
      </c>
      <c r="B1250" s="8">
        <f>IF(INDEX(Banco!$B:$B,ROW())="","",INDEX(Banco!$B:$B,ROW()))</f>
        <v/>
      </c>
      <c r="C1250" s="8">
        <f>IF(INDEX(Banco!$C:$C,ROW())="","",INDEX(Banco!$C:$C,ROW()))</f>
        <v/>
      </c>
      <c r="D1250" s="9">
        <f>IF(INDEX(Banco!$D:$D,ROW())="","",INDEX(Banco!$D:$D,ROW()))</f>
        <v/>
      </c>
      <c r="E1250" s="9">
        <f>IF(INDEX(Banco!$E:$E,ROW())="","",INDEX(Banco!$E:$E,ROW()))</f>
        <v/>
      </c>
      <c r="F1250" s="10">
        <f>IF(INDEX(Banco!$F:$F,ROW())="","",INDEX(Banco!$F:$F,ROW()))</f>
        <v/>
      </c>
      <c r="G1250" s="10">
        <f>IF(INDEX(Banco!$G:$G,ROW())="","",INDEX(Banco!$G:$G,ROW()))</f>
        <v/>
      </c>
      <c r="H1250" s="8">
        <f>IF(INDEX(Banco!$H:$H,ROW())="","",INDEX(Banco!$H:$H,ROW()))</f>
        <v/>
      </c>
      <c r="I1250">
        <f>IF($T1250="","",INT($T1250/12)&amp;"a "&amp;MOD($T1250,12)&amp;"m")</f>
        <v/>
      </c>
      <c r="J1250" s="11">
        <f>IF(OR($F1250="",$G1250=""),"",ROUND($F1250/($G1250/100)^2,2))</f>
        <v/>
      </c>
      <c r="K1250" s="12">
        <f>IF(OR($S1250="",$J1250="",$T1250="",$T1250&lt;0,$T1250&gt;228,$Y1250=""),"—",ROUND(IF(ABS($AB1250)&lt;=3,$AB1250,IF($AB1250&gt;3,3+($J1250-$AD1250)/($AD1250-$AC1250),-3+($J1250-$AF1250)/($AE1250-$AF1250))),2))</f>
        <v/>
      </c>
      <c r="L1250">
        <f>IF(OR($K1250="",$K1250="—"),"",IF($T1250&lt;=60,IF($K1250&lt;-3,"Magreza acentuada",IF($K1250&lt;-2,"Magreza",IF($K1250&lt;=1,"Eutrofia",IF($K1250&lt;=2,"Risco de sobrepeso",IF($K1250&lt;=3,"Sobrepeso","Obesidade"))))),IF($K1250&lt;-3,"Magreza acentuada",IF($K1250&lt;-2,"Magreza",IF($K1250&lt;=1,"Eutrofia",IF($K1250&lt;=2,"Sobrepeso",IF($K1250&lt;=3,"Obesidade","Obesidade grave")))))))</f>
        <v/>
      </c>
      <c r="M1250" s="12">
        <f>IF(OR($S1250="",$V1250="",$T1250="",$T1250&lt;0,$T1250&gt;228,$AG1250=""),"—",ROUND(IF($AG1250=0,LN($V1250/$AH1250)/$AI1250,((($V1250/$AH1250)^$AG1250)-1)/($AG1250*$AI1250)),2))</f>
        <v/>
      </c>
      <c r="N1250">
        <f>IF(OR($M1250="",$M1250="—"),"",IF($M1250&lt;-3,"Muito baixa",IF($M1250&lt;-2,"Baixa","Adequada")))</f>
        <v/>
      </c>
      <c r="O1250" s="12">
        <f>IF(OR($S1250="",$F1250="",$T1250="",$T1250&lt;0,$T1250&gt;120,$AJ1250=""),"—",ROUND(IF(ABS($AM1250)&lt;=3,$AM1250,IF($AM1250&gt;3,3+($F1250-$AO1250)/($AO1250-$AN1250),-3+($F1250-$AQ1250)/($AP1250-$AQ1250))),2))</f>
        <v/>
      </c>
      <c r="P1250">
        <f>IF(OR($O1250="",$O1250="—"),"",IF($O1250&lt;-3,"Muito baixo",IF($O1250&lt;-2,"Baixo",IF($O1250&lt;=2,"Adequado","Elevado"))))</f>
        <v/>
      </c>
      <c r="Q1250" s="12">
        <f>IF(OR($S1250="",$F1250="",$T1250="",$T1250&lt;0,$T1250&gt;60,$AR1250=""),"—",ROUND(IF(ABS($AU1250)&lt;=3,$AU1250,IF($AU1250&gt;3,3+($F1250-$AW1250)/($AW1250-$AV1250),-3+($F1250-$AY1250)/($AX1250-$AY1250))),2))</f>
        <v/>
      </c>
      <c r="R1250">
        <f>IF(OR($Q1250="",$Q1250="—"),"",IF($Q1250&lt;-3,"Magreza acentuada",IF($Q1250&lt;-2,"Magreza",IF($Q1250&lt;=1,"Eutrofia",IF($Q1250&lt;=2,"Risco de sobrepeso",IF($Q1250&lt;=3,"Sobrepeso","Obesidade"))))))</f>
        <v/>
      </c>
      <c r="S1250">
        <f>IF($C1250="","",IF(UPPER(LEFT($C1250,1))="M",1,IF(UPPER(LEFT($C1250,1))="F",2,"")))</f>
        <v/>
      </c>
      <c r="T1250">
        <f>IF(OR($D1250="",$E1250=""),"",DATEDIF($D1250,$E1250,"m"))</f>
        <v/>
      </c>
      <c r="U1250">
        <f>IF(OR($D1250="",$E1250=""),"",$E1250-$D1250)</f>
        <v/>
      </c>
      <c r="V1250">
        <f>IF(OR($G1250="",$T1250=""),"",IF($T1250&lt;24,IF(LEFT(LOWER($H1250),4)="em p",$G1250+0.7,$G1250),IF(LEFT(LOWER($H1250),4)="deit",$G1250-0.7,$G1250)))</f>
        <v/>
      </c>
      <c r="W1250">
        <f>IF(OR($S1250="",$T1250=""),"",$S1250*1000000+IF($T1250&lt;=60,$U1250,$T1250))</f>
        <v/>
      </c>
      <c r="X1250">
        <f>IF(OR($S1250="",$V1250="",$T1250&gt;60,$T1250=""),"",$S1250*1000000+ROUND($V1250*10,0))</f>
        <v/>
      </c>
      <c r="Y1250">
        <f>IF($W1250="","",IFERROR(INDEX(IF($T1250&lt;=60,imc05_l,imc519_l),MATCH($W1250,IF($T1250&lt;=60,imc05_k,imc519_k),1)),""))</f>
        <v/>
      </c>
      <c r="Z1250">
        <f>IF($W1250="","",IFERROR(INDEX(IF($T1250&lt;=60,imc05_m,imc519_m),MATCH($W1250,IF($T1250&lt;=60,imc05_k,imc519_k),1)),""))</f>
        <v/>
      </c>
      <c r="AA1250">
        <f>IF($W1250="","",IFERROR(INDEX(IF($T1250&lt;=60,imc05_s,imc519_s),MATCH($W1250,IF($T1250&lt;=60,imc05_k,imc519_k),1)),""))</f>
        <v/>
      </c>
      <c r="AB1250">
        <f>IF($Y1250="","",IF($Y1250=0,LN($J1250/$Z1250)/$AA1250,((($J1250/$Z1250)^$Y1250)-1)/($Y1250*$AA1250)))</f>
        <v/>
      </c>
      <c r="AC1250">
        <f>IF($Y1250="","",IF($Y1250=0,$Z1250*EXP($AA1250*2),$Z1250*(1+$Y1250*$AA1250*2)^(1/$Y1250)))</f>
        <v/>
      </c>
      <c r="AD1250">
        <f>IF($Y1250="","",IF($Y1250=0,$Z1250*EXP($AA1250*3),$Z1250*(1+$Y1250*$AA1250*3)^(1/$Y1250)))</f>
        <v/>
      </c>
      <c r="AE1250">
        <f>IF($Y1250="","",IF($Y1250=0,$Z1250*EXP($AA1250*-2),$Z1250*(1+$Y1250*$AA1250*-2)^(1/$Y1250)))</f>
        <v/>
      </c>
      <c r="AF1250">
        <f>IF($Y1250="","",IF($Y1250=0,$Z1250*EXP($AA1250*-3),$Z1250*(1+$Y1250*$AA1250*-3)^(1/$Y1250)))</f>
        <v/>
      </c>
      <c r="AG1250">
        <f>IF($W1250="","",IFERROR(INDEX(IF($T1250&lt;=60,est05_l,est519_l),MATCH($W1250,IF($T1250&lt;=60,est05_k,est519_k),1)),""))</f>
        <v/>
      </c>
      <c r="AH1250">
        <f>IF($W1250="","",IFERROR(INDEX(IF($T1250&lt;=60,est05_m,est519_m),MATCH($W1250,IF($T1250&lt;=60,est05_k,est519_k),1)),""))</f>
        <v/>
      </c>
      <c r="AI1250">
        <f>IF($W1250="","",IFERROR(INDEX(IF($T1250&lt;=60,est05_s,est519_s),MATCH($W1250,IF($T1250&lt;=60,est05_k,est519_k),1)),""))</f>
        <v/>
      </c>
      <c r="AJ1250">
        <f>IF($W1250="","",IFERROR(INDEX(IF($T1250&lt;=60,peso05_l,peso510_l),MATCH($W1250,IF($T1250&lt;=60,peso05_k,peso510_k),1)),""))</f>
        <v/>
      </c>
      <c r="AK1250">
        <f>IF($W1250="","",IFERROR(INDEX(IF($T1250&lt;=60,peso05_m,peso510_m),MATCH($W1250,IF($T1250&lt;=60,peso05_k,peso510_k),1)),""))</f>
        <v/>
      </c>
      <c r="AL1250">
        <f>IF($W1250="","",IFERROR(INDEX(IF($T1250&lt;=60,peso05_s,peso510_s),MATCH($W1250,IF($T1250&lt;=60,peso05_k,peso510_k),1)),""))</f>
        <v/>
      </c>
      <c r="AM1250">
        <f>IF($AJ1250="","",IF($AJ1250=0,LN($F1250/$AK1250)/$AL1250,((($F1250/$AK1250)^$AJ1250)-1)/($AJ1250*$AL1250)))</f>
        <v/>
      </c>
      <c r="AN1250">
        <f>IF($AJ1250="","",IF($AJ1250=0,$AK1250*EXP($AL1250*2),$AK1250*(1+$AJ1250*$AL1250*2)^(1/$AJ1250)))</f>
        <v/>
      </c>
      <c r="AO1250">
        <f>IF($AJ1250="","",IF($AJ1250=0,$AK1250*EXP($AL1250*3),$AK1250*(1+$AJ1250*$AL1250*3)^(1/$AJ1250)))</f>
        <v/>
      </c>
      <c r="AP1250">
        <f>IF($AJ1250="","",IF($AJ1250=0,$AK1250*EXP($AL1250*-2),$AK1250*(1+$AJ1250*$AL1250*-2)^(1/$AJ1250)))</f>
        <v/>
      </c>
      <c r="AQ1250">
        <f>IF($AJ1250="","",IF($AJ1250=0,$AK1250*EXP($AL1250*-3),$AK1250*(1+$AJ1250*$AL1250*-3)^(1/$AJ1250)))</f>
        <v/>
      </c>
      <c r="AR1250">
        <f>IF(OR($X1250="",$T1250&gt;60),"",IFERROR(INDEX(IF($T1250&lt;24,pcomp_l,palt_l),MATCH($X1250,IF($T1250&lt;24,pcomp_k,palt_k),1)),""))</f>
        <v/>
      </c>
      <c r="AS1250">
        <f>IF(OR($X1250="",$T1250&gt;60),"",IFERROR(INDEX(IF($T1250&lt;24,pcomp_m,palt_m),MATCH($X1250,IF($T1250&lt;24,pcomp_k,palt_k),1)),""))</f>
        <v/>
      </c>
      <c r="AT1250">
        <f>IF(OR($X1250="",$T1250&gt;60),"",IFERROR(INDEX(IF($T1250&lt;24,pcomp_s,palt_s),MATCH($X1250,IF($T1250&lt;24,pcomp_k,palt_k),1)),""))</f>
        <v/>
      </c>
      <c r="AU1250">
        <f>IF($AR1250="","",IF($AR1250=0,LN($F1250/$AS1250)/$AT1250,((($F1250/$AS1250)^$AR1250)-1)/($AR1250*$AT1250)))</f>
        <v/>
      </c>
      <c r="AV1250">
        <f>IF($AR1250="","",IF($AR1250=0,$AS1250*EXP($AT1250*2),$AS1250*(1+$AR1250*$AT1250*2)^(1/$AR1250)))</f>
        <v/>
      </c>
      <c r="AW1250">
        <f>IF($AR1250="","",IF($AR1250=0,$AS1250*EXP($AT1250*3),$AS1250*(1+$AR1250*$AT1250*3)^(1/$AR1250)))</f>
        <v/>
      </c>
      <c r="AX1250">
        <f>IF($AR1250="","",IF($AR1250=0,$AS1250*EXP($AT1250*-2),$AS1250*(1+$AR1250*$AT1250*-2)^(1/$AR1250)))</f>
        <v/>
      </c>
      <c r="AY1250">
        <f>IF($AR1250="","",IF($AR1250=0,$AS1250*EXP($AT1250*-3),$AS1250*(1+$AR1250*$AT1250*-3)^(1/$AR1250)))</f>
        <v/>
      </c>
      <c r="AZ1250">
        <f>IF(OR($A1250="",$A1250&lt;&gt;Ficha!$C$4),"",COUNTIF($A$2:$A1250,Ficha!$C$4))</f>
        <v/>
      </c>
    </row>
    <row r="1251">
      <c r="A1251" s="8">
        <f>IF(INDEX(Banco!$A:$A,ROW())="","",INDEX(Banco!$A:$A,ROW()))</f>
        <v/>
      </c>
      <c r="B1251" s="8">
        <f>IF(INDEX(Banco!$B:$B,ROW())="","",INDEX(Banco!$B:$B,ROW()))</f>
        <v/>
      </c>
      <c r="C1251" s="8">
        <f>IF(INDEX(Banco!$C:$C,ROW())="","",INDEX(Banco!$C:$C,ROW()))</f>
        <v/>
      </c>
      <c r="D1251" s="9">
        <f>IF(INDEX(Banco!$D:$D,ROW())="","",INDEX(Banco!$D:$D,ROW()))</f>
        <v/>
      </c>
      <c r="E1251" s="9">
        <f>IF(INDEX(Banco!$E:$E,ROW())="","",INDEX(Banco!$E:$E,ROW()))</f>
        <v/>
      </c>
      <c r="F1251" s="10">
        <f>IF(INDEX(Banco!$F:$F,ROW())="","",INDEX(Banco!$F:$F,ROW()))</f>
        <v/>
      </c>
      <c r="G1251" s="10">
        <f>IF(INDEX(Banco!$G:$G,ROW())="","",INDEX(Banco!$G:$G,ROW()))</f>
        <v/>
      </c>
      <c r="H1251" s="8">
        <f>IF(INDEX(Banco!$H:$H,ROW())="","",INDEX(Banco!$H:$H,ROW()))</f>
        <v/>
      </c>
      <c r="I1251">
        <f>IF($T1251="","",INT($T1251/12)&amp;"a "&amp;MOD($T1251,12)&amp;"m")</f>
        <v/>
      </c>
      <c r="J1251" s="11">
        <f>IF(OR($F1251="",$G1251=""),"",ROUND($F1251/($G1251/100)^2,2))</f>
        <v/>
      </c>
      <c r="K1251" s="12">
        <f>IF(OR($S1251="",$J1251="",$T1251="",$T1251&lt;0,$T1251&gt;228,$Y1251=""),"—",ROUND(IF(ABS($AB1251)&lt;=3,$AB1251,IF($AB1251&gt;3,3+($J1251-$AD1251)/($AD1251-$AC1251),-3+($J1251-$AF1251)/($AE1251-$AF1251))),2))</f>
        <v/>
      </c>
      <c r="L1251">
        <f>IF(OR($K1251="",$K1251="—"),"",IF($T1251&lt;=60,IF($K1251&lt;-3,"Magreza acentuada",IF($K1251&lt;-2,"Magreza",IF($K1251&lt;=1,"Eutrofia",IF($K1251&lt;=2,"Risco de sobrepeso",IF($K1251&lt;=3,"Sobrepeso","Obesidade"))))),IF($K1251&lt;-3,"Magreza acentuada",IF($K1251&lt;-2,"Magreza",IF($K1251&lt;=1,"Eutrofia",IF($K1251&lt;=2,"Sobrepeso",IF($K1251&lt;=3,"Obesidade","Obesidade grave")))))))</f>
        <v/>
      </c>
      <c r="M1251" s="12">
        <f>IF(OR($S1251="",$V1251="",$T1251="",$T1251&lt;0,$T1251&gt;228,$AG1251=""),"—",ROUND(IF($AG1251=0,LN($V1251/$AH1251)/$AI1251,((($V1251/$AH1251)^$AG1251)-1)/($AG1251*$AI1251)),2))</f>
        <v/>
      </c>
      <c r="N1251">
        <f>IF(OR($M1251="",$M1251="—"),"",IF($M1251&lt;-3,"Muito baixa",IF($M1251&lt;-2,"Baixa","Adequada")))</f>
        <v/>
      </c>
      <c r="O1251" s="12">
        <f>IF(OR($S1251="",$F1251="",$T1251="",$T1251&lt;0,$T1251&gt;120,$AJ1251=""),"—",ROUND(IF(ABS($AM1251)&lt;=3,$AM1251,IF($AM1251&gt;3,3+($F1251-$AO1251)/($AO1251-$AN1251),-3+($F1251-$AQ1251)/($AP1251-$AQ1251))),2))</f>
        <v/>
      </c>
      <c r="P1251">
        <f>IF(OR($O1251="",$O1251="—"),"",IF($O1251&lt;-3,"Muito baixo",IF($O1251&lt;-2,"Baixo",IF($O1251&lt;=2,"Adequado","Elevado"))))</f>
        <v/>
      </c>
      <c r="Q1251" s="12">
        <f>IF(OR($S1251="",$F1251="",$T1251="",$T1251&lt;0,$T1251&gt;60,$AR1251=""),"—",ROUND(IF(ABS($AU1251)&lt;=3,$AU1251,IF($AU1251&gt;3,3+($F1251-$AW1251)/($AW1251-$AV1251),-3+($F1251-$AY1251)/($AX1251-$AY1251))),2))</f>
        <v/>
      </c>
      <c r="R1251">
        <f>IF(OR($Q1251="",$Q1251="—"),"",IF($Q1251&lt;-3,"Magreza acentuada",IF($Q1251&lt;-2,"Magreza",IF($Q1251&lt;=1,"Eutrofia",IF($Q1251&lt;=2,"Risco de sobrepeso",IF($Q1251&lt;=3,"Sobrepeso","Obesidade"))))))</f>
        <v/>
      </c>
      <c r="S1251">
        <f>IF($C1251="","",IF(UPPER(LEFT($C1251,1))="M",1,IF(UPPER(LEFT($C1251,1))="F",2,"")))</f>
        <v/>
      </c>
      <c r="T1251">
        <f>IF(OR($D1251="",$E1251=""),"",DATEDIF($D1251,$E1251,"m"))</f>
        <v/>
      </c>
      <c r="U1251">
        <f>IF(OR($D1251="",$E1251=""),"",$E1251-$D1251)</f>
        <v/>
      </c>
      <c r="V1251">
        <f>IF(OR($G1251="",$T1251=""),"",IF($T1251&lt;24,IF(LEFT(LOWER($H1251),4)="em p",$G1251+0.7,$G1251),IF(LEFT(LOWER($H1251),4)="deit",$G1251-0.7,$G1251)))</f>
        <v/>
      </c>
      <c r="W1251">
        <f>IF(OR($S1251="",$T1251=""),"",$S1251*1000000+IF($T1251&lt;=60,$U1251,$T1251))</f>
        <v/>
      </c>
      <c r="X1251">
        <f>IF(OR($S1251="",$V1251="",$T1251&gt;60,$T1251=""),"",$S1251*1000000+ROUND($V1251*10,0))</f>
        <v/>
      </c>
      <c r="Y1251">
        <f>IF($W1251="","",IFERROR(INDEX(IF($T1251&lt;=60,imc05_l,imc519_l),MATCH($W1251,IF($T1251&lt;=60,imc05_k,imc519_k),1)),""))</f>
        <v/>
      </c>
      <c r="Z1251">
        <f>IF($W1251="","",IFERROR(INDEX(IF($T1251&lt;=60,imc05_m,imc519_m),MATCH($W1251,IF($T1251&lt;=60,imc05_k,imc519_k),1)),""))</f>
        <v/>
      </c>
      <c r="AA1251">
        <f>IF($W1251="","",IFERROR(INDEX(IF($T1251&lt;=60,imc05_s,imc519_s),MATCH($W1251,IF($T1251&lt;=60,imc05_k,imc519_k),1)),""))</f>
        <v/>
      </c>
      <c r="AB1251">
        <f>IF($Y1251="","",IF($Y1251=0,LN($J1251/$Z1251)/$AA1251,((($J1251/$Z1251)^$Y1251)-1)/($Y1251*$AA1251)))</f>
        <v/>
      </c>
      <c r="AC1251">
        <f>IF($Y1251="","",IF($Y1251=0,$Z1251*EXP($AA1251*2),$Z1251*(1+$Y1251*$AA1251*2)^(1/$Y1251)))</f>
        <v/>
      </c>
      <c r="AD1251">
        <f>IF($Y1251="","",IF($Y1251=0,$Z1251*EXP($AA1251*3),$Z1251*(1+$Y1251*$AA1251*3)^(1/$Y1251)))</f>
        <v/>
      </c>
      <c r="AE1251">
        <f>IF($Y1251="","",IF($Y1251=0,$Z1251*EXP($AA1251*-2),$Z1251*(1+$Y1251*$AA1251*-2)^(1/$Y1251)))</f>
        <v/>
      </c>
      <c r="AF1251">
        <f>IF($Y1251="","",IF($Y1251=0,$Z1251*EXP($AA1251*-3),$Z1251*(1+$Y1251*$AA1251*-3)^(1/$Y1251)))</f>
        <v/>
      </c>
      <c r="AG1251">
        <f>IF($W1251="","",IFERROR(INDEX(IF($T1251&lt;=60,est05_l,est519_l),MATCH($W1251,IF($T1251&lt;=60,est05_k,est519_k),1)),""))</f>
        <v/>
      </c>
      <c r="AH1251">
        <f>IF($W1251="","",IFERROR(INDEX(IF($T1251&lt;=60,est05_m,est519_m),MATCH($W1251,IF($T1251&lt;=60,est05_k,est519_k),1)),""))</f>
        <v/>
      </c>
      <c r="AI1251">
        <f>IF($W1251="","",IFERROR(INDEX(IF($T1251&lt;=60,est05_s,est519_s),MATCH($W1251,IF($T1251&lt;=60,est05_k,est519_k),1)),""))</f>
        <v/>
      </c>
      <c r="AJ1251">
        <f>IF($W1251="","",IFERROR(INDEX(IF($T1251&lt;=60,peso05_l,peso510_l),MATCH($W1251,IF($T1251&lt;=60,peso05_k,peso510_k),1)),""))</f>
        <v/>
      </c>
      <c r="AK1251">
        <f>IF($W1251="","",IFERROR(INDEX(IF($T1251&lt;=60,peso05_m,peso510_m),MATCH($W1251,IF($T1251&lt;=60,peso05_k,peso510_k),1)),""))</f>
        <v/>
      </c>
      <c r="AL1251">
        <f>IF($W1251="","",IFERROR(INDEX(IF($T1251&lt;=60,peso05_s,peso510_s),MATCH($W1251,IF($T1251&lt;=60,peso05_k,peso510_k),1)),""))</f>
        <v/>
      </c>
      <c r="AM1251">
        <f>IF($AJ1251="","",IF($AJ1251=0,LN($F1251/$AK1251)/$AL1251,((($F1251/$AK1251)^$AJ1251)-1)/($AJ1251*$AL1251)))</f>
        <v/>
      </c>
      <c r="AN1251">
        <f>IF($AJ1251="","",IF($AJ1251=0,$AK1251*EXP($AL1251*2),$AK1251*(1+$AJ1251*$AL1251*2)^(1/$AJ1251)))</f>
        <v/>
      </c>
      <c r="AO1251">
        <f>IF($AJ1251="","",IF($AJ1251=0,$AK1251*EXP($AL1251*3),$AK1251*(1+$AJ1251*$AL1251*3)^(1/$AJ1251)))</f>
        <v/>
      </c>
      <c r="AP1251">
        <f>IF($AJ1251="","",IF($AJ1251=0,$AK1251*EXP($AL1251*-2),$AK1251*(1+$AJ1251*$AL1251*-2)^(1/$AJ1251)))</f>
        <v/>
      </c>
      <c r="AQ1251">
        <f>IF($AJ1251="","",IF($AJ1251=0,$AK1251*EXP($AL1251*-3),$AK1251*(1+$AJ1251*$AL1251*-3)^(1/$AJ1251)))</f>
        <v/>
      </c>
      <c r="AR1251">
        <f>IF(OR($X1251="",$T1251&gt;60),"",IFERROR(INDEX(IF($T1251&lt;24,pcomp_l,palt_l),MATCH($X1251,IF($T1251&lt;24,pcomp_k,palt_k),1)),""))</f>
        <v/>
      </c>
      <c r="AS1251">
        <f>IF(OR($X1251="",$T1251&gt;60),"",IFERROR(INDEX(IF($T1251&lt;24,pcomp_m,palt_m),MATCH($X1251,IF($T1251&lt;24,pcomp_k,palt_k),1)),""))</f>
        <v/>
      </c>
      <c r="AT1251">
        <f>IF(OR($X1251="",$T1251&gt;60),"",IFERROR(INDEX(IF($T1251&lt;24,pcomp_s,palt_s),MATCH($X1251,IF($T1251&lt;24,pcomp_k,palt_k),1)),""))</f>
        <v/>
      </c>
      <c r="AU1251">
        <f>IF($AR1251="","",IF($AR1251=0,LN($F1251/$AS1251)/$AT1251,((($F1251/$AS1251)^$AR1251)-1)/($AR1251*$AT1251)))</f>
        <v/>
      </c>
      <c r="AV1251">
        <f>IF($AR1251="","",IF($AR1251=0,$AS1251*EXP($AT1251*2),$AS1251*(1+$AR1251*$AT1251*2)^(1/$AR1251)))</f>
        <v/>
      </c>
      <c r="AW1251">
        <f>IF($AR1251="","",IF($AR1251=0,$AS1251*EXP($AT1251*3),$AS1251*(1+$AR1251*$AT1251*3)^(1/$AR1251)))</f>
        <v/>
      </c>
      <c r="AX1251">
        <f>IF($AR1251="","",IF($AR1251=0,$AS1251*EXP($AT1251*-2),$AS1251*(1+$AR1251*$AT1251*-2)^(1/$AR1251)))</f>
        <v/>
      </c>
      <c r="AY1251">
        <f>IF($AR1251="","",IF($AR1251=0,$AS1251*EXP($AT1251*-3),$AS1251*(1+$AR1251*$AT1251*-3)^(1/$AR1251)))</f>
        <v/>
      </c>
      <c r="AZ1251">
        <f>IF(OR($A1251="",$A1251&lt;&gt;Ficha!$C$4),"",COUNTIF($A$2:$A1251,Ficha!$C$4))</f>
        <v/>
      </c>
    </row>
    <row r="1252">
      <c r="A1252" s="8">
        <f>IF(INDEX(Banco!$A:$A,ROW())="","",INDEX(Banco!$A:$A,ROW()))</f>
        <v/>
      </c>
      <c r="B1252" s="8">
        <f>IF(INDEX(Banco!$B:$B,ROW())="","",INDEX(Banco!$B:$B,ROW()))</f>
        <v/>
      </c>
      <c r="C1252" s="8">
        <f>IF(INDEX(Banco!$C:$C,ROW())="","",INDEX(Banco!$C:$C,ROW()))</f>
        <v/>
      </c>
      <c r="D1252" s="9">
        <f>IF(INDEX(Banco!$D:$D,ROW())="","",INDEX(Banco!$D:$D,ROW()))</f>
        <v/>
      </c>
      <c r="E1252" s="9">
        <f>IF(INDEX(Banco!$E:$E,ROW())="","",INDEX(Banco!$E:$E,ROW()))</f>
        <v/>
      </c>
      <c r="F1252" s="10">
        <f>IF(INDEX(Banco!$F:$F,ROW())="","",INDEX(Banco!$F:$F,ROW()))</f>
        <v/>
      </c>
      <c r="G1252" s="10">
        <f>IF(INDEX(Banco!$G:$G,ROW())="","",INDEX(Banco!$G:$G,ROW()))</f>
        <v/>
      </c>
      <c r="H1252" s="8">
        <f>IF(INDEX(Banco!$H:$H,ROW())="","",INDEX(Banco!$H:$H,ROW()))</f>
        <v/>
      </c>
      <c r="I1252">
        <f>IF($T1252="","",INT($T1252/12)&amp;"a "&amp;MOD($T1252,12)&amp;"m")</f>
        <v/>
      </c>
      <c r="J1252" s="11">
        <f>IF(OR($F1252="",$G1252=""),"",ROUND($F1252/($G1252/100)^2,2))</f>
        <v/>
      </c>
      <c r="K1252" s="12">
        <f>IF(OR($S1252="",$J1252="",$T1252="",$T1252&lt;0,$T1252&gt;228,$Y1252=""),"—",ROUND(IF(ABS($AB1252)&lt;=3,$AB1252,IF($AB1252&gt;3,3+($J1252-$AD1252)/($AD1252-$AC1252),-3+($J1252-$AF1252)/($AE1252-$AF1252))),2))</f>
        <v/>
      </c>
      <c r="L1252">
        <f>IF(OR($K1252="",$K1252="—"),"",IF($T1252&lt;=60,IF($K1252&lt;-3,"Magreza acentuada",IF($K1252&lt;-2,"Magreza",IF($K1252&lt;=1,"Eutrofia",IF($K1252&lt;=2,"Risco de sobrepeso",IF($K1252&lt;=3,"Sobrepeso","Obesidade"))))),IF($K1252&lt;-3,"Magreza acentuada",IF($K1252&lt;-2,"Magreza",IF($K1252&lt;=1,"Eutrofia",IF($K1252&lt;=2,"Sobrepeso",IF($K1252&lt;=3,"Obesidade","Obesidade grave")))))))</f>
        <v/>
      </c>
      <c r="M1252" s="12">
        <f>IF(OR($S1252="",$V1252="",$T1252="",$T1252&lt;0,$T1252&gt;228,$AG1252=""),"—",ROUND(IF($AG1252=0,LN($V1252/$AH1252)/$AI1252,((($V1252/$AH1252)^$AG1252)-1)/($AG1252*$AI1252)),2))</f>
        <v/>
      </c>
      <c r="N1252">
        <f>IF(OR($M1252="",$M1252="—"),"",IF($M1252&lt;-3,"Muito baixa",IF($M1252&lt;-2,"Baixa","Adequada")))</f>
        <v/>
      </c>
      <c r="O1252" s="12">
        <f>IF(OR($S1252="",$F1252="",$T1252="",$T1252&lt;0,$T1252&gt;120,$AJ1252=""),"—",ROUND(IF(ABS($AM1252)&lt;=3,$AM1252,IF($AM1252&gt;3,3+($F1252-$AO1252)/($AO1252-$AN1252),-3+($F1252-$AQ1252)/($AP1252-$AQ1252))),2))</f>
        <v/>
      </c>
      <c r="P1252">
        <f>IF(OR($O1252="",$O1252="—"),"",IF($O1252&lt;-3,"Muito baixo",IF($O1252&lt;-2,"Baixo",IF($O1252&lt;=2,"Adequado","Elevado"))))</f>
        <v/>
      </c>
      <c r="Q1252" s="12">
        <f>IF(OR($S1252="",$F1252="",$T1252="",$T1252&lt;0,$T1252&gt;60,$AR1252=""),"—",ROUND(IF(ABS($AU1252)&lt;=3,$AU1252,IF($AU1252&gt;3,3+($F1252-$AW1252)/($AW1252-$AV1252),-3+($F1252-$AY1252)/($AX1252-$AY1252))),2))</f>
        <v/>
      </c>
      <c r="R1252">
        <f>IF(OR($Q1252="",$Q1252="—"),"",IF($Q1252&lt;-3,"Magreza acentuada",IF($Q1252&lt;-2,"Magreza",IF($Q1252&lt;=1,"Eutrofia",IF($Q1252&lt;=2,"Risco de sobrepeso",IF($Q1252&lt;=3,"Sobrepeso","Obesidade"))))))</f>
        <v/>
      </c>
      <c r="S1252">
        <f>IF($C1252="","",IF(UPPER(LEFT($C1252,1))="M",1,IF(UPPER(LEFT($C1252,1))="F",2,"")))</f>
        <v/>
      </c>
      <c r="T1252">
        <f>IF(OR($D1252="",$E1252=""),"",DATEDIF($D1252,$E1252,"m"))</f>
        <v/>
      </c>
      <c r="U1252">
        <f>IF(OR($D1252="",$E1252=""),"",$E1252-$D1252)</f>
        <v/>
      </c>
      <c r="V1252">
        <f>IF(OR($G1252="",$T1252=""),"",IF($T1252&lt;24,IF(LEFT(LOWER($H1252),4)="em p",$G1252+0.7,$G1252),IF(LEFT(LOWER($H1252),4)="deit",$G1252-0.7,$G1252)))</f>
        <v/>
      </c>
      <c r="W1252">
        <f>IF(OR($S1252="",$T1252=""),"",$S1252*1000000+IF($T1252&lt;=60,$U1252,$T1252))</f>
        <v/>
      </c>
      <c r="X1252">
        <f>IF(OR($S1252="",$V1252="",$T1252&gt;60,$T1252=""),"",$S1252*1000000+ROUND($V1252*10,0))</f>
        <v/>
      </c>
      <c r="Y1252">
        <f>IF($W1252="","",IFERROR(INDEX(IF($T1252&lt;=60,imc05_l,imc519_l),MATCH($W1252,IF($T1252&lt;=60,imc05_k,imc519_k),1)),""))</f>
        <v/>
      </c>
      <c r="Z1252">
        <f>IF($W1252="","",IFERROR(INDEX(IF($T1252&lt;=60,imc05_m,imc519_m),MATCH($W1252,IF($T1252&lt;=60,imc05_k,imc519_k),1)),""))</f>
        <v/>
      </c>
      <c r="AA1252">
        <f>IF($W1252="","",IFERROR(INDEX(IF($T1252&lt;=60,imc05_s,imc519_s),MATCH($W1252,IF($T1252&lt;=60,imc05_k,imc519_k),1)),""))</f>
        <v/>
      </c>
      <c r="AB1252">
        <f>IF($Y1252="","",IF($Y1252=0,LN($J1252/$Z1252)/$AA1252,((($J1252/$Z1252)^$Y1252)-1)/($Y1252*$AA1252)))</f>
        <v/>
      </c>
      <c r="AC1252">
        <f>IF($Y1252="","",IF($Y1252=0,$Z1252*EXP($AA1252*2),$Z1252*(1+$Y1252*$AA1252*2)^(1/$Y1252)))</f>
        <v/>
      </c>
      <c r="AD1252">
        <f>IF($Y1252="","",IF($Y1252=0,$Z1252*EXP($AA1252*3),$Z1252*(1+$Y1252*$AA1252*3)^(1/$Y1252)))</f>
        <v/>
      </c>
      <c r="AE1252">
        <f>IF($Y1252="","",IF($Y1252=0,$Z1252*EXP($AA1252*-2),$Z1252*(1+$Y1252*$AA1252*-2)^(1/$Y1252)))</f>
        <v/>
      </c>
      <c r="AF1252">
        <f>IF($Y1252="","",IF($Y1252=0,$Z1252*EXP($AA1252*-3),$Z1252*(1+$Y1252*$AA1252*-3)^(1/$Y1252)))</f>
        <v/>
      </c>
      <c r="AG1252">
        <f>IF($W1252="","",IFERROR(INDEX(IF($T1252&lt;=60,est05_l,est519_l),MATCH($W1252,IF($T1252&lt;=60,est05_k,est519_k),1)),""))</f>
        <v/>
      </c>
      <c r="AH1252">
        <f>IF($W1252="","",IFERROR(INDEX(IF($T1252&lt;=60,est05_m,est519_m),MATCH($W1252,IF($T1252&lt;=60,est05_k,est519_k),1)),""))</f>
        <v/>
      </c>
      <c r="AI1252">
        <f>IF($W1252="","",IFERROR(INDEX(IF($T1252&lt;=60,est05_s,est519_s),MATCH($W1252,IF($T1252&lt;=60,est05_k,est519_k),1)),""))</f>
        <v/>
      </c>
      <c r="AJ1252">
        <f>IF($W1252="","",IFERROR(INDEX(IF($T1252&lt;=60,peso05_l,peso510_l),MATCH($W1252,IF($T1252&lt;=60,peso05_k,peso510_k),1)),""))</f>
        <v/>
      </c>
      <c r="AK1252">
        <f>IF($W1252="","",IFERROR(INDEX(IF($T1252&lt;=60,peso05_m,peso510_m),MATCH($W1252,IF($T1252&lt;=60,peso05_k,peso510_k),1)),""))</f>
        <v/>
      </c>
      <c r="AL1252">
        <f>IF($W1252="","",IFERROR(INDEX(IF($T1252&lt;=60,peso05_s,peso510_s),MATCH($W1252,IF($T1252&lt;=60,peso05_k,peso510_k),1)),""))</f>
        <v/>
      </c>
      <c r="AM1252">
        <f>IF($AJ1252="","",IF($AJ1252=0,LN($F1252/$AK1252)/$AL1252,((($F1252/$AK1252)^$AJ1252)-1)/($AJ1252*$AL1252)))</f>
        <v/>
      </c>
      <c r="AN1252">
        <f>IF($AJ1252="","",IF($AJ1252=0,$AK1252*EXP($AL1252*2),$AK1252*(1+$AJ1252*$AL1252*2)^(1/$AJ1252)))</f>
        <v/>
      </c>
      <c r="AO1252">
        <f>IF($AJ1252="","",IF($AJ1252=0,$AK1252*EXP($AL1252*3),$AK1252*(1+$AJ1252*$AL1252*3)^(1/$AJ1252)))</f>
        <v/>
      </c>
      <c r="AP1252">
        <f>IF($AJ1252="","",IF($AJ1252=0,$AK1252*EXP($AL1252*-2),$AK1252*(1+$AJ1252*$AL1252*-2)^(1/$AJ1252)))</f>
        <v/>
      </c>
      <c r="AQ1252">
        <f>IF($AJ1252="","",IF($AJ1252=0,$AK1252*EXP($AL1252*-3),$AK1252*(1+$AJ1252*$AL1252*-3)^(1/$AJ1252)))</f>
        <v/>
      </c>
      <c r="AR1252">
        <f>IF(OR($X1252="",$T1252&gt;60),"",IFERROR(INDEX(IF($T1252&lt;24,pcomp_l,palt_l),MATCH($X1252,IF($T1252&lt;24,pcomp_k,palt_k),1)),""))</f>
        <v/>
      </c>
      <c r="AS1252">
        <f>IF(OR($X1252="",$T1252&gt;60),"",IFERROR(INDEX(IF($T1252&lt;24,pcomp_m,palt_m),MATCH($X1252,IF($T1252&lt;24,pcomp_k,palt_k),1)),""))</f>
        <v/>
      </c>
      <c r="AT1252">
        <f>IF(OR($X1252="",$T1252&gt;60),"",IFERROR(INDEX(IF($T1252&lt;24,pcomp_s,palt_s),MATCH($X1252,IF($T1252&lt;24,pcomp_k,palt_k),1)),""))</f>
        <v/>
      </c>
      <c r="AU1252">
        <f>IF($AR1252="","",IF($AR1252=0,LN($F1252/$AS1252)/$AT1252,((($F1252/$AS1252)^$AR1252)-1)/($AR1252*$AT1252)))</f>
        <v/>
      </c>
      <c r="AV1252">
        <f>IF($AR1252="","",IF($AR1252=0,$AS1252*EXP($AT1252*2),$AS1252*(1+$AR1252*$AT1252*2)^(1/$AR1252)))</f>
        <v/>
      </c>
      <c r="AW1252">
        <f>IF($AR1252="","",IF($AR1252=0,$AS1252*EXP($AT1252*3),$AS1252*(1+$AR1252*$AT1252*3)^(1/$AR1252)))</f>
        <v/>
      </c>
      <c r="AX1252">
        <f>IF($AR1252="","",IF($AR1252=0,$AS1252*EXP($AT1252*-2),$AS1252*(1+$AR1252*$AT1252*-2)^(1/$AR1252)))</f>
        <v/>
      </c>
      <c r="AY1252">
        <f>IF($AR1252="","",IF($AR1252=0,$AS1252*EXP($AT1252*-3),$AS1252*(1+$AR1252*$AT1252*-3)^(1/$AR1252)))</f>
        <v/>
      </c>
      <c r="AZ1252">
        <f>IF(OR($A1252="",$A1252&lt;&gt;Ficha!$C$4),"",COUNTIF($A$2:$A1252,Ficha!$C$4))</f>
        <v/>
      </c>
    </row>
    <row r="1253">
      <c r="A1253" s="8">
        <f>IF(INDEX(Banco!$A:$A,ROW())="","",INDEX(Banco!$A:$A,ROW()))</f>
        <v/>
      </c>
      <c r="B1253" s="8">
        <f>IF(INDEX(Banco!$B:$B,ROW())="","",INDEX(Banco!$B:$B,ROW()))</f>
        <v/>
      </c>
      <c r="C1253" s="8">
        <f>IF(INDEX(Banco!$C:$C,ROW())="","",INDEX(Banco!$C:$C,ROW()))</f>
        <v/>
      </c>
      <c r="D1253" s="9">
        <f>IF(INDEX(Banco!$D:$D,ROW())="","",INDEX(Banco!$D:$D,ROW()))</f>
        <v/>
      </c>
      <c r="E1253" s="9">
        <f>IF(INDEX(Banco!$E:$E,ROW())="","",INDEX(Banco!$E:$E,ROW()))</f>
        <v/>
      </c>
      <c r="F1253" s="10">
        <f>IF(INDEX(Banco!$F:$F,ROW())="","",INDEX(Banco!$F:$F,ROW()))</f>
        <v/>
      </c>
      <c r="G1253" s="10">
        <f>IF(INDEX(Banco!$G:$G,ROW())="","",INDEX(Banco!$G:$G,ROW()))</f>
        <v/>
      </c>
      <c r="H1253" s="8">
        <f>IF(INDEX(Banco!$H:$H,ROW())="","",INDEX(Banco!$H:$H,ROW()))</f>
        <v/>
      </c>
      <c r="I1253">
        <f>IF($T1253="","",INT($T1253/12)&amp;"a "&amp;MOD($T1253,12)&amp;"m")</f>
        <v/>
      </c>
      <c r="J1253" s="11">
        <f>IF(OR($F1253="",$G1253=""),"",ROUND($F1253/($G1253/100)^2,2))</f>
        <v/>
      </c>
      <c r="K1253" s="12">
        <f>IF(OR($S1253="",$J1253="",$T1253="",$T1253&lt;0,$T1253&gt;228,$Y1253=""),"—",ROUND(IF(ABS($AB1253)&lt;=3,$AB1253,IF($AB1253&gt;3,3+($J1253-$AD1253)/($AD1253-$AC1253),-3+($J1253-$AF1253)/($AE1253-$AF1253))),2))</f>
        <v/>
      </c>
      <c r="L1253">
        <f>IF(OR($K1253="",$K1253="—"),"",IF($T1253&lt;=60,IF($K1253&lt;-3,"Magreza acentuada",IF($K1253&lt;-2,"Magreza",IF($K1253&lt;=1,"Eutrofia",IF($K1253&lt;=2,"Risco de sobrepeso",IF($K1253&lt;=3,"Sobrepeso","Obesidade"))))),IF($K1253&lt;-3,"Magreza acentuada",IF($K1253&lt;-2,"Magreza",IF($K1253&lt;=1,"Eutrofia",IF($K1253&lt;=2,"Sobrepeso",IF($K1253&lt;=3,"Obesidade","Obesidade grave")))))))</f>
        <v/>
      </c>
      <c r="M1253" s="12">
        <f>IF(OR($S1253="",$V1253="",$T1253="",$T1253&lt;0,$T1253&gt;228,$AG1253=""),"—",ROUND(IF($AG1253=0,LN($V1253/$AH1253)/$AI1253,((($V1253/$AH1253)^$AG1253)-1)/($AG1253*$AI1253)),2))</f>
        <v/>
      </c>
      <c r="N1253">
        <f>IF(OR($M1253="",$M1253="—"),"",IF($M1253&lt;-3,"Muito baixa",IF($M1253&lt;-2,"Baixa","Adequada")))</f>
        <v/>
      </c>
      <c r="O1253" s="12">
        <f>IF(OR($S1253="",$F1253="",$T1253="",$T1253&lt;0,$T1253&gt;120,$AJ1253=""),"—",ROUND(IF(ABS($AM1253)&lt;=3,$AM1253,IF($AM1253&gt;3,3+($F1253-$AO1253)/($AO1253-$AN1253),-3+($F1253-$AQ1253)/($AP1253-$AQ1253))),2))</f>
        <v/>
      </c>
      <c r="P1253">
        <f>IF(OR($O1253="",$O1253="—"),"",IF($O1253&lt;-3,"Muito baixo",IF($O1253&lt;-2,"Baixo",IF($O1253&lt;=2,"Adequado","Elevado"))))</f>
        <v/>
      </c>
      <c r="Q1253" s="12">
        <f>IF(OR($S1253="",$F1253="",$T1253="",$T1253&lt;0,$T1253&gt;60,$AR1253=""),"—",ROUND(IF(ABS($AU1253)&lt;=3,$AU1253,IF($AU1253&gt;3,3+($F1253-$AW1253)/($AW1253-$AV1253),-3+($F1253-$AY1253)/($AX1253-$AY1253))),2))</f>
        <v/>
      </c>
      <c r="R1253">
        <f>IF(OR($Q1253="",$Q1253="—"),"",IF($Q1253&lt;-3,"Magreza acentuada",IF($Q1253&lt;-2,"Magreza",IF($Q1253&lt;=1,"Eutrofia",IF($Q1253&lt;=2,"Risco de sobrepeso",IF($Q1253&lt;=3,"Sobrepeso","Obesidade"))))))</f>
        <v/>
      </c>
      <c r="S1253">
        <f>IF($C1253="","",IF(UPPER(LEFT($C1253,1))="M",1,IF(UPPER(LEFT($C1253,1))="F",2,"")))</f>
        <v/>
      </c>
      <c r="T1253">
        <f>IF(OR($D1253="",$E1253=""),"",DATEDIF($D1253,$E1253,"m"))</f>
        <v/>
      </c>
      <c r="U1253">
        <f>IF(OR($D1253="",$E1253=""),"",$E1253-$D1253)</f>
        <v/>
      </c>
      <c r="V1253">
        <f>IF(OR($G1253="",$T1253=""),"",IF($T1253&lt;24,IF(LEFT(LOWER($H1253),4)="em p",$G1253+0.7,$G1253),IF(LEFT(LOWER($H1253),4)="deit",$G1253-0.7,$G1253)))</f>
        <v/>
      </c>
      <c r="W1253">
        <f>IF(OR($S1253="",$T1253=""),"",$S1253*1000000+IF($T1253&lt;=60,$U1253,$T1253))</f>
        <v/>
      </c>
      <c r="X1253">
        <f>IF(OR($S1253="",$V1253="",$T1253&gt;60,$T1253=""),"",$S1253*1000000+ROUND($V1253*10,0))</f>
        <v/>
      </c>
      <c r="Y1253">
        <f>IF($W1253="","",IFERROR(INDEX(IF($T1253&lt;=60,imc05_l,imc519_l),MATCH($W1253,IF($T1253&lt;=60,imc05_k,imc519_k),1)),""))</f>
        <v/>
      </c>
      <c r="Z1253">
        <f>IF($W1253="","",IFERROR(INDEX(IF($T1253&lt;=60,imc05_m,imc519_m),MATCH($W1253,IF($T1253&lt;=60,imc05_k,imc519_k),1)),""))</f>
        <v/>
      </c>
      <c r="AA1253">
        <f>IF($W1253="","",IFERROR(INDEX(IF($T1253&lt;=60,imc05_s,imc519_s),MATCH($W1253,IF($T1253&lt;=60,imc05_k,imc519_k),1)),""))</f>
        <v/>
      </c>
      <c r="AB1253">
        <f>IF($Y1253="","",IF($Y1253=0,LN($J1253/$Z1253)/$AA1253,((($J1253/$Z1253)^$Y1253)-1)/($Y1253*$AA1253)))</f>
        <v/>
      </c>
      <c r="AC1253">
        <f>IF($Y1253="","",IF($Y1253=0,$Z1253*EXP($AA1253*2),$Z1253*(1+$Y1253*$AA1253*2)^(1/$Y1253)))</f>
        <v/>
      </c>
      <c r="AD1253">
        <f>IF($Y1253="","",IF($Y1253=0,$Z1253*EXP($AA1253*3),$Z1253*(1+$Y1253*$AA1253*3)^(1/$Y1253)))</f>
        <v/>
      </c>
      <c r="AE1253">
        <f>IF($Y1253="","",IF($Y1253=0,$Z1253*EXP($AA1253*-2),$Z1253*(1+$Y1253*$AA1253*-2)^(1/$Y1253)))</f>
        <v/>
      </c>
      <c r="AF1253">
        <f>IF($Y1253="","",IF($Y1253=0,$Z1253*EXP($AA1253*-3),$Z1253*(1+$Y1253*$AA1253*-3)^(1/$Y1253)))</f>
        <v/>
      </c>
      <c r="AG1253">
        <f>IF($W1253="","",IFERROR(INDEX(IF($T1253&lt;=60,est05_l,est519_l),MATCH($W1253,IF($T1253&lt;=60,est05_k,est519_k),1)),""))</f>
        <v/>
      </c>
      <c r="AH1253">
        <f>IF($W1253="","",IFERROR(INDEX(IF($T1253&lt;=60,est05_m,est519_m),MATCH($W1253,IF($T1253&lt;=60,est05_k,est519_k),1)),""))</f>
        <v/>
      </c>
      <c r="AI1253">
        <f>IF($W1253="","",IFERROR(INDEX(IF($T1253&lt;=60,est05_s,est519_s),MATCH($W1253,IF($T1253&lt;=60,est05_k,est519_k),1)),""))</f>
        <v/>
      </c>
      <c r="AJ1253">
        <f>IF($W1253="","",IFERROR(INDEX(IF($T1253&lt;=60,peso05_l,peso510_l),MATCH($W1253,IF($T1253&lt;=60,peso05_k,peso510_k),1)),""))</f>
        <v/>
      </c>
      <c r="AK1253">
        <f>IF($W1253="","",IFERROR(INDEX(IF($T1253&lt;=60,peso05_m,peso510_m),MATCH($W1253,IF($T1253&lt;=60,peso05_k,peso510_k),1)),""))</f>
        <v/>
      </c>
      <c r="AL1253">
        <f>IF($W1253="","",IFERROR(INDEX(IF($T1253&lt;=60,peso05_s,peso510_s),MATCH($W1253,IF($T1253&lt;=60,peso05_k,peso510_k),1)),""))</f>
        <v/>
      </c>
      <c r="AM1253">
        <f>IF($AJ1253="","",IF($AJ1253=0,LN($F1253/$AK1253)/$AL1253,((($F1253/$AK1253)^$AJ1253)-1)/($AJ1253*$AL1253)))</f>
        <v/>
      </c>
      <c r="AN1253">
        <f>IF($AJ1253="","",IF($AJ1253=0,$AK1253*EXP($AL1253*2),$AK1253*(1+$AJ1253*$AL1253*2)^(1/$AJ1253)))</f>
        <v/>
      </c>
      <c r="AO1253">
        <f>IF($AJ1253="","",IF($AJ1253=0,$AK1253*EXP($AL1253*3),$AK1253*(1+$AJ1253*$AL1253*3)^(1/$AJ1253)))</f>
        <v/>
      </c>
      <c r="AP1253">
        <f>IF($AJ1253="","",IF($AJ1253=0,$AK1253*EXP($AL1253*-2),$AK1253*(1+$AJ1253*$AL1253*-2)^(1/$AJ1253)))</f>
        <v/>
      </c>
      <c r="AQ1253">
        <f>IF($AJ1253="","",IF($AJ1253=0,$AK1253*EXP($AL1253*-3),$AK1253*(1+$AJ1253*$AL1253*-3)^(1/$AJ1253)))</f>
        <v/>
      </c>
      <c r="AR1253">
        <f>IF(OR($X1253="",$T1253&gt;60),"",IFERROR(INDEX(IF($T1253&lt;24,pcomp_l,palt_l),MATCH($X1253,IF($T1253&lt;24,pcomp_k,palt_k),1)),""))</f>
        <v/>
      </c>
      <c r="AS1253">
        <f>IF(OR($X1253="",$T1253&gt;60),"",IFERROR(INDEX(IF($T1253&lt;24,pcomp_m,palt_m),MATCH($X1253,IF($T1253&lt;24,pcomp_k,palt_k),1)),""))</f>
        <v/>
      </c>
      <c r="AT1253">
        <f>IF(OR($X1253="",$T1253&gt;60),"",IFERROR(INDEX(IF($T1253&lt;24,pcomp_s,palt_s),MATCH($X1253,IF($T1253&lt;24,pcomp_k,palt_k),1)),""))</f>
        <v/>
      </c>
      <c r="AU1253">
        <f>IF($AR1253="","",IF($AR1253=0,LN($F1253/$AS1253)/$AT1253,((($F1253/$AS1253)^$AR1253)-1)/($AR1253*$AT1253)))</f>
        <v/>
      </c>
      <c r="AV1253">
        <f>IF($AR1253="","",IF($AR1253=0,$AS1253*EXP($AT1253*2),$AS1253*(1+$AR1253*$AT1253*2)^(1/$AR1253)))</f>
        <v/>
      </c>
      <c r="AW1253">
        <f>IF($AR1253="","",IF($AR1253=0,$AS1253*EXP($AT1253*3),$AS1253*(1+$AR1253*$AT1253*3)^(1/$AR1253)))</f>
        <v/>
      </c>
      <c r="AX1253">
        <f>IF($AR1253="","",IF($AR1253=0,$AS1253*EXP($AT1253*-2),$AS1253*(1+$AR1253*$AT1253*-2)^(1/$AR1253)))</f>
        <v/>
      </c>
      <c r="AY1253">
        <f>IF($AR1253="","",IF($AR1253=0,$AS1253*EXP($AT1253*-3),$AS1253*(1+$AR1253*$AT1253*-3)^(1/$AR1253)))</f>
        <v/>
      </c>
      <c r="AZ1253">
        <f>IF(OR($A1253="",$A1253&lt;&gt;Ficha!$C$4),"",COUNTIF($A$2:$A1253,Ficha!$C$4))</f>
        <v/>
      </c>
    </row>
    <row r="1254">
      <c r="A1254" s="8">
        <f>IF(INDEX(Banco!$A:$A,ROW())="","",INDEX(Banco!$A:$A,ROW()))</f>
        <v/>
      </c>
      <c r="B1254" s="8">
        <f>IF(INDEX(Banco!$B:$B,ROW())="","",INDEX(Banco!$B:$B,ROW()))</f>
        <v/>
      </c>
      <c r="C1254" s="8">
        <f>IF(INDEX(Banco!$C:$C,ROW())="","",INDEX(Banco!$C:$C,ROW()))</f>
        <v/>
      </c>
      <c r="D1254" s="9">
        <f>IF(INDEX(Banco!$D:$D,ROW())="","",INDEX(Banco!$D:$D,ROW()))</f>
        <v/>
      </c>
      <c r="E1254" s="9">
        <f>IF(INDEX(Banco!$E:$E,ROW())="","",INDEX(Banco!$E:$E,ROW()))</f>
        <v/>
      </c>
      <c r="F1254" s="10">
        <f>IF(INDEX(Banco!$F:$F,ROW())="","",INDEX(Banco!$F:$F,ROW()))</f>
        <v/>
      </c>
      <c r="G1254" s="10">
        <f>IF(INDEX(Banco!$G:$G,ROW())="","",INDEX(Banco!$G:$G,ROW()))</f>
        <v/>
      </c>
      <c r="H1254" s="8">
        <f>IF(INDEX(Banco!$H:$H,ROW())="","",INDEX(Banco!$H:$H,ROW()))</f>
        <v/>
      </c>
      <c r="I1254">
        <f>IF($T1254="","",INT($T1254/12)&amp;"a "&amp;MOD($T1254,12)&amp;"m")</f>
        <v/>
      </c>
      <c r="J1254" s="11">
        <f>IF(OR($F1254="",$G1254=""),"",ROUND($F1254/($G1254/100)^2,2))</f>
        <v/>
      </c>
      <c r="K1254" s="12">
        <f>IF(OR($S1254="",$J1254="",$T1254="",$T1254&lt;0,$T1254&gt;228,$Y1254=""),"—",ROUND(IF(ABS($AB1254)&lt;=3,$AB1254,IF($AB1254&gt;3,3+($J1254-$AD1254)/($AD1254-$AC1254),-3+($J1254-$AF1254)/($AE1254-$AF1254))),2))</f>
        <v/>
      </c>
      <c r="L1254">
        <f>IF(OR($K1254="",$K1254="—"),"",IF($T1254&lt;=60,IF($K1254&lt;-3,"Magreza acentuada",IF($K1254&lt;-2,"Magreza",IF($K1254&lt;=1,"Eutrofia",IF($K1254&lt;=2,"Risco de sobrepeso",IF($K1254&lt;=3,"Sobrepeso","Obesidade"))))),IF($K1254&lt;-3,"Magreza acentuada",IF($K1254&lt;-2,"Magreza",IF($K1254&lt;=1,"Eutrofia",IF($K1254&lt;=2,"Sobrepeso",IF($K1254&lt;=3,"Obesidade","Obesidade grave")))))))</f>
        <v/>
      </c>
      <c r="M1254" s="12">
        <f>IF(OR($S1254="",$V1254="",$T1254="",$T1254&lt;0,$T1254&gt;228,$AG1254=""),"—",ROUND(IF($AG1254=0,LN($V1254/$AH1254)/$AI1254,((($V1254/$AH1254)^$AG1254)-1)/($AG1254*$AI1254)),2))</f>
        <v/>
      </c>
      <c r="N1254">
        <f>IF(OR($M1254="",$M1254="—"),"",IF($M1254&lt;-3,"Muito baixa",IF($M1254&lt;-2,"Baixa","Adequada")))</f>
        <v/>
      </c>
      <c r="O1254" s="12">
        <f>IF(OR($S1254="",$F1254="",$T1254="",$T1254&lt;0,$T1254&gt;120,$AJ1254=""),"—",ROUND(IF(ABS($AM1254)&lt;=3,$AM1254,IF($AM1254&gt;3,3+($F1254-$AO1254)/($AO1254-$AN1254),-3+($F1254-$AQ1254)/($AP1254-$AQ1254))),2))</f>
        <v/>
      </c>
      <c r="P1254">
        <f>IF(OR($O1254="",$O1254="—"),"",IF($O1254&lt;-3,"Muito baixo",IF($O1254&lt;-2,"Baixo",IF($O1254&lt;=2,"Adequado","Elevado"))))</f>
        <v/>
      </c>
      <c r="Q1254" s="12">
        <f>IF(OR($S1254="",$F1254="",$T1254="",$T1254&lt;0,$T1254&gt;60,$AR1254=""),"—",ROUND(IF(ABS($AU1254)&lt;=3,$AU1254,IF($AU1254&gt;3,3+($F1254-$AW1254)/($AW1254-$AV1254),-3+($F1254-$AY1254)/($AX1254-$AY1254))),2))</f>
        <v/>
      </c>
      <c r="R1254">
        <f>IF(OR($Q1254="",$Q1254="—"),"",IF($Q1254&lt;-3,"Magreza acentuada",IF($Q1254&lt;-2,"Magreza",IF($Q1254&lt;=1,"Eutrofia",IF($Q1254&lt;=2,"Risco de sobrepeso",IF($Q1254&lt;=3,"Sobrepeso","Obesidade"))))))</f>
        <v/>
      </c>
      <c r="S1254">
        <f>IF($C1254="","",IF(UPPER(LEFT($C1254,1))="M",1,IF(UPPER(LEFT($C1254,1))="F",2,"")))</f>
        <v/>
      </c>
      <c r="T1254">
        <f>IF(OR($D1254="",$E1254=""),"",DATEDIF($D1254,$E1254,"m"))</f>
        <v/>
      </c>
      <c r="U1254">
        <f>IF(OR($D1254="",$E1254=""),"",$E1254-$D1254)</f>
        <v/>
      </c>
      <c r="V1254">
        <f>IF(OR($G1254="",$T1254=""),"",IF($T1254&lt;24,IF(LEFT(LOWER($H1254),4)="em p",$G1254+0.7,$G1254),IF(LEFT(LOWER($H1254),4)="deit",$G1254-0.7,$G1254)))</f>
        <v/>
      </c>
      <c r="W1254">
        <f>IF(OR($S1254="",$T1254=""),"",$S1254*1000000+IF($T1254&lt;=60,$U1254,$T1254))</f>
        <v/>
      </c>
      <c r="X1254">
        <f>IF(OR($S1254="",$V1254="",$T1254&gt;60,$T1254=""),"",$S1254*1000000+ROUND($V1254*10,0))</f>
        <v/>
      </c>
      <c r="Y1254">
        <f>IF($W1254="","",IFERROR(INDEX(IF($T1254&lt;=60,imc05_l,imc519_l),MATCH($W1254,IF($T1254&lt;=60,imc05_k,imc519_k),1)),""))</f>
        <v/>
      </c>
      <c r="Z1254">
        <f>IF($W1254="","",IFERROR(INDEX(IF($T1254&lt;=60,imc05_m,imc519_m),MATCH($W1254,IF($T1254&lt;=60,imc05_k,imc519_k),1)),""))</f>
        <v/>
      </c>
      <c r="AA1254">
        <f>IF($W1254="","",IFERROR(INDEX(IF($T1254&lt;=60,imc05_s,imc519_s),MATCH($W1254,IF($T1254&lt;=60,imc05_k,imc519_k),1)),""))</f>
        <v/>
      </c>
      <c r="AB1254">
        <f>IF($Y1254="","",IF($Y1254=0,LN($J1254/$Z1254)/$AA1254,((($J1254/$Z1254)^$Y1254)-1)/($Y1254*$AA1254)))</f>
        <v/>
      </c>
      <c r="AC1254">
        <f>IF($Y1254="","",IF($Y1254=0,$Z1254*EXP($AA1254*2),$Z1254*(1+$Y1254*$AA1254*2)^(1/$Y1254)))</f>
        <v/>
      </c>
      <c r="AD1254">
        <f>IF($Y1254="","",IF($Y1254=0,$Z1254*EXP($AA1254*3),$Z1254*(1+$Y1254*$AA1254*3)^(1/$Y1254)))</f>
        <v/>
      </c>
      <c r="AE1254">
        <f>IF($Y1254="","",IF($Y1254=0,$Z1254*EXP($AA1254*-2),$Z1254*(1+$Y1254*$AA1254*-2)^(1/$Y1254)))</f>
        <v/>
      </c>
      <c r="AF1254">
        <f>IF($Y1254="","",IF($Y1254=0,$Z1254*EXP($AA1254*-3),$Z1254*(1+$Y1254*$AA1254*-3)^(1/$Y1254)))</f>
        <v/>
      </c>
      <c r="AG1254">
        <f>IF($W1254="","",IFERROR(INDEX(IF($T1254&lt;=60,est05_l,est519_l),MATCH($W1254,IF($T1254&lt;=60,est05_k,est519_k),1)),""))</f>
        <v/>
      </c>
      <c r="AH1254">
        <f>IF($W1254="","",IFERROR(INDEX(IF($T1254&lt;=60,est05_m,est519_m),MATCH($W1254,IF($T1254&lt;=60,est05_k,est519_k),1)),""))</f>
        <v/>
      </c>
      <c r="AI1254">
        <f>IF($W1254="","",IFERROR(INDEX(IF($T1254&lt;=60,est05_s,est519_s),MATCH($W1254,IF($T1254&lt;=60,est05_k,est519_k),1)),""))</f>
        <v/>
      </c>
      <c r="AJ1254">
        <f>IF($W1254="","",IFERROR(INDEX(IF($T1254&lt;=60,peso05_l,peso510_l),MATCH($W1254,IF($T1254&lt;=60,peso05_k,peso510_k),1)),""))</f>
        <v/>
      </c>
      <c r="AK1254">
        <f>IF($W1254="","",IFERROR(INDEX(IF($T1254&lt;=60,peso05_m,peso510_m),MATCH($W1254,IF($T1254&lt;=60,peso05_k,peso510_k),1)),""))</f>
        <v/>
      </c>
      <c r="AL1254">
        <f>IF($W1254="","",IFERROR(INDEX(IF($T1254&lt;=60,peso05_s,peso510_s),MATCH($W1254,IF($T1254&lt;=60,peso05_k,peso510_k),1)),""))</f>
        <v/>
      </c>
      <c r="AM1254">
        <f>IF($AJ1254="","",IF($AJ1254=0,LN($F1254/$AK1254)/$AL1254,((($F1254/$AK1254)^$AJ1254)-1)/($AJ1254*$AL1254)))</f>
        <v/>
      </c>
      <c r="AN1254">
        <f>IF($AJ1254="","",IF($AJ1254=0,$AK1254*EXP($AL1254*2),$AK1254*(1+$AJ1254*$AL1254*2)^(1/$AJ1254)))</f>
        <v/>
      </c>
      <c r="AO1254">
        <f>IF($AJ1254="","",IF($AJ1254=0,$AK1254*EXP($AL1254*3),$AK1254*(1+$AJ1254*$AL1254*3)^(1/$AJ1254)))</f>
        <v/>
      </c>
      <c r="AP1254">
        <f>IF($AJ1254="","",IF($AJ1254=0,$AK1254*EXP($AL1254*-2),$AK1254*(1+$AJ1254*$AL1254*-2)^(1/$AJ1254)))</f>
        <v/>
      </c>
      <c r="AQ1254">
        <f>IF($AJ1254="","",IF($AJ1254=0,$AK1254*EXP($AL1254*-3),$AK1254*(1+$AJ1254*$AL1254*-3)^(1/$AJ1254)))</f>
        <v/>
      </c>
      <c r="AR1254">
        <f>IF(OR($X1254="",$T1254&gt;60),"",IFERROR(INDEX(IF($T1254&lt;24,pcomp_l,palt_l),MATCH($X1254,IF($T1254&lt;24,pcomp_k,palt_k),1)),""))</f>
        <v/>
      </c>
      <c r="AS1254">
        <f>IF(OR($X1254="",$T1254&gt;60),"",IFERROR(INDEX(IF($T1254&lt;24,pcomp_m,palt_m),MATCH($X1254,IF($T1254&lt;24,pcomp_k,palt_k),1)),""))</f>
        <v/>
      </c>
      <c r="AT1254">
        <f>IF(OR($X1254="",$T1254&gt;60),"",IFERROR(INDEX(IF($T1254&lt;24,pcomp_s,palt_s),MATCH($X1254,IF($T1254&lt;24,pcomp_k,palt_k),1)),""))</f>
        <v/>
      </c>
      <c r="AU1254">
        <f>IF($AR1254="","",IF($AR1254=0,LN($F1254/$AS1254)/$AT1254,((($F1254/$AS1254)^$AR1254)-1)/($AR1254*$AT1254)))</f>
        <v/>
      </c>
      <c r="AV1254">
        <f>IF($AR1254="","",IF($AR1254=0,$AS1254*EXP($AT1254*2),$AS1254*(1+$AR1254*$AT1254*2)^(1/$AR1254)))</f>
        <v/>
      </c>
      <c r="AW1254">
        <f>IF($AR1254="","",IF($AR1254=0,$AS1254*EXP($AT1254*3),$AS1254*(1+$AR1254*$AT1254*3)^(1/$AR1254)))</f>
        <v/>
      </c>
      <c r="AX1254">
        <f>IF($AR1254="","",IF($AR1254=0,$AS1254*EXP($AT1254*-2),$AS1254*(1+$AR1254*$AT1254*-2)^(1/$AR1254)))</f>
        <v/>
      </c>
      <c r="AY1254">
        <f>IF($AR1254="","",IF($AR1254=0,$AS1254*EXP($AT1254*-3),$AS1254*(1+$AR1254*$AT1254*-3)^(1/$AR1254)))</f>
        <v/>
      </c>
      <c r="AZ1254">
        <f>IF(OR($A1254="",$A1254&lt;&gt;Ficha!$C$4),"",COUNTIF($A$2:$A1254,Ficha!$C$4))</f>
        <v/>
      </c>
    </row>
    <row r="1255">
      <c r="A1255" s="8">
        <f>IF(INDEX(Banco!$A:$A,ROW())="","",INDEX(Banco!$A:$A,ROW()))</f>
        <v/>
      </c>
      <c r="B1255" s="8">
        <f>IF(INDEX(Banco!$B:$B,ROW())="","",INDEX(Banco!$B:$B,ROW()))</f>
        <v/>
      </c>
      <c r="C1255" s="8">
        <f>IF(INDEX(Banco!$C:$C,ROW())="","",INDEX(Banco!$C:$C,ROW()))</f>
        <v/>
      </c>
      <c r="D1255" s="9">
        <f>IF(INDEX(Banco!$D:$D,ROW())="","",INDEX(Banco!$D:$D,ROW()))</f>
        <v/>
      </c>
      <c r="E1255" s="9">
        <f>IF(INDEX(Banco!$E:$E,ROW())="","",INDEX(Banco!$E:$E,ROW()))</f>
        <v/>
      </c>
      <c r="F1255" s="10">
        <f>IF(INDEX(Banco!$F:$F,ROW())="","",INDEX(Banco!$F:$F,ROW()))</f>
        <v/>
      </c>
      <c r="G1255" s="10">
        <f>IF(INDEX(Banco!$G:$G,ROW())="","",INDEX(Banco!$G:$G,ROW()))</f>
        <v/>
      </c>
      <c r="H1255" s="8">
        <f>IF(INDEX(Banco!$H:$H,ROW())="","",INDEX(Banco!$H:$H,ROW()))</f>
        <v/>
      </c>
      <c r="I1255">
        <f>IF($T1255="","",INT($T1255/12)&amp;"a "&amp;MOD($T1255,12)&amp;"m")</f>
        <v/>
      </c>
      <c r="J1255" s="11">
        <f>IF(OR($F1255="",$G1255=""),"",ROUND($F1255/($G1255/100)^2,2))</f>
        <v/>
      </c>
      <c r="K1255" s="12">
        <f>IF(OR($S1255="",$J1255="",$T1255="",$T1255&lt;0,$T1255&gt;228,$Y1255=""),"—",ROUND(IF(ABS($AB1255)&lt;=3,$AB1255,IF($AB1255&gt;3,3+($J1255-$AD1255)/($AD1255-$AC1255),-3+($J1255-$AF1255)/($AE1255-$AF1255))),2))</f>
        <v/>
      </c>
      <c r="L1255">
        <f>IF(OR($K1255="",$K1255="—"),"",IF($T1255&lt;=60,IF($K1255&lt;-3,"Magreza acentuada",IF($K1255&lt;-2,"Magreza",IF($K1255&lt;=1,"Eutrofia",IF($K1255&lt;=2,"Risco de sobrepeso",IF($K1255&lt;=3,"Sobrepeso","Obesidade"))))),IF($K1255&lt;-3,"Magreza acentuada",IF($K1255&lt;-2,"Magreza",IF($K1255&lt;=1,"Eutrofia",IF($K1255&lt;=2,"Sobrepeso",IF($K1255&lt;=3,"Obesidade","Obesidade grave")))))))</f>
        <v/>
      </c>
      <c r="M1255" s="12">
        <f>IF(OR($S1255="",$V1255="",$T1255="",$T1255&lt;0,$T1255&gt;228,$AG1255=""),"—",ROUND(IF($AG1255=0,LN($V1255/$AH1255)/$AI1255,((($V1255/$AH1255)^$AG1255)-1)/($AG1255*$AI1255)),2))</f>
        <v/>
      </c>
      <c r="N1255">
        <f>IF(OR($M1255="",$M1255="—"),"",IF($M1255&lt;-3,"Muito baixa",IF($M1255&lt;-2,"Baixa","Adequada")))</f>
        <v/>
      </c>
      <c r="O1255" s="12">
        <f>IF(OR($S1255="",$F1255="",$T1255="",$T1255&lt;0,$T1255&gt;120,$AJ1255=""),"—",ROUND(IF(ABS($AM1255)&lt;=3,$AM1255,IF($AM1255&gt;3,3+($F1255-$AO1255)/($AO1255-$AN1255),-3+($F1255-$AQ1255)/($AP1255-$AQ1255))),2))</f>
        <v/>
      </c>
      <c r="P1255">
        <f>IF(OR($O1255="",$O1255="—"),"",IF($O1255&lt;-3,"Muito baixo",IF($O1255&lt;-2,"Baixo",IF($O1255&lt;=2,"Adequado","Elevado"))))</f>
        <v/>
      </c>
      <c r="Q1255" s="12">
        <f>IF(OR($S1255="",$F1255="",$T1255="",$T1255&lt;0,$T1255&gt;60,$AR1255=""),"—",ROUND(IF(ABS($AU1255)&lt;=3,$AU1255,IF($AU1255&gt;3,3+($F1255-$AW1255)/($AW1255-$AV1255),-3+($F1255-$AY1255)/($AX1255-$AY1255))),2))</f>
        <v/>
      </c>
      <c r="R1255">
        <f>IF(OR($Q1255="",$Q1255="—"),"",IF($Q1255&lt;-3,"Magreza acentuada",IF($Q1255&lt;-2,"Magreza",IF($Q1255&lt;=1,"Eutrofia",IF($Q1255&lt;=2,"Risco de sobrepeso",IF($Q1255&lt;=3,"Sobrepeso","Obesidade"))))))</f>
        <v/>
      </c>
      <c r="S1255">
        <f>IF($C1255="","",IF(UPPER(LEFT($C1255,1))="M",1,IF(UPPER(LEFT($C1255,1))="F",2,"")))</f>
        <v/>
      </c>
      <c r="T1255">
        <f>IF(OR($D1255="",$E1255=""),"",DATEDIF($D1255,$E1255,"m"))</f>
        <v/>
      </c>
      <c r="U1255">
        <f>IF(OR($D1255="",$E1255=""),"",$E1255-$D1255)</f>
        <v/>
      </c>
      <c r="V1255">
        <f>IF(OR($G1255="",$T1255=""),"",IF($T1255&lt;24,IF(LEFT(LOWER($H1255),4)="em p",$G1255+0.7,$G1255),IF(LEFT(LOWER($H1255),4)="deit",$G1255-0.7,$G1255)))</f>
        <v/>
      </c>
      <c r="W1255">
        <f>IF(OR($S1255="",$T1255=""),"",$S1255*1000000+IF($T1255&lt;=60,$U1255,$T1255))</f>
        <v/>
      </c>
      <c r="X1255">
        <f>IF(OR($S1255="",$V1255="",$T1255&gt;60,$T1255=""),"",$S1255*1000000+ROUND($V1255*10,0))</f>
        <v/>
      </c>
      <c r="Y1255">
        <f>IF($W1255="","",IFERROR(INDEX(IF($T1255&lt;=60,imc05_l,imc519_l),MATCH($W1255,IF($T1255&lt;=60,imc05_k,imc519_k),1)),""))</f>
        <v/>
      </c>
      <c r="Z1255">
        <f>IF($W1255="","",IFERROR(INDEX(IF($T1255&lt;=60,imc05_m,imc519_m),MATCH($W1255,IF($T1255&lt;=60,imc05_k,imc519_k),1)),""))</f>
        <v/>
      </c>
      <c r="AA1255">
        <f>IF($W1255="","",IFERROR(INDEX(IF($T1255&lt;=60,imc05_s,imc519_s),MATCH($W1255,IF($T1255&lt;=60,imc05_k,imc519_k),1)),""))</f>
        <v/>
      </c>
      <c r="AB1255">
        <f>IF($Y1255="","",IF($Y1255=0,LN($J1255/$Z1255)/$AA1255,((($J1255/$Z1255)^$Y1255)-1)/($Y1255*$AA1255)))</f>
        <v/>
      </c>
      <c r="AC1255">
        <f>IF($Y1255="","",IF($Y1255=0,$Z1255*EXP($AA1255*2),$Z1255*(1+$Y1255*$AA1255*2)^(1/$Y1255)))</f>
        <v/>
      </c>
      <c r="AD1255">
        <f>IF($Y1255="","",IF($Y1255=0,$Z1255*EXP($AA1255*3),$Z1255*(1+$Y1255*$AA1255*3)^(1/$Y1255)))</f>
        <v/>
      </c>
      <c r="AE1255">
        <f>IF($Y1255="","",IF($Y1255=0,$Z1255*EXP($AA1255*-2),$Z1255*(1+$Y1255*$AA1255*-2)^(1/$Y1255)))</f>
        <v/>
      </c>
      <c r="AF1255">
        <f>IF($Y1255="","",IF($Y1255=0,$Z1255*EXP($AA1255*-3),$Z1255*(1+$Y1255*$AA1255*-3)^(1/$Y1255)))</f>
        <v/>
      </c>
      <c r="AG1255">
        <f>IF($W1255="","",IFERROR(INDEX(IF($T1255&lt;=60,est05_l,est519_l),MATCH($W1255,IF($T1255&lt;=60,est05_k,est519_k),1)),""))</f>
        <v/>
      </c>
      <c r="AH1255">
        <f>IF($W1255="","",IFERROR(INDEX(IF($T1255&lt;=60,est05_m,est519_m),MATCH($W1255,IF($T1255&lt;=60,est05_k,est519_k),1)),""))</f>
        <v/>
      </c>
      <c r="AI1255">
        <f>IF($W1255="","",IFERROR(INDEX(IF($T1255&lt;=60,est05_s,est519_s),MATCH($W1255,IF($T1255&lt;=60,est05_k,est519_k),1)),""))</f>
        <v/>
      </c>
      <c r="AJ1255">
        <f>IF($W1255="","",IFERROR(INDEX(IF($T1255&lt;=60,peso05_l,peso510_l),MATCH($W1255,IF($T1255&lt;=60,peso05_k,peso510_k),1)),""))</f>
        <v/>
      </c>
      <c r="AK1255">
        <f>IF($W1255="","",IFERROR(INDEX(IF($T1255&lt;=60,peso05_m,peso510_m),MATCH($W1255,IF($T1255&lt;=60,peso05_k,peso510_k),1)),""))</f>
        <v/>
      </c>
      <c r="AL1255">
        <f>IF($W1255="","",IFERROR(INDEX(IF($T1255&lt;=60,peso05_s,peso510_s),MATCH($W1255,IF($T1255&lt;=60,peso05_k,peso510_k),1)),""))</f>
        <v/>
      </c>
      <c r="AM1255">
        <f>IF($AJ1255="","",IF($AJ1255=0,LN($F1255/$AK1255)/$AL1255,((($F1255/$AK1255)^$AJ1255)-1)/($AJ1255*$AL1255)))</f>
        <v/>
      </c>
      <c r="AN1255">
        <f>IF($AJ1255="","",IF($AJ1255=0,$AK1255*EXP($AL1255*2),$AK1255*(1+$AJ1255*$AL1255*2)^(1/$AJ1255)))</f>
        <v/>
      </c>
      <c r="AO1255">
        <f>IF($AJ1255="","",IF($AJ1255=0,$AK1255*EXP($AL1255*3),$AK1255*(1+$AJ1255*$AL1255*3)^(1/$AJ1255)))</f>
        <v/>
      </c>
      <c r="AP1255">
        <f>IF($AJ1255="","",IF($AJ1255=0,$AK1255*EXP($AL1255*-2),$AK1255*(1+$AJ1255*$AL1255*-2)^(1/$AJ1255)))</f>
        <v/>
      </c>
      <c r="AQ1255">
        <f>IF($AJ1255="","",IF($AJ1255=0,$AK1255*EXP($AL1255*-3),$AK1255*(1+$AJ1255*$AL1255*-3)^(1/$AJ1255)))</f>
        <v/>
      </c>
      <c r="AR1255">
        <f>IF(OR($X1255="",$T1255&gt;60),"",IFERROR(INDEX(IF($T1255&lt;24,pcomp_l,palt_l),MATCH($X1255,IF($T1255&lt;24,pcomp_k,palt_k),1)),""))</f>
        <v/>
      </c>
      <c r="AS1255">
        <f>IF(OR($X1255="",$T1255&gt;60),"",IFERROR(INDEX(IF($T1255&lt;24,pcomp_m,palt_m),MATCH($X1255,IF($T1255&lt;24,pcomp_k,palt_k),1)),""))</f>
        <v/>
      </c>
      <c r="AT1255">
        <f>IF(OR($X1255="",$T1255&gt;60),"",IFERROR(INDEX(IF($T1255&lt;24,pcomp_s,palt_s),MATCH($X1255,IF($T1255&lt;24,pcomp_k,palt_k),1)),""))</f>
        <v/>
      </c>
      <c r="AU1255">
        <f>IF($AR1255="","",IF($AR1255=0,LN($F1255/$AS1255)/$AT1255,((($F1255/$AS1255)^$AR1255)-1)/($AR1255*$AT1255)))</f>
        <v/>
      </c>
      <c r="AV1255">
        <f>IF($AR1255="","",IF($AR1255=0,$AS1255*EXP($AT1255*2),$AS1255*(1+$AR1255*$AT1255*2)^(1/$AR1255)))</f>
        <v/>
      </c>
      <c r="AW1255">
        <f>IF($AR1255="","",IF($AR1255=0,$AS1255*EXP($AT1255*3),$AS1255*(1+$AR1255*$AT1255*3)^(1/$AR1255)))</f>
        <v/>
      </c>
      <c r="AX1255">
        <f>IF($AR1255="","",IF($AR1255=0,$AS1255*EXP($AT1255*-2),$AS1255*(1+$AR1255*$AT1255*-2)^(1/$AR1255)))</f>
        <v/>
      </c>
      <c r="AY1255">
        <f>IF($AR1255="","",IF($AR1255=0,$AS1255*EXP($AT1255*-3),$AS1255*(1+$AR1255*$AT1255*-3)^(1/$AR1255)))</f>
        <v/>
      </c>
      <c r="AZ1255">
        <f>IF(OR($A1255="",$A1255&lt;&gt;Ficha!$C$4),"",COUNTIF($A$2:$A1255,Ficha!$C$4))</f>
        <v/>
      </c>
    </row>
    <row r="1256">
      <c r="A1256" s="8">
        <f>IF(INDEX(Banco!$A:$A,ROW())="","",INDEX(Banco!$A:$A,ROW()))</f>
        <v/>
      </c>
      <c r="B1256" s="8">
        <f>IF(INDEX(Banco!$B:$B,ROW())="","",INDEX(Banco!$B:$B,ROW()))</f>
        <v/>
      </c>
      <c r="C1256" s="8">
        <f>IF(INDEX(Banco!$C:$C,ROW())="","",INDEX(Banco!$C:$C,ROW()))</f>
        <v/>
      </c>
      <c r="D1256" s="9">
        <f>IF(INDEX(Banco!$D:$D,ROW())="","",INDEX(Banco!$D:$D,ROW()))</f>
        <v/>
      </c>
      <c r="E1256" s="9">
        <f>IF(INDEX(Banco!$E:$E,ROW())="","",INDEX(Banco!$E:$E,ROW()))</f>
        <v/>
      </c>
      <c r="F1256" s="10">
        <f>IF(INDEX(Banco!$F:$F,ROW())="","",INDEX(Banco!$F:$F,ROW()))</f>
        <v/>
      </c>
      <c r="G1256" s="10">
        <f>IF(INDEX(Banco!$G:$G,ROW())="","",INDEX(Banco!$G:$G,ROW()))</f>
        <v/>
      </c>
      <c r="H1256" s="8">
        <f>IF(INDEX(Banco!$H:$H,ROW())="","",INDEX(Banco!$H:$H,ROW()))</f>
        <v/>
      </c>
      <c r="I1256">
        <f>IF($T1256="","",INT($T1256/12)&amp;"a "&amp;MOD($T1256,12)&amp;"m")</f>
        <v/>
      </c>
      <c r="J1256" s="11">
        <f>IF(OR($F1256="",$G1256=""),"",ROUND($F1256/($G1256/100)^2,2))</f>
        <v/>
      </c>
      <c r="K1256" s="12">
        <f>IF(OR($S1256="",$J1256="",$T1256="",$T1256&lt;0,$T1256&gt;228,$Y1256=""),"—",ROUND(IF(ABS($AB1256)&lt;=3,$AB1256,IF($AB1256&gt;3,3+($J1256-$AD1256)/($AD1256-$AC1256),-3+($J1256-$AF1256)/($AE1256-$AF1256))),2))</f>
        <v/>
      </c>
      <c r="L1256">
        <f>IF(OR($K1256="",$K1256="—"),"",IF($T1256&lt;=60,IF($K1256&lt;-3,"Magreza acentuada",IF($K1256&lt;-2,"Magreza",IF($K1256&lt;=1,"Eutrofia",IF($K1256&lt;=2,"Risco de sobrepeso",IF($K1256&lt;=3,"Sobrepeso","Obesidade"))))),IF($K1256&lt;-3,"Magreza acentuada",IF($K1256&lt;-2,"Magreza",IF($K1256&lt;=1,"Eutrofia",IF($K1256&lt;=2,"Sobrepeso",IF($K1256&lt;=3,"Obesidade","Obesidade grave")))))))</f>
        <v/>
      </c>
      <c r="M1256" s="12">
        <f>IF(OR($S1256="",$V1256="",$T1256="",$T1256&lt;0,$T1256&gt;228,$AG1256=""),"—",ROUND(IF($AG1256=0,LN($V1256/$AH1256)/$AI1256,((($V1256/$AH1256)^$AG1256)-1)/($AG1256*$AI1256)),2))</f>
        <v/>
      </c>
      <c r="N1256">
        <f>IF(OR($M1256="",$M1256="—"),"",IF($M1256&lt;-3,"Muito baixa",IF($M1256&lt;-2,"Baixa","Adequada")))</f>
        <v/>
      </c>
      <c r="O1256" s="12">
        <f>IF(OR($S1256="",$F1256="",$T1256="",$T1256&lt;0,$T1256&gt;120,$AJ1256=""),"—",ROUND(IF(ABS($AM1256)&lt;=3,$AM1256,IF($AM1256&gt;3,3+($F1256-$AO1256)/($AO1256-$AN1256),-3+($F1256-$AQ1256)/($AP1256-$AQ1256))),2))</f>
        <v/>
      </c>
      <c r="P1256">
        <f>IF(OR($O1256="",$O1256="—"),"",IF($O1256&lt;-3,"Muito baixo",IF($O1256&lt;-2,"Baixo",IF($O1256&lt;=2,"Adequado","Elevado"))))</f>
        <v/>
      </c>
      <c r="Q1256" s="12">
        <f>IF(OR($S1256="",$F1256="",$T1256="",$T1256&lt;0,$T1256&gt;60,$AR1256=""),"—",ROUND(IF(ABS($AU1256)&lt;=3,$AU1256,IF($AU1256&gt;3,3+($F1256-$AW1256)/($AW1256-$AV1256),-3+($F1256-$AY1256)/($AX1256-$AY1256))),2))</f>
        <v/>
      </c>
      <c r="R1256">
        <f>IF(OR($Q1256="",$Q1256="—"),"",IF($Q1256&lt;-3,"Magreza acentuada",IF($Q1256&lt;-2,"Magreza",IF($Q1256&lt;=1,"Eutrofia",IF($Q1256&lt;=2,"Risco de sobrepeso",IF($Q1256&lt;=3,"Sobrepeso","Obesidade"))))))</f>
        <v/>
      </c>
      <c r="S1256">
        <f>IF($C1256="","",IF(UPPER(LEFT($C1256,1))="M",1,IF(UPPER(LEFT($C1256,1))="F",2,"")))</f>
        <v/>
      </c>
      <c r="T1256">
        <f>IF(OR($D1256="",$E1256=""),"",DATEDIF($D1256,$E1256,"m"))</f>
        <v/>
      </c>
      <c r="U1256">
        <f>IF(OR($D1256="",$E1256=""),"",$E1256-$D1256)</f>
        <v/>
      </c>
      <c r="V1256">
        <f>IF(OR($G1256="",$T1256=""),"",IF($T1256&lt;24,IF(LEFT(LOWER($H1256),4)="em p",$G1256+0.7,$G1256),IF(LEFT(LOWER($H1256),4)="deit",$G1256-0.7,$G1256)))</f>
        <v/>
      </c>
      <c r="W1256">
        <f>IF(OR($S1256="",$T1256=""),"",$S1256*1000000+IF($T1256&lt;=60,$U1256,$T1256))</f>
        <v/>
      </c>
      <c r="X1256">
        <f>IF(OR($S1256="",$V1256="",$T1256&gt;60,$T1256=""),"",$S1256*1000000+ROUND($V1256*10,0))</f>
        <v/>
      </c>
      <c r="Y1256">
        <f>IF($W1256="","",IFERROR(INDEX(IF($T1256&lt;=60,imc05_l,imc519_l),MATCH($W1256,IF($T1256&lt;=60,imc05_k,imc519_k),1)),""))</f>
        <v/>
      </c>
      <c r="Z1256">
        <f>IF($W1256="","",IFERROR(INDEX(IF($T1256&lt;=60,imc05_m,imc519_m),MATCH($W1256,IF($T1256&lt;=60,imc05_k,imc519_k),1)),""))</f>
        <v/>
      </c>
      <c r="AA1256">
        <f>IF($W1256="","",IFERROR(INDEX(IF($T1256&lt;=60,imc05_s,imc519_s),MATCH($W1256,IF($T1256&lt;=60,imc05_k,imc519_k),1)),""))</f>
        <v/>
      </c>
      <c r="AB1256">
        <f>IF($Y1256="","",IF($Y1256=0,LN($J1256/$Z1256)/$AA1256,((($J1256/$Z1256)^$Y1256)-1)/($Y1256*$AA1256)))</f>
        <v/>
      </c>
      <c r="AC1256">
        <f>IF($Y1256="","",IF($Y1256=0,$Z1256*EXP($AA1256*2),$Z1256*(1+$Y1256*$AA1256*2)^(1/$Y1256)))</f>
        <v/>
      </c>
      <c r="AD1256">
        <f>IF($Y1256="","",IF($Y1256=0,$Z1256*EXP($AA1256*3),$Z1256*(1+$Y1256*$AA1256*3)^(1/$Y1256)))</f>
        <v/>
      </c>
      <c r="AE1256">
        <f>IF($Y1256="","",IF($Y1256=0,$Z1256*EXP($AA1256*-2),$Z1256*(1+$Y1256*$AA1256*-2)^(1/$Y1256)))</f>
        <v/>
      </c>
      <c r="AF1256">
        <f>IF($Y1256="","",IF($Y1256=0,$Z1256*EXP($AA1256*-3),$Z1256*(1+$Y1256*$AA1256*-3)^(1/$Y1256)))</f>
        <v/>
      </c>
      <c r="AG1256">
        <f>IF($W1256="","",IFERROR(INDEX(IF($T1256&lt;=60,est05_l,est519_l),MATCH($W1256,IF($T1256&lt;=60,est05_k,est519_k),1)),""))</f>
        <v/>
      </c>
      <c r="AH1256">
        <f>IF($W1256="","",IFERROR(INDEX(IF($T1256&lt;=60,est05_m,est519_m),MATCH($W1256,IF($T1256&lt;=60,est05_k,est519_k),1)),""))</f>
        <v/>
      </c>
      <c r="AI1256">
        <f>IF($W1256="","",IFERROR(INDEX(IF($T1256&lt;=60,est05_s,est519_s),MATCH($W1256,IF($T1256&lt;=60,est05_k,est519_k),1)),""))</f>
        <v/>
      </c>
      <c r="AJ1256">
        <f>IF($W1256="","",IFERROR(INDEX(IF($T1256&lt;=60,peso05_l,peso510_l),MATCH($W1256,IF($T1256&lt;=60,peso05_k,peso510_k),1)),""))</f>
        <v/>
      </c>
      <c r="AK1256">
        <f>IF($W1256="","",IFERROR(INDEX(IF($T1256&lt;=60,peso05_m,peso510_m),MATCH($W1256,IF($T1256&lt;=60,peso05_k,peso510_k),1)),""))</f>
        <v/>
      </c>
      <c r="AL1256">
        <f>IF($W1256="","",IFERROR(INDEX(IF($T1256&lt;=60,peso05_s,peso510_s),MATCH($W1256,IF($T1256&lt;=60,peso05_k,peso510_k),1)),""))</f>
        <v/>
      </c>
      <c r="AM1256">
        <f>IF($AJ1256="","",IF($AJ1256=0,LN($F1256/$AK1256)/$AL1256,((($F1256/$AK1256)^$AJ1256)-1)/($AJ1256*$AL1256)))</f>
        <v/>
      </c>
      <c r="AN1256">
        <f>IF($AJ1256="","",IF($AJ1256=0,$AK1256*EXP($AL1256*2),$AK1256*(1+$AJ1256*$AL1256*2)^(1/$AJ1256)))</f>
        <v/>
      </c>
      <c r="AO1256">
        <f>IF($AJ1256="","",IF($AJ1256=0,$AK1256*EXP($AL1256*3),$AK1256*(1+$AJ1256*$AL1256*3)^(1/$AJ1256)))</f>
        <v/>
      </c>
      <c r="AP1256">
        <f>IF($AJ1256="","",IF($AJ1256=0,$AK1256*EXP($AL1256*-2),$AK1256*(1+$AJ1256*$AL1256*-2)^(1/$AJ1256)))</f>
        <v/>
      </c>
      <c r="AQ1256">
        <f>IF($AJ1256="","",IF($AJ1256=0,$AK1256*EXP($AL1256*-3),$AK1256*(1+$AJ1256*$AL1256*-3)^(1/$AJ1256)))</f>
        <v/>
      </c>
      <c r="AR1256">
        <f>IF(OR($X1256="",$T1256&gt;60),"",IFERROR(INDEX(IF($T1256&lt;24,pcomp_l,palt_l),MATCH($X1256,IF($T1256&lt;24,pcomp_k,palt_k),1)),""))</f>
        <v/>
      </c>
      <c r="AS1256">
        <f>IF(OR($X1256="",$T1256&gt;60),"",IFERROR(INDEX(IF($T1256&lt;24,pcomp_m,palt_m),MATCH($X1256,IF($T1256&lt;24,pcomp_k,palt_k),1)),""))</f>
        <v/>
      </c>
      <c r="AT1256">
        <f>IF(OR($X1256="",$T1256&gt;60),"",IFERROR(INDEX(IF($T1256&lt;24,pcomp_s,palt_s),MATCH($X1256,IF($T1256&lt;24,pcomp_k,palt_k),1)),""))</f>
        <v/>
      </c>
      <c r="AU1256">
        <f>IF($AR1256="","",IF($AR1256=0,LN($F1256/$AS1256)/$AT1256,((($F1256/$AS1256)^$AR1256)-1)/($AR1256*$AT1256)))</f>
        <v/>
      </c>
      <c r="AV1256">
        <f>IF($AR1256="","",IF($AR1256=0,$AS1256*EXP($AT1256*2),$AS1256*(1+$AR1256*$AT1256*2)^(1/$AR1256)))</f>
        <v/>
      </c>
      <c r="AW1256">
        <f>IF($AR1256="","",IF($AR1256=0,$AS1256*EXP($AT1256*3),$AS1256*(1+$AR1256*$AT1256*3)^(1/$AR1256)))</f>
        <v/>
      </c>
      <c r="AX1256">
        <f>IF($AR1256="","",IF($AR1256=0,$AS1256*EXP($AT1256*-2),$AS1256*(1+$AR1256*$AT1256*-2)^(1/$AR1256)))</f>
        <v/>
      </c>
      <c r="AY1256">
        <f>IF($AR1256="","",IF($AR1256=0,$AS1256*EXP($AT1256*-3),$AS1256*(1+$AR1256*$AT1256*-3)^(1/$AR1256)))</f>
        <v/>
      </c>
      <c r="AZ1256">
        <f>IF(OR($A1256="",$A1256&lt;&gt;Ficha!$C$4),"",COUNTIF($A$2:$A1256,Ficha!$C$4))</f>
        <v/>
      </c>
    </row>
    <row r="1257">
      <c r="A1257" s="8">
        <f>IF(INDEX(Banco!$A:$A,ROW())="","",INDEX(Banco!$A:$A,ROW()))</f>
        <v/>
      </c>
      <c r="B1257" s="8">
        <f>IF(INDEX(Banco!$B:$B,ROW())="","",INDEX(Banco!$B:$B,ROW()))</f>
        <v/>
      </c>
      <c r="C1257" s="8">
        <f>IF(INDEX(Banco!$C:$C,ROW())="","",INDEX(Banco!$C:$C,ROW()))</f>
        <v/>
      </c>
      <c r="D1257" s="9">
        <f>IF(INDEX(Banco!$D:$D,ROW())="","",INDEX(Banco!$D:$D,ROW()))</f>
        <v/>
      </c>
      <c r="E1257" s="9">
        <f>IF(INDEX(Banco!$E:$E,ROW())="","",INDEX(Banco!$E:$E,ROW()))</f>
        <v/>
      </c>
      <c r="F1257" s="10">
        <f>IF(INDEX(Banco!$F:$F,ROW())="","",INDEX(Banco!$F:$F,ROW()))</f>
        <v/>
      </c>
      <c r="G1257" s="10">
        <f>IF(INDEX(Banco!$G:$G,ROW())="","",INDEX(Banco!$G:$G,ROW()))</f>
        <v/>
      </c>
      <c r="H1257" s="8">
        <f>IF(INDEX(Banco!$H:$H,ROW())="","",INDEX(Banco!$H:$H,ROW()))</f>
        <v/>
      </c>
      <c r="I1257">
        <f>IF($T1257="","",INT($T1257/12)&amp;"a "&amp;MOD($T1257,12)&amp;"m")</f>
        <v/>
      </c>
      <c r="J1257" s="11">
        <f>IF(OR($F1257="",$G1257=""),"",ROUND($F1257/($G1257/100)^2,2))</f>
        <v/>
      </c>
      <c r="K1257" s="12">
        <f>IF(OR($S1257="",$J1257="",$T1257="",$T1257&lt;0,$T1257&gt;228,$Y1257=""),"—",ROUND(IF(ABS($AB1257)&lt;=3,$AB1257,IF($AB1257&gt;3,3+($J1257-$AD1257)/($AD1257-$AC1257),-3+($J1257-$AF1257)/($AE1257-$AF1257))),2))</f>
        <v/>
      </c>
      <c r="L1257">
        <f>IF(OR($K1257="",$K1257="—"),"",IF($T1257&lt;=60,IF($K1257&lt;-3,"Magreza acentuada",IF($K1257&lt;-2,"Magreza",IF($K1257&lt;=1,"Eutrofia",IF($K1257&lt;=2,"Risco de sobrepeso",IF($K1257&lt;=3,"Sobrepeso","Obesidade"))))),IF($K1257&lt;-3,"Magreza acentuada",IF($K1257&lt;-2,"Magreza",IF($K1257&lt;=1,"Eutrofia",IF($K1257&lt;=2,"Sobrepeso",IF($K1257&lt;=3,"Obesidade","Obesidade grave")))))))</f>
        <v/>
      </c>
      <c r="M1257" s="12">
        <f>IF(OR($S1257="",$V1257="",$T1257="",$T1257&lt;0,$T1257&gt;228,$AG1257=""),"—",ROUND(IF($AG1257=0,LN($V1257/$AH1257)/$AI1257,((($V1257/$AH1257)^$AG1257)-1)/($AG1257*$AI1257)),2))</f>
        <v/>
      </c>
      <c r="N1257">
        <f>IF(OR($M1257="",$M1257="—"),"",IF($M1257&lt;-3,"Muito baixa",IF($M1257&lt;-2,"Baixa","Adequada")))</f>
        <v/>
      </c>
      <c r="O1257" s="12">
        <f>IF(OR($S1257="",$F1257="",$T1257="",$T1257&lt;0,$T1257&gt;120,$AJ1257=""),"—",ROUND(IF(ABS($AM1257)&lt;=3,$AM1257,IF($AM1257&gt;3,3+($F1257-$AO1257)/($AO1257-$AN1257),-3+($F1257-$AQ1257)/($AP1257-$AQ1257))),2))</f>
        <v/>
      </c>
      <c r="P1257">
        <f>IF(OR($O1257="",$O1257="—"),"",IF($O1257&lt;-3,"Muito baixo",IF($O1257&lt;-2,"Baixo",IF($O1257&lt;=2,"Adequado","Elevado"))))</f>
        <v/>
      </c>
      <c r="Q1257" s="12">
        <f>IF(OR($S1257="",$F1257="",$T1257="",$T1257&lt;0,$T1257&gt;60,$AR1257=""),"—",ROUND(IF(ABS($AU1257)&lt;=3,$AU1257,IF($AU1257&gt;3,3+($F1257-$AW1257)/($AW1257-$AV1257),-3+($F1257-$AY1257)/($AX1257-$AY1257))),2))</f>
        <v/>
      </c>
      <c r="R1257">
        <f>IF(OR($Q1257="",$Q1257="—"),"",IF($Q1257&lt;-3,"Magreza acentuada",IF($Q1257&lt;-2,"Magreza",IF($Q1257&lt;=1,"Eutrofia",IF($Q1257&lt;=2,"Risco de sobrepeso",IF($Q1257&lt;=3,"Sobrepeso","Obesidade"))))))</f>
        <v/>
      </c>
      <c r="S1257">
        <f>IF($C1257="","",IF(UPPER(LEFT($C1257,1))="M",1,IF(UPPER(LEFT($C1257,1))="F",2,"")))</f>
        <v/>
      </c>
      <c r="T1257">
        <f>IF(OR($D1257="",$E1257=""),"",DATEDIF($D1257,$E1257,"m"))</f>
        <v/>
      </c>
      <c r="U1257">
        <f>IF(OR($D1257="",$E1257=""),"",$E1257-$D1257)</f>
        <v/>
      </c>
      <c r="V1257">
        <f>IF(OR($G1257="",$T1257=""),"",IF($T1257&lt;24,IF(LEFT(LOWER($H1257),4)="em p",$G1257+0.7,$G1257),IF(LEFT(LOWER($H1257),4)="deit",$G1257-0.7,$G1257)))</f>
        <v/>
      </c>
      <c r="W1257">
        <f>IF(OR($S1257="",$T1257=""),"",$S1257*1000000+IF($T1257&lt;=60,$U1257,$T1257))</f>
        <v/>
      </c>
      <c r="X1257">
        <f>IF(OR($S1257="",$V1257="",$T1257&gt;60,$T1257=""),"",$S1257*1000000+ROUND($V1257*10,0))</f>
        <v/>
      </c>
      <c r="Y1257">
        <f>IF($W1257="","",IFERROR(INDEX(IF($T1257&lt;=60,imc05_l,imc519_l),MATCH($W1257,IF($T1257&lt;=60,imc05_k,imc519_k),1)),""))</f>
        <v/>
      </c>
      <c r="Z1257">
        <f>IF($W1257="","",IFERROR(INDEX(IF($T1257&lt;=60,imc05_m,imc519_m),MATCH($W1257,IF($T1257&lt;=60,imc05_k,imc519_k),1)),""))</f>
        <v/>
      </c>
      <c r="AA1257">
        <f>IF($W1257="","",IFERROR(INDEX(IF($T1257&lt;=60,imc05_s,imc519_s),MATCH($W1257,IF($T1257&lt;=60,imc05_k,imc519_k),1)),""))</f>
        <v/>
      </c>
      <c r="AB1257">
        <f>IF($Y1257="","",IF($Y1257=0,LN($J1257/$Z1257)/$AA1257,((($J1257/$Z1257)^$Y1257)-1)/($Y1257*$AA1257)))</f>
        <v/>
      </c>
      <c r="AC1257">
        <f>IF($Y1257="","",IF($Y1257=0,$Z1257*EXP($AA1257*2),$Z1257*(1+$Y1257*$AA1257*2)^(1/$Y1257)))</f>
        <v/>
      </c>
      <c r="AD1257">
        <f>IF($Y1257="","",IF($Y1257=0,$Z1257*EXP($AA1257*3),$Z1257*(1+$Y1257*$AA1257*3)^(1/$Y1257)))</f>
        <v/>
      </c>
      <c r="AE1257">
        <f>IF($Y1257="","",IF($Y1257=0,$Z1257*EXP($AA1257*-2),$Z1257*(1+$Y1257*$AA1257*-2)^(1/$Y1257)))</f>
        <v/>
      </c>
      <c r="AF1257">
        <f>IF($Y1257="","",IF($Y1257=0,$Z1257*EXP($AA1257*-3),$Z1257*(1+$Y1257*$AA1257*-3)^(1/$Y1257)))</f>
        <v/>
      </c>
      <c r="AG1257">
        <f>IF($W1257="","",IFERROR(INDEX(IF($T1257&lt;=60,est05_l,est519_l),MATCH($W1257,IF($T1257&lt;=60,est05_k,est519_k),1)),""))</f>
        <v/>
      </c>
      <c r="AH1257">
        <f>IF($W1257="","",IFERROR(INDEX(IF($T1257&lt;=60,est05_m,est519_m),MATCH($W1257,IF($T1257&lt;=60,est05_k,est519_k),1)),""))</f>
        <v/>
      </c>
      <c r="AI1257">
        <f>IF($W1257="","",IFERROR(INDEX(IF($T1257&lt;=60,est05_s,est519_s),MATCH($W1257,IF($T1257&lt;=60,est05_k,est519_k),1)),""))</f>
        <v/>
      </c>
      <c r="AJ1257">
        <f>IF($W1257="","",IFERROR(INDEX(IF($T1257&lt;=60,peso05_l,peso510_l),MATCH($W1257,IF($T1257&lt;=60,peso05_k,peso510_k),1)),""))</f>
        <v/>
      </c>
      <c r="AK1257">
        <f>IF($W1257="","",IFERROR(INDEX(IF($T1257&lt;=60,peso05_m,peso510_m),MATCH($W1257,IF($T1257&lt;=60,peso05_k,peso510_k),1)),""))</f>
        <v/>
      </c>
      <c r="AL1257">
        <f>IF($W1257="","",IFERROR(INDEX(IF($T1257&lt;=60,peso05_s,peso510_s),MATCH($W1257,IF($T1257&lt;=60,peso05_k,peso510_k),1)),""))</f>
        <v/>
      </c>
      <c r="AM1257">
        <f>IF($AJ1257="","",IF($AJ1257=0,LN($F1257/$AK1257)/$AL1257,((($F1257/$AK1257)^$AJ1257)-1)/($AJ1257*$AL1257)))</f>
        <v/>
      </c>
      <c r="AN1257">
        <f>IF($AJ1257="","",IF($AJ1257=0,$AK1257*EXP($AL1257*2),$AK1257*(1+$AJ1257*$AL1257*2)^(1/$AJ1257)))</f>
        <v/>
      </c>
      <c r="AO1257">
        <f>IF($AJ1257="","",IF($AJ1257=0,$AK1257*EXP($AL1257*3),$AK1257*(1+$AJ1257*$AL1257*3)^(1/$AJ1257)))</f>
        <v/>
      </c>
      <c r="AP1257">
        <f>IF($AJ1257="","",IF($AJ1257=0,$AK1257*EXP($AL1257*-2),$AK1257*(1+$AJ1257*$AL1257*-2)^(1/$AJ1257)))</f>
        <v/>
      </c>
      <c r="AQ1257">
        <f>IF($AJ1257="","",IF($AJ1257=0,$AK1257*EXP($AL1257*-3),$AK1257*(1+$AJ1257*$AL1257*-3)^(1/$AJ1257)))</f>
        <v/>
      </c>
      <c r="AR1257">
        <f>IF(OR($X1257="",$T1257&gt;60),"",IFERROR(INDEX(IF($T1257&lt;24,pcomp_l,palt_l),MATCH($X1257,IF($T1257&lt;24,pcomp_k,palt_k),1)),""))</f>
        <v/>
      </c>
      <c r="AS1257">
        <f>IF(OR($X1257="",$T1257&gt;60),"",IFERROR(INDEX(IF($T1257&lt;24,pcomp_m,palt_m),MATCH($X1257,IF($T1257&lt;24,pcomp_k,palt_k),1)),""))</f>
        <v/>
      </c>
      <c r="AT1257">
        <f>IF(OR($X1257="",$T1257&gt;60),"",IFERROR(INDEX(IF($T1257&lt;24,pcomp_s,palt_s),MATCH($X1257,IF($T1257&lt;24,pcomp_k,palt_k),1)),""))</f>
        <v/>
      </c>
      <c r="AU1257">
        <f>IF($AR1257="","",IF($AR1257=0,LN($F1257/$AS1257)/$AT1257,((($F1257/$AS1257)^$AR1257)-1)/($AR1257*$AT1257)))</f>
        <v/>
      </c>
      <c r="AV1257">
        <f>IF($AR1257="","",IF($AR1257=0,$AS1257*EXP($AT1257*2),$AS1257*(1+$AR1257*$AT1257*2)^(1/$AR1257)))</f>
        <v/>
      </c>
      <c r="AW1257">
        <f>IF($AR1257="","",IF($AR1257=0,$AS1257*EXP($AT1257*3),$AS1257*(1+$AR1257*$AT1257*3)^(1/$AR1257)))</f>
        <v/>
      </c>
      <c r="AX1257">
        <f>IF($AR1257="","",IF($AR1257=0,$AS1257*EXP($AT1257*-2),$AS1257*(1+$AR1257*$AT1257*-2)^(1/$AR1257)))</f>
        <v/>
      </c>
      <c r="AY1257">
        <f>IF($AR1257="","",IF($AR1257=0,$AS1257*EXP($AT1257*-3),$AS1257*(1+$AR1257*$AT1257*-3)^(1/$AR1257)))</f>
        <v/>
      </c>
      <c r="AZ1257">
        <f>IF(OR($A1257="",$A1257&lt;&gt;Ficha!$C$4),"",COUNTIF($A$2:$A1257,Ficha!$C$4))</f>
        <v/>
      </c>
    </row>
    <row r="1258">
      <c r="A1258" s="8">
        <f>IF(INDEX(Banco!$A:$A,ROW())="","",INDEX(Banco!$A:$A,ROW()))</f>
        <v/>
      </c>
      <c r="B1258" s="8">
        <f>IF(INDEX(Banco!$B:$B,ROW())="","",INDEX(Banco!$B:$B,ROW()))</f>
        <v/>
      </c>
      <c r="C1258" s="8">
        <f>IF(INDEX(Banco!$C:$C,ROW())="","",INDEX(Banco!$C:$C,ROW()))</f>
        <v/>
      </c>
      <c r="D1258" s="9">
        <f>IF(INDEX(Banco!$D:$D,ROW())="","",INDEX(Banco!$D:$D,ROW()))</f>
        <v/>
      </c>
      <c r="E1258" s="9">
        <f>IF(INDEX(Banco!$E:$E,ROW())="","",INDEX(Banco!$E:$E,ROW()))</f>
        <v/>
      </c>
      <c r="F1258" s="10">
        <f>IF(INDEX(Banco!$F:$F,ROW())="","",INDEX(Banco!$F:$F,ROW()))</f>
        <v/>
      </c>
      <c r="G1258" s="10">
        <f>IF(INDEX(Banco!$G:$G,ROW())="","",INDEX(Banco!$G:$G,ROW()))</f>
        <v/>
      </c>
      <c r="H1258" s="8">
        <f>IF(INDEX(Banco!$H:$H,ROW())="","",INDEX(Banco!$H:$H,ROW()))</f>
        <v/>
      </c>
      <c r="I1258">
        <f>IF($T1258="","",INT($T1258/12)&amp;"a "&amp;MOD($T1258,12)&amp;"m")</f>
        <v/>
      </c>
      <c r="J1258" s="11">
        <f>IF(OR($F1258="",$G1258=""),"",ROUND($F1258/($G1258/100)^2,2))</f>
        <v/>
      </c>
      <c r="K1258" s="12">
        <f>IF(OR($S1258="",$J1258="",$T1258="",$T1258&lt;0,$T1258&gt;228,$Y1258=""),"—",ROUND(IF(ABS($AB1258)&lt;=3,$AB1258,IF($AB1258&gt;3,3+($J1258-$AD1258)/($AD1258-$AC1258),-3+($J1258-$AF1258)/($AE1258-$AF1258))),2))</f>
        <v/>
      </c>
      <c r="L1258">
        <f>IF(OR($K1258="",$K1258="—"),"",IF($T1258&lt;=60,IF($K1258&lt;-3,"Magreza acentuada",IF($K1258&lt;-2,"Magreza",IF($K1258&lt;=1,"Eutrofia",IF($K1258&lt;=2,"Risco de sobrepeso",IF($K1258&lt;=3,"Sobrepeso","Obesidade"))))),IF($K1258&lt;-3,"Magreza acentuada",IF($K1258&lt;-2,"Magreza",IF($K1258&lt;=1,"Eutrofia",IF($K1258&lt;=2,"Sobrepeso",IF($K1258&lt;=3,"Obesidade","Obesidade grave")))))))</f>
        <v/>
      </c>
      <c r="M1258" s="12">
        <f>IF(OR($S1258="",$V1258="",$T1258="",$T1258&lt;0,$T1258&gt;228,$AG1258=""),"—",ROUND(IF($AG1258=0,LN($V1258/$AH1258)/$AI1258,((($V1258/$AH1258)^$AG1258)-1)/($AG1258*$AI1258)),2))</f>
        <v/>
      </c>
      <c r="N1258">
        <f>IF(OR($M1258="",$M1258="—"),"",IF($M1258&lt;-3,"Muito baixa",IF($M1258&lt;-2,"Baixa","Adequada")))</f>
        <v/>
      </c>
      <c r="O1258" s="12">
        <f>IF(OR($S1258="",$F1258="",$T1258="",$T1258&lt;0,$T1258&gt;120,$AJ1258=""),"—",ROUND(IF(ABS($AM1258)&lt;=3,$AM1258,IF($AM1258&gt;3,3+($F1258-$AO1258)/($AO1258-$AN1258),-3+($F1258-$AQ1258)/($AP1258-$AQ1258))),2))</f>
        <v/>
      </c>
      <c r="P1258">
        <f>IF(OR($O1258="",$O1258="—"),"",IF($O1258&lt;-3,"Muito baixo",IF($O1258&lt;-2,"Baixo",IF($O1258&lt;=2,"Adequado","Elevado"))))</f>
        <v/>
      </c>
      <c r="Q1258" s="12">
        <f>IF(OR($S1258="",$F1258="",$T1258="",$T1258&lt;0,$T1258&gt;60,$AR1258=""),"—",ROUND(IF(ABS($AU1258)&lt;=3,$AU1258,IF($AU1258&gt;3,3+($F1258-$AW1258)/($AW1258-$AV1258),-3+($F1258-$AY1258)/($AX1258-$AY1258))),2))</f>
        <v/>
      </c>
      <c r="R1258">
        <f>IF(OR($Q1258="",$Q1258="—"),"",IF($Q1258&lt;-3,"Magreza acentuada",IF($Q1258&lt;-2,"Magreza",IF($Q1258&lt;=1,"Eutrofia",IF($Q1258&lt;=2,"Risco de sobrepeso",IF($Q1258&lt;=3,"Sobrepeso","Obesidade"))))))</f>
        <v/>
      </c>
      <c r="S1258">
        <f>IF($C1258="","",IF(UPPER(LEFT($C1258,1))="M",1,IF(UPPER(LEFT($C1258,1))="F",2,"")))</f>
        <v/>
      </c>
      <c r="T1258">
        <f>IF(OR($D1258="",$E1258=""),"",DATEDIF($D1258,$E1258,"m"))</f>
        <v/>
      </c>
      <c r="U1258">
        <f>IF(OR($D1258="",$E1258=""),"",$E1258-$D1258)</f>
        <v/>
      </c>
      <c r="V1258">
        <f>IF(OR($G1258="",$T1258=""),"",IF($T1258&lt;24,IF(LEFT(LOWER($H1258),4)="em p",$G1258+0.7,$G1258),IF(LEFT(LOWER($H1258),4)="deit",$G1258-0.7,$G1258)))</f>
        <v/>
      </c>
      <c r="W1258">
        <f>IF(OR($S1258="",$T1258=""),"",$S1258*1000000+IF($T1258&lt;=60,$U1258,$T1258))</f>
        <v/>
      </c>
      <c r="X1258">
        <f>IF(OR($S1258="",$V1258="",$T1258&gt;60,$T1258=""),"",$S1258*1000000+ROUND($V1258*10,0))</f>
        <v/>
      </c>
      <c r="Y1258">
        <f>IF($W1258="","",IFERROR(INDEX(IF($T1258&lt;=60,imc05_l,imc519_l),MATCH($W1258,IF($T1258&lt;=60,imc05_k,imc519_k),1)),""))</f>
        <v/>
      </c>
      <c r="Z1258">
        <f>IF($W1258="","",IFERROR(INDEX(IF($T1258&lt;=60,imc05_m,imc519_m),MATCH($W1258,IF($T1258&lt;=60,imc05_k,imc519_k),1)),""))</f>
        <v/>
      </c>
      <c r="AA1258">
        <f>IF($W1258="","",IFERROR(INDEX(IF($T1258&lt;=60,imc05_s,imc519_s),MATCH($W1258,IF($T1258&lt;=60,imc05_k,imc519_k),1)),""))</f>
        <v/>
      </c>
      <c r="AB1258">
        <f>IF($Y1258="","",IF($Y1258=0,LN($J1258/$Z1258)/$AA1258,((($J1258/$Z1258)^$Y1258)-1)/($Y1258*$AA1258)))</f>
        <v/>
      </c>
      <c r="AC1258">
        <f>IF($Y1258="","",IF($Y1258=0,$Z1258*EXP($AA1258*2),$Z1258*(1+$Y1258*$AA1258*2)^(1/$Y1258)))</f>
        <v/>
      </c>
      <c r="AD1258">
        <f>IF($Y1258="","",IF($Y1258=0,$Z1258*EXP($AA1258*3),$Z1258*(1+$Y1258*$AA1258*3)^(1/$Y1258)))</f>
        <v/>
      </c>
      <c r="AE1258">
        <f>IF($Y1258="","",IF($Y1258=0,$Z1258*EXP($AA1258*-2),$Z1258*(1+$Y1258*$AA1258*-2)^(1/$Y1258)))</f>
        <v/>
      </c>
      <c r="AF1258">
        <f>IF($Y1258="","",IF($Y1258=0,$Z1258*EXP($AA1258*-3),$Z1258*(1+$Y1258*$AA1258*-3)^(1/$Y1258)))</f>
        <v/>
      </c>
      <c r="AG1258">
        <f>IF($W1258="","",IFERROR(INDEX(IF($T1258&lt;=60,est05_l,est519_l),MATCH($W1258,IF($T1258&lt;=60,est05_k,est519_k),1)),""))</f>
        <v/>
      </c>
      <c r="AH1258">
        <f>IF($W1258="","",IFERROR(INDEX(IF($T1258&lt;=60,est05_m,est519_m),MATCH($W1258,IF($T1258&lt;=60,est05_k,est519_k),1)),""))</f>
        <v/>
      </c>
      <c r="AI1258">
        <f>IF($W1258="","",IFERROR(INDEX(IF($T1258&lt;=60,est05_s,est519_s),MATCH($W1258,IF($T1258&lt;=60,est05_k,est519_k),1)),""))</f>
        <v/>
      </c>
      <c r="AJ1258">
        <f>IF($W1258="","",IFERROR(INDEX(IF($T1258&lt;=60,peso05_l,peso510_l),MATCH($W1258,IF($T1258&lt;=60,peso05_k,peso510_k),1)),""))</f>
        <v/>
      </c>
      <c r="AK1258">
        <f>IF($W1258="","",IFERROR(INDEX(IF($T1258&lt;=60,peso05_m,peso510_m),MATCH($W1258,IF($T1258&lt;=60,peso05_k,peso510_k),1)),""))</f>
        <v/>
      </c>
      <c r="AL1258">
        <f>IF($W1258="","",IFERROR(INDEX(IF($T1258&lt;=60,peso05_s,peso510_s),MATCH($W1258,IF($T1258&lt;=60,peso05_k,peso510_k),1)),""))</f>
        <v/>
      </c>
      <c r="AM1258">
        <f>IF($AJ1258="","",IF($AJ1258=0,LN($F1258/$AK1258)/$AL1258,((($F1258/$AK1258)^$AJ1258)-1)/($AJ1258*$AL1258)))</f>
        <v/>
      </c>
      <c r="AN1258">
        <f>IF($AJ1258="","",IF($AJ1258=0,$AK1258*EXP($AL1258*2),$AK1258*(1+$AJ1258*$AL1258*2)^(1/$AJ1258)))</f>
        <v/>
      </c>
      <c r="AO1258">
        <f>IF($AJ1258="","",IF($AJ1258=0,$AK1258*EXP($AL1258*3),$AK1258*(1+$AJ1258*$AL1258*3)^(1/$AJ1258)))</f>
        <v/>
      </c>
      <c r="AP1258">
        <f>IF($AJ1258="","",IF($AJ1258=0,$AK1258*EXP($AL1258*-2),$AK1258*(1+$AJ1258*$AL1258*-2)^(1/$AJ1258)))</f>
        <v/>
      </c>
      <c r="AQ1258">
        <f>IF($AJ1258="","",IF($AJ1258=0,$AK1258*EXP($AL1258*-3),$AK1258*(1+$AJ1258*$AL1258*-3)^(1/$AJ1258)))</f>
        <v/>
      </c>
      <c r="AR1258">
        <f>IF(OR($X1258="",$T1258&gt;60),"",IFERROR(INDEX(IF($T1258&lt;24,pcomp_l,palt_l),MATCH($X1258,IF($T1258&lt;24,pcomp_k,palt_k),1)),""))</f>
        <v/>
      </c>
      <c r="AS1258">
        <f>IF(OR($X1258="",$T1258&gt;60),"",IFERROR(INDEX(IF($T1258&lt;24,pcomp_m,palt_m),MATCH($X1258,IF($T1258&lt;24,pcomp_k,palt_k),1)),""))</f>
        <v/>
      </c>
      <c r="AT1258">
        <f>IF(OR($X1258="",$T1258&gt;60),"",IFERROR(INDEX(IF($T1258&lt;24,pcomp_s,palt_s),MATCH($X1258,IF($T1258&lt;24,pcomp_k,palt_k),1)),""))</f>
        <v/>
      </c>
      <c r="AU1258">
        <f>IF($AR1258="","",IF($AR1258=0,LN($F1258/$AS1258)/$AT1258,((($F1258/$AS1258)^$AR1258)-1)/($AR1258*$AT1258)))</f>
        <v/>
      </c>
      <c r="AV1258">
        <f>IF($AR1258="","",IF($AR1258=0,$AS1258*EXP($AT1258*2),$AS1258*(1+$AR1258*$AT1258*2)^(1/$AR1258)))</f>
        <v/>
      </c>
      <c r="AW1258">
        <f>IF($AR1258="","",IF($AR1258=0,$AS1258*EXP($AT1258*3),$AS1258*(1+$AR1258*$AT1258*3)^(1/$AR1258)))</f>
        <v/>
      </c>
      <c r="AX1258">
        <f>IF($AR1258="","",IF($AR1258=0,$AS1258*EXP($AT1258*-2),$AS1258*(1+$AR1258*$AT1258*-2)^(1/$AR1258)))</f>
        <v/>
      </c>
      <c r="AY1258">
        <f>IF($AR1258="","",IF($AR1258=0,$AS1258*EXP($AT1258*-3),$AS1258*(1+$AR1258*$AT1258*-3)^(1/$AR1258)))</f>
        <v/>
      </c>
      <c r="AZ1258">
        <f>IF(OR($A1258="",$A1258&lt;&gt;Ficha!$C$4),"",COUNTIF($A$2:$A1258,Ficha!$C$4))</f>
        <v/>
      </c>
    </row>
    <row r="1259">
      <c r="A1259" s="8">
        <f>IF(INDEX(Banco!$A:$A,ROW())="","",INDEX(Banco!$A:$A,ROW()))</f>
        <v/>
      </c>
      <c r="B1259" s="8">
        <f>IF(INDEX(Banco!$B:$B,ROW())="","",INDEX(Banco!$B:$B,ROW()))</f>
        <v/>
      </c>
      <c r="C1259" s="8">
        <f>IF(INDEX(Banco!$C:$C,ROW())="","",INDEX(Banco!$C:$C,ROW()))</f>
        <v/>
      </c>
      <c r="D1259" s="9">
        <f>IF(INDEX(Banco!$D:$D,ROW())="","",INDEX(Banco!$D:$D,ROW()))</f>
        <v/>
      </c>
      <c r="E1259" s="9">
        <f>IF(INDEX(Banco!$E:$E,ROW())="","",INDEX(Banco!$E:$E,ROW()))</f>
        <v/>
      </c>
      <c r="F1259" s="10">
        <f>IF(INDEX(Banco!$F:$F,ROW())="","",INDEX(Banco!$F:$F,ROW()))</f>
        <v/>
      </c>
      <c r="G1259" s="10">
        <f>IF(INDEX(Banco!$G:$G,ROW())="","",INDEX(Banco!$G:$G,ROW()))</f>
        <v/>
      </c>
      <c r="H1259" s="8">
        <f>IF(INDEX(Banco!$H:$H,ROW())="","",INDEX(Banco!$H:$H,ROW()))</f>
        <v/>
      </c>
      <c r="I1259">
        <f>IF($T1259="","",INT($T1259/12)&amp;"a "&amp;MOD($T1259,12)&amp;"m")</f>
        <v/>
      </c>
      <c r="J1259" s="11">
        <f>IF(OR($F1259="",$G1259=""),"",ROUND($F1259/($G1259/100)^2,2))</f>
        <v/>
      </c>
      <c r="K1259" s="12">
        <f>IF(OR($S1259="",$J1259="",$T1259="",$T1259&lt;0,$T1259&gt;228,$Y1259=""),"—",ROUND(IF(ABS($AB1259)&lt;=3,$AB1259,IF($AB1259&gt;3,3+($J1259-$AD1259)/($AD1259-$AC1259),-3+($J1259-$AF1259)/($AE1259-$AF1259))),2))</f>
        <v/>
      </c>
      <c r="L1259">
        <f>IF(OR($K1259="",$K1259="—"),"",IF($T1259&lt;=60,IF($K1259&lt;-3,"Magreza acentuada",IF($K1259&lt;-2,"Magreza",IF($K1259&lt;=1,"Eutrofia",IF($K1259&lt;=2,"Risco de sobrepeso",IF($K1259&lt;=3,"Sobrepeso","Obesidade"))))),IF($K1259&lt;-3,"Magreza acentuada",IF($K1259&lt;-2,"Magreza",IF($K1259&lt;=1,"Eutrofia",IF($K1259&lt;=2,"Sobrepeso",IF($K1259&lt;=3,"Obesidade","Obesidade grave")))))))</f>
        <v/>
      </c>
      <c r="M1259" s="12">
        <f>IF(OR($S1259="",$V1259="",$T1259="",$T1259&lt;0,$T1259&gt;228,$AG1259=""),"—",ROUND(IF($AG1259=0,LN($V1259/$AH1259)/$AI1259,((($V1259/$AH1259)^$AG1259)-1)/($AG1259*$AI1259)),2))</f>
        <v/>
      </c>
      <c r="N1259">
        <f>IF(OR($M1259="",$M1259="—"),"",IF($M1259&lt;-3,"Muito baixa",IF($M1259&lt;-2,"Baixa","Adequada")))</f>
        <v/>
      </c>
      <c r="O1259" s="12">
        <f>IF(OR($S1259="",$F1259="",$T1259="",$T1259&lt;0,$T1259&gt;120,$AJ1259=""),"—",ROUND(IF(ABS($AM1259)&lt;=3,$AM1259,IF($AM1259&gt;3,3+($F1259-$AO1259)/($AO1259-$AN1259),-3+($F1259-$AQ1259)/($AP1259-$AQ1259))),2))</f>
        <v/>
      </c>
      <c r="P1259">
        <f>IF(OR($O1259="",$O1259="—"),"",IF($O1259&lt;-3,"Muito baixo",IF($O1259&lt;-2,"Baixo",IF($O1259&lt;=2,"Adequado","Elevado"))))</f>
        <v/>
      </c>
      <c r="Q1259" s="12">
        <f>IF(OR($S1259="",$F1259="",$T1259="",$T1259&lt;0,$T1259&gt;60,$AR1259=""),"—",ROUND(IF(ABS($AU1259)&lt;=3,$AU1259,IF($AU1259&gt;3,3+($F1259-$AW1259)/($AW1259-$AV1259),-3+($F1259-$AY1259)/($AX1259-$AY1259))),2))</f>
        <v/>
      </c>
      <c r="R1259">
        <f>IF(OR($Q1259="",$Q1259="—"),"",IF($Q1259&lt;-3,"Magreza acentuada",IF($Q1259&lt;-2,"Magreza",IF($Q1259&lt;=1,"Eutrofia",IF($Q1259&lt;=2,"Risco de sobrepeso",IF($Q1259&lt;=3,"Sobrepeso","Obesidade"))))))</f>
        <v/>
      </c>
      <c r="S1259">
        <f>IF($C1259="","",IF(UPPER(LEFT($C1259,1))="M",1,IF(UPPER(LEFT($C1259,1))="F",2,"")))</f>
        <v/>
      </c>
      <c r="T1259">
        <f>IF(OR($D1259="",$E1259=""),"",DATEDIF($D1259,$E1259,"m"))</f>
        <v/>
      </c>
      <c r="U1259">
        <f>IF(OR($D1259="",$E1259=""),"",$E1259-$D1259)</f>
        <v/>
      </c>
      <c r="V1259">
        <f>IF(OR($G1259="",$T1259=""),"",IF($T1259&lt;24,IF(LEFT(LOWER($H1259),4)="em p",$G1259+0.7,$G1259),IF(LEFT(LOWER($H1259),4)="deit",$G1259-0.7,$G1259)))</f>
        <v/>
      </c>
      <c r="W1259">
        <f>IF(OR($S1259="",$T1259=""),"",$S1259*1000000+IF($T1259&lt;=60,$U1259,$T1259))</f>
        <v/>
      </c>
      <c r="X1259">
        <f>IF(OR($S1259="",$V1259="",$T1259&gt;60,$T1259=""),"",$S1259*1000000+ROUND($V1259*10,0))</f>
        <v/>
      </c>
      <c r="Y1259">
        <f>IF($W1259="","",IFERROR(INDEX(IF($T1259&lt;=60,imc05_l,imc519_l),MATCH($W1259,IF($T1259&lt;=60,imc05_k,imc519_k),1)),""))</f>
        <v/>
      </c>
      <c r="Z1259">
        <f>IF($W1259="","",IFERROR(INDEX(IF($T1259&lt;=60,imc05_m,imc519_m),MATCH($W1259,IF($T1259&lt;=60,imc05_k,imc519_k),1)),""))</f>
        <v/>
      </c>
      <c r="AA1259">
        <f>IF($W1259="","",IFERROR(INDEX(IF($T1259&lt;=60,imc05_s,imc519_s),MATCH($W1259,IF($T1259&lt;=60,imc05_k,imc519_k),1)),""))</f>
        <v/>
      </c>
      <c r="AB1259">
        <f>IF($Y1259="","",IF($Y1259=0,LN($J1259/$Z1259)/$AA1259,((($J1259/$Z1259)^$Y1259)-1)/($Y1259*$AA1259)))</f>
        <v/>
      </c>
      <c r="AC1259">
        <f>IF($Y1259="","",IF($Y1259=0,$Z1259*EXP($AA1259*2),$Z1259*(1+$Y1259*$AA1259*2)^(1/$Y1259)))</f>
        <v/>
      </c>
      <c r="AD1259">
        <f>IF($Y1259="","",IF($Y1259=0,$Z1259*EXP($AA1259*3),$Z1259*(1+$Y1259*$AA1259*3)^(1/$Y1259)))</f>
        <v/>
      </c>
      <c r="AE1259">
        <f>IF($Y1259="","",IF($Y1259=0,$Z1259*EXP($AA1259*-2),$Z1259*(1+$Y1259*$AA1259*-2)^(1/$Y1259)))</f>
        <v/>
      </c>
      <c r="AF1259">
        <f>IF($Y1259="","",IF($Y1259=0,$Z1259*EXP($AA1259*-3),$Z1259*(1+$Y1259*$AA1259*-3)^(1/$Y1259)))</f>
        <v/>
      </c>
      <c r="AG1259">
        <f>IF($W1259="","",IFERROR(INDEX(IF($T1259&lt;=60,est05_l,est519_l),MATCH($W1259,IF($T1259&lt;=60,est05_k,est519_k),1)),""))</f>
        <v/>
      </c>
      <c r="AH1259">
        <f>IF($W1259="","",IFERROR(INDEX(IF($T1259&lt;=60,est05_m,est519_m),MATCH($W1259,IF($T1259&lt;=60,est05_k,est519_k),1)),""))</f>
        <v/>
      </c>
      <c r="AI1259">
        <f>IF($W1259="","",IFERROR(INDEX(IF($T1259&lt;=60,est05_s,est519_s),MATCH($W1259,IF($T1259&lt;=60,est05_k,est519_k),1)),""))</f>
        <v/>
      </c>
      <c r="AJ1259">
        <f>IF($W1259="","",IFERROR(INDEX(IF($T1259&lt;=60,peso05_l,peso510_l),MATCH($W1259,IF($T1259&lt;=60,peso05_k,peso510_k),1)),""))</f>
        <v/>
      </c>
      <c r="AK1259">
        <f>IF($W1259="","",IFERROR(INDEX(IF($T1259&lt;=60,peso05_m,peso510_m),MATCH($W1259,IF($T1259&lt;=60,peso05_k,peso510_k),1)),""))</f>
        <v/>
      </c>
      <c r="AL1259">
        <f>IF($W1259="","",IFERROR(INDEX(IF($T1259&lt;=60,peso05_s,peso510_s),MATCH($W1259,IF($T1259&lt;=60,peso05_k,peso510_k),1)),""))</f>
        <v/>
      </c>
      <c r="AM1259">
        <f>IF($AJ1259="","",IF($AJ1259=0,LN($F1259/$AK1259)/$AL1259,((($F1259/$AK1259)^$AJ1259)-1)/($AJ1259*$AL1259)))</f>
        <v/>
      </c>
      <c r="AN1259">
        <f>IF($AJ1259="","",IF($AJ1259=0,$AK1259*EXP($AL1259*2),$AK1259*(1+$AJ1259*$AL1259*2)^(1/$AJ1259)))</f>
        <v/>
      </c>
      <c r="AO1259">
        <f>IF($AJ1259="","",IF($AJ1259=0,$AK1259*EXP($AL1259*3),$AK1259*(1+$AJ1259*$AL1259*3)^(1/$AJ1259)))</f>
        <v/>
      </c>
      <c r="AP1259">
        <f>IF($AJ1259="","",IF($AJ1259=0,$AK1259*EXP($AL1259*-2),$AK1259*(1+$AJ1259*$AL1259*-2)^(1/$AJ1259)))</f>
        <v/>
      </c>
      <c r="AQ1259">
        <f>IF($AJ1259="","",IF($AJ1259=0,$AK1259*EXP($AL1259*-3),$AK1259*(1+$AJ1259*$AL1259*-3)^(1/$AJ1259)))</f>
        <v/>
      </c>
      <c r="AR1259">
        <f>IF(OR($X1259="",$T1259&gt;60),"",IFERROR(INDEX(IF($T1259&lt;24,pcomp_l,palt_l),MATCH($X1259,IF($T1259&lt;24,pcomp_k,palt_k),1)),""))</f>
        <v/>
      </c>
      <c r="AS1259">
        <f>IF(OR($X1259="",$T1259&gt;60),"",IFERROR(INDEX(IF($T1259&lt;24,pcomp_m,palt_m),MATCH($X1259,IF($T1259&lt;24,pcomp_k,palt_k),1)),""))</f>
        <v/>
      </c>
      <c r="AT1259">
        <f>IF(OR($X1259="",$T1259&gt;60),"",IFERROR(INDEX(IF($T1259&lt;24,pcomp_s,palt_s),MATCH($X1259,IF($T1259&lt;24,pcomp_k,palt_k),1)),""))</f>
        <v/>
      </c>
      <c r="AU1259">
        <f>IF($AR1259="","",IF($AR1259=0,LN($F1259/$AS1259)/$AT1259,((($F1259/$AS1259)^$AR1259)-1)/($AR1259*$AT1259)))</f>
        <v/>
      </c>
      <c r="AV1259">
        <f>IF($AR1259="","",IF($AR1259=0,$AS1259*EXP($AT1259*2),$AS1259*(1+$AR1259*$AT1259*2)^(1/$AR1259)))</f>
        <v/>
      </c>
      <c r="AW1259">
        <f>IF($AR1259="","",IF($AR1259=0,$AS1259*EXP($AT1259*3),$AS1259*(1+$AR1259*$AT1259*3)^(1/$AR1259)))</f>
        <v/>
      </c>
      <c r="AX1259">
        <f>IF($AR1259="","",IF($AR1259=0,$AS1259*EXP($AT1259*-2),$AS1259*(1+$AR1259*$AT1259*-2)^(1/$AR1259)))</f>
        <v/>
      </c>
      <c r="AY1259">
        <f>IF($AR1259="","",IF($AR1259=0,$AS1259*EXP($AT1259*-3),$AS1259*(1+$AR1259*$AT1259*-3)^(1/$AR1259)))</f>
        <v/>
      </c>
      <c r="AZ1259">
        <f>IF(OR($A1259="",$A1259&lt;&gt;Ficha!$C$4),"",COUNTIF($A$2:$A1259,Ficha!$C$4))</f>
        <v/>
      </c>
    </row>
    <row r="1260">
      <c r="A1260" s="8">
        <f>IF(INDEX(Banco!$A:$A,ROW())="","",INDEX(Banco!$A:$A,ROW()))</f>
        <v/>
      </c>
      <c r="B1260" s="8">
        <f>IF(INDEX(Banco!$B:$B,ROW())="","",INDEX(Banco!$B:$B,ROW()))</f>
        <v/>
      </c>
      <c r="C1260" s="8">
        <f>IF(INDEX(Banco!$C:$C,ROW())="","",INDEX(Banco!$C:$C,ROW()))</f>
        <v/>
      </c>
      <c r="D1260" s="9">
        <f>IF(INDEX(Banco!$D:$D,ROW())="","",INDEX(Banco!$D:$D,ROW()))</f>
        <v/>
      </c>
      <c r="E1260" s="9">
        <f>IF(INDEX(Banco!$E:$E,ROW())="","",INDEX(Banco!$E:$E,ROW()))</f>
        <v/>
      </c>
      <c r="F1260" s="10">
        <f>IF(INDEX(Banco!$F:$F,ROW())="","",INDEX(Banco!$F:$F,ROW()))</f>
        <v/>
      </c>
      <c r="G1260" s="10">
        <f>IF(INDEX(Banco!$G:$G,ROW())="","",INDEX(Banco!$G:$G,ROW()))</f>
        <v/>
      </c>
      <c r="H1260" s="8">
        <f>IF(INDEX(Banco!$H:$H,ROW())="","",INDEX(Banco!$H:$H,ROW()))</f>
        <v/>
      </c>
      <c r="I1260">
        <f>IF($T1260="","",INT($T1260/12)&amp;"a "&amp;MOD($T1260,12)&amp;"m")</f>
        <v/>
      </c>
      <c r="J1260" s="11">
        <f>IF(OR($F1260="",$G1260=""),"",ROUND($F1260/($G1260/100)^2,2))</f>
        <v/>
      </c>
      <c r="K1260" s="12">
        <f>IF(OR($S1260="",$J1260="",$T1260="",$T1260&lt;0,$T1260&gt;228,$Y1260=""),"—",ROUND(IF(ABS($AB1260)&lt;=3,$AB1260,IF($AB1260&gt;3,3+($J1260-$AD1260)/($AD1260-$AC1260),-3+($J1260-$AF1260)/($AE1260-$AF1260))),2))</f>
        <v/>
      </c>
      <c r="L1260">
        <f>IF(OR($K1260="",$K1260="—"),"",IF($T1260&lt;=60,IF($K1260&lt;-3,"Magreza acentuada",IF($K1260&lt;-2,"Magreza",IF($K1260&lt;=1,"Eutrofia",IF($K1260&lt;=2,"Risco de sobrepeso",IF($K1260&lt;=3,"Sobrepeso","Obesidade"))))),IF($K1260&lt;-3,"Magreza acentuada",IF($K1260&lt;-2,"Magreza",IF($K1260&lt;=1,"Eutrofia",IF($K1260&lt;=2,"Sobrepeso",IF($K1260&lt;=3,"Obesidade","Obesidade grave")))))))</f>
        <v/>
      </c>
      <c r="M1260" s="12">
        <f>IF(OR($S1260="",$V1260="",$T1260="",$T1260&lt;0,$T1260&gt;228,$AG1260=""),"—",ROUND(IF($AG1260=0,LN($V1260/$AH1260)/$AI1260,((($V1260/$AH1260)^$AG1260)-1)/($AG1260*$AI1260)),2))</f>
        <v/>
      </c>
      <c r="N1260">
        <f>IF(OR($M1260="",$M1260="—"),"",IF($M1260&lt;-3,"Muito baixa",IF($M1260&lt;-2,"Baixa","Adequada")))</f>
        <v/>
      </c>
      <c r="O1260" s="12">
        <f>IF(OR($S1260="",$F1260="",$T1260="",$T1260&lt;0,$T1260&gt;120,$AJ1260=""),"—",ROUND(IF(ABS($AM1260)&lt;=3,$AM1260,IF($AM1260&gt;3,3+($F1260-$AO1260)/($AO1260-$AN1260),-3+($F1260-$AQ1260)/($AP1260-$AQ1260))),2))</f>
        <v/>
      </c>
      <c r="P1260">
        <f>IF(OR($O1260="",$O1260="—"),"",IF($O1260&lt;-3,"Muito baixo",IF($O1260&lt;-2,"Baixo",IF($O1260&lt;=2,"Adequado","Elevado"))))</f>
        <v/>
      </c>
      <c r="Q1260" s="12">
        <f>IF(OR($S1260="",$F1260="",$T1260="",$T1260&lt;0,$T1260&gt;60,$AR1260=""),"—",ROUND(IF(ABS($AU1260)&lt;=3,$AU1260,IF($AU1260&gt;3,3+($F1260-$AW1260)/($AW1260-$AV1260),-3+($F1260-$AY1260)/($AX1260-$AY1260))),2))</f>
        <v/>
      </c>
      <c r="R1260">
        <f>IF(OR($Q1260="",$Q1260="—"),"",IF($Q1260&lt;-3,"Magreza acentuada",IF($Q1260&lt;-2,"Magreza",IF($Q1260&lt;=1,"Eutrofia",IF($Q1260&lt;=2,"Risco de sobrepeso",IF($Q1260&lt;=3,"Sobrepeso","Obesidade"))))))</f>
        <v/>
      </c>
      <c r="S1260">
        <f>IF($C1260="","",IF(UPPER(LEFT($C1260,1))="M",1,IF(UPPER(LEFT($C1260,1))="F",2,"")))</f>
        <v/>
      </c>
      <c r="T1260">
        <f>IF(OR($D1260="",$E1260=""),"",DATEDIF($D1260,$E1260,"m"))</f>
        <v/>
      </c>
      <c r="U1260">
        <f>IF(OR($D1260="",$E1260=""),"",$E1260-$D1260)</f>
        <v/>
      </c>
      <c r="V1260">
        <f>IF(OR($G1260="",$T1260=""),"",IF($T1260&lt;24,IF(LEFT(LOWER($H1260),4)="em p",$G1260+0.7,$G1260),IF(LEFT(LOWER($H1260),4)="deit",$G1260-0.7,$G1260)))</f>
        <v/>
      </c>
      <c r="W1260">
        <f>IF(OR($S1260="",$T1260=""),"",$S1260*1000000+IF($T1260&lt;=60,$U1260,$T1260))</f>
        <v/>
      </c>
      <c r="X1260">
        <f>IF(OR($S1260="",$V1260="",$T1260&gt;60,$T1260=""),"",$S1260*1000000+ROUND($V1260*10,0))</f>
        <v/>
      </c>
      <c r="Y1260">
        <f>IF($W1260="","",IFERROR(INDEX(IF($T1260&lt;=60,imc05_l,imc519_l),MATCH($W1260,IF($T1260&lt;=60,imc05_k,imc519_k),1)),""))</f>
        <v/>
      </c>
      <c r="Z1260">
        <f>IF($W1260="","",IFERROR(INDEX(IF($T1260&lt;=60,imc05_m,imc519_m),MATCH($W1260,IF($T1260&lt;=60,imc05_k,imc519_k),1)),""))</f>
        <v/>
      </c>
      <c r="AA1260">
        <f>IF($W1260="","",IFERROR(INDEX(IF($T1260&lt;=60,imc05_s,imc519_s),MATCH($W1260,IF($T1260&lt;=60,imc05_k,imc519_k),1)),""))</f>
        <v/>
      </c>
      <c r="AB1260">
        <f>IF($Y1260="","",IF($Y1260=0,LN($J1260/$Z1260)/$AA1260,((($J1260/$Z1260)^$Y1260)-1)/($Y1260*$AA1260)))</f>
        <v/>
      </c>
      <c r="AC1260">
        <f>IF($Y1260="","",IF($Y1260=0,$Z1260*EXP($AA1260*2),$Z1260*(1+$Y1260*$AA1260*2)^(1/$Y1260)))</f>
        <v/>
      </c>
      <c r="AD1260">
        <f>IF($Y1260="","",IF($Y1260=0,$Z1260*EXP($AA1260*3),$Z1260*(1+$Y1260*$AA1260*3)^(1/$Y1260)))</f>
        <v/>
      </c>
      <c r="AE1260">
        <f>IF($Y1260="","",IF($Y1260=0,$Z1260*EXP($AA1260*-2),$Z1260*(1+$Y1260*$AA1260*-2)^(1/$Y1260)))</f>
        <v/>
      </c>
      <c r="AF1260">
        <f>IF($Y1260="","",IF($Y1260=0,$Z1260*EXP($AA1260*-3),$Z1260*(1+$Y1260*$AA1260*-3)^(1/$Y1260)))</f>
        <v/>
      </c>
      <c r="AG1260">
        <f>IF($W1260="","",IFERROR(INDEX(IF($T1260&lt;=60,est05_l,est519_l),MATCH($W1260,IF($T1260&lt;=60,est05_k,est519_k),1)),""))</f>
        <v/>
      </c>
      <c r="AH1260">
        <f>IF($W1260="","",IFERROR(INDEX(IF($T1260&lt;=60,est05_m,est519_m),MATCH($W1260,IF($T1260&lt;=60,est05_k,est519_k),1)),""))</f>
        <v/>
      </c>
      <c r="AI1260">
        <f>IF($W1260="","",IFERROR(INDEX(IF($T1260&lt;=60,est05_s,est519_s),MATCH($W1260,IF($T1260&lt;=60,est05_k,est519_k),1)),""))</f>
        <v/>
      </c>
      <c r="AJ1260">
        <f>IF($W1260="","",IFERROR(INDEX(IF($T1260&lt;=60,peso05_l,peso510_l),MATCH($W1260,IF($T1260&lt;=60,peso05_k,peso510_k),1)),""))</f>
        <v/>
      </c>
      <c r="AK1260">
        <f>IF($W1260="","",IFERROR(INDEX(IF($T1260&lt;=60,peso05_m,peso510_m),MATCH($W1260,IF($T1260&lt;=60,peso05_k,peso510_k),1)),""))</f>
        <v/>
      </c>
      <c r="AL1260">
        <f>IF($W1260="","",IFERROR(INDEX(IF($T1260&lt;=60,peso05_s,peso510_s),MATCH($W1260,IF($T1260&lt;=60,peso05_k,peso510_k),1)),""))</f>
        <v/>
      </c>
      <c r="AM1260">
        <f>IF($AJ1260="","",IF($AJ1260=0,LN($F1260/$AK1260)/$AL1260,((($F1260/$AK1260)^$AJ1260)-1)/($AJ1260*$AL1260)))</f>
        <v/>
      </c>
      <c r="AN1260">
        <f>IF($AJ1260="","",IF($AJ1260=0,$AK1260*EXP($AL1260*2),$AK1260*(1+$AJ1260*$AL1260*2)^(1/$AJ1260)))</f>
        <v/>
      </c>
      <c r="AO1260">
        <f>IF($AJ1260="","",IF($AJ1260=0,$AK1260*EXP($AL1260*3),$AK1260*(1+$AJ1260*$AL1260*3)^(1/$AJ1260)))</f>
        <v/>
      </c>
      <c r="AP1260">
        <f>IF($AJ1260="","",IF($AJ1260=0,$AK1260*EXP($AL1260*-2),$AK1260*(1+$AJ1260*$AL1260*-2)^(1/$AJ1260)))</f>
        <v/>
      </c>
      <c r="AQ1260">
        <f>IF($AJ1260="","",IF($AJ1260=0,$AK1260*EXP($AL1260*-3),$AK1260*(1+$AJ1260*$AL1260*-3)^(1/$AJ1260)))</f>
        <v/>
      </c>
      <c r="AR1260">
        <f>IF(OR($X1260="",$T1260&gt;60),"",IFERROR(INDEX(IF($T1260&lt;24,pcomp_l,palt_l),MATCH($X1260,IF($T1260&lt;24,pcomp_k,palt_k),1)),""))</f>
        <v/>
      </c>
      <c r="AS1260">
        <f>IF(OR($X1260="",$T1260&gt;60),"",IFERROR(INDEX(IF($T1260&lt;24,pcomp_m,palt_m),MATCH($X1260,IF($T1260&lt;24,pcomp_k,palt_k),1)),""))</f>
        <v/>
      </c>
      <c r="AT1260">
        <f>IF(OR($X1260="",$T1260&gt;60),"",IFERROR(INDEX(IF($T1260&lt;24,pcomp_s,palt_s),MATCH($X1260,IF($T1260&lt;24,pcomp_k,palt_k),1)),""))</f>
        <v/>
      </c>
      <c r="AU1260">
        <f>IF($AR1260="","",IF($AR1260=0,LN($F1260/$AS1260)/$AT1260,((($F1260/$AS1260)^$AR1260)-1)/($AR1260*$AT1260)))</f>
        <v/>
      </c>
      <c r="AV1260">
        <f>IF($AR1260="","",IF($AR1260=0,$AS1260*EXP($AT1260*2),$AS1260*(1+$AR1260*$AT1260*2)^(1/$AR1260)))</f>
        <v/>
      </c>
      <c r="AW1260">
        <f>IF($AR1260="","",IF($AR1260=0,$AS1260*EXP($AT1260*3),$AS1260*(1+$AR1260*$AT1260*3)^(1/$AR1260)))</f>
        <v/>
      </c>
      <c r="AX1260">
        <f>IF($AR1260="","",IF($AR1260=0,$AS1260*EXP($AT1260*-2),$AS1260*(1+$AR1260*$AT1260*-2)^(1/$AR1260)))</f>
        <v/>
      </c>
      <c r="AY1260">
        <f>IF($AR1260="","",IF($AR1260=0,$AS1260*EXP($AT1260*-3),$AS1260*(1+$AR1260*$AT1260*-3)^(1/$AR1260)))</f>
        <v/>
      </c>
      <c r="AZ1260">
        <f>IF(OR($A1260="",$A1260&lt;&gt;Ficha!$C$4),"",COUNTIF($A$2:$A1260,Ficha!$C$4))</f>
        <v/>
      </c>
    </row>
    <row r="1261">
      <c r="A1261" s="8">
        <f>IF(INDEX(Banco!$A:$A,ROW())="","",INDEX(Banco!$A:$A,ROW()))</f>
        <v/>
      </c>
      <c r="B1261" s="8">
        <f>IF(INDEX(Banco!$B:$B,ROW())="","",INDEX(Banco!$B:$B,ROW()))</f>
        <v/>
      </c>
      <c r="C1261" s="8">
        <f>IF(INDEX(Banco!$C:$C,ROW())="","",INDEX(Banco!$C:$C,ROW()))</f>
        <v/>
      </c>
      <c r="D1261" s="9">
        <f>IF(INDEX(Banco!$D:$D,ROW())="","",INDEX(Banco!$D:$D,ROW()))</f>
        <v/>
      </c>
      <c r="E1261" s="9">
        <f>IF(INDEX(Banco!$E:$E,ROW())="","",INDEX(Banco!$E:$E,ROW()))</f>
        <v/>
      </c>
      <c r="F1261" s="10">
        <f>IF(INDEX(Banco!$F:$F,ROW())="","",INDEX(Banco!$F:$F,ROW()))</f>
        <v/>
      </c>
      <c r="G1261" s="10">
        <f>IF(INDEX(Banco!$G:$G,ROW())="","",INDEX(Banco!$G:$G,ROW()))</f>
        <v/>
      </c>
      <c r="H1261" s="8">
        <f>IF(INDEX(Banco!$H:$H,ROW())="","",INDEX(Banco!$H:$H,ROW()))</f>
        <v/>
      </c>
      <c r="I1261">
        <f>IF($T1261="","",INT($T1261/12)&amp;"a "&amp;MOD($T1261,12)&amp;"m")</f>
        <v/>
      </c>
      <c r="J1261" s="11">
        <f>IF(OR($F1261="",$G1261=""),"",ROUND($F1261/($G1261/100)^2,2))</f>
        <v/>
      </c>
      <c r="K1261" s="12">
        <f>IF(OR($S1261="",$J1261="",$T1261="",$T1261&lt;0,$T1261&gt;228,$Y1261=""),"—",ROUND(IF(ABS($AB1261)&lt;=3,$AB1261,IF($AB1261&gt;3,3+($J1261-$AD1261)/($AD1261-$AC1261),-3+($J1261-$AF1261)/($AE1261-$AF1261))),2))</f>
        <v/>
      </c>
      <c r="L1261">
        <f>IF(OR($K1261="",$K1261="—"),"",IF($T1261&lt;=60,IF($K1261&lt;-3,"Magreza acentuada",IF($K1261&lt;-2,"Magreza",IF($K1261&lt;=1,"Eutrofia",IF($K1261&lt;=2,"Risco de sobrepeso",IF($K1261&lt;=3,"Sobrepeso","Obesidade"))))),IF($K1261&lt;-3,"Magreza acentuada",IF($K1261&lt;-2,"Magreza",IF($K1261&lt;=1,"Eutrofia",IF($K1261&lt;=2,"Sobrepeso",IF($K1261&lt;=3,"Obesidade","Obesidade grave")))))))</f>
        <v/>
      </c>
      <c r="M1261" s="12">
        <f>IF(OR($S1261="",$V1261="",$T1261="",$T1261&lt;0,$T1261&gt;228,$AG1261=""),"—",ROUND(IF($AG1261=0,LN($V1261/$AH1261)/$AI1261,((($V1261/$AH1261)^$AG1261)-1)/($AG1261*$AI1261)),2))</f>
        <v/>
      </c>
      <c r="N1261">
        <f>IF(OR($M1261="",$M1261="—"),"",IF($M1261&lt;-3,"Muito baixa",IF($M1261&lt;-2,"Baixa","Adequada")))</f>
        <v/>
      </c>
      <c r="O1261" s="12">
        <f>IF(OR($S1261="",$F1261="",$T1261="",$T1261&lt;0,$T1261&gt;120,$AJ1261=""),"—",ROUND(IF(ABS($AM1261)&lt;=3,$AM1261,IF($AM1261&gt;3,3+($F1261-$AO1261)/($AO1261-$AN1261),-3+($F1261-$AQ1261)/($AP1261-$AQ1261))),2))</f>
        <v/>
      </c>
      <c r="P1261">
        <f>IF(OR($O1261="",$O1261="—"),"",IF($O1261&lt;-3,"Muito baixo",IF($O1261&lt;-2,"Baixo",IF($O1261&lt;=2,"Adequado","Elevado"))))</f>
        <v/>
      </c>
      <c r="Q1261" s="12">
        <f>IF(OR($S1261="",$F1261="",$T1261="",$T1261&lt;0,$T1261&gt;60,$AR1261=""),"—",ROUND(IF(ABS($AU1261)&lt;=3,$AU1261,IF($AU1261&gt;3,3+($F1261-$AW1261)/($AW1261-$AV1261),-3+($F1261-$AY1261)/($AX1261-$AY1261))),2))</f>
        <v/>
      </c>
      <c r="R1261">
        <f>IF(OR($Q1261="",$Q1261="—"),"",IF($Q1261&lt;-3,"Magreza acentuada",IF($Q1261&lt;-2,"Magreza",IF($Q1261&lt;=1,"Eutrofia",IF($Q1261&lt;=2,"Risco de sobrepeso",IF($Q1261&lt;=3,"Sobrepeso","Obesidade"))))))</f>
        <v/>
      </c>
      <c r="S1261">
        <f>IF($C1261="","",IF(UPPER(LEFT($C1261,1))="M",1,IF(UPPER(LEFT($C1261,1))="F",2,"")))</f>
        <v/>
      </c>
      <c r="T1261">
        <f>IF(OR($D1261="",$E1261=""),"",DATEDIF($D1261,$E1261,"m"))</f>
        <v/>
      </c>
      <c r="U1261">
        <f>IF(OR($D1261="",$E1261=""),"",$E1261-$D1261)</f>
        <v/>
      </c>
      <c r="V1261">
        <f>IF(OR($G1261="",$T1261=""),"",IF($T1261&lt;24,IF(LEFT(LOWER($H1261),4)="em p",$G1261+0.7,$G1261),IF(LEFT(LOWER($H1261),4)="deit",$G1261-0.7,$G1261)))</f>
        <v/>
      </c>
      <c r="W1261">
        <f>IF(OR($S1261="",$T1261=""),"",$S1261*1000000+IF($T1261&lt;=60,$U1261,$T1261))</f>
        <v/>
      </c>
      <c r="X1261">
        <f>IF(OR($S1261="",$V1261="",$T1261&gt;60,$T1261=""),"",$S1261*1000000+ROUND($V1261*10,0))</f>
        <v/>
      </c>
      <c r="Y1261">
        <f>IF($W1261="","",IFERROR(INDEX(IF($T1261&lt;=60,imc05_l,imc519_l),MATCH($W1261,IF($T1261&lt;=60,imc05_k,imc519_k),1)),""))</f>
        <v/>
      </c>
      <c r="Z1261">
        <f>IF($W1261="","",IFERROR(INDEX(IF($T1261&lt;=60,imc05_m,imc519_m),MATCH($W1261,IF($T1261&lt;=60,imc05_k,imc519_k),1)),""))</f>
        <v/>
      </c>
      <c r="AA1261">
        <f>IF($W1261="","",IFERROR(INDEX(IF($T1261&lt;=60,imc05_s,imc519_s),MATCH($W1261,IF($T1261&lt;=60,imc05_k,imc519_k),1)),""))</f>
        <v/>
      </c>
      <c r="AB1261">
        <f>IF($Y1261="","",IF($Y1261=0,LN($J1261/$Z1261)/$AA1261,((($J1261/$Z1261)^$Y1261)-1)/($Y1261*$AA1261)))</f>
        <v/>
      </c>
      <c r="AC1261">
        <f>IF($Y1261="","",IF($Y1261=0,$Z1261*EXP($AA1261*2),$Z1261*(1+$Y1261*$AA1261*2)^(1/$Y1261)))</f>
        <v/>
      </c>
      <c r="AD1261">
        <f>IF($Y1261="","",IF($Y1261=0,$Z1261*EXP($AA1261*3),$Z1261*(1+$Y1261*$AA1261*3)^(1/$Y1261)))</f>
        <v/>
      </c>
      <c r="AE1261">
        <f>IF($Y1261="","",IF($Y1261=0,$Z1261*EXP($AA1261*-2),$Z1261*(1+$Y1261*$AA1261*-2)^(1/$Y1261)))</f>
        <v/>
      </c>
      <c r="AF1261">
        <f>IF($Y1261="","",IF($Y1261=0,$Z1261*EXP($AA1261*-3),$Z1261*(1+$Y1261*$AA1261*-3)^(1/$Y1261)))</f>
        <v/>
      </c>
      <c r="AG1261">
        <f>IF($W1261="","",IFERROR(INDEX(IF($T1261&lt;=60,est05_l,est519_l),MATCH($W1261,IF($T1261&lt;=60,est05_k,est519_k),1)),""))</f>
        <v/>
      </c>
      <c r="AH1261">
        <f>IF($W1261="","",IFERROR(INDEX(IF($T1261&lt;=60,est05_m,est519_m),MATCH($W1261,IF($T1261&lt;=60,est05_k,est519_k),1)),""))</f>
        <v/>
      </c>
      <c r="AI1261">
        <f>IF($W1261="","",IFERROR(INDEX(IF($T1261&lt;=60,est05_s,est519_s),MATCH($W1261,IF($T1261&lt;=60,est05_k,est519_k),1)),""))</f>
        <v/>
      </c>
      <c r="AJ1261">
        <f>IF($W1261="","",IFERROR(INDEX(IF($T1261&lt;=60,peso05_l,peso510_l),MATCH($W1261,IF($T1261&lt;=60,peso05_k,peso510_k),1)),""))</f>
        <v/>
      </c>
      <c r="AK1261">
        <f>IF($W1261="","",IFERROR(INDEX(IF($T1261&lt;=60,peso05_m,peso510_m),MATCH($W1261,IF($T1261&lt;=60,peso05_k,peso510_k),1)),""))</f>
        <v/>
      </c>
      <c r="AL1261">
        <f>IF($W1261="","",IFERROR(INDEX(IF($T1261&lt;=60,peso05_s,peso510_s),MATCH($W1261,IF($T1261&lt;=60,peso05_k,peso510_k),1)),""))</f>
        <v/>
      </c>
      <c r="AM1261">
        <f>IF($AJ1261="","",IF($AJ1261=0,LN($F1261/$AK1261)/$AL1261,((($F1261/$AK1261)^$AJ1261)-1)/($AJ1261*$AL1261)))</f>
        <v/>
      </c>
      <c r="AN1261">
        <f>IF($AJ1261="","",IF($AJ1261=0,$AK1261*EXP($AL1261*2),$AK1261*(1+$AJ1261*$AL1261*2)^(1/$AJ1261)))</f>
        <v/>
      </c>
      <c r="AO1261">
        <f>IF($AJ1261="","",IF($AJ1261=0,$AK1261*EXP($AL1261*3),$AK1261*(1+$AJ1261*$AL1261*3)^(1/$AJ1261)))</f>
        <v/>
      </c>
      <c r="AP1261">
        <f>IF($AJ1261="","",IF($AJ1261=0,$AK1261*EXP($AL1261*-2),$AK1261*(1+$AJ1261*$AL1261*-2)^(1/$AJ1261)))</f>
        <v/>
      </c>
      <c r="AQ1261">
        <f>IF($AJ1261="","",IF($AJ1261=0,$AK1261*EXP($AL1261*-3),$AK1261*(1+$AJ1261*$AL1261*-3)^(1/$AJ1261)))</f>
        <v/>
      </c>
      <c r="AR1261">
        <f>IF(OR($X1261="",$T1261&gt;60),"",IFERROR(INDEX(IF($T1261&lt;24,pcomp_l,palt_l),MATCH($X1261,IF($T1261&lt;24,pcomp_k,palt_k),1)),""))</f>
        <v/>
      </c>
      <c r="AS1261">
        <f>IF(OR($X1261="",$T1261&gt;60),"",IFERROR(INDEX(IF($T1261&lt;24,pcomp_m,palt_m),MATCH($X1261,IF($T1261&lt;24,pcomp_k,palt_k),1)),""))</f>
        <v/>
      </c>
      <c r="AT1261">
        <f>IF(OR($X1261="",$T1261&gt;60),"",IFERROR(INDEX(IF($T1261&lt;24,pcomp_s,palt_s),MATCH($X1261,IF($T1261&lt;24,pcomp_k,palt_k),1)),""))</f>
        <v/>
      </c>
      <c r="AU1261">
        <f>IF($AR1261="","",IF($AR1261=0,LN($F1261/$AS1261)/$AT1261,((($F1261/$AS1261)^$AR1261)-1)/($AR1261*$AT1261)))</f>
        <v/>
      </c>
      <c r="AV1261">
        <f>IF($AR1261="","",IF($AR1261=0,$AS1261*EXP($AT1261*2),$AS1261*(1+$AR1261*$AT1261*2)^(1/$AR1261)))</f>
        <v/>
      </c>
      <c r="AW1261">
        <f>IF($AR1261="","",IF($AR1261=0,$AS1261*EXP($AT1261*3),$AS1261*(1+$AR1261*$AT1261*3)^(1/$AR1261)))</f>
        <v/>
      </c>
      <c r="AX1261">
        <f>IF($AR1261="","",IF($AR1261=0,$AS1261*EXP($AT1261*-2),$AS1261*(1+$AR1261*$AT1261*-2)^(1/$AR1261)))</f>
        <v/>
      </c>
      <c r="AY1261">
        <f>IF($AR1261="","",IF($AR1261=0,$AS1261*EXP($AT1261*-3),$AS1261*(1+$AR1261*$AT1261*-3)^(1/$AR1261)))</f>
        <v/>
      </c>
      <c r="AZ1261">
        <f>IF(OR($A1261="",$A1261&lt;&gt;Ficha!$C$4),"",COUNTIF($A$2:$A1261,Ficha!$C$4))</f>
        <v/>
      </c>
    </row>
    <row r="1262">
      <c r="A1262" s="8">
        <f>IF(INDEX(Banco!$A:$A,ROW())="","",INDEX(Banco!$A:$A,ROW()))</f>
        <v/>
      </c>
      <c r="B1262" s="8">
        <f>IF(INDEX(Banco!$B:$B,ROW())="","",INDEX(Banco!$B:$B,ROW()))</f>
        <v/>
      </c>
      <c r="C1262" s="8">
        <f>IF(INDEX(Banco!$C:$C,ROW())="","",INDEX(Banco!$C:$C,ROW()))</f>
        <v/>
      </c>
      <c r="D1262" s="9">
        <f>IF(INDEX(Banco!$D:$D,ROW())="","",INDEX(Banco!$D:$D,ROW()))</f>
        <v/>
      </c>
      <c r="E1262" s="9">
        <f>IF(INDEX(Banco!$E:$E,ROW())="","",INDEX(Banco!$E:$E,ROW()))</f>
        <v/>
      </c>
      <c r="F1262" s="10">
        <f>IF(INDEX(Banco!$F:$F,ROW())="","",INDEX(Banco!$F:$F,ROW()))</f>
        <v/>
      </c>
      <c r="G1262" s="10">
        <f>IF(INDEX(Banco!$G:$G,ROW())="","",INDEX(Banco!$G:$G,ROW()))</f>
        <v/>
      </c>
      <c r="H1262" s="8">
        <f>IF(INDEX(Banco!$H:$H,ROW())="","",INDEX(Banco!$H:$H,ROW()))</f>
        <v/>
      </c>
      <c r="I1262">
        <f>IF($T1262="","",INT($T1262/12)&amp;"a "&amp;MOD($T1262,12)&amp;"m")</f>
        <v/>
      </c>
      <c r="J1262" s="11">
        <f>IF(OR($F1262="",$G1262=""),"",ROUND($F1262/($G1262/100)^2,2))</f>
        <v/>
      </c>
      <c r="K1262" s="12">
        <f>IF(OR($S1262="",$J1262="",$T1262="",$T1262&lt;0,$T1262&gt;228,$Y1262=""),"—",ROUND(IF(ABS($AB1262)&lt;=3,$AB1262,IF($AB1262&gt;3,3+($J1262-$AD1262)/($AD1262-$AC1262),-3+($J1262-$AF1262)/($AE1262-$AF1262))),2))</f>
        <v/>
      </c>
      <c r="L1262">
        <f>IF(OR($K1262="",$K1262="—"),"",IF($T1262&lt;=60,IF($K1262&lt;-3,"Magreza acentuada",IF($K1262&lt;-2,"Magreza",IF($K1262&lt;=1,"Eutrofia",IF($K1262&lt;=2,"Risco de sobrepeso",IF($K1262&lt;=3,"Sobrepeso","Obesidade"))))),IF($K1262&lt;-3,"Magreza acentuada",IF($K1262&lt;-2,"Magreza",IF($K1262&lt;=1,"Eutrofia",IF($K1262&lt;=2,"Sobrepeso",IF($K1262&lt;=3,"Obesidade","Obesidade grave")))))))</f>
        <v/>
      </c>
      <c r="M1262" s="12">
        <f>IF(OR($S1262="",$V1262="",$T1262="",$T1262&lt;0,$T1262&gt;228,$AG1262=""),"—",ROUND(IF($AG1262=0,LN($V1262/$AH1262)/$AI1262,((($V1262/$AH1262)^$AG1262)-1)/($AG1262*$AI1262)),2))</f>
        <v/>
      </c>
      <c r="N1262">
        <f>IF(OR($M1262="",$M1262="—"),"",IF($M1262&lt;-3,"Muito baixa",IF($M1262&lt;-2,"Baixa","Adequada")))</f>
        <v/>
      </c>
      <c r="O1262" s="12">
        <f>IF(OR($S1262="",$F1262="",$T1262="",$T1262&lt;0,$T1262&gt;120,$AJ1262=""),"—",ROUND(IF(ABS($AM1262)&lt;=3,$AM1262,IF($AM1262&gt;3,3+($F1262-$AO1262)/($AO1262-$AN1262),-3+($F1262-$AQ1262)/($AP1262-$AQ1262))),2))</f>
        <v/>
      </c>
      <c r="P1262">
        <f>IF(OR($O1262="",$O1262="—"),"",IF($O1262&lt;-3,"Muito baixo",IF($O1262&lt;-2,"Baixo",IF($O1262&lt;=2,"Adequado","Elevado"))))</f>
        <v/>
      </c>
      <c r="Q1262" s="12">
        <f>IF(OR($S1262="",$F1262="",$T1262="",$T1262&lt;0,$T1262&gt;60,$AR1262=""),"—",ROUND(IF(ABS($AU1262)&lt;=3,$AU1262,IF($AU1262&gt;3,3+($F1262-$AW1262)/($AW1262-$AV1262),-3+($F1262-$AY1262)/($AX1262-$AY1262))),2))</f>
        <v/>
      </c>
      <c r="R1262">
        <f>IF(OR($Q1262="",$Q1262="—"),"",IF($Q1262&lt;-3,"Magreza acentuada",IF($Q1262&lt;-2,"Magreza",IF($Q1262&lt;=1,"Eutrofia",IF($Q1262&lt;=2,"Risco de sobrepeso",IF($Q1262&lt;=3,"Sobrepeso","Obesidade"))))))</f>
        <v/>
      </c>
      <c r="S1262">
        <f>IF($C1262="","",IF(UPPER(LEFT($C1262,1))="M",1,IF(UPPER(LEFT($C1262,1))="F",2,"")))</f>
        <v/>
      </c>
      <c r="T1262">
        <f>IF(OR($D1262="",$E1262=""),"",DATEDIF($D1262,$E1262,"m"))</f>
        <v/>
      </c>
      <c r="U1262">
        <f>IF(OR($D1262="",$E1262=""),"",$E1262-$D1262)</f>
        <v/>
      </c>
      <c r="V1262">
        <f>IF(OR($G1262="",$T1262=""),"",IF($T1262&lt;24,IF(LEFT(LOWER($H1262),4)="em p",$G1262+0.7,$G1262),IF(LEFT(LOWER($H1262),4)="deit",$G1262-0.7,$G1262)))</f>
        <v/>
      </c>
      <c r="W1262">
        <f>IF(OR($S1262="",$T1262=""),"",$S1262*1000000+IF($T1262&lt;=60,$U1262,$T1262))</f>
        <v/>
      </c>
      <c r="X1262">
        <f>IF(OR($S1262="",$V1262="",$T1262&gt;60,$T1262=""),"",$S1262*1000000+ROUND($V1262*10,0))</f>
        <v/>
      </c>
      <c r="Y1262">
        <f>IF($W1262="","",IFERROR(INDEX(IF($T1262&lt;=60,imc05_l,imc519_l),MATCH($W1262,IF($T1262&lt;=60,imc05_k,imc519_k),1)),""))</f>
        <v/>
      </c>
      <c r="Z1262">
        <f>IF($W1262="","",IFERROR(INDEX(IF($T1262&lt;=60,imc05_m,imc519_m),MATCH($W1262,IF($T1262&lt;=60,imc05_k,imc519_k),1)),""))</f>
        <v/>
      </c>
      <c r="AA1262">
        <f>IF($W1262="","",IFERROR(INDEX(IF($T1262&lt;=60,imc05_s,imc519_s),MATCH($W1262,IF($T1262&lt;=60,imc05_k,imc519_k),1)),""))</f>
        <v/>
      </c>
      <c r="AB1262">
        <f>IF($Y1262="","",IF($Y1262=0,LN($J1262/$Z1262)/$AA1262,((($J1262/$Z1262)^$Y1262)-1)/($Y1262*$AA1262)))</f>
        <v/>
      </c>
      <c r="AC1262">
        <f>IF($Y1262="","",IF($Y1262=0,$Z1262*EXP($AA1262*2),$Z1262*(1+$Y1262*$AA1262*2)^(1/$Y1262)))</f>
        <v/>
      </c>
      <c r="AD1262">
        <f>IF($Y1262="","",IF($Y1262=0,$Z1262*EXP($AA1262*3),$Z1262*(1+$Y1262*$AA1262*3)^(1/$Y1262)))</f>
        <v/>
      </c>
      <c r="AE1262">
        <f>IF($Y1262="","",IF($Y1262=0,$Z1262*EXP($AA1262*-2),$Z1262*(1+$Y1262*$AA1262*-2)^(1/$Y1262)))</f>
        <v/>
      </c>
      <c r="AF1262">
        <f>IF($Y1262="","",IF($Y1262=0,$Z1262*EXP($AA1262*-3),$Z1262*(1+$Y1262*$AA1262*-3)^(1/$Y1262)))</f>
        <v/>
      </c>
      <c r="AG1262">
        <f>IF($W1262="","",IFERROR(INDEX(IF($T1262&lt;=60,est05_l,est519_l),MATCH($W1262,IF($T1262&lt;=60,est05_k,est519_k),1)),""))</f>
        <v/>
      </c>
      <c r="AH1262">
        <f>IF($W1262="","",IFERROR(INDEX(IF($T1262&lt;=60,est05_m,est519_m),MATCH($W1262,IF($T1262&lt;=60,est05_k,est519_k),1)),""))</f>
        <v/>
      </c>
      <c r="AI1262">
        <f>IF($W1262="","",IFERROR(INDEX(IF($T1262&lt;=60,est05_s,est519_s),MATCH($W1262,IF($T1262&lt;=60,est05_k,est519_k),1)),""))</f>
        <v/>
      </c>
      <c r="AJ1262">
        <f>IF($W1262="","",IFERROR(INDEX(IF($T1262&lt;=60,peso05_l,peso510_l),MATCH($W1262,IF($T1262&lt;=60,peso05_k,peso510_k),1)),""))</f>
        <v/>
      </c>
      <c r="AK1262">
        <f>IF($W1262="","",IFERROR(INDEX(IF($T1262&lt;=60,peso05_m,peso510_m),MATCH($W1262,IF($T1262&lt;=60,peso05_k,peso510_k),1)),""))</f>
        <v/>
      </c>
      <c r="AL1262">
        <f>IF($W1262="","",IFERROR(INDEX(IF($T1262&lt;=60,peso05_s,peso510_s),MATCH($W1262,IF($T1262&lt;=60,peso05_k,peso510_k),1)),""))</f>
        <v/>
      </c>
      <c r="AM1262">
        <f>IF($AJ1262="","",IF($AJ1262=0,LN($F1262/$AK1262)/$AL1262,((($F1262/$AK1262)^$AJ1262)-1)/($AJ1262*$AL1262)))</f>
        <v/>
      </c>
      <c r="AN1262">
        <f>IF($AJ1262="","",IF($AJ1262=0,$AK1262*EXP($AL1262*2),$AK1262*(1+$AJ1262*$AL1262*2)^(1/$AJ1262)))</f>
        <v/>
      </c>
      <c r="AO1262">
        <f>IF($AJ1262="","",IF($AJ1262=0,$AK1262*EXP($AL1262*3),$AK1262*(1+$AJ1262*$AL1262*3)^(1/$AJ1262)))</f>
        <v/>
      </c>
      <c r="AP1262">
        <f>IF($AJ1262="","",IF($AJ1262=0,$AK1262*EXP($AL1262*-2),$AK1262*(1+$AJ1262*$AL1262*-2)^(1/$AJ1262)))</f>
        <v/>
      </c>
      <c r="AQ1262">
        <f>IF($AJ1262="","",IF($AJ1262=0,$AK1262*EXP($AL1262*-3),$AK1262*(1+$AJ1262*$AL1262*-3)^(1/$AJ1262)))</f>
        <v/>
      </c>
      <c r="AR1262">
        <f>IF(OR($X1262="",$T1262&gt;60),"",IFERROR(INDEX(IF($T1262&lt;24,pcomp_l,palt_l),MATCH($X1262,IF($T1262&lt;24,pcomp_k,palt_k),1)),""))</f>
        <v/>
      </c>
      <c r="AS1262">
        <f>IF(OR($X1262="",$T1262&gt;60),"",IFERROR(INDEX(IF($T1262&lt;24,pcomp_m,palt_m),MATCH($X1262,IF($T1262&lt;24,pcomp_k,palt_k),1)),""))</f>
        <v/>
      </c>
      <c r="AT1262">
        <f>IF(OR($X1262="",$T1262&gt;60),"",IFERROR(INDEX(IF($T1262&lt;24,pcomp_s,palt_s),MATCH($X1262,IF($T1262&lt;24,pcomp_k,palt_k),1)),""))</f>
        <v/>
      </c>
      <c r="AU1262">
        <f>IF($AR1262="","",IF($AR1262=0,LN($F1262/$AS1262)/$AT1262,((($F1262/$AS1262)^$AR1262)-1)/($AR1262*$AT1262)))</f>
        <v/>
      </c>
      <c r="AV1262">
        <f>IF($AR1262="","",IF($AR1262=0,$AS1262*EXP($AT1262*2),$AS1262*(1+$AR1262*$AT1262*2)^(1/$AR1262)))</f>
        <v/>
      </c>
      <c r="AW1262">
        <f>IF($AR1262="","",IF($AR1262=0,$AS1262*EXP($AT1262*3),$AS1262*(1+$AR1262*$AT1262*3)^(1/$AR1262)))</f>
        <v/>
      </c>
      <c r="AX1262">
        <f>IF($AR1262="","",IF($AR1262=0,$AS1262*EXP($AT1262*-2),$AS1262*(1+$AR1262*$AT1262*-2)^(1/$AR1262)))</f>
        <v/>
      </c>
      <c r="AY1262">
        <f>IF($AR1262="","",IF($AR1262=0,$AS1262*EXP($AT1262*-3),$AS1262*(1+$AR1262*$AT1262*-3)^(1/$AR1262)))</f>
        <v/>
      </c>
      <c r="AZ1262">
        <f>IF(OR($A1262="",$A1262&lt;&gt;Ficha!$C$4),"",COUNTIF($A$2:$A1262,Ficha!$C$4))</f>
        <v/>
      </c>
    </row>
    <row r="1263">
      <c r="A1263" s="8">
        <f>IF(INDEX(Banco!$A:$A,ROW())="","",INDEX(Banco!$A:$A,ROW()))</f>
        <v/>
      </c>
      <c r="B1263" s="8">
        <f>IF(INDEX(Banco!$B:$B,ROW())="","",INDEX(Banco!$B:$B,ROW()))</f>
        <v/>
      </c>
      <c r="C1263" s="8">
        <f>IF(INDEX(Banco!$C:$C,ROW())="","",INDEX(Banco!$C:$C,ROW()))</f>
        <v/>
      </c>
      <c r="D1263" s="9">
        <f>IF(INDEX(Banco!$D:$D,ROW())="","",INDEX(Banco!$D:$D,ROW()))</f>
        <v/>
      </c>
      <c r="E1263" s="9">
        <f>IF(INDEX(Banco!$E:$E,ROW())="","",INDEX(Banco!$E:$E,ROW()))</f>
        <v/>
      </c>
      <c r="F1263" s="10">
        <f>IF(INDEX(Banco!$F:$F,ROW())="","",INDEX(Banco!$F:$F,ROW()))</f>
        <v/>
      </c>
      <c r="G1263" s="10">
        <f>IF(INDEX(Banco!$G:$G,ROW())="","",INDEX(Banco!$G:$G,ROW()))</f>
        <v/>
      </c>
      <c r="H1263" s="8">
        <f>IF(INDEX(Banco!$H:$H,ROW())="","",INDEX(Banco!$H:$H,ROW()))</f>
        <v/>
      </c>
      <c r="I1263">
        <f>IF($T1263="","",INT($T1263/12)&amp;"a "&amp;MOD($T1263,12)&amp;"m")</f>
        <v/>
      </c>
      <c r="J1263" s="11">
        <f>IF(OR($F1263="",$G1263=""),"",ROUND($F1263/($G1263/100)^2,2))</f>
        <v/>
      </c>
      <c r="K1263" s="12">
        <f>IF(OR($S1263="",$J1263="",$T1263="",$T1263&lt;0,$T1263&gt;228,$Y1263=""),"—",ROUND(IF(ABS($AB1263)&lt;=3,$AB1263,IF($AB1263&gt;3,3+($J1263-$AD1263)/($AD1263-$AC1263),-3+($J1263-$AF1263)/($AE1263-$AF1263))),2))</f>
        <v/>
      </c>
      <c r="L1263">
        <f>IF(OR($K1263="",$K1263="—"),"",IF($T1263&lt;=60,IF($K1263&lt;-3,"Magreza acentuada",IF($K1263&lt;-2,"Magreza",IF($K1263&lt;=1,"Eutrofia",IF($K1263&lt;=2,"Risco de sobrepeso",IF($K1263&lt;=3,"Sobrepeso","Obesidade"))))),IF($K1263&lt;-3,"Magreza acentuada",IF($K1263&lt;-2,"Magreza",IF($K1263&lt;=1,"Eutrofia",IF($K1263&lt;=2,"Sobrepeso",IF($K1263&lt;=3,"Obesidade","Obesidade grave")))))))</f>
        <v/>
      </c>
      <c r="M1263" s="12">
        <f>IF(OR($S1263="",$V1263="",$T1263="",$T1263&lt;0,$T1263&gt;228,$AG1263=""),"—",ROUND(IF($AG1263=0,LN($V1263/$AH1263)/$AI1263,((($V1263/$AH1263)^$AG1263)-1)/($AG1263*$AI1263)),2))</f>
        <v/>
      </c>
      <c r="N1263">
        <f>IF(OR($M1263="",$M1263="—"),"",IF($M1263&lt;-3,"Muito baixa",IF($M1263&lt;-2,"Baixa","Adequada")))</f>
        <v/>
      </c>
      <c r="O1263" s="12">
        <f>IF(OR($S1263="",$F1263="",$T1263="",$T1263&lt;0,$T1263&gt;120,$AJ1263=""),"—",ROUND(IF(ABS($AM1263)&lt;=3,$AM1263,IF($AM1263&gt;3,3+($F1263-$AO1263)/($AO1263-$AN1263),-3+($F1263-$AQ1263)/($AP1263-$AQ1263))),2))</f>
        <v/>
      </c>
      <c r="P1263">
        <f>IF(OR($O1263="",$O1263="—"),"",IF($O1263&lt;-3,"Muito baixo",IF($O1263&lt;-2,"Baixo",IF($O1263&lt;=2,"Adequado","Elevado"))))</f>
        <v/>
      </c>
      <c r="Q1263" s="12">
        <f>IF(OR($S1263="",$F1263="",$T1263="",$T1263&lt;0,$T1263&gt;60,$AR1263=""),"—",ROUND(IF(ABS($AU1263)&lt;=3,$AU1263,IF($AU1263&gt;3,3+($F1263-$AW1263)/($AW1263-$AV1263),-3+($F1263-$AY1263)/($AX1263-$AY1263))),2))</f>
        <v/>
      </c>
      <c r="R1263">
        <f>IF(OR($Q1263="",$Q1263="—"),"",IF($Q1263&lt;-3,"Magreza acentuada",IF($Q1263&lt;-2,"Magreza",IF($Q1263&lt;=1,"Eutrofia",IF($Q1263&lt;=2,"Risco de sobrepeso",IF($Q1263&lt;=3,"Sobrepeso","Obesidade"))))))</f>
        <v/>
      </c>
      <c r="S1263">
        <f>IF($C1263="","",IF(UPPER(LEFT($C1263,1))="M",1,IF(UPPER(LEFT($C1263,1))="F",2,"")))</f>
        <v/>
      </c>
      <c r="T1263">
        <f>IF(OR($D1263="",$E1263=""),"",DATEDIF($D1263,$E1263,"m"))</f>
        <v/>
      </c>
      <c r="U1263">
        <f>IF(OR($D1263="",$E1263=""),"",$E1263-$D1263)</f>
        <v/>
      </c>
      <c r="V1263">
        <f>IF(OR($G1263="",$T1263=""),"",IF($T1263&lt;24,IF(LEFT(LOWER($H1263),4)="em p",$G1263+0.7,$G1263),IF(LEFT(LOWER($H1263),4)="deit",$G1263-0.7,$G1263)))</f>
        <v/>
      </c>
      <c r="W1263">
        <f>IF(OR($S1263="",$T1263=""),"",$S1263*1000000+IF($T1263&lt;=60,$U1263,$T1263))</f>
        <v/>
      </c>
      <c r="X1263">
        <f>IF(OR($S1263="",$V1263="",$T1263&gt;60,$T1263=""),"",$S1263*1000000+ROUND($V1263*10,0))</f>
        <v/>
      </c>
      <c r="Y1263">
        <f>IF($W1263="","",IFERROR(INDEX(IF($T1263&lt;=60,imc05_l,imc519_l),MATCH($W1263,IF($T1263&lt;=60,imc05_k,imc519_k),1)),""))</f>
        <v/>
      </c>
      <c r="Z1263">
        <f>IF($W1263="","",IFERROR(INDEX(IF($T1263&lt;=60,imc05_m,imc519_m),MATCH($W1263,IF($T1263&lt;=60,imc05_k,imc519_k),1)),""))</f>
        <v/>
      </c>
      <c r="AA1263">
        <f>IF($W1263="","",IFERROR(INDEX(IF($T1263&lt;=60,imc05_s,imc519_s),MATCH($W1263,IF($T1263&lt;=60,imc05_k,imc519_k),1)),""))</f>
        <v/>
      </c>
      <c r="AB1263">
        <f>IF($Y1263="","",IF($Y1263=0,LN($J1263/$Z1263)/$AA1263,((($J1263/$Z1263)^$Y1263)-1)/($Y1263*$AA1263)))</f>
        <v/>
      </c>
      <c r="AC1263">
        <f>IF($Y1263="","",IF($Y1263=0,$Z1263*EXP($AA1263*2),$Z1263*(1+$Y1263*$AA1263*2)^(1/$Y1263)))</f>
        <v/>
      </c>
      <c r="AD1263">
        <f>IF($Y1263="","",IF($Y1263=0,$Z1263*EXP($AA1263*3),$Z1263*(1+$Y1263*$AA1263*3)^(1/$Y1263)))</f>
        <v/>
      </c>
      <c r="AE1263">
        <f>IF($Y1263="","",IF($Y1263=0,$Z1263*EXP($AA1263*-2),$Z1263*(1+$Y1263*$AA1263*-2)^(1/$Y1263)))</f>
        <v/>
      </c>
      <c r="AF1263">
        <f>IF($Y1263="","",IF($Y1263=0,$Z1263*EXP($AA1263*-3),$Z1263*(1+$Y1263*$AA1263*-3)^(1/$Y1263)))</f>
        <v/>
      </c>
      <c r="AG1263">
        <f>IF($W1263="","",IFERROR(INDEX(IF($T1263&lt;=60,est05_l,est519_l),MATCH($W1263,IF($T1263&lt;=60,est05_k,est519_k),1)),""))</f>
        <v/>
      </c>
      <c r="AH1263">
        <f>IF($W1263="","",IFERROR(INDEX(IF($T1263&lt;=60,est05_m,est519_m),MATCH($W1263,IF($T1263&lt;=60,est05_k,est519_k),1)),""))</f>
        <v/>
      </c>
      <c r="AI1263">
        <f>IF($W1263="","",IFERROR(INDEX(IF($T1263&lt;=60,est05_s,est519_s),MATCH($W1263,IF($T1263&lt;=60,est05_k,est519_k),1)),""))</f>
        <v/>
      </c>
      <c r="AJ1263">
        <f>IF($W1263="","",IFERROR(INDEX(IF($T1263&lt;=60,peso05_l,peso510_l),MATCH($W1263,IF($T1263&lt;=60,peso05_k,peso510_k),1)),""))</f>
        <v/>
      </c>
      <c r="AK1263">
        <f>IF($W1263="","",IFERROR(INDEX(IF($T1263&lt;=60,peso05_m,peso510_m),MATCH($W1263,IF($T1263&lt;=60,peso05_k,peso510_k),1)),""))</f>
        <v/>
      </c>
      <c r="AL1263">
        <f>IF($W1263="","",IFERROR(INDEX(IF($T1263&lt;=60,peso05_s,peso510_s),MATCH($W1263,IF($T1263&lt;=60,peso05_k,peso510_k),1)),""))</f>
        <v/>
      </c>
      <c r="AM1263">
        <f>IF($AJ1263="","",IF($AJ1263=0,LN($F1263/$AK1263)/$AL1263,((($F1263/$AK1263)^$AJ1263)-1)/($AJ1263*$AL1263)))</f>
        <v/>
      </c>
      <c r="AN1263">
        <f>IF($AJ1263="","",IF($AJ1263=0,$AK1263*EXP($AL1263*2),$AK1263*(1+$AJ1263*$AL1263*2)^(1/$AJ1263)))</f>
        <v/>
      </c>
      <c r="AO1263">
        <f>IF($AJ1263="","",IF($AJ1263=0,$AK1263*EXP($AL1263*3),$AK1263*(1+$AJ1263*$AL1263*3)^(1/$AJ1263)))</f>
        <v/>
      </c>
      <c r="AP1263">
        <f>IF($AJ1263="","",IF($AJ1263=0,$AK1263*EXP($AL1263*-2),$AK1263*(1+$AJ1263*$AL1263*-2)^(1/$AJ1263)))</f>
        <v/>
      </c>
      <c r="AQ1263">
        <f>IF($AJ1263="","",IF($AJ1263=0,$AK1263*EXP($AL1263*-3),$AK1263*(1+$AJ1263*$AL1263*-3)^(1/$AJ1263)))</f>
        <v/>
      </c>
      <c r="AR1263">
        <f>IF(OR($X1263="",$T1263&gt;60),"",IFERROR(INDEX(IF($T1263&lt;24,pcomp_l,palt_l),MATCH($X1263,IF($T1263&lt;24,pcomp_k,palt_k),1)),""))</f>
        <v/>
      </c>
      <c r="AS1263">
        <f>IF(OR($X1263="",$T1263&gt;60),"",IFERROR(INDEX(IF($T1263&lt;24,pcomp_m,palt_m),MATCH($X1263,IF($T1263&lt;24,pcomp_k,palt_k),1)),""))</f>
        <v/>
      </c>
      <c r="AT1263">
        <f>IF(OR($X1263="",$T1263&gt;60),"",IFERROR(INDEX(IF($T1263&lt;24,pcomp_s,palt_s),MATCH($X1263,IF($T1263&lt;24,pcomp_k,palt_k),1)),""))</f>
        <v/>
      </c>
      <c r="AU1263">
        <f>IF($AR1263="","",IF($AR1263=0,LN($F1263/$AS1263)/$AT1263,((($F1263/$AS1263)^$AR1263)-1)/($AR1263*$AT1263)))</f>
        <v/>
      </c>
      <c r="AV1263">
        <f>IF($AR1263="","",IF($AR1263=0,$AS1263*EXP($AT1263*2),$AS1263*(1+$AR1263*$AT1263*2)^(1/$AR1263)))</f>
        <v/>
      </c>
      <c r="AW1263">
        <f>IF($AR1263="","",IF($AR1263=0,$AS1263*EXP($AT1263*3),$AS1263*(1+$AR1263*$AT1263*3)^(1/$AR1263)))</f>
        <v/>
      </c>
      <c r="AX1263">
        <f>IF($AR1263="","",IF($AR1263=0,$AS1263*EXP($AT1263*-2),$AS1263*(1+$AR1263*$AT1263*-2)^(1/$AR1263)))</f>
        <v/>
      </c>
      <c r="AY1263">
        <f>IF($AR1263="","",IF($AR1263=0,$AS1263*EXP($AT1263*-3),$AS1263*(1+$AR1263*$AT1263*-3)^(1/$AR1263)))</f>
        <v/>
      </c>
      <c r="AZ1263">
        <f>IF(OR($A1263="",$A1263&lt;&gt;Ficha!$C$4),"",COUNTIF($A$2:$A1263,Ficha!$C$4))</f>
        <v/>
      </c>
    </row>
    <row r="1264">
      <c r="A1264" s="8">
        <f>IF(INDEX(Banco!$A:$A,ROW())="","",INDEX(Banco!$A:$A,ROW()))</f>
        <v/>
      </c>
      <c r="B1264" s="8">
        <f>IF(INDEX(Banco!$B:$B,ROW())="","",INDEX(Banco!$B:$B,ROW()))</f>
        <v/>
      </c>
      <c r="C1264" s="8">
        <f>IF(INDEX(Banco!$C:$C,ROW())="","",INDEX(Banco!$C:$C,ROW()))</f>
        <v/>
      </c>
      <c r="D1264" s="9">
        <f>IF(INDEX(Banco!$D:$D,ROW())="","",INDEX(Banco!$D:$D,ROW()))</f>
        <v/>
      </c>
      <c r="E1264" s="9">
        <f>IF(INDEX(Banco!$E:$E,ROW())="","",INDEX(Banco!$E:$E,ROW()))</f>
        <v/>
      </c>
      <c r="F1264" s="10">
        <f>IF(INDEX(Banco!$F:$F,ROW())="","",INDEX(Banco!$F:$F,ROW()))</f>
        <v/>
      </c>
      <c r="G1264" s="10">
        <f>IF(INDEX(Banco!$G:$G,ROW())="","",INDEX(Banco!$G:$G,ROW()))</f>
        <v/>
      </c>
      <c r="H1264" s="8">
        <f>IF(INDEX(Banco!$H:$H,ROW())="","",INDEX(Banco!$H:$H,ROW()))</f>
        <v/>
      </c>
      <c r="I1264">
        <f>IF($T1264="","",INT($T1264/12)&amp;"a "&amp;MOD($T1264,12)&amp;"m")</f>
        <v/>
      </c>
      <c r="J1264" s="11">
        <f>IF(OR($F1264="",$G1264=""),"",ROUND($F1264/($G1264/100)^2,2))</f>
        <v/>
      </c>
      <c r="K1264" s="12">
        <f>IF(OR($S1264="",$J1264="",$T1264="",$T1264&lt;0,$T1264&gt;228,$Y1264=""),"—",ROUND(IF(ABS($AB1264)&lt;=3,$AB1264,IF($AB1264&gt;3,3+($J1264-$AD1264)/($AD1264-$AC1264),-3+($J1264-$AF1264)/($AE1264-$AF1264))),2))</f>
        <v/>
      </c>
      <c r="L1264">
        <f>IF(OR($K1264="",$K1264="—"),"",IF($T1264&lt;=60,IF($K1264&lt;-3,"Magreza acentuada",IF($K1264&lt;-2,"Magreza",IF($K1264&lt;=1,"Eutrofia",IF($K1264&lt;=2,"Risco de sobrepeso",IF($K1264&lt;=3,"Sobrepeso","Obesidade"))))),IF($K1264&lt;-3,"Magreza acentuada",IF($K1264&lt;-2,"Magreza",IF($K1264&lt;=1,"Eutrofia",IF($K1264&lt;=2,"Sobrepeso",IF($K1264&lt;=3,"Obesidade","Obesidade grave")))))))</f>
        <v/>
      </c>
      <c r="M1264" s="12">
        <f>IF(OR($S1264="",$V1264="",$T1264="",$T1264&lt;0,$T1264&gt;228,$AG1264=""),"—",ROUND(IF($AG1264=0,LN($V1264/$AH1264)/$AI1264,((($V1264/$AH1264)^$AG1264)-1)/($AG1264*$AI1264)),2))</f>
        <v/>
      </c>
      <c r="N1264">
        <f>IF(OR($M1264="",$M1264="—"),"",IF($M1264&lt;-3,"Muito baixa",IF($M1264&lt;-2,"Baixa","Adequada")))</f>
        <v/>
      </c>
      <c r="O1264" s="12">
        <f>IF(OR($S1264="",$F1264="",$T1264="",$T1264&lt;0,$T1264&gt;120,$AJ1264=""),"—",ROUND(IF(ABS($AM1264)&lt;=3,$AM1264,IF($AM1264&gt;3,3+($F1264-$AO1264)/($AO1264-$AN1264),-3+($F1264-$AQ1264)/($AP1264-$AQ1264))),2))</f>
        <v/>
      </c>
      <c r="P1264">
        <f>IF(OR($O1264="",$O1264="—"),"",IF($O1264&lt;-3,"Muito baixo",IF($O1264&lt;-2,"Baixo",IF($O1264&lt;=2,"Adequado","Elevado"))))</f>
        <v/>
      </c>
      <c r="Q1264" s="12">
        <f>IF(OR($S1264="",$F1264="",$T1264="",$T1264&lt;0,$T1264&gt;60,$AR1264=""),"—",ROUND(IF(ABS($AU1264)&lt;=3,$AU1264,IF($AU1264&gt;3,3+($F1264-$AW1264)/($AW1264-$AV1264),-3+($F1264-$AY1264)/($AX1264-$AY1264))),2))</f>
        <v/>
      </c>
      <c r="R1264">
        <f>IF(OR($Q1264="",$Q1264="—"),"",IF($Q1264&lt;-3,"Magreza acentuada",IF($Q1264&lt;-2,"Magreza",IF($Q1264&lt;=1,"Eutrofia",IF($Q1264&lt;=2,"Risco de sobrepeso",IF($Q1264&lt;=3,"Sobrepeso","Obesidade"))))))</f>
        <v/>
      </c>
      <c r="S1264">
        <f>IF($C1264="","",IF(UPPER(LEFT($C1264,1))="M",1,IF(UPPER(LEFT($C1264,1))="F",2,"")))</f>
        <v/>
      </c>
      <c r="T1264">
        <f>IF(OR($D1264="",$E1264=""),"",DATEDIF($D1264,$E1264,"m"))</f>
        <v/>
      </c>
      <c r="U1264">
        <f>IF(OR($D1264="",$E1264=""),"",$E1264-$D1264)</f>
        <v/>
      </c>
      <c r="V1264">
        <f>IF(OR($G1264="",$T1264=""),"",IF($T1264&lt;24,IF(LEFT(LOWER($H1264),4)="em p",$G1264+0.7,$G1264),IF(LEFT(LOWER($H1264),4)="deit",$G1264-0.7,$G1264)))</f>
        <v/>
      </c>
      <c r="W1264">
        <f>IF(OR($S1264="",$T1264=""),"",$S1264*1000000+IF($T1264&lt;=60,$U1264,$T1264))</f>
        <v/>
      </c>
      <c r="X1264">
        <f>IF(OR($S1264="",$V1264="",$T1264&gt;60,$T1264=""),"",$S1264*1000000+ROUND($V1264*10,0))</f>
        <v/>
      </c>
      <c r="Y1264">
        <f>IF($W1264="","",IFERROR(INDEX(IF($T1264&lt;=60,imc05_l,imc519_l),MATCH($W1264,IF($T1264&lt;=60,imc05_k,imc519_k),1)),""))</f>
        <v/>
      </c>
      <c r="Z1264">
        <f>IF($W1264="","",IFERROR(INDEX(IF($T1264&lt;=60,imc05_m,imc519_m),MATCH($W1264,IF($T1264&lt;=60,imc05_k,imc519_k),1)),""))</f>
        <v/>
      </c>
      <c r="AA1264">
        <f>IF($W1264="","",IFERROR(INDEX(IF($T1264&lt;=60,imc05_s,imc519_s),MATCH($W1264,IF($T1264&lt;=60,imc05_k,imc519_k),1)),""))</f>
        <v/>
      </c>
      <c r="AB1264">
        <f>IF($Y1264="","",IF($Y1264=0,LN($J1264/$Z1264)/$AA1264,((($J1264/$Z1264)^$Y1264)-1)/($Y1264*$AA1264)))</f>
        <v/>
      </c>
      <c r="AC1264">
        <f>IF($Y1264="","",IF($Y1264=0,$Z1264*EXP($AA1264*2),$Z1264*(1+$Y1264*$AA1264*2)^(1/$Y1264)))</f>
        <v/>
      </c>
      <c r="AD1264">
        <f>IF($Y1264="","",IF($Y1264=0,$Z1264*EXP($AA1264*3),$Z1264*(1+$Y1264*$AA1264*3)^(1/$Y1264)))</f>
        <v/>
      </c>
      <c r="AE1264">
        <f>IF($Y1264="","",IF($Y1264=0,$Z1264*EXP($AA1264*-2),$Z1264*(1+$Y1264*$AA1264*-2)^(1/$Y1264)))</f>
        <v/>
      </c>
      <c r="AF1264">
        <f>IF($Y1264="","",IF($Y1264=0,$Z1264*EXP($AA1264*-3),$Z1264*(1+$Y1264*$AA1264*-3)^(1/$Y1264)))</f>
        <v/>
      </c>
      <c r="AG1264">
        <f>IF($W1264="","",IFERROR(INDEX(IF($T1264&lt;=60,est05_l,est519_l),MATCH($W1264,IF($T1264&lt;=60,est05_k,est519_k),1)),""))</f>
        <v/>
      </c>
      <c r="AH1264">
        <f>IF($W1264="","",IFERROR(INDEX(IF($T1264&lt;=60,est05_m,est519_m),MATCH($W1264,IF($T1264&lt;=60,est05_k,est519_k),1)),""))</f>
        <v/>
      </c>
      <c r="AI1264">
        <f>IF($W1264="","",IFERROR(INDEX(IF($T1264&lt;=60,est05_s,est519_s),MATCH($W1264,IF($T1264&lt;=60,est05_k,est519_k),1)),""))</f>
        <v/>
      </c>
      <c r="AJ1264">
        <f>IF($W1264="","",IFERROR(INDEX(IF($T1264&lt;=60,peso05_l,peso510_l),MATCH($W1264,IF($T1264&lt;=60,peso05_k,peso510_k),1)),""))</f>
        <v/>
      </c>
      <c r="AK1264">
        <f>IF($W1264="","",IFERROR(INDEX(IF($T1264&lt;=60,peso05_m,peso510_m),MATCH($W1264,IF($T1264&lt;=60,peso05_k,peso510_k),1)),""))</f>
        <v/>
      </c>
      <c r="AL1264">
        <f>IF($W1264="","",IFERROR(INDEX(IF($T1264&lt;=60,peso05_s,peso510_s),MATCH($W1264,IF($T1264&lt;=60,peso05_k,peso510_k),1)),""))</f>
        <v/>
      </c>
      <c r="AM1264">
        <f>IF($AJ1264="","",IF($AJ1264=0,LN($F1264/$AK1264)/$AL1264,((($F1264/$AK1264)^$AJ1264)-1)/($AJ1264*$AL1264)))</f>
        <v/>
      </c>
      <c r="AN1264">
        <f>IF($AJ1264="","",IF($AJ1264=0,$AK1264*EXP($AL1264*2),$AK1264*(1+$AJ1264*$AL1264*2)^(1/$AJ1264)))</f>
        <v/>
      </c>
      <c r="AO1264">
        <f>IF($AJ1264="","",IF($AJ1264=0,$AK1264*EXP($AL1264*3),$AK1264*(1+$AJ1264*$AL1264*3)^(1/$AJ1264)))</f>
        <v/>
      </c>
      <c r="AP1264">
        <f>IF($AJ1264="","",IF($AJ1264=0,$AK1264*EXP($AL1264*-2),$AK1264*(1+$AJ1264*$AL1264*-2)^(1/$AJ1264)))</f>
        <v/>
      </c>
      <c r="AQ1264">
        <f>IF($AJ1264="","",IF($AJ1264=0,$AK1264*EXP($AL1264*-3),$AK1264*(1+$AJ1264*$AL1264*-3)^(1/$AJ1264)))</f>
        <v/>
      </c>
      <c r="AR1264">
        <f>IF(OR($X1264="",$T1264&gt;60),"",IFERROR(INDEX(IF($T1264&lt;24,pcomp_l,palt_l),MATCH($X1264,IF($T1264&lt;24,pcomp_k,palt_k),1)),""))</f>
        <v/>
      </c>
      <c r="AS1264">
        <f>IF(OR($X1264="",$T1264&gt;60),"",IFERROR(INDEX(IF($T1264&lt;24,pcomp_m,palt_m),MATCH($X1264,IF($T1264&lt;24,pcomp_k,palt_k),1)),""))</f>
        <v/>
      </c>
      <c r="AT1264">
        <f>IF(OR($X1264="",$T1264&gt;60),"",IFERROR(INDEX(IF($T1264&lt;24,pcomp_s,palt_s),MATCH($X1264,IF($T1264&lt;24,pcomp_k,palt_k),1)),""))</f>
        <v/>
      </c>
      <c r="AU1264">
        <f>IF($AR1264="","",IF($AR1264=0,LN($F1264/$AS1264)/$AT1264,((($F1264/$AS1264)^$AR1264)-1)/($AR1264*$AT1264)))</f>
        <v/>
      </c>
      <c r="AV1264">
        <f>IF($AR1264="","",IF($AR1264=0,$AS1264*EXP($AT1264*2),$AS1264*(1+$AR1264*$AT1264*2)^(1/$AR1264)))</f>
        <v/>
      </c>
      <c r="AW1264">
        <f>IF($AR1264="","",IF($AR1264=0,$AS1264*EXP($AT1264*3),$AS1264*(1+$AR1264*$AT1264*3)^(1/$AR1264)))</f>
        <v/>
      </c>
      <c r="AX1264">
        <f>IF($AR1264="","",IF($AR1264=0,$AS1264*EXP($AT1264*-2),$AS1264*(1+$AR1264*$AT1264*-2)^(1/$AR1264)))</f>
        <v/>
      </c>
      <c r="AY1264">
        <f>IF($AR1264="","",IF($AR1264=0,$AS1264*EXP($AT1264*-3),$AS1264*(1+$AR1264*$AT1264*-3)^(1/$AR1264)))</f>
        <v/>
      </c>
      <c r="AZ1264">
        <f>IF(OR($A1264="",$A1264&lt;&gt;Ficha!$C$4),"",COUNTIF($A$2:$A1264,Ficha!$C$4))</f>
        <v/>
      </c>
    </row>
    <row r="1265">
      <c r="A1265" s="8">
        <f>IF(INDEX(Banco!$A:$A,ROW())="","",INDEX(Banco!$A:$A,ROW()))</f>
        <v/>
      </c>
      <c r="B1265" s="8">
        <f>IF(INDEX(Banco!$B:$B,ROW())="","",INDEX(Banco!$B:$B,ROW()))</f>
        <v/>
      </c>
      <c r="C1265" s="8">
        <f>IF(INDEX(Banco!$C:$C,ROW())="","",INDEX(Banco!$C:$C,ROW()))</f>
        <v/>
      </c>
      <c r="D1265" s="9">
        <f>IF(INDEX(Banco!$D:$D,ROW())="","",INDEX(Banco!$D:$D,ROW()))</f>
        <v/>
      </c>
      <c r="E1265" s="9">
        <f>IF(INDEX(Banco!$E:$E,ROW())="","",INDEX(Banco!$E:$E,ROW()))</f>
        <v/>
      </c>
      <c r="F1265" s="10">
        <f>IF(INDEX(Banco!$F:$F,ROW())="","",INDEX(Banco!$F:$F,ROW()))</f>
        <v/>
      </c>
      <c r="G1265" s="10">
        <f>IF(INDEX(Banco!$G:$G,ROW())="","",INDEX(Banco!$G:$G,ROW()))</f>
        <v/>
      </c>
      <c r="H1265" s="8">
        <f>IF(INDEX(Banco!$H:$H,ROW())="","",INDEX(Banco!$H:$H,ROW()))</f>
        <v/>
      </c>
      <c r="I1265">
        <f>IF($T1265="","",INT($T1265/12)&amp;"a "&amp;MOD($T1265,12)&amp;"m")</f>
        <v/>
      </c>
      <c r="J1265" s="11">
        <f>IF(OR($F1265="",$G1265=""),"",ROUND($F1265/($G1265/100)^2,2))</f>
        <v/>
      </c>
      <c r="K1265" s="12">
        <f>IF(OR($S1265="",$J1265="",$T1265="",$T1265&lt;0,$T1265&gt;228,$Y1265=""),"—",ROUND(IF(ABS($AB1265)&lt;=3,$AB1265,IF($AB1265&gt;3,3+($J1265-$AD1265)/($AD1265-$AC1265),-3+($J1265-$AF1265)/($AE1265-$AF1265))),2))</f>
        <v/>
      </c>
      <c r="L1265">
        <f>IF(OR($K1265="",$K1265="—"),"",IF($T1265&lt;=60,IF($K1265&lt;-3,"Magreza acentuada",IF($K1265&lt;-2,"Magreza",IF($K1265&lt;=1,"Eutrofia",IF($K1265&lt;=2,"Risco de sobrepeso",IF($K1265&lt;=3,"Sobrepeso","Obesidade"))))),IF($K1265&lt;-3,"Magreza acentuada",IF($K1265&lt;-2,"Magreza",IF($K1265&lt;=1,"Eutrofia",IF($K1265&lt;=2,"Sobrepeso",IF($K1265&lt;=3,"Obesidade","Obesidade grave")))))))</f>
        <v/>
      </c>
      <c r="M1265" s="12">
        <f>IF(OR($S1265="",$V1265="",$T1265="",$T1265&lt;0,$T1265&gt;228,$AG1265=""),"—",ROUND(IF($AG1265=0,LN($V1265/$AH1265)/$AI1265,((($V1265/$AH1265)^$AG1265)-1)/($AG1265*$AI1265)),2))</f>
        <v/>
      </c>
      <c r="N1265">
        <f>IF(OR($M1265="",$M1265="—"),"",IF($M1265&lt;-3,"Muito baixa",IF($M1265&lt;-2,"Baixa","Adequada")))</f>
        <v/>
      </c>
      <c r="O1265" s="12">
        <f>IF(OR($S1265="",$F1265="",$T1265="",$T1265&lt;0,$T1265&gt;120,$AJ1265=""),"—",ROUND(IF(ABS($AM1265)&lt;=3,$AM1265,IF($AM1265&gt;3,3+($F1265-$AO1265)/($AO1265-$AN1265),-3+($F1265-$AQ1265)/($AP1265-$AQ1265))),2))</f>
        <v/>
      </c>
      <c r="P1265">
        <f>IF(OR($O1265="",$O1265="—"),"",IF($O1265&lt;-3,"Muito baixo",IF($O1265&lt;-2,"Baixo",IF($O1265&lt;=2,"Adequado","Elevado"))))</f>
        <v/>
      </c>
      <c r="Q1265" s="12">
        <f>IF(OR($S1265="",$F1265="",$T1265="",$T1265&lt;0,$T1265&gt;60,$AR1265=""),"—",ROUND(IF(ABS($AU1265)&lt;=3,$AU1265,IF($AU1265&gt;3,3+($F1265-$AW1265)/($AW1265-$AV1265),-3+($F1265-$AY1265)/($AX1265-$AY1265))),2))</f>
        <v/>
      </c>
      <c r="R1265">
        <f>IF(OR($Q1265="",$Q1265="—"),"",IF($Q1265&lt;-3,"Magreza acentuada",IF($Q1265&lt;-2,"Magreza",IF($Q1265&lt;=1,"Eutrofia",IF($Q1265&lt;=2,"Risco de sobrepeso",IF($Q1265&lt;=3,"Sobrepeso","Obesidade"))))))</f>
        <v/>
      </c>
      <c r="S1265">
        <f>IF($C1265="","",IF(UPPER(LEFT($C1265,1))="M",1,IF(UPPER(LEFT($C1265,1))="F",2,"")))</f>
        <v/>
      </c>
      <c r="T1265">
        <f>IF(OR($D1265="",$E1265=""),"",DATEDIF($D1265,$E1265,"m"))</f>
        <v/>
      </c>
      <c r="U1265">
        <f>IF(OR($D1265="",$E1265=""),"",$E1265-$D1265)</f>
        <v/>
      </c>
      <c r="V1265">
        <f>IF(OR($G1265="",$T1265=""),"",IF($T1265&lt;24,IF(LEFT(LOWER($H1265),4)="em p",$G1265+0.7,$G1265),IF(LEFT(LOWER($H1265),4)="deit",$G1265-0.7,$G1265)))</f>
        <v/>
      </c>
      <c r="W1265">
        <f>IF(OR($S1265="",$T1265=""),"",$S1265*1000000+IF($T1265&lt;=60,$U1265,$T1265))</f>
        <v/>
      </c>
      <c r="X1265">
        <f>IF(OR($S1265="",$V1265="",$T1265&gt;60,$T1265=""),"",$S1265*1000000+ROUND($V1265*10,0))</f>
        <v/>
      </c>
      <c r="Y1265">
        <f>IF($W1265="","",IFERROR(INDEX(IF($T1265&lt;=60,imc05_l,imc519_l),MATCH($W1265,IF($T1265&lt;=60,imc05_k,imc519_k),1)),""))</f>
        <v/>
      </c>
      <c r="Z1265">
        <f>IF($W1265="","",IFERROR(INDEX(IF($T1265&lt;=60,imc05_m,imc519_m),MATCH($W1265,IF($T1265&lt;=60,imc05_k,imc519_k),1)),""))</f>
        <v/>
      </c>
      <c r="AA1265">
        <f>IF($W1265="","",IFERROR(INDEX(IF($T1265&lt;=60,imc05_s,imc519_s),MATCH($W1265,IF($T1265&lt;=60,imc05_k,imc519_k),1)),""))</f>
        <v/>
      </c>
      <c r="AB1265">
        <f>IF($Y1265="","",IF($Y1265=0,LN($J1265/$Z1265)/$AA1265,((($J1265/$Z1265)^$Y1265)-1)/($Y1265*$AA1265)))</f>
        <v/>
      </c>
      <c r="AC1265">
        <f>IF($Y1265="","",IF($Y1265=0,$Z1265*EXP($AA1265*2),$Z1265*(1+$Y1265*$AA1265*2)^(1/$Y1265)))</f>
        <v/>
      </c>
      <c r="AD1265">
        <f>IF($Y1265="","",IF($Y1265=0,$Z1265*EXP($AA1265*3),$Z1265*(1+$Y1265*$AA1265*3)^(1/$Y1265)))</f>
        <v/>
      </c>
      <c r="AE1265">
        <f>IF($Y1265="","",IF($Y1265=0,$Z1265*EXP($AA1265*-2),$Z1265*(1+$Y1265*$AA1265*-2)^(1/$Y1265)))</f>
        <v/>
      </c>
      <c r="AF1265">
        <f>IF($Y1265="","",IF($Y1265=0,$Z1265*EXP($AA1265*-3),$Z1265*(1+$Y1265*$AA1265*-3)^(1/$Y1265)))</f>
        <v/>
      </c>
      <c r="AG1265">
        <f>IF($W1265="","",IFERROR(INDEX(IF($T1265&lt;=60,est05_l,est519_l),MATCH($W1265,IF($T1265&lt;=60,est05_k,est519_k),1)),""))</f>
        <v/>
      </c>
      <c r="AH1265">
        <f>IF($W1265="","",IFERROR(INDEX(IF($T1265&lt;=60,est05_m,est519_m),MATCH($W1265,IF($T1265&lt;=60,est05_k,est519_k),1)),""))</f>
        <v/>
      </c>
      <c r="AI1265">
        <f>IF($W1265="","",IFERROR(INDEX(IF($T1265&lt;=60,est05_s,est519_s),MATCH($W1265,IF($T1265&lt;=60,est05_k,est519_k),1)),""))</f>
        <v/>
      </c>
      <c r="AJ1265">
        <f>IF($W1265="","",IFERROR(INDEX(IF($T1265&lt;=60,peso05_l,peso510_l),MATCH($W1265,IF($T1265&lt;=60,peso05_k,peso510_k),1)),""))</f>
        <v/>
      </c>
      <c r="AK1265">
        <f>IF($W1265="","",IFERROR(INDEX(IF($T1265&lt;=60,peso05_m,peso510_m),MATCH($W1265,IF($T1265&lt;=60,peso05_k,peso510_k),1)),""))</f>
        <v/>
      </c>
      <c r="AL1265">
        <f>IF($W1265="","",IFERROR(INDEX(IF($T1265&lt;=60,peso05_s,peso510_s),MATCH($W1265,IF($T1265&lt;=60,peso05_k,peso510_k),1)),""))</f>
        <v/>
      </c>
      <c r="AM1265">
        <f>IF($AJ1265="","",IF($AJ1265=0,LN($F1265/$AK1265)/$AL1265,((($F1265/$AK1265)^$AJ1265)-1)/($AJ1265*$AL1265)))</f>
        <v/>
      </c>
      <c r="AN1265">
        <f>IF($AJ1265="","",IF($AJ1265=0,$AK1265*EXP($AL1265*2),$AK1265*(1+$AJ1265*$AL1265*2)^(1/$AJ1265)))</f>
        <v/>
      </c>
      <c r="AO1265">
        <f>IF($AJ1265="","",IF($AJ1265=0,$AK1265*EXP($AL1265*3),$AK1265*(1+$AJ1265*$AL1265*3)^(1/$AJ1265)))</f>
        <v/>
      </c>
      <c r="AP1265">
        <f>IF($AJ1265="","",IF($AJ1265=0,$AK1265*EXP($AL1265*-2),$AK1265*(1+$AJ1265*$AL1265*-2)^(1/$AJ1265)))</f>
        <v/>
      </c>
      <c r="AQ1265">
        <f>IF($AJ1265="","",IF($AJ1265=0,$AK1265*EXP($AL1265*-3),$AK1265*(1+$AJ1265*$AL1265*-3)^(1/$AJ1265)))</f>
        <v/>
      </c>
      <c r="AR1265">
        <f>IF(OR($X1265="",$T1265&gt;60),"",IFERROR(INDEX(IF($T1265&lt;24,pcomp_l,palt_l),MATCH($X1265,IF($T1265&lt;24,pcomp_k,palt_k),1)),""))</f>
        <v/>
      </c>
      <c r="AS1265">
        <f>IF(OR($X1265="",$T1265&gt;60),"",IFERROR(INDEX(IF($T1265&lt;24,pcomp_m,palt_m),MATCH($X1265,IF($T1265&lt;24,pcomp_k,palt_k),1)),""))</f>
        <v/>
      </c>
      <c r="AT1265">
        <f>IF(OR($X1265="",$T1265&gt;60),"",IFERROR(INDEX(IF($T1265&lt;24,pcomp_s,palt_s),MATCH($X1265,IF($T1265&lt;24,pcomp_k,palt_k),1)),""))</f>
        <v/>
      </c>
      <c r="AU1265">
        <f>IF($AR1265="","",IF($AR1265=0,LN($F1265/$AS1265)/$AT1265,((($F1265/$AS1265)^$AR1265)-1)/($AR1265*$AT1265)))</f>
        <v/>
      </c>
      <c r="AV1265">
        <f>IF($AR1265="","",IF($AR1265=0,$AS1265*EXP($AT1265*2),$AS1265*(1+$AR1265*$AT1265*2)^(1/$AR1265)))</f>
        <v/>
      </c>
      <c r="AW1265">
        <f>IF($AR1265="","",IF($AR1265=0,$AS1265*EXP($AT1265*3),$AS1265*(1+$AR1265*$AT1265*3)^(1/$AR1265)))</f>
        <v/>
      </c>
      <c r="AX1265">
        <f>IF($AR1265="","",IF($AR1265=0,$AS1265*EXP($AT1265*-2),$AS1265*(1+$AR1265*$AT1265*-2)^(1/$AR1265)))</f>
        <v/>
      </c>
      <c r="AY1265">
        <f>IF($AR1265="","",IF($AR1265=0,$AS1265*EXP($AT1265*-3),$AS1265*(1+$AR1265*$AT1265*-3)^(1/$AR1265)))</f>
        <v/>
      </c>
      <c r="AZ1265">
        <f>IF(OR($A1265="",$A1265&lt;&gt;Ficha!$C$4),"",COUNTIF($A$2:$A1265,Ficha!$C$4))</f>
        <v/>
      </c>
    </row>
    <row r="1266">
      <c r="A1266" s="8">
        <f>IF(INDEX(Banco!$A:$A,ROW())="","",INDEX(Banco!$A:$A,ROW()))</f>
        <v/>
      </c>
      <c r="B1266" s="8">
        <f>IF(INDEX(Banco!$B:$B,ROW())="","",INDEX(Banco!$B:$B,ROW()))</f>
        <v/>
      </c>
      <c r="C1266" s="8">
        <f>IF(INDEX(Banco!$C:$C,ROW())="","",INDEX(Banco!$C:$C,ROW()))</f>
        <v/>
      </c>
      <c r="D1266" s="9">
        <f>IF(INDEX(Banco!$D:$D,ROW())="","",INDEX(Banco!$D:$D,ROW()))</f>
        <v/>
      </c>
      <c r="E1266" s="9">
        <f>IF(INDEX(Banco!$E:$E,ROW())="","",INDEX(Banco!$E:$E,ROW()))</f>
        <v/>
      </c>
      <c r="F1266" s="10">
        <f>IF(INDEX(Banco!$F:$F,ROW())="","",INDEX(Banco!$F:$F,ROW()))</f>
        <v/>
      </c>
      <c r="G1266" s="10">
        <f>IF(INDEX(Banco!$G:$G,ROW())="","",INDEX(Banco!$G:$G,ROW()))</f>
        <v/>
      </c>
      <c r="H1266" s="8">
        <f>IF(INDEX(Banco!$H:$H,ROW())="","",INDEX(Banco!$H:$H,ROW()))</f>
        <v/>
      </c>
      <c r="I1266">
        <f>IF($T1266="","",INT($T1266/12)&amp;"a "&amp;MOD($T1266,12)&amp;"m")</f>
        <v/>
      </c>
      <c r="J1266" s="11">
        <f>IF(OR($F1266="",$G1266=""),"",ROUND($F1266/($G1266/100)^2,2))</f>
        <v/>
      </c>
      <c r="K1266" s="12">
        <f>IF(OR($S1266="",$J1266="",$T1266="",$T1266&lt;0,$T1266&gt;228,$Y1266=""),"—",ROUND(IF(ABS($AB1266)&lt;=3,$AB1266,IF($AB1266&gt;3,3+($J1266-$AD1266)/($AD1266-$AC1266),-3+($J1266-$AF1266)/($AE1266-$AF1266))),2))</f>
        <v/>
      </c>
      <c r="L1266">
        <f>IF(OR($K1266="",$K1266="—"),"",IF($T1266&lt;=60,IF($K1266&lt;-3,"Magreza acentuada",IF($K1266&lt;-2,"Magreza",IF($K1266&lt;=1,"Eutrofia",IF($K1266&lt;=2,"Risco de sobrepeso",IF($K1266&lt;=3,"Sobrepeso","Obesidade"))))),IF($K1266&lt;-3,"Magreza acentuada",IF($K1266&lt;-2,"Magreza",IF($K1266&lt;=1,"Eutrofia",IF($K1266&lt;=2,"Sobrepeso",IF($K1266&lt;=3,"Obesidade","Obesidade grave")))))))</f>
        <v/>
      </c>
      <c r="M1266" s="12">
        <f>IF(OR($S1266="",$V1266="",$T1266="",$T1266&lt;0,$T1266&gt;228,$AG1266=""),"—",ROUND(IF($AG1266=0,LN($V1266/$AH1266)/$AI1266,((($V1266/$AH1266)^$AG1266)-1)/($AG1266*$AI1266)),2))</f>
        <v/>
      </c>
      <c r="N1266">
        <f>IF(OR($M1266="",$M1266="—"),"",IF($M1266&lt;-3,"Muito baixa",IF($M1266&lt;-2,"Baixa","Adequada")))</f>
        <v/>
      </c>
      <c r="O1266" s="12">
        <f>IF(OR($S1266="",$F1266="",$T1266="",$T1266&lt;0,$T1266&gt;120,$AJ1266=""),"—",ROUND(IF(ABS($AM1266)&lt;=3,$AM1266,IF($AM1266&gt;3,3+($F1266-$AO1266)/($AO1266-$AN1266),-3+($F1266-$AQ1266)/($AP1266-$AQ1266))),2))</f>
        <v/>
      </c>
      <c r="P1266">
        <f>IF(OR($O1266="",$O1266="—"),"",IF($O1266&lt;-3,"Muito baixo",IF($O1266&lt;-2,"Baixo",IF($O1266&lt;=2,"Adequado","Elevado"))))</f>
        <v/>
      </c>
      <c r="Q1266" s="12">
        <f>IF(OR($S1266="",$F1266="",$T1266="",$T1266&lt;0,$T1266&gt;60,$AR1266=""),"—",ROUND(IF(ABS($AU1266)&lt;=3,$AU1266,IF($AU1266&gt;3,3+($F1266-$AW1266)/($AW1266-$AV1266),-3+($F1266-$AY1266)/($AX1266-$AY1266))),2))</f>
        <v/>
      </c>
      <c r="R1266">
        <f>IF(OR($Q1266="",$Q1266="—"),"",IF($Q1266&lt;-3,"Magreza acentuada",IF($Q1266&lt;-2,"Magreza",IF($Q1266&lt;=1,"Eutrofia",IF($Q1266&lt;=2,"Risco de sobrepeso",IF($Q1266&lt;=3,"Sobrepeso","Obesidade"))))))</f>
        <v/>
      </c>
      <c r="S1266">
        <f>IF($C1266="","",IF(UPPER(LEFT($C1266,1))="M",1,IF(UPPER(LEFT($C1266,1))="F",2,"")))</f>
        <v/>
      </c>
      <c r="T1266">
        <f>IF(OR($D1266="",$E1266=""),"",DATEDIF($D1266,$E1266,"m"))</f>
        <v/>
      </c>
      <c r="U1266">
        <f>IF(OR($D1266="",$E1266=""),"",$E1266-$D1266)</f>
        <v/>
      </c>
      <c r="V1266">
        <f>IF(OR($G1266="",$T1266=""),"",IF($T1266&lt;24,IF(LEFT(LOWER($H1266),4)="em p",$G1266+0.7,$G1266),IF(LEFT(LOWER($H1266),4)="deit",$G1266-0.7,$G1266)))</f>
        <v/>
      </c>
      <c r="W1266">
        <f>IF(OR($S1266="",$T1266=""),"",$S1266*1000000+IF($T1266&lt;=60,$U1266,$T1266))</f>
        <v/>
      </c>
      <c r="X1266">
        <f>IF(OR($S1266="",$V1266="",$T1266&gt;60,$T1266=""),"",$S1266*1000000+ROUND($V1266*10,0))</f>
        <v/>
      </c>
      <c r="Y1266">
        <f>IF($W1266="","",IFERROR(INDEX(IF($T1266&lt;=60,imc05_l,imc519_l),MATCH($W1266,IF($T1266&lt;=60,imc05_k,imc519_k),1)),""))</f>
        <v/>
      </c>
      <c r="Z1266">
        <f>IF($W1266="","",IFERROR(INDEX(IF($T1266&lt;=60,imc05_m,imc519_m),MATCH($W1266,IF($T1266&lt;=60,imc05_k,imc519_k),1)),""))</f>
        <v/>
      </c>
      <c r="AA1266">
        <f>IF($W1266="","",IFERROR(INDEX(IF($T1266&lt;=60,imc05_s,imc519_s),MATCH($W1266,IF($T1266&lt;=60,imc05_k,imc519_k),1)),""))</f>
        <v/>
      </c>
      <c r="AB1266">
        <f>IF($Y1266="","",IF($Y1266=0,LN($J1266/$Z1266)/$AA1266,((($J1266/$Z1266)^$Y1266)-1)/($Y1266*$AA1266)))</f>
        <v/>
      </c>
      <c r="AC1266">
        <f>IF($Y1266="","",IF($Y1266=0,$Z1266*EXP($AA1266*2),$Z1266*(1+$Y1266*$AA1266*2)^(1/$Y1266)))</f>
        <v/>
      </c>
      <c r="AD1266">
        <f>IF($Y1266="","",IF($Y1266=0,$Z1266*EXP($AA1266*3),$Z1266*(1+$Y1266*$AA1266*3)^(1/$Y1266)))</f>
        <v/>
      </c>
      <c r="AE1266">
        <f>IF($Y1266="","",IF($Y1266=0,$Z1266*EXP($AA1266*-2),$Z1266*(1+$Y1266*$AA1266*-2)^(1/$Y1266)))</f>
        <v/>
      </c>
      <c r="AF1266">
        <f>IF($Y1266="","",IF($Y1266=0,$Z1266*EXP($AA1266*-3),$Z1266*(1+$Y1266*$AA1266*-3)^(1/$Y1266)))</f>
        <v/>
      </c>
      <c r="AG1266">
        <f>IF($W1266="","",IFERROR(INDEX(IF($T1266&lt;=60,est05_l,est519_l),MATCH($W1266,IF($T1266&lt;=60,est05_k,est519_k),1)),""))</f>
        <v/>
      </c>
      <c r="AH1266">
        <f>IF($W1266="","",IFERROR(INDEX(IF($T1266&lt;=60,est05_m,est519_m),MATCH($W1266,IF($T1266&lt;=60,est05_k,est519_k),1)),""))</f>
        <v/>
      </c>
      <c r="AI1266">
        <f>IF($W1266="","",IFERROR(INDEX(IF($T1266&lt;=60,est05_s,est519_s),MATCH($W1266,IF($T1266&lt;=60,est05_k,est519_k),1)),""))</f>
        <v/>
      </c>
      <c r="AJ1266">
        <f>IF($W1266="","",IFERROR(INDEX(IF($T1266&lt;=60,peso05_l,peso510_l),MATCH($W1266,IF($T1266&lt;=60,peso05_k,peso510_k),1)),""))</f>
        <v/>
      </c>
      <c r="AK1266">
        <f>IF($W1266="","",IFERROR(INDEX(IF($T1266&lt;=60,peso05_m,peso510_m),MATCH($W1266,IF($T1266&lt;=60,peso05_k,peso510_k),1)),""))</f>
        <v/>
      </c>
      <c r="AL1266">
        <f>IF($W1266="","",IFERROR(INDEX(IF($T1266&lt;=60,peso05_s,peso510_s),MATCH($W1266,IF($T1266&lt;=60,peso05_k,peso510_k),1)),""))</f>
        <v/>
      </c>
      <c r="AM1266">
        <f>IF($AJ1266="","",IF($AJ1266=0,LN($F1266/$AK1266)/$AL1266,((($F1266/$AK1266)^$AJ1266)-1)/($AJ1266*$AL1266)))</f>
        <v/>
      </c>
      <c r="AN1266">
        <f>IF($AJ1266="","",IF($AJ1266=0,$AK1266*EXP($AL1266*2),$AK1266*(1+$AJ1266*$AL1266*2)^(1/$AJ1266)))</f>
        <v/>
      </c>
      <c r="AO1266">
        <f>IF($AJ1266="","",IF($AJ1266=0,$AK1266*EXP($AL1266*3),$AK1266*(1+$AJ1266*$AL1266*3)^(1/$AJ1266)))</f>
        <v/>
      </c>
      <c r="AP1266">
        <f>IF($AJ1266="","",IF($AJ1266=0,$AK1266*EXP($AL1266*-2),$AK1266*(1+$AJ1266*$AL1266*-2)^(1/$AJ1266)))</f>
        <v/>
      </c>
      <c r="AQ1266">
        <f>IF($AJ1266="","",IF($AJ1266=0,$AK1266*EXP($AL1266*-3),$AK1266*(1+$AJ1266*$AL1266*-3)^(1/$AJ1266)))</f>
        <v/>
      </c>
      <c r="AR1266">
        <f>IF(OR($X1266="",$T1266&gt;60),"",IFERROR(INDEX(IF($T1266&lt;24,pcomp_l,palt_l),MATCH($X1266,IF($T1266&lt;24,pcomp_k,palt_k),1)),""))</f>
        <v/>
      </c>
      <c r="AS1266">
        <f>IF(OR($X1266="",$T1266&gt;60),"",IFERROR(INDEX(IF($T1266&lt;24,pcomp_m,palt_m),MATCH($X1266,IF($T1266&lt;24,pcomp_k,palt_k),1)),""))</f>
        <v/>
      </c>
      <c r="AT1266">
        <f>IF(OR($X1266="",$T1266&gt;60),"",IFERROR(INDEX(IF($T1266&lt;24,pcomp_s,palt_s),MATCH($X1266,IF($T1266&lt;24,pcomp_k,palt_k),1)),""))</f>
        <v/>
      </c>
      <c r="AU1266">
        <f>IF($AR1266="","",IF($AR1266=0,LN($F1266/$AS1266)/$AT1266,((($F1266/$AS1266)^$AR1266)-1)/($AR1266*$AT1266)))</f>
        <v/>
      </c>
      <c r="AV1266">
        <f>IF($AR1266="","",IF($AR1266=0,$AS1266*EXP($AT1266*2),$AS1266*(1+$AR1266*$AT1266*2)^(1/$AR1266)))</f>
        <v/>
      </c>
      <c r="AW1266">
        <f>IF($AR1266="","",IF($AR1266=0,$AS1266*EXP($AT1266*3),$AS1266*(1+$AR1266*$AT1266*3)^(1/$AR1266)))</f>
        <v/>
      </c>
      <c r="AX1266">
        <f>IF($AR1266="","",IF($AR1266=0,$AS1266*EXP($AT1266*-2),$AS1266*(1+$AR1266*$AT1266*-2)^(1/$AR1266)))</f>
        <v/>
      </c>
      <c r="AY1266">
        <f>IF($AR1266="","",IF($AR1266=0,$AS1266*EXP($AT1266*-3),$AS1266*(1+$AR1266*$AT1266*-3)^(1/$AR1266)))</f>
        <v/>
      </c>
      <c r="AZ1266">
        <f>IF(OR($A1266="",$A1266&lt;&gt;Ficha!$C$4),"",COUNTIF($A$2:$A1266,Ficha!$C$4))</f>
        <v/>
      </c>
    </row>
    <row r="1267">
      <c r="A1267" s="8">
        <f>IF(INDEX(Banco!$A:$A,ROW())="","",INDEX(Banco!$A:$A,ROW()))</f>
        <v/>
      </c>
      <c r="B1267" s="8">
        <f>IF(INDEX(Banco!$B:$B,ROW())="","",INDEX(Banco!$B:$B,ROW()))</f>
        <v/>
      </c>
      <c r="C1267" s="8">
        <f>IF(INDEX(Banco!$C:$C,ROW())="","",INDEX(Banco!$C:$C,ROW()))</f>
        <v/>
      </c>
      <c r="D1267" s="9">
        <f>IF(INDEX(Banco!$D:$D,ROW())="","",INDEX(Banco!$D:$D,ROW()))</f>
        <v/>
      </c>
      <c r="E1267" s="9">
        <f>IF(INDEX(Banco!$E:$E,ROW())="","",INDEX(Banco!$E:$E,ROW()))</f>
        <v/>
      </c>
      <c r="F1267" s="10">
        <f>IF(INDEX(Banco!$F:$F,ROW())="","",INDEX(Banco!$F:$F,ROW()))</f>
        <v/>
      </c>
      <c r="G1267" s="10">
        <f>IF(INDEX(Banco!$G:$G,ROW())="","",INDEX(Banco!$G:$G,ROW()))</f>
        <v/>
      </c>
      <c r="H1267" s="8">
        <f>IF(INDEX(Banco!$H:$H,ROW())="","",INDEX(Banco!$H:$H,ROW()))</f>
        <v/>
      </c>
      <c r="I1267">
        <f>IF($T1267="","",INT($T1267/12)&amp;"a "&amp;MOD($T1267,12)&amp;"m")</f>
        <v/>
      </c>
      <c r="J1267" s="11">
        <f>IF(OR($F1267="",$G1267=""),"",ROUND($F1267/($G1267/100)^2,2))</f>
        <v/>
      </c>
      <c r="K1267" s="12">
        <f>IF(OR($S1267="",$J1267="",$T1267="",$T1267&lt;0,$T1267&gt;228,$Y1267=""),"—",ROUND(IF(ABS($AB1267)&lt;=3,$AB1267,IF($AB1267&gt;3,3+($J1267-$AD1267)/($AD1267-$AC1267),-3+($J1267-$AF1267)/($AE1267-$AF1267))),2))</f>
        <v/>
      </c>
      <c r="L1267">
        <f>IF(OR($K1267="",$K1267="—"),"",IF($T1267&lt;=60,IF($K1267&lt;-3,"Magreza acentuada",IF($K1267&lt;-2,"Magreza",IF($K1267&lt;=1,"Eutrofia",IF($K1267&lt;=2,"Risco de sobrepeso",IF($K1267&lt;=3,"Sobrepeso","Obesidade"))))),IF($K1267&lt;-3,"Magreza acentuada",IF($K1267&lt;-2,"Magreza",IF($K1267&lt;=1,"Eutrofia",IF($K1267&lt;=2,"Sobrepeso",IF($K1267&lt;=3,"Obesidade","Obesidade grave")))))))</f>
        <v/>
      </c>
      <c r="M1267" s="12">
        <f>IF(OR($S1267="",$V1267="",$T1267="",$T1267&lt;0,$T1267&gt;228,$AG1267=""),"—",ROUND(IF($AG1267=0,LN($V1267/$AH1267)/$AI1267,((($V1267/$AH1267)^$AG1267)-1)/($AG1267*$AI1267)),2))</f>
        <v/>
      </c>
      <c r="N1267">
        <f>IF(OR($M1267="",$M1267="—"),"",IF($M1267&lt;-3,"Muito baixa",IF($M1267&lt;-2,"Baixa","Adequada")))</f>
        <v/>
      </c>
      <c r="O1267" s="12">
        <f>IF(OR($S1267="",$F1267="",$T1267="",$T1267&lt;0,$T1267&gt;120,$AJ1267=""),"—",ROUND(IF(ABS($AM1267)&lt;=3,$AM1267,IF($AM1267&gt;3,3+($F1267-$AO1267)/($AO1267-$AN1267),-3+($F1267-$AQ1267)/($AP1267-$AQ1267))),2))</f>
        <v/>
      </c>
      <c r="P1267">
        <f>IF(OR($O1267="",$O1267="—"),"",IF($O1267&lt;-3,"Muito baixo",IF($O1267&lt;-2,"Baixo",IF($O1267&lt;=2,"Adequado","Elevado"))))</f>
        <v/>
      </c>
      <c r="Q1267" s="12">
        <f>IF(OR($S1267="",$F1267="",$T1267="",$T1267&lt;0,$T1267&gt;60,$AR1267=""),"—",ROUND(IF(ABS($AU1267)&lt;=3,$AU1267,IF($AU1267&gt;3,3+($F1267-$AW1267)/($AW1267-$AV1267),-3+($F1267-$AY1267)/($AX1267-$AY1267))),2))</f>
        <v/>
      </c>
      <c r="R1267">
        <f>IF(OR($Q1267="",$Q1267="—"),"",IF($Q1267&lt;-3,"Magreza acentuada",IF($Q1267&lt;-2,"Magreza",IF($Q1267&lt;=1,"Eutrofia",IF($Q1267&lt;=2,"Risco de sobrepeso",IF($Q1267&lt;=3,"Sobrepeso","Obesidade"))))))</f>
        <v/>
      </c>
      <c r="S1267">
        <f>IF($C1267="","",IF(UPPER(LEFT($C1267,1))="M",1,IF(UPPER(LEFT($C1267,1))="F",2,"")))</f>
        <v/>
      </c>
      <c r="T1267">
        <f>IF(OR($D1267="",$E1267=""),"",DATEDIF($D1267,$E1267,"m"))</f>
        <v/>
      </c>
      <c r="U1267">
        <f>IF(OR($D1267="",$E1267=""),"",$E1267-$D1267)</f>
        <v/>
      </c>
      <c r="V1267">
        <f>IF(OR($G1267="",$T1267=""),"",IF($T1267&lt;24,IF(LEFT(LOWER($H1267),4)="em p",$G1267+0.7,$G1267),IF(LEFT(LOWER($H1267),4)="deit",$G1267-0.7,$G1267)))</f>
        <v/>
      </c>
      <c r="W1267">
        <f>IF(OR($S1267="",$T1267=""),"",$S1267*1000000+IF($T1267&lt;=60,$U1267,$T1267))</f>
        <v/>
      </c>
      <c r="X1267">
        <f>IF(OR($S1267="",$V1267="",$T1267&gt;60,$T1267=""),"",$S1267*1000000+ROUND($V1267*10,0))</f>
        <v/>
      </c>
      <c r="Y1267">
        <f>IF($W1267="","",IFERROR(INDEX(IF($T1267&lt;=60,imc05_l,imc519_l),MATCH($W1267,IF($T1267&lt;=60,imc05_k,imc519_k),1)),""))</f>
        <v/>
      </c>
      <c r="Z1267">
        <f>IF($W1267="","",IFERROR(INDEX(IF($T1267&lt;=60,imc05_m,imc519_m),MATCH($W1267,IF($T1267&lt;=60,imc05_k,imc519_k),1)),""))</f>
        <v/>
      </c>
      <c r="AA1267">
        <f>IF($W1267="","",IFERROR(INDEX(IF($T1267&lt;=60,imc05_s,imc519_s),MATCH($W1267,IF($T1267&lt;=60,imc05_k,imc519_k),1)),""))</f>
        <v/>
      </c>
      <c r="AB1267">
        <f>IF($Y1267="","",IF($Y1267=0,LN($J1267/$Z1267)/$AA1267,((($J1267/$Z1267)^$Y1267)-1)/($Y1267*$AA1267)))</f>
        <v/>
      </c>
      <c r="AC1267">
        <f>IF($Y1267="","",IF($Y1267=0,$Z1267*EXP($AA1267*2),$Z1267*(1+$Y1267*$AA1267*2)^(1/$Y1267)))</f>
        <v/>
      </c>
      <c r="AD1267">
        <f>IF($Y1267="","",IF($Y1267=0,$Z1267*EXP($AA1267*3),$Z1267*(1+$Y1267*$AA1267*3)^(1/$Y1267)))</f>
        <v/>
      </c>
      <c r="AE1267">
        <f>IF($Y1267="","",IF($Y1267=0,$Z1267*EXP($AA1267*-2),$Z1267*(1+$Y1267*$AA1267*-2)^(1/$Y1267)))</f>
        <v/>
      </c>
      <c r="AF1267">
        <f>IF($Y1267="","",IF($Y1267=0,$Z1267*EXP($AA1267*-3),$Z1267*(1+$Y1267*$AA1267*-3)^(1/$Y1267)))</f>
        <v/>
      </c>
      <c r="AG1267">
        <f>IF($W1267="","",IFERROR(INDEX(IF($T1267&lt;=60,est05_l,est519_l),MATCH($W1267,IF($T1267&lt;=60,est05_k,est519_k),1)),""))</f>
        <v/>
      </c>
      <c r="AH1267">
        <f>IF($W1267="","",IFERROR(INDEX(IF($T1267&lt;=60,est05_m,est519_m),MATCH($W1267,IF($T1267&lt;=60,est05_k,est519_k),1)),""))</f>
        <v/>
      </c>
      <c r="AI1267">
        <f>IF($W1267="","",IFERROR(INDEX(IF($T1267&lt;=60,est05_s,est519_s),MATCH($W1267,IF($T1267&lt;=60,est05_k,est519_k),1)),""))</f>
        <v/>
      </c>
      <c r="AJ1267">
        <f>IF($W1267="","",IFERROR(INDEX(IF($T1267&lt;=60,peso05_l,peso510_l),MATCH($W1267,IF($T1267&lt;=60,peso05_k,peso510_k),1)),""))</f>
        <v/>
      </c>
      <c r="AK1267">
        <f>IF($W1267="","",IFERROR(INDEX(IF($T1267&lt;=60,peso05_m,peso510_m),MATCH($W1267,IF($T1267&lt;=60,peso05_k,peso510_k),1)),""))</f>
        <v/>
      </c>
      <c r="AL1267">
        <f>IF($W1267="","",IFERROR(INDEX(IF($T1267&lt;=60,peso05_s,peso510_s),MATCH($W1267,IF($T1267&lt;=60,peso05_k,peso510_k),1)),""))</f>
        <v/>
      </c>
      <c r="AM1267">
        <f>IF($AJ1267="","",IF($AJ1267=0,LN($F1267/$AK1267)/$AL1267,((($F1267/$AK1267)^$AJ1267)-1)/($AJ1267*$AL1267)))</f>
        <v/>
      </c>
      <c r="AN1267">
        <f>IF($AJ1267="","",IF($AJ1267=0,$AK1267*EXP($AL1267*2),$AK1267*(1+$AJ1267*$AL1267*2)^(1/$AJ1267)))</f>
        <v/>
      </c>
      <c r="AO1267">
        <f>IF($AJ1267="","",IF($AJ1267=0,$AK1267*EXP($AL1267*3),$AK1267*(1+$AJ1267*$AL1267*3)^(1/$AJ1267)))</f>
        <v/>
      </c>
      <c r="AP1267">
        <f>IF($AJ1267="","",IF($AJ1267=0,$AK1267*EXP($AL1267*-2),$AK1267*(1+$AJ1267*$AL1267*-2)^(1/$AJ1267)))</f>
        <v/>
      </c>
      <c r="AQ1267">
        <f>IF($AJ1267="","",IF($AJ1267=0,$AK1267*EXP($AL1267*-3),$AK1267*(1+$AJ1267*$AL1267*-3)^(1/$AJ1267)))</f>
        <v/>
      </c>
      <c r="AR1267">
        <f>IF(OR($X1267="",$T1267&gt;60),"",IFERROR(INDEX(IF($T1267&lt;24,pcomp_l,palt_l),MATCH($X1267,IF($T1267&lt;24,pcomp_k,palt_k),1)),""))</f>
        <v/>
      </c>
      <c r="AS1267">
        <f>IF(OR($X1267="",$T1267&gt;60),"",IFERROR(INDEX(IF($T1267&lt;24,pcomp_m,palt_m),MATCH($X1267,IF($T1267&lt;24,pcomp_k,palt_k),1)),""))</f>
        <v/>
      </c>
      <c r="AT1267">
        <f>IF(OR($X1267="",$T1267&gt;60),"",IFERROR(INDEX(IF($T1267&lt;24,pcomp_s,palt_s),MATCH($X1267,IF($T1267&lt;24,pcomp_k,palt_k),1)),""))</f>
        <v/>
      </c>
      <c r="AU1267">
        <f>IF($AR1267="","",IF($AR1267=0,LN($F1267/$AS1267)/$AT1267,((($F1267/$AS1267)^$AR1267)-1)/($AR1267*$AT1267)))</f>
        <v/>
      </c>
      <c r="AV1267">
        <f>IF($AR1267="","",IF($AR1267=0,$AS1267*EXP($AT1267*2),$AS1267*(1+$AR1267*$AT1267*2)^(1/$AR1267)))</f>
        <v/>
      </c>
      <c r="AW1267">
        <f>IF($AR1267="","",IF($AR1267=0,$AS1267*EXP($AT1267*3),$AS1267*(1+$AR1267*$AT1267*3)^(1/$AR1267)))</f>
        <v/>
      </c>
      <c r="AX1267">
        <f>IF($AR1267="","",IF($AR1267=0,$AS1267*EXP($AT1267*-2),$AS1267*(1+$AR1267*$AT1267*-2)^(1/$AR1267)))</f>
        <v/>
      </c>
      <c r="AY1267">
        <f>IF($AR1267="","",IF($AR1267=0,$AS1267*EXP($AT1267*-3),$AS1267*(1+$AR1267*$AT1267*-3)^(1/$AR1267)))</f>
        <v/>
      </c>
      <c r="AZ1267">
        <f>IF(OR($A1267="",$A1267&lt;&gt;Ficha!$C$4),"",COUNTIF($A$2:$A1267,Ficha!$C$4))</f>
        <v/>
      </c>
    </row>
    <row r="1268">
      <c r="A1268" s="8">
        <f>IF(INDEX(Banco!$A:$A,ROW())="","",INDEX(Banco!$A:$A,ROW()))</f>
        <v/>
      </c>
      <c r="B1268" s="8">
        <f>IF(INDEX(Banco!$B:$B,ROW())="","",INDEX(Banco!$B:$B,ROW()))</f>
        <v/>
      </c>
      <c r="C1268" s="8">
        <f>IF(INDEX(Banco!$C:$C,ROW())="","",INDEX(Banco!$C:$C,ROW()))</f>
        <v/>
      </c>
      <c r="D1268" s="9">
        <f>IF(INDEX(Banco!$D:$D,ROW())="","",INDEX(Banco!$D:$D,ROW()))</f>
        <v/>
      </c>
      <c r="E1268" s="9">
        <f>IF(INDEX(Banco!$E:$E,ROW())="","",INDEX(Banco!$E:$E,ROW()))</f>
        <v/>
      </c>
      <c r="F1268" s="10">
        <f>IF(INDEX(Banco!$F:$F,ROW())="","",INDEX(Banco!$F:$F,ROW()))</f>
        <v/>
      </c>
      <c r="G1268" s="10">
        <f>IF(INDEX(Banco!$G:$G,ROW())="","",INDEX(Banco!$G:$G,ROW()))</f>
        <v/>
      </c>
      <c r="H1268" s="8">
        <f>IF(INDEX(Banco!$H:$H,ROW())="","",INDEX(Banco!$H:$H,ROW()))</f>
        <v/>
      </c>
      <c r="I1268">
        <f>IF($T1268="","",INT($T1268/12)&amp;"a "&amp;MOD($T1268,12)&amp;"m")</f>
        <v/>
      </c>
      <c r="J1268" s="11">
        <f>IF(OR($F1268="",$G1268=""),"",ROUND($F1268/($G1268/100)^2,2))</f>
        <v/>
      </c>
      <c r="K1268" s="12">
        <f>IF(OR($S1268="",$J1268="",$T1268="",$T1268&lt;0,$T1268&gt;228,$Y1268=""),"—",ROUND(IF(ABS($AB1268)&lt;=3,$AB1268,IF($AB1268&gt;3,3+($J1268-$AD1268)/($AD1268-$AC1268),-3+($J1268-$AF1268)/($AE1268-$AF1268))),2))</f>
        <v/>
      </c>
      <c r="L1268">
        <f>IF(OR($K1268="",$K1268="—"),"",IF($T1268&lt;=60,IF($K1268&lt;-3,"Magreza acentuada",IF($K1268&lt;-2,"Magreza",IF($K1268&lt;=1,"Eutrofia",IF($K1268&lt;=2,"Risco de sobrepeso",IF($K1268&lt;=3,"Sobrepeso","Obesidade"))))),IF($K1268&lt;-3,"Magreza acentuada",IF($K1268&lt;-2,"Magreza",IF($K1268&lt;=1,"Eutrofia",IF($K1268&lt;=2,"Sobrepeso",IF($K1268&lt;=3,"Obesidade","Obesidade grave")))))))</f>
        <v/>
      </c>
      <c r="M1268" s="12">
        <f>IF(OR($S1268="",$V1268="",$T1268="",$T1268&lt;0,$T1268&gt;228,$AG1268=""),"—",ROUND(IF($AG1268=0,LN($V1268/$AH1268)/$AI1268,((($V1268/$AH1268)^$AG1268)-1)/($AG1268*$AI1268)),2))</f>
        <v/>
      </c>
      <c r="N1268">
        <f>IF(OR($M1268="",$M1268="—"),"",IF($M1268&lt;-3,"Muito baixa",IF($M1268&lt;-2,"Baixa","Adequada")))</f>
        <v/>
      </c>
      <c r="O1268" s="12">
        <f>IF(OR($S1268="",$F1268="",$T1268="",$T1268&lt;0,$T1268&gt;120,$AJ1268=""),"—",ROUND(IF(ABS($AM1268)&lt;=3,$AM1268,IF($AM1268&gt;3,3+($F1268-$AO1268)/($AO1268-$AN1268),-3+($F1268-$AQ1268)/($AP1268-$AQ1268))),2))</f>
        <v/>
      </c>
      <c r="P1268">
        <f>IF(OR($O1268="",$O1268="—"),"",IF($O1268&lt;-3,"Muito baixo",IF($O1268&lt;-2,"Baixo",IF($O1268&lt;=2,"Adequado","Elevado"))))</f>
        <v/>
      </c>
      <c r="Q1268" s="12">
        <f>IF(OR($S1268="",$F1268="",$T1268="",$T1268&lt;0,$T1268&gt;60,$AR1268=""),"—",ROUND(IF(ABS($AU1268)&lt;=3,$AU1268,IF($AU1268&gt;3,3+($F1268-$AW1268)/($AW1268-$AV1268),-3+($F1268-$AY1268)/($AX1268-$AY1268))),2))</f>
        <v/>
      </c>
      <c r="R1268">
        <f>IF(OR($Q1268="",$Q1268="—"),"",IF($Q1268&lt;-3,"Magreza acentuada",IF($Q1268&lt;-2,"Magreza",IF($Q1268&lt;=1,"Eutrofia",IF($Q1268&lt;=2,"Risco de sobrepeso",IF($Q1268&lt;=3,"Sobrepeso","Obesidade"))))))</f>
        <v/>
      </c>
      <c r="S1268">
        <f>IF($C1268="","",IF(UPPER(LEFT($C1268,1))="M",1,IF(UPPER(LEFT($C1268,1))="F",2,"")))</f>
        <v/>
      </c>
      <c r="T1268">
        <f>IF(OR($D1268="",$E1268=""),"",DATEDIF($D1268,$E1268,"m"))</f>
        <v/>
      </c>
      <c r="U1268">
        <f>IF(OR($D1268="",$E1268=""),"",$E1268-$D1268)</f>
        <v/>
      </c>
      <c r="V1268">
        <f>IF(OR($G1268="",$T1268=""),"",IF($T1268&lt;24,IF(LEFT(LOWER($H1268),4)="em p",$G1268+0.7,$G1268),IF(LEFT(LOWER($H1268),4)="deit",$G1268-0.7,$G1268)))</f>
        <v/>
      </c>
      <c r="W1268">
        <f>IF(OR($S1268="",$T1268=""),"",$S1268*1000000+IF($T1268&lt;=60,$U1268,$T1268))</f>
        <v/>
      </c>
      <c r="X1268">
        <f>IF(OR($S1268="",$V1268="",$T1268&gt;60,$T1268=""),"",$S1268*1000000+ROUND($V1268*10,0))</f>
        <v/>
      </c>
      <c r="Y1268">
        <f>IF($W1268="","",IFERROR(INDEX(IF($T1268&lt;=60,imc05_l,imc519_l),MATCH($W1268,IF($T1268&lt;=60,imc05_k,imc519_k),1)),""))</f>
        <v/>
      </c>
      <c r="Z1268">
        <f>IF($W1268="","",IFERROR(INDEX(IF($T1268&lt;=60,imc05_m,imc519_m),MATCH($W1268,IF($T1268&lt;=60,imc05_k,imc519_k),1)),""))</f>
        <v/>
      </c>
      <c r="AA1268">
        <f>IF($W1268="","",IFERROR(INDEX(IF($T1268&lt;=60,imc05_s,imc519_s),MATCH($W1268,IF($T1268&lt;=60,imc05_k,imc519_k),1)),""))</f>
        <v/>
      </c>
      <c r="AB1268">
        <f>IF($Y1268="","",IF($Y1268=0,LN($J1268/$Z1268)/$AA1268,((($J1268/$Z1268)^$Y1268)-1)/($Y1268*$AA1268)))</f>
        <v/>
      </c>
      <c r="AC1268">
        <f>IF($Y1268="","",IF($Y1268=0,$Z1268*EXP($AA1268*2),$Z1268*(1+$Y1268*$AA1268*2)^(1/$Y1268)))</f>
        <v/>
      </c>
      <c r="AD1268">
        <f>IF($Y1268="","",IF($Y1268=0,$Z1268*EXP($AA1268*3),$Z1268*(1+$Y1268*$AA1268*3)^(1/$Y1268)))</f>
        <v/>
      </c>
      <c r="AE1268">
        <f>IF($Y1268="","",IF($Y1268=0,$Z1268*EXP($AA1268*-2),$Z1268*(1+$Y1268*$AA1268*-2)^(1/$Y1268)))</f>
        <v/>
      </c>
      <c r="AF1268">
        <f>IF($Y1268="","",IF($Y1268=0,$Z1268*EXP($AA1268*-3),$Z1268*(1+$Y1268*$AA1268*-3)^(1/$Y1268)))</f>
        <v/>
      </c>
      <c r="AG1268">
        <f>IF($W1268="","",IFERROR(INDEX(IF($T1268&lt;=60,est05_l,est519_l),MATCH($W1268,IF($T1268&lt;=60,est05_k,est519_k),1)),""))</f>
        <v/>
      </c>
      <c r="AH1268">
        <f>IF($W1268="","",IFERROR(INDEX(IF($T1268&lt;=60,est05_m,est519_m),MATCH($W1268,IF($T1268&lt;=60,est05_k,est519_k),1)),""))</f>
        <v/>
      </c>
      <c r="AI1268">
        <f>IF($W1268="","",IFERROR(INDEX(IF($T1268&lt;=60,est05_s,est519_s),MATCH($W1268,IF($T1268&lt;=60,est05_k,est519_k),1)),""))</f>
        <v/>
      </c>
      <c r="AJ1268">
        <f>IF($W1268="","",IFERROR(INDEX(IF($T1268&lt;=60,peso05_l,peso510_l),MATCH($W1268,IF($T1268&lt;=60,peso05_k,peso510_k),1)),""))</f>
        <v/>
      </c>
      <c r="AK1268">
        <f>IF($W1268="","",IFERROR(INDEX(IF($T1268&lt;=60,peso05_m,peso510_m),MATCH($W1268,IF($T1268&lt;=60,peso05_k,peso510_k),1)),""))</f>
        <v/>
      </c>
      <c r="AL1268">
        <f>IF($W1268="","",IFERROR(INDEX(IF($T1268&lt;=60,peso05_s,peso510_s),MATCH($W1268,IF($T1268&lt;=60,peso05_k,peso510_k),1)),""))</f>
        <v/>
      </c>
      <c r="AM1268">
        <f>IF($AJ1268="","",IF($AJ1268=0,LN($F1268/$AK1268)/$AL1268,((($F1268/$AK1268)^$AJ1268)-1)/($AJ1268*$AL1268)))</f>
        <v/>
      </c>
      <c r="AN1268">
        <f>IF($AJ1268="","",IF($AJ1268=0,$AK1268*EXP($AL1268*2),$AK1268*(1+$AJ1268*$AL1268*2)^(1/$AJ1268)))</f>
        <v/>
      </c>
      <c r="AO1268">
        <f>IF($AJ1268="","",IF($AJ1268=0,$AK1268*EXP($AL1268*3),$AK1268*(1+$AJ1268*$AL1268*3)^(1/$AJ1268)))</f>
        <v/>
      </c>
      <c r="AP1268">
        <f>IF($AJ1268="","",IF($AJ1268=0,$AK1268*EXP($AL1268*-2),$AK1268*(1+$AJ1268*$AL1268*-2)^(1/$AJ1268)))</f>
        <v/>
      </c>
      <c r="AQ1268">
        <f>IF($AJ1268="","",IF($AJ1268=0,$AK1268*EXP($AL1268*-3),$AK1268*(1+$AJ1268*$AL1268*-3)^(1/$AJ1268)))</f>
        <v/>
      </c>
      <c r="AR1268">
        <f>IF(OR($X1268="",$T1268&gt;60),"",IFERROR(INDEX(IF($T1268&lt;24,pcomp_l,palt_l),MATCH($X1268,IF($T1268&lt;24,pcomp_k,palt_k),1)),""))</f>
        <v/>
      </c>
      <c r="AS1268">
        <f>IF(OR($X1268="",$T1268&gt;60),"",IFERROR(INDEX(IF($T1268&lt;24,pcomp_m,palt_m),MATCH($X1268,IF($T1268&lt;24,pcomp_k,palt_k),1)),""))</f>
        <v/>
      </c>
      <c r="AT1268">
        <f>IF(OR($X1268="",$T1268&gt;60),"",IFERROR(INDEX(IF($T1268&lt;24,pcomp_s,palt_s),MATCH($X1268,IF($T1268&lt;24,pcomp_k,palt_k),1)),""))</f>
        <v/>
      </c>
      <c r="AU1268">
        <f>IF($AR1268="","",IF($AR1268=0,LN($F1268/$AS1268)/$AT1268,((($F1268/$AS1268)^$AR1268)-1)/($AR1268*$AT1268)))</f>
        <v/>
      </c>
      <c r="AV1268">
        <f>IF($AR1268="","",IF($AR1268=0,$AS1268*EXP($AT1268*2),$AS1268*(1+$AR1268*$AT1268*2)^(1/$AR1268)))</f>
        <v/>
      </c>
      <c r="AW1268">
        <f>IF($AR1268="","",IF($AR1268=0,$AS1268*EXP($AT1268*3),$AS1268*(1+$AR1268*$AT1268*3)^(1/$AR1268)))</f>
        <v/>
      </c>
      <c r="AX1268">
        <f>IF($AR1268="","",IF($AR1268=0,$AS1268*EXP($AT1268*-2),$AS1268*(1+$AR1268*$AT1268*-2)^(1/$AR1268)))</f>
        <v/>
      </c>
      <c r="AY1268">
        <f>IF($AR1268="","",IF($AR1268=0,$AS1268*EXP($AT1268*-3),$AS1268*(1+$AR1268*$AT1268*-3)^(1/$AR1268)))</f>
        <v/>
      </c>
      <c r="AZ1268">
        <f>IF(OR($A1268="",$A1268&lt;&gt;Ficha!$C$4),"",COUNTIF($A$2:$A1268,Ficha!$C$4))</f>
        <v/>
      </c>
    </row>
    <row r="1269">
      <c r="A1269" s="8">
        <f>IF(INDEX(Banco!$A:$A,ROW())="","",INDEX(Banco!$A:$A,ROW()))</f>
        <v/>
      </c>
      <c r="B1269" s="8">
        <f>IF(INDEX(Banco!$B:$B,ROW())="","",INDEX(Banco!$B:$B,ROW()))</f>
        <v/>
      </c>
      <c r="C1269" s="8">
        <f>IF(INDEX(Banco!$C:$C,ROW())="","",INDEX(Banco!$C:$C,ROW()))</f>
        <v/>
      </c>
      <c r="D1269" s="9">
        <f>IF(INDEX(Banco!$D:$D,ROW())="","",INDEX(Banco!$D:$D,ROW()))</f>
        <v/>
      </c>
      <c r="E1269" s="9">
        <f>IF(INDEX(Banco!$E:$E,ROW())="","",INDEX(Banco!$E:$E,ROW()))</f>
        <v/>
      </c>
      <c r="F1269" s="10">
        <f>IF(INDEX(Banco!$F:$F,ROW())="","",INDEX(Banco!$F:$F,ROW()))</f>
        <v/>
      </c>
      <c r="G1269" s="10">
        <f>IF(INDEX(Banco!$G:$G,ROW())="","",INDEX(Banco!$G:$G,ROW()))</f>
        <v/>
      </c>
      <c r="H1269" s="8">
        <f>IF(INDEX(Banco!$H:$H,ROW())="","",INDEX(Banco!$H:$H,ROW()))</f>
        <v/>
      </c>
      <c r="I1269">
        <f>IF($T1269="","",INT($T1269/12)&amp;"a "&amp;MOD($T1269,12)&amp;"m")</f>
        <v/>
      </c>
      <c r="J1269" s="11">
        <f>IF(OR($F1269="",$G1269=""),"",ROUND($F1269/($G1269/100)^2,2))</f>
        <v/>
      </c>
      <c r="K1269" s="12">
        <f>IF(OR($S1269="",$J1269="",$T1269="",$T1269&lt;0,$T1269&gt;228,$Y1269=""),"—",ROUND(IF(ABS($AB1269)&lt;=3,$AB1269,IF($AB1269&gt;3,3+($J1269-$AD1269)/($AD1269-$AC1269),-3+($J1269-$AF1269)/($AE1269-$AF1269))),2))</f>
        <v/>
      </c>
      <c r="L1269">
        <f>IF(OR($K1269="",$K1269="—"),"",IF($T1269&lt;=60,IF($K1269&lt;-3,"Magreza acentuada",IF($K1269&lt;-2,"Magreza",IF($K1269&lt;=1,"Eutrofia",IF($K1269&lt;=2,"Risco de sobrepeso",IF($K1269&lt;=3,"Sobrepeso","Obesidade"))))),IF($K1269&lt;-3,"Magreza acentuada",IF($K1269&lt;-2,"Magreza",IF($K1269&lt;=1,"Eutrofia",IF($K1269&lt;=2,"Sobrepeso",IF($K1269&lt;=3,"Obesidade","Obesidade grave")))))))</f>
        <v/>
      </c>
      <c r="M1269" s="12">
        <f>IF(OR($S1269="",$V1269="",$T1269="",$T1269&lt;0,$T1269&gt;228,$AG1269=""),"—",ROUND(IF($AG1269=0,LN($V1269/$AH1269)/$AI1269,((($V1269/$AH1269)^$AG1269)-1)/($AG1269*$AI1269)),2))</f>
        <v/>
      </c>
      <c r="N1269">
        <f>IF(OR($M1269="",$M1269="—"),"",IF($M1269&lt;-3,"Muito baixa",IF($M1269&lt;-2,"Baixa","Adequada")))</f>
        <v/>
      </c>
      <c r="O1269" s="12">
        <f>IF(OR($S1269="",$F1269="",$T1269="",$T1269&lt;0,$T1269&gt;120,$AJ1269=""),"—",ROUND(IF(ABS($AM1269)&lt;=3,$AM1269,IF($AM1269&gt;3,3+($F1269-$AO1269)/($AO1269-$AN1269),-3+($F1269-$AQ1269)/($AP1269-$AQ1269))),2))</f>
        <v/>
      </c>
      <c r="P1269">
        <f>IF(OR($O1269="",$O1269="—"),"",IF($O1269&lt;-3,"Muito baixo",IF($O1269&lt;-2,"Baixo",IF($O1269&lt;=2,"Adequado","Elevado"))))</f>
        <v/>
      </c>
      <c r="Q1269" s="12">
        <f>IF(OR($S1269="",$F1269="",$T1269="",$T1269&lt;0,$T1269&gt;60,$AR1269=""),"—",ROUND(IF(ABS($AU1269)&lt;=3,$AU1269,IF($AU1269&gt;3,3+($F1269-$AW1269)/($AW1269-$AV1269),-3+($F1269-$AY1269)/($AX1269-$AY1269))),2))</f>
        <v/>
      </c>
      <c r="R1269">
        <f>IF(OR($Q1269="",$Q1269="—"),"",IF($Q1269&lt;-3,"Magreza acentuada",IF($Q1269&lt;-2,"Magreza",IF($Q1269&lt;=1,"Eutrofia",IF($Q1269&lt;=2,"Risco de sobrepeso",IF($Q1269&lt;=3,"Sobrepeso","Obesidade"))))))</f>
        <v/>
      </c>
      <c r="S1269">
        <f>IF($C1269="","",IF(UPPER(LEFT($C1269,1))="M",1,IF(UPPER(LEFT($C1269,1))="F",2,"")))</f>
        <v/>
      </c>
      <c r="T1269">
        <f>IF(OR($D1269="",$E1269=""),"",DATEDIF($D1269,$E1269,"m"))</f>
        <v/>
      </c>
      <c r="U1269">
        <f>IF(OR($D1269="",$E1269=""),"",$E1269-$D1269)</f>
        <v/>
      </c>
      <c r="V1269">
        <f>IF(OR($G1269="",$T1269=""),"",IF($T1269&lt;24,IF(LEFT(LOWER($H1269),4)="em p",$G1269+0.7,$G1269),IF(LEFT(LOWER($H1269),4)="deit",$G1269-0.7,$G1269)))</f>
        <v/>
      </c>
      <c r="W1269">
        <f>IF(OR($S1269="",$T1269=""),"",$S1269*1000000+IF($T1269&lt;=60,$U1269,$T1269))</f>
        <v/>
      </c>
      <c r="X1269">
        <f>IF(OR($S1269="",$V1269="",$T1269&gt;60,$T1269=""),"",$S1269*1000000+ROUND($V1269*10,0))</f>
        <v/>
      </c>
      <c r="Y1269">
        <f>IF($W1269="","",IFERROR(INDEX(IF($T1269&lt;=60,imc05_l,imc519_l),MATCH($W1269,IF($T1269&lt;=60,imc05_k,imc519_k),1)),""))</f>
        <v/>
      </c>
      <c r="Z1269">
        <f>IF($W1269="","",IFERROR(INDEX(IF($T1269&lt;=60,imc05_m,imc519_m),MATCH($W1269,IF($T1269&lt;=60,imc05_k,imc519_k),1)),""))</f>
        <v/>
      </c>
      <c r="AA1269">
        <f>IF($W1269="","",IFERROR(INDEX(IF($T1269&lt;=60,imc05_s,imc519_s),MATCH($W1269,IF($T1269&lt;=60,imc05_k,imc519_k),1)),""))</f>
        <v/>
      </c>
      <c r="AB1269">
        <f>IF($Y1269="","",IF($Y1269=0,LN($J1269/$Z1269)/$AA1269,((($J1269/$Z1269)^$Y1269)-1)/($Y1269*$AA1269)))</f>
        <v/>
      </c>
      <c r="AC1269">
        <f>IF($Y1269="","",IF($Y1269=0,$Z1269*EXP($AA1269*2),$Z1269*(1+$Y1269*$AA1269*2)^(1/$Y1269)))</f>
        <v/>
      </c>
      <c r="AD1269">
        <f>IF($Y1269="","",IF($Y1269=0,$Z1269*EXP($AA1269*3),$Z1269*(1+$Y1269*$AA1269*3)^(1/$Y1269)))</f>
        <v/>
      </c>
      <c r="AE1269">
        <f>IF($Y1269="","",IF($Y1269=0,$Z1269*EXP($AA1269*-2),$Z1269*(1+$Y1269*$AA1269*-2)^(1/$Y1269)))</f>
        <v/>
      </c>
      <c r="AF1269">
        <f>IF($Y1269="","",IF($Y1269=0,$Z1269*EXP($AA1269*-3),$Z1269*(1+$Y1269*$AA1269*-3)^(1/$Y1269)))</f>
        <v/>
      </c>
      <c r="AG1269">
        <f>IF($W1269="","",IFERROR(INDEX(IF($T1269&lt;=60,est05_l,est519_l),MATCH($W1269,IF($T1269&lt;=60,est05_k,est519_k),1)),""))</f>
        <v/>
      </c>
      <c r="AH1269">
        <f>IF($W1269="","",IFERROR(INDEX(IF($T1269&lt;=60,est05_m,est519_m),MATCH($W1269,IF($T1269&lt;=60,est05_k,est519_k),1)),""))</f>
        <v/>
      </c>
      <c r="AI1269">
        <f>IF($W1269="","",IFERROR(INDEX(IF($T1269&lt;=60,est05_s,est519_s),MATCH($W1269,IF($T1269&lt;=60,est05_k,est519_k),1)),""))</f>
        <v/>
      </c>
      <c r="AJ1269">
        <f>IF($W1269="","",IFERROR(INDEX(IF($T1269&lt;=60,peso05_l,peso510_l),MATCH($W1269,IF($T1269&lt;=60,peso05_k,peso510_k),1)),""))</f>
        <v/>
      </c>
      <c r="AK1269">
        <f>IF($W1269="","",IFERROR(INDEX(IF($T1269&lt;=60,peso05_m,peso510_m),MATCH($W1269,IF($T1269&lt;=60,peso05_k,peso510_k),1)),""))</f>
        <v/>
      </c>
      <c r="AL1269">
        <f>IF($W1269="","",IFERROR(INDEX(IF($T1269&lt;=60,peso05_s,peso510_s),MATCH($W1269,IF($T1269&lt;=60,peso05_k,peso510_k),1)),""))</f>
        <v/>
      </c>
      <c r="AM1269">
        <f>IF($AJ1269="","",IF($AJ1269=0,LN($F1269/$AK1269)/$AL1269,((($F1269/$AK1269)^$AJ1269)-1)/($AJ1269*$AL1269)))</f>
        <v/>
      </c>
      <c r="AN1269">
        <f>IF($AJ1269="","",IF($AJ1269=0,$AK1269*EXP($AL1269*2),$AK1269*(1+$AJ1269*$AL1269*2)^(1/$AJ1269)))</f>
        <v/>
      </c>
      <c r="AO1269">
        <f>IF($AJ1269="","",IF($AJ1269=0,$AK1269*EXP($AL1269*3),$AK1269*(1+$AJ1269*$AL1269*3)^(1/$AJ1269)))</f>
        <v/>
      </c>
      <c r="AP1269">
        <f>IF($AJ1269="","",IF($AJ1269=0,$AK1269*EXP($AL1269*-2),$AK1269*(1+$AJ1269*$AL1269*-2)^(1/$AJ1269)))</f>
        <v/>
      </c>
      <c r="AQ1269">
        <f>IF($AJ1269="","",IF($AJ1269=0,$AK1269*EXP($AL1269*-3),$AK1269*(1+$AJ1269*$AL1269*-3)^(1/$AJ1269)))</f>
        <v/>
      </c>
      <c r="AR1269">
        <f>IF(OR($X1269="",$T1269&gt;60),"",IFERROR(INDEX(IF($T1269&lt;24,pcomp_l,palt_l),MATCH($X1269,IF($T1269&lt;24,pcomp_k,palt_k),1)),""))</f>
        <v/>
      </c>
      <c r="AS1269">
        <f>IF(OR($X1269="",$T1269&gt;60),"",IFERROR(INDEX(IF($T1269&lt;24,pcomp_m,palt_m),MATCH($X1269,IF($T1269&lt;24,pcomp_k,palt_k),1)),""))</f>
        <v/>
      </c>
      <c r="AT1269">
        <f>IF(OR($X1269="",$T1269&gt;60),"",IFERROR(INDEX(IF($T1269&lt;24,pcomp_s,palt_s),MATCH($X1269,IF($T1269&lt;24,pcomp_k,palt_k),1)),""))</f>
        <v/>
      </c>
      <c r="AU1269">
        <f>IF($AR1269="","",IF($AR1269=0,LN($F1269/$AS1269)/$AT1269,((($F1269/$AS1269)^$AR1269)-1)/($AR1269*$AT1269)))</f>
        <v/>
      </c>
      <c r="AV1269">
        <f>IF($AR1269="","",IF($AR1269=0,$AS1269*EXP($AT1269*2),$AS1269*(1+$AR1269*$AT1269*2)^(1/$AR1269)))</f>
        <v/>
      </c>
      <c r="AW1269">
        <f>IF($AR1269="","",IF($AR1269=0,$AS1269*EXP($AT1269*3),$AS1269*(1+$AR1269*$AT1269*3)^(1/$AR1269)))</f>
        <v/>
      </c>
      <c r="AX1269">
        <f>IF($AR1269="","",IF($AR1269=0,$AS1269*EXP($AT1269*-2),$AS1269*(1+$AR1269*$AT1269*-2)^(1/$AR1269)))</f>
        <v/>
      </c>
      <c r="AY1269">
        <f>IF($AR1269="","",IF($AR1269=0,$AS1269*EXP($AT1269*-3),$AS1269*(1+$AR1269*$AT1269*-3)^(1/$AR1269)))</f>
        <v/>
      </c>
      <c r="AZ1269">
        <f>IF(OR($A1269="",$A1269&lt;&gt;Ficha!$C$4),"",COUNTIF($A$2:$A1269,Ficha!$C$4))</f>
        <v/>
      </c>
    </row>
    <row r="1270">
      <c r="A1270" s="8">
        <f>IF(INDEX(Banco!$A:$A,ROW())="","",INDEX(Banco!$A:$A,ROW()))</f>
        <v/>
      </c>
      <c r="B1270" s="8">
        <f>IF(INDEX(Banco!$B:$B,ROW())="","",INDEX(Banco!$B:$B,ROW()))</f>
        <v/>
      </c>
      <c r="C1270" s="8">
        <f>IF(INDEX(Banco!$C:$C,ROW())="","",INDEX(Banco!$C:$C,ROW()))</f>
        <v/>
      </c>
      <c r="D1270" s="9">
        <f>IF(INDEX(Banco!$D:$D,ROW())="","",INDEX(Banco!$D:$D,ROW()))</f>
        <v/>
      </c>
      <c r="E1270" s="9">
        <f>IF(INDEX(Banco!$E:$E,ROW())="","",INDEX(Banco!$E:$E,ROW()))</f>
        <v/>
      </c>
      <c r="F1270" s="10">
        <f>IF(INDEX(Banco!$F:$F,ROW())="","",INDEX(Banco!$F:$F,ROW()))</f>
        <v/>
      </c>
      <c r="G1270" s="10">
        <f>IF(INDEX(Banco!$G:$G,ROW())="","",INDEX(Banco!$G:$G,ROW()))</f>
        <v/>
      </c>
      <c r="H1270" s="8">
        <f>IF(INDEX(Banco!$H:$H,ROW())="","",INDEX(Banco!$H:$H,ROW()))</f>
        <v/>
      </c>
      <c r="I1270">
        <f>IF($T1270="","",INT($T1270/12)&amp;"a "&amp;MOD($T1270,12)&amp;"m")</f>
        <v/>
      </c>
      <c r="J1270" s="11">
        <f>IF(OR($F1270="",$G1270=""),"",ROUND($F1270/($G1270/100)^2,2))</f>
        <v/>
      </c>
      <c r="K1270" s="12">
        <f>IF(OR($S1270="",$J1270="",$T1270="",$T1270&lt;0,$T1270&gt;228,$Y1270=""),"—",ROUND(IF(ABS($AB1270)&lt;=3,$AB1270,IF($AB1270&gt;3,3+($J1270-$AD1270)/($AD1270-$AC1270),-3+($J1270-$AF1270)/($AE1270-$AF1270))),2))</f>
        <v/>
      </c>
      <c r="L1270">
        <f>IF(OR($K1270="",$K1270="—"),"",IF($T1270&lt;=60,IF($K1270&lt;-3,"Magreza acentuada",IF($K1270&lt;-2,"Magreza",IF($K1270&lt;=1,"Eutrofia",IF($K1270&lt;=2,"Risco de sobrepeso",IF($K1270&lt;=3,"Sobrepeso","Obesidade"))))),IF($K1270&lt;-3,"Magreza acentuada",IF($K1270&lt;-2,"Magreza",IF($K1270&lt;=1,"Eutrofia",IF($K1270&lt;=2,"Sobrepeso",IF($K1270&lt;=3,"Obesidade","Obesidade grave")))))))</f>
        <v/>
      </c>
      <c r="M1270" s="12">
        <f>IF(OR($S1270="",$V1270="",$T1270="",$T1270&lt;0,$T1270&gt;228,$AG1270=""),"—",ROUND(IF($AG1270=0,LN($V1270/$AH1270)/$AI1270,((($V1270/$AH1270)^$AG1270)-1)/($AG1270*$AI1270)),2))</f>
        <v/>
      </c>
      <c r="N1270">
        <f>IF(OR($M1270="",$M1270="—"),"",IF($M1270&lt;-3,"Muito baixa",IF($M1270&lt;-2,"Baixa","Adequada")))</f>
        <v/>
      </c>
      <c r="O1270" s="12">
        <f>IF(OR($S1270="",$F1270="",$T1270="",$T1270&lt;0,$T1270&gt;120,$AJ1270=""),"—",ROUND(IF(ABS($AM1270)&lt;=3,$AM1270,IF($AM1270&gt;3,3+($F1270-$AO1270)/($AO1270-$AN1270),-3+($F1270-$AQ1270)/($AP1270-$AQ1270))),2))</f>
        <v/>
      </c>
      <c r="P1270">
        <f>IF(OR($O1270="",$O1270="—"),"",IF($O1270&lt;-3,"Muito baixo",IF($O1270&lt;-2,"Baixo",IF($O1270&lt;=2,"Adequado","Elevado"))))</f>
        <v/>
      </c>
      <c r="Q1270" s="12">
        <f>IF(OR($S1270="",$F1270="",$T1270="",$T1270&lt;0,$T1270&gt;60,$AR1270=""),"—",ROUND(IF(ABS($AU1270)&lt;=3,$AU1270,IF($AU1270&gt;3,3+($F1270-$AW1270)/($AW1270-$AV1270),-3+($F1270-$AY1270)/($AX1270-$AY1270))),2))</f>
        <v/>
      </c>
      <c r="R1270">
        <f>IF(OR($Q1270="",$Q1270="—"),"",IF($Q1270&lt;-3,"Magreza acentuada",IF($Q1270&lt;-2,"Magreza",IF($Q1270&lt;=1,"Eutrofia",IF($Q1270&lt;=2,"Risco de sobrepeso",IF($Q1270&lt;=3,"Sobrepeso","Obesidade"))))))</f>
        <v/>
      </c>
      <c r="S1270">
        <f>IF($C1270="","",IF(UPPER(LEFT($C1270,1))="M",1,IF(UPPER(LEFT($C1270,1))="F",2,"")))</f>
        <v/>
      </c>
      <c r="T1270">
        <f>IF(OR($D1270="",$E1270=""),"",DATEDIF($D1270,$E1270,"m"))</f>
        <v/>
      </c>
      <c r="U1270">
        <f>IF(OR($D1270="",$E1270=""),"",$E1270-$D1270)</f>
        <v/>
      </c>
      <c r="V1270">
        <f>IF(OR($G1270="",$T1270=""),"",IF($T1270&lt;24,IF(LEFT(LOWER($H1270),4)="em p",$G1270+0.7,$G1270),IF(LEFT(LOWER($H1270),4)="deit",$G1270-0.7,$G1270)))</f>
        <v/>
      </c>
      <c r="W1270">
        <f>IF(OR($S1270="",$T1270=""),"",$S1270*1000000+IF($T1270&lt;=60,$U1270,$T1270))</f>
        <v/>
      </c>
      <c r="X1270">
        <f>IF(OR($S1270="",$V1270="",$T1270&gt;60,$T1270=""),"",$S1270*1000000+ROUND($V1270*10,0))</f>
        <v/>
      </c>
      <c r="Y1270">
        <f>IF($W1270="","",IFERROR(INDEX(IF($T1270&lt;=60,imc05_l,imc519_l),MATCH($W1270,IF($T1270&lt;=60,imc05_k,imc519_k),1)),""))</f>
        <v/>
      </c>
      <c r="Z1270">
        <f>IF($W1270="","",IFERROR(INDEX(IF($T1270&lt;=60,imc05_m,imc519_m),MATCH($W1270,IF($T1270&lt;=60,imc05_k,imc519_k),1)),""))</f>
        <v/>
      </c>
      <c r="AA1270">
        <f>IF($W1270="","",IFERROR(INDEX(IF($T1270&lt;=60,imc05_s,imc519_s),MATCH($W1270,IF($T1270&lt;=60,imc05_k,imc519_k),1)),""))</f>
        <v/>
      </c>
      <c r="AB1270">
        <f>IF($Y1270="","",IF($Y1270=0,LN($J1270/$Z1270)/$AA1270,((($J1270/$Z1270)^$Y1270)-1)/($Y1270*$AA1270)))</f>
        <v/>
      </c>
      <c r="AC1270">
        <f>IF($Y1270="","",IF($Y1270=0,$Z1270*EXP($AA1270*2),$Z1270*(1+$Y1270*$AA1270*2)^(1/$Y1270)))</f>
        <v/>
      </c>
      <c r="AD1270">
        <f>IF($Y1270="","",IF($Y1270=0,$Z1270*EXP($AA1270*3),$Z1270*(1+$Y1270*$AA1270*3)^(1/$Y1270)))</f>
        <v/>
      </c>
      <c r="AE1270">
        <f>IF($Y1270="","",IF($Y1270=0,$Z1270*EXP($AA1270*-2),$Z1270*(1+$Y1270*$AA1270*-2)^(1/$Y1270)))</f>
        <v/>
      </c>
      <c r="AF1270">
        <f>IF($Y1270="","",IF($Y1270=0,$Z1270*EXP($AA1270*-3),$Z1270*(1+$Y1270*$AA1270*-3)^(1/$Y1270)))</f>
        <v/>
      </c>
      <c r="AG1270">
        <f>IF($W1270="","",IFERROR(INDEX(IF($T1270&lt;=60,est05_l,est519_l),MATCH($W1270,IF($T1270&lt;=60,est05_k,est519_k),1)),""))</f>
        <v/>
      </c>
      <c r="AH1270">
        <f>IF($W1270="","",IFERROR(INDEX(IF($T1270&lt;=60,est05_m,est519_m),MATCH($W1270,IF($T1270&lt;=60,est05_k,est519_k),1)),""))</f>
        <v/>
      </c>
      <c r="AI1270">
        <f>IF($W1270="","",IFERROR(INDEX(IF($T1270&lt;=60,est05_s,est519_s),MATCH($W1270,IF($T1270&lt;=60,est05_k,est519_k),1)),""))</f>
        <v/>
      </c>
      <c r="AJ1270">
        <f>IF($W1270="","",IFERROR(INDEX(IF($T1270&lt;=60,peso05_l,peso510_l),MATCH($W1270,IF($T1270&lt;=60,peso05_k,peso510_k),1)),""))</f>
        <v/>
      </c>
      <c r="AK1270">
        <f>IF($W1270="","",IFERROR(INDEX(IF($T1270&lt;=60,peso05_m,peso510_m),MATCH($W1270,IF($T1270&lt;=60,peso05_k,peso510_k),1)),""))</f>
        <v/>
      </c>
      <c r="AL1270">
        <f>IF($W1270="","",IFERROR(INDEX(IF($T1270&lt;=60,peso05_s,peso510_s),MATCH($W1270,IF($T1270&lt;=60,peso05_k,peso510_k),1)),""))</f>
        <v/>
      </c>
      <c r="AM1270">
        <f>IF($AJ1270="","",IF($AJ1270=0,LN($F1270/$AK1270)/$AL1270,((($F1270/$AK1270)^$AJ1270)-1)/($AJ1270*$AL1270)))</f>
        <v/>
      </c>
      <c r="AN1270">
        <f>IF($AJ1270="","",IF($AJ1270=0,$AK1270*EXP($AL1270*2),$AK1270*(1+$AJ1270*$AL1270*2)^(1/$AJ1270)))</f>
        <v/>
      </c>
      <c r="AO1270">
        <f>IF($AJ1270="","",IF($AJ1270=0,$AK1270*EXP($AL1270*3),$AK1270*(1+$AJ1270*$AL1270*3)^(1/$AJ1270)))</f>
        <v/>
      </c>
      <c r="AP1270">
        <f>IF($AJ1270="","",IF($AJ1270=0,$AK1270*EXP($AL1270*-2),$AK1270*(1+$AJ1270*$AL1270*-2)^(1/$AJ1270)))</f>
        <v/>
      </c>
      <c r="AQ1270">
        <f>IF($AJ1270="","",IF($AJ1270=0,$AK1270*EXP($AL1270*-3),$AK1270*(1+$AJ1270*$AL1270*-3)^(1/$AJ1270)))</f>
        <v/>
      </c>
      <c r="AR1270">
        <f>IF(OR($X1270="",$T1270&gt;60),"",IFERROR(INDEX(IF($T1270&lt;24,pcomp_l,palt_l),MATCH($X1270,IF($T1270&lt;24,pcomp_k,palt_k),1)),""))</f>
        <v/>
      </c>
      <c r="AS1270">
        <f>IF(OR($X1270="",$T1270&gt;60),"",IFERROR(INDEX(IF($T1270&lt;24,pcomp_m,palt_m),MATCH($X1270,IF($T1270&lt;24,pcomp_k,palt_k),1)),""))</f>
        <v/>
      </c>
      <c r="AT1270">
        <f>IF(OR($X1270="",$T1270&gt;60),"",IFERROR(INDEX(IF($T1270&lt;24,pcomp_s,palt_s),MATCH($X1270,IF($T1270&lt;24,pcomp_k,palt_k),1)),""))</f>
        <v/>
      </c>
      <c r="AU1270">
        <f>IF($AR1270="","",IF($AR1270=0,LN($F1270/$AS1270)/$AT1270,((($F1270/$AS1270)^$AR1270)-1)/($AR1270*$AT1270)))</f>
        <v/>
      </c>
      <c r="AV1270">
        <f>IF($AR1270="","",IF($AR1270=0,$AS1270*EXP($AT1270*2),$AS1270*(1+$AR1270*$AT1270*2)^(1/$AR1270)))</f>
        <v/>
      </c>
      <c r="AW1270">
        <f>IF($AR1270="","",IF($AR1270=0,$AS1270*EXP($AT1270*3),$AS1270*(1+$AR1270*$AT1270*3)^(1/$AR1270)))</f>
        <v/>
      </c>
      <c r="AX1270">
        <f>IF($AR1270="","",IF($AR1270=0,$AS1270*EXP($AT1270*-2),$AS1270*(1+$AR1270*$AT1270*-2)^(1/$AR1270)))</f>
        <v/>
      </c>
      <c r="AY1270">
        <f>IF($AR1270="","",IF($AR1270=0,$AS1270*EXP($AT1270*-3),$AS1270*(1+$AR1270*$AT1270*-3)^(1/$AR1270)))</f>
        <v/>
      </c>
      <c r="AZ1270">
        <f>IF(OR($A1270="",$A1270&lt;&gt;Ficha!$C$4),"",COUNTIF($A$2:$A1270,Ficha!$C$4))</f>
        <v/>
      </c>
    </row>
    <row r="1271">
      <c r="A1271" s="8">
        <f>IF(INDEX(Banco!$A:$A,ROW())="","",INDEX(Banco!$A:$A,ROW()))</f>
        <v/>
      </c>
      <c r="B1271" s="8">
        <f>IF(INDEX(Banco!$B:$B,ROW())="","",INDEX(Banco!$B:$B,ROW()))</f>
        <v/>
      </c>
      <c r="C1271" s="8">
        <f>IF(INDEX(Banco!$C:$C,ROW())="","",INDEX(Banco!$C:$C,ROW()))</f>
        <v/>
      </c>
      <c r="D1271" s="9">
        <f>IF(INDEX(Banco!$D:$D,ROW())="","",INDEX(Banco!$D:$D,ROW()))</f>
        <v/>
      </c>
      <c r="E1271" s="9">
        <f>IF(INDEX(Banco!$E:$E,ROW())="","",INDEX(Banco!$E:$E,ROW()))</f>
        <v/>
      </c>
      <c r="F1271" s="10">
        <f>IF(INDEX(Banco!$F:$F,ROW())="","",INDEX(Banco!$F:$F,ROW()))</f>
        <v/>
      </c>
      <c r="G1271" s="10">
        <f>IF(INDEX(Banco!$G:$G,ROW())="","",INDEX(Banco!$G:$G,ROW()))</f>
        <v/>
      </c>
      <c r="H1271" s="8">
        <f>IF(INDEX(Banco!$H:$H,ROW())="","",INDEX(Banco!$H:$H,ROW()))</f>
        <v/>
      </c>
      <c r="I1271">
        <f>IF($T1271="","",INT($T1271/12)&amp;"a "&amp;MOD($T1271,12)&amp;"m")</f>
        <v/>
      </c>
      <c r="J1271" s="11">
        <f>IF(OR($F1271="",$G1271=""),"",ROUND($F1271/($G1271/100)^2,2))</f>
        <v/>
      </c>
      <c r="K1271" s="12">
        <f>IF(OR($S1271="",$J1271="",$T1271="",$T1271&lt;0,$T1271&gt;228,$Y1271=""),"—",ROUND(IF(ABS($AB1271)&lt;=3,$AB1271,IF($AB1271&gt;3,3+($J1271-$AD1271)/($AD1271-$AC1271),-3+($J1271-$AF1271)/($AE1271-$AF1271))),2))</f>
        <v/>
      </c>
      <c r="L1271">
        <f>IF(OR($K1271="",$K1271="—"),"",IF($T1271&lt;=60,IF($K1271&lt;-3,"Magreza acentuada",IF($K1271&lt;-2,"Magreza",IF($K1271&lt;=1,"Eutrofia",IF($K1271&lt;=2,"Risco de sobrepeso",IF($K1271&lt;=3,"Sobrepeso","Obesidade"))))),IF($K1271&lt;-3,"Magreza acentuada",IF($K1271&lt;-2,"Magreza",IF($K1271&lt;=1,"Eutrofia",IF($K1271&lt;=2,"Sobrepeso",IF($K1271&lt;=3,"Obesidade","Obesidade grave")))))))</f>
        <v/>
      </c>
      <c r="M1271" s="12">
        <f>IF(OR($S1271="",$V1271="",$T1271="",$T1271&lt;0,$T1271&gt;228,$AG1271=""),"—",ROUND(IF($AG1271=0,LN($V1271/$AH1271)/$AI1271,((($V1271/$AH1271)^$AG1271)-1)/($AG1271*$AI1271)),2))</f>
        <v/>
      </c>
      <c r="N1271">
        <f>IF(OR($M1271="",$M1271="—"),"",IF($M1271&lt;-3,"Muito baixa",IF($M1271&lt;-2,"Baixa","Adequada")))</f>
        <v/>
      </c>
      <c r="O1271" s="12">
        <f>IF(OR($S1271="",$F1271="",$T1271="",$T1271&lt;0,$T1271&gt;120,$AJ1271=""),"—",ROUND(IF(ABS($AM1271)&lt;=3,$AM1271,IF($AM1271&gt;3,3+($F1271-$AO1271)/($AO1271-$AN1271),-3+($F1271-$AQ1271)/($AP1271-$AQ1271))),2))</f>
        <v/>
      </c>
      <c r="P1271">
        <f>IF(OR($O1271="",$O1271="—"),"",IF($O1271&lt;-3,"Muito baixo",IF($O1271&lt;-2,"Baixo",IF($O1271&lt;=2,"Adequado","Elevado"))))</f>
        <v/>
      </c>
      <c r="Q1271" s="12">
        <f>IF(OR($S1271="",$F1271="",$T1271="",$T1271&lt;0,$T1271&gt;60,$AR1271=""),"—",ROUND(IF(ABS($AU1271)&lt;=3,$AU1271,IF($AU1271&gt;3,3+($F1271-$AW1271)/($AW1271-$AV1271),-3+($F1271-$AY1271)/($AX1271-$AY1271))),2))</f>
        <v/>
      </c>
      <c r="R1271">
        <f>IF(OR($Q1271="",$Q1271="—"),"",IF($Q1271&lt;-3,"Magreza acentuada",IF($Q1271&lt;-2,"Magreza",IF($Q1271&lt;=1,"Eutrofia",IF($Q1271&lt;=2,"Risco de sobrepeso",IF($Q1271&lt;=3,"Sobrepeso","Obesidade"))))))</f>
        <v/>
      </c>
      <c r="S1271">
        <f>IF($C1271="","",IF(UPPER(LEFT($C1271,1))="M",1,IF(UPPER(LEFT($C1271,1))="F",2,"")))</f>
        <v/>
      </c>
      <c r="T1271">
        <f>IF(OR($D1271="",$E1271=""),"",DATEDIF($D1271,$E1271,"m"))</f>
        <v/>
      </c>
      <c r="U1271">
        <f>IF(OR($D1271="",$E1271=""),"",$E1271-$D1271)</f>
        <v/>
      </c>
      <c r="V1271">
        <f>IF(OR($G1271="",$T1271=""),"",IF($T1271&lt;24,IF(LEFT(LOWER($H1271),4)="em p",$G1271+0.7,$G1271),IF(LEFT(LOWER($H1271),4)="deit",$G1271-0.7,$G1271)))</f>
        <v/>
      </c>
      <c r="W1271">
        <f>IF(OR($S1271="",$T1271=""),"",$S1271*1000000+IF($T1271&lt;=60,$U1271,$T1271))</f>
        <v/>
      </c>
      <c r="X1271">
        <f>IF(OR($S1271="",$V1271="",$T1271&gt;60,$T1271=""),"",$S1271*1000000+ROUND($V1271*10,0))</f>
        <v/>
      </c>
      <c r="Y1271">
        <f>IF($W1271="","",IFERROR(INDEX(IF($T1271&lt;=60,imc05_l,imc519_l),MATCH($W1271,IF($T1271&lt;=60,imc05_k,imc519_k),1)),""))</f>
        <v/>
      </c>
      <c r="Z1271">
        <f>IF($W1271="","",IFERROR(INDEX(IF($T1271&lt;=60,imc05_m,imc519_m),MATCH($W1271,IF($T1271&lt;=60,imc05_k,imc519_k),1)),""))</f>
        <v/>
      </c>
      <c r="AA1271">
        <f>IF($W1271="","",IFERROR(INDEX(IF($T1271&lt;=60,imc05_s,imc519_s),MATCH($W1271,IF($T1271&lt;=60,imc05_k,imc519_k),1)),""))</f>
        <v/>
      </c>
      <c r="AB1271">
        <f>IF($Y1271="","",IF($Y1271=0,LN($J1271/$Z1271)/$AA1271,((($J1271/$Z1271)^$Y1271)-1)/($Y1271*$AA1271)))</f>
        <v/>
      </c>
      <c r="AC1271">
        <f>IF($Y1271="","",IF($Y1271=0,$Z1271*EXP($AA1271*2),$Z1271*(1+$Y1271*$AA1271*2)^(1/$Y1271)))</f>
        <v/>
      </c>
      <c r="AD1271">
        <f>IF($Y1271="","",IF($Y1271=0,$Z1271*EXP($AA1271*3),$Z1271*(1+$Y1271*$AA1271*3)^(1/$Y1271)))</f>
        <v/>
      </c>
      <c r="AE1271">
        <f>IF($Y1271="","",IF($Y1271=0,$Z1271*EXP($AA1271*-2),$Z1271*(1+$Y1271*$AA1271*-2)^(1/$Y1271)))</f>
        <v/>
      </c>
      <c r="AF1271">
        <f>IF($Y1271="","",IF($Y1271=0,$Z1271*EXP($AA1271*-3),$Z1271*(1+$Y1271*$AA1271*-3)^(1/$Y1271)))</f>
        <v/>
      </c>
      <c r="AG1271">
        <f>IF($W1271="","",IFERROR(INDEX(IF($T1271&lt;=60,est05_l,est519_l),MATCH($W1271,IF($T1271&lt;=60,est05_k,est519_k),1)),""))</f>
        <v/>
      </c>
      <c r="AH1271">
        <f>IF($W1271="","",IFERROR(INDEX(IF($T1271&lt;=60,est05_m,est519_m),MATCH($W1271,IF($T1271&lt;=60,est05_k,est519_k),1)),""))</f>
        <v/>
      </c>
      <c r="AI1271">
        <f>IF($W1271="","",IFERROR(INDEX(IF($T1271&lt;=60,est05_s,est519_s),MATCH($W1271,IF($T1271&lt;=60,est05_k,est519_k),1)),""))</f>
        <v/>
      </c>
      <c r="AJ1271">
        <f>IF($W1271="","",IFERROR(INDEX(IF($T1271&lt;=60,peso05_l,peso510_l),MATCH($W1271,IF($T1271&lt;=60,peso05_k,peso510_k),1)),""))</f>
        <v/>
      </c>
      <c r="AK1271">
        <f>IF($W1271="","",IFERROR(INDEX(IF($T1271&lt;=60,peso05_m,peso510_m),MATCH($W1271,IF($T1271&lt;=60,peso05_k,peso510_k),1)),""))</f>
        <v/>
      </c>
      <c r="AL1271">
        <f>IF($W1271="","",IFERROR(INDEX(IF($T1271&lt;=60,peso05_s,peso510_s),MATCH($W1271,IF($T1271&lt;=60,peso05_k,peso510_k),1)),""))</f>
        <v/>
      </c>
      <c r="AM1271">
        <f>IF($AJ1271="","",IF($AJ1271=0,LN($F1271/$AK1271)/$AL1271,((($F1271/$AK1271)^$AJ1271)-1)/($AJ1271*$AL1271)))</f>
        <v/>
      </c>
      <c r="AN1271">
        <f>IF($AJ1271="","",IF($AJ1271=0,$AK1271*EXP($AL1271*2),$AK1271*(1+$AJ1271*$AL1271*2)^(1/$AJ1271)))</f>
        <v/>
      </c>
      <c r="AO1271">
        <f>IF($AJ1271="","",IF($AJ1271=0,$AK1271*EXP($AL1271*3),$AK1271*(1+$AJ1271*$AL1271*3)^(1/$AJ1271)))</f>
        <v/>
      </c>
      <c r="AP1271">
        <f>IF($AJ1271="","",IF($AJ1271=0,$AK1271*EXP($AL1271*-2),$AK1271*(1+$AJ1271*$AL1271*-2)^(1/$AJ1271)))</f>
        <v/>
      </c>
      <c r="AQ1271">
        <f>IF($AJ1271="","",IF($AJ1271=0,$AK1271*EXP($AL1271*-3),$AK1271*(1+$AJ1271*$AL1271*-3)^(1/$AJ1271)))</f>
        <v/>
      </c>
      <c r="AR1271">
        <f>IF(OR($X1271="",$T1271&gt;60),"",IFERROR(INDEX(IF($T1271&lt;24,pcomp_l,palt_l),MATCH($X1271,IF($T1271&lt;24,pcomp_k,palt_k),1)),""))</f>
        <v/>
      </c>
      <c r="AS1271">
        <f>IF(OR($X1271="",$T1271&gt;60),"",IFERROR(INDEX(IF($T1271&lt;24,pcomp_m,palt_m),MATCH($X1271,IF($T1271&lt;24,pcomp_k,palt_k),1)),""))</f>
        <v/>
      </c>
      <c r="AT1271">
        <f>IF(OR($X1271="",$T1271&gt;60),"",IFERROR(INDEX(IF($T1271&lt;24,pcomp_s,palt_s),MATCH($X1271,IF($T1271&lt;24,pcomp_k,palt_k),1)),""))</f>
        <v/>
      </c>
      <c r="AU1271">
        <f>IF($AR1271="","",IF($AR1271=0,LN($F1271/$AS1271)/$AT1271,((($F1271/$AS1271)^$AR1271)-1)/($AR1271*$AT1271)))</f>
        <v/>
      </c>
      <c r="AV1271">
        <f>IF($AR1271="","",IF($AR1271=0,$AS1271*EXP($AT1271*2),$AS1271*(1+$AR1271*$AT1271*2)^(1/$AR1271)))</f>
        <v/>
      </c>
      <c r="AW1271">
        <f>IF($AR1271="","",IF($AR1271=0,$AS1271*EXP($AT1271*3),$AS1271*(1+$AR1271*$AT1271*3)^(1/$AR1271)))</f>
        <v/>
      </c>
      <c r="AX1271">
        <f>IF($AR1271="","",IF($AR1271=0,$AS1271*EXP($AT1271*-2),$AS1271*(1+$AR1271*$AT1271*-2)^(1/$AR1271)))</f>
        <v/>
      </c>
      <c r="AY1271">
        <f>IF($AR1271="","",IF($AR1271=0,$AS1271*EXP($AT1271*-3),$AS1271*(1+$AR1271*$AT1271*-3)^(1/$AR1271)))</f>
        <v/>
      </c>
      <c r="AZ1271">
        <f>IF(OR($A1271="",$A1271&lt;&gt;Ficha!$C$4),"",COUNTIF($A$2:$A1271,Ficha!$C$4))</f>
        <v/>
      </c>
    </row>
    <row r="1272">
      <c r="A1272" s="8">
        <f>IF(INDEX(Banco!$A:$A,ROW())="","",INDEX(Banco!$A:$A,ROW()))</f>
        <v/>
      </c>
      <c r="B1272" s="8">
        <f>IF(INDEX(Banco!$B:$B,ROW())="","",INDEX(Banco!$B:$B,ROW()))</f>
        <v/>
      </c>
      <c r="C1272" s="8">
        <f>IF(INDEX(Banco!$C:$C,ROW())="","",INDEX(Banco!$C:$C,ROW()))</f>
        <v/>
      </c>
      <c r="D1272" s="9">
        <f>IF(INDEX(Banco!$D:$D,ROW())="","",INDEX(Banco!$D:$D,ROW()))</f>
        <v/>
      </c>
      <c r="E1272" s="9">
        <f>IF(INDEX(Banco!$E:$E,ROW())="","",INDEX(Banco!$E:$E,ROW()))</f>
        <v/>
      </c>
      <c r="F1272" s="10">
        <f>IF(INDEX(Banco!$F:$F,ROW())="","",INDEX(Banco!$F:$F,ROW()))</f>
        <v/>
      </c>
      <c r="G1272" s="10">
        <f>IF(INDEX(Banco!$G:$G,ROW())="","",INDEX(Banco!$G:$G,ROW()))</f>
        <v/>
      </c>
      <c r="H1272" s="8">
        <f>IF(INDEX(Banco!$H:$H,ROW())="","",INDEX(Banco!$H:$H,ROW()))</f>
        <v/>
      </c>
      <c r="I1272">
        <f>IF($T1272="","",INT($T1272/12)&amp;"a "&amp;MOD($T1272,12)&amp;"m")</f>
        <v/>
      </c>
      <c r="J1272" s="11">
        <f>IF(OR($F1272="",$G1272=""),"",ROUND($F1272/($G1272/100)^2,2))</f>
        <v/>
      </c>
      <c r="K1272" s="12">
        <f>IF(OR($S1272="",$J1272="",$T1272="",$T1272&lt;0,$T1272&gt;228,$Y1272=""),"—",ROUND(IF(ABS($AB1272)&lt;=3,$AB1272,IF($AB1272&gt;3,3+($J1272-$AD1272)/($AD1272-$AC1272),-3+($J1272-$AF1272)/($AE1272-$AF1272))),2))</f>
        <v/>
      </c>
      <c r="L1272">
        <f>IF(OR($K1272="",$K1272="—"),"",IF($T1272&lt;=60,IF($K1272&lt;-3,"Magreza acentuada",IF($K1272&lt;-2,"Magreza",IF($K1272&lt;=1,"Eutrofia",IF($K1272&lt;=2,"Risco de sobrepeso",IF($K1272&lt;=3,"Sobrepeso","Obesidade"))))),IF($K1272&lt;-3,"Magreza acentuada",IF($K1272&lt;-2,"Magreza",IF($K1272&lt;=1,"Eutrofia",IF($K1272&lt;=2,"Sobrepeso",IF($K1272&lt;=3,"Obesidade","Obesidade grave")))))))</f>
        <v/>
      </c>
      <c r="M1272" s="12">
        <f>IF(OR($S1272="",$V1272="",$T1272="",$T1272&lt;0,$T1272&gt;228,$AG1272=""),"—",ROUND(IF($AG1272=0,LN($V1272/$AH1272)/$AI1272,((($V1272/$AH1272)^$AG1272)-1)/($AG1272*$AI1272)),2))</f>
        <v/>
      </c>
      <c r="N1272">
        <f>IF(OR($M1272="",$M1272="—"),"",IF($M1272&lt;-3,"Muito baixa",IF($M1272&lt;-2,"Baixa","Adequada")))</f>
        <v/>
      </c>
      <c r="O1272" s="12">
        <f>IF(OR($S1272="",$F1272="",$T1272="",$T1272&lt;0,$T1272&gt;120,$AJ1272=""),"—",ROUND(IF(ABS($AM1272)&lt;=3,$AM1272,IF($AM1272&gt;3,3+($F1272-$AO1272)/($AO1272-$AN1272),-3+($F1272-$AQ1272)/($AP1272-$AQ1272))),2))</f>
        <v/>
      </c>
      <c r="P1272">
        <f>IF(OR($O1272="",$O1272="—"),"",IF($O1272&lt;-3,"Muito baixo",IF($O1272&lt;-2,"Baixo",IF($O1272&lt;=2,"Adequado","Elevado"))))</f>
        <v/>
      </c>
      <c r="Q1272" s="12">
        <f>IF(OR($S1272="",$F1272="",$T1272="",$T1272&lt;0,$T1272&gt;60,$AR1272=""),"—",ROUND(IF(ABS($AU1272)&lt;=3,$AU1272,IF($AU1272&gt;3,3+($F1272-$AW1272)/($AW1272-$AV1272),-3+($F1272-$AY1272)/($AX1272-$AY1272))),2))</f>
        <v/>
      </c>
      <c r="R1272">
        <f>IF(OR($Q1272="",$Q1272="—"),"",IF($Q1272&lt;-3,"Magreza acentuada",IF($Q1272&lt;-2,"Magreza",IF($Q1272&lt;=1,"Eutrofia",IF($Q1272&lt;=2,"Risco de sobrepeso",IF($Q1272&lt;=3,"Sobrepeso","Obesidade"))))))</f>
        <v/>
      </c>
      <c r="S1272">
        <f>IF($C1272="","",IF(UPPER(LEFT($C1272,1))="M",1,IF(UPPER(LEFT($C1272,1))="F",2,"")))</f>
        <v/>
      </c>
      <c r="T1272">
        <f>IF(OR($D1272="",$E1272=""),"",DATEDIF($D1272,$E1272,"m"))</f>
        <v/>
      </c>
      <c r="U1272">
        <f>IF(OR($D1272="",$E1272=""),"",$E1272-$D1272)</f>
        <v/>
      </c>
      <c r="V1272">
        <f>IF(OR($G1272="",$T1272=""),"",IF($T1272&lt;24,IF(LEFT(LOWER($H1272),4)="em p",$G1272+0.7,$G1272),IF(LEFT(LOWER($H1272),4)="deit",$G1272-0.7,$G1272)))</f>
        <v/>
      </c>
      <c r="W1272">
        <f>IF(OR($S1272="",$T1272=""),"",$S1272*1000000+IF($T1272&lt;=60,$U1272,$T1272))</f>
        <v/>
      </c>
      <c r="X1272">
        <f>IF(OR($S1272="",$V1272="",$T1272&gt;60,$T1272=""),"",$S1272*1000000+ROUND($V1272*10,0))</f>
        <v/>
      </c>
      <c r="Y1272">
        <f>IF($W1272="","",IFERROR(INDEX(IF($T1272&lt;=60,imc05_l,imc519_l),MATCH($W1272,IF($T1272&lt;=60,imc05_k,imc519_k),1)),""))</f>
        <v/>
      </c>
      <c r="Z1272">
        <f>IF($W1272="","",IFERROR(INDEX(IF($T1272&lt;=60,imc05_m,imc519_m),MATCH($W1272,IF($T1272&lt;=60,imc05_k,imc519_k),1)),""))</f>
        <v/>
      </c>
      <c r="AA1272">
        <f>IF($W1272="","",IFERROR(INDEX(IF($T1272&lt;=60,imc05_s,imc519_s),MATCH($W1272,IF($T1272&lt;=60,imc05_k,imc519_k),1)),""))</f>
        <v/>
      </c>
      <c r="AB1272">
        <f>IF($Y1272="","",IF($Y1272=0,LN($J1272/$Z1272)/$AA1272,((($J1272/$Z1272)^$Y1272)-1)/($Y1272*$AA1272)))</f>
        <v/>
      </c>
      <c r="AC1272">
        <f>IF($Y1272="","",IF($Y1272=0,$Z1272*EXP($AA1272*2),$Z1272*(1+$Y1272*$AA1272*2)^(1/$Y1272)))</f>
        <v/>
      </c>
      <c r="AD1272">
        <f>IF($Y1272="","",IF($Y1272=0,$Z1272*EXP($AA1272*3),$Z1272*(1+$Y1272*$AA1272*3)^(1/$Y1272)))</f>
        <v/>
      </c>
      <c r="AE1272">
        <f>IF($Y1272="","",IF($Y1272=0,$Z1272*EXP($AA1272*-2),$Z1272*(1+$Y1272*$AA1272*-2)^(1/$Y1272)))</f>
        <v/>
      </c>
      <c r="AF1272">
        <f>IF($Y1272="","",IF($Y1272=0,$Z1272*EXP($AA1272*-3),$Z1272*(1+$Y1272*$AA1272*-3)^(1/$Y1272)))</f>
        <v/>
      </c>
      <c r="AG1272">
        <f>IF($W1272="","",IFERROR(INDEX(IF($T1272&lt;=60,est05_l,est519_l),MATCH($W1272,IF($T1272&lt;=60,est05_k,est519_k),1)),""))</f>
        <v/>
      </c>
      <c r="AH1272">
        <f>IF($W1272="","",IFERROR(INDEX(IF($T1272&lt;=60,est05_m,est519_m),MATCH($W1272,IF($T1272&lt;=60,est05_k,est519_k),1)),""))</f>
        <v/>
      </c>
      <c r="AI1272">
        <f>IF($W1272="","",IFERROR(INDEX(IF($T1272&lt;=60,est05_s,est519_s),MATCH($W1272,IF($T1272&lt;=60,est05_k,est519_k),1)),""))</f>
        <v/>
      </c>
      <c r="AJ1272">
        <f>IF($W1272="","",IFERROR(INDEX(IF($T1272&lt;=60,peso05_l,peso510_l),MATCH($W1272,IF($T1272&lt;=60,peso05_k,peso510_k),1)),""))</f>
        <v/>
      </c>
      <c r="AK1272">
        <f>IF($W1272="","",IFERROR(INDEX(IF($T1272&lt;=60,peso05_m,peso510_m),MATCH($W1272,IF($T1272&lt;=60,peso05_k,peso510_k),1)),""))</f>
        <v/>
      </c>
      <c r="AL1272">
        <f>IF($W1272="","",IFERROR(INDEX(IF($T1272&lt;=60,peso05_s,peso510_s),MATCH($W1272,IF($T1272&lt;=60,peso05_k,peso510_k),1)),""))</f>
        <v/>
      </c>
      <c r="AM1272">
        <f>IF($AJ1272="","",IF($AJ1272=0,LN($F1272/$AK1272)/$AL1272,((($F1272/$AK1272)^$AJ1272)-1)/($AJ1272*$AL1272)))</f>
        <v/>
      </c>
      <c r="AN1272">
        <f>IF($AJ1272="","",IF($AJ1272=0,$AK1272*EXP($AL1272*2),$AK1272*(1+$AJ1272*$AL1272*2)^(1/$AJ1272)))</f>
        <v/>
      </c>
      <c r="AO1272">
        <f>IF($AJ1272="","",IF($AJ1272=0,$AK1272*EXP($AL1272*3),$AK1272*(1+$AJ1272*$AL1272*3)^(1/$AJ1272)))</f>
        <v/>
      </c>
      <c r="AP1272">
        <f>IF($AJ1272="","",IF($AJ1272=0,$AK1272*EXP($AL1272*-2),$AK1272*(1+$AJ1272*$AL1272*-2)^(1/$AJ1272)))</f>
        <v/>
      </c>
      <c r="AQ1272">
        <f>IF($AJ1272="","",IF($AJ1272=0,$AK1272*EXP($AL1272*-3),$AK1272*(1+$AJ1272*$AL1272*-3)^(1/$AJ1272)))</f>
        <v/>
      </c>
      <c r="AR1272">
        <f>IF(OR($X1272="",$T1272&gt;60),"",IFERROR(INDEX(IF($T1272&lt;24,pcomp_l,palt_l),MATCH($X1272,IF($T1272&lt;24,pcomp_k,palt_k),1)),""))</f>
        <v/>
      </c>
      <c r="AS1272">
        <f>IF(OR($X1272="",$T1272&gt;60),"",IFERROR(INDEX(IF($T1272&lt;24,pcomp_m,palt_m),MATCH($X1272,IF($T1272&lt;24,pcomp_k,palt_k),1)),""))</f>
        <v/>
      </c>
      <c r="AT1272">
        <f>IF(OR($X1272="",$T1272&gt;60),"",IFERROR(INDEX(IF($T1272&lt;24,pcomp_s,palt_s),MATCH($X1272,IF($T1272&lt;24,pcomp_k,palt_k),1)),""))</f>
        <v/>
      </c>
      <c r="AU1272">
        <f>IF($AR1272="","",IF($AR1272=0,LN($F1272/$AS1272)/$AT1272,((($F1272/$AS1272)^$AR1272)-1)/($AR1272*$AT1272)))</f>
        <v/>
      </c>
      <c r="AV1272">
        <f>IF($AR1272="","",IF($AR1272=0,$AS1272*EXP($AT1272*2),$AS1272*(1+$AR1272*$AT1272*2)^(1/$AR1272)))</f>
        <v/>
      </c>
      <c r="AW1272">
        <f>IF($AR1272="","",IF($AR1272=0,$AS1272*EXP($AT1272*3),$AS1272*(1+$AR1272*$AT1272*3)^(1/$AR1272)))</f>
        <v/>
      </c>
      <c r="AX1272">
        <f>IF($AR1272="","",IF($AR1272=0,$AS1272*EXP($AT1272*-2),$AS1272*(1+$AR1272*$AT1272*-2)^(1/$AR1272)))</f>
        <v/>
      </c>
      <c r="AY1272">
        <f>IF($AR1272="","",IF($AR1272=0,$AS1272*EXP($AT1272*-3),$AS1272*(1+$AR1272*$AT1272*-3)^(1/$AR1272)))</f>
        <v/>
      </c>
      <c r="AZ1272">
        <f>IF(OR($A1272="",$A1272&lt;&gt;Ficha!$C$4),"",COUNTIF($A$2:$A1272,Ficha!$C$4))</f>
        <v/>
      </c>
    </row>
    <row r="1273">
      <c r="A1273" s="8">
        <f>IF(INDEX(Banco!$A:$A,ROW())="","",INDEX(Banco!$A:$A,ROW()))</f>
        <v/>
      </c>
      <c r="B1273" s="8">
        <f>IF(INDEX(Banco!$B:$B,ROW())="","",INDEX(Banco!$B:$B,ROW()))</f>
        <v/>
      </c>
      <c r="C1273" s="8">
        <f>IF(INDEX(Banco!$C:$C,ROW())="","",INDEX(Banco!$C:$C,ROW()))</f>
        <v/>
      </c>
      <c r="D1273" s="9">
        <f>IF(INDEX(Banco!$D:$D,ROW())="","",INDEX(Banco!$D:$D,ROW()))</f>
        <v/>
      </c>
      <c r="E1273" s="9">
        <f>IF(INDEX(Banco!$E:$E,ROW())="","",INDEX(Banco!$E:$E,ROW()))</f>
        <v/>
      </c>
      <c r="F1273" s="10">
        <f>IF(INDEX(Banco!$F:$F,ROW())="","",INDEX(Banco!$F:$F,ROW()))</f>
        <v/>
      </c>
      <c r="G1273" s="10">
        <f>IF(INDEX(Banco!$G:$G,ROW())="","",INDEX(Banco!$G:$G,ROW()))</f>
        <v/>
      </c>
      <c r="H1273" s="8">
        <f>IF(INDEX(Banco!$H:$H,ROW())="","",INDEX(Banco!$H:$H,ROW()))</f>
        <v/>
      </c>
      <c r="I1273">
        <f>IF($T1273="","",INT($T1273/12)&amp;"a "&amp;MOD($T1273,12)&amp;"m")</f>
        <v/>
      </c>
      <c r="J1273" s="11">
        <f>IF(OR($F1273="",$G1273=""),"",ROUND($F1273/($G1273/100)^2,2))</f>
        <v/>
      </c>
      <c r="K1273" s="12">
        <f>IF(OR($S1273="",$J1273="",$T1273="",$T1273&lt;0,$T1273&gt;228,$Y1273=""),"—",ROUND(IF(ABS($AB1273)&lt;=3,$AB1273,IF($AB1273&gt;3,3+($J1273-$AD1273)/($AD1273-$AC1273),-3+($J1273-$AF1273)/($AE1273-$AF1273))),2))</f>
        <v/>
      </c>
      <c r="L1273">
        <f>IF(OR($K1273="",$K1273="—"),"",IF($T1273&lt;=60,IF($K1273&lt;-3,"Magreza acentuada",IF($K1273&lt;-2,"Magreza",IF($K1273&lt;=1,"Eutrofia",IF($K1273&lt;=2,"Risco de sobrepeso",IF($K1273&lt;=3,"Sobrepeso","Obesidade"))))),IF($K1273&lt;-3,"Magreza acentuada",IF($K1273&lt;-2,"Magreza",IF($K1273&lt;=1,"Eutrofia",IF($K1273&lt;=2,"Sobrepeso",IF($K1273&lt;=3,"Obesidade","Obesidade grave")))))))</f>
        <v/>
      </c>
      <c r="M1273" s="12">
        <f>IF(OR($S1273="",$V1273="",$T1273="",$T1273&lt;0,$T1273&gt;228,$AG1273=""),"—",ROUND(IF($AG1273=0,LN($V1273/$AH1273)/$AI1273,((($V1273/$AH1273)^$AG1273)-1)/($AG1273*$AI1273)),2))</f>
        <v/>
      </c>
      <c r="N1273">
        <f>IF(OR($M1273="",$M1273="—"),"",IF($M1273&lt;-3,"Muito baixa",IF($M1273&lt;-2,"Baixa","Adequada")))</f>
        <v/>
      </c>
      <c r="O1273" s="12">
        <f>IF(OR($S1273="",$F1273="",$T1273="",$T1273&lt;0,$T1273&gt;120,$AJ1273=""),"—",ROUND(IF(ABS($AM1273)&lt;=3,$AM1273,IF($AM1273&gt;3,3+($F1273-$AO1273)/($AO1273-$AN1273),-3+($F1273-$AQ1273)/($AP1273-$AQ1273))),2))</f>
        <v/>
      </c>
      <c r="P1273">
        <f>IF(OR($O1273="",$O1273="—"),"",IF($O1273&lt;-3,"Muito baixo",IF($O1273&lt;-2,"Baixo",IF($O1273&lt;=2,"Adequado","Elevado"))))</f>
        <v/>
      </c>
      <c r="Q1273" s="12">
        <f>IF(OR($S1273="",$F1273="",$T1273="",$T1273&lt;0,$T1273&gt;60,$AR1273=""),"—",ROUND(IF(ABS($AU1273)&lt;=3,$AU1273,IF($AU1273&gt;3,3+($F1273-$AW1273)/($AW1273-$AV1273),-3+($F1273-$AY1273)/($AX1273-$AY1273))),2))</f>
        <v/>
      </c>
      <c r="R1273">
        <f>IF(OR($Q1273="",$Q1273="—"),"",IF($Q1273&lt;-3,"Magreza acentuada",IF($Q1273&lt;-2,"Magreza",IF($Q1273&lt;=1,"Eutrofia",IF($Q1273&lt;=2,"Risco de sobrepeso",IF($Q1273&lt;=3,"Sobrepeso","Obesidade"))))))</f>
        <v/>
      </c>
      <c r="S1273">
        <f>IF($C1273="","",IF(UPPER(LEFT($C1273,1))="M",1,IF(UPPER(LEFT($C1273,1))="F",2,"")))</f>
        <v/>
      </c>
      <c r="T1273">
        <f>IF(OR($D1273="",$E1273=""),"",DATEDIF($D1273,$E1273,"m"))</f>
        <v/>
      </c>
      <c r="U1273">
        <f>IF(OR($D1273="",$E1273=""),"",$E1273-$D1273)</f>
        <v/>
      </c>
      <c r="V1273">
        <f>IF(OR($G1273="",$T1273=""),"",IF($T1273&lt;24,IF(LEFT(LOWER($H1273),4)="em p",$G1273+0.7,$G1273),IF(LEFT(LOWER($H1273),4)="deit",$G1273-0.7,$G1273)))</f>
        <v/>
      </c>
      <c r="W1273">
        <f>IF(OR($S1273="",$T1273=""),"",$S1273*1000000+IF($T1273&lt;=60,$U1273,$T1273))</f>
        <v/>
      </c>
      <c r="X1273">
        <f>IF(OR($S1273="",$V1273="",$T1273&gt;60,$T1273=""),"",$S1273*1000000+ROUND($V1273*10,0))</f>
        <v/>
      </c>
      <c r="Y1273">
        <f>IF($W1273="","",IFERROR(INDEX(IF($T1273&lt;=60,imc05_l,imc519_l),MATCH($W1273,IF($T1273&lt;=60,imc05_k,imc519_k),1)),""))</f>
        <v/>
      </c>
      <c r="Z1273">
        <f>IF($W1273="","",IFERROR(INDEX(IF($T1273&lt;=60,imc05_m,imc519_m),MATCH($W1273,IF($T1273&lt;=60,imc05_k,imc519_k),1)),""))</f>
        <v/>
      </c>
      <c r="AA1273">
        <f>IF($W1273="","",IFERROR(INDEX(IF($T1273&lt;=60,imc05_s,imc519_s),MATCH($W1273,IF($T1273&lt;=60,imc05_k,imc519_k),1)),""))</f>
        <v/>
      </c>
      <c r="AB1273">
        <f>IF($Y1273="","",IF($Y1273=0,LN($J1273/$Z1273)/$AA1273,((($J1273/$Z1273)^$Y1273)-1)/($Y1273*$AA1273)))</f>
        <v/>
      </c>
      <c r="AC1273">
        <f>IF($Y1273="","",IF($Y1273=0,$Z1273*EXP($AA1273*2),$Z1273*(1+$Y1273*$AA1273*2)^(1/$Y1273)))</f>
        <v/>
      </c>
      <c r="AD1273">
        <f>IF($Y1273="","",IF($Y1273=0,$Z1273*EXP($AA1273*3),$Z1273*(1+$Y1273*$AA1273*3)^(1/$Y1273)))</f>
        <v/>
      </c>
      <c r="AE1273">
        <f>IF($Y1273="","",IF($Y1273=0,$Z1273*EXP($AA1273*-2),$Z1273*(1+$Y1273*$AA1273*-2)^(1/$Y1273)))</f>
        <v/>
      </c>
      <c r="AF1273">
        <f>IF($Y1273="","",IF($Y1273=0,$Z1273*EXP($AA1273*-3),$Z1273*(1+$Y1273*$AA1273*-3)^(1/$Y1273)))</f>
        <v/>
      </c>
      <c r="AG1273">
        <f>IF($W1273="","",IFERROR(INDEX(IF($T1273&lt;=60,est05_l,est519_l),MATCH($W1273,IF($T1273&lt;=60,est05_k,est519_k),1)),""))</f>
        <v/>
      </c>
      <c r="AH1273">
        <f>IF($W1273="","",IFERROR(INDEX(IF($T1273&lt;=60,est05_m,est519_m),MATCH($W1273,IF($T1273&lt;=60,est05_k,est519_k),1)),""))</f>
        <v/>
      </c>
      <c r="AI1273">
        <f>IF($W1273="","",IFERROR(INDEX(IF($T1273&lt;=60,est05_s,est519_s),MATCH($W1273,IF($T1273&lt;=60,est05_k,est519_k),1)),""))</f>
        <v/>
      </c>
      <c r="AJ1273">
        <f>IF($W1273="","",IFERROR(INDEX(IF($T1273&lt;=60,peso05_l,peso510_l),MATCH($W1273,IF($T1273&lt;=60,peso05_k,peso510_k),1)),""))</f>
        <v/>
      </c>
      <c r="AK1273">
        <f>IF($W1273="","",IFERROR(INDEX(IF($T1273&lt;=60,peso05_m,peso510_m),MATCH($W1273,IF($T1273&lt;=60,peso05_k,peso510_k),1)),""))</f>
        <v/>
      </c>
      <c r="AL1273">
        <f>IF($W1273="","",IFERROR(INDEX(IF($T1273&lt;=60,peso05_s,peso510_s),MATCH($W1273,IF($T1273&lt;=60,peso05_k,peso510_k),1)),""))</f>
        <v/>
      </c>
      <c r="AM1273">
        <f>IF($AJ1273="","",IF($AJ1273=0,LN($F1273/$AK1273)/$AL1273,((($F1273/$AK1273)^$AJ1273)-1)/($AJ1273*$AL1273)))</f>
        <v/>
      </c>
      <c r="AN1273">
        <f>IF($AJ1273="","",IF($AJ1273=0,$AK1273*EXP($AL1273*2),$AK1273*(1+$AJ1273*$AL1273*2)^(1/$AJ1273)))</f>
        <v/>
      </c>
      <c r="AO1273">
        <f>IF($AJ1273="","",IF($AJ1273=0,$AK1273*EXP($AL1273*3),$AK1273*(1+$AJ1273*$AL1273*3)^(1/$AJ1273)))</f>
        <v/>
      </c>
      <c r="AP1273">
        <f>IF($AJ1273="","",IF($AJ1273=0,$AK1273*EXP($AL1273*-2),$AK1273*(1+$AJ1273*$AL1273*-2)^(1/$AJ1273)))</f>
        <v/>
      </c>
      <c r="AQ1273">
        <f>IF($AJ1273="","",IF($AJ1273=0,$AK1273*EXP($AL1273*-3),$AK1273*(1+$AJ1273*$AL1273*-3)^(1/$AJ1273)))</f>
        <v/>
      </c>
      <c r="AR1273">
        <f>IF(OR($X1273="",$T1273&gt;60),"",IFERROR(INDEX(IF($T1273&lt;24,pcomp_l,palt_l),MATCH($X1273,IF($T1273&lt;24,pcomp_k,palt_k),1)),""))</f>
        <v/>
      </c>
      <c r="AS1273">
        <f>IF(OR($X1273="",$T1273&gt;60),"",IFERROR(INDEX(IF($T1273&lt;24,pcomp_m,palt_m),MATCH($X1273,IF($T1273&lt;24,pcomp_k,palt_k),1)),""))</f>
        <v/>
      </c>
      <c r="AT1273">
        <f>IF(OR($X1273="",$T1273&gt;60),"",IFERROR(INDEX(IF($T1273&lt;24,pcomp_s,palt_s),MATCH($X1273,IF($T1273&lt;24,pcomp_k,palt_k),1)),""))</f>
        <v/>
      </c>
      <c r="AU1273">
        <f>IF($AR1273="","",IF($AR1273=0,LN($F1273/$AS1273)/$AT1273,((($F1273/$AS1273)^$AR1273)-1)/($AR1273*$AT1273)))</f>
        <v/>
      </c>
      <c r="AV1273">
        <f>IF($AR1273="","",IF($AR1273=0,$AS1273*EXP($AT1273*2),$AS1273*(1+$AR1273*$AT1273*2)^(1/$AR1273)))</f>
        <v/>
      </c>
      <c r="AW1273">
        <f>IF($AR1273="","",IF($AR1273=0,$AS1273*EXP($AT1273*3),$AS1273*(1+$AR1273*$AT1273*3)^(1/$AR1273)))</f>
        <v/>
      </c>
      <c r="AX1273">
        <f>IF($AR1273="","",IF($AR1273=0,$AS1273*EXP($AT1273*-2),$AS1273*(1+$AR1273*$AT1273*-2)^(1/$AR1273)))</f>
        <v/>
      </c>
      <c r="AY1273">
        <f>IF($AR1273="","",IF($AR1273=0,$AS1273*EXP($AT1273*-3),$AS1273*(1+$AR1273*$AT1273*-3)^(1/$AR1273)))</f>
        <v/>
      </c>
      <c r="AZ1273">
        <f>IF(OR($A1273="",$A1273&lt;&gt;Ficha!$C$4),"",COUNTIF($A$2:$A1273,Ficha!$C$4))</f>
        <v/>
      </c>
    </row>
    <row r="1274">
      <c r="A1274" s="8">
        <f>IF(INDEX(Banco!$A:$A,ROW())="","",INDEX(Banco!$A:$A,ROW()))</f>
        <v/>
      </c>
      <c r="B1274" s="8">
        <f>IF(INDEX(Banco!$B:$B,ROW())="","",INDEX(Banco!$B:$B,ROW()))</f>
        <v/>
      </c>
      <c r="C1274" s="8">
        <f>IF(INDEX(Banco!$C:$C,ROW())="","",INDEX(Banco!$C:$C,ROW()))</f>
        <v/>
      </c>
      <c r="D1274" s="9">
        <f>IF(INDEX(Banco!$D:$D,ROW())="","",INDEX(Banco!$D:$D,ROW()))</f>
        <v/>
      </c>
      <c r="E1274" s="9">
        <f>IF(INDEX(Banco!$E:$E,ROW())="","",INDEX(Banco!$E:$E,ROW()))</f>
        <v/>
      </c>
      <c r="F1274" s="10">
        <f>IF(INDEX(Banco!$F:$F,ROW())="","",INDEX(Banco!$F:$F,ROW()))</f>
        <v/>
      </c>
      <c r="G1274" s="10">
        <f>IF(INDEX(Banco!$G:$G,ROW())="","",INDEX(Banco!$G:$G,ROW()))</f>
        <v/>
      </c>
      <c r="H1274" s="8">
        <f>IF(INDEX(Banco!$H:$H,ROW())="","",INDEX(Banco!$H:$H,ROW()))</f>
        <v/>
      </c>
      <c r="I1274">
        <f>IF($T1274="","",INT($T1274/12)&amp;"a "&amp;MOD($T1274,12)&amp;"m")</f>
        <v/>
      </c>
      <c r="J1274" s="11">
        <f>IF(OR($F1274="",$G1274=""),"",ROUND($F1274/($G1274/100)^2,2))</f>
        <v/>
      </c>
      <c r="K1274" s="12">
        <f>IF(OR($S1274="",$J1274="",$T1274="",$T1274&lt;0,$T1274&gt;228,$Y1274=""),"—",ROUND(IF(ABS($AB1274)&lt;=3,$AB1274,IF($AB1274&gt;3,3+($J1274-$AD1274)/($AD1274-$AC1274),-3+($J1274-$AF1274)/($AE1274-$AF1274))),2))</f>
        <v/>
      </c>
      <c r="L1274">
        <f>IF(OR($K1274="",$K1274="—"),"",IF($T1274&lt;=60,IF($K1274&lt;-3,"Magreza acentuada",IF($K1274&lt;-2,"Magreza",IF($K1274&lt;=1,"Eutrofia",IF($K1274&lt;=2,"Risco de sobrepeso",IF($K1274&lt;=3,"Sobrepeso","Obesidade"))))),IF($K1274&lt;-3,"Magreza acentuada",IF($K1274&lt;-2,"Magreza",IF($K1274&lt;=1,"Eutrofia",IF($K1274&lt;=2,"Sobrepeso",IF($K1274&lt;=3,"Obesidade","Obesidade grave")))))))</f>
        <v/>
      </c>
      <c r="M1274" s="12">
        <f>IF(OR($S1274="",$V1274="",$T1274="",$T1274&lt;0,$T1274&gt;228,$AG1274=""),"—",ROUND(IF($AG1274=0,LN($V1274/$AH1274)/$AI1274,((($V1274/$AH1274)^$AG1274)-1)/($AG1274*$AI1274)),2))</f>
        <v/>
      </c>
      <c r="N1274">
        <f>IF(OR($M1274="",$M1274="—"),"",IF($M1274&lt;-3,"Muito baixa",IF($M1274&lt;-2,"Baixa","Adequada")))</f>
        <v/>
      </c>
      <c r="O1274" s="12">
        <f>IF(OR($S1274="",$F1274="",$T1274="",$T1274&lt;0,$T1274&gt;120,$AJ1274=""),"—",ROUND(IF(ABS($AM1274)&lt;=3,$AM1274,IF($AM1274&gt;3,3+($F1274-$AO1274)/($AO1274-$AN1274),-3+($F1274-$AQ1274)/($AP1274-$AQ1274))),2))</f>
        <v/>
      </c>
      <c r="P1274">
        <f>IF(OR($O1274="",$O1274="—"),"",IF($O1274&lt;-3,"Muito baixo",IF($O1274&lt;-2,"Baixo",IF($O1274&lt;=2,"Adequado","Elevado"))))</f>
        <v/>
      </c>
      <c r="Q1274" s="12">
        <f>IF(OR($S1274="",$F1274="",$T1274="",$T1274&lt;0,$T1274&gt;60,$AR1274=""),"—",ROUND(IF(ABS($AU1274)&lt;=3,$AU1274,IF($AU1274&gt;3,3+($F1274-$AW1274)/($AW1274-$AV1274),-3+($F1274-$AY1274)/($AX1274-$AY1274))),2))</f>
        <v/>
      </c>
      <c r="R1274">
        <f>IF(OR($Q1274="",$Q1274="—"),"",IF($Q1274&lt;-3,"Magreza acentuada",IF($Q1274&lt;-2,"Magreza",IF($Q1274&lt;=1,"Eutrofia",IF($Q1274&lt;=2,"Risco de sobrepeso",IF($Q1274&lt;=3,"Sobrepeso","Obesidade"))))))</f>
        <v/>
      </c>
      <c r="S1274">
        <f>IF($C1274="","",IF(UPPER(LEFT($C1274,1))="M",1,IF(UPPER(LEFT($C1274,1))="F",2,"")))</f>
        <v/>
      </c>
      <c r="T1274">
        <f>IF(OR($D1274="",$E1274=""),"",DATEDIF($D1274,$E1274,"m"))</f>
        <v/>
      </c>
      <c r="U1274">
        <f>IF(OR($D1274="",$E1274=""),"",$E1274-$D1274)</f>
        <v/>
      </c>
      <c r="V1274">
        <f>IF(OR($G1274="",$T1274=""),"",IF($T1274&lt;24,IF(LEFT(LOWER($H1274),4)="em p",$G1274+0.7,$G1274),IF(LEFT(LOWER($H1274),4)="deit",$G1274-0.7,$G1274)))</f>
        <v/>
      </c>
      <c r="W1274">
        <f>IF(OR($S1274="",$T1274=""),"",$S1274*1000000+IF($T1274&lt;=60,$U1274,$T1274))</f>
        <v/>
      </c>
      <c r="X1274">
        <f>IF(OR($S1274="",$V1274="",$T1274&gt;60,$T1274=""),"",$S1274*1000000+ROUND($V1274*10,0))</f>
        <v/>
      </c>
      <c r="Y1274">
        <f>IF($W1274="","",IFERROR(INDEX(IF($T1274&lt;=60,imc05_l,imc519_l),MATCH($W1274,IF($T1274&lt;=60,imc05_k,imc519_k),1)),""))</f>
        <v/>
      </c>
      <c r="Z1274">
        <f>IF($W1274="","",IFERROR(INDEX(IF($T1274&lt;=60,imc05_m,imc519_m),MATCH($W1274,IF($T1274&lt;=60,imc05_k,imc519_k),1)),""))</f>
        <v/>
      </c>
      <c r="AA1274">
        <f>IF($W1274="","",IFERROR(INDEX(IF($T1274&lt;=60,imc05_s,imc519_s),MATCH($W1274,IF($T1274&lt;=60,imc05_k,imc519_k),1)),""))</f>
        <v/>
      </c>
      <c r="AB1274">
        <f>IF($Y1274="","",IF($Y1274=0,LN($J1274/$Z1274)/$AA1274,((($J1274/$Z1274)^$Y1274)-1)/($Y1274*$AA1274)))</f>
        <v/>
      </c>
      <c r="AC1274">
        <f>IF($Y1274="","",IF($Y1274=0,$Z1274*EXP($AA1274*2),$Z1274*(1+$Y1274*$AA1274*2)^(1/$Y1274)))</f>
        <v/>
      </c>
      <c r="AD1274">
        <f>IF($Y1274="","",IF($Y1274=0,$Z1274*EXP($AA1274*3),$Z1274*(1+$Y1274*$AA1274*3)^(1/$Y1274)))</f>
        <v/>
      </c>
      <c r="AE1274">
        <f>IF($Y1274="","",IF($Y1274=0,$Z1274*EXP($AA1274*-2),$Z1274*(1+$Y1274*$AA1274*-2)^(1/$Y1274)))</f>
        <v/>
      </c>
      <c r="AF1274">
        <f>IF($Y1274="","",IF($Y1274=0,$Z1274*EXP($AA1274*-3),$Z1274*(1+$Y1274*$AA1274*-3)^(1/$Y1274)))</f>
        <v/>
      </c>
      <c r="AG1274">
        <f>IF($W1274="","",IFERROR(INDEX(IF($T1274&lt;=60,est05_l,est519_l),MATCH($W1274,IF($T1274&lt;=60,est05_k,est519_k),1)),""))</f>
        <v/>
      </c>
      <c r="AH1274">
        <f>IF($W1274="","",IFERROR(INDEX(IF($T1274&lt;=60,est05_m,est519_m),MATCH($W1274,IF($T1274&lt;=60,est05_k,est519_k),1)),""))</f>
        <v/>
      </c>
      <c r="AI1274">
        <f>IF($W1274="","",IFERROR(INDEX(IF($T1274&lt;=60,est05_s,est519_s),MATCH($W1274,IF($T1274&lt;=60,est05_k,est519_k),1)),""))</f>
        <v/>
      </c>
      <c r="AJ1274">
        <f>IF($W1274="","",IFERROR(INDEX(IF($T1274&lt;=60,peso05_l,peso510_l),MATCH($W1274,IF($T1274&lt;=60,peso05_k,peso510_k),1)),""))</f>
        <v/>
      </c>
      <c r="AK1274">
        <f>IF($W1274="","",IFERROR(INDEX(IF($T1274&lt;=60,peso05_m,peso510_m),MATCH($W1274,IF($T1274&lt;=60,peso05_k,peso510_k),1)),""))</f>
        <v/>
      </c>
      <c r="AL1274">
        <f>IF($W1274="","",IFERROR(INDEX(IF($T1274&lt;=60,peso05_s,peso510_s),MATCH($W1274,IF($T1274&lt;=60,peso05_k,peso510_k),1)),""))</f>
        <v/>
      </c>
      <c r="AM1274">
        <f>IF($AJ1274="","",IF($AJ1274=0,LN($F1274/$AK1274)/$AL1274,((($F1274/$AK1274)^$AJ1274)-1)/($AJ1274*$AL1274)))</f>
        <v/>
      </c>
      <c r="AN1274">
        <f>IF($AJ1274="","",IF($AJ1274=0,$AK1274*EXP($AL1274*2),$AK1274*(1+$AJ1274*$AL1274*2)^(1/$AJ1274)))</f>
        <v/>
      </c>
      <c r="AO1274">
        <f>IF($AJ1274="","",IF($AJ1274=0,$AK1274*EXP($AL1274*3),$AK1274*(1+$AJ1274*$AL1274*3)^(1/$AJ1274)))</f>
        <v/>
      </c>
      <c r="AP1274">
        <f>IF($AJ1274="","",IF($AJ1274=0,$AK1274*EXP($AL1274*-2),$AK1274*(1+$AJ1274*$AL1274*-2)^(1/$AJ1274)))</f>
        <v/>
      </c>
      <c r="AQ1274">
        <f>IF($AJ1274="","",IF($AJ1274=0,$AK1274*EXP($AL1274*-3),$AK1274*(1+$AJ1274*$AL1274*-3)^(1/$AJ1274)))</f>
        <v/>
      </c>
      <c r="AR1274">
        <f>IF(OR($X1274="",$T1274&gt;60),"",IFERROR(INDEX(IF($T1274&lt;24,pcomp_l,palt_l),MATCH($X1274,IF($T1274&lt;24,pcomp_k,palt_k),1)),""))</f>
        <v/>
      </c>
      <c r="AS1274">
        <f>IF(OR($X1274="",$T1274&gt;60),"",IFERROR(INDEX(IF($T1274&lt;24,pcomp_m,palt_m),MATCH($X1274,IF($T1274&lt;24,pcomp_k,palt_k),1)),""))</f>
        <v/>
      </c>
      <c r="AT1274">
        <f>IF(OR($X1274="",$T1274&gt;60),"",IFERROR(INDEX(IF($T1274&lt;24,pcomp_s,palt_s),MATCH($X1274,IF($T1274&lt;24,pcomp_k,palt_k),1)),""))</f>
        <v/>
      </c>
      <c r="AU1274">
        <f>IF($AR1274="","",IF($AR1274=0,LN($F1274/$AS1274)/$AT1274,((($F1274/$AS1274)^$AR1274)-1)/($AR1274*$AT1274)))</f>
        <v/>
      </c>
      <c r="AV1274">
        <f>IF($AR1274="","",IF($AR1274=0,$AS1274*EXP($AT1274*2),$AS1274*(1+$AR1274*$AT1274*2)^(1/$AR1274)))</f>
        <v/>
      </c>
      <c r="AW1274">
        <f>IF($AR1274="","",IF($AR1274=0,$AS1274*EXP($AT1274*3),$AS1274*(1+$AR1274*$AT1274*3)^(1/$AR1274)))</f>
        <v/>
      </c>
      <c r="AX1274">
        <f>IF($AR1274="","",IF($AR1274=0,$AS1274*EXP($AT1274*-2),$AS1274*(1+$AR1274*$AT1274*-2)^(1/$AR1274)))</f>
        <v/>
      </c>
      <c r="AY1274">
        <f>IF($AR1274="","",IF($AR1274=0,$AS1274*EXP($AT1274*-3),$AS1274*(1+$AR1274*$AT1274*-3)^(1/$AR1274)))</f>
        <v/>
      </c>
      <c r="AZ1274">
        <f>IF(OR($A1274="",$A1274&lt;&gt;Ficha!$C$4),"",COUNTIF($A$2:$A1274,Ficha!$C$4))</f>
        <v/>
      </c>
    </row>
    <row r="1275">
      <c r="A1275" s="8">
        <f>IF(INDEX(Banco!$A:$A,ROW())="","",INDEX(Banco!$A:$A,ROW()))</f>
        <v/>
      </c>
      <c r="B1275" s="8">
        <f>IF(INDEX(Banco!$B:$B,ROW())="","",INDEX(Banco!$B:$B,ROW()))</f>
        <v/>
      </c>
      <c r="C1275" s="8">
        <f>IF(INDEX(Banco!$C:$C,ROW())="","",INDEX(Banco!$C:$C,ROW()))</f>
        <v/>
      </c>
      <c r="D1275" s="9">
        <f>IF(INDEX(Banco!$D:$D,ROW())="","",INDEX(Banco!$D:$D,ROW()))</f>
        <v/>
      </c>
      <c r="E1275" s="9">
        <f>IF(INDEX(Banco!$E:$E,ROW())="","",INDEX(Banco!$E:$E,ROW()))</f>
        <v/>
      </c>
      <c r="F1275" s="10">
        <f>IF(INDEX(Banco!$F:$F,ROW())="","",INDEX(Banco!$F:$F,ROW()))</f>
        <v/>
      </c>
      <c r="G1275" s="10">
        <f>IF(INDEX(Banco!$G:$G,ROW())="","",INDEX(Banco!$G:$G,ROW()))</f>
        <v/>
      </c>
      <c r="H1275" s="8">
        <f>IF(INDEX(Banco!$H:$H,ROW())="","",INDEX(Banco!$H:$H,ROW()))</f>
        <v/>
      </c>
      <c r="I1275">
        <f>IF($T1275="","",INT($T1275/12)&amp;"a "&amp;MOD($T1275,12)&amp;"m")</f>
        <v/>
      </c>
      <c r="J1275" s="11">
        <f>IF(OR($F1275="",$G1275=""),"",ROUND($F1275/($G1275/100)^2,2))</f>
        <v/>
      </c>
      <c r="K1275" s="12">
        <f>IF(OR($S1275="",$J1275="",$T1275="",$T1275&lt;0,$T1275&gt;228,$Y1275=""),"—",ROUND(IF(ABS($AB1275)&lt;=3,$AB1275,IF($AB1275&gt;3,3+($J1275-$AD1275)/($AD1275-$AC1275),-3+($J1275-$AF1275)/($AE1275-$AF1275))),2))</f>
        <v/>
      </c>
      <c r="L1275">
        <f>IF(OR($K1275="",$K1275="—"),"",IF($T1275&lt;=60,IF($K1275&lt;-3,"Magreza acentuada",IF($K1275&lt;-2,"Magreza",IF($K1275&lt;=1,"Eutrofia",IF($K1275&lt;=2,"Risco de sobrepeso",IF($K1275&lt;=3,"Sobrepeso","Obesidade"))))),IF($K1275&lt;-3,"Magreza acentuada",IF($K1275&lt;-2,"Magreza",IF($K1275&lt;=1,"Eutrofia",IF($K1275&lt;=2,"Sobrepeso",IF($K1275&lt;=3,"Obesidade","Obesidade grave")))))))</f>
        <v/>
      </c>
      <c r="M1275" s="12">
        <f>IF(OR($S1275="",$V1275="",$T1275="",$T1275&lt;0,$T1275&gt;228,$AG1275=""),"—",ROUND(IF($AG1275=0,LN($V1275/$AH1275)/$AI1275,((($V1275/$AH1275)^$AG1275)-1)/($AG1275*$AI1275)),2))</f>
        <v/>
      </c>
      <c r="N1275">
        <f>IF(OR($M1275="",$M1275="—"),"",IF($M1275&lt;-3,"Muito baixa",IF($M1275&lt;-2,"Baixa","Adequada")))</f>
        <v/>
      </c>
      <c r="O1275" s="12">
        <f>IF(OR($S1275="",$F1275="",$T1275="",$T1275&lt;0,$T1275&gt;120,$AJ1275=""),"—",ROUND(IF(ABS($AM1275)&lt;=3,$AM1275,IF($AM1275&gt;3,3+($F1275-$AO1275)/($AO1275-$AN1275),-3+($F1275-$AQ1275)/($AP1275-$AQ1275))),2))</f>
        <v/>
      </c>
      <c r="P1275">
        <f>IF(OR($O1275="",$O1275="—"),"",IF($O1275&lt;-3,"Muito baixo",IF($O1275&lt;-2,"Baixo",IF($O1275&lt;=2,"Adequado","Elevado"))))</f>
        <v/>
      </c>
      <c r="Q1275" s="12">
        <f>IF(OR($S1275="",$F1275="",$T1275="",$T1275&lt;0,$T1275&gt;60,$AR1275=""),"—",ROUND(IF(ABS($AU1275)&lt;=3,$AU1275,IF($AU1275&gt;3,3+($F1275-$AW1275)/($AW1275-$AV1275),-3+($F1275-$AY1275)/($AX1275-$AY1275))),2))</f>
        <v/>
      </c>
      <c r="R1275">
        <f>IF(OR($Q1275="",$Q1275="—"),"",IF($Q1275&lt;-3,"Magreza acentuada",IF($Q1275&lt;-2,"Magreza",IF($Q1275&lt;=1,"Eutrofia",IF($Q1275&lt;=2,"Risco de sobrepeso",IF($Q1275&lt;=3,"Sobrepeso","Obesidade"))))))</f>
        <v/>
      </c>
      <c r="S1275">
        <f>IF($C1275="","",IF(UPPER(LEFT($C1275,1))="M",1,IF(UPPER(LEFT($C1275,1))="F",2,"")))</f>
        <v/>
      </c>
      <c r="T1275">
        <f>IF(OR($D1275="",$E1275=""),"",DATEDIF($D1275,$E1275,"m"))</f>
        <v/>
      </c>
      <c r="U1275">
        <f>IF(OR($D1275="",$E1275=""),"",$E1275-$D1275)</f>
        <v/>
      </c>
      <c r="V1275">
        <f>IF(OR($G1275="",$T1275=""),"",IF($T1275&lt;24,IF(LEFT(LOWER($H1275),4)="em p",$G1275+0.7,$G1275),IF(LEFT(LOWER($H1275),4)="deit",$G1275-0.7,$G1275)))</f>
        <v/>
      </c>
      <c r="W1275">
        <f>IF(OR($S1275="",$T1275=""),"",$S1275*1000000+IF($T1275&lt;=60,$U1275,$T1275))</f>
        <v/>
      </c>
      <c r="X1275">
        <f>IF(OR($S1275="",$V1275="",$T1275&gt;60,$T1275=""),"",$S1275*1000000+ROUND($V1275*10,0))</f>
        <v/>
      </c>
      <c r="Y1275">
        <f>IF($W1275="","",IFERROR(INDEX(IF($T1275&lt;=60,imc05_l,imc519_l),MATCH($W1275,IF($T1275&lt;=60,imc05_k,imc519_k),1)),""))</f>
        <v/>
      </c>
      <c r="Z1275">
        <f>IF($W1275="","",IFERROR(INDEX(IF($T1275&lt;=60,imc05_m,imc519_m),MATCH($W1275,IF($T1275&lt;=60,imc05_k,imc519_k),1)),""))</f>
        <v/>
      </c>
      <c r="AA1275">
        <f>IF($W1275="","",IFERROR(INDEX(IF($T1275&lt;=60,imc05_s,imc519_s),MATCH($W1275,IF($T1275&lt;=60,imc05_k,imc519_k),1)),""))</f>
        <v/>
      </c>
      <c r="AB1275">
        <f>IF($Y1275="","",IF($Y1275=0,LN($J1275/$Z1275)/$AA1275,((($J1275/$Z1275)^$Y1275)-1)/($Y1275*$AA1275)))</f>
        <v/>
      </c>
      <c r="AC1275">
        <f>IF($Y1275="","",IF($Y1275=0,$Z1275*EXP($AA1275*2),$Z1275*(1+$Y1275*$AA1275*2)^(1/$Y1275)))</f>
        <v/>
      </c>
      <c r="AD1275">
        <f>IF($Y1275="","",IF($Y1275=0,$Z1275*EXP($AA1275*3),$Z1275*(1+$Y1275*$AA1275*3)^(1/$Y1275)))</f>
        <v/>
      </c>
      <c r="AE1275">
        <f>IF($Y1275="","",IF($Y1275=0,$Z1275*EXP($AA1275*-2),$Z1275*(1+$Y1275*$AA1275*-2)^(1/$Y1275)))</f>
        <v/>
      </c>
      <c r="AF1275">
        <f>IF($Y1275="","",IF($Y1275=0,$Z1275*EXP($AA1275*-3),$Z1275*(1+$Y1275*$AA1275*-3)^(1/$Y1275)))</f>
        <v/>
      </c>
      <c r="AG1275">
        <f>IF($W1275="","",IFERROR(INDEX(IF($T1275&lt;=60,est05_l,est519_l),MATCH($W1275,IF($T1275&lt;=60,est05_k,est519_k),1)),""))</f>
        <v/>
      </c>
      <c r="AH1275">
        <f>IF($W1275="","",IFERROR(INDEX(IF($T1275&lt;=60,est05_m,est519_m),MATCH($W1275,IF($T1275&lt;=60,est05_k,est519_k),1)),""))</f>
        <v/>
      </c>
      <c r="AI1275">
        <f>IF($W1275="","",IFERROR(INDEX(IF($T1275&lt;=60,est05_s,est519_s),MATCH($W1275,IF($T1275&lt;=60,est05_k,est519_k),1)),""))</f>
        <v/>
      </c>
      <c r="AJ1275">
        <f>IF($W1275="","",IFERROR(INDEX(IF($T1275&lt;=60,peso05_l,peso510_l),MATCH($W1275,IF($T1275&lt;=60,peso05_k,peso510_k),1)),""))</f>
        <v/>
      </c>
      <c r="AK1275">
        <f>IF($W1275="","",IFERROR(INDEX(IF($T1275&lt;=60,peso05_m,peso510_m),MATCH($W1275,IF($T1275&lt;=60,peso05_k,peso510_k),1)),""))</f>
        <v/>
      </c>
      <c r="AL1275">
        <f>IF($W1275="","",IFERROR(INDEX(IF($T1275&lt;=60,peso05_s,peso510_s),MATCH($W1275,IF($T1275&lt;=60,peso05_k,peso510_k),1)),""))</f>
        <v/>
      </c>
      <c r="AM1275">
        <f>IF($AJ1275="","",IF($AJ1275=0,LN($F1275/$AK1275)/$AL1275,((($F1275/$AK1275)^$AJ1275)-1)/($AJ1275*$AL1275)))</f>
        <v/>
      </c>
      <c r="AN1275">
        <f>IF($AJ1275="","",IF($AJ1275=0,$AK1275*EXP($AL1275*2),$AK1275*(1+$AJ1275*$AL1275*2)^(1/$AJ1275)))</f>
        <v/>
      </c>
      <c r="AO1275">
        <f>IF($AJ1275="","",IF($AJ1275=0,$AK1275*EXP($AL1275*3),$AK1275*(1+$AJ1275*$AL1275*3)^(1/$AJ1275)))</f>
        <v/>
      </c>
      <c r="AP1275">
        <f>IF($AJ1275="","",IF($AJ1275=0,$AK1275*EXP($AL1275*-2),$AK1275*(1+$AJ1275*$AL1275*-2)^(1/$AJ1275)))</f>
        <v/>
      </c>
      <c r="AQ1275">
        <f>IF($AJ1275="","",IF($AJ1275=0,$AK1275*EXP($AL1275*-3),$AK1275*(1+$AJ1275*$AL1275*-3)^(1/$AJ1275)))</f>
        <v/>
      </c>
      <c r="AR1275">
        <f>IF(OR($X1275="",$T1275&gt;60),"",IFERROR(INDEX(IF($T1275&lt;24,pcomp_l,palt_l),MATCH($X1275,IF($T1275&lt;24,pcomp_k,palt_k),1)),""))</f>
        <v/>
      </c>
      <c r="AS1275">
        <f>IF(OR($X1275="",$T1275&gt;60),"",IFERROR(INDEX(IF($T1275&lt;24,pcomp_m,palt_m),MATCH($X1275,IF($T1275&lt;24,pcomp_k,palt_k),1)),""))</f>
        <v/>
      </c>
      <c r="AT1275">
        <f>IF(OR($X1275="",$T1275&gt;60),"",IFERROR(INDEX(IF($T1275&lt;24,pcomp_s,palt_s),MATCH($X1275,IF($T1275&lt;24,pcomp_k,palt_k),1)),""))</f>
        <v/>
      </c>
      <c r="AU1275">
        <f>IF($AR1275="","",IF($AR1275=0,LN($F1275/$AS1275)/$AT1275,((($F1275/$AS1275)^$AR1275)-1)/($AR1275*$AT1275)))</f>
        <v/>
      </c>
      <c r="AV1275">
        <f>IF($AR1275="","",IF($AR1275=0,$AS1275*EXP($AT1275*2),$AS1275*(1+$AR1275*$AT1275*2)^(1/$AR1275)))</f>
        <v/>
      </c>
      <c r="AW1275">
        <f>IF($AR1275="","",IF($AR1275=0,$AS1275*EXP($AT1275*3),$AS1275*(1+$AR1275*$AT1275*3)^(1/$AR1275)))</f>
        <v/>
      </c>
      <c r="AX1275">
        <f>IF($AR1275="","",IF($AR1275=0,$AS1275*EXP($AT1275*-2),$AS1275*(1+$AR1275*$AT1275*-2)^(1/$AR1275)))</f>
        <v/>
      </c>
      <c r="AY1275">
        <f>IF($AR1275="","",IF($AR1275=0,$AS1275*EXP($AT1275*-3),$AS1275*(1+$AR1275*$AT1275*-3)^(1/$AR1275)))</f>
        <v/>
      </c>
      <c r="AZ1275">
        <f>IF(OR($A1275="",$A1275&lt;&gt;Ficha!$C$4),"",COUNTIF($A$2:$A1275,Ficha!$C$4))</f>
        <v/>
      </c>
    </row>
    <row r="1276">
      <c r="A1276" s="8">
        <f>IF(INDEX(Banco!$A:$A,ROW())="","",INDEX(Banco!$A:$A,ROW()))</f>
        <v/>
      </c>
      <c r="B1276" s="8">
        <f>IF(INDEX(Banco!$B:$B,ROW())="","",INDEX(Banco!$B:$B,ROW()))</f>
        <v/>
      </c>
      <c r="C1276" s="8">
        <f>IF(INDEX(Banco!$C:$C,ROW())="","",INDEX(Banco!$C:$C,ROW()))</f>
        <v/>
      </c>
      <c r="D1276" s="9">
        <f>IF(INDEX(Banco!$D:$D,ROW())="","",INDEX(Banco!$D:$D,ROW()))</f>
        <v/>
      </c>
      <c r="E1276" s="9">
        <f>IF(INDEX(Banco!$E:$E,ROW())="","",INDEX(Banco!$E:$E,ROW()))</f>
        <v/>
      </c>
      <c r="F1276" s="10">
        <f>IF(INDEX(Banco!$F:$F,ROW())="","",INDEX(Banco!$F:$F,ROW()))</f>
        <v/>
      </c>
      <c r="G1276" s="10">
        <f>IF(INDEX(Banco!$G:$G,ROW())="","",INDEX(Banco!$G:$G,ROW()))</f>
        <v/>
      </c>
      <c r="H1276" s="8">
        <f>IF(INDEX(Banco!$H:$H,ROW())="","",INDEX(Banco!$H:$H,ROW()))</f>
        <v/>
      </c>
      <c r="I1276">
        <f>IF($T1276="","",INT($T1276/12)&amp;"a "&amp;MOD($T1276,12)&amp;"m")</f>
        <v/>
      </c>
      <c r="J1276" s="11">
        <f>IF(OR($F1276="",$G1276=""),"",ROUND($F1276/($G1276/100)^2,2))</f>
        <v/>
      </c>
      <c r="K1276" s="12">
        <f>IF(OR($S1276="",$J1276="",$T1276="",$T1276&lt;0,$T1276&gt;228,$Y1276=""),"—",ROUND(IF(ABS($AB1276)&lt;=3,$AB1276,IF($AB1276&gt;3,3+($J1276-$AD1276)/($AD1276-$AC1276),-3+($J1276-$AF1276)/($AE1276-$AF1276))),2))</f>
        <v/>
      </c>
      <c r="L1276">
        <f>IF(OR($K1276="",$K1276="—"),"",IF($T1276&lt;=60,IF($K1276&lt;-3,"Magreza acentuada",IF($K1276&lt;-2,"Magreza",IF($K1276&lt;=1,"Eutrofia",IF($K1276&lt;=2,"Risco de sobrepeso",IF($K1276&lt;=3,"Sobrepeso","Obesidade"))))),IF($K1276&lt;-3,"Magreza acentuada",IF($K1276&lt;-2,"Magreza",IF($K1276&lt;=1,"Eutrofia",IF($K1276&lt;=2,"Sobrepeso",IF($K1276&lt;=3,"Obesidade","Obesidade grave")))))))</f>
        <v/>
      </c>
      <c r="M1276" s="12">
        <f>IF(OR($S1276="",$V1276="",$T1276="",$T1276&lt;0,$T1276&gt;228,$AG1276=""),"—",ROUND(IF($AG1276=0,LN($V1276/$AH1276)/$AI1276,((($V1276/$AH1276)^$AG1276)-1)/($AG1276*$AI1276)),2))</f>
        <v/>
      </c>
      <c r="N1276">
        <f>IF(OR($M1276="",$M1276="—"),"",IF($M1276&lt;-3,"Muito baixa",IF($M1276&lt;-2,"Baixa","Adequada")))</f>
        <v/>
      </c>
      <c r="O1276" s="12">
        <f>IF(OR($S1276="",$F1276="",$T1276="",$T1276&lt;0,$T1276&gt;120,$AJ1276=""),"—",ROUND(IF(ABS($AM1276)&lt;=3,$AM1276,IF($AM1276&gt;3,3+($F1276-$AO1276)/($AO1276-$AN1276),-3+($F1276-$AQ1276)/($AP1276-$AQ1276))),2))</f>
        <v/>
      </c>
      <c r="P1276">
        <f>IF(OR($O1276="",$O1276="—"),"",IF($O1276&lt;-3,"Muito baixo",IF($O1276&lt;-2,"Baixo",IF($O1276&lt;=2,"Adequado","Elevado"))))</f>
        <v/>
      </c>
      <c r="Q1276" s="12">
        <f>IF(OR($S1276="",$F1276="",$T1276="",$T1276&lt;0,$T1276&gt;60,$AR1276=""),"—",ROUND(IF(ABS($AU1276)&lt;=3,$AU1276,IF($AU1276&gt;3,3+($F1276-$AW1276)/($AW1276-$AV1276),-3+($F1276-$AY1276)/($AX1276-$AY1276))),2))</f>
        <v/>
      </c>
      <c r="R1276">
        <f>IF(OR($Q1276="",$Q1276="—"),"",IF($Q1276&lt;-3,"Magreza acentuada",IF($Q1276&lt;-2,"Magreza",IF($Q1276&lt;=1,"Eutrofia",IF($Q1276&lt;=2,"Risco de sobrepeso",IF($Q1276&lt;=3,"Sobrepeso","Obesidade"))))))</f>
        <v/>
      </c>
      <c r="S1276">
        <f>IF($C1276="","",IF(UPPER(LEFT($C1276,1))="M",1,IF(UPPER(LEFT($C1276,1))="F",2,"")))</f>
        <v/>
      </c>
      <c r="T1276">
        <f>IF(OR($D1276="",$E1276=""),"",DATEDIF($D1276,$E1276,"m"))</f>
        <v/>
      </c>
      <c r="U1276">
        <f>IF(OR($D1276="",$E1276=""),"",$E1276-$D1276)</f>
        <v/>
      </c>
      <c r="V1276">
        <f>IF(OR($G1276="",$T1276=""),"",IF($T1276&lt;24,IF(LEFT(LOWER($H1276),4)="em p",$G1276+0.7,$G1276),IF(LEFT(LOWER($H1276),4)="deit",$G1276-0.7,$G1276)))</f>
        <v/>
      </c>
      <c r="W1276">
        <f>IF(OR($S1276="",$T1276=""),"",$S1276*1000000+IF($T1276&lt;=60,$U1276,$T1276))</f>
        <v/>
      </c>
      <c r="X1276">
        <f>IF(OR($S1276="",$V1276="",$T1276&gt;60,$T1276=""),"",$S1276*1000000+ROUND($V1276*10,0))</f>
        <v/>
      </c>
      <c r="Y1276">
        <f>IF($W1276="","",IFERROR(INDEX(IF($T1276&lt;=60,imc05_l,imc519_l),MATCH($W1276,IF($T1276&lt;=60,imc05_k,imc519_k),1)),""))</f>
        <v/>
      </c>
      <c r="Z1276">
        <f>IF($W1276="","",IFERROR(INDEX(IF($T1276&lt;=60,imc05_m,imc519_m),MATCH($W1276,IF($T1276&lt;=60,imc05_k,imc519_k),1)),""))</f>
        <v/>
      </c>
      <c r="AA1276">
        <f>IF($W1276="","",IFERROR(INDEX(IF($T1276&lt;=60,imc05_s,imc519_s),MATCH($W1276,IF($T1276&lt;=60,imc05_k,imc519_k),1)),""))</f>
        <v/>
      </c>
      <c r="AB1276">
        <f>IF($Y1276="","",IF($Y1276=0,LN($J1276/$Z1276)/$AA1276,((($J1276/$Z1276)^$Y1276)-1)/($Y1276*$AA1276)))</f>
        <v/>
      </c>
      <c r="AC1276">
        <f>IF($Y1276="","",IF($Y1276=0,$Z1276*EXP($AA1276*2),$Z1276*(1+$Y1276*$AA1276*2)^(1/$Y1276)))</f>
        <v/>
      </c>
      <c r="AD1276">
        <f>IF($Y1276="","",IF($Y1276=0,$Z1276*EXP($AA1276*3),$Z1276*(1+$Y1276*$AA1276*3)^(1/$Y1276)))</f>
        <v/>
      </c>
      <c r="AE1276">
        <f>IF($Y1276="","",IF($Y1276=0,$Z1276*EXP($AA1276*-2),$Z1276*(1+$Y1276*$AA1276*-2)^(1/$Y1276)))</f>
        <v/>
      </c>
      <c r="AF1276">
        <f>IF($Y1276="","",IF($Y1276=0,$Z1276*EXP($AA1276*-3),$Z1276*(1+$Y1276*$AA1276*-3)^(1/$Y1276)))</f>
        <v/>
      </c>
      <c r="AG1276">
        <f>IF($W1276="","",IFERROR(INDEX(IF($T1276&lt;=60,est05_l,est519_l),MATCH($W1276,IF($T1276&lt;=60,est05_k,est519_k),1)),""))</f>
        <v/>
      </c>
      <c r="AH1276">
        <f>IF($W1276="","",IFERROR(INDEX(IF($T1276&lt;=60,est05_m,est519_m),MATCH($W1276,IF($T1276&lt;=60,est05_k,est519_k),1)),""))</f>
        <v/>
      </c>
      <c r="AI1276">
        <f>IF($W1276="","",IFERROR(INDEX(IF($T1276&lt;=60,est05_s,est519_s),MATCH($W1276,IF($T1276&lt;=60,est05_k,est519_k),1)),""))</f>
        <v/>
      </c>
      <c r="AJ1276">
        <f>IF($W1276="","",IFERROR(INDEX(IF($T1276&lt;=60,peso05_l,peso510_l),MATCH($W1276,IF($T1276&lt;=60,peso05_k,peso510_k),1)),""))</f>
        <v/>
      </c>
      <c r="AK1276">
        <f>IF($W1276="","",IFERROR(INDEX(IF($T1276&lt;=60,peso05_m,peso510_m),MATCH($W1276,IF($T1276&lt;=60,peso05_k,peso510_k),1)),""))</f>
        <v/>
      </c>
      <c r="AL1276">
        <f>IF($W1276="","",IFERROR(INDEX(IF($T1276&lt;=60,peso05_s,peso510_s),MATCH($W1276,IF($T1276&lt;=60,peso05_k,peso510_k),1)),""))</f>
        <v/>
      </c>
      <c r="AM1276">
        <f>IF($AJ1276="","",IF($AJ1276=0,LN($F1276/$AK1276)/$AL1276,((($F1276/$AK1276)^$AJ1276)-1)/($AJ1276*$AL1276)))</f>
        <v/>
      </c>
      <c r="AN1276">
        <f>IF($AJ1276="","",IF($AJ1276=0,$AK1276*EXP($AL1276*2),$AK1276*(1+$AJ1276*$AL1276*2)^(1/$AJ1276)))</f>
        <v/>
      </c>
      <c r="AO1276">
        <f>IF($AJ1276="","",IF($AJ1276=0,$AK1276*EXP($AL1276*3),$AK1276*(1+$AJ1276*$AL1276*3)^(1/$AJ1276)))</f>
        <v/>
      </c>
      <c r="AP1276">
        <f>IF($AJ1276="","",IF($AJ1276=0,$AK1276*EXP($AL1276*-2),$AK1276*(1+$AJ1276*$AL1276*-2)^(1/$AJ1276)))</f>
        <v/>
      </c>
      <c r="AQ1276">
        <f>IF($AJ1276="","",IF($AJ1276=0,$AK1276*EXP($AL1276*-3),$AK1276*(1+$AJ1276*$AL1276*-3)^(1/$AJ1276)))</f>
        <v/>
      </c>
      <c r="AR1276">
        <f>IF(OR($X1276="",$T1276&gt;60),"",IFERROR(INDEX(IF($T1276&lt;24,pcomp_l,palt_l),MATCH($X1276,IF($T1276&lt;24,pcomp_k,palt_k),1)),""))</f>
        <v/>
      </c>
      <c r="AS1276">
        <f>IF(OR($X1276="",$T1276&gt;60),"",IFERROR(INDEX(IF($T1276&lt;24,pcomp_m,palt_m),MATCH($X1276,IF($T1276&lt;24,pcomp_k,palt_k),1)),""))</f>
        <v/>
      </c>
      <c r="AT1276">
        <f>IF(OR($X1276="",$T1276&gt;60),"",IFERROR(INDEX(IF($T1276&lt;24,pcomp_s,palt_s),MATCH($X1276,IF($T1276&lt;24,pcomp_k,palt_k),1)),""))</f>
        <v/>
      </c>
      <c r="AU1276">
        <f>IF($AR1276="","",IF($AR1276=0,LN($F1276/$AS1276)/$AT1276,((($F1276/$AS1276)^$AR1276)-1)/($AR1276*$AT1276)))</f>
        <v/>
      </c>
      <c r="AV1276">
        <f>IF($AR1276="","",IF($AR1276=0,$AS1276*EXP($AT1276*2),$AS1276*(1+$AR1276*$AT1276*2)^(1/$AR1276)))</f>
        <v/>
      </c>
      <c r="AW1276">
        <f>IF($AR1276="","",IF($AR1276=0,$AS1276*EXP($AT1276*3),$AS1276*(1+$AR1276*$AT1276*3)^(1/$AR1276)))</f>
        <v/>
      </c>
      <c r="AX1276">
        <f>IF($AR1276="","",IF($AR1276=0,$AS1276*EXP($AT1276*-2),$AS1276*(1+$AR1276*$AT1276*-2)^(1/$AR1276)))</f>
        <v/>
      </c>
      <c r="AY1276">
        <f>IF($AR1276="","",IF($AR1276=0,$AS1276*EXP($AT1276*-3),$AS1276*(1+$AR1276*$AT1276*-3)^(1/$AR1276)))</f>
        <v/>
      </c>
      <c r="AZ1276">
        <f>IF(OR($A1276="",$A1276&lt;&gt;Ficha!$C$4),"",COUNTIF($A$2:$A1276,Ficha!$C$4))</f>
        <v/>
      </c>
    </row>
    <row r="1277">
      <c r="A1277" s="8">
        <f>IF(INDEX(Banco!$A:$A,ROW())="","",INDEX(Banco!$A:$A,ROW()))</f>
        <v/>
      </c>
      <c r="B1277" s="8">
        <f>IF(INDEX(Banco!$B:$B,ROW())="","",INDEX(Banco!$B:$B,ROW()))</f>
        <v/>
      </c>
      <c r="C1277" s="8">
        <f>IF(INDEX(Banco!$C:$C,ROW())="","",INDEX(Banco!$C:$C,ROW()))</f>
        <v/>
      </c>
      <c r="D1277" s="9">
        <f>IF(INDEX(Banco!$D:$D,ROW())="","",INDEX(Banco!$D:$D,ROW()))</f>
        <v/>
      </c>
      <c r="E1277" s="9">
        <f>IF(INDEX(Banco!$E:$E,ROW())="","",INDEX(Banco!$E:$E,ROW()))</f>
        <v/>
      </c>
      <c r="F1277" s="10">
        <f>IF(INDEX(Banco!$F:$F,ROW())="","",INDEX(Banco!$F:$F,ROW()))</f>
        <v/>
      </c>
      <c r="G1277" s="10">
        <f>IF(INDEX(Banco!$G:$G,ROW())="","",INDEX(Banco!$G:$G,ROW()))</f>
        <v/>
      </c>
      <c r="H1277" s="8">
        <f>IF(INDEX(Banco!$H:$H,ROW())="","",INDEX(Banco!$H:$H,ROW()))</f>
        <v/>
      </c>
      <c r="I1277">
        <f>IF($T1277="","",INT($T1277/12)&amp;"a "&amp;MOD($T1277,12)&amp;"m")</f>
        <v/>
      </c>
      <c r="J1277" s="11">
        <f>IF(OR($F1277="",$G1277=""),"",ROUND($F1277/($G1277/100)^2,2))</f>
        <v/>
      </c>
      <c r="K1277" s="12">
        <f>IF(OR($S1277="",$J1277="",$T1277="",$T1277&lt;0,$T1277&gt;228,$Y1277=""),"—",ROUND(IF(ABS($AB1277)&lt;=3,$AB1277,IF($AB1277&gt;3,3+($J1277-$AD1277)/($AD1277-$AC1277),-3+($J1277-$AF1277)/($AE1277-$AF1277))),2))</f>
        <v/>
      </c>
      <c r="L1277">
        <f>IF(OR($K1277="",$K1277="—"),"",IF($T1277&lt;=60,IF($K1277&lt;-3,"Magreza acentuada",IF($K1277&lt;-2,"Magreza",IF($K1277&lt;=1,"Eutrofia",IF($K1277&lt;=2,"Risco de sobrepeso",IF($K1277&lt;=3,"Sobrepeso","Obesidade"))))),IF($K1277&lt;-3,"Magreza acentuada",IF($K1277&lt;-2,"Magreza",IF($K1277&lt;=1,"Eutrofia",IF($K1277&lt;=2,"Sobrepeso",IF($K1277&lt;=3,"Obesidade","Obesidade grave")))))))</f>
        <v/>
      </c>
      <c r="M1277" s="12">
        <f>IF(OR($S1277="",$V1277="",$T1277="",$T1277&lt;0,$T1277&gt;228,$AG1277=""),"—",ROUND(IF($AG1277=0,LN($V1277/$AH1277)/$AI1277,((($V1277/$AH1277)^$AG1277)-1)/($AG1277*$AI1277)),2))</f>
        <v/>
      </c>
      <c r="N1277">
        <f>IF(OR($M1277="",$M1277="—"),"",IF($M1277&lt;-3,"Muito baixa",IF($M1277&lt;-2,"Baixa","Adequada")))</f>
        <v/>
      </c>
      <c r="O1277" s="12">
        <f>IF(OR($S1277="",$F1277="",$T1277="",$T1277&lt;0,$T1277&gt;120,$AJ1277=""),"—",ROUND(IF(ABS($AM1277)&lt;=3,$AM1277,IF($AM1277&gt;3,3+($F1277-$AO1277)/($AO1277-$AN1277),-3+($F1277-$AQ1277)/($AP1277-$AQ1277))),2))</f>
        <v/>
      </c>
      <c r="P1277">
        <f>IF(OR($O1277="",$O1277="—"),"",IF($O1277&lt;-3,"Muito baixo",IF($O1277&lt;-2,"Baixo",IF($O1277&lt;=2,"Adequado","Elevado"))))</f>
        <v/>
      </c>
      <c r="Q1277" s="12">
        <f>IF(OR($S1277="",$F1277="",$T1277="",$T1277&lt;0,$T1277&gt;60,$AR1277=""),"—",ROUND(IF(ABS($AU1277)&lt;=3,$AU1277,IF($AU1277&gt;3,3+($F1277-$AW1277)/($AW1277-$AV1277),-3+($F1277-$AY1277)/($AX1277-$AY1277))),2))</f>
        <v/>
      </c>
      <c r="R1277">
        <f>IF(OR($Q1277="",$Q1277="—"),"",IF($Q1277&lt;-3,"Magreza acentuada",IF($Q1277&lt;-2,"Magreza",IF($Q1277&lt;=1,"Eutrofia",IF($Q1277&lt;=2,"Risco de sobrepeso",IF($Q1277&lt;=3,"Sobrepeso","Obesidade"))))))</f>
        <v/>
      </c>
      <c r="S1277">
        <f>IF($C1277="","",IF(UPPER(LEFT($C1277,1))="M",1,IF(UPPER(LEFT($C1277,1))="F",2,"")))</f>
        <v/>
      </c>
      <c r="T1277">
        <f>IF(OR($D1277="",$E1277=""),"",DATEDIF($D1277,$E1277,"m"))</f>
        <v/>
      </c>
      <c r="U1277">
        <f>IF(OR($D1277="",$E1277=""),"",$E1277-$D1277)</f>
        <v/>
      </c>
      <c r="V1277">
        <f>IF(OR($G1277="",$T1277=""),"",IF($T1277&lt;24,IF(LEFT(LOWER($H1277),4)="em p",$G1277+0.7,$G1277),IF(LEFT(LOWER($H1277),4)="deit",$G1277-0.7,$G1277)))</f>
        <v/>
      </c>
      <c r="W1277">
        <f>IF(OR($S1277="",$T1277=""),"",$S1277*1000000+IF($T1277&lt;=60,$U1277,$T1277))</f>
        <v/>
      </c>
      <c r="X1277">
        <f>IF(OR($S1277="",$V1277="",$T1277&gt;60,$T1277=""),"",$S1277*1000000+ROUND($V1277*10,0))</f>
        <v/>
      </c>
      <c r="Y1277">
        <f>IF($W1277="","",IFERROR(INDEX(IF($T1277&lt;=60,imc05_l,imc519_l),MATCH($W1277,IF($T1277&lt;=60,imc05_k,imc519_k),1)),""))</f>
        <v/>
      </c>
      <c r="Z1277">
        <f>IF($W1277="","",IFERROR(INDEX(IF($T1277&lt;=60,imc05_m,imc519_m),MATCH($W1277,IF($T1277&lt;=60,imc05_k,imc519_k),1)),""))</f>
        <v/>
      </c>
      <c r="AA1277">
        <f>IF($W1277="","",IFERROR(INDEX(IF($T1277&lt;=60,imc05_s,imc519_s),MATCH($W1277,IF($T1277&lt;=60,imc05_k,imc519_k),1)),""))</f>
        <v/>
      </c>
      <c r="AB1277">
        <f>IF($Y1277="","",IF($Y1277=0,LN($J1277/$Z1277)/$AA1277,((($J1277/$Z1277)^$Y1277)-1)/($Y1277*$AA1277)))</f>
        <v/>
      </c>
      <c r="AC1277">
        <f>IF($Y1277="","",IF($Y1277=0,$Z1277*EXP($AA1277*2),$Z1277*(1+$Y1277*$AA1277*2)^(1/$Y1277)))</f>
        <v/>
      </c>
      <c r="AD1277">
        <f>IF($Y1277="","",IF($Y1277=0,$Z1277*EXP($AA1277*3),$Z1277*(1+$Y1277*$AA1277*3)^(1/$Y1277)))</f>
        <v/>
      </c>
      <c r="AE1277">
        <f>IF($Y1277="","",IF($Y1277=0,$Z1277*EXP($AA1277*-2),$Z1277*(1+$Y1277*$AA1277*-2)^(1/$Y1277)))</f>
        <v/>
      </c>
      <c r="AF1277">
        <f>IF($Y1277="","",IF($Y1277=0,$Z1277*EXP($AA1277*-3),$Z1277*(1+$Y1277*$AA1277*-3)^(1/$Y1277)))</f>
        <v/>
      </c>
      <c r="AG1277">
        <f>IF($W1277="","",IFERROR(INDEX(IF($T1277&lt;=60,est05_l,est519_l),MATCH($W1277,IF($T1277&lt;=60,est05_k,est519_k),1)),""))</f>
        <v/>
      </c>
      <c r="AH1277">
        <f>IF($W1277="","",IFERROR(INDEX(IF($T1277&lt;=60,est05_m,est519_m),MATCH($W1277,IF($T1277&lt;=60,est05_k,est519_k),1)),""))</f>
        <v/>
      </c>
      <c r="AI1277">
        <f>IF($W1277="","",IFERROR(INDEX(IF($T1277&lt;=60,est05_s,est519_s),MATCH($W1277,IF($T1277&lt;=60,est05_k,est519_k),1)),""))</f>
        <v/>
      </c>
      <c r="AJ1277">
        <f>IF($W1277="","",IFERROR(INDEX(IF($T1277&lt;=60,peso05_l,peso510_l),MATCH($W1277,IF($T1277&lt;=60,peso05_k,peso510_k),1)),""))</f>
        <v/>
      </c>
      <c r="AK1277">
        <f>IF($W1277="","",IFERROR(INDEX(IF($T1277&lt;=60,peso05_m,peso510_m),MATCH($W1277,IF($T1277&lt;=60,peso05_k,peso510_k),1)),""))</f>
        <v/>
      </c>
      <c r="AL1277">
        <f>IF($W1277="","",IFERROR(INDEX(IF($T1277&lt;=60,peso05_s,peso510_s),MATCH($W1277,IF($T1277&lt;=60,peso05_k,peso510_k),1)),""))</f>
        <v/>
      </c>
      <c r="AM1277">
        <f>IF($AJ1277="","",IF($AJ1277=0,LN($F1277/$AK1277)/$AL1277,((($F1277/$AK1277)^$AJ1277)-1)/($AJ1277*$AL1277)))</f>
        <v/>
      </c>
      <c r="AN1277">
        <f>IF($AJ1277="","",IF($AJ1277=0,$AK1277*EXP($AL1277*2),$AK1277*(1+$AJ1277*$AL1277*2)^(1/$AJ1277)))</f>
        <v/>
      </c>
      <c r="AO1277">
        <f>IF($AJ1277="","",IF($AJ1277=0,$AK1277*EXP($AL1277*3),$AK1277*(1+$AJ1277*$AL1277*3)^(1/$AJ1277)))</f>
        <v/>
      </c>
      <c r="AP1277">
        <f>IF($AJ1277="","",IF($AJ1277=0,$AK1277*EXP($AL1277*-2),$AK1277*(1+$AJ1277*$AL1277*-2)^(1/$AJ1277)))</f>
        <v/>
      </c>
      <c r="AQ1277">
        <f>IF($AJ1277="","",IF($AJ1277=0,$AK1277*EXP($AL1277*-3),$AK1277*(1+$AJ1277*$AL1277*-3)^(1/$AJ1277)))</f>
        <v/>
      </c>
      <c r="AR1277">
        <f>IF(OR($X1277="",$T1277&gt;60),"",IFERROR(INDEX(IF($T1277&lt;24,pcomp_l,palt_l),MATCH($X1277,IF($T1277&lt;24,pcomp_k,palt_k),1)),""))</f>
        <v/>
      </c>
      <c r="AS1277">
        <f>IF(OR($X1277="",$T1277&gt;60),"",IFERROR(INDEX(IF($T1277&lt;24,pcomp_m,palt_m),MATCH($X1277,IF($T1277&lt;24,pcomp_k,palt_k),1)),""))</f>
        <v/>
      </c>
      <c r="AT1277">
        <f>IF(OR($X1277="",$T1277&gt;60),"",IFERROR(INDEX(IF($T1277&lt;24,pcomp_s,palt_s),MATCH($X1277,IF($T1277&lt;24,pcomp_k,palt_k),1)),""))</f>
        <v/>
      </c>
      <c r="AU1277">
        <f>IF($AR1277="","",IF($AR1277=0,LN($F1277/$AS1277)/$AT1277,((($F1277/$AS1277)^$AR1277)-1)/($AR1277*$AT1277)))</f>
        <v/>
      </c>
      <c r="AV1277">
        <f>IF($AR1277="","",IF($AR1277=0,$AS1277*EXP($AT1277*2),$AS1277*(1+$AR1277*$AT1277*2)^(1/$AR1277)))</f>
        <v/>
      </c>
      <c r="AW1277">
        <f>IF($AR1277="","",IF($AR1277=0,$AS1277*EXP($AT1277*3),$AS1277*(1+$AR1277*$AT1277*3)^(1/$AR1277)))</f>
        <v/>
      </c>
      <c r="AX1277">
        <f>IF($AR1277="","",IF($AR1277=0,$AS1277*EXP($AT1277*-2),$AS1277*(1+$AR1277*$AT1277*-2)^(1/$AR1277)))</f>
        <v/>
      </c>
      <c r="AY1277">
        <f>IF($AR1277="","",IF($AR1277=0,$AS1277*EXP($AT1277*-3),$AS1277*(1+$AR1277*$AT1277*-3)^(1/$AR1277)))</f>
        <v/>
      </c>
      <c r="AZ1277">
        <f>IF(OR($A1277="",$A1277&lt;&gt;Ficha!$C$4),"",COUNTIF($A$2:$A1277,Ficha!$C$4))</f>
        <v/>
      </c>
    </row>
    <row r="1278">
      <c r="A1278" s="8">
        <f>IF(INDEX(Banco!$A:$A,ROW())="","",INDEX(Banco!$A:$A,ROW()))</f>
        <v/>
      </c>
      <c r="B1278" s="8">
        <f>IF(INDEX(Banco!$B:$B,ROW())="","",INDEX(Banco!$B:$B,ROW()))</f>
        <v/>
      </c>
      <c r="C1278" s="8">
        <f>IF(INDEX(Banco!$C:$C,ROW())="","",INDEX(Banco!$C:$C,ROW()))</f>
        <v/>
      </c>
      <c r="D1278" s="9">
        <f>IF(INDEX(Banco!$D:$D,ROW())="","",INDEX(Banco!$D:$D,ROW()))</f>
        <v/>
      </c>
      <c r="E1278" s="9">
        <f>IF(INDEX(Banco!$E:$E,ROW())="","",INDEX(Banco!$E:$E,ROW()))</f>
        <v/>
      </c>
      <c r="F1278" s="10">
        <f>IF(INDEX(Banco!$F:$F,ROW())="","",INDEX(Banco!$F:$F,ROW()))</f>
        <v/>
      </c>
      <c r="G1278" s="10">
        <f>IF(INDEX(Banco!$G:$G,ROW())="","",INDEX(Banco!$G:$G,ROW()))</f>
        <v/>
      </c>
      <c r="H1278" s="8">
        <f>IF(INDEX(Banco!$H:$H,ROW())="","",INDEX(Banco!$H:$H,ROW()))</f>
        <v/>
      </c>
      <c r="I1278">
        <f>IF($T1278="","",INT($T1278/12)&amp;"a "&amp;MOD($T1278,12)&amp;"m")</f>
        <v/>
      </c>
      <c r="J1278" s="11">
        <f>IF(OR($F1278="",$G1278=""),"",ROUND($F1278/($G1278/100)^2,2))</f>
        <v/>
      </c>
      <c r="K1278" s="12">
        <f>IF(OR($S1278="",$J1278="",$T1278="",$T1278&lt;0,$T1278&gt;228,$Y1278=""),"—",ROUND(IF(ABS($AB1278)&lt;=3,$AB1278,IF($AB1278&gt;3,3+($J1278-$AD1278)/($AD1278-$AC1278),-3+($J1278-$AF1278)/($AE1278-$AF1278))),2))</f>
        <v/>
      </c>
      <c r="L1278">
        <f>IF(OR($K1278="",$K1278="—"),"",IF($T1278&lt;=60,IF($K1278&lt;-3,"Magreza acentuada",IF($K1278&lt;-2,"Magreza",IF($K1278&lt;=1,"Eutrofia",IF($K1278&lt;=2,"Risco de sobrepeso",IF($K1278&lt;=3,"Sobrepeso","Obesidade"))))),IF($K1278&lt;-3,"Magreza acentuada",IF($K1278&lt;-2,"Magreza",IF($K1278&lt;=1,"Eutrofia",IF($K1278&lt;=2,"Sobrepeso",IF($K1278&lt;=3,"Obesidade","Obesidade grave")))))))</f>
        <v/>
      </c>
      <c r="M1278" s="12">
        <f>IF(OR($S1278="",$V1278="",$T1278="",$T1278&lt;0,$T1278&gt;228,$AG1278=""),"—",ROUND(IF($AG1278=0,LN($V1278/$AH1278)/$AI1278,((($V1278/$AH1278)^$AG1278)-1)/($AG1278*$AI1278)),2))</f>
        <v/>
      </c>
      <c r="N1278">
        <f>IF(OR($M1278="",$M1278="—"),"",IF($M1278&lt;-3,"Muito baixa",IF($M1278&lt;-2,"Baixa","Adequada")))</f>
        <v/>
      </c>
      <c r="O1278" s="12">
        <f>IF(OR($S1278="",$F1278="",$T1278="",$T1278&lt;0,$T1278&gt;120,$AJ1278=""),"—",ROUND(IF(ABS($AM1278)&lt;=3,$AM1278,IF($AM1278&gt;3,3+($F1278-$AO1278)/($AO1278-$AN1278),-3+($F1278-$AQ1278)/($AP1278-$AQ1278))),2))</f>
        <v/>
      </c>
      <c r="P1278">
        <f>IF(OR($O1278="",$O1278="—"),"",IF($O1278&lt;-3,"Muito baixo",IF($O1278&lt;-2,"Baixo",IF($O1278&lt;=2,"Adequado","Elevado"))))</f>
        <v/>
      </c>
      <c r="Q1278" s="12">
        <f>IF(OR($S1278="",$F1278="",$T1278="",$T1278&lt;0,$T1278&gt;60,$AR1278=""),"—",ROUND(IF(ABS($AU1278)&lt;=3,$AU1278,IF($AU1278&gt;3,3+($F1278-$AW1278)/($AW1278-$AV1278),-3+($F1278-$AY1278)/($AX1278-$AY1278))),2))</f>
        <v/>
      </c>
      <c r="R1278">
        <f>IF(OR($Q1278="",$Q1278="—"),"",IF($Q1278&lt;-3,"Magreza acentuada",IF($Q1278&lt;-2,"Magreza",IF($Q1278&lt;=1,"Eutrofia",IF($Q1278&lt;=2,"Risco de sobrepeso",IF($Q1278&lt;=3,"Sobrepeso","Obesidade"))))))</f>
        <v/>
      </c>
      <c r="S1278">
        <f>IF($C1278="","",IF(UPPER(LEFT($C1278,1))="M",1,IF(UPPER(LEFT($C1278,1))="F",2,"")))</f>
        <v/>
      </c>
      <c r="T1278">
        <f>IF(OR($D1278="",$E1278=""),"",DATEDIF($D1278,$E1278,"m"))</f>
        <v/>
      </c>
      <c r="U1278">
        <f>IF(OR($D1278="",$E1278=""),"",$E1278-$D1278)</f>
        <v/>
      </c>
      <c r="V1278">
        <f>IF(OR($G1278="",$T1278=""),"",IF($T1278&lt;24,IF(LEFT(LOWER($H1278),4)="em p",$G1278+0.7,$G1278),IF(LEFT(LOWER($H1278),4)="deit",$G1278-0.7,$G1278)))</f>
        <v/>
      </c>
      <c r="W1278">
        <f>IF(OR($S1278="",$T1278=""),"",$S1278*1000000+IF($T1278&lt;=60,$U1278,$T1278))</f>
        <v/>
      </c>
      <c r="X1278">
        <f>IF(OR($S1278="",$V1278="",$T1278&gt;60,$T1278=""),"",$S1278*1000000+ROUND($V1278*10,0))</f>
        <v/>
      </c>
      <c r="Y1278">
        <f>IF($W1278="","",IFERROR(INDEX(IF($T1278&lt;=60,imc05_l,imc519_l),MATCH($W1278,IF($T1278&lt;=60,imc05_k,imc519_k),1)),""))</f>
        <v/>
      </c>
      <c r="Z1278">
        <f>IF($W1278="","",IFERROR(INDEX(IF($T1278&lt;=60,imc05_m,imc519_m),MATCH($W1278,IF($T1278&lt;=60,imc05_k,imc519_k),1)),""))</f>
        <v/>
      </c>
      <c r="AA1278">
        <f>IF($W1278="","",IFERROR(INDEX(IF($T1278&lt;=60,imc05_s,imc519_s),MATCH($W1278,IF($T1278&lt;=60,imc05_k,imc519_k),1)),""))</f>
        <v/>
      </c>
      <c r="AB1278">
        <f>IF($Y1278="","",IF($Y1278=0,LN($J1278/$Z1278)/$AA1278,((($J1278/$Z1278)^$Y1278)-1)/($Y1278*$AA1278)))</f>
        <v/>
      </c>
      <c r="AC1278">
        <f>IF($Y1278="","",IF($Y1278=0,$Z1278*EXP($AA1278*2),$Z1278*(1+$Y1278*$AA1278*2)^(1/$Y1278)))</f>
        <v/>
      </c>
      <c r="AD1278">
        <f>IF($Y1278="","",IF($Y1278=0,$Z1278*EXP($AA1278*3),$Z1278*(1+$Y1278*$AA1278*3)^(1/$Y1278)))</f>
        <v/>
      </c>
      <c r="AE1278">
        <f>IF($Y1278="","",IF($Y1278=0,$Z1278*EXP($AA1278*-2),$Z1278*(1+$Y1278*$AA1278*-2)^(1/$Y1278)))</f>
        <v/>
      </c>
      <c r="AF1278">
        <f>IF($Y1278="","",IF($Y1278=0,$Z1278*EXP($AA1278*-3),$Z1278*(1+$Y1278*$AA1278*-3)^(1/$Y1278)))</f>
        <v/>
      </c>
      <c r="AG1278">
        <f>IF($W1278="","",IFERROR(INDEX(IF($T1278&lt;=60,est05_l,est519_l),MATCH($W1278,IF($T1278&lt;=60,est05_k,est519_k),1)),""))</f>
        <v/>
      </c>
      <c r="AH1278">
        <f>IF($W1278="","",IFERROR(INDEX(IF($T1278&lt;=60,est05_m,est519_m),MATCH($W1278,IF($T1278&lt;=60,est05_k,est519_k),1)),""))</f>
        <v/>
      </c>
      <c r="AI1278">
        <f>IF($W1278="","",IFERROR(INDEX(IF($T1278&lt;=60,est05_s,est519_s),MATCH($W1278,IF($T1278&lt;=60,est05_k,est519_k),1)),""))</f>
        <v/>
      </c>
      <c r="AJ1278">
        <f>IF($W1278="","",IFERROR(INDEX(IF($T1278&lt;=60,peso05_l,peso510_l),MATCH($W1278,IF($T1278&lt;=60,peso05_k,peso510_k),1)),""))</f>
        <v/>
      </c>
      <c r="AK1278">
        <f>IF($W1278="","",IFERROR(INDEX(IF($T1278&lt;=60,peso05_m,peso510_m),MATCH($W1278,IF($T1278&lt;=60,peso05_k,peso510_k),1)),""))</f>
        <v/>
      </c>
      <c r="AL1278">
        <f>IF($W1278="","",IFERROR(INDEX(IF($T1278&lt;=60,peso05_s,peso510_s),MATCH($W1278,IF($T1278&lt;=60,peso05_k,peso510_k),1)),""))</f>
        <v/>
      </c>
      <c r="AM1278">
        <f>IF($AJ1278="","",IF($AJ1278=0,LN($F1278/$AK1278)/$AL1278,((($F1278/$AK1278)^$AJ1278)-1)/($AJ1278*$AL1278)))</f>
        <v/>
      </c>
      <c r="AN1278">
        <f>IF($AJ1278="","",IF($AJ1278=0,$AK1278*EXP($AL1278*2),$AK1278*(1+$AJ1278*$AL1278*2)^(1/$AJ1278)))</f>
        <v/>
      </c>
      <c r="AO1278">
        <f>IF($AJ1278="","",IF($AJ1278=0,$AK1278*EXP($AL1278*3),$AK1278*(1+$AJ1278*$AL1278*3)^(1/$AJ1278)))</f>
        <v/>
      </c>
      <c r="AP1278">
        <f>IF($AJ1278="","",IF($AJ1278=0,$AK1278*EXP($AL1278*-2),$AK1278*(1+$AJ1278*$AL1278*-2)^(1/$AJ1278)))</f>
        <v/>
      </c>
      <c r="AQ1278">
        <f>IF($AJ1278="","",IF($AJ1278=0,$AK1278*EXP($AL1278*-3),$AK1278*(1+$AJ1278*$AL1278*-3)^(1/$AJ1278)))</f>
        <v/>
      </c>
      <c r="AR1278">
        <f>IF(OR($X1278="",$T1278&gt;60),"",IFERROR(INDEX(IF($T1278&lt;24,pcomp_l,palt_l),MATCH($X1278,IF($T1278&lt;24,pcomp_k,palt_k),1)),""))</f>
        <v/>
      </c>
      <c r="AS1278">
        <f>IF(OR($X1278="",$T1278&gt;60),"",IFERROR(INDEX(IF($T1278&lt;24,pcomp_m,palt_m),MATCH($X1278,IF($T1278&lt;24,pcomp_k,palt_k),1)),""))</f>
        <v/>
      </c>
      <c r="AT1278">
        <f>IF(OR($X1278="",$T1278&gt;60),"",IFERROR(INDEX(IF($T1278&lt;24,pcomp_s,palt_s),MATCH($X1278,IF($T1278&lt;24,pcomp_k,palt_k),1)),""))</f>
        <v/>
      </c>
      <c r="AU1278">
        <f>IF($AR1278="","",IF($AR1278=0,LN($F1278/$AS1278)/$AT1278,((($F1278/$AS1278)^$AR1278)-1)/($AR1278*$AT1278)))</f>
        <v/>
      </c>
      <c r="AV1278">
        <f>IF($AR1278="","",IF($AR1278=0,$AS1278*EXP($AT1278*2),$AS1278*(1+$AR1278*$AT1278*2)^(1/$AR1278)))</f>
        <v/>
      </c>
      <c r="AW1278">
        <f>IF($AR1278="","",IF($AR1278=0,$AS1278*EXP($AT1278*3),$AS1278*(1+$AR1278*$AT1278*3)^(1/$AR1278)))</f>
        <v/>
      </c>
      <c r="AX1278">
        <f>IF($AR1278="","",IF($AR1278=0,$AS1278*EXP($AT1278*-2),$AS1278*(1+$AR1278*$AT1278*-2)^(1/$AR1278)))</f>
        <v/>
      </c>
      <c r="AY1278">
        <f>IF($AR1278="","",IF($AR1278=0,$AS1278*EXP($AT1278*-3),$AS1278*(1+$AR1278*$AT1278*-3)^(1/$AR1278)))</f>
        <v/>
      </c>
      <c r="AZ1278">
        <f>IF(OR($A1278="",$A1278&lt;&gt;Ficha!$C$4),"",COUNTIF($A$2:$A1278,Ficha!$C$4))</f>
        <v/>
      </c>
    </row>
    <row r="1279">
      <c r="A1279" s="8">
        <f>IF(INDEX(Banco!$A:$A,ROW())="","",INDEX(Banco!$A:$A,ROW()))</f>
        <v/>
      </c>
      <c r="B1279" s="8">
        <f>IF(INDEX(Banco!$B:$B,ROW())="","",INDEX(Banco!$B:$B,ROW()))</f>
        <v/>
      </c>
      <c r="C1279" s="8">
        <f>IF(INDEX(Banco!$C:$C,ROW())="","",INDEX(Banco!$C:$C,ROW()))</f>
        <v/>
      </c>
      <c r="D1279" s="9">
        <f>IF(INDEX(Banco!$D:$D,ROW())="","",INDEX(Banco!$D:$D,ROW()))</f>
        <v/>
      </c>
      <c r="E1279" s="9">
        <f>IF(INDEX(Banco!$E:$E,ROW())="","",INDEX(Banco!$E:$E,ROW()))</f>
        <v/>
      </c>
      <c r="F1279" s="10">
        <f>IF(INDEX(Banco!$F:$F,ROW())="","",INDEX(Banco!$F:$F,ROW()))</f>
        <v/>
      </c>
      <c r="G1279" s="10">
        <f>IF(INDEX(Banco!$G:$G,ROW())="","",INDEX(Banco!$G:$G,ROW()))</f>
        <v/>
      </c>
      <c r="H1279" s="8">
        <f>IF(INDEX(Banco!$H:$H,ROW())="","",INDEX(Banco!$H:$H,ROW()))</f>
        <v/>
      </c>
      <c r="I1279">
        <f>IF($T1279="","",INT($T1279/12)&amp;"a "&amp;MOD($T1279,12)&amp;"m")</f>
        <v/>
      </c>
      <c r="J1279" s="11">
        <f>IF(OR($F1279="",$G1279=""),"",ROUND($F1279/($G1279/100)^2,2))</f>
        <v/>
      </c>
      <c r="K1279" s="12">
        <f>IF(OR($S1279="",$J1279="",$T1279="",$T1279&lt;0,$T1279&gt;228,$Y1279=""),"—",ROUND(IF(ABS($AB1279)&lt;=3,$AB1279,IF($AB1279&gt;3,3+($J1279-$AD1279)/($AD1279-$AC1279),-3+($J1279-$AF1279)/($AE1279-$AF1279))),2))</f>
        <v/>
      </c>
      <c r="L1279">
        <f>IF(OR($K1279="",$K1279="—"),"",IF($T1279&lt;=60,IF($K1279&lt;-3,"Magreza acentuada",IF($K1279&lt;-2,"Magreza",IF($K1279&lt;=1,"Eutrofia",IF($K1279&lt;=2,"Risco de sobrepeso",IF($K1279&lt;=3,"Sobrepeso","Obesidade"))))),IF($K1279&lt;-3,"Magreza acentuada",IF($K1279&lt;-2,"Magreza",IF($K1279&lt;=1,"Eutrofia",IF($K1279&lt;=2,"Sobrepeso",IF($K1279&lt;=3,"Obesidade","Obesidade grave")))))))</f>
        <v/>
      </c>
      <c r="M1279" s="12">
        <f>IF(OR($S1279="",$V1279="",$T1279="",$T1279&lt;0,$T1279&gt;228,$AG1279=""),"—",ROUND(IF($AG1279=0,LN($V1279/$AH1279)/$AI1279,((($V1279/$AH1279)^$AG1279)-1)/($AG1279*$AI1279)),2))</f>
        <v/>
      </c>
      <c r="N1279">
        <f>IF(OR($M1279="",$M1279="—"),"",IF($M1279&lt;-3,"Muito baixa",IF($M1279&lt;-2,"Baixa","Adequada")))</f>
        <v/>
      </c>
      <c r="O1279" s="12">
        <f>IF(OR($S1279="",$F1279="",$T1279="",$T1279&lt;0,$T1279&gt;120,$AJ1279=""),"—",ROUND(IF(ABS($AM1279)&lt;=3,$AM1279,IF($AM1279&gt;3,3+($F1279-$AO1279)/($AO1279-$AN1279),-3+($F1279-$AQ1279)/($AP1279-$AQ1279))),2))</f>
        <v/>
      </c>
      <c r="P1279">
        <f>IF(OR($O1279="",$O1279="—"),"",IF($O1279&lt;-3,"Muito baixo",IF($O1279&lt;-2,"Baixo",IF($O1279&lt;=2,"Adequado","Elevado"))))</f>
        <v/>
      </c>
      <c r="Q1279" s="12">
        <f>IF(OR($S1279="",$F1279="",$T1279="",$T1279&lt;0,$T1279&gt;60,$AR1279=""),"—",ROUND(IF(ABS($AU1279)&lt;=3,$AU1279,IF($AU1279&gt;3,3+($F1279-$AW1279)/($AW1279-$AV1279),-3+($F1279-$AY1279)/($AX1279-$AY1279))),2))</f>
        <v/>
      </c>
      <c r="R1279">
        <f>IF(OR($Q1279="",$Q1279="—"),"",IF($Q1279&lt;-3,"Magreza acentuada",IF($Q1279&lt;-2,"Magreza",IF($Q1279&lt;=1,"Eutrofia",IF($Q1279&lt;=2,"Risco de sobrepeso",IF($Q1279&lt;=3,"Sobrepeso","Obesidade"))))))</f>
        <v/>
      </c>
      <c r="S1279">
        <f>IF($C1279="","",IF(UPPER(LEFT($C1279,1))="M",1,IF(UPPER(LEFT($C1279,1))="F",2,"")))</f>
        <v/>
      </c>
      <c r="T1279">
        <f>IF(OR($D1279="",$E1279=""),"",DATEDIF($D1279,$E1279,"m"))</f>
        <v/>
      </c>
      <c r="U1279">
        <f>IF(OR($D1279="",$E1279=""),"",$E1279-$D1279)</f>
        <v/>
      </c>
      <c r="V1279">
        <f>IF(OR($G1279="",$T1279=""),"",IF($T1279&lt;24,IF(LEFT(LOWER($H1279),4)="em p",$G1279+0.7,$G1279),IF(LEFT(LOWER($H1279),4)="deit",$G1279-0.7,$G1279)))</f>
        <v/>
      </c>
      <c r="W1279">
        <f>IF(OR($S1279="",$T1279=""),"",$S1279*1000000+IF($T1279&lt;=60,$U1279,$T1279))</f>
        <v/>
      </c>
      <c r="X1279">
        <f>IF(OR($S1279="",$V1279="",$T1279&gt;60,$T1279=""),"",$S1279*1000000+ROUND($V1279*10,0))</f>
        <v/>
      </c>
      <c r="Y1279">
        <f>IF($W1279="","",IFERROR(INDEX(IF($T1279&lt;=60,imc05_l,imc519_l),MATCH($W1279,IF($T1279&lt;=60,imc05_k,imc519_k),1)),""))</f>
        <v/>
      </c>
      <c r="Z1279">
        <f>IF($W1279="","",IFERROR(INDEX(IF($T1279&lt;=60,imc05_m,imc519_m),MATCH($W1279,IF($T1279&lt;=60,imc05_k,imc519_k),1)),""))</f>
        <v/>
      </c>
      <c r="AA1279">
        <f>IF($W1279="","",IFERROR(INDEX(IF($T1279&lt;=60,imc05_s,imc519_s),MATCH($W1279,IF($T1279&lt;=60,imc05_k,imc519_k),1)),""))</f>
        <v/>
      </c>
      <c r="AB1279">
        <f>IF($Y1279="","",IF($Y1279=0,LN($J1279/$Z1279)/$AA1279,((($J1279/$Z1279)^$Y1279)-1)/($Y1279*$AA1279)))</f>
        <v/>
      </c>
      <c r="AC1279">
        <f>IF($Y1279="","",IF($Y1279=0,$Z1279*EXP($AA1279*2),$Z1279*(1+$Y1279*$AA1279*2)^(1/$Y1279)))</f>
        <v/>
      </c>
      <c r="AD1279">
        <f>IF($Y1279="","",IF($Y1279=0,$Z1279*EXP($AA1279*3),$Z1279*(1+$Y1279*$AA1279*3)^(1/$Y1279)))</f>
        <v/>
      </c>
      <c r="AE1279">
        <f>IF($Y1279="","",IF($Y1279=0,$Z1279*EXP($AA1279*-2),$Z1279*(1+$Y1279*$AA1279*-2)^(1/$Y1279)))</f>
        <v/>
      </c>
      <c r="AF1279">
        <f>IF($Y1279="","",IF($Y1279=0,$Z1279*EXP($AA1279*-3),$Z1279*(1+$Y1279*$AA1279*-3)^(1/$Y1279)))</f>
        <v/>
      </c>
      <c r="AG1279">
        <f>IF($W1279="","",IFERROR(INDEX(IF($T1279&lt;=60,est05_l,est519_l),MATCH($W1279,IF($T1279&lt;=60,est05_k,est519_k),1)),""))</f>
        <v/>
      </c>
      <c r="AH1279">
        <f>IF($W1279="","",IFERROR(INDEX(IF($T1279&lt;=60,est05_m,est519_m),MATCH($W1279,IF($T1279&lt;=60,est05_k,est519_k),1)),""))</f>
        <v/>
      </c>
      <c r="AI1279">
        <f>IF($W1279="","",IFERROR(INDEX(IF($T1279&lt;=60,est05_s,est519_s),MATCH($W1279,IF($T1279&lt;=60,est05_k,est519_k),1)),""))</f>
        <v/>
      </c>
      <c r="AJ1279">
        <f>IF($W1279="","",IFERROR(INDEX(IF($T1279&lt;=60,peso05_l,peso510_l),MATCH($W1279,IF($T1279&lt;=60,peso05_k,peso510_k),1)),""))</f>
        <v/>
      </c>
      <c r="AK1279">
        <f>IF($W1279="","",IFERROR(INDEX(IF($T1279&lt;=60,peso05_m,peso510_m),MATCH($W1279,IF($T1279&lt;=60,peso05_k,peso510_k),1)),""))</f>
        <v/>
      </c>
      <c r="AL1279">
        <f>IF($W1279="","",IFERROR(INDEX(IF($T1279&lt;=60,peso05_s,peso510_s),MATCH($W1279,IF($T1279&lt;=60,peso05_k,peso510_k),1)),""))</f>
        <v/>
      </c>
      <c r="AM1279">
        <f>IF($AJ1279="","",IF($AJ1279=0,LN($F1279/$AK1279)/$AL1279,((($F1279/$AK1279)^$AJ1279)-1)/($AJ1279*$AL1279)))</f>
        <v/>
      </c>
      <c r="AN1279">
        <f>IF($AJ1279="","",IF($AJ1279=0,$AK1279*EXP($AL1279*2),$AK1279*(1+$AJ1279*$AL1279*2)^(1/$AJ1279)))</f>
        <v/>
      </c>
      <c r="AO1279">
        <f>IF($AJ1279="","",IF($AJ1279=0,$AK1279*EXP($AL1279*3),$AK1279*(1+$AJ1279*$AL1279*3)^(1/$AJ1279)))</f>
        <v/>
      </c>
      <c r="AP1279">
        <f>IF($AJ1279="","",IF($AJ1279=0,$AK1279*EXP($AL1279*-2),$AK1279*(1+$AJ1279*$AL1279*-2)^(1/$AJ1279)))</f>
        <v/>
      </c>
      <c r="AQ1279">
        <f>IF($AJ1279="","",IF($AJ1279=0,$AK1279*EXP($AL1279*-3),$AK1279*(1+$AJ1279*$AL1279*-3)^(1/$AJ1279)))</f>
        <v/>
      </c>
      <c r="AR1279">
        <f>IF(OR($X1279="",$T1279&gt;60),"",IFERROR(INDEX(IF($T1279&lt;24,pcomp_l,palt_l),MATCH($X1279,IF($T1279&lt;24,pcomp_k,palt_k),1)),""))</f>
        <v/>
      </c>
      <c r="AS1279">
        <f>IF(OR($X1279="",$T1279&gt;60),"",IFERROR(INDEX(IF($T1279&lt;24,pcomp_m,palt_m),MATCH($X1279,IF($T1279&lt;24,pcomp_k,palt_k),1)),""))</f>
        <v/>
      </c>
      <c r="AT1279">
        <f>IF(OR($X1279="",$T1279&gt;60),"",IFERROR(INDEX(IF($T1279&lt;24,pcomp_s,palt_s),MATCH($X1279,IF($T1279&lt;24,pcomp_k,palt_k),1)),""))</f>
        <v/>
      </c>
      <c r="AU1279">
        <f>IF($AR1279="","",IF($AR1279=0,LN($F1279/$AS1279)/$AT1279,((($F1279/$AS1279)^$AR1279)-1)/($AR1279*$AT1279)))</f>
        <v/>
      </c>
      <c r="AV1279">
        <f>IF($AR1279="","",IF($AR1279=0,$AS1279*EXP($AT1279*2),$AS1279*(1+$AR1279*$AT1279*2)^(1/$AR1279)))</f>
        <v/>
      </c>
      <c r="AW1279">
        <f>IF($AR1279="","",IF($AR1279=0,$AS1279*EXP($AT1279*3),$AS1279*(1+$AR1279*$AT1279*3)^(1/$AR1279)))</f>
        <v/>
      </c>
      <c r="AX1279">
        <f>IF($AR1279="","",IF($AR1279=0,$AS1279*EXP($AT1279*-2),$AS1279*(1+$AR1279*$AT1279*-2)^(1/$AR1279)))</f>
        <v/>
      </c>
      <c r="AY1279">
        <f>IF($AR1279="","",IF($AR1279=0,$AS1279*EXP($AT1279*-3),$AS1279*(1+$AR1279*$AT1279*-3)^(1/$AR1279)))</f>
        <v/>
      </c>
      <c r="AZ1279">
        <f>IF(OR($A1279="",$A1279&lt;&gt;Ficha!$C$4),"",COUNTIF($A$2:$A1279,Ficha!$C$4))</f>
        <v/>
      </c>
    </row>
    <row r="1280">
      <c r="A1280" s="8">
        <f>IF(INDEX(Banco!$A:$A,ROW())="","",INDEX(Banco!$A:$A,ROW()))</f>
        <v/>
      </c>
      <c r="B1280" s="8">
        <f>IF(INDEX(Banco!$B:$B,ROW())="","",INDEX(Banco!$B:$B,ROW()))</f>
        <v/>
      </c>
      <c r="C1280" s="8">
        <f>IF(INDEX(Banco!$C:$C,ROW())="","",INDEX(Banco!$C:$C,ROW()))</f>
        <v/>
      </c>
      <c r="D1280" s="9">
        <f>IF(INDEX(Banco!$D:$D,ROW())="","",INDEX(Banco!$D:$D,ROW()))</f>
        <v/>
      </c>
      <c r="E1280" s="9">
        <f>IF(INDEX(Banco!$E:$E,ROW())="","",INDEX(Banco!$E:$E,ROW()))</f>
        <v/>
      </c>
      <c r="F1280" s="10">
        <f>IF(INDEX(Banco!$F:$F,ROW())="","",INDEX(Banco!$F:$F,ROW()))</f>
        <v/>
      </c>
      <c r="G1280" s="10">
        <f>IF(INDEX(Banco!$G:$G,ROW())="","",INDEX(Banco!$G:$G,ROW()))</f>
        <v/>
      </c>
      <c r="H1280" s="8">
        <f>IF(INDEX(Banco!$H:$H,ROW())="","",INDEX(Banco!$H:$H,ROW()))</f>
        <v/>
      </c>
      <c r="I1280">
        <f>IF($T1280="","",INT($T1280/12)&amp;"a "&amp;MOD($T1280,12)&amp;"m")</f>
        <v/>
      </c>
      <c r="J1280" s="11">
        <f>IF(OR($F1280="",$G1280=""),"",ROUND($F1280/($G1280/100)^2,2))</f>
        <v/>
      </c>
      <c r="K1280" s="12">
        <f>IF(OR($S1280="",$J1280="",$T1280="",$T1280&lt;0,$T1280&gt;228,$Y1280=""),"—",ROUND(IF(ABS($AB1280)&lt;=3,$AB1280,IF($AB1280&gt;3,3+($J1280-$AD1280)/($AD1280-$AC1280),-3+($J1280-$AF1280)/($AE1280-$AF1280))),2))</f>
        <v/>
      </c>
      <c r="L1280">
        <f>IF(OR($K1280="",$K1280="—"),"",IF($T1280&lt;=60,IF($K1280&lt;-3,"Magreza acentuada",IF($K1280&lt;-2,"Magreza",IF($K1280&lt;=1,"Eutrofia",IF($K1280&lt;=2,"Risco de sobrepeso",IF($K1280&lt;=3,"Sobrepeso","Obesidade"))))),IF($K1280&lt;-3,"Magreza acentuada",IF($K1280&lt;-2,"Magreza",IF($K1280&lt;=1,"Eutrofia",IF($K1280&lt;=2,"Sobrepeso",IF($K1280&lt;=3,"Obesidade","Obesidade grave")))))))</f>
        <v/>
      </c>
      <c r="M1280" s="12">
        <f>IF(OR($S1280="",$V1280="",$T1280="",$T1280&lt;0,$T1280&gt;228,$AG1280=""),"—",ROUND(IF($AG1280=0,LN($V1280/$AH1280)/$AI1280,((($V1280/$AH1280)^$AG1280)-1)/($AG1280*$AI1280)),2))</f>
        <v/>
      </c>
      <c r="N1280">
        <f>IF(OR($M1280="",$M1280="—"),"",IF($M1280&lt;-3,"Muito baixa",IF($M1280&lt;-2,"Baixa","Adequada")))</f>
        <v/>
      </c>
      <c r="O1280" s="12">
        <f>IF(OR($S1280="",$F1280="",$T1280="",$T1280&lt;0,$T1280&gt;120,$AJ1280=""),"—",ROUND(IF(ABS($AM1280)&lt;=3,$AM1280,IF($AM1280&gt;3,3+($F1280-$AO1280)/($AO1280-$AN1280),-3+($F1280-$AQ1280)/($AP1280-$AQ1280))),2))</f>
        <v/>
      </c>
      <c r="P1280">
        <f>IF(OR($O1280="",$O1280="—"),"",IF($O1280&lt;-3,"Muito baixo",IF($O1280&lt;-2,"Baixo",IF($O1280&lt;=2,"Adequado","Elevado"))))</f>
        <v/>
      </c>
      <c r="Q1280" s="12">
        <f>IF(OR($S1280="",$F1280="",$T1280="",$T1280&lt;0,$T1280&gt;60,$AR1280=""),"—",ROUND(IF(ABS($AU1280)&lt;=3,$AU1280,IF($AU1280&gt;3,3+($F1280-$AW1280)/($AW1280-$AV1280),-3+($F1280-$AY1280)/($AX1280-$AY1280))),2))</f>
        <v/>
      </c>
      <c r="R1280">
        <f>IF(OR($Q1280="",$Q1280="—"),"",IF($Q1280&lt;-3,"Magreza acentuada",IF($Q1280&lt;-2,"Magreza",IF($Q1280&lt;=1,"Eutrofia",IF($Q1280&lt;=2,"Risco de sobrepeso",IF($Q1280&lt;=3,"Sobrepeso","Obesidade"))))))</f>
        <v/>
      </c>
      <c r="S1280">
        <f>IF($C1280="","",IF(UPPER(LEFT($C1280,1))="M",1,IF(UPPER(LEFT($C1280,1))="F",2,"")))</f>
        <v/>
      </c>
      <c r="T1280">
        <f>IF(OR($D1280="",$E1280=""),"",DATEDIF($D1280,$E1280,"m"))</f>
        <v/>
      </c>
      <c r="U1280">
        <f>IF(OR($D1280="",$E1280=""),"",$E1280-$D1280)</f>
        <v/>
      </c>
      <c r="V1280">
        <f>IF(OR($G1280="",$T1280=""),"",IF($T1280&lt;24,IF(LEFT(LOWER($H1280),4)="em p",$G1280+0.7,$G1280),IF(LEFT(LOWER($H1280),4)="deit",$G1280-0.7,$G1280)))</f>
        <v/>
      </c>
      <c r="W1280">
        <f>IF(OR($S1280="",$T1280=""),"",$S1280*1000000+IF($T1280&lt;=60,$U1280,$T1280))</f>
        <v/>
      </c>
      <c r="X1280">
        <f>IF(OR($S1280="",$V1280="",$T1280&gt;60,$T1280=""),"",$S1280*1000000+ROUND($V1280*10,0))</f>
        <v/>
      </c>
      <c r="Y1280">
        <f>IF($W1280="","",IFERROR(INDEX(IF($T1280&lt;=60,imc05_l,imc519_l),MATCH($W1280,IF($T1280&lt;=60,imc05_k,imc519_k),1)),""))</f>
        <v/>
      </c>
      <c r="Z1280">
        <f>IF($W1280="","",IFERROR(INDEX(IF($T1280&lt;=60,imc05_m,imc519_m),MATCH($W1280,IF($T1280&lt;=60,imc05_k,imc519_k),1)),""))</f>
        <v/>
      </c>
      <c r="AA1280">
        <f>IF($W1280="","",IFERROR(INDEX(IF($T1280&lt;=60,imc05_s,imc519_s),MATCH($W1280,IF($T1280&lt;=60,imc05_k,imc519_k),1)),""))</f>
        <v/>
      </c>
      <c r="AB1280">
        <f>IF($Y1280="","",IF($Y1280=0,LN($J1280/$Z1280)/$AA1280,((($J1280/$Z1280)^$Y1280)-1)/($Y1280*$AA1280)))</f>
        <v/>
      </c>
      <c r="AC1280">
        <f>IF($Y1280="","",IF($Y1280=0,$Z1280*EXP($AA1280*2),$Z1280*(1+$Y1280*$AA1280*2)^(1/$Y1280)))</f>
        <v/>
      </c>
      <c r="AD1280">
        <f>IF($Y1280="","",IF($Y1280=0,$Z1280*EXP($AA1280*3),$Z1280*(1+$Y1280*$AA1280*3)^(1/$Y1280)))</f>
        <v/>
      </c>
      <c r="AE1280">
        <f>IF($Y1280="","",IF($Y1280=0,$Z1280*EXP($AA1280*-2),$Z1280*(1+$Y1280*$AA1280*-2)^(1/$Y1280)))</f>
        <v/>
      </c>
      <c r="AF1280">
        <f>IF($Y1280="","",IF($Y1280=0,$Z1280*EXP($AA1280*-3),$Z1280*(1+$Y1280*$AA1280*-3)^(1/$Y1280)))</f>
        <v/>
      </c>
      <c r="AG1280">
        <f>IF($W1280="","",IFERROR(INDEX(IF($T1280&lt;=60,est05_l,est519_l),MATCH($W1280,IF($T1280&lt;=60,est05_k,est519_k),1)),""))</f>
        <v/>
      </c>
      <c r="AH1280">
        <f>IF($W1280="","",IFERROR(INDEX(IF($T1280&lt;=60,est05_m,est519_m),MATCH($W1280,IF($T1280&lt;=60,est05_k,est519_k),1)),""))</f>
        <v/>
      </c>
      <c r="AI1280">
        <f>IF($W1280="","",IFERROR(INDEX(IF($T1280&lt;=60,est05_s,est519_s),MATCH($W1280,IF($T1280&lt;=60,est05_k,est519_k),1)),""))</f>
        <v/>
      </c>
      <c r="AJ1280">
        <f>IF($W1280="","",IFERROR(INDEX(IF($T1280&lt;=60,peso05_l,peso510_l),MATCH($W1280,IF($T1280&lt;=60,peso05_k,peso510_k),1)),""))</f>
        <v/>
      </c>
      <c r="AK1280">
        <f>IF($W1280="","",IFERROR(INDEX(IF($T1280&lt;=60,peso05_m,peso510_m),MATCH($W1280,IF($T1280&lt;=60,peso05_k,peso510_k),1)),""))</f>
        <v/>
      </c>
      <c r="AL1280">
        <f>IF($W1280="","",IFERROR(INDEX(IF($T1280&lt;=60,peso05_s,peso510_s),MATCH($W1280,IF($T1280&lt;=60,peso05_k,peso510_k),1)),""))</f>
        <v/>
      </c>
      <c r="AM1280">
        <f>IF($AJ1280="","",IF($AJ1280=0,LN($F1280/$AK1280)/$AL1280,((($F1280/$AK1280)^$AJ1280)-1)/($AJ1280*$AL1280)))</f>
        <v/>
      </c>
      <c r="AN1280">
        <f>IF($AJ1280="","",IF($AJ1280=0,$AK1280*EXP($AL1280*2),$AK1280*(1+$AJ1280*$AL1280*2)^(1/$AJ1280)))</f>
        <v/>
      </c>
      <c r="AO1280">
        <f>IF($AJ1280="","",IF($AJ1280=0,$AK1280*EXP($AL1280*3),$AK1280*(1+$AJ1280*$AL1280*3)^(1/$AJ1280)))</f>
        <v/>
      </c>
      <c r="AP1280">
        <f>IF($AJ1280="","",IF($AJ1280=0,$AK1280*EXP($AL1280*-2),$AK1280*(1+$AJ1280*$AL1280*-2)^(1/$AJ1280)))</f>
        <v/>
      </c>
      <c r="AQ1280">
        <f>IF($AJ1280="","",IF($AJ1280=0,$AK1280*EXP($AL1280*-3),$AK1280*(1+$AJ1280*$AL1280*-3)^(1/$AJ1280)))</f>
        <v/>
      </c>
      <c r="AR1280">
        <f>IF(OR($X1280="",$T1280&gt;60),"",IFERROR(INDEX(IF($T1280&lt;24,pcomp_l,palt_l),MATCH($X1280,IF($T1280&lt;24,pcomp_k,palt_k),1)),""))</f>
        <v/>
      </c>
      <c r="AS1280">
        <f>IF(OR($X1280="",$T1280&gt;60),"",IFERROR(INDEX(IF($T1280&lt;24,pcomp_m,palt_m),MATCH($X1280,IF($T1280&lt;24,pcomp_k,palt_k),1)),""))</f>
        <v/>
      </c>
      <c r="AT1280">
        <f>IF(OR($X1280="",$T1280&gt;60),"",IFERROR(INDEX(IF($T1280&lt;24,pcomp_s,palt_s),MATCH($X1280,IF($T1280&lt;24,pcomp_k,palt_k),1)),""))</f>
        <v/>
      </c>
      <c r="AU1280">
        <f>IF($AR1280="","",IF($AR1280=0,LN($F1280/$AS1280)/$AT1280,((($F1280/$AS1280)^$AR1280)-1)/($AR1280*$AT1280)))</f>
        <v/>
      </c>
      <c r="AV1280">
        <f>IF($AR1280="","",IF($AR1280=0,$AS1280*EXP($AT1280*2),$AS1280*(1+$AR1280*$AT1280*2)^(1/$AR1280)))</f>
        <v/>
      </c>
      <c r="AW1280">
        <f>IF($AR1280="","",IF($AR1280=0,$AS1280*EXP($AT1280*3),$AS1280*(1+$AR1280*$AT1280*3)^(1/$AR1280)))</f>
        <v/>
      </c>
      <c r="AX1280">
        <f>IF($AR1280="","",IF($AR1280=0,$AS1280*EXP($AT1280*-2),$AS1280*(1+$AR1280*$AT1280*-2)^(1/$AR1280)))</f>
        <v/>
      </c>
      <c r="AY1280">
        <f>IF($AR1280="","",IF($AR1280=0,$AS1280*EXP($AT1280*-3),$AS1280*(1+$AR1280*$AT1280*-3)^(1/$AR1280)))</f>
        <v/>
      </c>
      <c r="AZ1280">
        <f>IF(OR($A1280="",$A1280&lt;&gt;Ficha!$C$4),"",COUNTIF($A$2:$A1280,Ficha!$C$4))</f>
        <v/>
      </c>
    </row>
    <row r="1281">
      <c r="A1281" s="8">
        <f>IF(INDEX(Banco!$A:$A,ROW())="","",INDEX(Banco!$A:$A,ROW()))</f>
        <v/>
      </c>
      <c r="B1281" s="8">
        <f>IF(INDEX(Banco!$B:$B,ROW())="","",INDEX(Banco!$B:$B,ROW()))</f>
        <v/>
      </c>
      <c r="C1281" s="8">
        <f>IF(INDEX(Banco!$C:$C,ROW())="","",INDEX(Banco!$C:$C,ROW()))</f>
        <v/>
      </c>
      <c r="D1281" s="9">
        <f>IF(INDEX(Banco!$D:$D,ROW())="","",INDEX(Banco!$D:$D,ROW()))</f>
        <v/>
      </c>
      <c r="E1281" s="9">
        <f>IF(INDEX(Banco!$E:$E,ROW())="","",INDEX(Banco!$E:$E,ROW()))</f>
        <v/>
      </c>
      <c r="F1281" s="10">
        <f>IF(INDEX(Banco!$F:$F,ROW())="","",INDEX(Banco!$F:$F,ROW()))</f>
        <v/>
      </c>
      <c r="G1281" s="10">
        <f>IF(INDEX(Banco!$G:$G,ROW())="","",INDEX(Banco!$G:$G,ROW()))</f>
        <v/>
      </c>
      <c r="H1281" s="8">
        <f>IF(INDEX(Banco!$H:$H,ROW())="","",INDEX(Banco!$H:$H,ROW()))</f>
        <v/>
      </c>
      <c r="I1281">
        <f>IF($T1281="","",INT($T1281/12)&amp;"a "&amp;MOD($T1281,12)&amp;"m")</f>
        <v/>
      </c>
      <c r="J1281" s="11">
        <f>IF(OR($F1281="",$G1281=""),"",ROUND($F1281/($G1281/100)^2,2))</f>
        <v/>
      </c>
      <c r="K1281" s="12">
        <f>IF(OR($S1281="",$J1281="",$T1281="",$T1281&lt;0,$T1281&gt;228,$Y1281=""),"—",ROUND(IF(ABS($AB1281)&lt;=3,$AB1281,IF($AB1281&gt;3,3+($J1281-$AD1281)/($AD1281-$AC1281),-3+($J1281-$AF1281)/($AE1281-$AF1281))),2))</f>
        <v/>
      </c>
      <c r="L1281">
        <f>IF(OR($K1281="",$K1281="—"),"",IF($T1281&lt;=60,IF($K1281&lt;-3,"Magreza acentuada",IF($K1281&lt;-2,"Magreza",IF($K1281&lt;=1,"Eutrofia",IF($K1281&lt;=2,"Risco de sobrepeso",IF($K1281&lt;=3,"Sobrepeso","Obesidade"))))),IF($K1281&lt;-3,"Magreza acentuada",IF($K1281&lt;-2,"Magreza",IF($K1281&lt;=1,"Eutrofia",IF($K1281&lt;=2,"Sobrepeso",IF($K1281&lt;=3,"Obesidade","Obesidade grave")))))))</f>
        <v/>
      </c>
      <c r="M1281" s="12">
        <f>IF(OR($S1281="",$V1281="",$T1281="",$T1281&lt;0,$T1281&gt;228,$AG1281=""),"—",ROUND(IF($AG1281=0,LN($V1281/$AH1281)/$AI1281,((($V1281/$AH1281)^$AG1281)-1)/($AG1281*$AI1281)),2))</f>
        <v/>
      </c>
      <c r="N1281">
        <f>IF(OR($M1281="",$M1281="—"),"",IF($M1281&lt;-3,"Muito baixa",IF($M1281&lt;-2,"Baixa","Adequada")))</f>
        <v/>
      </c>
      <c r="O1281" s="12">
        <f>IF(OR($S1281="",$F1281="",$T1281="",$T1281&lt;0,$T1281&gt;120,$AJ1281=""),"—",ROUND(IF(ABS($AM1281)&lt;=3,$AM1281,IF($AM1281&gt;3,3+($F1281-$AO1281)/($AO1281-$AN1281),-3+($F1281-$AQ1281)/($AP1281-$AQ1281))),2))</f>
        <v/>
      </c>
      <c r="P1281">
        <f>IF(OR($O1281="",$O1281="—"),"",IF($O1281&lt;-3,"Muito baixo",IF($O1281&lt;-2,"Baixo",IF($O1281&lt;=2,"Adequado","Elevado"))))</f>
        <v/>
      </c>
      <c r="Q1281" s="12">
        <f>IF(OR($S1281="",$F1281="",$T1281="",$T1281&lt;0,$T1281&gt;60,$AR1281=""),"—",ROUND(IF(ABS($AU1281)&lt;=3,$AU1281,IF($AU1281&gt;3,3+($F1281-$AW1281)/($AW1281-$AV1281),-3+($F1281-$AY1281)/($AX1281-$AY1281))),2))</f>
        <v/>
      </c>
      <c r="R1281">
        <f>IF(OR($Q1281="",$Q1281="—"),"",IF($Q1281&lt;-3,"Magreza acentuada",IF($Q1281&lt;-2,"Magreza",IF($Q1281&lt;=1,"Eutrofia",IF($Q1281&lt;=2,"Risco de sobrepeso",IF($Q1281&lt;=3,"Sobrepeso","Obesidade"))))))</f>
        <v/>
      </c>
      <c r="S1281">
        <f>IF($C1281="","",IF(UPPER(LEFT($C1281,1))="M",1,IF(UPPER(LEFT($C1281,1))="F",2,"")))</f>
        <v/>
      </c>
      <c r="T1281">
        <f>IF(OR($D1281="",$E1281=""),"",DATEDIF($D1281,$E1281,"m"))</f>
        <v/>
      </c>
      <c r="U1281">
        <f>IF(OR($D1281="",$E1281=""),"",$E1281-$D1281)</f>
        <v/>
      </c>
      <c r="V1281">
        <f>IF(OR($G1281="",$T1281=""),"",IF($T1281&lt;24,IF(LEFT(LOWER($H1281),4)="em p",$G1281+0.7,$G1281),IF(LEFT(LOWER($H1281),4)="deit",$G1281-0.7,$G1281)))</f>
        <v/>
      </c>
      <c r="W1281">
        <f>IF(OR($S1281="",$T1281=""),"",$S1281*1000000+IF($T1281&lt;=60,$U1281,$T1281))</f>
        <v/>
      </c>
      <c r="X1281">
        <f>IF(OR($S1281="",$V1281="",$T1281&gt;60,$T1281=""),"",$S1281*1000000+ROUND($V1281*10,0))</f>
        <v/>
      </c>
      <c r="Y1281">
        <f>IF($W1281="","",IFERROR(INDEX(IF($T1281&lt;=60,imc05_l,imc519_l),MATCH($W1281,IF($T1281&lt;=60,imc05_k,imc519_k),1)),""))</f>
        <v/>
      </c>
      <c r="Z1281">
        <f>IF($W1281="","",IFERROR(INDEX(IF($T1281&lt;=60,imc05_m,imc519_m),MATCH($W1281,IF($T1281&lt;=60,imc05_k,imc519_k),1)),""))</f>
        <v/>
      </c>
      <c r="AA1281">
        <f>IF($W1281="","",IFERROR(INDEX(IF($T1281&lt;=60,imc05_s,imc519_s),MATCH($W1281,IF($T1281&lt;=60,imc05_k,imc519_k),1)),""))</f>
        <v/>
      </c>
      <c r="AB1281">
        <f>IF($Y1281="","",IF($Y1281=0,LN($J1281/$Z1281)/$AA1281,((($J1281/$Z1281)^$Y1281)-1)/($Y1281*$AA1281)))</f>
        <v/>
      </c>
      <c r="AC1281">
        <f>IF($Y1281="","",IF($Y1281=0,$Z1281*EXP($AA1281*2),$Z1281*(1+$Y1281*$AA1281*2)^(1/$Y1281)))</f>
        <v/>
      </c>
      <c r="AD1281">
        <f>IF($Y1281="","",IF($Y1281=0,$Z1281*EXP($AA1281*3),$Z1281*(1+$Y1281*$AA1281*3)^(1/$Y1281)))</f>
        <v/>
      </c>
      <c r="AE1281">
        <f>IF($Y1281="","",IF($Y1281=0,$Z1281*EXP($AA1281*-2),$Z1281*(1+$Y1281*$AA1281*-2)^(1/$Y1281)))</f>
        <v/>
      </c>
      <c r="AF1281">
        <f>IF($Y1281="","",IF($Y1281=0,$Z1281*EXP($AA1281*-3),$Z1281*(1+$Y1281*$AA1281*-3)^(1/$Y1281)))</f>
        <v/>
      </c>
      <c r="AG1281">
        <f>IF($W1281="","",IFERROR(INDEX(IF($T1281&lt;=60,est05_l,est519_l),MATCH($W1281,IF($T1281&lt;=60,est05_k,est519_k),1)),""))</f>
        <v/>
      </c>
      <c r="AH1281">
        <f>IF($W1281="","",IFERROR(INDEX(IF($T1281&lt;=60,est05_m,est519_m),MATCH($W1281,IF($T1281&lt;=60,est05_k,est519_k),1)),""))</f>
        <v/>
      </c>
      <c r="AI1281">
        <f>IF($W1281="","",IFERROR(INDEX(IF($T1281&lt;=60,est05_s,est519_s),MATCH($W1281,IF($T1281&lt;=60,est05_k,est519_k),1)),""))</f>
        <v/>
      </c>
      <c r="AJ1281">
        <f>IF($W1281="","",IFERROR(INDEX(IF($T1281&lt;=60,peso05_l,peso510_l),MATCH($W1281,IF($T1281&lt;=60,peso05_k,peso510_k),1)),""))</f>
        <v/>
      </c>
      <c r="AK1281">
        <f>IF($W1281="","",IFERROR(INDEX(IF($T1281&lt;=60,peso05_m,peso510_m),MATCH($W1281,IF($T1281&lt;=60,peso05_k,peso510_k),1)),""))</f>
        <v/>
      </c>
      <c r="AL1281">
        <f>IF($W1281="","",IFERROR(INDEX(IF($T1281&lt;=60,peso05_s,peso510_s),MATCH($W1281,IF($T1281&lt;=60,peso05_k,peso510_k),1)),""))</f>
        <v/>
      </c>
      <c r="AM1281">
        <f>IF($AJ1281="","",IF($AJ1281=0,LN($F1281/$AK1281)/$AL1281,((($F1281/$AK1281)^$AJ1281)-1)/($AJ1281*$AL1281)))</f>
        <v/>
      </c>
      <c r="AN1281">
        <f>IF($AJ1281="","",IF($AJ1281=0,$AK1281*EXP($AL1281*2),$AK1281*(1+$AJ1281*$AL1281*2)^(1/$AJ1281)))</f>
        <v/>
      </c>
      <c r="AO1281">
        <f>IF($AJ1281="","",IF($AJ1281=0,$AK1281*EXP($AL1281*3),$AK1281*(1+$AJ1281*$AL1281*3)^(1/$AJ1281)))</f>
        <v/>
      </c>
      <c r="AP1281">
        <f>IF($AJ1281="","",IF($AJ1281=0,$AK1281*EXP($AL1281*-2),$AK1281*(1+$AJ1281*$AL1281*-2)^(1/$AJ1281)))</f>
        <v/>
      </c>
      <c r="AQ1281">
        <f>IF($AJ1281="","",IF($AJ1281=0,$AK1281*EXP($AL1281*-3),$AK1281*(1+$AJ1281*$AL1281*-3)^(1/$AJ1281)))</f>
        <v/>
      </c>
      <c r="AR1281">
        <f>IF(OR($X1281="",$T1281&gt;60),"",IFERROR(INDEX(IF($T1281&lt;24,pcomp_l,palt_l),MATCH($X1281,IF($T1281&lt;24,pcomp_k,palt_k),1)),""))</f>
        <v/>
      </c>
      <c r="AS1281">
        <f>IF(OR($X1281="",$T1281&gt;60),"",IFERROR(INDEX(IF($T1281&lt;24,pcomp_m,palt_m),MATCH($X1281,IF($T1281&lt;24,pcomp_k,palt_k),1)),""))</f>
        <v/>
      </c>
      <c r="AT1281">
        <f>IF(OR($X1281="",$T1281&gt;60),"",IFERROR(INDEX(IF($T1281&lt;24,pcomp_s,palt_s),MATCH($X1281,IF($T1281&lt;24,pcomp_k,palt_k),1)),""))</f>
        <v/>
      </c>
      <c r="AU1281">
        <f>IF($AR1281="","",IF($AR1281=0,LN($F1281/$AS1281)/$AT1281,((($F1281/$AS1281)^$AR1281)-1)/($AR1281*$AT1281)))</f>
        <v/>
      </c>
      <c r="AV1281">
        <f>IF($AR1281="","",IF($AR1281=0,$AS1281*EXP($AT1281*2),$AS1281*(1+$AR1281*$AT1281*2)^(1/$AR1281)))</f>
        <v/>
      </c>
      <c r="AW1281">
        <f>IF($AR1281="","",IF($AR1281=0,$AS1281*EXP($AT1281*3),$AS1281*(1+$AR1281*$AT1281*3)^(1/$AR1281)))</f>
        <v/>
      </c>
      <c r="AX1281">
        <f>IF($AR1281="","",IF($AR1281=0,$AS1281*EXP($AT1281*-2),$AS1281*(1+$AR1281*$AT1281*-2)^(1/$AR1281)))</f>
        <v/>
      </c>
      <c r="AY1281">
        <f>IF($AR1281="","",IF($AR1281=0,$AS1281*EXP($AT1281*-3),$AS1281*(1+$AR1281*$AT1281*-3)^(1/$AR1281)))</f>
        <v/>
      </c>
      <c r="AZ1281">
        <f>IF(OR($A1281="",$A1281&lt;&gt;Ficha!$C$4),"",COUNTIF($A$2:$A1281,Ficha!$C$4))</f>
        <v/>
      </c>
    </row>
    <row r="1282">
      <c r="A1282" s="8">
        <f>IF(INDEX(Banco!$A:$A,ROW())="","",INDEX(Banco!$A:$A,ROW()))</f>
        <v/>
      </c>
      <c r="B1282" s="8">
        <f>IF(INDEX(Banco!$B:$B,ROW())="","",INDEX(Banco!$B:$B,ROW()))</f>
        <v/>
      </c>
      <c r="C1282" s="8">
        <f>IF(INDEX(Banco!$C:$C,ROW())="","",INDEX(Banco!$C:$C,ROW()))</f>
        <v/>
      </c>
      <c r="D1282" s="9">
        <f>IF(INDEX(Banco!$D:$D,ROW())="","",INDEX(Banco!$D:$D,ROW()))</f>
        <v/>
      </c>
      <c r="E1282" s="9">
        <f>IF(INDEX(Banco!$E:$E,ROW())="","",INDEX(Banco!$E:$E,ROW()))</f>
        <v/>
      </c>
      <c r="F1282" s="10">
        <f>IF(INDEX(Banco!$F:$F,ROW())="","",INDEX(Banco!$F:$F,ROW()))</f>
        <v/>
      </c>
      <c r="G1282" s="10">
        <f>IF(INDEX(Banco!$G:$G,ROW())="","",INDEX(Banco!$G:$G,ROW()))</f>
        <v/>
      </c>
      <c r="H1282" s="8">
        <f>IF(INDEX(Banco!$H:$H,ROW())="","",INDEX(Banco!$H:$H,ROW()))</f>
        <v/>
      </c>
      <c r="I1282">
        <f>IF($T1282="","",INT($T1282/12)&amp;"a "&amp;MOD($T1282,12)&amp;"m")</f>
        <v/>
      </c>
      <c r="J1282" s="11">
        <f>IF(OR($F1282="",$G1282=""),"",ROUND($F1282/($G1282/100)^2,2))</f>
        <v/>
      </c>
      <c r="K1282" s="12">
        <f>IF(OR($S1282="",$J1282="",$T1282="",$T1282&lt;0,$T1282&gt;228,$Y1282=""),"—",ROUND(IF(ABS($AB1282)&lt;=3,$AB1282,IF($AB1282&gt;3,3+($J1282-$AD1282)/($AD1282-$AC1282),-3+($J1282-$AF1282)/($AE1282-$AF1282))),2))</f>
        <v/>
      </c>
      <c r="L1282">
        <f>IF(OR($K1282="",$K1282="—"),"",IF($T1282&lt;=60,IF($K1282&lt;-3,"Magreza acentuada",IF($K1282&lt;-2,"Magreza",IF($K1282&lt;=1,"Eutrofia",IF($K1282&lt;=2,"Risco de sobrepeso",IF($K1282&lt;=3,"Sobrepeso","Obesidade"))))),IF($K1282&lt;-3,"Magreza acentuada",IF($K1282&lt;-2,"Magreza",IF($K1282&lt;=1,"Eutrofia",IF($K1282&lt;=2,"Sobrepeso",IF($K1282&lt;=3,"Obesidade","Obesidade grave")))))))</f>
        <v/>
      </c>
      <c r="M1282" s="12">
        <f>IF(OR($S1282="",$V1282="",$T1282="",$T1282&lt;0,$T1282&gt;228,$AG1282=""),"—",ROUND(IF($AG1282=0,LN($V1282/$AH1282)/$AI1282,((($V1282/$AH1282)^$AG1282)-1)/($AG1282*$AI1282)),2))</f>
        <v/>
      </c>
      <c r="N1282">
        <f>IF(OR($M1282="",$M1282="—"),"",IF($M1282&lt;-3,"Muito baixa",IF($M1282&lt;-2,"Baixa","Adequada")))</f>
        <v/>
      </c>
      <c r="O1282" s="12">
        <f>IF(OR($S1282="",$F1282="",$T1282="",$T1282&lt;0,$T1282&gt;120,$AJ1282=""),"—",ROUND(IF(ABS($AM1282)&lt;=3,$AM1282,IF($AM1282&gt;3,3+($F1282-$AO1282)/($AO1282-$AN1282),-3+($F1282-$AQ1282)/($AP1282-$AQ1282))),2))</f>
        <v/>
      </c>
      <c r="P1282">
        <f>IF(OR($O1282="",$O1282="—"),"",IF($O1282&lt;-3,"Muito baixo",IF($O1282&lt;-2,"Baixo",IF($O1282&lt;=2,"Adequado","Elevado"))))</f>
        <v/>
      </c>
      <c r="Q1282" s="12">
        <f>IF(OR($S1282="",$F1282="",$T1282="",$T1282&lt;0,$T1282&gt;60,$AR1282=""),"—",ROUND(IF(ABS($AU1282)&lt;=3,$AU1282,IF($AU1282&gt;3,3+($F1282-$AW1282)/($AW1282-$AV1282),-3+($F1282-$AY1282)/($AX1282-$AY1282))),2))</f>
        <v/>
      </c>
      <c r="R1282">
        <f>IF(OR($Q1282="",$Q1282="—"),"",IF($Q1282&lt;-3,"Magreza acentuada",IF($Q1282&lt;-2,"Magreza",IF($Q1282&lt;=1,"Eutrofia",IF($Q1282&lt;=2,"Risco de sobrepeso",IF($Q1282&lt;=3,"Sobrepeso","Obesidade"))))))</f>
        <v/>
      </c>
      <c r="S1282">
        <f>IF($C1282="","",IF(UPPER(LEFT($C1282,1))="M",1,IF(UPPER(LEFT($C1282,1))="F",2,"")))</f>
        <v/>
      </c>
      <c r="T1282">
        <f>IF(OR($D1282="",$E1282=""),"",DATEDIF($D1282,$E1282,"m"))</f>
        <v/>
      </c>
      <c r="U1282">
        <f>IF(OR($D1282="",$E1282=""),"",$E1282-$D1282)</f>
        <v/>
      </c>
      <c r="V1282">
        <f>IF(OR($G1282="",$T1282=""),"",IF($T1282&lt;24,IF(LEFT(LOWER($H1282),4)="em p",$G1282+0.7,$G1282),IF(LEFT(LOWER($H1282),4)="deit",$G1282-0.7,$G1282)))</f>
        <v/>
      </c>
      <c r="W1282">
        <f>IF(OR($S1282="",$T1282=""),"",$S1282*1000000+IF($T1282&lt;=60,$U1282,$T1282))</f>
        <v/>
      </c>
      <c r="X1282">
        <f>IF(OR($S1282="",$V1282="",$T1282&gt;60,$T1282=""),"",$S1282*1000000+ROUND($V1282*10,0))</f>
        <v/>
      </c>
      <c r="Y1282">
        <f>IF($W1282="","",IFERROR(INDEX(IF($T1282&lt;=60,imc05_l,imc519_l),MATCH($W1282,IF($T1282&lt;=60,imc05_k,imc519_k),1)),""))</f>
        <v/>
      </c>
      <c r="Z1282">
        <f>IF($W1282="","",IFERROR(INDEX(IF($T1282&lt;=60,imc05_m,imc519_m),MATCH($W1282,IF($T1282&lt;=60,imc05_k,imc519_k),1)),""))</f>
        <v/>
      </c>
      <c r="AA1282">
        <f>IF($W1282="","",IFERROR(INDEX(IF($T1282&lt;=60,imc05_s,imc519_s),MATCH($W1282,IF($T1282&lt;=60,imc05_k,imc519_k),1)),""))</f>
        <v/>
      </c>
      <c r="AB1282">
        <f>IF($Y1282="","",IF($Y1282=0,LN($J1282/$Z1282)/$AA1282,((($J1282/$Z1282)^$Y1282)-1)/($Y1282*$AA1282)))</f>
        <v/>
      </c>
      <c r="AC1282">
        <f>IF($Y1282="","",IF($Y1282=0,$Z1282*EXP($AA1282*2),$Z1282*(1+$Y1282*$AA1282*2)^(1/$Y1282)))</f>
        <v/>
      </c>
      <c r="AD1282">
        <f>IF($Y1282="","",IF($Y1282=0,$Z1282*EXP($AA1282*3),$Z1282*(1+$Y1282*$AA1282*3)^(1/$Y1282)))</f>
        <v/>
      </c>
      <c r="AE1282">
        <f>IF($Y1282="","",IF($Y1282=0,$Z1282*EXP($AA1282*-2),$Z1282*(1+$Y1282*$AA1282*-2)^(1/$Y1282)))</f>
        <v/>
      </c>
      <c r="AF1282">
        <f>IF($Y1282="","",IF($Y1282=0,$Z1282*EXP($AA1282*-3),$Z1282*(1+$Y1282*$AA1282*-3)^(1/$Y1282)))</f>
        <v/>
      </c>
      <c r="AG1282">
        <f>IF($W1282="","",IFERROR(INDEX(IF($T1282&lt;=60,est05_l,est519_l),MATCH($W1282,IF($T1282&lt;=60,est05_k,est519_k),1)),""))</f>
        <v/>
      </c>
      <c r="AH1282">
        <f>IF($W1282="","",IFERROR(INDEX(IF($T1282&lt;=60,est05_m,est519_m),MATCH($W1282,IF($T1282&lt;=60,est05_k,est519_k),1)),""))</f>
        <v/>
      </c>
      <c r="AI1282">
        <f>IF($W1282="","",IFERROR(INDEX(IF($T1282&lt;=60,est05_s,est519_s),MATCH($W1282,IF($T1282&lt;=60,est05_k,est519_k),1)),""))</f>
        <v/>
      </c>
      <c r="AJ1282">
        <f>IF($W1282="","",IFERROR(INDEX(IF($T1282&lt;=60,peso05_l,peso510_l),MATCH($W1282,IF($T1282&lt;=60,peso05_k,peso510_k),1)),""))</f>
        <v/>
      </c>
      <c r="AK1282">
        <f>IF($W1282="","",IFERROR(INDEX(IF($T1282&lt;=60,peso05_m,peso510_m),MATCH($W1282,IF($T1282&lt;=60,peso05_k,peso510_k),1)),""))</f>
        <v/>
      </c>
      <c r="AL1282">
        <f>IF($W1282="","",IFERROR(INDEX(IF($T1282&lt;=60,peso05_s,peso510_s),MATCH($W1282,IF($T1282&lt;=60,peso05_k,peso510_k),1)),""))</f>
        <v/>
      </c>
      <c r="AM1282">
        <f>IF($AJ1282="","",IF($AJ1282=0,LN($F1282/$AK1282)/$AL1282,((($F1282/$AK1282)^$AJ1282)-1)/($AJ1282*$AL1282)))</f>
        <v/>
      </c>
      <c r="AN1282">
        <f>IF($AJ1282="","",IF($AJ1282=0,$AK1282*EXP($AL1282*2),$AK1282*(1+$AJ1282*$AL1282*2)^(1/$AJ1282)))</f>
        <v/>
      </c>
      <c r="AO1282">
        <f>IF($AJ1282="","",IF($AJ1282=0,$AK1282*EXP($AL1282*3),$AK1282*(1+$AJ1282*$AL1282*3)^(1/$AJ1282)))</f>
        <v/>
      </c>
      <c r="AP1282">
        <f>IF($AJ1282="","",IF($AJ1282=0,$AK1282*EXP($AL1282*-2),$AK1282*(1+$AJ1282*$AL1282*-2)^(1/$AJ1282)))</f>
        <v/>
      </c>
      <c r="AQ1282">
        <f>IF($AJ1282="","",IF($AJ1282=0,$AK1282*EXP($AL1282*-3),$AK1282*(1+$AJ1282*$AL1282*-3)^(1/$AJ1282)))</f>
        <v/>
      </c>
      <c r="AR1282">
        <f>IF(OR($X1282="",$T1282&gt;60),"",IFERROR(INDEX(IF($T1282&lt;24,pcomp_l,palt_l),MATCH($X1282,IF($T1282&lt;24,pcomp_k,palt_k),1)),""))</f>
        <v/>
      </c>
      <c r="AS1282">
        <f>IF(OR($X1282="",$T1282&gt;60),"",IFERROR(INDEX(IF($T1282&lt;24,pcomp_m,palt_m),MATCH($X1282,IF($T1282&lt;24,pcomp_k,palt_k),1)),""))</f>
        <v/>
      </c>
      <c r="AT1282">
        <f>IF(OR($X1282="",$T1282&gt;60),"",IFERROR(INDEX(IF($T1282&lt;24,pcomp_s,palt_s),MATCH($X1282,IF($T1282&lt;24,pcomp_k,palt_k),1)),""))</f>
        <v/>
      </c>
      <c r="AU1282">
        <f>IF($AR1282="","",IF($AR1282=0,LN($F1282/$AS1282)/$AT1282,((($F1282/$AS1282)^$AR1282)-1)/($AR1282*$AT1282)))</f>
        <v/>
      </c>
      <c r="AV1282">
        <f>IF($AR1282="","",IF($AR1282=0,$AS1282*EXP($AT1282*2),$AS1282*(1+$AR1282*$AT1282*2)^(1/$AR1282)))</f>
        <v/>
      </c>
      <c r="AW1282">
        <f>IF($AR1282="","",IF($AR1282=0,$AS1282*EXP($AT1282*3),$AS1282*(1+$AR1282*$AT1282*3)^(1/$AR1282)))</f>
        <v/>
      </c>
      <c r="AX1282">
        <f>IF($AR1282="","",IF($AR1282=0,$AS1282*EXP($AT1282*-2),$AS1282*(1+$AR1282*$AT1282*-2)^(1/$AR1282)))</f>
        <v/>
      </c>
      <c r="AY1282">
        <f>IF($AR1282="","",IF($AR1282=0,$AS1282*EXP($AT1282*-3),$AS1282*(1+$AR1282*$AT1282*-3)^(1/$AR1282)))</f>
        <v/>
      </c>
      <c r="AZ1282">
        <f>IF(OR($A1282="",$A1282&lt;&gt;Ficha!$C$4),"",COUNTIF($A$2:$A1282,Ficha!$C$4))</f>
        <v/>
      </c>
    </row>
    <row r="1283">
      <c r="A1283" s="8">
        <f>IF(INDEX(Banco!$A:$A,ROW())="","",INDEX(Banco!$A:$A,ROW()))</f>
        <v/>
      </c>
      <c r="B1283" s="8">
        <f>IF(INDEX(Banco!$B:$B,ROW())="","",INDEX(Banco!$B:$B,ROW()))</f>
        <v/>
      </c>
      <c r="C1283" s="8">
        <f>IF(INDEX(Banco!$C:$C,ROW())="","",INDEX(Banco!$C:$C,ROW()))</f>
        <v/>
      </c>
      <c r="D1283" s="9">
        <f>IF(INDEX(Banco!$D:$D,ROW())="","",INDEX(Banco!$D:$D,ROW()))</f>
        <v/>
      </c>
      <c r="E1283" s="9">
        <f>IF(INDEX(Banco!$E:$E,ROW())="","",INDEX(Banco!$E:$E,ROW()))</f>
        <v/>
      </c>
      <c r="F1283" s="10">
        <f>IF(INDEX(Banco!$F:$F,ROW())="","",INDEX(Banco!$F:$F,ROW()))</f>
        <v/>
      </c>
      <c r="G1283" s="10">
        <f>IF(INDEX(Banco!$G:$G,ROW())="","",INDEX(Banco!$G:$G,ROW()))</f>
        <v/>
      </c>
      <c r="H1283" s="8">
        <f>IF(INDEX(Banco!$H:$H,ROW())="","",INDEX(Banco!$H:$H,ROW()))</f>
        <v/>
      </c>
      <c r="I1283">
        <f>IF($T1283="","",INT($T1283/12)&amp;"a "&amp;MOD($T1283,12)&amp;"m")</f>
        <v/>
      </c>
      <c r="J1283" s="11">
        <f>IF(OR($F1283="",$G1283=""),"",ROUND($F1283/($G1283/100)^2,2))</f>
        <v/>
      </c>
      <c r="K1283" s="12">
        <f>IF(OR($S1283="",$J1283="",$T1283="",$T1283&lt;0,$T1283&gt;228,$Y1283=""),"—",ROUND(IF(ABS($AB1283)&lt;=3,$AB1283,IF($AB1283&gt;3,3+($J1283-$AD1283)/($AD1283-$AC1283),-3+($J1283-$AF1283)/($AE1283-$AF1283))),2))</f>
        <v/>
      </c>
      <c r="L1283">
        <f>IF(OR($K1283="",$K1283="—"),"",IF($T1283&lt;=60,IF($K1283&lt;-3,"Magreza acentuada",IF($K1283&lt;-2,"Magreza",IF($K1283&lt;=1,"Eutrofia",IF($K1283&lt;=2,"Risco de sobrepeso",IF($K1283&lt;=3,"Sobrepeso","Obesidade"))))),IF($K1283&lt;-3,"Magreza acentuada",IF($K1283&lt;-2,"Magreza",IF($K1283&lt;=1,"Eutrofia",IF($K1283&lt;=2,"Sobrepeso",IF($K1283&lt;=3,"Obesidade","Obesidade grave")))))))</f>
        <v/>
      </c>
      <c r="M1283" s="12">
        <f>IF(OR($S1283="",$V1283="",$T1283="",$T1283&lt;0,$T1283&gt;228,$AG1283=""),"—",ROUND(IF($AG1283=0,LN($V1283/$AH1283)/$AI1283,((($V1283/$AH1283)^$AG1283)-1)/($AG1283*$AI1283)),2))</f>
        <v/>
      </c>
      <c r="N1283">
        <f>IF(OR($M1283="",$M1283="—"),"",IF($M1283&lt;-3,"Muito baixa",IF($M1283&lt;-2,"Baixa","Adequada")))</f>
        <v/>
      </c>
      <c r="O1283" s="12">
        <f>IF(OR($S1283="",$F1283="",$T1283="",$T1283&lt;0,$T1283&gt;120,$AJ1283=""),"—",ROUND(IF(ABS($AM1283)&lt;=3,$AM1283,IF($AM1283&gt;3,3+($F1283-$AO1283)/($AO1283-$AN1283),-3+($F1283-$AQ1283)/($AP1283-$AQ1283))),2))</f>
        <v/>
      </c>
      <c r="P1283">
        <f>IF(OR($O1283="",$O1283="—"),"",IF($O1283&lt;-3,"Muito baixo",IF($O1283&lt;-2,"Baixo",IF($O1283&lt;=2,"Adequado","Elevado"))))</f>
        <v/>
      </c>
      <c r="Q1283" s="12">
        <f>IF(OR($S1283="",$F1283="",$T1283="",$T1283&lt;0,$T1283&gt;60,$AR1283=""),"—",ROUND(IF(ABS($AU1283)&lt;=3,$AU1283,IF($AU1283&gt;3,3+($F1283-$AW1283)/($AW1283-$AV1283),-3+($F1283-$AY1283)/($AX1283-$AY1283))),2))</f>
        <v/>
      </c>
      <c r="R1283">
        <f>IF(OR($Q1283="",$Q1283="—"),"",IF($Q1283&lt;-3,"Magreza acentuada",IF($Q1283&lt;-2,"Magreza",IF($Q1283&lt;=1,"Eutrofia",IF($Q1283&lt;=2,"Risco de sobrepeso",IF($Q1283&lt;=3,"Sobrepeso","Obesidade"))))))</f>
        <v/>
      </c>
      <c r="S1283">
        <f>IF($C1283="","",IF(UPPER(LEFT($C1283,1))="M",1,IF(UPPER(LEFT($C1283,1))="F",2,"")))</f>
        <v/>
      </c>
      <c r="T1283">
        <f>IF(OR($D1283="",$E1283=""),"",DATEDIF($D1283,$E1283,"m"))</f>
        <v/>
      </c>
      <c r="U1283">
        <f>IF(OR($D1283="",$E1283=""),"",$E1283-$D1283)</f>
        <v/>
      </c>
      <c r="V1283">
        <f>IF(OR($G1283="",$T1283=""),"",IF($T1283&lt;24,IF(LEFT(LOWER($H1283),4)="em p",$G1283+0.7,$G1283),IF(LEFT(LOWER($H1283),4)="deit",$G1283-0.7,$G1283)))</f>
        <v/>
      </c>
      <c r="W1283">
        <f>IF(OR($S1283="",$T1283=""),"",$S1283*1000000+IF($T1283&lt;=60,$U1283,$T1283))</f>
        <v/>
      </c>
      <c r="X1283">
        <f>IF(OR($S1283="",$V1283="",$T1283&gt;60,$T1283=""),"",$S1283*1000000+ROUND($V1283*10,0))</f>
        <v/>
      </c>
      <c r="Y1283">
        <f>IF($W1283="","",IFERROR(INDEX(IF($T1283&lt;=60,imc05_l,imc519_l),MATCH($W1283,IF($T1283&lt;=60,imc05_k,imc519_k),1)),""))</f>
        <v/>
      </c>
      <c r="Z1283">
        <f>IF($W1283="","",IFERROR(INDEX(IF($T1283&lt;=60,imc05_m,imc519_m),MATCH($W1283,IF($T1283&lt;=60,imc05_k,imc519_k),1)),""))</f>
        <v/>
      </c>
      <c r="AA1283">
        <f>IF($W1283="","",IFERROR(INDEX(IF($T1283&lt;=60,imc05_s,imc519_s),MATCH($W1283,IF($T1283&lt;=60,imc05_k,imc519_k),1)),""))</f>
        <v/>
      </c>
      <c r="AB1283">
        <f>IF($Y1283="","",IF($Y1283=0,LN($J1283/$Z1283)/$AA1283,((($J1283/$Z1283)^$Y1283)-1)/($Y1283*$AA1283)))</f>
        <v/>
      </c>
      <c r="AC1283">
        <f>IF($Y1283="","",IF($Y1283=0,$Z1283*EXP($AA1283*2),$Z1283*(1+$Y1283*$AA1283*2)^(1/$Y1283)))</f>
        <v/>
      </c>
      <c r="AD1283">
        <f>IF($Y1283="","",IF($Y1283=0,$Z1283*EXP($AA1283*3),$Z1283*(1+$Y1283*$AA1283*3)^(1/$Y1283)))</f>
        <v/>
      </c>
      <c r="AE1283">
        <f>IF($Y1283="","",IF($Y1283=0,$Z1283*EXP($AA1283*-2),$Z1283*(1+$Y1283*$AA1283*-2)^(1/$Y1283)))</f>
        <v/>
      </c>
      <c r="AF1283">
        <f>IF($Y1283="","",IF($Y1283=0,$Z1283*EXP($AA1283*-3),$Z1283*(1+$Y1283*$AA1283*-3)^(1/$Y1283)))</f>
        <v/>
      </c>
      <c r="AG1283">
        <f>IF($W1283="","",IFERROR(INDEX(IF($T1283&lt;=60,est05_l,est519_l),MATCH($W1283,IF($T1283&lt;=60,est05_k,est519_k),1)),""))</f>
        <v/>
      </c>
      <c r="AH1283">
        <f>IF($W1283="","",IFERROR(INDEX(IF($T1283&lt;=60,est05_m,est519_m),MATCH($W1283,IF($T1283&lt;=60,est05_k,est519_k),1)),""))</f>
        <v/>
      </c>
      <c r="AI1283">
        <f>IF($W1283="","",IFERROR(INDEX(IF($T1283&lt;=60,est05_s,est519_s),MATCH($W1283,IF($T1283&lt;=60,est05_k,est519_k),1)),""))</f>
        <v/>
      </c>
      <c r="AJ1283">
        <f>IF($W1283="","",IFERROR(INDEX(IF($T1283&lt;=60,peso05_l,peso510_l),MATCH($W1283,IF($T1283&lt;=60,peso05_k,peso510_k),1)),""))</f>
        <v/>
      </c>
      <c r="AK1283">
        <f>IF($W1283="","",IFERROR(INDEX(IF($T1283&lt;=60,peso05_m,peso510_m),MATCH($W1283,IF($T1283&lt;=60,peso05_k,peso510_k),1)),""))</f>
        <v/>
      </c>
      <c r="AL1283">
        <f>IF($W1283="","",IFERROR(INDEX(IF($T1283&lt;=60,peso05_s,peso510_s),MATCH($W1283,IF($T1283&lt;=60,peso05_k,peso510_k),1)),""))</f>
        <v/>
      </c>
      <c r="AM1283">
        <f>IF($AJ1283="","",IF($AJ1283=0,LN($F1283/$AK1283)/$AL1283,((($F1283/$AK1283)^$AJ1283)-1)/($AJ1283*$AL1283)))</f>
        <v/>
      </c>
      <c r="AN1283">
        <f>IF($AJ1283="","",IF($AJ1283=0,$AK1283*EXP($AL1283*2),$AK1283*(1+$AJ1283*$AL1283*2)^(1/$AJ1283)))</f>
        <v/>
      </c>
      <c r="AO1283">
        <f>IF($AJ1283="","",IF($AJ1283=0,$AK1283*EXP($AL1283*3),$AK1283*(1+$AJ1283*$AL1283*3)^(1/$AJ1283)))</f>
        <v/>
      </c>
      <c r="AP1283">
        <f>IF($AJ1283="","",IF($AJ1283=0,$AK1283*EXP($AL1283*-2),$AK1283*(1+$AJ1283*$AL1283*-2)^(1/$AJ1283)))</f>
        <v/>
      </c>
      <c r="AQ1283">
        <f>IF($AJ1283="","",IF($AJ1283=0,$AK1283*EXP($AL1283*-3),$AK1283*(1+$AJ1283*$AL1283*-3)^(1/$AJ1283)))</f>
        <v/>
      </c>
      <c r="AR1283">
        <f>IF(OR($X1283="",$T1283&gt;60),"",IFERROR(INDEX(IF($T1283&lt;24,pcomp_l,palt_l),MATCH($X1283,IF($T1283&lt;24,pcomp_k,palt_k),1)),""))</f>
        <v/>
      </c>
      <c r="AS1283">
        <f>IF(OR($X1283="",$T1283&gt;60),"",IFERROR(INDEX(IF($T1283&lt;24,pcomp_m,palt_m),MATCH($X1283,IF($T1283&lt;24,pcomp_k,palt_k),1)),""))</f>
        <v/>
      </c>
      <c r="AT1283">
        <f>IF(OR($X1283="",$T1283&gt;60),"",IFERROR(INDEX(IF($T1283&lt;24,pcomp_s,palt_s),MATCH($X1283,IF($T1283&lt;24,pcomp_k,palt_k),1)),""))</f>
        <v/>
      </c>
      <c r="AU1283">
        <f>IF($AR1283="","",IF($AR1283=0,LN($F1283/$AS1283)/$AT1283,((($F1283/$AS1283)^$AR1283)-1)/($AR1283*$AT1283)))</f>
        <v/>
      </c>
      <c r="AV1283">
        <f>IF($AR1283="","",IF($AR1283=0,$AS1283*EXP($AT1283*2),$AS1283*(1+$AR1283*$AT1283*2)^(1/$AR1283)))</f>
        <v/>
      </c>
      <c r="AW1283">
        <f>IF($AR1283="","",IF($AR1283=0,$AS1283*EXP($AT1283*3),$AS1283*(1+$AR1283*$AT1283*3)^(1/$AR1283)))</f>
        <v/>
      </c>
      <c r="AX1283">
        <f>IF($AR1283="","",IF($AR1283=0,$AS1283*EXP($AT1283*-2),$AS1283*(1+$AR1283*$AT1283*-2)^(1/$AR1283)))</f>
        <v/>
      </c>
      <c r="AY1283">
        <f>IF($AR1283="","",IF($AR1283=0,$AS1283*EXP($AT1283*-3),$AS1283*(1+$AR1283*$AT1283*-3)^(1/$AR1283)))</f>
        <v/>
      </c>
      <c r="AZ1283">
        <f>IF(OR($A1283="",$A1283&lt;&gt;Ficha!$C$4),"",COUNTIF($A$2:$A1283,Ficha!$C$4))</f>
        <v/>
      </c>
    </row>
    <row r="1284">
      <c r="A1284" s="8">
        <f>IF(INDEX(Banco!$A:$A,ROW())="","",INDEX(Banco!$A:$A,ROW()))</f>
        <v/>
      </c>
      <c r="B1284" s="8">
        <f>IF(INDEX(Banco!$B:$B,ROW())="","",INDEX(Banco!$B:$B,ROW()))</f>
        <v/>
      </c>
      <c r="C1284" s="8">
        <f>IF(INDEX(Banco!$C:$C,ROW())="","",INDEX(Banco!$C:$C,ROW()))</f>
        <v/>
      </c>
      <c r="D1284" s="9">
        <f>IF(INDEX(Banco!$D:$D,ROW())="","",INDEX(Banco!$D:$D,ROW()))</f>
        <v/>
      </c>
      <c r="E1284" s="9">
        <f>IF(INDEX(Banco!$E:$E,ROW())="","",INDEX(Banco!$E:$E,ROW()))</f>
        <v/>
      </c>
      <c r="F1284" s="10">
        <f>IF(INDEX(Banco!$F:$F,ROW())="","",INDEX(Banco!$F:$F,ROW()))</f>
        <v/>
      </c>
      <c r="G1284" s="10">
        <f>IF(INDEX(Banco!$G:$G,ROW())="","",INDEX(Banco!$G:$G,ROW()))</f>
        <v/>
      </c>
      <c r="H1284" s="8">
        <f>IF(INDEX(Banco!$H:$H,ROW())="","",INDEX(Banco!$H:$H,ROW()))</f>
        <v/>
      </c>
      <c r="I1284">
        <f>IF($T1284="","",INT($T1284/12)&amp;"a "&amp;MOD($T1284,12)&amp;"m")</f>
        <v/>
      </c>
      <c r="J1284" s="11">
        <f>IF(OR($F1284="",$G1284=""),"",ROUND($F1284/($G1284/100)^2,2))</f>
        <v/>
      </c>
      <c r="K1284" s="12">
        <f>IF(OR($S1284="",$J1284="",$T1284="",$T1284&lt;0,$T1284&gt;228,$Y1284=""),"—",ROUND(IF(ABS($AB1284)&lt;=3,$AB1284,IF($AB1284&gt;3,3+($J1284-$AD1284)/($AD1284-$AC1284),-3+($J1284-$AF1284)/($AE1284-$AF1284))),2))</f>
        <v/>
      </c>
      <c r="L1284">
        <f>IF(OR($K1284="",$K1284="—"),"",IF($T1284&lt;=60,IF($K1284&lt;-3,"Magreza acentuada",IF($K1284&lt;-2,"Magreza",IF($K1284&lt;=1,"Eutrofia",IF($K1284&lt;=2,"Risco de sobrepeso",IF($K1284&lt;=3,"Sobrepeso","Obesidade"))))),IF($K1284&lt;-3,"Magreza acentuada",IF($K1284&lt;-2,"Magreza",IF($K1284&lt;=1,"Eutrofia",IF($K1284&lt;=2,"Sobrepeso",IF($K1284&lt;=3,"Obesidade","Obesidade grave")))))))</f>
        <v/>
      </c>
      <c r="M1284" s="12">
        <f>IF(OR($S1284="",$V1284="",$T1284="",$T1284&lt;0,$T1284&gt;228,$AG1284=""),"—",ROUND(IF($AG1284=0,LN($V1284/$AH1284)/$AI1284,((($V1284/$AH1284)^$AG1284)-1)/($AG1284*$AI1284)),2))</f>
        <v/>
      </c>
      <c r="N1284">
        <f>IF(OR($M1284="",$M1284="—"),"",IF($M1284&lt;-3,"Muito baixa",IF($M1284&lt;-2,"Baixa","Adequada")))</f>
        <v/>
      </c>
      <c r="O1284" s="12">
        <f>IF(OR($S1284="",$F1284="",$T1284="",$T1284&lt;0,$T1284&gt;120,$AJ1284=""),"—",ROUND(IF(ABS($AM1284)&lt;=3,$AM1284,IF($AM1284&gt;3,3+($F1284-$AO1284)/($AO1284-$AN1284),-3+($F1284-$AQ1284)/($AP1284-$AQ1284))),2))</f>
        <v/>
      </c>
      <c r="P1284">
        <f>IF(OR($O1284="",$O1284="—"),"",IF($O1284&lt;-3,"Muito baixo",IF($O1284&lt;-2,"Baixo",IF($O1284&lt;=2,"Adequado","Elevado"))))</f>
        <v/>
      </c>
      <c r="Q1284" s="12">
        <f>IF(OR($S1284="",$F1284="",$T1284="",$T1284&lt;0,$T1284&gt;60,$AR1284=""),"—",ROUND(IF(ABS($AU1284)&lt;=3,$AU1284,IF($AU1284&gt;3,3+($F1284-$AW1284)/($AW1284-$AV1284),-3+($F1284-$AY1284)/($AX1284-$AY1284))),2))</f>
        <v/>
      </c>
      <c r="R1284">
        <f>IF(OR($Q1284="",$Q1284="—"),"",IF($Q1284&lt;-3,"Magreza acentuada",IF($Q1284&lt;-2,"Magreza",IF($Q1284&lt;=1,"Eutrofia",IF($Q1284&lt;=2,"Risco de sobrepeso",IF($Q1284&lt;=3,"Sobrepeso","Obesidade"))))))</f>
        <v/>
      </c>
      <c r="S1284">
        <f>IF($C1284="","",IF(UPPER(LEFT($C1284,1))="M",1,IF(UPPER(LEFT($C1284,1))="F",2,"")))</f>
        <v/>
      </c>
      <c r="T1284">
        <f>IF(OR($D1284="",$E1284=""),"",DATEDIF($D1284,$E1284,"m"))</f>
        <v/>
      </c>
      <c r="U1284">
        <f>IF(OR($D1284="",$E1284=""),"",$E1284-$D1284)</f>
        <v/>
      </c>
      <c r="V1284">
        <f>IF(OR($G1284="",$T1284=""),"",IF($T1284&lt;24,IF(LEFT(LOWER($H1284),4)="em p",$G1284+0.7,$G1284),IF(LEFT(LOWER($H1284),4)="deit",$G1284-0.7,$G1284)))</f>
        <v/>
      </c>
      <c r="W1284">
        <f>IF(OR($S1284="",$T1284=""),"",$S1284*1000000+IF($T1284&lt;=60,$U1284,$T1284))</f>
        <v/>
      </c>
      <c r="X1284">
        <f>IF(OR($S1284="",$V1284="",$T1284&gt;60,$T1284=""),"",$S1284*1000000+ROUND($V1284*10,0))</f>
        <v/>
      </c>
      <c r="Y1284">
        <f>IF($W1284="","",IFERROR(INDEX(IF($T1284&lt;=60,imc05_l,imc519_l),MATCH($W1284,IF($T1284&lt;=60,imc05_k,imc519_k),1)),""))</f>
        <v/>
      </c>
      <c r="Z1284">
        <f>IF($W1284="","",IFERROR(INDEX(IF($T1284&lt;=60,imc05_m,imc519_m),MATCH($W1284,IF($T1284&lt;=60,imc05_k,imc519_k),1)),""))</f>
        <v/>
      </c>
      <c r="AA1284">
        <f>IF($W1284="","",IFERROR(INDEX(IF($T1284&lt;=60,imc05_s,imc519_s),MATCH($W1284,IF($T1284&lt;=60,imc05_k,imc519_k),1)),""))</f>
        <v/>
      </c>
      <c r="AB1284">
        <f>IF($Y1284="","",IF($Y1284=0,LN($J1284/$Z1284)/$AA1284,((($J1284/$Z1284)^$Y1284)-1)/($Y1284*$AA1284)))</f>
        <v/>
      </c>
      <c r="AC1284">
        <f>IF($Y1284="","",IF($Y1284=0,$Z1284*EXP($AA1284*2),$Z1284*(1+$Y1284*$AA1284*2)^(1/$Y1284)))</f>
        <v/>
      </c>
      <c r="AD1284">
        <f>IF($Y1284="","",IF($Y1284=0,$Z1284*EXP($AA1284*3),$Z1284*(1+$Y1284*$AA1284*3)^(1/$Y1284)))</f>
        <v/>
      </c>
      <c r="AE1284">
        <f>IF($Y1284="","",IF($Y1284=0,$Z1284*EXP($AA1284*-2),$Z1284*(1+$Y1284*$AA1284*-2)^(1/$Y1284)))</f>
        <v/>
      </c>
      <c r="AF1284">
        <f>IF($Y1284="","",IF($Y1284=0,$Z1284*EXP($AA1284*-3),$Z1284*(1+$Y1284*$AA1284*-3)^(1/$Y1284)))</f>
        <v/>
      </c>
      <c r="AG1284">
        <f>IF($W1284="","",IFERROR(INDEX(IF($T1284&lt;=60,est05_l,est519_l),MATCH($W1284,IF($T1284&lt;=60,est05_k,est519_k),1)),""))</f>
        <v/>
      </c>
      <c r="AH1284">
        <f>IF($W1284="","",IFERROR(INDEX(IF($T1284&lt;=60,est05_m,est519_m),MATCH($W1284,IF($T1284&lt;=60,est05_k,est519_k),1)),""))</f>
        <v/>
      </c>
      <c r="AI1284">
        <f>IF($W1284="","",IFERROR(INDEX(IF($T1284&lt;=60,est05_s,est519_s),MATCH($W1284,IF($T1284&lt;=60,est05_k,est519_k),1)),""))</f>
        <v/>
      </c>
      <c r="AJ1284">
        <f>IF($W1284="","",IFERROR(INDEX(IF($T1284&lt;=60,peso05_l,peso510_l),MATCH($W1284,IF($T1284&lt;=60,peso05_k,peso510_k),1)),""))</f>
        <v/>
      </c>
      <c r="AK1284">
        <f>IF($W1284="","",IFERROR(INDEX(IF($T1284&lt;=60,peso05_m,peso510_m),MATCH($W1284,IF($T1284&lt;=60,peso05_k,peso510_k),1)),""))</f>
        <v/>
      </c>
      <c r="AL1284">
        <f>IF($W1284="","",IFERROR(INDEX(IF($T1284&lt;=60,peso05_s,peso510_s),MATCH($W1284,IF($T1284&lt;=60,peso05_k,peso510_k),1)),""))</f>
        <v/>
      </c>
      <c r="AM1284">
        <f>IF($AJ1284="","",IF($AJ1284=0,LN($F1284/$AK1284)/$AL1284,((($F1284/$AK1284)^$AJ1284)-1)/($AJ1284*$AL1284)))</f>
        <v/>
      </c>
      <c r="AN1284">
        <f>IF($AJ1284="","",IF($AJ1284=0,$AK1284*EXP($AL1284*2),$AK1284*(1+$AJ1284*$AL1284*2)^(1/$AJ1284)))</f>
        <v/>
      </c>
      <c r="AO1284">
        <f>IF($AJ1284="","",IF($AJ1284=0,$AK1284*EXP($AL1284*3),$AK1284*(1+$AJ1284*$AL1284*3)^(1/$AJ1284)))</f>
        <v/>
      </c>
      <c r="AP1284">
        <f>IF($AJ1284="","",IF($AJ1284=0,$AK1284*EXP($AL1284*-2),$AK1284*(1+$AJ1284*$AL1284*-2)^(1/$AJ1284)))</f>
        <v/>
      </c>
      <c r="AQ1284">
        <f>IF($AJ1284="","",IF($AJ1284=0,$AK1284*EXP($AL1284*-3),$AK1284*(1+$AJ1284*$AL1284*-3)^(1/$AJ1284)))</f>
        <v/>
      </c>
      <c r="AR1284">
        <f>IF(OR($X1284="",$T1284&gt;60),"",IFERROR(INDEX(IF($T1284&lt;24,pcomp_l,palt_l),MATCH($X1284,IF($T1284&lt;24,pcomp_k,palt_k),1)),""))</f>
        <v/>
      </c>
      <c r="AS1284">
        <f>IF(OR($X1284="",$T1284&gt;60),"",IFERROR(INDEX(IF($T1284&lt;24,pcomp_m,palt_m),MATCH($X1284,IF($T1284&lt;24,pcomp_k,palt_k),1)),""))</f>
        <v/>
      </c>
      <c r="AT1284">
        <f>IF(OR($X1284="",$T1284&gt;60),"",IFERROR(INDEX(IF($T1284&lt;24,pcomp_s,palt_s),MATCH($X1284,IF($T1284&lt;24,pcomp_k,palt_k),1)),""))</f>
        <v/>
      </c>
      <c r="AU1284">
        <f>IF($AR1284="","",IF($AR1284=0,LN($F1284/$AS1284)/$AT1284,((($F1284/$AS1284)^$AR1284)-1)/($AR1284*$AT1284)))</f>
        <v/>
      </c>
      <c r="AV1284">
        <f>IF($AR1284="","",IF($AR1284=0,$AS1284*EXP($AT1284*2),$AS1284*(1+$AR1284*$AT1284*2)^(1/$AR1284)))</f>
        <v/>
      </c>
      <c r="AW1284">
        <f>IF($AR1284="","",IF($AR1284=0,$AS1284*EXP($AT1284*3),$AS1284*(1+$AR1284*$AT1284*3)^(1/$AR1284)))</f>
        <v/>
      </c>
      <c r="AX1284">
        <f>IF($AR1284="","",IF($AR1284=0,$AS1284*EXP($AT1284*-2),$AS1284*(1+$AR1284*$AT1284*-2)^(1/$AR1284)))</f>
        <v/>
      </c>
      <c r="AY1284">
        <f>IF($AR1284="","",IF($AR1284=0,$AS1284*EXP($AT1284*-3),$AS1284*(1+$AR1284*$AT1284*-3)^(1/$AR1284)))</f>
        <v/>
      </c>
      <c r="AZ1284">
        <f>IF(OR($A1284="",$A1284&lt;&gt;Ficha!$C$4),"",COUNTIF($A$2:$A1284,Ficha!$C$4))</f>
        <v/>
      </c>
    </row>
    <row r="1285">
      <c r="A1285" s="8">
        <f>IF(INDEX(Banco!$A:$A,ROW())="","",INDEX(Banco!$A:$A,ROW()))</f>
        <v/>
      </c>
      <c r="B1285" s="8">
        <f>IF(INDEX(Banco!$B:$B,ROW())="","",INDEX(Banco!$B:$B,ROW()))</f>
        <v/>
      </c>
      <c r="C1285" s="8">
        <f>IF(INDEX(Banco!$C:$C,ROW())="","",INDEX(Banco!$C:$C,ROW()))</f>
        <v/>
      </c>
      <c r="D1285" s="9">
        <f>IF(INDEX(Banco!$D:$D,ROW())="","",INDEX(Banco!$D:$D,ROW()))</f>
        <v/>
      </c>
      <c r="E1285" s="9">
        <f>IF(INDEX(Banco!$E:$E,ROW())="","",INDEX(Banco!$E:$E,ROW()))</f>
        <v/>
      </c>
      <c r="F1285" s="10">
        <f>IF(INDEX(Banco!$F:$F,ROW())="","",INDEX(Banco!$F:$F,ROW()))</f>
        <v/>
      </c>
      <c r="G1285" s="10">
        <f>IF(INDEX(Banco!$G:$G,ROW())="","",INDEX(Banco!$G:$G,ROW()))</f>
        <v/>
      </c>
      <c r="H1285" s="8">
        <f>IF(INDEX(Banco!$H:$H,ROW())="","",INDEX(Banco!$H:$H,ROW()))</f>
        <v/>
      </c>
      <c r="I1285">
        <f>IF($T1285="","",INT($T1285/12)&amp;"a "&amp;MOD($T1285,12)&amp;"m")</f>
        <v/>
      </c>
      <c r="J1285" s="11">
        <f>IF(OR($F1285="",$G1285=""),"",ROUND($F1285/($G1285/100)^2,2))</f>
        <v/>
      </c>
      <c r="K1285" s="12">
        <f>IF(OR($S1285="",$J1285="",$T1285="",$T1285&lt;0,$T1285&gt;228,$Y1285=""),"—",ROUND(IF(ABS($AB1285)&lt;=3,$AB1285,IF($AB1285&gt;3,3+($J1285-$AD1285)/($AD1285-$AC1285),-3+($J1285-$AF1285)/($AE1285-$AF1285))),2))</f>
        <v/>
      </c>
      <c r="L1285">
        <f>IF(OR($K1285="",$K1285="—"),"",IF($T1285&lt;=60,IF($K1285&lt;-3,"Magreza acentuada",IF($K1285&lt;-2,"Magreza",IF($K1285&lt;=1,"Eutrofia",IF($K1285&lt;=2,"Risco de sobrepeso",IF($K1285&lt;=3,"Sobrepeso","Obesidade"))))),IF($K1285&lt;-3,"Magreza acentuada",IF($K1285&lt;-2,"Magreza",IF($K1285&lt;=1,"Eutrofia",IF($K1285&lt;=2,"Sobrepeso",IF($K1285&lt;=3,"Obesidade","Obesidade grave")))))))</f>
        <v/>
      </c>
      <c r="M1285" s="12">
        <f>IF(OR($S1285="",$V1285="",$T1285="",$T1285&lt;0,$T1285&gt;228,$AG1285=""),"—",ROUND(IF($AG1285=0,LN($V1285/$AH1285)/$AI1285,((($V1285/$AH1285)^$AG1285)-1)/($AG1285*$AI1285)),2))</f>
        <v/>
      </c>
      <c r="N1285">
        <f>IF(OR($M1285="",$M1285="—"),"",IF($M1285&lt;-3,"Muito baixa",IF($M1285&lt;-2,"Baixa","Adequada")))</f>
        <v/>
      </c>
      <c r="O1285" s="12">
        <f>IF(OR($S1285="",$F1285="",$T1285="",$T1285&lt;0,$T1285&gt;120,$AJ1285=""),"—",ROUND(IF(ABS($AM1285)&lt;=3,$AM1285,IF($AM1285&gt;3,3+($F1285-$AO1285)/($AO1285-$AN1285),-3+($F1285-$AQ1285)/($AP1285-$AQ1285))),2))</f>
        <v/>
      </c>
      <c r="P1285">
        <f>IF(OR($O1285="",$O1285="—"),"",IF($O1285&lt;-3,"Muito baixo",IF($O1285&lt;-2,"Baixo",IF($O1285&lt;=2,"Adequado","Elevado"))))</f>
        <v/>
      </c>
      <c r="Q1285" s="12">
        <f>IF(OR($S1285="",$F1285="",$T1285="",$T1285&lt;0,$T1285&gt;60,$AR1285=""),"—",ROUND(IF(ABS($AU1285)&lt;=3,$AU1285,IF($AU1285&gt;3,3+($F1285-$AW1285)/($AW1285-$AV1285),-3+($F1285-$AY1285)/($AX1285-$AY1285))),2))</f>
        <v/>
      </c>
      <c r="R1285">
        <f>IF(OR($Q1285="",$Q1285="—"),"",IF($Q1285&lt;-3,"Magreza acentuada",IF($Q1285&lt;-2,"Magreza",IF($Q1285&lt;=1,"Eutrofia",IF($Q1285&lt;=2,"Risco de sobrepeso",IF($Q1285&lt;=3,"Sobrepeso","Obesidade"))))))</f>
        <v/>
      </c>
      <c r="S1285">
        <f>IF($C1285="","",IF(UPPER(LEFT($C1285,1))="M",1,IF(UPPER(LEFT($C1285,1))="F",2,"")))</f>
        <v/>
      </c>
      <c r="T1285">
        <f>IF(OR($D1285="",$E1285=""),"",DATEDIF($D1285,$E1285,"m"))</f>
        <v/>
      </c>
      <c r="U1285">
        <f>IF(OR($D1285="",$E1285=""),"",$E1285-$D1285)</f>
        <v/>
      </c>
      <c r="V1285">
        <f>IF(OR($G1285="",$T1285=""),"",IF($T1285&lt;24,IF(LEFT(LOWER($H1285),4)="em p",$G1285+0.7,$G1285),IF(LEFT(LOWER($H1285),4)="deit",$G1285-0.7,$G1285)))</f>
        <v/>
      </c>
      <c r="W1285">
        <f>IF(OR($S1285="",$T1285=""),"",$S1285*1000000+IF($T1285&lt;=60,$U1285,$T1285))</f>
        <v/>
      </c>
      <c r="X1285">
        <f>IF(OR($S1285="",$V1285="",$T1285&gt;60,$T1285=""),"",$S1285*1000000+ROUND($V1285*10,0))</f>
        <v/>
      </c>
      <c r="Y1285">
        <f>IF($W1285="","",IFERROR(INDEX(IF($T1285&lt;=60,imc05_l,imc519_l),MATCH($W1285,IF($T1285&lt;=60,imc05_k,imc519_k),1)),""))</f>
        <v/>
      </c>
      <c r="Z1285">
        <f>IF($W1285="","",IFERROR(INDEX(IF($T1285&lt;=60,imc05_m,imc519_m),MATCH($W1285,IF($T1285&lt;=60,imc05_k,imc519_k),1)),""))</f>
        <v/>
      </c>
      <c r="AA1285">
        <f>IF($W1285="","",IFERROR(INDEX(IF($T1285&lt;=60,imc05_s,imc519_s),MATCH($W1285,IF($T1285&lt;=60,imc05_k,imc519_k),1)),""))</f>
        <v/>
      </c>
      <c r="AB1285">
        <f>IF($Y1285="","",IF($Y1285=0,LN($J1285/$Z1285)/$AA1285,((($J1285/$Z1285)^$Y1285)-1)/($Y1285*$AA1285)))</f>
        <v/>
      </c>
      <c r="AC1285">
        <f>IF($Y1285="","",IF($Y1285=0,$Z1285*EXP($AA1285*2),$Z1285*(1+$Y1285*$AA1285*2)^(1/$Y1285)))</f>
        <v/>
      </c>
      <c r="AD1285">
        <f>IF($Y1285="","",IF($Y1285=0,$Z1285*EXP($AA1285*3),$Z1285*(1+$Y1285*$AA1285*3)^(1/$Y1285)))</f>
        <v/>
      </c>
      <c r="AE1285">
        <f>IF($Y1285="","",IF($Y1285=0,$Z1285*EXP($AA1285*-2),$Z1285*(1+$Y1285*$AA1285*-2)^(1/$Y1285)))</f>
        <v/>
      </c>
      <c r="AF1285">
        <f>IF($Y1285="","",IF($Y1285=0,$Z1285*EXP($AA1285*-3),$Z1285*(1+$Y1285*$AA1285*-3)^(1/$Y1285)))</f>
        <v/>
      </c>
      <c r="AG1285">
        <f>IF($W1285="","",IFERROR(INDEX(IF($T1285&lt;=60,est05_l,est519_l),MATCH($W1285,IF($T1285&lt;=60,est05_k,est519_k),1)),""))</f>
        <v/>
      </c>
      <c r="AH1285">
        <f>IF($W1285="","",IFERROR(INDEX(IF($T1285&lt;=60,est05_m,est519_m),MATCH($W1285,IF($T1285&lt;=60,est05_k,est519_k),1)),""))</f>
        <v/>
      </c>
      <c r="AI1285">
        <f>IF($W1285="","",IFERROR(INDEX(IF($T1285&lt;=60,est05_s,est519_s),MATCH($W1285,IF($T1285&lt;=60,est05_k,est519_k),1)),""))</f>
        <v/>
      </c>
      <c r="AJ1285">
        <f>IF($W1285="","",IFERROR(INDEX(IF($T1285&lt;=60,peso05_l,peso510_l),MATCH($W1285,IF($T1285&lt;=60,peso05_k,peso510_k),1)),""))</f>
        <v/>
      </c>
      <c r="AK1285">
        <f>IF($W1285="","",IFERROR(INDEX(IF($T1285&lt;=60,peso05_m,peso510_m),MATCH($W1285,IF($T1285&lt;=60,peso05_k,peso510_k),1)),""))</f>
        <v/>
      </c>
      <c r="AL1285">
        <f>IF($W1285="","",IFERROR(INDEX(IF($T1285&lt;=60,peso05_s,peso510_s),MATCH($W1285,IF($T1285&lt;=60,peso05_k,peso510_k),1)),""))</f>
        <v/>
      </c>
      <c r="AM1285">
        <f>IF($AJ1285="","",IF($AJ1285=0,LN($F1285/$AK1285)/$AL1285,((($F1285/$AK1285)^$AJ1285)-1)/($AJ1285*$AL1285)))</f>
        <v/>
      </c>
      <c r="AN1285">
        <f>IF($AJ1285="","",IF($AJ1285=0,$AK1285*EXP($AL1285*2),$AK1285*(1+$AJ1285*$AL1285*2)^(1/$AJ1285)))</f>
        <v/>
      </c>
      <c r="AO1285">
        <f>IF($AJ1285="","",IF($AJ1285=0,$AK1285*EXP($AL1285*3),$AK1285*(1+$AJ1285*$AL1285*3)^(1/$AJ1285)))</f>
        <v/>
      </c>
      <c r="AP1285">
        <f>IF($AJ1285="","",IF($AJ1285=0,$AK1285*EXP($AL1285*-2),$AK1285*(1+$AJ1285*$AL1285*-2)^(1/$AJ1285)))</f>
        <v/>
      </c>
      <c r="AQ1285">
        <f>IF($AJ1285="","",IF($AJ1285=0,$AK1285*EXP($AL1285*-3),$AK1285*(1+$AJ1285*$AL1285*-3)^(1/$AJ1285)))</f>
        <v/>
      </c>
      <c r="AR1285">
        <f>IF(OR($X1285="",$T1285&gt;60),"",IFERROR(INDEX(IF($T1285&lt;24,pcomp_l,palt_l),MATCH($X1285,IF($T1285&lt;24,pcomp_k,palt_k),1)),""))</f>
        <v/>
      </c>
      <c r="AS1285">
        <f>IF(OR($X1285="",$T1285&gt;60),"",IFERROR(INDEX(IF($T1285&lt;24,pcomp_m,palt_m),MATCH($X1285,IF($T1285&lt;24,pcomp_k,palt_k),1)),""))</f>
        <v/>
      </c>
      <c r="AT1285">
        <f>IF(OR($X1285="",$T1285&gt;60),"",IFERROR(INDEX(IF($T1285&lt;24,pcomp_s,palt_s),MATCH($X1285,IF($T1285&lt;24,pcomp_k,palt_k),1)),""))</f>
        <v/>
      </c>
      <c r="AU1285">
        <f>IF($AR1285="","",IF($AR1285=0,LN($F1285/$AS1285)/$AT1285,((($F1285/$AS1285)^$AR1285)-1)/($AR1285*$AT1285)))</f>
        <v/>
      </c>
      <c r="AV1285">
        <f>IF($AR1285="","",IF($AR1285=0,$AS1285*EXP($AT1285*2),$AS1285*(1+$AR1285*$AT1285*2)^(1/$AR1285)))</f>
        <v/>
      </c>
      <c r="AW1285">
        <f>IF($AR1285="","",IF($AR1285=0,$AS1285*EXP($AT1285*3),$AS1285*(1+$AR1285*$AT1285*3)^(1/$AR1285)))</f>
        <v/>
      </c>
      <c r="AX1285">
        <f>IF($AR1285="","",IF($AR1285=0,$AS1285*EXP($AT1285*-2),$AS1285*(1+$AR1285*$AT1285*-2)^(1/$AR1285)))</f>
        <v/>
      </c>
      <c r="AY1285">
        <f>IF($AR1285="","",IF($AR1285=0,$AS1285*EXP($AT1285*-3),$AS1285*(1+$AR1285*$AT1285*-3)^(1/$AR1285)))</f>
        <v/>
      </c>
      <c r="AZ1285">
        <f>IF(OR($A1285="",$A1285&lt;&gt;Ficha!$C$4),"",COUNTIF($A$2:$A1285,Ficha!$C$4))</f>
        <v/>
      </c>
    </row>
    <row r="1286">
      <c r="A1286" s="8">
        <f>IF(INDEX(Banco!$A:$A,ROW())="","",INDEX(Banco!$A:$A,ROW()))</f>
        <v/>
      </c>
      <c r="B1286" s="8">
        <f>IF(INDEX(Banco!$B:$B,ROW())="","",INDEX(Banco!$B:$B,ROW()))</f>
        <v/>
      </c>
      <c r="C1286" s="8">
        <f>IF(INDEX(Banco!$C:$C,ROW())="","",INDEX(Banco!$C:$C,ROW()))</f>
        <v/>
      </c>
      <c r="D1286" s="9">
        <f>IF(INDEX(Banco!$D:$D,ROW())="","",INDEX(Banco!$D:$D,ROW()))</f>
        <v/>
      </c>
      <c r="E1286" s="9">
        <f>IF(INDEX(Banco!$E:$E,ROW())="","",INDEX(Banco!$E:$E,ROW()))</f>
        <v/>
      </c>
      <c r="F1286" s="10">
        <f>IF(INDEX(Banco!$F:$F,ROW())="","",INDEX(Banco!$F:$F,ROW()))</f>
        <v/>
      </c>
      <c r="G1286" s="10">
        <f>IF(INDEX(Banco!$G:$G,ROW())="","",INDEX(Banco!$G:$G,ROW()))</f>
        <v/>
      </c>
      <c r="H1286" s="8">
        <f>IF(INDEX(Banco!$H:$H,ROW())="","",INDEX(Banco!$H:$H,ROW()))</f>
        <v/>
      </c>
      <c r="I1286">
        <f>IF($T1286="","",INT($T1286/12)&amp;"a "&amp;MOD($T1286,12)&amp;"m")</f>
        <v/>
      </c>
      <c r="J1286" s="11">
        <f>IF(OR($F1286="",$G1286=""),"",ROUND($F1286/($G1286/100)^2,2))</f>
        <v/>
      </c>
      <c r="K1286" s="12">
        <f>IF(OR($S1286="",$J1286="",$T1286="",$T1286&lt;0,$T1286&gt;228,$Y1286=""),"—",ROUND(IF(ABS($AB1286)&lt;=3,$AB1286,IF($AB1286&gt;3,3+($J1286-$AD1286)/($AD1286-$AC1286),-3+($J1286-$AF1286)/($AE1286-$AF1286))),2))</f>
        <v/>
      </c>
      <c r="L1286">
        <f>IF(OR($K1286="",$K1286="—"),"",IF($T1286&lt;=60,IF($K1286&lt;-3,"Magreza acentuada",IF($K1286&lt;-2,"Magreza",IF($K1286&lt;=1,"Eutrofia",IF($K1286&lt;=2,"Risco de sobrepeso",IF($K1286&lt;=3,"Sobrepeso","Obesidade"))))),IF($K1286&lt;-3,"Magreza acentuada",IF($K1286&lt;-2,"Magreza",IF($K1286&lt;=1,"Eutrofia",IF($K1286&lt;=2,"Sobrepeso",IF($K1286&lt;=3,"Obesidade","Obesidade grave")))))))</f>
        <v/>
      </c>
      <c r="M1286" s="12">
        <f>IF(OR($S1286="",$V1286="",$T1286="",$T1286&lt;0,$T1286&gt;228,$AG1286=""),"—",ROUND(IF($AG1286=0,LN($V1286/$AH1286)/$AI1286,((($V1286/$AH1286)^$AG1286)-1)/($AG1286*$AI1286)),2))</f>
        <v/>
      </c>
      <c r="N1286">
        <f>IF(OR($M1286="",$M1286="—"),"",IF($M1286&lt;-3,"Muito baixa",IF($M1286&lt;-2,"Baixa","Adequada")))</f>
        <v/>
      </c>
      <c r="O1286" s="12">
        <f>IF(OR($S1286="",$F1286="",$T1286="",$T1286&lt;0,$T1286&gt;120,$AJ1286=""),"—",ROUND(IF(ABS($AM1286)&lt;=3,$AM1286,IF($AM1286&gt;3,3+($F1286-$AO1286)/($AO1286-$AN1286),-3+($F1286-$AQ1286)/($AP1286-$AQ1286))),2))</f>
        <v/>
      </c>
      <c r="P1286">
        <f>IF(OR($O1286="",$O1286="—"),"",IF($O1286&lt;-3,"Muito baixo",IF($O1286&lt;-2,"Baixo",IF($O1286&lt;=2,"Adequado","Elevado"))))</f>
        <v/>
      </c>
      <c r="Q1286" s="12">
        <f>IF(OR($S1286="",$F1286="",$T1286="",$T1286&lt;0,$T1286&gt;60,$AR1286=""),"—",ROUND(IF(ABS($AU1286)&lt;=3,$AU1286,IF($AU1286&gt;3,3+($F1286-$AW1286)/($AW1286-$AV1286),-3+($F1286-$AY1286)/($AX1286-$AY1286))),2))</f>
        <v/>
      </c>
      <c r="R1286">
        <f>IF(OR($Q1286="",$Q1286="—"),"",IF($Q1286&lt;-3,"Magreza acentuada",IF($Q1286&lt;-2,"Magreza",IF($Q1286&lt;=1,"Eutrofia",IF($Q1286&lt;=2,"Risco de sobrepeso",IF($Q1286&lt;=3,"Sobrepeso","Obesidade"))))))</f>
        <v/>
      </c>
      <c r="S1286">
        <f>IF($C1286="","",IF(UPPER(LEFT($C1286,1))="M",1,IF(UPPER(LEFT($C1286,1))="F",2,"")))</f>
        <v/>
      </c>
      <c r="T1286">
        <f>IF(OR($D1286="",$E1286=""),"",DATEDIF($D1286,$E1286,"m"))</f>
        <v/>
      </c>
      <c r="U1286">
        <f>IF(OR($D1286="",$E1286=""),"",$E1286-$D1286)</f>
        <v/>
      </c>
      <c r="V1286">
        <f>IF(OR($G1286="",$T1286=""),"",IF($T1286&lt;24,IF(LEFT(LOWER($H1286),4)="em p",$G1286+0.7,$G1286),IF(LEFT(LOWER($H1286),4)="deit",$G1286-0.7,$G1286)))</f>
        <v/>
      </c>
      <c r="W1286">
        <f>IF(OR($S1286="",$T1286=""),"",$S1286*1000000+IF($T1286&lt;=60,$U1286,$T1286))</f>
        <v/>
      </c>
      <c r="X1286">
        <f>IF(OR($S1286="",$V1286="",$T1286&gt;60,$T1286=""),"",$S1286*1000000+ROUND($V1286*10,0))</f>
        <v/>
      </c>
      <c r="Y1286">
        <f>IF($W1286="","",IFERROR(INDEX(IF($T1286&lt;=60,imc05_l,imc519_l),MATCH($W1286,IF($T1286&lt;=60,imc05_k,imc519_k),1)),""))</f>
        <v/>
      </c>
      <c r="Z1286">
        <f>IF($W1286="","",IFERROR(INDEX(IF($T1286&lt;=60,imc05_m,imc519_m),MATCH($W1286,IF($T1286&lt;=60,imc05_k,imc519_k),1)),""))</f>
        <v/>
      </c>
      <c r="AA1286">
        <f>IF($W1286="","",IFERROR(INDEX(IF($T1286&lt;=60,imc05_s,imc519_s),MATCH($W1286,IF($T1286&lt;=60,imc05_k,imc519_k),1)),""))</f>
        <v/>
      </c>
      <c r="AB1286">
        <f>IF($Y1286="","",IF($Y1286=0,LN($J1286/$Z1286)/$AA1286,((($J1286/$Z1286)^$Y1286)-1)/($Y1286*$AA1286)))</f>
        <v/>
      </c>
      <c r="AC1286">
        <f>IF($Y1286="","",IF($Y1286=0,$Z1286*EXP($AA1286*2),$Z1286*(1+$Y1286*$AA1286*2)^(1/$Y1286)))</f>
        <v/>
      </c>
      <c r="AD1286">
        <f>IF($Y1286="","",IF($Y1286=0,$Z1286*EXP($AA1286*3),$Z1286*(1+$Y1286*$AA1286*3)^(1/$Y1286)))</f>
        <v/>
      </c>
      <c r="AE1286">
        <f>IF($Y1286="","",IF($Y1286=0,$Z1286*EXP($AA1286*-2),$Z1286*(1+$Y1286*$AA1286*-2)^(1/$Y1286)))</f>
        <v/>
      </c>
      <c r="AF1286">
        <f>IF($Y1286="","",IF($Y1286=0,$Z1286*EXP($AA1286*-3),$Z1286*(1+$Y1286*$AA1286*-3)^(1/$Y1286)))</f>
        <v/>
      </c>
      <c r="AG1286">
        <f>IF($W1286="","",IFERROR(INDEX(IF($T1286&lt;=60,est05_l,est519_l),MATCH($W1286,IF($T1286&lt;=60,est05_k,est519_k),1)),""))</f>
        <v/>
      </c>
      <c r="AH1286">
        <f>IF($W1286="","",IFERROR(INDEX(IF($T1286&lt;=60,est05_m,est519_m),MATCH($W1286,IF($T1286&lt;=60,est05_k,est519_k),1)),""))</f>
        <v/>
      </c>
      <c r="AI1286">
        <f>IF($W1286="","",IFERROR(INDEX(IF($T1286&lt;=60,est05_s,est519_s),MATCH($W1286,IF($T1286&lt;=60,est05_k,est519_k),1)),""))</f>
        <v/>
      </c>
      <c r="AJ1286">
        <f>IF($W1286="","",IFERROR(INDEX(IF($T1286&lt;=60,peso05_l,peso510_l),MATCH($W1286,IF($T1286&lt;=60,peso05_k,peso510_k),1)),""))</f>
        <v/>
      </c>
      <c r="AK1286">
        <f>IF($W1286="","",IFERROR(INDEX(IF($T1286&lt;=60,peso05_m,peso510_m),MATCH($W1286,IF($T1286&lt;=60,peso05_k,peso510_k),1)),""))</f>
        <v/>
      </c>
      <c r="AL1286">
        <f>IF($W1286="","",IFERROR(INDEX(IF($T1286&lt;=60,peso05_s,peso510_s),MATCH($W1286,IF($T1286&lt;=60,peso05_k,peso510_k),1)),""))</f>
        <v/>
      </c>
      <c r="AM1286">
        <f>IF($AJ1286="","",IF($AJ1286=0,LN($F1286/$AK1286)/$AL1286,((($F1286/$AK1286)^$AJ1286)-1)/($AJ1286*$AL1286)))</f>
        <v/>
      </c>
      <c r="AN1286">
        <f>IF($AJ1286="","",IF($AJ1286=0,$AK1286*EXP($AL1286*2),$AK1286*(1+$AJ1286*$AL1286*2)^(1/$AJ1286)))</f>
        <v/>
      </c>
      <c r="AO1286">
        <f>IF($AJ1286="","",IF($AJ1286=0,$AK1286*EXP($AL1286*3),$AK1286*(1+$AJ1286*$AL1286*3)^(1/$AJ1286)))</f>
        <v/>
      </c>
      <c r="AP1286">
        <f>IF($AJ1286="","",IF($AJ1286=0,$AK1286*EXP($AL1286*-2),$AK1286*(1+$AJ1286*$AL1286*-2)^(1/$AJ1286)))</f>
        <v/>
      </c>
      <c r="AQ1286">
        <f>IF($AJ1286="","",IF($AJ1286=0,$AK1286*EXP($AL1286*-3),$AK1286*(1+$AJ1286*$AL1286*-3)^(1/$AJ1286)))</f>
        <v/>
      </c>
      <c r="AR1286">
        <f>IF(OR($X1286="",$T1286&gt;60),"",IFERROR(INDEX(IF($T1286&lt;24,pcomp_l,palt_l),MATCH($X1286,IF($T1286&lt;24,pcomp_k,palt_k),1)),""))</f>
        <v/>
      </c>
      <c r="AS1286">
        <f>IF(OR($X1286="",$T1286&gt;60),"",IFERROR(INDEX(IF($T1286&lt;24,pcomp_m,palt_m),MATCH($X1286,IF($T1286&lt;24,pcomp_k,palt_k),1)),""))</f>
        <v/>
      </c>
      <c r="AT1286">
        <f>IF(OR($X1286="",$T1286&gt;60),"",IFERROR(INDEX(IF($T1286&lt;24,pcomp_s,palt_s),MATCH($X1286,IF($T1286&lt;24,pcomp_k,palt_k),1)),""))</f>
        <v/>
      </c>
      <c r="AU1286">
        <f>IF($AR1286="","",IF($AR1286=0,LN($F1286/$AS1286)/$AT1286,((($F1286/$AS1286)^$AR1286)-1)/($AR1286*$AT1286)))</f>
        <v/>
      </c>
      <c r="AV1286">
        <f>IF($AR1286="","",IF($AR1286=0,$AS1286*EXP($AT1286*2),$AS1286*(1+$AR1286*$AT1286*2)^(1/$AR1286)))</f>
        <v/>
      </c>
      <c r="AW1286">
        <f>IF($AR1286="","",IF($AR1286=0,$AS1286*EXP($AT1286*3),$AS1286*(1+$AR1286*$AT1286*3)^(1/$AR1286)))</f>
        <v/>
      </c>
      <c r="AX1286">
        <f>IF($AR1286="","",IF($AR1286=0,$AS1286*EXP($AT1286*-2),$AS1286*(1+$AR1286*$AT1286*-2)^(1/$AR1286)))</f>
        <v/>
      </c>
      <c r="AY1286">
        <f>IF($AR1286="","",IF($AR1286=0,$AS1286*EXP($AT1286*-3),$AS1286*(1+$AR1286*$AT1286*-3)^(1/$AR1286)))</f>
        <v/>
      </c>
      <c r="AZ1286">
        <f>IF(OR($A1286="",$A1286&lt;&gt;Ficha!$C$4),"",COUNTIF($A$2:$A1286,Ficha!$C$4))</f>
        <v/>
      </c>
    </row>
    <row r="1287">
      <c r="A1287" s="8">
        <f>IF(INDEX(Banco!$A:$A,ROW())="","",INDEX(Banco!$A:$A,ROW()))</f>
        <v/>
      </c>
      <c r="B1287" s="8">
        <f>IF(INDEX(Banco!$B:$B,ROW())="","",INDEX(Banco!$B:$B,ROW()))</f>
        <v/>
      </c>
      <c r="C1287" s="8">
        <f>IF(INDEX(Banco!$C:$C,ROW())="","",INDEX(Banco!$C:$C,ROW()))</f>
        <v/>
      </c>
      <c r="D1287" s="9">
        <f>IF(INDEX(Banco!$D:$D,ROW())="","",INDEX(Banco!$D:$D,ROW()))</f>
        <v/>
      </c>
      <c r="E1287" s="9">
        <f>IF(INDEX(Banco!$E:$E,ROW())="","",INDEX(Banco!$E:$E,ROW()))</f>
        <v/>
      </c>
      <c r="F1287" s="10">
        <f>IF(INDEX(Banco!$F:$F,ROW())="","",INDEX(Banco!$F:$F,ROW()))</f>
        <v/>
      </c>
      <c r="G1287" s="10">
        <f>IF(INDEX(Banco!$G:$G,ROW())="","",INDEX(Banco!$G:$G,ROW()))</f>
        <v/>
      </c>
      <c r="H1287" s="8">
        <f>IF(INDEX(Banco!$H:$H,ROW())="","",INDEX(Banco!$H:$H,ROW()))</f>
        <v/>
      </c>
      <c r="I1287">
        <f>IF($T1287="","",INT($T1287/12)&amp;"a "&amp;MOD($T1287,12)&amp;"m")</f>
        <v/>
      </c>
      <c r="J1287" s="11">
        <f>IF(OR($F1287="",$G1287=""),"",ROUND($F1287/($G1287/100)^2,2))</f>
        <v/>
      </c>
      <c r="K1287" s="12">
        <f>IF(OR($S1287="",$J1287="",$T1287="",$T1287&lt;0,$T1287&gt;228,$Y1287=""),"—",ROUND(IF(ABS($AB1287)&lt;=3,$AB1287,IF($AB1287&gt;3,3+($J1287-$AD1287)/($AD1287-$AC1287),-3+($J1287-$AF1287)/($AE1287-$AF1287))),2))</f>
        <v/>
      </c>
      <c r="L1287">
        <f>IF(OR($K1287="",$K1287="—"),"",IF($T1287&lt;=60,IF($K1287&lt;-3,"Magreza acentuada",IF($K1287&lt;-2,"Magreza",IF($K1287&lt;=1,"Eutrofia",IF($K1287&lt;=2,"Risco de sobrepeso",IF($K1287&lt;=3,"Sobrepeso","Obesidade"))))),IF($K1287&lt;-3,"Magreza acentuada",IF($K1287&lt;-2,"Magreza",IF($K1287&lt;=1,"Eutrofia",IF($K1287&lt;=2,"Sobrepeso",IF($K1287&lt;=3,"Obesidade","Obesidade grave")))))))</f>
        <v/>
      </c>
      <c r="M1287" s="12">
        <f>IF(OR($S1287="",$V1287="",$T1287="",$T1287&lt;0,$T1287&gt;228,$AG1287=""),"—",ROUND(IF($AG1287=0,LN($V1287/$AH1287)/$AI1287,((($V1287/$AH1287)^$AG1287)-1)/($AG1287*$AI1287)),2))</f>
        <v/>
      </c>
      <c r="N1287">
        <f>IF(OR($M1287="",$M1287="—"),"",IF($M1287&lt;-3,"Muito baixa",IF($M1287&lt;-2,"Baixa","Adequada")))</f>
        <v/>
      </c>
      <c r="O1287" s="12">
        <f>IF(OR($S1287="",$F1287="",$T1287="",$T1287&lt;0,$T1287&gt;120,$AJ1287=""),"—",ROUND(IF(ABS($AM1287)&lt;=3,$AM1287,IF($AM1287&gt;3,3+($F1287-$AO1287)/($AO1287-$AN1287),-3+($F1287-$AQ1287)/($AP1287-$AQ1287))),2))</f>
        <v/>
      </c>
      <c r="P1287">
        <f>IF(OR($O1287="",$O1287="—"),"",IF($O1287&lt;-3,"Muito baixo",IF($O1287&lt;-2,"Baixo",IF($O1287&lt;=2,"Adequado","Elevado"))))</f>
        <v/>
      </c>
      <c r="Q1287" s="12">
        <f>IF(OR($S1287="",$F1287="",$T1287="",$T1287&lt;0,$T1287&gt;60,$AR1287=""),"—",ROUND(IF(ABS($AU1287)&lt;=3,$AU1287,IF($AU1287&gt;3,3+($F1287-$AW1287)/($AW1287-$AV1287),-3+($F1287-$AY1287)/($AX1287-$AY1287))),2))</f>
        <v/>
      </c>
      <c r="R1287">
        <f>IF(OR($Q1287="",$Q1287="—"),"",IF($Q1287&lt;-3,"Magreza acentuada",IF($Q1287&lt;-2,"Magreza",IF($Q1287&lt;=1,"Eutrofia",IF($Q1287&lt;=2,"Risco de sobrepeso",IF($Q1287&lt;=3,"Sobrepeso","Obesidade"))))))</f>
        <v/>
      </c>
      <c r="S1287">
        <f>IF($C1287="","",IF(UPPER(LEFT($C1287,1))="M",1,IF(UPPER(LEFT($C1287,1))="F",2,"")))</f>
        <v/>
      </c>
      <c r="T1287">
        <f>IF(OR($D1287="",$E1287=""),"",DATEDIF($D1287,$E1287,"m"))</f>
        <v/>
      </c>
      <c r="U1287">
        <f>IF(OR($D1287="",$E1287=""),"",$E1287-$D1287)</f>
        <v/>
      </c>
      <c r="V1287">
        <f>IF(OR($G1287="",$T1287=""),"",IF($T1287&lt;24,IF(LEFT(LOWER($H1287),4)="em p",$G1287+0.7,$G1287),IF(LEFT(LOWER($H1287),4)="deit",$G1287-0.7,$G1287)))</f>
        <v/>
      </c>
      <c r="W1287">
        <f>IF(OR($S1287="",$T1287=""),"",$S1287*1000000+IF($T1287&lt;=60,$U1287,$T1287))</f>
        <v/>
      </c>
      <c r="X1287">
        <f>IF(OR($S1287="",$V1287="",$T1287&gt;60,$T1287=""),"",$S1287*1000000+ROUND($V1287*10,0))</f>
        <v/>
      </c>
      <c r="Y1287">
        <f>IF($W1287="","",IFERROR(INDEX(IF($T1287&lt;=60,imc05_l,imc519_l),MATCH($W1287,IF($T1287&lt;=60,imc05_k,imc519_k),1)),""))</f>
        <v/>
      </c>
      <c r="Z1287">
        <f>IF($W1287="","",IFERROR(INDEX(IF($T1287&lt;=60,imc05_m,imc519_m),MATCH($W1287,IF($T1287&lt;=60,imc05_k,imc519_k),1)),""))</f>
        <v/>
      </c>
      <c r="AA1287">
        <f>IF($W1287="","",IFERROR(INDEX(IF($T1287&lt;=60,imc05_s,imc519_s),MATCH($W1287,IF($T1287&lt;=60,imc05_k,imc519_k),1)),""))</f>
        <v/>
      </c>
      <c r="AB1287">
        <f>IF($Y1287="","",IF($Y1287=0,LN($J1287/$Z1287)/$AA1287,((($J1287/$Z1287)^$Y1287)-1)/($Y1287*$AA1287)))</f>
        <v/>
      </c>
      <c r="AC1287">
        <f>IF($Y1287="","",IF($Y1287=0,$Z1287*EXP($AA1287*2),$Z1287*(1+$Y1287*$AA1287*2)^(1/$Y1287)))</f>
        <v/>
      </c>
      <c r="AD1287">
        <f>IF($Y1287="","",IF($Y1287=0,$Z1287*EXP($AA1287*3),$Z1287*(1+$Y1287*$AA1287*3)^(1/$Y1287)))</f>
        <v/>
      </c>
      <c r="AE1287">
        <f>IF($Y1287="","",IF($Y1287=0,$Z1287*EXP($AA1287*-2),$Z1287*(1+$Y1287*$AA1287*-2)^(1/$Y1287)))</f>
        <v/>
      </c>
      <c r="AF1287">
        <f>IF($Y1287="","",IF($Y1287=0,$Z1287*EXP($AA1287*-3),$Z1287*(1+$Y1287*$AA1287*-3)^(1/$Y1287)))</f>
        <v/>
      </c>
      <c r="AG1287">
        <f>IF($W1287="","",IFERROR(INDEX(IF($T1287&lt;=60,est05_l,est519_l),MATCH($W1287,IF($T1287&lt;=60,est05_k,est519_k),1)),""))</f>
        <v/>
      </c>
      <c r="AH1287">
        <f>IF($W1287="","",IFERROR(INDEX(IF($T1287&lt;=60,est05_m,est519_m),MATCH($W1287,IF($T1287&lt;=60,est05_k,est519_k),1)),""))</f>
        <v/>
      </c>
      <c r="AI1287">
        <f>IF($W1287="","",IFERROR(INDEX(IF($T1287&lt;=60,est05_s,est519_s),MATCH($W1287,IF($T1287&lt;=60,est05_k,est519_k),1)),""))</f>
        <v/>
      </c>
      <c r="AJ1287">
        <f>IF($W1287="","",IFERROR(INDEX(IF($T1287&lt;=60,peso05_l,peso510_l),MATCH($W1287,IF($T1287&lt;=60,peso05_k,peso510_k),1)),""))</f>
        <v/>
      </c>
      <c r="AK1287">
        <f>IF($W1287="","",IFERROR(INDEX(IF($T1287&lt;=60,peso05_m,peso510_m),MATCH($W1287,IF($T1287&lt;=60,peso05_k,peso510_k),1)),""))</f>
        <v/>
      </c>
      <c r="AL1287">
        <f>IF($W1287="","",IFERROR(INDEX(IF($T1287&lt;=60,peso05_s,peso510_s),MATCH($W1287,IF($T1287&lt;=60,peso05_k,peso510_k),1)),""))</f>
        <v/>
      </c>
      <c r="AM1287">
        <f>IF($AJ1287="","",IF($AJ1287=0,LN($F1287/$AK1287)/$AL1287,((($F1287/$AK1287)^$AJ1287)-1)/($AJ1287*$AL1287)))</f>
        <v/>
      </c>
      <c r="AN1287">
        <f>IF($AJ1287="","",IF($AJ1287=0,$AK1287*EXP($AL1287*2),$AK1287*(1+$AJ1287*$AL1287*2)^(1/$AJ1287)))</f>
        <v/>
      </c>
      <c r="AO1287">
        <f>IF($AJ1287="","",IF($AJ1287=0,$AK1287*EXP($AL1287*3),$AK1287*(1+$AJ1287*$AL1287*3)^(1/$AJ1287)))</f>
        <v/>
      </c>
      <c r="AP1287">
        <f>IF($AJ1287="","",IF($AJ1287=0,$AK1287*EXP($AL1287*-2),$AK1287*(1+$AJ1287*$AL1287*-2)^(1/$AJ1287)))</f>
        <v/>
      </c>
      <c r="AQ1287">
        <f>IF($AJ1287="","",IF($AJ1287=0,$AK1287*EXP($AL1287*-3),$AK1287*(1+$AJ1287*$AL1287*-3)^(1/$AJ1287)))</f>
        <v/>
      </c>
      <c r="AR1287">
        <f>IF(OR($X1287="",$T1287&gt;60),"",IFERROR(INDEX(IF($T1287&lt;24,pcomp_l,palt_l),MATCH($X1287,IF($T1287&lt;24,pcomp_k,palt_k),1)),""))</f>
        <v/>
      </c>
      <c r="AS1287">
        <f>IF(OR($X1287="",$T1287&gt;60),"",IFERROR(INDEX(IF($T1287&lt;24,pcomp_m,palt_m),MATCH($X1287,IF($T1287&lt;24,pcomp_k,palt_k),1)),""))</f>
        <v/>
      </c>
      <c r="AT1287">
        <f>IF(OR($X1287="",$T1287&gt;60),"",IFERROR(INDEX(IF($T1287&lt;24,pcomp_s,palt_s),MATCH($X1287,IF($T1287&lt;24,pcomp_k,palt_k),1)),""))</f>
        <v/>
      </c>
      <c r="AU1287">
        <f>IF($AR1287="","",IF($AR1287=0,LN($F1287/$AS1287)/$AT1287,((($F1287/$AS1287)^$AR1287)-1)/($AR1287*$AT1287)))</f>
        <v/>
      </c>
      <c r="AV1287">
        <f>IF($AR1287="","",IF($AR1287=0,$AS1287*EXP($AT1287*2),$AS1287*(1+$AR1287*$AT1287*2)^(1/$AR1287)))</f>
        <v/>
      </c>
      <c r="AW1287">
        <f>IF($AR1287="","",IF($AR1287=0,$AS1287*EXP($AT1287*3),$AS1287*(1+$AR1287*$AT1287*3)^(1/$AR1287)))</f>
        <v/>
      </c>
      <c r="AX1287">
        <f>IF($AR1287="","",IF($AR1287=0,$AS1287*EXP($AT1287*-2),$AS1287*(1+$AR1287*$AT1287*-2)^(1/$AR1287)))</f>
        <v/>
      </c>
      <c r="AY1287">
        <f>IF($AR1287="","",IF($AR1287=0,$AS1287*EXP($AT1287*-3),$AS1287*(1+$AR1287*$AT1287*-3)^(1/$AR1287)))</f>
        <v/>
      </c>
      <c r="AZ1287">
        <f>IF(OR($A1287="",$A1287&lt;&gt;Ficha!$C$4),"",COUNTIF($A$2:$A1287,Ficha!$C$4))</f>
        <v/>
      </c>
    </row>
    <row r="1288">
      <c r="A1288" s="8">
        <f>IF(INDEX(Banco!$A:$A,ROW())="","",INDEX(Banco!$A:$A,ROW()))</f>
        <v/>
      </c>
      <c r="B1288" s="8">
        <f>IF(INDEX(Banco!$B:$B,ROW())="","",INDEX(Banco!$B:$B,ROW()))</f>
        <v/>
      </c>
      <c r="C1288" s="8">
        <f>IF(INDEX(Banco!$C:$C,ROW())="","",INDEX(Banco!$C:$C,ROW()))</f>
        <v/>
      </c>
      <c r="D1288" s="9">
        <f>IF(INDEX(Banco!$D:$D,ROW())="","",INDEX(Banco!$D:$D,ROW()))</f>
        <v/>
      </c>
      <c r="E1288" s="9">
        <f>IF(INDEX(Banco!$E:$E,ROW())="","",INDEX(Banco!$E:$E,ROW()))</f>
        <v/>
      </c>
      <c r="F1288" s="10">
        <f>IF(INDEX(Banco!$F:$F,ROW())="","",INDEX(Banco!$F:$F,ROW()))</f>
        <v/>
      </c>
      <c r="G1288" s="10">
        <f>IF(INDEX(Banco!$G:$G,ROW())="","",INDEX(Banco!$G:$G,ROW()))</f>
        <v/>
      </c>
      <c r="H1288" s="8">
        <f>IF(INDEX(Banco!$H:$H,ROW())="","",INDEX(Banco!$H:$H,ROW()))</f>
        <v/>
      </c>
      <c r="I1288">
        <f>IF($T1288="","",INT($T1288/12)&amp;"a "&amp;MOD($T1288,12)&amp;"m")</f>
        <v/>
      </c>
      <c r="J1288" s="11">
        <f>IF(OR($F1288="",$G1288=""),"",ROUND($F1288/($G1288/100)^2,2))</f>
        <v/>
      </c>
      <c r="K1288" s="12">
        <f>IF(OR($S1288="",$J1288="",$T1288="",$T1288&lt;0,$T1288&gt;228,$Y1288=""),"—",ROUND(IF(ABS($AB1288)&lt;=3,$AB1288,IF($AB1288&gt;3,3+($J1288-$AD1288)/($AD1288-$AC1288),-3+($J1288-$AF1288)/($AE1288-$AF1288))),2))</f>
        <v/>
      </c>
      <c r="L1288">
        <f>IF(OR($K1288="",$K1288="—"),"",IF($T1288&lt;=60,IF($K1288&lt;-3,"Magreza acentuada",IF($K1288&lt;-2,"Magreza",IF($K1288&lt;=1,"Eutrofia",IF($K1288&lt;=2,"Risco de sobrepeso",IF($K1288&lt;=3,"Sobrepeso","Obesidade"))))),IF($K1288&lt;-3,"Magreza acentuada",IF($K1288&lt;-2,"Magreza",IF($K1288&lt;=1,"Eutrofia",IF($K1288&lt;=2,"Sobrepeso",IF($K1288&lt;=3,"Obesidade","Obesidade grave")))))))</f>
        <v/>
      </c>
      <c r="M1288" s="12">
        <f>IF(OR($S1288="",$V1288="",$T1288="",$T1288&lt;0,$T1288&gt;228,$AG1288=""),"—",ROUND(IF($AG1288=0,LN($V1288/$AH1288)/$AI1288,((($V1288/$AH1288)^$AG1288)-1)/($AG1288*$AI1288)),2))</f>
        <v/>
      </c>
      <c r="N1288">
        <f>IF(OR($M1288="",$M1288="—"),"",IF($M1288&lt;-3,"Muito baixa",IF($M1288&lt;-2,"Baixa","Adequada")))</f>
        <v/>
      </c>
      <c r="O1288" s="12">
        <f>IF(OR($S1288="",$F1288="",$T1288="",$T1288&lt;0,$T1288&gt;120,$AJ1288=""),"—",ROUND(IF(ABS($AM1288)&lt;=3,$AM1288,IF($AM1288&gt;3,3+($F1288-$AO1288)/($AO1288-$AN1288),-3+($F1288-$AQ1288)/($AP1288-$AQ1288))),2))</f>
        <v/>
      </c>
      <c r="P1288">
        <f>IF(OR($O1288="",$O1288="—"),"",IF($O1288&lt;-3,"Muito baixo",IF($O1288&lt;-2,"Baixo",IF($O1288&lt;=2,"Adequado","Elevado"))))</f>
        <v/>
      </c>
      <c r="Q1288" s="12">
        <f>IF(OR($S1288="",$F1288="",$T1288="",$T1288&lt;0,$T1288&gt;60,$AR1288=""),"—",ROUND(IF(ABS($AU1288)&lt;=3,$AU1288,IF($AU1288&gt;3,3+($F1288-$AW1288)/($AW1288-$AV1288),-3+($F1288-$AY1288)/($AX1288-$AY1288))),2))</f>
        <v/>
      </c>
      <c r="R1288">
        <f>IF(OR($Q1288="",$Q1288="—"),"",IF($Q1288&lt;-3,"Magreza acentuada",IF($Q1288&lt;-2,"Magreza",IF($Q1288&lt;=1,"Eutrofia",IF($Q1288&lt;=2,"Risco de sobrepeso",IF($Q1288&lt;=3,"Sobrepeso","Obesidade"))))))</f>
        <v/>
      </c>
      <c r="S1288">
        <f>IF($C1288="","",IF(UPPER(LEFT($C1288,1))="M",1,IF(UPPER(LEFT($C1288,1))="F",2,"")))</f>
        <v/>
      </c>
      <c r="T1288">
        <f>IF(OR($D1288="",$E1288=""),"",DATEDIF($D1288,$E1288,"m"))</f>
        <v/>
      </c>
      <c r="U1288">
        <f>IF(OR($D1288="",$E1288=""),"",$E1288-$D1288)</f>
        <v/>
      </c>
      <c r="V1288">
        <f>IF(OR($G1288="",$T1288=""),"",IF($T1288&lt;24,IF(LEFT(LOWER($H1288),4)="em p",$G1288+0.7,$G1288),IF(LEFT(LOWER($H1288),4)="deit",$G1288-0.7,$G1288)))</f>
        <v/>
      </c>
      <c r="W1288">
        <f>IF(OR($S1288="",$T1288=""),"",$S1288*1000000+IF($T1288&lt;=60,$U1288,$T1288))</f>
        <v/>
      </c>
      <c r="X1288">
        <f>IF(OR($S1288="",$V1288="",$T1288&gt;60,$T1288=""),"",$S1288*1000000+ROUND($V1288*10,0))</f>
        <v/>
      </c>
      <c r="Y1288">
        <f>IF($W1288="","",IFERROR(INDEX(IF($T1288&lt;=60,imc05_l,imc519_l),MATCH($W1288,IF($T1288&lt;=60,imc05_k,imc519_k),1)),""))</f>
        <v/>
      </c>
      <c r="Z1288">
        <f>IF($W1288="","",IFERROR(INDEX(IF($T1288&lt;=60,imc05_m,imc519_m),MATCH($W1288,IF($T1288&lt;=60,imc05_k,imc519_k),1)),""))</f>
        <v/>
      </c>
      <c r="AA1288">
        <f>IF($W1288="","",IFERROR(INDEX(IF($T1288&lt;=60,imc05_s,imc519_s),MATCH($W1288,IF($T1288&lt;=60,imc05_k,imc519_k),1)),""))</f>
        <v/>
      </c>
      <c r="AB1288">
        <f>IF($Y1288="","",IF($Y1288=0,LN($J1288/$Z1288)/$AA1288,((($J1288/$Z1288)^$Y1288)-1)/($Y1288*$AA1288)))</f>
        <v/>
      </c>
      <c r="AC1288">
        <f>IF($Y1288="","",IF($Y1288=0,$Z1288*EXP($AA1288*2),$Z1288*(1+$Y1288*$AA1288*2)^(1/$Y1288)))</f>
        <v/>
      </c>
      <c r="AD1288">
        <f>IF($Y1288="","",IF($Y1288=0,$Z1288*EXP($AA1288*3),$Z1288*(1+$Y1288*$AA1288*3)^(1/$Y1288)))</f>
        <v/>
      </c>
      <c r="AE1288">
        <f>IF($Y1288="","",IF($Y1288=0,$Z1288*EXP($AA1288*-2),$Z1288*(1+$Y1288*$AA1288*-2)^(1/$Y1288)))</f>
        <v/>
      </c>
      <c r="AF1288">
        <f>IF($Y1288="","",IF($Y1288=0,$Z1288*EXP($AA1288*-3),$Z1288*(1+$Y1288*$AA1288*-3)^(1/$Y1288)))</f>
        <v/>
      </c>
      <c r="AG1288">
        <f>IF($W1288="","",IFERROR(INDEX(IF($T1288&lt;=60,est05_l,est519_l),MATCH($W1288,IF($T1288&lt;=60,est05_k,est519_k),1)),""))</f>
        <v/>
      </c>
      <c r="AH1288">
        <f>IF($W1288="","",IFERROR(INDEX(IF($T1288&lt;=60,est05_m,est519_m),MATCH($W1288,IF($T1288&lt;=60,est05_k,est519_k),1)),""))</f>
        <v/>
      </c>
      <c r="AI1288">
        <f>IF($W1288="","",IFERROR(INDEX(IF($T1288&lt;=60,est05_s,est519_s),MATCH($W1288,IF($T1288&lt;=60,est05_k,est519_k),1)),""))</f>
        <v/>
      </c>
      <c r="AJ1288">
        <f>IF($W1288="","",IFERROR(INDEX(IF($T1288&lt;=60,peso05_l,peso510_l),MATCH($W1288,IF($T1288&lt;=60,peso05_k,peso510_k),1)),""))</f>
        <v/>
      </c>
      <c r="AK1288">
        <f>IF($W1288="","",IFERROR(INDEX(IF($T1288&lt;=60,peso05_m,peso510_m),MATCH($W1288,IF($T1288&lt;=60,peso05_k,peso510_k),1)),""))</f>
        <v/>
      </c>
      <c r="AL1288">
        <f>IF($W1288="","",IFERROR(INDEX(IF($T1288&lt;=60,peso05_s,peso510_s),MATCH($W1288,IF($T1288&lt;=60,peso05_k,peso510_k),1)),""))</f>
        <v/>
      </c>
      <c r="AM1288">
        <f>IF($AJ1288="","",IF($AJ1288=0,LN($F1288/$AK1288)/$AL1288,((($F1288/$AK1288)^$AJ1288)-1)/($AJ1288*$AL1288)))</f>
        <v/>
      </c>
      <c r="AN1288">
        <f>IF($AJ1288="","",IF($AJ1288=0,$AK1288*EXP($AL1288*2),$AK1288*(1+$AJ1288*$AL1288*2)^(1/$AJ1288)))</f>
        <v/>
      </c>
      <c r="AO1288">
        <f>IF($AJ1288="","",IF($AJ1288=0,$AK1288*EXP($AL1288*3),$AK1288*(1+$AJ1288*$AL1288*3)^(1/$AJ1288)))</f>
        <v/>
      </c>
      <c r="AP1288">
        <f>IF($AJ1288="","",IF($AJ1288=0,$AK1288*EXP($AL1288*-2),$AK1288*(1+$AJ1288*$AL1288*-2)^(1/$AJ1288)))</f>
        <v/>
      </c>
      <c r="AQ1288">
        <f>IF($AJ1288="","",IF($AJ1288=0,$AK1288*EXP($AL1288*-3),$AK1288*(1+$AJ1288*$AL1288*-3)^(1/$AJ1288)))</f>
        <v/>
      </c>
      <c r="AR1288">
        <f>IF(OR($X1288="",$T1288&gt;60),"",IFERROR(INDEX(IF($T1288&lt;24,pcomp_l,palt_l),MATCH($X1288,IF($T1288&lt;24,pcomp_k,palt_k),1)),""))</f>
        <v/>
      </c>
      <c r="AS1288">
        <f>IF(OR($X1288="",$T1288&gt;60),"",IFERROR(INDEX(IF($T1288&lt;24,pcomp_m,palt_m),MATCH($X1288,IF($T1288&lt;24,pcomp_k,palt_k),1)),""))</f>
        <v/>
      </c>
      <c r="AT1288">
        <f>IF(OR($X1288="",$T1288&gt;60),"",IFERROR(INDEX(IF($T1288&lt;24,pcomp_s,palt_s),MATCH($X1288,IF($T1288&lt;24,pcomp_k,palt_k),1)),""))</f>
        <v/>
      </c>
      <c r="AU1288">
        <f>IF($AR1288="","",IF($AR1288=0,LN($F1288/$AS1288)/$AT1288,((($F1288/$AS1288)^$AR1288)-1)/($AR1288*$AT1288)))</f>
        <v/>
      </c>
      <c r="AV1288">
        <f>IF($AR1288="","",IF($AR1288=0,$AS1288*EXP($AT1288*2),$AS1288*(1+$AR1288*$AT1288*2)^(1/$AR1288)))</f>
        <v/>
      </c>
      <c r="AW1288">
        <f>IF($AR1288="","",IF($AR1288=0,$AS1288*EXP($AT1288*3),$AS1288*(1+$AR1288*$AT1288*3)^(1/$AR1288)))</f>
        <v/>
      </c>
      <c r="AX1288">
        <f>IF($AR1288="","",IF($AR1288=0,$AS1288*EXP($AT1288*-2),$AS1288*(1+$AR1288*$AT1288*-2)^(1/$AR1288)))</f>
        <v/>
      </c>
      <c r="AY1288">
        <f>IF($AR1288="","",IF($AR1288=0,$AS1288*EXP($AT1288*-3),$AS1288*(1+$AR1288*$AT1288*-3)^(1/$AR1288)))</f>
        <v/>
      </c>
      <c r="AZ1288">
        <f>IF(OR($A1288="",$A1288&lt;&gt;Ficha!$C$4),"",COUNTIF($A$2:$A1288,Ficha!$C$4))</f>
        <v/>
      </c>
    </row>
    <row r="1289">
      <c r="A1289" s="8">
        <f>IF(INDEX(Banco!$A:$A,ROW())="","",INDEX(Banco!$A:$A,ROW()))</f>
        <v/>
      </c>
      <c r="B1289" s="8">
        <f>IF(INDEX(Banco!$B:$B,ROW())="","",INDEX(Banco!$B:$B,ROW()))</f>
        <v/>
      </c>
      <c r="C1289" s="8">
        <f>IF(INDEX(Banco!$C:$C,ROW())="","",INDEX(Banco!$C:$C,ROW()))</f>
        <v/>
      </c>
      <c r="D1289" s="9">
        <f>IF(INDEX(Banco!$D:$D,ROW())="","",INDEX(Banco!$D:$D,ROW()))</f>
        <v/>
      </c>
      <c r="E1289" s="9">
        <f>IF(INDEX(Banco!$E:$E,ROW())="","",INDEX(Banco!$E:$E,ROW()))</f>
        <v/>
      </c>
      <c r="F1289" s="10">
        <f>IF(INDEX(Banco!$F:$F,ROW())="","",INDEX(Banco!$F:$F,ROW()))</f>
        <v/>
      </c>
      <c r="G1289" s="10">
        <f>IF(INDEX(Banco!$G:$G,ROW())="","",INDEX(Banco!$G:$G,ROW()))</f>
        <v/>
      </c>
      <c r="H1289" s="8">
        <f>IF(INDEX(Banco!$H:$H,ROW())="","",INDEX(Banco!$H:$H,ROW()))</f>
        <v/>
      </c>
      <c r="I1289">
        <f>IF($T1289="","",INT($T1289/12)&amp;"a "&amp;MOD($T1289,12)&amp;"m")</f>
        <v/>
      </c>
      <c r="J1289" s="11">
        <f>IF(OR($F1289="",$G1289=""),"",ROUND($F1289/($G1289/100)^2,2))</f>
        <v/>
      </c>
      <c r="K1289" s="12">
        <f>IF(OR($S1289="",$J1289="",$T1289="",$T1289&lt;0,$T1289&gt;228,$Y1289=""),"—",ROUND(IF(ABS($AB1289)&lt;=3,$AB1289,IF($AB1289&gt;3,3+($J1289-$AD1289)/($AD1289-$AC1289),-3+($J1289-$AF1289)/($AE1289-$AF1289))),2))</f>
        <v/>
      </c>
      <c r="L1289">
        <f>IF(OR($K1289="",$K1289="—"),"",IF($T1289&lt;=60,IF($K1289&lt;-3,"Magreza acentuada",IF($K1289&lt;-2,"Magreza",IF($K1289&lt;=1,"Eutrofia",IF($K1289&lt;=2,"Risco de sobrepeso",IF($K1289&lt;=3,"Sobrepeso","Obesidade"))))),IF($K1289&lt;-3,"Magreza acentuada",IF($K1289&lt;-2,"Magreza",IF($K1289&lt;=1,"Eutrofia",IF($K1289&lt;=2,"Sobrepeso",IF($K1289&lt;=3,"Obesidade","Obesidade grave")))))))</f>
        <v/>
      </c>
      <c r="M1289" s="12">
        <f>IF(OR($S1289="",$V1289="",$T1289="",$T1289&lt;0,$T1289&gt;228,$AG1289=""),"—",ROUND(IF($AG1289=0,LN($V1289/$AH1289)/$AI1289,((($V1289/$AH1289)^$AG1289)-1)/($AG1289*$AI1289)),2))</f>
        <v/>
      </c>
      <c r="N1289">
        <f>IF(OR($M1289="",$M1289="—"),"",IF($M1289&lt;-3,"Muito baixa",IF($M1289&lt;-2,"Baixa","Adequada")))</f>
        <v/>
      </c>
      <c r="O1289" s="12">
        <f>IF(OR($S1289="",$F1289="",$T1289="",$T1289&lt;0,$T1289&gt;120,$AJ1289=""),"—",ROUND(IF(ABS($AM1289)&lt;=3,$AM1289,IF($AM1289&gt;3,3+($F1289-$AO1289)/($AO1289-$AN1289),-3+($F1289-$AQ1289)/($AP1289-$AQ1289))),2))</f>
        <v/>
      </c>
      <c r="P1289">
        <f>IF(OR($O1289="",$O1289="—"),"",IF($O1289&lt;-3,"Muito baixo",IF($O1289&lt;-2,"Baixo",IF($O1289&lt;=2,"Adequado","Elevado"))))</f>
        <v/>
      </c>
      <c r="Q1289" s="12">
        <f>IF(OR($S1289="",$F1289="",$T1289="",$T1289&lt;0,$T1289&gt;60,$AR1289=""),"—",ROUND(IF(ABS($AU1289)&lt;=3,$AU1289,IF($AU1289&gt;3,3+($F1289-$AW1289)/($AW1289-$AV1289),-3+($F1289-$AY1289)/($AX1289-$AY1289))),2))</f>
        <v/>
      </c>
      <c r="R1289">
        <f>IF(OR($Q1289="",$Q1289="—"),"",IF($Q1289&lt;-3,"Magreza acentuada",IF($Q1289&lt;-2,"Magreza",IF($Q1289&lt;=1,"Eutrofia",IF($Q1289&lt;=2,"Risco de sobrepeso",IF($Q1289&lt;=3,"Sobrepeso","Obesidade"))))))</f>
        <v/>
      </c>
      <c r="S1289">
        <f>IF($C1289="","",IF(UPPER(LEFT($C1289,1))="M",1,IF(UPPER(LEFT($C1289,1))="F",2,"")))</f>
        <v/>
      </c>
      <c r="T1289">
        <f>IF(OR($D1289="",$E1289=""),"",DATEDIF($D1289,$E1289,"m"))</f>
        <v/>
      </c>
      <c r="U1289">
        <f>IF(OR($D1289="",$E1289=""),"",$E1289-$D1289)</f>
        <v/>
      </c>
      <c r="V1289">
        <f>IF(OR($G1289="",$T1289=""),"",IF($T1289&lt;24,IF(LEFT(LOWER($H1289),4)="em p",$G1289+0.7,$G1289),IF(LEFT(LOWER($H1289),4)="deit",$G1289-0.7,$G1289)))</f>
        <v/>
      </c>
      <c r="W1289">
        <f>IF(OR($S1289="",$T1289=""),"",$S1289*1000000+IF($T1289&lt;=60,$U1289,$T1289))</f>
        <v/>
      </c>
      <c r="X1289">
        <f>IF(OR($S1289="",$V1289="",$T1289&gt;60,$T1289=""),"",$S1289*1000000+ROUND($V1289*10,0))</f>
        <v/>
      </c>
      <c r="Y1289">
        <f>IF($W1289="","",IFERROR(INDEX(IF($T1289&lt;=60,imc05_l,imc519_l),MATCH($W1289,IF($T1289&lt;=60,imc05_k,imc519_k),1)),""))</f>
        <v/>
      </c>
      <c r="Z1289">
        <f>IF($W1289="","",IFERROR(INDEX(IF($T1289&lt;=60,imc05_m,imc519_m),MATCH($W1289,IF($T1289&lt;=60,imc05_k,imc519_k),1)),""))</f>
        <v/>
      </c>
      <c r="AA1289">
        <f>IF($W1289="","",IFERROR(INDEX(IF($T1289&lt;=60,imc05_s,imc519_s),MATCH($W1289,IF($T1289&lt;=60,imc05_k,imc519_k),1)),""))</f>
        <v/>
      </c>
      <c r="AB1289">
        <f>IF($Y1289="","",IF($Y1289=0,LN($J1289/$Z1289)/$AA1289,((($J1289/$Z1289)^$Y1289)-1)/($Y1289*$AA1289)))</f>
        <v/>
      </c>
      <c r="AC1289">
        <f>IF($Y1289="","",IF($Y1289=0,$Z1289*EXP($AA1289*2),$Z1289*(1+$Y1289*$AA1289*2)^(1/$Y1289)))</f>
        <v/>
      </c>
      <c r="AD1289">
        <f>IF($Y1289="","",IF($Y1289=0,$Z1289*EXP($AA1289*3),$Z1289*(1+$Y1289*$AA1289*3)^(1/$Y1289)))</f>
        <v/>
      </c>
      <c r="AE1289">
        <f>IF($Y1289="","",IF($Y1289=0,$Z1289*EXP($AA1289*-2),$Z1289*(1+$Y1289*$AA1289*-2)^(1/$Y1289)))</f>
        <v/>
      </c>
      <c r="AF1289">
        <f>IF($Y1289="","",IF($Y1289=0,$Z1289*EXP($AA1289*-3),$Z1289*(1+$Y1289*$AA1289*-3)^(1/$Y1289)))</f>
        <v/>
      </c>
      <c r="AG1289">
        <f>IF($W1289="","",IFERROR(INDEX(IF($T1289&lt;=60,est05_l,est519_l),MATCH($W1289,IF($T1289&lt;=60,est05_k,est519_k),1)),""))</f>
        <v/>
      </c>
      <c r="AH1289">
        <f>IF($W1289="","",IFERROR(INDEX(IF($T1289&lt;=60,est05_m,est519_m),MATCH($W1289,IF($T1289&lt;=60,est05_k,est519_k),1)),""))</f>
        <v/>
      </c>
      <c r="AI1289">
        <f>IF($W1289="","",IFERROR(INDEX(IF($T1289&lt;=60,est05_s,est519_s),MATCH($W1289,IF($T1289&lt;=60,est05_k,est519_k),1)),""))</f>
        <v/>
      </c>
      <c r="AJ1289">
        <f>IF($W1289="","",IFERROR(INDEX(IF($T1289&lt;=60,peso05_l,peso510_l),MATCH($W1289,IF($T1289&lt;=60,peso05_k,peso510_k),1)),""))</f>
        <v/>
      </c>
      <c r="AK1289">
        <f>IF($W1289="","",IFERROR(INDEX(IF($T1289&lt;=60,peso05_m,peso510_m),MATCH($W1289,IF($T1289&lt;=60,peso05_k,peso510_k),1)),""))</f>
        <v/>
      </c>
      <c r="AL1289">
        <f>IF($W1289="","",IFERROR(INDEX(IF($T1289&lt;=60,peso05_s,peso510_s),MATCH($W1289,IF($T1289&lt;=60,peso05_k,peso510_k),1)),""))</f>
        <v/>
      </c>
      <c r="AM1289">
        <f>IF($AJ1289="","",IF($AJ1289=0,LN($F1289/$AK1289)/$AL1289,((($F1289/$AK1289)^$AJ1289)-1)/($AJ1289*$AL1289)))</f>
        <v/>
      </c>
      <c r="AN1289">
        <f>IF($AJ1289="","",IF($AJ1289=0,$AK1289*EXP($AL1289*2),$AK1289*(1+$AJ1289*$AL1289*2)^(1/$AJ1289)))</f>
        <v/>
      </c>
      <c r="AO1289">
        <f>IF($AJ1289="","",IF($AJ1289=0,$AK1289*EXP($AL1289*3),$AK1289*(1+$AJ1289*$AL1289*3)^(1/$AJ1289)))</f>
        <v/>
      </c>
      <c r="AP1289">
        <f>IF($AJ1289="","",IF($AJ1289=0,$AK1289*EXP($AL1289*-2),$AK1289*(1+$AJ1289*$AL1289*-2)^(1/$AJ1289)))</f>
        <v/>
      </c>
      <c r="AQ1289">
        <f>IF($AJ1289="","",IF($AJ1289=0,$AK1289*EXP($AL1289*-3),$AK1289*(1+$AJ1289*$AL1289*-3)^(1/$AJ1289)))</f>
        <v/>
      </c>
      <c r="AR1289">
        <f>IF(OR($X1289="",$T1289&gt;60),"",IFERROR(INDEX(IF($T1289&lt;24,pcomp_l,palt_l),MATCH($X1289,IF($T1289&lt;24,pcomp_k,palt_k),1)),""))</f>
        <v/>
      </c>
      <c r="AS1289">
        <f>IF(OR($X1289="",$T1289&gt;60),"",IFERROR(INDEX(IF($T1289&lt;24,pcomp_m,palt_m),MATCH($X1289,IF($T1289&lt;24,pcomp_k,palt_k),1)),""))</f>
        <v/>
      </c>
      <c r="AT1289">
        <f>IF(OR($X1289="",$T1289&gt;60),"",IFERROR(INDEX(IF($T1289&lt;24,pcomp_s,palt_s),MATCH($X1289,IF($T1289&lt;24,pcomp_k,palt_k),1)),""))</f>
        <v/>
      </c>
      <c r="AU1289">
        <f>IF($AR1289="","",IF($AR1289=0,LN($F1289/$AS1289)/$AT1289,((($F1289/$AS1289)^$AR1289)-1)/($AR1289*$AT1289)))</f>
        <v/>
      </c>
      <c r="AV1289">
        <f>IF($AR1289="","",IF($AR1289=0,$AS1289*EXP($AT1289*2),$AS1289*(1+$AR1289*$AT1289*2)^(1/$AR1289)))</f>
        <v/>
      </c>
      <c r="AW1289">
        <f>IF($AR1289="","",IF($AR1289=0,$AS1289*EXP($AT1289*3),$AS1289*(1+$AR1289*$AT1289*3)^(1/$AR1289)))</f>
        <v/>
      </c>
      <c r="AX1289">
        <f>IF($AR1289="","",IF($AR1289=0,$AS1289*EXP($AT1289*-2),$AS1289*(1+$AR1289*$AT1289*-2)^(1/$AR1289)))</f>
        <v/>
      </c>
      <c r="AY1289">
        <f>IF($AR1289="","",IF($AR1289=0,$AS1289*EXP($AT1289*-3),$AS1289*(1+$AR1289*$AT1289*-3)^(1/$AR1289)))</f>
        <v/>
      </c>
      <c r="AZ1289">
        <f>IF(OR($A1289="",$A1289&lt;&gt;Ficha!$C$4),"",COUNTIF($A$2:$A1289,Ficha!$C$4))</f>
        <v/>
      </c>
    </row>
    <row r="1290">
      <c r="A1290" s="8">
        <f>IF(INDEX(Banco!$A:$A,ROW())="","",INDEX(Banco!$A:$A,ROW()))</f>
        <v/>
      </c>
      <c r="B1290" s="8">
        <f>IF(INDEX(Banco!$B:$B,ROW())="","",INDEX(Banco!$B:$B,ROW()))</f>
        <v/>
      </c>
      <c r="C1290" s="8">
        <f>IF(INDEX(Banco!$C:$C,ROW())="","",INDEX(Banco!$C:$C,ROW()))</f>
        <v/>
      </c>
      <c r="D1290" s="9">
        <f>IF(INDEX(Banco!$D:$D,ROW())="","",INDEX(Banco!$D:$D,ROW()))</f>
        <v/>
      </c>
      <c r="E1290" s="9">
        <f>IF(INDEX(Banco!$E:$E,ROW())="","",INDEX(Banco!$E:$E,ROW()))</f>
        <v/>
      </c>
      <c r="F1290" s="10">
        <f>IF(INDEX(Banco!$F:$F,ROW())="","",INDEX(Banco!$F:$F,ROW()))</f>
        <v/>
      </c>
      <c r="G1290" s="10">
        <f>IF(INDEX(Banco!$G:$G,ROW())="","",INDEX(Banco!$G:$G,ROW()))</f>
        <v/>
      </c>
      <c r="H1290" s="8">
        <f>IF(INDEX(Banco!$H:$H,ROW())="","",INDEX(Banco!$H:$H,ROW()))</f>
        <v/>
      </c>
      <c r="I1290">
        <f>IF($T1290="","",INT($T1290/12)&amp;"a "&amp;MOD($T1290,12)&amp;"m")</f>
        <v/>
      </c>
      <c r="J1290" s="11">
        <f>IF(OR($F1290="",$G1290=""),"",ROUND($F1290/($G1290/100)^2,2))</f>
        <v/>
      </c>
      <c r="K1290" s="12">
        <f>IF(OR($S1290="",$J1290="",$T1290="",$T1290&lt;0,$T1290&gt;228,$Y1290=""),"—",ROUND(IF(ABS($AB1290)&lt;=3,$AB1290,IF($AB1290&gt;3,3+($J1290-$AD1290)/($AD1290-$AC1290),-3+($J1290-$AF1290)/($AE1290-$AF1290))),2))</f>
        <v/>
      </c>
      <c r="L1290">
        <f>IF(OR($K1290="",$K1290="—"),"",IF($T1290&lt;=60,IF($K1290&lt;-3,"Magreza acentuada",IF($K1290&lt;-2,"Magreza",IF($K1290&lt;=1,"Eutrofia",IF($K1290&lt;=2,"Risco de sobrepeso",IF($K1290&lt;=3,"Sobrepeso","Obesidade"))))),IF($K1290&lt;-3,"Magreza acentuada",IF($K1290&lt;-2,"Magreza",IF($K1290&lt;=1,"Eutrofia",IF($K1290&lt;=2,"Sobrepeso",IF($K1290&lt;=3,"Obesidade","Obesidade grave")))))))</f>
        <v/>
      </c>
      <c r="M1290" s="12">
        <f>IF(OR($S1290="",$V1290="",$T1290="",$T1290&lt;0,$T1290&gt;228,$AG1290=""),"—",ROUND(IF($AG1290=0,LN($V1290/$AH1290)/$AI1290,((($V1290/$AH1290)^$AG1290)-1)/($AG1290*$AI1290)),2))</f>
        <v/>
      </c>
      <c r="N1290">
        <f>IF(OR($M1290="",$M1290="—"),"",IF($M1290&lt;-3,"Muito baixa",IF($M1290&lt;-2,"Baixa","Adequada")))</f>
        <v/>
      </c>
      <c r="O1290" s="12">
        <f>IF(OR($S1290="",$F1290="",$T1290="",$T1290&lt;0,$T1290&gt;120,$AJ1290=""),"—",ROUND(IF(ABS($AM1290)&lt;=3,$AM1290,IF($AM1290&gt;3,3+($F1290-$AO1290)/($AO1290-$AN1290),-3+($F1290-$AQ1290)/($AP1290-$AQ1290))),2))</f>
        <v/>
      </c>
      <c r="P1290">
        <f>IF(OR($O1290="",$O1290="—"),"",IF($O1290&lt;-3,"Muito baixo",IF($O1290&lt;-2,"Baixo",IF($O1290&lt;=2,"Adequado","Elevado"))))</f>
        <v/>
      </c>
      <c r="Q1290" s="12">
        <f>IF(OR($S1290="",$F1290="",$T1290="",$T1290&lt;0,$T1290&gt;60,$AR1290=""),"—",ROUND(IF(ABS($AU1290)&lt;=3,$AU1290,IF($AU1290&gt;3,3+($F1290-$AW1290)/($AW1290-$AV1290),-3+($F1290-$AY1290)/($AX1290-$AY1290))),2))</f>
        <v/>
      </c>
      <c r="R1290">
        <f>IF(OR($Q1290="",$Q1290="—"),"",IF($Q1290&lt;-3,"Magreza acentuada",IF($Q1290&lt;-2,"Magreza",IF($Q1290&lt;=1,"Eutrofia",IF($Q1290&lt;=2,"Risco de sobrepeso",IF($Q1290&lt;=3,"Sobrepeso","Obesidade"))))))</f>
        <v/>
      </c>
      <c r="S1290">
        <f>IF($C1290="","",IF(UPPER(LEFT($C1290,1))="M",1,IF(UPPER(LEFT($C1290,1))="F",2,"")))</f>
        <v/>
      </c>
      <c r="T1290">
        <f>IF(OR($D1290="",$E1290=""),"",DATEDIF($D1290,$E1290,"m"))</f>
        <v/>
      </c>
      <c r="U1290">
        <f>IF(OR($D1290="",$E1290=""),"",$E1290-$D1290)</f>
        <v/>
      </c>
      <c r="V1290">
        <f>IF(OR($G1290="",$T1290=""),"",IF($T1290&lt;24,IF(LEFT(LOWER($H1290),4)="em p",$G1290+0.7,$G1290),IF(LEFT(LOWER($H1290),4)="deit",$G1290-0.7,$G1290)))</f>
        <v/>
      </c>
      <c r="W1290">
        <f>IF(OR($S1290="",$T1290=""),"",$S1290*1000000+IF($T1290&lt;=60,$U1290,$T1290))</f>
        <v/>
      </c>
      <c r="X1290">
        <f>IF(OR($S1290="",$V1290="",$T1290&gt;60,$T1290=""),"",$S1290*1000000+ROUND($V1290*10,0))</f>
        <v/>
      </c>
      <c r="Y1290">
        <f>IF($W1290="","",IFERROR(INDEX(IF($T1290&lt;=60,imc05_l,imc519_l),MATCH($W1290,IF($T1290&lt;=60,imc05_k,imc519_k),1)),""))</f>
        <v/>
      </c>
      <c r="Z1290">
        <f>IF($W1290="","",IFERROR(INDEX(IF($T1290&lt;=60,imc05_m,imc519_m),MATCH($W1290,IF($T1290&lt;=60,imc05_k,imc519_k),1)),""))</f>
        <v/>
      </c>
      <c r="AA1290">
        <f>IF($W1290="","",IFERROR(INDEX(IF($T1290&lt;=60,imc05_s,imc519_s),MATCH($W1290,IF($T1290&lt;=60,imc05_k,imc519_k),1)),""))</f>
        <v/>
      </c>
      <c r="AB1290">
        <f>IF($Y1290="","",IF($Y1290=0,LN($J1290/$Z1290)/$AA1290,((($J1290/$Z1290)^$Y1290)-1)/($Y1290*$AA1290)))</f>
        <v/>
      </c>
      <c r="AC1290">
        <f>IF($Y1290="","",IF($Y1290=0,$Z1290*EXP($AA1290*2),$Z1290*(1+$Y1290*$AA1290*2)^(1/$Y1290)))</f>
        <v/>
      </c>
      <c r="AD1290">
        <f>IF($Y1290="","",IF($Y1290=0,$Z1290*EXP($AA1290*3),$Z1290*(1+$Y1290*$AA1290*3)^(1/$Y1290)))</f>
        <v/>
      </c>
      <c r="AE1290">
        <f>IF($Y1290="","",IF($Y1290=0,$Z1290*EXP($AA1290*-2),$Z1290*(1+$Y1290*$AA1290*-2)^(1/$Y1290)))</f>
        <v/>
      </c>
      <c r="AF1290">
        <f>IF($Y1290="","",IF($Y1290=0,$Z1290*EXP($AA1290*-3),$Z1290*(1+$Y1290*$AA1290*-3)^(1/$Y1290)))</f>
        <v/>
      </c>
      <c r="AG1290">
        <f>IF($W1290="","",IFERROR(INDEX(IF($T1290&lt;=60,est05_l,est519_l),MATCH($W1290,IF($T1290&lt;=60,est05_k,est519_k),1)),""))</f>
        <v/>
      </c>
      <c r="AH1290">
        <f>IF($W1290="","",IFERROR(INDEX(IF($T1290&lt;=60,est05_m,est519_m),MATCH($W1290,IF($T1290&lt;=60,est05_k,est519_k),1)),""))</f>
        <v/>
      </c>
      <c r="AI1290">
        <f>IF($W1290="","",IFERROR(INDEX(IF($T1290&lt;=60,est05_s,est519_s),MATCH($W1290,IF($T1290&lt;=60,est05_k,est519_k),1)),""))</f>
        <v/>
      </c>
      <c r="AJ1290">
        <f>IF($W1290="","",IFERROR(INDEX(IF($T1290&lt;=60,peso05_l,peso510_l),MATCH($W1290,IF($T1290&lt;=60,peso05_k,peso510_k),1)),""))</f>
        <v/>
      </c>
      <c r="AK1290">
        <f>IF($W1290="","",IFERROR(INDEX(IF($T1290&lt;=60,peso05_m,peso510_m),MATCH($W1290,IF($T1290&lt;=60,peso05_k,peso510_k),1)),""))</f>
        <v/>
      </c>
      <c r="AL1290">
        <f>IF($W1290="","",IFERROR(INDEX(IF($T1290&lt;=60,peso05_s,peso510_s),MATCH($W1290,IF($T1290&lt;=60,peso05_k,peso510_k),1)),""))</f>
        <v/>
      </c>
      <c r="AM1290">
        <f>IF($AJ1290="","",IF($AJ1290=0,LN($F1290/$AK1290)/$AL1290,((($F1290/$AK1290)^$AJ1290)-1)/($AJ1290*$AL1290)))</f>
        <v/>
      </c>
      <c r="AN1290">
        <f>IF($AJ1290="","",IF($AJ1290=0,$AK1290*EXP($AL1290*2),$AK1290*(1+$AJ1290*$AL1290*2)^(1/$AJ1290)))</f>
        <v/>
      </c>
      <c r="AO1290">
        <f>IF($AJ1290="","",IF($AJ1290=0,$AK1290*EXP($AL1290*3),$AK1290*(1+$AJ1290*$AL1290*3)^(1/$AJ1290)))</f>
        <v/>
      </c>
      <c r="AP1290">
        <f>IF($AJ1290="","",IF($AJ1290=0,$AK1290*EXP($AL1290*-2),$AK1290*(1+$AJ1290*$AL1290*-2)^(1/$AJ1290)))</f>
        <v/>
      </c>
      <c r="AQ1290">
        <f>IF($AJ1290="","",IF($AJ1290=0,$AK1290*EXP($AL1290*-3),$AK1290*(1+$AJ1290*$AL1290*-3)^(1/$AJ1290)))</f>
        <v/>
      </c>
      <c r="AR1290">
        <f>IF(OR($X1290="",$T1290&gt;60),"",IFERROR(INDEX(IF($T1290&lt;24,pcomp_l,palt_l),MATCH($X1290,IF($T1290&lt;24,pcomp_k,palt_k),1)),""))</f>
        <v/>
      </c>
      <c r="AS1290">
        <f>IF(OR($X1290="",$T1290&gt;60),"",IFERROR(INDEX(IF($T1290&lt;24,pcomp_m,palt_m),MATCH($X1290,IF($T1290&lt;24,pcomp_k,palt_k),1)),""))</f>
        <v/>
      </c>
      <c r="AT1290">
        <f>IF(OR($X1290="",$T1290&gt;60),"",IFERROR(INDEX(IF($T1290&lt;24,pcomp_s,palt_s),MATCH($X1290,IF($T1290&lt;24,pcomp_k,palt_k),1)),""))</f>
        <v/>
      </c>
      <c r="AU1290">
        <f>IF($AR1290="","",IF($AR1290=0,LN($F1290/$AS1290)/$AT1290,((($F1290/$AS1290)^$AR1290)-1)/($AR1290*$AT1290)))</f>
        <v/>
      </c>
      <c r="AV1290">
        <f>IF($AR1290="","",IF($AR1290=0,$AS1290*EXP($AT1290*2),$AS1290*(1+$AR1290*$AT1290*2)^(1/$AR1290)))</f>
        <v/>
      </c>
      <c r="AW1290">
        <f>IF($AR1290="","",IF($AR1290=0,$AS1290*EXP($AT1290*3),$AS1290*(1+$AR1290*$AT1290*3)^(1/$AR1290)))</f>
        <v/>
      </c>
      <c r="AX1290">
        <f>IF($AR1290="","",IF($AR1290=0,$AS1290*EXP($AT1290*-2),$AS1290*(1+$AR1290*$AT1290*-2)^(1/$AR1290)))</f>
        <v/>
      </c>
      <c r="AY1290">
        <f>IF($AR1290="","",IF($AR1290=0,$AS1290*EXP($AT1290*-3),$AS1290*(1+$AR1290*$AT1290*-3)^(1/$AR1290)))</f>
        <v/>
      </c>
      <c r="AZ1290">
        <f>IF(OR($A1290="",$A1290&lt;&gt;Ficha!$C$4),"",COUNTIF($A$2:$A1290,Ficha!$C$4))</f>
        <v/>
      </c>
    </row>
    <row r="1291">
      <c r="A1291" s="8">
        <f>IF(INDEX(Banco!$A:$A,ROW())="","",INDEX(Banco!$A:$A,ROW()))</f>
        <v/>
      </c>
      <c r="B1291" s="8">
        <f>IF(INDEX(Banco!$B:$B,ROW())="","",INDEX(Banco!$B:$B,ROW()))</f>
        <v/>
      </c>
      <c r="C1291" s="8">
        <f>IF(INDEX(Banco!$C:$C,ROW())="","",INDEX(Banco!$C:$C,ROW()))</f>
        <v/>
      </c>
      <c r="D1291" s="9">
        <f>IF(INDEX(Banco!$D:$D,ROW())="","",INDEX(Banco!$D:$D,ROW()))</f>
        <v/>
      </c>
      <c r="E1291" s="9">
        <f>IF(INDEX(Banco!$E:$E,ROW())="","",INDEX(Banco!$E:$E,ROW()))</f>
        <v/>
      </c>
      <c r="F1291" s="10">
        <f>IF(INDEX(Banco!$F:$F,ROW())="","",INDEX(Banco!$F:$F,ROW()))</f>
        <v/>
      </c>
      <c r="G1291" s="10">
        <f>IF(INDEX(Banco!$G:$G,ROW())="","",INDEX(Banco!$G:$G,ROW()))</f>
        <v/>
      </c>
      <c r="H1291" s="8">
        <f>IF(INDEX(Banco!$H:$H,ROW())="","",INDEX(Banco!$H:$H,ROW()))</f>
        <v/>
      </c>
      <c r="I1291">
        <f>IF($T1291="","",INT($T1291/12)&amp;"a "&amp;MOD($T1291,12)&amp;"m")</f>
        <v/>
      </c>
      <c r="J1291" s="11">
        <f>IF(OR($F1291="",$G1291=""),"",ROUND($F1291/($G1291/100)^2,2))</f>
        <v/>
      </c>
      <c r="K1291" s="12">
        <f>IF(OR($S1291="",$J1291="",$T1291="",$T1291&lt;0,$T1291&gt;228,$Y1291=""),"—",ROUND(IF(ABS($AB1291)&lt;=3,$AB1291,IF($AB1291&gt;3,3+($J1291-$AD1291)/($AD1291-$AC1291),-3+($J1291-$AF1291)/($AE1291-$AF1291))),2))</f>
        <v/>
      </c>
      <c r="L1291">
        <f>IF(OR($K1291="",$K1291="—"),"",IF($T1291&lt;=60,IF($K1291&lt;-3,"Magreza acentuada",IF($K1291&lt;-2,"Magreza",IF($K1291&lt;=1,"Eutrofia",IF($K1291&lt;=2,"Risco de sobrepeso",IF($K1291&lt;=3,"Sobrepeso","Obesidade"))))),IF($K1291&lt;-3,"Magreza acentuada",IF($K1291&lt;-2,"Magreza",IF($K1291&lt;=1,"Eutrofia",IF($K1291&lt;=2,"Sobrepeso",IF($K1291&lt;=3,"Obesidade","Obesidade grave")))))))</f>
        <v/>
      </c>
      <c r="M1291" s="12">
        <f>IF(OR($S1291="",$V1291="",$T1291="",$T1291&lt;0,$T1291&gt;228,$AG1291=""),"—",ROUND(IF($AG1291=0,LN($V1291/$AH1291)/$AI1291,((($V1291/$AH1291)^$AG1291)-1)/($AG1291*$AI1291)),2))</f>
        <v/>
      </c>
      <c r="N1291">
        <f>IF(OR($M1291="",$M1291="—"),"",IF($M1291&lt;-3,"Muito baixa",IF($M1291&lt;-2,"Baixa","Adequada")))</f>
        <v/>
      </c>
      <c r="O1291" s="12">
        <f>IF(OR($S1291="",$F1291="",$T1291="",$T1291&lt;0,$T1291&gt;120,$AJ1291=""),"—",ROUND(IF(ABS($AM1291)&lt;=3,$AM1291,IF($AM1291&gt;3,3+($F1291-$AO1291)/($AO1291-$AN1291),-3+($F1291-$AQ1291)/($AP1291-$AQ1291))),2))</f>
        <v/>
      </c>
      <c r="P1291">
        <f>IF(OR($O1291="",$O1291="—"),"",IF($O1291&lt;-3,"Muito baixo",IF($O1291&lt;-2,"Baixo",IF($O1291&lt;=2,"Adequado","Elevado"))))</f>
        <v/>
      </c>
      <c r="Q1291" s="12">
        <f>IF(OR($S1291="",$F1291="",$T1291="",$T1291&lt;0,$T1291&gt;60,$AR1291=""),"—",ROUND(IF(ABS($AU1291)&lt;=3,$AU1291,IF($AU1291&gt;3,3+($F1291-$AW1291)/($AW1291-$AV1291),-3+($F1291-$AY1291)/($AX1291-$AY1291))),2))</f>
        <v/>
      </c>
      <c r="R1291">
        <f>IF(OR($Q1291="",$Q1291="—"),"",IF($Q1291&lt;-3,"Magreza acentuada",IF($Q1291&lt;-2,"Magreza",IF($Q1291&lt;=1,"Eutrofia",IF($Q1291&lt;=2,"Risco de sobrepeso",IF($Q1291&lt;=3,"Sobrepeso","Obesidade"))))))</f>
        <v/>
      </c>
      <c r="S1291">
        <f>IF($C1291="","",IF(UPPER(LEFT($C1291,1))="M",1,IF(UPPER(LEFT($C1291,1))="F",2,"")))</f>
        <v/>
      </c>
      <c r="T1291">
        <f>IF(OR($D1291="",$E1291=""),"",DATEDIF($D1291,$E1291,"m"))</f>
        <v/>
      </c>
      <c r="U1291">
        <f>IF(OR($D1291="",$E1291=""),"",$E1291-$D1291)</f>
        <v/>
      </c>
      <c r="V1291">
        <f>IF(OR($G1291="",$T1291=""),"",IF($T1291&lt;24,IF(LEFT(LOWER($H1291),4)="em p",$G1291+0.7,$G1291),IF(LEFT(LOWER($H1291),4)="deit",$G1291-0.7,$G1291)))</f>
        <v/>
      </c>
      <c r="W1291">
        <f>IF(OR($S1291="",$T1291=""),"",$S1291*1000000+IF($T1291&lt;=60,$U1291,$T1291))</f>
        <v/>
      </c>
      <c r="X1291">
        <f>IF(OR($S1291="",$V1291="",$T1291&gt;60,$T1291=""),"",$S1291*1000000+ROUND($V1291*10,0))</f>
        <v/>
      </c>
      <c r="Y1291">
        <f>IF($W1291="","",IFERROR(INDEX(IF($T1291&lt;=60,imc05_l,imc519_l),MATCH($W1291,IF($T1291&lt;=60,imc05_k,imc519_k),1)),""))</f>
        <v/>
      </c>
      <c r="Z1291">
        <f>IF($W1291="","",IFERROR(INDEX(IF($T1291&lt;=60,imc05_m,imc519_m),MATCH($W1291,IF($T1291&lt;=60,imc05_k,imc519_k),1)),""))</f>
        <v/>
      </c>
      <c r="AA1291">
        <f>IF($W1291="","",IFERROR(INDEX(IF($T1291&lt;=60,imc05_s,imc519_s),MATCH($W1291,IF($T1291&lt;=60,imc05_k,imc519_k),1)),""))</f>
        <v/>
      </c>
      <c r="AB1291">
        <f>IF($Y1291="","",IF($Y1291=0,LN($J1291/$Z1291)/$AA1291,((($J1291/$Z1291)^$Y1291)-1)/($Y1291*$AA1291)))</f>
        <v/>
      </c>
      <c r="AC1291">
        <f>IF($Y1291="","",IF($Y1291=0,$Z1291*EXP($AA1291*2),$Z1291*(1+$Y1291*$AA1291*2)^(1/$Y1291)))</f>
        <v/>
      </c>
      <c r="AD1291">
        <f>IF($Y1291="","",IF($Y1291=0,$Z1291*EXP($AA1291*3),$Z1291*(1+$Y1291*$AA1291*3)^(1/$Y1291)))</f>
        <v/>
      </c>
      <c r="AE1291">
        <f>IF($Y1291="","",IF($Y1291=0,$Z1291*EXP($AA1291*-2),$Z1291*(1+$Y1291*$AA1291*-2)^(1/$Y1291)))</f>
        <v/>
      </c>
      <c r="AF1291">
        <f>IF($Y1291="","",IF($Y1291=0,$Z1291*EXP($AA1291*-3),$Z1291*(1+$Y1291*$AA1291*-3)^(1/$Y1291)))</f>
        <v/>
      </c>
      <c r="AG1291">
        <f>IF($W1291="","",IFERROR(INDEX(IF($T1291&lt;=60,est05_l,est519_l),MATCH($W1291,IF($T1291&lt;=60,est05_k,est519_k),1)),""))</f>
        <v/>
      </c>
      <c r="AH1291">
        <f>IF($W1291="","",IFERROR(INDEX(IF($T1291&lt;=60,est05_m,est519_m),MATCH($W1291,IF($T1291&lt;=60,est05_k,est519_k),1)),""))</f>
        <v/>
      </c>
      <c r="AI1291">
        <f>IF($W1291="","",IFERROR(INDEX(IF($T1291&lt;=60,est05_s,est519_s),MATCH($W1291,IF($T1291&lt;=60,est05_k,est519_k),1)),""))</f>
        <v/>
      </c>
      <c r="AJ1291">
        <f>IF($W1291="","",IFERROR(INDEX(IF($T1291&lt;=60,peso05_l,peso510_l),MATCH($W1291,IF($T1291&lt;=60,peso05_k,peso510_k),1)),""))</f>
        <v/>
      </c>
      <c r="AK1291">
        <f>IF($W1291="","",IFERROR(INDEX(IF($T1291&lt;=60,peso05_m,peso510_m),MATCH($W1291,IF($T1291&lt;=60,peso05_k,peso510_k),1)),""))</f>
        <v/>
      </c>
      <c r="AL1291">
        <f>IF($W1291="","",IFERROR(INDEX(IF($T1291&lt;=60,peso05_s,peso510_s),MATCH($W1291,IF($T1291&lt;=60,peso05_k,peso510_k),1)),""))</f>
        <v/>
      </c>
      <c r="AM1291">
        <f>IF($AJ1291="","",IF($AJ1291=0,LN($F1291/$AK1291)/$AL1291,((($F1291/$AK1291)^$AJ1291)-1)/($AJ1291*$AL1291)))</f>
        <v/>
      </c>
      <c r="AN1291">
        <f>IF($AJ1291="","",IF($AJ1291=0,$AK1291*EXP($AL1291*2),$AK1291*(1+$AJ1291*$AL1291*2)^(1/$AJ1291)))</f>
        <v/>
      </c>
      <c r="AO1291">
        <f>IF($AJ1291="","",IF($AJ1291=0,$AK1291*EXP($AL1291*3),$AK1291*(1+$AJ1291*$AL1291*3)^(1/$AJ1291)))</f>
        <v/>
      </c>
      <c r="AP1291">
        <f>IF($AJ1291="","",IF($AJ1291=0,$AK1291*EXP($AL1291*-2),$AK1291*(1+$AJ1291*$AL1291*-2)^(1/$AJ1291)))</f>
        <v/>
      </c>
      <c r="AQ1291">
        <f>IF($AJ1291="","",IF($AJ1291=0,$AK1291*EXP($AL1291*-3),$AK1291*(1+$AJ1291*$AL1291*-3)^(1/$AJ1291)))</f>
        <v/>
      </c>
      <c r="AR1291">
        <f>IF(OR($X1291="",$T1291&gt;60),"",IFERROR(INDEX(IF($T1291&lt;24,pcomp_l,palt_l),MATCH($X1291,IF($T1291&lt;24,pcomp_k,palt_k),1)),""))</f>
        <v/>
      </c>
      <c r="AS1291">
        <f>IF(OR($X1291="",$T1291&gt;60),"",IFERROR(INDEX(IF($T1291&lt;24,pcomp_m,palt_m),MATCH($X1291,IF($T1291&lt;24,pcomp_k,palt_k),1)),""))</f>
        <v/>
      </c>
      <c r="AT1291">
        <f>IF(OR($X1291="",$T1291&gt;60),"",IFERROR(INDEX(IF($T1291&lt;24,pcomp_s,palt_s),MATCH($X1291,IF($T1291&lt;24,pcomp_k,palt_k),1)),""))</f>
        <v/>
      </c>
      <c r="AU1291">
        <f>IF($AR1291="","",IF($AR1291=0,LN($F1291/$AS1291)/$AT1291,((($F1291/$AS1291)^$AR1291)-1)/($AR1291*$AT1291)))</f>
        <v/>
      </c>
      <c r="AV1291">
        <f>IF($AR1291="","",IF($AR1291=0,$AS1291*EXP($AT1291*2),$AS1291*(1+$AR1291*$AT1291*2)^(1/$AR1291)))</f>
        <v/>
      </c>
      <c r="AW1291">
        <f>IF($AR1291="","",IF($AR1291=0,$AS1291*EXP($AT1291*3),$AS1291*(1+$AR1291*$AT1291*3)^(1/$AR1291)))</f>
        <v/>
      </c>
      <c r="AX1291">
        <f>IF($AR1291="","",IF($AR1291=0,$AS1291*EXP($AT1291*-2),$AS1291*(1+$AR1291*$AT1291*-2)^(1/$AR1291)))</f>
        <v/>
      </c>
      <c r="AY1291">
        <f>IF($AR1291="","",IF($AR1291=0,$AS1291*EXP($AT1291*-3),$AS1291*(1+$AR1291*$AT1291*-3)^(1/$AR1291)))</f>
        <v/>
      </c>
      <c r="AZ1291">
        <f>IF(OR($A1291="",$A1291&lt;&gt;Ficha!$C$4),"",COUNTIF($A$2:$A1291,Ficha!$C$4))</f>
        <v/>
      </c>
    </row>
    <row r="1292">
      <c r="A1292" s="8">
        <f>IF(INDEX(Banco!$A:$A,ROW())="","",INDEX(Banco!$A:$A,ROW()))</f>
        <v/>
      </c>
      <c r="B1292" s="8">
        <f>IF(INDEX(Banco!$B:$B,ROW())="","",INDEX(Banco!$B:$B,ROW()))</f>
        <v/>
      </c>
      <c r="C1292" s="8">
        <f>IF(INDEX(Banco!$C:$C,ROW())="","",INDEX(Banco!$C:$C,ROW()))</f>
        <v/>
      </c>
      <c r="D1292" s="9">
        <f>IF(INDEX(Banco!$D:$D,ROW())="","",INDEX(Banco!$D:$D,ROW()))</f>
        <v/>
      </c>
      <c r="E1292" s="9">
        <f>IF(INDEX(Banco!$E:$E,ROW())="","",INDEX(Banco!$E:$E,ROW()))</f>
        <v/>
      </c>
      <c r="F1292" s="10">
        <f>IF(INDEX(Banco!$F:$F,ROW())="","",INDEX(Banco!$F:$F,ROW()))</f>
        <v/>
      </c>
      <c r="G1292" s="10">
        <f>IF(INDEX(Banco!$G:$G,ROW())="","",INDEX(Banco!$G:$G,ROW()))</f>
        <v/>
      </c>
      <c r="H1292" s="8">
        <f>IF(INDEX(Banco!$H:$H,ROW())="","",INDEX(Banco!$H:$H,ROW()))</f>
        <v/>
      </c>
      <c r="I1292">
        <f>IF($T1292="","",INT($T1292/12)&amp;"a "&amp;MOD($T1292,12)&amp;"m")</f>
        <v/>
      </c>
      <c r="J1292" s="11">
        <f>IF(OR($F1292="",$G1292=""),"",ROUND($F1292/($G1292/100)^2,2))</f>
        <v/>
      </c>
      <c r="K1292" s="12">
        <f>IF(OR($S1292="",$J1292="",$T1292="",$T1292&lt;0,$T1292&gt;228,$Y1292=""),"—",ROUND(IF(ABS($AB1292)&lt;=3,$AB1292,IF($AB1292&gt;3,3+($J1292-$AD1292)/($AD1292-$AC1292),-3+($J1292-$AF1292)/($AE1292-$AF1292))),2))</f>
        <v/>
      </c>
      <c r="L1292">
        <f>IF(OR($K1292="",$K1292="—"),"",IF($T1292&lt;=60,IF($K1292&lt;-3,"Magreza acentuada",IF($K1292&lt;-2,"Magreza",IF($K1292&lt;=1,"Eutrofia",IF($K1292&lt;=2,"Risco de sobrepeso",IF($K1292&lt;=3,"Sobrepeso","Obesidade"))))),IF($K1292&lt;-3,"Magreza acentuada",IF($K1292&lt;-2,"Magreza",IF($K1292&lt;=1,"Eutrofia",IF($K1292&lt;=2,"Sobrepeso",IF($K1292&lt;=3,"Obesidade","Obesidade grave")))))))</f>
        <v/>
      </c>
      <c r="M1292" s="12">
        <f>IF(OR($S1292="",$V1292="",$T1292="",$T1292&lt;0,$T1292&gt;228,$AG1292=""),"—",ROUND(IF($AG1292=0,LN($V1292/$AH1292)/$AI1292,((($V1292/$AH1292)^$AG1292)-1)/($AG1292*$AI1292)),2))</f>
        <v/>
      </c>
      <c r="N1292">
        <f>IF(OR($M1292="",$M1292="—"),"",IF($M1292&lt;-3,"Muito baixa",IF($M1292&lt;-2,"Baixa","Adequada")))</f>
        <v/>
      </c>
      <c r="O1292" s="12">
        <f>IF(OR($S1292="",$F1292="",$T1292="",$T1292&lt;0,$T1292&gt;120,$AJ1292=""),"—",ROUND(IF(ABS($AM1292)&lt;=3,$AM1292,IF($AM1292&gt;3,3+($F1292-$AO1292)/($AO1292-$AN1292),-3+($F1292-$AQ1292)/($AP1292-$AQ1292))),2))</f>
        <v/>
      </c>
      <c r="P1292">
        <f>IF(OR($O1292="",$O1292="—"),"",IF($O1292&lt;-3,"Muito baixo",IF($O1292&lt;-2,"Baixo",IF($O1292&lt;=2,"Adequado","Elevado"))))</f>
        <v/>
      </c>
      <c r="Q1292" s="12">
        <f>IF(OR($S1292="",$F1292="",$T1292="",$T1292&lt;0,$T1292&gt;60,$AR1292=""),"—",ROUND(IF(ABS($AU1292)&lt;=3,$AU1292,IF($AU1292&gt;3,3+($F1292-$AW1292)/($AW1292-$AV1292),-3+($F1292-$AY1292)/($AX1292-$AY1292))),2))</f>
        <v/>
      </c>
      <c r="R1292">
        <f>IF(OR($Q1292="",$Q1292="—"),"",IF($Q1292&lt;-3,"Magreza acentuada",IF($Q1292&lt;-2,"Magreza",IF($Q1292&lt;=1,"Eutrofia",IF($Q1292&lt;=2,"Risco de sobrepeso",IF($Q1292&lt;=3,"Sobrepeso","Obesidade"))))))</f>
        <v/>
      </c>
      <c r="S1292">
        <f>IF($C1292="","",IF(UPPER(LEFT($C1292,1))="M",1,IF(UPPER(LEFT($C1292,1))="F",2,"")))</f>
        <v/>
      </c>
      <c r="T1292">
        <f>IF(OR($D1292="",$E1292=""),"",DATEDIF($D1292,$E1292,"m"))</f>
        <v/>
      </c>
      <c r="U1292">
        <f>IF(OR($D1292="",$E1292=""),"",$E1292-$D1292)</f>
        <v/>
      </c>
      <c r="V1292">
        <f>IF(OR($G1292="",$T1292=""),"",IF($T1292&lt;24,IF(LEFT(LOWER($H1292),4)="em p",$G1292+0.7,$G1292),IF(LEFT(LOWER($H1292),4)="deit",$G1292-0.7,$G1292)))</f>
        <v/>
      </c>
      <c r="W1292">
        <f>IF(OR($S1292="",$T1292=""),"",$S1292*1000000+IF($T1292&lt;=60,$U1292,$T1292))</f>
        <v/>
      </c>
      <c r="X1292">
        <f>IF(OR($S1292="",$V1292="",$T1292&gt;60,$T1292=""),"",$S1292*1000000+ROUND($V1292*10,0))</f>
        <v/>
      </c>
      <c r="Y1292">
        <f>IF($W1292="","",IFERROR(INDEX(IF($T1292&lt;=60,imc05_l,imc519_l),MATCH($W1292,IF($T1292&lt;=60,imc05_k,imc519_k),1)),""))</f>
        <v/>
      </c>
      <c r="Z1292">
        <f>IF($W1292="","",IFERROR(INDEX(IF($T1292&lt;=60,imc05_m,imc519_m),MATCH($W1292,IF($T1292&lt;=60,imc05_k,imc519_k),1)),""))</f>
        <v/>
      </c>
      <c r="AA1292">
        <f>IF($W1292="","",IFERROR(INDEX(IF($T1292&lt;=60,imc05_s,imc519_s),MATCH($W1292,IF($T1292&lt;=60,imc05_k,imc519_k),1)),""))</f>
        <v/>
      </c>
      <c r="AB1292">
        <f>IF($Y1292="","",IF($Y1292=0,LN($J1292/$Z1292)/$AA1292,((($J1292/$Z1292)^$Y1292)-1)/($Y1292*$AA1292)))</f>
        <v/>
      </c>
      <c r="AC1292">
        <f>IF($Y1292="","",IF($Y1292=0,$Z1292*EXP($AA1292*2),$Z1292*(1+$Y1292*$AA1292*2)^(1/$Y1292)))</f>
        <v/>
      </c>
      <c r="AD1292">
        <f>IF($Y1292="","",IF($Y1292=0,$Z1292*EXP($AA1292*3),$Z1292*(1+$Y1292*$AA1292*3)^(1/$Y1292)))</f>
        <v/>
      </c>
      <c r="AE1292">
        <f>IF($Y1292="","",IF($Y1292=0,$Z1292*EXP($AA1292*-2),$Z1292*(1+$Y1292*$AA1292*-2)^(1/$Y1292)))</f>
        <v/>
      </c>
      <c r="AF1292">
        <f>IF($Y1292="","",IF($Y1292=0,$Z1292*EXP($AA1292*-3),$Z1292*(1+$Y1292*$AA1292*-3)^(1/$Y1292)))</f>
        <v/>
      </c>
      <c r="AG1292">
        <f>IF($W1292="","",IFERROR(INDEX(IF($T1292&lt;=60,est05_l,est519_l),MATCH($W1292,IF($T1292&lt;=60,est05_k,est519_k),1)),""))</f>
        <v/>
      </c>
      <c r="AH1292">
        <f>IF($W1292="","",IFERROR(INDEX(IF($T1292&lt;=60,est05_m,est519_m),MATCH($W1292,IF($T1292&lt;=60,est05_k,est519_k),1)),""))</f>
        <v/>
      </c>
      <c r="AI1292">
        <f>IF($W1292="","",IFERROR(INDEX(IF($T1292&lt;=60,est05_s,est519_s),MATCH($W1292,IF($T1292&lt;=60,est05_k,est519_k),1)),""))</f>
        <v/>
      </c>
      <c r="AJ1292">
        <f>IF($W1292="","",IFERROR(INDEX(IF($T1292&lt;=60,peso05_l,peso510_l),MATCH($W1292,IF($T1292&lt;=60,peso05_k,peso510_k),1)),""))</f>
        <v/>
      </c>
      <c r="AK1292">
        <f>IF($W1292="","",IFERROR(INDEX(IF($T1292&lt;=60,peso05_m,peso510_m),MATCH($W1292,IF($T1292&lt;=60,peso05_k,peso510_k),1)),""))</f>
        <v/>
      </c>
      <c r="AL1292">
        <f>IF($W1292="","",IFERROR(INDEX(IF($T1292&lt;=60,peso05_s,peso510_s),MATCH($W1292,IF($T1292&lt;=60,peso05_k,peso510_k),1)),""))</f>
        <v/>
      </c>
      <c r="AM1292">
        <f>IF($AJ1292="","",IF($AJ1292=0,LN($F1292/$AK1292)/$AL1292,((($F1292/$AK1292)^$AJ1292)-1)/($AJ1292*$AL1292)))</f>
        <v/>
      </c>
      <c r="AN1292">
        <f>IF($AJ1292="","",IF($AJ1292=0,$AK1292*EXP($AL1292*2),$AK1292*(1+$AJ1292*$AL1292*2)^(1/$AJ1292)))</f>
        <v/>
      </c>
      <c r="AO1292">
        <f>IF($AJ1292="","",IF($AJ1292=0,$AK1292*EXP($AL1292*3),$AK1292*(1+$AJ1292*$AL1292*3)^(1/$AJ1292)))</f>
        <v/>
      </c>
      <c r="AP1292">
        <f>IF($AJ1292="","",IF($AJ1292=0,$AK1292*EXP($AL1292*-2),$AK1292*(1+$AJ1292*$AL1292*-2)^(1/$AJ1292)))</f>
        <v/>
      </c>
      <c r="AQ1292">
        <f>IF($AJ1292="","",IF($AJ1292=0,$AK1292*EXP($AL1292*-3),$AK1292*(1+$AJ1292*$AL1292*-3)^(1/$AJ1292)))</f>
        <v/>
      </c>
      <c r="AR1292">
        <f>IF(OR($X1292="",$T1292&gt;60),"",IFERROR(INDEX(IF($T1292&lt;24,pcomp_l,palt_l),MATCH($X1292,IF($T1292&lt;24,pcomp_k,palt_k),1)),""))</f>
        <v/>
      </c>
      <c r="AS1292">
        <f>IF(OR($X1292="",$T1292&gt;60),"",IFERROR(INDEX(IF($T1292&lt;24,pcomp_m,palt_m),MATCH($X1292,IF($T1292&lt;24,pcomp_k,palt_k),1)),""))</f>
        <v/>
      </c>
      <c r="AT1292">
        <f>IF(OR($X1292="",$T1292&gt;60),"",IFERROR(INDEX(IF($T1292&lt;24,pcomp_s,palt_s),MATCH($X1292,IF($T1292&lt;24,pcomp_k,palt_k),1)),""))</f>
        <v/>
      </c>
      <c r="AU1292">
        <f>IF($AR1292="","",IF($AR1292=0,LN($F1292/$AS1292)/$AT1292,((($F1292/$AS1292)^$AR1292)-1)/($AR1292*$AT1292)))</f>
        <v/>
      </c>
      <c r="AV1292">
        <f>IF($AR1292="","",IF($AR1292=0,$AS1292*EXP($AT1292*2),$AS1292*(1+$AR1292*$AT1292*2)^(1/$AR1292)))</f>
        <v/>
      </c>
      <c r="AW1292">
        <f>IF($AR1292="","",IF($AR1292=0,$AS1292*EXP($AT1292*3),$AS1292*(1+$AR1292*$AT1292*3)^(1/$AR1292)))</f>
        <v/>
      </c>
      <c r="AX1292">
        <f>IF($AR1292="","",IF($AR1292=0,$AS1292*EXP($AT1292*-2),$AS1292*(1+$AR1292*$AT1292*-2)^(1/$AR1292)))</f>
        <v/>
      </c>
      <c r="AY1292">
        <f>IF($AR1292="","",IF($AR1292=0,$AS1292*EXP($AT1292*-3),$AS1292*(1+$AR1292*$AT1292*-3)^(1/$AR1292)))</f>
        <v/>
      </c>
      <c r="AZ1292">
        <f>IF(OR($A1292="",$A1292&lt;&gt;Ficha!$C$4),"",COUNTIF($A$2:$A1292,Ficha!$C$4))</f>
        <v/>
      </c>
    </row>
    <row r="1293">
      <c r="A1293" s="8">
        <f>IF(INDEX(Banco!$A:$A,ROW())="","",INDEX(Banco!$A:$A,ROW()))</f>
        <v/>
      </c>
      <c r="B1293" s="8">
        <f>IF(INDEX(Banco!$B:$B,ROW())="","",INDEX(Banco!$B:$B,ROW()))</f>
        <v/>
      </c>
      <c r="C1293" s="8">
        <f>IF(INDEX(Banco!$C:$C,ROW())="","",INDEX(Banco!$C:$C,ROW()))</f>
        <v/>
      </c>
      <c r="D1293" s="9">
        <f>IF(INDEX(Banco!$D:$D,ROW())="","",INDEX(Banco!$D:$D,ROW()))</f>
        <v/>
      </c>
      <c r="E1293" s="9">
        <f>IF(INDEX(Banco!$E:$E,ROW())="","",INDEX(Banco!$E:$E,ROW()))</f>
        <v/>
      </c>
      <c r="F1293" s="10">
        <f>IF(INDEX(Banco!$F:$F,ROW())="","",INDEX(Banco!$F:$F,ROW()))</f>
        <v/>
      </c>
      <c r="G1293" s="10">
        <f>IF(INDEX(Banco!$G:$G,ROW())="","",INDEX(Banco!$G:$G,ROW()))</f>
        <v/>
      </c>
      <c r="H1293" s="8">
        <f>IF(INDEX(Banco!$H:$H,ROW())="","",INDEX(Banco!$H:$H,ROW()))</f>
        <v/>
      </c>
      <c r="I1293">
        <f>IF($T1293="","",INT($T1293/12)&amp;"a "&amp;MOD($T1293,12)&amp;"m")</f>
        <v/>
      </c>
      <c r="J1293" s="11">
        <f>IF(OR($F1293="",$G1293=""),"",ROUND($F1293/($G1293/100)^2,2))</f>
        <v/>
      </c>
      <c r="K1293" s="12">
        <f>IF(OR($S1293="",$J1293="",$T1293="",$T1293&lt;0,$T1293&gt;228,$Y1293=""),"—",ROUND(IF(ABS($AB1293)&lt;=3,$AB1293,IF($AB1293&gt;3,3+($J1293-$AD1293)/($AD1293-$AC1293),-3+($J1293-$AF1293)/($AE1293-$AF1293))),2))</f>
        <v/>
      </c>
      <c r="L1293">
        <f>IF(OR($K1293="",$K1293="—"),"",IF($T1293&lt;=60,IF($K1293&lt;-3,"Magreza acentuada",IF($K1293&lt;-2,"Magreza",IF($K1293&lt;=1,"Eutrofia",IF($K1293&lt;=2,"Risco de sobrepeso",IF($K1293&lt;=3,"Sobrepeso","Obesidade"))))),IF($K1293&lt;-3,"Magreza acentuada",IF($K1293&lt;-2,"Magreza",IF($K1293&lt;=1,"Eutrofia",IF($K1293&lt;=2,"Sobrepeso",IF($K1293&lt;=3,"Obesidade","Obesidade grave")))))))</f>
        <v/>
      </c>
      <c r="M1293" s="12">
        <f>IF(OR($S1293="",$V1293="",$T1293="",$T1293&lt;0,$T1293&gt;228,$AG1293=""),"—",ROUND(IF($AG1293=0,LN($V1293/$AH1293)/$AI1293,((($V1293/$AH1293)^$AG1293)-1)/($AG1293*$AI1293)),2))</f>
        <v/>
      </c>
      <c r="N1293">
        <f>IF(OR($M1293="",$M1293="—"),"",IF($M1293&lt;-3,"Muito baixa",IF($M1293&lt;-2,"Baixa","Adequada")))</f>
        <v/>
      </c>
      <c r="O1293" s="12">
        <f>IF(OR($S1293="",$F1293="",$T1293="",$T1293&lt;0,$T1293&gt;120,$AJ1293=""),"—",ROUND(IF(ABS($AM1293)&lt;=3,$AM1293,IF($AM1293&gt;3,3+($F1293-$AO1293)/($AO1293-$AN1293),-3+($F1293-$AQ1293)/($AP1293-$AQ1293))),2))</f>
        <v/>
      </c>
      <c r="P1293">
        <f>IF(OR($O1293="",$O1293="—"),"",IF($O1293&lt;-3,"Muito baixo",IF($O1293&lt;-2,"Baixo",IF($O1293&lt;=2,"Adequado","Elevado"))))</f>
        <v/>
      </c>
      <c r="Q1293" s="12">
        <f>IF(OR($S1293="",$F1293="",$T1293="",$T1293&lt;0,$T1293&gt;60,$AR1293=""),"—",ROUND(IF(ABS($AU1293)&lt;=3,$AU1293,IF($AU1293&gt;3,3+($F1293-$AW1293)/($AW1293-$AV1293),-3+($F1293-$AY1293)/($AX1293-$AY1293))),2))</f>
        <v/>
      </c>
      <c r="R1293">
        <f>IF(OR($Q1293="",$Q1293="—"),"",IF($Q1293&lt;-3,"Magreza acentuada",IF($Q1293&lt;-2,"Magreza",IF($Q1293&lt;=1,"Eutrofia",IF($Q1293&lt;=2,"Risco de sobrepeso",IF($Q1293&lt;=3,"Sobrepeso","Obesidade"))))))</f>
        <v/>
      </c>
      <c r="S1293">
        <f>IF($C1293="","",IF(UPPER(LEFT($C1293,1))="M",1,IF(UPPER(LEFT($C1293,1))="F",2,"")))</f>
        <v/>
      </c>
      <c r="T1293">
        <f>IF(OR($D1293="",$E1293=""),"",DATEDIF($D1293,$E1293,"m"))</f>
        <v/>
      </c>
      <c r="U1293">
        <f>IF(OR($D1293="",$E1293=""),"",$E1293-$D1293)</f>
        <v/>
      </c>
      <c r="V1293">
        <f>IF(OR($G1293="",$T1293=""),"",IF($T1293&lt;24,IF(LEFT(LOWER($H1293),4)="em p",$G1293+0.7,$G1293),IF(LEFT(LOWER($H1293),4)="deit",$G1293-0.7,$G1293)))</f>
        <v/>
      </c>
      <c r="W1293">
        <f>IF(OR($S1293="",$T1293=""),"",$S1293*1000000+IF($T1293&lt;=60,$U1293,$T1293))</f>
        <v/>
      </c>
      <c r="X1293">
        <f>IF(OR($S1293="",$V1293="",$T1293&gt;60,$T1293=""),"",$S1293*1000000+ROUND($V1293*10,0))</f>
        <v/>
      </c>
      <c r="Y1293">
        <f>IF($W1293="","",IFERROR(INDEX(IF($T1293&lt;=60,imc05_l,imc519_l),MATCH($W1293,IF($T1293&lt;=60,imc05_k,imc519_k),1)),""))</f>
        <v/>
      </c>
      <c r="Z1293">
        <f>IF($W1293="","",IFERROR(INDEX(IF($T1293&lt;=60,imc05_m,imc519_m),MATCH($W1293,IF($T1293&lt;=60,imc05_k,imc519_k),1)),""))</f>
        <v/>
      </c>
      <c r="AA1293">
        <f>IF($W1293="","",IFERROR(INDEX(IF($T1293&lt;=60,imc05_s,imc519_s),MATCH($W1293,IF($T1293&lt;=60,imc05_k,imc519_k),1)),""))</f>
        <v/>
      </c>
      <c r="AB1293">
        <f>IF($Y1293="","",IF($Y1293=0,LN($J1293/$Z1293)/$AA1293,((($J1293/$Z1293)^$Y1293)-1)/($Y1293*$AA1293)))</f>
        <v/>
      </c>
      <c r="AC1293">
        <f>IF($Y1293="","",IF($Y1293=0,$Z1293*EXP($AA1293*2),$Z1293*(1+$Y1293*$AA1293*2)^(1/$Y1293)))</f>
        <v/>
      </c>
      <c r="AD1293">
        <f>IF($Y1293="","",IF($Y1293=0,$Z1293*EXP($AA1293*3),$Z1293*(1+$Y1293*$AA1293*3)^(1/$Y1293)))</f>
        <v/>
      </c>
      <c r="AE1293">
        <f>IF($Y1293="","",IF($Y1293=0,$Z1293*EXP($AA1293*-2),$Z1293*(1+$Y1293*$AA1293*-2)^(1/$Y1293)))</f>
        <v/>
      </c>
      <c r="AF1293">
        <f>IF($Y1293="","",IF($Y1293=0,$Z1293*EXP($AA1293*-3),$Z1293*(1+$Y1293*$AA1293*-3)^(1/$Y1293)))</f>
        <v/>
      </c>
      <c r="AG1293">
        <f>IF($W1293="","",IFERROR(INDEX(IF($T1293&lt;=60,est05_l,est519_l),MATCH($W1293,IF($T1293&lt;=60,est05_k,est519_k),1)),""))</f>
        <v/>
      </c>
      <c r="AH1293">
        <f>IF($W1293="","",IFERROR(INDEX(IF($T1293&lt;=60,est05_m,est519_m),MATCH($W1293,IF($T1293&lt;=60,est05_k,est519_k),1)),""))</f>
        <v/>
      </c>
      <c r="AI1293">
        <f>IF($W1293="","",IFERROR(INDEX(IF($T1293&lt;=60,est05_s,est519_s),MATCH($W1293,IF($T1293&lt;=60,est05_k,est519_k),1)),""))</f>
        <v/>
      </c>
      <c r="AJ1293">
        <f>IF($W1293="","",IFERROR(INDEX(IF($T1293&lt;=60,peso05_l,peso510_l),MATCH($W1293,IF($T1293&lt;=60,peso05_k,peso510_k),1)),""))</f>
        <v/>
      </c>
      <c r="AK1293">
        <f>IF($W1293="","",IFERROR(INDEX(IF($T1293&lt;=60,peso05_m,peso510_m),MATCH($W1293,IF($T1293&lt;=60,peso05_k,peso510_k),1)),""))</f>
        <v/>
      </c>
      <c r="AL1293">
        <f>IF($W1293="","",IFERROR(INDEX(IF($T1293&lt;=60,peso05_s,peso510_s),MATCH($W1293,IF($T1293&lt;=60,peso05_k,peso510_k),1)),""))</f>
        <v/>
      </c>
      <c r="AM1293">
        <f>IF($AJ1293="","",IF($AJ1293=0,LN($F1293/$AK1293)/$AL1293,((($F1293/$AK1293)^$AJ1293)-1)/($AJ1293*$AL1293)))</f>
        <v/>
      </c>
      <c r="AN1293">
        <f>IF($AJ1293="","",IF($AJ1293=0,$AK1293*EXP($AL1293*2),$AK1293*(1+$AJ1293*$AL1293*2)^(1/$AJ1293)))</f>
        <v/>
      </c>
      <c r="AO1293">
        <f>IF($AJ1293="","",IF($AJ1293=0,$AK1293*EXP($AL1293*3),$AK1293*(1+$AJ1293*$AL1293*3)^(1/$AJ1293)))</f>
        <v/>
      </c>
      <c r="AP1293">
        <f>IF($AJ1293="","",IF($AJ1293=0,$AK1293*EXP($AL1293*-2),$AK1293*(1+$AJ1293*$AL1293*-2)^(1/$AJ1293)))</f>
        <v/>
      </c>
      <c r="AQ1293">
        <f>IF($AJ1293="","",IF($AJ1293=0,$AK1293*EXP($AL1293*-3),$AK1293*(1+$AJ1293*$AL1293*-3)^(1/$AJ1293)))</f>
        <v/>
      </c>
      <c r="AR1293">
        <f>IF(OR($X1293="",$T1293&gt;60),"",IFERROR(INDEX(IF($T1293&lt;24,pcomp_l,palt_l),MATCH($X1293,IF($T1293&lt;24,pcomp_k,palt_k),1)),""))</f>
        <v/>
      </c>
      <c r="AS1293">
        <f>IF(OR($X1293="",$T1293&gt;60),"",IFERROR(INDEX(IF($T1293&lt;24,pcomp_m,palt_m),MATCH($X1293,IF($T1293&lt;24,pcomp_k,palt_k),1)),""))</f>
        <v/>
      </c>
      <c r="AT1293">
        <f>IF(OR($X1293="",$T1293&gt;60),"",IFERROR(INDEX(IF($T1293&lt;24,pcomp_s,palt_s),MATCH($X1293,IF($T1293&lt;24,pcomp_k,palt_k),1)),""))</f>
        <v/>
      </c>
      <c r="AU1293">
        <f>IF($AR1293="","",IF($AR1293=0,LN($F1293/$AS1293)/$AT1293,((($F1293/$AS1293)^$AR1293)-1)/($AR1293*$AT1293)))</f>
        <v/>
      </c>
      <c r="AV1293">
        <f>IF($AR1293="","",IF($AR1293=0,$AS1293*EXP($AT1293*2),$AS1293*(1+$AR1293*$AT1293*2)^(1/$AR1293)))</f>
        <v/>
      </c>
      <c r="AW1293">
        <f>IF($AR1293="","",IF($AR1293=0,$AS1293*EXP($AT1293*3),$AS1293*(1+$AR1293*$AT1293*3)^(1/$AR1293)))</f>
        <v/>
      </c>
      <c r="AX1293">
        <f>IF($AR1293="","",IF($AR1293=0,$AS1293*EXP($AT1293*-2),$AS1293*(1+$AR1293*$AT1293*-2)^(1/$AR1293)))</f>
        <v/>
      </c>
      <c r="AY1293">
        <f>IF($AR1293="","",IF($AR1293=0,$AS1293*EXP($AT1293*-3),$AS1293*(1+$AR1293*$AT1293*-3)^(1/$AR1293)))</f>
        <v/>
      </c>
      <c r="AZ1293">
        <f>IF(OR($A1293="",$A1293&lt;&gt;Ficha!$C$4),"",COUNTIF($A$2:$A1293,Ficha!$C$4))</f>
        <v/>
      </c>
    </row>
    <row r="1294">
      <c r="A1294" s="8">
        <f>IF(INDEX(Banco!$A:$A,ROW())="","",INDEX(Banco!$A:$A,ROW()))</f>
        <v/>
      </c>
      <c r="B1294" s="8">
        <f>IF(INDEX(Banco!$B:$B,ROW())="","",INDEX(Banco!$B:$B,ROW()))</f>
        <v/>
      </c>
      <c r="C1294" s="8">
        <f>IF(INDEX(Banco!$C:$C,ROW())="","",INDEX(Banco!$C:$C,ROW()))</f>
        <v/>
      </c>
      <c r="D1294" s="9">
        <f>IF(INDEX(Banco!$D:$D,ROW())="","",INDEX(Banco!$D:$D,ROW()))</f>
        <v/>
      </c>
      <c r="E1294" s="9">
        <f>IF(INDEX(Banco!$E:$E,ROW())="","",INDEX(Banco!$E:$E,ROW()))</f>
        <v/>
      </c>
      <c r="F1294" s="10">
        <f>IF(INDEX(Banco!$F:$F,ROW())="","",INDEX(Banco!$F:$F,ROW()))</f>
        <v/>
      </c>
      <c r="G1294" s="10">
        <f>IF(INDEX(Banco!$G:$G,ROW())="","",INDEX(Banco!$G:$G,ROW()))</f>
        <v/>
      </c>
      <c r="H1294" s="8">
        <f>IF(INDEX(Banco!$H:$H,ROW())="","",INDEX(Banco!$H:$H,ROW()))</f>
        <v/>
      </c>
      <c r="I1294">
        <f>IF($T1294="","",INT($T1294/12)&amp;"a "&amp;MOD($T1294,12)&amp;"m")</f>
        <v/>
      </c>
      <c r="J1294" s="11">
        <f>IF(OR($F1294="",$G1294=""),"",ROUND($F1294/($G1294/100)^2,2))</f>
        <v/>
      </c>
      <c r="K1294" s="12">
        <f>IF(OR($S1294="",$J1294="",$T1294="",$T1294&lt;0,$T1294&gt;228,$Y1294=""),"—",ROUND(IF(ABS($AB1294)&lt;=3,$AB1294,IF($AB1294&gt;3,3+($J1294-$AD1294)/($AD1294-$AC1294),-3+($J1294-$AF1294)/($AE1294-$AF1294))),2))</f>
        <v/>
      </c>
      <c r="L1294">
        <f>IF(OR($K1294="",$K1294="—"),"",IF($T1294&lt;=60,IF($K1294&lt;-3,"Magreza acentuada",IF($K1294&lt;-2,"Magreza",IF($K1294&lt;=1,"Eutrofia",IF($K1294&lt;=2,"Risco de sobrepeso",IF($K1294&lt;=3,"Sobrepeso","Obesidade"))))),IF($K1294&lt;-3,"Magreza acentuada",IF($K1294&lt;-2,"Magreza",IF($K1294&lt;=1,"Eutrofia",IF($K1294&lt;=2,"Sobrepeso",IF($K1294&lt;=3,"Obesidade","Obesidade grave")))))))</f>
        <v/>
      </c>
      <c r="M1294" s="12">
        <f>IF(OR($S1294="",$V1294="",$T1294="",$T1294&lt;0,$T1294&gt;228,$AG1294=""),"—",ROUND(IF($AG1294=0,LN($V1294/$AH1294)/$AI1294,((($V1294/$AH1294)^$AG1294)-1)/($AG1294*$AI1294)),2))</f>
        <v/>
      </c>
      <c r="N1294">
        <f>IF(OR($M1294="",$M1294="—"),"",IF($M1294&lt;-3,"Muito baixa",IF($M1294&lt;-2,"Baixa","Adequada")))</f>
        <v/>
      </c>
      <c r="O1294" s="12">
        <f>IF(OR($S1294="",$F1294="",$T1294="",$T1294&lt;0,$T1294&gt;120,$AJ1294=""),"—",ROUND(IF(ABS($AM1294)&lt;=3,$AM1294,IF($AM1294&gt;3,3+($F1294-$AO1294)/($AO1294-$AN1294),-3+($F1294-$AQ1294)/($AP1294-$AQ1294))),2))</f>
        <v/>
      </c>
      <c r="P1294">
        <f>IF(OR($O1294="",$O1294="—"),"",IF($O1294&lt;-3,"Muito baixo",IF($O1294&lt;-2,"Baixo",IF($O1294&lt;=2,"Adequado","Elevado"))))</f>
        <v/>
      </c>
      <c r="Q1294" s="12">
        <f>IF(OR($S1294="",$F1294="",$T1294="",$T1294&lt;0,$T1294&gt;60,$AR1294=""),"—",ROUND(IF(ABS($AU1294)&lt;=3,$AU1294,IF($AU1294&gt;3,3+($F1294-$AW1294)/($AW1294-$AV1294),-3+($F1294-$AY1294)/($AX1294-$AY1294))),2))</f>
        <v/>
      </c>
      <c r="R1294">
        <f>IF(OR($Q1294="",$Q1294="—"),"",IF($Q1294&lt;-3,"Magreza acentuada",IF($Q1294&lt;-2,"Magreza",IF($Q1294&lt;=1,"Eutrofia",IF($Q1294&lt;=2,"Risco de sobrepeso",IF($Q1294&lt;=3,"Sobrepeso","Obesidade"))))))</f>
        <v/>
      </c>
      <c r="S1294">
        <f>IF($C1294="","",IF(UPPER(LEFT($C1294,1))="M",1,IF(UPPER(LEFT($C1294,1))="F",2,"")))</f>
        <v/>
      </c>
      <c r="T1294">
        <f>IF(OR($D1294="",$E1294=""),"",DATEDIF($D1294,$E1294,"m"))</f>
        <v/>
      </c>
      <c r="U1294">
        <f>IF(OR($D1294="",$E1294=""),"",$E1294-$D1294)</f>
        <v/>
      </c>
      <c r="V1294">
        <f>IF(OR($G1294="",$T1294=""),"",IF($T1294&lt;24,IF(LEFT(LOWER($H1294),4)="em p",$G1294+0.7,$G1294),IF(LEFT(LOWER($H1294),4)="deit",$G1294-0.7,$G1294)))</f>
        <v/>
      </c>
      <c r="W1294">
        <f>IF(OR($S1294="",$T1294=""),"",$S1294*1000000+IF($T1294&lt;=60,$U1294,$T1294))</f>
        <v/>
      </c>
      <c r="X1294">
        <f>IF(OR($S1294="",$V1294="",$T1294&gt;60,$T1294=""),"",$S1294*1000000+ROUND($V1294*10,0))</f>
        <v/>
      </c>
      <c r="Y1294">
        <f>IF($W1294="","",IFERROR(INDEX(IF($T1294&lt;=60,imc05_l,imc519_l),MATCH($W1294,IF($T1294&lt;=60,imc05_k,imc519_k),1)),""))</f>
        <v/>
      </c>
      <c r="Z1294">
        <f>IF($W1294="","",IFERROR(INDEX(IF($T1294&lt;=60,imc05_m,imc519_m),MATCH($W1294,IF($T1294&lt;=60,imc05_k,imc519_k),1)),""))</f>
        <v/>
      </c>
      <c r="AA1294">
        <f>IF($W1294="","",IFERROR(INDEX(IF($T1294&lt;=60,imc05_s,imc519_s),MATCH($W1294,IF($T1294&lt;=60,imc05_k,imc519_k),1)),""))</f>
        <v/>
      </c>
      <c r="AB1294">
        <f>IF($Y1294="","",IF($Y1294=0,LN($J1294/$Z1294)/$AA1294,((($J1294/$Z1294)^$Y1294)-1)/($Y1294*$AA1294)))</f>
        <v/>
      </c>
      <c r="AC1294">
        <f>IF($Y1294="","",IF($Y1294=0,$Z1294*EXP($AA1294*2),$Z1294*(1+$Y1294*$AA1294*2)^(1/$Y1294)))</f>
        <v/>
      </c>
      <c r="AD1294">
        <f>IF($Y1294="","",IF($Y1294=0,$Z1294*EXP($AA1294*3),$Z1294*(1+$Y1294*$AA1294*3)^(1/$Y1294)))</f>
        <v/>
      </c>
      <c r="AE1294">
        <f>IF($Y1294="","",IF($Y1294=0,$Z1294*EXP($AA1294*-2),$Z1294*(1+$Y1294*$AA1294*-2)^(1/$Y1294)))</f>
        <v/>
      </c>
      <c r="AF1294">
        <f>IF($Y1294="","",IF($Y1294=0,$Z1294*EXP($AA1294*-3),$Z1294*(1+$Y1294*$AA1294*-3)^(1/$Y1294)))</f>
        <v/>
      </c>
      <c r="AG1294">
        <f>IF($W1294="","",IFERROR(INDEX(IF($T1294&lt;=60,est05_l,est519_l),MATCH($W1294,IF($T1294&lt;=60,est05_k,est519_k),1)),""))</f>
        <v/>
      </c>
      <c r="AH1294">
        <f>IF($W1294="","",IFERROR(INDEX(IF($T1294&lt;=60,est05_m,est519_m),MATCH($W1294,IF($T1294&lt;=60,est05_k,est519_k),1)),""))</f>
        <v/>
      </c>
      <c r="AI1294">
        <f>IF($W1294="","",IFERROR(INDEX(IF($T1294&lt;=60,est05_s,est519_s),MATCH($W1294,IF($T1294&lt;=60,est05_k,est519_k),1)),""))</f>
        <v/>
      </c>
      <c r="AJ1294">
        <f>IF($W1294="","",IFERROR(INDEX(IF($T1294&lt;=60,peso05_l,peso510_l),MATCH($W1294,IF($T1294&lt;=60,peso05_k,peso510_k),1)),""))</f>
        <v/>
      </c>
      <c r="AK1294">
        <f>IF($W1294="","",IFERROR(INDEX(IF($T1294&lt;=60,peso05_m,peso510_m),MATCH($W1294,IF($T1294&lt;=60,peso05_k,peso510_k),1)),""))</f>
        <v/>
      </c>
      <c r="AL1294">
        <f>IF($W1294="","",IFERROR(INDEX(IF($T1294&lt;=60,peso05_s,peso510_s),MATCH($W1294,IF($T1294&lt;=60,peso05_k,peso510_k),1)),""))</f>
        <v/>
      </c>
      <c r="AM1294">
        <f>IF($AJ1294="","",IF($AJ1294=0,LN($F1294/$AK1294)/$AL1294,((($F1294/$AK1294)^$AJ1294)-1)/($AJ1294*$AL1294)))</f>
        <v/>
      </c>
      <c r="AN1294">
        <f>IF($AJ1294="","",IF($AJ1294=0,$AK1294*EXP($AL1294*2),$AK1294*(1+$AJ1294*$AL1294*2)^(1/$AJ1294)))</f>
        <v/>
      </c>
      <c r="AO1294">
        <f>IF($AJ1294="","",IF($AJ1294=0,$AK1294*EXP($AL1294*3),$AK1294*(1+$AJ1294*$AL1294*3)^(1/$AJ1294)))</f>
        <v/>
      </c>
      <c r="AP1294">
        <f>IF($AJ1294="","",IF($AJ1294=0,$AK1294*EXP($AL1294*-2),$AK1294*(1+$AJ1294*$AL1294*-2)^(1/$AJ1294)))</f>
        <v/>
      </c>
      <c r="AQ1294">
        <f>IF($AJ1294="","",IF($AJ1294=0,$AK1294*EXP($AL1294*-3),$AK1294*(1+$AJ1294*$AL1294*-3)^(1/$AJ1294)))</f>
        <v/>
      </c>
      <c r="AR1294">
        <f>IF(OR($X1294="",$T1294&gt;60),"",IFERROR(INDEX(IF($T1294&lt;24,pcomp_l,palt_l),MATCH($X1294,IF($T1294&lt;24,pcomp_k,palt_k),1)),""))</f>
        <v/>
      </c>
      <c r="AS1294">
        <f>IF(OR($X1294="",$T1294&gt;60),"",IFERROR(INDEX(IF($T1294&lt;24,pcomp_m,palt_m),MATCH($X1294,IF($T1294&lt;24,pcomp_k,palt_k),1)),""))</f>
        <v/>
      </c>
      <c r="AT1294">
        <f>IF(OR($X1294="",$T1294&gt;60),"",IFERROR(INDEX(IF($T1294&lt;24,pcomp_s,palt_s),MATCH($X1294,IF($T1294&lt;24,pcomp_k,palt_k),1)),""))</f>
        <v/>
      </c>
      <c r="AU1294">
        <f>IF($AR1294="","",IF($AR1294=0,LN($F1294/$AS1294)/$AT1294,((($F1294/$AS1294)^$AR1294)-1)/($AR1294*$AT1294)))</f>
        <v/>
      </c>
      <c r="AV1294">
        <f>IF($AR1294="","",IF($AR1294=0,$AS1294*EXP($AT1294*2),$AS1294*(1+$AR1294*$AT1294*2)^(1/$AR1294)))</f>
        <v/>
      </c>
      <c r="AW1294">
        <f>IF($AR1294="","",IF($AR1294=0,$AS1294*EXP($AT1294*3),$AS1294*(1+$AR1294*$AT1294*3)^(1/$AR1294)))</f>
        <v/>
      </c>
      <c r="AX1294">
        <f>IF($AR1294="","",IF($AR1294=0,$AS1294*EXP($AT1294*-2),$AS1294*(1+$AR1294*$AT1294*-2)^(1/$AR1294)))</f>
        <v/>
      </c>
      <c r="AY1294">
        <f>IF($AR1294="","",IF($AR1294=0,$AS1294*EXP($AT1294*-3),$AS1294*(1+$AR1294*$AT1294*-3)^(1/$AR1294)))</f>
        <v/>
      </c>
      <c r="AZ1294">
        <f>IF(OR($A1294="",$A1294&lt;&gt;Ficha!$C$4),"",COUNTIF($A$2:$A1294,Ficha!$C$4))</f>
        <v/>
      </c>
    </row>
    <row r="1295">
      <c r="A1295" s="8">
        <f>IF(INDEX(Banco!$A:$A,ROW())="","",INDEX(Banco!$A:$A,ROW()))</f>
        <v/>
      </c>
      <c r="B1295" s="8">
        <f>IF(INDEX(Banco!$B:$B,ROW())="","",INDEX(Banco!$B:$B,ROW()))</f>
        <v/>
      </c>
      <c r="C1295" s="8">
        <f>IF(INDEX(Banco!$C:$C,ROW())="","",INDEX(Banco!$C:$C,ROW()))</f>
        <v/>
      </c>
      <c r="D1295" s="9">
        <f>IF(INDEX(Banco!$D:$D,ROW())="","",INDEX(Banco!$D:$D,ROW()))</f>
        <v/>
      </c>
      <c r="E1295" s="9">
        <f>IF(INDEX(Banco!$E:$E,ROW())="","",INDEX(Banco!$E:$E,ROW()))</f>
        <v/>
      </c>
      <c r="F1295" s="10">
        <f>IF(INDEX(Banco!$F:$F,ROW())="","",INDEX(Banco!$F:$F,ROW()))</f>
        <v/>
      </c>
      <c r="G1295" s="10">
        <f>IF(INDEX(Banco!$G:$G,ROW())="","",INDEX(Banco!$G:$G,ROW()))</f>
        <v/>
      </c>
      <c r="H1295" s="8">
        <f>IF(INDEX(Banco!$H:$H,ROW())="","",INDEX(Banco!$H:$H,ROW()))</f>
        <v/>
      </c>
      <c r="I1295">
        <f>IF($T1295="","",INT($T1295/12)&amp;"a "&amp;MOD($T1295,12)&amp;"m")</f>
        <v/>
      </c>
      <c r="J1295" s="11">
        <f>IF(OR($F1295="",$G1295=""),"",ROUND($F1295/($G1295/100)^2,2))</f>
        <v/>
      </c>
      <c r="K1295" s="12">
        <f>IF(OR($S1295="",$J1295="",$T1295="",$T1295&lt;0,$T1295&gt;228,$Y1295=""),"—",ROUND(IF(ABS($AB1295)&lt;=3,$AB1295,IF($AB1295&gt;3,3+($J1295-$AD1295)/($AD1295-$AC1295),-3+($J1295-$AF1295)/($AE1295-$AF1295))),2))</f>
        <v/>
      </c>
      <c r="L1295">
        <f>IF(OR($K1295="",$K1295="—"),"",IF($T1295&lt;=60,IF($K1295&lt;-3,"Magreza acentuada",IF($K1295&lt;-2,"Magreza",IF($K1295&lt;=1,"Eutrofia",IF($K1295&lt;=2,"Risco de sobrepeso",IF($K1295&lt;=3,"Sobrepeso","Obesidade"))))),IF($K1295&lt;-3,"Magreza acentuada",IF($K1295&lt;-2,"Magreza",IF($K1295&lt;=1,"Eutrofia",IF($K1295&lt;=2,"Sobrepeso",IF($K1295&lt;=3,"Obesidade","Obesidade grave")))))))</f>
        <v/>
      </c>
      <c r="M1295" s="12">
        <f>IF(OR($S1295="",$V1295="",$T1295="",$T1295&lt;0,$T1295&gt;228,$AG1295=""),"—",ROUND(IF($AG1295=0,LN($V1295/$AH1295)/$AI1295,((($V1295/$AH1295)^$AG1295)-1)/($AG1295*$AI1295)),2))</f>
        <v/>
      </c>
      <c r="N1295">
        <f>IF(OR($M1295="",$M1295="—"),"",IF($M1295&lt;-3,"Muito baixa",IF($M1295&lt;-2,"Baixa","Adequada")))</f>
        <v/>
      </c>
      <c r="O1295" s="12">
        <f>IF(OR($S1295="",$F1295="",$T1295="",$T1295&lt;0,$T1295&gt;120,$AJ1295=""),"—",ROUND(IF(ABS($AM1295)&lt;=3,$AM1295,IF($AM1295&gt;3,3+($F1295-$AO1295)/($AO1295-$AN1295),-3+($F1295-$AQ1295)/($AP1295-$AQ1295))),2))</f>
        <v/>
      </c>
      <c r="P1295">
        <f>IF(OR($O1295="",$O1295="—"),"",IF($O1295&lt;-3,"Muito baixo",IF($O1295&lt;-2,"Baixo",IF($O1295&lt;=2,"Adequado","Elevado"))))</f>
        <v/>
      </c>
      <c r="Q1295" s="12">
        <f>IF(OR($S1295="",$F1295="",$T1295="",$T1295&lt;0,$T1295&gt;60,$AR1295=""),"—",ROUND(IF(ABS($AU1295)&lt;=3,$AU1295,IF($AU1295&gt;3,3+($F1295-$AW1295)/($AW1295-$AV1295),-3+($F1295-$AY1295)/($AX1295-$AY1295))),2))</f>
        <v/>
      </c>
      <c r="R1295">
        <f>IF(OR($Q1295="",$Q1295="—"),"",IF($Q1295&lt;-3,"Magreza acentuada",IF($Q1295&lt;-2,"Magreza",IF($Q1295&lt;=1,"Eutrofia",IF($Q1295&lt;=2,"Risco de sobrepeso",IF($Q1295&lt;=3,"Sobrepeso","Obesidade"))))))</f>
        <v/>
      </c>
      <c r="S1295">
        <f>IF($C1295="","",IF(UPPER(LEFT($C1295,1))="M",1,IF(UPPER(LEFT($C1295,1))="F",2,"")))</f>
        <v/>
      </c>
      <c r="T1295">
        <f>IF(OR($D1295="",$E1295=""),"",DATEDIF($D1295,$E1295,"m"))</f>
        <v/>
      </c>
      <c r="U1295">
        <f>IF(OR($D1295="",$E1295=""),"",$E1295-$D1295)</f>
        <v/>
      </c>
      <c r="V1295">
        <f>IF(OR($G1295="",$T1295=""),"",IF($T1295&lt;24,IF(LEFT(LOWER($H1295),4)="em p",$G1295+0.7,$G1295),IF(LEFT(LOWER($H1295),4)="deit",$G1295-0.7,$G1295)))</f>
        <v/>
      </c>
      <c r="W1295">
        <f>IF(OR($S1295="",$T1295=""),"",$S1295*1000000+IF($T1295&lt;=60,$U1295,$T1295))</f>
        <v/>
      </c>
      <c r="X1295">
        <f>IF(OR($S1295="",$V1295="",$T1295&gt;60,$T1295=""),"",$S1295*1000000+ROUND($V1295*10,0))</f>
        <v/>
      </c>
      <c r="Y1295">
        <f>IF($W1295="","",IFERROR(INDEX(IF($T1295&lt;=60,imc05_l,imc519_l),MATCH($W1295,IF($T1295&lt;=60,imc05_k,imc519_k),1)),""))</f>
        <v/>
      </c>
      <c r="Z1295">
        <f>IF($W1295="","",IFERROR(INDEX(IF($T1295&lt;=60,imc05_m,imc519_m),MATCH($W1295,IF($T1295&lt;=60,imc05_k,imc519_k),1)),""))</f>
        <v/>
      </c>
      <c r="AA1295">
        <f>IF($W1295="","",IFERROR(INDEX(IF($T1295&lt;=60,imc05_s,imc519_s),MATCH($W1295,IF($T1295&lt;=60,imc05_k,imc519_k),1)),""))</f>
        <v/>
      </c>
      <c r="AB1295">
        <f>IF($Y1295="","",IF($Y1295=0,LN($J1295/$Z1295)/$AA1295,((($J1295/$Z1295)^$Y1295)-1)/($Y1295*$AA1295)))</f>
        <v/>
      </c>
      <c r="AC1295">
        <f>IF($Y1295="","",IF($Y1295=0,$Z1295*EXP($AA1295*2),$Z1295*(1+$Y1295*$AA1295*2)^(1/$Y1295)))</f>
        <v/>
      </c>
      <c r="AD1295">
        <f>IF($Y1295="","",IF($Y1295=0,$Z1295*EXP($AA1295*3),$Z1295*(1+$Y1295*$AA1295*3)^(1/$Y1295)))</f>
        <v/>
      </c>
      <c r="AE1295">
        <f>IF($Y1295="","",IF($Y1295=0,$Z1295*EXP($AA1295*-2),$Z1295*(1+$Y1295*$AA1295*-2)^(1/$Y1295)))</f>
        <v/>
      </c>
      <c r="AF1295">
        <f>IF($Y1295="","",IF($Y1295=0,$Z1295*EXP($AA1295*-3),$Z1295*(1+$Y1295*$AA1295*-3)^(1/$Y1295)))</f>
        <v/>
      </c>
      <c r="AG1295">
        <f>IF($W1295="","",IFERROR(INDEX(IF($T1295&lt;=60,est05_l,est519_l),MATCH($W1295,IF($T1295&lt;=60,est05_k,est519_k),1)),""))</f>
        <v/>
      </c>
      <c r="AH1295">
        <f>IF($W1295="","",IFERROR(INDEX(IF($T1295&lt;=60,est05_m,est519_m),MATCH($W1295,IF($T1295&lt;=60,est05_k,est519_k),1)),""))</f>
        <v/>
      </c>
      <c r="AI1295">
        <f>IF($W1295="","",IFERROR(INDEX(IF($T1295&lt;=60,est05_s,est519_s),MATCH($W1295,IF($T1295&lt;=60,est05_k,est519_k),1)),""))</f>
        <v/>
      </c>
      <c r="AJ1295">
        <f>IF($W1295="","",IFERROR(INDEX(IF($T1295&lt;=60,peso05_l,peso510_l),MATCH($W1295,IF($T1295&lt;=60,peso05_k,peso510_k),1)),""))</f>
        <v/>
      </c>
      <c r="AK1295">
        <f>IF($W1295="","",IFERROR(INDEX(IF($T1295&lt;=60,peso05_m,peso510_m),MATCH($W1295,IF($T1295&lt;=60,peso05_k,peso510_k),1)),""))</f>
        <v/>
      </c>
      <c r="AL1295">
        <f>IF($W1295="","",IFERROR(INDEX(IF($T1295&lt;=60,peso05_s,peso510_s),MATCH($W1295,IF($T1295&lt;=60,peso05_k,peso510_k),1)),""))</f>
        <v/>
      </c>
      <c r="AM1295">
        <f>IF($AJ1295="","",IF($AJ1295=0,LN($F1295/$AK1295)/$AL1295,((($F1295/$AK1295)^$AJ1295)-1)/($AJ1295*$AL1295)))</f>
        <v/>
      </c>
      <c r="AN1295">
        <f>IF($AJ1295="","",IF($AJ1295=0,$AK1295*EXP($AL1295*2),$AK1295*(1+$AJ1295*$AL1295*2)^(1/$AJ1295)))</f>
        <v/>
      </c>
      <c r="AO1295">
        <f>IF($AJ1295="","",IF($AJ1295=0,$AK1295*EXP($AL1295*3),$AK1295*(1+$AJ1295*$AL1295*3)^(1/$AJ1295)))</f>
        <v/>
      </c>
      <c r="AP1295">
        <f>IF($AJ1295="","",IF($AJ1295=0,$AK1295*EXP($AL1295*-2),$AK1295*(1+$AJ1295*$AL1295*-2)^(1/$AJ1295)))</f>
        <v/>
      </c>
      <c r="AQ1295">
        <f>IF($AJ1295="","",IF($AJ1295=0,$AK1295*EXP($AL1295*-3),$AK1295*(1+$AJ1295*$AL1295*-3)^(1/$AJ1295)))</f>
        <v/>
      </c>
      <c r="AR1295">
        <f>IF(OR($X1295="",$T1295&gt;60),"",IFERROR(INDEX(IF($T1295&lt;24,pcomp_l,palt_l),MATCH($X1295,IF($T1295&lt;24,pcomp_k,palt_k),1)),""))</f>
        <v/>
      </c>
      <c r="AS1295">
        <f>IF(OR($X1295="",$T1295&gt;60),"",IFERROR(INDEX(IF($T1295&lt;24,pcomp_m,palt_m),MATCH($X1295,IF($T1295&lt;24,pcomp_k,palt_k),1)),""))</f>
        <v/>
      </c>
      <c r="AT1295">
        <f>IF(OR($X1295="",$T1295&gt;60),"",IFERROR(INDEX(IF($T1295&lt;24,pcomp_s,palt_s),MATCH($X1295,IF($T1295&lt;24,pcomp_k,palt_k),1)),""))</f>
        <v/>
      </c>
      <c r="AU1295">
        <f>IF($AR1295="","",IF($AR1295=0,LN($F1295/$AS1295)/$AT1295,((($F1295/$AS1295)^$AR1295)-1)/($AR1295*$AT1295)))</f>
        <v/>
      </c>
      <c r="AV1295">
        <f>IF($AR1295="","",IF($AR1295=0,$AS1295*EXP($AT1295*2),$AS1295*(1+$AR1295*$AT1295*2)^(1/$AR1295)))</f>
        <v/>
      </c>
      <c r="AW1295">
        <f>IF($AR1295="","",IF($AR1295=0,$AS1295*EXP($AT1295*3),$AS1295*(1+$AR1295*$AT1295*3)^(1/$AR1295)))</f>
        <v/>
      </c>
      <c r="AX1295">
        <f>IF($AR1295="","",IF($AR1295=0,$AS1295*EXP($AT1295*-2),$AS1295*(1+$AR1295*$AT1295*-2)^(1/$AR1295)))</f>
        <v/>
      </c>
      <c r="AY1295">
        <f>IF($AR1295="","",IF($AR1295=0,$AS1295*EXP($AT1295*-3),$AS1295*(1+$AR1295*$AT1295*-3)^(1/$AR1295)))</f>
        <v/>
      </c>
      <c r="AZ1295">
        <f>IF(OR($A1295="",$A1295&lt;&gt;Ficha!$C$4),"",COUNTIF($A$2:$A1295,Ficha!$C$4))</f>
        <v/>
      </c>
    </row>
    <row r="1296">
      <c r="A1296" s="8">
        <f>IF(INDEX(Banco!$A:$A,ROW())="","",INDEX(Banco!$A:$A,ROW()))</f>
        <v/>
      </c>
      <c r="B1296" s="8">
        <f>IF(INDEX(Banco!$B:$B,ROW())="","",INDEX(Banco!$B:$B,ROW()))</f>
        <v/>
      </c>
      <c r="C1296" s="8">
        <f>IF(INDEX(Banco!$C:$C,ROW())="","",INDEX(Banco!$C:$C,ROW()))</f>
        <v/>
      </c>
      <c r="D1296" s="9">
        <f>IF(INDEX(Banco!$D:$D,ROW())="","",INDEX(Banco!$D:$D,ROW()))</f>
        <v/>
      </c>
      <c r="E1296" s="9">
        <f>IF(INDEX(Banco!$E:$E,ROW())="","",INDEX(Banco!$E:$E,ROW()))</f>
        <v/>
      </c>
      <c r="F1296" s="10">
        <f>IF(INDEX(Banco!$F:$F,ROW())="","",INDEX(Banco!$F:$F,ROW()))</f>
        <v/>
      </c>
      <c r="G1296" s="10">
        <f>IF(INDEX(Banco!$G:$G,ROW())="","",INDEX(Banco!$G:$G,ROW()))</f>
        <v/>
      </c>
      <c r="H1296" s="8">
        <f>IF(INDEX(Banco!$H:$H,ROW())="","",INDEX(Banco!$H:$H,ROW()))</f>
        <v/>
      </c>
      <c r="I1296">
        <f>IF($T1296="","",INT($T1296/12)&amp;"a "&amp;MOD($T1296,12)&amp;"m")</f>
        <v/>
      </c>
      <c r="J1296" s="11">
        <f>IF(OR($F1296="",$G1296=""),"",ROUND($F1296/($G1296/100)^2,2))</f>
        <v/>
      </c>
      <c r="K1296" s="12">
        <f>IF(OR($S1296="",$J1296="",$T1296="",$T1296&lt;0,$T1296&gt;228,$Y1296=""),"—",ROUND(IF(ABS($AB1296)&lt;=3,$AB1296,IF($AB1296&gt;3,3+($J1296-$AD1296)/($AD1296-$AC1296),-3+($J1296-$AF1296)/($AE1296-$AF1296))),2))</f>
        <v/>
      </c>
      <c r="L1296">
        <f>IF(OR($K1296="",$K1296="—"),"",IF($T1296&lt;=60,IF($K1296&lt;-3,"Magreza acentuada",IF($K1296&lt;-2,"Magreza",IF($K1296&lt;=1,"Eutrofia",IF($K1296&lt;=2,"Risco de sobrepeso",IF($K1296&lt;=3,"Sobrepeso","Obesidade"))))),IF($K1296&lt;-3,"Magreza acentuada",IF($K1296&lt;-2,"Magreza",IF($K1296&lt;=1,"Eutrofia",IF($K1296&lt;=2,"Sobrepeso",IF($K1296&lt;=3,"Obesidade","Obesidade grave")))))))</f>
        <v/>
      </c>
      <c r="M1296" s="12">
        <f>IF(OR($S1296="",$V1296="",$T1296="",$T1296&lt;0,$T1296&gt;228,$AG1296=""),"—",ROUND(IF($AG1296=0,LN($V1296/$AH1296)/$AI1296,((($V1296/$AH1296)^$AG1296)-1)/($AG1296*$AI1296)),2))</f>
        <v/>
      </c>
      <c r="N1296">
        <f>IF(OR($M1296="",$M1296="—"),"",IF($M1296&lt;-3,"Muito baixa",IF($M1296&lt;-2,"Baixa","Adequada")))</f>
        <v/>
      </c>
      <c r="O1296" s="12">
        <f>IF(OR($S1296="",$F1296="",$T1296="",$T1296&lt;0,$T1296&gt;120,$AJ1296=""),"—",ROUND(IF(ABS($AM1296)&lt;=3,$AM1296,IF($AM1296&gt;3,3+($F1296-$AO1296)/($AO1296-$AN1296),-3+($F1296-$AQ1296)/($AP1296-$AQ1296))),2))</f>
        <v/>
      </c>
      <c r="P1296">
        <f>IF(OR($O1296="",$O1296="—"),"",IF($O1296&lt;-3,"Muito baixo",IF($O1296&lt;-2,"Baixo",IF($O1296&lt;=2,"Adequado","Elevado"))))</f>
        <v/>
      </c>
      <c r="Q1296" s="12">
        <f>IF(OR($S1296="",$F1296="",$T1296="",$T1296&lt;0,$T1296&gt;60,$AR1296=""),"—",ROUND(IF(ABS($AU1296)&lt;=3,$AU1296,IF($AU1296&gt;3,3+($F1296-$AW1296)/($AW1296-$AV1296),-3+($F1296-$AY1296)/($AX1296-$AY1296))),2))</f>
        <v/>
      </c>
      <c r="R1296">
        <f>IF(OR($Q1296="",$Q1296="—"),"",IF($Q1296&lt;-3,"Magreza acentuada",IF($Q1296&lt;-2,"Magreza",IF($Q1296&lt;=1,"Eutrofia",IF($Q1296&lt;=2,"Risco de sobrepeso",IF($Q1296&lt;=3,"Sobrepeso","Obesidade"))))))</f>
        <v/>
      </c>
      <c r="S1296">
        <f>IF($C1296="","",IF(UPPER(LEFT($C1296,1))="M",1,IF(UPPER(LEFT($C1296,1))="F",2,"")))</f>
        <v/>
      </c>
      <c r="T1296">
        <f>IF(OR($D1296="",$E1296=""),"",DATEDIF($D1296,$E1296,"m"))</f>
        <v/>
      </c>
      <c r="U1296">
        <f>IF(OR($D1296="",$E1296=""),"",$E1296-$D1296)</f>
        <v/>
      </c>
      <c r="V1296">
        <f>IF(OR($G1296="",$T1296=""),"",IF($T1296&lt;24,IF(LEFT(LOWER($H1296),4)="em p",$G1296+0.7,$G1296),IF(LEFT(LOWER($H1296),4)="deit",$G1296-0.7,$G1296)))</f>
        <v/>
      </c>
      <c r="W1296">
        <f>IF(OR($S1296="",$T1296=""),"",$S1296*1000000+IF($T1296&lt;=60,$U1296,$T1296))</f>
        <v/>
      </c>
      <c r="X1296">
        <f>IF(OR($S1296="",$V1296="",$T1296&gt;60,$T1296=""),"",$S1296*1000000+ROUND($V1296*10,0))</f>
        <v/>
      </c>
      <c r="Y1296">
        <f>IF($W1296="","",IFERROR(INDEX(IF($T1296&lt;=60,imc05_l,imc519_l),MATCH($W1296,IF($T1296&lt;=60,imc05_k,imc519_k),1)),""))</f>
        <v/>
      </c>
      <c r="Z1296">
        <f>IF($W1296="","",IFERROR(INDEX(IF($T1296&lt;=60,imc05_m,imc519_m),MATCH($W1296,IF($T1296&lt;=60,imc05_k,imc519_k),1)),""))</f>
        <v/>
      </c>
      <c r="AA1296">
        <f>IF($W1296="","",IFERROR(INDEX(IF($T1296&lt;=60,imc05_s,imc519_s),MATCH($W1296,IF($T1296&lt;=60,imc05_k,imc519_k),1)),""))</f>
        <v/>
      </c>
      <c r="AB1296">
        <f>IF($Y1296="","",IF($Y1296=0,LN($J1296/$Z1296)/$AA1296,((($J1296/$Z1296)^$Y1296)-1)/($Y1296*$AA1296)))</f>
        <v/>
      </c>
      <c r="AC1296">
        <f>IF($Y1296="","",IF($Y1296=0,$Z1296*EXP($AA1296*2),$Z1296*(1+$Y1296*$AA1296*2)^(1/$Y1296)))</f>
        <v/>
      </c>
      <c r="AD1296">
        <f>IF($Y1296="","",IF($Y1296=0,$Z1296*EXP($AA1296*3),$Z1296*(1+$Y1296*$AA1296*3)^(1/$Y1296)))</f>
        <v/>
      </c>
      <c r="AE1296">
        <f>IF($Y1296="","",IF($Y1296=0,$Z1296*EXP($AA1296*-2),$Z1296*(1+$Y1296*$AA1296*-2)^(1/$Y1296)))</f>
        <v/>
      </c>
      <c r="AF1296">
        <f>IF($Y1296="","",IF($Y1296=0,$Z1296*EXP($AA1296*-3),$Z1296*(1+$Y1296*$AA1296*-3)^(1/$Y1296)))</f>
        <v/>
      </c>
      <c r="AG1296">
        <f>IF($W1296="","",IFERROR(INDEX(IF($T1296&lt;=60,est05_l,est519_l),MATCH($W1296,IF($T1296&lt;=60,est05_k,est519_k),1)),""))</f>
        <v/>
      </c>
      <c r="AH1296">
        <f>IF($W1296="","",IFERROR(INDEX(IF($T1296&lt;=60,est05_m,est519_m),MATCH($W1296,IF($T1296&lt;=60,est05_k,est519_k),1)),""))</f>
        <v/>
      </c>
      <c r="AI1296">
        <f>IF($W1296="","",IFERROR(INDEX(IF($T1296&lt;=60,est05_s,est519_s),MATCH($W1296,IF($T1296&lt;=60,est05_k,est519_k),1)),""))</f>
        <v/>
      </c>
      <c r="AJ1296">
        <f>IF($W1296="","",IFERROR(INDEX(IF($T1296&lt;=60,peso05_l,peso510_l),MATCH($W1296,IF($T1296&lt;=60,peso05_k,peso510_k),1)),""))</f>
        <v/>
      </c>
      <c r="AK1296">
        <f>IF($W1296="","",IFERROR(INDEX(IF($T1296&lt;=60,peso05_m,peso510_m),MATCH($W1296,IF($T1296&lt;=60,peso05_k,peso510_k),1)),""))</f>
        <v/>
      </c>
      <c r="AL1296">
        <f>IF($W1296="","",IFERROR(INDEX(IF($T1296&lt;=60,peso05_s,peso510_s),MATCH($W1296,IF($T1296&lt;=60,peso05_k,peso510_k),1)),""))</f>
        <v/>
      </c>
      <c r="AM1296">
        <f>IF($AJ1296="","",IF($AJ1296=0,LN($F1296/$AK1296)/$AL1296,((($F1296/$AK1296)^$AJ1296)-1)/($AJ1296*$AL1296)))</f>
        <v/>
      </c>
      <c r="AN1296">
        <f>IF($AJ1296="","",IF($AJ1296=0,$AK1296*EXP($AL1296*2),$AK1296*(1+$AJ1296*$AL1296*2)^(1/$AJ1296)))</f>
        <v/>
      </c>
      <c r="AO1296">
        <f>IF($AJ1296="","",IF($AJ1296=0,$AK1296*EXP($AL1296*3),$AK1296*(1+$AJ1296*$AL1296*3)^(1/$AJ1296)))</f>
        <v/>
      </c>
      <c r="AP1296">
        <f>IF($AJ1296="","",IF($AJ1296=0,$AK1296*EXP($AL1296*-2),$AK1296*(1+$AJ1296*$AL1296*-2)^(1/$AJ1296)))</f>
        <v/>
      </c>
      <c r="AQ1296">
        <f>IF($AJ1296="","",IF($AJ1296=0,$AK1296*EXP($AL1296*-3),$AK1296*(1+$AJ1296*$AL1296*-3)^(1/$AJ1296)))</f>
        <v/>
      </c>
      <c r="AR1296">
        <f>IF(OR($X1296="",$T1296&gt;60),"",IFERROR(INDEX(IF($T1296&lt;24,pcomp_l,palt_l),MATCH($X1296,IF($T1296&lt;24,pcomp_k,palt_k),1)),""))</f>
        <v/>
      </c>
      <c r="AS1296">
        <f>IF(OR($X1296="",$T1296&gt;60),"",IFERROR(INDEX(IF($T1296&lt;24,pcomp_m,palt_m),MATCH($X1296,IF($T1296&lt;24,pcomp_k,palt_k),1)),""))</f>
        <v/>
      </c>
      <c r="AT1296">
        <f>IF(OR($X1296="",$T1296&gt;60),"",IFERROR(INDEX(IF($T1296&lt;24,pcomp_s,palt_s),MATCH($X1296,IF($T1296&lt;24,pcomp_k,palt_k),1)),""))</f>
        <v/>
      </c>
      <c r="AU1296">
        <f>IF($AR1296="","",IF($AR1296=0,LN($F1296/$AS1296)/$AT1296,((($F1296/$AS1296)^$AR1296)-1)/($AR1296*$AT1296)))</f>
        <v/>
      </c>
      <c r="AV1296">
        <f>IF($AR1296="","",IF($AR1296=0,$AS1296*EXP($AT1296*2),$AS1296*(1+$AR1296*$AT1296*2)^(1/$AR1296)))</f>
        <v/>
      </c>
      <c r="AW1296">
        <f>IF($AR1296="","",IF($AR1296=0,$AS1296*EXP($AT1296*3),$AS1296*(1+$AR1296*$AT1296*3)^(1/$AR1296)))</f>
        <v/>
      </c>
      <c r="AX1296">
        <f>IF($AR1296="","",IF($AR1296=0,$AS1296*EXP($AT1296*-2),$AS1296*(1+$AR1296*$AT1296*-2)^(1/$AR1296)))</f>
        <v/>
      </c>
      <c r="AY1296">
        <f>IF($AR1296="","",IF($AR1296=0,$AS1296*EXP($AT1296*-3),$AS1296*(1+$AR1296*$AT1296*-3)^(1/$AR1296)))</f>
        <v/>
      </c>
      <c r="AZ1296">
        <f>IF(OR($A1296="",$A1296&lt;&gt;Ficha!$C$4),"",COUNTIF($A$2:$A1296,Ficha!$C$4))</f>
        <v/>
      </c>
    </row>
    <row r="1297">
      <c r="A1297" s="8">
        <f>IF(INDEX(Banco!$A:$A,ROW())="","",INDEX(Banco!$A:$A,ROW()))</f>
        <v/>
      </c>
      <c r="B1297" s="8">
        <f>IF(INDEX(Banco!$B:$B,ROW())="","",INDEX(Banco!$B:$B,ROW()))</f>
        <v/>
      </c>
      <c r="C1297" s="8">
        <f>IF(INDEX(Banco!$C:$C,ROW())="","",INDEX(Banco!$C:$C,ROW()))</f>
        <v/>
      </c>
      <c r="D1297" s="9">
        <f>IF(INDEX(Banco!$D:$D,ROW())="","",INDEX(Banco!$D:$D,ROW()))</f>
        <v/>
      </c>
      <c r="E1297" s="9">
        <f>IF(INDEX(Banco!$E:$E,ROW())="","",INDEX(Banco!$E:$E,ROW()))</f>
        <v/>
      </c>
      <c r="F1297" s="10">
        <f>IF(INDEX(Banco!$F:$F,ROW())="","",INDEX(Banco!$F:$F,ROW()))</f>
        <v/>
      </c>
      <c r="G1297" s="10">
        <f>IF(INDEX(Banco!$G:$G,ROW())="","",INDEX(Banco!$G:$G,ROW()))</f>
        <v/>
      </c>
      <c r="H1297" s="8">
        <f>IF(INDEX(Banco!$H:$H,ROW())="","",INDEX(Banco!$H:$H,ROW()))</f>
        <v/>
      </c>
      <c r="I1297">
        <f>IF($T1297="","",INT($T1297/12)&amp;"a "&amp;MOD($T1297,12)&amp;"m")</f>
        <v/>
      </c>
      <c r="J1297" s="11">
        <f>IF(OR($F1297="",$G1297=""),"",ROUND($F1297/($G1297/100)^2,2))</f>
        <v/>
      </c>
      <c r="K1297" s="12">
        <f>IF(OR($S1297="",$J1297="",$T1297="",$T1297&lt;0,$T1297&gt;228,$Y1297=""),"—",ROUND(IF(ABS($AB1297)&lt;=3,$AB1297,IF($AB1297&gt;3,3+($J1297-$AD1297)/($AD1297-$AC1297),-3+($J1297-$AF1297)/($AE1297-$AF1297))),2))</f>
        <v/>
      </c>
      <c r="L1297">
        <f>IF(OR($K1297="",$K1297="—"),"",IF($T1297&lt;=60,IF($K1297&lt;-3,"Magreza acentuada",IF($K1297&lt;-2,"Magreza",IF($K1297&lt;=1,"Eutrofia",IF($K1297&lt;=2,"Risco de sobrepeso",IF($K1297&lt;=3,"Sobrepeso","Obesidade"))))),IF($K1297&lt;-3,"Magreza acentuada",IF($K1297&lt;-2,"Magreza",IF($K1297&lt;=1,"Eutrofia",IF($K1297&lt;=2,"Sobrepeso",IF($K1297&lt;=3,"Obesidade","Obesidade grave")))))))</f>
        <v/>
      </c>
      <c r="M1297" s="12">
        <f>IF(OR($S1297="",$V1297="",$T1297="",$T1297&lt;0,$T1297&gt;228,$AG1297=""),"—",ROUND(IF($AG1297=0,LN($V1297/$AH1297)/$AI1297,((($V1297/$AH1297)^$AG1297)-1)/($AG1297*$AI1297)),2))</f>
        <v/>
      </c>
      <c r="N1297">
        <f>IF(OR($M1297="",$M1297="—"),"",IF($M1297&lt;-3,"Muito baixa",IF($M1297&lt;-2,"Baixa","Adequada")))</f>
        <v/>
      </c>
      <c r="O1297" s="12">
        <f>IF(OR($S1297="",$F1297="",$T1297="",$T1297&lt;0,$T1297&gt;120,$AJ1297=""),"—",ROUND(IF(ABS($AM1297)&lt;=3,$AM1297,IF($AM1297&gt;3,3+($F1297-$AO1297)/($AO1297-$AN1297),-3+($F1297-$AQ1297)/($AP1297-$AQ1297))),2))</f>
        <v/>
      </c>
      <c r="P1297">
        <f>IF(OR($O1297="",$O1297="—"),"",IF($O1297&lt;-3,"Muito baixo",IF($O1297&lt;-2,"Baixo",IF($O1297&lt;=2,"Adequado","Elevado"))))</f>
        <v/>
      </c>
      <c r="Q1297" s="12">
        <f>IF(OR($S1297="",$F1297="",$T1297="",$T1297&lt;0,$T1297&gt;60,$AR1297=""),"—",ROUND(IF(ABS($AU1297)&lt;=3,$AU1297,IF($AU1297&gt;3,3+($F1297-$AW1297)/($AW1297-$AV1297),-3+($F1297-$AY1297)/($AX1297-$AY1297))),2))</f>
        <v/>
      </c>
      <c r="R1297">
        <f>IF(OR($Q1297="",$Q1297="—"),"",IF($Q1297&lt;-3,"Magreza acentuada",IF($Q1297&lt;-2,"Magreza",IF($Q1297&lt;=1,"Eutrofia",IF($Q1297&lt;=2,"Risco de sobrepeso",IF($Q1297&lt;=3,"Sobrepeso","Obesidade"))))))</f>
        <v/>
      </c>
      <c r="S1297">
        <f>IF($C1297="","",IF(UPPER(LEFT($C1297,1))="M",1,IF(UPPER(LEFT($C1297,1))="F",2,"")))</f>
        <v/>
      </c>
      <c r="T1297">
        <f>IF(OR($D1297="",$E1297=""),"",DATEDIF($D1297,$E1297,"m"))</f>
        <v/>
      </c>
      <c r="U1297">
        <f>IF(OR($D1297="",$E1297=""),"",$E1297-$D1297)</f>
        <v/>
      </c>
      <c r="V1297">
        <f>IF(OR($G1297="",$T1297=""),"",IF($T1297&lt;24,IF(LEFT(LOWER($H1297),4)="em p",$G1297+0.7,$G1297),IF(LEFT(LOWER($H1297),4)="deit",$G1297-0.7,$G1297)))</f>
        <v/>
      </c>
      <c r="W1297">
        <f>IF(OR($S1297="",$T1297=""),"",$S1297*1000000+IF($T1297&lt;=60,$U1297,$T1297))</f>
        <v/>
      </c>
      <c r="X1297">
        <f>IF(OR($S1297="",$V1297="",$T1297&gt;60,$T1297=""),"",$S1297*1000000+ROUND($V1297*10,0))</f>
        <v/>
      </c>
      <c r="Y1297">
        <f>IF($W1297="","",IFERROR(INDEX(IF($T1297&lt;=60,imc05_l,imc519_l),MATCH($W1297,IF($T1297&lt;=60,imc05_k,imc519_k),1)),""))</f>
        <v/>
      </c>
      <c r="Z1297">
        <f>IF($W1297="","",IFERROR(INDEX(IF($T1297&lt;=60,imc05_m,imc519_m),MATCH($W1297,IF($T1297&lt;=60,imc05_k,imc519_k),1)),""))</f>
        <v/>
      </c>
      <c r="AA1297">
        <f>IF($W1297="","",IFERROR(INDEX(IF($T1297&lt;=60,imc05_s,imc519_s),MATCH($W1297,IF($T1297&lt;=60,imc05_k,imc519_k),1)),""))</f>
        <v/>
      </c>
      <c r="AB1297">
        <f>IF($Y1297="","",IF($Y1297=0,LN($J1297/$Z1297)/$AA1297,((($J1297/$Z1297)^$Y1297)-1)/($Y1297*$AA1297)))</f>
        <v/>
      </c>
      <c r="AC1297">
        <f>IF($Y1297="","",IF($Y1297=0,$Z1297*EXP($AA1297*2),$Z1297*(1+$Y1297*$AA1297*2)^(1/$Y1297)))</f>
        <v/>
      </c>
      <c r="AD1297">
        <f>IF($Y1297="","",IF($Y1297=0,$Z1297*EXP($AA1297*3),$Z1297*(1+$Y1297*$AA1297*3)^(1/$Y1297)))</f>
        <v/>
      </c>
      <c r="AE1297">
        <f>IF($Y1297="","",IF($Y1297=0,$Z1297*EXP($AA1297*-2),$Z1297*(1+$Y1297*$AA1297*-2)^(1/$Y1297)))</f>
        <v/>
      </c>
      <c r="AF1297">
        <f>IF($Y1297="","",IF($Y1297=0,$Z1297*EXP($AA1297*-3),$Z1297*(1+$Y1297*$AA1297*-3)^(1/$Y1297)))</f>
        <v/>
      </c>
      <c r="AG1297">
        <f>IF($W1297="","",IFERROR(INDEX(IF($T1297&lt;=60,est05_l,est519_l),MATCH($W1297,IF($T1297&lt;=60,est05_k,est519_k),1)),""))</f>
        <v/>
      </c>
      <c r="AH1297">
        <f>IF($W1297="","",IFERROR(INDEX(IF($T1297&lt;=60,est05_m,est519_m),MATCH($W1297,IF($T1297&lt;=60,est05_k,est519_k),1)),""))</f>
        <v/>
      </c>
      <c r="AI1297">
        <f>IF($W1297="","",IFERROR(INDEX(IF($T1297&lt;=60,est05_s,est519_s),MATCH($W1297,IF($T1297&lt;=60,est05_k,est519_k),1)),""))</f>
        <v/>
      </c>
      <c r="AJ1297">
        <f>IF($W1297="","",IFERROR(INDEX(IF($T1297&lt;=60,peso05_l,peso510_l),MATCH($W1297,IF($T1297&lt;=60,peso05_k,peso510_k),1)),""))</f>
        <v/>
      </c>
      <c r="AK1297">
        <f>IF($W1297="","",IFERROR(INDEX(IF($T1297&lt;=60,peso05_m,peso510_m),MATCH($W1297,IF($T1297&lt;=60,peso05_k,peso510_k),1)),""))</f>
        <v/>
      </c>
      <c r="AL1297">
        <f>IF($W1297="","",IFERROR(INDEX(IF($T1297&lt;=60,peso05_s,peso510_s),MATCH($W1297,IF($T1297&lt;=60,peso05_k,peso510_k),1)),""))</f>
        <v/>
      </c>
      <c r="AM1297">
        <f>IF($AJ1297="","",IF($AJ1297=0,LN($F1297/$AK1297)/$AL1297,((($F1297/$AK1297)^$AJ1297)-1)/($AJ1297*$AL1297)))</f>
        <v/>
      </c>
      <c r="AN1297">
        <f>IF($AJ1297="","",IF($AJ1297=0,$AK1297*EXP($AL1297*2),$AK1297*(1+$AJ1297*$AL1297*2)^(1/$AJ1297)))</f>
        <v/>
      </c>
      <c r="AO1297">
        <f>IF($AJ1297="","",IF($AJ1297=0,$AK1297*EXP($AL1297*3),$AK1297*(1+$AJ1297*$AL1297*3)^(1/$AJ1297)))</f>
        <v/>
      </c>
      <c r="AP1297">
        <f>IF($AJ1297="","",IF($AJ1297=0,$AK1297*EXP($AL1297*-2),$AK1297*(1+$AJ1297*$AL1297*-2)^(1/$AJ1297)))</f>
        <v/>
      </c>
      <c r="AQ1297">
        <f>IF($AJ1297="","",IF($AJ1297=0,$AK1297*EXP($AL1297*-3),$AK1297*(1+$AJ1297*$AL1297*-3)^(1/$AJ1297)))</f>
        <v/>
      </c>
      <c r="AR1297">
        <f>IF(OR($X1297="",$T1297&gt;60),"",IFERROR(INDEX(IF($T1297&lt;24,pcomp_l,palt_l),MATCH($X1297,IF($T1297&lt;24,pcomp_k,palt_k),1)),""))</f>
        <v/>
      </c>
      <c r="AS1297">
        <f>IF(OR($X1297="",$T1297&gt;60),"",IFERROR(INDEX(IF($T1297&lt;24,pcomp_m,palt_m),MATCH($X1297,IF($T1297&lt;24,pcomp_k,palt_k),1)),""))</f>
        <v/>
      </c>
      <c r="AT1297">
        <f>IF(OR($X1297="",$T1297&gt;60),"",IFERROR(INDEX(IF($T1297&lt;24,pcomp_s,palt_s),MATCH($X1297,IF($T1297&lt;24,pcomp_k,palt_k),1)),""))</f>
        <v/>
      </c>
      <c r="AU1297">
        <f>IF($AR1297="","",IF($AR1297=0,LN($F1297/$AS1297)/$AT1297,((($F1297/$AS1297)^$AR1297)-1)/($AR1297*$AT1297)))</f>
        <v/>
      </c>
      <c r="AV1297">
        <f>IF($AR1297="","",IF($AR1297=0,$AS1297*EXP($AT1297*2),$AS1297*(1+$AR1297*$AT1297*2)^(1/$AR1297)))</f>
        <v/>
      </c>
      <c r="AW1297">
        <f>IF($AR1297="","",IF($AR1297=0,$AS1297*EXP($AT1297*3),$AS1297*(1+$AR1297*$AT1297*3)^(1/$AR1297)))</f>
        <v/>
      </c>
      <c r="AX1297">
        <f>IF($AR1297="","",IF($AR1297=0,$AS1297*EXP($AT1297*-2),$AS1297*(1+$AR1297*$AT1297*-2)^(1/$AR1297)))</f>
        <v/>
      </c>
      <c r="AY1297">
        <f>IF($AR1297="","",IF($AR1297=0,$AS1297*EXP($AT1297*-3),$AS1297*(1+$AR1297*$AT1297*-3)^(1/$AR1297)))</f>
        <v/>
      </c>
      <c r="AZ1297">
        <f>IF(OR($A1297="",$A1297&lt;&gt;Ficha!$C$4),"",COUNTIF($A$2:$A1297,Ficha!$C$4))</f>
        <v/>
      </c>
    </row>
    <row r="1298">
      <c r="A1298" s="8">
        <f>IF(INDEX(Banco!$A:$A,ROW())="","",INDEX(Banco!$A:$A,ROW()))</f>
        <v/>
      </c>
      <c r="B1298" s="8">
        <f>IF(INDEX(Banco!$B:$B,ROW())="","",INDEX(Banco!$B:$B,ROW()))</f>
        <v/>
      </c>
      <c r="C1298" s="8">
        <f>IF(INDEX(Banco!$C:$C,ROW())="","",INDEX(Banco!$C:$C,ROW()))</f>
        <v/>
      </c>
      <c r="D1298" s="9">
        <f>IF(INDEX(Banco!$D:$D,ROW())="","",INDEX(Banco!$D:$D,ROW()))</f>
        <v/>
      </c>
      <c r="E1298" s="9">
        <f>IF(INDEX(Banco!$E:$E,ROW())="","",INDEX(Banco!$E:$E,ROW()))</f>
        <v/>
      </c>
      <c r="F1298" s="10">
        <f>IF(INDEX(Banco!$F:$F,ROW())="","",INDEX(Banco!$F:$F,ROW()))</f>
        <v/>
      </c>
      <c r="G1298" s="10">
        <f>IF(INDEX(Banco!$G:$G,ROW())="","",INDEX(Banco!$G:$G,ROW()))</f>
        <v/>
      </c>
      <c r="H1298" s="8">
        <f>IF(INDEX(Banco!$H:$H,ROW())="","",INDEX(Banco!$H:$H,ROW()))</f>
        <v/>
      </c>
      <c r="I1298">
        <f>IF($T1298="","",INT($T1298/12)&amp;"a "&amp;MOD($T1298,12)&amp;"m")</f>
        <v/>
      </c>
      <c r="J1298" s="11">
        <f>IF(OR($F1298="",$G1298=""),"",ROUND($F1298/($G1298/100)^2,2))</f>
        <v/>
      </c>
      <c r="K1298" s="12">
        <f>IF(OR($S1298="",$J1298="",$T1298="",$T1298&lt;0,$T1298&gt;228,$Y1298=""),"—",ROUND(IF(ABS($AB1298)&lt;=3,$AB1298,IF($AB1298&gt;3,3+($J1298-$AD1298)/($AD1298-$AC1298),-3+($J1298-$AF1298)/($AE1298-$AF1298))),2))</f>
        <v/>
      </c>
      <c r="L1298">
        <f>IF(OR($K1298="",$K1298="—"),"",IF($T1298&lt;=60,IF($K1298&lt;-3,"Magreza acentuada",IF($K1298&lt;-2,"Magreza",IF($K1298&lt;=1,"Eutrofia",IF($K1298&lt;=2,"Risco de sobrepeso",IF($K1298&lt;=3,"Sobrepeso","Obesidade"))))),IF($K1298&lt;-3,"Magreza acentuada",IF($K1298&lt;-2,"Magreza",IF($K1298&lt;=1,"Eutrofia",IF($K1298&lt;=2,"Sobrepeso",IF($K1298&lt;=3,"Obesidade","Obesidade grave")))))))</f>
        <v/>
      </c>
      <c r="M1298" s="12">
        <f>IF(OR($S1298="",$V1298="",$T1298="",$T1298&lt;0,$T1298&gt;228,$AG1298=""),"—",ROUND(IF($AG1298=0,LN($V1298/$AH1298)/$AI1298,((($V1298/$AH1298)^$AG1298)-1)/($AG1298*$AI1298)),2))</f>
        <v/>
      </c>
      <c r="N1298">
        <f>IF(OR($M1298="",$M1298="—"),"",IF($M1298&lt;-3,"Muito baixa",IF($M1298&lt;-2,"Baixa","Adequada")))</f>
        <v/>
      </c>
      <c r="O1298" s="12">
        <f>IF(OR($S1298="",$F1298="",$T1298="",$T1298&lt;0,$T1298&gt;120,$AJ1298=""),"—",ROUND(IF(ABS($AM1298)&lt;=3,$AM1298,IF($AM1298&gt;3,3+($F1298-$AO1298)/($AO1298-$AN1298),-3+($F1298-$AQ1298)/($AP1298-$AQ1298))),2))</f>
        <v/>
      </c>
      <c r="P1298">
        <f>IF(OR($O1298="",$O1298="—"),"",IF($O1298&lt;-3,"Muito baixo",IF($O1298&lt;-2,"Baixo",IF($O1298&lt;=2,"Adequado","Elevado"))))</f>
        <v/>
      </c>
      <c r="Q1298" s="12">
        <f>IF(OR($S1298="",$F1298="",$T1298="",$T1298&lt;0,$T1298&gt;60,$AR1298=""),"—",ROUND(IF(ABS($AU1298)&lt;=3,$AU1298,IF($AU1298&gt;3,3+($F1298-$AW1298)/($AW1298-$AV1298),-3+($F1298-$AY1298)/($AX1298-$AY1298))),2))</f>
        <v/>
      </c>
      <c r="R1298">
        <f>IF(OR($Q1298="",$Q1298="—"),"",IF($Q1298&lt;-3,"Magreza acentuada",IF($Q1298&lt;-2,"Magreza",IF($Q1298&lt;=1,"Eutrofia",IF($Q1298&lt;=2,"Risco de sobrepeso",IF($Q1298&lt;=3,"Sobrepeso","Obesidade"))))))</f>
        <v/>
      </c>
      <c r="S1298">
        <f>IF($C1298="","",IF(UPPER(LEFT($C1298,1))="M",1,IF(UPPER(LEFT($C1298,1))="F",2,"")))</f>
        <v/>
      </c>
      <c r="T1298">
        <f>IF(OR($D1298="",$E1298=""),"",DATEDIF($D1298,$E1298,"m"))</f>
        <v/>
      </c>
      <c r="U1298">
        <f>IF(OR($D1298="",$E1298=""),"",$E1298-$D1298)</f>
        <v/>
      </c>
      <c r="V1298">
        <f>IF(OR($G1298="",$T1298=""),"",IF($T1298&lt;24,IF(LEFT(LOWER($H1298),4)="em p",$G1298+0.7,$G1298),IF(LEFT(LOWER($H1298),4)="deit",$G1298-0.7,$G1298)))</f>
        <v/>
      </c>
      <c r="W1298">
        <f>IF(OR($S1298="",$T1298=""),"",$S1298*1000000+IF($T1298&lt;=60,$U1298,$T1298))</f>
        <v/>
      </c>
      <c r="X1298">
        <f>IF(OR($S1298="",$V1298="",$T1298&gt;60,$T1298=""),"",$S1298*1000000+ROUND($V1298*10,0))</f>
        <v/>
      </c>
      <c r="Y1298">
        <f>IF($W1298="","",IFERROR(INDEX(IF($T1298&lt;=60,imc05_l,imc519_l),MATCH($W1298,IF($T1298&lt;=60,imc05_k,imc519_k),1)),""))</f>
        <v/>
      </c>
      <c r="Z1298">
        <f>IF($W1298="","",IFERROR(INDEX(IF($T1298&lt;=60,imc05_m,imc519_m),MATCH($W1298,IF($T1298&lt;=60,imc05_k,imc519_k),1)),""))</f>
        <v/>
      </c>
      <c r="AA1298">
        <f>IF($W1298="","",IFERROR(INDEX(IF($T1298&lt;=60,imc05_s,imc519_s),MATCH($W1298,IF($T1298&lt;=60,imc05_k,imc519_k),1)),""))</f>
        <v/>
      </c>
      <c r="AB1298">
        <f>IF($Y1298="","",IF($Y1298=0,LN($J1298/$Z1298)/$AA1298,((($J1298/$Z1298)^$Y1298)-1)/($Y1298*$AA1298)))</f>
        <v/>
      </c>
      <c r="AC1298">
        <f>IF($Y1298="","",IF($Y1298=0,$Z1298*EXP($AA1298*2),$Z1298*(1+$Y1298*$AA1298*2)^(1/$Y1298)))</f>
        <v/>
      </c>
      <c r="AD1298">
        <f>IF($Y1298="","",IF($Y1298=0,$Z1298*EXP($AA1298*3),$Z1298*(1+$Y1298*$AA1298*3)^(1/$Y1298)))</f>
        <v/>
      </c>
      <c r="AE1298">
        <f>IF($Y1298="","",IF($Y1298=0,$Z1298*EXP($AA1298*-2),$Z1298*(1+$Y1298*$AA1298*-2)^(1/$Y1298)))</f>
        <v/>
      </c>
      <c r="AF1298">
        <f>IF($Y1298="","",IF($Y1298=0,$Z1298*EXP($AA1298*-3),$Z1298*(1+$Y1298*$AA1298*-3)^(1/$Y1298)))</f>
        <v/>
      </c>
      <c r="AG1298">
        <f>IF($W1298="","",IFERROR(INDEX(IF($T1298&lt;=60,est05_l,est519_l),MATCH($W1298,IF($T1298&lt;=60,est05_k,est519_k),1)),""))</f>
        <v/>
      </c>
      <c r="AH1298">
        <f>IF($W1298="","",IFERROR(INDEX(IF($T1298&lt;=60,est05_m,est519_m),MATCH($W1298,IF($T1298&lt;=60,est05_k,est519_k),1)),""))</f>
        <v/>
      </c>
      <c r="AI1298">
        <f>IF($W1298="","",IFERROR(INDEX(IF($T1298&lt;=60,est05_s,est519_s),MATCH($W1298,IF($T1298&lt;=60,est05_k,est519_k),1)),""))</f>
        <v/>
      </c>
      <c r="AJ1298">
        <f>IF($W1298="","",IFERROR(INDEX(IF($T1298&lt;=60,peso05_l,peso510_l),MATCH($W1298,IF($T1298&lt;=60,peso05_k,peso510_k),1)),""))</f>
        <v/>
      </c>
      <c r="AK1298">
        <f>IF($W1298="","",IFERROR(INDEX(IF($T1298&lt;=60,peso05_m,peso510_m),MATCH($W1298,IF($T1298&lt;=60,peso05_k,peso510_k),1)),""))</f>
        <v/>
      </c>
      <c r="AL1298">
        <f>IF($W1298="","",IFERROR(INDEX(IF($T1298&lt;=60,peso05_s,peso510_s),MATCH($W1298,IF($T1298&lt;=60,peso05_k,peso510_k),1)),""))</f>
        <v/>
      </c>
      <c r="AM1298">
        <f>IF($AJ1298="","",IF($AJ1298=0,LN($F1298/$AK1298)/$AL1298,((($F1298/$AK1298)^$AJ1298)-1)/($AJ1298*$AL1298)))</f>
        <v/>
      </c>
      <c r="AN1298">
        <f>IF($AJ1298="","",IF($AJ1298=0,$AK1298*EXP($AL1298*2),$AK1298*(1+$AJ1298*$AL1298*2)^(1/$AJ1298)))</f>
        <v/>
      </c>
      <c r="AO1298">
        <f>IF($AJ1298="","",IF($AJ1298=0,$AK1298*EXP($AL1298*3),$AK1298*(1+$AJ1298*$AL1298*3)^(1/$AJ1298)))</f>
        <v/>
      </c>
      <c r="AP1298">
        <f>IF($AJ1298="","",IF($AJ1298=0,$AK1298*EXP($AL1298*-2),$AK1298*(1+$AJ1298*$AL1298*-2)^(1/$AJ1298)))</f>
        <v/>
      </c>
      <c r="AQ1298">
        <f>IF($AJ1298="","",IF($AJ1298=0,$AK1298*EXP($AL1298*-3),$AK1298*(1+$AJ1298*$AL1298*-3)^(1/$AJ1298)))</f>
        <v/>
      </c>
      <c r="AR1298">
        <f>IF(OR($X1298="",$T1298&gt;60),"",IFERROR(INDEX(IF($T1298&lt;24,pcomp_l,palt_l),MATCH($X1298,IF($T1298&lt;24,pcomp_k,palt_k),1)),""))</f>
        <v/>
      </c>
      <c r="AS1298">
        <f>IF(OR($X1298="",$T1298&gt;60),"",IFERROR(INDEX(IF($T1298&lt;24,pcomp_m,palt_m),MATCH($X1298,IF($T1298&lt;24,pcomp_k,palt_k),1)),""))</f>
        <v/>
      </c>
      <c r="AT1298">
        <f>IF(OR($X1298="",$T1298&gt;60),"",IFERROR(INDEX(IF($T1298&lt;24,pcomp_s,palt_s),MATCH($X1298,IF($T1298&lt;24,pcomp_k,palt_k),1)),""))</f>
        <v/>
      </c>
      <c r="AU1298">
        <f>IF($AR1298="","",IF($AR1298=0,LN($F1298/$AS1298)/$AT1298,((($F1298/$AS1298)^$AR1298)-1)/($AR1298*$AT1298)))</f>
        <v/>
      </c>
      <c r="AV1298">
        <f>IF($AR1298="","",IF($AR1298=0,$AS1298*EXP($AT1298*2),$AS1298*(1+$AR1298*$AT1298*2)^(1/$AR1298)))</f>
        <v/>
      </c>
      <c r="AW1298">
        <f>IF($AR1298="","",IF($AR1298=0,$AS1298*EXP($AT1298*3),$AS1298*(1+$AR1298*$AT1298*3)^(1/$AR1298)))</f>
        <v/>
      </c>
      <c r="AX1298">
        <f>IF($AR1298="","",IF($AR1298=0,$AS1298*EXP($AT1298*-2),$AS1298*(1+$AR1298*$AT1298*-2)^(1/$AR1298)))</f>
        <v/>
      </c>
      <c r="AY1298">
        <f>IF($AR1298="","",IF($AR1298=0,$AS1298*EXP($AT1298*-3),$AS1298*(1+$AR1298*$AT1298*-3)^(1/$AR1298)))</f>
        <v/>
      </c>
      <c r="AZ1298">
        <f>IF(OR($A1298="",$A1298&lt;&gt;Ficha!$C$4),"",COUNTIF($A$2:$A1298,Ficha!$C$4))</f>
        <v/>
      </c>
    </row>
    <row r="1299">
      <c r="A1299" s="8">
        <f>IF(INDEX(Banco!$A:$A,ROW())="","",INDEX(Banco!$A:$A,ROW()))</f>
        <v/>
      </c>
      <c r="B1299" s="8">
        <f>IF(INDEX(Banco!$B:$B,ROW())="","",INDEX(Banco!$B:$B,ROW()))</f>
        <v/>
      </c>
      <c r="C1299" s="8">
        <f>IF(INDEX(Banco!$C:$C,ROW())="","",INDEX(Banco!$C:$C,ROW()))</f>
        <v/>
      </c>
      <c r="D1299" s="9">
        <f>IF(INDEX(Banco!$D:$D,ROW())="","",INDEX(Banco!$D:$D,ROW()))</f>
        <v/>
      </c>
      <c r="E1299" s="9">
        <f>IF(INDEX(Banco!$E:$E,ROW())="","",INDEX(Banco!$E:$E,ROW()))</f>
        <v/>
      </c>
      <c r="F1299" s="10">
        <f>IF(INDEX(Banco!$F:$F,ROW())="","",INDEX(Banco!$F:$F,ROW()))</f>
        <v/>
      </c>
      <c r="G1299" s="10">
        <f>IF(INDEX(Banco!$G:$G,ROW())="","",INDEX(Banco!$G:$G,ROW()))</f>
        <v/>
      </c>
      <c r="H1299" s="8">
        <f>IF(INDEX(Banco!$H:$H,ROW())="","",INDEX(Banco!$H:$H,ROW()))</f>
        <v/>
      </c>
      <c r="I1299">
        <f>IF($T1299="","",INT($T1299/12)&amp;"a "&amp;MOD($T1299,12)&amp;"m")</f>
        <v/>
      </c>
      <c r="J1299" s="11">
        <f>IF(OR($F1299="",$G1299=""),"",ROUND($F1299/($G1299/100)^2,2))</f>
        <v/>
      </c>
      <c r="K1299" s="12">
        <f>IF(OR($S1299="",$J1299="",$T1299="",$T1299&lt;0,$T1299&gt;228,$Y1299=""),"—",ROUND(IF(ABS($AB1299)&lt;=3,$AB1299,IF($AB1299&gt;3,3+($J1299-$AD1299)/($AD1299-$AC1299),-3+($J1299-$AF1299)/($AE1299-$AF1299))),2))</f>
        <v/>
      </c>
      <c r="L1299">
        <f>IF(OR($K1299="",$K1299="—"),"",IF($T1299&lt;=60,IF($K1299&lt;-3,"Magreza acentuada",IF($K1299&lt;-2,"Magreza",IF($K1299&lt;=1,"Eutrofia",IF($K1299&lt;=2,"Risco de sobrepeso",IF($K1299&lt;=3,"Sobrepeso","Obesidade"))))),IF($K1299&lt;-3,"Magreza acentuada",IF($K1299&lt;-2,"Magreza",IF($K1299&lt;=1,"Eutrofia",IF($K1299&lt;=2,"Sobrepeso",IF($K1299&lt;=3,"Obesidade","Obesidade grave")))))))</f>
        <v/>
      </c>
      <c r="M1299" s="12">
        <f>IF(OR($S1299="",$V1299="",$T1299="",$T1299&lt;0,$T1299&gt;228,$AG1299=""),"—",ROUND(IF($AG1299=0,LN($V1299/$AH1299)/$AI1299,((($V1299/$AH1299)^$AG1299)-1)/($AG1299*$AI1299)),2))</f>
        <v/>
      </c>
      <c r="N1299">
        <f>IF(OR($M1299="",$M1299="—"),"",IF($M1299&lt;-3,"Muito baixa",IF($M1299&lt;-2,"Baixa","Adequada")))</f>
        <v/>
      </c>
      <c r="O1299" s="12">
        <f>IF(OR($S1299="",$F1299="",$T1299="",$T1299&lt;0,$T1299&gt;120,$AJ1299=""),"—",ROUND(IF(ABS($AM1299)&lt;=3,$AM1299,IF($AM1299&gt;3,3+($F1299-$AO1299)/($AO1299-$AN1299),-3+($F1299-$AQ1299)/($AP1299-$AQ1299))),2))</f>
        <v/>
      </c>
      <c r="P1299">
        <f>IF(OR($O1299="",$O1299="—"),"",IF($O1299&lt;-3,"Muito baixo",IF($O1299&lt;-2,"Baixo",IF($O1299&lt;=2,"Adequado","Elevado"))))</f>
        <v/>
      </c>
      <c r="Q1299" s="12">
        <f>IF(OR($S1299="",$F1299="",$T1299="",$T1299&lt;0,$T1299&gt;60,$AR1299=""),"—",ROUND(IF(ABS($AU1299)&lt;=3,$AU1299,IF($AU1299&gt;3,3+($F1299-$AW1299)/($AW1299-$AV1299),-3+($F1299-$AY1299)/($AX1299-$AY1299))),2))</f>
        <v/>
      </c>
      <c r="R1299">
        <f>IF(OR($Q1299="",$Q1299="—"),"",IF($Q1299&lt;-3,"Magreza acentuada",IF($Q1299&lt;-2,"Magreza",IF($Q1299&lt;=1,"Eutrofia",IF($Q1299&lt;=2,"Risco de sobrepeso",IF($Q1299&lt;=3,"Sobrepeso","Obesidade"))))))</f>
        <v/>
      </c>
      <c r="S1299">
        <f>IF($C1299="","",IF(UPPER(LEFT($C1299,1))="M",1,IF(UPPER(LEFT($C1299,1))="F",2,"")))</f>
        <v/>
      </c>
      <c r="T1299">
        <f>IF(OR($D1299="",$E1299=""),"",DATEDIF($D1299,$E1299,"m"))</f>
        <v/>
      </c>
      <c r="U1299">
        <f>IF(OR($D1299="",$E1299=""),"",$E1299-$D1299)</f>
        <v/>
      </c>
      <c r="V1299">
        <f>IF(OR($G1299="",$T1299=""),"",IF($T1299&lt;24,IF(LEFT(LOWER($H1299),4)="em p",$G1299+0.7,$G1299),IF(LEFT(LOWER($H1299),4)="deit",$G1299-0.7,$G1299)))</f>
        <v/>
      </c>
      <c r="W1299">
        <f>IF(OR($S1299="",$T1299=""),"",$S1299*1000000+IF($T1299&lt;=60,$U1299,$T1299))</f>
        <v/>
      </c>
      <c r="X1299">
        <f>IF(OR($S1299="",$V1299="",$T1299&gt;60,$T1299=""),"",$S1299*1000000+ROUND($V1299*10,0))</f>
        <v/>
      </c>
      <c r="Y1299">
        <f>IF($W1299="","",IFERROR(INDEX(IF($T1299&lt;=60,imc05_l,imc519_l),MATCH($W1299,IF($T1299&lt;=60,imc05_k,imc519_k),1)),""))</f>
        <v/>
      </c>
      <c r="Z1299">
        <f>IF($W1299="","",IFERROR(INDEX(IF($T1299&lt;=60,imc05_m,imc519_m),MATCH($W1299,IF($T1299&lt;=60,imc05_k,imc519_k),1)),""))</f>
        <v/>
      </c>
      <c r="AA1299">
        <f>IF($W1299="","",IFERROR(INDEX(IF($T1299&lt;=60,imc05_s,imc519_s),MATCH($W1299,IF($T1299&lt;=60,imc05_k,imc519_k),1)),""))</f>
        <v/>
      </c>
      <c r="AB1299">
        <f>IF($Y1299="","",IF($Y1299=0,LN($J1299/$Z1299)/$AA1299,((($J1299/$Z1299)^$Y1299)-1)/($Y1299*$AA1299)))</f>
        <v/>
      </c>
      <c r="AC1299">
        <f>IF($Y1299="","",IF($Y1299=0,$Z1299*EXP($AA1299*2),$Z1299*(1+$Y1299*$AA1299*2)^(1/$Y1299)))</f>
        <v/>
      </c>
      <c r="AD1299">
        <f>IF($Y1299="","",IF($Y1299=0,$Z1299*EXP($AA1299*3),$Z1299*(1+$Y1299*$AA1299*3)^(1/$Y1299)))</f>
        <v/>
      </c>
      <c r="AE1299">
        <f>IF($Y1299="","",IF($Y1299=0,$Z1299*EXP($AA1299*-2),$Z1299*(1+$Y1299*$AA1299*-2)^(1/$Y1299)))</f>
        <v/>
      </c>
      <c r="AF1299">
        <f>IF($Y1299="","",IF($Y1299=0,$Z1299*EXP($AA1299*-3),$Z1299*(1+$Y1299*$AA1299*-3)^(1/$Y1299)))</f>
        <v/>
      </c>
      <c r="AG1299">
        <f>IF($W1299="","",IFERROR(INDEX(IF($T1299&lt;=60,est05_l,est519_l),MATCH($W1299,IF($T1299&lt;=60,est05_k,est519_k),1)),""))</f>
        <v/>
      </c>
      <c r="AH1299">
        <f>IF($W1299="","",IFERROR(INDEX(IF($T1299&lt;=60,est05_m,est519_m),MATCH($W1299,IF($T1299&lt;=60,est05_k,est519_k),1)),""))</f>
        <v/>
      </c>
      <c r="AI1299">
        <f>IF($W1299="","",IFERROR(INDEX(IF($T1299&lt;=60,est05_s,est519_s),MATCH($W1299,IF($T1299&lt;=60,est05_k,est519_k),1)),""))</f>
        <v/>
      </c>
      <c r="AJ1299">
        <f>IF($W1299="","",IFERROR(INDEX(IF($T1299&lt;=60,peso05_l,peso510_l),MATCH($W1299,IF($T1299&lt;=60,peso05_k,peso510_k),1)),""))</f>
        <v/>
      </c>
      <c r="AK1299">
        <f>IF($W1299="","",IFERROR(INDEX(IF($T1299&lt;=60,peso05_m,peso510_m),MATCH($W1299,IF($T1299&lt;=60,peso05_k,peso510_k),1)),""))</f>
        <v/>
      </c>
      <c r="AL1299">
        <f>IF($W1299="","",IFERROR(INDEX(IF($T1299&lt;=60,peso05_s,peso510_s),MATCH($W1299,IF($T1299&lt;=60,peso05_k,peso510_k),1)),""))</f>
        <v/>
      </c>
      <c r="AM1299">
        <f>IF($AJ1299="","",IF($AJ1299=0,LN($F1299/$AK1299)/$AL1299,((($F1299/$AK1299)^$AJ1299)-1)/($AJ1299*$AL1299)))</f>
        <v/>
      </c>
      <c r="AN1299">
        <f>IF($AJ1299="","",IF($AJ1299=0,$AK1299*EXP($AL1299*2),$AK1299*(1+$AJ1299*$AL1299*2)^(1/$AJ1299)))</f>
        <v/>
      </c>
      <c r="AO1299">
        <f>IF($AJ1299="","",IF($AJ1299=0,$AK1299*EXP($AL1299*3),$AK1299*(1+$AJ1299*$AL1299*3)^(1/$AJ1299)))</f>
        <v/>
      </c>
      <c r="AP1299">
        <f>IF($AJ1299="","",IF($AJ1299=0,$AK1299*EXP($AL1299*-2),$AK1299*(1+$AJ1299*$AL1299*-2)^(1/$AJ1299)))</f>
        <v/>
      </c>
      <c r="AQ1299">
        <f>IF($AJ1299="","",IF($AJ1299=0,$AK1299*EXP($AL1299*-3),$AK1299*(1+$AJ1299*$AL1299*-3)^(1/$AJ1299)))</f>
        <v/>
      </c>
      <c r="AR1299">
        <f>IF(OR($X1299="",$T1299&gt;60),"",IFERROR(INDEX(IF($T1299&lt;24,pcomp_l,palt_l),MATCH($X1299,IF($T1299&lt;24,pcomp_k,palt_k),1)),""))</f>
        <v/>
      </c>
      <c r="AS1299">
        <f>IF(OR($X1299="",$T1299&gt;60),"",IFERROR(INDEX(IF($T1299&lt;24,pcomp_m,palt_m),MATCH($X1299,IF($T1299&lt;24,pcomp_k,palt_k),1)),""))</f>
        <v/>
      </c>
      <c r="AT1299">
        <f>IF(OR($X1299="",$T1299&gt;60),"",IFERROR(INDEX(IF($T1299&lt;24,pcomp_s,palt_s),MATCH($X1299,IF($T1299&lt;24,pcomp_k,palt_k),1)),""))</f>
        <v/>
      </c>
      <c r="AU1299">
        <f>IF($AR1299="","",IF($AR1299=0,LN($F1299/$AS1299)/$AT1299,((($F1299/$AS1299)^$AR1299)-1)/($AR1299*$AT1299)))</f>
        <v/>
      </c>
      <c r="AV1299">
        <f>IF($AR1299="","",IF($AR1299=0,$AS1299*EXP($AT1299*2),$AS1299*(1+$AR1299*$AT1299*2)^(1/$AR1299)))</f>
        <v/>
      </c>
      <c r="AW1299">
        <f>IF($AR1299="","",IF($AR1299=0,$AS1299*EXP($AT1299*3),$AS1299*(1+$AR1299*$AT1299*3)^(1/$AR1299)))</f>
        <v/>
      </c>
      <c r="AX1299">
        <f>IF($AR1299="","",IF($AR1299=0,$AS1299*EXP($AT1299*-2),$AS1299*(1+$AR1299*$AT1299*-2)^(1/$AR1299)))</f>
        <v/>
      </c>
      <c r="AY1299">
        <f>IF($AR1299="","",IF($AR1299=0,$AS1299*EXP($AT1299*-3),$AS1299*(1+$AR1299*$AT1299*-3)^(1/$AR1299)))</f>
        <v/>
      </c>
      <c r="AZ1299">
        <f>IF(OR($A1299="",$A1299&lt;&gt;Ficha!$C$4),"",COUNTIF($A$2:$A1299,Ficha!$C$4))</f>
        <v/>
      </c>
    </row>
    <row r="1300">
      <c r="A1300" s="8">
        <f>IF(INDEX(Banco!$A:$A,ROW())="","",INDEX(Banco!$A:$A,ROW()))</f>
        <v/>
      </c>
      <c r="B1300" s="8">
        <f>IF(INDEX(Banco!$B:$B,ROW())="","",INDEX(Banco!$B:$B,ROW()))</f>
        <v/>
      </c>
      <c r="C1300" s="8">
        <f>IF(INDEX(Banco!$C:$C,ROW())="","",INDEX(Banco!$C:$C,ROW()))</f>
        <v/>
      </c>
      <c r="D1300" s="9">
        <f>IF(INDEX(Banco!$D:$D,ROW())="","",INDEX(Banco!$D:$D,ROW()))</f>
        <v/>
      </c>
      <c r="E1300" s="9">
        <f>IF(INDEX(Banco!$E:$E,ROW())="","",INDEX(Banco!$E:$E,ROW()))</f>
        <v/>
      </c>
      <c r="F1300" s="10">
        <f>IF(INDEX(Banco!$F:$F,ROW())="","",INDEX(Banco!$F:$F,ROW()))</f>
        <v/>
      </c>
      <c r="G1300" s="10">
        <f>IF(INDEX(Banco!$G:$G,ROW())="","",INDEX(Banco!$G:$G,ROW()))</f>
        <v/>
      </c>
      <c r="H1300" s="8">
        <f>IF(INDEX(Banco!$H:$H,ROW())="","",INDEX(Banco!$H:$H,ROW()))</f>
        <v/>
      </c>
      <c r="I1300">
        <f>IF($T1300="","",INT($T1300/12)&amp;"a "&amp;MOD($T1300,12)&amp;"m")</f>
        <v/>
      </c>
      <c r="J1300" s="11">
        <f>IF(OR($F1300="",$G1300=""),"",ROUND($F1300/($G1300/100)^2,2))</f>
        <v/>
      </c>
      <c r="K1300" s="12">
        <f>IF(OR($S1300="",$J1300="",$T1300="",$T1300&lt;0,$T1300&gt;228,$Y1300=""),"—",ROUND(IF(ABS($AB1300)&lt;=3,$AB1300,IF($AB1300&gt;3,3+($J1300-$AD1300)/($AD1300-$AC1300),-3+($J1300-$AF1300)/($AE1300-$AF1300))),2))</f>
        <v/>
      </c>
      <c r="L1300">
        <f>IF(OR($K1300="",$K1300="—"),"",IF($T1300&lt;=60,IF($K1300&lt;-3,"Magreza acentuada",IF($K1300&lt;-2,"Magreza",IF($K1300&lt;=1,"Eutrofia",IF($K1300&lt;=2,"Risco de sobrepeso",IF($K1300&lt;=3,"Sobrepeso","Obesidade"))))),IF($K1300&lt;-3,"Magreza acentuada",IF($K1300&lt;-2,"Magreza",IF($K1300&lt;=1,"Eutrofia",IF($K1300&lt;=2,"Sobrepeso",IF($K1300&lt;=3,"Obesidade","Obesidade grave")))))))</f>
        <v/>
      </c>
      <c r="M1300" s="12">
        <f>IF(OR($S1300="",$V1300="",$T1300="",$T1300&lt;0,$T1300&gt;228,$AG1300=""),"—",ROUND(IF($AG1300=0,LN($V1300/$AH1300)/$AI1300,((($V1300/$AH1300)^$AG1300)-1)/($AG1300*$AI1300)),2))</f>
        <v/>
      </c>
      <c r="N1300">
        <f>IF(OR($M1300="",$M1300="—"),"",IF($M1300&lt;-3,"Muito baixa",IF($M1300&lt;-2,"Baixa","Adequada")))</f>
        <v/>
      </c>
      <c r="O1300" s="12">
        <f>IF(OR($S1300="",$F1300="",$T1300="",$T1300&lt;0,$T1300&gt;120,$AJ1300=""),"—",ROUND(IF(ABS($AM1300)&lt;=3,$AM1300,IF($AM1300&gt;3,3+($F1300-$AO1300)/($AO1300-$AN1300),-3+($F1300-$AQ1300)/($AP1300-$AQ1300))),2))</f>
        <v/>
      </c>
      <c r="P1300">
        <f>IF(OR($O1300="",$O1300="—"),"",IF($O1300&lt;-3,"Muito baixo",IF($O1300&lt;-2,"Baixo",IF($O1300&lt;=2,"Adequado","Elevado"))))</f>
        <v/>
      </c>
      <c r="Q1300" s="12">
        <f>IF(OR($S1300="",$F1300="",$T1300="",$T1300&lt;0,$T1300&gt;60,$AR1300=""),"—",ROUND(IF(ABS($AU1300)&lt;=3,$AU1300,IF($AU1300&gt;3,3+($F1300-$AW1300)/($AW1300-$AV1300),-3+($F1300-$AY1300)/($AX1300-$AY1300))),2))</f>
        <v/>
      </c>
      <c r="R1300">
        <f>IF(OR($Q1300="",$Q1300="—"),"",IF($Q1300&lt;-3,"Magreza acentuada",IF($Q1300&lt;-2,"Magreza",IF($Q1300&lt;=1,"Eutrofia",IF($Q1300&lt;=2,"Risco de sobrepeso",IF($Q1300&lt;=3,"Sobrepeso","Obesidade"))))))</f>
        <v/>
      </c>
      <c r="S1300">
        <f>IF($C1300="","",IF(UPPER(LEFT($C1300,1))="M",1,IF(UPPER(LEFT($C1300,1))="F",2,"")))</f>
        <v/>
      </c>
      <c r="T1300">
        <f>IF(OR($D1300="",$E1300=""),"",DATEDIF($D1300,$E1300,"m"))</f>
        <v/>
      </c>
      <c r="U1300">
        <f>IF(OR($D1300="",$E1300=""),"",$E1300-$D1300)</f>
        <v/>
      </c>
      <c r="V1300">
        <f>IF(OR($G1300="",$T1300=""),"",IF($T1300&lt;24,IF(LEFT(LOWER($H1300),4)="em p",$G1300+0.7,$G1300),IF(LEFT(LOWER($H1300),4)="deit",$G1300-0.7,$G1300)))</f>
        <v/>
      </c>
      <c r="W1300">
        <f>IF(OR($S1300="",$T1300=""),"",$S1300*1000000+IF($T1300&lt;=60,$U1300,$T1300))</f>
        <v/>
      </c>
      <c r="X1300">
        <f>IF(OR($S1300="",$V1300="",$T1300&gt;60,$T1300=""),"",$S1300*1000000+ROUND($V1300*10,0))</f>
        <v/>
      </c>
      <c r="Y1300">
        <f>IF($W1300="","",IFERROR(INDEX(IF($T1300&lt;=60,imc05_l,imc519_l),MATCH($W1300,IF($T1300&lt;=60,imc05_k,imc519_k),1)),""))</f>
        <v/>
      </c>
      <c r="Z1300">
        <f>IF($W1300="","",IFERROR(INDEX(IF($T1300&lt;=60,imc05_m,imc519_m),MATCH($W1300,IF($T1300&lt;=60,imc05_k,imc519_k),1)),""))</f>
        <v/>
      </c>
      <c r="AA1300">
        <f>IF($W1300="","",IFERROR(INDEX(IF($T1300&lt;=60,imc05_s,imc519_s),MATCH($W1300,IF($T1300&lt;=60,imc05_k,imc519_k),1)),""))</f>
        <v/>
      </c>
      <c r="AB1300">
        <f>IF($Y1300="","",IF($Y1300=0,LN($J1300/$Z1300)/$AA1300,((($J1300/$Z1300)^$Y1300)-1)/($Y1300*$AA1300)))</f>
        <v/>
      </c>
      <c r="AC1300">
        <f>IF($Y1300="","",IF($Y1300=0,$Z1300*EXP($AA1300*2),$Z1300*(1+$Y1300*$AA1300*2)^(1/$Y1300)))</f>
        <v/>
      </c>
      <c r="AD1300">
        <f>IF($Y1300="","",IF($Y1300=0,$Z1300*EXP($AA1300*3),$Z1300*(1+$Y1300*$AA1300*3)^(1/$Y1300)))</f>
        <v/>
      </c>
      <c r="AE1300">
        <f>IF($Y1300="","",IF($Y1300=0,$Z1300*EXP($AA1300*-2),$Z1300*(1+$Y1300*$AA1300*-2)^(1/$Y1300)))</f>
        <v/>
      </c>
      <c r="AF1300">
        <f>IF($Y1300="","",IF($Y1300=0,$Z1300*EXP($AA1300*-3),$Z1300*(1+$Y1300*$AA1300*-3)^(1/$Y1300)))</f>
        <v/>
      </c>
      <c r="AG1300">
        <f>IF($W1300="","",IFERROR(INDEX(IF($T1300&lt;=60,est05_l,est519_l),MATCH($W1300,IF($T1300&lt;=60,est05_k,est519_k),1)),""))</f>
        <v/>
      </c>
      <c r="AH1300">
        <f>IF($W1300="","",IFERROR(INDEX(IF($T1300&lt;=60,est05_m,est519_m),MATCH($W1300,IF($T1300&lt;=60,est05_k,est519_k),1)),""))</f>
        <v/>
      </c>
      <c r="AI1300">
        <f>IF($W1300="","",IFERROR(INDEX(IF($T1300&lt;=60,est05_s,est519_s),MATCH($W1300,IF($T1300&lt;=60,est05_k,est519_k),1)),""))</f>
        <v/>
      </c>
      <c r="AJ1300">
        <f>IF($W1300="","",IFERROR(INDEX(IF($T1300&lt;=60,peso05_l,peso510_l),MATCH($W1300,IF($T1300&lt;=60,peso05_k,peso510_k),1)),""))</f>
        <v/>
      </c>
      <c r="AK1300">
        <f>IF($W1300="","",IFERROR(INDEX(IF($T1300&lt;=60,peso05_m,peso510_m),MATCH($W1300,IF($T1300&lt;=60,peso05_k,peso510_k),1)),""))</f>
        <v/>
      </c>
      <c r="AL1300">
        <f>IF($W1300="","",IFERROR(INDEX(IF($T1300&lt;=60,peso05_s,peso510_s),MATCH($W1300,IF($T1300&lt;=60,peso05_k,peso510_k),1)),""))</f>
        <v/>
      </c>
      <c r="AM1300">
        <f>IF($AJ1300="","",IF($AJ1300=0,LN($F1300/$AK1300)/$AL1300,((($F1300/$AK1300)^$AJ1300)-1)/($AJ1300*$AL1300)))</f>
        <v/>
      </c>
      <c r="AN1300">
        <f>IF($AJ1300="","",IF($AJ1300=0,$AK1300*EXP($AL1300*2),$AK1300*(1+$AJ1300*$AL1300*2)^(1/$AJ1300)))</f>
        <v/>
      </c>
      <c r="AO1300">
        <f>IF($AJ1300="","",IF($AJ1300=0,$AK1300*EXP($AL1300*3),$AK1300*(1+$AJ1300*$AL1300*3)^(1/$AJ1300)))</f>
        <v/>
      </c>
      <c r="AP1300">
        <f>IF($AJ1300="","",IF($AJ1300=0,$AK1300*EXP($AL1300*-2),$AK1300*(1+$AJ1300*$AL1300*-2)^(1/$AJ1300)))</f>
        <v/>
      </c>
      <c r="AQ1300">
        <f>IF($AJ1300="","",IF($AJ1300=0,$AK1300*EXP($AL1300*-3),$AK1300*(1+$AJ1300*$AL1300*-3)^(1/$AJ1300)))</f>
        <v/>
      </c>
      <c r="AR1300">
        <f>IF(OR($X1300="",$T1300&gt;60),"",IFERROR(INDEX(IF($T1300&lt;24,pcomp_l,palt_l),MATCH($X1300,IF($T1300&lt;24,pcomp_k,palt_k),1)),""))</f>
        <v/>
      </c>
      <c r="AS1300">
        <f>IF(OR($X1300="",$T1300&gt;60),"",IFERROR(INDEX(IF($T1300&lt;24,pcomp_m,palt_m),MATCH($X1300,IF($T1300&lt;24,pcomp_k,palt_k),1)),""))</f>
        <v/>
      </c>
      <c r="AT1300">
        <f>IF(OR($X1300="",$T1300&gt;60),"",IFERROR(INDEX(IF($T1300&lt;24,pcomp_s,palt_s),MATCH($X1300,IF($T1300&lt;24,pcomp_k,palt_k),1)),""))</f>
        <v/>
      </c>
      <c r="AU1300">
        <f>IF($AR1300="","",IF($AR1300=0,LN($F1300/$AS1300)/$AT1300,((($F1300/$AS1300)^$AR1300)-1)/($AR1300*$AT1300)))</f>
        <v/>
      </c>
      <c r="AV1300">
        <f>IF($AR1300="","",IF($AR1300=0,$AS1300*EXP($AT1300*2),$AS1300*(1+$AR1300*$AT1300*2)^(1/$AR1300)))</f>
        <v/>
      </c>
      <c r="AW1300">
        <f>IF($AR1300="","",IF($AR1300=0,$AS1300*EXP($AT1300*3),$AS1300*(1+$AR1300*$AT1300*3)^(1/$AR1300)))</f>
        <v/>
      </c>
      <c r="AX1300">
        <f>IF($AR1300="","",IF($AR1300=0,$AS1300*EXP($AT1300*-2),$AS1300*(1+$AR1300*$AT1300*-2)^(1/$AR1300)))</f>
        <v/>
      </c>
      <c r="AY1300">
        <f>IF($AR1300="","",IF($AR1300=0,$AS1300*EXP($AT1300*-3),$AS1300*(1+$AR1300*$AT1300*-3)^(1/$AR1300)))</f>
        <v/>
      </c>
      <c r="AZ1300">
        <f>IF(OR($A1300="",$A1300&lt;&gt;Ficha!$C$4),"",COUNTIF($A$2:$A1300,Ficha!$C$4))</f>
        <v/>
      </c>
    </row>
    <row r="1301">
      <c r="A1301" s="8">
        <f>IF(INDEX(Banco!$A:$A,ROW())="","",INDEX(Banco!$A:$A,ROW()))</f>
        <v/>
      </c>
      <c r="B1301" s="8">
        <f>IF(INDEX(Banco!$B:$B,ROW())="","",INDEX(Banco!$B:$B,ROW()))</f>
        <v/>
      </c>
      <c r="C1301" s="8">
        <f>IF(INDEX(Banco!$C:$C,ROW())="","",INDEX(Banco!$C:$C,ROW()))</f>
        <v/>
      </c>
      <c r="D1301" s="9">
        <f>IF(INDEX(Banco!$D:$D,ROW())="","",INDEX(Banco!$D:$D,ROW()))</f>
        <v/>
      </c>
      <c r="E1301" s="9">
        <f>IF(INDEX(Banco!$E:$E,ROW())="","",INDEX(Banco!$E:$E,ROW()))</f>
        <v/>
      </c>
      <c r="F1301" s="10">
        <f>IF(INDEX(Banco!$F:$F,ROW())="","",INDEX(Banco!$F:$F,ROW()))</f>
        <v/>
      </c>
      <c r="G1301" s="10">
        <f>IF(INDEX(Banco!$G:$G,ROW())="","",INDEX(Banco!$G:$G,ROW()))</f>
        <v/>
      </c>
      <c r="H1301" s="8">
        <f>IF(INDEX(Banco!$H:$H,ROW())="","",INDEX(Banco!$H:$H,ROW()))</f>
        <v/>
      </c>
      <c r="I1301">
        <f>IF($T1301="","",INT($T1301/12)&amp;"a "&amp;MOD($T1301,12)&amp;"m")</f>
        <v/>
      </c>
      <c r="J1301" s="11">
        <f>IF(OR($F1301="",$G1301=""),"",ROUND($F1301/($G1301/100)^2,2))</f>
        <v/>
      </c>
      <c r="K1301" s="12">
        <f>IF(OR($S1301="",$J1301="",$T1301="",$T1301&lt;0,$T1301&gt;228,$Y1301=""),"—",ROUND(IF(ABS($AB1301)&lt;=3,$AB1301,IF($AB1301&gt;3,3+($J1301-$AD1301)/($AD1301-$AC1301),-3+($J1301-$AF1301)/($AE1301-$AF1301))),2))</f>
        <v/>
      </c>
      <c r="L1301">
        <f>IF(OR($K1301="",$K1301="—"),"",IF($T1301&lt;=60,IF($K1301&lt;-3,"Magreza acentuada",IF($K1301&lt;-2,"Magreza",IF($K1301&lt;=1,"Eutrofia",IF($K1301&lt;=2,"Risco de sobrepeso",IF($K1301&lt;=3,"Sobrepeso","Obesidade"))))),IF($K1301&lt;-3,"Magreza acentuada",IF($K1301&lt;-2,"Magreza",IF($K1301&lt;=1,"Eutrofia",IF($K1301&lt;=2,"Sobrepeso",IF($K1301&lt;=3,"Obesidade","Obesidade grave")))))))</f>
        <v/>
      </c>
      <c r="M1301" s="12">
        <f>IF(OR($S1301="",$V1301="",$T1301="",$T1301&lt;0,$T1301&gt;228,$AG1301=""),"—",ROUND(IF($AG1301=0,LN($V1301/$AH1301)/$AI1301,((($V1301/$AH1301)^$AG1301)-1)/($AG1301*$AI1301)),2))</f>
        <v/>
      </c>
      <c r="N1301">
        <f>IF(OR($M1301="",$M1301="—"),"",IF($M1301&lt;-3,"Muito baixa",IF($M1301&lt;-2,"Baixa","Adequada")))</f>
        <v/>
      </c>
      <c r="O1301" s="12">
        <f>IF(OR($S1301="",$F1301="",$T1301="",$T1301&lt;0,$T1301&gt;120,$AJ1301=""),"—",ROUND(IF(ABS($AM1301)&lt;=3,$AM1301,IF($AM1301&gt;3,3+($F1301-$AO1301)/($AO1301-$AN1301),-3+($F1301-$AQ1301)/($AP1301-$AQ1301))),2))</f>
        <v/>
      </c>
      <c r="P1301">
        <f>IF(OR($O1301="",$O1301="—"),"",IF($O1301&lt;-3,"Muito baixo",IF($O1301&lt;-2,"Baixo",IF($O1301&lt;=2,"Adequado","Elevado"))))</f>
        <v/>
      </c>
      <c r="Q1301" s="12">
        <f>IF(OR($S1301="",$F1301="",$T1301="",$T1301&lt;0,$T1301&gt;60,$AR1301=""),"—",ROUND(IF(ABS($AU1301)&lt;=3,$AU1301,IF($AU1301&gt;3,3+($F1301-$AW1301)/($AW1301-$AV1301),-3+($F1301-$AY1301)/($AX1301-$AY1301))),2))</f>
        <v/>
      </c>
      <c r="R1301">
        <f>IF(OR($Q1301="",$Q1301="—"),"",IF($Q1301&lt;-3,"Magreza acentuada",IF($Q1301&lt;-2,"Magreza",IF($Q1301&lt;=1,"Eutrofia",IF($Q1301&lt;=2,"Risco de sobrepeso",IF($Q1301&lt;=3,"Sobrepeso","Obesidade"))))))</f>
        <v/>
      </c>
      <c r="S1301">
        <f>IF($C1301="","",IF(UPPER(LEFT($C1301,1))="M",1,IF(UPPER(LEFT($C1301,1))="F",2,"")))</f>
        <v/>
      </c>
      <c r="T1301">
        <f>IF(OR($D1301="",$E1301=""),"",DATEDIF($D1301,$E1301,"m"))</f>
        <v/>
      </c>
      <c r="U1301">
        <f>IF(OR($D1301="",$E1301=""),"",$E1301-$D1301)</f>
        <v/>
      </c>
      <c r="V1301">
        <f>IF(OR($G1301="",$T1301=""),"",IF($T1301&lt;24,IF(LEFT(LOWER($H1301),4)="em p",$G1301+0.7,$G1301),IF(LEFT(LOWER($H1301),4)="deit",$G1301-0.7,$G1301)))</f>
        <v/>
      </c>
      <c r="W1301">
        <f>IF(OR($S1301="",$T1301=""),"",$S1301*1000000+IF($T1301&lt;=60,$U1301,$T1301))</f>
        <v/>
      </c>
      <c r="X1301">
        <f>IF(OR($S1301="",$V1301="",$T1301&gt;60,$T1301=""),"",$S1301*1000000+ROUND($V1301*10,0))</f>
        <v/>
      </c>
      <c r="Y1301">
        <f>IF($W1301="","",IFERROR(INDEX(IF($T1301&lt;=60,imc05_l,imc519_l),MATCH($W1301,IF($T1301&lt;=60,imc05_k,imc519_k),1)),""))</f>
        <v/>
      </c>
      <c r="Z1301">
        <f>IF($W1301="","",IFERROR(INDEX(IF($T1301&lt;=60,imc05_m,imc519_m),MATCH($W1301,IF($T1301&lt;=60,imc05_k,imc519_k),1)),""))</f>
        <v/>
      </c>
      <c r="AA1301">
        <f>IF($W1301="","",IFERROR(INDEX(IF($T1301&lt;=60,imc05_s,imc519_s),MATCH($W1301,IF($T1301&lt;=60,imc05_k,imc519_k),1)),""))</f>
        <v/>
      </c>
      <c r="AB1301">
        <f>IF($Y1301="","",IF($Y1301=0,LN($J1301/$Z1301)/$AA1301,((($J1301/$Z1301)^$Y1301)-1)/($Y1301*$AA1301)))</f>
        <v/>
      </c>
      <c r="AC1301">
        <f>IF($Y1301="","",IF($Y1301=0,$Z1301*EXP($AA1301*2),$Z1301*(1+$Y1301*$AA1301*2)^(1/$Y1301)))</f>
        <v/>
      </c>
      <c r="AD1301">
        <f>IF($Y1301="","",IF($Y1301=0,$Z1301*EXP($AA1301*3),$Z1301*(1+$Y1301*$AA1301*3)^(1/$Y1301)))</f>
        <v/>
      </c>
      <c r="AE1301">
        <f>IF($Y1301="","",IF($Y1301=0,$Z1301*EXP($AA1301*-2),$Z1301*(1+$Y1301*$AA1301*-2)^(1/$Y1301)))</f>
        <v/>
      </c>
      <c r="AF1301">
        <f>IF($Y1301="","",IF($Y1301=0,$Z1301*EXP($AA1301*-3),$Z1301*(1+$Y1301*$AA1301*-3)^(1/$Y1301)))</f>
        <v/>
      </c>
      <c r="AG1301">
        <f>IF($W1301="","",IFERROR(INDEX(IF($T1301&lt;=60,est05_l,est519_l),MATCH($W1301,IF($T1301&lt;=60,est05_k,est519_k),1)),""))</f>
        <v/>
      </c>
      <c r="AH1301">
        <f>IF($W1301="","",IFERROR(INDEX(IF($T1301&lt;=60,est05_m,est519_m),MATCH($W1301,IF($T1301&lt;=60,est05_k,est519_k),1)),""))</f>
        <v/>
      </c>
      <c r="AI1301">
        <f>IF($W1301="","",IFERROR(INDEX(IF($T1301&lt;=60,est05_s,est519_s),MATCH($W1301,IF($T1301&lt;=60,est05_k,est519_k),1)),""))</f>
        <v/>
      </c>
      <c r="AJ1301">
        <f>IF($W1301="","",IFERROR(INDEX(IF($T1301&lt;=60,peso05_l,peso510_l),MATCH($W1301,IF($T1301&lt;=60,peso05_k,peso510_k),1)),""))</f>
        <v/>
      </c>
      <c r="AK1301">
        <f>IF($W1301="","",IFERROR(INDEX(IF($T1301&lt;=60,peso05_m,peso510_m),MATCH($W1301,IF($T1301&lt;=60,peso05_k,peso510_k),1)),""))</f>
        <v/>
      </c>
      <c r="AL1301">
        <f>IF($W1301="","",IFERROR(INDEX(IF($T1301&lt;=60,peso05_s,peso510_s),MATCH($W1301,IF($T1301&lt;=60,peso05_k,peso510_k),1)),""))</f>
        <v/>
      </c>
      <c r="AM1301">
        <f>IF($AJ1301="","",IF($AJ1301=0,LN($F1301/$AK1301)/$AL1301,((($F1301/$AK1301)^$AJ1301)-1)/($AJ1301*$AL1301)))</f>
        <v/>
      </c>
      <c r="AN1301">
        <f>IF($AJ1301="","",IF($AJ1301=0,$AK1301*EXP($AL1301*2),$AK1301*(1+$AJ1301*$AL1301*2)^(1/$AJ1301)))</f>
        <v/>
      </c>
      <c r="AO1301">
        <f>IF($AJ1301="","",IF($AJ1301=0,$AK1301*EXP($AL1301*3),$AK1301*(1+$AJ1301*$AL1301*3)^(1/$AJ1301)))</f>
        <v/>
      </c>
      <c r="AP1301">
        <f>IF($AJ1301="","",IF($AJ1301=0,$AK1301*EXP($AL1301*-2),$AK1301*(1+$AJ1301*$AL1301*-2)^(1/$AJ1301)))</f>
        <v/>
      </c>
      <c r="AQ1301">
        <f>IF($AJ1301="","",IF($AJ1301=0,$AK1301*EXP($AL1301*-3),$AK1301*(1+$AJ1301*$AL1301*-3)^(1/$AJ1301)))</f>
        <v/>
      </c>
      <c r="AR1301">
        <f>IF(OR($X1301="",$T1301&gt;60),"",IFERROR(INDEX(IF($T1301&lt;24,pcomp_l,palt_l),MATCH($X1301,IF($T1301&lt;24,pcomp_k,palt_k),1)),""))</f>
        <v/>
      </c>
      <c r="AS1301">
        <f>IF(OR($X1301="",$T1301&gt;60),"",IFERROR(INDEX(IF($T1301&lt;24,pcomp_m,palt_m),MATCH($X1301,IF($T1301&lt;24,pcomp_k,palt_k),1)),""))</f>
        <v/>
      </c>
      <c r="AT1301">
        <f>IF(OR($X1301="",$T1301&gt;60),"",IFERROR(INDEX(IF($T1301&lt;24,pcomp_s,palt_s),MATCH($X1301,IF($T1301&lt;24,pcomp_k,palt_k),1)),""))</f>
        <v/>
      </c>
      <c r="AU1301">
        <f>IF($AR1301="","",IF($AR1301=0,LN($F1301/$AS1301)/$AT1301,((($F1301/$AS1301)^$AR1301)-1)/($AR1301*$AT1301)))</f>
        <v/>
      </c>
      <c r="AV1301">
        <f>IF($AR1301="","",IF($AR1301=0,$AS1301*EXP($AT1301*2),$AS1301*(1+$AR1301*$AT1301*2)^(1/$AR1301)))</f>
        <v/>
      </c>
      <c r="AW1301">
        <f>IF($AR1301="","",IF($AR1301=0,$AS1301*EXP($AT1301*3),$AS1301*(1+$AR1301*$AT1301*3)^(1/$AR1301)))</f>
        <v/>
      </c>
      <c r="AX1301">
        <f>IF($AR1301="","",IF($AR1301=0,$AS1301*EXP($AT1301*-2),$AS1301*(1+$AR1301*$AT1301*-2)^(1/$AR1301)))</f>
        <v/>
      </c>
      <c r="AY1301">
        <f>IF($AR1301="","",IF($AR1301=0,$AS1301*EXP($AT1301*-3),$AS1301*(1+$AR1301*$AT1301*-3)^(1/$AR1301)))</f>
        <v/>
      </c>
      <c r="AZ1301">
        <f>IF(OR($A1301="",$A1301&lt;&gt;Ficha!$C$4),"",COUNTIF($A$2:$A1301,Ficha!$C$4))</f>
        <v/>
      </c>
    </row>
    <row r="1302">
      <c r="A1302" s="8">
        <f>IF(INDEX(Banco!$A:$A,ROW())="","",INDEX(Banco!$A:$A,ROW()))</f>
        <v/>
      </c>
      <c r="B1302" s="8">
        <f>IF(INDEX(Banco!$B:$B,ROW())="","",INDEX(Banco!$B:$B,ROW()))</f>
        <v/>
      </c>
      <c r="C1302" s="8">
        <f>IF(INDEX(Banco!$C:$C,ROW())="","",INDEX(Banco!$C:$C,ROW()))</f>
        <v/>
      </c>
      <c r="D1302" s="9">
        <f>IF(INDEX(Banco!$D:$D,ROW())="","",INDEX(Banco!$D:$D,ROW()))</f>
        <v/>
      </c>
      <c r="E1302" s="9">
        <f>IF(INDEX(Banco!$E:$E,ROW())="","",INDEX(Banco!$E:$E,ROW()))</f>
        <v/>
      </c>
      <c r="F1302" s="10">
        <f>IF(INDEX(Banco!$F:$F,ROW())="","",INDEX(Banco!$F:$F,ROW()))</f>
        <v/>
      </c>
      <c r="G1302" s="10">
        <f>IF(INDEX(Banco!$G:$G,ROW())="","",INDEX(Banco!$G:$G,ROW()))</f>
        <v/>
      </c>
      <c r="H1302" s="8">
        <f>IF(INDEX(Banco!$H:$H,ROW())="","",INDEX(Banco!$H:$H,ROW()))</f>
        <v/>
      </c>
      <c r="I1302">
        <f>IF($T1302="","",INT($T1302/12)&amp;"a "&amp;MOD($T1302,12)&amp;"m")</f>
        <v/>
      </c>
      <c r="J1302" s="11">
        <f>IF(OR($F1302="",$G1302=""),"",ROUND($F1302/($G1302/100)^2,2))</f>
        <v/>
      </c>
      <c r="K1302" s="12">
        <f>IF(OR($S1302="",$J1302="",$T1302="",$T1302&lt;0,$T1302&gt;228,$Y1302=""),"—",ROUND(IF(ABS($AB1302)&lt;=3,$AB1302,IF($AB1302&gt;3,3+($J1302-$AD1302)/($AD1302-$AC1302),-3+($J1302-$AF1302)/($AE1302-$AF1302))),2))</f>
        <v/>
      </c>
      <c r="L1302">
        <f>IF(OR($K1302="",$K1302="—"),"",IF($T1302&lt;=60,IF($K1302&lt;-3,"Magreza acentuada",IF($K1302&lt;-2,"Magreza",IF($K1302&lt;=1,"Eutrofia",IF($K1302&lt;=2,"Risco de sobrepeso",IF($K1302&lt;=3,"Sobrepeso","Obesidade"))))),IF($K1302&lt;-3,"Magreza acentuada",IF($K1302&lt;-2,"Magreza",IF($K1302&lt;=1,"Eutrofia",IF($K1302&lt;=2,"Sobrepeso",IF($K1302&lt;=3,"Obesidade","Obesidade grave")))))))</f>
        <v/>
      </c>
      <c r="M1302" s="12">
        <f>IF(OR($S1302="",$V1302="",$T1302="",$T1302&lt;0,$T1302&gt;228,$AG1302=""),"—",ROUND(IF($AG1302=0,LN($V1302/$AH1302)/$AI1302,((($V1302/$AH1302)^$AG1302)-1)/($AG1302*$AI1302)),2))</f>
        <v/>
      </c>
      <c r="N1302">
        <f>IF(OR($M1302="",$M1302="—"),"",IF($M1302&lt;-3,"Muito baixa",IF($M1302&lt;-2,"Baixa","Adequada")))</f>
        <v/>
      </c>
      <c r="O1302" s="12">
        <f>IF(OR($S1302="",$F1302="",$T1302="",$T1302&lt;0,$T1302&gt;120,$AJ1302=""),"—",ROUND(IF(ABS($AM1302)&lt;=3,$AM1302,IF($AM1302&gt;3,3+($F1302-$AO1302)/($AO1302-$AN1302),-3+($F1302-$AQ1302)/($AP1302-$AQ1302))),2))</f>
        <v/>
      </c>
      <c r="P1302">
        <f>IF(OR($O1302="",$O1302="—"),"",IF($O1302&lt;-3,"Muito baixo",IF($O1302&lt;-2,"Baixo",IF($O1302&lt;=2,"Adequado","Elevado"))))</f>
        <v/>
      </c>
      <c r="Q1302" s="12">
        <f>IF(OR($S1302="",$F1302="",$T1302="",$T1302&lt;0,$T1302&gt;60,$AR1302=""),"—",ROUND(IF(ABS($AU1302)&lt;=3,$AU1302,IF($AU1302&gt;3,3+($F1302-$AW1302)/($AW1302-$AV1302),-3+($F1302-$AY1302)/($AX1302-$AY1302))),2))</f>
        <v/>
      </c>
      <c r="R1302">
        <f>IF(OR($Q1302="",$Q1302="—"),"",IF($Q1302&lt;-3,"Magreza acentuada",IF($Q1302&lt;-2,"Magreza",IF($Q1302&lt;=1,"Eutrofia",IF($Q1302&lt;=2,"Risco de sobrepeso",IF($Q1302&lt;=3,"Sobrepeso","Obesidade"))))))</f>
        <v/>
      </c>
      <c r="S1302">
        <f>IF($C1302="","",IF(UPPER(LEFT($C1302,1))="M",1,IF(UPPER(LEFT($C1302,1))="F",2,"")))</f>
        <v/>
      </c>
      <c r="T1302">
        <f>IF(OR($D1302="",$E1302=""),"",DATEDIF($D1302,$E1302,"m"))</f>
        <v/>
      </c>
      <c r="U1302">
        <f>IF(OR($D1302="",$E1302=""),"",$E1302-$D1302)</f>
        <v/>
      </c>
      <c r="V1302">
        <f>IF(OR($G1302="",$T1302=""),"",IF($T1302&lt;24,IF(LEFT(LOWER($H1302),4)="em p",$G1302+0.7,$G1302),IF(LEFT(LOWER($H1302),4)="deit",$G1302-0.7,$G1302)))</f>
        <v/>
      </c>
      <c r="W1302">
        <f>IF(OR($S1302="",$T1302=""),"",$S1302*1000000+IF($T1302&lt;=60,$U1302,$T1302))</f>
        <v/>
      </c>
      <c r="X1302">
        <f>IF(OR($S1302="",$V1302="",$T1302&gt;60,$T1302=""),"",$S1302*1000000+ROUND($V1302*10,0))</f>
        <v/>
      </c>
      <c r="Y1302">
        <f>IF($W1302="","",IFERROR(INDEX(IF($T1302&lt;=60,imc05_l,imc519_l),MATCH($W1302,IF($T1302&lt;=60,imc05_k,imc519_k),1)),""))</f>
        <v/>
      </c>
      <c r="Z1302">
        <f>IF($W1302="","",IFERROR(INDEX(IF($T1302&lt;=60,imc05_m,imc519_m),MATCH($W1302,IF($T1302&lt;=60,imc05_k,imc519_k),1)),""))</f>
        <v/>
      </c>
      <c r="AA1302">
        <f>IF($W1302="","",IFERROR(INDEX(IF($T1302&lt;=60,imc05_s,imc519_s),MATCH($W1302,IF($T1302&lt;=60,imc05_k,imc519_k),1)),""))</f>
        <v/>
      </c>
      <c r="AB1302">
        <f>IF($Y1302="","",IF($Y1302=0,LN($J1302/$Z1302)/$AA1302,((($J1302/$Z1302)^$Y1302)-1)/($Y1302*$AA1302)))</f>
        <v/>
      </c>
      <c r="AC1302">
        <f>IF($Y1302="","",IF($Y1302=0,$Z1302*EXP($AA1302*2),$Z1302*(1+$Y1302*$AA1302*2)^(1/$Y1302)))</f>
        <v/>
      </c>
      <c r="AD1302">
        <f>IF($Y1302="","",IF($Y1302=0,$Z1302*EXP($AA1302*3),$Z1302*(1+$Y1302*$AA1302*3)^(1/$Y1302)))</f>
        <v/>
      </c>
      <c r="AE1302">
        <f>IF($Y1302="","",IF($Y1302=0,$Z1302*EXP($AA1302*-2),$Z1302*(1+$Y1302*$AA1302*-2)^(1/$Y1302)))</f>
        <v/>
      </c>
      <c r="AF1302">
        <f>IF($Y1302="","",IF($Y1302=0,$Z1302*EXP($AA1302*-3),$Z1302*(1+$Y1302*$AA1302*-3)^(1/$Y1302)))</f>
        <v/>
      </c>
      <c r="AG1302">
        <f>IF($W1302="","",IFERROR(INDEX(IF($T1302&lt;=60,est05_l,est519_l),MATCH($W1302,IF($T1302&lt;=60,est05_k,est519_k),1)),""))</f>
        <v/>
      </c>
      <c r="AH1302">
        <f>IF($W1302="","",IFERROR(INDEX(IF($T1302&lt;=60,est05_m,est519_m),MATCH($W1302,IF($T1302&lt;=60,est05_k,est519_k),1)),""))</f>
        <v/>
      </c>
      <c r="AI1302">
        <f>IF($W1302="","",IFERROR(INDEX(IF($T1302&lt;=60,est05_s,est519_s),MATCH($W1302,IF($T1302&lt;=60,est05_k,est519_k),1)),""))</f>
        <v/>
      </c>
      <c r="AJ1302">
        <f>IF($W1302="","",IFERROR(INDEX(IF($T1302&lt;=60,peso05_l,peso510_l),MATCH($W1302,IF($T1302&lt;=60,peso05_k,peso510_k),1)),""))</f>
        <v/>
      </c>
      <c r="AK1302">
        <f>IF($W1302="","",IFERROR(INDEX(IF($T1302&lt;=60,peso05_m,peso510_m),MATCH($W1302,IF($T1302&lt;=60,peso05_k,peso510_k),1)),""))</f>
        <v/>
      </c>
      <c r="AL1302">
        <f>IF($W1302="","",IFERROR(INDEX(IF($T1302&lt;=60,peso05_s,peso510_s),MATCH($W1302,IF($T1302&lt;=60,peso05_k,peso510_k),1)),""))</f>
        <v/>
      </c>
      <c r="AM1302">
        <f>IF($AJ1302="","",IF($AJ1302=0,LN($F1302/$AK1302)/$AL1302,((($F1302/$AK1302)^$AJ1302)-1)/($AJ1302*$AL1302)))</f>
        <v/>
      </c>
      <c r="AN1302">
        <f>IF($AJ1302="","",IF($AJ1302=0,$AK1302*EXP($AL1302*2),$AK1302*(1+$AJ1302*$AL1302*2)^(1/$AJ1302)))</f>
        <v/>
      </c>
      <c r="AO1302">
        <f>IF($AJ1302="","",IF($AJ1302=0,$AK1302*EXP($AL1302*3),$AK1302*(1+$AJ1302*$AL1302*3)^(1/$AJ1302)))</f>
        <v/>
      </c>
      <c r="AP1302">
        <f>IF($AJ1302="","",IF($AJ1302=0,$AK1302*EXP($AL1302*-2),$AK1302*(1+$AJ1302*$AL1302*-2)^(1/$AJ1302)))</f>
        <v/>
      </c>
      <c r="AQ1302">
        <f>IF($AJ1302="","",IF($AJ1302=0,$AK1302*EXP($AL1302*-3),$AK1302*(1+$AJ1302*$AL1302*-3)^(1/$AJ1302)))</f>
        <v/>
      </c>
      <c r="AR1302">
        <f>IF(OR($X1302="",$T1302&gt;60),"",IFERROR(INDEX(IF($T1302&lt;24,pcomp_l,palt_l),MATCH($X1302,IF($T1302&lt;24,pcomp_k,palt_k),1)),""))</f>
        <v/>
      </c>
      <c r="AS1302">
        <f>IF(OR($X1302="",$T1302&gt;60),"",IFERROR(INDEX(IF($T1302&lt;24,pcomp_m,palt_m),MATCH($X1302,IF($T1302&lt;24,pcomp_k,palt_k),1)),""))</f>
        <v/>
      </c>
      <c r="AT1302">
        <f>IF(OR($X1302="",$T1302&gt;60),"",IFERROR(INDEX(IF($T1302&lt;24,pcomp_s,palt_s),MATCH($X1302,IF($T1302&lt;24,pcomp_k,palt_k),1)),""))</f>
        <v/>
      </c>
      <c r="AU1302">
        <f>IF($AR1302="","",IF($AR1302=0,LN($F1302/$AS1302)/$AT1302,((($F1302/$AS1302)^$AR1302)-1)/($AR1302*$AT1302)))</f>
        <v/>
      </c>
      <c r="AV1302">
        <f>IF($AR1302="","",IF($AR1302=0,$AS1302*EXP($AT1302*2),$AS1302*(1+$AR1302*$AT1302*2)^(1/$AR1302)))</f>
        <v/>
      </c>
      <c r="AW1302">
        <f>IF($AR1302="","",IF($AR1302=0,$AS1302*EXP($AT1302*3),$AS1302*(1+$AR1302*$AT1302*3)^(1/$AR1302)))</f>
        <v/>
      </c>
      <c r="AX1302">
        <f>IF($AR1302="","",IF($AR1302=0,$AS1302*EXP($AT1302*-2),$AS1302*(1+$AR1302*$AT1302*-2)^(1/$AR1302)))</f>
        <v/>
      </c>
      <c r="AY1302">
        <f>IF($AR1302="","",IF($AR1302=0,$AS1302*EXP($AT1302*-3),$AS1302*(1+$AR1302*$AT1302*-3)^(1/$AR1302)))</f>
        <v/>
      </c>
      <c r="AZ1302">
        <f>IF(OR($A1302="",$A1302&lt;&gt;Ficha!$C$4),"",COUNTIF($A$2:$A1302,Ficha!$C$4))</f>
        <v/>
      </c>
    </row>
    <row r="1303">
      <c r="A1303" s="8">
        <f>IF(INDEX(Banco!$A:$A,ROW())="","",INDEX(Banco!$A:$A,ROW()))</f>
        <v/>
      </c>
      <c r="B1303" s="8">
        <f>IF(INDEX(Banco!$B:$B,ROW())="","",INDEX(Banco!$B:$B,ROW()))</f>
        <v/>
      </c>
      <c r="C1303" s="8">
        <f>IF(INDEX(Banco!$C:$C,ROW())="","",INDEX(Banco!$C:$C,ROW()))</f>
        <v/>
      </c>
      <c r="D1303" s="9">
        <f>IF(INDEX(Banco!$D:$D,ROW())="","",INDEX(Banco!$D:$D,ROW()))</f>
        <v/>
      </c>
      <c r="E1303" s="9">
        <f>IF(INDEX(Banco!$E:$E,ROW())="","",INDEX(Banco!$E:$E,ROW()))</f>
        <v/>
      </c>
      <c r="F1303" s="10">
        <f>IF(INDEX(Banco!$F:$F,ROW())="","",INDEX(Banco!$F:$F,ROW()))</f>
        <v/>
      </c>
      <c r="G1303" s="10">
        <f>IF(INDEX(Banco!$G:$G,ROW())="","",INDEX(Banco!$G:$G,ROW()))</f>
        <v/>
      </c>
      <c r="H1303" s="8">
        <f>IF(INDEX(Banco!$H:$H,ROW())="","",INDEX(Banco!$H:$H,ROW()))</f>
        <v/>
      </c>
      <c r="I1303">
        <f>IF($T1303="","",INT($T1303/12)&amp;"a "&amp;MOD($T1303,12)&amp;"m")</f>
        <v/>
      </c>
      <c r="J1303" s="11">
        <f>IF(OR($F1303="",$G1303=""),"",ROUND($F1303/($G1303/100)^2,2))</f>
        <v/>
      </c>
      <c r="K1303" s="12">
        <f>IF(OR($S1303="",$J1303="",$T1303="",$T1303&lt;0,$T1303&gt;228,$Y1303=""),"—",ROUND(IF(ABS($AB1303)&lt;=3,$AB1303,IF($AB1303&gt;3,3+($J1303-$AD1303)/($AD1303-$AC1303),-3+($J1303-$AF1303)/($AE1303-$AF1303))),2))</f>
        <v/>
      </c>
      <c r="L1303">
        <f>IF(OR($K1303="",$K1303="—"),"",IF($T1303&lt;=60,IF($K1303&lt;-3,"Magreza acentuada",IF($K1303&lt;-2,"Magreza",IF($K1303&lt;=1,"Eutrofia",IF($K1303&lt;=2,"Risco de sobrepeso",IF($K1303&lt;=3,"Sobrepeso","Obesidade"))))),IF($K1303&lt;-3,"Magreza acentuada",IF($K1303&lt;-2,"Magreza",IF($K1303&lt;=1,"Eutrofia",IF($K1303&lt;=2,"Sobrepeso",IF($K1303&lt;=3,"Obesidade","Obesidade grave")))))))</f>
        <v/>
      </c>
      <c r="M1303" s="12">
        <f>IF(OR($S1303="",$V1303="",$T1303="",$T1303&lt;0,$T1303&gt;228,$AG1303=""),"—",ROUND(IF($AG1303=0,LN($V1303/$AH1303)/$AI1303,((($V1303/$AH1303)^$AG1303)-1)/($AG1303*$AI1303)),2))</f>
        <v/>
      </c>
      <c r="N1303">
        <f>IF(OR($M1303="",$M1303="—"),"",IF($M1303&lt;-3,"Muito baixa",IF($M1303&lt;-2,"Baixa","Adequada")))</f>
        <v/>
      </c>
      <c r="O1303" s="12">
        <f>IF(OR($S1303="",$F1303="",$T1303="",$T1303&lt;0,$T1303&gt;120,$AJ1303=""),"—",ROUND(IF(ABS($AM1303)&lt;=3,$AM1303,IF($AM1303&gt;3,3+($F1303-$AO1303)/($AO1303-$AN1303),-3+($F1303-$AQ1303)/($AP1303-$AQ1303))),2))</f>
        <v/>
      </c>
      <c r="P1303">
        <f>IF(OR($O1303="",$O1303="—"),"",IF($O1303&lt;-3,"Muito baixo",IF($O1303&lt;-2,"Baixo",IF($O1303&lt;=2,"Adequado","Elevado"))))</f>
        <v/>
      </c>
      <c r="Q1303" s="12">
        <f>IF(OR($S1303="",$F1303="",$T1303="",$T1303&lt;0,$T1303&gt;60,$AR1303=""),"—",ROUND(IF(ABS($AU1303)&lt;=3,$AU1303,IF($AU1303&gt;3,3+($F1303-$AW1303)/($AW1303-$AV1303),-3+($F1303-$AY1303)/($AX1303-$AY1303))),2))</f>
        <v/>
      </c>
      <c r="R1303">
        <f>IF(OR($Q1303="",$Q1303="—"),"",IF($Q1303&lt;-3,"Magreza acentuada",IF($Q1303&lt;-2,"Magreza",IF($Q1303&lt;=1,"Eutrofia",IF($Q1303&lt;=2,"Risco de sobrepeso",IF($Q1303&lt;=3,"Sobrepeso","Obesidade"))))))</f>
        <v/>
      </c>
      <c r="S1303">
        <f>IF($C1303="","",IF(UPPER(LEFT($C1303,1))="M",1,IF(UPPER(LEFT($C1303,1))="F",2,"")))</f>
        <v/>
      </c>
      <c r="T1303">
        <f>IF(OR($D1303="",$E1303=""),"",DATEDIF($D1303,$E1303,"m"))</f>
        <v/>
      </c>
      <c r="U1303">
        <f>IF(OR($D1303="",$E1303=""),"",$E1303-$D1303)</f>
        <v/>
      </c>
      <c r="V1303">
        <f>IF(OR($G1303="",$T1303=""),"",IF($T1303&lt;24,IF(LEFT(LOWER($H1303),4)="em p",$G1303+0.7,$G1303),IF(LEFT(LOWER($H1303),4)="deit",$G1303-0.7,$G1303)))</f>
        <v/>
      </c>
      <c r="W1303">
        <f>IF(OR($S1303="",$T1303=""),"",$S1303*1000000+IF($T1303&lt;=60,$U1303,$T1303))</f>
        <v/>
      </c>
      <c r="X1303">
        <f>IF(OR($S1303="",$V1303="",$T1303&gt;60,$T1303=""),"",$S1303*1000000+ROUND($V1303*10,0))</f>
        <v/>
      </c>
      <c r="Y1303">
        <f>IF($W1303="","",IFERROR(INDEX(IF($T1303&lt;=60,imc05_l,imc519_l),MATCH($W1303,IF($T1303&lt;=60,imc05_k,imc519_k),1)),""))</f>
        <v/>
      </c>
      <c r="Z1303">
        <f>IF($W1303="","",IFERROR(INDEX(IF($T1303&lt;=60,imc05_m,imc519_m),MATCH($W1303,IF($T1303&lt;=60,imc05_k,imc519_k),1)),""))</f>
        <v/>
      </c>
      <c r="AA1303">
        <f>IF($W1303="","",IFERROR(INDEX(IF($T1303&lt;=60,imc05_s,imc519_s),MATCH($W1303,IF($T1303&lt;=60,imc05_k,imc519_k),1)),""))</f>
        <v/>
      </c>
      <c r="AB1303">
        <f>IF($Y1303="","",IF($Y1303=0,LN($J1303/$Z1303)/$AA1303,((($J1303/$Z1303)^$Y1303)-1)/($Y1303*$AA1303)))</f>
        <v/>
      </c>
      <c r="AC1303">
        <f>IF($Y1303="","",IF($Y1303=0,$Z1303*EXP($AA1303*2),$Z1303*(1+$Y1303*$AA1303*2)^(1/$Y1303)))</f>
        <v/>
      </c>
      <c r="AD1303">
        <f>IF($Y1303="","",IF($Y1303=0,$Z1303*EXP($AA1303*3),$Z1303*(1+$Y1303*$AA1303*3)^(1/$Y1303)))</f>
        <v/>
      </c>
      <c r="AE1303">
        <f>IF($Y1303="","",IF($Y1303=0,$Z1303*EXP($AA1303*-2),$Z1303*(1+$Y1303*$AA1303*-2)^(1/$Y1303)))</f>
        <v/>
      </c>
      <c r="AF1303">
        <f>IF($Y1303="","",IF($Y1303=0,$Z1303*EXP($AA1303*-3),$Z1303*(1+$Y1303*$AA1303*-3)^(1/$Y1303)))</f>
        <v/>
      </c>
      <c r="AG1303">
        <f>IF($W1303="","",IFERROR(INDEX(IF($T1303&lt;=60,est05_l,est519_l),MATCH($W1303,IF($T1303&lt;=60,est05_k,est519_k),1)),""))</f>
        <v/>
      </c>
      <c r="AH1303">
        <f>IF($W1303="","",IFERROR(INDEX(IF($T1303&lt;=60,est05_m,est519_m),MATCH($W1303,IF($T1303&lt;=60,est05_k,est519_k),1)),""))</f>
        <v/>
      </c>
      <c r="AI1303">
        <f>IF($W1303="","",IFERROR(INDEX(IF($T1303&lt;=60,est05_s,est519_s),MATCH($W1303,IF($T1303&lt;=60,est05_k,est519_k),1)),""))</f>
        <v/>
      </c>
      <c r="AJ1303">
        <f>IF($W1303="","",IFERROR(INDEX(IF($T1303&lt;=60,peso05_l,peso510_l),MATCH($W1303,IF($T1303&lt;=60,peso05_k,peso510_k),1)),""))</f>
        <v/>
      </c>
      <c r="AK1303">
        <f>IF($W1303="","",IFERROR(INDEX(IF($T1303&lt;=60,peso05_m,peso510_m),MATCH($W1303,IF($T1303&lt;=60,peso05_k,peso510_k),1)),""))</f>
        <v/>
      </c>
      <c r="AL1303">
        <f>IF($W1303="","",IFERROR(INDEX(IF($T1303&lt;=60,peso05_s,peso510_s),MATCH($W1303,IF($T1303&lt;=60,peso05_k,peso510_k),1)),""))</f>
        <v/>
      </c>
      <c r="AM1303">
        <f>IF($AJ1303="","",IF($AJ1303=0,LN($F1303/$AK1303)/$AL1303,((($F1303/$AK1303)^$AJ1303)-1)/($AJ1303*$AL1303)))</f>
        <v/>
      </c>
      <c r="AN1303">
        <f>IF($AJ1303="","",IF($AJ1303=0,$AK1303*EXP($AL1303*2),$AK1303*(1+$AJ1303*$AL1303*2)^(1/$AJ1303)))</f>
        <v/>
      </c>
      <c r="AO1303">
        <f>IF($AJ1303="","",IF($AJ1303=0,$AK1303*EXP($AL1303*3),$AK1303*(1+$AJ1303*$AL1303*3)^(1/$AJ1303)))</f>
        <v/>
      </c>
      <c r="AP1303">
        <f>IF($AJ1303="","",IF($AJ1303=0,$AK1303*EXP($AL1303*-2),$AK1303*(1+$AJ1303*$AL1303*-2)^(1/$AJ1303)))</f>
        <v/>
      </c>
      <c r="AQ1303">
        <f>IF($AJ1303="","",IF($AJ1303=0,$AK1303*EXP($AL1303*-3),$AK1303*(1+$AJ1303*$AL1303*-3)^(1/$AJ1303)))</f>
        <v/>
      </c>
      <c r="AR1303">
        <f>IF(OR($X1303="",$T1303&gt;60),"",IFERROR(INDEX(IF($T1303&lt;24,pcomp_l,palt_l),MATCH($X1303,IF($T1303&lt;24,pcomp_k,palt_k),1)),""))</f>
        <v/>
      </c>
      <c r="AS1303">
        <f>IF(OR($X1303="",$T1303&gt;60),"",IFERROR(INDEX(IF($T1303&lt;24,pcomp_m,palt_m),MATCH($X1303,IF($T1303&lt;24,pcomp_k,palt_k),1)),""))</f>
        <v/>
      </c>
      <c r="AT1303">
        <f>IF(OR($X1303="",$T1303&gt;60),"",IFERROR(INDEX(IF($T1303&lt;24,pcomp_s,palt_s),MATCH($X1303,IF($T1303&lt;24,pcomp_k,palt_k),1)),""))</f>
        <v/>
      </c>
      <c r="AU1303">
        <f>IF($AR1303="","",IF($AR1303=0,LN($F1303/$AS1303)/$AT1303,((($F1303/$AS1303)^$AR1303)-1)/($AR1303*$AT1303)))</f>
        <v/>
      </c>
      <c r="AV1303">
        <f>IF($AR1303="","",IF($AR1303=0,$AS1303*EXP($AT1303*2),$AS1303*(1+$AR1303*$AT1303*2)^(1/$AR1303)))</f>
        <v/>
      </c>
      <c r="AW1303">
        <f>IF($AR1303="","",IF($AR1303=0,$AS1303*EXP($AT1303*3),$AS1303*(1+$AR1303*$AT1303*3)^(1/$AR1303)))</f>
        <v/>
      </c>
      <c r="AX1303">
        <f>IF($AR1303="","",IF($AR1303=0,$AS1303*EXP($AT1303*-2),$AS1303*(1+$AR1303*$AT1303*-2)^(1/$AR1303)))</f>
        <v/>
      </c>
      <c r="AY1303">
        <f>IF($AR1303="","",IF($AR1303=0,$AS1303*EXP($AT1303*-3),$AS1303*(1+$AR1303*$AT1303*-3)^(1/$AR1303)))</f>
        <v/>
      </c>
      <c r="AZ1303">
        <f>IF(OR($A1303="",$A1303&lt;&gt;Ficha!$C$4),"",COUNTIF($A$2:$A1303,Ficha!$C$4))</f>
        <v/>
      </c>
    </row>
    <row r="1304">
      <c r="A1304" s="8">
        <f>IF(INDEX(Banco!$A:$A,ROW())="","",INDEX(Banco!$A:$A,ROW()))</f>
        <v/>
      </c>
      <c r="B1304" s="8">
        <f>IF(INDEX(Banco!$B:$B,ROW())="","",INDEX(Banco!$B:$B,ROW()))</f>
        <v/>
      </c>
      <c r="C1304" s="8">
        <f>IF(INDEX(Banco!$C:$C,ROW())="","",INDEX(Banco!$C:$C,ROW()))</f>
        <v/>
      </c>
      <c r="D1304" s="9">
        <f>IF(INDEX(Banco!$D:$D,ROW())="","",INDEX(Banco!$D:$D,ROW()))</f>
        <v/>
      </c>
      <c r="E1304" s="9">
        <f>IF(INDEX(Banco!$E:$E,ROW())="","",INDEX(Banco!$E:$E,ROW()))</f>
        <v/>
      </c>
      <c r="F1304" s="10">
        <f>IF(INDEX(Banco!$F:$F,ROW())="","",INDEX(Banco!$F:$F,ROW()))</f>
        <v/>
      </c>
      <c r="G1304" s="10">
        <f>IF(INDEX(Banco!$G:$G,ROW())="","",INDEX(Banco!$G:$G,ROW()))</f>
        <v/>
      </c>
      <c r="H1304" s="8">
        <f>IF(INDEX(Banco!$H:$H,ROW())="","",INDEX(Banco!$H:$H,ROW()))</f>
        <v/>
      </c>
      <c r="I1304">
        <f>IF($T1304="","",INT($T1304/12)&amp;"a "&amp;MOD($T1304,12)&amp;"m")</f>
        <v/>
      </c>
      <c r="J1304" s="11">
        <f>IF(OR($F1304="",$G1304=""),"",ROUND($F1304/($G1304/100)^2,2))</f>
        <v/>
      </c>
      <c r="K1304" s="12">
        <f>IF(OR($S1304="",$J1304="",$T1304="",$T1304&lt;0,$T1304&gt;228,$Y1304=""),"—",ROUND(IF(ABS($AB1304)&lt;=3,$AB1304,IF($AB1304&gt;3,3+($J1304-$AD1304)/($AD1304-$AC1304),-3+($J1304-$AF1304)/($AE1304-$AF1304))),2))</f>
        <v/>
      </c>
      <c r="L1304">
        <f>IF(OR($K1304="",$K1304="—"),"",IF($T1304&lt;=60,IF($K1304&lt;-3,"Magreza acentuada",IF($K1304&lt;-2,"Magreza",IF($K1304&lt;=1,"Eutrofia",IF($K1304&lt;=2,"Risco de sobrepeso",IF($K1304&lt;=3,"Sobrepeso","Obesidade"))))),IF($K1304&lt;-3,"Magreza acentuada",IF($K1304&lt;-2,"Magreza",IF($K1304&lt;=1,"Eutrofia",IF($K1304&lt;=2,"Sobrepeso",IF($K1304&lt;=3,"Obesidade","Obesidade grave")))))))</f>
        <v/>
      </c>
      <c r="M1304" s="12">
        <f>IF(OR($S1304="",$V1304="",$T1304="",$T1304&lt;0,$T1304&gt;228,$AG1304=""),"—",ROUND(IF($AG1304=0,LN($V1304/$AH1304)/$AI1304,((($V1304/$AH1304)^$AG1304)-1)/($AG1304*$AI1304)),2))</f>
        <v/>
      </c>
      <c r="N1304">
        <f>IF(OR($M1304="",$M1304="—"),"",IF($M1304&lt;-3,"Muito baixa",IF($M1304&lt;-2,"Baixa","Adequada")))</f>
        <v/>
      </c>
      <c r="O1304" s="12">
        <f>IF(OR($S1304="",$F1304="",$T1304="",$T1304&lt;0,$T1304&gt;120,$AJ1304=""),"—",ROUND(IF(ABS($AM1304)&lt;=3,$AM1304,IF($AM1304&gt;3,3+($F1304-$AO1304)/($AO1304-$AN1304),-3+($F1304-$AQ1304)/($AP1304-$AQ1304))),2))</f>
        <v/>
      </c>
      <c r="P1304">
        <f>IF(OR($O1304="",$O1304="—"),"",IF($O1304&lt;-3,"Muito baixo",IF($O1304&lt;-2,"Baixo",IF($O1304&lt;=2,"Adequado","Elevado"))))</f>
        <v/>
      </c>
      <c r="Q1304" s="12">
        <f>IF(OR($S1304="",$F1304="",$T1304="",$T1304&lt;0,$T1304&gt;60,$AR1304=""),"—",ROUND(IF(ABS($AU1304)&lt;=3,$AU1304,IF($AU1304&gt;3,3+($F1304-$AW1304)/($AW1304-$AV1304),-3+($F1304-$AY1304)/($AX1304-$AY1304))),2))</f>
        <v/>
      </c>
      <c r="R1304">
        <f>IF(OR($Q1304="",$Q1304="—"),"",IF($Q1304&lt;-3,"Magreza acentuada",IF($Q1304&lt;-2,"Magreza",IF($Q1304&lt;=1,"Eutrofia",IF($Q1304&lt;=2,"Risco de sobrepeso",IF($Q1304&lt;=3,"Sobrepeso","Obesidade"))))))</f>
        <v/>
      </c>
      <c r="S1304">
        <f>IF($C1304="","",IF(UPPER(LEFT($C1304,1))="M",1,IF(UPPER(LEFT($C1304,1))="F",2,"")))</f>
        <v/>
      </c>
      <c r="T1304">
        <f>IF(OR($D1304="",$E1304=""),"",DATEDIF($D1304,$E1304,"m"))</f>
        <v/>
      </c>
      <c r="U1304">
        <f>IF(OR($D1304="",$E1304=""),"",$E1304-$D1304)</f>
        <v/>
      </c>
      <c r="V1304">
        <f>IF(OR($G1304="",$T1304=""),"",IF($T1304&lt;24,IF(LEFT(LOWER($H1304),4)="em p",$G1304+0.7,$G1304),IF(LEFT(LOWER($H1304),4)="deit",$G1304-0.7,$G1304)))</f>
        <v/>
      </c>
      <c r="W1304">
        <f>IF(OR($S1304="",$T1304=""),"",$S1304*1000000+IF($T1304&lt;=60,$U1304,$T1304))</f>
        <v/>
      </c>
      <c r="X1304">
        <f>IF(OR($S1304="",$V1304="",$T1304&gt;60,$T1304=""),"",$S1304*1000000+ROUND($V1304*10,0))</f>
        <v/>
      </c>
      <c r="Y1304">
        <f>IF($W1304="","",IFERROR(INDEX(IF($T1304&lt;=60,imc05_l,imc519_l),MATCH($W1304,IF($T1304&lt;=60,imc05_k,imc519_k),1)),""))</f>
        <v/>
      </c>
      <c r="Z1304">
        <f>IF($W1304="","",IFERROR(INDEX(IF($T1304&lt;=60,imc05_m,imc519_m),MATCH($W1304,IF($T1304&lt;=60,imc05_k,imc519_k),1)),""))</f>
        <v/>
      </c>
      <c r="AA1304">
        <f>IF($W1304="","",IFERROR(INDEX(IF($T1304&lt;=60,imc05_s,imc519_s),MATCH($W1304,IF($T1304&lt;=60,imc05_k,imc519_k),1)),""))</f>
        <v/>
      </c>
      <c r="AB1304">
        <f>IF($Y1304="","",IF($Y1304=0,LN($J1304/$Z1304)/$AA1304,((($J1304/$Z1304)^$Y1304)-1)/($Y1304*$AA1304)))</f>
        <v/>
      </c>
      <c r="AC1304">
        <f>IF($Y1304="","",IF($Y1304=0,$Z1304*EXP($AA1304*2),$Z1304*(1+$Y1304*$AA1304*2)^(1/$Y1304)))</f>
        <v/>
      </c>
      <c r="AD1304">
        <f>IF($Y1304="","",IF($Y1304=0,$Z1304*EXP($AA1304*3),$Z1304*(1+$Y1304*$AA1304*3)^(1/$Y1304)))</f>
        <v/>
      </c>
      <c r="AE1304">
        <f>IF($Y1304="","",IF($Y1304=0,$Z1304*EXP($AA1304*-2),$Z1304*(1+$Y1304*$AA1304*-2)^(1/$Y1304)))</f>
        <v/>
      </c>
      <c r="AF1304">
        <f>IF($Y1304="","",IF($Y1304=0,$Z1304*EXP($AA1304*-3),$Z1304*(1+$Y1304*$AA1304*-3)^(1/$Y1304)))</f>
        <v/>
      </c>
      <c r="AG1304">
        <f>IF($W1304="","",IFERROR(INDEX(IF($T1304&lt;=60,est05_l,est519_l),MATCH($W1304,IF($T1304&lt;=60,est05_k,est519_k),1)),""))</f>
        <v/>
      </c>
      <c r="AH1304">
        <f>IF($W1304="","",IFERROR(INDEX(IF($T1304&lt;=60,est05_m,est519_m),MATCH($W1304,IF($T1304&lt;=60,est05_k,est519_k),1)),""))</f>
        <v/>
      </c>
      <c r="AI1304">
        <f>IF($W1304="","",IFERROR(INDEX(IF($T1304&lt;=60,est05_s,est519_s),MATCH($W1304,IF($T1304&lt;=60,est05_k,est519_k),1)),""))</f>
        <v/>
      </c>
      <c r="AJ1304">
        <f>IF($W1304="","",IFERROR(INDEX(IF($T1304&lt;=60,peso05_l,peso510_l),MATCH($W1304,IF($T1304&lt;=60,peso05_k,peso510_k),1)),""))</f>
        <v/>
      </c>
      <c r="AK1304">
        <f>IF($W1304="","",IFERROR(INDEX(IF($T1304&lt;=60,peso05_m,peso510_m),MATCH($W1304,IF($T1304&lt;=60,peso05_k,peso510_k),1)),""))</f>
        <v/>
      </c>
      <c r="AL1304">
        <f>IF($W1304="","",IFERROR(INDEX(IF($T1304&lt;=60,peso05_s,peso510_s),MATCH($W1304,IF($T1304&lt;=60,peso05_k,peso510_k),1)),""))</f>
        <v/>
      </c>
      <c r="AM1304">
        <f>IF($AJ1304="","",IF($AJ1304=0,LN($F1304/$AK1304)/$AL1304,((($F1304/$AK1304)^$AJ1304)-1)/($AJ1304*$AL1304)))</f>
        <v/>
      </c>
      <c r="AN1304">
        <f>IF($AJ1304="","",IF($AJ1304=0,$AK1304*EXP($AL1304*2),$AK1304*(1+$AJ1304*$AL1304*2)^(1/$AJ1304)))</f>
        <v/>
      </c>
      <c r="AO1304">
        <f>IF($AJ1304="","",IF($AJ1304=0,$AK1304*EXP($AL1304*3),$AK1304*(1+$AJ1304*$AL1304*3)^(1/$AJ1304)))</f>
        <v/>
      </c>
      <c r="AP1304">
        <f>IF($AJ1304="","",IF($AJ1304=0,$AK1304*EXP($AL1304*-2),$AK1304*(1+$AJ1304*$AL1304*-2)^(1/$AJ1304)))</f>
        <v/>
      </c>
      <c r="AQ1304">
        <f>IF($AJ1304="","",IF($AJ1304=0,$AK1304*EXP($AL1304*-3),$AK1304*(1+$AJ1304*$AL1304*-3)^(1/$AJ1304)))</f>
        <v/>
      </c>
      <c r="AR1304">
        <f>IF(OR($X1304="",$T1304&gt;60),"",IFERROR(INDEX(IF($T1304&lt;24,pcomp_l,palt_l),MATCH($X1304,IF($T1304&lt;24,pcomp_k,palt_k),1)),""))</f>
        <v/>
      </c>
      <c r="AS1304">
        <f>IF(OR($X1304="",$T1304&gt;60),"",IFERROR(INDEX(IF($T1304&lt;24,pcomp_m,palt_m),MATCH($X1304,IF($T1304&lt;24,pcomp_k,palt_k),1)),""))</f>
        <v/>
      </c>
      <c r="AT1304">
        <f>IF(OR($X1304="",$T1304&gt;60),"",IFERROR(INDEX(IF($T1304&lt;24,pcomp_s,palt_s),MATCH($X1304,IF($T1304&lt;24,pcomp_k,palt_k),1)),""))</f>
        <v/>
      </c>
      <c r="AU1304">
        <f>IF($AR1304="","",IF($AR1304=0,LN($F1304/$AS1304)/$AT1304,((($F1304/$AS1304)^$AR1304)-1)/($AR1304*$AT1304)))</f>
        <v/>
      </c>
      <c r="AV1304">
        <f>IF($AR1304="","",IF($AR1304=0,$AS1304*EXP($AT1304*2),$AS1304*(1+$AR1304*$AT1304*2)^(1/$AR1304)))</f>
        <v/>
      </c>
      <c r="AW1304">
        <f>IF($AR1304="","",IF($AR1304=0,$AS1304*EXP($AT1304*3),$AS1304*(1+$AR1304*$AT1304*3)^(1/$AR1304)))</f>
        <v/>
      </c>
      <c r="AX1304">
        <f>IF($AR1304="","",IF($AR1304=0,$AS1304*EXP($AT1304*-2),$AS1304*(1+$AR1304*$AT1304*-2)^(1/$AR1304)))</f>
        <v/>
      </c>
      <c r="AY1304">
        <f>IF($AR1304="","",IF($AR1304=0,$AS1304*EXP($AT1304*-3),$AS1304*(1+$AR1304*$AT1304*-3)^(1/$AR1304)))</f>
        <v/>
      </c>
      <c r="AZ1304">
        <f>IF(OR($A1304="",$A1304&lt;&gt;Ficha!$C$4),"",COUNTIF($A$2:$A1304,Ficha!$C$4))</f>
        <v/>
      </c>
    </row>
    <row r="1305">
      <c r="A1305" s="8">
        <f>IF(INDEX(Banco!$A:$A,ROW())="","",INDEX(Banco!$A:$A,ROW()))</f>
        <v/>
      </c>
      <c r="B1305" s="8">
        <f>IF(INDEX(Banco!$B:$B,ROW())="","",INDEX(Banco!$B:$B,ROW()))</f>
        <v/>
      </c>
      <c r="C1305" s="8">
        <f>IF(INDEX(Banco!$C:$C,ROW())="","",INDEX(Banco!$C:$C,ROW()))</f>
        <v/>
      </c>
      <c r="D1305" s="9">
        <f>IF(INDEX(Banco!$D:$D,ROW())="","",INDEX(Banco!$D:$D,ROW()))</f>
        <v/>
      </c>
      <c r="E1305" s="9">
        <f>IF(INDEX(Banco!$E:$E,ROW())="","",INDEX(Banco!$E:$E,ROW()))</f>
        <v/>
      </c>
      <c r="F1305" s="10">
        <f>IF(INDEX(Banco!$F:$F,ROW())="","",INDEX(Banco!$F:$F,ROW()))</f>
        <v/>
      </c>
      <c r="G1305" s="10">
        <f>IF(INDEX(Banco!$G:$G,ROW())="","",INDEX(Banco!$G:$G,ROW()))</f>
        <v/>
      </c>
      <c r="H1305" s="8">
        <f>IF(INDEX(Banco!$H:$H,ROW())="","",INDEX(Banco!$H:$H,ROW()))</f>
        <v/>
      </c>
      <c r="I1305">
        <f>IF($T1305="","",INT($T1305/12)&amp;"a "&amp;MOD($T1305,12)&amp;"m")</f>
        <v/>
      </c>
      <c r="J1305" s="11">
        <f>IF(OR($F1305="",$G1305=""),"",ROUND($F1305/($G1305/100)^2,2))</f>
        <v/>
      </c>
      <c r="K1305" s="12">
        <f>IF(OR($S1305="",$J1305="",$T1305="",$T1305&lt;0,$T1305&gt;228,$Y1305=""),"—",ROUND(IF(ABS($AB1305)&lt;=3,$AB1305,IF($AB1305&gt;3,3+($J1305-$AD1305)/($AD1305-$AC1305),-3+($J1305-$AF1305)/($AE1305-$AF1305))),2))</f>
        <v/>
      </c>
      <c r="L1305">
        <f>IF(OR($K1305="",$K1305="—"),"",IF($T1305&lt;=60,IF($K1305&lt;-3,"Magreza acentuada",IF($K1305&lt;-2,"Magreza",IF($K1305&lt;=1,"Eutrofia",IF($K1305&lt;=2,"Risco de sobrepeso",IF($K1305&lt;=3,"Sobrepeso","Obesidade"))))),IF($K1305&lt;-3,"Magreza acentuada",IF($K1305&lt;-2,"Magreza",IF($K1305&lt;=1,"Eutrofia",IF($K1305&lt;=2,"Sobrepeso",IF($K1305&lt;=3,"Obesidade","Obesidade grave")))))))</f>
        <v/>
      </c>
      <c r="M1305" s="12">
        <f>IF(OR($S1305="",$V1305="",$T1305="",$T1305&lt;0,$T1305&gt;228,$AG1305=""),"—",ROUND(IF($AG1305=0,LN($V1305/$AH1305)/$AI1305,((($V1305/$AH1305)^$AG1305)-1)/($AG1305*$AI1305)),2))</f>
        <v/>
      </c>
      <c r="N1305">
        <f>IF(OR($M1305="",$M1305="—"),"",IF($M1305&lt;-3,"Muito baixa",IF($M1305&lt;-2,"Baixa","Adequada")))</f>
        <v/>
      </c>
      <c r="O1305" s="12">
        <f>IF(OR($S1305="",$F1305="",$T1305="",$T1305&lt;0,$T1305&gt;120,$AJ1305=""),"—",ROUND(IF(ABS($AM1305)&lt;=3,$AM1305,IF($AM1305&gt;3,3+($F1305-$AO1305)/($AO1305-$AN1305),-3+($F1305-$AQ1305)/($AP1305-$AQ1305))),2))</f>
        <v/>
      </c>
      <c r="P1305">
        <f>IF(OR($O1305="",$O1305="—"),"",IF($O1305&lt;-3,"Muito baixo",IF($O1305&lt;-2,"Baixo",IF($O1305&lt;=2,"Adequado","Elevado"))))</f>
        <v/>
      </c>
      <c r="Q1305" s="12">
        <f>IF(OR($S1305="",$F1305="",$T1305="",$T1305&lt;0,$T1305&gt;60,$AR1305=""),"—",ROUND(IF(ABS($AU1305)&lt;=3,$AU1305,IF($AU1305&gt;3,3+($F1305-$AW1305)/($AW1305-$AV1305),-3+($F1305-$AY1305)/($AX1305-$AY1305))),2))</f>
        <v/>
      </c>
      <c r="R1305">
        <f>IF(OR($Q1305="",$Q1305="—"),"",IF($Q1305&lt;-3,"Magreza acentuada",IF($Q1305&lt;-2,"Magreza",IF($Q1305&lt;=1,"Eutrofia",IF($Q1305&lt;=2,"Risco de sobrepeso",IF($Q1305&lt;=3,"Sobrepeso","Obesidade"))))))</f>
        <v/>
      </c>
      <c r="S1305">
        <f>IF($C1305="","",IF(UPPER(LEFT($C1305,1))="M",1,IF(UPPER(LEFT($C1305,1))="F",2,"")))</f>
        <v/>
      </c>
      <c r="T1305">
        <f>IF(OR($D1305="",$E1305=""),"",DATEDIF($D1305,$E1305,"m"))</f>
        <v/>
      </c>
      <c r="U1305">
        <f>IF(OR($D1305="",$E1305=""),"",$E1305-$D1305)</f>
        <v/>
      </c>
      <c r="V1305">
        <f>IF(OR($G1305="",$T1305=""),"",IF($T1305&lt;24,IF(LEFT(LOWER($H1305),4)="em p",$G1305+0.7,$G1305),IF(LEFT(LOWER($H1305),4)="deit",$G1305-0.7,$G1305)))</f>
        <v/>
      </c>
      <c r="W1305">
        <f>IF(OR($S1305="",$T1305=""),"",$S1305*1000000+IF($T1305&lt;=60,$U1305,$T1305))</f>
        <v/>
      </c>
      <c r="X1305">
        <f>IF(OR($S1305="",$V1305="",$T1305&gt;60,$T1305=""),"",$S1305*1000000+ROUND($V1305*10,0))</f>
        <v/>
      </c>
      <c r="Y1305">
        <f>IF($W1305="","",IFERROR(INDEX(IF($T1305&lt;=60,imc05_l,imc519_l),MATCH($W1305,IF($T1305&lt;=60,imc05_k,imc519_k),1)),""))</f>
        <v/>
      </c>
      <c r="Z1305">
        <f>IF($W1305="","",IFERROR(INDEX(IF($T1305&lt;=60,imc05_m,imc519_m),MATCH($W1305,IF($T1305&lt;=60,imc05_k,imc519_k),1)),""))</f>
        <v/>
      </c>
      <c r="AA1305">
        <f>IF($W1305="","",IFERROR(INDEX(IF($T1305&lt;=60,imc05_s,imc519_s),MATCH($W1305,IF($T1305&lt;=60,imc05_k,imc519_k),1)),""))</f>
        <v/>
      </c>
      <c r="AB1305">
        <f>IF($Y1305="","",IF($Y1305=0,LN($J1305/$Z1305)/$AA1305,((($J1305/$Z1305)^$Y1305)-1)/($Y1305*$AA1305)))</f>
        <v/>
      </c>
      <c r="AC1305">
        <f>IF($Y1305="","",IF($Y1305=0,$Z1305*EXP($AA1305*2),$Z1305*(1+$Y1305*$AA1305*2)^(1/$Y1305)))</f>
        <v/>
      </c>
      <c r="AD1305">
        <f>IF($Y1305="","",IF($Y1305=0,$Z1305*EXP($AA1305*3),$Z1305*(1+$Y1305*$AA1305*3)^(1/$Y1305)))</f>
        <v/>
      </c>
      <c r="AE1305">
        <f>IF($Y1305="","",IF($Y1305=0,$Z1305*EXP($AA1305*-2),$Z1305*(1+$Y1305*$AA1305*-2)^(1/$Y1305)))</f>
        <v/>
      </c>
      <c r="AF1305">
        <f>IF($Y1305="","",IF($Y1305=0,$Z1305*EXP($AA1305*-3),$Z1305*(1+$Y1305*$AA1305*-3)^(1/$Y1305)))</f>
        <v/>
      </c>
      <c r="AG1305">
        <f>IF($W1305="","",IFERROR(INDEX(IF($T1305&lt;=60,est05_l,est519_l),MATCH($W1305,IF($T1305&lt;=60,est05_k,est519_k),1)),""))</f>
        <v/>
      </c>
      <c r="AH1305">
        <f>IF($W1305="","",IFERROR(INDEX(IF($T1305&lt;=60,est05_m,est519_m),MATCH($W1305,IF($T1305&lt;=60,est05_k,est519_k),1)),""))</f>
        <v/>
      </c>
      <c r="AI1305">
        <f>IF($W1305="","",IFERROR(INDEX(IF($T1305&lt;=60,est05_s,est519_s),MATCH($W1305,IF($T1305&lt;=60,est05_k,est519_k),1)),""))</f>
        <v/>
      </c>
      <c r="AJ1305">
        <f>IF($W1305="","",IFERROR(INDEX(IF($T1305&lt;=60,peso05_l,peso510_l),MATCH($W1305,IF($T1305&lt;=60,peso05_k,peso510_k),1)),""))</f>
        <v/>
      </c>
      <c r="AK1305">
        <f>IF($W1305="","",IFERROR(INDEX(IF($T1305&lt;=60,peso05_m,peso510_m),MATCH($W1305,IF($T1305&lt;=60,peso05_k,peso510_k),1)),""))</f>
        <v/>
      </c>
      <c r="AL1305">
        <f>IF($W1305="","",IFERROR(INDEX(IF($T1305&lt;=60,peso05_s,peso510_s),MATCH($W1305,IF($T1305&lt;=60,peso05_k,peso510_k),1)),""))</f>
        <v/>
      </c>
      <c r="AM1305">
        <f>IF($AJ1305="","",IF($AJ1305=0,LN($F1305/$AK1305)/$AL1305,((($F1305/$AK1305)^$AJ1305)-1)/($AJ1305*$AL1305)))</f>
        <v/>
      </c>
      <c r="AN1305">
        <f>IF($AJ1305="","",IF($AJ1305=0,$AK1305*EXP($AL1305*2),$AK1305*(1+$AJ1305*$AL1305*2)^(1/$AJ1305)))</f>
        <v/>
      </c>
      <c r="AO1305">
        <f>IF($AJ1305="","",IF($AJ1305=0,$AK1305*EXP($AL1305*3),$AK1305*(1+$AJ1305*$AL1305*3)^(1/$AJ1305)))</f>
        <v/>
      </c>
      <c r="AP1305">
        <f>IF($AJ1305="","",IF($AJ1305=0,$AK1305*EXP($AL1305*-2),$AK1305*(1+$AJ1305*$AL1305*-2)^(1/$AJ1305)))</f>
        <v/>
      </c>
      <c r="AQ1305">
        <f>IF($AJ1305="","",IF($AJ1305=0,$AK1305*EXP($AL1305*-3),$AK1305*(1+$AJ1305*$AL1305*-3)^(1/$AJ1305)))</f>
        <v/>
      </c>
      <c r="AR1305">
        <f>IF(OR($X1305="",$T1305&gt;60),"",IFERROR(INDEX(IF($T1305&lt;24,pcomp_l,palt_l),MATCH($X1305,IF($T1305&lt;24,pcomp_k,palt_k),1)),""))</f>
        <v/>
      </c>
      <c r="AS1305">
        <f>IF(OR($X1305="",$T1305&gt;60),"",IFERROR(INDEX(IF($T1305&lt;24,pcomp_m,palt_m),MATCH($X1305,IF($T1305&lt;24,pcomp_k,palt_k),1)),""))</f>
        <v/>
      </c>
      <c r="AT1305">
        <f>IF(OR($X1305="",$T1305&gt;60),"",IFERROR(INDEX(IF($T1305&lt;24,pcomp_s,palt_s),MATCH($X1305,IF($T1305&lt;24,pcomp_k,palt_k),1)),""))</f>
        <v/>
      </c>
      <c r="AU1305">
        <f>IF($AR1305="","",IF($AR1305=0,LN($F1305/$AS1305)/$AT1305,((($F1305/$AS1305)^$AR1305)-1)/($AR1305*$AT1305)))</f>
        <v/>
      </c>
      <c r="AV1305">
        <f>IF($AR1305="","",IF($AR1305=0,$AS1305*EXP($AT1305*2),$AS1305*(1+$AR1305*$AT1305*2)^(1/$AR1305)))</f>
        <v/>
      </c>
      <c r="AW1305">
        <f>IF($AR1305="","",IF($AR1305=0,$AS1305*EXP($AT1305*3),$AS1305*(1+$AR1305*$AT1305*3)^(1/$AR1305)))</f>
        <v/>
      </c>
      <c r="AX1305">
        <f>IF($AR1305="","",IF($AR1305=0,$AS1305*EXP($AT1305*-2),$AS1305*(1+$AR1305*$AT1305*-2)^(1/$AR1305)))</f>
        <v/>
      </c>
      <c r="AY1305">
        <f>IF($AR1305="","",IF($AR1305=0,$AS1305*EXP($AT1305*-3),$AS1305*(1+$AR1305*$AT1305*-3)^(1/$AR1305)))</f>
        <v/>
      </c>
      <c r="AZ1305">
        <f>IF(OR($A1305="",$A1305&lt;&gt;Ficha!$C$4),"",COUNTIF($A$2:$A1305,Ficha!$C$4))</f>
        <v/>
      </c>
    </row>
    <row r="1306">
      <c r="A1306" s="8">
        <f>IF(INDEX(Banco!$A:$A,ROW())="","",INDEX(Banco!$A:$A,ROW()))</f>
        <v/>
      </c>
      <c r="B1306" s="8">
        <f>IF(INDEX(Banco!$B:$B,ROW())="","",INDEX(Banco!$B:$B,ROW()))</f>
        <v/>
      </c>
      <c r="C1306" s="8">
        <f>IF(INDEX(Banco!$C:$C,ROW())="","",INDEX(Banco!$C:$C,ROW()))</f>
        <v/>
      </c>
      <c r="D1306" s="9">
        <f>IF(INDEX(Banco!$D:$D,ROW())="","",INDEX(Banco!$D:$D,ROW()))</f>
        <v/>
      </c>
      <c r="E1306" s="9">
        <f>IF(INDEX(Banco!$E:$E,ROW())="","",INDEX(Banco!$E:$E,ROW()))</f>
        <v/>
      </c>
      <c r="F1306" s="10">
        <f>IF(INDEX(Banco!$F:$F,ROW())="","",INDEX(Banco!$F:$F,ROW()))</f>
        <v/>
      </c>
      <c r="G1306" s="10">
        <f>IF(INDEX(Banco!$G:$G,ROW())="","",INDEX(Banco!$G:$G,ROW()))</f>
        <v/>
      </c>
      <c r="H1306" s="8">
        <f>IF(INDEX(Banco!$H:$H,ROW())="","",INDEX(Banco!$H:$H,ROW()))</f>
        <v/>
      </c>
      <c r="I1306">
        <f>IF($T1306="","",INT($T1306/12)&amp;"a "&amp;MOD($T1306,12)&amp;"m")</f>
        <v/>
      </c>
      <c r="J1306" s="11">
        <f>IF(OR($F1306="",$G1306=""),"",ROUND($F1306/($G1306/100)^2,2))</f>
        <v/>
      </c>
      <c r="K1306" s="12">
        <f>IF(OR($S1306="",$J1306="",$T1306="",$T1306&lt;0,$T1306&gt;228,$Y1306=""),"—",ROUND(IF(ABS($AB1306)&lt;=3,$AB1306,IF($AB1306&gt;3,3+($J1306-$AD1306)/($AD1306-$AC1306),-3+($J1306-$AF1306)/($AE1306-$AF1306))),2))</f>
        <v/>
      </c>
      <c r="L1306">
        <f>IF(OR($K1306="",$K1306="—"),"",IF($T1306&lt;=60,IF($K1306&lt;-3,"Magreza acentuada",IF($K1306&lt;-2,"Magreza",IF($K1306&lt;=1,"Eutrofia",IF($K1306&lt;=2,"Risco de sobrepeso",IF($K1306&lt;=3,"Sobrepeso","Obesidade"))))),IF($K1306&lt;-3,"Magreza acentuada",IF($K1306&lt;-2,"Magreza",IF($K1306&lt;=1,"Eutrofia",IF($K1306&lt;=2,"Sobrepeso",IF($K1306&lt;=3,"Obesidade","Obesidade grave")))))))</f>
        <v/>
      </c>
      <c r="M1306" s="12">
        <f>IF(OR($S1306="",$V1306="",$T1306="",$T1306&lt;0,$T1306&gt;228,$AG1306=""),"—",ROUND(IF($AG1306=0,LN($V1306/$AH1306)/$AI1306,((($V1306/$AH1306)^$AG1306)-1)/($AG1306*$AI1306)),2))</f>
        <v/>
      </c>
      <c r="N1306">
        <f>IF(OR($M1306="",$M1306="—"),"",IF($M1306&lt;-3,"Muito baixa",IF($M1306&lt;-2,"Baixa","Adequada")))</f>
        <v/>
      </c>
      <c r="O1306" s="12">
        <f>IF(OR($S1306="",$F1306="",$T1306="",$T1306&lt;0,$T1306&gt;120,$AJ1306=""),"—",ROUND(IF(ABS($AM1306)&lt;=3,$AM1306,IF($AM1306&gt;3,3+($F1306-$AO1306)/($AO1306-$AN1306),-3+($F1306-$AQ1306)/($AP1306-$AQ1306))),2))</f>
        <v/>
      </c>
      <c r="P1306">
        <f>IF(OR($O1306="",$O1306="—"),"",IF($O1306&lt;-3,"Muito baixo",IF($O1306&lt;-2,"Baixo",IF($O1306&lt;=2,"Adequado","Elevado"))))</f>
        <v/>
      </c>
      <c r="Q1306" s="12">
        <f>IF(OR($S1306="",$F1306="",$T1306="",$T1306&lt;0,$T1306&gt;60,$AR1306=""),"—",ROUND(IF(ABS($AU1306)&lt;=3,$AU1306,IF($AU1306&gt;3,3+($F1306-$AW1306)/($AW1306-$AV1306),-3+($F1306-$AY1306)/($AX1306-$AY1306))),2))</f>
        <v/>
      </c>
      <c r="R1306">
        <f>IF(OR($Q1306="",$Q1306="—"),"",IF($Q1306&lt;-3,"Magreza acentuada",IF($Q1306&lt;-2,"Magreza",IF($Q1306&lt;=1,"Eutrofia",IF($Q1306&lt;=2,"Risco de sobrepeso",IF($Q1306&lt;=3,"Sobrepeso","Obesidade"))))))</f>
        <v/>
      </c>
      <c r="S1306">
        <f>IF($C1306="","",IF(UPPER(LEFT($C1306,1))="M",1,IF(UPPER(LEFT($C1306,1))="F",2,"")))</f>
        <v/>
      </c>
      <c r="T1306">
        <f>IF(OR($D1306="",$E1306=""),"",DATEDIF($D1306,$E1306,"m"))</f>
        <v/>
      </c>
      <c r="U1306">
        <f>IF(OR($D1306="",$E1306=""),"",$E1306-$D1306)</f>
        <v/>
      </c>
      <c r="V1306">
        <f>IF(OR($G1306="",$T1306=""),"",IF($T1306&lt;24,IF(LEFT(LOWER($H1306),4)="em p",$G1306+0.7,$G1306),IF(LEFT(LOWER($H1306),4)="deit",$G1306-0.7,$G1306)))</f>
        <v/>
      </c>
      <c r="W1306">
        <f>IF(OR($S1306="",$T1306=""),"",$S1306*1000000+IF($T1306&lt;=60,$U1306,$T1306))</f>
        <v/>
      </c>
      <c r="X1306">
        <f>IF(OR($S1306="",$V1306="",$T1306&gt;60,$T1306=""),"",$S1306*1000000+ROUND($V1306*10,0))</f>
        <v/>
      </c>
      <c r="Y1306">
        <f>IF($W1306="","",IFERROR(INDEX(IF($T1306&lt;=60,imc05_l,imc519_l),MATCH($W1306,IF($T1306&lt;=60,imc05_k,imc519_k),1)),""))</f>
        <v/>
      </c>
      <c r="Z1306">
        <f>IF($W1306="","",IFERROR(INDEX(IF($T1306&lt;=60,imc05_m,imc519_m),MATCH($W1306,IF($T1306&lt;=60,imc05_k,imc519_k),1)),""))</f>
        <v/>
      </c>
      <c r="AA1306">
        <f>IF($W1306="","",IFERROR(INDEX(IF($T1306&lt;=60,imc05_s,imc519_s),MATCH($W1306,IF($T1306&lt;=60,imc05_k,imc519_k),1)),""))</f>
        <v/>
      </c>
      <c r="AB1306">
        <f>IF($Y1306="","",IF($Y1306=0,LN($J1306/$Z1306)/$AA1306,((($J1306/$Z1306)^$Y1306)-1)/($Y1306*$AA1306)))</f>
        <v/>
      </c>
      <c r="AC1306">
        <f>IF($Y1306="","",IF($Y1306=0,$Z1306*EXP($AA1306*2),$Z1306*(1+$Y1306*$AA1306*2)^(1/$Y1306)))</f>
        <v/>
      </c>
      <c r="AD1306">
        <f>IF($Y1306="","",IF($Y1306=0,$Z1306*EXP($AA1306*3),$Z1306*(1+$Y1306*$AA1306*3)^(1/$Y1306)))</f>
        <v/>
      </c>
      <c r="AE1306">
        <f>IF($Y1306="","",IF($Y1306=0,$Z1306*EXP($AA1306*-2),$Z1306*(1+$Y1306*$AA1306*-2)^(1/$Y1306)))</f>
        <v/>
      </c>
      <c r="AF1306">
        <f>IF($Y1306="","",IF($Y1306=0,$Z1306*EXP($AA1306*-3),$Z1306*(1+$Y1306*$AA1306*-3)^(1/$Y1306)))</f>
        <v/>
      </c>
      <c r="AG1306">
        <f>IF($W1306="","",IFERROR(INDEX(IF($T1306&lt;=60,est05_l,est519_l),MATCH($W1306,IF($T1306&lt;=60,est05_k,est519_k),1)),""))</f>
        <v/>
      </c>
      <c r="AH1306">
        <f>IF($W1306="","",IFERROR(INDEX(IF($T1306&lt;=60,est05_m,est519_m),MATCH($W1306,IF($T1306&lt;=60,est05_k,est519_k),1)),""))</f>
        <v/>
      </c>
      <c r="AI1306">
        <f>IF($W1306="","",IFERROR(INDEX(IF($T1306&lt;=60,est05_s,est519_s),MATCH($W1306,IF($T1306&lt;=60,est05_k,est519_k),1)),""))</f>
        <v/>
      </c>
      <c r="AJ1306">
        <f>IF($W1306="","",IFERROR(INDEX(IF($T1306&lt;=60,peso05_l,peso510_l),MATCH($W1306,IF($T1306&lt;=60,peso05_k,peso510_k),1)),""))</f>
        <v/>
      </c>
      <c r="AK1306">
        <f>IF($W1306="","",IFERROR(INDEX(IF($T1306&lt;=60,peso05_m,peso510_m),MATCH($W1306,IF($T1306&lt;=60,peso05_k,peso510_k),1)),""))</f>
        <v/>
      </c>
      <c r="AL1306">
        <f>IF($W1306="","",IFERROR(INDEX(IF($T1306&lt;=60,peso05_s,peso510_s),MATCH($W1306,IF($T1306&lt;=60,peso05_k,peso510_k),1)),""))</f>
        <v/>
      </c>
      <c r="AM1306">
        <f>IF($AJ1306="","",IF($AJ1306=0,LN($F1306/$AK1306)/$AL1306,((($F1306/$AK1306)^$AJ1306)-1)/($AJ1306*$AL1306)))</f>
        <v/>
      </c>
      <c r="AN1306">
        <f>IF($AJ1306="","",IF($AJ1306=0,$AK1306*EXP($AL1306*2),$AK1306*(1+$AJ1306*$AL1306*2)^(1/$AJ1306)))</f>
        <v/>
      </c>
      <c r="AO1306">
        <f>IF($AJ1306="","",IF($AJ1306=0,$AK1306*EXP($AL1306*3),$AK1306*(1+$AJ1306*$AL1306*3)^(1/$AJ1306)))</f>
        <v/>
      </c>
      <c r="AP1306">
        <f>IF($AJ1306="","",IF($AJ1306=0,$AK1306*EXP($AL1306*-2),$AK1306*(1+$AJ1306*$AL1306*-2)^(1/$AJ1306)))</f>
        <v/>
      </c>
      <c r="AQ1306">
        <f>IF($AJ1306="","",IF($AJ1306=0,$AK1306*EXP($AL1306*-3),$AK1306*(1+$AJ1306*$AL1306*-3)^(1/$AJ1306)))</f>
        <v/>
      </c>
      <c r="AR1306">
        <f>IF(OR($X1306="",$T1306&gt;60),"",IFERROR(INDEX(IF($T1306&lt;24,pcomp_l,palt_l),MATCH($X1306,IF($T1306&lt;24,pcomp_k,palt_k),1)),""))</f>
        <v/>
      </c>
      <c r="AS1306">
        <f>IF(OR($X1306="",$T1306&gt;60),"",IFERROR(INDEX(IF($T1306&lt;24,pcomp_m,palt_m),MATCH($X1306,IF($T1306&lt;24,pcomp_k,palt_k),1)),""))</f>
        <v/>
      </c>
      <c r="AT1306">
        <f>IF(OR($X1306="",$T1306&gt;60),"",IFERROR(INDEX(IF($T1306&lt;24,pcomp_s,palt_s),MATCH($X1306,IF($T1306&lt;24,pcomp_k,palt_k),1)),""))</f>
        <v/>
      </c>
      <c r="AU1306">
        <f>IF($AR1306="","",IF($AR1306=0,LN($F1306/$AS1306)/$AT1306,((($F1306/$AS1306)^$AR1306)-1)/($AR1306*$AT1306)))</f>
        <v/>
      </c>
      <c r="AV1306">
        <f>IF($AR1306="","",IF($AR1306=0,$AS1306*EXP($AT1306*2),$AS1306*(1+$AR1306*$AT1306*2)^(1/$AR1306)))</f>
        <v/>
      </c>
      <c r="AW1306">
        <f>IF($AR1306="","",IF($AR1306=0,$AS1306*EXP($AT1306*3),$AS1306*(1+$AR1306*$AT1306*3)^(1/$AR1306)))</f>
        <v/>
      </c>
      <c r="AX1306">
        <f>IF($AR1306="","",IF($AR1306=0,$AS1306*EXP($AT1306*-2),$AS1306*(1+$AR1306*$AT1306*-2)^(1/$AR1306)))</f>
        <v/>
      </c>
      <c r="AY1306">
        <f>IF($AR1306="","",IF($AR1306=0,$AS1306*EXP($AT1306*-3),$AS1306*(1+$AR1306*$AT1306*-3)^(1/$AR1306)))</f>
        <v/>
      </c>
      <c r="AZ1306">
        <f>IF(OR($A1306="",$A1306&lt;&gt;Ficha!$C$4),"",COUNTIF($A$2:$A1306,Ficha!$C$4))</f>
        <v/>
      </c>
    </row>
    <row r="1307">
      <c r="A1307" s="8">
        <f>IF(INDEX(Banco!$A:$A,ROW())="","",INDEX(Banco!$A:$A,ROW()))</f>
        <v/>
      </c>
      <c r="B1307" s="8">
        <f>IF(INDEX(Banco!$B:$B,ROW())="","",INDEX(Banco!$B:$B,ROW()))</f>
        <v/>
      </c>
      <c r="C1307" s="8">
        <f>IF(INDEX(Banco!$C:$C,ROW())="","",INDEX(Banco!$C:$C,ROW()))</f>
        <v/>
      </c>
      <c r="D1307" s="9">
        <f>IF(INDEX(Banco!$D:$D,ROW())="","",INDEX(Banco!$D:$D,ROW()))</f>
        <v/>
      </c>
      <c r="E1307" s="9">
        <f>IF(INDEX(Banco!$E:$E,ROW())="","",INDEX(Banco!$E:$E,ROW()))</f>
        <v/>
      </c>
      <c r="F1307" s="10">
        <f>IF(INDEX(Banco!$F:$F,ROW())="","",INDEX(Banco!$F:$F,ROW()))</f>
        <v/>
      </c>
      <c r="G1307" s="10">
        <f>IF(INDEX(Banco!$G:$G,ROW())="","",INDEX(Banco!$G:$G,ROW()))</f>
        <v/>
      </c>
      <c r="H1307" s="8">
        <f>IF(INDEX(Banco!$H:$H,ROW())="","",INDEX(Banco!$H:$H,ROW()))</f>
        <v/>
      </c>
      <c r="I1307">
        <f>IF($T1307="","",INT($T1307/12)&amp;"a "&amp;MOD($T1307,12)&amp;"m")</f>
        <v/>
      </c>
      <c r="J1307" s="11">
        <f>IF(OR($F1307="",$G1307=""),"",ROUND($F1307/($G1307/100)^2,2))</f>
        <v/>
      </c>
      <c r="K1307" s="12">
        <f>IF(OR($S1307="",$J1307="",$T1307="",$T1307&lt;0,$T1307&gt;228,$Y1307=""),"—",ROUND(IF(ABS($AB1307)&lt;=3,$AB1307,IF($AB1307&gt;3,3+($J1307-$AD1307)/($AD1307-$AC1307),-3+($J1307-$AF1307)/($AE1307-$AF1307))),2))</f>
        <v/>
      </c>
      <c r="L1307">
        <f>IF(OR($K1307="",$K1307="—"),"",IF($T1307&lt;=60,IF($K1307&lt;-3,"Magreza acentuada",IF($K1307&lt;-2,"Magreza",IF($K1307&lt;=1,"Eutrofia",IF($K1307&lt;=2,"Risco de sobrepeso",IF($K1307&lt;=3,"Sobrepeso","Obesidade"))))),IF($K1307&lt;-3,"Magreza acentuada",IF($K1307&lt;-2,"Magreza",IF($K1307&lt;=1,"Eutrofia",IF($K1307&lt;=2,"Sobrepeso",IF($K1307&lt;=3,"Obesidade","Obesidade grave")))))))</f>
        <v/>
      </c>
      <c r="M1307" s="12">
        <f>IF(OR($S1307="",$V1307="",$T1307="",$T1307&lt;0,$T1307&gt;228,$AG1307=""),"—",ROUND(IF($AG1307=0,LN($V1307/$AH1307)/$AI1307,((($V1307/$AH1307)^$AG1307)-1)/($AG1307*$AI1307)),2))</f>
        <v/>
      </c>
      <c r="N1307">
        <f>IF(OR($M1307="",$M1307="—"),"",IF($M1307&lt;-3,"Muito baixa",IF($M1307&lt;-2,"Baixa","Adequada")))</f>
        <v/>
      </c>
      <c r="O1307" s="12">
        <f>IF(OR($S1307="",$F1307="",$T1307="",$T1307&lt;0,$T1307&gt;120,$AJ1307=""),"—",ROUND(IF(ABS($AM1307)&lt;=3,$AM1307,IF($AM1307&gt;3,3+($F1307-$AO1307)/($AO1307-$AN1307),-3+($F1307-$AQ1307)/($AP1307-$AQ1307))),2))</f>
        <v/>
      </c>
      <c r="P1307">
        <f>IF(OR($O1307="",$O1307="—"),"",IF($O1307&lt;-3,"Muito baixo",IF($O1307&lt;-2,"Baixo",IF($O1307&lt;=2,"Adequado","Elevado"))))</f>
        <v/>
      </c>
      <c r="Q1307" s="12">
        <f>IF(OR($S1307="",$F1307="",$T1307="",$T1307&lt;0,$T1307&gt;60,$AR1307=""),"—",ROUND(IF(ABS($AU1307)&lt;=3,$AU1307,IF($AU1307&gt;3,3+($F1307-$AW1307)/($AW1307-$AV1307),-3+($F1307-$AY1307)/($AX1307-$AY1307))),2))</f>
        <v/>
      </c>
      <c r="R1307">
        <f>IF(OR($Q1307="",$Q1307="—"),"",IF($Q1307&lt;-3,"Magreza acentuada",IF($Q1307&lt;-2,"Magreza",IF($Q1307&lt;=1,"Eutrofia",IF($Q1307&lt;=2,"Risco de sobrepeso",IF($Q1307&lt;=3,"Sobrepeso","Obesidade"))))))</f>
        <v/>
      </c>
      <c r="S1307">
        <f>IF($C1307="","",IF(UPPER(LEFT($C1307,1))="M",1,IF(UPPER(LEFT($C1307,1))="F",2,"")))</f>
        <v/>
      </c>
      <c r="T1307">
        <f>IF(OR($D1307="",$E1307=""),"",DATEDIF($D1307,$E1307,"m"))</f>
        <v/>
      </c>
      <c r="U1307">
        <f>IF(OR($D1307="",$E1307=""),"",$E1307-$D1307)</f>
        <v/>
      </c>
      <c r="V1307">
        <f>IF(OR($G1307="",$T1307=""),"",IF($T1307&lt;24,IF(LEFT(LOWER($H1307),4)="em p",$G1307+0.7,$G1307),IF(LEFT(LOWER($H1307),4)="deit",$G1307-0.7,$G1307)))</f>
        <v/>
      </c>
      <c r="W1307">
        <f>IF(OR($S1307="",$T1307=""),"",$S1307*1000000+IF($T1307&lt;=60,$U1307,$T1307))</f>
        <v/>
      </c>
      <c r="X1307">
        <f>IF(OR($S1307="",$V1307="",$T1307&gt;60,$T1307=""),"",$S1307*1000000+ROUND($V1307*10,0))</f>
        <v/>
      </c>
      <c r="Y1307">
        <f>IF($W1307="","",IFERROR(INDEX(IF($T1307&lt;=60,imc05_l,imc519_l),MATCH($W1307,IF($T1307&lt;=60,imc05_k,imc519_k),1)),""))</f>
        <v/>
      </c>
      <c r="Z1307">
        <f>IF($W1307="","",IFERROR(INDEX(IF($T1307&lt;=60,imc05_m,imc519_m),MATCH($W1307,IF($T1307&lt;=60,imc05_k,imc519_k),1)),""))</f>
        <v/>
      </c>
      <c r="AA1307">
        <f>IF($W1307="","",IFERROR(INDEX(IF($T1307&lt;=60,imc05_s,imc519_s),MATCH($W1307,IF($T1307&lt;=60,imc05_k,imc519_k),1)),""))</f>
        <v/>
      </c>
      <c r="AB1307">
        <f>IF($Y1307="","",IF($Y1307=0,LN($J1307/$Z1307)/$AA1307,((($J1307/$Z1307)^$Y1307)-1)/($Y1307*$AA1307)))</f>
        <v/>
      </c>
      <c r="AC1307">
        <f>IF($Y1307="","",IF($Y1307=0,$Z1307*EXP($AA1307*2),$Z1307*(1+$Y1307*$AA1307*2)^(1/$Y1307)))</f>
        <v/>
      </c>
      <c r="AD1307">
        <f>IF($Y1307="","",IF($Y1307=0,$Z1307*EXP($AA1307*3),$Z1307*(1+$Y1307*$AA1307*3)^(1/$Y1307)))</f>
        <v/>
      </c>
      <c r="AE1307">
        <f>IF($Y1307="","",IF($Y1307=0,$Z1307*EXP($AA1307*-2),$Z1307*(1+$Y1307*$AA1307*-2)^(1/$Y1307)))</f>
        <v/>
      </c>
      <c r="AF1307">
        <f>IF($Y1307="","",IF($Y1307=0,$Z1307*EXP($AA1307*-3),$Z1307*(1+$Y1307*$AA1307*-3)^(1/$Y1307)))</f>
        <v/>
      </c>
      <c r="AG1307">
        <f>IF($W1307="","",IFERROR(INDEX(IF($T1307&lt;=60,est05_l,est519_l),MATCH($W1307,IF($T1307&lt;=60,est05_k,est519_k),1)),""))</f>
        <v/>
      </c>
      <c r="AH1307">
        <f>IF($W1307="","",IFERROR(INDEX(IF($T1307&lt;=60,est05_m,est519_m),MATCH($W1307,IF($T1307&lt;=60,est05_k,est519_k),1)),""))</f>
        <v/>
      </c>
      <c r="AI1307">
        <f>IF($W1307="","",IFERROR(INDEX(IF($T1307&lt;=60,est05_s,est519_s),MATCH($W1307,IF($T1307&lt;=60,est05_k,est519_k),1)),""))</f>
        <v/>
      </c>
      <c r="AJ1307">
        <f>IF($W1307="","",IFERROR(INDEX(IF($T1307&lt;=60,peso05_l,peso510_l),MATCH($W1307,IF($T1307&lt;=60,peso05_k,peso510_k),1)),""))</f>
        <v/>
      </c>
      <c r="AK1307">
        <f>IF($W1307="","",IFERROR(INDEX(IF($T1307&lt;=60,peso05_m,peso510_m),MATCH($W1307,IF($T1307&lt;=60,peso05_k,peso510_k),1)),""))</f>
        <v/>
      </c>
      <c r="AL1307">
        <f>IF($W1307="","",IFERROR(INDEX(IF($T1307&lt;=60,peso05_s,peso510_s),MATCH($W1307,IF($T1307&lt;=60,peso05_k,peso510_k),1)),""))</f>
        <v/>
      </c>
      <c r="AM1307">
        <f>IF($AJ1307="","",IF($AJ1307=0,LN($F1307/$AK1307)/$AL1307,((($F1307/$AK1307)^$AJ1307)-1)/($AJ1307*$AL1307)))</f>
        <v/>
      </c>
      <c r="AN1307">
        <f>IF($AJ1307="","",IF($AJ1307=0,$AK1307*EXP($AL1307*2),$AK1307*(1+$AJ1307*$AL1307*2)^(1/$AJ1307)))</f>
        <v/>
      </c>
      <c r="AO1307">
        <f>IF($AJ1307="","",IF($AJ1307=0,$AK1307*EXP($AL1307*3),$AK1307*(1+$AJ1307*$AL1307*3)^(1/$AJ1307)))</f>
        <v/>
      </c>
      <c r="AP1307">
        <f>IF($AJ1307="","",IF($AJ1307=0,$AK1307*EXP($AL1307*-2),$AK1307*(1+$AJ1307*$AL1307*-2)^(1/$AJ1307)))</f>
        <v/>
      </c>
      <c r="AQ1307">
        <f>IF($AJ1307="","",IF($AJ1307=0,$AK1307*EXP($AL1307*-3),$AK1307*(1+$AJ1307*$AL1307*-3)^(1/$AJ1307)))</f>
        <v/>
      </c>
      <c r="AR1307">
        <f>IF(OR($X1307="",$T1307&gt;60),"",IFERROR(INDEX(IF($T1307&lt;24,pcomp_l,palt_l),MATCH($X1307,IF($T1307&lt;24,pcomp_k,palt_k),1)),""))</f>
        <v/>
      </c>
      <c r="AS1307">
        <f>IF(OR($X1307="",$T1307&gt;60),"",IFERROR(INDEX(IF($T1307&lt;24,pcomp_m,palt_m),MATCH($X1307,IF($T1307&lt;24,pcomp_k,palt_k),1)),""))</f>
        <v/>
      </c>
      <c r="AT1307">
        <f>IF(OR($X1307="",$T1307&gt;60),"",IFERROR(INDEX(IF($T1307&lt;24,pcomp_s,palt_s),MATCH($X1307,IF($T1307&lt;24,pcomp_k,palt_k),1)),""))</f>
        <v/>
      </c>
      <c r="AU1307">
        <f>IF($AR1307="","",IF($AR1307=0,LN($F1307/$AS1307)/$AT1307,((($F1307/$AS1307)^$AR1307)-1)/($AR1307*$AT1307)))</f>
        <v/>
      </c>
      <c r="AV1307">
        <f>IF($AR1307="","",IF($AR1307=0,$AS1307*EXP($AT1307*2),$AS1307*(1+$AR1307*$AT1307*2)^(1/$AR1307)))</f>
        <v/>
      </c>
      <c r="AW1307">
        <f>IF($AR1307="","",IF($AR1307=0,$AS1307*EXP($AT1307*3),$AS1307*(1+$AR1307*$AT1307*3)^(1/$AR1307)))</f>
        <v/>
      </c>
      <c r="AX1307">
        <f>IF($AR1307="","",IF($AR1307=0,$AS1307*EXP($AT1307*-2),$AS1307*(1+$AR1307*$AT1307*-2)^(1/$AR1307)))</f>
        <v/>
      </c>
      <c r="AY1307">
        <f>IF($AR1307="","",IF($AR1307=0,$AS1307*EXP($AT1307*-3),$AS1307*(1+$AR1307*$AT1307*-3)^(1/$AR1307)))</f>
        <v/>
      </c>
      <c r="AZ1307">
        <f>IF(OR($A1307="",$A1307&lt;&gt;Ficha!$C$4),"",COUNTIF($A$2:$A1307,Ficha!$C$4))</f>
        <v/>
      </c>
    </row>
    <row r="1308">
      <c r="A1308" s="8">
        <f>IF(INDEX(Banco!$A:$A,ROW())="","",INDEX(Banco!$A:$A,ROW()))</f>
        <v/>
      </c>
      <c r="B1308" s="8">
        <f>IF(INDEX(Banco!$B:$B,ROW())="","",INDEX(Banco!$B:$B,ROW()))</f>
        <v/>
      </c>
      <c r="C1308" s="8">
        <f>IF(INDEX(Banco!$C:$C,ROW())="","",INDEX(Banco!$C:$C,ROW()))</f>
        <v/>
      </c>
      <c r="D1308" s="9">
        <f>IF(INDEX(Banco!$D:$D,ROW())="","",INDEX(Banco!$D:$D,ROW()))</f>
        <v/>
      </c>
      <c r="E1308" s="9">
        <f>IF(INDEX(Banco!$E:$E,ROW())="","",INDEX(Banco!$E:$E,ROW()))</f>
        <v/>
      </c>
      <c r="F1308" s="10">
        <f>IF(INDEX(Banco!$F:$F,ROW())="","",INDEX(Banco!$F:$F,ROW()))</f>
        <v/>
      </c>
      <c r="G1308" s="10">
        <f>IF(INDEX(Banco!$G:$G,ROW())="","",INDEX(Banco!$G:$G,ROW()))</f>
        <v/>
      </c>
      <c r="H1308" s="8">
        <f>IF(INDEX(Banco!$H:$H,ROW())="","",INDEX(Banco!$H:$H,ROW()))</f>
        <v/>
      </c>
      <c r="I1308">
        <f>IF($T1308="","",INT($T1308/12)&amp;"a "&amp;MOD($T1308,12)&amp;"m")</f>
        <v/>
      </c>
      <c r="J1308" s="11">
        <f>IF(OR($F1308="",$G1308=""),"",ROUND($F1308/($G1308/100)^2,2))</f>
        <v/>
      </c>
      <c r="K1308" s="12">
        <f>IF(OR($S1308="",$J1308="",$T1308="",$T1308&lt;0,$T1308&gt;228,$Y1308=""),"—",ROUND(IF(ABS($AB1308)&lt;=3,$AB1308,IF($AB1308&gt;3,3+($J1308-$AD1308)/($AD1308-$AC1308),-3+($J1308-$AF1308)/($AE1308-$AF1308))),2))</f>
        <v/>
      </c>
      <c r="L1308">
        <f>IF(OR($K1308="",$K1308="—"),"",IF($T1308&lt;=60,IF($K1308&lt;-3,"Magreza acentuada",IF($K1308&lt;-2,"Magreza",IF($K1308&lt;=1,"Eutrofia",IF($K1308&lt;=2,"Risco de sobrepeso",IF($K1308&lt;=3,"Sobrepeso","Obesidade"))))),IF($K1308&lt;-3,"Magreza acentuada",IF($K1308&lt;-2,"Magreza",IF($K1308&lt;=1,"Eutrofia",IF($K1308&lt;=2,"Sobrepeso",IF($K1308&lt;=3,"Obesidade","Obesidade grave")))))))</f>
        <v/>
      </c>
      <c r="M1308" s="12">
        <f>IF(OR($S1308="",$V1308="",$T1308="",$T1308&lt;0,$T1308&gt;228,$AG1308=""),"—",ROUND(IF($AG1308=0,LN($V1308/$AH1308)/$AI1308,((($V1308/$AH1308)^$AG1308)-1)/($AG1308*$AI1308)),2))</f>
        <v/>
      </c>
      <c r="N1308">
        <f>IF(OR($M1308="",$M1308="—"),"",IF($M1308&lt;-3,"Muito baixa",IF($M1308&lt;-2,"Baixa","Adequada")))</f>
        <v/>
      </c>
      <c r="O1308" s="12">
        <f>IF(OR($S1308="",$F1308="",$T1308="",$T1308&lt;0,$T1308&gt;120,$AJ1308=""),"—",ROUND(IF(ABS($AM1308)&lt;=3,$AM1308,IF($AM1308&gt;3,3+($F1308-$AO1308)/($AO1308-$AN1308),-3+($F1308-$AQ1308)/($AP1308-$AQ1308))),2))</f>
        <v/>
      </c>
      <c r="P1308">
        <f>IF(OR($O1308="",$O1308="—"),"",IF($O1308&lt;-3,"Muito baixo",IF($O1308&lt;-2,"Baixo",IF($O1308&lt;=2,"Adequado","Elevado"))))</f>
        <v/>
      </c>
      <c r="Q1308" s="12">
        <f>IF(OR($S1308="",$F1308="",$T1308="",$T1308&lt;0,$T1308&gt;60,$AR1308=""),"—",ROUND(IF(ABS($AU1308)&lt;=3,$AU1308,IF($AU1308&gt;3,3+($F1308-$AW1308)/($AW1308-$AV1308),-3+($F1308-$AY1308)/($AX1308-$AY1308))),2))</f>
        <v/>
      </c>
      <c r="R1308">
        <f>IF(OR($Q1308="",$Q1308="—"),"",IF($Q1308&lt;-3,"Magreza acentuada",IF($Q1308&lt;-2,"Magreza",IF($Q1308&lt;=1,"Eutrofia",IF($Q1308&lt;=2,"Risco de sobrepeso",IF($Q1308&lt;=3,"Sobrepeso","Obesidade"))))))</f>
        <v/>
      </c>
      <c r="S1308">
        <f>IF($C1308="","",IF(UPPER(LEFT($C1308,1))="M",1,IF(UPPER(LEFT($C1308,1))="F",2,"")))</f>
        <v/>
      </c>
      <c r="T1308">
        <f>IF(OR($D1308="",$E1308=""),"",DATEDIF($D1308,$E1308,"m"))</f>
        <v/>
      </c>
      <c r="U1308">
        <f>IF(OR($D1308="",$E1308=""),"",$E1308-$D1308)</f>
        <v/>
      </c>
      <c r="V1308">
        <f>IF(OR($G1308="",$T1308=""),"",IF($T1308&lt;24,IF(LEFT(LOWER($H1308),4)="em p",$G1308+0.7,$G1308),IF(LEFT(LOWER($H1308),4)="deit",$G1308-0.7,$G1308)))</f>
        <v/>
      </c>
      <c r="W1308">
        <f>IF(OR($S1308="",$T1308=""),"",$S1308*1000000+IF($T1308&lt;=60,$U1308,$T1308))</f>
        <v/>
      </c>
      <c r="X1308">
        <f>IF(OR($S1308="",$V1308="",$T1308&gt;60,$T1308=""),"",$S1308*1000000+ROUND($V1308*10,0))</f>
        <v/>
      </c>
      <c r="Y1308">
        <f>IF($W1308="","",IFERROR(INDEX(IF($T1308&lt;=60,imc05_l,imc519_l),MATCH($W1308,IF($T1308&lt;=60,imc05_k,imc519_k),1)),""))</f>
        <v/>
      </c>
      <c r="Z1308">
        <f>IF($W1308="","",IFERROR(INDEX(IF($T1308&lt;=60,imc05_m,imc519_m),MATCH($W1308,IF($T1308&lt;=60,imc05_k,imc519_k),1)),""))</f>
        <v/>
      </c>
      <c r="AA1308">
        <f>IF($W1308="","",IFERROR(INDEX(IF($T1308&lt;=60,imc05_s,imc519_s),MATCH($W1308,IF($T1308&lt;=60,imc05_k,imc519_k),1)),""))</f>
        <v/>
      </c>
      <c r="AB1308">
        <f>IF($Y1308="","",IF($Y1308=0,LN($J1308/$Z1308)/$AA1308,((($J1308/$Z1308)^$Y1308)-1)/($Y1308*$AA1308)))</f>
        <v/>
      </c>
      <c r="AC1308">
        <f>IF($Y1308="","",IF($Y1308=0,$Z1308*EXP($AA1308*2),$Z1308*(1+$Y1308*$AA1308*2)^(1/$Y1308)))</f>
        <v/>
      </c>
      <c r="AD1308">
        <f>IF($Y1308="","",IF($Y1308=0,$Z1308*EXP($AA1308*3),$Z1308*(1+$Y1308*$AA1308*3)^(1/$Y1308)))</f>
        <v/>
      </c>
      <c r="AE1308">
        <f>IF($Y1308="","",IF($Y1308=0,$Z1308*EXP($AA1308*-2),$Z1308*(1+$Y1308*$AA1308*-2)^(1/$Y1308)))</f>
        <v/>
      </c>
      <c r="AF1308">
        <f>IF($Y1308="","",IF($Y1308=0,$Z1308*EXP($AA1308*-3),$Z1308*(1+$Y1308*$AA1308*-3)^(1/$Y1308)))</f>
        <v/>
      </c>
      <c r="AG1308">
        <f>IF($W1308="","",IFERROR(INDEX(IF($T1308&lt;=60,est05_l,est519_l),MATCH($W1308,IF($T1308&lt;=60,est05_k,est519_k),1)),""))</f>
        <v/>
      </c>
      <c r="AH1308">
        <f>IF($W1308="","",IFERROR(INDEX(IF($T1308&lt;=60,est05_m,est519_m),MATCH($W1308,IF($T1308&lt;=60,est05_k,est519_k),1)),""))</f>
        <v/>
      </c>
      <c r="AI1308">
        <f>IF($W1308="","",IFERROR(INDEX(IF($T1308&lt;=60,est05_s,est519_s),MATCH($W1308,IF($T1308&lt;=60,est05_k,est519_k),1)),""))</f>
        <v/>
      </c>
      <c r="AJ1308">
        <f>IF($W1308="","",IFERROR(INDEX(IF($T1308&lt;=60,peso05_l,peso510_l),MATCH($W1308,IF($T1308&lt;=60,peso05_k,peso510_k),1)),""))</f>
        <v/>
      </c>
      <c r="AK1308">
        <f>IF($W1308="","",IFERROR(INDEX(IF($T1308&lt;=60,peso05_m,peso510_m),MATCH($W1308,IF($T1308&lt;=60,peso05_k,peso510_k),1)),""))</f>
        <v/>
      </c>
      <c r="AL1308">
        <f>IF($W1308="","",IFERROR(INDEX(IF($T1308&lt;=60,peso05_s,peso510_s),MATCH($W1308,IF($T1308&lt;=60,peso05_k,peso510_k),1)),""))</f>
        <v/>
      </c>
      <c r="AM1308">
        <f>IF($AJ1308="","",IF($AJ1308=0,LN($F1308/$AK1308)/$AL1308,((($F1308/$AK1308)^$AJ1308)-1)/($AJ1308*$AL1308)))</f>
        <v/>
      </c>
      <c r="AN1308">
        <f>IF($AJ1308="","",IF($AJ1308=0,$AK1308*EXP($AL1308*2),$AK1308*(1+$AJ1308*$AL1308*2)^(1/$AJ1308)))</f>
        <v/>
      </c>
      <c r="AO1308">
        <f>IF($AJ1308="","",IF($AJ1308=0,$AK1308*EXP($AL1308*3),$AK1308*(1+$AJ1308*$AL1308*3)^(1/$AJ1308)))</f>
        <v/>
      </c>
      <c r="AP1308">
        <f>IF($AJ1308="","",IF($AJ1308=0,$AK1308*EXP($AL1308*-2),$AK1308*(1+$AJ1308*$AL1308*-2)^(1/$AJ1308)))</f>
        <v/>
      </c>
      <c r="AQ1308">
        <f>IF($AJ1308="","",IF($AJ1308=0,$AK1308*EXP($AL1308*-3),$AK1308*(1+$AJ1308*$AL1308*-3)^(1/$AJ1308)))</f>
        <v/>
      </c>
      <c r="AR1308">
        <f>IF(OR($X1308="",$T1308&gt;60),"",IFERROR(INDEX(IF($T1308&lt;24,pcomp_l,palt_l),MATCH($X1308,IF($T1308&lt;24,pcomp_k,palt_k),1)),""))</f>
        <v/>
      </c>
      <c r="AS1308">
        <f>IF(OR($X1308="",$T1308&gt;60),"",IFERROR(INDEX(IF($T1308&lt;24,pcomp_m,palt_m),MATCH($X1308,IF($T1308&lt;24,pcomp_k,palt_k),1)),""))</f>
        <v/>
      </c>
      <c r="AT1308">
        <f>IF(OR($X1308="",$T1308&gt;60),"",IFERROR(INDEX(IF($T1308&lt;24,pcomp_s,palt_s),MATCH($X1308,IF($T1308&lt;24,pcomp_k,palt_k),1)),""))</f>
        <v/>
      </c>
      <c r="AU1308">
        <f>IF($AR1308="","",IF($AR1308=0,LN($F1308/$AS1308)/$AT1308,((($F1308/$AS1308)^$AR1308)-1)/($AR1308*$AT1308)))</f>
        <v/>
      </c>
      <c r="AV1308">
        <f>IF($AR1308="","",IF($AR1308=0,$AS1308*EXP($AT1308*2),$AS1308*(1+$AR1308*$AT1308*2)^(1/$AR1308)))</f>
        <v/>
      </c>
      <c r="AW1308">
        <f>IF($AR1308="","",IF($AR1308=0,$AS1308*EXP($AT1308*3),$AS1308*(1+$AR1308*$AT1308*3)^(1/$AR1308)))</f>
        <v/>
      </c>
      <c r="AX1308">
        <f>IF($AR1308="","",IF($AR1308=0,$AS1308*EXP($AT1308*-2),$AS1308*(1+$AR1308*$AT1308*-2)^(1/$AR1308)))</f>
        <v/>
      </c>
      <c r="AY1308">
        <f>IF($AR1308="","",IF($AR1308=0,$AS1308*EXP($AT1308*-3),$AS1308*(1+$AR1308*$AT1308*-3)^(1/$AR1308)))</f>
        <v/>
      </c>
      <c r="AZ1308">
        <f>IF(OR($A1308="",$A1308&lt;&gt;Ficha!$C$4),"",COUNTIF($A$2:$A1308,Ficha!$C$4))</f>
        <v/>
      </c>
    </row>
    <row r="1309">
      <c r="A1309" s="8">
        <f>IF(INDEX(Banco!$A:$A,ROW())="","",INDEX(Banco!$A:$A,ROW()))</f>
        <v/>
      </c>
      <c r="B1309" s="8">
        <f>IF(INDEX(Banco!$B:$B,ROW())="","",INDEX(Banco!$B:$B,ROW()))</f>
        <v/>
      </c>
      <c r="C1309" s="8">
        <f>IF(INDEX(Banco!$C:$C,ROW())="","",INDEX(Banco!$C:$C,ROW()))</f>
        <v/>
      </c>
      <c r="D1309" s="9">
        <f>IF(INDEX(Banco!$D:$D,ROW())="","",INDEX(Banco!$D:$D,ROW()))</f>
        <v/>
      </c>
      <c r="E1309" s="9">
        <f>IF(INDEX(Banco!$E:$E,ROW())="","",INDEX(Banco!$E:$E,ROW()))</f>
        <v/>
      </c>
      <c r="F1309" s="10">
        <f>IF(INDEX(Banco!$F:$F,ROW())="","",INDEX(Banco!$F:$F,ROW()))</f>
        <v/>
      </c>
      <c r="G1309" s="10">
        <f>IF(INDEX(Banco!$G:$G,ROW())="","",INDEX(Banco!$G:$G,ROW()))</f>
        <v/>
      </c>
      <c r="H1309" s="8">
        <f>IF(INDEX(Banco!$H:$H,ROW())="","",INDEX(Banco!$H:$H,ROW()))</f>
        <v/>
      </c>
      <c r="I1309">
        <f>IF($T1309="","",INT($T1309/12)&amp;"a "&amp;MOD($T1309,12)&amp;"m")</f>
        <v/>
      </c>
      <c r="J1309" s="11">
        <f>IF(OR($F1309="",$G1309=""),"",ROUND($F1309/($G1309/100)^2,2))</f>
        <v/>
      </c>
      <c r="K1309" s="12">
        <f>IF(OR($S1309="",$J1309="",$T1309="",$T1309&lt;0,$T1309&gt;228,$Y1309=""),"—",ROUND(IF(ABS($AB1309)&lt;=3,$AB1309,IF($AB1309&gt;3,3+($J1309-$AD1309)/($AD1309-$AC1309),-3+($J1309-$AF1309)/($AE1309-$AF1309))),2))</f>
        <v/>
      </c>
      <c r="L1309">
        <f>IF(OR($K1309="",$K1309="—"),"",IF($T1309&lt;=60,IF($K1309&lt;-3,"Magreza acentuada",IF($K1309&lt;-2,"Magreza",IF($K1309&lt;=1,"Eutrofia",IF($K1309&lt;=2,"Risco de sobrepeso",IF($K1309&lt;=3,"Sobrepeso","Obesidade"))))),IF($K1309&lt;-3,"Magreza acentuada",IF($K1309&lt;-2,"Magreza",IF($K1309&lt;=1,"Eutrofia",IF($K1309&lt;=2,"Sobrepeso",IF($K1309&lt;=3,"Obesidade","Obesidade grave")))))))</f>
        <v/>
      </c>
      <c r="M1309" s="12">
        <f>IF(OR($S1309="",$V1309="",$T1309="",$T1309&lt;0,$T1309&gt;228,$AG1309=""),"—",ROUND(IF($AG1309=0,LN($V1309/$AH1309)/$AI1309,((($V1309/$AH1309)^$AG1309)-1)/($AG1309*$AI1309)),2))</f>
        <v/>
      </c>
      <c r="N1309">
        <f>IF(OR($M1309="",$M1309="—"),"",IF($M1309&lt;-3,"Muito baixa",IF($M1309&lt;-2,"Baixa","Adequada")))</f>
        <v/>
      </c>
      <c r="O1309" s="12">
        <f>IF(OR($S1309="",$F1309="",$T1309="",$T1309&lt;0,$T1309&gt;120,$AJ1309=""),"—",ROUND(IF(ABS($AM1309)&lt;=3,$AM1309,IF($AM1309&gt;3,3+($F1309-$AO1309)/($AO1309-$AN1309),-3+($F1309-$AQ1309)/($AP1309-$AQ1309))),2))</f>
        <v/>
      </c>
      <c r="P1309">
        <f>IF(OR($O1309="",$O1309="—"),"",IF($O1309&lt;-3,"Muito baixo",IF($O1309&lt;-2,"Baixo",IF($O1309&lt;=2,"Adequado","Elevado"))))</f>
        <v/>
      </c>
      <c r="Q1309" s="12">
        <f>IF(OR($S1309="",$F1309="",$T1309="",$T1309&lt;0,$T1309&gt;60,$AR1309=""),"—",ROUND(IF(ABS($AU1309)&lt;=3,$AU1309,IF($AU1309&gt;3,3+($F1309-$AW1309)/($AW1309-$AV1309),-3+($F1309-$AY1309)/($AX1309-$AY1309))),2))</f>
        <v/>
      </c>
      <c r="R1309">
        <f>IF(OR($Q1309="",$Q1309="—"),"",IF($Q1309&lt;-3,"Magreza acentuada",IF($Q1309&lt;-2,"Magreza",IF($Q1309&lt;=1,"Eutrofia",IF($Q1309&lt;=2,"Risco de sobrepeso",IF($Q1309&lt;=3,"Sobrepeso","Obesidade"))))))</f>
        <v/>
      </c>
      <c r="S1309">
        <f>IF($C1309="","",IF(UPPER(LEFT($C1309,1))="M",1,IF(UPPER(LEFT($C1309,1))="F",2,"")))</f>
        <v/>
      </c>
      <c r="T1309">
        <f>IF(OR($D1309="",$E1309=""),"",DATEDIF($D1309,$E1309,"m"))</f>
        <v/>
      </c>
      <c r="U1309">
        <f>IF(OR($D1309="",$E1309=""),"",$E1309-$D1309)</f>
        <v/>
      </c>
      <c r="V1309">
        <f>IF(OR($G1309="",$T1309=""),"",IF($T1309&lt;24,IF(LEFT(LOWER($H1309),4)="em p",$G1309+0.7,$G1309),IF(LEFT(LOWER($H1309),4)="deit",$G1309-0.7,$G1309)))</f>
        <v/>
      </c>
      <c r="W1309">
        <f>IF(OR($S1309="",$T1309=""),"",$S1309*1000000+IF($T1309&lt;=60,$U1309,$T1309))</f>
        <v/>
      </c>
      <c r="X1309">
        <f>IF(OR($S1309="",$V1309="",$T1309&gt;60,$T1309=""),"",$S1309*1000000+ROUND($V1309*10,0))</f>
        <v/>
      </c>
      <c r="Y1309">
        <f>IF($W1309="","",IFERROR(INDEX(IF($T1309&lt;=60,imc05_l,imc519_l),MATCH($W1309,IF($T1309&lt;=60,imc05_k,imc519_k),1)),""))</f>
        <v/>
      </c>
      <c r="Z1309">
        <f>IF($W1309="","",IFERROR(INDEX(IF($T1309&lt;=60,imc05_m,imc519_m),MATCH($W1309,IF($T1309&lt;=60,imc05_k,imc519_k),1)),""))</f>
        <v/>
      </c>
      <c r="AA1309">
        <f>IF($W1309="","",IFERROR(INDEX(IF($T1309&lt;=60,imc05_s,imc519_s),MATCH($W1309,IF($T1309&lt;=60,imc05_k,imc519_k),1)),""))</f>
        <v/>
      </c>
      <c r="AB1309">
        <f>IF($Y1309="","",IF($Y1309=0,LN($J1309/$Z1309)/$AA1309,((($J1309/$Z1309)^$Y1309)-1)/($Y1309*$AA1309)))</f>
        <v/>
      </c>
      <c r="AC1309">
        <f>IF($Y1309="","",IF($Y1309=0,$Z1309*EXP($AA1309*2),$Z1309*(1+$Y1309*$AA1309*2)^(1/$Y1309)))</f>
        <v/>
      </c>
      <c r="AD1309">
        <f>IF($Y1309="","",IF($Y1309=0,$Z1309*EXP($AA1309*3),$Z1309*(1+$Y1309*$AA1309*3)^(1/$Y1309)))</f>
        <v/>
      </c>
      <c r="AE1309">
        <f>IF($Y1309="","",IF($Y1309=0,$Z1309*EXP($AA1309*-2),$Z1309*(1+$Y1309*$AA1309*-2)^(1/$Y1309)))</f>
        <v/>
      </c>
      <c r="AF1309">
        <f>IF($Y1309="","",IF($Y1309=0,$Z1309*EXP($AA1309*-3),$Z1309*(1+$Y1309*$AA1309*-3)^(1/$Y1309)))</f>
        <v/>
      </c>
      <c r="AG1309">
        <f>IF($W1309="","",IFERROR(INDEX(IF($T1309&lt;=60,est05_l,est519_l),MATCH($W1309,IF($T1309&lt;=60,est05_k,est519_k),1)),""))</f>
        <v/>
      </c>
      <c r="AH1309">
        <f>IF($W1309="","",IFERROR(INDEX(IF($T1309&lt;=60,est05_m,est519_m),MATCH($W1309,IF($T1309&lt;=60,est05_k,est519_k),1)),""))</f>
        <v/>
      </c>
      <c r="AI1309">
        <f>IF($W1309="","",IFERROR(INDEX(IF($T1309&lt;=60,est05_s,est519_s),MATCH($W1309,IF($T1309&lt;=60,est05_k,est519_k),1)),""))</f>
        <v/>
      </c>
      <c r="AJ1309">
        <f>IF($W1309="","",IFERROR(INDEX(IF($T1309&lt;=60,peso05_l,peso510_l),MATCH($W1309,IF($T1309&lt;=60,peso05_k,peso510_k),1)),""))</f>
        <v/>
      </c>
      <c r="AK1309">
        <f>IF($W1309="","",IFERROR(INDEX(IF($T1309&lt;=60,peso05_m,peso510_m),MATCH($W1309,IF($T1309&lt;=60,peso05_k,peso510_k),1)),""))</f>
        <v/>
      </c>
      <c r="AL1309">
        <f>IF($W1309="","",IFERROR(INDEX(IF($T1309&lt;=60,peso05_s,peso510_s),MATCH($W1309,IF($T1309&lt;=60,peso05_k,peso510_k),1)),""))</f>
        <v/>
      </c>
      <c r="AM1309">
        <f>IF($AJ1309="","",IF($AJ1309=0,LN($F1309/$AK1309)/$AL1309,((($F1309/$AK1309)^$AJ1309)-1)/($AJ1309*$AL1309)))</f>
        <v/>
      </c>
      <c r="AN1309">
        <f>IF($AJ1309="","",IF($AJ1309=0,$AK1309*EXP($AL1309*2),$AK1309*(1+$AJ1309*$AL1309*2)^(1/$AJ1309)))</f>
        <v/>
      </c>
      <c r="AO1309">
        <f>IF($AJ1309="","",IF($AJ1309=0,$AK1309*EXP($AL1309*3),$AK1309*(1+$AJ1309*$AL1309*3)^(1/$AJ1309)))</f>
        <v/>
      </c>
      <c r="AP1309">
        <f>IF($AJ1309="","",IF($AJ1309=0,$AK1309*EXP($AL1309*-2),$AK1309*(1+$AJ1309*$AL1309*-2)^(1/$AJ1309)))</f>
        <v/>
      </c>
      <c r="AQ1309">
        <f>IF($AJ1309="","",IF($AJ1309=0,$AK1309*EXP($AL1309*-3),$AK1309*(1+$AJ1309*$AL1309*-3)^(1/$AJ1309)))</f>
        <v/>
      </c>
      <c r="AR1309">
        <f>IF(OR($X1309="",$T1309&gt;60),"",IFERROR(INDEX(IF($T1309&lt;24,pcomp_l,palt_l),MATCH($X1309,IF($T1309&lt;24,pcomp_k,palt_k),1)),""))</f>
        <v/>
      </c>
      <c r="AS1309">
        <f>IF(OR($X1309="",$T1309&gt;60),"",IFERROR(INDEX(IF($T1309&lt;24,pcomp_m,palt_m),MATCH($X1309,IF($T1309&lt;24,pcomp_k,palt_k),1)),""))</f>
        <v/>
      </c>
      <c r="AT1309">
        <f>IF(OR($X1309="",$T1309&gt;60),"",IFERROR(INDEX(IF($T1309&lt;24,pcomp_s,palt_s),MATCH($X1309,IF($T1309&lt;24,pcomp_k,palt_k),1)),""))</f>
        <v/>
      </c>
      <c r="AU1309">
        <f>IF($AR1309="","",IF($AR1309=0,LN($F1309/$AS1309)/$AT1309,((($F1309/$AS1309)^$AR1309)-1)/($AR1309*$AT1309)))</f>
        <v/>
      </c>
      <c r="AV1309">
        <f>IF($AR1309="","",IF($AR1309=0,$AS1309*EXP($AT1309*2),$AS1309*(1+$AR1309*$AT1309*2)^(1/$AR1309)))</f>
        <v/>
      </c>
      <c r="AW1309">
        <f>IF($AR1309="","",IF($AR1309=0,$AS1309*EXP($AT1309*3),$AS1309*(1+$AR1309*$AT1309*3)^(1/$AR1309)))</f>
        <v/>
      </c>
      <c r="AX1309">
        <f>IF($AR1309="","",IF($AR1309=0,$AS1309*EXP($AT1309*-2),$AS1309*(1+$AR1309*$AT1309*-2)^(1/$AR1309)))</f>
        <v/>
      </c>
      <c r="AY1309">
        <f>IF($AR1309="","",IF($AR1309=0,$AS1309*EXP($AT1309*-3),$AS1309*(1+$AR1309*$AT1309*-3)^(1/$AR1309)))</f>
        <v/>
      </c>
      <c r="AZ1309">
        <f>IF(OR($A1309="",$A1309&lt;&gt;Ficha!$C$4),"",COUNTIF($A$2:$A1309,Ficha!$C$4))</f>
        <v/>
      </c>
    </row>
    <row r="1310">
      <c r="A1310" s="8">
        <f>IF(INDEX(Banco!$A:$A,ROW())="","",INDEX(Banco!$A:$A,ROW()))</f>
        <v/>
      </c>
      <c r="B1310" s="8">
        <f>IF(INDEX(Banco!$B:$B,ROW())="","",INDEX(Banco!$B:$B,ROW()))</f>
        <v/>
      </c>
      <c r="C1310" s="8">
        <f>IF(INDEX(Banco!$C:$C,ROW())="","",INDEX(Banco!$C:$C,ROW()))</f>
        <v/>
      </c>
      <c r="D1310" s="9">
        <f>IF(INDEX(Banco!$D:$D,ROW())="","",INDEX(Banco!$D:$D,ROW()))</f>
        <v/>
      </c>
      <c r="E1310" s="9">
        <f>IF(INDEX(Banco!$E:$E,ROW())="","",INDEX(Banco!$E:$E,ROW()))</f>
        <v/>
      </c>
      <c r="F1310" s="10">
        <f>IF(INDEX(Banco!$F:$F,ROW())="","",INDEX(Banco!$F:$F,ROW()))</f>
        <v/>
      </c>
      <c r="G1310" s="10">
        <f>IF(INDEX(Banco!$G:$G,ROW())="","",INDEX(Banco!$G:$G,ROW()))</f>
        <v/>
      </c>
      <c r="H1310" s="8">
        <f>IF(INDEX(Banco!$H:$H,ROW())="","",INDEX(Banco!$H:$H,ROW()))</f>
        <v/>
      </c>
      <c r="I1310">
        <f>IF($T1310="","",INT($T1310/12)&amp;"a "&amp;MOD($T1310,12)&amp;"m")</f>
        <v/>
      </c>
      <c r="J1310" s="11">
        <f>IF(OR($F1310="",$G1310=""),"",ROUND($F1310/($G1310/100)^2,2))</f>
        <v/>
      </c>
      <c r="K1310" s="12">
        <f>IF(OR($S1310="",$J1310="",$T1310="",$T1310&lt;0,$T1310&gt;228,$Y1310=""),"—",ROUND(IF(ABS($AB1310)&lt;=3,$AB1310,IF($AB1310&gt;3,3+($J1310-$AD1310)/($AD1310-$AC1310),-3+($J1310-$AF1310)/($AE1310-$AF1310))),2))</f>
        <v/>
      </c>
      <c r="L1310">
        <f>IF(OR($K1310="",$K1310="—"),"",IF($T1310&lt;=60,IF($K1310&lt;-3,"Magreza acentuada",IF($K1310&lt;-2,"Magreza",IF($K1310&lt;=1,"Eutrofia",IF($K1310&lt;=2,"Risco de sobrepeso",IF($K1310&lt;=3,"Sobrepeso","Obesidade"))))),IF($K1310&lt;-3,"Magreza acentuada",IF($K1310&lt;-2,"Magreza",IF($K1310&lt;=1,"Eutrofia",IF($K1310&lt;=2,"Sobrepeso",IF($K1310&lt;=3,"Obesidade","Obesidade grave")))))))</f>
        <v/>
      </c>
      <c r="M1310" s="12">
        <f>IF(OR($S1310="",$V1310="",$T1310="",$T1310&lt;0,$T1310&gt;228,$AG1310=""),"—",ROUND(IF($AG1310=0,LN($V1310/$AH1310)/$AI1310,((($V1310/$AH1310)^$AG1310)-1)/($AG1310*$AI1310)),2))</f>
        <v/>
      </c>
      <c r="N1310">
        <f>IF(OR($M1310="",$M1310="—"),"",IF($M1310&lt;-3,"Muito baixa",IF($M1310&lt;-2,"Baixa","Adequada")))</f>
        <v/>
      </c>
      <c r="O1310" s="12">
        <f>IF(OR($S1310="",$F1310="",$T1310="",$T1310&lt;0,$T1310&gt;120,$AJ1310=""),"—",ROUND(IF(ABS($AM1310)&lt;=3,$AM1310,IF($AM1310&gt;3,3+($F1310-$AO1310)/($AO1310-$AN1310),-3+($F1310-$AQ1310)/($AP1310-$AQ1310))),2))</f>
        <v/>
      </c>
      <c r="P1310">
        <f>IF(OR($O1310="",$O1310="—"),"",IF($O1310&lt;-3,"Muito baixo",IF($O1310&lt;-2,"Baixo",IF($O1310&lt;=2,"Adequado","Elevado"))))</f>
        <v/>
      </c>
      <c r="Q1310" s="12">
        <f>IF(OR($S1310="",$F1310="",$T1310="",$T1310&lt;0,$T1310&gt;60,$AR1310=""),"—",ROUND(IF(ABS($AU1310)&lt;=3,$AU1310,IF($AU1310&gt;3,3+($F1310-$AW1310)/($AW1310-$AV1310),-3+($F1310-$AY1310)/($AX1310-$AY1310))),2))</f>
        <v/>
      </c>
      <c r="R1310">
        <f>IF(OR($Q1310="",$Q1310="—"),"",IF($Q1310&lt;-3,"Magreza acentuada",IF($Q1310&lt;-2,"Magreza",IF($Q1310&lt;=1,"Eutrofia",IF($Q1310&lt;=2,"Risco de sobrepeso",IF($Q1310&lt;=3,"Sobrepeso","Obesidade"))))))</f>
        <v/>
      </c>
      <c r="S1310">
        <f>IF($C1310="","",IF(UPPER(LEFT($C1310,1))="M",1,IF(UPPER(LEFT($C1310,1))="F",2,"")))</f>
        <v/>
      </c>
      <c r="T1310">
        <f>IF(OR($D1310="",$E1310=""),"",DATEDIF($D1310,$E1310,"m"))</f>
        <v/>
      </c>
      <c r="U1310">
        <f>IF(OR($D1310="",$E1310=""),"",$E1310-$D1310)</f>
        <v/>
      </c>
      <c r="V1310">
        <f>IF(OR($G1310="",$T1310=""),"",IF($T1310&lt;24,IF(LEFT(LOWER($H1310),4)="em p",$G1310+0.7,$G1310),IF(LEFT(LOWER($H1310),4)="deit",$G1310-0.7,$G1310)))</f>
        <v/>
      </c>
      <c r="W1310">
        <f>IF(OR($S1310="",$T1310=""),"",$S1310*1000000+IF($T1310&lt;=60,$U1310,$T1310))</f>
        <v/>
      </c>
      <c r="X1310">
        <f>IF(OR($S1310="",$V1310="",$T1310&gt;60,$T1310=""),"",$S1310*1000000+ROUND($V1310*10,0))</f>
        <v/>
      </c>
      <c r="Y1310">
        <f>IF($W1310="","",IFERROR(INDEX(IF($T1310&lt;=60,imc05_l,imc519_l),MATCH($W1310,IF($T1310&lt;=60,imc05_k,imc519_k),1)),""))</f>
        <v/>
      </c>
      <c r="Z1310">
        <f>IF($W1310="","",IFERROR(INDEX(IF($T1310&lt;=60,imc05_m,imc519_m),MATCH($W1310,IF($T1310&lt;=60,imc05_k,imc519_k),1)),""))</f>
        <v/>
      </c>
      <c r="AA1310">
        <f>IF($W1310="","",IFERROR(INDEX(IF($T1310&lt;=60,imc05_s,imc519_s),MATCH($W1310,IF($T1310&lt;=60,imc05_k,imc519_k),1)),""))</f>
        <v/>
      </c>
      <c r="AB1310">
        <f>IF($Y1310="","",IF($Y1310=0,LN($J1310/$Z1310)/$AA1310,((($J1310/$Z1310)^$Y1310)-1)/($Y1310*$AA1310)))</f>
        <v/>
      </c>
      <c r="AC1310">
        <f>IF($Y1310="","",IF($Y1310=0,$Z1310*EXP($AA1310*2),$Z1310*(1+$Y1310*$AA1310*2)^(1/$Y1310)))</f>
        <v/>
      </c>
      <c r="AD1310">
        <f>IF($Y1310="","",IF($Y1310=0,$Z1310*EXP($AA1310*3),$Z1310*(1+$Y1310*$AA1310*3)^(1/$Y1310)))</f>
        <v/>
      </c>
      <c r="AE1310">
        <f>IF($Y1310="","",IF($Y1310=0,$Z1310*EXP($AA1310*-2),$Z1310*(1+$Y1310*$AA1310*-2)^(1/$Y1310)))</f>
        <v/>
      </c>
      <c r="AF1310">
        <f>IF($Y1310="","",IF($Y1310=0,$Z1310*EXP($AA1310*-3),$Z1310*(1+$Y1310*$AA1310*-3)^(1/$Y1310)))</f>
        <v/>
      </c>
      <c r="AG1310">
        <f>IF($W1310="","",IFERROR(INDEX(IF($T1310&lt;=60,est05_l,est519_l),MATCH($W1310,IF($T1310&lt;=60,est05_k,est519_k),1)),""))</f>
        <v/>
      </c>
      <c r="AH1310">
        <f>IF($W1310="","",IFERROR(INDEX(IF($T1310&lt;=60,est05_m,est519_m),MATCH($W1310,IF($T1310&lt;=60,est05_k,est519_k),1)),""))</f>
        <v/>
      </c>
      <c r="AI1310">
        <f>IF($W1310="","",IFERROR(INDEX(IF($T1310&lt;=60,est05_s,est519_s),MATCH($W1310,IF($T1310&lt;=60,est05_k,est519_k),1)),""))</f>
        <v/>
      </c>
      <c r="AJ1310">
        <f>IF($W1310="","",IFERROR(INDEX(IF($T1310&lt;=60,peso05_l,peso510_l),MATCH($W1310,IF($T1310&lt;=60,peso05_k,peso510_k),1)),""))</f>
        <v/>
      </c>
      <c r="AK1310">
        <f>IF($W1310="","",IFERROR(INDEX(IF($T1310&lt;=60,peso05_m,peso510_m),MATCH($W1310,IF($T1310&lt;=60,peso05_k,peso510_k),1)),""))</f>
        <v/>
      </c>
      <c r="AL1310">
        <f>IF($W1310="","",IFERROR(INDEX(IF($T1310&lt;=60,peso05_s,peso510_s),MATCH($W1310,IF($T1310&lt;=60,peso05_k,peso510_k),1)),""))</f>
        <v/>
      </c>
      <c r="AM1310">
        <f>IF($AJ1310="","",IF($AJ1310=0,LN($F1310/$AK1310)/$AL1310,((($F1310/$AK1310)^$AJ1310)-1)/($AJ1310*$AL1310)))</f>
        <v/>
      </c>
      <c r="AN1310">
        <f>IF($AJ1310="","",IF($AJ1310=0,$AK1310*EXP($AL1310*2),$AK1310*(1+$AJ1310*$AL1310*2)^(1/$AJ1310)))</f>
        <v/>
      </c>
      <c r="AO1310">
        <f>IF($AJ1310="","",IF($AJ1310=0,$AK1310*EXP($AL1310*3),$AK1310*(1+$AJ1310*$AL1310*3)^(1/$AJ1310)))</f>
        <v/>
      </c>
      <c r="AP1310">
        <f>IF($AJ1310="","",IF($AJ1310=0,$AK1310*EXP($AL1310*-2),$AK1310*(1+$AJ1310*$AL1310*-2)^(1/$AJ1310)))</f>
        <v/>
      </c>
      <c r="AQ1310">
        <f>IF($AJ1310="","",IF($AJ1310=0,$AK1310*EXP($AL1310*-3),$AK1310*(1+$AJ1310*$AL1310*-3)^(1/$AJ1310)))</f>
        <v/>
      </c>
      <c r="AR1310">
        <f>IF(OR($X1310="",$T1310&gt;60),"",IFERROR(INDEX(IF($T1310&lt;24,pcomp_l,palt_l),MATCH($X1310,IF($T1310&lt;24,pcomp_k,palt_k),1)),""))</f>
        <v/>
      </c>
      <c r="AS1310">
        <f>IF(OR($X1310="",$T1310&gt;60),"",IFERROR(INDEX(IF($T1310&lt;24,pcomp_m,palt_m),MATCH($X1310,IF($T1310&lt;24,pcomp_k,palt_k),1)),""))</f>
        <v/>
      </c>
      <c r="AT1310">
        <f>IF(OR($X1310="",$T1310&gt;60),"",IFERROR(INDEX(IF($T1310&lt;24,pcomp_s,palt_s),MATCH($X1310,IF($T1310&lt;24,pcomp_k,palt_k),1)),""))</f>
        <v/>
      </c>
      <c r="AU1310">
        <f>IF($AR1310="","",IF($AR1310=0,LN($F1310/$AS1310)/$AT1310,((($F1310/$AS1310)^$AR1310)-1)/($AR1310*$AT1310)))</f>
        <v/>
      </c>
      <c r="AV1310">
        <f>IF($AR1310="","",IF($AR1310=0,$AS1310*EXP($AT1310*2),$AS1310*(1+$AR1310*$AT1310*2)^(1/$AR1310)))</f>
        <v/>
      </c>
      <c r="AW1310">
        <f>IF($AR1310="","",IF($AR1310=0,$AS1310*EXP($AT1310*3),$AS1310*(1+$AR1310*$AT1310*3)^(1/$AR1310)))</f>
        <v/>
      </c>
      <c r="AX1310">
        <f>IF($AR1310="","",IF($AR1310=0,$AS1310*EXP($AT1310*-2),$AS1310*(1+$AR1310*$AT1310*-2)^(1/$AR1310)))</f>
        <v/>
      </c>
      <c r="AY1310">
        <f>IF($AR1310="","",IF($AR1310=0,$AS1310*EXP($AT1310*-3),$AS1310*(1+$AR1310*$AT1310*-3)^(1/$AR1310)))</f>
        <v/>
      </c>
      <c r="AZ1310">
        <f>IF(OR($A1310="",$A1310&lt;&gt;Ficha!$C$4),"",COUNTIF($A$2:$A1310,Ficha!$C$4))</f>
        <v/>
      </c>
    </row>
    <row r="1311">
      <c r="A1311" s="8">
        <f>IF(INDEX(Banco!$A:$A,ROW())="","",INDEX(Banco!$A:$A,ROW()))</f>
        <v/>
      </c>
      <c r="B1311" s="8">
        <f>IF(INDEX(Banco!$B:$B,ROW())="","",INDEX(Banco!$B:$B,ROW()))</f>
        <v/>
      </c>
      <c r="C1311" s="8">
        <f>IF(INDEX(Banco!$C:$C,ROW())="","",INDEX(Banco!$C:$C,ROW()))</f>
        <v/>
      </c>
      <c r="D1311" s="9">
        <f>IF(INDEX(Banco!$D:$D,ROW())="","",INDEX(Banco!$D:$D,ROW()))</f>
        <v/>
      </c>
      <c r="E1311" s="9">
        <f>IF(INDEX(Banco!$E:$E,ROW())="","",INDEX(Banco!$E:$E,ROW()))</f>
        <v/>
      </c>
      <c r="F1311" s="10">
        <f>IF(INDEX(Banco!$F:$F,ROW())="","",INDEX(Banco!$F:$F,ROW()))</f>
        <v/>
      </c>
      <c r="G1311" s="10">
        <f>IF(INDEX(Banco!$G:$G,ROW())="","",INDEX(Banco!$G:$G,ROW()))</f>
        <v/>
      </c>
      <c r="H1311" s="8">
        <f>IF(INDEX(Banco!$H:$H,ROW())="","",INDEX(Banco!$H:$H,ROW()))</f>
        <v/>
      </c>
      <c r="I1311">
        <f>IF($T1311="","",INT($T1311/12)&amp;"a "&amp;MOD($T1311,12)&amp;"m")</f>
        <v/>
      </c>
      <c r="J1311" s="11">
        <f>IF(OR($F1311="",$G1311=""),"",ROUND($F1311/($G1311/100)^2,2))</f>
        <v/>
      </c>
      <c r="K1311" s="12">
        <f>IF(OR($S1311="",$J1311="",$T1311="",$T1311&lt;0,$T1311&gt;228,$Y1311=""),"—",ROUND(IF(ABS($AB1311)&lt;=3,$AB1311,IF($AB1311&gt;3,3+($J1311-$AD1311)/($AD1311-$AC1311),-3+($J1311-$AF1311)/($AE1311-$AF1311))),2))</f>
        <v/>
      </c>
      <c r="L1311">
        <f>IF(OR($K1311="",$K1311="—"),"",IF($T1311&lt;=60,IF($K1311&lt;-3,"Magreza acentuada",IF($K1311&lt;-2,"Magreza",IF($K1311&lt;=1,"Eutrofia",IF($K1311&lt;=2,"Risco de sobrepeso",IF($K1311&lt;=3,"Sobrepeso","Obesidade"))))),IF($K1311&lt;-3,"Magreza acentuada",IF($K1311&lt;-2,"Magreza",IF($K1311&lt;=1,"Eutrofia",IF($K1311&lt;=2,"Sobrepeso",IF($K1311&lt;=3,"Obesidade","Obesidade grave")))))))</f>
        <v/>
      </c>
      <c r="M1311" s="12">
        <f>IF(OR($S1311="",$V1311="",$T1311="",$T1311&lt;0,$T1311&gt;228,$AG1311=""),"—",ROUND(IF($AG1311=0,LN($V1311/$AH1311)/$AI1311,((($V1311/$AH1311)^$AG1311)-1)/($AG1311*$AI1311)),2))</f>
        <v/>
      </c>
      <c r="N1311">
        <f>IF(OR($M1311="",$M1311="—"),"",IF($M1311&lt;-3,"Muito baixa",IF($M1311&lt;-2,"Baixa","Adequada")))</f>
        <v/>
      </c>
      <c r="O1311" s="12">
        <f>IF(OR($S1311="",$F1311="",$T1311="",$T1311&lt;0,$T1311&gt;120,$AJ1311=""),"—",ROUND(IF(ABS($AM1311)&lt;=3,$AM1311,IF($AM1311&gt;3,3+($F1311-$AO1311)/($AO1311-$AN1311),-3+($F1311-$AQ1311)/($AP1311-$AQ1311))),2))</f>
        <v/>
      </c>
      <c r="P1311">
        <f>IF(OR($O1311="",$O1311="—"),"",IF($O1311&lt;-3,"Muito baixo",IF($O1311&lt;-2,"Baixo",IF($O1311&lt;=2,"Adequado","Elevado"))))</f>
        <v/>
      </c>
      <c r="Q1311" s="12">
        <f>IF(OR($S1311="",$F1311="",$T1311="",$T1311&lt;0,$T1311&gt;60,$AR1311=""),"—",ROUND(IF(ABS($AU1311)&lt;=3,$AU1311,IF($AU1311&gt;3,3+($F1311-$AW1311)/($AW1311-$AV1311),-3+($F1311-$AY1311)/($AX1311-$AY1311))),2))</f>
        <v/>
      </c>
      <c r="R1311">
        <f>IF(OR($Q1311="",$Q1311="—"),"",IF($Q1311&lt;-3,"Magreza acentuada",IF($Q1311&lt;-2,"Magreza",IF($Q1311&lt;=1,"Eutrofia",IF($Q1311&lt;=2,"Risco de sobrepeso",IF($Q1311&lt;=3,"Sobrepeso","Obesidade"))))))</f>
        <v/>
      </c>
      <c r="S1311">
        <f>IF($C1311="","",IF(UPPER(LEFT($C1311,1))="M",1,IF(UPPER(LEFT($C1311,1))="F",2,"")))</f>
        <v/>
      </c>
      <c r="T1311">
        <f>IF(OR($D1311="",$E1311=""),"",DATEDIF($D1311,$E1311,"m"))</f>
        <v/>
      </c>
      <c r="U1311">
        <f>IF(OR($D1311="",$E1311=""),"",$E1311-$D1311)</f>
        <v/>
      </c>
      <c r="V1311">
        <f>IF(OR($G1311="",$T1311=""),"",IF($T1311&lt;24,IF(LEFT(LOWER($H1311),4)="em p",$G1311+0.7,$G1311),IF(LEFT(LOWER($H1311),4)="deit",$G1311-0.7,$G1311)))</f>
        <v/>
      </c>
      <c r="W1311">
        <f>IF(OR($S1311="",$T1311=""),"",$S1311*1000000+IF($T1311&lt;=60,$U1311,$T1311))</f>
        <v/>
      </c>
      <c r="X1311">
        <f>IF(OR($S1311="",$V1311="",$T1311&gt;60,$T1311=""),"",$S1311*1000000+ROUND($V1311*10,0))</f>
        <v/>
      </c>
      <c r="Y1311">
        <f>IF($W1311="","",IFERROR(INDEX(IF($T1311&lt;=60,imc05_l,imc519_l),MATCH($W1311,IF($T1311&lt;=60,imc05_k,imc519_k),1)),""))</f>
        <v/>
      </c>
      <c r="Z1311">
        <f>IF($W1311="","",IFERROR(INDEX(IF($T1311&lt;=60,imc05_m,imc519_m),MATCH($W1311,IF($T1311&lt;=60,imc05_k,imc519_k),1)),""))</f>
        <v/>
      </c>
      <c r="AA1311">
        <f>IF($W1311="","",IFERROR(INDEX(IF($T1311&lt;=60,imc05_s,imc519_s),MATCH($W1311,IF($T1311&lt;=60,imc05_k,imc519_k),1)),""))</f>
        <v/>
      </c>
      <c r="AB1311">
        <f>IF($Y1311="","",IF($Y1311=0,LN($J1311/$Z1311)/$AA1311,((($J1311/$Z1311)^$Y1311)-1)/($Y1311*$AA1311)))</f>
        <v/>
      </c>
      <c r="AC1311">
        <f>IF($Y1311="","",IF($Y1311=0,$Z1311*EXP($AA1311*2),$Z1311*(1+$Y1311*$AA1311*2)^(1/$Y1311)))</f>
        <v/>
      </c>
      <c r="AD1311">
        <f>IF($Y1311="","",IF($Y1311=0,$Z1311*EXP($AA1311*3),$Z1311*(1+$Y1311*$AA1311*3)^(1/$Y1311)))</f>
        <v/>
      </c>
      <c r="AE1311">
        <f>IF($Y1311="","",IF($Y1311=0,$Z1311*EXP($AA1311*-2),$Z1311*(1+$Y1311*$AA1311*-2)^(1/$Y1311)))</f>
        <v/>
      </c>
      <c r="AF1311">
        <f>IF($Y1311="","",IF($Y1311=0,$Z1311*EXP($AA1311*-3),$Z1311*(1+$Y1311*$AA1311*-3)^(1/$Y1311)))</f>
        <v/>
      </c>
      <c r="AG1311">
        <f>IF($W1311="","",IFERROR(INDEX(IF($T1311&lt;=60,est05_l,est519_l),MATCH($W1311,IF($T1311&lt;=60,est05_k,est519_k),1)),""))</f>
        <v/>
      </c>
      <c r="AH1311">
        <f>IF($W1311="","",IFERROR(INDEX(IF($T1311&lt;=60,est05_m,est519_m),MATCH($W1311,IF($T1311&lt;=60,est05_k,est519_k),1)),""))</f>
        <v/>
      </c>
      <c r="AI1311">
        <f>IF($W1311="","",IFERROR(INDEX(IF($T1311&lt;=60,est05_s,est519_s),MATCH($W1311,IF($T1311&lt;=60,est05_k,est519_k),1)),""))</f>
        <v/>
      </c>
      <c r="AJ1311">
        <f>IF($W1311="","",IFERROR(INDEX(IF($T1311&lt;=60,peso05_l,peso510_l),MATCH($W1311,IF($T1311&lt;=60,peso05_k,peso510_k),1)),""))</f>
        <v/>
      </c>
      <c r="AK1311">
        <f>IF($W1311="","",IFERROR(INDEX(IF($T1311&lt;=60,peso05_m,peso510_m),MATCH($W1311,IF($T1311&lt;=60,peso05_k,peso510_k),1)),""))</f>
        <v/>
      </c>
      <c r="AL1311">
        <f>IF($W1311="","",IFERROR(INDEX(IF($T1311&lt;=60,peso05_s,peso510_s),MATCH($W1311,IF($T1311&lt;=60,peso05_k,peso510_k),1)),""))</f>
        <v/>
      </c>
      <c r="AM1311">
        <f>IF($AJ1311="","",IF($AJ1311=0,LN($F1311/$AK1311)/$AL1311,((($F1311/$AK1311)^$AJ1311)-1)/($AJ1311*$AL1311)))</f>
        <v/>
      </c>
      <c r="AN1311">
        <f>IF($AJ1311="","",IF($AJ1311=0,$AK1311*EXP($AL1311*2),$AK1311*(1+$AJ1311*$AL1311*2)^(1/$AJ1311)))</f>
        <v/>
      </c>
      <c r="AO1311">
        <f>IF($AJ1311="","",IF($AJ1311=0,$AK1311*EXP($AL1311*3),$AK1311*(1+$AJ1311*$AL1311*3)^(1/$AJ1311)))</f>
        <v/>
      </c>
      <c r="AP1311">
        <f>IF($AJ1311="","",IF($AJ1311=0,$AK1311*EXP($AL1311*-2),$AK1311*(1+$AJ1311*$AL1311*-2)^(1/$AJ1311)))</f>
        <v/>
      </c>
      <c r="AQ1311">
        <f>IF($AJ1311="","",IF($AJ1311=0,$AK1311*EXP($AL1311*-3),$AK1311*(1+$AJ1311*$AL1311*-3)^(1/$AJ1311)))</f>
        <v/>
      </c>
      <c r="AR1311">
        <f>IF(OR($X1311="",$T1311&gt;60),"",IFERROR(INDEX(IF($T1311&lt;24,pcomp_l,palt_l),MATCH($X1311,IF($T1311&lt;24,pcomp_k,palt_k),1)),""))</f>
        <v/>
      </c>
      <c r="AS1311">
        <f>IF(OR($X1311="",$T1311&gt;60),"",IFERROR(INDEX(IF($T1311&lt;24,pcomp_m,palt_m),MATCH($X1311,IF($T1311&lt;24,pcomp_k,palt_k),1)),""))</f>
        <v/>
      </c>
      <c r="AT1311">
        <f>IF(OR($X1311="",$T1311&gt;60),"",IFERROR(INDEX(IF($T1311&lt;24,pcomp_s,palt_s),MATCH($X1311,IF($T1311&lt;24,pcomp_k,palt_k),1)),""))</f>
        <v/>
      </c>
      <c r="AU1311">
        <f>IF($AR1311="","",IF($AR1311=0,LN($F1311/$AS1311)/$AT1311,((($F1311/$AS1311)^$AR1311)-1)/($AR1311*$AT1311)))</f>
        <v/>
      </c>
      <c r="AV1311">
        <f>IF($AR1311="","",IF($AR1311=0,$AS1311*EXP($AT1311*2),$AS1311*(1+$AR1311*$AT1311*2)^(1/$AR1311)))</f>
        <v/>
      </c>
      <c r="AW1311">
        <f>IF($AR1311="","",IF($AR1311=0,$AS1311*EXP($AT1311*3),$AS1311*(1+$AR1311*$AT1311*3)^(1/$AR1311)))</f>
        <v/>
      </c>
      <c r="AX1311">
        <f>IF($AR1311="","",IF($AR1311=0,$AS1311*EXP($AT1311*-2),$AS1311*(1+$AR1311*$AT1311*-2)^(1/$AR1311)))</f>
        <v/>
      </c>
      <c r="AY1311">
        <f>IF($AR1311="","",IF($AR1311=0,$AS1311*EXP($AT1311*-3),$AS1311*(1+$AR1311*$AT1311*-3)^(1/$AR1311)))</f>
        <v/>
      </c>
      <c r="AZ1311">
        <f>IF(OR($A1311="",$A1311&lt;&gt;Ficha!$C$4),"",COUNTIF($A$2:$A1311,Ficha!$C$4))</f>
        <v/>
      </c>
    </row>
    <row r="1312">
      <c r="A1312" s="8">
        <f>IF(INDEX(Banco!$A:$A,ROW())="","",INDEX(Banco!$A:$A,ROW()))</f>
        <v/>
      </c>
      <c r="B1312" s="8">
        <f>IF(INDEX(Banco!$B:$B,ROW())="","",INDEX(Banco!$B:$B,ROW()))</f>
        <v/>
      </c>
      <c r="C1312" s="8">
        <f>IF(INDEX(Banco!$C:$C,ROW())="","",INDEX(Banco!$C:$C,ROW()))</f>
        <v/>
      </c>
      <c r="D1312" s="9">
        <f>IF(INDEX(Banco!$D:$D,ROW())="","",INDEX(Banco!$D:$D,ROW()))</f>
        <v/>
      </c>
      <c r="E1312" s="9">
        <f>IF(INDEX(Banco!$E:$E,ROW())="","",INDEX(Banco!$E:$E,ROW()))</f>
        <v/>
      </c>
      <c r="F1312" s="10">
        <f>IF(INDEX(Banco!$F:$F,ROW())="","",INDEX(Banco!$F:$F,ROW()))</f>
        <v/>
      </c>
      <c r="G1312" s="10">
        <f>IF(INDEX(Banco!$G:$G,ROW())="","",INDEX(Banco!$G:$G,ROW()))</f>
        <v/>
      </c>
      <c r="H1312" s="8">
        <f>IF(INDEX(Banco!$H:$H,ROW())="","",INDEX(Banco!$H:$H,ROW()))</f>
        <v/>
      </c>
      <c r="I1312">
        <f>IF($T1312="","",INT($T1312/12)&amp;"a "&amp;MOD($T1312,12)&amp;"m")</f>
        <v/>
      </c>
      <c r="J1312" s="11">
        <f>IF(OR($F1312="",$G1312=""),"",ROUND($F1312/($G1312/100)^2,2))</f>
        <v/>
      </c>
      <c r="K1312" s="12">
        <f>IF(OR($S1312="",$J1312="",$T1312="",$T1312&lt;0,$T1312&gt;228,$Y1312=""),"—",ROUND(IF(ABS($AB1312)&lt;=3,$AB1312,IF($AB1312&gt;3,3+($J1312-$AD1312)/($AD1312-$AC1312),-3+($J1312-$AF1312)/($AE1312-$AF1312))),2))</f>
        <v/>
      </c>
      <c r="L1312">
        <f>IF(OR($K1312="",$K1312="—"),"",IF($T1312&lt;=60,IF($K1312&lt;-3,"Magreza acentuada",IF($K1312&lt;-2,"Magreza",IF($K1312&lt;=1,"Eutrofia",IF($K1312&lt;=2,"Risco de sobrepeso",IF($K1312&lt;=3,"Sobrepeso","Obesidade"))))),IF($K1312&lt;-3,"Magreza acentuada",IF($K1312&lt;-2,"Magreza",IF($K1312&lt;=1,"Eutrofia",IF($K1312&lt;=2,"Sobrepeso",IF($K1312&lt;=3,"Obesidade","Obesidade grave")))))))</f>
        <v/>
      </c>
      <c r="M1312" s="12">
        <f>IF(OR($S1312="",$V1312="",$T1312="",$T1312&lt;0,$T1312&gt;228,$AG1312=""),"—",ROUND(IF($AG1312=0,LN($V1312/$AH1312)/$AI1312,((($V1312/$AH1312)^$AG1312)-1)/($AG1312*$AI1312)),2))</f>
        <v/>
      </c>
      <c r="N1312">
        <f>IF(OR($M1312="",$M1312="—"),"",IF($M1312&lt;-3,"Muito baixa",IF($M1312&lt;-2,"Baixa","Adequada")))</f>
        <v/>
      </c>
      <c r="O1312" s="12">
        <f>IF(OR($S1312="",$F1312="",$T1312="",$T1312&lt;0,$T1312&gt;120,$AJ1312=""),"—",ROUND(IF(ABS($AM1312)&lt;=3,$AM1312,IF($AM1312&gt;3,3+($F1312-$AO1312)/($AO1312-$AN1312),-3+($F1312-$AQ1312)/($AP1312-$AQ1312))),2))</f>
        <v/>
      </c>
      <c r="P1312">
        <f>IF(OR($O1312="",$O1312="—"),"",IF($O1312&lt;-3,"Muito baixo",IF($O1312&lt;-2,"Baixo",IF($O1312&lt;=2,"Adequado","Elevado"))))</f>
        <v/>
      </c>
      <c r="Q1312" s="12">
        <f>IF(OR($S1312="",$F1312="",$T1312="",$T1312&lt;0,$T1312&gt;60,$AR1312=""),"—",ROUND(IF(ABS($AU1312)&lt;=3,$AU1312,IF($AU1312&gt;3,3+($F1312-$AW1312)/($AW1312-$AV1312),-3+($F1312-$AY1312)/($AX1312-$AY1312))),2))</f>
        <v/>
      </c>
      <c r="R1312">
        <f>IF(OR($Q1312="",$Q1312="—"),"",IF($Q1312&lt;-3,"Magreza acentuada",IF($Q1312&lt;-2,"Magreza",IF($Q1312&lt;=1,"Eutrofia",IF($Q1312&lt;=2,"Risco de sobrepeso",IF($Q1312&lt;=3,"Sobrepeso","Obesidade"))))))</f>
        <v/>
      </c>
      <c r="S1312">
        <f>IF($C1312="","",IF(UPPER(LEFT($C1312,1))="M",1,IF(UPPER(LEFT($C1312,1))="F",2,"")))</f>
        <v/>
      </c>
      <c r="T1312">
        <f>IF(OR($D1312="",$E1312=""),"",DATEDIF($D1312,$E1312,"m"))</f>
        <v/>
      </c>
      <c r="U1312">
        <f>IF(OR($D1312="",$E1312=""),"",$E1312-$D1312)</f>
        <v/>
      </c>
      <c r="V1312">
        <f>IF(OR($G1312="",$T1312=""),"",IF($T1312&lt;24,IF(LEFT(LOWER($H1312),4)="em p",$G1312+0.7,$G1312),IF(LEFT(LOWER($H1312),4)="deit",$G1312-0.7,$G1312)))</f>
        <v/>
      </c>
      <c r="W1312">
        <f>IF(OR($S1312="",$T1312=""),"",$S1312*1000000+IF($T1312&lt;=60,$U1312,$T1312))</f>
        <v/>
      </c>
      <c r="X1312">
        <f>IF(OR($S1312="",$V1312="",$T1312&gt;60,$T1312=""),"",$S1312*1000000+ROUND($V1312*10,0))</f>
        <v/>
      </c>
      <c r="Y1312">
        <f>IF($W1312="","",IFERROR(INDEX(IF($T1312&lt;=60,imc05_l,imc519_l),MATCH($W1312,IF($T1312&lt;=60,imc05_k,imc519_k),1)),""))</f>
        <v/>
      </c>
      <c r="Z1312">
        <f>IF($W1312="","",IFERROR(INDEX(IF($T1312&lt;=60,imc05_m,imc519_m),MATCH($W1312,IF($T1312&lt;=60,imc05_k,imc519_k),1)),""))</f>
        <v/>
      </c>
      <c r="AA1312">
        <f>IF($W1312="","",IFERROR(INDEX(IF($T1312&lt;=60,imc05_s,imc519_s),MATCH($W1312,IF($T1312&lt;=60,imc05_k,imc519_k),1)),""))</f>
        <v/>
      </c>
      <c r="AB1312">
        <f>IF($Y1312="","",IF($Y1312=0,LN($J1312/$Z1312)/$AA1312,((($J1312/$Z1312)^$Y1312)-1)/($Y1312*$AA1312)))</f>
        <v/>
      </c>
      <c r="AC1312">
        <f>IF($Y1312="","",IF($Y1312=0,$Z1312*EXP($AA1312*2),$Z1312*(1+$Y1312*$AA1312*2)^(1/$Y1312)))</f>
        <v/>
      </c>
      <c r="AD1312">
        <f>IF($Y1312="","",IF($Y1312=0,$Z1312*EXP($AA1312*3),$Z1312*(1+$Y1312*$AA1312*3)^(1/$Y1312)))</f>
        <v/>
      </c>
      <c r="AE1312">
        <f>IF($Y1312="","",IF($Y1312=0,$Z1312*EXP($AA1312*-2),$Z1312*(1+$Y1312*$AA1312*-2)^(1/$Y1312)))</f>
        <v/>
      </c>
      <c r="AF1312">
        <f>IF($Y1312="","",IF($Y1312=0,$Z1312*EXP($AA1312*-3),$Z1312*(1+$Y1312*$AA1312*-3)^(1/$Y1312)))</f>
        <v/>
      </c>
      <c r="AG1312">
        <f>IF($W1312="","",IFERROR(INDEX(IF($T1312&lt;=60,est05_l,est519_l),MATCH($W1312,IF($T1312&lt;=60,est05_k,est519_k),1)),""))</f>
        <v/>
      </c>
      <c r="AH1312">
        <f>IF($W1312="","",IFERROR(INDEX(IF($T1312&lt;=60,est05_m,est519_m),MATCH($W1312,IF($T1312&lt;=60,est05_k,est519_k),1)),""))</f>
        <v/>
      </c>
      <c r="AI1312">
        <f>IF($W1312="","",IFERROR(INDEX(IF($T1312&lt;=60,est05_s,est519_s),MATCH($W1312,IF($T1312&lt;=60,est05_k,est519_k),1)),""))</f>
        <v/>
      </c>
      <c r="AJ1312">
        <f>IF($W1312="","",IFERROR(INDEX(IF($T1312&lt;=60,peso05_l,peso510_l),MATCH($W1312,IF($T1312&lt;=60,peso05_k,peso510_k),1)),""))</f>
        <v/>
      </c>
      <c r="AK1312">
        <f>IF($W1312="","",IFERROR(INDEX(IF($T1312&lt;=60,peso05_m,peso510_m),MATCH($W1312,IF($T1312&lt;=60,peso05_k,peso510_k),1)),""))</f>
        <v/>
      </c>
      <c r="AL1312">
        <f>IF($W1312="","",IFERROR(INDEX(IF($T1312&lt;=60,peso05_s,peso510_s),MATCH($W1312,IF($T1312&lt;=60,peso05_k,peso510_k),1)),""))</f>
        <v/>
      </c>
      <c r="AM1312">
        <f>IF($AJ1312="","",IF($AJ1312=0,LN($F1312/$AK1312)/$AL1312,((($F1312/$AK1312)^$AJ1312)-1)/($AJ1312*$AL1312)))</f>
        <v/>
      </c>
      <c r="AN1312">
        <f>IF($AJ1312="","",IF($AJ1312=0,$AK1312*EXP($AL1312*2),$AK1312*(1+$AJ1312*$AL1312*2)^(1/$AJ1312)))</f>
        <v/>
      </c>
      <c r="AO1312">
        <f>IF($AJ1312="","",IF($AJ1312=0,$AK1312*EXP($AL1312*3),$AK1312*(1+$AJ1312*$AL1312*3)^(1/$AJ1312)))</f>
        <v/>
      </c>
      <c r="AP1312">
        <f>IF($AJ1312="","",IF($AJ1312=0,$AK1312*EXP($AL1312*-2),$AK1312*(1+$AJ1312*$AL1312*-2)^(1/$AJ1312)))</f>
        <v/>
      </c>
      <c r="AQ1312">
        <f>IF($AJ1312="","",IF($AJ1312=0,$AK1312*EXP($AL1312*-3),$AK1312*(1+$AJ1312*$AL1312*-3)^(1/$AJ1312)))</f>
        <v/>
      </c>
      <c r="AR1312">
        <f>IF(OR($X1312="",$T1312&gt;60),"",IFERROR(INDEX(IF($T1312&lt;24,pcomp_l,palt_l),MATCH($X1312,IF($T1312&lt;24,pcomp_k,palt_k),1)),""))</f>
        <v/>
      </c>
      <c r="AS1312">
        <f>IF(OR($X1312="",$T1312&gt;60),"",IFERROR(INDEX(IF($T1312&lt;24,pcomp_m,palt_m),MATCH($X1312,IF($T1312&lt;24,pcomp_k,palt_k),1)),""))</f>
        <v/>
      </c>
      <c r="AT1312">
        <f>IF(OR($X1312="",$T1312&gt;60),"",IFERROR(INDEX(IF($T1312&lt;24,pcomp_s,palt_s),MATCH($X1312,IF($T1312&lt;24,pcomp_k,palt_k),1)),""))</f>
        <v/>
      </c>
      <c r="AU1312">
        <f>IF($AR1312="","",IF($AR1312=0,LN($F1312/$AS1312)/$AT1312,((($F1312/$AS1312)^$AR1312)-1)/($AR1312*$AT1312)))</f>
        <v/>
      </c>
      <c r="AV1312">
        <f>IF($AR1312="","",IF($AR1312=0,$AS1312*EXP($AT1312*2),$AS1312*(1+$AR1312*$AT1312*2)^(1/$AR1312)))</f>
        <v/>
      </c>
      <c r="AW1312">
        <f>IF($AR1312="","",IF($AR1312=0,$AS1312*EXP($AT1312*3),$AS1312*(1+$AR1312*$AT1312*3)^(1/$AR1312)))</f>
        <v/>
      </c>
      <c r="AX1312">
        <f>IF($AR1312="","",IF($AR1312=0,$AS1312*EXP($AT1312*-2),$AS1312*(1+$AR1312*$AT1312*-2)^(1/$AR1312)))</f>
        <v/>
      </c>
      <c r="AY1312">
        <f>IF($AR1312="","",IF($AR1312=0,$AS1312*EXP($AT1312*-3),$AS1312*(1+$AR1312*$AT1312*-3)^(1/$AR1312)))</f>
        <v/>
      </c>
      <c r="AZ1312">
        <f>IF(OR($A1312="",$A1312&lt;&gt;Ficha!$C$4),"",COUNTIF($A$2:$A1312,Ficha!$C$4))</f>
        <v/>
      </c>
    </row>
    <row r="1313">
      <c r="A1313" s="8">
        <f>IF(INDEX(Banco!$A:$A,ROW())="","",INDEX(Banco!$A:$A,ROW()))</f>
        <v/>
      </c>
      <c r="B1313" s="8">
        <f>IF(INDEX(Banco!$B:$B,ROW())="","",INDEX(Banco!$B:$B,ROW()))</f>
        <v/>
      </c>
      <c r="C1313" s="8">
        <f>IF(INDEX(Banco!$C:$C,ROW())="","",INDEX(Banco!$C:$C,ROW()))</f>
        <v/>
      </c>
      <c r="D1313" s="9">
        <f>IF(INDEX(Banco!$D:$D,ROW())="","",INDEX(Banco!$D:$D,ROW()))</f>
        <v/>
      </c>
      <c r="E1313" s="9">
        <f>IF(INDEX(Banco!$E:$E,ROW())="","",INDEX(Banco!$E:$E,ROW()))</f>
        <v/>
      </c>
      <c r="F1313" s="10">
        <f>IF(INDEX(Banco!$F:$F,ROW())="","",INDEX(Banco!$F:$F,ROW()))</f>
        <v/>
      </c>
      <c r="G1313" s="10">
        <f>IF(INDEX(Banco!$G:$G,ROW())="","",INDEX(Banco!$G:$G,ROW()))</f>
        <v/>
      </c>
      <c r="H1313" s="8">
        <f>IF(INDEX(Banco!$H:$H,ROW())="","",INDEX(Banco!$H:$H,ROW()))</f>
        <v/>
      </c>
      <c r="I1313">
        <f>IF($T1313="","",INT($T1313/12)&amp;"a "&amp;MOD($T1313,12)&amp;"m")</f>
        <v/>
      </c>
      <c r="J1313" s="11">
        <f>IF(OR($F1313="",$G1313=""),"",ROUND($F1313/($G1313/100)^2,2))</f>
        <v/>
      </c>
      <c r="K1313" s="12">
        <f>IF(OR($S1313="",$J1313="",$T1313="",$T1313&lt;0,$T1313&gt;228,$Y1313=""),"—",ROUND(IF(ABS($AB1313)&lt;=3,$AB1313,IF($AB1313&gt;3,3+($J1313-$AD1313)/($AD1313-$AC1313),-3+($J1313-$AF1313)/($AE1313-$AF1313))),2))</f>
        <v/>
      </c>
      <c r="L1313">
        <f>IF(OR($K1313="",$K1313="—"),"",IF($T1313&lt;=60,IF($K1313&lt;-3,"Magreza acentuada",IF($K1313&lt;-2,"Magreza",IF($K1313&lt;=1,"Eutrofia",IF($K1313&lt;=2,"Risco de sobrepeso",IF($K1313&lt;=3,"Sobrepeso","Obesidade"))))),IF($K1313&lt;-3,"Magreza acentuada",IF($K1313&lt;-2,"Magreza",IF($K1313&lt;=1,"Eutrofia",IF($K1313&lt;=2,"Sobrepeso",IF($K1313&lt;=3,"Obesidade","Obesidade grave")))))))</f>
        <v/>
      </c>
      <c r="M1313" s="12">
        <f>IF(OR($S1313="",$V1313="",$T1313="",$T1313&lt;0,$T1313&gt;228,$AG1313=""),"—",ROUND(IF($AG1313=0,LN($V1313/$AH1313)/$AI1313,((($V1313/$AH1313)^$AG1313)-1)/($AG1313*$AI1313)),2))</f>
        <v/>
      </c>
      <c r="N1313">
        <f>IF(OR($M1313="",$M1313="—"),"",IF($M1313&lt;-3,"Muito baixa",IF($M1313&lt;-2,"Baixa","Adequada")))</f>
        <v/>
      </c>
      <c r="O1313" s="12">
        <f>IF(OR($S1313="",$F1313="",$T1313="",$T1313&lt;0,$T1313&gt;120,$AJ1313=""),"—",ROUND(IF(ABS($AM1313)&lt;=3,$AM1313,IF($AM1313&gt;3,3+($F1313-$AO1313)/($AO1313-$AN1313),-3+($F1313-$AQ1313)/($AP1313-$AQ1313))),2))</f>
        <v/>
      </c>
      <c r="P1313">
        <f>IF(OR($O1313="",$O1313="—"),"",IF($O1313&lt;-3,"Muito baixo",IF($O1313&lt;-2,"Baixo",IF($O1313&lt;=2,"Adequado","Elevado"))))</f>
        <v/>
      </c>
      <c r="Q1313" s="12">
        <f>IF(OR($S1313="",$F1313="",$T1313="",$T1313&lt;0,$T1313&gt;60,$AR1313=""),"—",ROUND(IF(ABS($AU1313)&lt;=3,$AU1313,IF($AU1313&gt;3,3+($F1313-$AW1313)/($AW1313-$AV1313),-3+($F1313-$AY1313)/($AX1313-$AY1313))),2))</f>
        <v/>
      </c>
      <c r="R1313">
        <f>IF(OR($Q1313="",$Q1313="—"),"",IF($Q1313&lt;-3,"Magreza acentuada",IF($Q1313&lt;-2,"Magreza",IF($Q1313&lt;=1,"Eutrofia",IF($Q1313&lt;=2,"Risco de sobrepeso",IF($Q1313&lt;=3,"Sobrepeso","Obesidade"))))))</f>
        <v/>
      </c>
      <c r="S1313">
        <f>IF($C1313="","",IF(UPPER(LEFT($C1313,1))="M",1,IF(UPPER(LEFT($C1313,1))="F",2,"")))</f>
        <v/>
      </c>
      <c r="T1313">
        <f>IF(OR($D1313="",$E1313=""),"",DATEDIF($D1313,$E1313,"m"))</f>
        <v/>
      </c>
      <c r="U1313">
        <f>IF(OR($D1313="",$E1313=""),"",$E1313-$D1313)</f>
        <v/>
      </c>
      <c r="V1313">
        <f>IF(OR($G1313="",$T1313=""),"",IF($T1313&lt;24,IF(LEFT(LOWER($H1313),4)="em p",$G1313+0.7,$G1313),IF(LEFT(LOWER($H1313),4)="deit",$G1313-0.7,$G1313)))</f>
        <v/>
      </c>
      <c r="W1313">
        <f>IF(OR($S1313="",$T1313=""),"",$S1313*1000000+IF($T1313&lt;=60,$U1313,$T1313))</f>
        <v/>
      </c>
      <c r="X1313">
        <f>IF(OR($S1313="",$V1313="",$T1313&gt;60,$T1313=""),"",$S1313*1000000+ROUND($V1313*10,0))</f>
        <v/>
      </c>
      <c r="Y1313">
        <f>IF($W1313="","",IFERROR(INDEX(IF($T1313&lt;=60,imc05_l,imc519_l),MATCH($W1313,IF($T1313&lt;=60,imc05_k,imc519_k),1)),""))</f>
        <v/>
      </c>
      <c r="Z1313">
        <f>IF($W1313="","",IFERROR(INDEX(IF($T1313&lt;=60,imc05_m,imc519_m),MATCH($W1313,IF($T1313&lt;=60,imc05_k,imc519_k),1)),""))</f>
        <v/>
      </c>
      <c r="AA1313">
        <f>IF($W1313="","",IFERROR(INDEX(IF($T1313&lt;=60,imc05_s,imc519_s),MATCH($W1313,IF($T1313&lt;=60,imc05_k,imc519_k),1)),""))</f>
        <v/>
      </c>
      <c r="AB1313">
        <f>IF($Y1313="","",IF($Y1313=0,LN($J1313/$Z1313)/$AA1313,((($J1313/$Z1313)^$Y1313)-1)/($Y1313*$AA1313)))</f>
        <v/>
      </c>
      <c r="AC1313">
        <f>IF($Y1313="","",IF($Y1313=0,$Z1313*EXP($AA1313*2),$Z1313*(1+$Y1313*$AA1313*2)^(1/$Y1313)))</f>
        <v/>
      </c>
      <c r="AD1313">
        <f>IF($Y1313="","",IF($Y1313=0,$Z1313*EXP($AA1313*3),$Z1313*(1+$Y1313*$AA1313*3)^(1/$Y1313)))</f>
        <v/>
      </c>
      <c r="AE1313">
        <f>IF($Y1313="","",IF($Y1313=0,$Z1313*EXP($AA1313*-2),$Z1313*(1+$Y1313*$AA1313*-2)^(1/$Y1313)))</f>
        <v/>
      </c>
      <c r="AF1313">
        <f>IF($Y1313="","",IF($Y1313=0,$Z1313*EXP($AA1313*-3),$Z1313*(1+$Y1313*$AA1313*-3)^(1/$Y1313)))</f>
        <v/>
      </c>
      <c r="AG1313">
        <f>IF($W1313="","",IFERROR(INDEX(IF($T1313&lt;=60,est05_l,est519_l),MATCH($W1313,IF($T1313&lt;=60,est05_k,est519_k),1)),""))</f>
        <v/>
      </c>
      <c r="AH1313">
        <f>IF($W1313="","",IFERROR(INDEX(IF($T1313&lt;=60,est05_m,est519_m),MATCH($W1313,IF($T1313&lt;=60,est05_k,est519_k),1)),""))</f>
        <v/>
      </c>
      <c r="AI1313">
        <f>IF($W1313="","",IFERROR(INDEX(IF($T1313&lt;=60,est05_s,est519_s),MATCH($W1313,IF($T1313&lt;=60,est05_k,est519_k),1)),""))</f>
        <v/>
      </c>
      <c r="AJ1313">
        <f>IF($W1313="","",IFERROR(INDEX(IF($T1313&lt;=60,peso05_l,peso510_l),MATCH($W1313,IF($T1313&lt;=60,peso05_k,peso510_k),1)),""))</f>
        <v/>
      </c>
      <c r="AK1313">
        <f>IF($W1313="","",IFERROR(INDEX(IF($T1313&lt;=60,peso05_m,peso510_m),MATCH($W1313,IF($T1313&lt;=60,peso05_k,peso510_k),1)),""))</f>
        <v/>
      </c>
      <c r="AL1313">
        <f>IF($W1313="","",IFERROR(INDEX(IF($T1313&lt;=60,peso05_s,peso510_s),MATCH($W1313,IF($T1313&lt;=60,peso05_k,peso510_k),1)),""))</f>
        <v/>
      </c>
      <c r="AM1313">
        <f>IF($AJ1313="","",IF($AJ1313=0,LN($F1313/$AK1313)/$AL1313,((($F1313/$AK1313)^$AJ1313)-1)/($AJ1313*$AL1313)))</f>
        <v/>
      </c>
      <c r="AN1313">
        <f>IF($AJ1313="","",IF($AJ1313=0,$AK1313*EXP($AL1313*2),$AK1313*(1+$AJ1313*$AL1313*2)^(1/$AJ1313)))</f>
        <v/>
      </c>
      <c r="AO1313">
        <f>IF($AJ1313="","",IF($AJ1313=0,$AK1313*EXP($AL1313*3),$AK1313*(1+$AJ1313*$AL1313*3)^(1/$AJ1313)))</f>
        <v/>
      </c>
      <c r="AP1313">
        <f>IF($AJ1313="","",IF($AJ1313=0,$AK1313*EXP($AL1313*-2),$AK1313*(1+$AJ1313*$AL1313*-2)^(1/$AJ1313)))</f>
        <v/>
      </c>
      <c r="AQ1313">
        <f>IF($AJ1313="","",IF($AJ1313=0,$AK1313*EXP($AL1313*-3),$AK1313*(1+$AJ1313*$AL1313*-3)^(1/$AJ1313)))</f>
        <v/>
      </c>
      <c r="AR1313">
        <f>IF(OR($X1313="",$T1313&gt;60),"",IFERROR(INDEX(IF($T1313&lt;24,pcomp_l,palt_l),MATCH($X1313,IF($T1313&lt;24,pcomp_k,palt_k),1)),""))</f>
        <v/>
      </c>
      <c r="AS1313">
        <f>IF(OR($X1313="",$T1313&gt;60),"",IFERROR(INDEX(IF($T1313&lt;24,pcomp_m,palt_m),MATCH($X1313,IF($T1313&lt;24,pcomp_k,palt_k),1)),""))</f>
        <v/>
      </c>
      <c r="AT1313">
        <f>IF(OR($X1313="",$T1313&gt;60),"",IFERROR(INDEX(IF($T1313&lt;24,pcomp_s,palt_s),MATCH($X1313,IF($T1313&lt;24,pcomp_k,palt_k),1)),""))</f>
        <v/>
      </c>
      <c r="AU1313">
        <f>IF($AR1313="","",IF($AR1313=0,LN($F1313/$AS1313)/$AT1313,((($F1313/$AS1313)^$AR1313)-1)/($AR1313*$AT1313)))</f>
        <v/>
      </c>
      <c r="AV1313">
        <f>IF($AR1313="","",IF($AR1313=0,$AS1313*EXP($AT1313*2),$AS1313*(1+$AR1313*$AT1313*2)^(1/$AR1313)))</f>
        <v/>
      </c>
      <c r="AW1313">
        <f>IF($AR1313="","",IF($AR1313=0,$AS1313*EXP($AT1313*3),$AS1313*(1+$AR1313*$AT1313*3)^(1/$AR1313)))</f>
        <v/>
      </c>
      <c r="AX1313">
        <f>IF($AR1313="","",IF($AR1313=0,$AS1313*EXP($AT1313*-2),$AS1313*(1+$AR1313*$AT1313*-2)^(1/$AR1313)))</f>
        <v/>
      </c>
      <c r="AY1313">
        <f>IF($AR1313="","",IF($AR1313=0,$AS1313*EXP($AT1313*-3),$AS1313*(1+$AR1313*$AT1313*-3)^(1/$AR1313)))</f>
        <v/>
      </c>
      <c r="AZ1313">
        <f>IF(OR($A1313="",$A1313&lt;&gt;Ficha!$C$4),"",COUNTIF($A$2:$A1313,Ficha!$C$4))</f>
        <v/>
      </c>
    </row>
    <row r="1314">
      <c r="A1314" s="8">
        <f>IF(INDEX(Banco!$A:$A,ROW())="","",INDEX(Banco!$A:$A,ROW()))</f>
        <v/>
      </c>
      <c r="B1314" s="8">
        <f>IF(INDEX(Banco!$B:$B,ROW())="","",INDEX(Banco!$B:$B,ROW()))</f>
        <v/>
      </c>
      <c r="C1314" s="8">
        <f>IF(INDEX(Banco!$C:$C,ROW())="","",INDEX(Banco!$C:$C,ROW()))</f>
        <v/>
      </c>
      <c r="D1314" s="9">
        <f>IF(INDEX(Banco!$D:$D,ROW())="","",INDEX(Banco!$D:$D,ROW()))</f>
        <v/>
      </c>
      <c r="E1314" s="9">
        <f>IF(INDEX(Banco!$E:$E,ROW())="","",INDEX(Banco!$E:$E,ROW()))</f>
        <v/>
      </c>
      <c r="F1314" s="10">
        <f>IF(INDEX(Banco!$F:$F,ROW())="","",INDEX(Banco!$F:$F,ROW()))</f>
        <v/>
      </c>
      <c r="G1314" s="10">
        <f>IF(INDEX(Banco!$G:$G,ROW())="","",INDEX(Banco!$G:$G,ROW()))</f>
        <v/>
      </c>
      <c r="H1314" s="8">
        <f>IF(INDEX(Banco!$H:$H,ROW())="","",INDEX(Banco!$H:$H,ROW()))</f>
        <v/>
      </c>
      <c r="I1314">
        <f>IF($T1314="","",INT($T1314/12)&amp;"a "&amp;MOD($T1314,12)&amp;"m")</f>
        <v/>
      </c>
      <c r="J1314" s="11">
        <f>IF(OR($F1314="",$G1314=""),"",ROUND($F1314/($G1314/100)^2,2))</f>
        <v/>
      </c>
      <c r="K1314" s="12">
        <f>IF(OR($S1314="",$J1314="",$T1314="",$T1314&lt;0,$T1314&gt;228,$Y1314=""),"—",ROUND(IF(ABS($AB1314)&lt;=3,$AB1314,IF($AB1314&gt;3,3+($J1314-$AD1314)/($AD1314-$AC1314),-3+($J1314-$AF1314)/($AE1314-$AF1314))),2))</f>
        <v/>
      </c>
      <c r="L1314">
        <f>IF(OR($K1314="",$K1314="—"),"",IF($T1314&lt;=60,IF($K1314&lt;-3,"Magreza acentuada",IF($K1314&lt;-2,"Magreza",IF($K1314&lt;=1,"Eutrofia",IF($K1314&lt;=2,"Risco de sobrepeso",IF($K1314&lt;=3,"Sobrepeso","Obesidade"))))),IF($K1314&lt;-3,"Magreza acentuada",IF($K1314&lt;-2,"Magreza",IF($K1314&lt;=1,"Eutrofia",IF($K1314&lt;=2,"Sobrepeso",IF($K1314&lt;=3,"Obesidade","Obesidade grave")))))))</f>
        <v/>
      </c>
      <c r="M1314" s="12">
        <f>IF(OR($S1314="",$V1314="",$T1314="",$T1314&lt;0,$T1314&gt;228,$AG1314=""),"—",ROUND(IF($AG1314=0,LN($V1314/$AH1314)/$AI1314,((($V1314/$AH1314)^$AG1314)-1)/($AG1314*$AI1314)),2))</f>
        <v/>
      </c>
      <c r="N1314">
        <f>IF(OR($M1314="",$M1314="—"),"",IF($M1314&lt;-3,"Muito baixa",IF($M1314&lt;-2,"Baixa","Adequada")))</f>
        <v/>
      </c>
      <c r="O1314" s="12">
        <f>IF(OR($S1314="",$F1314="",$T1314="",$T1314&lt;0,$T1314&gt;120,$AJ1314=""),"—",ROUND(IF(ABS($AM1314)&lt;=3,$AM1314,IF($AM1314&gt;3,3+($F1314-$AO1314)/($AO1314-$AN1314),-3+($F1314-$AQ1314)/($AP1314-$AQ1314))),2))</f>
        <v/>
      </c>
      <c r="P1314">
        <f>IF(OR($O1314="",$O1314="—"),"",IF($O1314&lt;-3,"Muito baixo",IF($O1314&lt;-2,"Baixo",IF($O1314&lt;=2,"Adequado","Elevado"))))</f>
        <v/>
      </c>
      <c r="Q1314" s="12">
        <f>IF(OR($S1314="",$F1314="",$T1314="",$T1314&lt;0,$T1314&gt;60,$AR1314=""),"—",ROUND(IF(ABS($AU1314)&lt;=3,$AU1314,IF($AU1314&gt;3,3+($F1314-$AW1314)/($AW1314-$AV1314),-3+($F1314-$AY1314)/($AX1314-$AY1314))),2))</f>
        <v/>
      </c>
      <c r="R1314">
        <f>IF(OR($Q1314="",$Q1314="—"),"",IF($Q1314&lt;-3,"Magreza acentuada",IF($Q1314&lt;-2,"Magreza",IF($Q1314&lt;=1,"Eutrofia",IF($Q1314&lt;=2,"Risco de sobrepeso",IF($Q1314&lt;=3,"Sobrepeso","Obesidade"))))))</f>
        <v/>
      </c>
      <c r="S1314">
        <f>IF($C1314="","",IF(UPPER(LEFT($C1314,1))="M",1,IF(UPPER(LEFT($C1314,1))="F",2,"")))</f>
        <v/>
      </c>
      <c r="T1314">
        <f>IF(OR($D1314="",$E1314=""),"",DATEDIF($D1314,$E1314,"m"))</f>
        <v/>
      </c>
      <c r="U1314">
        <f>IF(OR($D1314="",$E1314=""),"",$E1314-$D1314)</f>
        <v/>
      </c>
      <c r="V1314">
        <f>IF(OR($G1314="",$T1314=""),"",IF($T1314&lt;24,IF(LEFT(LOWER($H1314),4)="em p",$G1314+0.7,$G1314),IF(LEFT(LOWER($H1314),4)="deit",$G1314-0.7,$G1314)))</f>
        <v/>
      </c>
      <c r="W1314">
        <f>IF(OR($S1314="",$T1314=""),"",$S1314*1000000+IF($T1314&lt;=60,$U1314,$T1314))</f>
        <v/>
      </c>
      <c r="X1314">
        <f>IF(OR($S1314="",$V1314="",$T1314&gt;60,$T1314=""),"",$S1314*1000000+ROUND($V1314*10,0))</f>
        <v/>
      </c>
      <c r="Y1314">
        <f>IF($W1314="","",IFERROR(INDEX(IF($T1314&lt;=60,imc05_l,imc519_l),MATCH($W1314,IF($T1314&lt;=60,imc05_k,imc519_k),1)),""))</f>
        <v/>
      </c>
      <c r="Z1314">
        <f>IF($W1314="","",IFERROR(INDEX(IF($T1314&lt;=60,imc05_m,imc519_m),MATCH($W1314,IF($T1314&lt;=60,imc05_k,imc519_k),1)),""))</f>
        <v/>
      </c>
      <c r="AA1314">
        <f>IF($W1314="","",IFERROR(INDEX(IF($T1314&lt;=60,imc05_s,imc519_s),MATCH($W1314,IF($T1314&lt;=60,imc05_k,imc519_k),1)),""))</f>
        <v/>
      </c>
      <c r="AB1314">
        <f>IF($Y1314="","",IF($Y1314=0,LN($J1314/$Z1314)/$AA1314,((($J1314/$Z1314)^$Y1314)-1)/($Y1314*$AA1314)))</f>
        <v/>
      </c>
      <c r="AC1314">
        <f>IF($Y1314="","",IF($Y1314=0,$Z1314*EXP($AA1314*2),$Z1314*(1+$Y1314*$AA1314*2)^(1/$Y1314)))</f>
        <v/>
      </c>
      <c r="AD1314">
        <f>IF($Y1314="","",IF($Y1314=0,$Z1314*EXP($AA1314*3),$Z1314*(1+$Y1314*$AA1314*3)^(1/$Y1314)))</f>
        <v/>
      </c>
      <c r="AE1314">
        <f>IF($Y1314="","",IF($Y1314=0,$Z1314*EXP($AA1314*-2),$Z1314*(1+$Y1314*$AA1314*-2)^(1/$Y1314)))</f>
        <v/>
      </c>
      <c r="AF1314">
        <f>IF($Y1314="","",IF($Y1314=0,$Z1314*EXP($AA1314*-3),$Z1314*(1+$Y1314*$AA1314*-3)^(1/$Y1314)))</f>
        <v/>
      </c>
      <c r="AG1314">
        <f>IF($W1314="","",IFERROR(INDEX(IF($T1314&lt;=60,est05_l,est519_l),MATCH($W1314,IF($T1314&lt;=60,est05_k,est519_k),1)),""))</f>
        <v/>
      </c>
      <c r="AH1314">
        <f>IF($W1314="","",IFERROR(INDEX(IF($T1314&lt;=60,est05_m,est519_m),MATCH($W1314,IF($T1314&lt;=60,est05_k,est519_k),1)),""))</f>
        <v/>
      </c>
      <c r="AI1314">
        <f>IF($W1314="","",IFERROR(INDEX(IF($T1314&lt;=60,est05_s,est519_s),MATCH($W1314,IF($T1314&lt;=60,est05_k,est519_k),1)),""))</f>
        <v/>
      </c>
      <c r="AJ1314">
        <f>IF($W1314="","",IFERROR(INDEX(IF($T1314&lt;=60,peso05_l,peso510_l),MATCH($W1314,IF($T1314&lt;=60,peso05_k,peso510_k),1)),""))</f>
        <v/>
      </c>
      <c r="AK1314">
        <f>IF($W1314="","",IFERROR(INDEX(IF($T1314&lt;=60,peso05_m,peso510_m),MATCH($W1314,IF($T1314&lt;=60,peso05_k,peso510_k),1)),""))</f>
        <v/>
      </c>
      <c r="AL1314">
        <f>IF($W1314="","",IFERROR(INDEX(IF($T1314&lt;=60,peso05_s,peso510_s),MATCH($W1314,IF($T1314&lt;=60,peso05_k,peso510_k),1)),""))</f>
        <v/>
      </c>
      <c r="AM1314">
        <f>IF($AJ1314="","",IF($AJ1314=0,LN($F1314/$AK1314)/$AL1314,((($F1314/$AK1314)^$AJ1314)-1)/($AJ1314*$AL1314)))</f>
        <v/>
      </c>
      <c r="AN1314">
        <f>IF($AJ1314="","",IF($AJ1314=0,$AK1314*EXP($AL1314*2),$AK1314*(1+$AJ1314*$AL1314*2)^(1/$AJ1314)))</f>
        <v/>
      </c>
      <c r="AO1314">
        <f>IF($AJ1314="","",IF($AJ1314=0,$AK1314*EXP($AL1314*3),$AK1314*(1+$AJ1314*$AL1314*3)^(1/$AJ1314)))</f>
        <v/>
      </c>
      <c r="AP1314">
        <f>IF($AJ1314="","",IF($AJ1314=0,$AK1314*EXP($AL1314*-2),$AK1314*(1+$AJ1314*$AL1314*-2)^(1/$AJ1314)))</f>
        <v/>
      </c>
      <c r="AQ1314">
        <f>IF($AJ1314="","",IF($AJ1314=0,$AK1314*EXP($AL1314*-3),$AK1314*(1+$AJ1314*$AL1314*-3)^(1/$AJ1314)))</f>
        <v/>
      </c>
      <c r="AR1314">
        <f>IF(OR($X1314="",$T1314&gt;60),"",IFERROR(INDEX(IF($T1314&lt;24,pcomp_l,palt_l),MATCH($X1314,IF($T1314&lt;24,pcomp_k,palt_k),1)),""))</f>
        <v/>
      </c>
      <c r="AS1314">
        <f>IF(OR($X1314="",$T1314&gt;60),"",IFERROR(INDEX(IF($T1314&lt;24,pcomp_m,palt_m),MATCH($X1314,IF($T1314&lt;24,pcomp_k,palt_k),1)),""))</f>
        <v/>
      </c>
      <c r="AT1314">
        <f>IF(OR($X1314="",$T1314&gt;60),"",IFERROR(INDEX(IF($T1314&lt;24,pcomp_s,palt_s),MATCH($X1314,IF($T1314&lt;24,pcomp_k,palt_k),1)),""))</f>
        <v/>
      </c>
      <c r="AU1314">
        <f>IF($AR1314="","",IF($AR1314=0,LN($F1314/$AS1314)/$AT1314,((($F1314/$AS1314)^$AR1314)-1)/($AR1314*$AT1314)))</f>
        <v/>
      </c>
      <c r="AV1314">
        <f>IF($AR1314="","",IF($AR1314=0,$AS1314*EXP($AT1314*2),$AS1314*(1+$AR1314*$AT1314*2)^(1/$AR1314)))</f>
        <v/>
      </c>
      <c r="AW1314">
        <f>IF($AR1314="","",IF($AR1314=0,$AS1314*EXP($AT1314*3),$AS1314*(1+$AR1314*$AT1314*3)^(1/$AR1314)))</f>
        <v/>
      </c>
      <c r="AX1314">
        <f>IF($AR1314="","",IF($AR1314=0,$AS1314*EXP($AT1314*-2),$AS1314*(1+$AR1314*$AT1314*-2)^(1/$AR1314)))</f>
        <v/>
      </c>
      <c r="AY1314">
        <f>IF($AR1314="","",IF($AR1314=0,$AS1314*EXP($AT1314*-3),$AS1314*(1+$AR1314*$AT1314*-3)^(1/$AR1314)))</f>
        <v/>
      </c>
      <c r="AZ1314">
        <f>IF(OR($A1314="",$A1314&lt;&gt;Ficha!$C$4),"",COUNTIF($A$2:$A1314,Ficha!$C$4))</f>
        <v/>
      </c>
    </row>
    <row r="1315">
      <c r="A1315" s="8">
        <f>IF(INDEX(Banco!$A:$A,ROW())="","",INDEX(Banco!$A:$A,ROW()))</f>
        <v/>
      </c>
      <c r="B1315" s="8">
        <f>IF(INDEX(Banco!$B:$B,ROW())="","",INDEX(Banco!$B:$B,ROW()))</f>
        <v/>
      </c>
      <c r="C1315" s="8">
        <f>IF(INDEX(Banco!$C:$C,ROW())="","",INDEX(Banco!$C:$C,ROW()))</f>
        <v/>
      </c>
      <c r="D1315" s="9">
        <f>IF(INDEX(Banco!$D:$D,ROW())="","",INDEX(Banco!$D:$D,ROW()))</f>
        <v/>
      </c>
      <c r="E1315" s="9">
        <f>IF(INDEX(Banco!$E:$E,ROW())="","",INDEX(Banco!$E:$E,ROW()))</f>
        <v/>
      </c>
      <c r="F1315" s="10">
        <f>IF(INDEX(Banco!$F:$F,ROW())="","",INDEX(Banco!$F:$F,ROW()))</f>
        <v/>
      </c>
      <c r="G1315" s="10">
        <f>IF(INDEX(Banco!$G:$G,ROW())="","",INDEX(Banco!$G:$G,ROW()))</f>
        <v/>
      </c>
      <c r="H1315" s="8">
        <f>IF(INDEX(Banco!$H:$H,ROW())="","",INDEX(Banco!$H:$H,ROW()))</f>
        <v/>
      </c>
      <c r="I1315">
        <f>IF($T1315="","",INT($T1315/12)&amp;"a "&amp;MOD($T1315,12)&amp;"m")</f>
        <v/>
      </c>
      <c r="J1315" s="11">
        <f>IF(OR($F1315="",$G1315=""),"",ROUND($F1315/($G1315/100)^2,2))</f>
        <v/>
      </c>
      <c r="K1315" s="12">
        <f>IF(OR($S1315="",$J1315="",$T1315="",$T1315&lt;0,$T1315&gt;228,$Y1315=""),"—",ROUND(IF(ABS($AB1315)&lt;=3,$AB1315,IF($AB1315&gt;3,3+($J1315-$AD1315)/($AD1315-$AC1315),-3+($J1315-$AF1315)/($AE1315-$AF1315))),2))</f>
        <v/>
      </c>
      <c r="L1315">
        <f>IF(OR($K1315="",$K1315="—"),"",IF($T1315&lt;=60,IF($K1315&lt;-3,"Magreza acentuada",IF($K1315&lt;-2,"Magreza",IF($K1315&lt;=1,"Eutrofia",IF($K1315&lt;=2,"Risco de sobrepeso",IF($K1315&lt;=3,"Sobrepeso","Obesidade"))))),IF($K1315&lt;-3,"Magreza acentuada",IF($K1315&lt;-2,"Magreza",IF($K1315&lt;=1,"Eutrofia",IF($K1315&lt;=2,"Sobrepeso",IF($K1315&lt;=3,"Obesidade","Obesidade grave")))))))</f>
        <v/>
      </c>
      <c r="M1315" s="12">
        <f>IF(OR($S1315="",$V1315="",$T1315="",$T1315&lt;0,$T1315&gt;228,$AG1315=""),"—",ROUND(IF($AG1315=0,LN($V1315/$AH1315)/$AI1315,((($V1315/$AH1315)^$AG1315)-1)/($AG1315*$AI1315)),2))</f>
        <v/>
      </c>
      <c r="N1315">
        <f>IF(OR($M1315="",$M1315="—"),"",IF($M1315&lt;-3,"Muito baixa",IF($M1315&lt;-2,"Baixa","Adequada")))</f>
        <v/>
      </c>
      <c r="O1315" s="12">
        <f>IF(OR($S1315="",$F1315="",$T1315="",$T1315&lt;0,$T1315&gt;120,$AJ1315=""),"—",ROUND(IF(ABS($AM1315)&lt;=3,$AM1315,IF($AM1315&gt;3,3+($F1315-$AO1315)/($AO1315-$AN1315),-3+($F1315-$AQ1315)/($AP1315-$AQ1315))),2))</f>
        <v/>
      </c>
      <c r="P1315">
        <f>IF(OR($O1315="",$O1315="—"),"",IF($O1315&lt;-3,"Muito baixo",IF($O1315&lt;-2,"Baixo",IF($O1315&lt;=2,"Adequado","Elevado"))))</f>
        <v/>
      </c>
      <c r="Q1315" s="12">
        <f>IF(OR($S1315="",$F1315="",$T1315="",$T1315&lt;0,$T1315&gt;60,$AR1315=""),"—",ROUND(IF(ABS($AU1315)&lt;=3,$AU1315,IF($AU1315&gt;3,3+($F1315-$AW1315)/($AW1315-$AV1315),-3+($F1315-$AY1315)/($AX1315-$AY1315))),2))</f>
        <v/>
      </c>
      <c r="R1315">
        <f>IF(OR($Q1315="",$Q1315="—"),"",IF($Q1315&lt;-3,"Magreza acentuada",IF($Q1315&lt;-2,"Magreza",IF($Q1315&lt;=1,"Eutrofia",IF($Q1315&lt;=2,"Risco de sobrepeso",IF($Q1315&lt;=3,"Sobrepeso","Obesidade"))))))</f>
        <v/>
      </c>
      <c r="S1315">
        <f>IF($C1315="","",IF(UPPER(LEFT($C1315,1))="M",1,IF(UPPER(LEFT($C1315,1))="F",2,"")))</f>
        <v/>
      </c>
      <c r="T1315">
        <f>IF(OR($D1315="",$E1315=""),"",DATEDIF($D1315,$E1315,"m"))</f>
        <v/>
      </c>
      <c r="U1315">
        <f>IF(OR($D1315="",$E1315=""),"",$E1315-$D1315)</f>
        <v/>
      </c>
      <c r="V1315">
        <f>IF(OR($G1315="",$T1315=""),"",IF($T1315&lt;24,IF(LEFT(LOWER($H1315),4)="em p",$G1315+0.7,$G1315),IF(LEFT(LOWER($H1315),4)="deit",$G1315-0.7,$G1315)))</f>
        <v/>
      </c>
      <c r="W1315">
        <f>IF(OR($S1315="",$T1315=""),"",$S1315*1000000+IF($T1315&lt;=60,$U1315,$T1315))</f>
        <v/>
      </c>
      <c r="X1315">
        <f>IF(OR($S1315="",$V1315="",$T1315&gt;60,$T1315=""),"",$S1315*1000000+ROUND($V1315*10,0))</f>
        <v/>
      </c>
      <c r="Y1315">
        <f>IF($W1315="","",IFERROR(INDEX(IF($T1315&lt;=60,imc05_l,imc519_l),MATCH($W1315,IF($T1315&lt;=60,imc05_k,imc519_k),1)),""))</f>
        <v/>
      </c>
      <c r="Z1315">
        <f>IF($W1315="","",IFERROR(INDEX(IF($T1315&lt;=60,imc05_m,imc519_m),MATCH($W1315,IF($T1315&lt;=60,imc05_k,imc519_k),1)),""))</f>
        <v/>
      </c>
      <c r="AA1315">
        <f>IF($W1315="","",IFERROR(INDEX(IF($T1315&lt;=60,imc05_s,imc519_s),MATCH($W1315,IF($T1315&lt;=60,imc05_k,imc519_k),1)),""))</f>
        <v/>
      </c>
      <c r="AB1315">
        <f>IF($Y1315="","",IF($Y1315=0,LN($J1315/$Z1315)/$AA1315,((($J1315/$Z1315)^$Y1315)-1)/($Y1315*$AA1315)))</f>
        <v/>
      </c>
      <c r="AC1315">
        <f>IF($Y1315="","",IF($Y1315=0,$Z1315*EXP($AA1315*2),$Z1315*(1+$Y1315*$AA1315*2)^(1/$Y1315)))</f>
        <v/>
      </c>
      <c r="AD1315">
        <f>IF($Y1315="","",IF($Y1315=0,$Z1315*EXP($AA1315*3),$Z1315*(1+$Y1315*$AA1315*3)^(1/$Y1315)))</f>
        <v/>
      </c>
      <c r="AE1315">
        <f>IF($Y1315="","",IF($Y1315=0,$Z1315*EXP($AA1315*-2),$Z1315*(1+$Y1315*$AA1315*-2)^(1/$Y1315)))</f>
        <v/>
      </c>
      <c r="AF1315">
        <f>IF($Y1315="","",IF($Y1315=0,$Z1315*EXP($AA1315*-3),$Z1315*(1+$Y1315*$AA1315*-3)^(1/$Y1315)))</f>
        <v/>
      </c>
      <c r="AG1315">
        <f>IF($W1315="","",IFERROR(INDEX(IF($T1315&lt;=60,est05_l,est519_l),MATCH($W1315,IF($T1315&lt;=60,est05_k,est519_k),1)),""))</f>
        <v/>
      </c>
      <c r="AH1315">
        <f>IF($W1315="","",IFERROR(INDEX(IF($T1315&lt;=60,est05_m,est519_m),MATCH($W1315,IF($T1315&lt;=60,est05_k,est519_k),1)),""))</f>
        <v/>
      </c>
      <c r="AI1315">
        <f>IF($W1315="","",IFERROR(INDEX(IF($T1315&lt;=60,est05_s,est519_s),MATCH($W1315,IF($T1315&lt;=60,est05_k,est519_k),1)),""))</f>
        <v/>
      </c>
      <c r="AJ1315">
        <f>IF($W1315="","",IFERROR(INDEX(IF($T1315&lt;=60,peso05_l,peso510_l),MATCH($W1315,IF($T1315&lt;=60,peso05_k,peso510_k),1)),""))</f>
        <v/>
      </c>
      <c r="AK1315">
        <f>IF($W1315="","",IFERROR(INDEX(IF($T1315&lt;=60,peso05_m,peso510_m),MATCH($W1315,IF($T1315&lt;=60,peso05_k,peso510_k),1)),""))</f>
        <v/>
      </c>
      <c r="AL1315">
        <f>IF($W1315="","",IFERROR(INDEX(IF($T1315&lt;=60,peso05_s,peso510_s),MATCH($W1315,IF($T1315&lt;=60,peso05_k,peso510_k),1)),""))</f>
        <v/>
      </c>
      <c r="AM1315">
        <f>IF($AJ1315="","",IF($AJ1315=0,LN($F1315/$AK1315)/$AL1315,((($F1315/$AK1315)^$AJ1315)-1)/($AJ1315*$AL1315)))</f>
        <v/>
      </c>
      <c r="AN1315">
        <f>IF($AJ1315="","",IF($AJ1315=0,$AK1315*EXP($AL1315*2),$AK1315*(1+$AJ1315*$AL1315*2)^(1/$AJ1315)))</f>
        <v/>
      </c>
      <c r="AO1315">
        <f>IF($AJ1315="","",IF($AJ1315=0,$AK1315*EXP($AL1315*3),$AK1315*(1+$AJ1315*$AL1315*3)^(1/$AJ1315)))</f>
        <v/>
      </c>
      <c r="AP1315">
        <f>IF($AJ1315="","",IF($AJ1315=0,$AK1315*EXP($AL1315*-2),$AK1315*(1+$AJ1315*$AL1315*-2)^(1/$AJ1315)))</f>
        <v/>
      </c>
      <c r="AQ1315">
        <f>IF($AJ1315="","",IF($AJ1315=0,$AK1315*EXP($AL1315*-3),$AK1315*(1+$AJ1315*$AL1315*-3)^(1/$AJ1315)))</f>
        <v/>
      </c>
      <c r="AR1315">
        <f>IF(OR($X1315="",$T1315&gt;60),"",IFERROR(INDEX(IF($T1315&lt;24,pcomp_l,palt_l),MATCH($X1315,IF($T1315&lt;24,pcomp_k,palt_k),1)),""))</f>
        <v/>
      </c>
      <c r="AS1315">
        <f>IF(OR($X1315="",$T1315&gt;60),"",IFERROR(INDEX(IF($T1315&lt;24,pcomp_m,palt_m),MATCH($X1315,IF($T1315&lt;24,pcomp_k,palt_k),1)),""))</f>
        <v/>
      </c>
      <c r="AT1315">
        <f>IF(OR($X1315="",$T1315&gt;60),"",IFERROR(INDEX(IF($T1315&lt;24,pcomp_s,palt_s),MATCH($X1315,IF($T1315&lt;24,pcomp_k,palt_k),1)),""))</f>
        <v/>
      </c>
      <c r="AU1315">
        <f>IF($AR1315="","",IF($AR1315=0,LN($F1315/$AS1315)/$AT1315,((($F1315/$AS1315)^$AR1315)-1)/($AR1315*$AT1315)))</f>
        <v/>
      </c>
      <c r="AV1315">
        <f>IF($AR1315="","",IF($AR1315=0,$AS1315*EXP($AT1315*2),$AS1315*(1+$AR1315*$AT1315*2)^(1/$AR1315)))</f>
        <v/>
      </c>
      <c r="AW1315">
        <f>IF($AR1315="","",IF($AR1315=0,$AS1315*EXP($AT1315*3),$AS1315*(1+$AR1315*$AT1315*3)^(1/$AR1315)))</f>
        <v/>
      </c>
      <c r="AX1315">
        <f>IF($AR1315="","",IF($AR1315=0,$AS1315*EXP($AT1315*-2),$AS1315*(1+$AR1315*$AT1315*-2)^(1/$AR1315)))</f>
        <v/>
      </c>
      <c r="AY1315">
        <f>IF($AR1315="","",IF($AR1315=0,$AS1315*EXP($AT1315*-3),$AS1315*(1+$AR1315*$AT1315*-3)^(1/$AR1315)))</f>
        <v/>
      </c>
      <c r="AZ1315">
        <f>IF(OR($A1315="",$A1315&lt;&gt;Ficha!$C$4),"",COUNTIF($A$2:$A1315,Ficha!$C$4))</f>
        <v/>
      </c>
    </row>
    <row r="1316">
      <c r="A1316" s="8">
        <f>IF(INDEX(Banco!$A:$A,ROW())="","",INDEX(Banco!$A:$A,ROW()))</f>
        <v/>
      </c>
      <c r="B1316" s="8">
        <f>IF(INDEX(Banco!$B:$B,ROW())="","",INDEX(Banco!$B:$B,ROW()))</f>
        <v/>
      </c>
      <c r="C1316" s="8">
        <f>IF(INDEX(Banco!$C:$C,ROW())="","",INDEX(Banco!$C:$C,ROW()))</f>
        <v/>
      </c>
      <c r="D1316" s="9">
        <f>IF(INDEX(Banco!$D:$D,ROW())="","",INDEX(Banco!$D:$D,ROW()))</f>
        <v/>
      </c>
      <c r="E1316" s="9">
        <f>IF(INDEX(Banco!$E:$E,ROW())="","",INDEX(Banco!$E:$E,ROW()))</f>
        <v/>
      </c>
      <c r="F1316" s="10">
        <f>IF(INDEX(Banco!$F:$F,ROW())="","",INDEX(Banco!$F:$F,ROW()))</f>
        <v/>
      </c>
      <c r="G1316" s="10">
        <f>IF(INDEX(Banco!$G:$G,ROW())="","",INDEX(Banco!$G:$G,ROW()))</f>
        <v/>
      </c>
      <c r="H1316" s="8">
        <f>IF(INDEX(Banco!$H:$H,ROW())="","",INDEX(Banco!$H:$H,ROW()))</f>
        <v/>
      </c>
      <c r="I1316">
        <f>IF($T1316="","",INT($T1316/12)&amp;"a "&amp;MOD($T1316,12)&amp;"m")</f>
        <v/>
      </c>
      <c r="J1316" s="11">
        <f>IF(OR($F1316="",$G1316=""),"",ROUND($F1316/($G1316/100)^2,2))</f>
        <v/>
      </c>
      <c r="K1316" s="12">
        <f>IF(OR($S1316="",$J1316="",$T1316="",$T1316&lt;0,$T1316&gt;228,$Y1316=""),"—",ROUND(IF(ABS($AB1316)&lt;=3,$AB1316,IF($AB1316&gt;3,3+($J1316-$AD1316)/($AD1316-$AC1316),-3+($J1316-$AF1316)/($AE1316-$AF1316))),2))</f>
        <v/>
      </c>
      <c r="L1316">
        <f>IF(OR($K1316="",$K1316="—"),"",IF($T1316&lt;=60,IF($K1316&lt;-3,"Magreza acentuada",IF($K1316&lt;-2,"Magreza",IF($K1316&lt;=1,"Eutrofia",IF($K1316&lt;=2,"Risco de sobrepeso",IF($K1316&lt;=3,"Sobrepeso","Obesidade"))))),IF($K1316&lt;-3,"Magreza acentuada",IF($K1316&lt;-2,"Magreza",IF($K1316&lt;=1,"Eutrofia",IF($K1316&lt;=2,"Sobrepeso",IF($K1316&lt;=3,"Obesidade","Obesidade grave")))))))</f>
        <v/>
      </c>
      <c r="M1316" s="12">
        <f>IF(OR($S1316="",$V1316="",$T1316="",$T1316&lt;0,$T1316&gt;228,$AG1316=""),"—",ROUND(IF($AG1316=0,LN($V1316/$AH1316)/$AI1316,((($V1316/$AH1316)^$AG1316)-1)/($AG1316*$AI1316)),2))</f>
        <v/>
      </c>
      <c r="N1316">
        <f>IF(OR($M1316="",$M1316="—"),"",IF($M1316&lt;-3,"Muito baixa",IF($M1316&lt;-2,"Baixa","Adequada")))</f>
        <v/>
      </c>
      <c r="O1316" s="12">
        <f>IF(OR($S1316="",$F1316="",$T1316="",$T1316&lt;0,$T1316&gt;120,$AJ1316=""),"—",ROUND(IF(ABS($AM1316)&lt;=3,$AM1316,IF($AM1316&gt;3,3+($F1316-$AO1316)/($AO1316-$AN1316),-3+($F1316-$AQ1316)/($AP1316-$AQ1316))),2))</f>
        <v/>
      </c>
      <c r="P1316">
        <f>IF(OR($O1316="",$O1316="—"),"",IF($O1316&lt;-3,"Muito baixo",IF($O1316&lt;-2,"Baixo",IF($O1316&lt;=2,"Adequado","Elevado"))))</f>
        <v/>
      </c>
      <c r="Q1316" s="12">
        <f>IF(OR($S1316="",$F1316="",$T1316="",$T1316&lt;0,$T1316&gt;60,$AR1316=""),"—",ROUND(IF(ABS($AU1316)&lt;=3,$AU1316,IF($AU1316&gt;3,3+($F1316-$AW1316)/($AW1316-$AV1316),-3+($F1316-$AY1316)/($AX1316-$AY1316))),2))</f>
        <v/>
      </c>
      <c r="R1316">
        <f>IF(OR($Q1316="",$Q1316="—"),"",IF($Q1316&lt;-3,"Magreza acentuada",IF($Q1316&lt;-2,"Magreza",IF($Q1316&lt;=1,"Eutrofia",IF($Q1316&lt;=2,"Risco de sobrepeso",IF($Q1316&lt;=3,"Sobrepeso","Obesidade"))))))</f>
        <v/>
      </c>
      <c r="S1316">
        <f>IF($C1316="","",IF(UPPER(LEFT($C1316,1))="M",1,IF(UPPER(LEFT($C1316,1))="F",2,"")))</f>
        <v/>
      </c>
      <c r="T1316">
        <f>IF(OR($D1316="",$E1316=""),"",DATEDIF($D1316,$E1316,"m"))</f>
        <v/>
      </c>
      <c r="U1316">
        <f>IF(OR($D1316="",$E1316=""),"",$E1316-$D1316)</f>
        <v/>
      </c>
      <c r="V1316">
        <f>IF(OR($G1316="",$T1316=""),"",IF($T1316&lt;24,IF(LEFT(LOWER($H1316),4)="em p",$G1316+0.7,$G1316),IF(LEFT(LOWER($H1316),4)="deit",$G1316-0.7,$G1316)))</f>
        <v/>
      </c>
      <c r="W1316">
        <f>IF(OR($S1316="",$T1316=""),"",$S1316*1000000+IF($T1316&lt;=60,$U1316,$T1316))</f>
        <v/>
      </c>
      <c r="X1316">
        <f>IF(OR($S1316="",$V1316="",$T1316&gt;60,$T1316=""),"",$S1316*1000000+ROUND($V1316*10,0))</f>
        <v/>
      </c>
      <c r="Y1316">
        <f>IF($W1316="","",IFERROR(INDEX(IF($T1316&lt;=60,imc05_l,imc519_l),MATCH($W1316,IF($T1316&lt;=60,imc05_k,imc519_k),1)),""))</f>
        <v/>
      </c>
      <c r="Z1316">
        <f>IF($W1316="","",IFERROR(INDEX(IF($T1316&lt;=60,imc05_m,imc519_m),MATCH($W1316,IF($T1316&lt;=60,imc05_k,imc519_k),1)),""))</f>
        <v/>
      </c>
      <c r="AA1316">
        <f>IF($W1316="","",IFERROR(INDEX(IF($T1316&lt;=60,imc05_s,imc519_s),MATCH($W1316,IF($T1316&lt;=60,imc05_k,imc519_k),1)),""))</f>
        <v/>
      </c>
      <c r="AB1316">
        <f>IF($Y1316="","",IF($Y1316=0,LN($J1316/$Z1316)/$AA1316,((($J1316/$Z1316)^$Y1316)-1)/($Y1316*$AA1316)))</f>
        <v/>
      </c>
      <c r="AC1316">
        <f>IF($Y1316="","",IF($Y1316=0,$Z1316*EXP($AA1316*2),$Z1316*(1+$Y1316*$AA1316*2)^(1/$Y1316)))</f>
        <v/>
      </c>
      <c r="AD1316">
        <f>IF($Y1316="","",IF($Y1316=0,$Z1316*EXP($AA1316*3),$Z1316*(1+$Y1316*$AA1316*3)^(1/$Y1316)))</f>
        <v/>
      </c>
      <c r="AE1316">
        <f>IF($Y1316="","",IF($Y1316=0,$Z1316*EXP($AA1316*-2),$Z1316*(1+$Y1316*$AA1316*-2)^(1/$Y1316)))</f>
        <v/>
      </c>
      <c r="AF1316">
        <f>IF($Y1316="","",IF($Y1316=0,$Z1316*EXP($AA1316*-3),$Z1316*(1+$Y1316*$AA1316*-3)^(1/$Y1316)))</f>
        <v/>
      </c>
      <c r="AG1316">
        <f>IF($W1316="","",IFERROR(INDEX(IF($T1316&lt;=60,est05_l,est519_l),MATCH($W1316,IF($T1316&lt;=60,est05_k,est519_k),1)),""))</f>
        <v/>
      </c>
      <c r="AH1316">
        <f>IF($W1316="","",IFERROR(INDEX(IF($T1316&lt;=60,est05_m,est519_m),MATCH($W1316,IF($T1316&lt;=60,est05_k,est519_k),1)),""))</f>
        <v/>
      </c>
      <c r="AI1316">
        <f>IF($W1316="","",IFERROR(INDEX(IF($T1316&lt;=60,est05_s,est519_s),MATCH($W1316,IF($T1316&lt;=60,est05_k,est519_k),1)),""))</f>
        <v/>
      </c>
      <c r="AJ1316">
        <f>IF($W1316="","",IFERROR(INDEX(IF($T1316&lt;=60,peso05_l,peso510_l),MATCH($W1316,IF($T1316&lt;=60,peso05_k,peso510_k),1)),""))</f>
        <v/>
      </c>
      <c r="AK1316">
        <f>IF($W1316="","",IFERROR(INDEX(IF($T1316&lt;=60,peso05_m,peso510_m),MATCH($W1316,IF($T1316&lt;=60,peso05_k,peso510_k),1)),""))</f>
        <v/>
      </c>
      <c r="AL1316">
        <f>IF($W1316="","",IFERROR(INDEX(IF($T1316&lt;=60,peso05_s,peso510_s),MATCH($W1316,IF($T1316&lt;=60,peso05_k,peso510_k),1)),""))</f>
        <v/>
      </c>
      <c r="AM1316">
        <f>IF($AJ1316="","",IF($AJ1316=0,LN($F1316/$AK1316)/$AL1316,((($F1316/$AK1316)^$AJ1316)-1)/($AJ1316*$AL1316)))</f>
        <v/>
      </c>
      <c r="AN1316">
        <f>IF($AJ1316="","",IF($AJ1316=0,$AK1316*EXP($AL1316*2),$AK1316*(1+$AJ1316*$AL1316*2)^(1/$AJ1316)))</f>
        <v/>
      </c>
      <c r="AO1316">
        <f>IF($AJ1316="","",IF($AJ1316=0,$AK1316*EXP($AL1316*3),$AK1316*(1+$AJ1316*$AL1316*3)^(1/$AJ1316)))</f>
        <v/>
      </c>
      <c r="AP1316">
        <f>IF($AJ1316="","",IF($AJ1316=0,$AK1316*EXP($AL1316*-2),$AK1316*(1+$AJ1316*$AL1316*-2)^(1/$AJ1316)))</f>
        <v/>
      </c>
      <c r="AQ1316">
        <f>IF($AJ1316="","",IF($AJ1316=0,$AK1316*EXP($AL1316*-3),$AK1316*(1+$AJ1316*$AL1316*-3)^(1/$AJ1316)))</f>
        <v/>
      </c>
      <c r="AR1316">
        <f>IF(OR($X1316="",$T1316&gt;60),"",IFERROR(INDEX(IF($T1316&lt;24,pcomp_l,palt_l),MATCH($X1316,IF($T1316&lt;24,pcomp_k,palt_k),1)),""))</f>
        <v/>
      </c>
      <c r="AS1316">
        <f>IF(OR($X1316="",$T1316&gt;60),"",IFERROR(INDEX(IF($T1316&lt;24,pcomp_m,palt_m),MATCH($X1316,IF($T1316&lt;24,pcomp_k,palt_k),1)),""))</f>
        <v/>
      </c>
      <c r="AT1316">
        <f>IF(OR($X1316="",$T1316&gt;60),"",IFERROR(INDEX(IF($T1316&lt;24,pcomp_s,palt_s),MATCH($X1316,IF($T1316&lt;24,pcomp_k,palt_k),1)),""))</f>
        <v/>
      </c>
      <c r="AU1316">
        <f>IF($AR1316="","",IF($AR1316=0,LN($F1316/$AS1316)/$AT1316,((($F1316/$AS1316)^$AR1316)-1)/($AR1316*$AT1316)))</f>
        <v/>
      </c>
      <c r="AV1316">
        <f>IF($AR1316="","",IF($AR1316=0,$AS1316*EXP($AT1316*2),$AS1316*(1+$AR1316*$AT1316*2)^(1/$AR1316)))</f>
        <v/>
      </c>
      <c r="AW1316">
        <f>IF($AR1316="","",IF($AR1316=0,$AS1316*EXP($AT1316*3),$AS1316*(1+$AR1316*$AT1316*3)^(1/$AR1316)))</f>
        <v/>
      </c>
      <c r="AX1316">
        <f>IF($AR1316="","",IF($AR1316=0,$AS1316*EXP($AT1316*-2),$AS1316*(1+$AR1316*$AT1316*-2)^(1/$AR1316)))</f>
        <v/>
      </c>
      <c r="AY1316">
        <f>IF($AR1316="","",IF($AR1316=0,$AS1316*EXP($AT1316*-3),$AS1316*(1+$AR1316*$AT1316*-3)^(1/$AR1316)))</f>
        <v/>
      </c>
      <c r="AZ1316">
        <f>IF(OR($A1316="",$A1316&lt;&gt;Ficha!$C$4),"",COUNTIF($A$2:$A1316,Ficha!$C$4))</f>
        <v/>
      </c>
    </row>
    <row r="1317">
      <c r="A1317" s="8">
        <f>IF(INDEX(Banco!$A:$A,ROW())="","",INDEX(Banco!$A:$A,ROW()))</f>
        <v/>
      </c>
      <c r="B1317" s="8">
        <f>IF(INDEX(Banco!$B:$B,ROW())="","",INDEX(Banco!$B:$B,ROW()))</f>
        <v/>
      </c>
      <c r="C1317" s="8">
        <f>IF(INDEX(Banco!$C:$C,ROW())="","",INDEX(Banco!$C:$C,ROW()))</f>
        <v/>
      </c>
      <c r="D1317" s="9">
        <f>IF(INDEX(Banco!$D:$D,ROW())="","",INDEX(Banco!$D:$D,ROW()))</f>
        <v/>
      </c>
      <c r="E1317" s="9">
        <f>IF(INDEX(Banco!$E:$E,ROW())="","",INDEX(Banco!$E:$E,ROW()))</f>
        <v/>
      </c>
      <c r="F1317" s="10">
        <f>IF(INDEX(Banco!$F:$F,ROW())="","",INDEX(Banco!$F:$F,ROW()))</f>
        <v/>
      </c>
      <c r="G1317" s="10">
        <f>IF(INDEX(Banco!$G:$G,ROW())="","",INDEX(Banco!$G:$G,ROW()))</f>
        <v/>
      </c>
      <c r="H1317" s="8">
        <f>IF(INDEX(Banco!$H:$H,ROW())="","",INDEX(Banco!$H:$H,ROW()))</f>
        <v/>
      </c>
      <c r="I1317">
        <f>IF($T1317="","",INT($T1317/12)&amp;"a "&amp;MOD($T1317,12)&amp;"m")</f>
        <v/>
      </c>
      <c r="J1317" s="11">
        <f>IF(OR($F1317="",$G1317=""),"",ROUND($F1317/($G1317/100)^2,2))</f>
        <v/>
      </c>
      <c r="K1317" s="12">
        <f>IF(OR($S1317="",$J1317="",$T1317="",$T1317&lt;0,$T1317&gt;228,$Y1317=""),"—",ROUND(IF(ABS($AB1317)&lt;=3,$AB1317,IF($AB1317&gt;3,3+($J1317-$AD1317)/($AD1317-$AC1317),-3+($J1317-$AF1317)/($AE1317-$AF1317))),2))</f>
        <v/>
      </c>
      <c r="L1317">
        <f>IF(OR($K1317="",$K1317="—"),"",IF($T1317&lt;=60,IF($K1317&lt;-3,"Magreza acentuada",IF($K1317&lt;-2,"Magreza",IF($K1317&lt;=1,"Eutrofia",IF($K1317&lt;=2,"Risco de sobrepeso",IF($K1317&lt;=3,"Sobrepeso","Obesidade"))))),IF($K1317&lt;-3,"Magreza acentuada",IF($K1317&lt;-2,"Magreza",IF($K1317&lt;=1,"Eutrofia",IF($K1317&lt;=2,"Sobrepeso",IF($K1317&lt;=3,"Obesidade","Obesidade grave")))))))</f>
        <v/>
      </c>
      <c r="M1317" s="12">
        <f>IF(OR($S1317="",$V1317="",$T1317="",$T1317&lt;0,$T1317&gt;228,$AG1317=""),"—",ROUND(IF($AG1317=0,LN($V1317/$AH1317)/$AI1317,((($V1317/$AH1317)^$AG1317)-1)/($AG1317*$AI1317)),2))</f>
        <v/>
      </c>
      <c r="N1317">
        <f>IF(OR($M1317="",$M1317="—"),"",IF($M1317&lt;-3,"Muito baixa",IF($M1317&lt;-2,"Baixa","Adequada")))</f>
        <v/>
      </c>
      <c r="O1317" s="12">
        <f>IF(OR($S1317="",$F1317="",$T1317="",$T1317&lt;0,$T1317&gt;120,$AJ1317=""),"—",ROUND(IF(ABS($AM1317)&lt;=3,$AM1317,IF($AM1317&gt;3,3+($F1317-$AO1317)/($AO1317-$AN1317),-3+($F1317-$AQ1317)/($AP1317-$AQ1317))),2))</f>
        <v/>
      </c>
      <c r="P1317">
        <f>IF(OR($O1317="",$O1317="—"),"",IF($O1317&lt;-3,"Muito baixo",IF($O1317&lt;-2,"Baixo",IF($O1317&lt;=2,"Adequado","Elevado"))))</f>
        <v/>
      </c>
      <c r="Q1317" s="12">
        <f>IF(OR($S1317="",$F1317="",$T1317="",$T1317&lt;0,$T1317&gt;60,$AR1317=""),"—",ROUND(IF(ABS($AU1317)&lt;=3,$AU1317,IF($AU1317&gt;3,3+($F1317-$AW1317)/($AW1317-$AV1317),-3+($F1317-$AY1317)/($AX1317-$AY1317))),2))</f>
        <v/>
      </c>
      <c r="R1317">
        <f>IF(OR($Q1317="",$Q1317="—"),"",IF($Q1317&lt;-3,"Magreza acentuada",IF($Q1317&lt;-2,"Magreza",IF($Q1317&lt;=1,"Eutrofia",IF($Q1317&lt;=2,"Risco de sobrepeso",IF($Q1317&lt;=3,"Sobrepeso","Obesidade"))))))</f>
        <v/>
      </c>
      <c r="S1317">
        <f>IF($C1317="","",IF(UPPER(LEFT($C1317,1))="M",1,IF(UPPER(LEFT($C1317,1))="F",2,"")))</f>
        <v/>
      </c>
      <c r="T1317">
        <f>IF(OR($D1317="",$E1317=""),"",DATEDIF($D1317,$E1317,"m"))</f>
        <v/>
      </c>
      <c r="U1317">
        <f>IF(OR($D1317="",$E1317=""),"",$E1317-$D1317)</f>
        <v/>
      </c>
      <c r="V1317">
        <f>IF(OR($G1317="",$T1317=""),"",IF($T1317&lt;24,IF(LEFT(LOWER($H1317),4)="em p",$G1317+0.7,$G1317),IF(LEFT(LOWER($H1317),4)="deit",$G1317-0.7,$G1317)))</f>
        <v/>
      </c>
      <c r="W1317">
        <f>IF(OR($S1317="",$T1317=""),"",$S1317*1000000+IF($T1317&lt;=60,$U1317,$T1317))</f>
        <v/>
      </c>
      <c r="X1317">
        <f>IF(OR($S1317="",$V1317="",$T1317&gt;60,$T1317=""),"",$S1317*1000000+ROUND($V1317*10,0))</f>
        <v/>
      </c>
      <c r="Y1317">
        <f>IF($W1317="","",IFERROR(INDEX(IF($T1317&lt;=60,imc05_l,imc519_l),MATCH($W1317,IF($T1317&lt;=60,imc05_k,imc519_k),1)),""))</f>
        <v/>
      </c>
      <c r="Z1317">
        <f>IF($W1317="","",IFERROR(INDEX(IF($T1317&lt;=60,imc05_m,imc519_m),MATCH($W1317,IF($T1317&lt;=60,imc05_k,imc519_k),1)),""))</f>
        <v/>
      </c>
      <c r="AA1317">
        <f>IF($W1317="","",IFERROR(INDEX(IF($T1317&lt;=60,imc05_s,imc519_s),MATCH($W1317,IF($T1317&lt;=60,imc05_k,imc519_k),1)),""))</f>
        <v/>
      </c>
      <c r="AB1317">
        <f>IF($Y1317="","",IF($Y1317=0,LN($J1317/$Z1317)/$AA1317,((($J1317/$Z1317)^$Y1317)-1)/($Y1317*$AA1317)))</f>
        <v/>
      </c>
      <c r="AC1317">
        <f>IF($Y1317="","",IF($Y1317=0,$Z1317*EXP($AA1317*2),$Z1317*(1+$Y1317*$AA1317*2)^(1/$Y1317)))</f>
        <v/>
      </c>
      <c r="AD1317">
        <f>IF($Y1317="","",IF($Y1317=0,$Z1317*EXP($AA1317*3),$Z1317*(1+$Y1317*$AA1317*3)^(1/$Y1317)))</f>
        <v/>
      </c>
      <c r="AE1317">
        <f>IF($Y1317="","",IF($Y1317=0,$Z1317*EXP($AA1317*-2),$Z1317*(1+$Y1317*$AA1317*-2)^(1/$Y1317)))</f>
        <v/>
      </c>
      <c r="AF1317">
        <f>IF($Y1317="","",IF($Y1317=0,$Z1317*EXP($AA1317*-3),$Z1317*(1+$Y1317*$AA1317*-3)^(1/$Y1317)))</f>
        <v/>
      </c>
      <c r="AG1317">
        <f>IF($W1317="","",IFERROR(INDEX(IF($T1317&lt;=60,est05_l,est519_l),MATCH($W1317,IF($T1317&lt;=60,est05_k,est519_k),1)),""))</f>
        <v/>
      </c>
      <c r="AH1317">
        <f>IF($W1317="","",IFERROR(INDEX(IF($T1317&lt;=60,est05_m,est519_m),MATCH($W1317,IF($T1317&lt;=60,est05_k,est519_k),1)),""))</f>
        <v/>
      </c>
      <c r="AI1317">
        <f>IF($W1317="","",IFERROR(INDEX(IF($T1317&lt;=60,est05_s,est519_s),MATCH($W1317,IF($T1317&lt;=60,est05_k,est519_k),1)),""))</f>
        <v/>
      </c>
      <c r="AJ1317">
        <f>IF($W1317="","",IFERROR(INDEX(IF($T1317&lt;=60,peso05_l,peso510_l),MATCH($W1317,IF($T1317&lt;=60,peso05_k,peso510_k),1)),""))</f>
        <v/>
      </c>
      <c r="AK1317">
        <f>IF($W1317="","",IFERROR(INDEX(IF($T1317&lt;=60,peso05_m,peso510_m),MATCH($W1317,IF($T1317&lt;=60,peso05_k,peso510_k),1)),""))</f>
        <v/>
      </c>
      <c r="AL1317">
        <f>IF($W1317="","",IFERROR(INDEX(IF($T1317&lt;=60,peso05_s,peso510_s),MATCH($W1317,IF($T1317&lt;=60,peso05_k,peso510_k),1)),""))</f>
        <v/>
      </c>
      <c r="AM1317">
        <f>IF($AJ1317="","",IF($AJ1317=0,LN($F1317/$AK1317)/$AL1317,((($F1317/$AK1317)^$AJ1317)-1)/($AJ1317*$AL1317)))</f>
        <v/>
      </c>
      <c r="AN1317">
        <f>IF($AJ1317="","",IF($AJ1317=0,$AK1317*EXP($AL1317*2),$AK1317*(1+$AJ1317*$AL1317*2)^(1/$AJ1317)))</f>
        <v/>
      </c>
      <c r="AO1317">
        <f>IF($AJ1317="","",IF($AJ1317=0,$AK1317*EXP($AL1317*3),$AK1317*(1+$AJ1317*$AL1317*3)^(1/$AJ1317)))</f>
        <v/>
      </c>
      <c r="AP1317">
        <f>IF($AJ1317="","",IF($AJ1317=0,$AK1317*EXP($AL1317*-2),$AK1317*(1+$AJ1317*$AL1317*-2)^(1/$AJ1317)))</f>
        <v/>
      </c>
      <c r="AQ1317">
        <f>IF($AJ1317="","",IF($AJ1317=0,$AK1317*EXP($AL1317*-3),$AK1317*(1+$AJ1317*$AL1317*-3)^(1/$AJ1317)))</f>
        <v/>
      </c>
      <c r="AR1317">
        <f>IF(OR($X1317="",$T1317&gt;60),"",IFERROR(INDEX(IF($T1317&lt;24,pcomp_l,palt_l),MATCH($X1317,IF($T1317&lt;24,pcomp_k,palt_k),1)),""))</f>
        <v/>
      </c>
      <c r="AS1317">
        <f>IF(OR($X1317="",$T1317&gt;60),"",IFERROR(INDEX(IF($T1317&lt;24,pcomp_m,palt_m),MATCH($X1317,IF($T1317&lt;24,pcomp_k,palt_k),1)),""))</f>
        <v/>
      </c>
      <c r="AT1317">
        <f>IF(OR($X1317="",$T1317&gt;60),"",IFERROR(INDEX(IF($T1317&lt;24,pcomp_s,palt_s),MATCH($X1317,IF($T1317&lt;24,pcomp_k,palt_k),1)),""))</f>
        <v/>
      </c>
      <c r="AU1317">
        <f>IF($AR1317="","",IF($AR1317=0,LN($F1317/$AS1317)/$AT1317,((($F1317/$AS1317)^$AR1317)-1)/($AR1317*$AT1317)))</f>
        <v/>
      </c>
      <c r="AV1317">
        <f>IF($AR1317="","",IF($AR1317=0,$AS1317*EXP($AT1317*2),$AS1317*(1+$AR1317*$AT1317*2)^(1/$AR1317)))</f>
        <v/>
      </c>
      <c r="AW1317">
        <f>IF($AR1317="","",IF($AR1317=0,$AS1317*EXP($AT1317*3),$AS1317*(1+$AR1317*$AT1317*3)^(1/$AR1317)))</f>
        <v/>
      </c>
      <c r="AX1317">
        <f>IF($AR1317="","",IF($AR1317=0,$AS1317*EXP($AT1317*-2),$AS1317*(1+$AR1317*$AT1317*-2)^(1/$AR1317)))</f>
        <v/>
      </c>
      <c r="AY1317">
        <f>IF($AR1317="","",IF($AR1317=0,$AS1317*EXP($AT1317*-3),$AS1317*(1+$AR1317*$AT1317*-3)^(1/$AR1317)))</f>
        <v/>
      </c>
      <c r="AZ1317">
        <f>IF(OR($A1317="",$A1317&lt;&gt;Ficha!$C$4),"",COUNTIF($A$2:$A1317,Ficha!$C$4))</f>
        <v/>
      </c>
    </row>
    <row r="1318">
      <c r="A1318" s="8">
        <f>IF(INDEX(Banco!$A:$A,ROW())="","",INDEX(Banco!$A:$A,ROW()))</f>
        <v/>
      </c>
      <c r="B1318" s="8">
        <f>IF(INDEX(Banco!$B:$B,ROW())="","",INDEX(Banco!$B:$B,ROW()))</f>
        <v/>
      </c>
      <c r="C1318" s="8">
        <f>IF(INDEX(Banco!$C:$C,ROW())="","",INDEX(Banco!$C:$C,ROW()))</f>
        <v/>
      </c>
      <c r="D1318" s="9">
        <f>IF(INDEX(Banco!$D:$D,ROW())="","",INDEX(Banco!$D:$D,ROW()))</f>
        <v/>
      </c>
      <c r="E1318" s="9">
        <f>IF(INDEX(Banco!$E:$E,ROW())="","",INDEX(Banco!$E:$E,ROW()))</f>
        <v/>
      </c>
      <c r="F1318" s="10">
        <f>IF(INDEX(Banco!$F:$F,ROW())="","",INDEX(Banco!$F:$F,ROW()))</f>
        <v/>
      </c>
      <c r="G1318" s="10">
        <f>IF(INDEX(Banco!$G:$G,ROW())="","",INDEX(Banco!$G:$G,ROW()))</f>
        <v/>
      </c>
      <c r="H1318" s="8">
        <f>IF(INDEX(Banco!$H:$H,ROW())="","",INDEX(Banco!$H:$H,ROW()))</f>
        <v/>
      </c>
      <c r="I1318">
        <f>IF($T1318="","",INT($T1318/12)&amp;"a "&amp;MOD($T1318,12)&amp;"m")</f>
        <v/>
      </c>
      <c r="J1318" s="11">
        <f>IF(OR($F1318="",$G1318=""),"",ROUND($F1318/($G1318/100)^2,2))</f>
        <v/>
      </c>
      <c r="K1318" s="12">
        <f>IF(OR($S1318="",$J1318="",$T1318="",$T1318&lt;0,$T1318&gt;228,$Y1318=""),"—",ROUND(IF(ABS($AB1318)&lt;=3,$AB1318,IF($AB1318&gt;3,3+($J1318-$AD1318)/($AD1318-$AC1318),-3+($J1318-$AF1318)/($AE1318-$AF1318))),2))</f>
        <v/>
      </c>
      <c r="L1318">
        <f>IF(OR($K1318="",$K1318="—"),"",IF($T1318&lt;=60,IF($K1318&lt;-3,"Magreza acentuada",IF($K1318&lt;-2,"Magreza",IF($K1318&lt;=1,"Eutrofia",IF($K1318&lt;=2,"Risco de sobrepeso",IF($K1318&lt;=3,"Sobrepeso","Obesidade"))))),IF($K1318&lt;-3,"Magreza acentuada",IF($K1318&lt;-2,"Magreza",IF($K1318&lt;=1,"Eutrofia",IF($K1318&lt;=2,"Sobrepeso",IF($K1318&lt;=3,"Obesidade","Obesidade grave")))))))</f>
        <v/>
      </c>
      <c r="M1318" s="12">
        <f>IF(OR($S1318="",$V1318="",$T1318="",$T1318&lt;0,$T1318&gt;228,$AG1318=""),"—",ROUND(IF($AG1318=0,LN($V1318/$AH1318)/$AI1318,((($V1318/$AH1318)^$AG1318)-1)/($AG1318*$AI1318)),2))</f>
        <v/>
      </c>
      <c r="N1318">
        <f>IF(OR($M1318="",$M1318="—"),"",IF($M1318&lt;-3,"Muito baixa",IF($M1318&lt;-2,"Baixa","Adequada")))</f>
        <v/>
      </c>
      <c r="O1318" s="12">
        <f>IF(OR($S1318="",$F1318="",$T1318="",$T1318&lt;0,$T1318&gt;120,$AJ1318=""),"—",ROUND(IF(ABS($AM1318)&lt;=3,$AM1318,IF($AM1318&gt;3,3+($F1318-$AO1318)/($AO1318-$AN1318),-3+($F1318-$AQ1318)/($AP1318-$AQ1318))),2))</f>
        <v/>
      </c>
      <c r="P1318">
        <f>IF(OR($O1318="",$O1318="—"),"",IF($O1318&lt;-3,"Muito baixo",IF($O1318&lt;-2,"Baixo",IF($O1318&lt;=2,"Adequado","Elevado"))))</f>
        <v/>
      </c>
      <c r="Q1318" s="12">
        <f>IF(OR($S1318="",$F1318="",$T1318="",$T1318&lt;0,$T1318&gt;60,$AR1318=""),"—",ROUND(IF(ABS($AU1318)&lt;=3,$AU1318,IF($AU1318&gt;3,3+($F1318-$AW1318)/($AW1318-$AV1318),-3+($F1318-$AY1318)/($AX1318-$AY1318))),2))</f>
        <v/>
      </c>
      <c r="R1318">
        <f>IF(OR($Q1318="",$Q1318="—"),"",IF($Q1318&lt;-3,"Magreza acentuada",IF($Q1318&lt;-2,"Magreza",IF($Q1318&lt;=1,"Eutrofia",IF($Q1318&lt;=2,"Risco de sobrepeso",IF($Q1318&lt;=3,"Sobrepeso","Obesidade"))))))</f>
        <v/>
      </c>
      <c r="S1318">
        <f>IF($C1318="","",IF(UPPER(LEFT($C1318,1))="M",1,IF(UPPER(LEFT($C1318,1))="F",2,"")))</f>
        <v/>
      </c>
      <c r="T1318">
        <f>IF(OR($D1318="",$E1318=""),"",DATEDIF($D1318,$E1318,"m"))</f>
        <v/>
      </c>
      <c r="U1318">
        <f>IF(OR($D1318="",$E1318=""),"",$E1318-$D1318)</f>
        <v/>
      </c>
      <c r="V1318">
        <f>IF(OR($G1318="",$T1318=""),"",IF($T1318&lt;24,IF(LEFT(LOWER($H1318),4)="em p",$G1318+0.7,$G1318),IF(LEFT(LOWER($H1318),4)="deit",$G1318-0.7,$G1318)))</f>
        <v/>
      </c>
      <c r="W1318">
        <f>IF(OR($S1318="",$T1318=""),"",$S1318*1000000+IF($T1318&lt;=60,$U1318,$T1318))</f>
        <v/>
      </c>
      <c r="X1318">
        <f>IF(OR($S1318="",$V1318="",$T1318&gt;60,$T1318=""),"",$S1318*1000000+ROUND($V1318*10,0))</f>
        <v/>
      </c>
      <c r="Y1318">
        <f>IF($W1318="","",IFERROR(INDEX(IF($T1318&lt;=60,imc05_l,imc519_l),MATCH($W1318,IF($T1318&lt;=60,imc05_k,imc519_k),1)),""))</f>
        <v/>
      </c>
      <c r="Z1318">
        <f>IF($W1318="","",IFERROR(INDEX(IF($T1318&lt;=60,imc05_m,imc519_m),MATCH($W1318,IF($T1318&lt;=60,imc05_k,imc519_k),1)),""))</f>
        <v/>
      </c>
      <c r="AA1318">
        <f>IF($W1318="","",IFERROR(INDEX(IF($T1318&lt;=60,imc05_s,imc519_s),MATCH($W1318,IF($T1318&lt;=60,imc05_k,imc519_k),1)),""))</f>
        <v/>
      </c>
      <c r="AB1318">
        <f>IF($Y1318="","",IF($Y1318=0,LN($J1318/$Z1318)/$AA1318,((($J1318/$Z1318)^$Y1318)-1)/($Y1318*$AA1318)))</f>
        <v/>
      </c>
      <c r="AC1318">
        <f>IF($Y1318="","",IF($Y1318=0,$Z1318*EXP($AA1318*2),$Z1318*(1+$Y1318*$AA1318*2)^(1/$Y1318)))</f>
        <v/>
      </c>
      <c r="AD1318">
        <f>IF($Y1318="","",IF($Y1318=0,$Z1318*EXP($AA1318*3),$Z1318*(1+$Y1318*$AA1318*3)^(1/$Y1318)))</f>
        <v/>
      </c>
      <c r="AE1318">
        <f>IF($Y1318="","",IF($Y1318=0,$Z1318*EXP($AA1318*-2),$Z1318*(1+$Y1318*$AA1318*-2)^(1/$Y1318)))</f>
        <v/>
      </c>
      <c r="AF1318">
        <f>IF($Y1318="","",IF($Y1318=0,$Z1318*EXP($AA1318*-3),$Z1318*(1+$Y1318*$AA1318*-3)^(1/$Y1318)))</f>
        <v/>
      </c>
      <c r="AG1318">
        <f>IF($W1318="","",IFERROR(INDEX(IF($T1318&lt;=60,est05_l,est519_l),MATCH($W1318,IF($T1318&lt;=60,est05_k,est519_k),1)),""))</f>
        <v/>
      </c>
      <c r="AH1318">
        <f>IF($W1318="","",IFERROR(INDEX(IF($T1318&lt;=60,est05_m,est519_m),MATCH($W1318,IF($T1318&lt;=60,est05_k,est519_k),1)),""))</f>
        <v/>
      </c>
      <c r="AI1318">
        <f>IF($W1318="","",IFERROR(INDEX(IF($T1318&lt;=60,est05_s,est519_s),MATCH($W1318,IF($T1318&lt;=60,est05_k,est519_k),1)),""))</f>
        <v/>
      </c>
      <c r="AJ1318">
        <f>IF($W1318="","",IFERROR(INDEX(IF($T1318&lt;=60,peso05_l,peso510_l),MATCH($W1318,IF($T1318&lt;=60,peso05_k,peso510_k),1)),""))</f>
        <v/>
      </c>
      <c r="AK1318">
        <f>IF($W1318="","",IFERROR(INDEX(IF($T1318&lt;=60,peso05_m,peso510_m),MATCH($W1318,IF($T1318&lt;=60,peso05_k,peso510_k),1)),""))</f>
        <v/>
      </c>
      <c r="AL1318">
        <f>IF($W1318="","",IFERROR(INDEX(IF($T1318&lt;=60,peso05_s,peso510_s),MATCH($W1318,IF($T1318&lt;=60,peso05_k,peso510_k),1)),""))</f>
        <v/>
      </c>
      <c r="AM1318">
        <f>IF($AJ1318="","",IF($AJ1318=0,LN($F1318/$AK1318)/$AL1318,((($F1318/$AK1318)^$AJ1318)-1)/($AJ1318*$AL1318)))</f>
        <v/>
      </c>
      <c r="AN1318">
        <f>IF($AJ1318="","",IF($AJ1318=0,$AK1318*EXP($AL1318*2),$AK1318*(1+$AJ1318*$AL1318*2)^(1/$AJ1318)))</f>
        <v/>
      </c>
      <c r="AO1318">
        <f>IF($AJ1318="","",IF($AJ1318=0,$AK1318*EXP($AL1318*3),$AK1318*(1+$AJ1318*$AL1318*3)^(1/$AJ1318)))</f>
        <v/>
      </c>
      <c r="AP1318">
        <f>IF($AJ1318="","",IF($AJ1318=0,$AK1318*EXP($AL1318*-2),$AK1318*(1+$AJ1318*$AL1318*-2)^(1/$AJ1318)))</f>
        <v/>
      </c>
      <c r="AQ1318">
        <f>IF($AJ1318="","",IF($AJ1318=0,$AK1318*EXP($AL1318*-3),$AK1318*(1+$AJ1318*$AL1318*-3)^(1/$AJ1318)))</f>
        <v/>
      </c>
      <c r="AR1318">
        <f>IF(OR($X1318="",$T1318&gt;60),"",IFERROR(INDEX(IF($T1318&lt;24,pcomp_l,palt_l),MATCH($X1318,IF($T1318&lt;24,pcomp_k,palt_k),1)),""))</f>
        <v/>
      </c>
      <c r="AS1318">
        <f>IF(OR($X1318="",$T1318&gt;60),"",IFERROR(INDEX(IF($T1318&lt;24,pcomp_m,palt_m),MATCH($X1318,IF($T1318&lt;24,pcomp_k,palt_k),1)),""))</f>
        <v/>
      </c>
      <c r="AT1318">
        <f>IF(OR($X1318="",$T1318&gt;60),"",IFERROR(INDEX(IF($T1318&lt;24,pcomp_s,palt_s),MATCH($X1318,IF($T1318&lt;24,pcomp_k,palt_k),1)),""))</f>
        <v/>
      </c>
      <c r="AU1318">
        <f>IF($AR1318="","",IF($AR1318=0,LN($F1318/$AS1318)/$AT1318,((($F1318/$AS1318)^$AR1318)-1)/($AR1318*$AT1318)))</f>
        <v/>
      </c>
      <c r="AV1318">
        <f>IF($AR1318="","",IF($AR1318=0,$AS1318*EXP($AT1318*2),$AS1318*(1+$AR1318*$AT1318*2)^(1/$AR1318)))</f>
        <v/>
      </c>
      <c r="AW1318">
        <f>IF($AR1318="","",IF($AR1318=0,$AS1318*EXP($AT1318*3),$AS1318*(1+$AR1318*$AT1318*3)^(1/$AR1318)))</f>
        <v/>
      </c>
      <c r="AX1318">
        <f>IF($AR1318="","",IF($AR1318=0,$AS1318*EXP($AT1318*-2),$AS1318*(1+$AR1318*$AT1318*-2)^(1/$AR1318)))</f>
        <v/>
      </c>
      <c r="AY1318">
        <f>IF($AR1318="","",IF($AR1318=0,$AS1318*EXP($AT1318*-3),$AS1318*(1+$AR1318*$AT1318*-3)^(1/$AR1318)))</f>
        <v/>
      </c>
      <c r="AZ1318">
        <f>IF(OR($A1318="",$A1318&lt;&gt;Ficha!$C$4),"",COUNTIF($A$2:$A1318,Ficha!$C$4))</f>
        <v/>
      </c>
    </row>
    <row r="1319">
      <c r="A1319" s="8">
        <f>IF(INDEX(Banco!$A:$A,ROW())="","",INDEX(Banco!$A:$A,ROW()))</f>
        <v/>
      </c>
      <c r="B1319" s="8">
        <f>IF(INDEX(Banco!$B:$B,ROW())="","",INDEX(Banco!$B:$B,ROW()))</f>
        <v/>
      </c>
      <c r="C1319" s="8">
        <f>IF(INDEX(Banco!$C:$C,ROW())="","",INDEX(Banco!$C:$C,ROW()))</f>
        <v/>
      </c>
      <c r="D1319" s="9">
        <f>IF(INDEX(Banco!$D:$D,ROW())="","",INDEX(Banco!$D:$D,ROW()))</f>
        <v/>
      </c>
      <c r="E1319" s="9">
        <f>IF(INDEX(Banco!$E:$E,ROW())="","",INDEX(Banco!$E:$E,ROW()))</f>
        <v/>
      </c>
      <c r="F1319" s="10">
        <f>IF(INDEX(Banco!$F:$F,ROW())="","",INDEX(Banco!$F:$F,ROW()))</f>
        <v/>
      </c>
      <c r="G1319" s="10">
        <f>IF(INDEX(Banco!$G:$G,ROW())="","",INDEX(Banco!$G:$G,ROW()))</f>
        <v/>
      </c>
      <c r="H1319" s="8">
        <f>IF(INDEX(Banco!$H:$H,ROW())="","",INDEX(Banco!$H:$H,ROW()))</f>
        <v/>
      </c>
      <c r="I1319">
        <f>IF($T1319="","",INT($T1319/12)&amp;"a "&amp;MOD($T1319,12)&amp;"m")</f>
        <v/>
      </c>
      <c r="J1319" s="11">
        <f>IF(OR($F1319="",$G1319=""),"",ROUND($F1319/($G1319/100)^2,2))</f>
        <v/>
      </c>
      <c r="K1319" s="12">
        <f>IF(OR($S1319="",$J1319="",$T1319="",$T1319&lt;0,$T1319&gt;228,$Y1319=""),"—",ROUND(IF(ABS($AB1319)&lt;=3,$AB1319,IF($AB1319&gt;3,3+($J1319-$AD1319)/($AD1319-$AC1319),-3+($J1319-$AF1319)/($AE1319-$AF1319))),2))</f>
        <v/>
      </c>
      <c r="L1319">
        <f>IF(OR($K1319="",$K1319="—"),"",IF($T1319&lt;=60,IF($K1319&lt;-3,"Magreza acentuada",IF($K1319&lt;-2,"Magreza",IF($K1319&lt;=1,"Eutrofia",IF($K1319&lt;=2,"Risco de sobrepeso",IF($K1319&lt;=3,"Sobrepeso","Obesidade"))))),IF($K1319&lt;-3,"Magreza acentuada",IF($K1319&lt;-2,"Magreza",IF($K1319&lt;=1,"Eutrofia",IF($K1319&lt;=2,"Sobrepeso",IF($K1319&lt;=3,"Obesidade","Obesidade grave")))))))</f>
        <v/>
      </c>
      <c r="M1319" s="12">
        <f>IF(OR($S1319="",$V1319="",$T1319="",$T1319&lt;0,$T1319&gt;228,$AG1319=""),"—",ROUND(IF($AG1319=0,LN($V1319/$AH1319)/$AI1319,((($V1319/$AH1319)^$AG1319)-1)/($AG1319*$AI1319)),2))</f>
        <v/>
      </c>
      <c r="N1319">
        <f>IF(OR($M1319="",$M1319="—"),"",IF($M1319&lt;-3,"Muito baixa",IF($M1319&lt;-2,"Baixa","Adequada")))</f>
        <v/>
      </c>
      <c r="O1319" s="12">
        <f>IF(OR($S1319="",$F1319="",$T1319="",$T1319&lt;0,$T1319&gt;120,$AJ1319=""),"—",ROUND(IF(ABS($AM1319)&lt;=3,$AM1319,IF($AM1319&gt;3,3+($F1319-$AO1319)/($AO1319-$AN1319),-3+($F1319-$AQ1319)/($AP1319-$AQ1319))),2))</f>
        <v/>
      </c>
      <c r="P1319">
        <f>IF(OR($O1319="",$O1319="—"),"",IF($O1319&lt;-3,"Muito baixo",IF($O1319&lt;-2,"Baixo",IF($O1319&lt;=2,"Adequado","Elevado"))))</f>
        <v/>
      </c>
      <c r="Q1319" s="12">
        <f>IF(OR($S1319="",$F1319="",$T1319="",$T1319&lt;0,$T1319&gt;60,$AR1319=""),"—",ROUND(IF(ABS($AU1319)&lt;=3,$AU1319,IF($AU1319&gt;3,3+($F1319-$AW1319)/($AW1319-$AV1319),-3+($F1319-$AY1319)/($AX1319-$AY1319))),2))</f>
        <v/>
      </c>
      <c r="R1319">
        <f>IF(OR($Q1319="",$Q1319="—"),"",IF($Q1319&lt;-3,"Magreza acentuada",IF($Q1319&lt;-2,"Magreza",IF($Q1319&lt;=1,"Eutrofia",IF($Q1319&lt;=2,"Risco de sobrepeso",IF($Q1319&lt;=3,"Sobrepeso","Obesidade"))))))</f>
        <v/>
      </c>
      <c r="S1319">
        <f>IF($C1319="","",IF(UPPER(LEFT($C1319,1))="M",1,IF(UPPER(LEFT($C1319,1))="F",2,"")))</f>
        <v/>
      </c>
      <c r="T1319">
        <f>IF(OR($D1319="",$E1319=""),"",DATEDIF($D1319,$E1319,"m"))</f>
        <v/>
      </c>
      <c r="U1319">
        <f>IF(OR($D1319="",$E1319=""),"",$E1319-$D1319)</f>
        <v/>
      </c>
      <c r="V1319">
        <f>IF(OR($G1319="",$T1319=""),"",IF($T1319&lt;24,IF(LEFT(LOWER($H1319),4)="em p",$G1319+0.7,$G1319),IF(LEFT(LOWER($H1319),4)="deit",$G1319-0.7,$G1319)))</f>
        <v/>
      </c>
      <c r="W1319">
        <f>IF(OR($S1319="",$T1319=""),"",$S1319*1000000+IF($T1319&lt;=60,$U1319,$T1319))</f>
        <v/>
      </c>
      <c r="X1319">
        <f>IF(OR($S1319="",$V1319="",$T1319&gt;60,$T1319=""),"",$S1319*1000000+ROUND($V1319*10,0))</f>
        <v/>
      </c>
      <c r="Y1319">
        <f>IF($W1319="","",IFERROR(INDEX(IF($T1319&lt;=60,imc05_l,imc519_l),MATCH($W1319,IF($T1319&lt;=60,imc05_k,imc519_k),1)),""))</f>
        <v/>
      </c>
      <c r="Z1319">
        <f>IF($W1319="","",IFERROR(INDEX(IF($T1319&lt;=60,imc05_m,imc519_m),MATCH($W1319,IF($T1319&lt;=60,imc05_k,imc519_k),1)),""))</f>
        <v/>
      </c>
      <c r="AA1319">
        <f>IF($W1319="","",IFERROR(INDEX(IF($T1319&lt;=60,imc05_s,imc519_s),MATCH($W1319,IF($T1319&lt;=60,imc05_k,imc519_k),1)),""))</f>
        <v/>
      </c>
      <c r="AB1319">
        <f>IF($Y1319="","",IF($Y1319=0,LN($J1319/$Z1319)/$AA1319,((($J1319/$Z1319)^$Y1319)-1)/($Y1319*$AA1319)))</f>
        <v/>
      </c>
      <c r="AC1319">
        <f>IF($Y1319="","",IF($Y1319=0,$Z1319*EXP($AA1319*2),$Z1319*(1+$Y1319*$AA1319*2)^(1/$Y1319)))</f>
        <v/>
      </c>
      <c r="AD1319">
        <f>IF($Y1319="","",IF($Y1319=0,$Z1319*EXP($AA1319*3),$Z1319*(1+$Y1319*$AA1319*3)^(1/$Y1319)))</f>
        <v/>
      </c>
      <c r="AE1319">
        <f>IF($Y1319="","",IF($Y1319=0,$Z1319*EXP($AA1319*-2),$Z1319*(1+$Y1319*$AA1319*-2)^(1/$Y1319)))</f>
        <v/>
      </c>
      <c r="AF1319">
        <f>IF($Y1319="","",IF($Y1319=0,$Z1319*EXP($AA1319*-3),$Z1319*(1+$Y1319*$AA1319*-3)^(1/$Y1319)))</f>
        <v/>
      </c>
      <c r="AG1319">
        <f>IF($W1319="","",IFERROR(INDEX(IF($T1319&lt;=60,est05_l,est519_l),MATCH($W1319,IF($T1319&lt;=60,est05_k,est519_k),1)),""))</f>
        <v/>
      </c>
      <c r="AH1319">
        <f>IF($W1319="","",IFERROR(INDEX(IF($T1319&lt;=60,est05_m,est519_m),MATCH($W1319,IF($T1319&lt;=60,est05_k,est519_k),1)),""))</f>
        <v/>
      </c>
      <c r="AI1319">
        <f>IF($W1319="","",IFERROR(INDEX(IF($T1319&lt;=60,est05_s,est519_s),MATCH($W1319,IF($T1319&lt;=60,est05_k,est519_k),1)),""))</f>
        <v/>
      </c>
      <c r="AJ1319">
        <f>IF($W1319="","",IFERROR(INDEX(IF($T1319&lt;=60,peso05_l,peso510_l),MATCH($W1319,IF($T1319&lt;=60,peso05_k,peso510_k),1)),""))</f>
        <v/>
      </c>
      <c r="AK1319">
        <f>IF($W1319="","",IFERROR(INDEX(IF($T1319&lt;=60,peso05_m,peso510_m),MATCH($W1319,IF($T1319&lt;=60,peso05_k,peso510_k),1)),""))</f>
        <v/>
      </c>
      <c r="AL1319">
        <f>IF($W1319="","",IFERROR(INDEX(IF($T1319&lt;=60,peso05_s,peso510_s),MATCH($W1319,IF($T1319&lt;=60,peso05_k,peso510_k),1)),""))</f>
        <v/>
      </c>
      <c r="AM1319">
        <f>IF($AJ1319="","",IF($AJ1319=0,LN($F1319/$AK1319)/$AL1319,((($F1319/$AK1319)^$AJ1319)-1)/($AJ1319*$AL1319)))</f>
        <v/>
      </c>
      <c r="AN1319">
        <f>IF($AJ1319="","",IF($AJ1319=0,$AK1319*EXP($AL1319*2),$AK1319*(1+$AJ1319*$AL1319*2)^(1/$AJ1319)))</f>
        <v/>
      </c>
      <c r="AO1319">
        <f>IF($AJ1319="","",IF($AJ1319=0,$AK1319*EXP($AL1319*3),$AK1319*(1+$AJ1319*$AL1319*3)^(1/$AJ1319)))</f>
        <v/>
      </c>
      <c r="AP1319">
        <f>IF($AJ1319="","",IF($AJ1319=0,$AK1319*EXP($AL1319*-2),$AK1319*(1+$AJ1319*$AL1319*-2)^(1/$AJ1319)))</f>
        <v/>
      </c>
      <c r="AQ1319">
        <f>IF($AJ1319="","",IF($AJ1319=0,$AK1319*EXP($AL1319*-3),$AK1319*(1+$AJ1319*$AL1319*-3)^(1/$AJ1319)))</f>
        <v/>
      </c>
      <c r="AR1319">
        <f>IF(OR($X1319="",$T1319&gt;60),"",IFERROR(INDEX(IF($T1319&lt;24,pcomp_l,palt_l),MATCH($X1319,IF($T1319&lt;24,pcomp_k,palt_k),1)),""))</f>
        <v/>
      </c>
      <c r="AS1319">
        <f>IF(OR($X1319="",$T1319&gt;60),"",IFERROR(INDEX(IF($T1319&lt;24,pcomp_m,palt_m),MATCH($X1319,IF($T1319&lt;24,pcomp_k,palt_k),1)),""))</f>
        <v/>
      </c>
      <c r="AT1319">
        <f>IF(OR($X1319="",$T1319&gt;60),"",IFERROR(INDEX(IF($T1319&lt;24,pcomp_s,palt_s),MATCH($X1319,IF($T1319&lt;24,pcomp_k,palt_k),1)),""))</f>
        <v/>
      </c>
      <c r="AU1319">
        <f>IF($AR1319="","",IF($AR1319=0,LN($F1319/$AS1319)/$AT1319,((($F1319/$AS1319)^$AR1319)-1)/($AR1319*$AT1319)))</f>
        <v/>
      </c>
      <c r="AV1319">
        <f>IF($AR1319="","",IF($AR1319=0,$AS1319*EXP($AT1319*2),$AS1319*(1+$AR1319*$AT1319*2)^(1/$AR1319)))</f>
        <v/>
      </c>
      <c r="AW1319">
        <f>IF($AR1319="","",IF($AR1319=0,$AS1319*EXP($AT1319*3),$AS1319*(1+$AR1319*$AT1319*3)^(1/$AR1319)))</f>
        <v/>
      </c>
      <c r="AX1319">
        <f>IF($AR1319="","",IF($AR1319=0,$AS1319*EXP($AT1319*-2),$AS1319*(1+$AR1319*$AT1319*-2)^(1/$AR1319)))</f>
        <v/>
      </c>
      <c r="AY1319">
        <f>IF($AR1319="","",IF($AR1319=0,$AS1319*EXP($AT1319*-3),$AS1319*(1+$AR1319*$AT1319*-3)^(1/$AR1319)))</f>
        <v/>
      </c>
      <c r="AZ1319">
        <f>IF(OR($A1319="",$A1319&lt;&gt;Ficha!$C$4),"",COUNTIF($A$2:$A1319,Ficha!$C$4))</f>
        <v/>
      </c>
    </row>
    <row r="1320">
      <c r="A1320" s="8">
        <f>IF(INDEX(Banco!$A:$A,ROW())="","",INDEX(Banco!$A:$A,ROW()))</f>
        <v/>
      </c>
      <c r="B1320" s="8">
        <f>IF(INDEX(Banco!$B:$B,ROW())="","",INDEX(Banco!$B:$B,ROW()))</f>
        <v/>
      </c>
      <c r="C1320" s="8">
        <f>IF(INDEX(Banco!$C:$C,ROW())="","",INDEX(Banco!$C:$C,ROW()))</f>
        <v/>
      </c>
      <c r="D1320" s="9">
        <f>IF(INDEX(Banco!$D:$D,ROW())="","",INDEX(Banco!$D:$D,ROW()))</f>
        <v/>
      </c>
      <c r="E1320" s="9">
        <f>IF(INDEX(Banco!$E:$E,ROW())="","",INDEX(Banco!$E:$E,ROW()))</f>
        <v/>
      </c>
      <c r="F1320" s="10">
        <f>IF(INDEX(Banco!$F:$F,ROW())="","",INDEX(Banco!$F:$F,ROW()))</f>
        <v/>
      </c>
      <c r="G1320" s="10">
        <f>IF(INDEX(Banco!$G:$G,ROW())="","",INDEX(Banco!$G:$G,ROW()))</f>
        <v/>
      </c>
      <c r="H1320" s="8">
        <f>IF(INDEX(Banco!$H:$H,ROW())="","",INDEX(Banco!$H:$H,ROW()))</f>
        <v/>
      </c>
      <c r="I1320">
        <f>IF($T1320="","",INT($T1320/12)&amp;"a "&amp;MOD($T1320,12)&amp;"m")</f>
        <v/>
      </c>
      <c r="J1320" s="11">
        <f>IF(OR($F1320="",$G1320=""),"",ROUND($F1320/($G1320/100)^2,2))</f>
        <v/>
      </c>
      <c r="K1320" s="12">
        <f>IF(OR($S1320="",$J1320="",$T1320="",$T1320&lt;0,$T1320&gt;228,$Y1320=""),"—",ROUND(IF(ABS($AB1320)&lt;=3,$AB1320,IF($AB1320&gt;3,3+($J1320-$AD1320)/($AD1320-$AC1320),-3+($J1320-$AF1320)/($AE1320-$AF1320))),2))</f>
        <v/>
      </c>
      <c r="L1320">
        <f>IF(OR($K1320="",$K1320="—"),"",IF($T1320&lt;=60,IF($K1320&lt;-3,"Magreza acentuada",IF($K1320&lt;-2,"Magreza",IF($K1320&lt;=1,"Eutrofia",IF($K1320&lt;=2,"Risco de sobrepeso",IF($K1320&lt;=3,"Sobrepeso","Obesidade"))))),IF($K1320&lt;-3,"Magreza acentuada",IF($K1320&lt;-2,"Magreza",IF($K1320&lt;=1,"Eutrofia",IF($K1320&lt;=2,"Sobrepeso",IF($K1320&lt;=3,"Obesidade","Obesidade grave")))))))</f>
        <v/>
      </c>
      <c r="M1320" s="12">
        <f>IF(OR($S1320="",$V1320="",$T1320="",$T1320&lt;0,$T1320&gt;228,$AG1320=""),"—",ROUND(IF($AG1320=0,LN($V1320/$AH1320)/$AI1320,((($V1320/$AH1320)^$AG1320)-1)/($AG1320*$AI1320)),2))</f>
        <v/>
      </c>
      <c r="N1320">
        <f>IF(OR($M1320="",$M1320="—"),"",IF($M1320&lt;-3,"Muito baixa",IF($M1320&lt;-2,"Baixa","Adequada")))</f>
        <v/>
      </c>
      <c r="O1320" s="12">
        <f>IF(OR($S1320="",$F1320="",$T1320="",$T1320&lt;0,$T1320&gt;120,$AJ1320=""),"—",ROUND(IF(ABS($AM1320)&lt;=3,$AM1320,IF($AM1320&gt;3,3+($F1320-$AO1320)/($AO1320-$AN1320),-3+($F1320-$AQ1320)/($AP1320-$AQ1320))),2))</f>
        <v/>
      </c>
      <c r="P1320">
        <f>IF(OR($O1320="",$O1320="—"),"",IF($O1320&lt;-3,"Muito baixo",IF($O1320&lt;-2,"Baixo",IF($O1320&lt;=2,"Adequado","Elevado"))))</f>
        <v/>
      </c>
      <c r="Q1320" s="12">
        <f>IF(OR($S1320="",$F1320="",$T1320="",$T1320&lt;0,$T1320&gt;60,$AR1320=""),"—",ROUND(IF(ABS($AU1320)&lt;=3,$AU1320,IF($AU1320&gt;3,3+($F1320-$AW1320)/($AW1320-$AV1320),-3+($F1320-$AY1320)/($AX1320-$AY1320))),2))</f>
        <v/>
      </c>
      <c r="R1320">
        <f>IF(OR($Q1320="",$Q1320="—"),"",IF($Q1320&lt;-3,"Magreza acentuada",IF($Q1320&lt;-2,"Magreza",IF($Q1320&lt;=1,"Eutrofia",IF($Q1320&lt;=2,"Risco de sobrepeso",IF($Q1320&lt;=3,"Sobrepeso","Obesidade"))))))</f>
        <v/>
      </c>
      <c r="S1320">
        <f>IF($C1320="","",IF(UPPER(LEFT($C1320,1))="M",1,IF(UPPER(LEFT($C1320,1))="F",2,"")))</f>
        <v/>
      </c>
      <c r="T1320">
        <f>IF(OR($D1320="",$E1320=""),"",DATEDIF($D1320,$E1320,"m"))</f>
        <v/>
      </c>
      <c r="U1320">
        <f>IF(OR($D1320="",$E1320=""),"",$E1320-$D1320)</f>
        <v/>
      </c>
      <c r="V1320">
        <f>IF(OR($G1320="",$T1320=""),"",IF($T1320&lt;24,IF(LEFT(LOWER($H1320),4)="em p",$G1320+0.7,$G1320),IF(LEFT(LOWER($H1320),4)="deit",$G1320-0.7,$G1320)))</f>
        <v/>
      </c>
      <c r="W1320">
        <f>IF(OR($S1320="",$T1320=""),"",$S1320*1000000+IF($T1320&lt;=60,$U1320,$T1320))</f>
        <v/>
      </c>
      <c r="X1320">
        <f>IF(OR($S1320="",$V1320="",$T1320&gt;60,$T1320=""),"",$S1320*1000000+ROUND($V1320*10,0))</f>
        <v/>
      </c>
      <c r="Y1320">
        <f>IF($W1320="","",IFERROR(INDEX(IF($T1320&lt;=60,imc05_l,imc519_l),MATCH($W1320,IF($T1320&lt;=60,imc05_k,imc519_k),1)),""))</f>
        <v/>
      </c>
      <c r="Z1320">
        <f>IF($W1320="","",IFERROR(INDEX(IF($T1320&lt;=60,imc05_m,imc519_m),MATCH($W1320,IF($T1320&lt;=60,imc05_k,imc519_k),1)),""))</f>
        <v/>
      </c>
      <c r="AA1320">
        <f>IF($W1320="","",IFERROR(INDEX(IF($T1320&lt;=60,imc05_s,imc519_s),MATCH($W1320,IF($T1320&lt;=60,imc05_k,imc519_k),1)),""))</f>
        <v/>
      </c>
      <c r="AB1320">
        <f>IF($Y1320="","",IF($Y1320=0,LN($J1320/$Z1320)/$AA1320,((($J1320/$Z1320)^$Y1320)-1)/($Y1320*$AA1320)))</f>
        <v/>
      </c>
      <c r="AC1320">
        <f>IF($Y1320="","",IF($Y1320=0,$Z1320*EXP($AA1320*2),$Z1320*(1+$Y1320*$AA1320*2)^(1/$Y1320)))</f>
        <v/>
      </c>
      <c r="AD1320">
        <f>IF($Y1320="","",IF($Y1320=0,$Z1320*EXP($AA1320*3),$Z1320*(1+$Y1320*$AA1320*3)^(1/$Y1320)))</f>
        <v/>
      </c>
      <c r="AE1320">
        <f>IF($Y1320="","",IF($Y1320=0,$Z1320*EXP($AA1320*-2),$Z1320*(1+$Y1320*$AA1320*-2)^(1/$Y1320)))</f>
        <v/>
      </c>
      <c r="AF1320">
        <f>IF($Y1320="","",IF($Y1320=0,$Z1320*EXP($AA1320*-3),$Z1320*(1+$Y1320*$AA1320*-3)^(1/$Y1320)))</f>
        <v/>
      </c>
      <c r="AG1320">
        <f>IF($W1320="","",IFERROR(INDEX(IF($T1320&lt;=60,est05_l,est519_l),MATCH($W1320,IF($T1320&lt;=60,est05_k,est519_k),1)),""))</f>
        <v/>
      </c>
      <c r="AH1320">
        <f>IF($W1320="","",IFERROR(INDEX(IF($T1320&lt;=60,est05_m,est519_m),MATCH($W1320,IF($T1320&lt;=60,est05_k,est519_k),1)),""))</f>
        <v/>
      </c>
      <c r="AI1320">
        <f>IF($W1320="","",IFERROR(INDEX(IF($T1320&lt;=60,est05_s,est519_s),MATCH($W1320,IF($T1320&lt;=60,est05_k,est519_k),1)),""))</f>
        <v/>
      </c>
      <c r="AJ1320">
        <f>IF($W1320="","",IFERROR(INDEX(IF($T1320&lt;=60,peso05_l,peso510_l),MATCH($W1320,IF($T1320&lt;=60,peso05_k,peso510_k),1)),""))</f>
        <v/>
      </c>
      <c r="AK1320">
        <f>IF($W1320="","",IFERROR(INDEX(IF($T1320&lt;=60,peso05_m,peso510_m),MATCH($W1320,IF($T1320&lt;=60,peso05_k,peso510_k),1)),""))</f>
        <v/>
      </c>
      <c r="AL1320">
        <f>IF($W1320="","",IFERROR(INDEX(IF($T1320&lt;=60,peso05_s,peso510_s),MATCH($W1320,IF($T1320&lt;=60,peso05_k,peso510_k),1)),""))</f>
        <v/>
      </c>
      <c r="AM1320">
        <f>IF($AJ1320="","",IF($AJ1320=0,LN($F1320/$AK1320)/$AL1320,((($F1320/$AK1320)^$AJ1320)-1)/($AJ1320*$AL1320)))</f>
        <v/>
      </c>
      <c r="AN1320">
        <f>IF($AJ1320="","",IF($AJ1320=0,$AK1320*EXP($AL1320*2),$AK1320*(1+$AJ1320*$AL1320*2)^(1/$AJ1320)))</f>
        <v/>
      </c>
      <c r="AO1320">
        <f>IF($AJ1320="","",IF($AJ1320=0,$AK1320*EXP($AL1320*3),$AK1320*(1+$AJ1320*$AL1320*3)^(1/$AJ1320)))</f>
        <v/>
      </c>
      <c r="AP1320">
        <f>IF($AJ1320="","",IF($AJ1320=0,$AK1320*EXP($AL1320*-2),$AK1320*(1+$AJ1320*$AL1320*-2)^(1/$AJ1320)))</f>
        <v/>
      </c>
      <c r="AQ1320">
        <f>IF($AJ1320="","",IF($AJ1320=0,$AK1320*EXP($AL1320*-3),$AK1320*(1+$AJ1320*$AL1320*-3)^(1/$AJ1320)))</f>
        <v/>
      </c>
      <c r="AR1320">
        <f>IF(OR($X1320="",$T1320&gt;60),"",IFERROR(INDEX(IF($T1320&lt;24,pcomp_l,palt_l),MATCH($X1320,IF($T1320&lt;24,pcomp_k,palt_k),1)),""))</f>
        <v/>
      </c>
      <c r="AS1320">
        <f>IF(OR($X1320="",$T1320&gt;60),"",IFERROR(INDEX(IF($T1320&lt;24,pcomp_m,palt_m),MATCH($X1320,IF($T1320&lt;24,pcomp_k,palt_k),1)),""))</f>
        <v/>
      </c>
      <c r="AT1320">
        <f>IF(OR($X1320="",$T1320&gt;60),"",IFERROR(INDEX(IF($T1320&lt;24,pcomp_s,palt_s),MATCH($X1320,IF($T1320&lt;24,pcomp_k,palt_k),1)),""))</f>
        <v/>
      </c>
      <c r="AU1320">
        <f>IF($AR1320="","",IF($AR1320=0,LN($F1320/$AS1320)/$AT1320,((($F1320/$AS1320)^$AR1320)-1)/($AR1320*$AT1320)))</f>
        <v/>
      </c>
      <c r="AV1320">
        <f>IF($AR1320="","",IF($AR1320=0,$AS1320*EXP($AT1320*2),$AS1320*(1+$AR1320*$AT1320*2)^(1/$AR1320)))</f>
        <v/>
      </c>
      <c r="AW1320">
        <f>IF($AR1320="","",IF($AR1320=0,$AS1320*EXP($AT1320*3),$AS1320*(1+$AR1320*$AT1320*3)^(1/$AR1320)))</f>
        <v/>
      </c>
      <c r="AX1320">
        <f>IF($AR1320="","",IF($AR1320=0,$AS1320*EXP($AT1320*-2),$AS1320*(1+$AR1320*$AT1320*-2)^(1/$AR1320)))</f>
        <v/>
      </c>
      <c r="AY1320">
        <f>IF($AR1320="","",IF($AR1320=0,$AS1320*EXP($AT1320*-3),$AS1320*(1+$AR1320*$AT1320*-3)^(1/$AR1320)))</f>
        <v/>
      </c>
      <c r="AZ1320">
        <f>IF(OR($A1320="",$A1320&lt;&gt;Ficha!$C$4),"",COUNTIF($A$2:$A1320,Ficha!$C$4))</f>
        <v/>
      </c>
    </row>
    <row r="1321">
      <c r="A1321" s="8">
        <f>IF(INDEX(Banco!$A:$A,ROW())="","",INDEX(Banco!$A:$A,ROW()))</f>
        <v/>
      </c>
      <c r="B1321" s="8">
        <f>IF(INDEX(Banco!$B:$B,ROW())="","",INDEX(Banco!$B:$B,ROW()))</f>
        <v/>
      </c>
      <c r="C1321" s="8">
        <f>IF(INDEX(Banco!$C:$C,ROW())="","",INDEX(Banco!$C:$C,ROW()))</f>
        <v/>
      </c>
      <c r="D1321" s="9">
        <f>IF(INDEX(Banco!$D:$D,ROW())="","",INDEX(Banco!$D:$D,ROW()))</f>
        <v/>
      </c>
      <c r="E1321" s="9">
        <f>IF(INDEX(Banco!$E:$E,ROW())="","",INDEX(Banco!$E:$E,ROW()))</f>
        <v/>
      </c>
      <c r="F1321" s="10">
        <f>IF(INDEX(Banco!$F:$F,ROW())="","",INDEX(Banco!$F:$F,ROW()))</f>
        <v/>
      </c>
      <c r="G1321" s="10">
        <f>IF(INDEX(Banco!$G:$G,ROW())="","",INDEX(Banco!$G:$G,ROW()))</f>
        <v/>
      </c>
      <c r="H1321" s="8">
        <f>IF(INDEX(Banco!$H:$H,ROW())="","",INDEX(Banco!$H:$H,ROW()))</f>
        <v/>
      </c>
      <c r="I1321">
        <f>IF($T1321="","",INT($T1321/12)&amp;"a "&amp;MOD($T1321,12)&amp;"m")</f>
        <v/>
      </c>
      <c r="J1321" s="11">
        <f>IF(OR($F1321="",$G1321=""),"",ROUND($F1321/($G1321/100)^2,2))</f>
        <v/>
      </c>
      <c r="K1321" s="12">
        <f>IF(OR($S1321="",$J1321="",$T1321="",$T1321&lt;0,$T1321&gt;228,$Y1321=""),"—",ROUND(IF(ABS($AB1321)&lt;=3,$AB1321,IF($AB1321&gt;3,3+($J1321-$AD1321)/($AD1321-$AC1321),-3+($J1321-$AF1321)/($AE1321-$AF1321))),2))</f>
        <v/>
      </c>
      <c r="L1321">
        <f>IF(OR($K1321="",$K1321="—"),"",IF($T1321&lt;=60,IF($K1321&lt;-3,"Magreza acentuada",IF($K1321&lt;-2,"Magreza",IF($K1321&lt;=1,"Eutrofia",IF($K1321&lt;=2,"Risco de sobrepeso",IF($K1321&lt;=3,"Sobrepeso","Obesidade"))))),IF($K1321&lt;-3,"Magreza acentuada",IF($K1321&lt;-2,"Magreza",IF($K1321&lt;=1,"Eutrofia",IF($K1321&lt;=2,"Sobrepeso",IF($K1321&lt;=3,"Obesidade","Obesidade grave")))))))</f>
        <v/>
      </c>
      <c r="M1321" s="12">
        <f>IF(OR($S1321="",$V1321="",$T1321="",$T1321&lt;0,$T1321&gt;228,$AG1321=""),"—",ROUND(IF($AG1321=0,LN($V1321/$AH1321)/$AI1321,((($V1321/$AH1321)^$AG1321)-1)/($AG1321*$AI1321)),2))</f>
        <v/>
      </c>
      <c r="N1321">
        <f>IF(OR($M1321="",$M1321="—"),"",IF($M1321&lt;-3,"Muito baixa",IF($M1321&lt;-2,"Baixa","Adequada")))</f>
        <v/>
      </c>
      <c r="O1321" s="12">
        <f>IF(OR($S1321="",$F1321="",$T1321="",$T1321&lt;0,$T1321&gt;120,$AJ1321=""),"—",ROUND(IF(ABS($AM1321)&lt;=3,$AM1321,IF($AM1321&gt;3,3+($F1321-$AO1321)/($AO1321-$AN1321),-3+($F1321-$AQ1321)/($AP1321-$AQ1321))),2))</f>
        <v/>
      </c>
      <c r="P1321">
        <f>IF(OR($O1321="",$O1321="—"),"",IF($O1321&lt;-3,"Muito baixo",IF($O1321&lt;-2,"Baixo",IF($O1321&lt;=2,"Adequado","Elevado"))))</f>
        <v/>
      </c>
      <c r="Q1321" s="12">
        <f>IF(OR($S1321="",$F1321="",$T1321="",$T1321&lt;0,$T1321&gt;60,$AR1321=""),"—",ROUND(IF(ABS($AU1321)&lt;=3,$AU1321,IF($AU1321&gt;3,3+($F1321-$AW1321)/($AW1321-$AV1321),-3+($F1321-$AY1321)/($AX1321-$AY1321))),2))</f>
        <v/>
      </c>
      <c r="R1321">
        <f>IF(OR($Q1321="",$Q1321="—"),"",IF($Q1321&lt;-3,"Magreza acentuada",IF($Q1321&lt;-2,"Magreza",IF($Q1321&lt;=1,"Eutrofia",IF($Q1321&lt;=2,"Risco de sobrepeso",IF($Q1321&lt;=3,"Sobrepeso","Obesidade"))))))</f>
        <v/>
      </c>
      <c r="S1321">
        <f>IF($C1321="","",IF(UPPER(LEFT($C1321,1))="M",1,IF(UPPER(LEFT($C1321,1))="F",2,"")))</f>
        <v/>
      </c>
      <c r="T1321">
        <f>IF(OR($D1321="",$E1321=""),"",DATEDIF($D1321,$E1321,"m"))</f>
        <v/>
      </c>
      <c r="U1321">
        <f>IF(OR($D1321="",$E1321=""),"",$E1321-$D1321)</f>
        <v/>
      </c>
      <c r="V1321">
        <f>IF(OR($G1321="",$T1321=""),"",IF($T1321&lt;24,IF(LEFT(LOWER($H1321),4)="em p",$G1321+0.7,$G1321),IF(LEFT(LOWER($H1321),4)="deit",$G1321-0.7,$G1321)))</f>
        <v/>
      </c>
      <c r="W1321">
        <f>IF(OR($S1321="",$T1321=""),"",$S1321*1000000+IF($T1321&lt;=60,$U1321,$T1321))</f>
        <v/>
      </c>
      <c r="X1321">
        <f>IF(OR($S1321="",$V1321="",$T1321&gt;60,$T1321=""),"",$S1321*1000000+ROUND($V1321*10,0))</f>
        <v/>
      </c>
      <c r="Y1321">
        <f>IF($W1321="","",IFERROR(INDEX(IF($T1321&lt;=60,imc05_l,imc519_l),MATCH($W1321,IF($T1321&lt;=60,imc05_k,imc519_k),1)),""))</f>
        <v/>
      </c>
      <c r="Z1321">
        <f>IF($W1321="","",IFERROR(INDEX(IF($T1321&lt;=60,imc05_m,imc519_m),MATCH($W1321,IF($T1321&lt;=60,imc05_k,imc519_k),1)),""))</f>
        <v/>
      </c>
      <c r="AA1321">
        <f>IF($W1321="","",IFERROR(INDEX(IF($T1321&lt;=60,imc05_s,imc519_s),MATCH($W1321,IF($T1321&lt;=60,imc05_k,imc519_k),1)),""))</f>
        <v/>
      </c>
      <c r="AB1321">
        <f>IF($Y1321="","",IF($Y1321=0,LN($J1321/$Z1321)/$AA1321,((($J1321/$Z1321)^$Y1321)-1)/($Y1321*$AA1321)))</f>
        <v/>
      </c>
      <c r="AC1321">
        <f>IF($Y1321="","",IF($Y1321=0,$Z1321*EXP($AA1321*2),$Z1321*(1+$Y1321*$AA1321*2)^(1/$Y1321)))</f>
        <v/>
      </c>
      <c r="AD1321">
        <f>IF($Y1321="","",IF($Y1321=0,$Z1321*EXP($AA1321*3),$Z1321*(1+$Y1321*$AA1321*3)^(1/$Y1321)))</f>
        <v/>
      </c>
      <c r="AE1321">
        <f>IF($Y1321="","",IF($Y1321=0,$Z1321*EXP($AA1321*-2),$Z1321*(1+$Y1321*$AA1321*-2)^(1/$Y1321)))</f>
        <v/>
      </c>
      <c r="AF1321">
        <f>IF($Y1321="","",IF($Y1321=0,$Z1321*EXP($AA1321*-3),$Z1321*(1+$Y1321*$AA1321*-3)^(1/$Y1321)))</f>
        <v/>
      </c>
      <c r="AG1321">
        <f>IF($W1321="","",IFERROR(INDEX(IF($T1321&lt;=60,est05_l,est519_l),MATCH($W1321,IF($T1321&lt;=60,est05_k,est519_k),1)),""))</f>
        <v/>
      </c>
      <c r="AH1321">
        <f>IF($W1321="","",IFERROR(INDEX(IF($T1321&lt;=60,est05_m,est519_m),MATCH($W1321,IF($T1321&lt;=60,est05_k,est519_k),1)),""))</f>
        <v/>
      </c>
      <c r="AI1321">
        <f>IF($W1321="","",IFERROR(INDEX(IF($T1321&lt;=60,est05_s,est519_s),MATCH($W1321,IF($T1321&lt;=60,est05_k,est519_k),1)),""))</f>
        <v/>
      </c>
      <c r="AJ1321">
        <f>IF($W1321="","",IFERROR(INDEX(IF($T1321&lt;=60,peso05_l,peso510_l),MATCH($W1321,IF($T1321&lt;=60,peso05_k,peso510_k),1)),""))</f>
        <v/>
      </c>
      <c r="AK1321">
        <f>IF($W1321="","",IFERROR(INDEX(IF($T1321&lt;=60,peso05_m,peso510_m),MATCH($W1321,IF($T1321&lt;=60,peso05_k,peso510_k),1)),""))</f>
        <v/>
      </c>
      <c r="AL1321">
        <f>IF($W1321="","",IFERROR(INDEX(IF($T1321&lt;=60,peso05_s,peso510_s),MATCH($W1321,IF($T1321&lt;=60,peso05_k,peso510_k),1)),""))</f>
        <v/>
      </c>
      <c r="AM1321">
        <f>IF($AJ1321="","",IF($AJ1321=0,LN($F1321/$AK1321)/$AL1321,((($F1321/$AK1321)^$AJ1321)-1)/($AJ1321*$AL1321)))</f>
        <v/>
      </c>
      <c r="AN1321">
        <f>IF($AJ1321="","",IF($AJ1321=0,$AK1321*EXP($AL1321*2),$AK1321*(1+$AJ1321*$AL1321*2)^(1/$AJ1321)))</f>
        <v/>
      </c>
      <c r="AO1321">
        <f>IF($AJ1321="","",IF($AJ1321=0,$AK1321*EXP($AL1321*3),$AK1321*(1+$AJ1321*$AL1321*3)^(1/$AJ1321)))</f>
        <v/>
      </c>
      <c r="AP1321">
        <f>IF($AJ1321="","",IF($AJ1321=0,$AK1321*EXP($AL1321*-2),$AK1321*(1+$AJ1321*$AL1321*-2)^(1/$AJ1321)))</f>
        <v/>
      </c>
      <c r="AQ1321">
        <f>IF($AJ1321="","",IF($AJ1321=0,$AK1321*EXP($AL1321*-3),$AK1321*(1+$AJ1321*$AL1321*-3)^(1/$AJ1321)))</f>
        <v/>
      </c>
      <c r="AR1321">
        <f>IF(OR($X1321="",$T1321&gt;60),"",IFERROR(INDEX(IF($T1321&lt;24,pcomp_l,palt_l),MATCH($X1321,IF($T1321&lt;24,pcomp_k,palt_k),1)),""))</f>
        <v/>
      </c>
      <c r="AS1321">
        <f>IF(OR($X1321="",$T1321&gt;60),"",IFERROR(INDEX(IF($T1321&lt;24,pcomp_m,palt_m),MATCH($X1321,IF($T1321&lt;24,pcomp_k,palt_k),1)),""))</f>
        <v/>
      </c>
      <c r="AT1321">
        <f>IF(OR($X1321="",$T1321&gt;60),"",IFERROR(INDEX(IF($T1321&lt;24,pcomp_s,palt_s),MATCH($X1321,IF($T1321&lt;24,pcomp_k,palt_k),1)),""))</f>
        <v/>
      </c>
      <c r="AU1321">
        <f>IF($AR1321="","",IF($AR1321=0,LN($F1321/$AS1321)/$AT1321,((($F1321/$AS1321)^$AR1321)-1)/($AR1321*$AT1321)))</f>
        <v/>
      </c>
      <c r="AV1321">
        <f>IF($AR1321="","",IF($AR1321=0,$AS1321*EXP($AT1321*2),$AS1321*(1+$AR1321*$AT1321*2)^(1/$AR1321)))</f>
        <v/>
      </c>
      <c r="AW1321">
        <f>IF($AR1321="","",IF($AR1321=0,$AS1321*EXP($AT1321*3),$AS1321*(1+$AR1321*$AT1321*3)^(1/$AR1321)))</f>
        <v/>
      </c>
      <c r="AX1321">
        <f>IF($AR1321="","",IF($AR1321=0,$AS1321*EXP($AT1321*-2),$AS1321*(1+$AR1321*$AT1321*-2)^(1/$AR1321)))</f>
        <v/>
      </c>
      <c r="AY1321">
        <f>IF($AR1321="","",IF($AR1321=0,$AS1321*EXP($AT1321*-3),$AS1321*(1+$AR1321*$AT1321*-3)^(1/$AR1321)))</f>
        <v/>
      </c>
      <c r="AZ1321">
        <f>IF(OR($A1321="",$A1321&lt;&gt;Ficha!$C$4),"",COUNTIF($A$2:$A1321,Ficha!$C$4))</f>
        <v/>
      </c>
    </row>
    <row r="1322">
      <c r="A1322" s="8">
        <f>IF(INDEX(Banco!$A:$A,ROW())="","",INDEX(Banco!$A:$A,ROW()))</f>
        <v/>
      </c>
      <c r="B1322" s="8">
        <f>IF(INDEX(Banco!$B:$B,ROW())="","",INDEX(Banco!$B:$B,ROW()))</f>
        <v/>
      </c>
      <c r="C1322" s="8">
        <f>IF(INDEX(Banco!$C:$C,ROW())="","",INDEX(Banco!$C:$C,ROW()))</f>
        <v/>
      </c>
      <c r="D1322" s="9">
        <f>IF(INDEX(Banco!$D:$D,ROW())="","",INDEX(Banco!$D:$D,ROW()))</f>
        <v/>
      </c>
      <c r="E1322" s="9">
        <f>IF(INDEX(Banco!$E:$E,ROW())="","",INDEX(Banco!$E:$E,ROW()))</f>
        <v/>
      </c>
      <c r="F1322" s="10">
        <f>IF(INDEX(Banco!$F:$F,ROW())="","",INDEX(Banco!$F:$F,ROW()))</f>
        <v/>
      </c>
      <c r="G1322" s="10">
        <f>IF(INDEX(Banco!$G:$G,ROW())="","",INDEX(Banco!$G:$G,ROW()))</f>
        <v/>
      </c>
      <c r="H1322" s="8">
        <f>IF(INDEX(Banco!$H:$H,ROW())="","",INDEX(Banco!$H:$H,ROW()))</f>
        <v/>
      </c>
      <c r="I1322">
        <f>IF($T1322="","",INT($T1322/12)&amp;"a "&amp;MOD($T1322,12)&amp;"m")</f>
        <v/>
      </c>
      <c r="J1322" s="11">
        <f>IF(OR($F1322="",$G1322=""),"",ROUND($F1322/($G1322/100)^2,2))</f>
        <v/>
      </c>
      <c r="K1322" s="12">
        <f>IF(OR($S1322="",$J1322="",$T1322="",$T1322&lt;0,$T1322&gt;228,$Y1322=""),"—",ROUND(IF(ABS($AB1322)&lt;=3,$AB1322,IF($AB1322&gt;3,3+($J1322-$AD1322)/($AD1322-$AC1322),-3+($J1322-$AF1322)/($AE1322-$AF1322))),2))</f>
        <v/>
      </c>
      <c r="L1322">
        <f>IF(OR($K1322="",$K1322="—"),"",IF($T1322&lt;=60,IF($K1322&lt;-3,"Magreza acentuada",IF($K1322&lt;-2,"Magreza",IF($K1322&lt;=1,"Eutrofia",IF($K1322&lt;=2,"Risco de sobrepeso",IF($K1322&lt;=3,"Sobrepeso","Obesidade"))))),IF($K1322&lt;-3,"Magreza acentuada",IF($K1322&lt;-2,"Magreza",IF($K1322&lt;=1,"Eutrofia",IF($K1322&lt;=2,"Sobrepeso",IF($K1322&lt;=3,"Obesidade","Obesidade grave")))))))</f>
        <v/>
      </c>
      <c r="M1322" s="12">
        <f>IF(OR($S1322="",$V1322="",$T1322="",$T1322&lt;0,$T1322&gt;228,$AG1322=""),"—",ROUND(IF($AG1322=0,LN($V1322/$AH1322)/$AI1322,((($V1322/$AH1322)^$AG1322)-1)/($AG1322*$AI1322)),2))</f>
        <v/>
      </c>
      <c r="N1322">
        <f>IF(OR($M1322="",$M1322="—"),"",IF($M1322&lt;-3,"Muito baixa",IF($M1322&lt;-2,"Baixa","Adequada")))</f>
        <v/>
      </c>
      <c r="O1322" s="12">
        <f>IF(OR($S1322="",$F1322="",$T1322="",$T1322&lt;0,$T1322&gt;120,$AJ1322=""),"—",ROUND(IF(ABS($AM1322)&lt;=3,$AM1322,IF($AM1322&gt;3,3+($F1322-$AO1322)/($AO1322-$AN1322),-3+($F1322-$AQ1322)/($AP1322-$AQ1322))),2))</f>
        <v/>
      </c>
      <c r="P1322">
        <f>IF(OR($O1322="",$O1322="—"),"",IF($O1322&lt;-3,"Muito baixo",IF($O1322&lt;-2,"Baixo",IF($O1322&lt;=2,"Adequado","Elevado"))))</f>
        <v/>
      </c>
      <c r="Q1322" s="12">
        <f>IF(OR($S1322="",$F1322="",$T1322="",$T1322&lt;0,$T1322&gt;60,$AR1322=""),"—",ROUND(IF(ABS($AU1322)&lt;=3,$AU1322,IF($AU1322&gt;3,3+($F1322-$AW1322)/($AW1322-$AV1322),-3+($F1322-$AY1322)/($AX1322-$AY1322))),2))</f>
        <v/>
      </c>
      <c r="R1322">
        <f>IF(OR($Q1322="",$Q1322="—"),"",IF($Q1322&lt;-3,"Magreza acentuada",IF($Q1322&lt;-2,"Magreza",IF($Q1322&lt;=1,"Eutrofia",IF($Q1322&lt;=2,"Risco de sobrepeso",IF($Q1322&lt;=3,"Sobrepeso","Obesidade"))))))</f>
        <v/>
      </c>
      <c r="S1322">
        <f>IF($C1322="","",IF(UPPER(LEFT($C1322,1))="M",1,IF(UPPER(LEFT($C1322,1))="F",2,"")))</f>
        <v/>
      </c>
      <c r="T1322">
        <f>IF(OR($D1322="",$E1322=""),"",DATEDIF($D1322,$E1322,"m"))</f>
        <v/>
      </c>
      <c r="U1322">
        <f>IF(OR($D1322="",$E1322=""),"",$E1322-$D1322)</f>
        <v/>
      </c>
      <c r="V1322">
        <f>IF(OR($G1322="",$T1322=""),"",IF($T1322&lt;24,IF(LEFT(LOWER($H1322),4)="em p",$G1322+0.7,$G1322),IF(LEFT(LOWER($H1322),4)="deit",$G1322-0.7,$G1322)))</f>
        <v/>
      </c>
      <c r="W1322">
        <f>IF(OR($S1322="",$T1322=""),"",$S1322*1000000+IF($T1322&lt;=60,$U1322,$T1322))</f>
        <v/>
      </c>
      <c r="X1322">
        <f>IF(OR($S1322="",$V1322="",$T1322&gt;60,$T1322=""),"",$S1322*1000000+ROUND($V1322*10,0))</f>
        <v/>
      </c>
      <c r="Y1322">
        <f>IF($W1322="","",IFERROR(INDEX(IF($T1322&lt;=60,imc05_l,imc519_l),MATCH($W1322,IF($T1322&lt;=60,imc05_k,imc519_k),1)),""))</f>
        <v/>
      </c>
      <c r="Z1322">
        <f>IF($W1322="","",IFERROR(INDEX(IF($T1322&lt;=60,imc05_m,imc519_m),MATCH($W1322,IF($T1322&lt;=60,imc05_k,imc519_k),1)),""))</f>
        <v/>
      </c>
      <c r="AA1322">
        <f>IF($W1322="","",IFERROR(INDEX(IF($T1322&lt;=60,imc05_s,imc519_s),MATCH($W1322,IF($T1322&lt;=60,imc05_k,imc519_k),1)),""))</f>
        <v/>
      </c>
      <c r="AB1322">
        <f>IF($Y1322="","",IF($Y1322=0,LN($J1322/$Z1322)/$AA1322,((($J1322/$Z1322)^$Y1322)-1)/($Y1322*$AA1322)))</f>
        <v/>
      </c>
      <c r="AC1322">
        <f>IF($Y1322="","",IF($Y1322=0,$Z1322*EXP($AA1322*2),$Z1322*(1+$Y1322*$AA1322*2)^(1/$Y1322)))</f>
        <v/>
      </c>
      <c r="AD1322">
        <f>IF($Y1322="","",IF($Y1322=0,$Z1322*EXP($AA1322*3),$Z1322*(1+$Y1322*$AA1322*3)^(1/$Y1322)))</f>
        <v/>
      </c>
      <c r="AE1322">
        <f>IF($Y1322="","",IF($Y1322=0,$Z1322*EXP($AA1322*-2),$Z1322*(1+$Y1322*$AA1322*-2)^(1/$Y1322)))</f>
        <v/>
      </c>
      <c r="AF1322">
        <f>IF($Y1322="","",IF($Y1322=0,$Z1322*EXP($AA1322*-3),$Z1322*(1+$Y1322*$AA1322*-3)^(1/$Y1322)))</f>
        <v/>
      </c>
      <c r="AG1322">
        <f>IF($W1322="","",IFERROR(INDEX(IF($T1322&lt;=60,est05_l,est519_l),MATCH($W1322,IF($T1322&lt;=60,est05_k,est519_k),1)),""))</f>
        <v/>
      </c>
      <c r="AH1322">
        <f>IF($W1322="","",IFERROR(INDEX(IF($T1322&lt;=60,est05_m,est519_m),MATCH($W1322,IF($T1322&lt;=60,est05_k,est519_k),1)),""))</f>
        <v/>
      </c>
      <c r="AI1322">
        <f>IF($W1322="","",IFERROR(INDEX(IF($T1322&lt;=60,est05_s,est519_s),MATCH($W1322,IF($T1322&lt;=60,est05_k,est519_k),1)),""))</f>
        <v/>
      </c>
      <c r="AJ1322">
        <f>IF($W1322="","",IFERROR(INDEX(IF($T1322&lt;=60,peso05_l,peso510_l),MATCH($W1322,IF($T1322&lt;=60,peso05_k,peso510_k),1)),""))</f>
        <v/>
      </c>
      <c r="AK1322">
        <f>IF($W1322="","",IFERROR(INDEX(IF($T1322&lt;=60,peso05_m,peso510_m),MATCH($W1322,IF($T1322&lt;=60,peso05_k,peso510_k),1)),""))</f>
        <v/>
      </c>
      <c r="AL1322">
        <f>IF($W1322="","",IFERROR(INDEX(IF($T1322&lt;=60,peso05_s,peso510_s),MATCH($W1322,IF($T1322&lt;=60,peso05_k,peso510_k),1)),""))</f>
        <v/>
      </c>
      <c r="AM1322">
        <f>IF($AJ1322="","",IF($AJ1322=0,LN($F1322/$AK1322)/$AL1322,((($F1322/$AK1322)^$AJ1322)-1)/($AJ1322*$AL1322)))</f>
        <v/>
      </c>
      <c r="AN1322">
        <f>IF($AJ1322="","",IF($AJ1322=0,$AK1322*EXP($AL1322*2),$AK1322*(1+$AJ1322*$AL1322*2)^(1/$AJ1322)))</f>
        <v/>
      </c>
      <c r="AO1322">
        <f>IF($AJ1322="","",IF($AJ1322=0,$AK1322*EXP($AL1322*3),$AK1322*(1+$AJ1322*$AL1322*3)^(1/$AJ1322)))</f>
        <v/>
      </c>
      <c r="AP1322">
        <f>IF($AJ1322="","",IF($AJ1322=0,$AK1322*EXP($AL1322*-2),$AK1322*(1+$AJ1322*$AL1322*-2)^(1/$AJ1322)))</f>
        <v/>
      </c>
      <c r="AQ1322">
        <f>IF($AJ1322="","",IF($AJ1322=0,$AK1322*EXP($AL1322*-3),$AK1322*(1+$AJ1322*$AL1322*-3)^(1/$AJ1322)))</f>
        <v/>
      </c>
      <c r="AR1322">
        <f>IF(OR($X1322="",$T1322&gt;60),"",IFERROR(INDEX(IF($T1322&lt;24,pcomp_l,palt_l),MATCH($X1322,IF($T1322&lt;24,pcomp_k,palt_k),1)),""))</f>
        <v/>
      </c>
      <c r="AS1322">
        <f>IF(OR($X1322="",$T1322&gt;60),"",IFERROR(INDEX(IF($T1322&lt;24,pcomp_m,palt_m),MATCH($X1322,IF($T1322&lt;24,pcomp_k,palt_k),1)),""))</f>
        <v/>
      </c>
      <c r="AT1322">
        <f>IF(OR($X1322="",$T1322&gt;60),"",IFERROR(INDEX(IF($T1322&lt;24,pcomp_s,palt_s),MATCH($X1322,IF($T1322&lt;24,pcomp_k,palt_k),1)),""))</f>
        <v/>
      </c>
      <c r="AU1322">
        <f>IF($AR1322="","",IF($AR1322=0,LN($F1322/$AS1322)/$AT1322,((($F1322/$AS1322)^$AR1322)-1)/($AR1322*$AT1322)))</f>
        <v/>
      </c>
      <c r="AV1322">
        <f>IF($AR1322="","",IF($AR1322=0,$AS1322*EXP($AT1322*2),$AS1322*(1+$AR1322*$AT1322*2)^(1/$AR1322)))</f>
        <v/>
      </c>
      <c r="AW1322">
        <f>IF($AR1322="","",IF($AR1322=0,$AS1322*EXP($AT1322*3),$AS1322*(1+$AR1322*$AT1322*3)^(1/$AR1322)))</f>
        <v/>
      </c>
      <c r="AX1322">
        <f>IF($AR1322="","",IF($AR1322=0,$AS1322*EXP($AT1322*-2),$AS1322*(1+$AR1322*$AT1322*-2)^(1/$AR1322)))</f>
        <v/>
      </c>
      <c r="AY1322">
        <f>IF($AR1322="","",IF($AR1322=0,$AS1322*EXP($AT1322*-3),$AS1322*(1+$AR1322*$AT1322*-3)^(1/$AR1322)))</f>
        <v/>
      </c>
      <c r="AZ1322">
        <f>IF(OR($A1322="",$A1322&lt;&gt;Ficha!$C$4),"",COUNTIF($A$2:$A1322,Ficha!$C$4))</f>
        <v/>
      </c>
    </row>
    <row r="1323">
      <c r="A1323" s="8">
        <f>IF(INDEX(Banco!$A:$A,ROW())="","",INDEX(Banco!$A:$A,ROW()))</f>
        <v/>
      </c>
      <c r="B1323" s="8">
        <f>IF(INDEX(Banco!$B:$B,ROW())="","",INDEX(Banco!$B:$B,ROW()))</f>
        <v/>
      </c>
      <c r="C1323" s="8">
        <f>IF(INDEX(Banco!$C:$C,ROW())="","",INDEX(Banco!$C:$C,ROW()))</f>
        <v/>
      </c>
      <c r="D1323" s="9">
        <f>IF(INDEX(Banco!$D:$D,ROW())="","",INDEX(Banco!$D:$D,ROW()))</f>
        <v/>
      </c>
      <c r="E1323" s="9">
        <f>IF(INDEX(Banco!$E:$E,ROW())="","",INDEX(Banco!$E:$E,ROW()))</f>
        <v/>
      </c>
      <c r="F1323" s="10">
        <f>IF(INDEX(Banco!$F:$F,ROW())="","",INDEX(Banco!$F:$F,ROW()))</f>
        <v/>
      </c>
      <c r="G1323" s="10">
        <f>IF(INDEX(Banco!$G:$G,ROW())="","",INDEX(Banco!$G:$G,ROW()))</f>
        <v/>
      </c>
      <c r="H1323" s="8">
        <f>IF(INDEX(Banco!$H:$H,ROW())="","",INDEX(Banco!$H:$H,ROW()))</f>
        <v/>
      </c>
      <c r="I1323">
        <f>IF($T1323="","",INT($T1323/12)&amp;"a "&amp;MOD($T1323,12)&amp;"m")</f>
        <v/>
      </c>
      <c r="J1323" s="11">
        <f>IF(OR($F1323="",$G1323=""),"",ROUND($F1323/($G1323/100)^2,2))</f>
        <v/>
      </c>
      <c r="K1323" s="12">
        <f>IF(OR($S1323="",$J1323="",$T1323="",$T1323&lt;0,$T1323&gt;228,$Y1323=""),"—",ROUND(IF(ABS($AB1323)&lt;=3,$AB1323,IF($AB1323&gt;3,3+($J1323-$AD1323)/($AD1323-$AC1323),-3+($J1323-$AF1323)/($AE1323-$AF1323))),2))</f>
        <v/>
      </c>
      <c r="L1323">
        <f>IF(OR($K1323="",$K1323="—"),"",IF($T1323&lt;=60,IF($K1323&lt;-3,"Magreza acentuada",IF($K1323&lt;-2,"Magreza",IF($K1323&lt;=1,"Eutrofia",IF($K1323&lt;=2,"Risco de sobrepeso",IF($K1323&lt;=3,"Sobrepeso","Obesidade"))))),IF($K1323&lt;-3,"Magreza acentuada",IF($K1323&lt;-2,"Magreza",IF($K1323&lt;=1,"Eutrofia",IF($K1323&lt;=2,"Sobrepeso",IF($K1323&lt;=3,"Obesidade","Obesidade grave")))))))</f>
        <v/>
      </c>
      <c r="M1323" s="12">
        <f>IF(OR($S1323="",$V1323="",$T1323="",$T1323&lt;0,$T1323&gt;228,$AG1323=""),"—",ROUND(IF($AG1323=0,LN($V1323/$AH1323)/$AI1323,((($V1323/$AH1323)^$AG1323)-1)/($AG1323*$AI1323)),2))</f>
        <v/>
      </c>
      <c r="N1323">
        <f>IF(OR($M1323="",$M1323="—"),"",IF($M1323&lt;-3,"Muito baixa",IF($M1323&lt;-2,"Baixa","Adequada")))</f>
        <v/>
      </c>
      <c r="O1323" s="12">
        <f>IF(OR($S1323="",$F1323="",$T1323="",$T1323&lt;0,$T1323&gt;120,$AJ1323=""),"—",ROUND(IF(ABS($AM1323)&lt;=3,$AM1323,IF($AM1323&gt;3,3+($F1323-$AO1323)/($AO1323-$AN1323),-3+($F1323-$AQ1323)/($AP1323-$AQ1323))),2))</f>
        <v/>
      </c>
      <c r="P1323">
        <f>IF(OR($O1323="",$O1323="—"),"",IF($O1323&lt;-3,"Muito baixo",IF($O1323&lt;-2,"Baixo",IF($O1323&lt;=2,"Adequado","Elevado"))))</f>
        <v/>
      </c>
      <c r="Q1323" s="12">
        <f>IF(OR($S1323="",$F1323="",$T1323="",$T1323&lt;0,$T1323&gt;60,$AR1323=""),"—",ROUND(IF(ABS($AU1323)&lt;=3,$AU1323,IF($AU1323&gt;3,3+($F1323-$AW1323)/($AW1323-$AV1323),-3+($F1323-$AY1323)/($AX1323-$AY1323))),2))</f>
        <v/>
      </c>
      <c r="R1323">
        <f>IF(OR($Q1323="",$Q1323="—"),"",IF($Q1323&lt;-3,"Magreza acentuada",IF($Q1323&lt;-2,"Magreza",IF($Q1323&lt;=1,"Eutrofia",IF($Q1323&lt;=2,"Risco de sobrepeso",IF($Q1323&lt;=3,"Sobrepeso","Obesidade"))))))</f>
        <v/>
      </c>
      <c r="S1323">
        <f>IF($C1323="","",IF(UPPER(LEFT($C1323,1))="M",1,IF(UPPER(LEFT($C1323,1))="F",2,"")))</f>
        <v/>
      </c>
      <c r="T1323">
        <f>IF(OR($D1323="",$E1323=""),"",DATEDIF($D1323,$E1323,"m"))</f>
        <v/>
      </c>
      <c r="U1323">
        <f>IF(OR($D1323="",$E1323=""),"",$E1323-$D1323)</f>
        <v/>
      </c>
      <c r="V1323">
        <f>IF(OR($G1323="",$T1323=""),"",IF($T1323&lt;24,IF(LEFT(LOWER($H1323),4)="em p",$G1323+0.7,$G1323),IF(LEFT(LOWER($H1323),4)="deit",$G1323-0.7,$G1323)))</f>
        <v/>
      </c>
      <c r="W1323">
        <f>IF(OR($S1323="",$T1323=""),"",$S1323*1000000+IF($T1323&lt;=60,$U1323,$T1323))</f>
        <v/>
      </c>
      <c r="X1323">
        <f>IF(OR($S1323="",$V1323="",$T1323&gt;60,$T1323=""),"",$S1323*1000000+ROUND($V1323*10,0))</f>
        <v/>
      </c>
      <c r="Y1323">
        <f>IF($W1323="","",IFERROR(INDEX(IF($T1323&lt;=60,imc05_l,imc519_l),MATCH($W1323,IF($T1323&lt;=60,imc05_k,imc519_k),1)),""))</f>
        <v/>
      </c>
      <c r="Z1323">
        <f>IF($W1323="","",IFERROR(INDEX(IF($T1323&lt;=60,imc05_m,imc519_m),MATCH($W1323,IF($T1323&lt;=60,imc05_k,imc519_k),1)),""))</f>
        <v/>
      </c>
      <c r="AA1323">
        <f>IF($W1323="","",IFERROR(INDEX(IF($T1323&lt;=60,imc05_s,imc519_s),MATCH($W1323,IF($T1323&lt;=60,imc05_k,imc519_k),1)),""))</f>
        <v/>
      </c>
      <c r="AB1323">
        <f>IF($Y1323="","",IF($Y1323=0,LN($J1323/$Z1323)/$AA1323,((($J1323/$Z1323)^$Y1323)-1)/($Y1323*$AA1323)))</f>
        <v/>
      </c>
      <c r="AC1323">
        <f>IF($Y1323="","",IF($Y1323=0,$Z1323*EXP($AA1323*2),$Z1323*(1+$Y1323*$AA1323*2)^(1/$Y1323)))</f>
        <v/>
      </c>
      <c r="AD1323">
        <f>IF($Y1323="","",IF($Y1323=0,$Z1323*EXP($AA1323*3),$Z1323*(1+$Y1323*$AA1323*3)^(1/$Y1323)))</f>
        <v/>
      </c>
      <c r="AE1323">
        <f>IF($Y1323="","",IF($Y1323=0,$Z1323*EXP($AA1323*-2),$Z1323*(1+$Y1323*$AA1323*-2)^(1/$Y1323)))</f>
        <v/>
      </c>
      <c r="AF1323">
        <f>IF($Y1323="","",IF($Y1323=0,$Z1323*EXP($AA1323*-3),$Z1323*(1+$Y1323*$AA1323*-3)^(1/$Y1323)))</f>
        <v/>
      </c>
      <c r="AG1323">
        <f>IF($W1323="","",IFERROR(INDEX(IF($T1323&lt;=60,est05_l,est519_l),MATCH($W1323,IF($T1323&lt;=60,est05_k,est519_k),1)),""))</f>
        <v/>
      </c>
      <c r="AH1323">
        <f>IF($W1323="","",IFERROR(INDEX(IF($T1323&lt;=60,est05_m,est519_m),MATCH($W1323,IF($T1323&lt;=60,est05_k,est519_k),1)),""))</f>
        <v/>
      </c>
      <c r="AI1323">
        <f>IF($W1323="","",IFERROR(INDEX(IF($T1323&lt;=60,est05_s,est519_s),MATCH($W1323,IF($T1323&lt;=60,est05_k,est519_k),1)),""))</f>
        <v/>
      </c>
      <c r="AJ1323">
        <f>IF($W1323="","",IFERROR(INDEX(IF($T1323&lt;=60,peso05_l,peso510_l),MATCH($W1323,IF($T1323&lt;=60,peso05_k,peso510_k),1)),""))</f>
        <v/>
      </c>
      <c r="AK1323">
        <f>IF($W1323="","",IFERROR(INDEX(IF($T1323&lt;=60,peso05_m,peso510_m),MATCH($W1323,IF($T1323&lt;=60,peso05_k,peso510_k),1)),""))</f>
        <v/>
      </c>
      <c r="AL1323">
        <f>IF($W1323="","",IFERROR(INDEX(IF($T1323&lt;=60,peso05_s,peso510_s),MATCH($W1323,IF($T1323&lt;=60,peso05_k,peso510_k),1)),""))</f>
        <v/>
      </c>
      <c r="AM1323">
        <f>IF($AJ1323="","",IF($AJ1323=0,LN($F1323/$AK1323)/$AL1323,((($F1323/$AK1323)^$AJ1323)-1)/($AJ1323*$AL1323)))</f>
        <v/>
      </c>
      <c r="AN1323">
        <f>IF($AJ1323="","",IF($AJ1323=0,$AK1323*EXP($AL1323*2),$AK1323*(1+$AJ1323*$AL1323*2)^(1/$AJ1323)))</f>
        <v/>
      </c>
      <c r="AO1323">
        <f>IF($AJ1323="","",IF($AJ1323=0,$AK1323*EXP($AL1323*3),$AK1323*(1+$AJ1323*$AL1323*3)^(1/$AJ1323)))</f>
        <v/>
      </c>
      <c r="AP1323">
        <f>IF($AJ1323="","",IF($AJ1323=0,$AK1323*EXP($AL1323*-2),$AK1323*(1+$AJ1323*$AL1323*-2)^(1/$AJ1323)))</f>
        <v/>
      </c>
      <c r="AQ1323">
        <f>IF($AJ1323="","",IF($AJ1323=0,$AK1323*EXP($AL1323*-3),$AK1323*(1+$AJ1323*$AL1323*-3)^(1/$AJ1323)))</f>
        <v/>
      </c>
      <c r="AR1323">
        <f>IF(OR($X1323="",$T1323&gt;60),"",IFERROR(INDEX(IF($T1323&lt;24,pcomp_l,palt_l),MATCH($X1323,IF($T1323&lt;24,pcomp_k,palt_k),1)),""))</f>
        <v/>
      </c>
      <c r="AS1323">
        <f>IF(OR($X1323="",$T1323&gt;60),"",IFERROR(INDEX(IF($T1323&lt;24,pcomp_m,palt_m),MATCH($X1323,IF($T1323&lt;24,pcomp_k,palt_k),1)),""))</f>
        <v/>
      </c>
      <c r="AT1323">
        <f>IF(OR($X1323="",$T1323&gt;60),"",IFERROR(INDEX(IF($T1323&lt;24,pcomp_s,palt_s),MATCH($X1323,IF($T1323&lt;24,pcomp_k,palt_k),1)),""))</f>
        <v/>
      </c>
      <c r="AU1323">
        <f>IF($AR1323="","",IF($AR1323=0,LN($F1323/$AS1323)/$AT1323,((($F1323/$AS1323)^$AR1323)-1)/($AR1323*$AT1323)))</f>
        <v/>
      </c>
      <c r="AV1323">
        <f>IF($AR1323="","",IF($AR1323=0,$AS1323*EXP($AT1323*2),$AS1323*(1+$AR1323*$AT1323*2)^(1/$AR1323)))</f>
        <v/>
      </c>
      <c r="AW1323">
        <f>IF($AR1323="","",IF($AR1323=0,$AS1323*EXP($AT1323*3),$AS1323*(1+$AR1323*$AT1323*3)^(1/$AR1323)))</f>
        <v/>
      </c>
      <c r="AX1323">
        <f>IF($AR1323="","",IF($AR1323=0,$AS1323*EXP($AT1323*-2),$AS1323*(1+$AR1323*$AT1323*-2)^(1/$AR1323)))</f>
        <v/>
      </c>
      <c r="AY1323">
        <f>IF($AR1323="","",IF($AR1323=0,$AS1323*EXP($AT1323*-3),$AS1323*(1+$AR1323*$AT1323*-3)^(1/$AR1323)))</f>
        <v/>
      </c>
      <c r="AZ1323">
        <f>IF(OR($A1323="",$A1323&lt;&gt;Ficha!$C$4),"",COUNTIF($A$2:$A1323,Ficha!$C$4))</f>
        <v/>
      </c>
    </row>
    <row r="1324">
      <c r="A1324" s="8">
        <f>IF(INDEX(Banco!$A:$A,ROW())="","",INDEX(Banco!$A:$A,ROW()))</f>
        <v/>
      </c>
      <c r="B1324" s="8">
        <f>IF(INDEX(Banco!$B:$B,ROW())="","",INDEX(Banco!$B:$B,ROW()))</f>
        <v/>
      </c>
      <c r="C1324" s="8">
        <f>IF(INDEX(Banco!$C:$C,ROW())="","",INDEX(Banco!$C:$C,ROW()))</f>
        <v/>
      </c>
      <c r="D1324" s="9">
        <f>IF(INDEX(Banco!$D:$D,ROW())="","",INDEX(Banco!$D:$D,ROW()))</f>
        <v/>
      </c>
      <c r="E1324" s="9">
        <f>IF(INDEX(Banco!$E:$E,ROW())="","",INDEX(Banco!$E:$E,ROW()))</f>
        <v/>
      </c>
      <c r="F1324" s="10">
        <f>IF(INDEX(Banco!$F:$F,ROW())="","",INDEX(Banco!$F:$F,ROW()))</f>
        <v/>
      </c>
      <c r="G1324" s="10">
        <f>IF(INDEX(Banco!$G:$G,ROW())="","",INDEX(Banco!$G:$G,ROW()))</f>
        <v/>
      </c>
      <c r="H1324" s="8">
        <f>IF(INDEX(Banco!$H:$H,ROW())="","",INDEX(Banco!$H:$H,ROW()))</f>
        <v/>
      </c>
      <c r="I1324">
        <f>IF($T1324="","",INT($T1324/12)&amp;"a "&amp;MOD($T1324,12)&amp;"m")</f>
        <v/>
      </c>
      <c r="J1324" s="11">
        <f>IF(OR($F1324="",$G1324=""),"",ROUND($F1324/($G1324/100)^2,2))</f>
        <v/>
      </c>
      <c r="K1324" s="12">
        <f>IF(OR($S1324="",$J1324="",$T1324="",$T1324&lt;0,$T1324&gt;228,$Y1324=""),"—",ROUND(IF(ABS($AB1324)&lt;=3,$AB1324,IF($AB1324&gt;3,3+($J1324-$AD1324)/($AD1324-$AC1324),-3+($J1324-$AF1324)/($AE1324-$AF1324))),2))</f>
        <v/>
      </c>
      <c r="L1324">
        <f>IF(OR($K1324="",$K1324="—"),"",IF($T1324&lt;=60,IF($K1324&lt;-3,"Magreza acentuada",IF($K1324&lt;-2,"Magreza",IF($K1324&lt;=1,"Eutrofia",IF($K1324&lt;=2,"Risco de sobrepeso",IF($K1324&lt;=3,"Sobrepeso","Obesidade"))))),IF($K1324&lt;-3,"Magreza acentuada",IF($K1324&lt;-2,"Magreza",IF($K1324&lt;=1,"Eutrofia",IF($K1324&lt;=2,"Sobrepeso",IF($K1324&lt;=3,"Obesidade","Obesidade grave")))))))</f>
        <v/>
      </c>
      <c r="M1324" s="12">
        <f>IF(OR($S1324="",$V1324="",$T1324="",$T1324&lt;0,$T1324&gt;228,$AG1324=""),"—",ROUND(IF($AG1324=0,LN($V1324/$AH1324)/$AI1324,((($V1324/$AH1324)^$AG1324)-1)/($AG1324*$AI1324)),2))</f>
        <v/>
      </c>
      <c r="N1324">
        <f>IF(OR($M1324="",$M1324="—"),"",IF($M1324&lt;-3,"Muito baixa",IF($M1324&lt;-2,"Baixa","Adequada")))</f>
        <v/>
      </c>
      <c r="O1324" s="12">
        <f>IF(OR($S1324="",$F1324="",$T1324="",$T1324&lt;0,$T1324&gt;120,$AJ1324=""),"—",ROUND(IF(ABS($AM1324)&lt;=3,$AM1324,IF($AM1324&gt;3,3+($F1324-$AO1324)/($AO1324-$AN1324),-3+($F1324-$AQ1324)/($AP1324-$AQ1324))),2))</f>
        <v/>
      </c>
      <c r="P1324">
        <f>IF(OR($O1324="",$O1324="—"),"",IF($O1324&lt;-3,"Muito baixo",IF($O1324&lt;-2,"Baixo",IF($O1324&lt;=2,"Adequado","Elevado"))))</f>
        <v/>
      </c>
      <c r="Q1324" s="12">
        <f>IF(OR($S1324="",$F1324="",$T1324="",$T1324&lt;0,$T1324&gt;60,$AR1324=""),"—",ROUND(IF(ABS($AU1324)&lt;=3,$AU1324,IF($AU1324&gt;3,3+($F1324-$AW1324)/($AW1324-$AV1324),-3+($F1324-$AY1324)/($AX1324-$AY1324))),2))</f>
        <v/>
      </c>
      <c r="R1324">
        <f>IF(OR($Q1324="",$Q1324="—"),"",IF($Q1324&lt;-3,"Magreza acentuada",IF($Q1324&lt;-2,"Magreza",IF($Q1324&lt;=1,"Eutrofia",IF($Q1324&lt;=2,"Risco de sobrepeso",IF($Q1324&lt;=3,"Sobrepeso","Obesidade"))))))</f>
        <v/>
      </c>
      <c r="S1324">
        <f>IF($C1324="","",IF(UPPER(LEFT($C1324,1))="M",1,IF(UPPER(LEFT($C1324,1))="F",2,"")))</f>
        <v/>
      </c>
      <c r="T1324">
        <f>IF(OR($D1324="",$E1324=""),"",DATEDIF($D1324,$E1324,"m"))</f>
        <v/>
      </c>
      <c r="U1324">
        <f>IF(OR($D1324="",$E1324=""),"",$E1324-$D1324)</f>
        <v/>
      </c>
      <c r="V1324">
        <f>IF(OR($G1324="",$T1324=""),"",IF($T1324&lt;24,IF(LEFT(LOWER($H1324),4)="em p",$G1324+0.7,$G1324),IF(LEFT(LOWER($H1324),4)="deit",$G1324-0.7,$G1324)))</f>
        <v/>
      </c>
      <c r="W1324">
        <f>IF(OR($S1324="",$T1324=""),"",$S1324*1000000+IF($T1324&lt;=60,$U1324,$T1324))</f>
        <v/>
      </c>
      <c r="X1324">
        <f>IF(OR($S1324="",$V1324="",$T1324&gt;60,$T1324=""),"",$S1324*1000000+ROUND($V1324*10,0))</f>
        <v/>
      </c>
      <c r="Y1324">
        <f>IF($W1324="","",IFERROR(INDEX(IF($T1324&lt;=60,imc05_l,imc519_l),MATCH($W1324,IF($T1324&lt;=60,imc05_k,imc519_k),1)),""))</f>
        <v/>
      </c>
      <c r="Z1324">
        <f>IF($W1324="","",IFERROR(INDEX(IF($T1324&lt;=60,imc05_m,imc519_m),MATCH($W1324,IF($T1324&lt;=60,imc05_k,imc519_k),1)),""))</f>
        <v/>
      </c>
      <c r="AA1324">
        <f>IF($W1324="","",IFERROR(INDEX(IF($T1324&lt;=60,imc05_s,imc519_s),MATCH($W1324,IF($T1324&lt;=60,imc05_k,imc519_k),1)),""))</f>
        <v/>
      </c>
      <c r="AB1324">
        <f>IF($Y1324="","",IF($Y1324=0,LN($J1324/$Z1324)/$AA1324,((($J1324/$Z1324)^$Y1324)-1)/($Y1324*$AA1324)))</f>
        <v/>
      </c>
      <c r="AC1324">
        <f>IF($Y1324="","",IF($Y1324=0,$Z1324*EXP($AA1324*2),$Z1324*(1+$Y1324*$AA1324*2)^(1/$Y1324)))</f>
        <v/>
      </c>
      <c r="AD1324">
        <f>IF($Y1324="","",IF($Y1324=0,$Z1324*EXP($AA1324*3),$Z1324*(1+$Y1324*$AA1324*3)^(1/$Y1324)))</f>
        <v/>
      </c>
      <c r="AE1324">
        <f>IF($Y1324="","",IF($Y1324=0,$Z1324*EXP($AA1324*-2),$Z1324*(1+$Y1324*$AA1324*-2)^(1/$Y1324)))</f>
        <v/>
      </c>
      <c r="AF1324">
        <f>IF($Y1324="","",IF($Y1324=0,$Z1324*EXP($AA1324*-3),$Z1324*(1+$Y1324*$AA1324*-3)^(1/$Y1324)))</f>
        <v/>
      </c>
      <c r="AG1324">
        <f>IF($W1324="","",IFERROR(INDEX(IF($T1324&lt;=60,est05_l,est519_l),MATCH($W1324,IF($T1324&lt;=60,est05_k,est519_k),1)),""))</f>
        <v/>
      </c>
      <c r="AH1324">
        <f>IF($W1324="","",IFERROR(INDEX(IF($T1324&lt;=60,est05_m,est519_m),MATCH($W1324,IF($T1324&lt;=60,est05_k,est519_k),1)),""))</f>
        <v/>
      </c>
      <c r="AI1324">
        <f>IF($W1324="","",IFERROR(INDEX(IF($T1324&lt;=60,est05_s,est519_s),MATCH($W1324,IF($T1324&lt;=60,est05_k,est519_k),1)),""))</f>
        <v/>
      </c>
      <c r="AJ1324">
        <f>IF($W1324="","",IFERROR(INDEX(IF($T1324&lt;=60,peso05_l,peso510_l),MATCH($W1324,IF($T1324&lt;=60,peso05_k,peso510_k),1)),""))</f>
        <v/>
      </c>
      <c r="AK1324">
        <f>IF($W1324="","",IFERROR(INDEX(IF($T1324&lt;=60,peso05_m,peso510_m),MATCH($W1324,IF($T1324&lt;=60,peso05_k,peso510_k),1)),""))</f>
        <v/>
      </c>
      <c r="AL1324">
        <f>IF($W1324="","",IFERROR(INDEX(IF($T1324&lt;=60,peso05_s,peso510_s),MATCH($W1324,IF($T1324&lt;=60,peso05_k,peso510_k),1)),""))</f>
        <v/>
      </c>
      <c r="AM1324">
        <f>IF($AJ1324="","",IF($AJ1324=0,LN($F1324/$AK1324)/$AL1324,((($F1324/$AK1324)^$AJ1324)-1)/($AJ1324*$AL1324)))</f>
        <v/>
      </c>
      <c r="AN1324">
        <f>IF($AJ1324="","",IF($AJ1324=0,$AK1324*EXP($AL1324*2),$AK1324*(1+$AJ1324*$AL1324*2)^(1/$AJ1324)))</f>
        <v/>
      </c>
      <c r="AO1324">
        <f>IF($AJ1324="","",IF($AJ1324=0,$AK1324*EXP($AL1324*3),$AK1324*(1+$AJ1324*$AL1324*3)^(1/$AJ1324)))</f>
        <v/>
      </c>
      <c r="AP1324">
        <f>IF($AJ1324="","",IF($AJ1324=0,$AK1324*EXP($AL1324*-2),$AK1324*(1+$AJ1324*$AL1324*-2)^(1/$AJ1324)))</f>
        <v/>
      </c>
      <c r="AQ1324">
        <f>IF($AJ1324="","",IF($AJ1324=0,$AK1324*EXP($AL1324*-3),$AK1324*(1+$AJ1324*$AL1324*-3)^(1/$AJ1324)))</f>
        <v/>
      </c>
      <c r="AR1324">
        <f>IF(OR($X1324="",$T1324&gt;60),"",IFERROR(INDEX(IF($T1324&lt;24,pcomp_l,palt_l),MATCH($X1324,IF($T1324&lt;24,pcomp_k,palt_k),1)),""))</f>
        <v/>
      </c>
      <c r="AS1324">
        <f>IF(OR($X1324="",$T1324&gt;60),"",IFERROR(INDEX(IF($T1324&lt;24,pcomp_m,palt_m),MATCH($X1324,IF($T1324&lt;24,pcomp_k,palt_k),1)),""))</f>
        <v/>
      </c>
      <c r="AT1324">
        <f>IF(OR($X1324="",$T1324&gt;60),"",IFERROR(INDEX(IF($T1324&lt;24,pcomp_s,palt_s),MATCH($X1324,IF($T1324&lt;24,pcomp_k,palt_k),1)),""))</f>
        <v/>
      </c>
      <c r="AU1324">
        <f>IF($AR1324="","",IF($AR1324=0,LN($F1324/$AS1324)/$AT1324,((($F1324/$AS1324)^$AR1324)-1)/($AR1324*$AT1324)))</f>
        <v/>
      </c>
      <c r="AV1324">
        <f>IF($AR1324="","",IF($AR1324=0,$AS1324*EXP($AT1324*2),$AS1324*(1+$AR1324*$AT1324*2)^(1/$AR1324)))</f>
        <v/>
      </c>
      <c r="AW1324">
        <f>IF($AR1324="","",IF($AR1324=0,$AS1324*EXP($AT1324*3),$AS1324*(1+$AR1324*$AT1324*3)^(1/$AR1324)))</f>
        <v/>
      </c>
      <c r="AX1324">
        <f>IF($AR1324="","",IF($AR1324=0,$AS1324*EXP($AT1324*-2),$AS1324*(1+$AR1324*$AT1324*-2)^(1/$AR1324)))</f>
        <v/>
      </c>
      <c r="AY1324">
        <f>IF($AR1324="","",IF($AR1324=0,$AS1324*EXP($AT1324*-3),$AS1324*(1+$AR1324*$AT1324*-3)^(1/$AR1324)))</f>
        <v/>
      </c>
      <c r="AZ1324">
        <f>IF(OR($A1324="",$A1324&lt;&gt;Ficha!$C$4),"",COUNTIF($A$2:$A1324,Ficha!$C$4))</f>
        <v/>
      </c>
    </row>
    <row r="1325">
      <c r="A1325" s="8">
        <f>IF(INDEX(Banco!$A:$A,ROW())="","",INDEX(Banco!$A:$A,ROW()))</f>
        <v/>
      </c>
      <c r="B1325" s="8">
        <f>IF(INDEX(Banco!$B:$B,ROW())="","",INDEX(Banco!$B:$B,ROW()))</f>
        <v/>
      </c>
      <c r="C1325" s="8">
        <f>IF(INDEX(Banco!$C:$C,ROW())="","",INDEX(Banco!$C:$C,ROW()))</f>
        <v/>
      </c>
      <c r="D1325" s="9">
        <f>IF(INDEX(Banco!$D:$D,ROW())="","",INDEX(Banco!$D:$D,ROW()))</f>
        <v/>
      </c>
      <c r="E1325" s="9">
        <f>IF(INDEX(Banco!$E:$E,ROW())="","",INDEX(Banco!$E:$E,ROW()))</f>
        <v/>
      </c>
      <c r="F1325" s="10">
        <f>IF(INDEX(Banco!$F:$F,ROW())="","",INDEX(Banco!$F:$F,ROW()))</f>
        <v/>
      </c>
      <c r="G1325" s="10">
        <f>IF(INDEX(Banco!$G:$G,ROW())="","",INDEX(Banco!$G:$G,ROW()))</f>
        <v/>
      </c>
      <c r="H1325" s="8">
        <f>IF(INDEX(Banco!$H:$H,ROW())="","",INDEX(Banco!$H:$H,ROW()))</f>
        <v/>
      </c>
      <c r="I1325">
        <f>IF($T1325="","",INT($T1325/12)&amp;"a "&amp;MOD($T1325,12)&amp;"m")</f>
        <v/>
      </c>
      <c r="J1325" s="11">
        <f>IF(OR($F1325="",$G1325=""),"",ROUND($F1325/($G1325/100)^2,2))</f>
        <v/>
      </c>
      <c r="K1325" s="12">
        <f>IF(OR($S1325="",$J1325="",$T1325="",$T1325&lt;0,$T1325&gt;228,$Y1325=""),"—",ROUND(IF(ABS($AB1325)&lt;=3,$AB1325,IF($AB1325&gt;3,3+($J1325-$AD1325)/($AD1325-$AC1325),-3+($J1325-$AF1325)/($AE1325-$AF1325))),2))</f>
        <v/>
      </c>
      <c r="L1325">
        <f>IF(OR($K1325="",$K1325="—"),"",IF($T1325&lt;=60,IF($K1325&lt;-3,"Magreza acentuada",IF($K1325&lt;-2,"Magreza",IF($K1325&lt;=1,"Eutrofia",IF($K1325&lt;=2,"Risco de sobrepeso",IF($K1325&lt;=3,"Sobrepeso","Obesidade"))))),IF($K1325&lt;-3,"Magreza acentuada",IF($K1325&lt;-2,"Magreza",IF($K1325&lt;=1,"Eutrofia",IF($K1325&lt;=2,"Sobrepeso",IF($K1325&lt;=3,"Obesidade","Obesidade grave")))))))</f>
        <v/>
      </c>
      <c r="M1325" s="12">
        <f>IF(OR($S1325="",$V1325="",$T1325="",$T1325&lt;0,$T1325&gt;228,$AG1325=""),"—",ROUND(IF($AG1325=0,LN($V1325/$AH1325)/$AI1325,((($V1325/$AH1325)^$AG1325)-1)/($AG1325*$AI1325)),2))</f>
        <v/>
      </c>
      <c r="N1325">
        <f>IF(OR($M1325="",$M1325="—"),"",IF($M1325&lt;-3,"Muito baixa",IF($M1325&lt;-2,"Baixa","Adequada")))</f>
        <v/>
      </c>
      <c r="O1325" s="12">
        <f>IF(OR($S1325="",$F1325="",$T1325="",$T1325&lt;0,$T1325&gt;120,$AJ1325=""),"—",ROUND(IF(ABS($AM1325)&lt;=3,$AM1325,IF($AM1325&gt;3,3+($F1325-$AO1325)/($AO1325-$AN1325),-3+($F1325-$AQ1325)/($AP1325-$AQ1325))),2))</f>
        <v/>
      </c>
      <c r="P1325">
        <f>IF(OR($O1325="",$O1325="—"),"",IF($O1325&lt;-3,"Muito baixo",IF($O1325&lt;-2,"Baixo",IF($O1325&lt;=2,"Adequado","Elevado"))))</f>
        <v/>
      </c>
      <c r="Q1325" s="12">
        <f>IF(OR($S1325="",$F1325="",$T1325="",$T1325&lt;0,$T1325&gt;60,$AR1325=""),"—",ROUND(IF(ABS($AU1325)&lt;=3,$AU1325,IF($AU1325&gt;3,3+($F1325-$AW1325)/($AW1325-$AV1325),-3+($F1325-$AY1325)/($AX1325-$AY1325))),2))</f>
        <v/>
      </c>
      <c r="R1325">
        <f>IF(OR($Q1325="",$Q1325="—"),"",IF($Q1325&lt;-3,"Magreza acentuada",IF($Q1325&lt;-2,"Magreza",IF($Q1325&lt;=1,"Eutrofia",IF($Q1325&lt;=2,"Risco de sobrepeso",IF($Q1325&lt;=3,"Sobrepeso","Obesidade"))))))</f>
        <v/>
      </c>
      <c r="S1325">
        <f>IF($C1325="","",IF(UPPER(LEFT($C1325,1))="M",1,IF(UPPER(LEFT($C1325,1))="F",2,"")))</f>
        <v/>
      </c>
      <c r="T1325">
        <f>IF(OR($D1325="",$E1325=""),"",DATEDIF($D1325,$E1325,"m"))</f>
        <v/>
      </c>
      <c r="U1325">
        <f>IF(OR($D1325="",$E1325=""),"",$E1325-$D1325)</f>
        <v/>
      </c>
      <c r="V1325">
        <f>IF(OR($G1325="",$T1325=""),"",IF($T1325&lt;24,IF(LEFT(LOWER($H1325),4)="em p",$G1325+0.7,$G1325),IF(LEFT(LOWER($H1325),4)="deit",$G1325-0.7,$G1325)))</f>
        <v/>
      </c>
      <c r="W1325">
        <f>IF(OR($S1325="",$T1325=""),"",$S1325*1000000+IF($T1325&lt;=60,$U1325,$T1325))</f>
        <v/>
      </c>
      <c r="X1325">
        <f>IF(OR($S1325="",$V1325="",$T1325&gt;60,$T1325=""),"",$S1325*1000000+ROUND($V1325*10,0))</f>
        <v/>
      </c>
      <c r="Y1325">
        <f>IF($W1325="","",IFERROR(INDEX(IF($T1325&lt;=60,imc05_l,imc519_l),MATCH($W1325,IF($T1325&lt;=60,imc05_k,imc519_k),1)),""))</f>
        <v/>
      </c>
      <c r="Z1325">
        <f>IF($W1325="","",IFERROR(INDEX(IF($T1325&lt;=60,imc05_m,imc519_m),MATCH($W1325,IF($T1325&lt;=60,imc05_k,imc519_k),1)),""))</f>
        <v/>
      </c>
      <c r="AA1325">
        <f>IF($W1325="","",IFERROR(INDEX(IF($T1325&lt;=60,imc05_s,imc519_s),MATCH($W1325,IF($T1325&lt;=60,imc05_k,imc519_k),1)),""))</f>
        <v/>
      </c>
      <c r="AB1325">
        <f>IF($Y1325="","",IF($Y1325=0,LN($J1325/$Z1325)/$AA1325,((($J1325/$Z1325)^$Y1325)-1)/($Y1325*$AA1325)))</f>
        <v/>
      </c>
      <c r="AC1325">
        <f>IF($Y1325="","",IF($Y1325=0,$Z1325*EXP($AA1325*2),$Z1325*(1+$Y1325*$AA1325*2)^(1/$Y1325)))</f>
        <v/>
      </c>
      <c r="AD1325">
        <f>IF($Y1325="","",IF($Y1325=0,$Z1325*EXP($AA1325*3),$Z1325*(1+$Y1325*$AA1325*3)^(1/$Y1325)))</f>
        <v/>
      </c>
      <c r="AE1325">
        <f>IF($Y1325="","",IF($Y1325=0,$Z1325*EXP($AA1325*-2),$Z1325*(1+$Y1325*$AA1325*-2)^(1/$Y1325)))</f>
        <v/>
      </c>
      <c r="AF1325">
        <f>IF($Y1325="","",IF($Y1325=0,$Z1325*EXP($AA1325*-3),$Z1325*(1+$Y1325*$AA1325*-3)^(1/$Y1325)))</f>
        <v/>
      </c>
      <c r="AG1325">
        <f>IF($W1325="","",IFERROR(INDEX(IF($T1325&lt;=60,est05_l,est519_l),MATCH($W1325,IF($T1325&lt;=60,est05_k,est519_k),1)),""))</f>
        <v/>
      </c>
      <c r="AH1325">
        <f>IF($W1325="","",IFERROR(INDEX(IF($T1325&lt;=60,est05_m,est519_m),MATCH($W1325,IF($T1325&lt;=60,est05_k,est519_k),1)),""))</f>
        <v/>
      </c>
      <c r="AI1325">
        <f>IF($W1325="","",IFERROR(INDEX(IF($T1325&lt;=60,est05_s,est519_s),MATCH($W1325,IF($T1325&lt;=60,est05_k,est519_k),1)),""))</f>
        <v/>
      </c>
      <c r="AJ1325">
        <f>IF($W1325="","",IFERROR(INDEX(IF($T1325&lt;=60,peso05_l,peso510_l),MATCH($W1325,IF($T1325&lt;=60,peso05_k,peso510_k),1)),""))</f>
        <v/>
      </c>
      <c r="AK1325">
        <f>IF($W1325="","",IFERROR(INDEX(IF($T1325&lt;=60,peso05_m,peso510_m),MATCH($W1325,IF($T1325&lt;=60,peso05_k,peso510_k),1)),""))</f>
        <v/>
      </c>
      <c r="AL1325">
        <f>IF($W1325="","",IFERROR(INDEX(IF($T1325&lt;=60,peso05_s,peso510_s),MATCH($W1325,IF($T1325&lt;=60,peso05_k,peso510_k),1)),""))</f>
        <v/>
      </c>
      <c r="AM1325">
        <f>IF($AJ1325="","",IF($AJ1325=0,LN($F1325/$AK1325)/$AL1325,((($F1325/$AK1325)^$AJ1325)-1)/($AJ1325*$AL1325)))</f>
        <v/>
      </c>
      <c r="AN1325">
        <f>IF($AJ1325="","",IF($AJ1325=0,$AK1325*EXP($AL1325*2),$AK1325*(1+$AJ1325*$AL1325*2)^(1/$AJ1325)))</f>
        <v/>
      </c>
      <c r="AO1325">
        <f>IF($AJ1325="","",IF($AJ1325=0,$AK1325*EXP($AL1325*3),$AK1325*(1+$AJ1325*$AL1325*3)^(1/$AJ1325)))</f>
        <v/>
      </c>
      <c r="AP1325">
        <f>IF($AJ1325="","",IF($AJ1325=0,$AK1325*EXP($AL1325*-2),$AK1325*(1+$AJ1325*$AL1325*-2)^(1/$AJ1325)))</f>
        <v/>
      </c>
      <c r="AQ1325">
        <f>IF($AJ1325="","",IF($AJ1325=0,$AK1325*EXP($AL1325*-3),$AK1325*(1+$AJ1325*$AL1325*-3)^(1/$AJ1325)))</f>
        <v/>
      </c>
      <c r="AR1325">
        <f>IF(OR($X1325="",$T1325&gt;60),"",IFERROR(INDEX(IF($T1325&lt;24,pcomp_l,palt_l),MATCH($X1325,IF($T1325&lt;24,pcomp_k,palt_k),1)),""))</f>
        <v/>
      </c>
      <c r="AS1325">
        <f>IF(OR($X1325="",$T1325&gt;60),"",IFERROR(INDEX(IF($T1325&lt;24,pcomp_m,palt_m),MATCH($X1325,IF($T1325&lt;24,pcomp_k,palt_k),1)),""))</f>
        <v/>
      </c>
      <c r="AT1325">
        <f>IF(OR($X1325="",$T1325&gt;60),"",IFERROR(INDEX(IF($T1325&lt;24,pcomp_s,palt_s),MATCH($X1325,IF($T1325&lt;24,pcomp_k,palt_k),1)),""))</f>
        <v/>
      </c>
      <c r="AU1325">
        <f>IF($AR1325="","",IF($AR1325=0,LN($F1325/$AS1325)/$AT1325,((($F1325/$AS1325)^$AR1325)-1)/($AR1325*$AT1325)))</f>
        <v/>
      </c>
      <c r="AV1325">
        <f>IF($AR1325="","",IF($AR1325=0,$AS1325*EXP($AT1325*2),$AS1325*(1+$AR1325*$AT1325*2)^(1/$AR1325)))</f>
        <v/>
      </c>
      <c r="AW1325">
        <f>IF($AR1325="","",IF($AR1325=0,$AS1325*EXP($AT1325*3),$AS1325*(1+$AR1325*$AT1325*3)^(1/$AR1325)))</f>
        <v/>
      </c>
      <c r="AX1325">
        <f>IF($AR1325="","",IF($AR1325=0,$AS1325*EXP($AT1325*-2),$AS1325*(1+$AR1325*$AT1325*-2)^(1/$AR1325)))</f>
        <v/>
      </c>
      <c r="AY1325">
        <f>IF($AR1325="","",IF($AR1325=0,$AS1325*EXP($AT1325*-3),$AS1325*(1+$AR1325*$AT1325*-3)^(1/$AR1325)))</f>
        <v/>
      </c>
      <c r="AZ1325">
        <f>IF(OR($A1325="",$A1325&lt;&gt;Ficha!$C$4),"",COUNTIF($A$2:$A1325,Ficha!$C$4))</f>
        <v/>
      </c>
    </row>
    <row r="1326">
      <c r="A1326" s="8">
        <f>IF(INDEX(Banco!$A:$A,ROW())="","",INDEX(Banco!$A:$A,ROW()))</f>
        <v/>
      </c>
      <c r="B1326" s="8">
        <f>IF(INDEX(Banco!$B:$B,ROW())="","",INDEX(Banco!$B:$B,ROW()))</f>
        <v/>
      </c>
      <c r="C1326" s="8">
        <f>IF(INDEX(Banco!$C:$C,ROW())="","",INDEX(Banco!$C:$C,ROW()))</f>
        <v/>
      </c>
      <c r="D1326" s="9">
        <f>IF(INDEX(Banco!$D:$D,ROW())="","",INDEX(Banco!$D:$D,ROW()))</f>
        <v/>
      </c>
      <c r="E1326" s="9">
        <f>IF(INDEX(Banco!$E:$E,ROW())="","",INDEX(Banco!$E:$E,ROW()))</f>
        <v/>
      </c>
      <c r="F1326" s="10">
        <f>IF(INDEX(Banco!$F:$F,ROW())="","",INDEX(Banco!$F:$F,ROW()))</f>
        <v/>
      </c>
      <c r="G1326" s="10">
        <f>IF(INDEX(Banco!$G:$G,ROW())="","",INDEX(Banco!$G:$G,ROW()))</f>
        <v/>
      </c>
      <c r="H1326" s="8">
        <f>IF(INDEX(Banco!$H:$H,ROW())="","",INDEX(Banco!$H:$H,ROW()))</f>
        <v/>
      </c>
      <c r="I1326">
        <f>IF($T1326="","",INT($T1326/12)&amp;"a "&amp;MOD($T1326,12)&amp;"m")</f>
        <v/>
      </c>
      <c r="J1326" s="11">
        <f>IF(OR($F1326="",$G1326=""),"",ROUND($F1326/($G1326/100)^2,2))</f>
        <v/>
      </c>
      <c r="K1326" s="12">
        <f>IF(OR($S1326="",$J1326="",$T1326="",$T1326&lt;0,$T1326&gt;228,$Y1326=""),"—",ROUND(IF(ABS($AB1326)&lt;=3,$AB1326,IF($AB1326&gt;3,3+($J1326-$AD1326)/($AD1326-$AC1326),-3+($J1326-$AF1326)/($AE1326-$AF1326))),2))</f>
        <v/>
      </c>
      <c r="L1326">
        <f>IF(OR($K1326="",$K1326="—"),"",IF($T1326&lt;=60,IF($K1326&lt;-3,"Magreza acentuada",IF($K1326&lt;-2,"Magreza",IF($K1326&lt;=1,"Eutrofia",IF($K1326&lt;=2,"Risco de sobrepeso",IF($K1326&lt;=3,"Sobrepeso","Obesidade"))))),IF($K1326&lt;-3,"Magreza acentuada",IF($K1326&lt;-2,"Magreza",IF($K1326&lt;=1,"Eutrofia",IF($K1326&lt;=2,"Sobrepeso",IF($K1326&lt;=3,"Obesidade","Obesidade grave")))))))</f>
        <v/>
      </c>
      <c r="M1326" s="12">
        <f>IF(OR($S1326="",$V1326="",$T1326="",$T1326&lt;0,$T1326&gt;228,$AG1326=""),"—",ROUND(IF($AG1326=0,LN($V1326/$AH1326)/$AI1326,((($V1326/$AH1326)^$AG1326)-1)/($AG1326*$AI1326)),2))</f>
        <v/>
      </c>
      <c r="N1326">
        <f>IF(OR($M1326="",$M1326="—"),"",IF($M1326&lt;-3,"Muito baixa",IF($M1326&lt;-2,"Baixa","Adequada")))</f>
        <v/>
      </c>
      <c r="O1326" s="12">
        <f>IF(OR($S1326="",$F1326="",$T1326="",$T1326&lt;0,$T1326&gt;120,$AJ1326=""),"—",ROUND(IF(ABS($AM1326)&lt;=3,$AM1326,IF($AM1326&gt;3,3+($F1326-$AO1326)/($AO1326-$AN1326),-3+($F1326-$AQ1326)/($AP1326-$AQ1326))),2))</f>
        <v/>
      </c>
      <c r="P1326">
        <f>IF(OR($O1326="",$O1326="—"),"",IF($O1326&lt;-3,"Muito baixo",IF($O1326&lt;-2,"Baixo",IF($O1326&lt;=2,"Adequado","Elevado"))))</f>
        <v/>
      </c>
      <c r="Q1326" s="12">
        <f>IF(OR($S1326="",$F1326="",$T1326="",$T1326&lt;0,$T1326&gt;60,$AR1326=""),"—",ROUND(IF(ABS($AU1326)&lt;=3,$AU1326,IF($AU1326&gt;3,3+($F1326-$AW1326)/($AW1326-$AV1326),-3+($F1326-$AY1326)/($AX1326-$AY1326))),2))</f>
        <v/>
      </c>
      <c r="R1326">
        <f>IF(OR($Q1326="",$Q1326="—"),"",IF($Q1326&lt;-3,"Magreza acentuada",IF($Q1326&lt;-2,"Magreza",IF($Q1326&lt;=1,"Eutrofia",IF($Q1326&lt;=2,"Risco de sobrepeso",IF($Q1326&lt;=3,"Sobrepeso","Obesidade"))))))</f>
        <v/>
      </c>
      <c r="S1326">
        <f>IF($C1326="","",IF(UPPER(LEFT($C1326,1))="M",1,IF(UPPER(LEFT($C1326,1))="F",2,"")))</f>
        <v/>
      </c>
      <c r="T1326">
        <f>IF(OR($D1326="",$E1326=""),"",DATEDIF($D1326,$E1326,"m"))</f>
        <v/>
      </c>
      <c r="U1326">
        <f>IF(OR($D1326="",$E1326=""),"",$E1326-$D1326)</f>
        <v/>
      </c>
      <c r="V1326">
        <f>IF(OR($G1326="",$T1326=""),"",IF($T1326&lt;24,IF(LEFT(LOWER($H1326),4)="em p",$G1326+0.7,$G1326),IF(LEFT(LOWER($H1326),4)="deit",$G1326-0.7,$G1326)))</f>
        <v/>
      </c>
      <c r="W1326">
        <f>IF(OR($S1326="",$T1326=""),"",$S1326*1000000+IF($T1326&lt;=60,$U1326,$T1326))</f>
        <v/>
      </c>
      <c r="X1326">
        <f>IF(OR($S1326="",$V1326="",$T1326&gt;60,$T1326=""),"",$S1326*1000000+ROUND($V1326*10,0))</f>
        <v/>
      </c>
      <c r="Y1326">
        <f>IF($W1326="","",IFERROR(INDEX(IF($T1326&lt;=60,imc05_l,imc519_l),MATCH($W1326,IF($T1326&lt;=60,imc05_k,imc519_k),1)),""))</f>
        <v/>
      </c>
      <c r="Z1326">
        <f>IF($W1326="","",IFERROR(INDEX(IF($T1326&lt;=60,imc05_m,imc519_m),MATCH($W1326,IF($T1326&lt;=60,imc05_k,imc519_k),1)),""))</f>
        <v/>
      </c>
      <c r="AA1326">
        <f>IF($W1326="","",IFERROR(INDEX(IF($T1326&lt;=60,imc05_s,imc519_s),MATCH($W1326,IF($T1326&lt;=60,imc05_k,imc519_k),1)),""))</f>
        <v/>
      </c>
      <c r="AB1326">
        <f>IF($Y1326="","",IF($Y1326=0,LN($J1326/$Z1326)/$AA1326,((($J1326/$Z1326)^$Y1326)-1)/($Y1326*$AA1326)))</f>
        <v/>
      </c>
      <c r="AC1326">
        <f>IF($Y1326="","",IF($Y1326=0,$Z1326*EXP($AA1326*2),$Z1326*(1+$Y1326*$AA1326*2)^(1/$Y1326)))</f>
        <v/>
      </c>
      <c r="AD1326">
        <f>IF($Y1326="","",IF($Y1326=0,$Z1326*EXP($AA1326*3),$Z1326*(1+$Y1326*$AA1326*3)^(1/$Y1326)))</f>
        <v/>
      </c>
      <c r="AE1326">
        <f>IF($Y1326="","",IF($Y1326=0,$Z1326*EXP($AA1326*-2),$Z1326*(1+$Y1326*$AA1326*-2)^(1/$Y1326)))</f>
        <v/>
      </c>
      <c r="AF1326">
        <f>IF($Y1326="","",IF($Y1326=0,$Z1326*EXP($AA1326*-3),$Z1326*(1+$Y1326*$AA1326*-3)^(1/$Y1326)))</f>
        <v/>
      </c>
      <c r="AG1326">
        <f>IF($W1326="","",IFERROR(INDEX(IF($T1326&lt;=60,est05_l,est519_l),MATCH($W1326,IF($T1326&lt;=60,est05_k,est519_k),1)),""))</f>
        <v/>
      </c>
      <c r="AH1326">
        <f>IF($W1326="","",IFERROR(INDEX(IF($T1326&lt;=60,est05_m,est519_m),MATCH($W1326,IF($T1326&lt;=60,est05_k,est519_k),1)),""))</f>
        <v/>
      </c>
      <c r="AI1326">
        <f>IF($W1326="","",IFERROR(INDEX(IF($T1326&lt;=60,est05_s,est519_s),MATCH($W1326,IF($T1326&lt;=60,est05_k,est519_k),1)),""))</f>
        <v/>
      </c>
      <c r="AJ1326">
        <f>IF($W1326="","",IFERROR(INDEX(IF($T1326&lt;=60,peso05_l,peso510_l),MATCH($W1326,IF($T1326&lt;=60,peso05_k,peso510_k),1)),""))</f>
        <v/>
      </c>
      <c r="AK1326">
        <f>IF($W1326="","",IFERROR(INDEX(IF($T1326&lt;=60,peso05_m,peso510_m),MATCH($W1326,IF($T1326&lt;=60,peso05_k,peso510_k),1)),""))</f>
        <v/>
      </c>
      <c r="AL1326">
        <f>IF($W1326="","",IFERROR(INDEX(IF($T1326&lt;=60,peso05_s,peso510_s),MATCH($W1326,IF($T1326&lt;=60,peso05_k,peso510_k),1)),""))</f>
        <v/>
      </c>
      <c r="AM1326">
        <f>IF($AJ1326="","",IF($AJ1326=0,LN($F1326/$AK1326)/$AL1326,((($F1326/$AK1326)^$AJ1326)-1)/($AJ1326*$AL1326)))</f>
        <v/>
      </c>
      <c r="AN1326">
        <f>IF($AJ1326="","",IF($AJ1326=0,$AK1326*EXP($AL1326*2),$AK1326*(1+$AJ1326*$AL1326*2)^(1/$AJ1326)))</f>
        <v/>
      </c>
      <c r="AO1326">
        <f>IF($AJ1326="","",IF($AJ1326=0,$AK1326*EXP($AL1326*3),$AK1326*(1+$AJ1326*$AL1326*3)^(1/$AJ1326)))</f>
        <v/>
      </c>
      <c r="AP1326">
        <f>IF($AJ1326="","",IF($AJ1326=0,$AK1326*EXP($AL1326*-2),$AK1326*(1+$AJ1326*$AL1326*-2)^(1/$AJ1326)))</f>
        <v/>
      </c>
      <c r="AQ1326">
        <f>IF($AJ1326="","",IF($AJ1326=0,$AK1326*EXP($AL1326*-3),$AK1326*(1+$AJ1326*$AL1326*-3)^(1/$AJ1326)))</f>
        <v/>
      </c>
      <c r="AR1326">
        <f>IF(OR($X1326="",$T1326&gt;60),"",IFERROR(INDEX(IF($T1326&lt;24,pcomp_l,palt_l),MATCH($X1326,IF($T1326&lt;24,pcomp_k,palt_k),1)),""))</f>
        <v/>
      </c>
      <c r="AS1326">
        <f>IF(OR($X1326="",$T1326&gt;60),"",IFERROR(INDEX(IF($T1326&lt;24,pcomp_m,palt_m),MATCH($X1326,IF($T1326&lt;24,pcomp_k,palt_k),1)),""))</f>
        <v/>
      </c>
      <c r="AT1326">
        <f>IF(OR($X1326="",$T1326&gt;60),"",IFERROR(INDEX(IF($T1326&lt;24,pcomp_s,palt_s),MATCH($X1326,IF($T1326&lt;24,pcomp_k,palt_k),1)),""))</f>
        <v/>
      </c>
      <c r="AU1326">
        <f>IF($AR1326="","",IF($AR1326=0,LN($F1326/$AS1326)/$AT1326,((($F1326/$AS1326)^$AR1326)-1)/($AR1326*$AT1326)))</f>
        <v/>
      </c>
      <c r="AV1326">
        <f>IF($AR1326="","",IF($AR1326=0,$AS1326*EXP($AT1326*2),$AS1326*(1+$AR1326*$AT1326*2)^(1/$AR1326)))</f>
        <v/>
      </c>
      <c r="AW1326">
        <f>IF($AR1326="","",IF($AR1326=0,$AS1326*EXP($AT1326*3),$AS1326*(1+$AR1326*$AT1326*3)^(1/$AR1326)))</f>
        <v/>
      </c>
      <c r="AX1326">
        <f>IF($AR1326="","",IF($AR1326=0,$AS1326*EXP($AT1326*-2),$AS1326*(1+$AR1326*$AT1326*-2)^(1/$AR1326)))</f>
        <v/>
      </c>
      <c r="AY1326">
        <f>IF($AR1326="","",IF($AR1326=0,$AS1326*EXP($AT1326*-3),$AS1326*(1+$AR1326*$AT1326*-3)^(1/$AR1326)))</f>
        <v/>
      </c>
      <c r="AZ1326">
        <f>IF(OR($A1326="",$A1326&lt;&gt;Ficha!$C$4),"",COUNTIF($A$2:$A1326,Ficha!$C$4))</f>
        <v/>
      </c>
    </row>
    <row r="1327">
      <c r="A1327" s="8">
        <f>IF(INDEX(Banco!$A:$A,ROW())="","",INDEX(Banco!$A:$A,ROW()))</f>
        <v/>
      </c>
      <c r="B1327" s="8">
        <f>IF(INDEX(Banco!$B:$B,ROW())="","",INDEX(Banco!$B:$B,ROW()))</f>
        <v/>
      </c>
      <c r="C1327" s="8">
        <f>IF(INDEX(Banco!$C:$C,ROW())="","",INDEX(Banco!$C:$C,ROW()))</f>
        <v/>
      </c>
      <c r="D1327" s="9">
        <f>IF(INDEX(Banco!$D:$D,ROW())="","",INDEX(Banco!$D:$D,ROW()))</f>
        <v/>
      </c>
      <c r="E1327" s="9">
        <f>IF(INDEX(Banco!$E:$E,ROW())="","",INDEX(Banco!$E:$E,ROW()))</f>
        <v/>
      </c>
      <c r="F1327" s="10">
        <f>IF(INDEX(Banco!$F:$F,ROW())="","",INDEX(Banco!$F:$F,ROW()))</f>
        <v/>
      </c>
      <c r="G1327" s="10">
        <f>IF(INDEX(Banco!$G:$G,ROW())="","",INDEX(Banco!$G:$G,ROW()))</f>
        <v/>
      </c>
      <c r="H1327" s="8">
        <f>IF(INDEX(Banco!$H:$H,ROW())="","",INDEX(Banco!$H:$H,ROW()))</f>
        <v/>
      </c>
      <c r="I1327">
        <f>IF($T1327="","",INT($T1327/12)&amp;"a "&amp;MOD($T1327,12)&amp;"m")</f>
        <v/>
      </c>
      <c r="J1327" s="11">
        <f>IF(OR($F1327="",$G1327=""),"",ROUND($F1327/($G1327/100)^2,2))</f>
        <v/>
      </c>
      <c r="K1327" s="12">
        <f>IF(OR($S1327="",$J1327="",$T1327="",$T1327&lt;0,$T1327&gt;228,$Y1327=""),"—",ROUND(IF(ABS($AB1327)&lt;=3,$AB1327,IF($AB1327&gt;3,3+($J1327-$AD1327)/($AD1327-$AC1327),-3+($J1327-$AF1327)/($AE1327-$AF1327))),2))</f>
        <v/>
      </c>
      <c r="L1327">
        <f>IF(OR($K1327="",$K1327="—"),"",IF($T1327&lt;=60,IF($K1327&lt;-3,"Magreza acentuada",IF($K1327&lt;-2,"Magreza",IF($K1327&lt;=1,"Eutrofia",IF($K1327&lt;=2,"Risco de sobrepeso",IF($K1327&lt;=3,"Sobrepeso","Obesidade"))))),IF($K1327&lt;-3,"Magreza acentuada",IF($K1327&lt;-2,"Magreza",IF($K1327&lt;=1,"Eutrofia",IF($K1327&lt;=2,"Sobrepeso",IF($K1327&lt;=3,"Obesidade","Obesidade grave")))))))</f>
        <v/>
      </c>
      <c r="M1327" s="12">
        <f>IF(OR($S1327="",$V1327="",$T1327="",$T1327&lt;0,$T1327&gt;228,$AG1327=""),"—",ROUND(IF($AG1327=0,LN($V1327/$AH1327)/$AI1327,((($V1327/$AH1327)^$AG1327)-1)/($AG1327*$AI1327)),2))</f>
        <v/>
      </c>
      <c r="N1327">
        <f>IF(OR($M1327="",$M1327="—"),"",IF($M1327&lt;-3,"Muito baixa",IF($M1327&lt;-2,"Baixa","Adequada")))</f>
        <v/>
      </c>
      <c r="O1327" s="12">
        <f>IF(OR($S1327="",$F1327="",$T1327="",$T1327&lt;0,$T1327&gt;120,$AJ1327=""),"—",ROUND(IF(ABS($AM1327)&lt;=3,$AM1327,IF($AM1327&gt;3,3+($F1327-$AO1327)/($AO1327-$AN1327),-3+($F1327-$AQ1327)/($AP1327-$AQ1327))),2))</f>
        <v/>
      </c>
      <c r="P1327">
        <f>IF(OR($O1327="",$O1327="—"),"",IF($O1327&lt;-3,"Muito baixo",IF($O1327&lt;-2,"Baixo",IF($O1327&lt;=2,"Adequado","Elevado"))))</f>
        <v/>
      </c>
      <c r="Q1327" s="12">
        <f>IF(OR($S1327="",$F1327="",$T1327="",$T1327&lt;0,$T1327&gt;60,$AR1327=""),"—",ROUND(IF(ABS($AU1327)&lt;=3,$AU1327,IF($AU1327&gt;3,3+($F1327-$AW1327)/($AW1327-$AV1327),-3+($F1327-$AY1327)/($AX1327-$AY1327))),2))</f>
        <v/>
      </c>
      <c r="R1327">
        <f>IF(OR($Q1327="",$Q1327="—"),"",IF($Q1327&lt;-3,"Magreza acentuada",IF($Q1327&lt;-2,"Magreza",IF($Q1327&lt;=1,"Eutrofia",IF($Q1327&lt;=2,"Risco de sobrepeso",IF($Q1327&lt;=3,"Sobrepeso","Obesidade"))))))</f>
        <v/>
      </c>
      <c r="S1327">
        <f>IF($C1327="","",IF(UPPER(LEFT($C1327,1))="M",1,IF(UPPER(LEFT($C1327,1))="F",2,"")))</f>
        <v/>
      </c>
      <c r="T1327">
        <f>IF(OR($D1327="",$E1327=""),"",DATEDIF($D1327,$E1327,"m"))</f>
        <v/>
      </c>
      <c r="U1327">
        <f>IF(OR($D1327="",$E1327=""),"",$E1327-$D1327)</f>
        <v/>
      </c>
      <c r="V1327">
        <f>IF(OR($G1327="",$T1327=""),"",IF($T1327&lt;24,IF(LEFT(LOWER($H1327),4)="em p",$G1327+0.7,$G1327),IF(LEFT(LOWER($H1327),4)="deit",$G1327-0.7,$G1327)))</f>
        <v/>
      </c>
      <c r="W1327">
        <f>IF(OR($S1327="",$T1327=""),"",$S1327*1000000+IF($T1327&lt;=60,$U1327,$T1327))</f>
        <v/>
      </c>
      <c r="X1327">
        <f>IF(OR($S1327="",$V1327="",$T1327&gt;60,$T1327=""),"",$S1327*1000000+ROUND($V1327*10,0))</f>
        <v/>
      </c>
      <c r="Y1327">
        <f>IF($W1327="","",IFERROR(INDEX(IF($T1327&lt;=60,imc05_l,imc519_l),MATCH($W1327,IF($T1327&lt;=60,imc05_k,imc519_k),1)),""))</f>
        <v/>
      </c>
      <c r="Z1327">
        <f>IF($W1327="","",IFERROR(INDEX(IF($T1327&lt;=60,imc05_m,imc519_m),MATCH($W1327,IF($T1327&lt;=60,imc05_k,imc519_k),1)),""))</f>
        <v/>
      </c>
      <c r="AA1327">
        <f>IF($W1327="","",IFERROR(INDEX(IF($T1327&lt;=60,imc05_s,imc519_s),MATCH($W1327,IF($T1327&lt;=60,imc05_k,imc519_k),1)),""))</f>
        <v/>
      </c>
      <c r="AB1327">
        <f>IF($Y1327="","",IF($Y1327=0,LN($J1327/$Z1327)/$AA1327,((($J1327/$Z1327)^$Y1327)-1)/($Y1327*$AA1327)))</f>
        <v/>
      </c>
      <c r="AC1327">
        <f>IF($Y1327="","",IF($Y1327=0,$Z1327*EXP($AA1327*2),$Z1327*(1+$Y1327*$AA1327*2)^(1/$Y1327)))</f>
        <v/>
      </c>
      <c r="AD1327">
        <f>IF($Y1327="","",IF($Y1327=0,$Z1327*EXP($AA1327*3),$Z1327*(1+$Y1327*$AA1327*3)^(1/$Y1327)))</f>
        <v/>
      </c>
      <c r="AE1327">
        <f>IF($Y1327="","",IF($Y1327=0,$Z1327*EXP($AA1327*-2),$Z1327*(1+$Y1327*$AA1327*-2)^(1/$Y1327)))</f>
        <v/>
      </c>
      <c r="AF1327">
        <f>IF($Y1327="","",IF($Y1327=0,$Z1327*EXP($AA1327*-3),$Z1327*(1+$Y1327*$AA1327*-3)^(1/$Y1327)))</f>
        <v/>
      </c>
      <c r="AG1327">
        <f>IF($W1327="","",IFERROR(INDEX(IF($T1327&lt;=60,est05_l,est519_l),MATCH($W1327,IF($T1327&lt;=60,est05_k,est519_k),1)),""))</f>
        <v/>
      </c>
      <c r="AH1327">
        <f>IF($W1327="","",IFERROR(INDEX(IF($T1327&lt;=60,est05_m,est519_m),MATCH($W1327,IF($T1327&lt;=60,est05_k,est519_k),1)),""))</f>
        <v/>
      </c>
      <c r="AI1327">
        <f>IF($W1327="","",IFERROR(INDEX(IF($T1327&lt;=60,est05_s,est519_s),MATCH($W1327,IF($T1327&lt;=60,est05_k,est519_k),1)),""))</f>
        <v/>
      </c>
      <c r="AJ1327">
        <f>IF($W1327="","",IFERROR(INDEX(IF($T1327&lt;=60,peso05_l,peso510_l),MATCH($W1327,IF($T1327&lt;=60,peso05_k,peso510_k),1)),""))</f>
        <v/>
      </c>
      <c r="AK1327">
        <f>IF($W1327="","",IFERROR(INDEX(IF($T1327&lt;=60,peso05_m,peso510_m),MATCH($W1327,IF($T1327&lt;=60,peso05_k,peso510_k),1)),""))</f>
        <v/>
      </c>
      <c r="AL1327">
        <f>IF($W1327="","",IFERROR(INDEX(IF($T1327&lt;=60,peso05_s,peso510_s),MATCH($W1327,IF($T1327&lt;=60,peso05_k,peso510_k),1)),""))</f>
        <v/>
      </c>
      <c r="AM1327">
        <f>IF($AJ1327="","",IF($AJ1327=0,LN($F1327/$AK1327)/$AL1327,((($F1327/$AK1327)^$AJ1327)-1)/($AJ1327*$AL1327)))</f>
        <v/>
      </c>
      <c r="AN1327">
        <f>IF($AJ1327="","",IF($AJ1327=0,$AK1327*EXP($AL1327*2),$AK1327*(1+$AJ1327*$AL1327*2)^(1/$AJ1327)))</f>
        <v/>
      </c>
      <c r="AO1327">
        <f>IF($AJ1327="","",IF($AJ1327=0,$AK1327*EXP($AL1327*3),$AK1327*(1+$AJ1327*$AL1327*3)^(1/$AJ1327)))</f>
        <v/>
      </c>
      <c r="AP1327">
        <f>IF($AJ1327="","",IF($AJ1327=0,$AK1327*EXP($AL1327*-2),$AK1327*(1+$AJ1327*$AL1327*-2)^(1/$AJ1327)))</f>
        <v/>
      </c>
      <c r="AQ1327">
        <f>IF($AJ1327="","",IF($AJ1327=0,$AK1327*EXP($AL1327*-3),$AK1327*(1+$AJ1327*$AL1327*-3)^(1/$AJ1327)))</f>
        <v/>
      </c>
      <c r="AR1327">
        <f>IF(OR($X1327="",$T1327&gt;60),"",IFERROR(INDEX(IF($T1327&lt;24,pcomp_l,palt_l),MATCH($X1327,IF($T1327&lt;24,pcomp_k,palt_k),1)),""))</f>
        <v/>
      </c>
      <c r="AS1327">
        <f>IF(OR($X1327="",$T1327&gt;60),"",IFERROR(INDEX(IF($T1327&lt;24,pcomp_m,palt_m),MATCH($X1327,IF($T1327&lt;24,pcomp_k,palt_k),1)),""))</f>
        <v/>
      </c>
      <c r="AT1327">
        <f>IF(OR($X1327="",$T1327&gt;60),"",IFERROR(INDEX(IF($T1327&lt;24,pcomp_s,palt_s),MATCH($X1327,IF($T1327&lt;24,pcomp_k,palt_k),1)),""))</f>
        <v/>
      </c>
      <c r="AU1327">
        <f>IF($AR1327="","",IF($AR1327=0,LN($F1327/$AS1327)/$AT1327,((($F1327/$AS1327)^$AR1327)-1)/($AR1327*$AT1327)))</f>
        <v/>
      </c>
      <c r="AV1327">
        <f>IF($AR1327="","",IF($AR1327=0,$AS1327*EXP($AT1327*2),$AS1327*(1+$AR1327*$AT1327*2)^(1/$AR1327)))</f>
        <v/>
      </c>
      <c r="AW1327">
        <f>IF($AR1327="","",IF($AR1327=0,$AS1327*EXP($AT1327*3),$AS1327*(1+$AR1327*$AT1327*3)^(1/$AR1327)))</f>
        <v/>
      </c>
      <c r="AX1327">
        <f>IF($AR1327="","",IF($AR1327=0,$AS1327*EXP($AT1327*-2),$AS1327*(1+$AR1327*$AT1327*-2)^(1/$AR1327)))</f>
        <v/>
      </c>
      <c r="AY1327">
        <f>IF($AR1327="","",IF($AR1327=0,$AS1327*EXP($AT1327*-3),$AS1327*(1+$AR1327*$AT1327*-3)^(1/$AR1327)))</f>
        <v/>
      </c>
      <c r="AZ1327">
        <f>IF(OR($A1327="",$A1327&lt;&gt;Ficha!$C$4),"",COUNTIF($A$2:$A1327,Ficha!$C$4))</f>
        <v/>
      </c>
    </row>
    <row r="1328">
      <c r="A1328" s="8">
        <f>IF(INDEX(Banco!$A:$A,ROW())="","",INDEX(Banco!$A:$A,ROW()))</f>
        <v/>
      </c>
      <c r="B1328" s="8">
        <f>IF(INDEX(Banco!$B:$B,ROW())="","",INDEX(Banco!$B:$B,ROW()))</f>
        <v/>
      </c>
      <c r="C1328" s="8">
        <f>IF(INDEX(Banco!$C:$C,ROW())="","",INDEX(Banco!$C:$C,ROW()))</f>
        <v/>
      </c>
      <c r="D1328" s="9">
        <f>IF(INDEX(Banco!$D:$D,ROW())="","",INDEX(Banco!$D:$D,ROW()))</f>
        <v/>
      </c>
      <c r="E1328" s="9">
        <f>IF(INDEX(Banco!$E:$E,ROW())="","",INDEX(Banco!$E:$E,ROW()))</f>
        <v/>
      </c>
      <c r="F1328" s="10">
        <f>IF(INDEX(Banco!$F:$F,ROW())="","",INDEX(Banco!$F:$F,ROW()))</f>
        <v/>
      </c>
      <c r="G1328" s="10">
        <f>IF(INDEX(Banco!$G:$G,ROW())="","",INDEX(Banco!$G:$G,ROW()))</f>
        <v/>
      </c>
      <c r="H1328" s="8">
        <f>IF(INDEX(Banco!$H:$H,ROW())="","",INDEX(Banco!$H:$H,ROW()))</f>
        <v/>
      </c>
      <c r="I1328">
        <f>IF($T1328="","",INT($T1328/12)&amp;"a "&amp;MOD($T1328,12)&amp;"m")</f>
        <v/>
      </c>
      <c r="J1328" s="11">
        <f>IF(OR($F1328="",$G1328=""),"",ROUND($F1328/($G1328/100)^2,2))</f>
        <v/>
      </c>
      <c r="K1328" s="12">
        <f>IF(OR($S1328="",$J1328="",$T1328="",$T1328&lt;0,$T1328&gt;228,$Y1328=""),"—",ROUND(IF(ABS($AB1328)&lt;=3,$AB1328,IF($AB1328&gt;3,3+($J1328-$AD1328)/($AD1328-$AC1328),-3+($J1328-$AF1328)/($AE1328-$AF1328))),2))</f>
        <v/>
      </c>
      <c r="L1328">
        <f>IF(OR($K1328="",$K1328="—"),"",IF($T1328&lt;=60,IF($K1328&lt;-3,"Magreza acentuada",IF($K1328&lt;-2,"Magreza",IF($K1328&lt;=1,"Eutrofia",IF($K1328&lt;=2,"Risco de sobrepeso",IF($K1328&lt;=3,"Sobrepeso","Obesidade"))))),IF($K1328&lt;-3,"Magreza acentuada",IF($K1328&lt;-2,"Magreza",IF($K1328&lt;=1,"Eutrofia",IF($K1328&lt;=2,"Sobrepeso",IF($K1328&lt;=3,"Obesidade","Obesidade grave")))))))</f>
        <v/>
      </c>
      <c r="M1328" s="12">
        <f>IF(OR($S1328="",$V1328="",$T1328="",$T1328&lt;0,$T1328&gt;228,$AG1328=""),"—",ROUND(IF($AG1328=0,LN($V1328/$AH1328)/$AI1328,((($V1328/$AH1328)^$AG1328)-1)/($AG1328*$AI1328)),2))</f>
        <v/>
      </c>
      <c r="N1328">
        <f>IF(OR($M1328="",$M1328="—"),"",IF($M1328&lt;-3,"Muito baixa",IF($M1328&lt;-2,"Baixa","Adequada")))</f>
        <v/>
      </c>
      <c r="O1328" s="12">
        <f>IF(OR($S1328="",$F1328="",$T1328="",$T1328&lt;0,$T1328&gt;120,$AJ1328=""),"—",ROUND(IF(ABS($AM1328)&lt;=3,$AM1328,IF($AM1328&gt;3,3+($F1328-$AO1328)/($AO1328-$AN1328),-3+($F1328-$AQ1328)/($AP1328-$AQ1328))),2))</f>
        <v/>
      </c>
      <c r="P1328">
        <f>IF(OR($O1328="",$O1328="—"),"",IF($O1328&lt;-3,"Muito baixo",IF($O1328&lt;-2,"Baixo",IF($O1328&lt;=2,"Adequado","Elevado"))))</f>
        <v/>
      </c>
      <c r="Q1328" s="12">
        <f>IF(OR($S1328="",$F1328="",$T1328="",$T1328&lt;0,$T1328&gt;60,$AR1328=""),"—",ROUND(IF(ABS($AU1328)&lt;=3,$AU1328,IF($AU1328&gt;3,3+($F1328-$AW1328)/($AW1328-$AV1328),-3+($F1328-$AY1328)/($AX1328-$AY1328))),2))</f>
        <v/>
      </c>
      <c r="R1328">
        <f>IF(OR($Q1328="",$Q1328="—"),"",IF($Q1328&lt;-3,"Magreza acentuada",IF($Q1328&lt;-2,"Magreza",IF($Q1328&lt;=1,"Eutrofia",IF($Q1328&lt;=2,"Risco de sobrepeso",IF($Q1328&lt;=3,"Sobrepeso","Obesidade"))))))</f>
        <v/>
      </c>
      <c r="S1328">
        <f>IF($C1328="","",IF(UPPER(LEFT($C1328,1))="M",1,IF(UPPER(LEFT($C1328,1))="F",2,"")))</f>
        <v/>
      </c>
      <c r="T1328">
        <f>IF(OR($D1328="",$E1328=""),"",DATEDIF($D1328,$E1328,"m"))</f>
        <v/>
      </c>
      <c r="U1328">
        <f>IF(OR($D1328="",$E1328=""),"",$E1328-$D1328)</f>
        <v/>
      </c>
      <c r="V1328">
        <f>IF(OR($G1328="",$T1328=""),"",IF($T1328&lt;24,IF(LEFT(LOWER($H1328),4)="em p",$G1328+0.7,$G1328),IF(LEFT(LOWER($H1328),4)="deit",$G1328-0.7,$G1328)))</f>
        <v/>
      </c>
      <c r="W1328">
        <f>IF(OR($S1328="",$T1328=""),"",$S1328*1000000+IF($T1328&lt;=60,$U1328,$T1328))</f>
        <v/>
      </c>
      <c r="X1328">
        <f>IF(OR($S1328="",$V1328="",$T1328&gt;60,$T1328=""),"",$S1328*1000000+ROUND($V1328*10,0))</f>
        <v/>
      </c>
      <c r="Y1328">
        <f>IF($W1328="","",IFERROR(INDEX(IF($T1328&lt;=60,imc05_l,imc519_l),MATCH($W1328,IF($T1328&lt;=60,imc05_k,imc519_k),1)),""))</f>
        <v/>
      </c>
      <c r="Z1328">
        <f>IF($W1328="","",IFERROR(INDEX(IF($T1328&lt;=60,imc05_m,imc519_m),MATCH($W1328,IF($T1328&lt;=60,imc05_k,imc519_k),1)),""))</f>
        <v/>
      </c>
      <c r="AA1328">
        <f>IF($W1328="","",IFERROR(INDEX(IF($T1328&lt;=60,imc05_s,imc519_s),MATCH($W1328,IF($T1328&lt;=60,imc05_k,imc519_k),1)),""))</f>
        <v/>
      </c>
      <c r="AB1328">
        <f>IF($Y1328="","",IF($Y1328=0,LN($J1328/$Z1328)/$AA1328,((($J1328/$Z1328)^$Y1328)-1)/($Y1328*$AA1328)))</f>
        <v/>
      </c>
      <c r="AC1328">
        <f>IF($Y1328="","",IF($Y1328=0,$Z1328*EXP($AA1328*2),$Z1328*(1+$Y1328*$AA1328*2)^(1/$Y1328)))</f>
        <v/>
      </c>
      <c r="AD1328">
        <f>IF($Y1328="","",IF($Y1328=0,$Z1328*EXP($AA1328*3),$Z1328*(1+$Y1328*$AA1328*3)^(1/$Y1328)))</f>
        <v/>
      </c>
      <c r="AE1328">
        <f>IF($Y1328="","",IF($Y1328=0,$Z1328*EXP($AA1328*-2),$Z1328*(1+$Y1328*$AA1328*-2)^(1/$Y1328)))</f>
        <v/>
      </c>
      <c r="AF1328">
        <f>IF($Y1328="","",IF($Y1328=0,$Z1328*EXP($AA1328*-3),$Z1328*(1+$Y1328*$AA1328*-3)^(1/$Y1328)))</f>
        <v/>
      </c>
      <c r="AG1328">
        <f>IF($W1328="","",IFERROR(INDEX(IF($T1328&lt;=60,est05_l,est519_l),MATCH($W1328,IF($T1328&lt;=60,est05_k,est519_k),1)),""))</f>
        <v/>
      </c>
      <c r="AH1328">
        <f>IF($W1328="","",IFERROR(INDEX(IF($T1328&lt;=60,est05_m,est519_m),MATCH($W1328,IF($T1328&lt;=60,est05_k,est519_k),1)),""))</f>
        <v/>
      </c>
      <c r="AI1328">
        <f>IF($W1328="","",IFERROR(INDEX(IF($T1328&lt;=60,est05_s,est519_s),MATCH($W1328,IF($T1328&lt;=60,est05_k,est519_k),1)),""))</f>
        <v/>
      </c>
      <c r="AJ1328">
        <f>IF($W1328="","",IFERROR(INDEX(IF($T1328&lt;=60,peso05_l,peso510_l),MATCH($W1328,IF($T1328&lt;=60,peso05_k,peso510_k),1)),""))</f>
        <v/>
      </c>
      <c r="AK1328">
        <f>IF($W1328="","",IFERROR(INDEX(IF($T1328&lt;=60,peso05_m,peso510_m),MATCH($W1328,IF($T1328&lt;=60,peso05_k,peso510_k),1)),""))</f>
        <v/>
      </c>
      <c r="AL1328">
        <f>IF($W1328="","",IFERROR(INDEX(IF($T1328&lt;=60,peso05_s,peso510_s),MATCH($W1328,IF($T1328&lt;=60,peso05_k,peso510_k),1)),""))</f>
        <v/>
      </c>
      <c r="AM1328">
        <f>IF($AJ1328="","",IF($AJ1328=0,LN($F1328/$AK1328)/$AL1328,((($F1328/$AK1328)^$AJ1328)-1)/($AJ1328*$AL1328)))</f>
        <v/>
      </c>
      <c r="AN1328">
        <f>IF($AJ1328="","",IF($AJ1328=0,$AK1328*EXP($AL1328*2),$AK1328*(1+$AJ1328*$AL1328*2)^(1/$AJ1328)))</f>
        <v/>
      </c>
      <c r="AO1328">
        <f>IF($AJ1328="","",IF($AJ1328=0,$AK1328*EXP($AL1328*3),$AK1328*(1+$AJ1328*$AL1328*3)^(1/$AJ1328)))</f>
        <v/>
      </c>
      <c r="AP1328">
        <f>IF($AJ1328="","",IF($AJ1328=0,$AK1328*EXP($AL1328*-2),$AK1328*(1+$AJ1328*$AL1328*-2)^(1/$AJ1328)))</f>
        <v/>
      </c>
      <c r="AQ1328">
        <f>IF($AJ1328="","",IF($AJ1328=0,$AK1328*EXP($AL1328*-3),$AK1328*(1+$AJ1328*$AL1328*-3)^(1/$AJ1328)))</f>
        <v/>
      </c>
      <c r="AR1328">
        <f>IF(OR($X1328="",$T1328&gt;60),"",IFERROR(INDEX(IF($T1328&lt;24,pcomp_l,palt_l),MATCH($X1328,IF($T1328&lt;24,pcomp_k,palt_k),1)),""))</f>
        <v/>
      </c>
      <c r="AS1328">
        <f>IF(OR($X1328="",$T1328&gt;60),"",IFERROR(INDEX(IF($T1328&lt;24,pcomp_m,palt_m),MATCH($X1328,IF($T1328&lt;24,pcomp_k,palt_k),1)),""))</f>
        <v/>
      </c>
      <c r="AT1328">
        <f>IF(OR($X1328="",$T1328&gt;60),"",IFERROR(INDEX(IF($T1328&lt;24,pcomp_s,palt_s),MATCH($X1328,IF($T1328&lt;24,pcomp_k,palt_k),1)),""))</f>
        <v/>
      </c>
      <c r="AU1328">
        <f>IF($AR1328="","",IF($AR1328=0,LN($F1328/$AS1328)/$AT1328,((($F1328/$AS1328)^$AR1328)-1)/($AR1328*$AT1328)))</f>
        <v/>
      </c>
      <c r="AV1328">
        <f>IF($AR1328="","",IF($AR1328=0,$AS1328*EXP($AT1328*2),$AS1328*(1+$AR1328*$AT1328*2)^(1/$AR1328)))</f>
        <v/>
      </c>
      <c r="AW1328">
        <f>IF($AR1328="","",IF($AR1328=0,$AS1328*EXP($AT1328*3),$AS1328*(1+$AR1328*$AT1328*3)^(1/$AR1328)))</f>
        <v/>
      </c>
      <c r="AX1328">
        <f>IF($AR1328="","",IF($AR1328=0,$AS1328*EXP($AT1328*-2),$AS1328*(1+$AR1328*$AT1328*-2)^(1/$AR1328)))</f>
        <v/>
      </c>
      <c r="AY1328">
        <f>IF($AR1328="","",IF($AR1328=0,$AS1328*EXP($AT1328*-3),$AS1328*(1+$AR1328*$AT1328*-3)^(1/$AR1328)))</f>
        <v/>
      </c>
      <c r="AZ1328">
        <f>IF(OR($A1328="",$A1328&lt;&gt;Ficha!$C$4),"",COUNTIF($A$2:$A1328,Ficha!$C$4))</f>
        <v/>
      </c>
    </row>
    <row r="1329">
      <c r="A1329" s="8">
        <f>IF(INDEX(Banco!$A:$A,ROW())="","",INDEX(Banco!$A:$A,ROW()))</f>
        <v/>
      </c>
      <c r="B1329" s="8">
        <f>IF(INDEX(Banco!$B:$B,ROW())="","",INDEX(Banco!$B:$B,ROW()))</f>
        <v/>
      </c>
      <c r="C1329" s="8">
        <f>IF(INDEX(Banco!$C:$C,ROW())="","",INDEX(Banco!$C:$C,ROW()))</f>
        <v/>
      </c>
      <c r="D1329" s="9">
        <f>IF(INDEX(Banco!$D:$D,ROW())="","",INDEX(Banco!$D:$D,ROW()))</f>
        <v/>
      </c>
      <c r="E1329" s="9">
        <f>IF(INDEX(Banco!$E:$E,ROW())="","",INDEX(Banco!$E:$E,ROW()))</f>
        <v/>
      </c>
      <c r="F1329" s="10">
        <f>IF(INDEX(Banco!$F:$F,ROW())="","",INDEX(Banco!$F:$F,ROW()))</f>
        <v/>
      </c>
      <c r="G1329" s="10">
        <f>IF(INDEX(Banco!$G:$G,ROW())="","",INDEX(Banco!$G:$G,ROW()))</f>
        <v/>
      </c>
      <c r="H1329" s="8">
        <f>IF(INDEX(Banco!$H:$H,ROW())="","",INDEX(Banco!$H:$H,ROW()))</f>
        <v/>
      </c>
      <c r="I1329">
        <f>IF($T1329="","",INT($T1329/12)&amp;"a "&amp;MOD($T1329,12)&amp;"m")</f>
        <v/>
      </c>
      <c r="J1329" s="11">
        <f>IF(OR($F1329="",$G1329=""),"",ROUND($F1329/($G1329/100)^2,2))</f>
        <v/>
      </c>
      <c r="K1329" s="12">
        <f>IF(OR($S1329="",$J1329="",$T1329="",$T1329&lt;0,$T1329&gt;228,$Y1329=""),"—",ROUND(IF(ABS($AB1329)&lt;=3,$AB1329,IF($AB1329&gt;3,3+($J1329-$AD1329)/($AD1329-$AC1329),-3+($J1329-$AF1329)/($AE1329-$AF1329))),2))</f>
        <v/>
      </c>
      <c r="L1329">
        <f>IF(OR($K1329="",$K1329="—"),"",IF($T1329&lt;=60,IF($K1329&lt;-3,"Magreza acentuada",IF($K1329&lt;-2,"Magreza",IF($K1329&lt;=1,"Eutrofia",IF($K1329&lt;=2,"Risco de sobrepeso",IF($K1329&lt;=3,"Sobrepeso","Obesidade"))))),IF($K1329&lt;-3,"Magreza acentuada",IF($K1329&lt;-2,"Magreza",IF($K1329&lt;=1,"Eutrofia",IF($K1329&lt;=2,"Sobrepeso",IF($K1329&lt;=3,"Obesidade","Obesidade grave")))))))</f>
        <v/>
      </c>
      <c r="M1329" s="12">
        <f>IF(OR($S1329="",$V1329="",$T1329="",$T1329&lt;0,$T1329&gt;228,$AG1329=""),"—",ROUND(IF($AG1329=0,LN($V1329/$AH1329)/$AI1329,((($V1329/$AH1329)^$AG1329)-1)/($AG1329*$AI1329)),2))</f>
        <v/>
      </c>
      <c r="N1329">
        <f>IF(OR($M1329="",$M1329="—"),"",IF($M1329&lt;-3,"Muito baixa",IF($M1329&lt;-2,"Baixa","Adequada")))</f>
        <v/>
      </c>
      <c r="O1329" s="12">
        <f>IF(OR($S1329="",$F1329="",$T1329="",$T1329&lt;0,$T1329&gt;120,$AJ1329=""),"—",ROUND(IF(ABS($AM1329)&lt;=3,$AM1329,IF($AM1329&gt;3,3+($F1329-$AO1329)/($AO1329-$AN1329),-3+($F1329-$AQ1329)/($AP1329-$AQ1329))),2))</f>
        <v/>
      </c>
      <c r="P1329">
        <f>IF(OR($O1329="",$O1329="—"),"",IF($O1329&lt;-3,"Muito baixo",IF($O1329&lt;-2,"Baixo",IF($O1329&lt;=2,"Adequado","Elevado"))))</f>
        <v/>
      </c>
      <c r="Q1329" s="12">
        <f>IF(OR($S1329="",$F1329="",$T1329="",$T1329&lt;0,$T1329&gt;60,$AR1329=""),"—",ROUND(IF(ABS($AU1329)&lt;=3,$AU1329,IF($AU1329&gt;3,3+($F1329-$AW1329)/($AW1329-$AV1329),-3+($F1329-$AY1329)/($AX1329-$AY1329))),2))</f>
        <v/>
      </c>
      <c r="R1329">
        <f>IF(OR($Q1329="",$Q1329="—"),"",IF($Q1329&lt;-3,"Magreza acentuada",IF($Q1329&lt;-2,"Magreza",IF($Q1329&lt;=1,"Eutrofia",IF($Q1329&lt;=2,"Risco de sobrepeso",IF($Q1329&lt;=3,"Sobrepeso","Obesidade"))))))</f>
        <v/>
      </c>
      <c r="S1329">
        <f>IF($C1329="","",IF(UPPER(LEFT($C1329,1))="M",1,IF(UPPER(LEFT($C1329,1))="F",2,"")))</f>
        <v/>
      </c>
      <c r="T1329">
        <f>IF(OR($D1329="",$E1329=""),"",DATEDIF($D1329,$E1329,"m"))</f>
        <v/>
      </c>
      <c r="U1329">
        <f>IF(OR($D1329="",$E1329=""),"",$E1329-$D1329)</f>
        <v/>
      </c>
      <c r="V1329">
        <f>IF(OR($G1329="",$T1329=""),"",IF($T1329&lt;24,IF(LEFT(LOWER($H1329),4)="em p",$G1329+0.7,$G1329),IF(LEFT(LOWER($H1329),4)="deit",$G1329-0.7,$G1329)))</f>
        <v/>
      </c>
      <c r="W1329">
        <f>IF(OR($S1329="",$T1329=""),"",$S1329*1000000+IF($T1329&lt;=60,$U1329,$T1329))</f>
        <v/>
      </c>
      <c r="X1329">
        <f>IF(OR($S1329="",$V1329="",$T1329&gt;60,$T1329=""),"",$S1329*1000000+ROUND($V1329*10,0))</f>
        <v/>
      </c>
      <c r="Y1329">
        <f>IF($W1329="","",IFERROR(INDEX(IF($T1329&lt;=60,imc05_l,imc519_l),MATCH($W1329,IF($T1329&lt;=60,imc05_k,imc519_k),1)),""))</f>
        <v/>
      </c>
      <c r="Z1329">
        <f>IF($W1329="","",IFERROR(INDEX(IF($T1329&lt;=60,imc05_m,imc519_m),MATCH($W1329,IF($T1329&lt;=60,imc05_k,imc519_k),1)),""))</f>
        <v/>
      </c>
      <c r="AA1329">
        <f>IF($W1329="","",IFERROR(INDEX(IF($T1329&lt;=60,imc05_s,imc519_s),MATCH($W1329,IF($T1329&lt;=60,imc05_k,imc519_k),1)),""))</f>
        <v/>
      </c>
      <c r="AB1329">
        <f>IF($Y1329="","",IF($Y1329=0,LN($J1329/$Z1329)/$AA1329,((($J1329/$Z1329)^$Y1329)-1)/($Y1329*$AA1329)))</f>
        <v/>
      </c>
      <c r="AC1329">
        <f>IF($Y1329="","",IF($Y1329=0,$Z1329*EXP($AA1329*2),$Z1329*(1+$Y1329*$AA1329*2)^(1/$Y1329)))</f>
        <v/>
      </c>
      <c r="AD1329">
        <f>IF($Y1329="","",IF($Y1329=0,$Z1329*EXP($AA1329*3),$Z1329*(1+$Y1329*$AA1329*3)^(1/$Y1329)))</f>
        <v/>
      </c>
      <c r="AE1329">
        <f>IF($Y1329="","",IF($Y1329=0,$Z1329*EXP($AA1329*-2),$Z1329*(1+$Y1329*$AA1329*-2)^(1/$Y1329)))</f>
        <v/>
      </c>
      <c r="AF1329">
        <f>IF($Y1329="","",IF($Y1329=0,$Z1329*EXP($AA1329*-3),$Z1329*(1+$Y1329*$AA1329*-3)^(1/$Y1329)))</f>
        <v/>
      </c>
      <c r="AG1329">
        <f>IF($W1329="","",IFERROR(INDEX(IF($T1329&lt;=60,est05_l,est519_l),MATCH($W1329,IF($T1329&lt;=60,est05_k,est519_k),1)),""))</f>
        <v/>
      </c>
      <c r="AH1329">
        <f>IF($W1329="","",IFERROR(INDEX(IF($T1329&lt;=60,est05_m,est519_m),MATCH($W1329,IF($T1329&lt;=60,est05_k,est519_k),1)),""))</f>
        <v/>
      </c>
      <c r="AI1329">
        <f>IF($W1329="","",IFERROR(INDEX(IF($T1329&lt;=60,est05_s,est519_s),MATCH($W1329,IF($T1329&lt;=60,est05_k,est519_k),1)),""))</f>
        <v/>
      </c>
      <c r="AJ1329">
        <f>IF($W1329="","",IFERROR(INDEX(IF($T1329&lt;=60,peso05_l,peso510_l),MATCH($W1329,IF($T1329&lt;=60,peso05_k,peso510_k),1)),""))</f>
        <v/>
      </c>
      <c r="AK1329">
        <f>IF($W1329="","",IFERROR(INDEX(IF($T1329&lt;=60,peso05_m,peso510_m),MATCH($W1329,IF($T1329&lt;=60,peso05_k,peso510_k),1)),""))</f>
        <v/>
      </c>
      <c r="AL1329">
        <f>IF($W1329="","",IFERROR(INDEX(IF($T1329&lt;=60,peso05_s,peso510_s),MATCH($W1329,IF($T1329&lt;=60,peso05_k,peso510_k),1)),""))</f>
        <v/>
      </c>
      <c r="AM1329">
        <f>IF($AJ1329="","",IF($AJ1329=0,LN($F1329/$AK1329)/$AL1329,((($F1329/$AK1329)^$AJ1329)-1)/($AJ1329*$AL1329)))</f>
        <v/>
      </c>
      <c r="AN1329">
        <f>IF($AJ1329="","",IF($AJ1329=0,$AK1329*EXP($AL1329*2),$AK1329*(1+$AJ1329*$AL1329*2)^(1/$AJ1329)))</f>
        <v/>
      </c>
      <c r="AO1329">
        <f>IF($AJ1329="","",IF($AJ1329=0,$AK1329*EXP($AL1329*3),$AK1329*(1+$AJ1329*$AL1329*3)^(1/$AJ1329)))</f>
        <v/>
      </c>
      <c r="AP1329">
        <f>IF($AJ1329="","",IF($AJ1329=0,$AK1329*EXP($AL1329*-2),$AK1329*(1+$AJ1329*$AL1329*-2)^(1/$AJ1329)))</f>
        <v/>
      </c>
      <c r="AQ1329">
        <f>IF($AJ1329="","",IF($AJ1329=0,$AK1329*EXP($AL1329*-3),$AK1329*(1+$AJ1329*$AL1329*-3)^(1/$AJ1329)))</f>
        <v/>
      </c>
      <c r="AR1329">
        <f>IF(OR($X1329="",$T1329&gt;60),"",IFERROR(INDEX(IF($T1329&lt;24,pcomp_l,palt_l),MATCH($X1329,IF($T1329&lt;24,pcomp_k,palt_k),1)),""))</f>
        <v/>
      </c>
      <c r="AS1329">
        <f>IF(OR($X1329="",$T1329&gt;60),"",IFERROR(INDEX(IF($T1329&lt;24,pcomp_m,palt_m),MATCH($X1329,IF($T1329&lt;24,pcomp_k,palt_k),1)),""))</f>
        <v/>
      </c>
      <c r="AT1329">
        <f>IF(OR($X1329="",$T1329&gt;60),"",IFERROR(INDEX(IF($T1329&lt;24,pcomp_s,palt_s),MATCH($X1329,IF($T1329&lt;24,pcomp_k,palt_k),1)),""))</f>
        <v/>
      </c>
      <c r="AU1329">
        <f>IF($AR1329="","",IF($AR1329=0,LN($F1329/$AS1329)/$AT1329,((($F1329/$AS1329)^$AR1329)-1)/($AR1329*$AT1329)))</f>
        <v/>
      </c>
      <c r="AV1329">
        <f>IF($AR1329="","",IF($AR1329=0,$AS1329*EXP($AT1329*2),$AS1329*(1+$AR1329*$AT1329*2)^(1/$AR1329)))</f>
        <v/>
      </c>
      <c r="AW1329">
        <f>IF($AR1329="","",IF($AR1329=0,$AS1329*EXP($AT1329*3),$AS1329*(1+$AR1329*$AT1329*3)^(1/$AR1329)))</f>
        <v/>
      </c>
      <c r="AX1329">
        <f>IF($AR1329="","",IF($AR1329=0,$AS1329*EXP($AT1329*-2),$AS1329*(1+$AR1329*$AT1329*-2)^(1/$AR1329)))</f>
        <v/>
      </c>
      <c r="AY1329">
        <f>IF($AR1329="","",IF($AR1329=0,$AS1329*EXP($AT1329*-3),$AS1329*(1+$AR1329*$AT1329*-3)^(1/$AR1329)))</f>
        <v/>
      </c>
      <c r="AZ1329">
        <f>IF(OR($A1329="",$A1329&lt;&gt;Ficha!$C$4),"",COUNTIF($A$2:$A1329,Ficha!$C$4))</f>
        <v/>
      </c>
    </row>
    <row r="1330">
      <c r="A1330" s="8">
        <f>IF(INDEX(Banco!$A:$A,ROW())="","",INDEX(Banco!$A:$A,ROW()))</f>
        <v/>
      </c>
      <c r="B1330" s="8">
        <f>IF(INDEX(Banco!$B:$B,ROW())="","",INDEX(Banco!$B:$B,ROW()))</f>
        <v/>
      </c>
      <c r="C1330" s="8">
        <f>IF(INDEX(Banco!$C:$C,ROW())="","",INDEX(Banco!$C:$C,ROW()))</f>
        <v/>
      </c>
      <c r="D1330" s="9">
        <f>IF(INDEX(Banco!$D:$D,ROW())="","",INDEX(Banco!$D:$D,ROW()))</f>
        <v/>
      </c>
      <c r="E1330" s="9">
        <f>IF(INDEX(Banco!$E:$E,ROW())="","",INDEX(Banco!$E:$E,ROW()))</f>
        <v/>
      </c>
      <c r="F1330" s="10">
        <f>IF(INDEX(Banco!$F:$F,ROW())="","",INDEX(Banco!$F:$F,ROW()))</f>
        <v/>
      </c>
      <c r="G1330" s="10">
        <f>IF(INDEX(Banco!$G:$G,ROW())="","",INDEX(Banco!$G:$G,ROW()))</f>
        <v/>
      </c>
      <c r="H1330" s="8">
        <f>IF(INDEX(Banco!$H:$H,ROW())="","",INDEX(Banco!$H:$H,ROW()))</f>
        <v/>
      </c>
      <c r="I1330">
        <f>IF($T1330="","",INT($T1330/12)&amp;"a "&amp;MOD($T1330,12)&amp;"m")</f>
        <v/>
      </c>
      <c r="J1330" s="11">
        <f>IF(OR($F1330="",$G1330=""),"",ROUND($F1330/($G1330/100)^2,2))</f>
        <v/>
      </c>
      <c r="K1330" s="12">
        <f>IF(OR($S1330="",$J1330="",$T1330="",$T1330&lt;0,$T1330&gt;228,$Y1330=""),"—",ROUND(IF(ABS($AB1330)&lt;=3,$AB1330,IF($AB1330&gt;3,3+($J1330-$AD1330)/($AD1330-$AC1330),-3+($J1330-$AF1330)/($AE1330-$AF1330))),2))</f>
        <v/>
      </c>
      <c r="L1330">
        <f>IF(OR($K1330="",$K1330="—"),"",IF($T1330&lt;=60,IF($K1330&lt;-3,"Magreza acentuada",IF($K1330&lt;-2,"Magreza",IF($K1330&lt;=1,"Eutrofia",IF($K1330&lt;=2,"Risco de sobrepeso",IF($K1330&lt;=3,"Sobrepeso","Obesidade"))))),IF($K1330&lt;-3,"Magreza acentuada",IF($K1330&lt;-2,"Magreza",IF($K1330&lt;=1,"Eutrofia",IF($K1330&lt;=2,"Sobrepeso",IF($K1330&lt;=3,"Obesidade","Obesidade grave")))))))</f>
        <v/>
      </c>
      <c r="M1330" s="12">
        <f>IF(OR($S1330="",$V1330="",$T1330="",$T1330&lt;0,$T1330&gt;228,$AG1330=""),"—",ROUND(IF($AG1330=0,LN($V1330/$AH1330)/$AI1330,((($V1330/$AH1330)^$AG1330)-1)/($AG1330*$AI1330)),2))</f>
        <v/>
      </c>
      <c r="N1330">
        <f>IF(OR($M1330="",$M1330="—"),"",IF($M1330&lt;-3,"Muito baixa",IF($M1330&lt;-2,"Baixa","Adequada")))</f>
        <v/>
      </c>
      <c r="O1330" s="12">
        <f>IF(OR($S1330="",$F1330="",$T1330="",$T1330&lt;0,$T1330&gt;120,$AJ1330=""),"—",ROUND(IF(ABS($AM1330)&lt;=3,$AM1330,IF($AM1330&gt;3,3+($F1330-$AO1330)/($AO1330-$AN1330),-3+($F1330-$AQ1330)/($AP1330-$AQ1330))),2))</f>
        <v/>
      </c>
      <c r="P1330">
        <f>IF(OR($O1330="",$O1330="—"),"",IF($O1330&lt;-3,"Muito baixo",IF($O1330&lt;-2,"Baixo",IF($O1330&lt;=2,"Adequado","Elevado"))))</f>
        <v/>
      </c>
      <c r="Q1330" s="12">
        <f>IF(OR($S1330="",$F1330="",$T1330="",$T1330&lt;0,$T1330&gt;60,$AR1330=""),"—",ROUND(IF(ABS($AU1330)&lt;=3,$AU1330,IF($AU1330&gt;3,3+($F1330-$AW1330)/($AW1330-$AV1330),-3+($F1330-$AY1330)/($AX1330-$AY1330))),2))</f>
        <v/>
      </c>
      <c r="R1330">
        <f>IF(OR($Q1330="",$Q1330="—"),"",IF($Q1330&lt;-3,"Magreza acentuada",IF($Q1330&lt;-2,"Magreza",IF($Q1330&lt;=1,"Eutrofia",IF($Q1330&lt;=2,"Risco de sobrepeso",IF($Q1330&lt;=3,"Sobrepeso","Obesidade"))))))</f>
        <v/>
      </c>
      <c r="S1330">
        <f>IF($C1330="","",IF(UPPER(LEFT($C1330,1))="M",1,IF(UPPER(LEFT($C1330,1))="F",2,"")))</f>
        <v/>
      </c>
      <c r="T1330">
        <f>IF(OR($D1330="",$E1330=""),"",DATEDIF($D1330,$E1330,"m"))</f>
        <v/>
      </c>
      <c r="U1330">
        <f>IF(OR($D1330="",$E1330=""),"",$E1330-$D1330)</f>
        <v/>
      </c>
      <c r="V1330">
        <f>IF(OR($G1330="",$T1330=""),"",IF($T1330&lt;24,IF(LEFT(LOWER($H1330),4)="em p",$G1330+0.7,$G1330),IF(LEFT(LOWER($H1330),4)="deit",$G1330-0.7,$G1330)))</f>
        <v/>
      </c>
      <c r="W1330">
        <f>IF(OR($S1330="",$T1330=""),"",$S1330*1000000+IF($T1330&lt;=60,$U1330,$T1330))</f>
        <v/>
      </c>
      <c r="X1330">
        <f>IF(OR($S1330="",$V1330="",$T1330&gt;60,$T1330=""),"",$S1330*1000000+ROUND($V1330*10,0))</f>
        <v/>
      </c>
      <c r="Y1330">
        <f>IF($W1330="","",IFERROR(INDEX(IF($T1330&lt;=60,imc05_l,imc519_l),MATCH($W1330,IF($T1330&lt;=60,imc05_k,imc519_k),1)),""))</f>
        <v/>
      </c>
      <c r="Z1330">
        <f>IF($W1330="","",IFERROR(INDEX(IF($T1330&lt;=60,imc05_m,imc519_m),MATCH($W1330,IF($T1330&lt;=60,imc05_k,imc519_k),1)),""))</f>
        <v/>
      </c>
      <c r="AA1330">
        <f>IF($W1330="","",IFERROR(INDEX(IF($T1330&lt;=60,imc05_s,imc519_s),MATCH($W1330,IF($T1330&lt;=60,imc05_k,imc519_k),1)),""))</f>
        <v/>
      </c>
      <c r="AB1330">
        <f>IF($Y1330="","",IF($Y1330=0,LN($J1330/$Z1330)/$AA1330,((($J1330/$Z1330)^$Y1330)-1)/($Y1330*$AA1330)))</f>
        <v/>
      </c>
      <c r="AC1330">
        <f>IF($Y1330="","",IF($Y1330=0,$Z1330*EXP($AA1330*2),$Z1330*(1+$Y1330*$AA1330*2)^(1/$Y1330)))</f>
        <v/>
      </c>
      <c r="AD1330">
        <f>IF($Y1330="","",IF($Y1330=0,$Z1330*EXP($AA1330*3),$Z1330*(1+$Y1330*$AA1330*3)^(1/$Y1330)))</f>
        <v/>
      </c>
      <c r="AE1330">
        <f>IF($Y1330="","",IF($Y1330=0,$Z1330*EXP($AA1330*-2),$Z1330*(1+$Y1330*$AA1330*-2)^(1/$Y1330)))</f>
        <v/>
      </c>
      <c r="AF1330">
        <f>IF($Y1330="","",IF($Y1330=0,$Z1330*EXP($AA1330*-3),$Z1330*(1+$Y1330*$AA1330*-3)^(1/$Y1330)))</f>
        <v/>
      </c>
      <c r="AG1330">
        <f>IF($W1330="","",IFERROR(INDEX(IF($T1330&lt;=60,est05_l,est519_l),MATCH($W1330,IF($T1330&lt;=60,est05_k,est519_k),1)),""))</f>
        <v/>
      </c>
      <c r="AH1330">
        <f>IF($W1330="","",IFERROR(INDEX(IF($T1330&lt;=60,est05_m,est519_m),MATCH($W1330,IF($T1330&lt;=60,est05_k,est519_k),1)),""))</f>
        <v/>
      </c>
      <c r="AI1330">
        <f>IF($W1330="","",IFERROR(INDEX(IF($T1330&lt;=60,est05_s,est519_s),MATCH($W1330,IF($T1330&lt;=60,est05_k,est519_k),1)),""))</f>
        <v/>
      </c>
      <c r="AJ1330">
        <f>IF($W1330="","",IFERROR(INDEX(IF($T1330&lt;=60,peso05_l,peso510_l),MATCH($W1330,IF($T1330&lt;=60,peso05_k,peso510_k),1)),""))</f>
        <v/>
      </c>
      <c r="AK1330">
        <f>IF($W1330="","",IFERROR(INDEX(IF($T1330&lt;=60,peso05_m,peso510_m),MATCH($W1330,IF($T1330&lt;=60,peso05_k,peso510_k),1)),""))</f>
        <v/>
      </c>
      <c r="AL1330">
        <f>IF($W1330="","",IFERROR(INDEX(IF($T1330&lt;=60,peso05_s,peso510_s),MATCH($W1330,IF($T1330&lt;=60,peso05_k,peso510_k),1)),""))</f>
        <v/>
      </c>
      <c r="AM1330">
        <f>IF($AJ1330="","",IF($AJ1330=0,LN($F1330/$AK1330)/$AL1330,((($F1330/$AK1330)^$AJ1330)-1)/($AJ1330*$AL1330)))</f>
        <v/>
      </c>
      <c r="AN1330">
        <f>IF($AJ1330="","",IF($AJ1330=0,$AK1330*EXP($AL1330*2),$AK1330*(1+$AJ1330*$AL1330*2)^(1/$AJ1330)))</f>
        <v/>
      </c>
      <c r="AO1330">
        <f>IF($AJ1330="","",IF($AJ1330=0,$AK1330*EXP($AL1330*3),$AK1330*(1+$AJ1330*$AL1330*3)^(1/$AJ1330)))</f>
        <v/>
      </c>
      <c r="AP1330">
        <f>IF($AJ1330="","",IF($AJ1330=0,$AK1330*EXP($AL1330*-2),$AK1330*(1+$AJ1330*$AL1330*-2)^(1/$AJ1330)))</f>
        <v/>
      </c>
      <c r="AQ1330">
        <f>IF($AJ1330="","",IF($AJ1330=0,$AK1330*EXP($AL1330*-3),$AK1330*(1+$AJ1330*$AL1330*-3)^(1/$AJ1330)))</f>
        <v/>
      </c>
      <c r="AR1330">
        <f>IF(OR($X1330="",$T1330&gt;60),"",IFERROR(INDEX(IF($T1330&lt;24,pcomp_l,palt_l),MATCH($X1330,IF($T1330&lt;24,pcomp_k,palt_k),1)),""))</f>
        <v/>
      </c>
      <c r="AS1330">
        <f>IF(OR($X1330="",$T1330&gt;60),"",IFERROR(INDEX(IF($T1330&lt;24,pcomp_m,palt_m),MATCH($X1330,IF($T1330&lt;24,pcomp_k,palt_k),1)),""))</f>
        <v/>
      </c>
      <c r="AT1330">
        <f>IF(OR($X1330="",$T1330&gt;60),"",IFERROR(INDEX(IF($T1330&lt;24,pcomp_s,palt_s),MATCH($X1330,IF($T1330&lt;24,pcomp_k,palt_k),1)),""))</f>
        <v/>
      </c>
      <c r="AU1330">
        <f>IF($AR1330="","",IF($AR1330=0,LN($F1330/$AS1330)/$AT1330,((($F1330/$AS1330)^$AR1330)-1)/($AR1330*$AT1330)))</f>
        <v/>
      </c>
      <c r="AV1330">
        <f>IF($AR1330="","",IF($AR1330=0,$AS1330*EXP($AT1330*2),$AS1330*(1+$AR1330*$AT1330*2)^(1/$AR1330)))</f>
        <v/>
      </c>
      <c r="AW1330">
        <f>IF($AR1330="","",IF($AR1330=0,$AS1330*EXP($AT1330*3),$AS1330*(1+$AR1330*$AT1330*3)^(1/$AR1330)))</f>
        <v/>
      </c>
      <c r="AX1330">
        <f>IF($AR1330="","",IF($AR1330=0,$AS1330*EXP($AT1330*-2),$AS1330*(1+$AR1330*$AT1330*-2)^(1/$AR1330)))</f>
        <v/>
      </c>
      <c r="AY1330">
        <f>IF($AR1330="","",IF($AR1330=0,$AS1330*EXP($AT1330*-3),$AS1330*(1+$AR1330*$AT1330*-3)^(1/$AR1330)))</f>
        <v/>
      </c>
      <c r="AZ1330">
        <f>IF(OR($A1330="",$A1330&lt;&gt;Ficha!$C$4),"",COUNTIF($A$2:$A1330,Ficha!$C$4))</f>
        <v/>
      </c>
    </row>
    <row r="1331">
      <c r="A1331" s="8">
        <f>IF(INDEX(Banco!$A:$A,ROW())="","",INDEX(Banco!$A:$A,ROW()))</f>
        <v/>
      </c>
      <c r="B1331" s="8">
        <f>IF(INDEX(Banco!$B:$B,ROW())="","",INDEX(Banco!$B:$B,ROW()))</f>
        <v/>
      </c>
      <c r="C1331" s="8">
        <f>IF(INDEX(Banco!$C:$C,ROW())="","",INDEX(Banco!$C:$C,ROW()))</f>
        <v/>
      </c>
      <c r="D1331" s="9">
        <f>IF(INDEX(Banco!$D:$D,ROW())="","",INDEX(Banco!$D:$D,ROW()))</f>
        <v/>
      </c>
      <c r="E1331" s="9">
        <f>IF(INDEX(Banco!$E:$E,ROW())="","",INDEX(Banco!$E:$E,ROW()))</f>
        <v/>
      </c>
      <c r="F1331" s="10">
        <f>IF(INDEX(Banco!$F:$F,ROW())="","",INDEX(Banco!$F:$F,ROW()))</f>
        <v/>
      </c>
      <c r="G1331" s="10">
        <f>IF(INDEX(Banco!$G:$G,ROW())="","",INDEX(Banco!$G:$G,ROW()))</f>
        <v/>
      </c>
      <c r="H1331" s="8">
        <f>IF(INDEX(Banco!$H:$H,ROW())="","",INDEX(Banco!$H:$H,ROW()))</f>
        <v/>
      </c>
      <c r="I1331">
        <f>IF($T1331="","",INT($T1331/12)&amp;"a "&amp;MOD($T1331,12)&amp;"m")</f>
        <v/>
      </c>
      <c r="J1331" s="11">
        <f>IF(OR($F1331="",$G1331=""),"",ROUND($F1331/($G1331/100)^2,2))</f>
        <v/>
      </c>
      <c r="K1331" s="12">
        <f>IF(OR($S1331="",$J1331="",$T1331="",$T1331&lt;0,$T1331&gt;228,$Y1331=""),"—",ROUND(IF(ABS($AB1331)&lt;=3,$AB1331,IF($AB1331&gt;3,3+($J1331-$AD1331)/($AD1331-$AC1331),-3+($J1331-$AF1331)/($AE1331-$AF1331))),2))</f>
        <v/>
      </c>
      <c r="L1331">
        <f>IF(OR($K1331="",$K1331="—"),"",IF($T1331&lt;=60,IF($K1331&lt;-3,"Magreza acentuada",IF($K1331&lt;-2,"Magreza",IF($K1331&lt;=1,"Eutrofia",IF($K1331&lt;=2,"Risco de sobrepeso",IF($K1331&lt;=3,"Sobrepeso","Obesidade"))))),IF($K1331&lt;-3,"Magreza acentuada",IF($K1331&lt;-2,"Magreza",IF($K1331&lt;=1,"Eutrofia",IF($K1331&lt;=2,"Sobrepeso",IF($K1331&lt;=3,"Obesidade","Obesidade grave")))))))</f>
        <v/>
      </c>
      <c r="M1331" s="12">
        <f>IF(OR($S1331="",$V1331="",$T1331="",$T1331&lt;0,$T1331&gt;228,$AG1331=""),"—",ROUND(IF($AG1331=0,LN($V1331/$AH1331)/$AI1331,((($V1331/$AH1331)^$AG1331)-1)/($AG1331*$AI1331)),2))</f>
        <v/>
      </c>
      <c r="N1331">
        <f>IF(OR($M1331="",$M1331="—"),"",IF($M1331&lt;-3,"Muito baixa",IF($M1331&lt;-2,"Baixa","Adequada")))</f>
        <v/>
      </c>
      <c r="O1331" s="12">
        <f>IF(OR($S1331="",$F1331="",$T1331="",$T1331&lt;0,$T1331&gt;120,$AJ1331=""),"—",ROUND(IF(ABS($AM1331)&lt;=3,$AM1331,IF($AM1331&gt;3,3+($F1331-$AO1331)/($AO1331-$AN1331),-3+($F1331-$AQ1331)/($AP1331-$AQ1331))),2))</f>
        <v/>
      </c>
      <c r="P1331">
        <f>IF(OR($O1331="",$O1331="—"),"",IF($O1331&lt;-3,"Muito baixo",IF($O1331&lt;-2,"Baixo",IF($O1331&lt;=2,"Adequado","Elevado"))))</f>
        <v/>
      </c>
      <c r="Q1331" s="12">
        <f>IF(OR($S1331="",$F1331="",$T1331="",$T1331&lt;0,$T1331&gt;60,$AR1331=""),"—",ROUND(IF(ABS($AU1331)&lt;=3,$AU1331,IF($AU1331&gt;3,3+($F1331-$AW1331)/($AW1331-$AV1331),-3+($F1331-$AY1331)/($AX1331-$AY1331))),2))</f>
        <v/>
      </c>
      <c r="R1331">
        <f>IF(OR($Q1331="",$Q1331="—"),"",IF($Q1331&lt;-3,"Magreza acentuada",IF($Q1331&lt;-2,"Magreza",IF($Q1331&lt;=1,"Eutrofia",IF($Q1331&lt;=2,"Risco de sobrepeso",IF($Q1331&lt;=3,"Sobrepeso","Obesidade"))))))</f>
        <v/>
      </c>
      <c r="S1331">
        <f>IF($C1331="","",IF(UPPER(LEFT($C1331,1))="M",1,IF(UPPER(LEFT($C1331,1))="F",2,"")))</f>
        <v/>
      </c>
      <c r="T1331">
        <f>IF(OR($D1331="",$E1331=""),"",DATEDIF($D1331,$E1331,"m"))</f>
        <v/>
      </c>
      <c r="U1331">
        <f>IF(OR($D1331="",$E1331=""),"",$E1331-$D1331)</f>
        <v/>
      </c>
      <c r="V1331">
        <f>IF(OR($G1331="",$T1331=""),"",IF($T1331&lt;24,IF(LEFT(LOWER($H1331),4)="em p",$G1331+0.7,$G1331),IF(LEFT(LOWER($H1331),4)="deit",$G1331-0.7,$G1331)))</f>
        <v/>
      </c>
      <c r="W1331">
        <f>IF(OR($S1331="",$T1331=""),"",$S1331*1000000+IF($T1331&lt;=60,$U1331,$T1331))</f>
        <v/>
      </c>
      <c r="X1331">
        <f>IF(OR($S1331="",$V1331="",$T1331&gt;60,$T1331=""),"",$S1331*1000000+ROUND($V1331*10,0))</f>
        <v/>
      </c>
      <c r="Y1331">
        <f>IF($W1331="","",IFERROR(INDEX(IF($T1331&lt;=60,imc05_l,imc519_l),MATCH($W1331,IF($T1331&lt;=60,imc05_k,imc519_k),1)),""))</f>
        <v/>
      </c>
      <c r="Z1331">
        <f>IF($W1331="","",IFERROR(INDEX(IF($T1331&lt;=60,imc05_m,imc519_m),MATCH($W1331,IF($T1331&lt;=60,imc05_k,imc519_k),1)),""))</f>
        <v/>
      </c>
      <c r="AA1331">
        <f>IF($W1331="","",IFERROR(INDEX(IF($T1331&lt;=60,imc05_s,imc519_s),MATCH($W1331,IF($T1331&lt;=60,imc05_k,imc519_k),1)),""))</f>
        <v/>
      </c>
      <c r="AB1331">
        <f>IF($Y1331="","",IF($Y1331=0,LN($J1331/$Z1331)/$AA1331,((($J1331/$Z1331)^$Y1331)-1)/($Y1331*$AA1331)))</f>
        <v/>
      </c>
      <c r="AC1331">
        <f>IF($Y1331="","",IF($Y1331=0,$Z1331*EXP($AA1331*2),$Z1331*(1+$Y1331*$AA1331*2)^(1/$Y1331)))</f>
        <v/>
      </c>
      <c r="AD1331">
        <f>IF($Y1331="","",IF($Y1331=0,$Z1331*EXP($AA1331*3),$Z1331*(1+$Y1331*$AA1331*3)^(1/$Y1331)))</f>
        <v/>
      </c>
      <c r="AE1331">
        <f>IF($Y1331="","",IF($Y1331=0,$Z1331*EXP($AA1331*-2),$Z1331*(1+$Y1331*$AA1331*-2)^(1/$Y1331)))</f>
        <v/>
      </c>
      <c r="AF1331">
        <f>IF($Y1331="","",IF($Y1331=0,$Z1331*EXP($AA1331*-3),$Z1331*(1+$Y1331*$AA1331*-3)^(1/$Y1331)))</f>
        <v/>
      </c>
      <c r="AG1331">
        <f>IF($W1331="","",IFERROR(INDEX(IF($T1331&lt;=60,est05_l,est519_l),MATCH($W1331,IF($T1331&lt;=60,est05_k,est519_k),1)),""))</f>
        <v/>
      </c>
      <c r="AH1331">
        <f>IF($W1331="","",IFERROR(INDEX(IF($T1331&lt;=60,est05_m,est519_m),MATCH($W1331,IF($T1331&lt;=60,est05_k,est519_k),1)),""))</f>
        <v/>
      </c>
      <c r="AI1331">
        <f>IF($W1331="","",IFERROR(INDEX(IF($T1331&lt;=60,est05_s,est519_s),MATCH($W1331,IF($T1331&lt;=60,est05_k,est519_k),1)),""))</f>
        <v/>
      </c>
      <c r="AJ1331">
        <f>IF($W1331="","",IFERROR(INDEX(IF($T1331&lt;=60,peso05_l,peso510_l),MATCH($W1331,IF($T1331&lt;=60,peso05_k,peso510_k),1)),""))</f>
        <v/>
      </c>
      <c r="AK1331">
        <f>IF($W1331="","",IFERROR(INDEX(IF($T1331&lt;=60,peso05_m,peso510_m),MATCH($W1331,IF($T1331&lt;=60,peso05_k,peso510_k),1)),""))</f>
        <v/>
      </c>
      <c r="AL1331">
        <f>IF($W1331="","",IFERROR(INDEX(IF($T1331&lt;=60,peso05_s,peso510_s),MATCH($W1331,IF($T1331&lt;=60,peso05_k,peso510_k),1)),""))</f>
        <v/>
      </c>
      <c r="AM1331">
        <f>IF($AJ1331="","",IF($AJ1331=0,LN($F1331/$AK1331)/$AL1331,((($F1331/$AK1331)^$AJ1331)-1)/($AJ1331*$AL1331)))</f>
        <v/>
      </c>
      <c r="AN1331">
        <f>IF($AJ1331="","",IF($AJ1331=0,$AK1331*EXP($AL1331*2),$AK1331*(1+$AJ1331*$AL1331*2)^(1/$AJ1331)))</f>
        <v/>
      </c>
      <c r="AO1331">
        <f>IF($AJ1331="","",IF($AJ1331=0,$AK1331*EXP($AL1331*3),$AK1331*(1+$AJ1331*$AL1331*3)^(1/$AJ1331)))</f>
        <v/>
      </c>
      <c r="AP1331">
        <f>IF($AJ1331="","",IF($AJ1331=0,$AK1331*EXP($AL1331*-2),$AK1331*(1+$AJ1331*$AL1331*-2)^(1/$AJ1331)))</f>
        <v/>
      </c>
      <c r="AQ1331">
        <f>IF($AJ1331="","",IF($AJ1331=0,$AK1331*EXP($AL1331*-3),$AK1331*(1+$AJ1331*$AL1331*-3)^(1/$AJ1331)))</f>
        <v/>
      </c>
      <c r="AR1331">
        <f>IF(OR($X1331="",$T1331&gt;60),"",IFERROR(INDEX(IF($T1331&lt;24,pcomp_l,palt_l),MATCH($X1331,IF($T1331&lt;24,pcomp_k,palt_k),1)),""))</f>
        <v/>
      </c>
      <c r="AS1331">
        <f>IF(OR($X1331="",$T1331&gt;60),"",IFERROR(INDEX(IF($T1331&lt;24,pcomp_m,palt_m),MATCH($X1331,IF($T1331&lt;24,pcomp_k,palt_k),1)),""))</f>
        <v/>
      </c>
      <c r="AT1331">
        <f>IF(OR($X1331="",$T1331&gt;60),"",IFERROR(INDEX(IF($T1331&lt;24,pcomp_s,palt_s),MATCH($X1331,IF($T1331&lt;24,pcomp_k,palt_k),1)),""))</f>
        <v/>
      </c>
      <c r="AU1331">
        <f>IF($AR1331="","",IF($AR1331=0,LN($F1331/$AS1331)/$AT1331,((($F1331/$AS1331)^$AR1331)-1)/($AR1331*$AT1331)))</f>
        <v/>
      </c>
      <c r="AV1331">
        <f>IF($AR1331="","",IF($AR1331=0,$AS1331*EXP($AT1331*2),$AS1331*(1+$AR1331*$AT1331*2)^(1/$AR1331)))</f>
        <v/>
      </c>
      <c r="AW1331">
        <f>IF($AR1331="","",IF($AR1331=0,$AS1331*EXP($AT1331*3),$AS1331*(1+$AR1331*$AT1331*3)^(1/$AR1331)))</f>
        <v/>
      </c>
      <c r="AX1331">
        <f>IF($AR1331="","",IF($AR1331=0,$AS1331*EXP($AT1331*-2),$AS1331*(1+$AR1331*$AT1331*-2)^(1/$AR1331)))</f>
        <v/>
      </c>
      <c r="AY1331">
        <f>IF($AR1331="","",IF($AR1331=0,$AS1331*EXP($AT1331*-3),$AS1331*(1+$AR1331*$AT1331*-3)^(1/$AR1331)))</f>
        <v/>
      </c>
      <c r="AZ1331">
        <f>IF(OR($A1331="",$A1331&lt;&gt;Ficha!$C$4),"",COUNTIF($A$2:$A1331,Ficha!$C$4))</f>
        <v/>
      </c>
    </row>
    <row r="1332">
      <c r="A1332" s="8">
        <f>IF(INDEX(Banco!$A:$A,ROW())="","",INDEX(Banco!$A:$A,ROW()))</f>
        <v/>
      </c>
      <c r="B1332" s="8">
        <f>IF(INDEX(Banco!$B:$B,ROW())="","",INDEX(Banco!$B:$B,ROW()))</f>
        <v/>
      </c>
      <c r="C1332" s="8">
        <f>IF(INDEX(Banco!$C:$C,ROW())="","",INDEX(Banco!$C:$C,ROW()))</f>
        <v/>
      </c>
      <c r="D1332" s="9">
        <f>IF(INDEX(Banco!$D:$D,ROW())="","",INDEX(Banco!$D:$D,ROW()))</f>
        <v/>
      </c>
      <c r="E1332" s="9">
        <f>IF(INDEX(Banco!$E:$E,ROW())="","",INDEX(Banco!$E:$E,ROW()))</f>
        <v/>
      </c>
      <c r="F1332" s="10">
        <f>IF(INDEX(Banco!$F:$F,ROW())="","",INDEX(Banco!$F:$F,ROW()))</f>
        <v/>
      </c>
      <c r="G1332" s="10">
        <f>IF(INDEX(Banco!$G:$G,ROW())="","",INDEX(Banco!$G:$G,ROW()))</f>
        <v/>
      </c>
      <c r="H1332" s="8">
        <f>IF(INDEX(Banco!$H:$H,ROW())="","",INDEX(Banco!$H:$H,ROW()))</f>
        <v/>
      </c>
      <c r="I1332">
        <f>IF($T1332="","",INT($T1332/12)&amp;"a "&amp;MOD($T1332,12)&amp;"m")</f>
        <v/>
      </c>
      <c r="J1332" s="11">
        <f>IF(OR($F1332="",$G1332=""),"",ROUND($F1332/($G1332/100)^2,2))</f>
        <v/>
      </c>
      <c r="K1332" s="12">
        <f>IF(OR($S1332="",$J1332="",$T1332="",$T1332&lt;0,$T1332&gt;228,$Y1332=""),"—",ROUND(IF(ABS($AB1332)&lt;=3,$AB1332,IF($AB1332&gt;3,3+($J1332-$AD1332)/($AD1332-$AC1332),-3+($J1332-$AF1332)/($AE1332-$AF1332))),2))</f>
        <v/>
      </c>
      <c r="L1332">
        <f>IF(OR($K1332="",$K1332="—"),"",IF($T1332&lt;=60,IF($K1332&lt;-3,"Magreza acentuada",IF($K1332&lt;-2,"Magreza",IF($K1332&lt;=1,"Eutrofia",IF($K1332&lt;=2,"Risco de sobrepeso",IF($K1332&lt;=3,"Sobrepeso","Obesidade"))))),IF($K1332&lt;-3,"Magreza acentuada",IF($K1332&lt;-2,"Magreza",IF($K1332&lt;=1,"Eutrofia",IF($K1332&lt;=2,"Sobrepeso",IF($K1332&lt;=3,"Obesidade","Obesidade grave")))))))</f>
        <v/>
      </c>
      <c r="M1332" s="12">
        <f>IF(OR($S1332="",$V1332="",$T1332="",$T1332&lt;0,$T1332&gt;228,$AG1332=""),"—",ROUND(IF($AG1332=0,LN($V1332/$AH1332)/$AI1332,((($V1332/$AH1332)^$AG1332)-1)/($AG1332*$AI1332)),2))</f>
        <v/>
      </c>
      <c r="N1332">
        <f>IF(OR($M1332="",$M1332="—"),"",IF($M1332&lt;-3,"Muito baixa",IF($M1332&lt;-2,"Baixa","Adequada")))</f>
        <v/>
      </c>
      <c r="O1332" s="12">
        <f>IF(OR($S1332="",$F1332="",$T1332="",$T1332&lt;0,$T1332&gt;120,$AJ1332=""),"—",ROUND(IF(ABS($AM1332)&lt;=3,$AM1332,IF($AM1332&gt;3,3+($F1332-$AO1332)/($AO1332-$AN1332),-3+($F1332-$AQ1332)/($AP1332-$AQ1332))),2))</f>
        <v/>
      </c>
      <c r="P1332">
        <f>IF(OR($O1332="",$O1332="—"),"",IF($O1332&lt;-3,"Muito baixo",IF($O1332&lt;-2,"Baixo",IF($O1332&lt;=2,"Adequado","Elevado"))))</f>
        <v/>
      </c>
      <c r="Q1332" s="12">
        <f>IF(OR($S1332="",$F1332="",$T1332="",$T1332&lt;0,$T1332&gt;60,$AR1332=""),"—",ROUND(IF(ABS($AU1332)&lt;=3,$AU1332,IF($AU1332&gt;3,3+($F1332-$AW1332)/($AW1332-$AV1332),-3+($F1332-$AY1332)/($AX1332-$AY1332))),2))</f>
        <v/>
      </c>
      <c r="R1332">
        <f>IF(OR($Q1332="",$Q1332="—"),"",IF($Q1332&lt;-3,"Magreza acentuada",IF($Q1332&lt;-2,"Magreza",IF($Q1332&lt;=1,"Eutrofia",IF($Q1332&lt;=2,"Risco de sobrepeso",IF($Q1332&lt;=3,"Sobrepeso","Obesidade"))))))</f>
        <v/>
      </c>
      <c r="S1332">
        <f>IF($C1332="","",IF(UPPER(LEFT($C1332,1))="M",1,IF(UPPER(LEFT($C1332,1))="F",2,"")))</f>
        <v/>
      </c>
      <c r="T1332">
        <f>IF(OR($D1332="",$E1332=""),"",DATEDIF($D1332,$E1332,"m"))</f>
        <v/>
      </c>
      <c r="U1332">
        <f>IF(OR($D1332="",$E1332=""),"",$E1332-$D1332)</f>
        <v/>
      </c>
      <c r="V1332">
        <f>IF(OR($G1332="",$T1332=""),"",IF($T1332&lt;24,IF(LEFT(LOWER($H1332),4)="em p",$G1332+0.7,$G1332),IF(LEFT(LOWER($H1332),4)="deit",$G1332-0.7,$G1332)))</f>
        <v/>
      </c>
      <c r="W1332">
        <f>IF(OR($S1332="",$T1332=""),"",$S1332*1000000+IF($T1332&lt;=60,$U1332,$T1332))</f>
        <v/>
      </c>
      <c r="X1332">
        <f>IF(OR($S1332="",$V1332="",$T1332&gt;60,$T1332=""),"",$S1332*1000000+ROUND($V1332*10,0))</f>
        <v/>
      </c>
      <c r="Y1332">
        <f>IF($W1332="","",IFERROR(INDEX(IF($T1332&lt;=60,imc05_l,imc519_l),MATCH($W1332,IF($T1332&lt;=60,imc05_k,imc519_k),1)),""))</f>
        <v/>
      </c>
      <c r="Z1332">
        <f>IF($W1332="","",IFERROR(INDEX(IF($T1332&lt;=60,imc05_m,imc519_m),MATCH($W1332,IF($T1332&lt;=60,imc05_k,imc519_k),1)),""))</f>
        <v/>
      </c>
      <c r="AA1332">
        <f>IF($W1332="","",IFERROR(INDEX(IF($T1332&lt;=60,imc05_s,imc519_s),MATCH($W1332,IF($T1332&lt;=60,imc05_k,imc519_k),1)),""))</f>
        <v/>
      </c>
      <c r="AB1332">
        <f>IF($Y1332="","",IF($Y1332=0,LN($J1332/$Z1332)/$AA1332,((($J1332/$Z1332)^$Y1332)-1)/($Y1332*$AA1332)))</f>
        <v/>
      </c>
      <c r="AC1332">
        <f>IF($Y1332="","",IF($Y1332=0,$Z1332*EXP($AA1332*2),$Z1332*(1+$Y1332*$AA1332*2)^(1/$Y1332)))</f>
        <v/>
      </c>
      <c r="AD1332">
        <f>IF($Y1332="","",IF($Y1332=0,$Z1332*EXP($AA1332*3),$Z1332*(1+$Y1332*$AA1332*3)^(1/$Y1332)))</f>
        <v/>
      </c>
      <c r="AE1332">
        <f>IF($Y1332="","",IF($Y1332=0,$Z1332*EXP($AA1332*-2),$Z1332*(1+$Y1332*$AA1332*-2)^(1/$Y1332)))</f>
        <v/>
      </c>
      <c r="AF1332">
        <f>IF($Y1332="","",IF($Y1332=0,$Z1332*EXP($AA1332*-3),$Z1332*(1+$Y1332*$AA1332*-3)^(1/$Y1332)))</f>
        <v/>
      </c>
      <c r="AG1332">
        <f>IF($W1332="","",IFERROR(INDEX(IF($T1332&lt;=60,est05_l,est519_l),MATCH($W1332,IF($T1332&lt;=60,est05_k,est519_k),1)),""))</f>
        <v/>
      </c>
      <c r="AH1332">
        <f>IF($W1332="","",IFERROR(INDEX(IF($T1332&lt;=60,est05_m,est519_m),MATCH($W1332,IF($T1332&lt;=60,est05_k,est519_k),1)),""))</f>
        <v/>
      </c>
      <c r="AI1332">
        <f>IF($W1332="","",IFERROR(INDEX(IF($T1332&lt;=60,est05_s,est519_s),MATCH($W1332,IF($T1332&lt;=60,est05_k,est519_k),1)),""))</f>
        <v/>
      </c>
      <c r="AJ1332">
        <f>IF($W1332="","",IFERROR(INDEX(IF($T1332&lt;=60,peso05_l,peso510_l),MATCH($W1332,IF($T1332&lt;=60,peso05_k,peso510_k),1)),""))</f>
        <v/>
      </c>
      <c r="AK1332">
        <f>IF($W1332="","",IFERROR(INDEX(IF($T1332&lt;=60,peso05_m,peso510_m),MATCH($W1332,IF($T1332&lt;=60,peso05_k,peso510_k),1)),""))</f>
        <v/>
      </c>
      <c r="AL1332">
        <f>IF($W1332="","",IFERROR(INDEX(IF($T1332&lt;=60,peso05_s,peso510_s),MATCH($W1332,IF($T1332&lt;=60,peso05_k,peso510_k),1)),""))</f>
        <v/>
      </c>
      <c r="AM1332">
        <f>IF($AJ1332="","",IF($AJ1332=0,LN($F1332/$AK1332)/$AL1332,((($F1332/$AK1332)^$AJ1332)-1)/($AJ1332*$AL1332)))</f>
        <v/>
      </c>
      <c r="AN1332">
        <f>IF($AJ1332="","",IF($AJ1332=0,$AK1332*EXP($AL1332*2),$AK1332*(1+$AJ1332*$AL1332*2)^(1/$AJ1332)))</f>
        <v/>
      </c>
      <c r="AO1332">
        <f>IF($AJ1332="","",IF($AJ1332=0,$AK1332*EXP($AL1332*3),$AK1332*(1+$AJ1332*$AL1332*3)^(1/$AJ1332)))</f>
        <v/>
      </c>
      <c r="AP1332">
        <f>IF($AJ1332="","",IF($AJ1332=0,$AK1332*EXP($AL1332*-2),$AK1332*(1+$AJ1332*$AL1332*-2)^(1/$AJ1332)))</f>
        <v/>
      </c>
      <c r="AQ1332">
        <f>IF($AJ1332="","",IF($AJ1332=0,$AK1332*EXP($AL1332*-3),$AK1332*(1+$AJ1332*$AL1332*-3)^(1/$AJ1332)))</f>
        <v/>
      </c>
      <c r="AR1332">
        <f>IF(OR($X1332="",$T1332&gt;60),"",IFERROR(INDEX(IF($T1332&lt;24,pcomp_l,palt_l),MATCH($X1332,IF($T1332&lt;24,pcomp_k,palt_k),1)),""))</f>
        <v/>
      </c>
      <c r="AS1332">
        <f>IF(OR($X1332="",$T1332&gt;60),"",IFERROR(INDEX(IF($T1332&lt;24,pcomp_m,palt_m),MATCH($X1332,IF($T1332&lt;24,pcomp_k,palt_k),1)),""))</f>
        <v/>
      </c>
      <c r="AT1332">
        <f>IF(OR($X1332="",$T1332&gt;60),"",IFERROR(INDEX(IF($T1332&lt;24,pcomp_s,palt_s),MATCH($X1332,IF($T1332&lt;24,pcomp_k,palt_k),1)),""))</f>
        <v/>
      </c>
      <c r="AU1332">
        <f>IF($AR1332="","",IF($AR1332=0,LN($F1332/$AS1332)/$AT1332,((($F1332/$AS1332)^$AR1332)-1)/($AR1332*$AT1332)))</f>
        <v/>
      </c>
      <c r="AV1332">
        <f>IF($AR1332="","",IF($AR1332=0,$AS1332*EXP($AT1332*2),$AS1332*(1+$AR1332*$AT1332*2)^(1/$AR1332)))</f>
        <v/>
      </c>
      <c r="AW1332">
        <f>IF($AR1332="","",IF($AR1332=0,$AS1332*EXP($AT1332*3),$AS1332*(1+$AR1332*$AT1332*3)^(1/$AR1332)))</f>
        <v/>
      </c>
      <c r="AX1332">
        <f>IF($AR1332="","",IF($AR1332=0,$AS1332*EXP($AT1332*-2),$AS1332*(1+$AR1332*$AT1332*-2)^(1/$AR1332)))</f>
        <v/>
      </c>
      <c r="AY1332">
        <f>IF($AR1332="","",IF($AR1332=0,$AS1332*EXP($AT1332*-3),$AS1332*(1+$AR1332*$AT1332*-3)^(1/$AR1332)))</f>
        <v/>
      </c>
      <c r="AZ1332">
        <f>IF(OR($A1332="",$A1332&lt;&gt;Ficha!$C$4),"",COUNTIF($A$2:$A1332,Ficha!$C$4))</f>
        <v/>
      </c>
    </row>
    <row r="1333">
      <c r="A1333" s="8">
        <f>IF(INDEX(Banco!$A:$A,ROW())="","",INDEX(Banco!$A:$A,ROW()))</f>
        <v/>
      </c>
      <c r="B1333" s="8">
        <f>IF(INDEX(Banco!$B:$B,ROW())="","",INDEX(Banco!$B:$B,ROW()))</f>
        <v/>
      </c>
      <c r="C1333" s="8">
        <f>IF(INDEX(Banco!$C:$C,ROW())="","",INDEX(Banco!$C:$C,ROW()))</f>
        <v/>
      </c>
      <c r="D1333" s="9">
        <f>IF(INDEX(Banco!$D:$D,ROW())="","",INDEX(Banco!$D:$D,ROW()))</f>
        <v/>
      </c>
      <c r="E1333" s="9">
        <f>IF(INDEX(Banco!$E:$E,ROW())="","",INDEX(Banco!$E:$E,ROW()))</f>
        <v/>
      </c>
      <c r="F1333" s="10">
        <f>IF(INDEX(Banco!$F:$F,ROW())="","",INDEX(Banco!$F:$F,ROW()))</f>
        <v/>
      </c>
      <c r="G1333" s="10">
        <f>IF(INDEX(Banco!$G:$G,ROW())="","",INDEX(Banco!$G:$G,ROW()))</f>
        <v/>
      </c>
      <c r="H1333" s="8">
        <f>IF(INDEX(Banco!$H:$H,ROW())="","",INDEX(Banco!$H:$H,ROW()))</f>
        <v/>
      </c>
      <c r="I1333">
        <f>IF($T1333="","",INT($T1333/12)&amp;"a "&amp;MOD($T1333,12)&amp;"m")</f>
        <v/>
      </c>
      <c r="J1333" s="11">
        <f>IF(OR($F1333="",$G1333=""),"",ROUND($F1333/($G1333/100)^2,2))</f>
        <v/>
      </c>
      <c r="K1333" s="12">
        <f>IF(OR($S1333="",$J1333="",$T1333="",$T1333&lt;0,$T1333&gt;228,$Y1333=""),"—",ROUND(IF(ABS($AB1333)&lt;=3,$AB1333,IF($AB1333&gt;3,3+($J1333-$AD1333)/($AD1333-$AC1333),-3+($J1333-$AF1333)/($AE1333-$AF1333))),2))</f>
        <v/>
      </c>
      <c r="L1333">
        <f>IF(OR($K1333="",$K1333="—"),"",IF($T1333&lt;=60,IF($K1333&lt;-3,"Magreza acentuada",IF($K1333&lt;-2,"Magreza",IF($K1333&lt;=1,"Eutrofia",IF($K1333&lt;=2,"Risco de sobrepeso",IF($K1333&lt;=3,"Sobrepeso","Obesidade"))))),IF($K1333&lt;-3,"Magreza acentuada",IF($K1333&lt;-2,"Magreza",IF($K1333&lt;=1,"Eutrofia",IF($K1333&lt;=2,"Sobrepeso",IF($K1333&lt;=3,"Obesidade","Obesidade grave")))))))</f>
        <v/>
      </c>
      <c r="M1333" s="12">
        <f>IF(OR($S1333="",$V1333="",$T1333="",$T1333&lt;0,$T1333&gt;228,$AG1333=""),"—",ROUND(IF($AG1333=0,LN($V1333/$AH1333)/$AI1333,((($V1333/$AH1333)^$AG1333)-1)/($AG1333*$AI1333)),2))</f>
        <v/>
      </c>
      <c r="N1333">
        <f>IF(OR($M1333="",$M1333="—"),"",IF($M1333&lt;-3,"Muito baixa",IF($M1333&lt;-2,"Baixa","Adequada")))</f>
        <v/>
      </c>
      <c r="O1333" s="12">
        <f>IF(OR($S1333="",$F1333="",$T1333="",$T1333&lt;0,$T1333&gt;120,$AJ1333=""),"—",ROUND(IF(ABS($AM1333)&lt;=3,$AM1333,IF($AM1333&gt;3,3+($F1333-$AO1333)/($AO1333-$AN1333),-3+($F1333-$AQ1333)/($AP1333-$AQ1333))),2))</f>
        <v/>
      </c>
      <c r="P1333">
        <f>IF(OR($O1333="",$O1333="—"),"",IF($O1333&lt;-3,"Muito baixo",IF($O1333&lt;-2,"Baixo",IF($O1333&lt;=2,"Adequado","Elevado"))))</f>
        <v/>
      </c>
      <c r="Q1333" s="12">
        <f>IF(OR($S1333="",$F1333="",$T1333="",$T1333&lt;0,$T1333&gt;60,$AR1333=""),"—",ROUND(IF(ABS($AU1333)&lt;=3,$AU1333,IF($AU1333&gt;3,3+($F1333-$AW1333)/($AW1333-$AV1333),-3+($F1333-$AY1333)/($AX1333-$AY1333))),2))</f>
        <v/>
      </c>
      <c r="R1333">
        <f>IF(OR($Q1333="",$Q1333="—"),"",IF($Q1333&lt;-3,"Magreza acentuada",IF($Q1333&lt;-2,"Magreza",IF($Q1333&lt;=1,"Eutrofia",IF($Q1333&lt;=2,"Risco de sobrepeso",IF($Q1333&lt;=3,"Sobrepeso","Obesidade"))))))</f>
        <v/>
      </c>
      <c r="S1333">
        <f>IF($C1333="","",IF(UPPER(LEFT($C1333,1))="M",1,IF(UPPER(LEFT($C1333,1))="F",2,"")))</f>
        <v/>
      </c>
      <c r="T1333">
        <f>IF(OR($D1333="",$E1333=""),"",DATEDIF($D1333,$E1333,"m"))</f>
        <v/>
      </c>
      <c r="U1333">
        <f>IF(OR($D1333="",$E1333=""),"",$E1333-$D1333)</f>
        <v/>
      </c>
      <c r="V1333">
        <f>IF(OR($G1333="",$T1333=""),"",IF($T1333&lt;24,IF(LEFT(LOWER($H1333),4)="em p",$G1333+0.7,$G1333),IF(LEFT(LOWER($H1333),4)="deit",$G1333-0.7,$G1333)))</f>
        <v/>
      </c>
      <c r="W1333">
        <f>IF(OR($S1333="",$T1333=""),"",$S1333*1000000+IF($T1333&lt;=60,$U1333,$T1333))</f>
        <v/>
      </c>
      <c r="X1333">
        <f>IF(OR($S1333="",$V1333="",$T1333&gt;60,$T1333=""),"",$S1333*1000000+ROUND($V1333*10,0))</f>
        <v/>
      </c>
      <c r="Y1333">
        <f>IF($W1333="","",IFERROR(INDEX(IF($T1333&lt;=60,imc05_l,imc519_l),MATCH($W1333,IF($T1333&lt;=60,imc05_k,imc519_k),1)),""))</f>
        <v/>
      </c>
      <c r="Z1333">
        <f>IF($W1333="","",IFERROR(INDEX(IF($T1333&lt;=60,imc05_m,imc519_m),MATCH($W1333,IF($T1333&lt;=60,imc05_k,imc519_k),1)),""))</f>
        <v/>
      </c>
      <c r="AA1333">
        <f>IF($W1333="","",IFERROR(INDEX(IF($T1333&lt;=60,imc05_s,imc519_s),MATCH($W1333,IF($T1333&lt;=60,imc05_k,imc519_k),1)),""))</f>
        <v/>
      </c>
      <c r="AB1333">
        <f>IF($Y1333="","",IF($Y1333=0,LN($J1333/$Z1333)/$AA1333,((($J1333/$Z1333)^$Y1333)-1)/($Y1333*$AA1333)))</f>
        <v/>
      </c>
      <c r="AC1333">
        <f>IF($Y1333="","",IF($Y1333=0,$Z1333*EXP($AA1333*2),$Z1333*(1+$Y1333*$AA1333*2)^(1/$Y1333)))</f>
        <v/>
      </c>
      <c r="AD1333">
        <f>IF($Y1333="","",IF($Y1333=0,$Z1333*EXP($AA1333*3),$Z1333*(1+$Y1333*$AA1333*3)^(1/$Y1333)))</f>
        <v/>
      </c>
      <c r="AE1333">
        <f>IF($Y1333="","",IF($Y1333=0,$Z1333*EXP($AA1333*-2),$Z1333*(1+$Y1333*$AA1333*-2)^(1/$Y1333)))</f>
        <v/>
      </c>
      <c r="AF1333">
        <f>IF($Y1333="","",IF($Y1333=0,$Z1333*EXP($AA1333*-3),$Z1333*(1+$Y1333*$AA1333*-3)^(1/$Y1333)))</f>
        <v/>
      </c>
      <c r="AG1333">
        <f>IF($W1333="","",IFERROR(INDEX(IF($T1333&lt;=60,est05_l,est519_l),MATCH($W1333,IF($T1333&lt;=60,est05_k,est519_k),1)),""))</f>
        <v/>
      </c>
      <c r="AH1333">
        <f>IF($W1333="","",IFERROR(INDEX(IF($T1333&lt;=60,est05_m,est519_m),MATCH($W1333,IF($T1333&lt;=60,est05_k,est519_k),1)),""))</f>
        <v/>
      </c>
      <c r="AI1333">
        <f>IF($W1333="","",IFERROR(INDEX(IF($T1333&lt;=60,est05_s,est519_s),MATCH($W1333,IF($T1333&lt;=60,est05_k,est519_k),1)),""))</f>
        <v/>
      </c>
      <c r="AJ1333">
        <f>IF($W1333="","",IFERROR(INDEX(IF($T1333&lt;=60,peso05_l,peso510_l),MATCH($W1333,IF($T1333&lt;=60,peso05_k,peso510_k),1)),""))</f>
        <v/>
      </c>
      <c r="AK1333">
        <f>IF($W1333="","",IFERROR(INDEX(IF($T1333&lt;=60,peso05_m,peso510_m),MATCH($W1333,IF($T1333&lt;=60,peso05_k,peso510_k),1)),""))</f>
        <v/>
      </c>
      <c r="AL1333">
        <f>IF($W1333="","",IFERROR(INDEX(IF($T1333&lt;=60,peso05_s,peso510_s),MATCH($W1333,IF($T1333&lt;=60,peso05_k,peso510_k),1)),""))</f>
        <v/>
      </c>
      <c r="AM1333">
        <f>IF($AJ1333="","",IF($AJ1333=0,LN($F1333/$AK1333)/$AL1333,((($F1333/$AK1333)^$AJ1333)-1)/($AJ1333*$AL1333)))</f>
        <v/>
      </c>
      <c r="AN1333">
        <f>IF($AJ1333="","",IF($AJ1333=0,$AK1333*EXP($AL1333*2),$AK1333*(1+$AJ1333*$AL1333*2)^(1/$AJ1333)))</f>
        <v/>
      </c>
      <c r="AO1333">
        <f>IF($AJ1333="","",IF($AJ1333=0,$AK1333*EXP($AL1333*3),$AK1333*(1+$AJ1333*$AL1333*3)^(1/$AJ1333)))</f>
        <v/>
      </c>
      <c r="AP1333">
        <f>IF($AJ1333="","",IF($AJ1333=0,$AK1333*EXP($AL1333*-2),$AK1333*(1+$AJ1333*$AL1333*-2)^(1/$AJ1333)))</f>
        <v/>
      </c>
      <c r="AQ1333">
        <f>IF($AJ1333="","",IF($AJ1333=0,$AK1333*EXP($AL1333*-3),$AK1333*(1+$AJ1333*$AL1333*-3)^(1/$AJ1333)))</f>
        <v/>
      </c>
      <c r="AR1333">
        <f>IF(OR($X1333="",$T1333&gt;60),"",IFERROR(INDEX(IF($T1333&lt;24,pcomp_l,palt_l),MATCH($X1333,IF($T1333&lt;24,pcomp_k,palt_k),1)),""))</f>
        <v/>
      </c>
      <c r="AS1333">
        <f>IF(OR($X1333="",$T1333&gt;60),"",IFERROR(INDEX(IF($T1333&lt;24,pcomp_m,palt_m),MATCH($X1333,IF($T1333&lt;24,pcomp_k,palt_k),1)),""))</f>
        <v/>
      </c>
      <c r="AT1333">
        <f>IF(OR($X1333="",$T1333&gt;60),"",IFERROR(INDEX(IF($T1333&lt;24,pcomp_s,palt_s),MATCH($X1333,IF($T1333&lt;24,pcomp_k,palt_k),1)),""))</f>
        <v/>
      </c>
      <c r="AU1333">
        <f>IF($AR1333="","",IF($AR1333=0,LN($F1333/$AS1333)/$AT1333,((($F1333/$AS1333)^$AR1333)-1)/($AR1333*$AT1333)))</f>
        <v/>
      </c>
      <c r="AV1333">
        <f>IF($AR1333="","",IF($AR1333=0,$AS1333*EXP($AT1333*2),$AS1333*(1+$AR1333*$AT1333*2)^(1/$AR1333)))</f>
        <v/>
      </c>
      <c r="AW1333">
        <f>IF($AR1333="","",IF($AR1333=0,$AS1333*EXP($AT1333*3),$AS1333*(1+$AR1333*$AT1333*3)^(1/$AR1333)))</f>
        <v/>
      </c>
      <c r="AX1333">
        <f>IF($AR1333="","",IF($AR1333=0,$AS1333*EXP($AT1333*-2),$AS1333*(1+$AR1333*$AT1333*-2)^(1/$AR1333)))</f>
        <v/>
      </c>
      <c r="AY1333">
        <f>IF($AR1333="","",IF($AR1333=0,$AS1333*EXP($AT1333*-3),$AS1333*(1+$AR1333*$AT1333*-3)^(1/$AR1333)))</f>
        <v/>
      </c>
      <c r="AZ1333">
        <f>IF(OR($A1333="",$A1333&lt;&gt;Ficha!$C$4),"",COUNTIF($A$2:$A1333,Ficha!$C$4))</f>
        <v/>
      </c>
    </row>
    <row r="1334">
      <c r="A1334" s="8">
        <f>IF(INDEX(Banco!$A:$A,ROW())="","",INDEX(Banco!$A:$A,ROW()))</f>
        <v/>
      </c>
      <c r="B1334" s="8">
        <f>IF(INDEX(Banco!$B:$B,ROW())="","",INDEX(Banco!$B:$B,ROW()))</f>
        <v/>
      </c>
      <c r="C1334" s="8">
        <f>IF(INDEX(Banco!$C:$C,ROW())="","",INDEX(Banco!$C:$C,ROW()))</f>
        <v/>
      </c>
      <c r="D1334" s="9">
        <f>IF(INDEX(Banco!$D:$D,ROW())="","",INDEX(Banco!$D:$D,ROW()))</f>
        <v/>
      </c>
      <c r="E1334" s="9">
        <f>IF(INDEX(Banco!$E:$E,ROW())="","",INDEX(Banco!$E:$E,ROW()))</f>
        <v/>
      </c>
      <c r="F1334" s="10">
        <f>IF(INDEX(Banco!$F:$F,ROW())="","",INDEX(Banco!$F:$F,ROW()))</f>
        <v/>
      </c>
      <c r="G1334" s="10">
        <f>IF(INDEX(Banco!$G:$G,ROW())="","",INDEX(Banco!$G:$G,ROW()))</f>
        <v/>
      </c>
      <c r="H1334" s="8">
        <f>IF(INDEX(Banco!$H:$H,ROW())="","",INDEX(Banco!$H:$H,ROW()))</f>
        <v/>
      </c>
      <c r="I1334">
        <f>IF($T1334="","",INT($T1334/12)&amp;"a "&amp;MOD($T1334,12)&amp;"m")</f>
        <v/>
      </c>
      <c r="J1334" s="11">
        <f>IF(OR($F1334="",$G1334=""),"",ROUND($F1334/($G1334/100)^2,2))</f>
        <v/>
      </c>
      <c r="K1334" s="12">
        <f>IF(OR($S1334="",$J1334="",$T1334="",$T1334&lt;0,$T1334&gt;228,$Y1334=""),"—",ROUND(IF(ABS($AB1334)&lt;=3,$AB1334,IF($AB1334&gt;3,3+($J1334-$AD1334)/($AD1334-$AC1334),-3+($J1334-$AF1334)/($AE1334-$AF1334))),2))</f>
        <v/>
      </c>
      <c r="L1334">
        <f>IF(OR($K1334="",$K1334="—"),"",IF($T1334&lt;=60,IF($K1334&lt;-3,"Magreza acentuada",IF($K1334&lt;-2,"Magreza",IF($K1334&lt;=1,"Eutrofia",IF($K1334&lt;=2,"Risco de sobrepeso",IF($K1334&lt;=3,"Sobrepeso","Obesidade"))))),IF($K1334&lt;-3,"Magreza acentuada",IF($K1334&lt;-2,"Magreza",IF($K1334&lt;=1,"Eutrofia",IF($K1334&lt;=2,"Sobrepeso",IF($K1334&lt;=3,"Obesidade","Obesidade grave")))))))</f>
        <v/>
      </c>
      <c r="M1334" s="12">
        <f>IF(OR($S1334="",$V1334="",$T1334="",$T1334&lt;0,$T1334&gt;228,$AG1334=""),"—",ROUND(IF($AG1334=0,LN($V1334/$AH1334)/$AI1334,((($V1334/$AH1334)^$AG1334)-1)/($AG1334*$AI1334)),2))</f>
        <v/>
      </c>
      <c r="N1334">
        <f>IF(OR($M1334="",$M1334="—"),"",IF($M1334&lt;-3,"Muito baixa",IF($M1334&lt;-2,"Baixa","Adequada")))</f>
        <v/>
      </c>
      <c r="O1334" s="12">
        <f>IF(OR($S1334="",$F1334="",$T1334="",$T1334&lt;0,$T1334&gt;120,$AJ1334=""),"—",ROUND(IF(ABS($AM1334)&lt;=3,$AM1334,IF($AM1334&gt;3,3+($F1334-$AO1334)/($AO1334-$AN1334),-3+($F1334-$AQ1334)/($AP1334-$AQ1334))),2))</f>
        <v/>
      </c>
      <c r="P1334">
        <f>IF(OR($O1334="",$O1334="—"),"",IF($O1334&lt;-3,"Muito baixo",IF($O1334&lt;-2,"Baixo",IF($O1334&lt;=2,"Adequado","Elevado"))))</f>
        <v/>
      </c>
      <c r="Q1334" s="12">
        <f>IF(OR($S1334="",$F1334="",$T1334="",$T1334&lt;0,$T1334&gt;60,$AR1334=""),"—",ROUND(IF(ABS($AU1334)&lt;=3,$AU1334,IF($AU1334&gt;3,3+($F1334-$AW1334)/($AW1334-$AV1334),-3+($F1334-$AY1334)/($AX1334-$AY1334))),2))</f>
        <v/>
      </c>
      <c r="R1334">
        <f>IF(OR($Q1334="",$Q1334="—"),"",IF($Q1334&lt;-3,"Magreza acentuada",IF($Q1334&lt;-2,"Magreza",IF($Q1334&lt;=1,"Eutrofia",IF($Q1334&lt;=2,"Risco de sobrepeso",IF($Q1334&lt;=3,"Sobrepeso","Obesidade"))))))</f>
        <v/>
      </c>
      <c r="S1334">
        <f>IF($C1334="","",IF(UPPER(LEFT($C1334,1))="M",1,IF(UPPER(LEFT($C1334,1))="F",2,"")))</f>
        <v/>
      </c>
      <c r="T1334">
        <f>IF(OR($D1334="",$E1334=""),"",DATEDIF($D1334,$E1334,"m"))</f>
        <v/>
      </c>
      <c r="U1334">
        <f>IF(OR($D1334="",$E1334=""),"",$E1334-$D1334)</f>
        <v/>
      </c>
      <c r="V1334">
        <f>IF(OR($G1334="",$T1334=""),"",IF($T1334&lt;24,IF(LEFT(LOWER($H1334),4)="em p",$G1334+0.7,$G1334),IF(LEFT(LOWER($H1334),4)="deit",$G1334-0.7,$G1334)))</f>
        <v/>
      </c>
      <c r="W1334">
        <f>IF(OR($S1334="",$T1334=""),"",$S1334*1000000+IF($T1334&lt;=60,$U1334,$T1334))</f>
        <v/>
      </c>
      <c r="X1334">
        <f>IF(OR($S1334="",$V1334="",$T1334&gt;60,$T1334=""),"",$S1334*1000000+ROUND($V1334*10,0))</f>
        <v/>
      </c>
      <c r="Y1334">
        <f>IF($W1334="","",IFERROR(INDEX(IF($T1334&lt;=60,imc05_l,imc519_l),MATCH($W1334,IF($T1334&lt;=60,imc05_k,imc519_k),1)),""))</f>
        <v/>
      </c>
      <c r="Z1334">
        <f>IF($W1334="","",IFERROR(INDEX(IF($T1334&lt;=60,imc05_m,imc519_m),MATCH($W1334,IF($T1334&lt;=60,imc05_k,imc519_k),1)),""))</f>
        <v/>
      </c>
      <c r="AA1334">
        <f>IF($W1334="","",IFERROR(INDEX(IF($T1334&lt;=60,imc05_s,imc519_s),MATCH($W1334,IF($T1334&lt;=60,imc05_k,imc519_k),1)),""))</f>
        <v/>
      </c>
      <c r="AB1334">
        <f>IF($Y1334="","",IF($Y1334=0,LN($J1334/$Z1334)/$AA1334,((($J1334/$Z1334)^$Y1334)-1)/($Y1334*$AA1334)))</f>
        <v/>
      </c>
      <c r="AC1334">
        <f>IF($Y1334="","",IF($Y1334=0,$Z1334*EXP($AA1334*2),$Z1334*(1+$Y1334*$AA1334*2)^(1/$Y1334)))</f>
        <v/>
      </c>
      <c r="AD1334">
        <f>IF($Y1334="","",IF($Y1334=0,$Z1334*EXP($AA1334*3),$Z1334*(1+$Y1334*$AA1334*3)^(1/$Y1334)))</f>
        <v/>
      </c>
      <c r="AE1334">
        <f>IF($Y1334="","",IF($Y1334=0,$Z1334*EXP($AA1334*-2),$Z1334*(1+$Y1334*$AA1334*-2)^(1/$Y1334)))</f>
        <v/>
      </c>
      <c r="AF1334">
        <f>IF($Y1334="","",IF($Y1334=0,$Z1334*EXP($AA1334*-3),$Z1334*(1+$Y1334*$AA1334*-3)^(1/$Y1334)))</f>
        <v/>
      </c>
      <c r="AG1334">
        <f>IF($W1334="","",IFERROR(INDEX(IF($T1334&lt;=60,est05_l,est519_l),MATCH($W1334,IF($T1334&lt;=60,est05_k,est519_k),1)),""))</f>
        <v/>
      </c>
      <c r="AH1334">
        <f>IF($W1334="","",IFERROR(INDEX(IF($T1334&lt;=60,est05_m,est519_m),MATCH($W1334,IF($T1334&lt;=60,est05_k,est519_k),1)),""))</f>
        <v/>
      </c>
      <c r="AI1334">
        <f>IF($W1334="","",IFERROR(INDEX(IF($T1334&lt;=60,est05_s,est519_s),MATCH($W1334,IF($T1334&lt;=60,est05_k,est519_k),1)),""))</f>
        <v/>
      </c>
      <c r="AJ1334">
        <f>IF($W1334="","",IFERROR(INDEX(IF($T1334&lt;=60,peso05_l,peso510_l),MATCH($W1334,IF($T1334&lt;=60,peso05_k,peso510_k),1)),""))</f>
        <v/>
      </c>
      <c r="AK1334">
        <f>IF($W1334="","",IFERROR(INDEX(IF($T1334&lt;=60,peso05_m,peso510_m),MATCH($W1334,IF($T1334&lt;=60,peso05_k,peso510_k),1)),""))</f>
        <v/>
      </c>
      <c r="AL1334">
        <f>IF($W1334="","",IFERROR(INDEX(IF($T1334&lt;=60,peso05_s,peso510_s),MATCH($W1334,IF($T1334&lt;=60,peso05_k,peso510_k),1)),""))</f>
        <v/>
      </c>
      <c r="AM1334">
        <f>IF($AJ1334="","",IF($AJ1334=0,LN($F1334/$AK1334)/$AL1334,((($F1334/$AK1334)^$AJ1334)-1)/($AJ1334*$AL1334)))</f>
        <v/>
      </c>
      <c r="AN1334">
        <f>IF($AJ1334="","",IF($AJ1334=0,$AK1334*EXP($AL1334*2),$AK1334*(1+$AJ1334*$AL1334*2)^(1/$AJ1334)))</f>
        <v/>
      </c>
      <c r="AO1334">
        <f>IF($AJ1334="","",IF($AJ1334=0,$AK1334*EXP($AL1334*3),$AK1334*(1+$AJ1334*$AL1334*3)^(1/$AJ1334)))</f>
        <v/>
      </c>
      <c r="AP1334">
        <f>IF($AJ1334="","",IF($AJ1334=0,$AK1334*EXP($AL1334*-2),$AK1334*(1+$AJ1334*$AL1334*-2)^(1/$AJ1334)))</f>
        <v/>
      </c>
      <c r="AQ1334">
        <f>IF($AJ1334="","",IF($AJ1334=0,$AK1334*EXP($AL1334*-3),$AK1334*(1+$AJ1334*$AL1334*-3)^(1/$AJ1334)))</f>
        <v/>
      </c>
      <c r="AR1334">
        <f>IF(OR($X1334="",$T1334&gt;60),"",IFERROR(INDEX(IF($T1334&lt;24,pcomp_l,palt_l),MATCH($X1334,IF($T1334&lt;24,pcomp_k,palt_k),1)),""))</f>
        <v/>
      </c>
      <c r="AS1334">
        <f>IF(OR($X1334="",$T1334&gt;60),"",IFERROR(INDEX(IF($T1334&lt;24,pcomp_m,palt_m),MATCH($X1334,IF($T1334&lt;24,pcomp_k,palt_k),1)),""))</f>
        <v/>
      </c>
      <c r="AT1334">
        <f>IF(OR($X1334="",$T1334&gt;60),"",IFERROR(INDEX(IF($T1334&lt;24,pcomp_s,palt_s),MATCH($X1334,IF($T1334&lt;24,pcomp_k,palt_k),1)),""))</f>
        <v/>
      </c>
      <c r="AU1334">
        <f>IF($AR1334="","",IF($AR1334=0,LN($F1334/$AS1334)/$AT1334,((($F1334/$AS1334)^$AR1334)-1)/($AR1334*$AT1334)))</f>
        <v/>
      </c>
      <c r="AV1334">
        <f>IF($AR1334="","",IF($AR1334=0,$AS1334*EXP($AT1334*2),$AS1334*(1+$AR1334*$AT1334*2)^(1/$AR1334)))</f>
        <v/>
      </c>
      <c r="AW1334">
        <f>IF($AR1334="","",IF($AR1334=0,$AS1334*EXP($AT1334*3),$AS1334*(1+$AR1334*$AT1334*3)^(1/$AR1334)))</f>
        <v/>
      </c>
      <c r="AX1334">
        <f>IF($AR1334="","",IF($AR1334=0,$AS1334*EXP($AT1334*-2),$AS1334*(1+$AR1334*$AT1334*-2)^(1/$AR1334)))</f>
        <v/>
      </c>
      <c r="AY1334">
        <f>IF($AR1334="","",IF($AR1334=0,$AS1334*EXP($AT1334*-3),$AS1334*(1+$AR1334*$AT1334*-3)^(1/$AR1334)))</f>
        <v/>
      </c>
      <c r="AZ1334">
        <f>IF(OR($A1334="",$A1334&lt;&gt;Ficha!$C$4),"",COUNTIF($A$2:$A1334,Ficha!$C$4))</f>
        <v/>
      </c>
    </row>
    <row r="1335">
      <c r="A1335" s="8">
        <f>IF(INDEX(Banco!$A:$A,ROW())="","",INDEX(Banco!$A:$A,ROW()))</f>
        <v/>
      </c>
      <c r="B1335" s="8">
        <f>IF(INDEX(Banco!$B:$B,ROW())="","",INDEX(Banco!$B:$B,ROW()))</f>
        <v/>
      </c>
      <c r="C1335" s="8">
        <f>IF(INDEX(Banco!$C:$C,ROW())="","",INDEX(Banco!$C:$C,ROW()))</f>
        <v/>
      </c>
      <c r="D1335" s="9">
        <f>IF(INDEX(Banco!$D:$D,ROW())="","",INDEX(Banco!$D:$D,ROW()))</f>
        <v/>
      </c>
      <c r="E1335" s="9">
        <f>IF(INDEX(Banco!$E:$E,ROW())="","",INDEX(Banco!$E:$E,ROW()))</f>
        <v/>
      </c>
      <c r="F1335" s="10">
        <f>IF(INDEX(Banco!$F:$F,ROW())="","",INDEX(Banco!$F:$F,ROW()))</f>
        <v/>
      </c>
      <c r="G1335" s="10">
        <f>IF(INDEX(Banco!$G:$G,ROW())="","",INDEX(Banco!$G:$G,ROW()))</f>
        <v/>
      </c>
      <c r="H1335" s="8">
        <f>IF(INDEX(Banco!$H:$H,ROW())="","",INDEX(Banco!$H:$H,ROW()))</f>
        <v/>
      </c>
      <c r="I1335">
        <f>IF($T1335="","",INT($T1335/12)&amp;"a "&amp;MOD($T1335,12)&amp;"m")</f>
        <v/>
      </c>
      <c r="J1335" s="11">
        <f>IF(OR($F1335="",$G1335=""),"",ROUND($F1335/($G1335/100)^2,2))</f>
        <v/>
      </c>
      <c r="K1335" s="12">
        <f>IF(OR($S1335="",$J1335="",$T1335="",$T1335&lt;0,$T1335&gt;228,$Y1335=""),"—",ROUND(IF(ABS($AB1335)&lt;=3,$AB1335,IF($AB1335&gt;3,3+($J1335-$AD1335)/($AD1335-$AC1335),-3+($J1335-$AF1335)/($AE1335-$AF1335))),2))</f>
        <v/>
      </c>
      <c r="L1335">
        <f>IF(OR($K1335="",$K1335="—"),"",IF($T1335&lt;=60,IF($K1335&lt;-3,"Magreza acentuada",IF($K1335&lt;-2,"Magreza",IF($K1335&lt;=1,"Eutrofia",IF($K1335&lt;=2,"Risco de sobrepeso",IF($K1335&lt;=3,"Sobrepeso","Obesidade"))))),IF($K1335&lt;-3,"Magreza acentuada",IF($K1335&lt;-2,"Magreza",IF($K1335&lt;=1,"Eutrofia",IF($K1335&lt;=2,"Sobrepeso",IF($K1335&lt;=3,"Obesidade","Obesidade grave")))))))</f>
        <v/>
      </c>
      <c r="M1335" s="12">
        <f>IF(OR($S1335="",$V1335="",$T1335="",$T1335&lt;0,$T1335&gt;228,$AG1335=""),"—",ROUND(IF($AG1335=0,LN($V1335/$AH1335)/$AI1335,((($V1335/$AH1335)^$AG1335)-1)/($AG1335*$AI1335)),2))</f>
        <v/>
      </c>
      <c r="N1335">
        <f>IF(OR($M1335="",$M1335="—"),"",IF($M1335&lt;-3,"Muito baixa",IF($M1335&lt;-2,"Baixa","Adequada")))</f>
        <v/>
      </c>
      <c r="O1335" s="12">
        <f>IF(OR($S1335="",$F1335="",$T1335="",$T1335&lt;0,$T1335&gt;120,$AJ1335=""),"—",ROUND(IF(ABS($AM1335)&lt;=3,$AM1335,IF($AM1335&gt;3,3+($F1335-$AO1335)/($AO1335-$AN1335),-3+($F1335-$AQ1335)/($AP1335-$AQ1335))),2))</f>
        <v/>
      </c>
      <c r="P1335">
        <f>IF(OR($O1335="",$O1335="—"),"",IF($O1335&lt;-3,"Muito baixo",IF($O1335&lt;-2,"Baixo",IF($O1335&lt;=2,"Adequado","Elevado"))))</f>
        <v/>
      </c>
      <c r="Q1335" s="12">
        <f>IF(OR($S1335="",$F1335="",$T1335="",$T1335&lt;0,$T1335&gt;60,$AR1335=""),"—",ROUND(IF(ABS($AU1335)&lt;=3,$AU1335,IF($AU1335&gt;3,3+($F1335-$AW1335)/($AW1335-$AV1335),-3+($F1335-$AY1335)/($AX1335-$AY1335))),2))</f>
        <v/>
      </c>
      <c r="R1335">
        <f>IF(OR($Q1335="",$Q1335="—"),"",IF($Q1335&lt;-3,"Magreza acentuada",IF($Q1335&lt;-2,"Magreza",IF($Q1335&lt;=1,"Eutrofia",IF($Q1335&lt;=2,"Risco de sobrepeso",IF($Q1335&lt;=3,"Sobrepeso","Obesidade"))))))</f>
        <v/>
      </c>
      <c r="S1335">
        <f>IF($C1335="","",IF(UPPER(LEFT($C1335,1))="M",1,IF(UPPER(LEFT($C1335,1))="F",2,"")))</f>
        <v/>
      </c>
      <c r="T1335">
        <f>IF(OR($D1335="",$E1335=""),"",DATEDIF($D1335,$E1335,"m"))</f>
        <v/>
      </c>
      <c r="U1335">
        <f>IF(OR($D1335="",$E1335=""),"",$E1335-$D1335)</f>
        <v/>
      </c>
      <c r="V1335">
        <f>IF(OR($G1335="",$T1335=""),"",IF($T1335&lt;24,IF(LEFT(LOWER($H1335),4)="em p",$G1335+0.7,$G1335),IF(LEFT(LOWER($H1335),4)="deit",$G1335-0.7,$G1335)))</f>
        <v/>
      </c>
      <c r="W1335">
        <f>IF(OR($S1335="",$T1335=""),"",$S1335*1000000+IF($T1335&lt;=60,$U1335,$T1335))</f>
        <v/>
      </c>
      <c r="X1335">
        <f>IF(OR($S1335="",$V1335="",$T1335&gt;60,$T1335=""),"",$S1335*1000000+ROUND($V1335*10,0))</f>
        <v/>
      </c>
      <c r="Y1335">
        <f>IF($W1335="","",IFERROR(INDEX(IF($T1335&lt;=60,imc05_l,imc519_l),MATCH($W1335,IF($T1335&lt;=60,imc05_k,imc519_k),1)),""))</f>
        <v/>
      </c>
      <c r="Z1335">
        <f>IF($W1335="","",IFERROR(INDEX(IF($T1335&lt;=60,imc05_m,imc519_m),MATCH($W1335,IF($T1335&lt;=60,imc05_k,imc519_k),1)),""))</f>
        <v/>
      </c>
      <c r="AA1335">
        <f>IF($W1335="","",IFERROR(INDEX(IF($T1335&lt;=60,imc05_s,imc519_s),MATCH($W1335,IF($T1335&lt;=60,imc05_k,imc519_k),1)),""))</f>
        <v/>
      </c>
      <c r="AB1335">
        <f>IF($Y1335="","",IF($Y1335=0,LN($J1335/$Z1335)/$AA1335,((($J1335/$Z1335)^$Y1335)-1)/($Y1335*$AA1335)))</f>
        <v/>
      </c>
      <c r="AC1335">
        <f>IF($Y1335="","",IF($Y1335=0,$Z1335*EXP($AA1335*2),$Z1335*(1+$Y1335*$AA1335*2)^(1/$Y1335)))</f>
        <v/>
      </c>
      <c r="AD1335">
        <f>IF($Y1335="","",IF($Y1335=0,$Z1335*EXP($AA1335*3),$Z1335*(1+$Y1335*$AA1335*3)^(1/$Y1335)))</f>
        <v/>
      </c>
      <c r="AE1335">
        <f>IF($Y1335="","",IF($Y1335=0,$Z1335*EXP($AA1335*-2),$Z1335*(1+$Y1335*$AA1335*-2)^(1/$Y1335)))</f>
        <v/>
      </c>
      <c r="AF1335">
        <f>IF($Y1335="","",IF($Y1335=0,$Z1335*EXP($AA1335*-3),$Z1335*(1+$Y1335*$AA1335*-3)^(1/$Y1335)))</f>
        <v/>
      </c>
      <c r="AG1335">
        <f>IF($W1335="","",IFERROR(INDEX(IF($T1335&lt;=60,est05_l,est519_l),MATCH($W1335,IF($T1335&lt;=60,est05_k,est519_k),1)),""))</f>
        <v/>
      </c>
      <c r="AH1335">
        <f>IF($W1335="","",IFERROR(INDEX(IF($T1335&lt;=60,est05_m,est519_m),MATCH($W1335,IF($T1335&lt;=60,est05_k,est519_k),1)),""))</f>
        <v/>
      </c>
      <c r="AI1335">
        <f>IF($W1335="","",IFERROR(INDEX(IF($T1335&lt;=60,est05_s,est519_s),MATCH($W1335,IF($T1335&lt;=60,est05_k,est519_k),1)),""))</f>
        <v/>
      </c>
      <c r="AJ1335">
        <f>IF($W1335="","",IFERROR(INDEX(IF($T1335&lt;=60,peso05_l,peso510_l),MATCH($W1335,IF($T1335&lt;=60,peso05_k,peso510_k),1)),""))</f>
        <v/>
      </c>
      <c r="AK1335">
        <f>IF($W1335="","",IFERROR(INDEX(IF($T1335&lt;=60,peso05_m,peso510_m),MATCH($W1335,IF($T1335&lt;=60,peso05_k,peso510_k),1)),""))</f>
        <v/>
      </c>
      <c r="AL1335">
        <f>IF($W1335="","",IFERROR(INDEX(IF($T1335&lt;=60,peso05_s,peso510_s),MATCH($W1335,IF($T1335&lt;=60,peso05_k,peso510_k),1)),""))</f>
        <v/>
      </c>
      <c r="AM1335">
        <f>IF($AJ1335="","",IF($AJ1335=0,LN($F1335/$AK1335)/$AL1335,((($F1335/$AK1335)^$AJ1335)-1)/($AJ1335*$AL1335)))</f>
        <v/>
      </c>
      <c r="AN1335">
        <f>IF($AJ1335="","",IF($AJ1335=0,$AK1335*EXP($AL1335*2),$AK1335*(1+$AJ1335*$AL1335*2)^(1/$AJ1335)))</f>
        <v/>
      </c>
      <c r="AO1335">
        <f>IF($AJ1335="","",IF($AJ1335=0,$AK1335*EXP($AL1335*3),$AK1335*(1+$AJ1335*$AL1335*3)^(1/$AJ1335)))</f>
        <v/>
      </c>
      <c r="AP1335">
        <f>IF($AJ1335="","",IF($AJ1335=0,$AK1335*EXP($AL1335*-2),$AK1335*(1+$AJ1335*$AL1335*-2)^(1/$AJ1335)))</f>
        <v/>
      </c>
      <c r="AQ1335">
        <f>IF($AJ1335="","",IF($AJ1335=0,$AK1335*EXP($AL1335*-3),$AK1335*(1+$AJ1335*$AL1335*-3)^(1/$AJ1335)))</f>
        <v/>
      </c>
      <c r="AR1335">
        <f>IF(OR($X1335="",$T1335&gt;60),"",IFERROR(INDEX(IF($T1335&lt;24,pcomp_l,palt_l),MATCH($X1335,IF($T1335&lt;24,pcomp_k,palt_k),1)),""))</f>
        <v/>
      </c>
      <c r="AS1335">
        <f>IF(OR($X1335="",$T1335&gt;60),"",IFERROR(INDEX(IF($T1335&lt;24,pcomp_m,palt_m),MATCH($X1335,IF($T1335&lt;24,pcomp_k,palt_k),1)),""))</f>
        <v/>
      </c>
      <c r="AT1335">
        <f>IF(OR($X1335="",$T1335&gt;60),"",IFERROR(INDEX(IF($T1335&lt;24,pcomp_s,palt_s),MATCH($X1335,IF($T1335&lt;24,pcomp_k,palt_k),1)),""))</f>
        <v/>
      </c>
      <c r="AU1335">
        <f>IF($AR1335="","",IF($AR1335=0,LN($F1335/$AS1335)/$AT1335,((($F1335/$AS1335)^$AR1335)-1)/($AR1335*$AT1335)))</f>
        <v/>
      </c>
      <c r="AV1335">
        <f>IF($AR1335="","",IF($AR1335=0,$AS1335*EXP($AT1335*2),$AS1335*(1+$AR1335*$AT1335*2)^(1/$AR1335)))</f>
        <v/>
      </c>
      <c r="AW1335">
        <f>IF($AR1335="","",IF($AR1335=0,$AS1335*EXP($AT1335*3),$AS1335*(1+$AR1335*$AT1335*3)^(1/$AR1335)))</f>
        <v/>
      </c>
      <c r="AX1335">
        <f>IF($AR1335="","",IF($AR1335=0,$AS1335*EXP($AT1335*-2),$AS1335*(1+$AR1335*$AT1335*-2)^(1/$AR1335)))</f>
        <v/>
      </c>
      <c r="AY1335">
        <f>IF($AR1335="","",IF($AR1335=0,$AS1335*EXP($AT1335*-3),$AS1335*(1+$AR1335*$AT1335*-3)^(1/$AR1335)))</f>
        <v/>
      </c>
      <c r="AZ1335">
        <f>IF(OR($A1335="",$A1335&lt;&gt;Ficha!$C$4),"",COUNTIF($A$2:$A1335,Ficha!$C$4))</f>
        <v/>
      </c>
    </row>
    <row r="1336">
      <c r="A1336" s="8">
        <f>IF(INDEX(Banco!$A:$A,ROW())="","",INDEX(Banco!$A:$A,ROW()))</f>
        <v/>
      </c>
      <c r="B1336" s="8">
        <f>IF(INDEX(Banco!$B:$B,ROW())="","",INDEX(Banco!$B:$B,ROW()))</f>
        <v/>
      </c>
      <c r="C1336" s="8">
        <f>IF(INDEX(Banco!$C:$C,ROW())="","",INDEX(Banco!$C:$C,ROW()))</f>
        <v/>
      </c>
      <c r="D1336" s="9">
        <f>IF(INDEX(Banco!$D:$D,ROW())="","",INDEX(Banco!$D:$D,ROW()))</f>
        <v/>
      </c>
      <c r="E1336" s="9">
        <f>IF(INDEX(Banco!$E:$E,ROW())="","",INDEX(Banco!$E:$E,ROW()))</f>
        <v/>
      </c>
      <c r="F1336" s="10">
        <f>IF(INDEX(Banco!$F:$F,ROW())="","",INDEX(Banco!$F:$F,ROW()))</f>
        <v/>
      </c>
      <c r="G1336" s="10">
        <f>IF(INDEX(Banco!$G:$G,ROW())="","",INDEX(Banco!$G:$G,ROW()))</f>
        <v/>
      </c>
      <c r="H1336" s="8">
        <f>IF(INDEX(Banco!$H:$H,ROW())="","",INDEX(Banco!$H:$H,ROW()))</f>
        <v/>
      </c>
      <c r="I1336">
        <f>IF($T1336="","",INT($T1336/12)&amp;"a "&amp;MOD($T1336,12)&amp;"m")</f>
        <v/>
      </c>
      <c r="J1336" s="11">
        <f>IF(OR($F1336="",$G1336=""),"",ROUND($F1336/($G1336/100)^2,2))</f>
        <v/>
      </c>
      <c r="K1336" s="12">
        <f>IF(OR($S1336="",$J1336="",$T1336="",$T1336&lt;0,$T1336&gt;228,$Y1336=""),"—",ROUND(IF(ABS($AB1336)&lt;=3,$AB1336,IF($AB1336&gt;3,3+($J1336-$AD1336)/($AD1336-$AC1336),-3+($J1336-$AF1336)/($AE1336-$AF1336))),2))</f>
        <v/>
      </c>
      <c r="L1336">
        <f>IF(OR($K1336="",$K1336="—"),"",IF($T1336&lt;=60,IF($K1336&lt;-3,"Magreza acentuada",IF($K1336&lt;-2,"Magreza",IF($K1336&lt;=1,"Eutrofia",IF($K1336&lt;=2,"Risco de sobrepeso",IF($K1336&lt;=3,"Sobrepeso","Obesidade"))))),IF($K1336&lt;-3,"Magreza acentuada",IF($K1336&lt;-2,"Magreza",IF($K1336&lt;=1,"Eutrofia",IF($K1336&lt;=2,"Sobrepeso",IF($K1336&lt;=3,"Obesidade","Obesidade grave")))))))</f>
        <v/>
      </c>
      <c r="M1336" s="12">
        <f>IF(OR($S1336="",$V1336="",$T1336="",$T1336&lt;0,$T1336&gt;228,$AG1336=""),"—",ROUND(IF($AG1336=0,LN($V1336/$AH1336)/$AI1336,((($V1336/$AH1336)^$AG1336)-1)/($AG1336*$AI1336)),2))</f>
        <v/>
      </c>
      <c r="N1336">
        <f>IF(OR($M1336="",$M1336="—"),"",IF($M1336&lt;-3,"Muito baixa",IF($M1336&lt;-2,"Baixa","Adequada")))</f>
        <v/>
      </c>
      <c r="O1336" s="12">
        <f>IF(OR($S1336="",$F1336="",$T1336="",$T1336&lt;0,$T1336&gt;120,$AJ1336=""),"—",ROUND(IF(ABS($AM1336)&lt;=3,$AM1336,IF($AM1336&gt;3,3+($F1336-$AO1336)/($AO1336-$AN1336),-3+($F1336-$AQ1336)/($AP1336-$AQ1336))),2))</f>
        <v/>
      </c>
      <c r="P1336">
        <f>IF(OR($O1336="",$O1336="—"),"",IF($O1336&lt;-3,"Muito baixo",IF($O1336&lt;-2,"Baixo",IF($O1336&lt;=2,"Adequado","Elevado"))))</f>
        <v/>
      </c>
      <c r="Q1336" s="12">
        <f>IF(OR($S1336="",$F1336="",$T1336="",$T1336&lt;0,$T1336&gt;60,$AR1336=""),"—",ROUND(IF(ABS($AU1336)&lt;=3,$AU1336,IF($AU1336&gt;3,3+($F1336-$AW1336)/($AW1336-$AV1336),-3+($F1336-$AY1336)/($AX1336-$AY1336))),2))</f>
        <v/>
      </c>
      <c r="R1336">
        <f>IF(OR($Q1336="",$Q1336="—"),"",IF($Q1336&lt;-3,"Magreza acentuada",IF($Q1336&lt;-2,"Magreza",IF($Q1336&lt;=1,"Eutrofia",IF($Q1336&lt;=2,"Risco de sobrepeso",IF($Q1336&lt;=3,"Sobrepeso","Obesidade"))))))</f>
        <v/>
      </c>
      <c r="S1336">
        <f>IF($C1336="","",IF(UPPER(LEFT($C1336,1))="M",1,IF(UPPER(LEFT($C1336,1))="F",2,"")))</f>
        <v/>
      </c>
      <c r="T1336">
        <f>IF(OR($D1336="",$E1336=""),"",DATEDIF($D1336,$E1336,"m"))</f>
        <v/>
      </c>
      <c r="U1336">
        <f>IF(OR($D1336="",$E1336=""),"",$E1336-$D1336)</f>
        <v/>
      </c>
      <c r="V1336">
        <f>IF(OR($G1336="",$T1336=""),"",IF($T1336&lt;24,IF(LEFT(LOWER($H1336),4)="em p",$G1336+0.7,$G1336),IF(LEFT(LOWER($H1336),4)="deit",$G1336-0.7,$G1336)))</f>
        <v/>
      </c>
      <c r="W1336">
        <f>IF(OR($S1336="",$T1336=""),"",$S1336*1000000+IF($T1336&lt;=60,$U1336,$T1336))</f>
        <v/>
      </c>
      <c r="X1336">
        <f>IF(OR($S1336="",$V1336="",$T1336&gt;60,$T1336=""),"",$S1336*1000000+ROUND($V1336*10,0))</f>
        <v/>
      </c>
      <c r="Y1336">
        <f>IF($W1336="","",IFERROR(INDEX(IF($T1336&lt;=60,imc05_l,imc519_l),MATCH($W1336,IF($T1336&lt;=60,imc05_k,imc519_k),1)),""))</f>
        <v/>
      </c>
      <c r="Z1336">
        <f>IF($W1336="","",IFERROR(INDEX(IF($T1336&lt;=60,imc05_m,imc519_m),MATCH($W1336,IF($T1336&lt;=60,imc05_k,imc519_k),1)),""))</f>
        <v/>
      </c>
      <c r="AA1336">
        <f>IF($W1336="","",IFERROR(INDEX(IF($T1336&lt;=60,imc05_s,imc519_s),MATCH($W1336,IF($T1336&lt;=60,imc05_k,imc519_k),1)),""))</f>
        <v/>
      </c>
      <c r="AB1336">
        <f>IF($Y1336="","",IF($Y1336=0,LN($J1336/$Z1336)/$AA1336,((($J1336/$Z1336)^$Y1336)-1)/($Y1336*$AA1336)))</f>
        <v/>
      </c>
      <c r="AC1336">
        <f>IF($Y1336="","",IF($Y1336=0,$Z1336*EXP($AA1336*2),$Z1336*(1+$Y1336*$AA1336*2)^(1/$Y1336)))</f>
        <v/>
      </c>
      <c r="AD1336">
        <f>IF($Y1336="","",IF($Y1336=0,$Z1336*EXP($AA1336*3),$Z1336*(1+$Y1336*$AA1336*3)^(1/$Y1336)))</f>
        <v/>
      </c>
      <c r="AE1336">
        <f>IF($Y1336="","",IF($Y1336=0,$Z1336*EXP($AA1336*-2),$Z1336*(1+$Y1336*$AA1336*-2)^(1/$Y1336)))</f>
        <v/>
      </c>
      <c r="AF1336">
        <f>IF($Y1336="","",IF($Y1336=0,$Z1336*EXP($AA1336*-3),$Z1336*(1+$Y1336*$AA1336*-3)^(1/$Y1336)))</f>
        <v/>
      </c>
      <c r="AG1336">
        <f>IF($W1336="","",IFERROR(INDEX(IF($T1336&lt;=60,est05_l,est519_l),MATCH($W1336,IF($T1336&lt;=60,est05_k,est519_k),1)),""))</f>
        <v/>
      </c>
      <c r="AH1336">
        <f>IF($W1336="","",IFERROR(INDEX(IF($T1336&lt;=60,est05_m,est519_m),MATCH($W1336,IF($T1336&lt;=60,est05_k,est519_k),1)),""))</f>
        <v/>
      </c>
      <c r="AI1336">
        <f>IF($W1336="","",IFERROR(INDEX(IF($T1336&lt;=60,est05_s,est519_s),MATCH($W1336,IF($T1336&lt;=60,est05_k,est519_k),1)),""))</f>
        <v/>
      </c>
      <c r="AJ1336">
        <f>IF($W1336="","",IFERROR(INDEX(IF($T1336&lt;=60,peso05_l,peso510_l),MATCH($W1336,IF($T1336&lt;=60,peso05_k,peso510_k),1)),""))</f>
        <v/>
      </c>
      <c r="AK1336">
        <f>IF($W1336="","",IFERROR(INDEX(IF($T1336&lt;=60,peso05_m,peso510_m),MATCH($W1336,IF($T1336&lt;=60,peso05_k,peso510_k),1)),""))</f>
        <v/>
      </c>
      <c r="AL1336">
        <f>IF($W1336="","",IFERROR(INDEX(IF($T1336&lt;=60,peso05_s,peso510_s),MATCH($W1336,IF($T1336&lt;=60,peso05_k,peso510_k),1)),""))</f>
        <v/>
      </c>
      <c r="AM1336">
        <f>IF($AJ1336="","",IF($AJ1336=0,LN($F1336/$AK1336)/$AL1336,((($F1336/$AK1336)^$AJ1336)-1)/($AJ1336*$AL1336)))</f>
        <v/>
      </c>
      <c r="AN1336">
        <f>IF($AJ1336="","",IF($AJ1336=0,$AK1336*EXP($AL1336*2),$AK1336*(1+$AJ1336*$AL1336*2)^(1/$AJ1336)))</f>
        <v/>
      </c>
      <c r="AO1336">
        <f>IF($AJ1336="","",IF($AJ1336=0,$AK1336*EXP($AL1336*3),$AK1336*(1+$AJ1336*$AL1336*3)^(1/$AJ1336)))</f>
        <v/>
      </c>
      <c r="AP1336">
        <f>IF($AJ1336="","",IF($AJ1336=0,$AK1336*EXP($AL1336*-2),$AK1336*(1+$AJ1336*$AL1336*-2)^(1/$AJ1336)))</f>
        <v/>
      </c>
      <c r="AQ1336">
        <f>IF($AJ1336="","",IF($AJ1336=0,$AK1336*EXP($AL1336*-3),$AK1336*(1+$AJ1336*$AL1336*-3)^(1/$AJ1336)))</f>
        <v/>
      </c>
      <c r="AR1336">
        <f>IF(OR($X1336="",$T1336&gt;60),"",IFERROR(INDEX(IF($T1336&lt;24,pcomp_l,palt_l),MATCH($X1336,IF($T1336&lt;24,pcomp_k,palt_k),1)),""))</f>
        <v/>
      </c>
      <c r="AS1336">
        <f>IF(OR($X1336="",$T1336&gt;60),"",IFERROR(INDEX(IF($T1336&lt;24,pcomp_m,palt_m),MATCH($X1336,IF($T1336&lt;24,pcomp_k,palt_k),1)),""))</f>
        <v/>
      </c>
      <c r="AT1336">
        <f>IF(OR($X1336="",$T1336&gt;60),"",IFERROR(INDEX(IF($T1336&lt;24,pcomp_s,palt_s),MATCH($X1336,IF($T1336&lt;24,pcomp_k,palt_k),1)),""))</f>
        <v/>
      </c>
      <c r="AU1336">
        <f>IF($AR1336="","",IF($AR1336=0,LN($F1336/$AS1336)/$AT1336,((($F1336/$AS1336)^$AR1336)-1)/($AR1336*$AT1336)))</f>
        <v/>
      </c>
      <c r="AV1336">
        <f>IF($AR1336="","",IF($AR1336=0,$AS1336*EXP($AT1336*2),$AS1336*(1+$AR1336*$AT1336*2)^(1/$AR1336)))</f>
        <v/>
      </c>
      <c r="AW1336">
        <f>IF($AR1336="","",IF($AR1336=0,$AS1336*EXP($AT1336*3),$AS1336*(1+$AR1336*$AT1336*3)^(1/$AR1336)))</f>
        <v/>
      </c>
      <c r="AX1336">
        <f>IF($AR1336="","",IF($AR1336=0,$AS1336*EXP($AT1336*-2),$AS1336*(1+$AR1336*$AT1336*-2)^(1/$AR1336)))</f>
        <v/>
      </c>
      <c r="AY1336">
        <f>IF($AR1336="","",IF($AR1336=0,$AS1336*EXP($AT1336*-3),$AS1336*(1+$AR1336*$AT1336*-3)^(1/$AR1336)))</f>
        <v/>
      </c>
      <c r="AZ1336">
        <f>IF(OR($A1336="",$A1336&lt;&gt;Ficha!$C$4),"",COUNTIF($A$2:$A1336,Ficha!$C$4))</f>
        <v/>
      </c>
    </row>
    <row r="1337">
      <c r="A1337" s="8">
        <f>IF(INDEX(Banco!$A:$A,ROW())="","",INDEX(Banco!$A:$A,ROW()))</f>
        <v/>
      </c>
      <c r="B1337" s="8">
        <f>IF(INDEX(Banco!$B:$B,ROW())="","",INDEX(Banco!$B:$B,ROW()))</f>
        <v/>
      </c>
      <c r="C1337" s="8">
        <f>IF(INDEX(Banco!$C:$C,ROW())="","",INDEX(Banco!$C:$C,ROW()))</f>
        <v/>
      </c>
      <c r="D1337" s="9">
        <f>IF(INDEX(Banco!$D:$D,ROW())="","",INDEX(Banco!$D:$D,ROW()))</f>
        <v/>
      </c>
      <c r="E1337" s="9">
        <f>IF(INDEX(Banco!$E:$E,ROW())="","",INDEX(Banco!$E:$E,ROW()))</f>
        <v/>
      </c>
      <c r="F1337" s="10">
        <f>IF(INDEX(Banco!$F:$F,ROW())="","",INDEX(Banco!$F:$F,ROW()))</f>
        <v/>
      </c>
      <c r="G1337" s="10">
        <f>IF(INDEX(Banco!$G:$G,ROW())="","",INDEX(Banco!$G:$G,ROW()))</f>
        <v/>
      </c>
      <c r="H1337" s="8">
        <f>IF(INDEX(Banco!$H:$H,ROW())="","",INDEX(Banco!$H:$H,ROW()))</f>
        <v/>
      </c>
      <c r="I1337">
        <f>IF($T1337="","",INT($T1337/12)&amp;"a "&amp;MOD($T1337,12)&amp;"m")</f>
        <v/>
      </c>
      <c r="J1337" s="11">
        <f>IF(OR($F1337="",$G1337=""),"",ROUND($F1337/($G1337/100)^2,2))</f>
        <v/>
      </c>
      <c r="K1337" s="12">
        <f>IF(OR($S1337="",$J1337="",$T1337="",$T1337&lt;0,$T1337&gt;228,$Y1337=""),"—",ROUND(IF(ABS($AB1337)&lt;=3,$AB1337,IF($AB1337&gt;3,3+($J1337-$AD1337)/($AD1337-$AC1337),-3+($J1337-$AF1337)/($AE1337-$AF1337))),2))</f>
        <v/>
      </c>
      <c r="L1337">
        <f>IF(OR($K1337="",$K1337="—"),"",IF($T1337&lt;=60,IF($K1337&lt;-3,"Magreza acentuada",IF($K1337&lt;-2,"Magreza",IF($K1337&lt;=1,"Eutrofia",IF($K1337&lt;=2,"Risco de sobrepeso",IF($K1337&lt;=3,"Sobrepeso","Obesidade"))))),IF($K1337&lt;-3,"Magreza acentuada",IF($K1337&lt;-2,"Magreza",IF($K1337&lt;=1,"Eutrofia",IF($K1337&lt;=2,"Sobrepeso",IF($K1337&lt;=3,"Obesidade","Obesidade grave")))))))</f>
        <v/>
      </c>
      <c r="M1337" s="12">
        <f>IF(OR($S1337="",$V1337="",$T1337="",$T1337&lt;0,$T1337&gt;228,$AG1337=""),"—",ROUND(IF($AG1337=0,LN($V1337/$AH1337)/$AI1337,((($V1337/$AH1337)^$AG1337)-1)/($AG1337*$AI1337)),2))</f>
        <v/>
      </c>
      <c r="N1337">
        <f>IF(OR($M1337="",$M1337="—"),"",IF($M1337&lt;-3,"Muito baixa",IF($M1337&lt;-2,"Baixa","Adequada")))</f>
        <v/>
      </c>
      <c r="O1337" s="12">
        <f>IF(OR($S1337="",$F1337="",$T1337="",$T1337&lt;0,$T1337&gt;120,$AJ1337=""),"—",ROUND(IF(ABS($AM1337)&lt;=3,$AM1337,IF($AM1337&gt;3,3+($F1337-$AO1337)/($AO1337-$AN1337),-3+($F1337-$AQ1337)/($AP1337-$AQ1337))),2))</f>
        <v/>
      </c>
      <c r="P1337">
        <f>IF(OR($O1337="",$O1337="—"),"",IF($O1337&lt;-3,"Muito baixo",IF($O1337&lt;-2,"Baixo",IF($O1337&lt;=2,"Adequado","Elevado"))))</f>
        <v/>
      </c>
      <c r="Q1337" s="12">
        <f>IF(OR($S1337="",$F1337="",$T1337="",$T1337&lt;0,$T1337&gt;60,$AR1337=""),"—",ROUND(IF(ABS($AU1337)&lt;=3,$AU1337,IF($AU1337&gt;3,3+($F1337-$AW1337)/($AW1337-$AV1337),-3+($F1337-$AY1337)/($AX1337-$AY1337))),2))</f>
        <v/>
      </c>
      <c r="R1337">
        <f>IF(OR($Q1337="",$Q1337="—"),"",IF($Q1337&lt;-3,"Magreza acentuada",IF($Q1337&lt;-2,"Magreza",IF($Q1337&lt;=1,"Eutrofia",IF($Q1337&lt;=2,"Risco de sobrepeso",IF($Q1337&lt;=3,"Sobrepeso","Obesidade"))))))</f>
        <v/>
      </c>
      <c r="S1337">
        <f>IF($C1337="","",IF(UPPER(LEFT($C1337,1))="M",1,IF(UPPER(LEFT($C1337,1))="F",2,"")))</f>
        <v/>
      </c>
      <c r="T1337">
        <f>IF(OR($D1337="",$E1337=""),"",DATEDIF($D1337,$E1337,"m"))</f>
        <v/>
      </c>
      <c r="U1337">
        <f>IF(OR($D1337="",$E1337=""),"",$E1337-$D1337)</f>
        <v/>
      </c>
      <c r="V1337">
        <f>IF(OR($G1337="",$T1337=""),"",IF($T1337&lt;24,IF(LEFT(LOWER($H1337),4)="em p",$G1337+0.7,$G1337),IF(LEFT(LOWER($H1337),4)="deit",$G1337-0.7,$G1337)))</f>
        <v/>
      </c>
      <c r="W1337">
        <f>IF(OR($S1337="",$T1337=""),"",$S1337*1000000+IF($T1337&lt;=60,$U1337,$T1337))</f>
        <v/>
      </c>
      <c r="X1337">
        <f>IF(OR($S1337="",$V1337="",$T1337&gt;60,$T1337=""),"",$S1337*1000000+ROUND($V1337*10,0))</f>
        <v/>
      </c>
      <c r="Y1337">
        <f>IF($W1337="","",IFERROR(INDEX(IF($T1337&lt;=60,imc05_l,imc519_l),MATCH($W1337,IF($T1337&lt;=60,imc05_k,imc519_k),1)),""))</f>
        <v/>
      </c>
      <c r="Z1337">
        <f>IF($W1337="","",IFERROR(INDEX(IF($T1337&lt;=60,imc05_m,imc519_m),MATCH($W1337,IF($T1337&lt;=60,imc05_k,imc519_k),1)),""))</f>
        <v/>
      </c>
      <c r="AA1337">
        <f>IF($W1337="","",IFERROR(INDEX(IF($T1337&lt;=60,imc05_s,imc519_s),MATCH($W1337,IF($T1337&lt;=60,imc05_k,imc519_k),1)),""))</f>
        <v/>
      </c>
      <c r="AB1337">
        <f>IF($Y1337="","",IF($Y1337=0,LN($J1337/$Z1337)/$AA1337,((($J1337/$Z1337)^$Y1337)-1)/($Y1337*$AA1337)))</f>
        <v/>
      </c>
      <c r="AC1337">
        <f>IF($Y1337="","",IF($Y1337=0,$Z1337*EXP($AA1337*2),$Z1337*(1+$Y1337*$AA1337*2)^(1/$Y1337)))</f>
        <v/>
      </c>
      <c r="AD1337">
        <f>IF($Y1337="","",IF($Y1337=0,$Z1337*EXP($AA1337*3),$Z1337*(1+$Y1337*$AA1337*3)^(1/$Y1337)))</f>
        <v/>
      </c>
      <c r="AE1337">
        <f>IF($Y1337="","",IF($Y1337=0,$Z1337*EXP($AA1337*-2),$Z1337*(1+$Y1337*$AA1337*-2)^(1/$Y1337)))</f>
        <v/>
      </c>
      <c r="AF1337">
        <f>IF($Y1337="","",IF($Y1337=0,$Z1337*EXP($AA1337*-3),$Z1337*(1+$Y1337*$AA1337*-3)^(1/$Y1337)))</f>
        <v/>
      </c>
      <c r="AG1337">
        <f>IF($W1337="","",IFERROR(INDEX(IF($T1337&lt;=60,est05_l,est519_l),MATCH($W1337,IF($T1337&lt;=60,est05_k,est519_k),1)),""))</f>
        <v/>
      </c>
      <c r="AH1337">
        <f>IF($W1337="","",IFERROR(INDEX(IF($T1337&lt;=60,est05_m,est519_m),MATCH($W1337,IF($T1337&lt;=60,est05_k,est519_k),1)),""))</f>
        <v/>
      </c>
      <c r="AI1337">
        <f>IF($W1337="","",IFERROR(INDEX(IF($T1337&lt;=60,est05_s,est519_s),MATCH($W1337,IF($T1337&lt;=60,est05_k,est519_k),1)),""))</f>
        <v/>
      </c>
      <c r="AJ1337">
        <f>IF($W1337="","",IFERROR(INDEX(IF($T1337&lt;=60,peso05_l,peso510_l),MATCH($W1337,IF($T1337&lt;=60,peso05_k,peso510_k),1)),""))</f>
        <v/>
      </c>
      <c r="AK1337">
        <f>IF($W1337="","",IFERROR(INDEX(IF($T1337&lt;=60,peso05_m,peso510_m),MATCH($W1337,IF($T1337&lt;=60,peso05_k,peso510_k),1)),""))</f>
        <v/>
      </c>
      <c r="AL1337">
        <f>IF($W1337="","",IFERROR(INDEX(IF($T1337&lt;=60,peso05_s,peso510_s),MATCH($W1337,IF($T1337&lt;=60,peso05_k,peso510_k),1)),""))</f>
        <v/>
      </c>
      <c r="AM1337">
        <f>IF($AJ1337="","",IF($AJ1337=0,LN($F1337/$AK1337)/$AL1337,((($F1337/$AK1337)^$AJ1337)-1)/($AJ1337*$AL1337)))</f>
        <v/>
      </c>
      <c r="AN1337">
        <f>IF($AJ1337="","",IF($AJ1337=0,$AK1337*EXP($AL1337*2),$AK1337*(1+$AJ1337*$AL1337*2)^(1/$AJ1337)))</f>
        <v/>
      </c>
      <c r="AO1337">
        <f>IF($AJ1337="","",IF($AJ1337=0,$AK1337*EXP($AL1337*3),$AK1337*(1+$AJ1337*$AL1337*3)^(1/$AJ1337)))</f>
        <v/>
      </c>
      <c r="AP1337">
        <f>IF($AJ1337="","",IF($AJ1337=0,$AK1337*EXP($AL1337*-2),$AK1337*(1+$AJ1337*$AL1337*-2)^(1/$AJ1337)))</f>
        <v/>
      </c>
      <c r="AQ1337">
        <f>IF($AJ1337="","",IF($AJ1337=0,$AK1337*EXP($AL1337*-3),$AK1337*(1+$AJ1337*$AL1337*-3)^(1/$AJ1337)))</f>
        <v/>
      </c>
      <c r="AR1337">
        <f>IF(OR($X1337="",$T1337&gt;60),"",IFERROR(INDEX(IF($T1337&lt;24,pcomp_l,palt_l),MATCH($X1337,IF($T1337&lt;24,pcomp_k,palt_k),1)),""))</f>
        <v/>
      </c>
      <c r="AS1337">
        <f>IF(OR($X1337="",$T1337&gt;60),"",IFERROR(INDEX(IF($T1337&lt;24,pcomp_m,palt_m),MATCH($X1337,IF($T1337&lt;24,pcomp_k,palt_k),1)),""))</f>
        <v/>
      </c>
      <c r="AT1337">
        <f>IF(OR($X1337="",$T1337&gt;60),"",IFERROR(INDEX(IF($T1337&lt;24,pcomp_s,palt_s),MATCH($X1337,IF($T1337&lt;24,pcomp_k,palt_k),1)),""))</f>
        <v/>
      </c>
      <c r="AU1337">
        <f>IF($AR1337="","",IF($AR1337=0,LN($F1337/$AS1337)/$AT1337,((($F1337/$AS1337)^$AR1337)-1)/($AR1337*$AT1337)))</f>
        <v/>
      </c>
      <c r="AV1337">
        <f>IF($AR1337="","",IF($AR1337=0,$AS1337*EXP($AT1337*2),$AS1337*(1+$AR1337*$AT1337*2)^(1/$AR1337)))</f>
        <v/>
      </c>
      <c r="AW1337">
        <f>IF($AR1337="","",IF($AR1337=0,$AS1337*EXP($AT1337*3),$AS1337*(1+$AR1337*$AT1337*3)^(1/$AR1337)))</f>
        <v/>
      </c>
      <c r="AX1337">
        <f>IF($AR1337="","",IF($AR1337=0,$AS1337*EXP($AT1337*-2),$AS1337*(1+$AR1337*$AT1337*-2)^(1/$AR1337)))</f>
        <v/>
      </c>
      <c r="AY1337">
        <f>IF($AR1337="","",IF($AR1337=0,$AS1337*EXP($AT1337*-3),$AS1337*(1+$AR1337*$AT1337*-3)^(1/$AR1337)))</f>
        <v/>
      </c>
      <c r="AZ1337">
        <f>IF(OR($A1337="",$A1337&lt;&gt;Ficha!$C$4),"",COUNTIF($A$2:$A1337,Ficha!$C$4))</f>
        <v/>
      </c>
    </row>
    <row r="1338">
      <c r="A1338" s="8">
        <f>IF(INDEX(Banco!$A:$A,ROW())="","",INDEX(Banco!$A:$A,ROW()))</f>
        <v/>
      </c>
      <c r="B1338" s="8">
        <f>IF(INDEX(Banco!$B:$B,ROW())="","",INDEX(Banco!$B:$B,ROW()))</f>
        <v/>
      </c>
      <c r="C1338" s="8">
        <f>IF(INDEX(Banco!$C:$C,ROW())="","",INDEX(Banco!$C:$C,ROW()))</f>
        <v/>
      </c>
      <c r="D1338" s="9">
        <f>IF(INDEX(Banco!$D:$D,ROW())="","",INDEX(Banco!$D:$D,ROW()))</f>
        <v/>
      </c>
      <c r="E1338" s="9">
        <f>IF(INDEX(Banco!$E:$E,ROW())="","",INDEX(Banco!$E:$E,ROW()))</f>
        <v/>
      </c>
      <c r="F1338" s="10">
        <f>IF(INDEX(Banco!$F:$F,ROW())="","",INDEX(Banco!$F:$F,ROW()))</f>
        <v/>
      </c>
      <c r="G1338" s="10">
        <f>IF(INDEX(Banco!$G:$G,ROW())="","",INDEX(Banco!$G:$G,ROW()))</f>
        <v/>
      </c>
      <c r="H1338" s="8">
        <f>IF(INDEX(Banco!$H:$H,ROW())="","",INDEX(Banco!$H:$H,ROW()))</f>
        <v/>
      </c>
      <c r="I1338">
        <f>IF($T1338="","",INT($T1338/12)&amp;"a "&amp;MOD($T1338,12)&amp;"m")</f>
        <v/>
      </c>
      <c r="J1338" s="11">
        <f>IF(OR($F1338="",$G1338=""),"",ROUND($F1338/($G1338/100)^2,2))</f>
        <v/>
      </c>
      <c r="K1338" s="12">
        <f>IF(OR($S1338="",$J1338="",$T1338="",$T1338&lt;0,$T1338&gt;228,$Y1338=""),"—",ROUND(IF(ABS($AB1338)&lt;=3,$AB1338,IF($AB1338&gt;3,3+($J1338-$AD1338)/($AD1338-$AC1338),-3+($J1338-$AF1338)/($AE1338-$AF1338))),2))</f>
        <v/>
      </c>
      <c r="L1338">
        <f>IF(OR($K1338="",$K1338="—"),"",IF($T1338&lt;=60,IF($K1338&lt;-3,"Magreza acentuada",IF($K1338&lt;-2,"Magreza",IF($K1338&lt;=1,"Eutrofia",IF($K1338&lt;=2,"Risco de sobrepeso",IF($K1338&lt;=3,"Sobrepeso","Obesidade"))))),IF($K1338&lt;-3,"Magreza acentuada",IF($K1338&lt;-2,"Magreza",IF($K1338&lt;=1,"Eutrofia",IF($K1338&lt;=2,"Sobrepeso",IF($K1338&lt;=3,"Obesidade","Obesidade grave")))))))</f>
        <v/>
      </c>
      <c r="M1338" s="12">
        <f>IF(OR($S1338="",$V1338="",$T1338="",$T1338&lt;0,$T1338&gt;228,$AG1338=""),"—",ROUND(IF($AG1338=0,LN($V1338/$AH1338)/$AI1338,((($V1338/$AH1338)^$AG1338)-1)/($AG1338*$AI1338)),2))</f>
        <v/>
      </c>
      <c r="N1338">
        <f>IF(OR($M1338="",$M1338="—"),"",IF($M1338&lt;-3,"Muito baixa",IF($M1338&lt;-2,"Baixa","Adequada")))</f>
        <v/>
      </c>
      <c r="O1338" s="12">
        <f>IF(OR($S1338="",$F1338="",$T1338="",$T1338&lt;0,$T1338&gt;120,$AJ1338=""),"—",ROUND(IF(ABS($AM1338)&lt;=3,$AM1338,IF($AM1338&gt;3,3+($F1338-$AO1338)/($AO1338-$AN1338),-3+($F1338-$AQ1338)/($AP1338-$AQ1338))),2))</f>
        <v/>
      </c>
      <c r="P1338">
        <f>IF(OR($O1338="",$O1338="—"),"",IF($O1338&lt;-3,"Muito baixo",IF($O1338&lt;-2,"Baixo",IF($O1338&lt;=2,"Adequado","Elevado"))))</f>
        <v/>
      </c>
      <c r="Q1338" s="12">
        <f>IF(OR($S1338="",$F1338="",$T1338="",$T1338&lt;0,$T1338&gt;60,$AR1338=""),"—",ROUND(IF(ABS($AU1338)&lt;=3,$AU1338,IF($AU1338&gt;3,3+($F1338-$AW1338)/($AW1338-$AV1338),-3+($F1338-$AY1338)/($AX1338-$AY1338))),2))</f>
        <v/>
      </c>
      <c r="R1338">
        <f>IF(OR($Q1338="",$Q1338="—"),"",IF($Q1338&lt;-3,"Magreza acentuada",IF($Q1338&lt;-2,"Magreza",IF($Q1338&lt;=1,"Eutrofia",IF($Q1338&lt;=2,"Risco de sobrepeso",IF($Q1338&lt;=3,"Sobrepeso","Obesidade"))))))</f>
        <v/>
      </c>
      <c r="S1338">
        <f>IF($C1338="","",IF(UPPER(LEFT($C1338,1))="M",1,IF(UPPER(LEFT($C1338,1))="F",2,"")))</f>
        <v/>
      </c>
      <c r="T1338">
        <f>IF(OR($D1338="",$E1338=""),"",DATEDIF($D1338,$E1338,"m"))</f>
        <v/>
      </c>
      <c r="U1338">
        <f>IF(OR($D1338="",$E1338=""),"",$E1338-$D1338)</f>
        <v/>
      </c>
      <c r="V1338">
        <f>IF(OR($G1338="",$T1338=""),"",IF($T1338&lt;24,IF(LEFT(LOWER($H1338),4)="em p",$G1338+0.7,$G1338),IF(LEFT(LOWER($H1338),4)="deit",$G1338-0.7,$G1338)))</f>
        <v/>
      </c>
      <c r="W1338">
        <f>IF(OR($S1338="",$T1338=""),"",$S1338*1000000+IF($T1338&lt;=60,$U1338,$T1338))</f>
        <v/>
      </c>
      <c r="X1338">
        <f>IF(OR($S1338="",$V1338="",$T1338&gt;60,$T1338=""),"",$S1338*1000000+ROUND($V1338*10,0))</f>
        <v/>
      </c>
      <c r="Y1338">
        <f>IF($W1338="","",IFERROR(INDEX(IF($T1338&lt;=60,imc05_l,imc519_l),MATCH($W1338,IF($T1338&lt;=60,imc05_k,imc519_k),1)),""))</f>
        <v/>
      </c>
      <c r="Z1338">
        <f>IF($W1338="","",IFERROR(INDEX(IF($T1338&lt;=60,imc05_m,imc519_m),MATCH($W1338,IF($T1338&lt;=60,imc05_k,imc519_k),1)),""))</f>
        <v/>
      </c>
      <c r="AA1338">
        <f>IF($W1338="","",IFERROR(INDEX(IF($T1338&lt;=60,imc05_s,imc519_s),MATCH($W1338,IF($T1338&lt;=60,imc05_k,imc519_k),1)),""))</f>
        <v/>
      </c>
      <c r="AB1338">
        <f>IF($Y1338="","",IF($Y1338=0,LN($J1338/$Z1338)/$AA1338,((($J1338/$Z1338)^$Y1338)-1)/($Y1338*$AA1338)))</f>
        <v/>
      </c>
      <c r="AC1338">
        <f>IF($Y1338="","",IF($Y1338=0,$Z1338*EXP($AA1338*2),$Z1338*(1+$Y1338*$AA1338*2)^(1/$Y1338)))</f>
        <v/>
      </c>
      <c r="AD1338">
        <f>IF($Y1338="","",IF($Y1338=0,$Z1338*EXP($AA1338*3),$Z1338*(1+$Y1338*$AA1338*3)^(1/$Y1338)))</f>
        <v/>
      </c>
      <c r="AE1338">
        <f>IF($Y1338="","",IF($Y1338=0,$Z1338*EXP($AA1338*-2),$Z1338*(1+$Y1338*$AA1338*-2)^(1/$Y1338)))</f>
        <v/>
      </c>
      <c r="AF1338">
        <f>IF($Y1338="","",IF($Y1338=0,$Z1338*EXP($AA1338*-3),$Z1338*(1+$Y1338*$AA1338*-3)^(1/$Y1338)))</f>
        <v/>
      </c>
      <c r="AG1338">
        <f>IF($W1338="","",IFERROR(INDEX(IF($T1338&lt;=60,est05_l,est519_l),MATCH($W1338,IF($T1338&lt;=60,est05_k,est519_k),1)),""))</f>
        <v/>
      </c>
      <c r="AH1338">
        <f>IF($W1338="","",IFERROR(INDEX(IF($T1338&lt;=60,est05_m,est519_m),MATCH($W1338,IF($T1338&lt;=60,est05_k,est519_k),1)),""))</f>
        <v/>
      </c>
      <c r="AI1338">
        <f>IF($W1338="","",IFERROR(INDEX(IF($T1338&lt;=60,est05_s,est519_s),MATCH($W1338,IF($T1338&lt;=60,est05_k,est519_k),1)),""))</f>
        <v/>
      </c>
      <c r="AJ1338">
        <f>IF($W1338="","",IFERROR(INDEX(IF($T1338&lt;=60,peso05_l,peso510_l),MATCH($W1338,IF($T1338&lt;=60,peso05_k,peso510_k),1)),""))</f>
        <v/>
      </c>
      <c r="AK1338">
        <f>IF($W1338="","",IFERROR(INDEX(IF($T1338&lt;=60,peso05_m,peso510_m),MATCH($W1338,IF($T1338&lt;=60,peso05_k,peso510_k),1)),""))</f>
        <v/>
      </c>
      <c r="AL1338">
        <f>IF($W1338="","",IFERROR(INDEX(IF($T1338&lt;=60,peso05_s,peso510_s),MATCH($W1338,IF($T1338&lt;=60,peso05_k,peso510_k),1)),""))</f>
        <v/>
      </c>
      <c r="AM1338">
        <f>IF($AJ1338="","",IF($AJ1338=0,LN($F1338/$AK1338)/$AL1338,((($F1338/$AK1338)^$AJ1338)-1)/($AJ1338*$AL1338)))</f>
        <v/>
      </c>
      <c r="AN1338">
        <f>IF($AJ1338="","",IF($AJ1338=0,$AK1338*EXP($AL1338*2),$AK1338*(1+$AJ1338*$AL1338*2)^(1/$AJ1338)))</f>
        <v/>
      </c>
      <c r="AO1338">
        <f>IF($AJ1338="","",IF($AJ1338=0,$AK1338*EXP($AL1338*3),$AK1338*(1+$AJ1338*$AL1338*3)^(1/$AJ1338)))</f>
        <v/>
      </c>
      <c r="AP1338">
        <f>IF($AJ1338="","",IF($AJ1338=0,$AK1338*EXP($AL1338*-2),$AK1338*(1+$AJ1338*$AL1338*-2)^(1/$AJ1338)))</f>
        <v/>
      </c>
      <c r="AQ1338">
        <f>IF($AJ1338="","",IF($AJ1338=0,$AK1338*EXP($AL1338*-3),$AK1338*(1+$AJ1338*$AL1338*-3)^(1/$AJ1338)))</f>
        <v/>
      </c>
      <c r="AR1338">
        <f>IF(OR($X1338="",$T1338&gt;60),"",IFERROR(INDEX(IF($T1338&lt;24,pcomp_l,palt_l),MATCH($X1338,IF($T1338&lt;24,pcomp_k,palt_k),1)),""))</f>
        <v/>
      </c>
      <c r="AS1338">
        <f>IF(OR($X1338="",$T1338&gt;60),"",IFERROR(INDEX(IF($T1338&lt;24,pcomp_m,palt_m),MATCH($X1338,IF($T1338&lt;24,pcomp_k,palt_k),1)),""))</f>
        <v/>
      </c>
      <c r="AT1338">
        <f>IF(OR($X1338="",$T1338&gt;60),"",IFERROR(INDEX(IF($T1338&lt;24,pcomp_s,palt_s),MATCH($X1338,IF($T1338&lt;24,pcomp_k,palt_k),1)),""))</f>
        <v/>
      </c>
      <c r="AU1338">
        <f>IF($AR1338="","",IF($AR1338=0,LN($F1338/$AS1338)/$AT1338,((($F1338/$AS1338)^$AR1338)-1)/($AR1338*$AT1338)))</f>
        <v/>
      </c>
      <c r="AV1338">
        <f>IF($AR1338="","",IF($AR1338=0,$AS1338*EXP($AT1338*2),$AS1338*(1+$AR1338*$AT1338*2)^(1/$AR1338)))</f>
        <v/>
      </c>
      <c r="AW1338">
        <f>IF($AR1338="","",IF($AR1338=0,$AS1338*EXP($AT1338*3),$AS1338*(1+$AR1338*$AT1338*3)^(1/$AR1338)))</f>
        <v/>
      </c>
      <c r="AX1338">
        <f>IF($AR1338="","",IF($AR1338=0,$AS1338*EXP($AT1338*-2),$AS1338*(1+$AR1338*$AT1338*-2)^(1/$AR1338)))</f>
        <v/>
      </c>
      <c r="AY1338">
        <f>IF($AR1338="","",IF($AR1338=0,$AS1338*EXP($AT1338*-3),$AS1338*(1+$AR1338*$AT1338*-3)^(1/$AR1338)))</f>
        <v/>
      </c>
      <c r="AZ1338">
        <f>IF(OR($A1338="",$A1338&lt;&gt;Ficha!$C$4),"",COUNTIF($A$2:$A1338,Ficha!$C$4))</f>
        <v/>
      </c>
    </row>
    <row r="1339">
      <c r="A1339" s="8">
        <f>IF(INDEX(Banco!$A:$A,ROW())="","",INDEX(Banco!$A:$A,ROW()))</f>
        <v/>
      </c>
      <c r="B1339" s="8">
        <f>IF(INDEX(Banco!$B:$B,ROW())="","",INDEX(Banco!$B:$B,ROW()))</f>
        <v/>
      </c>
      <c r="C1339" s="8">
        <f>IF(INDEX(Banco!$C:$C,ROW())="","",INDEX(Banco!$C:$C,ROW()))</f>
        <v/>
      </c>
      <c r="D1339" s="9">
        <f>IF(INDEX(Banco!$D:$D,ROW())="","",INDEX(Banco!$D:$D,ROW()))</f>
        <v/>
      </c>
      <c r="E1339" s="9">
        <f>IF(INDEX(Banco!$E:$E,ROW())="","",INDEX(Banco!$E:$E,ROW()))</f>
        <v/>
      </c>
      <c r="F1339" s="10">
        <f>IF(INDEX(Banco!$F:$F,ROW())="","",INDEX(Banco!$F:$F,ROW()))</f>
        <v/>
      </c>
      <c r="G1339" s="10">
        <f>IF(INDEX(Banco!$G:$G,ROW())="","",INDEX(Banco!$G:$G,ROW()))</f>
        <v/>
      </c>
      <c r="H1339" s="8">
        <f>IF(INDEX(Banco!$H:$H,ROW())="","",INDEX(Banco!$H:$H,ROW()))</f>
        <v/>
      </c>
      <c r="I1339">
        <f>IF($T1339="","",INT($T1339/12)&amp;"a "&amp;MOD($T1339,12)&amp;"m")</f>
        <v/>
      </c>
      <c r="J1339" s="11">
        <f>IF(OR($F1339="",$G1339=""),"",ROUND($F1339/($G1339/100)^2,2))</f>
        <v/>
      </c>
      <c r="K1339" s="12">
        <f>IF(OR($S1339="",$J1339="",$T1339="",$T1339&lt;0,$T1339&gt;228,$Y1339=""),"—",ROUND(IF(ABS($AB1339)&lt;=3,$AB1339,IF($AB1339&gt;3,3+($J1339-$AD1339)/($AD1339-$AC1339),-3+($J1339-$AF1339)/($AE1339-$AF1339))),2))</f>
        <v/>
      </c>
      <c r="L1339">
        <f>IF(OR($K1339="",$K1339="—"),"",IF($T1339&lt;=60,IF($K1339&lt;-3,"Magreza acentuada",IF($K1339&lt;-2,"Magreza",IF($K1339&lt;=1,"Eutrofia",IF($K1339&lt;=2,"Risco de sobrepeso",IF($K1339&lt;=3,"Sobrepeso","Obesidade"))))),IF($K1339&lt;-3,"Magreza acentuada",IF($K1339&lt;-2,"Magreza",IF($K1339&lt;=1,"Eutrofia",IF($K1339&lt;=2,"Sobrepeso",IF($K1339&lt;=3,"Obesidade","Obesidade grave")))))))</f>
        <v/>
      </c>
      <c r="M1339" s="12">
        <f>IF(OR($S1339="",$V1339="",$T1339="",$T1339&lt;0,$T1339&gt;228,$AG1339=""),"—",ROUND(IF($AG1339=0,LN($V1339/$AH1339)/$AI1339,((($V1339/$AH1339)^$AG1339)-1)/($AG1339*$AI1339)),2))</f>
        <v/>
      </c>
      <c r="N1339">
        <f>IF(OR($M1339="",$M1339="—"),"",IF($M1339&lt;-3,"Muito baixa",IF($M1339&lt;-2,"Baixa","Adequada")))</f>
        <v/>
      </c>
      <c r="O1339" s="12">
        <f>IF(OR($S1339="",$F1339="",$T1339="",$T1339&lt;0,$T1339&gt;120,$AJ1339=""),"—",ROUND(IF(ABS($AM1339)&lt;=3,$AM1339,IF($AM1339&gt;3,3+($F1339-$AO1339)/($AO1339-$AN1339),-3+($F1339-$AQ1339)/($AP1339-$AQ1339))),2))</f>
        <v/>
      </c>
      <c r="P1339">
        <f>IF(OR($O1339="",$O1339="—"),"",IF($O1339&lt;-3,"Muito baixo",IF($O1339&lt;-2,"Baixo",IF($O1339&lt;=2,"Adequado","Elevado"))))</f>
        <v/>
      </c>
      <c r="Q1339" s="12">
        <f>IF(OR($S1339="",$F1339="",$T1339="",$T1339&lt;0,$T1339&gt;60,$AR1339=""),"—",ROUND(IF(ABS($AU1339)&lt;=3,$AU1339,IF($AU1339&gt;3,3+($F1339-$AW1339)/($AW1339-$AV1339),-3+($F1339-$AY1339)/($AX1339-$AY1339))),2))</f>
        <v/>
      </c>
      <c r="R1339">
        <f>IF(OR($Q1339="",$Q1339="—"),"",IF($Q1339&lt;-3,"Magreza acentuada",IF($Q1339&lt;-2,"Magreza",IF($Q1339&lt;=1,"Eutrofia",IF($Q1339&lt;=2,"Risco de sobrepeso",IF($Q1339&lt;=3,"Sobrepeso","Obesidade"))))))</f>
        <v/>
      </c>
      <c r="S1339">
        <f>IF($C1339="","",IF(UPPER(LEFT($C1339,1))="M",1,IF(UPPER(LEFT($C1339,1))="F",2,"")))</f>
        <v/>
      </c>
      <c r="T1339">
        <f>IF(OR($D1339="",$E1339=""),"",DATEDIF($D1339,$E1339,"m"))</f>
        <v/>
      </c>
      <c r="U1339">
        <f>IF(OR($D1339="",$E1339=""),"",$E1339-$D1339)</f>
        <v/>
      </c>
      <c r="V1339">
        <f>IF(OR($G1339="",$T1339=""),"",IF($T1339&lt;24,IF(LEFT(LOWER($H1339),4)="em p",$G1339+0.7,$G1339),IF(LEFT(LOWER($H1339),4)="deit",$G1339-0.7,$G1339)))</f>
        <v/>
      </c>
      <c r="W1339">
        <f>IF(OR($S1339="",$T1339=""),"",$S1339*1000000+IF($T1339&lt;=60,$U1339,$T1339))</f>
        <v/>
      </c>
      <c r="X1339">
        <f>IF(OR($S1339="",$V1339="",$T1339&gt;60,$T1339=""),"",$S1339*1000000+ROUND($V1339*10,0))</f>
        <v/>
      </c>
      <c r="Y1339">
        <f>IF($W1339="","",IFERROR(INDEX(IF($T1339&lt;=60,imc05_l,imc519_l),MATCH($W1339,IF($T1339&lt;=60,imc05_k,imc519_k),1)),""))</f>
        <v/>
      </c>
      <c r="Z1339">
        <f>IF($W1339="","",IFERROR(INDEX(IF($T1339&lt;=60,imc05_m,imc519_m),MATCH($W1339,IF($T1339&lt;=60,imc05_k,imc519_k),1)),""))</f>
        <v/>
      </c>
      <c r="AA1339">
        <f>IF($W1339="","",IFERROR(INDEX(IF($T1339&lt;=60,imc05_s,imc519_s),MATCH($W1339,IF($T1339&lt;=60,imc05_k,imc519_k),1)),""))</f>
        <v/>
      </c>
      <c r="AB1339">
        <f>IF($Y1339="","",IF($Y1339=0,LN($J1339/$Z1339)/$AA1339,((($J1339/$Z1339)^$Y1339)-1)/($Y1339*$AA1339)))</f>
        <v/>
      </c>
      <c r="AC1339">
        <f>IF($Y1339="","",IF($Y1339=0,$Z1339*EXP($AA1339*2),$Z1339*(1+$Y1339*$AA1339*2)^(1/$Y1339)))</f>
        <v/>
      </c>
      <c r="AD1339">
        <f>IF($Y1339="","",IF($Y1339=0,$Z1339*EXP($AA1339*3),$Z1339*(1+$Y1339*$AA1339*3)^(1/$Y1339)))</f>
        <v/>
      </c>
      <c r="AE1339">
        <f>IF($Y1339="","",IF($Y1339=0,$Z1339*EXP($AA1339*-2),$Z1339*(1+$Y1339*$AA1339*-2)^(1/$Y1339)))</f>
        <v/>
      </c>
      <c r="AF1339">
        <f>IF($Y1339="","",IF($Y1339=0,$Z1339*EXP($AA1339*-3),$Z1339*(1+$Y1339*$AA1339*-3)^(1/$Y1339)))</f>
        <v/>
      </c>
      <c r="AG1339">
        <f>IF($W1339="","",IFERROR(INDEX(IF($T1339&lt;=60,est05_l,est519_l),MATCH($W1339,IF($T1339&lt;=60,est05_k,est519_k),1)),""))</f>
        <v/>
      </c>
      <c r="AH1339">
        <f>IF($W1339="","",IFERROR(INDEX(IF($T1339&lt;=60,est05_m,est519_m),MATCH($W1339,IF($T1339&lt;=60,est05_k,est519_k),1)),""))</f>
        <v/>
      </c>
      <c r="AI1339">
        <f>IF($W1339="","",IFERROR(INDEX(IF($T1339&lt;=60,est05_s,est519_s),MATCH($W1339,IF($T1339&lt;=60,est05_k,est519_k),1)),""))</f>
        <v/>
      </c>
      <c r="AJ1339">
        <f>IF($W1339="","",IFERROR(INDEX(IF($T1339&lt;=60,peso05_l,peso510_l),MATCH($W1339,IF($T1339&lt;=60,peso05_k,peso510_k),1)),""))</f>
        <v/>
      </c>
      <c r="AK1339">
        <f>IF($W1339="","",IFERROR(INDEX(IF($T1339&lt;=60,peso05_m,peso510_m),MATCH($W1339,IF($T1339&lt;=60,peso05_k,peso510_k),1)),""))</f>
        <v/>
      </c>
      <c r="AL1339">
        <f>IF($W1339="","",IFERROR(INDEX(IF($T1339&lt;=60,peso05_s,peso510_s),MATCH($W1339,IF($T1339&lt;=60,peso05_k,peso510_k),1)),""))</f>
        <v/>
      </c>
      <c r="AM1339">
        <f>IF($AJ1339="","",IF($AJ1339=0,LN($F1339/$AK1339)/$AL1339,((($F1339/$AK1339)^$AJ1339)-1)/($AJ1339*$AL1339)))</f>
        <v/>
      </c>
      <c r="AN1339">
        <f>IF($AJ1339="","",IF($AJ1339=0,$AK1339*EXP($AL1339*2),$AK1339*(1+$AJ1339*$AL1339*2)^(1/$AJ1339)))</f>
        <v/>
      </c>
      <c r="AO1339">
        <f>IF($AJ1339="","",IF($AJ1339=0,$AK1339*EXP($AL1339*3),$AK1339*(1+$AJ1339*$AL1339*3)^(1/$AJ1339)))</f>
        <v/>
      </c>
      <c r="AP1339">
        <f>IF($AJ1339="","",IF($AJ1339=0,$AK1339*EXP($AL1339*-2),$AK1339*(1+$AJ1339*$AL1339*-2)^(1/$AJ1339)))</f>
        <v/>
      </c>
      <c r="AQ1339">
        <f>IF($AJ1339="","",IF($AJ1339=0,$AK1339*EXP($AL1339*-3),$AK1339*(1+$AJ1339*$AL1339*-3)^(1/$AJ1339)))</f>
        <v/>
      </c>
      <c r="AR1339">
        <f>IF(OR($X1339="",$T1339&gt;60),"",IFERROR(INDEX(IF($T1339&lt;24,pcomp_l,palt_l),MATCH($X1339,IF($T1339&lt;24,pcomp_k,palt_k),1)),""))</f>
        <v/>
      </c>
      <c r="AS1339">
        <f>IF(OR($X1339="",$T1339&gt;60),"",IFERROR(INDEX(IF($T1339&lt;24,pcomp_m,palt_m),MATCH($X1339,IF($T1339&lt;24,pcomp_k,palt_k),1)),""))</f>
        <v/>
      </c>
      <c r="AT1339">
        <f>IF(OR($X1339="",$T1339&gt;60),"",IFERROR(INDEX(IF($T1339&lt;24,pcomp_s,palt_s),MATCH($X1339,IF($T1339&lt;24,pcomp_k,palt_k),1)),""))</f>
        <v/>
      </c>
      <c r="AU1339">
        <f>IF($AR1339="","",IF($AR1339=0,LN($F1339/$AS1339)/$AT1339,((($F1339/$AS1339)^$AR1339)-1)/($AR1339*$AT1339)))</f>
        <v/>
      </c>
      <c r="AV1339">
        <f>IF($AR1339="","",IF($AR1339=0,$AS1339*EXP($AT1339*2),$AS1339*(1+$AR1339*$AT1339*2)^(1/$AR1339)))</f>
        <v/>
      </c>
      <c r="AW1339">
        <f>IF($AR1339="","",IF($AR1339=0,$AS1339*EXP($AT1339*3),$AS1339*(1+$AR1339*$AT1339*3)^(1/$AR1339)))</f>
        <v/>
      </c>
      <c r="AX1339">
        <f>IF($AR1339="","",IF($AR1339=0,$AS1339*EXP($AT1339*-2),$AS1339*(1+$AR1339*$AT1339*-2)^(1/$AR1339)))</f>
        <v/>
      </c>
      <c r="AY1339">
        <f>IF($AR1339="","",IF($AR1339=0,$AS1339*EXP($AT1339*-3),$AS1339*(1+$AR1339*$AT1339*-3)^(1/$AR1339)))</f>
        <v/>
      </c>
      <c r="AZ1339">
        <f>IF(OR($A1339="",$A1339&lt;&gt;Ficha!$C$4),"",COUNTIF($A$2:$A1339,Ficha!$C$4))</f>
        <v/>
      </c>
    </row>
    <row r="1340">
      <c r="A1340" s="8">
        <f>IF(INDEX(Banco!$A:$A,ROW())="","",INDEX(Banco!$A:$A,ROW()))</f>
        <v/>
      </c>
      <c r="B1340" s="8">
        <f>IF(INDEX(Banco!$B:$B,ROW())="","",INDEX(Banco!$B:$B,ROW()))</f>
        <v/>
      </c>
      <c r="C1340" s="8">
        <f>IF(INDEX(Banco!$C:$C,ROW())="","",INDEX(Banco!$C:$C,ROW()))</f>
        <v/>
      </c>
      <c r="D1340" s="9">
        <f>IF(INDEX(Banco!$D:$D,ROW())="","",INDEX(Banco!$D:$D,ROW()))</f>
        <v/>
      </c>
      <c r="E1340" s="9">
        <f>IF(INDEX(Banco!$E:$E,ROW())="","",INDEX(Banco!$E:$E,ROW()))</f>
        <v/>
      </c>
      <c r="F1340" s="10">
        <f>IF(INDEX(Banco!$F:$F,ROW())="","",INDEX(Banco!$F:$F,ROW()))</f>
        <v/>
      </c>
      <c r="G1340" s="10">
        <f>IF(INDEX(Banco!$G:$G,ROW())="","",INDEX(Banco!$G:$G,ROW()))</f>
        <v/>
      </c>
      <c r="H1340" s="8">
        <f>IF(INDEX(Banco!$H:$H,ROW())="","",INDEX(Banco!$H:$H,ROW()))</f>
        <v/>
      </c>
      <c r="I1340">
        <f>IF($T1340="","",INT($T1340/12)&amp;"a "&amp;MOD($T1340,12)&amp;"m")</f>
        <v/>
      </c>
      <c r="J1340" s="11">
        <f>IF(OR($F1340="",$G1340=""),"",ROUND($F1340/($G1340/100)^2,2))</f>
        <v/>
      </c>
      <c r="K1340" s="12">
        <f>IF(OR($S1340="",$J1340="",$T1340="",$T1340&lt;0,$T1340&gt;228,$Y1340=""),"—",ROUND(IF(ABS($AB1340)&lt;=3,$AB1340,IF($AB1340&gt;3,3+($J1340-$AD1340)/($AD1340-$AC1340),-3+($J1340-$AF1340)/($AE1340-$AF1340))),2))</f>
        <v/>
      </c>
      <c r="L1340">
        <f>IF(OR($K1340="",$K1340="—"),"",IF($T1340&lt;=60,IF($K1340&lt;-3,"Magreza acentuada",IF($K1340&lt;-2,"Magreza",IF($K1340&lt;=1,"Eutrofia",IF($K1340&lt;=2,"Risco de sobrepeso",IF($K1340&lt;=3,"Sobrepeso","Obesidade"))))),IF($K1340&lt;-3,"Magreza acentuada",IF($K1340&lt;-2,"Magreza",IF($K1340&lt;=1,"Eutrofia",IF($K1340&lt;=2,"Sobrepeso",IF($K1340&lt;=3,"Obesidade","Obesidade grave")))))))</f>
        <v/>
      </c>
      <c r="M1340" s="12">
        <f>IF(OR($S1340="",$V1340="",$T1340="",$T1340&lt;0,$T1340&gt;228,$AG1340=""),"—",ROUND(IF($AG1340=0,LN($V1340/$AH1340)/$AI1340,((($V1340/$AH1340)^$AG1340)-1)/($AG1340*$AI1340)),2))</f>
        <v/>
      </c>
      <c r="N1340">
        <f>IF(OR($M1340="",$M1340="—"),"",IF($M1340&lt;-3,"Muito baixa",IF($M1340&lt;-2,"Baixa","Adequada")))</f>
        <v/>
      </c>
      <c r="O1340" s="12">
        <f>IF(OR($S1340="",$F1340="",$T1340="",$T1340&lt;0,$T1340&gt;120,$AJ1340=""),"—",ROUND(IF(ABS($AM1340)&lt;=3,$AM1340,IF($AM1340&gt;3,3+($F1340-$AO1340)/($AO1340-$AN1340),-3+($F1340-$AQ1340)/($AP1340-$AQ1340))),2))</f>
        <v/>
      </c>
      <c r="P1340">
        <f>IF(OR($O1340="",$O1340="—"),"",IF($O1340&lt;-3,"Muito baixo",IF($O1340&lt;-2,"Baixo",IF($O1340&lt;=2,"Adequado","Elevado"))))</f>
        <v/>
      </c>
      <c r="Q1340" s="12">
        <f>IF(OR($S1340="",$F1340="",$T1340="",$T1340&lt;0,$T1340&gt;60,$AR1340=""),"—",ROUND(IF(ABS($AU1340)&lt;=3,$AU1340,IF($AU1340&gt;3,3+($F1340-$AW1340)/($AW1340-$AV1340),-3+($F1340-$AY1340)/($AX1340-$AY1340))),2))</f>
        <v/>
      </c>
      <c r="R1340">
        <f>IF(OR($Q1340="",$Q1340="—"),"",IF($Q1340&lt;-3,"Magreza acentuada",IF($Q1340&lt;-2,"Magreza",IF($Q1340&lt;=1,"Eutrofia",IF($Q1340&lt;=2,"Risco de sobrepeso",IF($Q1340&lt;=3,"Sobrepeso","Obesidade"))))))</f>
        <v/>
      </c>
      <c r="S1340">
        <f>IF($C1340="","",IF(UPPER(LEFT($C1340,1))="M",1,IF(UPPER(LEFT($C1340,1))="F",2,"")))</f>
        <v/>
      </c>
      <c r="T1340">
        <f>IF(OR($D1340="",$E1340=""),"",DATEDIF($D1340,$E1340,"m"))</f>
        <v/>
      </c>
      <c r="U1340">
        <f>IF(OR($D1340="",$E1340=""),"",$E1340-$D1340)</f>
        <v/>
      </c>
      <c r="V1340">
        <f>IF(OR($G1340="",$T1340=""),"",IF($T1340&lt;24,IF(LEFT(LOWER($H1340),4)="em p",$G1340+0.7,$G1340),IF(LEFT(LOWER($H1340),4)="deit",$G1340-0.7,$G1340)))</f>
        <v/>
      </c>
      <c r="W1340">
        <f>IF(OR($S1340="",$T1340=""),"",$S1340*1000000+IF($T1340&lt;=60,$U1340,$T1340))</f>
        <v/>
      </c>
      <c r="X1340">
        <f>IF(OR($S1340="",$V1340="",$T1340&gt;60,$T1340=""),"",$S1340*1000000+ROUND($V1340*10,0))</f>
        <v/>
      </c>
      <c r="Y1340">
        <f>IF($W1340="","",IFERROR(INDEX(IF($T1340&lt;=60,imc05_l,imc519_l),MATCH($W1340,IF($T1340&lt;=60,imc05_k,imc519_k),1)),""))</f>
        <v/>
      </c>
      <c r="Z1340">
        <f>IF($W1340="","",IFERROR(INDEX(IF($T1340&lt;=60,imc05_m,imc519_m),MATCH($W1340,IF($T1340&lt;=60,imc05_k,imc519_k),1)),""))</f>
        <v/>
      </c>
      <c r="AA1340">
        <f>IF($W1340="","",IFERROR(INDEX(IF($T1340&lt;=60,imc05_s,imc519_s),MATCH($W1340,IF($T1340&lt;=60,imc05_k,imc519_k),1)),""))</f>
        <v/>
      </c>
      <c r="AB1340">
        <f>IF($Y1340="","",IF($Y1340=0,LN($J1340/$Z1340)/$AA1340,((($J1340/$Z1340)^$Y1340)-1)/($Y1340*$AA1340)))</f>
        <v/>
      </c>
      <c r="AC1340">
        <f>IF($Y1340="","",IF($Y1340=0,$Z1340*EXP($AA1340*2),$Z1340*(1+$Y1340*$AA1340*2)^(1/$Y1340)))</f>
        <v/>
      </c>
      <c r="AD1340">
        <f>IF($Y1340="","",IF($Y1340=0,$Z1340*EXP($AA1340*3),$Z1340*(1+$Y1340*$AA1340*3)^(1/$Y1340)))</f>
        <v/>
      </c>
      <c r="AE1340">
        <f>IF($Y1340="","",IF($Y1340=0,$Z1340*EXP($AA1340*-2),$Z1340*(1+$Y1340*$AA1340*-2)^(1/$Y1340)))</f>
        <v/>
      </c>
      <c r="AF1340">
        <f>IF($Y1340="","",IF($Y1340=0,$Z1340*EXP($AA1340*-3),$Z1340*(1+$Y1340*$AA1340*-3)^(1/$Y1340)))</f>
        <v/>
      </c>
      <c r="AG1340">
        <f>IF($W1340="","",IFERROR(INDEX(IF($T1340&lt;=60,est05_l,est519_l),MATCH($W1340,IF($T1340&lt;=60,est05_k,est519_k),1)),""))</f>
        <v/>
      </c>
      <c r="AH1340">
        <f>IF($W1340="","",IFERROR(INDEX(IF($T1340&lt;=60,est05_m,est519_m),MATCH($W1340,IF($T1340&lt;=60,est05_k,est519_k),1)),""))</f>
        <v/>
      </c>
      <c r="AI1340">
        <f>IF($W1340="","",IFERROR(INDEX(IF($T1340&lt;=60,est05_s,est519_s),MATCH($W1340,IF($T1340&lt;=60,est05_k,est519_k),1)),""))</f>
        <v/>
      </c>
      <c r="AJ1340">
        <f>IF($W1340="","",IFERROR(INDEX(IF($T1340&lt;=60,peso05_l,peso510_l),MATCH($W1340,IF($T1340&lt;=60,peso05_k,peso510_k),1)),""))</f>
        <v/>
      </c>
      <c r="AK1340">
        <f>IF($W1340="","",IFERROR(INDEX(IF($T1340&lt;=60,peso05_m,peso510_m),MATCH($W1340,IF($T1340&lt;=60,peso05_k,peso510_k),1)),""))</f>
        <v/>
      </c>
      <c r="AL1340">
        <f>IF($W1340="","",IFERROR(INDEX(IF($T1340&lt;=60,peso05_s,peso510_s),MATCH($W1340,IF($T1340&lt;=60,peso05_k,peso510_k),1)),""))</f>
        <v/>
      </c>
      <c r="AM1340">
        <f>IF($AJ1340="","",IF($AJ1340=0,LN($F1340/$AK1340)/$AL1340,((($F1340/$AK1340)^$AJ1340)-1)/($AJ1340*$AL1340)))</f>
        <v/>
      </c>
      <c r="AN1340">
        <f>IF($AJ1340="","",IF($AJ1340=0,$AK1340*EXP($AL1340*2),$AK1340*(1+$AJ1340*$AL1340*2)^(1/$AJ1340)))</f>
        <v/>
      </c>
      <c r="AO1340">
        <f>IF($AJ1340="","",IF($AJ1340=0,$AK1340*EXP($AL1340*3),$AK1340*(1+$AJ1340*$AL1340*3)^(1/$AJ1340)))</f>
        <v/>
      </c>
      <c r="AP1340">
        <f>IF($AJ1340="","",IF($AJ1340=0,$AK1340*EXP($AL1340*-2),$AK1340*(1+$AJ1340*$AL1340*-2)^(1/$AJ1340)))</f>
        <v/>
      </c>
      <c r="AQ1340">
        <f>IF($AJ1340="","",IF($AJ1340=0,$AK1340*EXP($AL1340*-3),$AK1340*(1+$AJ1340*$AL1340*-3)^(1/$AJ1340)))</f>
        <v/>
      </c>
      <c r="AR1340">
        <f>IF(OR($X1340="",$T1340&gt;60),"",IFERROR(INDEX(IF($T1340&lt;24,pcomp_l,palt_l),MATCH($X1340,IF($T1340&lt;24,pcomp_k,palt_k),1)),""))</f>
        <v/>
      </c>
      <c r="AS1340">
        <f>IF(OR($X1340="",$T1340&gt;60),"",IFERROR(INDEX(IF($T1340&lt;24,pcomp_m,palt_m),MATCH($X1340,IF($T1340&lt;24,pcomp_k,palt_k),1)),""))</f>
        <v/>
      </c>
      <c r="AT1340">
        <f>IF(OR($X1340="",$T1340&gt;60),"",IFERROR(INDEX(IF($T1340&lt;24,pcomp_s,palt_s),MATCH($X1340,IF($T1340&lt;24,pcomp_k,palt_k),1)),""))</f>
        <v/>
      </c>
      <c r="AU1340">
        <f>IF($AR1340="","",IF($AR1340=0,LN($F1340/$AS1340)/$AT1340,((($F1340/$AS1340)^$AR1340)-1)/($AR1340*$AT1340)))</f>
        <v/>
      </c>
      <c r="AV1340">
        <f>IF($AR1340="","",IF($AR1340=0,$AS1340*EXP($AT1340*2),$AS1340*(1+$AR1340*$AT1340*2)^(1/$AR1340)))</f>
        <v/>
      </c>
      <c r="AW1340">
        <f>IF($AR1340="","",IF($AR1340=0,$AS1340*EXP($AT1340*3),$AS1340*(1+$AR1340*$AT1340*3)^(1/$AR1340)))</f>
        <v/>
      </c>
      <c r="AX1340">
        <f>IF($AR1340="","",IF($AR1340=0,$AS1340*EXP($AT1340*-2),$AS1340*(1+$AR1340*$AT1340*-2)^(1/$AR1340)))</f>
        <v/>
      </c>
      <c r="AY1340">
        <f>IF($AR1340="","",IF($AR1340=0,$AS1340*EXP($AT1340*-3),$AS1340*(1+$AR1340*$AT1340*-3)^(1/$AR1340)))</f>
        <v/>
      </c>
      <c r="AZ1340">
        <f>IF(OR($A1340="",$A1340&lt;&gt;Ficha!$C$4),"",COUNTIF($A$2:$A1340,Ficha!$C$4))</f>
        <v/>
      </c>
    </row>
    <row r="1341">
      <c r="A1341" s="8">
        <f>IF(INDEX(Banco!$A:$A,ROW())="","",INDEX(Banco!$A:$A,ROW()))</f>
        <v/>
      </c>
      <c r="B1341" s="8">
        <f>IF(INDEX(Banco!$B:$B,ROW())="","",INDEX(Banco!$B:$B,ROW()))</f>
        <v/>
      </c>
      <c r="C1341" s="8">
        <f>IF(INDEX(Banco!$C:$C,ROW())="","",INDEX(Banco!$C:$C,ROW()))</f>
        <v/>
      </c>
      <c r="D1341" s="9">
        <f>IF(INDEX(Banco!$D:$D,ROW())="","",INDEX(Banco!$D:$D,ROW()))</f>
        <v/>
      </c>
      <c r="E1341" s="9">
        <f>IF(INDEX(Banco!$E:$E,ROW())="","",INDEX(Banco!$E:$E,ROW()))</f>
        <v/>
      </c>
      <c r="F1341" s="10">
        <f>IF(INDEX(Banco!$F:$F,ROW())="","",INDEX(Banco!$F:$F,ROW()))</f>
        <v/>
      </c>
      <c r="G1341" s="10">
        <f>IF(INDEX(Banco!$G:$G,ROW())="","",INDEX(Banco!$G:$G,ROW()))</f>
        <v/>
      </c>
      <c r="H1341" s="8">
        <f>IF(INDEX(Banco!$H:$H,ROW())="","",INDEX(Banco!$H:$H,ROW()))</f>
        <v/>
      </c>
      <c r="I1341">
        <f>IF($T1341="","",INT($T1341/12)&amp;"a "&amp;MOD($T1341,12)&amp;"m")</f>
        <v/>
      </c>
      <c r="J1341" s="11">
        <f>IF(OR($F1341="",$G1341=""),"",ROUND($F1341/($G1341/100)^2,2))</f>
        <v/>
      </c>
      <c r="K1341" s="12">
        <f>IF(OR($S1341="",$J1341="",$T1341="",$T1341&lt;0,$T1341&gt;228,$Y1341=""),"—",ROUND(IF(ABS($AB1341)&lt;=3,$AB1341,IF($AB1341&gt;3,3+($J1341-$AD1341)/($AD1341-$AC1341),-3+($J1341-$AF1341)/($AE1341-$AF1341))),2))</f>
        <v/>
      </c>
      <c r="L1341">
        <f>IF(OR($K1341="",$K1341="—"),"",IF($T1341&lt;=60,IF($K1341&lt;-3,"Magreza acentuada",IF($K1341&lt;-2,"Magreza",IF($K1341&lt;=1,"Eutrofia",IF($K1341&lt;=2,"Risco de sobrepeso",IF($K1341&lt;=3,"Sobrepeso","Obesidade"))))),IF($K1341&lt;-3,"Magreza acentuada",IF($K1341&lt;-2,"Magreza",IF($K1341&lt;=1,"Eutrofia",IF($K1341&lt;=2,"Sobrepeso",IF($K1341&lt;=3,"Obesidade","Obesidade grave")))))))</f>
        <v/>
      </c>
      <c r="M1341" s="12">
        <f>IF(OR($S1341="",$V1341="",$T1341="",$T1341&lt;0,$T1341&gt;228,$AG1341=""),"—",ROUND(IF($AG1341=0,LN($V1341/$AH1341)/$AI1341,((($V1341/$AH1341)^$AG1341)-1)/($AG1341*$AI1341)),2))</f>
        <v/>
      </c>
      <c r="N1341">
        <f>IF(OR($M1341="",$M1341="—"),"",IF($M1341&lt;-3,"Muito baixa",IF($M1341&lt;-2,"Baixa","Adequada")))</f>
        <v/>
      </c>
      <c r="O1341" s="12">
        <f>IF(OR($S1341="",$F1341="",$T1341="",$T1341&lt;0,$T1341&gt;120,$AJ1341=""),"—",ROUND(IF(ABS($AM1341)&lt;=3,$AM1341,IF($AM1341&gt;3,3+($F1341-$AO1341)/($AO1341-$AN1341),-3+($F1341-$AQ1341)/($AP1341-$AQ1341))),2))</f>
        <v/>
      </c>
      <c r="P1341">
        <f>IF(OR($O1341="",$O1341="—"),"",IF($O1341&lt;-3,"Muito baixo",IF($O1341&lt;-2,"Baixo",IF($O1341&lt;=2,"Adequado","Elevado"))))</f>
        <v/>
      </c>
      <c r="Q1341" s="12">
        <f>IF(OR($S1341="",$F1341="",$T1341="",$T1341&lt;0,$T1341&gt;60,$AR1341=""),"—",ROUND(IF(ABS($AU1341)&lt;=3,$AU1341,IF($AU1341&gt;3,3+($F1341-$AW1341)/($AW1341-$AV1341),-3+($F1341-$AY1341)/($AX1341-$AY1341))),2))</f>
        <v/>
      </c>
      <c r="R1341">
        <f>IF(OR($Q1341="",$Q1341="—"),"",IF($Q1341&lt;-3,"Magreza acentuada",IF($Q1341&lt;-2,"Magreza",IF($Q1341&lt;=1,"Eutrofia",IF($Q1341&lt;=2,"Risco de sobrepeso",IF($Q1341&lt;=3,"Sobrepeso","Obesidade"))))))</f>
        <v/>
      </c>
      <c r="S1341">
        <f>IF($C1341="","",IF(UPPER(LEFT($C1341,1))="M",1,IF(UPPER(LEFT($C1341,1))="F",2,"")))</f>
        <v/>
      </c>
      <c r="T1341">
        <f>IF(OR($D1341="",$E1341=""),"",DATEDIF($D1341,$E1341,"m"))</f>
        <v/>
      </c>
      <c r="U1341">
        <f>IF(OR($D1341="",$E1341=""),"",$E1341-$D1341)</f>
        <v/>
      </c>
      <c r="V1341">
        <f>IF(OR($G1341="",$T1341=""),"",IF($T1341&lt;24,IF(LEFT(LOWER($H1341),4)="em p",$G1341+0.7,$G1341),IF(LEFT(LOWER($H1341),4)="deit",$G1341-0.7,$G1341)))</f>
        <v/>
      </c>
      <c r="W1341">
        <f>IF(OR($S1341="",$T1341=""),"",$S1341*1000000+IF($T1341&lt;=60,$U1341,$T1341))</f>
        <v/>
      </c>
      <c r="X1341">
        <f>IF(OR($S1341="",$V1341="",$T1341&gt;60,$T1341=""),"",$S1341*1000000+ROUND($V1341*10,0))</f>
        <v/>
      </c>
      <c r="Y1341">
        <f>IF($W1341="","",IFERROR(INDEX(IF($T1341&lt;=60,imc05_l,imc519_l),MATCH($W1341,IF($T1341&lt;=60,imc05_k,imc519_k),1)),""))</f>
        <v/>
      </c>
      <c r="Z1341">
        <f>IF($W1341="","",IFERROR(INDEX(IF($T1341&lt;=60,imc05_m,imc519_m),MATCH($W1341,IF($T1341&lt;=60,imc05_k,imc519_k),1)),""))</f>
        <v/>
      </c>
      <c r="AA1341">
        <f>IF($W1341="","",IFERROR(INDEX(IF($T1341&lt;=60,imc05_s,imc519_s),MATCH($W1341,IF($T1341&lt;=60,imc05_k,imc519_k),1)),""))</f>
        <v/>
      </c>
      <c r="AB1341">
        <f>IF($Y1341="","",IF($Y1341=0,LN($J1341/$Z1341)/$AA1341,((($J1341/$Z1341)^$Y1341)-1)/($Y1341*$AA1341)))</f>
        <v/>
      </c>
      <c r="AC1341">
        <f>IF($Y1341="","",IF($Y1341=0,$Z1341*EXP($AA1341*2),$Z1341*(1+$Y1341*$AA1341*2)^(1/$Y1341)))</f>
        <v/>
      </c>
      <c r="AD1341">
        <f>IF($Y1341="","",IF($Y1341=0,$Z1341*EXP($AA1341*3),$Z1341*(1+$Y1341*$AA1341*3)^(1/$Y1341)))</f>
        <v/>
      </c>
      <c r="AE1341">
        <f>IF($Y1341="","",IF($Y1341=0,$Z1341*EXP($AA1341*-2),$Z1341*(1+$Y1341*$AA1341*-2)^(1/$Y1341)))</f>
        <v/>
      </c>
      <c r="AF1341">
        <f>IF($Y1341="","",IF($Y1341=0,$Z1341*EXP($AA1341*-3),$Z1341*(1+$Y1341*$AA1341*-3)^(1/$Y1341)))</f>
        <v/>
      </c>
      <c r="AG1341">
        <f>IF($W1341="","",IFERROR(INDEX(IF($T1341&lt;=60,est05_l,est519_l),MATCH($W1341,IF($T1341&lt;=60,est05_k,est519_k),1)),""))</f>
        <v/>
      </c>
      <c r="AH1341">
        <f>IF($W1341="","",IFERROR(INDEX(IF($T1341&lt;=60,est05_m,est519_m),MATCH($W1341,IF($T1341&lt;=60,est05_k,est519_k),1)),""))</f>
        <v/>
      </c>
      <c r="AI1341">
        <f>IF($W1341="","",IFERROR(INDEX(IF($T1341&lt;=60,est05_s,est519_s),MATCH($W1341,IF($T1341&lt;=60,est05_k,est519_k),1)),""))</f>
        <v/>
      </c>
      <c r="AJ1341">
        <f>IF($W1341="","",IFERROR(INDEX(IF($T1341&lt;=60,peso05_l,peso510_l),MATCH($W1341,IF($T1341&lt;=60,peso05_k,peso510_k),1)),""))</f>
        <v/>
      </c>
      <c r="AK1341">
        <f>IF($W1341="","",IFERROR(INDEX(IF($T1341&lt;=60,peso05_m,peso510_m),MATCH($W1341,IF($T1341&lt;=60,peso05_k,peso510_k),1)),""))</f>
        <v/>
      </c>
      <c r="AL1341">
        <f>IF($W1341="","",IFERROR(INDEX(IF($T1341&lt;=60,peso05_s,peso510_s),MATCH($W1341,IF($T1341&lt;=60,peso05_k,peso510_k),1)),""))</f>
        <v/>
      </c>
      <c r="AM1341">
        <f>IF($AJ1341="","",IF($AJ1341=0,LN($F1341/$AK1341)/$AL1341,((($F1341/$AK1341)^$AJ1341)-1)/($AJ1341*$AL1341)))</f>
        <v/>
      </c>
      <c r="AN1341">
        <f>IF($AJ1341="","",IF($AJ1341=0,$AK1341*EXP($AL1341*2),$AK1341*(1+$AJ1341*$AL1341*2)^(1/$AJ1341)))</f>
        <v/>
      </c>
      <c r="AO1341">
        <f>IF($AJ1341="","",IF($AJ1341=0,$AK1341*EXP($AL1341*3),$AK1341*(1+$AJ1341*$AL1341*3)^(1/$AJ1341)))</f>
        <v/>
      </c>
      <c r="AP1341">
        <f>IF($AJ1341="","",IF($AJ1341=0,$AK1341*EXP($AL1341*-2),$AK1341*(1+$AJ1341*$AL1341*-2)^(1/$AJ1341)))</f>
        <v/>
      </c>
      <c r="AQ1341">
        <f>IF($AJ1341="","",IF($AJ1341=0,$AK1341*EXP($AL1341*-3),$AK1341*(1+$AJ1341*$AL1341*-3)^(1/$AJ1341)))</f>
        <v/>
      </c>
      <c r="AR1341">
        <f>IF(OR($X1341="",$T1341&gt;60),"",IFERROR(INDEX(IF($T1341&lt;24,pcomp_l,palt_l),MATCH($X1341,IF($T1341&lt;24,pcomp_k,palt_k),1)),""))</f>
        <v/>
      </c>
      <c r="AS1341">
        <f>IF(OR($X1341="",$T1341&gt;60),"",IFERROR(INDEX(IF($T1341&lt;24,pcomp_m,palt_m),MATCH($X1341,IF($T1341&lt;24,pcomp_k,palt_k),1)),""))</f>
        <v/>
      </c>
      <c r="AT1341">
        <f>IF(OR($X1341="",$T1341&gt;60),"",IFERROR(INDEX(IF($T1341&lt;24,pcomp_s,palt_s),MATCH($X1341,IF($T1341&lt;24,pcomp_k,palt_k),1)),""))</f>
        <v/>
      </c>
      <c r="AU1341">
        <f>IF($AR1341="","",IF($AR1341=0,LN($F1341/$AS1341)/$AT1341,((($F1341/$AS1341)^$AR1341)-1)/($AR1341*$AT1341)))</f>
        <v/>
      </c>
      <c r="AV1341">
        <f>IF($AR1341="","",IF($AR1341=0,$AS1341*EXP($AT1341*2),$AS1341*(1+$AR1341*$AT1341*2)^(1/$AR1341)))</f>
        <v/>
      </c>
      <c r="AW1341">
        <f>IF($AR1341="","",IF($AR1341=0,$AS1341*EXP($AT1341*3),$AS1341*(1+$AR1341*$AT1341*3)^(1/$AR1341)))</f>
        <v/>
      </c>
      <c r="AX1341">
        <f>IF($AR1341="","",IF($AR1341=0,$AS1341*EXP($AT1341*-2),$AS1341*(1+$AR1341*$AT1341*-2)^(1/$AR1341)))</f>
        <v/>
      </c>
      <c r="AY1341">
        <f>IF($AR1341="","",IF($AR1341=0,$AS1341*EXP($AT1341*-3),$AS1341*(1+$AR1341*$AT1341*-3)^(1/$AR1341)))</f>
        <v/>
      </c>
      <c r="AZ1341">
        <f>IF(OR($A1341="",$A1341&lt;&gt;Ficha!$C$4),"",COUNTIF($A$2:$A1341,Ficha!$C$4))</f>
        <v/>
      </c>
    </row>
    <row r="1342">
      <c r="A1342" s="8">
        <f>IF(INDEX(Banco!$A:$A,ROW())="","",INDEX(Banco!$A:$A,ROW()))</f>
        <v/>
      </c>
      <c r="B1342" s="8">
        <f>IF(INDEX(Banco!$B:$B,ROW())="","",INDEX(Banco!$B:$B,ROW()))</f>
        <v/>
      </c>
      <c r="C1342" s="8">
        <f>IF(INDEX(Banco!$C:$C,ROW())="","",INDEX(Banco!$C:$C,ROW()))</f>
        <v/>
      </c>
      <c r="D1342" s="9">
        <f>IF(INDEX(Banco!$D:$D,ROW())="","",INDEX(Banco!$D:$D,ROW()))</f>
        <v/>
      </c>
      <c r="E1342" s="9">
        <f>IF(INDEX(Banco!$E:$E,ROW())="","",INDEX(Banco!$E:$E,ROW()))</f>
        <v/>
      </c>
      <c r="F1342" s="10">
        <f>IF(INDEX(Banco!$F:$F,ROW())="","",INDEX(Banco!$F:$F,ROW()))</f>
        <v/>
      </c>
      <c r="G1342" s="10">
        <f>IF(INDEX(Banco!$G:$G,ROW())="","",INDEX(Banco!$G:$G,ROW()))</f>
        <v/>
      </c>
      <c r="H1342" s="8">
        <f>IF(INDEX(Banco!$H:$H,ROW())="","",INDEX(Banco!$H:$H,ROW()))</f>
        <v/>
      </c>
      <c r="I1342">
        <f>IF($T1342="","",INT($T1342/12)&amp;"a "&amp;MOD($T1342,12)&amp;"m")</f>
        <v/>
      </c>
      <c r="J1342" s="11">
        <f>IF(OR($F1342="",$G1342=""),"",ROUND($F1342/($G1342/100)^2,2))</f>
        <v/>
      </c>
      <c r="K1342" s="12">
        <f>IF(OR($S1342="",$J1342="",$T1342="",$T1342&lt;0,$T1342&gt;228,$Y1342=""),"—",ROUND(IF(ABS($AB1342)&lt;=3,$AB1342,IF($AB1342&gt;3,3+($J1342-$AD1342)/($AD1342-$AC1342),-3+($J1342-$AF1342)/($AE1342-$AF1342))),2))</f>
        <v/>
      </c>
      <c r="L1342">
        <f>IF(OR($K1342="",$K1342="—"),"",IF($T1342&lt;=60,IF($K1342&lt;-3,"Magreza acentuada",IF($K1342&lt;-2,"Magreza",IF($K1342&lt;=1,"Eutrofia",IF($K1342&lt;=2,"Risco de sobrepeso",IF($K1342&lt;=3,"Sobrepeso","Obesidade"))))),IF($K1342&lt;-3,"Magreza acentuada",IF($K1342&lt;-2,"Magreza",IF($K1342&lt;=1,"Eutrofia",IF($K1342&lt;=2,"Sobrepeso",IF($K1342&lt;=3,"Obesidade","Obesidade grave")))))))</f>
        <v/>
      </c>
      <c r="M1342" s="12">
        <f>IF(OR($S1342="",$V1342="",$T1342="",$T1342&lt;0,$T1342&gt;228,$AG1342=""),"—",ROUND(IF($AG1342=0,LN($V1342/$AH1342)/$AI1342,((($V1342/$AH1342)^$AG1342)-1)/($AG1342*$AI1342)),2))</f>
        <v/>
      </c>
      <c r="N1342">
        <f>IF(OR($M1342="",$M1342="—"),"",IF($M1342&lt;-3,"Muito baixa",IF($M1342&lt;-2,"Baixa","Adequada")))</f>
        <v/>
      </c>
      <c r="O1342" s="12">
        <f>IF(OR($S1342="",$F1342="",$T1342="",$T1342&lt;0,$T1342&gt;120,$AJ1342=""),"—",ROUND(IF(ABS($AM1342)&lt;=3,$AM1342,IF($AM1342&gt;3,3+($F1342-$AO1342)/($AO1342-$AN1342),-3+($F1342-$AQ1342)/($AP1342-$AQ1342))),2))</f>
        <v/>
      </c>
      <c r="P1342">
        <f>IF(OR($O1342="",$O1342="—"),"",IF($O1342&lt;-3,"Muito baixo",IF($O1342&lt;-2,"Baixo",IF($O1342&lt;=2,"Adequado","Elevado"))))</f>
        <v/>
      </c>
      <c r="Q1342" s="12">
        <f>IF(OR($S1342="",$F1342="",$T1342="",$T1342&lt;0,$T1342&gt;60,$AR1342=""),"—",ROUND(IF(ABS($AU1342)&lt;=3,$AU1342,IF($AU1342&gt;3,3+($F1342-$AW1342)/($AW1342-$AV1342),-3+($F1342-$AY1342)/($AX1342-$AY1342))),2))</f>
        <v/>
      </c>
      <c r="R1342">
        <f>IF(OR($Q1342="",$Q1342="—"),"",IF($Q1342&lt;-3,"Magreza acentuada",IF($Q1342&lt;-2,"Magreza",IF($Q1342&lt;=1,"Eutrofia",IF($Q1342&lt;=2,"Risco de sobrepeso",IF($Q1342&lt;=3,"Sobrepeso","Obesidade"))))))</f>
        <v/>
      </c>
      <c r="S1342">
        <f>IF($C1342="","",IF(UPPER(LEFT($C1342,1))="M",1,IF(UPPER(LEFT($C1342,1))="F",2,"")))</f>
        <v/>
      </c>
      <c r="T1342">
        <f>IF(OR($D1342="",$E1342=""),"",DATEDIF($D1342,$E1342,"m"))</f>
        <v/>
      </c>
      <c r="U1342">
        <f>IF(OR($D1342="",$E1342=""),"",$E1342-$D1342)</f>
        <v/>
      </c>
      <c r="V1342">
        <f>IF(OR($G1342="",$T1342=""),"",IF($T1342&lt;24,IF(LEFT(LOWER($H1342),4)="em p",$G1342+0.7,$G1342),IF(LEFT(LOWER($H1342),4)="deit",$G1342-0.7,$G1342)))</f>
        <v/>
      </c>
      <c r="W1342">
        <f>IF(OR($S1342="",$T1342=""),"",$S1342*1000000+IF($T1342&lt;=60,$U1342,$T1342))</f>
        <v/>
      </c>
      <c r="X1342">
        <f>IF(OR($S1342="",$V1342="",$T1342&gt;60,$T1342=""),"",$S1342*1000000+ROUND($V1342*10,0))</f>
        <v/>
      </c>
      <c r="Y1342">
        <f>IF($W1342="","",IFERROR(INDEX(IF($T1342&lt;=60,imc05_l,imc519_l),MATCH($W1342,IF($T1342&lt;=60,imc05_k,imc519_k),1)),""))</f>
        <v/>
      </c>
      <c r="Z1342">
        <f>IF($W1342="","",IFERROR(INDEX(IF($T1342&lt;=60,imc05_m,imc519_m),MATCH($W1342,IF($T1342&lt;=60,imc05_k,imc519_k),1)),""))</f>
        <v/>
      </c>
      <c r="AA1342">
        <f>IF($W1342="","",IFERROR(INDEX(IF($T1342&lt;=60,imc05_s,imc519_s),MATCH($W1342,IF($T1342&lt;=60,imc05_k,imc519_k),1)),""))</f>
        <v/>
      </c>
      <c r="AB1342">
        <f>IF($Y1342="","",IF($Y1342=0,LN($J1342/$Z1342)/$AA1342,((($J1342/$Z1342)^$Y1342)-1)/($Y1342*$AA1342)))</f>
        <v/>
      </c>
      <c r="AC1342">
        <f>IF($Y1342="","",IF($Y1342=0,$Z1342*EXP($AA1342*2),$Z1342*(1+$Y1342*$AA1342*2)^(1/$Y1342)))</f>
        <v/>
      </c>
      <c r="AD1342">
        <f>IF($Y1342="","",IF($Y1342=0,$Z1342*EXP($AA1342*3),$Z1342*(1+$Y1342*$AA1342*3)^(1/$Y1342)))</f>
        <v/>
      </c>
      <c r="AE1342">
        <f>IF($Y1342="","",IF($Y1342=0,$Z1342*EXP($AA1342*-2),$Z1342*(1+$Y1342*$AA1342*-2)^(1/$Y1342)))</f>
        <v/>
      </c>
      <c r="AF1342">
        <f>IF($Y1342="","",IF($Y1342=0,$Z1342*EXP($AA1342*-3),$Z1342*(1+$Y1342*$AA1342*-3)^(1/$Y1342)))</f>
        <v/>
      </c>
      <c r="AG1342">
        <f>IF($W1342="","",IFERROR(INDEX(IF($T1342&lt;=60,est05_l,est519_l),MATCH($W1342,IF($T1342&lt;=60,est05_k,est519_k),1)),""))</f>
        <v/>
      </c>
      <c r="AH1342">
        <f>IF($W1342="","",IFERROR(INDEX(IF($T1342&lt;=60,est05_m,est519_m),MATCH($W1342,IF($T1342&lt;=60,est05_k,est519_k),1)),""))</f>
        <v/>
      </c>
      <c r="AI1342">
        <f>IF($W1342="","",IFERROR(INDEX(IF($T1342&lt;=60,est05_s,est519_s),MATCH($W1342,IF($T1342&lt;=60,est05_k,est519_k),1)),""))</f>
        <v/>
      </c>
      <c r="AJ1342">
        <f>IF($W1342="","",IFERROR(INDEX(IF($T1342&lt;=60,peso05_l,peso510_l),MATCH($W1342,IF($T1342&lt;=60,peso05_k,peso510_k),1)),""))</f>
        <v/>
      </c>
      <c r="AK1342">
        <f>IF($W1342="","",IFERROR(INDEX(IF($T1342&lt;=60,peso05_m,peso510_m),MATCH($W1342,IF($T1342&lt;=60,peso05_k,peso510_k),1)),""))</f>
        <v/>
      </c>
      <c r="AL1342">
        <f>IF($W1342="","",IFERROR(INDEX(IF($T1342&lt;=60,peso05_s,peso510_s),MATCH($W1342,IF($T1342&lt;=60,peso05_k,peso510_k),1)),""))</f>
        <v/>
      </c>
      <c r="AM1342">
        <f>IF($AJ1342="","",IF($AJ1342=0,LN($F1342/$AK1342)/$AL1342,((($F1342/$AK1342)^$AJ1342)-1)/($AJ1342*$AL1342)))</f>
        <v/>
      </c>
      <c r="AN1342">
        <f>IF($AJ1342="","",IF($AJ1342=0,$AK1342*EXP($AL1342*2),$AK1342*(1+$AJ1342*$AL1342*2)^(1/$AJ1342)))</f>
        <v/>
      </c>
      <c r="AO1342">
        <f>IF($AJ1342="","",IF($AJ1342=0,$AK1342*EXP($AL1342*3),$AK1342*(1+$AJ1342*$AL1342*3)^(1/$AJ1342)))</f>
        <v/>
      </c>
      <c r="AP1342">
        <f>IF($AJ1342="","",IF($AJ1342=0,$AK1342*EXP($AL1342*-2),$AK1342*(1+$AJ1342*$AL1342*-2)^(1/$AJ1342)))</f>
        <v/>
      </c>
      <c r="AQ1342">
        <f>IF($AJ1342="","",IF($AJ1342=0,$AK1342*EXP($AL1342*-3),$AK1342*(1+$AJ1342*$AL1342*-3)^(1/$AJ1342)))</f>
        <v/>
      </c>
      <c r="AR1342">
        <f>IF(OR($X1342="",$T1342&gt;60),"",IFERROR(INDEX(IF($T1342&lt;24,pcomp_l,palt_l),MATCH($X1342,IF($T1342&lt;24,pcomp_k,palt_k),1)),""))</f>
        <v/>
      </c>
      <c r="AS1342">
        <f>IF(OR($X1342="",$T1342&gt;60),"",IFERROR(INDEX(IF($T1342&lt;24,pcomp_m,palt_m),MATCH($X1342,IF($T1342&lt;24,pcomp_k,palt_k),1)),""))</f>
        <v/>
      </c>
      <c r="AT1342">
        <f>IF(OR($X1342="",$T1342&gt;60),"",IFERROR(INDEX(IF($T1342&lt;24,pcomp_s,palt_s),MATCH($X1342,IF($T1342&lt;24,pcomp_k,palt_k),1)),""))</f>
        <v/>
      </c>
      <c r="AU1342">
        <f>IF($AR1342="","",IF($AR1342=0,LN($F1342/$AS1342)/$AT1342,((($F1342/$AS1342)^$AR1342)-1)/($AR1342*$AT1342)))</f>
        <v/>
      </c>
      <c r="AV1342">
        <f>IF($AR1342="","",IF($AR1342=0,$AS1342*EXP($AT1342*2),$AS1342*(1+$AR1342*$AT1342*2)^(1/$AR1342)))</f>
        <v/>
      </c>
      <c r="AW1342">
        <f>IF($AR1342="","",IF($AR1342=0,$AS1342*EXP($AT1342*3),$AS1342*(1+$AR1342*$AT1342*3)^(1/$AR1342)))</f>
        <v/>
      </c>
      <c r="AX1342">
        <f>IF($AR1342="","",IF($AR1342=0,$AS1342*EXP($AT1342*-2),$AS1342*(1+$AR1342*$AT1342*-2)^(1/$AR1342)))</f>
        <v/>
      </c>
      <c r="AY1342">
        <f>IF($AR1342="","",IF($AR1342=0,$AS1342*EXP($AT1342*-3),$AS1342*(1+$AR1342*$AT1342*-3)^(1/$AR1342)))</f>
        <v/>
      </c>
      <c r="AZ1342">
        <f>IF(OR($A1342="",$A1342&lt;&gt;Ficha!$C$4),"",COUNTIF($A$2:$A1342,Ficha!$C$4))</f>
        <v/>
      </c>
    </row>
    <row r="1343">
      <c r="A1343" s="8">
        <f>IF(INDEX(Banco!$A:$A,ROW())="","",INDEX(Banco!$A:$A,ROW()))</f>
        <v/>
      </c>
      <c r="B1343" s="8">
        <f>IF(INDEX(Banco!$B:$B,ROW())="","",INDEX(Banco!$B:$B,ROW()))</f>
        <v/>
      </c>
      <c r="C1343" s="8">
        <f>IF(INDEX(Banco!$C:$C,ROW())="","",INDEX(Banco!$C:$C,ROW()))</f>
        <v/>
      </c>
      <c r="D1343" s="9">
        <f>IF(INDEX(Banco!$D:$D,ROW())="","",INDEX(Banco!$D:$D,ROW()))</f>
        <v/>
      </c>
      <c r="E1343" s="9">
        <f>IF(INDEX(Banco!$E:$E,ROW())="","",INDEX(Banco!$E:$E,ROW()))</f>
        <v/>
      </c>
      <c r="F1343" s="10">
        <f>IF(INDEX(Banco!$F:$F,ROW())="","",INDEX(Banco!$F:$F,ROW()))</f>
        <v/>
      </c>
      <c r="G1343" s="10">
        <f>IF(INDEX(Banco!$G:$G,ROW())="","",INDEX(Banco!$G:$G,ROW()))</f>
        <v/>
      </c>
      <c r="H1343" s="8">
        <f>IF(INDEX(Banco!$H:$H,ROW())="","",INDEX(Banco!$H:$H,ROW()))</f>
        <v/>
      </c>
      <c r="I1343">
        <f>IF($T1343="","",INT($T1343/12)&amp;"a "&amp;MOD($T1343,12)&amp;"m")</f>
        <v/>
      </c>
      <c r="J1343" s="11">
        <f>IF(OR($F1343="",$G1343=""),"",ROUND($F1343/($G1343/100)^2,2))</f>
        <v/>
      </c>
      <c r="K1343" s="12">
        <f>IF(OR($S1343="",$J1343="",$T1343="",$T1343&lt;0,$T1343&gt;228,$Y1343=""),"—",ROUND(IF(ABS($AB1343)&lt;=3,$AB1343,IF($AB1343&gt;3,3+($J1343-$AD1343)/($AD1343-$AC1343),-3+($J1343-$AF1343)/($AE1343-$AF1343))),2))</f>
        <v/>
      </c>
      <c r="L1343">
        <f>IF(OR($K1343="",$K1343="—"),"",IF($T1343&lt;=60,IF($K1343&lt;-3,"Magreza acentuada",IF($K1343&lt;-2,"Magreza",IF($K1343&lt;=1,"Eutrofia",IF($K1343&lt;=2,"Risco de sobrepeso",IF($K1343&lt;=3,"Sobrepeso","Obesidade"))))),IF($K1343&lt;-3,"Magreza acentuada",IF($K1343&lt;-2,"Magreza",IF($K1343&lt;=1,"Eutrofia",IF($K1343&lt;=2,"Sobrepeso",IF($K1343&lt;=3,"Obesidade","Obesidade grave")))))))</f>
        <v/>
      </c>
      <c r="M1343" s="12">
        <f>IF(OR($S1343="",$V1343="",$T1343="",$T1343&lt;0,$T1343&gt;228,$AG1343=""),"—",ROUND(IF($AG1343=0,LN($V1343/$AH1343)/$AI1343,((($V1343/$AH1343)^$AG1343)-1)/($AG1343*$AI1343)),2))</f>
        <v/>
      </c>
      <c r="N1343">
        <f>IF(OR($M1343="",$M1343="—"),"",IF($M1343&lt;-3,"Muito baixa",IF($M1343&lt;-2,"Baixa","Adequada")))</f>
        <v/>
      </c>
      <c r="O1343" s="12">
        <f>IF(OR($S1343="",$F1343="",$T1343="",$T1343&lt;0,$T1343&gt;120,$AJ1343=""),"—",ROUND(IF(ABS($AM1343)&lt;=3,$AM1343,IF($AM1343&gt;3,3+($F1343-$AO1343)/($AO1343-$AN1343),-3+($F1343-$AQ1343)/($AP1343-$AQ1343))),2))</f>
        <v/>
      </c>
      <c r="P1343">
        <f>IF(OR($O1343="",$O1343="—"),"",IF($O1343&lt;-3,"Muito baixo",IF($O1343&lt;-2,"Baixo",IF($O1343&lt;=2,"Adequado","Elevado"))))</f>
        <v/>
      </c>
      <c r="Q1343" s="12">
        <f>IF(OR($S1343="",$F1343="",$T1343="",$T1343&lt;0,$T1343&gt;60,$AR1343=""),"—",ROUND(IF(ABS($AU1343)&lt;=3,$AU1343,IF($AU1343&gt;3,3+($F1343-$AW1343)/($AW1343-$AV1343),-3+($F1343-$AY1343)/($AX1343-$AY1343))),2))</f>
        <v/>
      </c>
      <c r="R1343">
        <f>IF(OR($Q1343="",$Q1343="—"),"",IF($Q1343&lt;-3,"Magreza acentuada",IF($Q1343&lt;-2,"Magreza",IF($Q1343&lt;=1,"Eutrofia",IF($Q1343&lt;=2,"Risco de sobrepeso",IF($Q1343&lt;=3,"Sobrepeso","Obesidade"))))))</f>
        <v/>
      </c>
      <c r="S1343">
        <f>IF($C1343="","",IF(UPPER(LEFT($C1343,1))="M",1,IF(UPPER(LEFT($C1343,1))="F",2,"")))</f>
        <v/>
      </c>
      <c r="T1343">
        <f>IF(OR($D1343="",$E1343=""),"",DATEDIF($D1343,$E1343,"m"))</f>
        <v/>
      </c>
      <c r="U1343">
        <f>IF(OR($D1343="",$E1343=""),"",$E1343-$D1343)</f>
        <v/>
      </c>
      <c r="V1343">
        <f>IF(OR($G1343="",$T1343=""),"",IF($T1343&lt;24,IF(LEFT(LOWER($H1343),4)="em p",$G1343+0.7,$G1343),IF(LEFT(LOWER($H1343),4)="deit",$G1343-0.7,$G1343)))</f>
        <v/>
      </c>
      <c r="W1343">
        <f>IF(OR($S1343="",$T1343=""),"",$S1343*1000000+IF($T1343&lt;=60,$U1343,$T1343))</f>
        <v/>
      </c>
      <c r="X1343">
        <f>IF(OR($S1343="",$V1343="",$T1343&gt;60,$T1343=""),"",$S1343*1000000+ROUND($V1343*10,0))</f>
        <v/>
      </c>
      <c r="Y1343">
        <f>IF($W1343="","",IFERROR(INDEX(IF($T1343&lt;=60,imc05_l,imc519_l),MATCH($W1343,IF($T1343&lt;=60,imc05_k,imc519_k),1)),""))</f>
        <v/>
      </c>
      <c r="Z1343">
        <f>IF($W1343="","",IFERROR(INDEX(IF($T1343&lt;=60,imc05_m,imc519_m),MATCH($W1343,IF($T1343&lt;=60,imc05_k,imc519_k),1)),""))</f>
        <v/>
      </c>
      <c r="AA1343">
        <f>IF($W1343="","",IFERROR(INDEX(IF($T1343&lt;=60,imc05_s,imc519_s),MATCH($W1343,IF($T1343&lt;=60,imc05_k,imc519_k),1)),""))</f>
        <v/>
      </c>
      <c r="AB1343">
        <f>IF($Y1343="","",IF($Y1343=0,LN($J1343/$Z1343)/$AA1343,((($J1343/$Z1343)^$Y1343)-1)/($Y1343*$AA1343)))</f>
        <v/>
      </c>
      <c r="AC1343">
        <f>IF($Y1343="","",IF($Y1343=0,$Z1343*EXP($AA1343*2),$Z1343*(1+$Y1343*$AA1343*2)^(1/$Y1343)))</f>
        <v/>
      </c>
      <c r="AD1343">
        <f>IF($Y1343="","",IF($Y1343=0,$Z1343*EXP($AA1343*3),$Z1343*(1+$Y1343*$AA1343*3)^(1/$Y1343)))</f>
        <v/>
      </c>
      <c r="AE1343">
        <f>IF($Y1343="","",IF($Y1343=0,$Z1343*EXP($AA1343*-2),$Z1343*(1+$Y1343*$AA1343*-2)^(1/$Y1343)))</f>
        <v/>
      </c>
      <c r="AF1343">
        <f>IF($Y1343="","",IF($Y1343=0,$Z1343*EXP($AA1343*-3),$Z1343*(1+$Y1343*$AA1343*-3)^(1/$Y1343)))</f>
        <v/>
      </c>
      <c r="AG1343">
        <f>IF($W1343="","",IFERROR(INDEX(IF($T1343&lt;=60,est05_l,est519_l),MATCH($W1343,IF($T1343&lt;=60,est05_k,est519_k),1)),""))</f>
        <v/>
      </c>
      <c r="AH1343">
        <f>IF($W1343="","",IFERROR(INDEX(IF($T1343&lt;=60,est05_m,est519_m),MATCH($W1343,IF($T1343&lt;=60,est05_k,est519_k),1)),""))</f>
        <v/>
      </c>
      <c r="AI1343">
        <f>IF($W1343="","",IFERROR(INDEX(IF($T1343&lt;=60,est05_s,est519_s),MATCH($W1343,IF($T1343&lt;=60,est05_k,est519_k),1)),""))</f>
        <v/>
      </c>
      <c r="AJ1343">
        <f>IF($W1343="","",IFERROR(INDEX(IF($T1343&lt;=60,peso05_l,peso510_l),MATCH($W1343,IF($T1343&lt;=60,peso05_k,peso510_k),1)),""))</f>
        <v/>
      </c>
      <c r="AK1343">
        <f>IF($W1343="","",IFERROR(INDEX(IF($T1343&lt;=60,peso05_m,peso510_m),MATCH($W1343,IF($T1343&lt;=60,peso05_k,peso510_k),1)),""))</f>
        <v/>
      </c>
      <c r="AL1343">
        <f>IF($W1343="","",IFERROR(INDEX(IF($T1343&lt;=60,peso05_s,peso510_s),MATCH($W1343,IF($T1343&lt;=60,peso05_k,peso510_k),1)),""))</f>
        <v/>
      </c>
      <c r="AM1343">
        <f>IF($AJ1343="","",IF($AJ1343=0,LN($F1343/$AK1343)/$AL1343,((($F1343/$AK1343)^$AJ1343)-1)/($AJ1343*$AL1343)))</f>
        <v/>
      </c>
      <c r="AN1343">
        <f>IF($AJ1343="","",IF($AJ1343=0,$AK1343*EXP($AL1343*2),$AK1343*(1+$AJ1343*$AL1343*2)^(1/$AJ1343)))</f>
        <v/>
      </c>
      <c r="AO1343">
        <f>IF($AJ1343="","",IF($AJ1343=0,$AK1343*EXP($AL1343*3),$AK1343*(1+$AJ1343*$AL1343*3)^(1/$AJ1343)))</f>
        <v/>
      </c>
      <c r="AP1343">
        <f>IF($AJ1343="","",IF($AJ1343=0,$AK1343*EXP($AL1343*-2),$AK1343*(1+$AJ1343*$AL1343*-2)^(1/$AJ1343)))</f>
        <v/>
      </c>
      <c r="AQ1343">
        <f>IF($AJ1343="","",IF($AJ1343=0,$AK1343*EXP($AL1343*-3),$AK1343*(1+$AJ1343*$AL1343*-3)^(1/$AJ1343)))</f>
        <v/>
      </c>
      <c r="AR1343">
        <f>IF(OR($X1343="",$T1343&gt;60),"",IFERROR(INDEX(IF($T1343&lt;24,pcomp_l,palt_l),MATCH($X1343,IF($T1343&lt;24,pcomp_k,palt_k),1)),""))</f>
        <v/>
      </c>
      <c r="AS1343">
        <f>IF(OR($X1343="",$T1343&gt;60),"",IFERROR(INDEX(IF($T1343&lt;24,pcomp_m,palt_m),MATCH($X1343,IF($T1343&lt;24,pcomp_k,palt_k),1)),""))</f>
        <v/>
      </c>
      <c r="AT1343">
        <f>IF(OR($X1343="",$T1343&gt;60),"",IFERROR(INDEX(IF($T1343&lt;24,pcomp_s,palt_s),MATCH($X1343,IF($T1343&lt;24,pcomp_k,palt_k),1)),""))</f>
        <v/>
      </c>
      <c r="AU1343">
        <f>IF($AR1343="","",IF($AR1343=0,LN($F1343/$AS1343)/$AT1343,((($F1343/$AS1343)^$AR1343)-1)/($AR1343*$AT1343)))</f>
        <v/>
      </c>
      <c r="AV1343">
        <f>IF($AR1343="","",IF($AR1343=0,$AS1343*EXP($AT1343*2),$AS1343*(1+$AR1343*$AT1343*2)^(1/$AR1343)))</f>
        <v/>
      </c>
      <c r="AW1343">
        <f>IF($AR1343="","",IF($AR1343=0,$AS1343*EXP($AT1343*3),$AS1343*(1+$AR1343*$AT1343*3)^(1/$AR1343)))</f>
        <v/>
      </c>
      <c r="AX1343">
        <f>IF($AR1343="","",IF($AR1343=0,$AS1343*EXP($AT1343*-2),$AS1343*(1+$AR1343*$AT1343*-2)^(1/$AR1343)))</f>
        <v/>
      </c>
      <c r="AY1343">
        <f>IF($AR1343="","",IF($AR1343=0,$AS1343*EXP($AT1343*-3),$AS1343*(1+$AR1343*$AT1343*-3)^(1/$AR1343)))</f>
        <v/>
      </c>
      <c r="AZ1343">
        <f>IF(OR($A1343="",$A1343&lt;&gt;Ficha!$C$4),"",COUNTIF($A$2:$A1343,Ficha!$C$4))</f>
        <v/>
      </c>
    </row>
    <row r="1344">
      <c r="A1344" s="8">
        <f>IF(INDEX(Banco!$A:$A,ROW())="","",INDEX(Banco!$A:$A,ROW()))</f>
        <v/>
      </c>
      <c r="B1344" s="8">
        <f>IF(INDEX(Banco!$B:$B,ROW())="","",INDEX(Banco!$B:$B,ROW()))</f>
        <v/>
      </c>
      <c r="C1344" s="8">
        <f>IF(INDEX(Banco!$C:$C,ROW())="","",INDEX(Banco!$C:$C,ROW()))</f>
        <v/>
      </c>
      <c r="D1344" s="9">
        <f>IF(INDEX(Banco!$D:$D,ROW())="","",INDEX(Banco!$D:$D,ROW()))</f>
        <v/>
      </c>
      <c r="E1344" s="9">
        <f>IF(INDEX(Banco!$E:$E,ROW())="","",INDEX(Banco!$E:$E,ROW()))</f>
        <v/>
      </c>
      <c r="F1344" s="10">
        <f>IF(INDEX(Banco!$F:$F,ROW())="","",INDEX(Banco!$F:$F,ROW()))</f>
        <v/>
      </c>
      <c r="G1344" s="10">
        <f>IF(INDEX(Banco!$G:$G,ROW())="","",INDEX(Banco!$G:$G,ROW()))</f>
        <v/>
      </c>
      <c r="H1344" s="8">
        <f>IF(INDEX(Banco!$H:$H,ROW())="","",INDEX(Banco!$H:$H,ROW()))</f>
        <v/>
      </c>
      <c r="I1344">
        <f>IF($T1344="","",INT($T1344/12)&amp;"a "&amp;MOD($T1344,12)&amp;"m")</f>
        <v/>
      </c>
      <c r="J1344" s="11">
        <f>IF(OR($F1344="",$G1344=""),"",ROUND($F1344/($G1344/100)^2,2))</f>
        <v/>
      </c>
      <c r="K1344" s="12">
        <f>IF(OR($S1344="",$J1344="",$T1344="",$T1344&lt;0,$T1344&gt;228,$Y1344=""),"—",ROUND(IF(ABS($AB1344)&lt;=3,$AB1344,IF($AB1344&gt;3,3+($J1344-$AD1344)/($AD1344-$AC1344),-3+($J1344-$AF1344)/($AE1344-$AF1344))),2))</f>
        <v/>
      </c>
      <c r="L1344">
        <f>IF(OR($K1344="",$K1344="—"),"",IF($T1344&lt;=60,IF($K1344&lt;-3,"Magreza acentuada",IF($K1344&lt;-2,"Magreza",IF($K1344&lt;=1,"Eutrofia",IF($K1344&lt;=2,"Risco de sobrepeso",IF($K1344&lt;=3,"Sobrepeso","Obesidade"))))),IF($K1344&lt;-3,"Magreza acentuada",IF($K1344&lt;-2,"Magreza",IF($K1344&lt;=1,"Eutrofia",IF($K1344&lt;=2,"Sobrepeso",IF($K1344&lt;=3,"Obesidade","Obesidade grave")))))))</f>
        <v/>
      </c>
      <c r="M1344" s="12">
        <f>IF(OR($S1344="",$V1344="",$T1344="",$T1344&lt;0,$T1344&gt;228,$AG1344=""),"—",ROUND(IF($AG1344=0,LN($V1344/$AH1344)/$AI1344,((($V1344/$AH1344)^$AG1344)-1)/($AG1344*$AI1344)),2))</f>
        <v/>
      </c>
      <c r="N1344">
        <f>IF(OR($M1344="",$M1344="—"),"",IF($M1344&lt;-3,"Muito baixa",IF($M1344&lt;-2,"Baixa","Adequada")))</f>
        <v/>
      </c>
      <c r="O1344" s="12">
        <f>IF(OR($S1344="",$F1344="",$T1344="",$T1344&lt;0,$T1344&gt;120,$AJ1344=""),"—",ROUND(IF(ABS($AM1344)&lt;=3,$AM1344,IF($AM1344&gt;3,3+($F1344-$AO1344)/($AO1344-$AN1344),-3+($F1344-$AQ1344)/($AP1344-$AQ1344))),2))</f>
        <v/>
      </c>
      <c r="P1344">
        <f>IF(OR($O1344="",$O1344="—"),"",IF($O1344&lt;-3,"Muito baixo",IF($O1344&lt;-2,"Baixo",IF($O1344&lt;=2,"Adequado","Elevado"))))</f>
        <v/>
      </c>
      <c r="Q1344" s="12">
        <f>IF(OR($S1344="",$F1344="",$T1344="",$T1344&lt;0,$T1344&gt;60,$AR1344=""),"—",ROUND(IF(ABS($AU1344)&lt;=3,$AU1344,IF($AU1344&gt;3,3+($F1344-$AW1344)/($AW1344-$AV1344),-3+($F1344-$AY1344)/($AX1344-$AY1344))),2))</f>
        <v/>
      </c>
      <c r="R1344">
        <f>IF(OR($Q1344="",$Q1344="—"),"",IF($Q1344&lt;-3,"Magreza acentuada",IF($Q1344&lt;-2,"Magreza",IF($Q1344&lt;=1,"Eutrofia",IF($Q1344&lt;=2,"Risco de sobrepeso",IF($Q1344&lt;=3,"Sobrepeso","Obesidade"))))))</f>
        <v/>
      </c>
      <c r="S1344">
        <f>IF($C1344="","",IF(UPPER(LEFT($C1344,1))="M",1,IF(UPPER(LEFT($C1344,1))="F",2,"")))</f>
        <v/>
      </c>
      <c r="T1344">
        <f>IF(OR($D1344="",$E1344=""),"",DATEDIF($D1344,$E1344,"m"))</f>
        <v/>
      </c>
      <c r="U1344">
        <f>IF(OR($D1344="",$E1344=""),"",$E1344-$D1344)</f>
        <v/>
      </c>
      <c r="V1344">
        <f>IF(OR($G1344="",$T1344=""),"",IF($T1344&lt;24,IF(LEFT(LOWER($H1344),4)="em p",$G1344+0.7,$G1344),IF(LEFT(LOWER($H1344),4)="deit",$G1344-0.7,$G1344)))</f>
        <v/>
      </c>
      <c r="W1344">
        <f>IF(OR($S1344="",$T1344=""),"",$S1344*1000000+IF($T1344&lt;=60,$U1344,$T1344))</f>
        <v/>
      </c>
      <c r="X1344">
        <f>IF(OR($S1344="",$V1344="",$T1344&gt;60,$T1344=""),"",$S1344*1000000+ROUND($V1344*10,0))</f>
        <v/>
      </c>
      <c r="Y1344">
        <f>IF($W1344="","",IFERROR(INDEX(IF($T1344&lt;=60,imc05_l,imc519_l),MATCH($W1344,IF($T1344&lt;=60,imc05_k,imc519_k),1)),""))</f>
        <v/>
      </c>
      <c r="Z1344">
        <f>IF($W1344="","",IFERROR(INDEX(IF($T1344&lt;=60,imc05_m,imc519_m),MATCH($W1344,IF($T1344&lt;=60,imc05_k,imc519_k),1)),""))</f>
        <v/>
      </c>
      <c r="AA1344">
        <f>IF($W1344="","",IFERROR(INDEX(IF($T1344&lt;=60,imc05_s,imc519_s),MATCH($W1344,IF($T1344&lt;=60,imc05_k,imc519_k),1)),""))</f>
        <v/>
      </c>
      <c r="AB1344">
        <f>IF($Y1344="","",IF($Y1344=0,LN($J1344/$Z1344)/$AA1344,((($J1344/$Z1344)^$Y1344)-1)/($Y1344*$AA1344)))</f>
        <v/>
      </c>
      <c r="AC1344">
        <f>IF($Y1344="","",IF($Y1344=0,$Z1344*EXP($AA1344*2),$Z1344*(1+$Y1344*$AA1344*2)^(1/$Y1344)))</f>
        <v/>
      </c>
      <c r="AD1344">
        <f>IF($Y1344="","",IF($Y1344=0,$Z1344*EXP($AA1344*3),$Z1344*(1+$Y1344*$AA1344*3)^(1/$Y1344)))</f>
        <v/>
      </c>
      <c r="AE1344">
        <f>IF($Y1344="","",IF($Y1344=0,$Z1344*EXP($AA1344*-2),$Z1344*(1+$Y1344*$AA1344*-2)^(1/$Y1344)))</f>
        <v/>
      </c>
      <c r="AF1344">
        <f>IF($Y1344="","",IF($Y1344=0,$Z1344*EXP($AA1344*-3),$Z1344*(1+$Y1344*$AA1344*-3)^(1/$Y1344)))</f>
        <v/>
      </c>
      <c r="AG1344">
        <f>IF($W1344="","",IFERROR(INDEX(IF($T1344&lt;=60,est05_l,est519_l),MATCH($W1344,IF($T1344&lt;=60,est05_k,est519_k),1)),""))</f>
        <v/>
      </c>
      <c r="AH1344">
        <f>IF($W1344="","",IFERROR(INDEX(IF($T1344&lt;=60,est05_m,est519_m),MATCH($W1344,IF($T1344&lt;=60,est05_k,est519_k),1)),""))</f>
        <v/>
      </c>
      <c r="AI1344">
        <f>IF($W1344="","",IFERROR(INDEX(IF($T1344&lt;=60,est05_s,est519_s),MATCH($W1344,IF($T1344&lt;=60,est05_k,est519_k),1)),""))</f>
        <v/>
      </c>
      <c r="AJ1344">
        <f>IF($W1344="","",IFERROR(INDEX(IF($T1344&lt;=60,peso05_l,peso510_l),MATCH($W1344,IF($T1344&lt;=60,peso05_k,peso510_k),1)),""))</f>
        <v/>
      </c>
      <c r="AK1344">
        <f>IF($W1344="","",IFERROR(INDEX(IF($T1344&lt;=60,peso05_m,peso510_m),MATCH($W1344,IF($T1344&lt;=60,peso05_k,peso510_k),1)),""))</f>
        <v/>
      </c>
      <c r="AL1344">
        <f>IF($W1344="","",IFERROR(INDEX(IF($T1344&lt;=60,peso05_s,peso510_s),MATCH($W1344,IF($T1344&lt;=60,peso05_k,peso510_k),1)),""))</f>
        <v/>
      </c>
      <c r="AM1344">
        <f>IF($AJ1344="","",IF($AJ1344=0,LN($F1344/$AK1344)/$AL1344,((($F1344/$AK1344)^$AJ1344)-1)/($AJ1344*$AL1344)))</f>
        <v/>
      </c>
      <c r="AN1344">
        <f>IF($AJ1344="","",IF($AJ1344=0,$AK1344*EXP($AL1344*2),$AK1344*(1+$AJ1344*$AL1344*2)^(1/$AJ1344)))</f>
        <v/>
      </c>
      <c r="AO1344">
        <f>IF($AJ1344="","",IF($AJ1344=0,$AK1344*EXP($AL1344*3),$AK1344*(1+$AJ1344*$AL1344*3)^(1/$AJ1344)))</f>
        <v/>
      </c>
      <c r="AP1344">
        <f>IF($AJ1344="","",IF($AJ1344=0,$AK1344*EXP($AL1344*-2),$AK1344*(1+$AJ1344*$AL1344*-2)^(1/$AJ1344)))</f>
        <v/>
      </c>
      <c r="AQ1344">
        <f>IF($AJ1344="","",IF($AJ1344=0,$AK1344*EXP($AL1344*-3),$AK1344*(1+$AJ1344*$AL1344*-3)^(1/$AJ1344)))</f>
        <v/>
      </c>
      <c r="AR1344">
        <f>IF(OR($X1344="",$T1344&gt;60),"",IFERROR(INDEX(IF($T1344&lt;24,pcomp_l,palt_l),MATCH($X1344,IF($T1344&lt;24,pcomp_k,palt_k),1)),""))</f>
        <v/>
      </c>
      <c r="AS1344">
        <f>IF(OR($X1344="",$T1344&gt;60),"",IFERROR(INDEX(IF($T1344&lt;24,pcomp_m,palt_m),MATCH($X1344,IF($T1344&lt;24,pcomp_k,palt_k),1)),""))</f>
        <v/>
      </c>
      <c r="AT1344">
        <f>IF(OR($X1344="",$T1344&gt;60),"",IFERROR(INDEX(IF($T1344&lt;24,pcomp_s,palt_s),MATCH($X1344,IF($T1344&lt;24,pcomp_k,palt_k),1)),""))</f>
        <v/>
      </c>
      <c r="AU1344">
        <f>IF($AR1344="","",IF($AR1344=0,LN($F1344/$AS1344)/$AT1344,((($F1344/$AS1344)^$AR1344)-1)/($AR1344*$AT1344)))</f>
        <v/>
      </c>
      <c r="AV1344">
        <f>IF($AR1344="","",IF($AR1344=0,$AS1344*EXP($AT1344*2),$AS1344*(1+$AR1344*$AT1344*2)^(1/$AR1344)))</f>
        <v/>
      </c>
      <c r="AW1344">
        <f>IF($AR1344="","",IF($AR1344=0,$AS1344*EXP($AT1344*3),$AS1344*(1+$AR1344*$AT1344*3)^(1/$AR1344)))</f>
        <v/>
      </c>
      <c r="AX1344">
        <f>IF($AR1344="","",IF($AR1344=0,$AS1344*EXP($AT1344*-2),$AS1344*(1+$AR1344*$AT1344*-2)^(1/$AR1344)))</f>
        <v/>
      </c>
      <c r="AY1344">
        <f>IF($AR1344="","",IF($AR1344=0,$AS1344*EXP($AT1344*-3),$AS1344*(1+$AR1344*$AT1344*-3)^(1/$AR1344)))</f>
        <v/>
      </c>
      <c r="AZ1344">
        <f>IF(OR($A1344="",$A1344&lt;&gt;Ficha!$C$4),"",COUNTIF($A$2:$A1344,Ficha!$C$4))</f>
        <v/>
      </c>
    </row>
    <row r="1345">
      <c r="A1345" s="8">
        <f>IF(INDEX(Banco!$A:$A,ROW())="","",INDEX(Banco!$A:$A,ROW()))</f>
        <v/>
      </c>
      <c r="B1345" s="8">
        <f>IF(INDEX(Banco!$B:$B,ROW())="","",INDEX(Banco!$B:$B,ROW()))</f>
        <v/>
      </c>
      <c r="C1345" s="8">
        <f>IF(INDEX(Banco!$C:$C,ROW())="","",INDEX(Banco!$C:$C,ROW()))</f>
        <v/>
      </c>
      <c r="D1345" s="9">
        <f>IF(INDEX(Banco!$D:$D,ROW())="","",INDEX(Banco!$D:$D,ROW()))</f>
        <v/>
      </c>
      <c r="E1345" s="9">
        <f>IF(INDEX(Banco!$E:$E,ROW())="","",INDEX(Banco!$E:$E,ROW()))</f>
        <v/>
      </c>
      <c r="F1345" s="10">
        <f>IF(INDEX(Banco!$F:$F,ROW())="","",INDEX(Banco!$F:$F,ROW()))</f>
        <v/>
      </c>
      <c r="G1345" s="10">
        <f>IF(INDEX(Banco!$G:$G,ROW())="","",INDEX(Banco!$G:$G,ROW()))</f>
        <v/>
      </c>
      <c r="H1345" s="8">
        <f>IF(INDEX(Banco!$H:$H,ROW())="","",INDEX(Banco!$H:$H,ROW()))</f>
        <v/>
      </c>
      <c r="I1345">
        <f>IF($T1345="","",INT($T1345/12)&amp;"a "&amp;MOD($T1345,12)&amp;"m")</f>
        <v/>
      </c>
      <c r="J1345" s="11">
        <f>IF(OR($F1345="",$G1345=""),"",ROUND($F1345/($G1345/100)^2,2))</f>
        <v/>
      </c>
      <c r="K1345" s="12">
        <f>IF(OR($S1345="",$J1345="",$T1345="",$T1345&lt;0,$T1345&gt;228,$Y1345=""),"—",ROUND(IF(ABS($AB1345)&lt;=3,$AB1345,IF($AB1345&gt;3,3+($J1345-$AD1345)/($AD1345-$AC1345),-3+($J1345-$AF1345)/($AE1345-$AF1345))),2))</f>
        <v/>
      </c>
      <c r="L1345">
        <f>IF(OR($K1345="",$K1345="—"),"",IF($T1345&lt;=60,IF($K1345&lt;-3,"Magreza acentuada",IF($K1345&lt;-2,"Magreza",IF($K1345&lt;=1,"Eutrofia",IF($K1345&lt;=2,"Risco de sobrepeso",IF($K1345&lt;=3,"Sobrepeso","Obesidade"))))),IF($K1345&lt;-3,"Magreza acentuada",IF($K1345&lt;-2,"Magreza",IF($K1345&lt;=1,"Eutrofia",IF($K1345&lt;=2,"Sobrepeso",IF($K1345&lt;=3,"Obesidade","Obesidade grave")))))))</f>
        <v/>
      </c>
      <c r="M1345" s="12">
        <f>IF(OR($S1345="",$V1345="",$T1345="",$T1345&lt;0,$T1345&gt;228,$AG1345=""),"—",ROUND(IF($AG1345=0,LN($V1345/$AH1345)/$AI1345,((($V1345/$AH1345)^$AG1345)-1)/($AG1345*$AI1345)),2))</f>
        <v/>
      </c>
      <c r="N1345">
        <f>IF(OR($M1345="",$M1345="—"),"",IF($M1345&lt;-3,"Muito baixa",IF($M1345&lt;-2,"Baixa","Adequada")))</f>
        <v/>
      </c>
      <c r="O1345" s="12">
        <f>IF(OR($S1345="",$F1345="",$T1345="",$T1345&lt;0,$T1345&gt;120,$AJ1345=""),"—",ROUND(IF(ABS($AM1345)&lt;=3,$AM1345,IF($AM1345&gt;3,3+($F1345-$AO1345)/($AO1345-$AN1345),-3+($F1345-$AQ1345)/($AP1345-$AQ1345))),2))</f>
        <v/>
      </c>
      <c r="P1345">
        <f>IF(OR($O1345="",$O1345="—"),"",IF($O1345&lt;-3,"Muito baixo",IF($O1345&lt;-2,"Baixo",IF($O1345&lt;=2,"Adequado","Elevado"))))</f>
        <v/>
      </c>
      <c r="Q1345" s="12">
        <f>IF(OR($S1345="",$F1345="",$T1345="",$T1345&lt;0,$T1345&gt;60,$AR1345=""),"—",ROUND(IF(ABS($AU1345)&lt;=3,$AU1345,IF($AU1345&gt;3,3+($F1345-$AW1345)/($AW1345-$AV1345),-3+($F1345-$AY1345)/($AX1345-$AY1345))),2))</f>
        <v/>
      </c>
      <c r="R1345">
        <f>IF(OR($Q1345="",$Q1345="—"),"",IF($Q1345&lt;-3,"Magreza acentuada",IF($Q1345&lt;-2,"Magreza",IF($Q1345&lt;=1,"Eutrofia",IF($Q1345&lt;=2,"Risco de sobrepeso",IF($Q1345&lt;=3,"Sobrepeso","Obesidade"))))))</f>
        <v/>
      </c>
      <c r="S1345">
        <f>IF($C1345="","",IF(UPPER(LEFT($C1345,1))="M",1,IF(UPPER(LEFT($C1345,1))="F",2,"")))</f>
        <v/>
      </c>
      <c r="T1345">
        <f>IF(OR($D1345="",$E1345=""),"",DATEDIF($D1345,$E1345,"m"))</f>
        <v/>
      </c>
      <c r="U1345">
        <f>IF(OR($D1345="",$E1345=""),"",$E1345-$D1345)</f>
        <v/>
      </c>
      <c r="V1345">
        <f>IF(OR($G1345="",$T1345=""),"",IF($T1345&lt;24,IF(LEFT(LOWER($H1345),4)="em p",$G1345+0.7,$G1345),IF(LEFT(LOWER($H1345),4)="deit",$G1345-0.7,$G1345)))</f>
        <v/>
      </c>
      <c r="W1345">
        <f>IF(OR($S1345="",$T1345=""),"",$S1345*1000000+IF($T1345&lt;=60,$U1345,$T1345))</f>
        <v/>
      </c>
      <c r="X1345">
        <f>IF(OR($S1345="",$V1345="",$T1345&gt;60,$T1345=""),"",$S1345*1000000+ROUND($V1345*10,0))</f>
        <v/>
      </c>
      <c r="Y1345">
        <f>IF($W1345="","",IFERROR(INDEX(IF($T1345&lt;=60,imc05_l,imc519_l),MATCH($W1345,IF($T1345&lt;=60,imc05_k,imc519_k),1)),""))</f>
        <v/>
      </c>
      <c r="Z1345">
        <f>IF($W1345="","",IFERROR(INDEX(IF($T1345&lt;=60,imc05_m,imc519_m),MATCH($W1345,IF($T1345&lt;=60,imc05_k,imc519_k),1)),""))</f>
        <v/>
      </c>
      <c r="AA1345">
        <f>IF($W1345="","",IFERROR(INDEX(IF($T1345&lt;=60,imc05_s,imc519_s),MATCH($W1345,IF($T1345&lt;=60,imc05_k,imc519_k),1)),""))</f>
        <v/>
      </c>
      <c r="AB1345">
        <f>IF($Y1345="","",IF($Y1345=0,LN($J1345/$Z1345)/$AA1345,((($J1345/$Z1345)^$Y1345)-1)/($Y1345*$AA1345)))</f>
        <v/>
      </c>
      <c r="AC1345">
        <f>IF($Y1345="","",IF($Y1345=0,$Z1345*EXP($AA1345*2),$Z1345*(1+$Y1345*$AA1345*2)^(1/$Y1345)))</f>
        <v/>
      </c>
      <c r="AD1345">
        <f>IF($Y1345="","",IF($Y1345=0,$Z1345*EXP($AA1345*3),$Z1345*(1+$Y1345*$AA1345*3)^(1/$Y1345)))</f>
        <v/>
      </c>
      <c r="AE1345">
        <f>IF($Y1345="","",IF($Y1345=0,$Z1345*EXP($AA1345*-2),$Z1345*(1+$Y1345*$AA1345*-2)^(1/$Y1345)))</f>
        <v/>
      </c>
      <c r="AF1345">
        <f>IF($Y1345="","",IF($Y1345=0,$Z1345*EXP($AA1345*-3),$Z1345*(1+$Y1345*$AA1345*-3)^(1/$Y1345)))</f>
        <v/>
      </c>
      <c r="AG1345">
        <f>IF($W1345="","",IFERROR(INDEX(IF($T1345&lt;=60,est05_l,est519_l),MATCH($W1345,IF($T1345&lt;=60,est05_k,est519_k),1)),""))</f>
        <v/>
      </c>
      <c r="AH1345">
        <f>IF($W1345="","",IFERROR(INDEX(IF($T1345&lt;=60,est05_m,est519_m),MATCH($W1345,IF($T1345&lt;=60,est05_k,est519_k),1)),""))</f>
        <v/>
      </c>
      <c r="AI1345">
        <f>IF($W1345="","",IFERROR(INDEX(IF($T1345&lt;=60,est05_s,est519_s),MATCH($W1345,IF($T1345&lt;=60,est05_k,est519_k),1)),""))</f>
        <v/>
      </c>
      <c r="AJ1345">
        <f>IF($W1345="","",IFERROR(INDEX(IF($T1345&lt;=60,peso05_l,peso510_l),MATCH($W1345,IF($T1345&lt;=60,peso05_k,peso510_k),1)),""))</f>
        <v/>
      </c>
      <c r="AK1345">
        <f>IF($W1345="","",IFERROR(INDEX(IF($T1345&lt;=60,peso05_m,peso510_m),MATCH($W1345,IF($T1345&lt;=60,peso05_k,peso510_k),1)),""))</f>
        <v/>
      </c>
      <c r="AL1345">
        <f>IF($W1345="","",IFERROR(INDEX(IF($T1345&lt;=60,peso05_s,peso510_s),MATCH($W1345,IF($T1345&lt;=60,peso05_k,peso510_k),1)),""))</f>
        <v/>
      </c>
      <c r="AM1345">
        <f>IF($AJ1345="","",IF($AJ1345=0,LN($F1345/$AK1345)/$AL1345,((($F1345/$AK1345)^$AJ1345)-1)/($AJ1345*$AL1345)))</f>
        <v/>
      </c>
      <c r="AN1345">
        <f>IF($AJ1345="","",IF($AJ1345=0,$AK1345*EXP($AL1345*2),$AK1345*(1+$AJ1345*$AL1345*2)^(1/$AJ1345)))</f>
        <v/>
      </c>
      <c r="AO1345">
        <f>IF($AJ1345="","",IF($AJ1345=0,$AK1345*EXP($AL1345*3),$AK1345*(1+$AJ1345*$AL1345*3)^(1/$AJ1345)))</f>
        <v/>
      </c>
      <c r="AP1345">
        <f>IF($AJ1345="","",IF($AJ1345=0,$AK1345*EXP($AL1345*-2),$AK1345*(1+$AJ1345*$AL1345*-2)^(1/$AJ1345)))</f>
        <v/>
      </c>
      <c r="AQ1345">
        <f>IF($AJ1345="","",IF($AJ1345=0,$AK1345*EXP($AL1345*-3),$AK1345*(1+$AJ1345*$AL1345*-3)^(1/$AJ1345)))</f>
        <v/>
      </c>
      <c r="AR1345">
        <f>IF(OR($X1345="",$T1345&gt;60),"",IFERROR(INDEX(IF($T1345&lt;24,pcomp_l,palt_l),MATCH($X1345,IF($T1345&lt;24,pcomp_k,palt_k),1)),""))</f>
        <v/>
      </c>
      <c r="AS1345">
        <f>IF(OR($X1345="",$T1345&gt;60),"",IFERROR(INDEX(IF($T1345&lt;24,pcomp_m,palt_m),MATCH($X1345,IF($T1345&lt;24,pcomp_k,palt_k),1)),""))</f>
        <v/>
      </c>
      <c r="AT1345">
        <f>IF(OR($X1345="",$T1345&gt;60),"",IFERROR(INDEX(IF($T1345&lt;24,pcomp_s,palt_s),MATCH($X1345,IF($T1345&lt;24,pcomp_k,palt_k),1)),""))</f>
        <v/>
      </c>
      <c r="AU1345">
        <f>IF($AR1345="","",IF($AR1345=0,LN($F1345/$AS1345)/$AT1345,((($F1345/$AS1345)^$AR1345)-1)/($AR1345*$AT1345)))</f>
        <v/>
      </c>
      <c r="AV1345">
        <f>IF($AR1345="","",IF($AR1345=0,$AS1345*EXP($AT1345*2),$AS1345*(1+$AR1345*$AT1345*2)^(1/$AR1345)))</f>
        <v/>
      </c>
      <c r="AW1345">
        <f>IF($AR1345="","",IF($AR1345=0,$AS1345*EXP($AT1345*3),$AS1345*(1+$AR1345*$AT1345*3)^(1/$AR1345)))</f>
        <v/>
      </c>
      <c r="AX1345">
        <f>IF($AR1345="","",IF($AR1345=0,$AS1345*EXP($AT1345*-2),$AS1345*(1+$AR1345*$AT1345*-2)^(1/$AR1345)))</f>
        <v/>
      </c>
      <c r="AY1345">
        <f>IF($AR1345="","",IF($AR1345=0,$AS1345*EXP($AT1345*-3),$AS1345*(1+$AR1345*$AT1345*-3)^(1/$AR1345)))</f>
        <v/>
      </c>
      <c r="AZ1345">
        <f>IF(OR($A1345="",$A1345&lt;&gt;Ficha!$C$4),"",COUNTIF($A$2:$A1345,Ficha!$C$4))</f>
        <v/>
      </c>
    </row>
    <row r="1346">
      <c r="A1346" s="8">
        <f>IF(INDEX(Banco!$A:$A,ROW())="","",INDEX(Banco!$A:$A,ROW()))</f>
        <v/>
      </c>
      <c r="B1346" s="8">
        <f>IF(INDEX(Banco!$B:$B,ROW())="","",INDEX(Banco!$B:$B,ROW()))</f>
        <v/>
      </c>
      <c r="C1346" s="8">
        <f>IF(INDEX(Banco!$C:$C,ROW())="","",INDEX(Banco!$C:$C,ROW()))</f>
        <v/>
      </c>
      <c r="D1346" s="9">
        <f>IF(INDEX(Banco!$D:$D,ROW())="","",INDEX(Banco!$D:$D,ROW()))</f>
        <v/>
      </c>
      <c r="E1346" s="9">
        <f>IF(INDEX(Banco!$E:$E,ROW())="","",INDEX(Banco!$E:$E,ROW()))</f>
        <v/>
      </c>
      <c r="F1346" s="10">
        <f>IF(INDEX(Banco!$F:$F,ROW())="","",INDEX(Banco!$F:$F,ROW()))</f>
        <v/>
      </c>
      <c r="G1346" s="10">
        <f>IF(INDEX(Banco!$G:$G,ROW())="","",INDEX(Banco!$G:$G,ROW()))</f>
        <v/>
      </c>
      <c r="H1346" s="8">
        <f>IF(INDEX(Banco!$H:$H,ROW())="","",INDEX(Banco!$H:$H,ROW()))</f>
        <v/>
      </c>
      <c r="I1346">
        <f>IF($T1346="","",INT($T1346/12)&amp;"a "&amp;MOD($T1346,12)&amp;"m")</f>
        <v/>
      </c>
      <c r="J1346" s="11">
        <f>IF(OR($F1346="",$G1346=""),"",ROUND($F1346/($G1346/100)^2,2))</f>
        <v/>
      </c>
      <c r="K1346" s="12">
        <f>IF(OR($S1346="",$J1346="",$T1346="",$T1346&lt;0,$T1346&gt;228,$Y1346=""),"—",ROUND(IF(ABS($AB1346)&lt;=3,$AB1346,IF($AB1346&gt;3,3+($J1346-$AD1346)/($AD1346-$AC1346),-3+($J1346-$AF1346)/($AE1346-$AF1346))),2))</f>
        <v/>
      </c>
      <c r="L1346">
        <f>IF(OR($K1346="",$K1346="—"),"",IF($T1346&lt;=60,IF($K1346&lt;-3,"Magreza acentuada",IF($K1346&lt;-2,"Magreza",IF($K1346&lt;=1,"Eutrofia",IF($K1346&lt;=2,"Risco de sobrepeso",IF($K1346&lt;=3,"Sobrepeso","Obesidade"))))),IF($K1346&lt;-3,"Magreza acentuada",IF($K1346&lt;-2,"Magreza",IF($K1346&lt;=1,"Eutrofia",IF($K1346&lt;=2,"Sobrepeso",IF($K1346&lt;=3,"Obesidade","Obesidade grave")))))))</f>
        <v/>
      </c>
      <c r="M1346" s="12">
        <f>IF(OR($S1346="",$V1346="",$T1346="",$T1346&lt;0,$T1346&gt;228,$AG1346=""),"—",ROUND(IF($AG1346=0,LN($V1346/$AH1346)/$AI1346,((($V1346/$AH1346)^$AG1346)-1)/($AG1346*$AI1346)),2))</f>
        <v/>
      </c>
      <c r="N1346">
        <f>IF(OR($M1346="",$M1346="—"),"",IF($M1346&lt;-3,"Muito baixa",IF($M1346&lt;-2,"Baixa","Adequada")))</f>
        <v/>
      </c>
      <c r="O1346" s="12">
        <f>IF(OR($S1346="",$F1346="",$T1346="",$T1346&lt;0,$T1346&gt;120,$AJ1346=""),"—",ROUND(IF(ABS($AM1346)&lt;=3,$AM1346,IF($AM1346&gt;3,3+($F1346-$AO1346)/($AO1346-$AN1346),-3+($F1346-$AQ1346)/($AP1346-$AQ1346))),2))</f>
        <v/>
      </c>
      <c r="P1346">
        <f>IF(OR($O1346="",$O1346="—"),"",IF($O1346&lt;-3,"Muito baixo",IF($O1346&lt;-2,"Baixo",IF($O1346&lt;=2,"Adequado","Elevado"))))</f>
        <v/>
      </c>
      <c r="Q1346" s="12">
        <f>IF(OR($S1346="",$F1346="",$T1346="",$T1346&lt;0,$T1346&gt;60,$AR1346=""),"—",ROUND(IF(ABS($AU1346)&lt;=3,$AU1346,IF($AU1346&gt;3,3+($F1346-$AW1346)/($AW1346-$AV1346),-3+($F1346-$AY1346)/($AX1346-$AY1346))),2))</f>
        <v/>
      </c>
      <c r="R1346">
        <f>IF(OR($Q1346="",$Q1346="—"),"",IF($Q1346&lt;-3,"Magreza acentuada",IF($Q1346&lt;-2,"Magreza",IF($Q1346&lt;=1,"Eutrofia",IF($Q1346&lt;=2,"Risco de sobrepeso",IF($Q1346&lt;=3,"Sobrepeso","Obesidade"))))))</f>
        <v/>
      </c>
      <c r="S1346">
        <f>IF($C1346="","",IF(UPPER(LEFT($C1346,1))="M",1,IF(UPPER(LEFT($C1346,1))="F",2,"")))</f>
        <v/>
      </c>
      <c r="T1346">
        <f>IF(OR($D1346="",$E1346=""),"",DATEDIF($D1346,$E1346,"m"))</f>
        <v/>
      </c>
      <c r="U1346">
        <f>IF(OR($D1346="",$E1346=""),"",$E1346-$D1346)</f>
        <v/>
      </c>
      <c r="V1346">
        <f>IF(OR($G1346="",$T1346=""),"",IF($T1346&lt;24,IF(LEFT(LOWER($H1346),4)="em p",$G1346+0.7,$G1346),IF(LEFT(LOWER($H1346),4)="deit",$G1346-0.7,$G1346)))</f>
        <v/>
      </c>
      <c r="W1346">
        <f>IF(OR($S1346="",$T1346=""),"",$S1346*1000000+IF($T1346&lt;=60,$U1346,$T1346))</f>
        <v/>
      </c>
      <c r="X1346">
        <f>IF(OR($S1346="",$V1346="",$T1346&gt;60,$T1346=""),"",$S1346*1000000+ROUND($V1346*10,0))</f>
        <v/>
      </c>
      <c r="Y1346">
        <f>IF($W1346="","",IFERROR(INDEX(IF($T1346&lt;=60,imc05_l,imc519_l),MATCH($W1346,IF($T1346&lt;=60,imc05_k,imc519_k),1)),""))</f>
        <v/>
      </c>
      <c r="Z1346">
        <f>IF($W1346="","",IFERROR(INDEX(IF($T1346&lt;=60,imc05_m,imc519_m),MATCH($W1346,IF($T1346&lt;=60,imc05_k,imc519_k),1)),""))</f>
        <v/>
      </c>
      <c r="AA1346">
        <f>IF($W1346="","",IFERROR(INDEX(IF($T1346&lt;=60,imc05_s,imc519_s),MATCH($W1346,IF($T1346&lt;=60,imc05_k,imc519_k),1)),""))</f>
        <v/>
      </c>
      <c r="AB1346">
        <f>IF($Y1346="","",IF($Y1346=0,LN($J1346/$Z1346)/$AA1346,((($J1346/$Z1346)^$Y1346)-1)/($Y1346*$AA1346)))</f>
        <v/>
      </c>
      <c r="AC1346">
        <f>IF($Y1346="","",IF($Y1346=0,$Z1346*EXP($AA1346*2),$Z1346*(1+$Y1346*$AA1346*2)^(1/$Y1346)))</f>
        <v/>
      </c>
      <c r="AD1346">
        <f>IF($Y1346="","",IF($Y1346=0,$Z1346*EXP($AA1346*3),$Z1346*(1+$Y1346*$AA1346*3)^(1/$Y1346)))</f>
        <v/>
      </c>
      <c r="AE1346">
        <f>IF($Y1346="","",IF($Y1346=0,$Z1346*EXP($AA1346*-2),$Z1346*(1+$Y1346*$AA1346*-2)^(1/$Y1346)))</f>
        <v/>
      </c>
      <c r="AF1346">
        <f>IF($Y1346="","",IF($Y1346=0,$Z1346*EXP($AA1346*-3),$Z1346*(1+$Y1346*$AA1346*-3)^(1/$Y1346)))</f>
        <v/>
      </c>
      <c r="AG1346">
        <f>IF($W1346="","",IFERROR(INDEX(IF($T1346&lt;=60,est05_l,est519_l),MATCH($W1346,IF($T1346&lt;=60,est05_k,est519_k),1)),""))</f>
        <v/>
      </c>
      <c r="AH1346">
        <f>IF($W1346="","",IFERROR(INDEX(IF($T1346&lt;=60,est05_m,est519_m),MATCH($W1346,IF($T1346&lt;=60,est05_k,est519_k),1)),""))</f>
        <v/>
      </c>
      <c r="AI1346">
        <f>IF($W1346="","",IFERROR(INDEX(IF($T1346&lt;=60,est05_s,est519_s),MATCH($W1346,IF($T1346&lt;=60,est05_k,est519_k),1)),""))</f>
        <v/>
      </c>
      <c r="AJ1346">
        <f>IF($W1346="","",IFERROR(INDEX(IF($T1346&lt;=60,peso05_l,peso510_l),MATCH($W1346,IF($T1346&lt;=60,peso05_k,peso510_k),1)),""))</f>
        <v/>
      </c>
      <c r="AK1346">
        <f>IF($W1346="","",IFERROR(INDEX(IF($T1346&lt;=60,peso05_m,peso510_m),MATCH($W1346,IF($T1346&lt;=60,peso05_k,peso510_k),1)),""))</f>
        <v/>
      </c>
      <c r="AL1346">
        <f>IF($W1346="","",IFERROR(INDEX(IF($T1346&lt;=60,peso05_s,peso510_s),MATCH($W1346,IF($T1346&lt;=60,peso05_k,peso510_k),1)),""))</f>
        <v/>
      </c>
      <c r="AM1346">
        <f>IF($AJ1346="","",IF($AJ1346=0,LN($F1346/$AK1346)/$AL1346,((($F1346/$AK1346)^$AJ1346)-1)/($AJ1346*$AL1346)))</f>
        <v/>
      </c>
      <c r="AN1346">
        <f>IF($AJ1346="","",IF($AJ1346=0,$AK1346*EXP($AL1346*2),$AK1346*(1+$AJ1346*$AL1346*2)^(1/$AJ1346)))</f>
        <v/>
      </c>
      <c r="AO1346">
        <f>IF($AJ1346="","",IF($AJ1346=0,$AK1346*EXP($AL1346*3),$AK1346*(1+$AJ1346*$AL1346*3)^(1/$AJ1346)))</f>
        <v/>
      </c>
      <c r="AP1346">
        <f>IF($AJ1346="","",IF($AJ1346=0,$AK1346*EXP($AL1346*-2),$AK1346*(1+$AJ1346*$AL1346*-2)^(1/$AJ1346)))</f>
        <v/>
      </c>
      <c r="AQ1346">
        <f>IF($AJ1346="","",IF($AJ1346=0,$AK1346*EXP($AL1346*-3),$AK1346*(1+$AJ1346*$AL1346*-3)^(1/$AJ1346)))</f>
        <v/>
      </c>
      <c r="AR1346">
        <f>IF(OR($X1346="",$T1346&gt;60),"",IFERROR(INDEX(IF($T1346&lt;24,pcomp_l,palt_l),MATCH($X1346,IF($T1346&lt;24,pcomp_k,palt_k),1)),""))</f>
        <v/>
      </c>
      <c r="AS1346">
        <f>IF(OR($X1346="",$T1346&gt;60),"",IFERROR(INDEX(IF($T1346&lt;24,pcomp_m,palt_m),MATCH($X1346,IF($T1346&lt;24,pcomp_k,palt_k),1)),""))</f>
        <v/>
      </c>
      <c r="AT1346">
        <f>IF(OR($X1346="",$T1346&gt;60),"",IFERROR(INDEX(IF($T1346&lt;24,pcomp_s,palt_s),MATCH($X1346,IF($T1346&lt;24,pcomp_k,palt_k),1)),""))</f>
        <v/>
      </c>
      <c r="AU1346">
        <f>IF($AR1346="","",IF($AR1346=0,LN($F1346/$AS1346)/$AT1346,((($F1346/$AS1346)^$AR1346)-1)/($AR1346*$AT1346)))</f>
        <v/>
      </c>
      <c r="AV1346">
        <f>IF($AR1346="","",IF($AR1346=0,$AS1346*EXP($AT1346*2),$AS1346*(1+$AR1346*$AT1346*2)^(1/$AR1346)))</f>
        <v/>
      </c>
      <c r="AW1346">
        <f>IF($AR1346="","",IF($AR1346=0,$AS1346*EXP($AT1346*3),$AS1346*(1+$AR1346*$AT1346*3)^(1/$AR1346)))</f>
        <v/>
      </c>
      <c r="AX1346">
        <f>IF($AR1346="","",IF($AR1346=0,$AS1346*EXP($AT1346*-2),$AS1346*(1+$AR1346*$AT1346*-2)^(1/$AR1346)))</f>
        <v/>
      </c>
      <c r="AY1346">
        <f>IF($AR1346="","",IF($AR1346=0,$AS1346*EXP($AT1346*-3),$AS1346*(1+$AR1346*$AT1346*-3)^(1/$AR1346)))</f>
        <v/>
      </c>
      <c r="AZ1346">
        <f>IF(OR($A1346="",$A1346&lt;&gt;Ficha!$C$4),"",COUNTIF($A$2:$A1346,Ficha!$C$4))</f>
        <v/>
      </c>
    </row>
    <row r="1347">
      <c r="A1347" s="8">
        <f>IF(INDEX(Banco!$A:$A,ROW())="","",INDEX(Banco!$A:$A,ROW()))</f>
        <v/>
      </c>
      <c r="B1347" s="8">
        <f>IF(INDEX(Banco!$B:$B,ROW())="","",INDEX(Banco!$B:$B,ROW()))</f>
        <v/>
      </c>
      <c r="C1347" s="8">
        <f>IF(INDEX(Banco!$C:$C,ROW())="","",INDEX(Banco!$C:$C,ROW()))</f>
        <v/>
      </c>
      <c r="D1347" s="9">
        <f>IF(INDEX(Banco!$D:$D,ROW())="","",INDEX(Banco!$D:$D,ROW()))</f>
        <v/>
      </c>
      <c r="E1347" s="9">
        <f>IF(INDEX(Banco!$E:$E,ROW())="","",INDEX(Banco!$E:$E,ROW()))</f>
        <v/>
      </c>
      <c r="F1347" s="10">
        <f>IF(INDEX(Banco!$F:$F,ROW())="","",INDEX(Banco!$F:$F,ROW()))</f>
        <v/>
      </c>
      <c r="G1347" s="10">
        <f>IF(INDEX(Banco!$G:$G,ROW())="","",INDEX(Banco!$G:$G,ROW()))</f>
        <v/>
      </c>
      <c r="H1347" s="8">
        <f>IF(INDEX(Banco!$H:$H,ROW())="","",INDEX(Banco!$H:$H,ROW()))</f>
        <v/>
      </c>
      <c r="I1347">
        <f>IF($T1347="","",INT($T1347/12)&amp;"a "&amp;MOD($T1347,12)&amp;"m")</f>
        <v/>
      </c>
      <c r="J1347" s="11">
        <f>IF(OR($F1347="",$G1347=""),"",ROUND($F1347/($G1347/100)^2,2))</f>
        <v/>
      </c>
      <c r="K1347" s="12">
        <f>IF(OR($S1347="",$J1347="",$T1347="",$T1347&lt;0,$T1347&gt;228,$Y1347=""),"—",ROUND(IF(ABS($AB1347)&lt;=3,$AB1347,IF($AB1347&gt;3,3+($J1347-$AD1347)/($AD1347-$AC1347),-3+($J1347-$AF1347)/($AE1347-$AF1347))),2))</f>
        <v/>
      </c>
      <c r="L1347">
        <f>IF(OR($K1347="",$K1347="—"),"",IF($T1347&lt;=60,IF($K1347&lt;-3,"Magreza acentuada",IF($K1347&lt;-2,"Magreza",IF($K1347&lt;=1,"Eutrofia",IF($K1347&lt;=2,"Risco de sobrepeso",IF($K1347&lt;=3,"Sobrepeso","Obesidade"))))),IF($K1347&lt;-3,"Magreza acentuada",IF($K1347&lt;-2,"Magreza",IF($K1347&lt;=1,"Eutrofia",IF($K1347&lt;=2,"Sobrepeso",IF($K1347&lt;=3,"Obesidade","Obesidade grave")))))))</f>
        <v/>
      </c>
      <c r="M1347" s="12">
        <f>IF(OR($S1347="",$V1347="",$T1347="",$T1347&lt;0,$T1347&gt;228,$AG1347=""),"—",ROUND(IF($AG1347=0,LN($V1347/$AH1347)/$AI1347,((($V1347/$AH1347)^$AG1347)-1)/($AG1347*$AI1347)),2))</f>
        <v/>
      </c>
      <c r="N1347">
        <f>IF(OR($M1347="",$M1347="—"),"",IF($M1347&lt;-3,"Muito baixa",IF($M1347&lt;-2,"Baixa","Adequada")))</f>
        <v/>
      </c>
      <c r="O1347" s="12">
        <f>IF(OR($S1347="",$F1347="",$T1347="",$T1347&lt;0,$T1347&gt;120,$AJ1347=""),"—",ROUND(IF(ABS($AM1347)&lt;=3,$AM1347,IF($AM1347&gt;3,3+($F1347-$AO1347)/($AO1347-$AN1347),-3+($F1347-$AQ1347)/($AP1347-$AQ1347))),2))</f>
        <v/>
      </c>
      <c r="P1347">
        <f>IF(OR($O1347="",$O1347="—"),"",IF($O1347&lt;-3,"Muito baixo",IF($O1347&lt;-2,"Baixo",IF($O1347&lt;=2,"Adequado","Elevado"))))</f>
        <v/>
      </c>
      <c r="Q1347" s="12">
        <f>IF(OR($S1347="",$F1347="",$T1347="",$T1347&lt;0,$T1347&gt;60,$AR1347=""),"—",ROUND(IF(ABS($AU1347)&lt;=3,$AU1347,IF($AU1347&gt;3,3+($F1347-$AW1347)/($AW1347-$AV1347),-3+($F1347-$AY1347)/($AX1347-$AY1347))),2))</f>
        <v/>
      </c>
      <c r="R1347">
        <f>IF(OR($Q1347="",$Q1347="—"),"",IF($Q1347&lt;-3,"Magreza acentuada",IF($Q1347&lt;-2,"Magreza",IF($Q1347&lt;=1,"Eutrofia",IF($Q1347&lt;=2,"Risco de sobrepeso",IF($Q1347&lt;=3,"Sobrepeso","Obesidade"))))))</f>
        <v/>
      </c>
      <c r="S1347">
        <f>IF($C1347="","",IF(UPPER(LEFT($C1347,1))="M",1,IF(UPPER(LEFT($C1347,1))="F",2,"")))</f>
        <v/>
      </c>
      <c r="T1347">
        <f>IF(OR($D1347="",$E1347=""),"",DATEDIF($D1347,$E1347,"m"))</f>
        <v/>
      </c>
      <c r="U1347">
        <f>IF(OR($D1347="",$E1347=""),"",$E1347-$D1347)</f>
        <v/>
      </c>
      <c r="V1347">
        <f>IF(OR($G1347="",$T1347=""),"",IF($T1347&lt;24,IF(LEFT(LOWER($H1347),4)="em p",$G1347+0.7,$G1347),IF(LEFT(LOWER($H1347),4)="deit",$G1347-0.7,$G1347)))</f>
        <v/>
      </c>
      <c r="W1347">
        <f>IF(OR($S1347="",$T1347=""),"",$S1347*1000000+IF($T1347&lt;=60,$U1347,$T1347))</f>
        <v/>
      </c>
      <c r="X1347">
        <f>IF(OR($S1347="",$V1347="",$T1347&gt;60,$T1347=""),"",$S1347*1000000+ROUND($V1347*10,0))</f>
        <v/>
      </c>
      <c r="Y1347">
        <f>IF($W1347="","",IFERROR(INDEX(IF($T1347&lt;=60,imc05_l,imc519_l),MATCH($W1347,IF($T1347&lt;=60,imc05_k,imc519_k),1)),""))</f>
        <v/>
      </c>
      <c r="Z1347">
        <f>IF($W1347="","",IFERROR(INDEX(IF($T1347&lt;=60,imc05_m,imc519_m),MATCH($W1347,IF($T1347&lt;=60,imc05_k,imc519_k),1)),""))</f>
        <v/>
      </c>
      <c r="AA1347">
        <f>IF($W1347="","",IFERROR(INDEX(IF($T1347&lt;=60,imc05_s,imc519_s),MATCH($W1347,IF($T1347&lt;=60,imc05_k,imc519_k),1)),""))</f>
        <v/>
      </c>
      <c r="AB1347">
        <f>IF($Y1347="","",IF($Y1347=0,LN($J1347/$Z1347)/$AA1347,((($J1347/$Z1347)^$Y1347)-1)/($Y1347*$AA1347)))</f>
        <v/>
      </c>
      <c r="AC1347">
        <f>IF($Y1347="","",IF($Y1347=0,$Z1347*EXP($AA1347*2),$Z1347*(1+$Y1347*$AA1347*2)^(1/$Y1347)))</f>
        <v/>
      </c>
      <c r="AD1347">
        <f>IF($Y1347="","",IF($Y1347=0,$Z1347*EXP($AA1347*3),$Z1347*(1+$Y1347*$AA1347*3)^(1/$Y1347)))</f>
        <v/>
      </c>
      <c r="AE1347">
        <f>IF($Y1347="","",IF($Y1347=0,$Z1347*EXP($AA1347*-2),$Z1347*(1+$Y1347*$AA1347*-2)^(1/$Y1347)))</f>
        <v/>
      </c>
      <c r="AF1347">
        <f>IF($Y1347="","",IF($Y1347=0,$Z1347*EXP($AA1347*-3),$Z1347*(1+$Y1347*$AA1347*-3)^(1/$Y1347)))</f>
        <v/>
      </c>
      <c r="AG1347">
        <f>IF($W1347="","",IFERROR(INDEX(IF($T1347&lt;=60,est05_l,est519_l),MATCH($W1347,IF($T1347&lt;=60,est05_k,est519_k),1)),""))</f>
        <v/>
      </c>
      <c r="AH1347">
        <f>IF($W1347="","",IFERROR(INDEX(IF($T1347&lt;=60,est05_m,est519_m),MATCH($W1347,IF($T1347&lt;=60,est05_k,est519_k),1)),""))</f>
        <v/>
      </c>
      <c r="AI1347">
        <f>IF($W1347="","",IFERROR(INDEX(IF($T1347&lt;=60,est05_s,est519_s),MATCH($W1347,IF($T1347&lt;=60,est05_k,est519_k),1)),""))</f>
        <v/>
      </c>
      <c r="AJ1347">
        <f>IF($W1347="","",IFERROR(INDEX(IF($T1347&lt;=60,peso05_l,peso510_l),MATCH($W1347,IF($T1347&lt;=60,peso05_k,peso510_k),1)),""))</f>
        <v/>
      </c>
      <c r="AK1347">
        <f>IF($W1347="","",IFERROR(INDEX(IF($T1347&lt;=60,peso05_m,peso510_m),MATCH($W1347,IF($T1347&lt;=60,peso05_k,peso510_k),1)),""))</f>
        <v/>
      </c>
      <c r="AL1347">
        <f>IF($W1347="","",IFERROR(INDEX(IF($T1347&lt;=60,peso05_s,peso510_s),MATCH($W1347,IF($T1347&lt;=60,peso05_k,peso510_k),1)),""))</f>
        <v/>
      </c>
      <c r="AM1347">
        <f>IF($AJ1347="","",IF($AJ1347=0,LN($F1347/$AK1347)/$AL1347,((($F1347/$AK1347)^$AJ1347)-1)/($AJ1347*$AL1347)))</f>
        <v/>
      </c>
      <c r="AN1347">
        <f>IF($AJ1347="","",IF($AJ1347=0,$AK1347*EXP($AL1347*2),$AK1347*(1+$AJ1347*$AL1347*2)^(1/$AJ1347)))</f>
        <v/>
      </c>
      <c r="AO1347">
        <f>IF($AJ1347="","",IF($AJ1347=0,$AK1347*EXP($AL1347*3),$AK1347*(1+$AJ1347*$AL1347*3)^(1/$AJ1347)))</f>
        <v/>
      </c>
      <c r="AP1347">
        <f>IF($AJ1347="","",IF($AJ1347=0,$AK1347*EXP($AL1347*-2),$AK1347*(1+$AJ1347*$AL1347*-2)^(1/$AJ1347)))</f>
        <v/>
      </c>
      <c r="AQ1347">
        <f>IF($AJ1347="","",IF($AJ1347=0,$AK1347*EXP($AL1347*-3),$AK1347*(1+$AJ1347*$AL1347*-3)^(1/$AJ1347)))</f>
        <v/>
      </c>
      <c r="AR1347">
        <f>IF(OR($X1347="",$T1347&gt;60),"",IFERROR(INDEX(IF($T1347&lt;24,pcomp_l,palt_l),MATCH($X1347,IF($T1347&lt;24,pcomp_k,palt_k),1)),""))</f>
        <v/>
      </c>
      <c r="AS1347">
        <f>IF(OR($X1347="",$T1347&gt;60),"",IFERROR(INDEX(IF($T1347&lt;24,pcomp_m,palt_m),MATCH($X1347,IF($T1347&lt;24,pcomp_k,palt_k),1)),""))</f>
        <v/>
      </c>
      <c r="AT1347">
        <f>IF(OR($X1347="",$T1347&gt;60),"",IFERROR(INDEX(IF($T1347&lt;24,pcomp_s,palt_s),MATCH($X1347,IF($T1347&lt;24,pcomp_k,palt_k),1)),""))</f>
        <v/>
      </c>
      <c r="AU1347">
        <f>IF($AR1347="","",IF($AR1347=0,LN($F1347/$AS1347)/$AT1347,((($F1347/$AS1347)^$AR1347)-1)/($AR1347*$AT1347)))</f>
        <v/>
      </c>
      <c r="AV1347">
        <f>IF($AR1347="","",IF($AR1347=0,$AS1347*EXP($AT1347*2),$AS1347*(1+$AR1347*$AT1347*2)^(1/$AR1347)))</f>
        <v/>
      </c>
      <c r="AW1347">
        <f>IF($AR1347="","",IF($AR1347=0,$AS1347*EXP($AT1347*3),$AS1347*(1+$AR1347*$AT1347*3)^(1/$AR1347)))</f>
        <v/>
      </c>
      <c r="AX1347">
        <f>IF($AR1347="","",IF($AR1347=0,$AS1347*EXP($AT1347*-2),$AS1347*(1+$AR1347*$AT1347*-2)^(1/$AR1347)))</f>
        <v/>
      </c>
      <c r="AY1347">
        <f>IF($AR1347="","",IF($AR1347=0,$AS1347*EXP($AT1347*-3),$AS1347*(1+$AR1347*$AT1347*-3)^(1/$AR1347)))</f>
        <v/>
      </c>
      <c r="AZ1347">
        <f>IF(OR($A1347="",$A1347&lt;&gt;Ficha!$C$4),"",COUNTIF($A$2:$A1347,Ficha!$C$4))</f>
        <v/>
      </c>
    </row>
    <row r="1348">
      <c r="A1348" s="8">
        <f>IF(INDEX(Banco!$A:$A,ROW())="","",INDEX(Banco!$A:$A,ROW()))</f>
        <v/>
      </c>
      <c r="B1348" s="8">
        <f>IF(INDEX(Banco!$B:$B,ROW())="","",INDEX(Banco!$B:$B,ROW()))</f>
        <v/>
      </c>
      <c r="C1348" s="8">
        <f>IF(INDEX(Banco!$C:$C,ROW())="","",INDEX(Banco!$C:$C,ROW()))</f>
        <v/>
      </c>
      <c r="D1348" s="9">
        <f>IF(INDEX(Banco!$D:$D,ROW())="","",INDEX(Banco!$D:$D,ROW()))</f>
        <v/>
      </c>
      <c r="E1348" s="9">
        <f>IF(INDEX(Banco!$E:$E,ROW())="","",INDEX(Banco!$E:$E,ROW()))</f>
        <v/>
      </c>
      <c r="F1348" s="10">
        <f>IF(INDEX(Banco!$F:$F,ROW())="","",INDEX(Banco!$F:$F,ROW()))</f>
        <v/>
      </c>
      <c r="G1348" s="10">
        <f>IF(INDEX(Banco!$G:$G,ROW())="","",INDEX(Banco!$G:$G,ROW()))</f>
        <v/>
      </c>
      <c r="H1348" s="8">
        <f>IF(INDEX(Banco!$H:$H,ROW())="","",INDEX(Banco!$H:$H,ROW()))</f>
        <v/>
      </c>
      <c r="I1348">
        <f>IF($T1348="","",INT($T1348/12)&amp;"a "&amp;MOD($T1348,12)&amp;"m")</f>
        <v/>
      </c>
      <c r="J1348" s="11">
        <f>IF(OR($F1348="",$G1348=""),"",ROUND($F1348/($G1348/100)^2,2))</f>
        <v/>
      </c>
      <c r="K1348" s="12">
        <f>IF(OR($S1348="",$J1348="",$T1348="",$T1348&lt;0,$T1348&gt;228,$Y1348=""),"—",ROUND(IF(ABS($AB1348)&lt;=3,$AB1348,IF($AB1348&gt;3,3+($J1348-$AD1348)/($AD1348-$AC1348),-3+($J1348-$AF1348)/($AE1348-$AF1348))),2))</f>
        <v/>
      </c>
      <c r="L1348">
        <f>IF(OR($K1348="",$K1348="—"),"",IF($T1348&lt;=60,IF($K1348&lt;-3,"Magreza acentuada",IF($K1348&lt;-2,"Magreza",IF($K1348&lt;=1,"Eutrofia",IF($K1348&lt;=2,"Risco de sobrepeso",IF($K1348&lt;=3,"Sobrepeso","Obesidade"))))),IF($K1348&lt;-3,"Magreza acentuada",IF($K1348&lt;-2,"Magreza",IF($K1348&lt;=1,"Eutrofia",IF($K1348&lt;=2,"Sobrepeso",IF($K1348&lt;=3,"Obesidade","Obesidade grave")))))))</f>
        <v/>
      </c>
      <c r="M1348" s="12">
        <f>IF(OR($S1348="",$V1348="",$T1348="",$T1348&lt;0,$T1348&gt;228,$AG1348=""),"—",ROUND(IF($AG1348=0,LN($V1348/$AH1348)/$AI1348,((($V1348/$AH1348)^$AG1348)-1)/($AG1348*$AI1348)),2))</f>
        <v/>
      </c>
      <c r="N1348">
        <f>IF(OR($M1348="",$M1348="—"),"",IF($M1348&lt;-3,"Muito baixa",IF($M1348&lt;-2,"Baixa","Adequada")))</f>
        <v/>
      </c>
      <c r="O1348" s="12">
        <f>IF(OR($S1348="",$F1348="",$T1348="",$T1348&lt;0,$T1348&gt;120,$AJ1348=""),"—",ROUND(IF(ABS($AM1348)&lt;=3,$AM1348,IF($AM1348&gt;3,3+($F1348-$AO1348)/($AO1348-$AN1348),-3+($F1348-$AQ1348)/($AP1348-$AQ1348))),2))</f>
        <v/>
      </c>
      <c r="P1348">
        <f>IF(OR($O1348="",$O1348="—"),"",IF($O1348&lt;-3,"Muito baixo",IF($O1348&lt;-2,"Baixo",IF($O1348&lt;=2,"Adequado","Elevado"))))</f>
        <v/>
      </c>
      <c r="Q1348" s="12">
        <f>IF(OR($S1348="",$F1348="",$T1348="",$T1348&lt;0,$T1348&gt;60,$AR1348=""),"—",ROUND(IF(ABS($AU1348)&lt;=3,$AU1348,IF($AU1348&gt;3,3+($F1348-$AW1348)/($AW1348-$AV1348),-3+($F1348-$AY1348)/($AX1348-$AY1348))),2))</f>
        <v/>
      </c>
      <c r="R1348">
        <f>IF(OR($Q1348="",$Q1348="—"),"",IF($Q1348&lt;-3,"Magreza acentuada",IF($Q1348&lt;-2,"Magreza",IF($Q1348&lt;=1,"Eutrofia",IF($Q1348&lt;=2,"Risco de sobrepeso",IF($Q1348&lt;=3,"Sobrepeso","Obesidade"))))))</f>
        <v/>
      </c>
      <c r="S1348">
        <f>IF($C1348="","",IF(UPPER(LEFT($C1348,1))="M",1,IF(UPPER(LEFT($C1348,1))="F",2,"")))</f>
        <v/>
      </c>
      <c r="T1348">
        <f>IF(OR($D1348="",$E1348=""),"",DATEDIF($D1348,$E1348,"m"))</f>
        <v/>
      </c>
      <c r="U1348">
        <f>IF(OR($D1348="",$E1348=""),"",$E1348-$D1348)</f>
        <v/>
      </c>
      <c r="V1348">
        <f>IF(OR($G1348="",$T1348=""),"",IF($T1348&lt;24,IF(LEFT(LOWER($H1348),4)="em p",$G1348+0.7,$G1348),IF(LEFT(LOWER($H1348),4)="deit",$G1348-0.7,$G1348)))</f>
        <v/>
      </c>
      <c r="W1348">
        <f>IF(OR($S1348="",$T1348=""),"",$S1348*1000000+IF($T1348&lt;=60,$U1348,$T1348))</f>
        <v/>
      </c>
      <c r="X1348">
        <f>IF(OR($S1348="",$V1348="",$T1348&gt;60,$T1348=""),"",$S1348*1000000+ROUND($V1348*10,0))</f>
        <v/>
      </c>
      <c r="Y1348">
        <f>IF($W1348="","",IFERROR(INDEX(IF($T1348&lt;=60,imc05_l,imc519_l),MATCH($W1348,IF($T1348&lt;=60,imc05_k,imc519_k),1)),""))</f>
        <v/>
      </c>
      <c r="Z1348">
        <f>IF($W1348="","",IFERROR(INDEX(IF($T1348&lt;=60,imc05_m,imc519_m),MATCH($W1348,IF($T1348&lt;=60,imc05_k,imc519_k),1)),""))</f>
        <v/>
      </c>
      <c r="AA1348">
        <f>IF($W1348="","",IFERROR(INDEX(IF($T1348&lt;=60,imc05_s,imc519_s),MATCH($W1348,IF($T1348&lt;=60,imc05_k,imc519_k),1)),""))</f>
        <v/>
      </c>
      <c r="AB1348">
        <f>IF($Y1348="","",IF($Y1348=0,LN($J1348/$Z1348)/$AA1348,((($J1348/$Z1348)^$Y1348)-1)/($Y1348*$AA1348)))</f>
        <v/>
      </c>
      <c r="AC1348">
        <f>IF($Y1348="","",IF($Y1348=0,$Z1348*EXP($AA1348*2),$Z1348*(1+$Y1348*$AA1348*2)^(1/$Y1348)))</f>
        <v/>
      </c>
      <c r="AD1348">
        <f>IF($Y1348="","",IF($Y1348=0,$Z1348*EXP($AA1348*3),$Z1348*(1+$Y1348*$AA1348*3)^(1/$Y1348)))</f>
        <v/>
      </c>
      <c r="AE1348">
        <f>IF($Y1348="","",IF($Y1348=0,$Z1348*EXP($AA1348*-2),$Z1348*(1+$Y1348*$AA1348*-2)^(1/$Y1348)))</f>
        <v/>
      </c>
      <c r="AF1348">
        <f>IF($Y1348="","",IF($Y1348=0,$Z1348*EXP($AA1348*-3),$Z1348*(1+$Y1348*$AA1348*-3)^(1/$Y1348)))</f>
        <v/>
      </c>
      <c r="AG1348">
        <f>IF($W1348="","",IFERROR(INDEX(IF($T1348&lt;=60,est05_l,est519_l),MATCH($W1348,IF($T1348&lt;=60,est05_k,est519_k),1)),""))</f>
        <v/>
      </c>
      <c r="AH1348">
        <f>IF($W1348="","",IFERROR(INDEX(IF($T1348&lt;=60,est05_m,est519_m),MATCH($W1348,IF($T1348&lt;=60,est05_k,est519_k),1)),""))</f>
        <v/>
      </c>
      <c r="AI1348">
        <f>IF($W1348="","",IFERROR(INDEX(IF($T1348&lt;=60,est05_s,est519_s),MATCH($W1348,IF($T1348&lt;=60,est05_k,est519_k),1)),""))</f>
        <v/>
      </c>
      <c r="AJ1348">
        <f>IF($W1348="","",IFERROR(INDEX(IF($T1348&lt;=60,peso05_l,peso510_l),MATCH($W1348,IF($T1348&lt;=60,peso05_k,peso510_k),1)),""))</f>
        <v/>
      </c>
      <c r="AK1348">
        <f>IF($W1348="","",IFERROR(INDEX(IF($T1348&lt;=60,peso05_m,peso510_m),MATCH($W1348,IF($T1348&lt;=60,peso05_k,peso510_k),1)),""))</f>
        <v/>
      </c>
      <c r="AL1348">
        <f>IF($W1348="","",IFERROR(INDEX(IF($T1348&lt;=60,peso05_s,peso510_s),MATCH($W1348,IF($T1348&lt;=60,peso05_k,peso510_k),1)),""))</f>
        <v/>
      </c>
      <c r="AM1348">
        <f>IF($AJ1348="","",IF($AJ1348=0,LN($F1348/$AK1348)/$AL1348,((($F1348/$AK1348)^$AJ1348)-1)/($AJ1348*$AL1348)))</f>
        <v/>
      </c>
      <c r="AN1348">
        <f>IF($AJ1348="","",IF($AJ1348=0,$AK1348*EXP($AL1348*2),$AK1348*(1+$AJ1348*$AL1348*2)^(1/$AJ1348)))</f>
        <v/>
      </c>
      <c r="AO1348">
        <f>IF($AJ1348="","",IF($AJ1348=0,$AK1348*EXP($AL1348*3),$AK1348*(1+$AJ1348*$AL1348*3)^(1/$AJ1348)))</f>
        <v/>
      </c>
      <c r="AP1348">
        <f>IF($AJ1348="","",IF($AJ1348=0,$AK1348*EXP($AL1348*-2),$AK1348*(1+$AJ1348*$AL1348*-2)^(1/$AJ1348)))</f>
        <v/>
      </c>
      <c r="AQ1348">
        <f>IF($AJ1348="","",IF($AJ1348=0,$AK1348*EXP($AL1348*-3),$AK1348*(1+$AJ1348*$AL1348*-3)^(1/$AJ1348)))</f>
        <v/>
      </c>
      <c r="AR1348">
        <f>IF(OR($X1348="",$T1348&gt;60),"",IFERROR(INDEX(IF($T1348&lt;24,pcomp_l,palt_l),MATCH($X1348,IF($T1348&lt;24,pcomp_k,palt_k),1)),""))</f>
        <v/>
      </c>
      <c r="AS1348">
        <f>IF(OR($X1348="",$T1348&gt;60),"",IFERROR(INDEX(IF($T1348&lt;24,pcomp_m,palt_m),MATCH($X1348,IF($T1348&lt;24,pcomp_k,palt_k),1)),""))</f>
        <v/>
      </c>
      <c r="AT1348">
        <f>IF(OR($X1348="",$T1348&gt;60),"",IFERROR(INDEX(IF($T1348&lt;24,pcomp_s,palt_s),MATCH($X1348,IF($T1348&lt;24,pcomp_k,palt_k),1)),""))</f>
        <v/>
      </c>
      <c r="AU1348">
        <f>IF($AR1348="","",IF($AR1348=0,LN($F1348/$AS1348)/$AT1348,((($F1348/$AS1348)^$AR1348)-1)/($AR1348*$AT1348)))</f>
        <v/>
      </c>
      <c r="AV1348">
        <f>IF($AR1348="","",IF($AR1348=0,$AS1348*EXP($AT1348*2),$AS1348*(1+$AR1348*$AT1348*2)^(1/$AR1348)))</f>
        <v/>
      </c>
      <c r="AW1348">
        <f>IF($AR1348="","",IF($AR1348=0,$AS1348*EXP($AT1348*3),$AS1348*(1+$AR1348*$AT1348*3)^(1/$AR1348)))</f>
        <v/>
      </c>
      <c r="AX1348">
        <f>IF($AR1348="","",IF($AR1348=0,$AS1348*EXP($AT1348*-2),$AS1348*(1+$AR1348*$AT1348*-2)^(1/$AR1348)))</f>
        <v/>
      </c>
      <c r="AY1348">
        <f>IF($AR1348="","",IF($AR1348=0,$AS1348*EXP($AT1348*-3),$AS1348*(1+$AR1348*$AT1348*-3)^(1/$AR1348)))</f>
        <v/>
      </c>
      <c r="AZ1348">
        <f>IF(OR($A1348="",$A1348&lt;&gt;Ficha!$C$4),"",COUNTIF($A$2:$A1348,Ficha!$C$4))</f>
        <v/>
      </c>
    </row>
    <row r="1349">
      <c r="A1349" s="8">
        <f>IF(INDEX(Banco!$A:$A,ROW())="","",INDEX(Banco!$A:$A,ROW()))</f>
        <v/>
      </c>
      <c r="B1349" s="8">
        <f>IF(INDEX(Banco!$B:$B,ROW())="","",INDEX(Banco!$B:$B,ROW()))</f>
        <v/>
      </c>
      <c r="C1349" s="8">
        <f>IF(INDEX(Banco!$C:$C,ROW())="","",INDEX(Banco!$C:$C,ROW()))</f>
        <v/>
      </c>
      <c r="D1349" s="9">
        <f>IF(INDEX(Banco!$D:$D,ROW())="","",INDEX(Banco!$D:$D,ROW()))</f>
        <v/>
      </c>
      <c r="E1349" s="9">
        <f>IF(INDEX(Banco!$E:$E,ROW())="","",INDEX(Banco!$E:$E,ROW()))</f>
        <v/>
      </c>
      <c r="F1349" s="10">
        <f>IF(INDEX(Banco!$F:$F,ROW())="","",INDEX(Banco!$F:$F,ROW()))</f>
        <v/>
      </c>
      <c r="G1349" s="10">
        <f>IF(INDEX(Banco!$G:$G,ROW())="","",INDEX(Banco!$G:$G,ROW()))</f>
        <v/>
      </c>
      <c r="H1349" s="8">
        <f>IF(INDEX(Banco!$H:$H,ROW())="","",INDEX(Banco!$H:$H,ROW()))</f>
        <v/>
      </c>
      <c r="I1349">
        <f>IF($T1349="","",INT($T1349/12)&amp;"a "&amp;MOD($T1349,12)&amp;"m")</f>
        <v/>
      </c>
      <c r="J1349" s="11">
        <f>IF(OR($F1349="",$G1349=""),"",ROUND($F1349/($G1349/100)^2,2))</f>
        <v/>
      </c>
      <c r="K1349" s="12">
        <f>IF(OR($S1349="",$J1349="",$T1349="",$T1349&lt;0,$T1349&gt;228,$Y1349=""),"—",ROUND(IF(ABS($AB1349)&lt;=3,$AB1349,IF($AB1349&gt;3,3+($J1349-$AD1349)/($AD1349-$AC1349),-3+($J1349-$AF1349)/($AE1349-$AF1349))),2))</f>
        <v/>
      </c>
      <c r="L1349">
        <f>IF(OR($K1349="",$K1349="—"),"",IF($T1349&lt;=60,IF($K1349&lt;-3,"Magreza acentuada",IF($K1349&lt;-2,"Magreza",IF($K1349&lt;=1,"Eutrofia",IF($K1349&lt;=2,"Risco de sobrepeso",IF($K1349&lt;=3,"Sobrepeso","Obesidade"))))),IF($K1349&lt;-3,"Magreza acentuada",IF($K1349&lt;-2,"Magreza",IF($K1349&lt;=1,"Eutrofia",IF($K1349&lt;=2,"Sobrepeso",IF($K1349&lt;=3,"Obesidade","Obesidade grave")))))))</f>
        <v/>
      </c>
      <c r="M1349" s="12">
        <f>IF(OR($S1349="",$V1349="",$T1349="",$T1349&lt;0,$T1349&gt;228,$AG1349=""),"—",ROUND(IF($AG1349=0,LN($V1349/$AH1349)/$AI1349,((($V1349/$AH1349)^$AG1349)-1)/($AG1349*$AI1349)),2))</f>
        <v/>
      </c>
      <c r="N1349">
        <f>IF(OR($M1349="",$M1349="—"),"",IF($M1349&lt;-3,"Muito baixa",IF($M1349&lt;-2,"Baixa","Adequada")))</f>
        <v/>
      </c>
      <c r="O1349" s="12">
        <f>IF(OR($S1349="",$F1349="",$T1349="",$T1349&lt;0,$T1349&gt;120,$AJ1349=""),"—",ROUND(IF(ABS($AM1349)&lt;=3,$AM1349,IF($AM1349&gt;3,3+($F1349-$AO1349)/($AO1349-$AN1349),-3+($F1349-$AQ1349)/($AP1349-$AQ1349))),2))</f>
        <v/>
      </c>
      <c r="P1349">
        <f>IF(OR($O1349="",$O1349="—"),"",IF($O1349&lt;-3,"Muito baixo",IF($O1349&lt;-2,"Baixo",IF($O1349&lt;=2,"Adequado","Elevado"))))</f>
        <v/>
      </c>
      <c r="Q1349" s="12">
        <f>IF(OR($S1349="",$F1349="",$T1349="",$T1349&lt;0,$T1349&gt;60,$AR1349=""),"—",ROUND(IF(ABS($AU1349)&lt;=3,$AU1349,IF($AU1349&gt;3,3+($F1349-$AW1349)/($AW1349-$AV1349),-3+($F1349-$AY1349)/($AX1349-$AY1349))),2))</f>
        <v/>
      </c>
      <c r="R1349">
        <f>IF(OR($Q1349="",$Q1349="—"),"",IF($Q1349&lt;-3,"Magreza acentuada",IF($Q1349&lt;-2,"Magreza",IF($Q1349&lt;=1,"Eutrofia",IF($Q1349&lt;=2,"Risco de sobrepeso",IF($Q1349&lt;=3,"Sobrepeso","Obesidade"))))))</f>
        <v/>
      </c>
      <c r="S1349">
        <f>IF($C1349="","",IF(UPPER(LEFT($C1349,1))="M",1,IF(UPPER(LEFT($C1349,1))="F",2,"")))</f>
        <v/>
      </c>
      <c r="T1349">
        <f>IF(OR($D1349="",$E1349=""),"",DATEDIF($D1349,$E1349,"m"))</f>
        <v/>
      </c>
      <c r="U1349">
        <f>IF(OR($D1349="",$E1349=""),"",$E1349-$D1349)</f>
        <v/>
      </c>
      <c r="V1349">
        <f>IF(OR($G1349="",$T1349=""),"",IF($T1349&lt;24,IF(LEFT(LOWER($H1349),4)="em p",$G1349+0.7,$G1349),IF(LEFT(LOWER($H1349),4)="deit",$G1349-0.7,$G1349)))</f>
        <v/>
      </c>
      <c r="W1349">
        <f>IF(OR($S1349="",$T1349=""),"",$S1349*1000000+IF($T1349&lt;=60,$U1349,$T1349))</f>
        <v/>
      </c>
      <c r="X1349">
        <f>IF(OR($S1349="",$V1349="",$T1349&gt;60,$T1349=""),"",$S1349*1000000+ROUND($V1349*10,0))</f>
        <v/>
      </c>
      <c r="Y1349">
        <f>IF($W1349="","",IFERROR(INDEX(IF($T1349&lt;=60,imc05_l,imc519_l),MATCH($W1349,IF($T1349&lt;=60,imc05_k,imc519_k),1)),""))</f>
        <v/>
      </c>
      <c r="Z1349">
        <f>IF($W1349="","",IFERROR(INDEX(IF($T1349&lt;=60,imc05_m,imc519_m),MATCH($W1349,IF($T1349&lt;=60,imc05_k,imc519_k),1)),""))</f>
        <v/>
      </c>
      <c r="AA1349">
        <f>IF($W1349="","",IFERROR(INDEX(IF($T1349&lt;=60,imc05_s,imc519_s),MATCH($W1349,IF($T1349&lt;=60,imc05_k,imc519_k),1)),""))</f>
        <v/>
      </c>
      <c r="AB1349">
        <f>IF($Y1349="","",IF($Y1349=0,LN($J1349/$Z1349)/$AA1349,((($J1349/$Z1349)^$Y1349)-1)/($Y1349*$AA1349)))</f>
        <v/>
      </c>
      <c r="AC1349">
        <f>IF($Y1349="","",IF($Y1349=0,$Z1349*EXP($AA1349*2),$Z1349*(1+$Y1349*$AA1349*2)^(1/$Y1349)))</f>
        <v/>
      </c>
      <c r="AD1349">
        <f>IF($Y1349="","",IF($Y1349=0,$Z1349*EXP($AA1349*3),$Z1349*(1+$Y1349*$AA1349*3)^(1/$Y1349)))</f>
        <v/>
      </c>
      <c r="AE1349">
        <f>IF($Y1349="","",IF($Y1349=0,$Z1349*EXP($AA1349*-2),$Z1349*(1+$Y1349*$AA1349*-2)^(1/$Y1349)))</f>
        <v/>
      </c>
      <c r="AF1349">
        <f>IF($Y1349="","",IF($Y1349=0,$Z1349*EXP($AA1349*-3),$Z1349*(1+$Y1349*$AA1349*-3)^(1/$Y1349)))</f>
        <v/>
      </c>
      <c r="AG1349">
        <f>IF($W1349="","",IFERROR(INDEX(IF($T1349&lt;=60,est05_l,est519_l),MATCH($W1349,IF($T1349&lt;=60,est05_k,est519_k),1)),""))</f>
        <v/>
      </c>
      <c r="AH1349">
        <f>IF($W1349="","",IFERROR(INDEX(IF($T1349&lt;=60,est05_m,est519_m),MATCH($W1349,IF($T1349&lt;=60,est05_k,est519_k),1)),""))</f>
        <v/>
      </c>
      <c r="AI1349">
        <f>IF($W1349="","",IFERROR(INDEX(IF($T1349&lt;=60,est05_s,est519_s),MATCH($W1349,IF($T1349&lt;=60,est05_k,est519_k),1)),""))</f>
        <v/>
      </c>
      <c r="AJ1349">
        <f>IF($W1349="","",IFERROR(INDEX(IF($T1349&lt;=60,peso05_l,peso510_l),MATCH($W1349,IF($T1349&lt;=60,peso05_k,peso510_k),1)),""))</f>
        <v/>
      </c>
      <c r="AK1349">
        <f>IF($W1349="","",IFERROR(INDEX(IF($T1349&lt;=60,peso05_m,peso510_m),MATCH($W1349,IF($T1349&lt;=60,peso05_k,peso510_k),1)),""))</f>
        <v/>
      </c>
      <c r="AL1349">
        <f>IF($W1349="","",IFERROR(INDEX(IF($T1349&lt;=60,peso05_s,peso510_s),MATCH($W1349,IF($T1349&lt;=60,peso05_k,peso510_k),1)),""))</f>
        <v/>
      </c>
      <c r="AM1349">
        <f>IF($AJ1349="","",IF($AJ1349=0,LN($F1349/$AK1349)/$AL1349,((($F1349/$AK1349)^$AJ1349)-1)/($AJ1349*$AL1349)))</f>
        <v/>
      </c>
      <c r="AN1349">
        <f>IF($AJ1349="","",IF($AJ1349=0,$AK1349*EXP($AL1349*2),$AK1349*(1+$AJ1349*$AL1349*2)^(1/$AJ1349)))</f>
        <v/>
      </c>
      <c r="AO1349">
        <f>IF($AJ1349="","",IF($AJ1349=0,$AK1349*EXP($AL1349*3),$AK1349*(1+$AJ1349*$AL1349*3)^(1/$AJ1349)))</f>
        <v/>
      </c>
      <c r="AP1349">
        <f>IF($AJ1349="","",IF($AJ1349=0,$AK1349*EXP($AL1349*-2),$AK1349*(1+$AJ1349*$AL1349*-2)^(1/$AJ1349)))</f>
        <v/>
      </c>
      <c r="AQ1349">
        <f>IF($AJ1349="","",IF($AJ1349=0,$AK1349*EXP($AL1349*-3),$AK1349*(1+$AJ1349*$AL1349*-3)^(1/$AJ1349)))</f>
        <v/>
      </c>
      <c r="AR1349">
        <f>IF(OR($X1349="",$T1349&gt;60),"",IFERROR(INDEX(IF($T1349&lt;24,pcomp_l,palt_l),MATCH($X1349,IF($T1349&lt;24,pcomp_k,palt_k),1)),""))</f>
        <v/>
      </c>
      <c r="AS1349">
        <f>IF(OR($X1349="",$T1349&gt;60),"",IFERROR(INDEX(IF($T1349&lt;24,pcomp_m,palt_m),MATCH($X1349,IF($T1349&lt;24,pcomp_k,palt_k),1)),""))</f>
        <v/>
      </c>
      <c r="AT1349">
        <f>IF(OR($X1349="",$T1349&gt;60),"",IFERROR(INDEX(IF($T1349&lt;24,pcomp_s,palt_s),MATCH($X1349,IF($T1349&lt;24,pcomp_k,palt_k),1)),""))</f>
        <v/>
      </c>
      <c r="AU1349">
        <f>IF($AR1349="","",IF($AR1349=0,LN($F1349/$AS1349)/$AT1349,((($F1349/$AS1349)^$AR1349)-1)/($AR1349*$AT1349)))</f>
        <v/>
      </c>
      <c r="AV1349">
        <f>IF($AR1349="","",IF($AR1349=0,$AS1349*EXP($AT1349*2),$AS1349*(1+$AR1349*$AT1349*2)^(1/$AR1349)))</f>
        <v/>
      </c>
      <c r="AW1349">
        <f>IF($AR1349="","",IF($AR1349=0,$AS1349*EXP($AT1349*3),$AS1349*(1+$AR1349*$AT1349*3)^(1/$AR1349)))</f>
        <v/>
      </c>
      <c r="AX1349">
        <f>IF($AR1349="","",IF($AR1349=0,$AS1349*EXP($AT1349*-2),$AS1349*(1+$AR1349*$AT1349*-2)^(1/$AR1349)))</f>
        <v/>
      </c>
      <c r="AY1349">
        <f>IF($AR1349="","",IF($AR1349=0,$AS1349*EXP($AT1349*-3),$AS1349*(1+$AR1349*$AT1349*-3)^(1/$AR1349)))</f>
        <v/>
      </c>
      <c r="AZ1349">
        <f>IF(OR($A1349="",$A1349&lt;&gt;Ficha!$C$4),"",COUNTIF($A$2:$A1349,Ficha!$C$4))</f>
        <v/>
      </c>
    </row>
    <row r="1350">
      <c r="A1350" s="8">
        <f>IF(INDEX(Banco!$A:$A,ROW())="","",INDEX(Banco!$A:$A,ROW()))</f>
        <v/>
      </c>
      <c r="B1350" s="8">
        <f>IF(INDEX(Banco!$B:$B,ROW())="","",INDEX(Banco!$B:$B,ROW()))</f>
        <v/>
      </c>
      <c r="C1350" s="8">
        <f>IF(INDEX(Banco!$C:$C,ROW())="","",INDEX(Banco!$C:$C,ROW()))</f>
        <v/>
      </c>
      <c r="D1350" s="9">
        <f>IF(INDEX(Banco!$D:$D,ROW())="","",INDEX(Banco!$D:$D,ROW()))</f>
        <v/>
      </c>
      <c r="E1350" s="9">
        <f>IF(INDEX(Banco!$E:$E,ROW())="","",INDEX(Banco!$E:$E,ROW()))</f>
        <v/>
      </c>
      <c r="F1350" s="10">
        <f>IF(INDEX(Banco!$F:$F,ROW())="","",INDEX(Banco!$F:$F,ROW()))</f>
        <v/>
      </c>
      <c r="G1350" s="10">
        <f>IF(INDEX(Banco!$G:$G,ROW())="","",INDEX(Banco!$G:$G,ROW()))</f>
        <v/>
      </c>
      <c r="H1350" s="8">
        <f>IF(INDEX(Banco!$H:$H,ROW())="","",INDEX(Banco!$H:$H,ROW()))</f>
        <v/>
      </c>
      <c r="I1350">
        <f>IF($T1350="","",INT($T1350/12)&amp;"a "&amp;MOD($T1350,12)&amp;"m")</f>
        <v/>
      </c>
      <c r="J1350" s="11">
        <f>IF(OR($F1350="",$G1350=""),"",ROUND($F1350/($G1350/100)^2,2))</f>
        <v/>
      </c>
      <c r="K1350" s="12">
        <f>IF(OR($S1350="",$J1350="",$T1350="",$T1350&lt;0,$T1350&gt;228,$Y1350=""),"—",ROUND(IF(ABS($AB1350)&lt;=3,$AB1350,IF($AB1350&gt;3,3+($J1350-$AD1350)/($AD1350-$AC1350),-3+($J1350-$AF1350)/($AE1350-$AF1350))),2))</f>
        <v/>
      </c>
      <c r="L1350">
        <f>IF(OR($K1350="",$K1350="—"),"",IF($T1350&lt;=60,IF($K1350&lt;-3,"Magreza acentuada",IF($K1350&lt;-2,"Magreza",IF($K1350&lt;=1,"Eutrofia",IF($K1350&lt;=2,"Risco de sobrepeso",IF($K1350&lt;=3,"Sobrepeso","Obesidade"))))),IF($K1350&lt;-3,"Magreza acentuada",IF($K1350&lt;-2,"Magreza",IF($K1350&lt;=1,"Eutrofia",IF($K1350&lt;=2,"Sobrepeso",IF($K1350&lt;=3,"Obesidade","Obesidade grave")))))))</f>
        <v/>
      </c>
      <c r="M1350" s="12">
        <f>IF(OR($S1350="",$V1350="",$T1350="",$T1350&lt;0,$T1350&gt;228,$AG1350=""),"—",ROUND(IF($AG1350=0,LN($V1350/$AH1350)/$AI1350,((($V1350/$AH1350)^$AG1350)-1)/($AG1350*$AI1350)),2))</f>
        <v/>
      </c>
      <c r="N1350">
        <f>IF(OR($M1350="",$M1350="—"),"",IF($M1350&lt;-3,"Muito baixa",IF($M1350&lt;-2,"Baixa","Adequada")))</f>
        <v/>
      </c>
      <c r="O1350" s="12">
        <f>IF(OR($S1350="",$F1350="",$T1350="",$T1350&lt;0,$T1350&gt;120,$AJ1350=""),"—",ROUND(IF(ABS($AM1350)&lt;=3,$AM1350,IF($AM1350&gt;3,3+($F1350-$AO1350)/($AO1350-$AN1350),-3+($F1350-$AQ1350)/($AP1350-$AQ1350))),2))</f>
        <v/>
      </c>
      <c r="P1350">
        <f>IF(OR($O1350="",$O1350="—"),"",IF($O1350&lt;-3,"Muito baixo",IF($O1350&lt;-2,"Baixo",IF($O1350&lt;=2,"Adequado","Elevado"))))</f>
        <v/>
      </c>
      <c r="Q1350" s="12">
        <f>IF(OR($S1350="",$F1350="",$T1350="",$T1350&lt;0,$T1350&gt;60,$AR1350=""),"—",ROUND(IF(ABS($AU1350)&lt;=3,$AU1350,IF($AU1350&gt;3,3+($F1350-$AW1350)/($AW1350-$AV1350),-3+($F1350-$AY1350)/($AX1350-$AY1350))),2))</f>
        <v/>
      </c>
      <c r="R1350">
        <f>IF(OR($Q1350="",$Q1350="—"),"",IF($Q1350&lt;-3,"Magreza acentuada",IF($Q1350&lt;-2,"Magreza",IF($Q1350&lt;=1,"Eutrofia",IF($Q1350&lt;=2,"Risco de sobrepeso",IF($Q1350&lt;=3,"Sobrepeso","Obesidade"))))))</f>
        <v/>
      </c>
      <c r="S1350">
        <f>IF($C1350="","",IF(UPPER(LEFT($C1350,1))="M",1,IF(UPPER(LEFT($C1350,1))="F",2,"")))</f>
        <v/>
      </c>
      <c r="T1350">
        <f>IF(OR($D1350="",$E1350=""),"",DATEDIF($D1350,$E1350,"m"))</f>
        <v/>
      </c>
      <c r="U1350">
        <f>IF(OR($D1350="",$E1350=""),"",$E1350-$D1350)</f>
        <v/>
      </c>
      <c r="V1350">
        <f>IF(OR($G1350="",$T1350=""),"",IF($T1350&lt;24,IF(LEFT(LOWER($H1350),4)="em p",$G1350+0.7,$G1350),IF(LEFT(LOWER($H1350),4)="deit",$G1350-0.7,$G1350)))</f>
        <v/>
      </c>
      <c r="W1350">
        <f>IF(OR($S1350="",$T1350=""),"",$S1350*1000000+IF($T1350&lt;=60,$U1350,$T1350))</f>
        <v/>
      </c>
      <c r="X1350">
        <f>IF(OR($S1350="",$V1350="",$T1350&gt;60,$T1350=""),"",$S1350*1000000+ROUND($V1350*10,0))</f>
        <v/>
      </c>
      <c r="Y1350">
        <f>IF($W1350="","",IFERROR(INDEX(IF($T1350&lt;=60,imc05_l,imc519_l),MATCH($W1350,IF($T1350&lt;=60,imc05_k,imc519_k),1)),""))</f>
        <v/>
      </c>
      <c r="Z1350">
        <f>IF($W1350="","",IFERROR(INDEX(IF($T1350&lt;=60,imc05_m,imc519_m),MATCH($W1350,IF($T1350&lt;=60,imc05_k,imc519_k),1)),""))</f>
        <v/>
      </c>
      <c r="AA1350">
        <f>IF($W1350="","",IFERROR(INDEX(IF($T1350&lt;=60,imc05_s,imc519_s),MATCH($W1350,IF($T1350&lt;=60,imc05_k,imc519_k),1)),""))</f>
        <v/>
      </c>
      <c r="AB1350">
        <f>IF($Y1350="","",IF($Y1350=0,LN($J1350/$Z1350)/$AA1350,((($J1350/$Z1350)^$Y1350)-1)/($Y1350*$AA1350)))</f>
        <v/>
      </c>
      <c r="AC1350">
        <f>IF($Y1350="","",IF($Y1350=0,$Z1350*EXP($AA1350*2),$Z1350*(1+$Y1350*$AA1350*2)^(1/$Y1350)))</f>
        <v/>
      </c>
      <c r="AD1350">
        <f>IF($Y1350="","",IF($Y1350=0,$Z1350*EXP($AA1350*3),$Z1350*(1+$Y1350*$AA1350*3)^(1/$Y1350)))</f>
        <v/>
      </c>
      <c r="AE1350">
        <f>IF($Y1350="","",IF($Y1350=0,$Z1350*EXP($AA1350*-2),$Z1350*(1+$Y1350*$AA1350*-2)^(1/$Y1350)))</f>
        <v/>
      </c>
      <c r="AF1350">
        <f>IF($Y1350="","",IF($Y1350=0,$Z1350*EXP($AA1350*-3),$Z1350*(1+$Y1350*$AA1350*-3)^(1/$Y1350)))</f>
        <v/>
      </c>
      <c r="AG1350">
        <f>IF($W1350="","",IFERROR(INDEX(IF($T1350&lt;=60,est05_l,est519_l),MATCH($W1350,IF($T1350&lt;=60,est05_k,est519_k),1)),""))</f>
        <v/>
      </c>
      <c r="AH1350">
        <f>IF($W1350="","",IFERROR(INDEX(IF($T1350&lt;=60,est05_m,est519_m),MATCH($W1350,IF($T1350&lt;=60,est05_k,est519_k),1)),""))</f>
        <v/>
      </c>
      <c r="AI1350">
        <f>IF($W1350="","",IFERROR(INDEX(IF($T1350&lt;=60,est05_s,est519_s),MATCH($W1350,IF($T1350&lt;=60,est05_k,est519_k),1)),""))</f>
        <v/>
      </c>
      <c r="AJ1350">
        <f>IF($W1350="","",IFERROR(INDEX(IF($T1350&lt;=60,peso05_l,peso510_l),MATCH($W1350,IF($T1350&lt;=60,peso05_k,peso510_k),1)),""))</f>
        <v/>
      </c>
      <c r="AK1350">
        <f>IF($W1350="","",IFERROR(INDEX(IF($T1350&lt;=60,peso05_m,peso510_m),MATCH($W1350,IF($T1350&lt;=60,peso05_k,peso510_k),1)),""))</f>
        <v/>
      </c>
      <c r="AL1350">
        <f>IF($W1350="","",IFERROR(INDEX(IF($T1350&lt;=60,peso05_s,peso510_s),MATCH($W1350,IF($T1350&lt;=60,peso05_k,peso510_k),1)),""))</f>
        <v/>
      </c>
      <c r="AM1350">
        <f>IF($AJ1350="","",IF($AJ1350=0,LN($F1350/$AK1350)/$AL1350,((($F1350/$AK1350)^$AJ1350)-1)/($AJ1350*$AL1350)))</f>
        <v/>
      </c>
      <c r="AN1350">
        <f>IF($AJ1350="","",IF($AJ1350=0,$AK1350*EXP($AL1350*2),$AK1350*(1+$AJ1350*$AL1350*2)^(1/$AJ1350)))</f>
        <v/>
      </c>
      <c r="AO1350">
        <f>IF($AJ1350="","",IF($AJ1350=0,$AK1350*EXP($AL1350*3),$AK1350*(1+$AJ1350*$AL1350*3)^(1/$AJ1350)))</f>
        <v/>
      </c>
      <c r="AP1350">
        <f>IF($AJ1350="","",IF($AJ1350=0,$AK1350*EXP($AL1350*-2),$AK1350*(1+$AJ1350*$AL1350*-2)^(1/$AJ1350)))</f>
        <v/>
      </c>
      <c r="AQ1350">
        <f>IF($AJ1350="","",IF($AJ1350=0,$AK1350*EXP($AL1350*-3),$AK1350*(1+$AJ1350*$AL1350*-3)^(1/$AJ1350)))</f>
        <v/>
      </c>
      <c r="AR1350">
        <f>IF(OR($X1350="",$T1350&gt;60),"",IFERROR(INDEX(IF($T1350&lt;24,pcomp_l,palt_l),MATCH($X1350,IF($T1350&lt;24,pcomp_k,palt_k),1)),""))</f>
        <v/>
      </c>
      <c r="AS1350">
        <f>IF(OR($X1350="",$T1350&gt;60),"",IFERROR(INDEX(IF($T1350&lt;24,pcomp_m,palt_m),MATCH($X1350,IF($T1350&lt;24,pcomp_k,palt_k),1)),""))</f>
        <v/>
      </c>
      <c r="AT1350">
        <f>IF(OR($X1350="",$T1350&gt;60),"",IFERROR(INDEX(IF($T1350&lt;24,pcomp_s,palt_s),MATCH($X1350,IF($T1350&lt;24,pcomp_k,palt_k),1)),""))</f>
        <v/>
      </c>
      <c r="AU1350">
        <f>IF($AR1350="","",IF($AR1350=0,LN($F1350/$AS1350)/$AT1350,((($F1350/$AS1350)^$AR1350)-1)/($AR1350*$AT1350)))</f>
        <v/>
      </c>
      <c r="AV1350">
        <f>IF($AR1350="","",IF($AR1350=0,$AS1350*EXP($AT1350*2),$AS1350*(1+$AR1350*$AT1350*2)^(1/$AR1350)))</f>
        <v/>
      </c>
      <c r="AW1350">
        <f>IF($AR1350="","",IF($AR1350=0,$AS1350*EXP($AT1350*3),$AS1350*(1+$AR1350*$AT1350*3)^(1/$AR1350)))</f>
        <v/>
      </c>
      <c r="AX1350">
        <f>IF($AR1350="","",IF($AR1350=0,$AS1350*EXP($AT1350*-2),$AS1350*(1+$AR1350*$AT1350*-2)^(1/$AR1350)))</f>
        <v/>
      </c>
      <c r="AY1350">
        <f>IF($AR1350="","",IF($AR1350=0,$AS1350*EXP($AT1350*-3),$AS1350*(1+$AR1350*$AT1350*-3)^(1/$AR1350)))</f>
        <v/>
      </c>
      <c r="AZ1350">
        <f>IF(OR($A1350="",$A1350&lt;&gt;Ficha!$C$4),"",COUNTIF($A$2:$A1350,Ficha!$C$4))</f>
        <v/>
      </c>
    </row>
    <row r="1351">
      <c r="A1351" s="8">
        <f>IF(INDEX(Banco!$A:$A,ROW())="","",INDEX(Banco!$A:$A,ROW()))</f>
        <v/>
      </c>
      <c r="B1351" s="8">
        <f>IF(INDEX(Banco!$B:$B,ROW())="","",INDEX(Banco!$B:$B,ROW()))</f>
        <v/>
      </c>
      <c r="C1351" s="8">
        <f>IF(INDEX(Banco!$C:$C,ROW())="","",INDEX(Banco!$C:$C,ROW()))</f>
        <v/>
      </c>
      <c r="D1351" s="9">
        <f>IF(INDEX(Banco!$D:$D,ROW())="","",INDEX(Banco!$D:$D,ROW()))</f>
        <v/>
      </c>
      <c r="E1351" s="9">
        <f>IF(INDEX(Banco!$E:$E,ROW())="","",INDEX(Banco!$E:$E,ROW()))</f>
        <v/>
      </c>
      <c r="F1351" s="10">
        <f>IF(INDEX(Banco!$F:$F,ROW())="","",INDEX(Banco!$F:$F,ROW()))</f>
        <v/>
      </c>
      <c r="G1351" s="10">
        <f>IF(INDEX(Banco!$G:$G,ROW())="","",INDEX(Banco!$G:$G,ROW()))</f>
        <v/>
      </c>
      <c r="H1351" s="8">
        <f>IF(INDEX(Banco!$H:$H,ROW())="","",INDEX(Banco!$H:$H,ROW()))</f>
        <v/>
      </c>
      <c r="I1351">
        <f>IF($T1351="","",INT($T1351/12)&amp;"a "&amp;MOD($T1351,12)&amp;"m")</f>
        <v/>
      </c>
      <c r="J1351" s="11">
        <f>IF(OR($F1351="",$G1351=""),"",ROUND($F1351/($G1351/100)^2,2))</f>
        <v/>
      </c>
      <c r="K1351" s="12">
        <f>IF(OR($S1351="",$J1351="",$T1351="",$T1351&lt;0,$T1351&gt;228,$Y1351=""),"—",ROUND(IF(ABS($AB1351)&lt;=3,$AB1351,IF($AB1351&gt;3,3+($J1351-$AD1351)/($AD1351-$AC1351),-3+($J1351-$AF1351)/($AE1351-$AF1351))),2))</f>
        <v/>
      </c>
      <c r="L1351">
        <f>IF(OR($K1351="",$K1351="—"),"",IF($T1351&lt;=60,IF($K1351&lt;-3,"Magreza acentuada",IF($K1351&lt;-2,"Magreza",IF($K1351&lt;=1,"Eutrofia",IF($K1351&lt;=2,"Risco de sobrepeso",IF($K1351&lt;=3,"Sobrepeso","Obesidade"))))),IF($K1351&lt;-3,"Magreza acentuada",IF($K1351&lt;-2,"Magreza",IF($K1351&lt;=1,"Eutrofia",IF($K1351&lt;=2,"Sobrepeso",IF($K1351&lt;=3,"Obesidade","Obesidade grave")))))))</f>
        <v/>
      </c>
      <c r="M1351" s="12">
        <f>IF(OR($S1351="",$V1351="",$T1351="",$T1351&lt;0,$T1351&gt;228,$AG1351=""),"—",ROUND(IF($AG1351=0,LN($V1351/$AH1351)/$AI1351,((($V1351/$AH1351)^$AG1351)-1)/($AG1351*$AI1351)),2))</f>
        <v/>
      </c>
      <c r="N1351">
        <f>IF(OR($M1351="",$M1351="—"),"",IF($M1351&lt;-3,"Muito baixa",IF($M1351&lt;-2,"Baixa","Adequada")))</f>
        <v/>
      </c>
      <c r="O1351" s="12">
        <f>IF(OR($S1351="",$F1351="",$T1351="",$T1351&lt;0,$T1351&gt;120,$AJ1351=""),"—",ROUND(IF(ABS($AM1351)&lt;=3,$AM1351,IF($AM1351&gt;3,3+($F1351-$AO1351)/($AO1351-$AN1351),-3+($F1351-$AQ1351)/($AP1351-$AQ1351))),2))</f>
        <v/>
      </c>
      <c r="P1351">
        <f>IF(OR($O1351="",$O1351="—"),"",IF($O1351&lt;-3,"Muito baixo",IF($O1351&lt;-2,"Baixo",IF($O1351&lt;=2,"Adequado","Elevado"))))</f>
        <v/>
      </c>
      <c r="Q1351" s="12">
        <f>IF(OR($S1351="",$F1351="",$T1351="",$T1351&lt;0,$T1351&gt;60,$AR1351=""),"—",ROUND(IF(ABS($AU1351)&lt;=3,$AU1351,IF($AU1351&gt;3,3+($F1351-$AW1351)/($AW1351-$AV1351),-3+($F1351-$AY1351)/($AX1351-$AY1351))),2))</f>
        <v/>
      </c>
      <c r="R1351">
        <f>IF(OR($Q1351="",$Q1351="—"),"",IF($Q1351&lt;-3,"Magreza acentuada",IF($Q1351&lt;-2,"Magreza",IF($Q1351&lt;=1,"Eutrofia",IF($Q1351&lt;=2,"Risco de sobrepeso",IF($Q1351&lt;=3,"Sobrepeso","Obesidade"))))))</f>
        <v/>
      </c>
      <c r="S1351">
        <f>IF($C1351="","",IF(UPPER(LEFT($C1351,1))="M",1,IF(UPPER(LEFT($C1351,1))="F",2,"")))</f>
        <v/>
      </c>
      <c r="T1351">
        <f>IF(OR($D1351="",$E1351=""),"",DATEDIF($D1351,$E1351,"m"))</f>
        <v/>
      </c>
      <c r="U1351">
        <f>IF(OR($D1351="",$E1351=""),"",$E1351-$D1351)</f>
        <v/>
      </c>
      <c r="V1351">
        <f>IF(OR($G1351="",$T1351=""),"",IF($T1351&lt;24,IF(LEFT(LOWER($H1351),4)="em p",$G1351+0.7,$G1351),IF(LEFT(LOWER($H1351),4)="deit",$G1351-0.7,$G1351)))</f>
        <v/>
      </c>
      <c r="W1351">
        <f>IF(OR($S1351="",$T1351=""),"",$S1351*1000000+IF($T1351&lt;=60,$U1351,$T1351))</f>
        <v/>
      </c>
      <c r="X1351">
        <f>IF(OR($S1351="",$V1351="",$T1351&gt;60,$T1351=""),"",$S1351*1000000+ROUND($V1351*10,0))</f>
        <v/>
      </c>
      <c r="Y1351">
        <f>IF($W1351="","",IFERROR(INDEX(IF($T1351&lt;=60,imc05_l,imc519_l),MATCH($W1351,IF($T1351&lt;=60,imc05_k,imc519_k),1)),""))</f>
        <v/>
      </c>
      <c r="Z1351">
        <f>IF($W1351="","",IFERROR(INDEX(IF($T1351&lt;=60,imc05_m,imc519_m),MATCH($W1351,IF($T1351&lt;=60,imc05_k,imc519_k),1)),""))</f>
        <v/>
      </c>
      <c r="AA1351">
        <f>IF($W1351="","",IFERROR(INDEX(IF($T1351&lt;=60,imc05_s,imc519_s),MATCH($W1351,IF($T1351&lt;=60,imc05_k,imc519_k),1)),""))</f>
        <v/>
      </c>
      <c r="AB1351">
        <f>IF($Y1351="","",IF($Y1351=0,LN($J1351/$Z1351)/$AA1351,((($J1351/$Z1351)^$Y1351)-1)/($Y1351*$AA1351)))</f>
        <v/>
      </c>
      <c r="AC1351">
        <f>IF($Y1351="","",IF($Y1351=0,$Z1351*EXP($AA1351*2),$Z1351*(1+$Y1351*$AA1351*2)^(1/$Y1351)))</f>
        <v/>
      </c>
      <c r="AD1351">
        <f>IF($Y1351="","",IF($Y1351=0,$Z1351*EXP($AA1351*3),$Z1351*(1+$Y1351*$AA1351*3)^(1/$Y1351)))</f>
        <v/>
      </c>
      <c r="AE1351">
        <f>IF($Y1351="","",IF($Y1351=0,$Z1351*EXP($AA1351*-2),$Z1351*(1+$Y1351*$AA1351*-2)^(1/$Y1351)))</f>
        <v/>
      </c>
      <c r="AF1351">
        <f>IF($Y1351="","",IF($Y1351=0,$Z1351*EXP($AA1351*-3),$Z1351*(1+$Y1351*$AA1351*-3)^(1/$Y1351)))</f>
        <v/>
      </c>
      <c r="AG1351">
        <f>IF($W1351="","",IFERROR(INDEX(IF($T1351&lt;=60,est05_l,est519_l),MATCH($W1351,IF($T1351&lt;=60,est05_k,est519_k),1)),""))</f>
        <v/>
      </c>
      <c r="AH1351">
        <f>IF($W1351="","",IFERROR(INDEX(IF($T1351&lt;=60,est05_m,est519_m),MATCH($W1351,IF($T1351&lt;=60,est05_k,est519_k),1)),""))</f>
        <v/>
      </c>
      <c r="AI1351">
        <f>IF($W1351="","",IFERROR(INDEX(IF($T1351&lt;=60,est05_s,est519_s),MATCH($W1351,IF($T1351&lt;=60,est05_k,est519_k),1)),""))</f>
        <v/>
      </c>
      <c r="AJ1351">
        <f>IF($W1351="","",IFERROR(INDEX(IF($T1351&lt;=60,peso05_l,peso510_l),MATCH($W1351,IF($T1351&lt;=60,peso05_k,peso510_k),1)),""))</f>
        <v/>
      </c>
      <c r="AK1351">
        <f>IF($W1351="","",IFERROR(INDEX(IF($T1351&lt;=60,peso05_m,peso510_m),MATCH($W1351,IF($T1351&lt;=60,peso05_k,peso510_k),1)),""))</f>
        <v/>
      </c>
      <c r="AL1351">
        <f>IF($W1351="","",IFERROR(INDEX(IF($T1351&lt;=60,peso05_s,peso510_s),MATCH($W1351,IF($T1351&lt;=60,peso05_k,peso510_k),1)),""))</f>
        <v/>
      </c>
      <c r="AM1351">
        <f>IF($AJ1351="","",IF($AJ1351=0,LN($F1351/$AK1351)/$AL1351,((($F1351/$AK1351)^$AJ1351)-1)/($AJ1351*$AL1351)))</f>
        <v/>
      </c>
      <c r="AN1351">
        <f>IF($AJ1351="","",IF($AJ1351=0,$AK1351*EXP($AL1351*2),$AK1351*(1+$AJ1351*$AL1351*2)^(1/$AJ1351)))</f>
        <v/>
      </c>
      <c r="AO1351">
        <f>IF($AJ1351="","",IF($AJ1351=0,$AK1351*EXP($AL1351*3),$AK1351*(1+$AJ1351*$AL1351*3)^(1/$AJ1351)))</f>
        <v/>
      </c>
      <c r="AP1351">
        <f>IF($AJ1351="","",IF($AJ1351=0,$AK1351*EXP($AL1351*-2),$AK1351*(1+$AJ1351*$AL1351*-2)^(1/$AJ1351)))</f>
        <v/>
      </c>
      <c r="AQ1351">
        <f>IF($AJ1351="","",IF($AJ1351=0,$AK1351*EXP($AL1351*-3),$AK1351*(1+$AJ1351*$AL1351*-3)^(1/$AJ1351)))</f>
        <v/>
      </c>
      <c r="AR1351">
        <f>IF(OR($X1351="",$T1351&gt;60),"",IFERROR(INDEX(IF($T1351&lt;24,pcomp_l,palt_l),MATCH($X1351,IF($T1351&lt;24,pcomp_k,palt_k),1)),""))</f>
        <v/>
      </c>
      <c r="AS1351">
        <f>IF(OR($X1351="",$T1351&gt;60),"",IFERROR(INDEX(IF($T1351&lt;24,pcomp_m,palt_m),MATCH($X1351,IF($T1351&lt;24,pcomp_k,palt_k),1)),""))</f>
        <v/>
      </c>
      <c r="AT1351">
        <f>IF(OR($X1351="",$T1351&gt;60),"",IFERROR(INDEX(IF($T1351&lt;24,pcomp_s,palt_s),MATCH($X1351,IF($T1351&lt;24,pcomp_k,palt_k),1)),""))</f>
        <v/>
      </c>
      <c r="AU1351">
        <f>IF($AR1351="","",IF($AR1351=0,LN($F1351/$AS1351)/$AT1351,((($F1351/$AS1351)^$AR1351)-1)/($AR1351*$AT1351)))</f>
        <v/>
      </c>
      <c r="AV1351">
        <f>IF($AR1351="","",IF($AR1351=0,$AS1351*EXP($AT1351*2),$AS1351*(1+$AR1351*$AT1351*2)^(1/$AR1351)))</f>
        <v/>
      </c>
      <c r="AW1351">
        <f>IF($AR1351="","",IF($AR1351=0,$AS1351*EXP($AT1351*3),$AS1351*(1+$AR1351*$AT1351*3)^(1/$AR1351)))</f>
        <v/>
      </c>
      <c r="AX1351">
        <f>IF($AR1351="","",IF($AR1351=0,$AS1351*EXP($AT1351*-2),$AS1351*(1+$AR1351*$AT1351*-2)^(1/$AR1351)))</f>
        <v/>
      </c>
      <c r="AY1351">
        <f>IF($AR1351="","",IF($AR1351=0,$AS1351*EXP($AT1351*-3),$AS1351*(1+$AR1351*$AT1351*-3)^(1/$AR1351)))</f>
        <v/>
      </c>
      <c r="AZ1351">
        <f>IF(OR($A1351="",$A1351&lt;&gt;Ficha!$C$4),"",COUNTIF($A$2:$A1351,Ficha!$C$4))</f>
        <v/>
      </c>
    </row>
    <row r="1352">
      <c r="A1352" s="8">
        <f>IF(INDEX(Banco!$A:$A,ROW())="","",INDEX(Banco!$A:$A,ROW()))</f>
        <v/>
      </c>
      <c r="B1352" s="8">
        <f>IF(INDEX(Banco!$B:$B,ROW())="","",INDEX(Banco!$B:$B,ROW()))</f>
        <v/>
      </c>
      <c r="C1352" s="8">
        <f>IF(INDEX(Banco!$C:$C,ROW())="","",INDEX(Banco!$C:$C,ROW()))</f>
        <v/>
      </c>
      <c r="D1352" s="9">
        <f>IF(INDEX(Banco!$D:$D,ROW())="","",INDEX(Banco!$D:$D,ROW()))</f>
        <v/>
      </c>
      <c r="E1352" s="9">
        <f>IF(INDEX(Banco!$E:$E,ROW())="","",INDEX(Banco!$E:$E,ROW()))</f>
        <v/>
      </c>
      <c r="F1352" s="10">
        <f>IF(INDEX(Banco!$F:$F,ROW())="","",INDEX(Banco!$F:$F,ROW()))</f>
        <v/>
      </c>
      <c r="G1352" s="10">
        <f>IF(INDEX(Banco!$G:$G,ROW())="","",INDEX(Banco!$G:$G,ROW()))</f>
        <v/>
      </c>
      <c r="H1352" s="8">
        <f>IF(INDEX(Banco!$H:$H,ROW())="","",INDEX(Banco!$H:$H,ROW()))</f>
        <v/>
      </c>
      <c r="I1352">
        <f>IF($T1352="","",INT($T1352/12)&amp;"a "&amp;MOD($T1352,12)&amp;"m")</f>
        <v/>
      </c>
      <c r="J1352" s="11">
        <f>IF(OR($F1352="",$G1352=""),"",ROUND($F1352/($G1352/100)^2,2))</f>
        <v/>
      </c>
      <c r="K1352" s="12">
        <f>IF(OR($S1352="",$J1352="",$T1352="",$T1352&lt;0,$T1352&gt;228,$Y1352=""),"—",ROUND(IF(ABS($AB1352)&lt;=3,$AB1352,IF($AB1352&gt;3,3+($J1352-$AD1352)/($AD1352-$AC1352),-3+($J1352-$AF1352)/($AE1352-$AF1352))),2))</f>
        <v/>
      </c>
      <c r="L1352">
        <f>IF(OR($K1352="",$K1352="—"),"",IF($T1352&lt;=60,IF($K1352&lt;-3,"Magreza acentuada",IF($K1352&lt;-2,"Magreza",IF($K1352&lt;=1,"Eutrofia",IF($K1352&lt;=2,"Risco de sobrepeso",IF($K1352&lt;=3,"Sobrepeso","Obesidade"))))),IF($K1352&lt;-3,"Magreza acentuada",IF($K1352&lt;-2,"Magreza",IF($K1352&lt;=1,"Eutrofia",IF($K1352&lt;=2,"Sobrepeso",IF($K1352&lt;=3,"Obesidade","Obesidade grave")))))))</f>
        <v/>
      </c>
      <c r="M1352" s="12">
        <f>IF(OR($S1352="",$V1352="",$T1352="",$T1352&lt;0,$T1352&gt;228,$AG1352=""),"—",ROUND(IF($AG1352=0,LN($V1352/$AH1352)/$AI1352,((($V1352/$AH1352)^$AG1352)-1)/($AG1352*$AI1352)),2))</f>
        <v/>
      </c>
      <c r="N1352">
        <f>IF(OR($M1352="",$M1352="—"),"",IF($M1352&lt;-3,"Muito baixa",IF($M1352&lt;-2,"Baixa","Adequada")))</f>
        <v/>
      </c>
      <c r="O1352" s="12">
        <f>IF(OR($S1352="",$F1352="",$T1352="",$T1352&lt;0,$T1352&gt;120,$AJ1352=""),"—",ROUND(IF(ABS($AM1352)&lt;=3,$AM1352,IF($AM1352&gt;3,3+($F1352-$AO1352)/($AO1352-$AN1352),-3+($F1352-$AQ1352)/($AP1352-$AQ1352))),2))</f>
        <v/>
      </c>
      <c r="P1352">
        <f>IF(OR($O1352="",$O1352="—"),"",IF($O1352&lt;-3,"Muito baixo",IF($O1352&lt;-2,"Baixo",IF($O1352&lt;=2,"Adequado","Elevado"))))</f>
        <v/>
      </c>
      <c r="Q1352" s="12">
        <f>IF(OR($S1352="",$F1352="",$T1352="",$T1352&lt;0,$T1352&gt;60,$AR1352=""),"—",ROUND(IF(ABS($AU1352)&lt;=3,$AU1352,IF($AU1352&gt;3,3+($F1352-$AW1352)/($AW1352-$AV1352),-3+($F1352-$AY1352)/($AX1352-$AY1352))),2))</f>
        <v/>
      </c>
      <c r="R1352">
        <f>IF(OR($Q1352="",$Q1352="—"),"",IF($Q1352&lt;-3,"Magreza acentuada",IF($Q1352&lt;-2,"Magreza",IF($Q1352&lt;=1,"Eutrofia",IF($Q1352&lt;=2,"Risco de sobrepeso",IF($Q1352&lt;=3,"Sobrepeso","Obesidade"))))))</f>
        <v/>
      </c>
      <c r="S1352">
        <f>IF($C1352="","",IF(UPPER(LEFT($C1352,1))="M",1,IF(UPPER(LEFT($C1352,1))="F",2,"")))</f>
        <v/>
      </c>
      <c r="T1352">
        <f>IF(OR($D1352="",$E1352=""),"",DATEDIF($D1352,$E1352,"m"))</f>
        <v/>
      </c>
      <c r="U1352">
        <f>IF(OR($D1352="",$E1352=""),"",$E1352-$D1352)</f>
        <v/>
      </c>
      <c r="V1352">
        <f>IF(OR($G1352="",$T1352=""),"",IF($T1352&lt;24,IF(LEFT(LOWER($H1352),4)="em p",$G1352+0.7,$G1352),IF(LEFT(LOWER($H1352),4)="deit",$G1352-0.7,$G1352)))</f>
        <v/>
      </c>
      <c r="W1352">
        <f>IF(OR($S1352="",$T1352=""),"",$S1352*1000000+IF($T1352&lt;=60,$U1352,$T1352))</f>
        <v/>
      </c>
      <c r="X1352">
        <f>IF(OR($S1352="",$V1352="",$T1352&gt;60,$T1352=""),"",$S1352*1000000+ROUND($V1352*10,0))</f>
        <v/>
      </c>
      <c r="Y1352">
        <f>IF($W1352="","",IFERROR(INDEX(IF($T1352&lt;=60,imc05_l,imc519_l),MATCH($W1352,IF($T1352&lt;=60,imc05_k,imc519_k),1)),""))</f>
        <v/>
      </c>
      <c r="Z1352">
        <f>IF($W1352="","",IFERROR(INDEX(IF($T1352&lt;=60,imc05_m,imc519_m),MATCH($W1352,IF($T1352&lt;=60,imc05_k,imc519_k),1)),""))</f>
        <v/>
      </c>
      <c r="AA1352">
        <f>IF($W1352="","",IFERROR(INDEX(IF($T1352&lt;=60,imc05_s,imc519_s),MATCH($W1352,IF($T1352&lt;=60,imc05_k,imc519_k),1)),""))</f>
        <v/>
      </c>
      <c r="AB1352">
        <f>IF($Y1352="","",IF($Y1352=0,LN($J1352/$Z1352)/$AA1352,((($J1352/$Z1352)^$Y1352)-1)/($Y1352*$AA1352)))</f>
        <v/>
      </c>
      <c r="AC1352">
        <f>IF($Y1352="","",IF($Y1352=0,$Z1352*EXP($AA1352*2),$Z1352*(1+$Y1352*$AA1352*2)^(1/$Y1352)))</f>
        <v/>
      </c>
      <c r="AD1352">
        <f>IF($Y1352="","",IF($Y1352=0,$Z1352*EXP($AA1352*3),$Z1352*(1+$Y1352*$AA1352*3)^(1/$Y1352)))</f>
        <v/>
      </c>
      <c r="AE1352">
        <f>IF($Y1352="","",IF($Y1352=0,$Z1352*EXP($AA1352*-2),$Z1352*(1+$Y1352*$AA1352*-2)^(1/$Y1352)))</f>
        <v/>
      </c>
      <c r="AF1352">
        <f>IF($Y1352="","",IF($Y1352=0,$Z1352*EXP($AA1352*-3),$Z1352*(1+$Y1352*$AA1352*-3)^(1/$Y1352)))</f>
        <v/>
      </c>
      <c r="AG1352">
        <f>IF($W1352="","",IFERROR(INDEX(IF($T1352&lt;=60,est05_l,est519_l),MATCH($W1352,IF($T1352&lt;=60,est05_k,est519_k),1)),""))</f>
        <v/>
      </c>
      <c r="AH1352">
        <f>IF($W1352="","",IFERROR(INDEX(IF($T1352&lt;=60,est05_m,est519_m),MATCH($W1352,IF($T1352&lt;=60,est05_k,est519_k),1)),""))</f>
        <v/>
      </c>
      <c r="AI1352">
        <f>IF($W1352="","",IFERROR(INDEX(IF($T1352&lt;=60,est05_s,est519_s),MATCH($W1352,IF($T1352&lt;=60,est05_k,est519_k),1)),""))</f>
        <v/>
      </c>
      <c r="AJ1352">
        <f>IF($W1352="","",IFERROR(INDEX(IF($T1352&lt;=60,peso05_l,peso510_l),MATCH($W1352,IF($T1352&lt;=60,peso05_k,peso510_k),1)),""))</f>
        <v/>
      </c>
      <c r="AK1352">
        <f>IF($W1352="","",IFERROR(INDEX(IF($T1352&lt;=60,peso05_m,peso510_m),MATCH($W1352,IF($T1352&lt;=60,peso05_k,peso510_k),1)),""))</f>
        <v/>
      </c>
      <c r="AL1352">
        <f>IF($W1352="","",IFERROR(INDEX(IF($T1352&lt;=60,peso05_s,peso510_s),MATCH($W1352,IF($T1352&lt;=60,peso05_k,peso510_k),1)),""))</f>
        <v/>
      </c>
      <c r="AM1352">
        <f>IF($AJ1352="","",IF($AJ1352=0,LN($F1352/$AK1352)/$AL1352,((($F1352/$AK1352)^$AJ1352)-1)/($AJ1352*$AL1352)))</f>
        <v/>
      </c>
      <c r="AN1352">
        <f>IF($AJ1352="","",IF($AJ1352=0,$AK1352*EXP($AL1352*2),$AK1352*(1+$AJ1352*$AL1352*2)^(1/$AJ1352)))</f>
        <v/>
      </c>
      <c r="AO1352">
        <f>IF($AJ1352="","",IF($AJ1352=0,$AK1352*EXP($AL1352*3),$AK1352*(1+$AJ1352*$AL1352*3)^(1/$AJ1352)))</f>
        <v/>
      </c>
      <c r="AP1352">
        <f>IF($AJ1352="","",IF($AJ1352=0,$AK1352*EXP($AL1352*-2),$AK1352*(1+$AJ1352*$AL1352*-2)^(1/$AJ1352)))</f>
        <v/>
      </c>
      <c r="AQ1352">
        <f>IF($AJ1352="","",IF($AJ1352=0,$AK1352*EXP($AL1352*-3),$AK1352*(1+$AJ1352*$AL1352*-3)^(1/$AJ1352)))</f>
        <v/>
      </c>
      <c r="AR1352">
        <f>IF(OR($X1352="",$T1352&gt;60),"",IFERROR(INDEX(IF($T1352&lt;24,pcomp_l,palt_l),MATCH($X1352,IF($T1352&lt;24,pcomp_k,palt_k),1)),""))</f>
        <v/>
      </c>
      <c r="AS1352">
        <f>IF(OR($X1352="",$T1352&gt;60),"",IFERROR(INDEX(IF($T1352&lt;24,pcomp_m,palt_m),MATCH($X1352,IF($T1352&lt;24,pcomp_k,palt_k),1)),""))</f>
        <v/>
      </c>
      <c r="AT1352">
        <f>IF(OR($X1352="",$T1352&gt;60),"",IFERROR(INDEX(IF($T1352&lt;24,pcomp_s,palt_s),MATCH($X1352,IF($T1352&lt;24,pcomp_k,palt_k),1)),""))</f>
        <v/>
      </c>
      <c r="AU1352">
        <f>IF($AR1352="","",IF($AR1352=0,LN($F1352/$AS1352)/$AT1352,((($F1352/$AS1352)^$AR1352)-1)/($AR1352*$AT1352)))</f>
        <v/>
      </c>
      <c r="AV1352">
        <f>IF($AR1352="","",IF($AR1352=0,$AS1352*EXP($AT1352*2),$AS1352*(1+$AR1352*$AT1352*2)^(1/$AR1352)))</f>
        <v/>
      </c>
      <c r="AW1352">
        <f>IF($AR1352="","",IF($AR1352=0,$AS1352*EXP($AT1352*3),$AS1352*(1+$AR1352*$AT1352*3)^(1/$AR1352)))</f>
        <v/>
      </c>
      <c r="AX1352">
        <f>IF($AR1352="","",IF($AR1352=0,$AS1352*EXP($AT1352*-2),$AS1352*(1+$AR1352*$AT1352*-2)^(1/$AR1352)))</f>
        <v/>
      </c>
      <c r="AY1352">
        <f>IF($AR1352="","",IF($AR1352=0,$AS1352*EXP($AT1352*-3),$AS1352*(1+$AR1352*$AT1352*-3)^(1/$AR1352)))</f>
        <v/>
      </c>
      <c r="AZ1352">
        <f>IF(OR($A1352="",$A1352&lt;&gt;Ficha!$C$4),"",COUNTIF($A$2:$A1352,Ficha!$C$4))</f>
        <v/>
      </c>
    </row>
    <row r="1353">
      <c r="A1353" s="8">
        <f>IF(INDEX(Banco!$A:$A,ROW())="","",INDEX(Banco!$A:$A,ROW()))</f>
        <v/>
      </c>
      <c r="B1353" s="8">
        <f>IF(INDEX(Banco!$B:$B,ROW())="","",INDEX(Banco!$B:$B,ROW()))</f>
        <v/>
      </c>
      <c r="C1353" s="8">
        <f>IF(INDEX(Banco!$C:$C,ROW())="","",INDEX(Banco!$C:$C,ROW()))</f>
        <v/>
      </c>
      <c r="D1353" s="9">
        <f>IF(INDEX(Banco!$D:$D,ROW())="","",INDEX(Banco!$D:$D,ROW()))</f>
        <v/>
      </c>
      <c r="E1353" s="9">
        <f>IF(INDEX(Banco!$E:$E,ROW())="","",INDEX(Banco!$E:$E,ROW()))</f>
        <v/>
      </c>
      <c r="F1353" s="10">
        <f>IF(INDEX(Banco!$F:$F,ROW())="","",INDEX(Banco!$F:$F,ROW()))</f>
        <v/>
      </c>
      <c r="G1353" s="10">
        <f>IF(INDEX(Banco!$G:$G,ROW())="","",INDEX(Banco!$G:$G,ROW()))</f>
        <v/>
      </c>
      <c r="H1353" s="8">
        <f>IF(INDEX(Banco!$H:$H,ROW())="","",INDEX(Banco!$H:$H,ROW()))</f>
        <v/>
      </c>
      <c r="I1353">
        <f>IF($T1353="","",INT($T1353/12)&amp;"a "&amp;MOD($T1353,12)&amp;"m")</f>
        <v/>
      </c>
      <c r="J1353" s="11">
        <f>IF(OR($F1353="",$G1353=""),"",ROUND($F1353/($G1353/100)^2,2))</f>
        <v/>
      </c>
      <c r="K1353" s="12">
        <f>IF(OR($S1353="",$J1353="",$T1353="",$T1353&lt;0,$T1353&gt;228,$Y1353=""),"—",ROUND(IF(ABS($AB1353)&lt;=3,$AB1353,IF($AB1353&gt;3,3+($J1353-$AD1353)/($AD1353-$AC1353),-3+($J1353-$AF1353)/($AE1353-$AF1353))),2))</f>
        <v/>
      </c>
      <c r="L1353">
        <f>IF(OR($K1353="",$K1353="—"),"",IF($T1353&lt;=60,IF($K1353&lt;-3,"Magreza acentuada",IF($K1353&lt;-2,"Magreza",IF($K1353&lt;=1,"Eutrofia",IF($K1353&lt;=2,"Risco de sobrepeso",IF($K1353&lt;=3,"Sobrepeso","Obesidade"))))),IF($K1353&lt;-3,"Magreza acentuada",IF($K1353&lt;-2,"Magreza",IF($K1353&lt;=1,"Eutrofia",IF($K1353&lt;=2,"Sobrepeso",IF($K1353&lt;=3,"Obesidade","Obesidade grave")))))))</f>
        <v/>
      </c>
      <c r="M1353" s="12">
        <f>IF(OR($S1353="",$V1353="",$T1353="",$T1353&lt;0,$T1353&gt;228,$AG1353=""),"—",ROUND(IF($AG1353=0,LN($V1353/$AH1353)/$AI1353,((($V1353/$AH1353)^$AG1353)-1)/($AG1353*$AI1353)),2))</f>
        <v/>
      </c>
      <c r="N1353">
        <f>IF(OR($M1353="",$M1353="—"),"",IF($M1353&lt;-3,"Muito baixa",IF($M1353&lt;-2,"Baixa","Adequada")))</f>
        <v/>
      </c>
      <c r="O1353" s="12">
        <f>IF(OR($S1353="",$F1353="",$T1353="",$T1353&lt;0,$T1353&gt;120,$AJ1353=""),"—",ROUND(IF(ABS($AM1353)&lt;=3,$AM1353,IF($AM1353&gt;3,3+($F1353-$AO1353)/($AO1353-$AN1353),-3+($F1353-$AQ1353)/($AP1353-$AQ1353))),2))</f>
        <v/>
      </c>
      <c r="P1353">
        <f>IF(OR($O1353="",$O1353="—"),"",IF($O1353&lt;-3,"Muito baixo",IF($O1353&lt;-2,"Baixo",IF($O1353&lt;=2,"Adequado","Elevado"))))</f>
        <v/>
      </c>
      <c r="Q1353" s="12">
        <f>IF(OR($S1353="",$F1353="",$T1353="",$T1353&lt;0,$T1353&gt;60,$AR1353=""),"—",ROUND(IF(ABS($AU1353)&lt;=3,$AU1353,IF($AU1353&gt;3,3+($F1353-$AW1353)/($AW1353-$AV1353),-3+($F1353-$AY1353)/($AX1353-$AY1353))),2))</f>
        <v/>
      </c>
      <c r="R1353">
        <f>IF(OR($Q1353="",$Q1353="—"),"",IF($Q1353&lt;-3,"Magreza acentuada",IF($Q1353&lt;-2,"Magreza",IF($Q1353&lt;=1,"Eutrofia",IF($Q1353&lt;=2,"Risco de sobrepeso",IF($Q1353&lt;=3,"Sobrepeso","Obesidade"))))))</f>
        <v/>
      </c>
      <c r="S1353">
        <f>IF($C1353="","",IF(UPPER(LEFT($C1353,1))="M",1,IF(UPPER(LEFT($C1353,1))="F",2,"")))</f>
        <v/>
      </c>
      <c r="T1353">
        <f>IF(OR($D1353="",$E1353=""),"",DATEDIF($D1353,$E1353,"m"))</f>
        <v/>
      </c>
      <c r="U1353">
        <f>IF(OR($D1353="",$E1353=""),"",$E1353-$D1353)</f>
        <v/>
      </c>
      <c r="V1353">
        <f>IF(OR($G1353="",$T1353=""),"",IF($T1353&lt;24,IF(LEFT(LOWER($H1353),4)="em p",$G1353+0.7,$G1353),IF(LEFT(LOWER($H1353),4)="deit",$G1353-0.7,$G1353)))</f>
        <v/>
      </c>
      <c r="W1353">
        <f>IF(OR($S1353="",$T1353=""),"",$S1353*1000000+IF($T1353&lt;=60,$U1353,$T1353))</f>
        <v/>
      </c>
      <c r="X1353">
        <f>IF(OR($S1353="",$V1353="",$T1353&gt;60,$T1353=""),"",$S1353*1000000+ROUND($V1353*10,0))</f>
        <v/>
      </c>
      <c r="Y1353">
        <f>IF($W1353="","",IFERROR(INDEX(IF($T1353&lt;=60,imc05_l,imc519_l),MATCH($W1353,IF($T1353&lt;=60,imc05_k,imc519_k),1)),""))</f>
        <v/>
      </c>
      <c r="Z1353">
        <f>IF($W1353="","",IFERROR(INDEX(IF($T1353&lt;=60,imc05_m,imc519_m),MATCH($W1353,IF($T1353&lt;=60,imc05_k,imc519_k),1)),""))</f>
        <v/>
      </c>
      <c r="AA1353">
        <f>IF($W1353="","",IFERROR(INDEX(IF($T1353&lt;=60,imc05_s,imc519_s),MATCH($W1353,IF($T1353&lt;=60,imc05_k,imc519_k),1)),""))</f>
        <v/>
      </c>
      <c r="AB1353">
        <f>IF($Y1353="","",IF($Y1353=0,LN($J1353/$Z1353)/$AA1353,((($J1353/$Z1353)^$Y1353)-1)/($Y1353*$AA1353)))</f>
        <v/>
      </c>
      <c r="AC1353">
        <f>IF($Y1353="","",IF($Y1353=0,$Z1353*EXP($AA1353*2),$Z1353*(1+$Y1353*$AA1353*2)^(1/$Y1353)))</f>
        <v/>
      </c>
      <c r="AD1353">
        <f>IF($Y1353="","",IF($Y1353=0,$Z1353*EXP($AA1353*3),$Z1353*(1+$Y1353*$AA1353*3)^(1/$Y1353)))</f>
        <v/>
      </c>
      <c r="AE1353">
        <f>IF($Y1353="","",IF($Y1353=0,$Z1353*EXP($AA1353*-2),$Z1353*(1+$Y1353*$AA1353*-2)^(1/$Y1353)))</f>
        <v/>
      </c>
      <c r="AF1353">
        <f>IF($Y1353="","",IF($Y1353=0,$Z1353*EXP($AA1353*-3),$Z1353*(1+$Y1353*$AA1353*-3)^(1/$Y1353)))</f>
        <v/>
      </c>
      <c r="AG1353">
        <f>IF($W1353="","",IFERROR(INDEX(IF($T1353&lt;=60,est05_l,est519_l),MATCH($W1353,IF($T1353&lt;=60,est05_k,est519_k),1)),""))</f>
        <v/>
      </c>
      <c r="AH1353">
        <f>IF($W1353="","",IFERROR(INDEX(IF($T1353&lt;=60,est05_m,est519_m),MATCH($W1353,IF($T1353&lt;=60,est05_k,est519_k),1)),""))</f>
        <v/>
      </c>
      <c r="AI1353">
        <f>IF($W1353="","",IFERROR(INDEX(IF($T1353&lt;=60,est05_s,est519_s),MATCH($W1353,IF($T1353&lt;=60,est05_k,est519_k),1)),""))</f>
        <v/>
      </c>
      <c r="AJ1353">
        <f>IF($W1353="","",IFERROR(INDEX(IF($T1353&lt;=60,peso05_l,peso510_l),MATCH($W1353,IF($T1353&lt;=60,peso05_k,peso510_k),1)),""))</f>
        <v/>
      </c>
      <c r="AK1353">
        <f>IF($W1353="","",IFERROR(INDEX(IF($T1353&lt;=60,peso05_m,peso510_m),MATCH($W1353,IF($T1353&lt;=60,peso05_k,peso510_k),1)),""))</f>
        <v/>
      </c>
      <c r="AL1353">
        <f>IF($W1353="","",IFERROR(INDEX(IF($T1353&lt;=60,peso05_s,peso510_s),MATCH($W1353,IF($T1353&lt;=60,peso05_k,peso510_k),1)),""))</f>
        <v/>
      </c>
      <c r="AM1353">
        <f>IF($AJ1353="","",IF($AJ1353=0,LN($F1353/$AK1353)/$AL1353,((($F1353/$AK1353)^$AJ1353)-1)/($AJ1353*$AL1353)))</f>
        <v/>
      </c>
      <c r="AN1353">
        <f>IF($AJ1353="","",IF($AJ1353=0,$AK1353*EXP($AL1353*2),$AK1353*(1+$AJ1353*$AL1353*2)^(1/$AJ1353)))</f>
        <v/>
      </c>
      <c r="AO1353">
        <f>IF($AJ1353="","",IF($AJ1353=0,$AK1353*EXP($AL1353*3),$AK1353*(1+$AJ1353*$AL1353*3)^(1/$AJ1353)))</f>
        <v/>
      </c>
      <c r="AP1353">
        <f>IF($AJ1353="","",IF($AJ1353=0,$AK1353*EXP($AL1353*-2),$AK1353*(1+$AJ1353*$AL1353*-2)^(1/$AJ1353)))</f>
        <v/>
      </c>
      <c r="AQ1353">
        <f>IF($AJ1353="","",IF($AJ1353=0,$AK1353*EXP($AL1353*-3),$AK1353*(1+$AJ1353*$AL1353*-3)^(1/$AJ1353)))</f>
        <v/>
      </c>
      <c r="AR1353">
        <f>IF(OR($X1353="",$T1353&gt;60),"",IFERROR(INDEX(IF($T1353&lt;24,pcomp_l,palt_l),MATCH($X1353,IF($T1353&lt;24,pcomp_k,palt_k),1)),""))</f>
        <v/>
      </c>
      <c r="AS1353">
        <f>IF(OR($X1353="",$T1353&gt;60),"",IFERROR(INDEX(IF($T1353&lt;24,pcomp_m,palt_m),MATCH($X1353,IF($T1353&lt;24,pcomp_k,palt_k),1)),""))</f>
        <v/>
      </c>
      <c r="AT1353">
        <f>IF(OR($X1353="",$T1353&gt;60),"",IFERROR(INDEX(IF($T1353&lt;24,pcomp_s,palt_s),MATCH($X1353,IF($T1353&lt;24,pcomp_k,palt_k),1)),""))</f>
        <v/>
      </c>
      <c r="AU1353">
        <f>IF($AR1353="","",IF($AR1353=0,LN($F1353/$AS1353)/$AT1353,((($F1353/$AS1353)^$AR1353)-1)/($AR1353*$AT1353)))</f>
        <v/>
      </c>
      <c r="AV1353">
        <f>IF($AR1353="","",IF($AR1353=0,$AS1353*EXP($AT1353*2),$AS1353*(1+$AR1353*$AT1353*2)^(1/$AR1353)))</f>
        <v/>
      </c>
      <c r="AW1353">
        <f>IF($AR1353="","",IF($AR1353=0,$AS1353*EXP($AT1353*3),$AS1353*(1+$AR1353*$AT1353*3)^(1/$AR1353)))</f>
        <v/>
      </c>
      <c r="AX1353">
        <f>IF($AR1353="","",IF($AR1353=0,$AS1353*EXP($AT1353*-2),$AS1353*(1+$AR1353*$AT1353*-2)^(1/$AR1353)))</f>
        <v/>
      </c>
      <c r="AY1353">
        <f>IF($AR1353="","",IF($AR1353=0,$AS1353*EXP($AT1353*-3),$AS1353*(1+$AR1353*$AT1353*-3)^(1/$AR1353)))</f>
        <v/>
      </c>
      <c r="AZ1353">
        <f>IF(OR($A1353="",$A1353&lt;&gt;Ficha!$C$4),"",COUNTIF($A$2:$A1353,Ficha!$C$4))</f>
        <v/>
      </c>
    </row>
    <row r="1354">
      <c r="A1354" s="8">
        <f>IF(INDEX(Banco!$A:$A,ROW())="","",INDEX(Banco!$A:$A,ROW()))</f>
        <v/>
      </c>
      <c r="B1354" s="8">
        <f>IF(INDEX(Banco!$B:$B,ROW())="","",INDEX(Banco!$B:$B,ROW()))</f>
        <v/>
      </c>
      <c r="C1354" s="8">
        <f>IF(INDEX(Banco!$C:$C,ROW())="","",INDEX(Banco!$C:$C,ROW()))</f>
        <v/>
      </c>
      <c r="D1354" s="9">
        <f>IF(INDEX(Banco!$D:$D,ROW())="","",INDEX(Banco!$D:$D,ROW()))</f>
        <v/>
      </c>
      <c r="E1354" s="9">
        <f>IF(INDEX(Banco!$E:$E,ROW())="","",INDEX(Banco!$E:$E,ROW()))</f>
        <v/>
      </c>
      <c r="F1354" s="10">
        <f>IF(INDEX(Banco!$F:$F,ROW())="","",INDEX(Banco!$F:$F,ROW()))</f>
        <v/>
      </c>
      <c r="G1354" s="10">
        <f>IF(INDEX(Banco!$G:$G,ROW())="","",INDEX(Banco!$G:$G,ROW()))</f>
        <v/>
      </c>
      <c r="H1354" s="8">
        <f>IF(INDEX(Banco!$H:$H,ROW())="","",INDEX(Banco!$H:$H,ROW()))</f>
        <v/>
      </c>
      <c r="I1354">
        <f>IF($T1354="","",INT($T1354/12)&amp;"a "&amp;MOD($T1354,12)&amp;"m")</f>
        <v/>
      </c>
      <c r="J1354" s="11">
        <f>IF(OR($F1354="",$G1354=""),"",ROUND($F1354/($G1354/100)^2,2))</f>
        <v/>
      </c>
      <c r="K1354" s="12">
        <f>IF(OR($S1354="",$J1354="",$T1354="",$T1354&lt;0,$T1354&gt;228,$Y1354=""),"—",ROUND(IF(ABS($AB1354)&lt;=3,$AB1354,IF($AB1354&gt;3,3+($J1354-$AD1354)/($AD1354-$AC1354),-3+($J1354-$AF1354)/($AE1354-$AF1354))),2))</f>
        <v/>
      </c>
      <c r="L1354">
        <f>IF(OR($K1354="",$K1354="—"),"",IF($T1354&lt;=60,IF($K1354&lt;-3,"Magreza acentuada",IF($K1354&lt;-2,"Magreza",IF($K1354&lt;=1,"Eutrofia",IF($K1354&lt;=2,"Risco de sobrepeso",IF($K1354&lt;=3,"Sobrepeso","Obesidade"))))),IF($K1354&lt;-3,"Magreza acentuada",IF($K1354&lt;-2,"Magreza",IF($K1354&lt;=1,"Eutrofia",IF($K1354&lt;=2,"Sobrepeso",IF($K1354&lt;=3,"Obesidade","Obesidade grave")))))))</f>
        <v/>
      </c>
      <c r="M1354" s="12">
        <f>IF(OR($S1354="",$V1354="",$T1354="",$T1354&lt;0,$T1354&gt;228,$AG1354=""),"—",ROUND(IF($AG1354=0,LN($V1354/$AH1354)/$AI1354,((($V1354/$AH1354)^$AG1354)-1)/($AG1354*$AI1354)),2))</f>
        <v/>
      </c>
      <c r="N1354">
        <f>IF(OR($M1354="",$M1354="—"),"",IF($M1354&lt;-3,"Muito baixa",IF($M1354&lt;-2,"Baixa","Adequada")))</f>
        <v/>
      </c>
      <c r="O1354" s="12">
        <f>IF(OR($S1354="",$F1354="",$T1354="",$T1354&lt;0,$T1354&gt;120,$AJ1354=""),"—",ROUND(IF(ABS($AM1354)&lt;=3,$AM1354,IF($AM1354&gt;3,3+($F1354-$AO1354)/($AO1354-$AN1354),-3+($F1354-$AQ1354)/($AP1354-$AQ1354))),2))</f>
        <v/>
      </c>
      <c r="P1354">
        <f>IF(OR($O1354="",$O1354="—"),"",IF($O1354&lt;-3,"Muito baixo",IF($O1354&lt;-2,"Baixo",IF($O1354&lt;=2,"Adequado","Elevado"))))</f>
        <v/>
      </c>
      <c r="Q1354" s="12">
        <f>IF(OR($S1354="",$F1354="",$T1354="",$T1354&lt;0,$T1354&gt;60,$AR1354=""),"—",ROUND(IF(ABS($AU1354)&lt;=3,$AU1354,IF($AU1354&gt;3,3+($F1354-$AW1354)/($AW1354-$AV1354),-3+($F1354-$AY1354)/($AX1354-$AY1354))),2))</f>
        <v/>
      </c>
      <c r="R1354">
        <f>IF(OR($Q1354="",$Q1354="—"),"",IF($Q1354&lt;-3,"Magreza acentuada",IF($Q1354&lt;-2,"Magreza",IF($Q1354&lt;=1,"Eutrofia",IF($Q1354&lt;=2,"Risco de sobrepeso",IF($Q1354&lt;=3,"Sobrepeso","Obesidade"))))))</f>
        <v/>
      </c>
      <c r="S1354">
        <f>IF($C1354="","",IF(UPPER(LEFT($C1354,1))="M",1,IF(UPPER(LEFT($C1354,1))="F",2,"")))</f>
        <v/>
      </c>
      <c r="T1354">
        <f>IF(OR($D1354="",$E1354=""),"",DATEDIF($D1354,$E1354,"m"))</f>
        <v/>
      </c>
      <c r="U1354">
        <f>IF(OR($D1354="",$E1354=""),"",$E1354-$D1354)</f>
        <v/>
      </c>
      <c r="V1354">
        <f>IF(OR($G1354="",$T1354=""),"",IF($T1354&lt;24,IF(LEFT(LOWER($H1354),4)="em p",$G1354+0.7,$G1354),IF(LEFT(LOWER($H1354),4)="deit",$G1354-0.7,$G1354)))</f>
        <v/>
      </c>
      <c r="W1354">
        <f>IF(OR($S1354="",$T1354=""),"",$S1354*1000000+IF($T1354&lt;=60,$U1354,$T1354))</f>
        <v/>
      </c>
      <c r="X1354">
        <f>IF(OR($S1354="",$V1354="",$T1354&gt;60,$T1354=""),"",$S1354*1000000+ROUND($V1354*10,0))</f>
        <v/>
      </c>
      <c r="Y1354">
        <f>IF($W1354="","",IFERROR(INDEX(IF($T1354&lt;=60,imc05_l,imc519_l),MATCH($W1354,IF($T1354&lt;=60,imc05_k,imc519_k),1)),""))</f>
        <v/>
      </c>
      <c r="Z1354">
        <f>IF($W1354="","",IFERROR(INDEX(IF($T1354&lt;=60,imc05_m,imc519_m),MATCH($W1354,IF($T1354&lt;=60,imc05_k,imc519_k),1)),""))</f>
        <v/>
      </c>
      <c r="AA1354">
        <f>IF($W1354="","",IFERROR(INDEX(IF($T1354&lt;=60,imc05_s,imc519_s),MATCH($W1354,IF($T1354&lt;=60,imc05_k,imc519_k),1)),""))</f>
        <v/>
      </c>
      <c r="AB1354">
        <f>IF($Y1354="","",IF($Y1354=0,LN($J1354/$Z1354)/$AA1354,((($J1354/$Z1354)^$Y1354)-1)/($Y1354*$AA1354)))</f>
        <v/>
      </c>
      <c r="AC1354">
        <f>IF($Y1354="","",IF($Y1354=0,$Z1354*EXP($AA1354*2),$Z1354*(1+$Y1354*$AA1354*2)^(1/$Y1354)))</f>
        <v/>
      </c>
      <c r="AD1354">
        <f>IF($Y1354="","",IF($Y1354=0,$Z1354*EXP($AA1354*3),$Z1354*(1+$Y1354*$AA1354*3)^(1/$Y1354)))</f>
        <v/>
      </c>
      <c r="AE1354">
        <f>IF($Y1354="","",IF($Y1354=0,$Z1354*EXP($AA1354*-2),$Z1354*(1+$Y1354*$AA1354*-2)^(1/$Y1354)))</f>
        <v/>
      </c>
      <c r="AF1354">
        <f>IF($Y1354="","",IF($Y1354=0,$Z1354*EXP($AA1354*-3),$Z1354*(1+$Y1354*$AA1354*-3)^(1/$Y1354)))</f>
        <v/>
      </c>
      <c r="AG1354">
        <f>IF($W1354="","",IFERROR(INDEX(IF($T1354&lt;=60,est05_l,est519_l),MATCH($W1354,IF($T1354&lt;=60,est05_k,est519_k),1)),""))</f>
        <v/>
      </c>
      <c r="AH1354">
        <f>IF($W1354="","",IFERROR(INDEX(IF($T1354&lt;=60,est05_m,est519_m),MATCH($W1354,IF($T1354&lt;=60,est05_k,est519_k),1)),""))</f>
        <v/>
      </c>
      <c r="AI1354">
        <f>IF($W1354="","",IFERROR(INDEX(IF($T1354&lt;=60,est05_s,est519_s),MATCH($W1354,IF($T1354&lt;=60,est05_k,est519_k),1)),""))</f>
        <v/>
      </c>
      <c r="AJ1354">
        <f>IF($W1354="","",IFERROR(INDEX(IF($T1354&lt;=60,peso05_l,peso510_l),MATCH($W1354,IF($T1354&lt;=60,peso05_k,peso510_k),1)),""))</f>
        <v/>
      </c>
      <c r="AK1354">
        <f>IF($W1354="","",IFERROR(INDEX(IF($T1354&lt;=60,peso05_m,peso510_m),MATCH($W1354,IF($T1354&lt;=60,peso05_k,peso510_k),1)),""))</f>
        <v/>
      </c>
      <c r="AL1354">
        <f>IF($W1354="","",IFERROR(INDEX(IF($T1354&lt;=60,peso05_s,peso510_s),MATCH($W1354,IF($T1354&lt;=60,peso05_k,peso510_k),1)),""))</f>
        <v/>
      </c>
      <c r="AM1354">
        <f>IF($AJ1354="","",IF($AJ1354=0,LN($F1354/$AK1354)/$AL1354,((($F1354/$AK1354)^$AJ1354)-1)/($AJ1354*$AL1354)))</f>
        <v/>
      </c>
      <c r="AN1354">
        <f>IF($AJ1354="","",IF($AJ1354=0,$AK1354*EXP($AL1354*2),$AK1354*(1+$AJ1354*$AL1354*2)^(1/$AJ1354)))</f>
        <v/>
      </c>
      <c r="AO1354">
        <f>IF($AJ1354="","",IF($AJ1354=0,$AK1354*EXP($AL1354*3),$AK1354*(1+$AJ1354*$AL1354*3)^(1/$AJ1354)))</f>
        <v/>
      </c>
      <c r="AP1354">
        <f>IF($AJ1354="","",IF($AJ1354=0,$AK1354*EXP($AL1354*-2),$AK1354*(1+$AJ1354*$AL1354*-2)^(1/$AJ1354)))</f>
        <v/>
      </c>
      <c r="AQ1354">
        <f>IF($AJ1354="","",IF($AJ1354=0,$AK1354*EXP($AL1354*-3),$AK1354*(1+$AJ1354*$AL1354*-3)^(1/$AJ1354)))</f>
        <v/>
      </c>
      <c r="AR1354">
        <f>IF(OR($X1354="",$T1354&gt;60),"",IFERROR(INDEX(IF($T1354&lt;24,pcomp_l,palt_l),MATCH($X1354,IF($T1354&lt;24,pcomp_k,palt_k),1)),""))</f>
        <v/>
      </c>
      <c r="AS1354">
        <f>IF(OR($X1354="",$T1354&gt;60),"",IFERROR(INDEX(IF($T1354&lt;24,pcomp_m,palt_m),MATCH($X1354,IF($T1354&lt;24,pcomp_k,palt_k),1)),""))</f>
        <v/>
      </c>
      <c r="AT1354">
        <f>IF(OR($X1354="",$T1354&gt;60),"",IFERROR(INDEX(IF($T1354&lt;24,pcomp_s,palt_s),MATCH($X1354,IF($T1354&lt;24,pcomp_k,palt_k),1)),""))</f>
        <v/>
      </c>
      <c r="AU1354">
        <f>IF($AR1354="","",IF($AR1354=0,LN($F1354/$AS1354)/$AT1354,((($F1354/$AS1354)^$AR1354)-1)/($AR1354*$AT1354)))</f>
        <v/>
      </c>
      <c r="AV1354">
        <f>IF($AR1354="","",IF($AR1354=0,$AS1354*EXP($AT1354*2),$AS1354*(1+$AR1354*$AT1354*2)^(1/$AR1354)))</f>
        <v/>
      </c>
      <c r="AW1354">
        <f>IF($AR1354="","",IF($AR1354=0,$AS1354*EXP($AT1354*3),$AS1354*(1+$AR1354*$AT1354*3)^(1/$AR1354)))</f>
        <v/>
      </c>
      <c r="AX1354">
        <f>IF($AR1354="","",IF($AR1354=0,$AS1354*EXP($AT1354*-2),$AS1354*(1+$AR1354*$AT1354*-2)^(1/$AR1354)))</f>
        <v/>
      </c>
      <c r="AY1354">
        <f>IF($AR1354="","",IF($AR1354=0,$AS1354*EXP($AT1354*-3),$AS1354*(1+$AR1354*$AT1354*-3)^(1/$AR1354)))</f>
        <v/>
      </c>
      <c r="AZ1354">
        <f>IF(OR($A1354="",$A1354&lt;&gt;Ficha!$C$4),"",COUNTIF($A$2:$A1354,Ficha!$C$4))</f>
        <v/>
      </c>
    </row>
    <row r="1355">
      <c r="A1355" s="8">
        <f>IF(INDEX(Banco!$A:$A,ROW())="","",INDEX(Banco!$A:$A,ROW()))</f>
        <v/>
      </c>
      <c r="B1355" s="8">
        <f>IF(INDEX(Banco!$B:$B,ROW())="","",INDEX(Banco!$B:$B,ROW()))</f>
        <v/>
      </c>
      <c r="C1355" s="8">
        <f>IF(INDEX(Banco!$C:$C,ROW())="","",INDEX(Banco!$C:$C,ROW()))</f>
        <v/>
      </c>
      <c r="D1355" s="9">
        <f>IF(INDEX(Banco!$D:$D,ROW())="","",INDEX(Banco!$D:$D,ROW()))</f>
        <v/>
      </c>
      <c r="E1355" s="9">
        <f>IF(INDEX(Banco!$E:$E,ROW())="","",INDEX(Banco!$E:$E,ROW()))</f>
        <v/>
      </c>
      <c r="F1355" s="10">
        <f>IF(INDEX(Banco!$F:$F,ROW())="","",INDEX(Banco!$F:$F,ROW()))</f>
        <v/>
      </c>
      <c r="G1355" s="10">
        <f>IF(INDEX(Banco!$G:$G,ROW())="","",INDEX(Banco!$G:$G,ROW()))</f>
        <v/>
      </c>
      <c r="H1355" s="8">
        <f>IF(INDEX(Banco!$H:$H,ROW())="","",INDEX(Banco!$H:$H,ROW()))</f>
        <v/>
      </c>
      <c r="I1355">
        <f>IF($T1355="","",INT($T1355/12)&amp;"a "&amp;MOD($T1355,12)&amp;"m")</f>
        <v/>
      </c>
      <c r="J1355" s="11">
        <f>IF(OR($F1355="",$G1355=""),"",ROUND($F1355/($G1355/100)^2,2))</f>
        <v/>
      </c>
      <c r="K1355" s="12">
        <f>IF(OR($S1355="",$J1355="",$T1355="",$T1355&lt;0,$T1355&gt;228,$Y1355=""),"—",ROUND(IF(ABS($AB1355)&lt;=3,$AB1355,IF($AB1355&gt;3,3+($J1355-$AD1355)/($AD1355-$AC1355),-3+($J1355-$AF1355)/($AE1355-$AF1355))),2))</f>
        <v/>
      </c>
      <c r="L1355">
        <f>IF(OR($K1355="",$K1355="—"),"",IF($T1355&lt;=60,IF($K1355&lt;-3,"Magreza acentuada",IF($K1355&lt;-2,"Magreza",IF($K1355&lt;=1,"Eutrofia",IF($K1355&lt;=2,"Risco de sobrepeso",IF($K1355&lt;=3,"Sobrepeso","Obesidade"))))),IF($K1355&lt;-3,"Magreza acentuada",IF($K1355&lt;-2,"Magreza",IF($K1355&lt;=1,"Eutrofia",IF($K1355&lt;=2,"Sobrepeso",IF($K1355&lt;=3,"Obesidade","Obesidade grave")))))))</f>
        <v/>
      </c>
      <c r="M1355" s="12">
        <f>IF(OR($S1355="",$V1355="",$T1355="",$T1355&lt;0,$T1355&gt;228,$AG1355=""),"—",ROUND(IF($AG1355=0,LN($V1355/$AH1355)/$AI1355,((($V1355/$AH1355)^$AG1355)-1)/($AG1355*$AI1355)),2))</f>
        <v/>
      </c>
      <c r="N1355">
        <f>IF(OR($M1355="",$M1355="—"),"",IF($M1355&lt;-3,"Muito baixa",IF($M1355&lt;-2,"Baixa","Adequada")))</f>
        <v/>
      </c>
      <c r="O1355" s="12">
        <f>IF(OR($S1355="",$F1355="",$T1355="",$T1355&lt;0,$T1355&gt;120,$AJ1355=""),"—",ROUND(IF(ABS($AM1355)&lt;=3,$AM1355,IF($AM1355&gt;3,3+($F1355-$AO1355)/($AO1355-$AN1355),-3+($F1355-$AQ1355)/($AP1355-$AQ1355))),2))</f>
        <v/>
      </c>
      <c r="P1355">
        <f>IF(OR($O1355="",$O1355="—"),"",IF($O1355&lt;-3,"Muito baixo",IF($O1355&lt;-2,"Baixo",IF($O1355&lt;=2,"Adequado","Elevado"))))</f>
        <v/>
      </c>
      <c r="Q1355" s="12">
        <f>IF(OR($S1355="",$F1355="",$T1355="",$T1355&lt;0,$T1355&gt;60,$AR1355=""),"—",ROUND(IF(ABS($AU1355)&lt;=3,$AU1355,IF($AU1355&gt;3,3+($F1355-$AW1355)/($AW1355-$AV1355),-3+($F1355-$AY1355)/($AX1355-$AY1355))),2))</f>
        <v/>
      </c>
      <c r="R1355">
        <f>IF(OR($Q1355="",$Q1355="—"),"",IF($Q1355&lt;-3,"Magreza acentuada",IF($Q1355&lt;-2,"Magreza",IF($Q1355&lt;=1,"Eutrofia",IF($Q1355&lt;=2,"Risco de sobrepeso",IF($Q1355&lt;=3,"Sobrepeso","Obesidade"))))))</f>
        <v/>
      </c>
      <c r="S1355">
        <f>IF($C1355="","",IF(UPPER(LEFT($C1355,1))="M",1,IF(UPPER(LEFT($C1355,1))="F",2,"")))</f>
        <v/>
      </c>
      <c r="T1355">
        <f>IF(OR($D1355="",$E1355=""),"",DATEDIF($D1355,$E1355,"m"))</f>
        <v/>
      </c>
      <c r="U1355">
        <f>IF(OR($D1355="",$E1355=""),"",$E1355-$D1355)</f>
        <v/>
      </c>
      <c r="V1355">
        <f>IF(OR($G1355="",$T1355=""),"",IF($T1355&lt;24,IF(LEFT(LOWER($H1355),4)="em p",$G1355+0.7,$G1355),IF(LEFT(LOWER($H1355),4)="deit",$G1355-0.7,$G1355)))</f>
        <v/>
      </c>
      <c r="W1355">
        <f>IF(OR($S1355="",$T1355=""),"",$S1355*1000000+IF($T1355&lt;=60,$U1355,$T1355))</f>
        <v/>
      </c>
      <c r="X1355">
        <f>IF(OR($S1355="",$V1355="",$T1355&gt;60,$T1355=""),"",$S1355*1000000+ROUND($V1355*10,0))</f>
        <v/>
      </c>
      <c r="Y1355">
        <f>IF($W1355="","",IFERROR(INDEX(IF($T1355&lt;=60,imc05_l,imc519_l),MATCH($W1355,IF($T1355&lt;=60,imc05_k,imc519_k),1)),""))</f>
        <v/>
      </c>
      <c r="Z1355">
        <f>IF($W1355="","",IFERROR(INDEX(IF($T1355&lt;=60,imc05_m,imc519_m),MATCH($W1355,IF($T1355&lt;=60,imc05_k,imc519_k),1)),""))</f>
        <v/>
      </c>
      <c r="AA1355">
        <f>IF($W1355="","",IFERROR(INDEX(IF($T1355&lt;=60,imc05_s,imc519_s),MATCH($W1355,IF($T1355&lt;=60,imc05_k,imc519_k),1)),""))</f>
        <v/>
      </c>
      <c r="AB1355">
        <f>IF($Y1355="","",IF($Y1355=0,LN($J1355/$Z1355)/$AA1355,((($J1355/$Z1355)^$Y1355)-1)/($Y1355*$AA1355)))</f>
        <v/>
      </c>
      <c r="AC1355">
        <f>IF($Y1355="","",IF($Y1355=0,$Z1355*EXP($AA1355*2),$Z1355*(1+$Y1355*$AA1355*2)^(1/$Y1355)))</f>
        <v/>
      </c>
      <c r="AD1355">
        <f>IF($Y1355="","",IF($Y1355=0,$Z1355*EXP($AA1355*3),$Z1355*(1+$Y1355*$AA1355*3)^(1/$Y1355)))</f>
        <v/>
      </c>
      <c r="AE1355">
        <f>IF($Y1355="","",IF($Y1355=0,$Z1355*EXP($AA1355*-2),$Z1355*(1+$Y1355*$AA1355*-2)^(1/$Y1355)))</f>
        <v/>
      </c>
      <c r="AF1355">
        <f>IF($Y1355="","",IF($Y1355=0,$Z1355*EXP($AA1355*-3),$Z1355*(1+$Y1355*$AA1355*-3)^(1/$Y1355)))</f>
        <v/>
      </c>
      <c r="AG1355">
        <f>IF($W1355="","",IFERROR(INDEX(IF($T1355&lt;=60,est05_l,est519_l),MATCH($W1355,IF($T1355&lt;=60,est05_k,est519_k),1)),""))</f>
        <v/>
      </c>
      <c r="AH1355">
        <f>IF($W1355="","",IFERROR(INDEX(IF($T1355&lt;=60,est05_m,est519_m),MATCH($W1355,IF($T1355&lt;=60,est05_k,est519_k),1)),""))</f>
        <v/>
      </c>
      <c r="AI1355">
        <f>IF($W1355="","",IFERROR(INDEX(IF($T1355&lt;=60,est05_s,est519_s),MATCH($W1355,IF($T1355&lt;=60,est05_k,est519_k),1)),""))</f>
        <v/>
      </c>
      <c r="AJ1355">
        <f>IF($W1355="","",IFERROR(INDEX(IF($T1355&lt;=60,peso05_l,peso510_l),MATCH($W1355,IF($T1355&lt;=60,peso05_k,peso510_k),1)),""))</f>
        <v/>
      </c>
      <c r="AK1355">
        <f>IF($W1355="","",IFERROR(INDEX(IF($T1355&lt;=60,peso05_m,peso510_m),MATCH($W1355,IF($T1355&lt;=60,peso05_k,peso510_k),1)),""))</f>
        <v/>
      </c>
      <c r="AL1355">
        <f>IF($W1355="","",IFERROR(INDEX(IF($T1355&lt;=60,peso05_s,peso510_s),MATCH($W1355,IF($T1355&lt;=60,peso05_k,peso510_k),1)),""))</f>
        <v/>
      </c>
      <c r="AM1355">
        <f>IF($AJ1355="","",IF($AJ1355=0,LN($F1355/$AK1355)/$AL1355,((($F1355/$AK1355)^$AJ1355)-1)/($AJ1355*$AL1355)))</f>
        <v/>
      </c>
      <c r="AN1355">
        <f>IF($AJ1355="","",IF($AJ1355=0,$AK1355*EXP($AL1355*2),$AK1355*(1+$AJ1355*$AL1355*2)^(1/$AJ1355)))</f>
        <v/>
      </c>
      <c r="AO1355">
        <f>IF($AJ1355="","",IF($AJ1355=0,$AK1355*EXP($AL1355*3),$AK1355*(1+$AJ1355*$AL1355*3)^(1/$AJ1355)))</f>
        <v/>
      </c>
      <c r="AP1355">
        <f>IF($AJ1355="","",IF($AJ1355=0,$AK1355*EXP($AL1355*-2),$AK1355*(1+$AJ1355*$AL1355*-2)^(1/$AJ1355)))</f>
        <v/>
      </c>
      <c r="AQ1355">
        <f>IF($AJ1355="","",IF($AJ1355=0,$AK1355*EXP($AL1355*-3),$AK1355*(1+$AJ1355*$AL1355*-3)^(1/$AJ1355)))</f>
        <v/>
      </c>
      <c r="AR1355">
        <f>IF(OR($X1355="",$T1355&gt;60),"",IFERROR(INDEX(IF($T1355&lt;24,pcomp_l,palt_l),MATCH($X1355,IF($T1355&lt;24,pcomp_k,palt_k),1)),""))</f>
        <v/>
      </c>
      <c r="AS1355">
        <f>IF(OR($X1355="",$T1355&gt;60),"",IFERROR(INDEX(IF($T1355&lt;24,pcomp_m,palt_m),MATCH($X1355,IF($T1355&lt;24,pcomp_k,palt_k),1)),""))</f>
        <v/>
      </c>
      <c r="AT1355">
        <f>IF(OR($X1355="",$T1355&gt;60),"",IFERROR(INDEX(IF($T1355&lt;24,pcomp_s,palt_s),MATCH($X1355,IF($T1355&lt;24,pcomp_k,palt_k),1)),""))</f>
        <v/>
      </c>
      <c r="AU1355">
        <f>IF($AR1355="","",IF($AR1355=0,LN($F1355/$AS1355)/$AT1355,((($F1355/$AS1355)^$AR1355)-1)/($AR1355*$AT1355)))</f>
        <v/>
      </c>
      <c r="AV1355">
        <f>IF($AR1355="","",IF($AR1355=0,$AS1355*EXP($AT1355*2),$AS1355*(1+$AR1355*$AT1355*2)^(1/$AR1355)))</f>
        <v/>
      </c>
      <c r="AW1355">
        <f>IF($AR1355="","",IF($AR1355=0,$AS1355*EXP($AT1355*3),$AS1355*(1+$AR1355*$AT1355*3)^(1/$AR1355)))</f>
        <v/>
      </c>
      <c r="AX1355">
        <f>IF($AR1355="","",IF($AR1355=0,$AS1355*EXP($AT1355*-2),$AS1355*(1+$AR1355*$AT1355*-2)^(1/$AR1355)))</f>
        <v/>
      </c>
      <c r="AY1355">
        <f>IF($AR1355="","",IF($AR1355=0,$AS1355*EXP($AT1355*-3),$AS1355*(1+$AR1355*$AT1355*-3)^(1/$AR1355)))</f>
        <v/>
      </c>
      <c r="AZ1355">
        <f>IF(OR($A1355="",$A1355&lt;&gt;Ficha!$C$4),"",COUNTIF($A$2:$A1355,Ficha!$C$4))</f>
        <v/>
      </c>
    </row>
    <row r="1356">
      <c r="A1356" s="8">
        <f>IF(INDEX(Banco!$A:$A,ROW())="","",INDEX(Banco!$A:$A,ROW()))</f>
        <v/>
      </c>
      <c r="B1356" s="8">
        <f>IF(INDEX(Banco!$B:$B,ROW())="","",INDEX(Banco!$B:$B,ROW()))</f>
        <v/>
      </c>
      <c r="C1356" s="8">
        <f>IF(INDEX(Banco!$C:$C,ROW())="","",INDEX(Banco!$C:$C,ROW()))</f>
        <v/>
      </c>
      <c r="D1356" s="9">
        <f>IF(INDEX(Banco!$D:$D,ROW())="","",INDEX(Banco!$D:$D,ROW()))</f>
        <v/>
      </c>
      <c r="E1356" s="9">
        <f>IF(INDEX(Banco!$E:$E,ROW())="","",INDEX(Banco!$E:$E,ROW()))</f>
        <v/>
      </c>
      <c r="F1356" s="10">
        <f>IF(INDEX(Banco!$F:$F,ROW())="","",INDEX(Banco!$F:$F,ROW()))</f>
        <v/>
      </c>
      <c r="G1356" s="10">
        <f>IF(INDEX(Banco!$G:$G,ROW())="","",INDEX(Banco!$G:$G,ROW()))</f>
        <v/>
      </c>
      <c r="H1356" s="8">
        <f>IF(INDEX(Banco!$H:$H,ROW())="","",INDEX(Banco!$H:$H,ROW()))</f>
        <v/>
      </c>
      <c r="I1356">
        <f>IF($T1356="","",INT($T1356/12)&amp;"a "&amp;MOD($T1356,12)&amp;"m")</f>
        <v/>
      </c>
      <c r="J1356" s="11">
        <f>IF(OR($F1356="",$G1356=""),"",ROUND($F1356/($G1356/100)^2,2))</f>
        <v/>
      </c>
      <c r="K1356" s="12">
        <f>IF(OR($S1356="",$J1356="",$T1356="",$T1356&lt;0,$T1356&gt;228,$Y1356=""),"—",ROUND(IF(ABS($AB1356)&lt;=3,$AB1356,IF($AB1356&gt;3,3+($J1356-$AD1356)/($AD1356-$AC1356),-3+($J1356-$AF1356)/($AE1356-$AF1356))),2))</f>
        <v/>
      </c>
      <c r="L1356">
        <f>IF(OR($K1356="",$K1356="—"),"",IF($T1356&lt;=60,IF($K1356&lt;-3,"Magreza acentuada",IF($K1356&lt;-2,"Magreza",IF($K1356&lt;=1,"Eutrofia",IF($K1356&lt;=2,"Risco de sobrepeso",IF($K1356&lt;=3,"Sobrepeso","Obesidade"))))),IF($K1356&lt;-3,"Magreza acentuada",IF($K1356&lt;-2,"Magreza",IF($K1356&lt;=1,"Eutrofia",IF($K1356&lt;=2,"Sobrepeso",IF($K1356&lt;=3,"Obesidade","Obesidade grave")))))))</f>
        <v/>
      </c>
      <c r="M1356" s="12">
        <f>IF(OR($S1356="",$V1356="",$T1356="",$T1356&lt;0,$T1356&gt;228,$AG1356=""),"—",ROUND(IF($AG1356=0,LN($V1356/$AH1356)/$AI1356,((($V1356/$AH1356)^$AG1356)-1)/($AG1356*$AI1356)),2))</f>
        <v/>
      </c>
      <c r="N1356">
        <f>IF(OR($M1356="",$M1356="—"),"",IF($M1356&lt;-3,"Muito baixa",IF($M1356&lt;-2,"Baixa","Adequada")))</f>
        <v/>
      </c>
      <c r="O1356" s="12">
        <f>IF(OR($S1356="",$F1356="",$T1356="",$T1356&lt;0,$T1356&gt;120,$AJ1356=""),"—",ROUND(IF(ABS($AM1356)&lt;=3,$AM1356,IF($AM1356&gt;3,3+($F1356-$AO1356)/($AO1356-$AN1356),-3+($F1356-$AQ1356)/($AP1356-$AQ1356))),2))</f>
        <v/>
      </c>
      <c r="P1356">
        <f>IF(OR($O1356="",$O1356="—"),"",IF($O1356&lt;-3,"Muito baixo",IF($O1356&lt;-2,"Baixo",IF($O1356&lt;=2,"Adequado","Elevado"))))</f>
        <v/>
      </c>
      <c r="Q1356" s="12">
        <f>IF(OR($S1356="",$F1356="",$T1356="",$T1356&lt;0,$T1356&gt;60,$AR1356=""),"—",ROUND(IF(ABS($AU1356)&lt;=3,$AU1356,IF($AU1356&gt;3,3+($F1356-$AW1356)/($AW1356-$AV1356),-3+($F1356-$AY1356)/($AX1356-$AY1356))),2))</f>
        <v/>
      </c>
      <c r="R1356">
        <f>IF(OR($Q1356="",$Q1356="—"),"",IF($Q1356&lt;-3,"Magreza acentuada",IF($Q1356&lt;-2,"Magreza",IF($Q1356&lt;=1,"Eutrofia",IF($Q1356&lt;=2,"Risco de sobrepeso",IF($Q1356&lt;=3,"Sobrepeso","Obesidade"))))))</f>
        <v/>
      </c>
      <c r="S1356">
        <f>IF($C1356="","",IF(UPPER(LEFT($C1356,1))="M",1,IF(UPPER(LEFT($C1356,1))="F",2,"")))</f>
        <v/>
      </c>
      <c r="T1356">
        <f>IF(OR($D1356="",$E1356=""),"",DATEDIF($D1356,$E1356,"m"))</f>
        <v/>
      </c>
      <c r="U1356">
        <f>IF(OR($D1356="",$E1356=""),"",$E1356-$D1356)</f>
        <v/>
      </c>
      <c r="V1356">
        <f>IF(OR($G1356="",$T1356=""),"",IF($T1356&lt;24,IF(LEFT(LOWER($H1356),4)="em p",$G1356+0.7,$G1356),IF(LEFT(LOWER($H1356),4)="deit",$G1356-0.7,$G1356)))</f>
        <v/>
      </c>
      <c r="W1356">
        <f>IF(OR($S1356="",$T1356=""),"",$S1356*1000000+IF($T1356&lt;=60,$U1356,$T1356))</f>
        <v/>
      </c>
      <c r="X1356">
        <f>IF(OR($S1356="",$V1356="",$T1356&gt;60,$T1356=""),"",$S1356*1000000+ROUND($V1356*10,0))</f>
        <v/>
      </c>
      <c r="Y1356">
        <f>IF($W1356="","",IFERROR(INDEX(IF($T1356&lt;=60,imc05_l,imc519_l),MATCH($W1356,IF($T1356&lt;=60,imc05_k,imc519_k),1)),""))</f>
        <v/>
      </c>
      <c r="Z1356">
        <f>IF($W1356="","",IFERROR(INDEX(IF($T1356&lt;=60,imc05_m,imc519_m),MATCH($W1356,IF($T1356&lt;=60,imc05_k,imc519_k),1)),""))</f>
        <v/>
      </c>
      <c r="AA1356">
        <f>IF($W1356="","",IFERROR(INDEX(IF($T1356&lt;=60,imc05_s,imc519_s),MATCH($W1356,IF($T1356&lt;=60,imc05_k,imc519_k),1)),""))</f>
        <v/>
      </c>
      <c r="AB1356">
        <f>IF($Y1356="","",IF($Y1356=0,LN($J1356/$Z1356)/$AA1356,((($J1356/$Z1356)^$Y1356)-1)/($Y1356*$AA1356)))</f>
        <v/>
      </c>
      <c r="AC1356">
        <f>IF($Y1356="","",IF($Y1356=0,$Z1356*EXP($AA1356*2),$Z1356*(1+$Y1356*$AA1356*2)^(1/$Y1356)))</f>
        <v/>
      </c>
      <c r="AD1356">
        <f>IF($Y1356="","",IF($Y1356=0,$Z1356*EXP($AA1356*3),$Z1356*(1+$Y1356*$AA1356*3)^(1/$Y1356)))</f>
        <v/>
      </c>
      <c r="AE1356">
        <f>IF($Y1356="","",IF($Y1356=0,$Z1356*EXP($AA1356*-2),$Z1356*(1+$Y1356*$AA1356*-2)^(1/$Y1356)))</f>
        <v/>
      </c>
      <c r="AF1356">
        <f>IF($Y1356="","",IF($Y1356=0,$Z1356*EXP($AA1356*-3),$Z1356*(1+$Y1356*$AA1356*-3)^(1/$Y1356)))</f>
        <v/>
      </c>
      <c r="AG1356">
        <f>IF($W1356="","",IFERROR(INDEX(IF($T1356&lt;=60,est05_l,est519_l),MATCH($W1356,IF($T1356&lt;=60,est05_k,est519_k),1)),""))</f>
        <v/>
      </c>
      <c r="AH1356">
        <f>IF($W1356="","",IFERROR(INDEX(IF($T1356&lt;=60,est05_m,est519_m),MATCH($W1356,IF($T1356&lt;=60,est05_k,est519_k),1)),""))</f>
        <v/>
      </c>
      <c r="AI1356">
        <f>IF($W1356="","",IFERROR(INDEX(IF($T1356&lt;=60,est05_s,est519_s),MATCH($W1356,IF($T1356&lt;=60,est05_k,est519_k),1)),""))</f>
        <v/>
      </c>
      <c r="AJ1356">
        <f>IF($W1356="","",IFERROR(INDEX(IF($T1356&lt;=60,peso05_l,peso510_l),MATCH($W1356,IF($T1356&lt;=60,peso05_k,peso510_k),1)),""))</f>
        <v/>
      </c>
      <c r="AK1356">
        <f>IF($W1356="","",IFERROR(INDEX(IF($T1356&lt;=60,peso05_m,peso510_m),MATCH($W1356,IF($T1356&lt;=60,peso05_k,peso510_k),1)),""))</f>
        <v/>
      </c>
      <c r="AL1356">
        <f>IF($W1356="","",IFERROR(INDEX(IF($T1356&lt;=60,peso05_s,peso510_s),MATCH($W1356,IF($T1356&lt;=60,peso05_k,peso510_k),1)),""))</f>
        <v/>
      </c>
      <c r="AM1356">
        <f>IF($AJ1356="","",IF($AJ1356=0,LN($F1356/$AK1356)/$AL1356,((($F1356/$AK1356)^$AJ1356)-1)/($AJ1356*$AL1356)))</f>
        <v/>
      </c>
      <c r="AN1356">
        <f>IF($AJ1356="","",IF($AJ1356=0,$AK1356*EXP($AL1356*2),$AK1356*(1+$AJ1356*$AL1356*2)^(1/$AJ1356)))</f>
        <v/>
      </c>
      <c r="AO1356">
        <f>IF($AJ1356="","",IF($AJ1356=0,$AK1356*EXP($AL1356*3),$AK1356*(1+$AJ1356*$AL1356*3)^(1/$AJ1356)))</f>
        <v/>
      </c>
      <c r="AP1356">
        <f>IF($AJ1356="","",IF($AJ1356=0,$AK1356*EXP($AL1356*-2),$AK1356*(1+$AJ1356*$AL1356*-2)^(1/$AJ1356)))</f>
        <v/>
      </c>
      <c r="AQ1356">
        <f>IF($AJ1356="","",IF($AJ1356=0,$AK1356*EXP($AL1356*-3),$AK1356*(1+$AJ1356*$AL1356*-3)^(1/$AJ1356)))</f>
        <v/>
      </c>
      <c r="AR1356">
        <f>IF(OR($X1356="",$T1356&gt;60),"",IFERROR(INDEX(IF($T1356&lt;24,pcomp_l,palt_l),MATCH($X1356,IF($T1356&lt;24,pcomp_k,palt_k),1)),""))</f>
        <v/>
      </c>
      <c r="AS1356">
        <f>IF(OR($X1356="",$T1356&gt;60),"",IFERROR(INDEX(IF($T1356&lt;24,pcomp_m,palt_m),MATCH($X1356,IF($T1356&lt;24,pcomp_k,palt_k),1)),""))</f>
        <v/>
      </c>
      <c r="AT1356">
        <f>IF(OR($X1356="",$T1356&gt;60),"",IFERROR(INDEX(IF($T1356&lt;24,pcomp_s,palt_s),MATCH($X1356,IF($T1356&lt;24,pcomp_k,palt_k),1)),""))</f>
        <v/>
      </c>
      <c r="AU1356">
        <f>IF($AR1356="","",IF($AR1356=0,LN($F1356/$AS1356)/$AT1356,((($F1356/$AS1356)^$AR1356)-1)/($AR1356*$AT1356)))</f>
        <v/>
      </c>
      <c r="AV1356">
        <f>IF($AR1356="","",IF($AR1356=0,$AS1356*EXP($AT1356*2),$AS1356*(1+$AR1356*$AT1356*2)^(1/$AR1356)))</f>
        <v/>
      </c>
      <c r="AW1356">
        <f>IF($AR1356="","",IF($AR1356=0,$AS1356*EXP($AT1356*3),$AS1356*(1+$AR1356*$AT1356*3)^(1/$AR1356)))</f>
        <v/>
      </c>
      <c r="AX1356">
        <f>IF($AR1356="","",IF($AR1356=0,$AS1356*EXP($AT1356*-2),$AS1356*(1+$AR1356*$AT1356*-2)^(1/$AR1356)))</f>
        <v/>
      </c>
      <c r="AY1356">
        <f>IF($AR1356="","",IF($AR1356=0,$AS1356*EXP($AT1356*-3),$AS1356*(1+$AR1356*$AT1356*-3)^(1/$AR1356)))</f>
        <v/>
      </c>
      <c r="AZ1356">
        <f>IF(OR($A1356="",$A1356&lt;&gt;Ficha!$C$4),"",COUNTIF($A$2:$A1356,Ficha!$C$4))</f>
        <v/>
      </c>
    </row>
    <row r="1357">
      <c r="A1357" s="8">
        <f>IF(INDEX(Banco!$A:$A,ROW())="","",INDEX(Banco!$A:$A,ROW()))</f>
        <v/>
      </c>
      <c r="B1357" s="8">
        <f>IF(INDEX(Banco!$B:$B,ROW())="","",INDEX(Banco!$B:$B,ROW()))</f>
        <v/>
      </c>
      <c r="C1357" s="8">
        <f>IF(INDEX(Banco!$C:$C,ROW())="","",INDEX(Banco!$C:$C,ROW()))</f>
        <v/>
      </c>
      <c r="D1357" s="9">
        <f>IF(INDEX(Banco!$D:$D,ROW())="","",INDEX(Banco!$D:$D,ROW()))</f>
        <v/>
      </c>
      <c r="E1357" s="9">
        <f>IF(INDEX(Banco!$E:$E,ROW())="","",INDEX(Banco!$E:$E,ROW()))</f>
        <v/>
      </c>
      <c r="F1357" s="10">
        <f>IF(INDEX(Banco!$F:$F,ROW())="","",INDEX(Banco!$F:$F,ROW()))</f>
        <v/>
      </c>
      <c r="G1357" s="10">
        <f>IF(INDEX(Banco!$G:$G,ROW())="","",INDEX(Banco!$G:$G,ROW()))</f>
        <v/>
      </c>
      <c r="H1357" s="8">
        <f>IF(INDEX(Banco!$H:$H,ROW())="","",INDEX(Banco!$H:$H,ROW()))</f>
        <v/>
      </c>
      <c r="I1357">
        <f>IF($T1357="","",INT($T1357/12)&amp;"a "&amp;MOD($T1357,12)&amp;"m")</f>
        <v/>
      </c>
      <c r="J1357" s="11">
        <f>IF(OR($F1357="",$G1357=""),"",ROUND($F1357/($G1357/100)^2,2))</f>
        <v/>
      </c>
      <c r="K1357" s="12">
        <f>IF(OR($S1357="",$J1357="",$T1357="",$T1357&lt;0,$T1357&gt;228,$Y1357=""),"—",ROUND(IF(ABS($AB1357)&lt;=3,$AB1357,IF($AB1357&gt;3,3+($J1357-$AD1357)/($AD1357-$AC1357),-3+($J1357-$AF1357)/($AE1357-$AF1357))),2))</f>
        <v/>
      </c>
      <c r="L1357">
        <f>IF(OR($K1357="",$K1357="—"),"",IF($T1357&lt;=60,IF($K1357&lt;-3,"Magreza acentuada",IF($K1357&lt;-2,"Magreza",IF($K1357&lt;=1,"Eutrofia",IF($K1357&lt;=2,"Risco de sobrepeso",IF($K1357&lt;=3,"Sobrepeso","Obesidade"))))),IF($K1357&lt;-3,"Magreza acentuada",IF($K1357&lt;-2,"Magreza",IF($K1357&lt;=1,"Eutrofia",IF($K1357&lt;=2,"Sobrepeso",IF($K1357&lt;=3,"Obesidade","Obesidade grave")))))))</f>
        <v/>
      </c>
      <c r="M1357" s="12">
        <f>IF(OR($S1357="",$V1357="",$T1357="",$T1357&lt;0,$T1357&gt;228,$AG1357=""),"—",ROUND(IF($AG1357=0,LN($V1357/$AH1357)/$AI1357,((($V1357/$AH1357)^$AG1357)-1)/($AG1357*$AI1357)),2))</f>
        <v/>
      </c>
      <c r="N1357">
        <f>IF(OR($M1357="",$M1357="—"),"",IF($M1357&lt;-3,"Muito baixa",IF($M1357&lt;-2,"Baixa","Adequada")))</f>
        <v/>
      </c>
      <c r="O1357" s="12">
        <f>IF(OR($S1357="",$F1357="",$T1357="",$T1357&lt;0,$T1357&gt;120,$AJ1357=""),"—",ROUND(IF(ABS($AM1357)&lt;=3,$AM1357,IF($AM1357&gt;3,3+($F1357-$AO1357)/($AO1357-$AN1357),-3+($F1357-$AQ1357)/($AP1357-$AQ1357))),2))</f>
        <v/>
      </c>
      <c r="P1357">
        <f>IF(OR($O1357="",$O1357="—"),"",IF($O1357&lt;-3,"Muito baixo",IF($O1357&lt;-2,"Baixo",IF($O1357&lt;=2,"Adequado","Elevado"))))</f>
        <v/>
      </c>
      <c r="Q1357" s="12">
        <f>IF(OR($S1357="",$F1357="",$T1357="",$T1357&lt;0,$T1357&gt;60,$AR1357=""),"—",ROUND(IF(ABS($AU1357)&lt;=3,$AU1357,IF($AU1357&gt;3,3+($F1357-$AW1357)/($AW1357-$AV1357),-3+($F1357-$AY1357)/($AX1357-$AY1357))),2))</f>
        <v/>
      </c>
      <c r="R1357">
        <f>IF(OR($Q1357="",$Q1357="—"),"",IF($Q1357&lt;-3,"Magreza acentuada",IF($Q1357&lt;-2,"Magreza",IF($Q1357&lt;=1,"Eutrofia",IF($Q1357&lt;=2,"Risco de sobrepeso",IF($Q1357&lt;=3,"Sobrepeso","Obesidade"))))))</f>
        <v/>
      </c>
      <c r="S1357">
        <f>IF($C1357="","",IF(UPPER(LEFT($C1357,1))="M",1,IF(UPPER(LEFT($C1357,1))="F",2,"")))</f>
        <v/>
      </c>
      <c r="T1357">
        <f>IF(OR($D1357="",$E1357=""),"",DATEDIF($D1357,$E1357,"m"))</f>
        <v/>
      </c>
      <c r="U1357">
        <f>IF(OR($D1357="",$E1357=""),"",$E1357-$D1357)</f>
        <v/>
      </c>
      <c r="V1357">
        <f>IF(OR($G1357="",$T1357=""),"",IF($T1357&lt;24,IF(LEFT(LOWER($H1357),4)="em p",$G1357+0.7,$G1357),IF(LEFT(LOWER($H1357),4)="deit",$G1357-0.7,$G1357)))</f>
        <v/>
      </c>
      <c r="W1357">
        <f>IF(OR($S1357="",$T1357=""),"",$S1357*1000000+IF($T1357&lt;=60,$U1357,$T1357))</f>
        <v/>
      </c>
      <c r="X1357">
        <f>IF(OR($S1357="",$V1357="",$T1357&gt;60,$T1357=""),"",$S1357*1000000+ROUND($V1357*10,0))</f>
        <v/>
      </c>
      <c r="Y1357">
        <f>IF($W1357="","",IFERROR(INDEX(IF($T1357&lt;=60,imc05_l,imc519_l),MATCH($W1357,IF($T1357&lt;=60,imc05_k,imc519_k),1)),""))</f>
        <v/>
      </c>
      <c r="Z1357">
        <f>IF($W1357="","",IFERROR(INDEX(IF($T1357&lt;=60,imc05_m,imc519_m),MATCH($W1357,IF($T1357&lt;=60,imc05_k,imc519_k),1)),""))</f>
        <v/>
      </c>
      <c r="AA1357">
        <f>IF($W1357="","",IFERROR(INDEX(IF($T1357&lt;=60,imc05_s,imc519_s),MATCH($W1357,IF($T1357&lt;=60,imc05_k,imc519_k),1)),""))</f>
        <v/>
      </c>
      <c r="AB1357">
        <f>IF($Y1357="","",IF($Y1357=0,LN($J1357/$Z1357)/$AA1357,((($J1357/$Z1357)^$Y1357)-1)/($Y1357*$AA1357)))</f>
        <v/>
      </c>
      <c r="AC1357">
        <f>IF($Y1357="","",IF($Y1357=0,$Z1357*EXP($AA1357*2),$Z1357*(1+$Y1357*$AA1357*2)^(1/$Y1357)))</f>
        <v/>
      </c>
      <c r="AD1357">
        <f>IF($Y1357="","",IF($Y1357=0,$Z1357*EXP($AA1357*3),$Z1357*(1+$Y1357*$AA1357*3)^(1/$Y1357)))</f>
        <v/>
      </c>
      <c r="AE1357">
        <f>IF($Y1357="","",IF($Y1357=0,$Z1357*EXP($AA1357*-2),$Z1357*(1+$Y1357*$AA1357*-2)^(1/$Y1357)))</f>
        <v/>
      </c>
      <c r="AF1357">
        <f>IF($Y1357="","",IF($Y1357=0,$Z1357*EXP($AA1357*-3),$Z1357*(1+$Y1357*$AA1357*-3)^(1/$Y1357)))</f>
        <v/>
      </c>
      <c r="AG1357">
        <f>IF($W1357="","",IFERROR(INDEX(IF($T1357&lt;=60,est05_l,est519_l),MATCH($W1357,IF($T1357&lt;=60,est05_k,est519_k),1)),""))</f>
        <v/>
      </c>
      <c r="AH1357">
        <f>IF($W1357="","",IFERROR(INDEX(IF($T1357&lt;=60,est05_m,est519_m),MATCH($W1357,IF($T1357&lt;=60,est05_k,est519_k),1)),""))</f>
        <v/>
      </c>
      <c r="AI1357">
        <f>IF($W1357="","",IFERROR(INDEX(IF($T1357&lt;=60,est05_s,est519_s),MATCH($W1357,IF($T1357&lt;=60,est05_k,est519_k),1)),""))</f>
        <v/>
      </c>
      <c r="AJ1357">
        <f>IF($W1357="","",IFERROR(INDEX(IF($T1357&lt;=60,peso05_l,peso510_l),MATCH($W1357,IF($T1357&lt;=60,peso05_k,peso510_k),1)),""))</f>
        <v/>
      </c>
      <c r="AK1357">
        <f>IF($W1357="","",IFERROR(INDEX(IF($T1357&lt;=60,peso05_m,peso510_m),MATCH($W1357,IF($T1357&lt;=60,peso05_k,peso510_k),1)),""))</f>
        <v/>
      </c>
      <c r="AL1357">
        <f>IF($W1357="","",IFERROR(INDEX(IF($T1357&lt;=60,peso05_s,peso510_s),MATCH($W1357,IF($T1357&lt;=60,peso05_k,peso510_k),1)),""))</f>
        <v/>
      </c>
      <c r="AM1357">
        <f>IF($AJ1357="","",IF($AJ1357=0,LN($F1357/$AK1357)/$AL1357,((($F1357/$AK1357)^$AJ1357)-1)/($AJ1357*$AL1357)))</f>
        <v/>
      </c>
      <c r="AN1357">
        <f>IF($AJ1357="","",IF($AJ1357=0,$AK1357*EXP($AL1357*2),$AK1357*(1+$AJ1357*$AL1357*2)^(1/$AJ1357)))</f>
        <v/>
      </c>
      <c r="AO1357">
        <f>IF($AJ1357="","",IF($AJ1357=0,$AK1357*EXP($AL1357*3),$AK1357*(1+$AJ1357*$AL1357*3)^(1/$AJ1357)))</f>
        <v/>
      </c>
      <c r="AP1357">
        <f>IF($AJ1357="","",IF($AJ1357=0,$AK1357*EXP($AL1357*-2),$AK1357*(1+$AJ1357*$AL1357*-2)^(1/$AJ1357)))</f>
        <v/>
      </c>
      <c r="AQ1357">
        <f>IF($AJ1357="","",IF($AJ1357=0,$AK1357*EXP($AL1357*-3),$AK1357*(1+$AJ1357*$AL1357*-3)^(1/$AJ1357)))</f>
        <v/>
      </c>
      <c r="AR1357">
        <f>IF(OR($X1357="",$T1357&gt;60),"",IFERROR(INDEX(IF($T1357&lt;24,pcomp_l,palt_l),MATCH($X1357,IF($T1357&lt;24,pcomp_k,palt_k),1)),""))</f>
        <v/>
      </c>
      <c r="AS1357">
        <f>IF(OR($X1357="",$T1357&gt;60),"",IFERROR(INDEX(IF($T1357&lt;24,pcomp_m,palt_m),MATCH($X1357,IF($T1357&lt;24,pcomp_k,palt_k),1)),""))</f>
        <v/>
      </c>
      <c r="AT1357">
        <f>IF(OR($X1357="",$T1357&gt;60),"",IFERROR(INDEX(IF($T1357&lt;24,pcomp_s,palt_s),MATCH($X1357,IF($T1357&lt;24,pcomp_k,palt_k),1)),""))</f>
        <v/>
      </c>
      <c r="AU1357">
        <f>IF($AR1357="","",IF($AR1357=0,LN($F1357/$AS1357)/$AT1357,((($F1357/$AS1357)^$AR1357)-1)/($AR1357*$AT1357)))</f>
        <v/>
      </c>
      <c r="AV1357">
        <f>IF($AR1357="","",IF($AR1357=0,$AS1357*EXP($AT1357*2),$AS1357*(1+$AR1357*$AT1357*2)^(1/$AR1357)))</f>
        <v/>
      </c>
      <c r="AW1357">
        <f>IF($AR1357="","",IF($AR1357=0,$AS1357*EXP($AT1357*3),$AS1357*(1+$AR1357*$AT1357*3)^(1/$AR1357)))</f>
        <v/>
      </c>
      <c r="AX1357">
        <f>IF($AR1357="","",IF($AR1357=0,$AS1357*EXP($AT1357*-2),$AS1357*(1+$AR1357*$AT1357*-2)^(1/$AR1357)))</f>
        <v/>
      </c>
      <c r="AY1357">
        <f>IF($AR1357="","",IF($AR1357=0,$AS1357*EXP($AT1357*-3),$AS1357*(1+$AR1357*$AT1357*-3)^(1/$AR1357)))</f>
        <v/>
      </c>
      <c r="AZ1357">
        <f>IF(OR($A1357="",$A1357&lt;&gt;Ficha!$C$4),"",COUNTIF($A$2:$A1357,Ficha!$C$4))</f>
        <v/>
      </c>
    </row>
    <row r="1358">
      <c r="A1358" s="8">
        <f>IF(INDEX(Banco!$A:$A,ROW())="","",INDEX(Banco!$A:$A,ROW()))</f>
        <v/>
      </c>
      <c r="B1358" s="8">
        <f>IF(INDEX(Banco!$B:$B,ROW())="","",INDEX(Banco!$B:$B,ROW()))</f>
        <v/>
      </c>
      <c r="C1358" s="8">
        <f>IF(INDEX(Banco!$C:$C,ROW())="","",INDEX(Banco!$C:$C,ROW()))</f>
        <v/>
      </c>
      <c r="D1358" s="9">
        <f>IF(INDEX(Banco!$D:$D,ROW())="","",INDEX(Banco!$D:$D,ROW()))</f>
        <v/>
      </c>
      <c r="E1358" s="9">
        <f>IF(INDEX(Banco!$E:$E,ROW())="","",INDEX(Banco!$E:$E,ROW()))</f>
        <v/>
      </c>
      <c r="F1358" s="10">
        <f>IF(INDEX(Banco!$F:$F,ROW())="","",INDEX(Banco!$F:$F,ROW()))</f>
        <v/>
      </c>
      <c r="G1358" s="10">
        <f>IF(INDEX(Banco!$G:$G,ROW())="","",INDEX(Banco!$G:$G,ROW()))</f>
        <v/>
      </c>
      <c r="H1358" s="8">
        <f>IF(INDEX(Banco!$H:$H,ROW())="","",INDEX(Banco!$H:$H,ROW()))</f>
        <v/>
      </c>
      <c r="I1358">
        <f>IF($T1358="","",INT($T1358/12)&amp;"a "&amp;MOD($T1358,12)&amp;"m")</f>
        <v/>
      </c>
      <c r="J1358" s="11">
        <f>IF(OR($F1358="",$G1358=""),"",ROUND($F1358/($G1358/100)^2,2))</f>
        <v/>
      </c>
      <c r="K1358" s="12">
        <f>IF(OR($S1358="",$J1358="",$T1358="",$T1358&lt;0,$T1358&gt;228,$Y1358=""),"—",ROUND(IF(ABS($AB1358)&lt;=3,$AB1358,IF($AB1358&gt;3,3+($J1358-$AD1358)/($AD1358-$AC1358),-3+($J1358-$AF1358)/($AE1358-$AF1358))),2))</f>
        <v/>
      </c>
      <c r="L1358">
        <f>IF(OR($K1358="",$K1358="—"),"",IF($T1358&lt;=60,IF($K1358&lt;-3,"Magreza acentuada",IF($K1358&lt;-2,"Magreza",IF($K1358&lt;=1,"Eutrofia",IF($K1358&lt;=2,"Risco de sobrepeso",IF($K1358&lt;=3,"Sobrepeso","Obesidade"))))),IF($K1358&lt;-3,"Magreza acentuada",IF($K1358&lt;-2,"Magreza",IF($K1358&lt;=1,"Eutrofia",IF($K1358&lt;=2,"Sobrepeso",IF($K1358&lt;=3,"Obesidade","Obesidade grave")))))))</f>
        <v/>
      </c>
      <c r="M1358" s="12">
        <f>IF(OR($S1358="",$V1358="",$T1358="",$T1358&lt;0,$T1358&gt;228,$AG1358=""),"—",ROUND(IF($AG1358=0,LN($V1358/$AH1358)/$AI1358,((($V1358/$AH1358)^$AG1358)-1)/($AG1358*$AI1358)),2))</f>
        <v/>
      </c>
      <c r="N1358">
        <f>IF(OR($M1358="",$M1358="—"),"",IF($M1358&lt;-3,"Muito baixa",IF($M1358&lt;-2,"Baixa","Adequada")))</f>
        <v/>
      </c>
      <c r="O1358" s="12">
        <f>IF(OR($S1358="",$F1358="",$T1358="",$T1358&lt;0,$T1358&gt;120,$AJ1358=""),"—",ROUND(IF(ABS($AM1358)&lt;=3,$AM1358,IF($AM1358&gt;3,3+($F1358-$AO1358)/($AO1358-$AN1358),-3+($F1358-$AQ1358)/($AP1358-$AQ1358))),2))</f>
        <v/>
      </c>
      <c r="P1358">
        <f>IF(OR($O1358="",$O1358="—"),"",IF($O1358&lt;-3,"Muito baixo",IF($O1358&lt;-2,"Baixo",IF($O1358&lt;=2,"Adequado","Elevado"))))</f>
        <v/>
      </c>
      <c r="Q1358" s="12">
        <f>IF(OR($S1358="",$F1358="",$T1358="",$T1358&lt;0,$T1358&gt;60,$AR1358=""),"—",ROUND(IF(ABS($AU1358)&lt;=3,$AU1358,IF($AU1358&gt;3,3+($F1358-$AW1358)/($AW1358-$AV1358),-3+($F1358-$AY1358)/($AX1358-$AY1358))),2))</f>
        <v/>
      </c>
      <c r="R1358">
        <f>IF(OR($Q1358="",$Q1358="—"),"",IF($Q1358&lt;-3,"Magreza acentuada",IF($Q1358&lt;-2,"Magreza",IF($Q1358&lt;=1,"Eutrofia",IF($Q1358&lt;=2,"Risco de sobrepeso",IF($Q1358&lt;=3,"Sobrepeso","Obesidade"))))))</f>
        <v/>
      </c>
      <c r="S1358">
        <f>IF($C1358="","",IF(UPPER(LEFT($C1358,1))="M",1,IF(UPPER(LEFT($C1358,1))="F",2,"")))</f>
        <v/>
      </c>
      <c r="T1358">
        <f>IF(OR($D1358="",$E1358=""),"",DATEDIF($D1358,$E1358,"m"))</f>
        <v/>
      </c>
      <c r="U1358">
        <f>IF(OR($D1358="",$E1358=""),"",$E1358-$D1358)</f>
        <v/>
      </c>
      <c r="V1358">
        <f>IF(OR($G1358="",$T1358=""),"",IF($T1358&lt;24,IF(LEFT(LOWER($H1358),4)="em p",$G1358+0.7,$G1358),IF(LEFT(LOWER($H1358),4)="deit",$G1358-0.7,$G1358)))</f>
        <v/>
      </c>
      <c r="W1358">
        <f>IF(OR($S1358="",$T1358=""),"",$S1358*1000000+IF($T1358&lt;=60,$U1358,$T1358))</f>
        <v/>
      </c>
      <c r="X1358">
        <f>IF(OR($S1358="",$V1358="",$T1358&gt;60,$T1358=""),"",$S1358*1000000+ROUND($V1358*10,0))</f>
        <v/>
      </c>
      <c r="Y1358">
        <f>IF($W1358="","",IFERROR(INDEX(IF($T1358&lt;=60,imc05_l,imc519_l),MATCH($W1358,IF($T1358&lt;=60,imc05_k,imc519_k),1)),""))</f>
        <v/>
      </c>
      <c r="Z1358">
        <f>IF($W1358="","",IFERROR(INDEX(IF($T1358&lt;=60,imc05_m,imc519_m),MATCH($W1358,IF($T1358&lt;=60,imc05_k,imc519_k),1)),""))</f>
        <v/>
      </c>
      <c r="AA1358">
        <f>IF($W1358="","",IFERROR(INDEX(IF($T1358&lt;=60,imc05_s,imc519_s),MATCH($W1358,IF($T1358&lt;=60,imc05_k,imc519_k),1)),""))</f>
        <v/>
      </c>
      <c r="AB1358">
        <f>IF($Y1358="","",IF($Y1358=0,LN($J1358/$Z1358)/$AA1358,((($J1358/$Z1358)^$Y1358)-1)/($Y1358*$AA1358)))</f>
        <v/>
      </c>
      <c r="AC1358">
        <f>IF($Y1358="","",IF($Y1358=0,$Z1358*EXP($AA1358*2),$Z1358*(1+$Y1358*$AA1358*2)^(1/$Y1358)))</f>
        <v/>
      </c>
      <c r="AD1358">
        <f>IF($Y1358="","",IF($Y1358=0,$Z1358*EXP($AA1358*3),$Z1358*(1+$Y1358*$AA1358*3)^(1/$Y1358)))</f>
        <v/>
      </c>
      <c r="AE1358">
        <f>IF($Y1358="","",IF($Y1358=0,$Z1358*EXP($AA1358*-2),$Z1358*(1+$Y1358*$AA1358*-2)^(1/$Y1358)))</f>
        <v/>
      </c>
      <c r="AF1358">
        <f>IF($Y1358="","",IF($Y1358=0,$Z1358*EXP($AA1358*-3),$Z1358*(1+$Y1358*$AA1358*-3)^(1/$Y1358)))</f>
        <v/>
      </c>
      <c r="AG1358">
        <f>IF($W1358="","",IFERROR(INDEX(IF($T1358&lt;=60,est05_l,est519_l),MATCH($W1358,IF($T1358&lt;=60,est05_k,est519_k),1)),""))</f>
        <v/>
      </c>
      <c r="AH1358">
        <f>IF($W1358="","",IFERROR(INDEX(IF($T1358&lt;=60,est05_m,est519_m),MATCH($W1358,IF($T1358&lt;=60,est05_k,est519_k),1)),""))</f>
        <v/>
      </c>
      <c r="AI1358">
        <f>IF($W1358="","",IFERROR(INDEX(IF($T1358&lt;=60,est05_s,est519_s),MATCH($W1358,IF($T1358&lt;=60,est05_k,est519_k),1)),""))</f>
        <v/>
      </c>
      <c r="AJ1358">
        <f>IF($W1358="","",IFERROR(INDEX(IF($T1358&lt;=60,peso05_l,peso510_l),MATCH($W1358,IF($T1358&lt;=60,peso05_k,peso510_k),1)),""))</f>
        <v/>
      </c>
      <c r="AK1358">
        <f>IF($W1358="","",IFERROR(INDEX(IF($T1358&lt;=60,peso05_m,peso510_m),MATCH($W1358,IF($T1358&lt;=60,peso05_k,peso510_k),1)),""))</f>
        <v/>
      </c>
      <c r="AL1358">
        <f>IF($W1358="","",IFERROR(INDEX(IF($T1358&lt;=60,peso05_s,peso510_s),MATCH($W1358,IF($T1358&lt;=60,peso05_k,peso510_k),1)),""))</f>
        <v/>
      </c>
      <c r="AM1358">
        <f>IF($AJ1358="","",IF($AJ1358=0,LN($F1358/$AK1358)/$AL1358,((($F1358/$AK1358)^$AJ1358)-1)/($AJ1358*$AL1358)))</f>
        <v/>
      </c>
      <c r="AN1358">
        <f>IF($AJ1358="","",IF($AJ1358=0,$AK1358*EXP($AL1358*2),$AK1358*(1+$AJ1358*$AL1358*2)^(1/$AJ1358)))</f>
        <v/>
      </c>
      <c r="AO1358">
        <f>IF($AJ1358="","",IF($AJ1358=0,$AK1358*EXP($AL1358*3),$AK1358*(1+$AJ1358*$AL1358*3)^(1/$AJ1358)))</f>
        <v/>
      </c>
      <c r="AP1358">
        <f>IF($AJ1358="","",IF($AJ1358=0,$AK1358*EXP($AL1358*-2),$AK1358*(1+$AJ1358*$AL1358*-2)^(1/$AJ1358)))</f>
        <v/>
      </c>
      <c r="AQ1358">
        <f>IF($AJ1358="","",IF($AJ1358=0,$AK1358*EXP($AL1358*-3),$AK1358*(1+$AJ1358*$AL1358*-3)^(1/$AJ1358)))</f>
        <v/>
      </c>
      <c r="AR1358">
        <f>IF(OR($X1358="",$T1358&gt;60),"",IFERROR(INDEX(IF($T1358&lt;24,pcomp_l,palt_l),MATCH($X1358,IF($T1358&lt;24,pcomp_k,palt_k),1)),""))</f>
        <v/>
      </c>
      <c r="AS1358">
        <f>IF(OR($X1358="",$T1358&gt;60),"",IFERROR(INDEX(IF($T1358&lt;24,pcomp_m,palt_m),MATCH($X1358,IF($T1358&lt;24,pcomp_k,palt_k),1)),""))</f>
        <v/>
      </c>
      <c r="AT1358">
        <f>IF(OR($X1358="",$T1358&gt;60),"",IFERROR(INDEX(IF($T1358&lt;24,pcomp_s,palt_s),MATCH($X1358,IF($T1358&lt;24,pcomp_k,palt_k),1)),""))</f>
        <v/>
      </c>
      <c r="AU1358">
        <f>IF($AR1358="","",IF($AR1358=0,LN($F1358/$AS1358)/$AT1358,((($F1358/$AS1358)^$AR1358)-1)/($AR1358*$AT1358)))</f>
        <v/>
      </c>
      <c r="AV1358">
        <f>IF($AR1358="","",IF($AR1358=0,$AS1358*EXP($AT1358*2),$AS1358*(1+$AR1358*$AT1358*2)^(1/$AR1358)))</f>
        <v/>
      </c>
      <c r="AW1358">
        <f>IF($AR1358="","",IF($AR1358=0,$AS1358*EXP($AT1358*3),$AS1358*(1+$AR1358*$AT1358*3)^(1/$AR1358)))</f>
        <v/>
      </c>
      <c r="AX1358">
        <f>IF($AR1358="","",IF($AR1358=0,$AS1358*EXP($AT1358*-2),$AS1358*(1+$AR1358*$AT1358*-2)^(1/$AR1358)))</f>
        <v/>
      </c>
      <c r="AY1358">
        <f>IF($AR1358="","",IF($AR1358=0,$AS1358*EXP($AT1358*-3),$AS1358*(1+$AR1358*$AT1358*-3)^(1/$AR1358)))</f>
        <v/>
      </c>
      <c r="AZ1358">
        <f>IF(OR($A1358="",$A1358&lt;&gt;Ficha!$C$4),"",COUNTIF($A$2:$A1358,Ficha!$C$4))</f>
        <v/>
      </c>
    </row>
    <row r="1359">
      <c r="A1359" s="8">
        <f>IF(INDEX(Banco!$A:$A,ROW())="","",INDEX(Banco!$A:$A,ROW()))</f>
        <v/>
      </c>
      <c r="B1359" s="8">
        <f>IF(INDEX(Banco!$B:$B,ROW())="","",INDEX(Banco!$B:$B,ROW()))</f>
        <v/>
      </c>
      <c r="C1359" s="8">
        <f>IF(INDEX(Banco!$C:$C,ROW())="","",INDEX(Banco!$C:$C,ROW()))</f>
        <v/>
      </c>
      <c r="D1359" s="9">
        <f>IF(INDEX(Banco!$D:$D,ROW())="","",INDEX(Banco!$D:$D,ROW()))</f>
        <v/>
      </c>
      <c r="E1359" s="9">
        <f>IF(INDEX(Banco!$E:$E,ROW())="","",INDEX(Banco!$E:$E,ROW()))</f>
        <v/>
      </c>
      <c r="F1359" s="10">
        <f>IF(INDEX(Banco!$F:$F,ROW())="","",INDEX(Banco!$F:$F,ROW()))</f>
        <v/>
      </c>
      <c r="G1359" s="10">
        <f>IF(INDEX(Banco!$G:$G,ROW())="","",INDEX(Banco!$G:$G,ROW()))</f>
        <v/>
      </c>
      <c r="H1359" s="8">
        <f>IF(INDEX(Banco!$H:$H,ROW())="","",INDEX(Banco!$H:$H,ROW()))</f>
        <v/>
      </c>
      <c r="I1359">
        <f>IF($T1359="","",INT($T1359/12)&amp;"a "&amp;MOD($T1359,12)&amp;"m")</f>
        <v/>
      </c>
      <c r="J1359" s="11">
        <f>IF(OR($F1359="",$G1359=""),"",ROUND($F1359/($G1359/100)^2,2))</f>
        <v/>
      </c>
      <c r="K1359" s="12">
        <f>IF(OR($S1359="",$J1359="",$T1359="",$T1359&lt;0,$T1359&gt;228,$Y1359=""),"—",ROUND(IF(ABS($AB1359)&lt;=3,$AB1359,IF($AB1359&gt;3,3+($J1359-$AD1359)/($AD1359-$AC1359),-3+($J1359-$AF1359)/($AE1359-$AF1359))),2))</f>
        <v/>
      </c>
      <c r="L1359">
        <f>IF(OR($K1359="",$K1359="—"),"",IF($T1359&lt;=60,IF($K1359&lt;-3,"Magreza acentuada",IF($K1359&lt;-2,"Magreza",IF($K1359&lt;=1,"Eutrofia",IF($K1359&lt;=2,"Risco de sobrepeso",IF($K1359&lt;=3,"Sobrepeso","Obesidade"))))),IF($K1359&lt;-3,"Magreza acentuada",IF($K1359&lt;-2,"Magreza",IF($K1359&lt;=1,"Eutrofia",IF($K1359&lt;=2,"Sobrepeso",IF($K1359&lt;=3,"Obesidade","Obesidade grave")))))))</f>
        <v/>
      </c>
      <c r="M1359" s="12">
        <f>IF(OR($S1359="",$V1359="",$T1359="",$T1359&lt;0,$T1359&gt;228,$AG1359=""),"—",ROUND(IF($AG1359=0,LN($V1359/$AH1359)/$AI1359,((($V1359/$AH1359)^$AG1359)-1)/($AG1359*$AI1359)),2))</f>
        <v/>
      </c>
      <c r="N1359">
        <f>IF(OR($M1359="",$M1359="—"),"",IF($M1359&lt;-3,"Muito baixa",IF($M1359&lt;-2,"Baixa","Adequada")))</f>
        <v/>
      </c>
      <c r="O1359" s="12">
        <f>IF(OR($S1359="",$F1359="",$T1359="",$T1359&lt;0,$T1359&gt;120,$AJ1359=""),"—",ROUND(IF(ABS($AM1359)&lt;=3,$AM1359,IF($AM1359&gt;3,3+($F1359-$AO1359)/($AO1359-$AN1359),-3+($F1359-$AQ1359)/($AP1359-$AQ1359))),2))</f>
        <v/>
      </c>
      <c r="P1359">
        <f>IF(OR($O1359="",$O1359="—"),"",IF($O1359&lt;-3,"Muito baixo",IF($O1359&lt;-2,"Baixo",IF($O1359&lt;=2,"Adequado","Elevado"))))</f>
        <v/>
      </c>
      <c r="Q1359" s="12">
        <f>IF(OR($S1359="",$F1359="",$T1359="",$T1359&lt;0,$T1359&gt;60,$AR1359=""),"—",ROUND(IF(ABS($AU1359)&lt;=3,$AU1359,IF($AU1359&gt;3,3+($F1359-$AW1359)/($AW1359-$AV1359),-3+($F1359-$AY1359)/($AX1359-$AY1359))),2))</f>
        <v/>
      </c>
      <c r="R1359">
        <f>IF(OR($Q1359="",$Q1359="—"),"",IF($Q1359&lt;-3,"Magreza acentuada",IF($Q1359&lt;-2,"Magreza",IF($Q1359&lt;=1,"Eutrofia",IF($Q1359&lt;=2,"Risco de sobrepeso",IF($Q1359&lt;=3,"Sobrepeso","Obesidade"))))))</f>
        <v/>
      </c>
      <c r="S1359">
        <f>IF($C1359="","",IF(UPPER(LEFT($C1359,1))="M",1,IF(UPPER(LEFT($C1359,1))="F",2,"")))</f>
        <v/>
      </c>
      <c r="T1359">
        <f>IF(OR($D1359="",$E1359=""),"",DATEDIF($D1359,$E1359,"m"))</f>
        <v/>
      </c>
      <c r="U1359">
        <f>IF(OR($D1359="",$E1359=""),"",$E1359-$D1359)</f>
        <v/>
      </c>
      <c r="V1359">
        <f>IF(OR($G1359="",$T1359=""),"",IF($T1359&lt;24,IF(LEFT(LOWER($H1359),4)="em p",$G1359+0.7,$G1359),IF(LEFT(LOWER($H1359),4)="deit",$G1359-0.7,$G1359)))</f>
        <v/>
      </c>
      <c r="W1359">
        <f>IF(OR($S1359="",$T1359=""),"",$S1359*1000000+IF($T1359&lt;=60,$U1359,$T1359))</f>
        <v/>
      </c>
      <c r="X1359">
        <f>IF(OR($S1359="",$V1359="",$T1359&gt;60,$T1359=""),"",$S1359*1000000+ROUND($V1359*10,0))</f>
        <v/>
      </c>
      <c r="Y1359">
        <f>IF($W1359="","",IFERROR(INDEX(IF($T1359&lt;=60,imc05_l,imc519_l),MATCH($W1359,IF($T1359&lt;=60,imc05_k,imc519_k),1)),""))</f>
        <v/>
      </c>
      <c r="Z1359">
        <f>IF($W1359="","",IFERROR(INDEX(IF($T1359&lt;=60,imc05_m,imc519_m),MATCH($W1359,IF($T1359&lt;=60,imc05_k,imc519_k),1)),""))</f>
        <v/>
      </c>
      <c r="AA1359">
        <f>IF($W1359="","",IFERROR(INDEX(IF($T1359&lt;=60,imc05_s,imc519_s),MATCH($W1359,IF($T1359&lt;=60,imc05_k,imc519_k),1)),""))</f>
        <v/>
      </c>
      <c r="AB1359">
        <f>IF($Y1359="","",IF($Y1359=0,LN($J1359/$Z1359)/$AA1359,((($J1359/$Z1359)^$Y1359)-1)/($Y1359*$AA1359)))</f>
        <v/>
      </c>
      <c r="AC1359">
        <f>IF($Y1359="","",IF($Y1359=0,$Z1359*EXP($AA1359*2),$Z1359*(1+$Y1359*$AA1359*2)^(1/$Y1359)))</f>
        <v/>
      </c>
      <c r="AD1359">
        <f>IF($Y1359="","",IF($Y1359=0,$Z1359*EXP($AA1359*3),$Z1359*(1+$Y1359*$AA1359*3)^(1/$Y1359)))</f>
        <v/>
      </c>
      <c r="AE1359">
        <f>IF($Y1359="","",IF($Y1359=0,$Z1359*EXP($AA1359*-2),$Z1359*(1+$Y1359*$AA1359*-2)^(1/$Y1359)))</f>
        <v/>
      </c>
      <c r="AF1359">
        <f>IF($Y1359="","",IF($Y1359=0,$Z1359*EXP($AA1359*-3),$Z1359*(1+$Y1359*$AA1359*-3)^(1/$Y1359)))</f>
        <v/>
      </c>
      <c r="AG1359">
        <f>IF($W1359="","",IFERROR(INDEX(IF($T1359&lt;=60,est05_l,est519_l),MATCH($W1359,IF($T1359&lt;=60,est05_k,est519_k),1)),""))</f>
        <v/>
      </c>
      <c r="AH1359">
        <f>IF($W1359="","",IFERROR(INDEX(IF($T1359&lt;=60,est05_m,est519_m),MATCH($W1359,IF($T1359&lt;=60,est05_k,est519_k),1)),""))</f>
        <v/>
      </c>
      <c r="AI1359">
        <f>IF($W1359="","",IFERROR(INDEX(IF($T1359&lt;=60,est05_s,est519_s),MATCH($W1359,IF($T1359&lt;=60,est05_k,est519_k),1)),""))</f>
        <v/>
      </c>
      <c r="AJ1359">
        <f>IF($W1359="","",IFERROR(INDEX(IF($T1359&lt;=60,peso05_l,peso510_l),MATCH($W1359,IF($T1359&lt;=60,peso05_k,peso510_k),1)),""))</f>
        <v/>
      </c>
      <c r="AK1359">
        <f>IF($W1359="","",IFERROR(INDEX(IF($T1359&lt;=60,peso05_m,peso510_m),MATCH($W1359,IF($T1359&lt;=60,peso05_k,peso510_k),1)),""))</f>
        <v/>
      </c>
      <c r="AL1359">
        <f>IF($W1359="","",IFERROR(INDEX(IF($T1359&lt;=60,peso05_s,peso510_s),MATCH($W1359,IF($T1359&lt;=60,peso05_k,peso510_k),1)),""))</f>
        <v/>
      </c>
      <c r="AM1359">
        <f>IF($AJ1359="","",IF($AJ1359=0,LN($F1359/$AK1359)/$AL1359,((($F1359/$AK1359)^$AJ1359)-1)/($AJ1359*$AL1359)))</f>
        <v/>
      </c>
      <c r="AN1359">
        <f>IF($AJ1359="","",IF($AJ1359=0,$AK1359*EXP($AL1359*2),$AK1359*(1+$AJ1359*$AL1359*2)^(1/$AJ1359)))</f>
        <v/>
      </c>
      <c r="AO1359">
        <f>IF($AJ1359="","",IF($AJ1359=0,$AK1359*EXP($AL1359*3),$AK1359*(1+$AJ1359*$AL1359*3)^(1/$AJ1359)))</f>
        <v/>
      </c>
      <c r="AP1359">
        <f>IF($AJ1359="","",IF($AJ1359=0,$AK1359*EXP($AL1359*-2),$AK1359*(1+$AJ1359*$AL1359*-2)^(1/$AJ1359)))</f>
        <v/>
      </c>
      <c r="AQ1359">
        <f>IF($AJ1359="","",IF($AJ1359=0,$AK1359*EXP($AL1359*-3),$AK1359*(1+$AJ1359*$AL1359*-3)^(1/$AJ1359)))</f>
        <v/>
      </c>
      <c r="AR1359">
        <f>IF(OR($X1359="",$T1359&gt;60),"",IFERROR(INDEX(IF($T1359&lt;24,pcomp_l,palt_l),MATCH($X1359,IF($T1359&lt;24,pcomp_k,palt_k),1)),""))</f>
        <v/>
      </c>
      <c r="AS1359">
        <f>IF(OR($X1359="",$T1359&gt;60),"",IFERROR(INDEX(IF($T1359&lt;24,pcomp_m,palt_m),MATCH($X1359,IF($T1359&lt;24,pcomp_k,palt_k),1)),""))</f>
        <v/>
      </c>
      <c r="AT1359">
        <f>IF(OR($X1359="",$T1359&gt;60),"",IFERROR(INDEX(IF($T1359&lt;24,pcomp_s,palt_s),MATCH($X1359,IF($T1359&lt;24,pcomp_k,palt_k),1)),""))</f>
        <v/>
      </c>
      <c r="AU1359">
        <f>IF($AR1359="","",IF($AR1359=0,LN($F1359/$AS1359)/$AT1359,((($F1359/$AS1359)^$AR1359)-1)/($AR1359*$AT1359)))</f>
        <v/>
      </c>
      <c r="AV1359">
        <f>IF($AR1359="","",IF($AR1359=0,$AS1359*EXP($AT1359*2),$AS1359*(1+$AR1359*$AT1359*2)^(1/$AR1359)))</f>
        <v/>
      </c>
      <c r="AW1359">
        <f>IF($AR1359="","",IF($AR1359=0,$AS1359*EXP($AT1359*3),$AS1359*(1+$AR1359*$AT1359*3)^(1/$AR1359)))</f>
        <v/>
      </c>
      <c r="AX1359">
        <f>IF($AR1359="","",IF($AR1359=0,$AS1359*EXP($AT1359*-2),$AS1359*(1+$AR1359*$AT1359*-2)^(1/$AR1359)))</f>
        <v/>
      </c>
      <c r="AY1359">
        <f>IF($AR1359="","",IF($AR1359=0,$AS1359*EXP($AT1359*-3),$AS1359*(1+$AR1359*$AT1359*-3)^(1/$AR1359)))</f>
        <v/>
      </c>
      <c r="AZ1359">
        <f>IF(OR($A1359="",$A1359&lt;&gt;Ficha!$C$4),"",COUNTIF($A$2:$A1359,Ficha!$C$4))</f>
        <v/>
      </c>
    </row>
    <row r="1360">
      <c r="A1360" s="8">
        <f>IF(INDEX(Banco!$A:$A,ROW())="","",INDEX(Banco!$A:$A,ROW()))</f>
        <v/>
      </c>
      <c r="B1360" s="8">
        <f>IF(INDEX(Banco!$B:$B,ROW())="","",INDEX(Banco!$B:$B,ROW()))</f>
        <v/>
      </c>
      <c r="C1360" s="8">
        <f>IF(INDEX(Banco!$C:$C,ROW())="","",INDEX(Banco!$C:$C,ROW()))</f>
        <v/>
      </c>
      <c r="D1360" s="9">
        <f>IF(INDEX(Banco!$D:$D,ROW())="","",INDEX(Banco!$D:$D,ROW()))</f>
        <v/>
      </c>
      <c r="E1360" s="9">
        <f>IF(INDEX(Banco!$E:$E,ROW())="","",INDEX(Banco!$E:$E,ROW()))</f>
        <v/>
      </c>
      <c r="F1360" s="10">
        <f>IF(INDEX(Banco!$F:$F,ROW())="","",INDEX(Banco!$F:$F,ROW()))</f>
        <v/>
      </c>
      <c r="G1360" s="10">
        <f>IF(INDEX(Banco!$G:$G,ROW())="","",INDEX(Banco!$G:$G,ROW()))</f>
        <v/>
      </c>
      <c r="H1360" s="8">
        <f>IF(INDEX(Banco!$H:$H,ROW())="","",INDEX(Banco!$H:$H,ROW()))</f>
        <v/>
      </c>
      <c r="I1360">
        <f>IF($T1360="","",INT($T1360/12)&amp;"a "&amp;MOD($T1360,12)&amp;"m")</f>
        <v/>
      </c>
      <c r="J1360" s="11">
        <f>IF(OR($F1360="",$G1360=""),"",ROUND($F1360/($G1360/100)^2,2))</f>
        <v/>
      </c>
      <c r="K1360" s="12">
        <f>IF(OR($S1360="",$J1360="",$T1360="",$T1360&lt;0,$T1360&gt;228,$Y1360=""),"—",ROUND(IF(ABS($AB1360)&lt;=3,$AB1360,IF($AB1360&gt;3,3+($J1360-$AD1360)/($AD1360-$AC1360),-3+($J1360-$AF1360)/($AE1360-$AF1360))),2))</f>
        <v/>
      </c>
      <c r="L1360">
        <f>IF(OR($K1360="",$K1360="—"),"",IF($T1360&lt;=60,IF($K1360&lt;-3,"Magreza acentuada",IF($K1360&lt;-2,"Magreza",IF($K1360&lt;=1,"Eutrofia",IF($K1360&lt;=2,"Risco de sobrepeso",IF($K1360&lt;=3,"Sobrepeso","Obesidade"))))),IF($K1360&lt;-3,"Magreza acentuada",IF($K1360&lt;-2,"Magreza",IF($K1360&lt;=1,"Eutrofia",IF($K1360&lt;=2,"Sobrepeso",IF($K1360&lt;=3,"Obesidade","Obesidade grave")))))))</f>
        <v/>
      </c>
      <c r="M1360" s="12">
        <f>IF(OR($S1360="",$V1360="",$T1360="",$T1360&lt;0,$T1360&gt;228,$AG1360=""),"—",ROUND(IF($AG1360=0,LN($V1360/$AH1360)/$AI1360,((($V1360/$AH1360)^$AG1360)-1)/($AG1360*$AI1360)),2))</f>
        <v/>
      </c>
      <c r="N1360">
        <f>IF(OR($M1360="",$M1360="—"),"",IF($M1360&lt;-3,"Muito baixa",IF($M1360&lt;-2,"Baixa","Adequada")))</f>
        <v/>
      </c>
      <c r="O1360" s="12">
        <f>IF(OR($S1360="",$F1360="",$T1360="",$T1360&lt;0,$T1360&gt;120,$AJ1360=""),"—",ROUND(IF(ABS($AM1360)&lt;=3,$AM1360,IF($AM1360&gt;3,3+($F1360-$AO1360)/($AO1360-$AN1360),-3+($F1360-$AQ1360)/($AP1360-$AQ1360))),2))</f>
        <v/>
      </c>
      <c r="P1360">
        <f>IF(OR($O1360="",$O1360="—"),"",IF($O1360&lt;-3,"Muito baixo",IF($O1360&lt;-2,"Baixo",IF($O1360&lt;=2,"Adequado","Elevado"))))</f>
        <v/>
      </c>
      <c r="Q1360" s="12">
        <f>IF(OR($S1360="",$F1360="",$T1360="",$T1360&lt;0,$T1360&gt;60,$AR1360=""),"—",ROUND(IF(ABS($AU1360)&lt;=3,$AU1360,IF($AU1360&gt;3,3+($F1360-$AW1360)/($AW1360-$AV1360),-3+($F1360-$AY1360)/($AX1360-$AY1360))),2))</f>
        <v/>
      </c>
      <c r="R1360">
        <f>IF(OR($Q1360="",$Q1360="—"),"",IF($Q1360&lt;-3,"Magreza acentuada",IF($Q1360&lt;-2,"Magreza",IF($Q1360&lt;=1,"Eutrofia",IF($Q1360&lt;=2,"Risco de sobrepeso",IF($Q1360&lt;=3,"Sobrepeso","Obesidade"))))))</f>
        <v/>
      </c>
      <c r="S1360">
        <f>IF($C1360="","",IF(UPPER(LEFT($C1360,1))="M",1,IF(UPPER(LEFT($C1360,1))="F",2,"")))</f>
        <v/>
      </c>
      <c r="T1360">
        <f>IF(OR($D1360="",$E1360=""),"",DATEDIF($D1360,$E1360,"m"))</f>
        <v/>
      </c>
      <c r="U1360">
        <f>IF(OR($D1360="",$E1360=""),"",$E1360-$D1360)</f>
        <v/>
      </c>
      <c r="V1360">
        <f>IF(OR($G1360="",$T1360=""),"",IF($T1360&lt;24,IF(LEFT(LOWER($H1360),4)="em p",$G1360+0.7,$G1360),IF(LEFT(LOWER($H1360),4)="deit",$G1360-0.7,$G1360)))</f>
        <v/>
      </c>
      <c r="W1360">
        <f>IF(OR($S1360="",$T1360=""),"",$S1360*1000000+IF($T1360&lt;=60,$U1360,$T1360))</f>
        <v/>
      </c>
      <c r="X1360">
        <f>IF(OR($S1360="",$V1360="",$T1360&gt;60,$T1360=""),"",$S1360*1000000+ROUND($V1360*10,0))</f>
        <v/>
      </c>
      <c r="Y1360">
        <f>IF($W1360="","",IFERROR(INDEX(IF($T1360&lt;=60,imc05_l,imc519_l),MATCH($W1360,IF($T1360&lt;=60,imc05_k,imc519_k),1)),""))</f>
        <v/>
      </c>
      <c r="Z1360">
        <f>IF($W1360="","",IFERROR(INDEX(IF($T1360&lt;=60,imc05_m,imc519_m),MATCH($W1360,IF($T1360&lt;=60,imc05_k,imc519_k),1)),""))</f>
        <v/>
      </c>
      <c r="AA1360">
        <f>IF($W1360="","",IFERROR(INDEX(IF($T1360&lt;=60,imc05_s,imc519_s),MATCH($W1360,IF($T1360&lt;=60,imc05_k,imc519_k),1)),""))</f>
        <v/>
      </c>
      <c r="AB1360">
        <f>IF($Y1360="","",IF($Y1360=0,LN($J1360/$Z1360)/$AA1360,((($J1360/$Z1360)^$Y1360)-1)/($Y1360*$AA1360)))</f>
        <v/>
      </c>
      <c r="AC1360">
        <f>IF($Y1360="","",IF($Y1360=0,$Z1360*EXP($AA1360*2),$Z1360*(1+$Y1360*$AA1360*2)^(1/$Y1360)))</f>
        <v/>
      </c>
      <c r="AD1360">
        <f>IF($Y1360="","",IF($Y1360=0,$Z1360*EXP($AA1360*3),$Z1360*(1+$Y1360*$AA1360*3)^(1/$Y1360)))</f>
        <v/>
      </c>
      <c r="AE1360">
        <f>IF($Y1360="","",IF($Y1360=0,$Z1360*EXP($AA1360*-2),$Z1360*(1+$Y1360*$AA1360*-2)^(1/$Y1360)))</f>
        <v/>
      </c>
      <c r="AF1360">
        <f>IF($Y1360="","",IF($Y1360=0,$Z1360*EXP($AA1360*-3),$Z1360*(1+$Y1360*$AA1360*-3)^(1/$Y1360)))</f>
        <v/>
      </c>
      <c r="AG1360">
        <f>IF($W1360="","",IFERROR(INDEX(IF($T1360&lt;=60,est05_l,est519_l),MATCH($W1360,IF($T1360&lt;=60,est05_k,est519_k),1)),""))</f>
        <v/>
      </c>
      <c r="AH1360">
        <f>IF($W1360="","",IFERROR(INDEX(IF($T1360&lt;=60,est05_m,est519_m),MATCH($W1360,IF($T1360&lt;=60,est05_k,est519_k),1)),""))</f>
        <v/>
      </c>
      <c r="AI1360">
        <f>IF($W1360="","",IFERROR(INDEX(IF($T1360&lt;=60,est05_s,est519_s),MATCH($W1360,IF($T1360&lt;=60,est05_k,est519_k),1)),""))</f>
        <v/>
      </c>
      <c r="AJ1360">
        <f>IF($W1360="","",IFERROR(INDEX(IF($T1360&lt;=60,peso05_l,peso510_l),MATCH($W1360,IF($T1360&lt;=60,peso05_k,peso510_k),1)),""))</f>
        <v/>
      </c>
      <c r="AK1360">
        <f>IF($W1360="","",IFERROR(INDEX(IF($T1360&lt;=60,peso05_m,peso510_m),MATCH($W1360,IF($T1360&lt;=60,peso05_k,peso510_k),1)),""))</f>
        <v/>
      </c>
      <c r="AL1360">
        <f>IF($W1360="","",IFERROR(INDEX(IF($T1360&lt;=60,peso05_s,peso510_s),MATCH($W1360,IF($T1360&lt;=60,peso05_k,peso510_k),1)),""))</f>
        <v/>
      </c>
      <c r="AM1360">
        <f>IF($AJ1360="","",IF($AJ1360=0,LN($F1360/$AK1360)/$AL1360,((($F1360/$AK1360)^$AJ1360)-1)/($AJ1360*$AL1360)))</f>
        <v/>
      </c>
      <c r="AN1360">
        <f>IF($AJ1360="","",IF($AJ1360=0,$AK1360*EXP($AL1360*2),$AK1360*(1+$AJ1360*$AL1360*2)^(1/$AJ1360)))</f>
        <v/>
      </c>
      <c r="AO1360">
        <f>IF($AJ1360="","",IF($AJ1360=0,$AK1360*EXP($AL1360*3),$AK1360*(1+$AJ1360*$AL1360*3)^(1/$AJ1360)))</f>
        <v/>
      </c>
      <c r="AP1360">
        <f>IF($AJ1360="","",IF($AJ1360=0,$AK1360*EXP($AL1360*-2),$AK1360*(1+$AJ1360*$AL1360*-2)^(1/$AJ1360)))</f>
        <v/>
      </c>
      <c r="AQ1360">
        <f>IF($AJ1360="","",IF($AJ1360=0,$AK1360*EXP($AL1360*-3),$AK1360*(1+$AJ1360*$AL1360*-3)^(1/$AJ1360)))</f>
        <v/>
      </c>
      <c r="AR1360">
        <f>IF(OR($X1360="",$T1360&gt;60),"",IFERROR(INDEX(IF($T1360&lt;24,pcomp_l,palt_l),MATCH($X1360,IF($T1360&lt;24,pcomp_k,palt_k),1)),""))</f>
        <v/>
      </c>
      <c r="AS1360">
        <f>IF(OR($X1360="",$T1360&gt;60),"",IFERROR(INDEX(IF($T1360&lt;24,pcomp_m,palt_m),MATCH($X1360,IF($T1360&lt;24,pcomp_k,palt_k),1)),""))</f>
        <v/>
      </c>
      <c r="AT1360">
        <f>IF(OR($X1360="",$T1360&gt;60),"",IFERROR(INDEX(IF($T1360&lt;24,pcomp_s,palt_s),MATCH($X1360,IF($T1360&lt;24,pcomp_k,palt_k),1)),""))</f>
        <v/>
      </c>
      <c r="AU1360">
        <f>IF($AR1360="","",IF($AR1360=0,LN($F1360/$AS1360)/$AT1360,((($F1360/$AS1360)^$AR1360)-1)/($AR1360*$AT1360)))</f>
        <v/>
      </c>
      <c r="AV1360">
        <f>IF($AR1360="","",IF($AR1360=0,$AS1360*EXP($AT1360*2),$AS1360*(1+$AR1360*$AT1360*2)^(1/$AR1360)))</f>
        <v/>
      </c>
      <c r="AW1360">
        <f>IF($AR1360="","",IF($AR1360=0,$AS1360*EXP($AT1360*3),$AS1360*(1+$AR1360*$AT1360*3)^(1/$AR1360)))</f>
        <v/>
      </c>
      <c r="AX1360">
        <f>IF($AR1360="","",IF($AR1360=0,$AS1360*EXP($AT1360*-2),$AS1360*(1+$AR1360*$AT1360*-2)^(1/$AR1360)))</f>
        <v/>
      </c>
      <c r="AY1360">
        <f>IF($AR1360="","",IF($AR1360=0,$AS1360*EXP($AT1360*-3),$AS1360*(1+$AR1360*$AT1360*-3)^(1/$AR1360)))</f>
        <v/>
      </c>
      <c r="AZ1360">
        <f>IF(OR($A1360="",$A1360&lt;&gt;Ficha!$C$4),"",COUNTIF($A$2:$A1360,Ficha!$C$4))</f>
        <v/>
      </c>
    </row>
    <row r="1361">
      <c r="A1361" s="8">
        <f>IF(INDEX(Banco!$A:$A,ROW())="","",INDEX(Banco!$A:$A,ROW()))</f>
        <v/>
      </c>
      <c r="B1361" s="8">
        <f>IF(INDEX(Banco!$B:$B,ROW())="","",INDEX(Banco!$B:$B,ROW()))</f>
        <v/>
      </c>
      <c r="C1361" s="8">
        <f>IF(INDEX(Banco!$C:$C,ROW())="","",INDEX(Banco!$C:$C,ROW()))</f>
        <v/>
      </c>
      <c r="D1361" s="9">
        <f>IF(INDEX(Banco!$D:$D,ROW())="","",INDEX(Banco!$D:$D,ROW()))</f>
        <v/>
      </c>
      <c r="E1361" s="9">
        <f>IF(INDEX(Banco!$E:$E,ROW())="","",INDEX(Banco!$E:$E,ROW()))</f>
        <v/>
      </c>
      <c r="F1361" s="10">
        <f>IF(INDEX(Banco!$F:$F,ROW())="","",INDEX(Banco!$F:$F,ROW()))</f>
        <v/>
      </c>
      <c r="G1361" s="10">
        <f>IF(INDEX(Banco!$G:$G,ROW())="","",INDEX(Banco!$G:$G,ROW()))</f>
        <v/>
      </c>
      <c r="H1361" s="8">
        <f>IF(INDEX(Banco!$H:$H,ROW())="","",INDEX(Banco!$H:$H,ROW()))</f>
        <v/>
      </c>
      <c r="I1361">
        <f>IF($T1361="","",INT($T1361/12)&amp;"a "&amp;MOD($T1361,12)&amp;"m")</f>
        <v/>
      </c>
      <c r="J1361" s="11">
        <f>IF(OR($F1361="",$G1361=""),"",ROUND($F1361/($G1361/100)^2,2))</f>
        <v/>
      </c>
      <c r="K1361" s="12">
        <f>IF(OR($S1361="",$J1361="",$T1361="",$T1361&lt;0,$T1361&gt;228,$Y1361=""),"—",ROUND(IF(ABS($AB1361)&lt;=3,$AB1361,IF($AB1361&gt;3,3+($J1361-$AD1361)/($AD1361-$AC1361),-3+($J1361-$AF1361)/($AE1361-$AF1361))),2))</f>
        <v/>
      </c>
      <c r="L1361">
        <f>IF(OR($K1361="",$K1361="—"),"",IF($T1361&lt;=60,IF($K1361&lt;-3,"Magreza acentuada",IF($K1361&lt;-2,"Magreza",IF($K1361&lt;=1,"Eutrofia",IF($K1361&lt;=2,"Risco de sobrepeso",IF($K1361&lt;=3,"Sobrepeso","Obesidade"))))),IF($K1361&lt;-3,"Magreza acentuada",IF($K1361&lt;-2,"Magreza",IF($K1361&lt;=1,"Eutrofia",IF($K1361&lt;=2,"Sobrepeso",IF($K1361&lt;=3,"Obesidade","Obesidade grave")))))))</f>
        <v/>
      </c>
      <c r="M1361" s="12">
        <f>IF(OR($S1361="",$V1361="",$T1361="",$T1361&lt;0,$T1361&gt;228,$AG1361=""),"—",ROUND(IF($AG1361=0,LN($V1361/$AH1361)/$AI1361,((($V1361/$AH1361)^$AG1361)-1)/($AG1361*$AI1361)),2))</f>
        <v/>
      </c>
      <c r="N1361">
        <f>IF(OR($M1361="",$M1361="—"),"",IF($M1361&lt;-3,"Muito baixa",IF($M1361&lt;-2,"Baixa","Adequada")))</f>
        <v/>
      </c>
      <c r="O1361" s="12">
        <f>IF(OR($S1361="",$F1361="",$T1361="",$T1361&lt;0,$T1361&gt;120,$AJ1361=""),"—",ROUND(IF(ABS($AM1361)&lt;=3,$AM1361,IF($AM1361&gt;3,3+($F1361-$AO1361)/($AO1361-$AN1361),-3+($F1361-$AQ1361)/($AP1361-$AQ1361))),2))</f>
        <v/>
      </c>
      <c r="P1361">
        <f>IF(OR($O1361="",$O1361="—"),"",IF($O1361&lt;-3,"Muito baixo",IF($O1361&lt;-2,"Baixo",IF($O1361&lt;=2,"Adequado","Elevado"))))</f>
        <v/>
      </c>
      <c r="Q1361" s="12">
        <f>IF(OR($S1361="",$F1361="",$T1361="",$T1361&lt;0,$T1361&gt;60,$AR1361=""),"—",ROUND(IF(ABS($AU1361)&lt;=3,$AU1361,IF($AU1361&gt;3,3+($F1361-$AW1361)/($AW1361-$AV1361),-3+($F1361-$AY1361)/($AX1361-$AY1361))),2))</f>
        <v/>
      </c>
      <c r="R1361">
        <f>IF(OR($Q1361="",$Q1361="—"),"",IF($Q1361&lt;-3,"Magreza acentuada",IF($Q1361&lt;-2,"Magreza",IF($Q1361&lt;=1,"Eutrofia",IF($Q1361&lt;=2,"Risco de sobrepeso",IF($Q1361&lt;=3,"Sobrepeso","Obesidade"))))))</f>
        <v/>
      </c>
      <c r="S1361">
        <f>IF($C1361="","",IF(UPPER(LEFT($C1361,1))="M",1,IF(UPPER(LEFT($C1361,1))="F",2,"")))</f>
        <v/>
      </c>
      <c r="T1361">
        <f>IF(OR($D1361="",$E1361=""),"",DATEDIF($D1361,$E1361,"m"))</f>
        <v/>
      </c>
      <c r="U1361">
        <f>IF(OR($D1361="",$E1361=""),"",$E1361-$D1361)</f>
        <v/>
      </c>
      <c r="V1361">
        <f>IF(OR($G1361="",$T1361=""),"",IF($T1361&lt;24,IF(LEFT(LOWER($H1361),4)="em p",$G1361+0.7,$G1361),IF(LEFT(LOWER($H1361),4)="deit",$G1361-0.7,$G1361)))</f>
        <v/>
      </c>
      <c r="W1361">
        <f>IF(OR($S1361="",$T1361=""),"",$S1361*1000000+IF($T1361&lt;=60,$U1361,$T1361))</f>
        <v/>
      </c>
      <c r="X1361">
        <f>IF(OR($S1361="",$V1361="",$T1361&gt;60,$T1361=""),"",$S1361*1000000+ROUND($V1361*10,0))</f>
        <v/>
      </c>
      <c r="Y1361">
        <f>IF($W1361="","",IFERROR(INDEX(IF($T1361&lt;=60,imc05_l,imc519_l),MATCH($W1361,IF($T1361&lt;=60,imc05_k,imc519_k),1)),""))</f>
        <v/>
      </c>
      <c r="Z1361">
        <f>IF($W1361="","",IFERROR(INDEX(IF($T1361&lt;=60,imc05_m,imc519_m),MATCH($W1361,IF($T1361&lt;=60,imc05_k,imc519_k),1)),""))</f>
        <v/>
      </c>
      <c r="AA1361">
        <f>IF($W1361="","",IFERROR(INDEX(IF($T1361&lt;=60,imc05_s,imc519_s),MATCH($W1361,IF($T1361&lt;=60,imc05_k,imc519_k),1)),""))</f>
        <v/>
      </c>
      <c r="AB1361">
        <f>IF($Y1361="","",IF($Y1361=0,LN($J1361/$Z1361)/$AA1361,((($J1361/$Z1361)^$Y1361)-1)/($Y1361*$AA1361)))</f>
        <v/>
      </c>
      <c r="AC1361">
        <f>IF($Y1361="","",IF($Y1361=0,$Z1361*EXP($AA1361*2),$Z1361*(1+$Y1361*$AA1361*2)^(1/$Y1361)))</f>
        <v/>
      </c>
      <c r="AD1361">
        <f>IF($Y1361="","",IF($Y1361=0,$Z1361*EXP($AA1361*3),$Z1361*(1+$Y1361*$AA1361*3)^(1/$Y1361)))</f>
        <v/>
      </c>
      <c r="AE1361">
        <f>IF($Y1361="","",IF($Y1361=0,$Z1361*EXP($AA1361*-2),$Z1361*(1+$Y1361*$AA1361*-2)^(1/$Y1361)))</f>
        <v/>
      </c>
      <c r="AF1361">
        <f>IF($Y1361="","",IF($Y1361=0,$Z1361*EXP($AA1361*-3),$Z1361*(1+$Y1361*$AA1361*-3)^(1/$Y1361)))</f>
        <v/>
      </c>
      <c r="AG1361">
        <f>IF($W1361="","",IFERROR(INDEX(IF($T1361&lt;=60,est05_l,est519_l),MATCH($W1361,IF($T1361&lt;=60,est05_k,est519_k),1)),""))</f>
        <v/>
      </c>
      <c r="AH1361">
        <f>IF($W1361="","",IFERROR(INDEX(IF($T1361&lt;=60,est05_m,est519_m),MATCH($W1361,IF($T1361&lt;=60,est05_k,est519_k),1)),""))</f>
        <v/>
      </c>
      <c r="AI1361">
        <f>IF($W1361="","",IFERROR(INDEX(IF($T1361&lt;=60,est05_s,est519_s),MATCH($W1361,IF($T1361&lt;=60,est05_k,est519_k),1)),""))</f>
        <v/>
      </c>
      <c r="AJ1361">
        <f>IF($W1361="","",IFERROR(INDEX(IF($T1361&lt;=60,peso05_l,peso510_l),MATCH($W1361,IF($T1361&lt;=60,peso05_k,peso510_k),1)),""))</f>
        <v/>
      </c>
      <c r="AK1361">
        <f>IF($W1361="","",IFERROR(INDEX(IF($T1361&lt;=60,peso05_m,peso510_m),MATCH($W1361,IF($T1361&lt;=60,peso05_k,peso510_k),1)),""))</f>
        <v/>
      </c>
      <c r="AL1361">
        <f>IF($W1361="","",IFERROR(INDEX(IF($T1361&lt;=60,peso05_s,peso510_s),MATCH($W1361,IF($T1361&lt;=60,peso05_k,peso510_k),1)),""))</f>
        <v/>
      </c>
      <c r="AM1361">
        <f>IF($AJ1361="","",IF($AJ1361=0,LN($F1361/$AK1361)/$AL1361,((($F1361/$AK1361)^$AJ1361)-1)/($AJ1361*$AL1361)))</f>
        <v/>
      </c>
      <c r="AN1361">
        <f>IF($AJ1361="","",IF($AJ1361=0,$AK1361*EXP($AL1361*2),$AK1361*(1+$AJ1361*$AL1361*2)^(1/$AJ1361)))</f>
        <v/>
      </c>
      <c r="AO1361">
        <f>IF($AJ1361="","",IF($AJ1361=0,$AK1361*EXP($AL1361*3),$AK1361*(1+$AJ1361*$AL1361*3)^(1/$AJ1361)))</f>
        <v/>
      </c>
      <c r="AP1361">
        <f>IF($AJ1361="","",IF($AJ1361=0,$AK1361*EXP($AL1361*-2),$AK1361*(1+$AJ1361*$AL1361*-2)^(1/$AJ1361)))</f>
        <v/>
      </c>
      <c r="AQ1361">
        <f>IF($AJ1361="","",IF($AJ1361=0,$AK1361*EXP($AL1361*-3),$AK1361*(1+$AJ1361*$AL1361*-3)^(1/$AJ1361)))</f>
        <v/>
      </c>
      <c r="AR1361">
        <f>IF(OR($X1361="",$T1361&gt;60),"",IFERROR(INDEX(IF($T1361&lt;24,pcomp_l,palt_l),MATCH($X1361,IF($T1361&lt;24,pcomp_k,palt_k),1)),""))</f>
        <v/>
      </c>
      <c r="AS1361">
        <f>IF(OR($X1361="",$T1361&gt;60),"",IFERROR(INDEX(IF($T1361&lt;24,pcomp_m,palt_m),MATCH($X1361,IF($T1361&lt;24,pcomp_k,palt_k),1)),""))</f>
        <v/>
      </c>
      <c r="AT1361">
        <f>IF(OR($X1361="",$T1361&gt;60),"",IFERROR(INDEX(IF($T1361&lt;24,pcomp_s,palt_s),MATCH($X1361,IF($T1361&lt;24,pcomp_k,palt_k),1)),""))</f>
        <v/>
      </c>
      <c r="AU1361">
        <f>IF($AR1361="","",IF($AR1361=0,LN($F1361/$AS1361)/$AT1361,((($F1361/$AS1361)^$AR1361)-1)/($AR1361*$AT1361)))</f>
        <v/>
      </c>
      <c r="AV1361">
        <f>IF($AR1361="","",IF($AR1361=0,$AS1361*EXP($AT1361*2),$AS1361*(1+$AR1361*$AT1361*2)^(1/$AR1361)))</f>
        <v/>
      </c>
      <c r="AW1361">
        <f>IF($AR1361="","",IF($AR1361=0,$AS1361*EXP($AT1361*3),$AS1361*(1+$AR1361*$AT1361*3)^(1/$AR1361)))</f>
        <v/>
      </c>
      <c r="AX1361">
        <f>IF($AR1361="","",IF($AR1361=0,$AS1361*EXP($AT1361*-2),$AS1361*(1+$AR1361*$AT1361*-2)^(1/$AR1361)))</f>
        <v/>
      </c>
      <c r="AY1361">
        <f>IF($AR1361="","",IF($AR1361=0,$AS1361*EXP($AT1361*-3),$AS1361*(1+$AR1361*$AT1361*-3)^(1/$AR1361)))</f>
        <v/>
      </c>
      <c r="AZ1361">
        <f>IF(OR($A1361="",$A1361&lt;&gt;Ficha!$C$4),"",COUNTIF($A$2:$A1361,Ficha!$C$4))</f>
        <v/>
      </c>
    </row>
    <row r="1362">
      <c r="A1362" s="8">
        <f>IF(INDEX(Banco!$A:$A,ROW())="","",INDEX(Banco!$A:$A,ROW()))</f>
        <v/>
      </c>
      <c r="B1362" s="8">
        <f>IF(INDEX(Banco!$B:$B,ROW())="","",INDEX(Banco!$B:$B,ROW()))</f>
        <v/>
      </c>
      <c r="C1362" s="8">
        <f>IF(INDEX(Banco!$C:$C,ROW())="","",INDEX(Banco!$C:$C,ROW()))</f>
        <v/>
      </c>
      <c r="D1362" s="9">
        <f>IF(INDEX(Banco!$D:$D,ROW())="","",INDEX(Banco!$D:$D,ROW()))</f>
        <v/>
      </c>
      <c r="E1362" s="9">
        <f>IF(INDEX(Banco!$E:$E,ROW())="","",INDEX(Banco!$E:$E,ROW()))</f>
        <v/>
      </c>
      <c r="F1362" s="10">
        <f>IF(INDEX(Banco!$F:$F,ROW())="","",INDEX(Banco!$F:$F,ROW()))</f>
        <v/>
      </c>
      <c r="G1362" s="10">
        <f>IF(INDEX(Banco!$G:$G,ROW())="","",INDEX(Banco!$G:$G,ROW()))</f>
        <v/>
      </c>
      <c r="H1362" s="8">
        <f>IF(INDEX(Banco!$H:$H,ROW())="","",INDEX(Banco!$H:$H,ROW()))</f>
        <v/>
      </c>
      <c r="I1362">
        <f>IF($T1362="","",INT($T1362/12)&amp;"a "&amp;MOD($T1362,12)&amp;"m")</f>
        <v/>
      </c>
      <c r="J1362" s="11">
        <f>IF(OR($F1362="",$G1362=""),"",ROUND($F1362/($G1362/100)^2,2))</f>
        <v/>
      </c>
      <c r="K1362" s="12">
        <f>IF(OR($S1362="",$J1362="",$T1362="",$T1362&lt;0,$T1362&gt;228,$Y1362=""),"—",ROUND(IF(ABS($AB1362)&lt;=3,$AB1362,IF($AB1362&gt;3,3+($J1362-$AD1362)/($AD1362-$AC1362),-3+($J1362-$AF1362)/($AE1362-$AF1362))),2))</f>
        <v/>
      </c>
      <c r="L1362">
        <f>IF(OR($K1362="",$K1362="—"),"",IF($T1362&lt;=60,IF($K1362&lt;-3,"Magreza acentuada",IF($K1362&lt;-2,"Magreza",IF($K1362&lt;=1,"Eutrofia",IF($K1362&lt;=2,"Risco de sobrepeso",IF($K1362&lt;=3,"Sobrepeso","Obesidade"))))),IF($K1362&lt;-3,"Magreza acentuada",IF($K1362&lt;-2,"Magreza",IF($K1362&lt;=1,"Eutrofia",IF($K1362&lt;=2,"Sobrepeso",IF($K1362&lt;=3,"Obesidade","Obesidade grave")))))))</f>
        <v/>
      </c>
      <c r="M1362" s="12">
        <f>IF(OR($S1362="",$V1362="",$T1362="",$T1362&lt;0,$T1362&gt;228,$AG1362=""),"—",ROUND(IF($AG1362=0,LN($V1362/$AH1362)/$AI1362,((($V1362/$AH1362)^$AG1362)-1)/($AG1362*$AI1362)),2))</f>
        <v/>
      </c>
      <c r="N1362">
        <f>IF(OR($M1362="",$M1362="—"),"",IF($M1362&lt;-3,"Muito baixa",IF($M1362&lt;-2,"Baixa","Adequada")))</f>
        <v/>
      </c>
      <c r="O1362" s="12">
        <f>IF(OR($S1362="",$F1362="",$T1362="",$T1362&lt;0,$T1362&gt;120,$AJ1362=""),"—",ROUND(IF(ABS($AM1362)&lt;=3,$AM1362,IF($AM1362&gt;3,3+($F1362-$AO1362)/($AO1362-$AN1362),-3+($F1362-$AQ1362)/($AP1362-$AQ1362))),2))</f>
        <v/>
      </c>
      <c r="P1362">
        <f>IF(OR($O1362="",$O1362="—"),"",IF($O1362&lt;-3,"Muito baixo",IF($O1362&lt;-2,"Baixo",IF($O1362&lt;=2,"Adequado","Elevado"))))</f>
        <v/>
      </c>
      <c r="Q1362" s="12">
        <f>IF(OR($S1362="",$F1362="",$T1362="",$T1362&lt;0,$T1362&gt;60,$AR1362=""),"—",ROUND(IF(ABS($AU1362)&lt;=3,$AU1362,IF($AU1362&gt;3,3+($F1362-$AW1362)/($AW1362-$AV1362),-3+($F1362-$AY1362)/($AX1362-$AY1362))),2))</f>
        <v/>
      </c>
      <c r="R1362">
        <f>IF(OR($Q1362="",$Q1362="—"),"",IF($Q1362&lt;-3,"Magreza acentuada",IF($Q1362&lt;-2,"Magreza",IF($Q1362&lt;=1,"Eutrofia",IF($Q1362&lt;=2,"Risco de sobrepeso",IF($Q1362&lt;=3,"Sobrepeso","Obesidade"))))))</f>
        <v/>
      </c>
      <c r="S1362">
        <f>IF($C1362="","",IF(UPPER(LEFT($C1362,1))="M",1,IF(UPPER(LEFT($C1362,1))="F",2,"")))</f>
        <v/>
      </c>
      <c r="T1362">
        <f>IF(OR($D1362="",$E1362=""),"",DATEDIF($D1362,$E1362,"m"))</f>
        <v/>
      </c>
      <c r="U1362">
        <f>IF(OR($D1362="",$E1362=""),"",$E1362-$D1362)</f>
        <v/>
      </c>
      <c r="V1362">
        <f>IF(OR($G1362="",$T1362=""),"",IF($T1362&lt;24,IF(LEFT(LOWER($H1362),4)="em p",$G1362+0.7,$G1362),IF(LEFT(LOWER($H1362),4)="deit",$G1362-0.7,$G1362)))</f>
        <v/>
      </c>
      <c r="W1362">
        <f>IF(OR($S1362="",$T1362=""),"",$S1362*1000000+IF($T1362&lt;=60,$U1362,$T1362))</f>
        <v/>
      </c>
      <c r="X1362">
        <f>IF(OR($S1362="",$V1362="",$T1362&gt;60,$T1362=""),"",$S1362*1000000+ROUND($V1362*10,0))</f>
        <v/>
      </c>
      <c r="Y1362">
        <f>IF($W1362="","",IFERROR(INDEX(IF($T1362&lt;=60,imc05_l,imc519_l),MATCH($W1362,IF($T1362&lt;=60,imc05_k,imc519_k),1)),""))</f>
        <v/>
      </c>
      <c r="Z1362">
        <f>IF($W1362="","",IFERROR(INDEX(IF($T1362&lt;=60,imc05_m,imc519_m),MATCH($W1362,IF($T1362&lt;=60,imc05_k,imc519_k),1)),""))</f>
        <v/>
      </c>
      <c r="AA1362">
        <f>IF($W1362="","",IFERROR(INDEX(IF($T1362&lt;=60,imc05_s,imc519_s),MATCH($W1362,IF($T1362&lt;=60,imc05_k,imc519_k),1)),""))</f>
        <v/>
      </c>
      <c r="AB1362">
        <f>IF($Y1362="","",IF($Y1362=0,LN($J1362/$Z1362)/$AA1362,((($J1362/$Z1362)^$Y1362)-1)/($Y1362*$AA1362)))</f>
        <v/>
      </c>
      <c r="AC1362">
        <f>IF($Y1362="","",IF($Y1362=0,$Z1362*EXP($AA1362*2),$Z1362*(1+$Y1362*$AA1362*2)^(1/$Y1362)))</f>
        <v/>
      </c>
      <c r="AD1362">
        <f>IF($Y1362="","",IF($Y1362=0,$Z1362*EXP($AA1362*3),$Z1362*(1+$Y1362*$AA1362*3)^(1/$Y1362)))</f>
        <v/>
      </c>
      <c r="AE1362">
        <f>IF($Y1362="","",IF($Y1362=0,$Z1362*EXP($AA1362*-2),$Z1362*(1+$Y1362*$AA1362*-2)^(1/$Y1362)))</f>
        <v/>
      </c>
      <c r="AF1362">
        <f>IF($Y1362="","",IF($Y1362=0,$Z1362*EXP($AA1362*-3),$Z1362*(1+$Y1362*$AA1362*-3)^(1/$Y1362)))</f>
        <v/>
      </c>
      <c r="AG1362">
        <f>IF($W1362="","",IFERROR(INDEX(IF($T1362&lt;=60,est05_l,est519_l),MATCH($W1362,IF($T1362&lt;=60,est05_k,est519_k),1)),""))</f>
        <v/>
      </c>
      <c r="AH1362">
        <f>IF($W1362="","",IFERROR(INDEX(IF($T1362&lt;=60,est05_m,est519_m),MATCH($W1362,IF($T1362&lt;=60,est05_k,est519_k),1)),""))</f>
        <v/>
      </c>
      <c r="AI1362">
        <f>IF($W1362="","",IFERROR(INDEX(IF($T1362&lt;=60,est05_s,est519_s),MATCH($W1362,IF($T1362&lt;=60,est05_k,est519_k),1)),""))</f>
        <v/>
      </c>
      <c r="AJ1362">
        <f>IF($W1362="","",IFERROR(INDEX(IF($T1362&lt;=60,peso05_l,peso510_l),MATCH($W1362,IF($T1362&lt;=60,peso05_k,peso510_k),1)),""))</f>
        <v/>
      </c>
      <c r="AK1362">
        <f>IF($W1362="","",IFERROR(INDEX(IF($T1362&lt;=60,peso05_m,peso510_m),MATCH($W1362,IF($T1362&lt;=60,peso05_k,peso510_k),1)),""))</f>
        <v/>
      </c>
      <c r="AL1362">
        <f>IF($W1362="","",IFERROR(INDEX(IF($T1362&lt;=60,peso05_s,peso510_s),MATCH($W1362,IF($T1362&lt;=60,peso05_k,peso510_k),1)),""))</f>
        <v/>
      </c>
      <c r="AM1362">
        <f>IF($AJ1362="","",IF($AJ1362=0,LN($F1362/$AK1362)/$AL1362,((($F1362/$AK1362)^$AJ1362)-1)/($AJ1362*$AL1362)))</f>
        <v/>
      </c>
      <c r="AN1362">
        <f>IF($AJ1362="","",IF($AJ1362=0,$AK1362*EXP($AL1362*2),$AK1362*(1+$AJ1362*$AL1362*2)^(1/$AJ1362)))</f>
        <v/>
      </c>
      <c r="AO1362">
        <f>IF($AJ1362="","",IF($AJ1362=0,$AK1362*EXP($AL1362*3),$AK1362*(1+$AJ1362*$AL1362*3)^(1/$AJ1362)))</f>
        <v/>
      </c>
      <c r="AP1362">
        <f>IF($AJ1362="","",IF($AJ1362=0,$AK1362*EXP($AL1362*-2),$AK1362*(1+$AJ1362*$AL1362*-2)^(1/$AJ1362)))</f>
        <v/>
      </c>
      <c r="AQ1362">
        <f>IF($AJ1362="","",IF($AJ1362=0,$AK1362*EXP($AL1362*-3),$AK1362*(1+$AJ1362*$AL1362*-3)^(1/$AJ1362)))</f>
        <v/>
      </c>
      <c r="AR1362">
        <f>IF(OR($X1362="",$T1362&gt;60),"",IFERROR(INDEX(IF($T1362&lt;24,pcomp_l,palt_l),MATCH($X1362,IF($T1362&lt;24,pcomp_k,palt_k),1)),""))</f>
        <v/>
      </c>
      <c r="AS1362">
        <f>IF(OR($X1362="",$T1362&gt;60),"",IFERROR(INDEX(IF($T1362&lt;24,pcomp_m,palt_m),MATCH($X1362,IF($T1362&lt;24,pcomp_k,palt_k),1)),""))</f>
        <v/>
      </c>
      <c r="AT1362">
        <f>IF(OR($X1362="",$T1362&gt;60),"",IFERROR(INDEX(IF($T1362&lt;24,pcomp_s,palt_s),MATCH($X1362,IF($T1362&lt;24,pcomp_k,palt_k),1)),""))</f>
        <v/>
      </c>
      <c r="AU1362">
        <f>IF($AR1362="","",IF($AR1362=0,LN($F1362/$AS1362)/$AT1362,((($F1362/$AS1362)^$AR1362)-1)/($AR1362*$AT1362)))</f>
        <v/>
      </c>
      <c r="AV1362">
        <f>IF($AR1362="","",IF($AR1362=0,$AS1362*EXP($AT1362*2),$AS1362*(1+$AR1362*$AT1362*2)^(1/$AR1362)))</f>
        <v/>
      </c>
      <c r="AW1362">
        <f>IF($AR1362="","",IF($AR1362=0,$AS1362*EXP($AT1362*3),$AS1362*(1+$AR1362*$AT1362*3)^(1/$AR1362)))</f>
        <v/>
      </c>
      <c r="AX1362">
        <f>IF($AR1362="","",IF($AR1362=0,$AS1362*EXP($AT1362*-2),$AS1362*(1+$AR1362*$AT1362*-2)^(1/$AR1362)))</f>
        <v/>
      </c>
      <c r="AY1362">
        <f>IF($AR1362="","",IF($AR1362=0,$AS1362*EXP($AT1362*-3),$AS1362*(1+$AR1362*$AT1362*-3)^(1/$AR1362)))</f>
        <v/>
      </c>
      <c r="AZ1362">
        <f>IF(OR($A1362="",$A1362&lt;&gt;Ficha!$C$4),"",COUNTIF($A$2:$A1362,Ficha!$C$4))</f>
        <v/>
      </c>
    </row>
    <row r="1363">
      <c r="A1363" s="8">
        <f>IF(INDEX(Banco!$A:$A,ROW())="","",INDEX(Banco!$A:$A,ROW()))</f>
        <v/>
      </c>
      <c r="B1363" s="8">
        <f>IF(INDEX(Banco!$B:$B,ROW())="","",INDEX(Banco!$B:$B,ROW()))</f>
        <v/>
      </c>
      <c r="C1363" s="8">
        <f>IF(INDEX(Banco!$C:$C,ROW())="","",INDEX(Banco!$C:$C,ROW()))</f>
        <v/>
      </c>
      <c r="D1363" s="9">
        <f>IF(INDEX(Banco!$D:$D,ROW())="","",INDEX(Banco!$D:$D,ROW()))</f>
        <v/>
      </c>
      <c r="E1363" s="9">
        <f>IF(INDEX(Banco!$E:$E,ROW())="","",INDEX(Banco!$E:$E,ROW()))</f>
        <v/>
      </c>
      <c r="F1363" s="10">
        <f>IF(INDEX(Banco!$F:$F,ROW())="","",INDEX(Banco!$F:$F,ROW()))</f>
        <v/>
      </c>
      <c r="G1363" s="10">
        <f>IF(INDEX(Banco!$G:$G,ROW())="","",INDEX(Banco!$G:$G,ROW()))</f>
        <v/>
      </c>
      <c r="H1363" s="8">
        <f>IF(INDEX(Banco!$H:$H,ROW())="","",INDEX(Banco!$H:$H,ROW()))</f>
        <v/>
      </c>
      <c r="I1363">
        <f>IF($T1363="","",INT($T1363/12)&amp;"a "&amp;MOD($T1363,12)&amp;"m")</f>
        <v/>
      </c>
      <c r="J1363" s="11">
        <f>IF(OR($F1363="",$G1363=""),"",ROUND($F1363/($G1363/100)^2,2))</f>
        <v/>
      </c>
      <c r="K1363" s="12">
        <f>IF(OR($S1363="",$J1363="",$T1363="",$T1363&lt;0,$T1363&gt;228,$Y1363=""),"—",ROUND(IF(ABS($AB1363)&lt;=3,$AB1363,IF($AB1363&gt;3,3+($J1363-$AD1363)/($AD1363-$AC1363),-3+($J1363-$AF1363)/($AE1363-$AF1363))),2))</f>
        <v/>
      </c>
      <c r="L1363">
        <f>IF(OR($K1363="",$K1363="—"),"",IF($T1363&lt;=60,IF($K1363&lt;-3,"Magreza acentuada",IF($K1363&lt;-2,"Magreza",IF($K1363&lt;=1,"Eutrofia",IF($K1363&lt;=2,"Risco de sobrepeso",IF($K1363&lt;=3,"Sobrepeso","Obesidade"))))),IF($K1363&lt;-3,"Magreza acentuada",IF($K1363&lt;-2,"Magreza",IF($K1363&lt;=1,"Eutrofia",IF($K1363&lt;=2,"Sobrepeso",IF($K1363&lt;=3,"Obesidade","Obesidade grave")))))))</f>
        <v/>
      </c>
      <c r="M1363" s="12">
        <f>IF(OR($S1363="",$V1363="",$T1363="",$T1363&lt;0,$T1363&gt;228,$AG1363=""),"—",ROUND(IF($AG1363=0,LN($V1363/$AH1363)/$AI1363,((($V1363/$AH1363)^$AG1363)-1)/($AG1363*$AI1363)),2))</f>
        <v/>
      </c>
      <c r="N1363">
        <f>IF(OR($M1363="",$M1363="—"),"",IF($M1363&lt;-3,"Muito baixa",IF($M1363&lt;-2,"Baixa","Adequada")))</f>
        <v/>
      </c>
      <c r="O1363" s="12">
        <f>IF(OR($S1363="",$F1363="",$T1363="",$T1363&lt;0,$T1363&gt;120,$AJ1363=""),"—",ROUND(IF(ABS($AM1363)&lt;=3,$AM1363,IF($AM1363&gt;3,3+($F1363-$AO1363)/($AO1363-$AN1363),-3+($F1363-$AQ1363)/($AP1363-$AQ1363))),2))</f>
        <v/>
      </c>
      <c r="P1363">
        <f>IF(OR($O1363="",$O1363="—"),"",IF($O1363&lt;-3,"Muito baixo",IF($O1363&lt;-2,"Baixo",IF($O1363&lt;=2,"Adequado","Elevado"))))</f>
        <v/>
      </c>
      <c r="Q1363" s="12">
        <f>IF(OR($S1363="",$F1363="",$T1363="",$T1363&lt;0,$T1363&gt;60,$AR1363=""),"—",ROUND(IF(ABS($AU1363)&lt;=3,$AU1363,IF($AU1363&gt;3,3+($F1363-$AW1363)/($AW1363-$AV1363),-3+($F1363-$AY1363)/($AX1363-$AY1363))),2))</f>
        <v/>
      </c>
      <c r="R1363">
        <f>IF(OR($Q1363="",$Q1363="—"),"",IF($Q1363&lt;-3,"Magreza acentuada",IF($Q1363&lt;-2,"Magreza",IF($Q1363&lt;=1,"Eutrofia",IF($Q1363&lt;=2,"Risco de sobrepeso",IF($Q1363&lt;=3,"Sobrepeso","Obesidade"))))))</f>
        <v/>
      </c>
      <c r="S1363">
        <f>IF($C1363="","",IF(UPPER(LEFT($C1363,1))="M",1,IF(UPPER(LEFT($C1363,1))="F",2,"")))</f>
        <v/>
      </c>
      <c r="T1363">
        <f>IF(OR($D1363="",$E1363=""),"",DATEDIF($D1363,$E1363,"m"))</f>
        <v/>
      </c>
      <c r="U1363">
        <f>IF(OR($D1363="",$E1363=""),"",$E1363-$D1363)</f>
        <v/>
      </c>
      <c r="V1363">
        <f>IF(OR($G1363="",$T1363=""),"",IF($T1363&lt;24,IF(LEFT(LOWER($H1363),4)="em p",$G1363+0.7,$G1363),IF(LEFT(LOWER($H1363),4)="deit",$G1363-0.7,$G1363)))</f>
        <v/>
      </c>
      <c r="W1363">
        <f>IF(OR($S1363="",$T1363=""),"",$S1363*1000000+IF($T1363&lt;=60,$U1363,$T1363))</f>
        <v/>
      </c>
      <c r="X1363">
        <f>IF(OR($S1363="",$V1363="",$T1363&gt;60,$T1363=""),"",$S1363*1000000+ROUND($V1363*10,0))</f>
        <v/>
      </c>
      <c r="Y1363">
        <f>IF($W1363="","",IFERROR(INDEX(IF($T1363&lt;=60,imc05_l,imc519_l),MATCH($W1363,IF($T1363&lt;=60,imc05_k,imc519_k),1)),""))</f>
        <v/>
      </c>
      <c r="Z1363">
        <f>IF($W1363="","",IFERROR(INDEX(IF($T1363&lt;=60,imc05_m,imc519_m),MATCH($W1363,IF($T1363&lt;=60,imc05_k,imc519_k),1)),""))</f>
        <v/>
      </c>
      <c r="AA1363">
        <f>IF($W1363="","",IFERROR(INDEX(IF($T1363&lt;=60,imc05_s,imc519_s),MATCH($W1363,IF($T1363&lt;=60,imc05_k,imc519_k),1)),""))</f>
        <v/>
      </c>
      <c r="AB1363">
        <f>IF($Y1363="","",IF($Y1363=0,LN($J1363/$Z1363)/$AA1363,((($J1363/$Z1363)^$Y1363)-1)/($Y1363*$AA1363)))</f>
        <v/>
      </c>
      <c r="AC1363">
        <f>IF($Y1363="","",IF($Y1363=0,$Z1363*EXP($AA1363*2),$Z1363*(1+$Y1363*$AA1363*2)^(1/$Y1363)))</f>
        <v/>
      </c>
      <c r="AD1363">
        <f>IF($Y1363="","",IF($Y1363=0,$Z1363*EXP($AA1363*3),$Z1363*(1+$Y1363*$AA1363*3)^(1/$Y1363)))</f>
        <v/>
      </c>
      <c r="AE1363">
        <f>IF($Y1363="","",IF($Y1363=0,$Z1363*EXP($AA1363*-2),$Z1363*(1+$Y1363*$AA1363*-2)^(1/$Y1363)))</f>
        <v/>
      </c>
      <c r="AF1363">
        <f>IF($Y1363="","",IF($Y1363=0,$Z1363*EXP($AA1363*-3),$Z1363*(1+$Y1363*$AA1363*-3)^(1/$Y1363)))</f>
        <v/>
      </c>
      <c r="AG1363">
        <f>IF($W1363="","",IFERROR(INDEX(IF($T1363&lt;=60,est05_l,est519_l),MATCH($W1363,IF($T1363&lt;=60,est05_k,est519_k),1)),""))</f>
        <v/>
      </c>
      <c r="AH1363">
        <f>IF($W1363="","",IFERROR(INDEX(IF($T1363&lt;=60,est05_m,est519_m),MATCH($W1363,IF($T1363&lt;=60,est05_k,est519_k),1)),""))</f>
        <v/>
      </c>
      <c r="AI1363">
        <f>IF($W1363="","",IFERROR(INDEX(IF($T1363&lt;=60,est05_s,est519_s),MATCH($W1363,IF($T1363&lt;=60,est05_k,est519_k),1)),""))</f>
        <v/>
      </c>
      <c r="AJ1363">
        <f>IF($W1363="","",IFERROR(INDEX(IF($T1363&lt;=60,peso05_l,peso510_l),MATCH($W1363,IF($T1363&lt;=60,peso05_k,peso510_k),1)),""))</f>
        <v/>
      </c>
      <c r="AK1363">
        <f>IF($W1363="","",IFERROR(INDEX(IF($T1363&lt;=60,peso05_m,peso510_m),MATCH($W1363,IF($T1363&lt;=60,peso05_k,peso510_k),1)),""))</f>
        <v/>
      </c>
      <c r="AL1363">
        <f>IF($W1363="","",IFERROR(INDEX(IF($T1363&lt;=60,peso05_s,peso510_s),MATCH($W1363,IF($T1363&lt;=60,peso05_k,peso510_k),1)),""))</f>
        <v/>
      </c>
      <c r="AM1363">
        <f>IF($AJ1363="","",IF($AJ1363=0,LN($F1363/$AK1363)/$AL1363,((($F1363/$AK1363)^$AJ1363)-1)/($AJ1363*$AL1363)))</f>
        <v/>
      </c>
      <c r="AN1363">
        <f>IF($AJ1363="","",IF($AJ1363=0,$AK1363*EXP($AL1363*2),$AK1363*(1+$AJ1363*$AL1363*2)^(1/$AJ1363)))</f>
        <v/>
      </c>
      <c r="AO1363">
        <f>IF($AJ1363="","",IF($AJ1363=0,$AK1363*EXP($AL1363*3),$AK1363*(1+$AJ1363*$AL1363*3)^(1/$AJ1363)))</f>
        <v/>
      </c>
      <c r="AP1363">
        <f>IF($AJ1363="","",IF($AJ1363=0,$AK1363*EXP($AL1363*-2),$AK1363*(1+$AJ1363*$AL1363*-2)^(1/$AJ1363)))</f>
        <v/>
      </c>
      <c r="AQ1363">
        <f>IF($AJ1363="","",IF($AJ1363=0,$AK1363*EXP($AL1363*-3),$AK1363*(1+$AJ1363*$AL1363*-3)^(1/$AJ1363)))</f>
        <v/>
      </c>
      <c r="AR1363">
        <f>IF(OR($X1363="",$T1363&gt;60),"",IFERROR(INDEX(IF($T1363&lt;24,pcomp_l,palt_l),MATCH($X1363,IF($T1363&lt;24,pcomp_k,palt_k),1)),""))</f>
        <v/>
      </c>
      <c r="AS1363">
        <f>IF(OR($X1363="",$T1363&gt;60),"",IFERROR(INDEX(IF($T1363&lt;24,pcomp_m,palt_m),MATCH($X1363,IF($T1363&lt;24,pcomp_k,palt_k),1)),""))</f>
        <v/>
      </c>
      <c r="AT1363">
        <f>IF(OR($X1363="",$T1363&gt;60),"",IFERROR(INDEX(IF($T1363&lt;24,pcomp_s,palt_s),MATCH($X1363,IF($T1363&lt;24,pcomp_k,palt_k),1)),""))</f>
        <v/>
      </c>
      <c r="AU1363">
        <f>IF($AR1363="","",IF($AR1363=0,LN($F1363/$AS1363)/$AT1363,((($F1363/$AS1363)^$AR1363)-1)/($AR1363*$AT1363)))</f>
        <v/>
      </c>
      <c r="AV1363">
        <f>IF($AR1363="","",IF($AR1363=0,$AS1363*EXP($AT1363*2),$AS1363*(1+$AR1363*$AT1363*2)^(1/$AR1363)))</f>
        <v/>
      </c>
      <c r="AW1363">
        <f>IF($AR1363="","",IF($AR1363=0,$AS1363*EXP($AT1363*3),$AS1363*(1+$AR1363*$AT1363*3)^(1/$AR1363)))</f>
        <v/>
      </c>
      <c r="AX1363">
        <f>IF($AR1363="","",IF($AR1363=0,$AS1363*EXP($AT1363*-2),$AS1363*(1+$AR1363*$AT1363*-2)^(1/$AR1363)))</f>
        <v/>
      </c>
      <c r="AY1363">
        <f>IF($AR1363="","",IF($AR1363=0,$AS1363*EXP($AT1363*-3),$AS1363*(1+$AR1363*$AT1363*-3)^(1/$AR1363)))</f>
        <v/>
      </c>
      <c r="AZ1363">
        <f>IF(OR($A1363="",$A1363&lt;&gt;Ficha!$C$4),"",COUNTIF($A$2:$A1363,Ficha!$C$4))</f>
        <v/>
      </c>
    </row>
    <row r="1364">
      <c r="A1364" s="8">
        <f>IF(INDEX(Banco!$A:$A,ROW())="","",INDEX(Banco!$A:$A,ROW()))</f>
        <v/>
      </c>
      <c r="B1364" s="8">
        <f>IF(INDEX(Banco!$B:$B,ROW())="","",INDEX(Banco!$B:$B,ROW()))</f>
        <v/>
      </c>
      <c r="C1364" s="8">
        <f>IF(INDEX(Banco!$C:$C,ROW())="","",INDEX(Banco!$C:$C,ROW()))</f>
        <v/>
      </c>
      <c r="D1364" s="9">
        <f>IF(INDEX(Banco!$D:$D,ROW())="","",INDEX(Banco!$D:$D,ROW()))</f>
        <v/>
      </c>
      <c r="E1364" s="9">
        <f>IF(INDEX(Banco!$E:$E,ROW())="","",INDEX(Banco!$E:$E,ROW()))</f>
        <v/>
      </c>
      <c r="F1364" s="10">
        <f>IF(INDEX(Banco!$F:$F,ROW())="","",INDEX(Banco!$F:$F,ROW()))</f>
        <v/>
      </c>
      <c r="G1364" s="10">
        <f>IF(INDEX(Banco!$G:$G,ROW())="","",INDEX(Banco!$G:$G,ROW()))</f>
        <v/>
      </c>
      <c r="H1364" s="8">
        <f>IF(INDEX(Banco!$H:$H,ROW())="","",INDEX(Banco!$H:$H,ROW()))</f>
        <v/>
      </c>
      <c r="I1364">
        <f>IF($T1364="","",INT($T1364/12)&amp;"a "&amp;MOD($T1364,12)&amp;"m")</f>
        <v/>
      </c>
      <c r="J1364" s="11">
        <f>IF(OR($F1364="",$G1364=""),"",ROUND($F1364/($G1364/100)^2,2))</f>
        <v/>
      </c>
      <c r="K1364" s="12">
        <f>IF(OR($S1364="",$J1364="",$T1364="",$T1364&lt;0,$T1364&gt;228,$Y1364=""),"—",ROUND(IF(ABS($AB1364)&lt;=3,$AB1364,IF($AB1364&gt;3,3+($J1364-$AD1364)/($AD1364-$AC1364),-3+($J1364-$AF1364)/($AE1364-$AF1364))),2))</f>
        <v/>
      </c>
      <c r="L1364">
        <f>IF(OR($K1364="",$K1364="—"),"",IF($T1364&lt;=60,IF($K1364&lt;-3,"Magreza acentuada",IF($K1364&lt;-2,"Magreza",IF($K1364&lt;=1,"Eutrofia",IF($K1364&lt;=2,"Risco de sobrepeso",IF($K1364&lt;=3,"Sobrepeso","Obesidade"))))),IF($K1364&lt;-3,"Magreza acentuada",IF($K1364&lt;-2,"Magreza",IF($K1364&lt;=1,"Eutrofia",IF($K1364&lt;=2,"Sobrepeso",IF($K1364&lt;=3,"Obesidade","Obesidade grave")))))))</f>
        <v/>
      </c>
      <c r="M1364" s="12">
        <f>IF(OR($S1364="",$V1364="",$T1364="",$T1364&lt;0,$T1364&gt;228,$AG1364=""),"—",ROUND(IF($AG1364=0,LN($V1364/$AH1364)/$AI1364,((($V1364/$AH1364)^$AG1364)-1)/($AG1364*$AI1364)),2))</f>
        <v/>
      </c>
      <c r="N1364">
        <f>IF(OR($M1364="",$M1364="—"),"",IF($M1364&lt;-3,"Muito baixa",IF($M1364&lt;-2,"Baixa","Adequada")))</f>
        <v/>
      </c>
      <c r="O1364" s="12">
        <f>IF(OR($S1364="",$F1364="",$T1364="",$T1364&lt;0,$T1364&gt;120,$AJ1364=""),"—",ROUND(IF(ABS($AM1364)&lt;=3,$AM1364,IF($AM1364&gt;3,3+($F1364-$AO1364)/($AO1364-$AN1364),-3+($F1364-$AQ1364)/($AP1364-$AQ1364))),2))</f>
        <v/>
      </c>
      <c r="P1364">
        <f>IF(OR($O1364="",$O1364="—"),"",IF($O1364&lt;-3,"Muito baixo",IF($O1364&lt;-2,"Baixo",IF($O1364&lt;=2,"Adequado","Elevado"))))</f>
        <v/>
      </c>
      <c r="Q1364" s="12">
        <f>IF(OR($S1364="",$F1364="",$T1364="",$T1364&lt;0,$T1364&gt;60,$AR1364=""),"—",ROUND(IF(ABS($AU1364)&lt;=3,$AU1364,IF($AU1364&gt;3,3+($F1364-$AW1364)/($AW1364-$AV1364),-3+($F1364-$AY1364)/($AX1364-$AY1364))),2))</f>
        <v/>
      </c>
      <c r="R1364">
        <f>IF(OR($Q1364="",$Q1364="—"),"",IF($Q1364&lt;-3,"Magreza acentuada",IF($Q1364&lt;-2,"Magreza",IF($Q1364&lt;=1,"Eutrofia",IF($Q1364&lt;=2,"Risco de sobrepeso",IF($Q1364&lt;=3,"Sobrepeso","Obesidade"))))))</f>
        <v/>
      </c>
      <c r="S1364">
        <f>IF($C1364="","",IF(UPPER(LEFT($C1364,1))="M",1,IF(UPPER(LEFT($C1364,1))="F",2,"")))</f>
        <v/>
      </c>
      <c r="T1364">
        <f>IF(OR($D1364="",$E1364=""),"",DATEDIF($D1364,$E1364,"m"))</f>
        <v/>
      </c>
      <c r="U1364">
        <f>IF(OR($D1364="",$E1364=""),"",$E1364-$D1364)</f>
        <v/>
      </c>
      <c r="V1364">
        <f>IF(OR($G1364="",$T1364=""),"",IF($T1364&lt;24,IF(LEFT(LOWER($H1364),4)="em p",$G1364+0.7,$G1364),IF(LEFT(LOWER($H1364),4)="deit",$G1364-0.7,$G1364)))</f>
        <v/>
      </c>
      <c r="W1364">
        <f>IF(OR($S1364="",$T1364=""),"",$S1364*1000000+IF($T1364&lt;=60,$U1364,$T1364))</f>
        <v/>
      </c>
      <c r="X1364">
        <f>IF(OR($S1364="",$V1364="",$T1364&gt;60,$T1364=""),"",$S1364*1000000+ROUND($V1364*10,0))</f>
        <v/>
      </c>
      <c r="Y1364">
        <f>IF($W1364="","",IFERROR(INDEX(IF($T1364&lt;=60,imc05_l,imc519_l),MATCH($W1364,IF($T1364&lt;=60,imc05_k,imc519_k),1)),""))</f>
        <v/>
      </c>
      <c r="Z1364">
        <f>IF($W1364="","",IFERROR(INDEX(IF($T1364&lt;=60,imc05_m,imc519_m),MATCH($W1364,IF($T1364&lt;=60,imc05_k,imc519_k),1)),""))</f>
        <v/>
      </c>
      <c r="AA1364">
        <f>IF($W1364="","",IFERROR(INDEX(IF($T1364&lt;=60,imc05_s,imc519_s),MATCH($W1364,IF($T1364&lt;=60,imc05_k,imc519_k),1)),""))</f>
        <v/>
      </c>
      <c r="AB1364">
        <f>IF($Y1364="","",IF($Y1364=0,LN($J1364/$Z1364)/$AA1364,((($J1364/$Z1364)^$Y1364)-1)/($Y1364*$AA1364)))</f>
        <v/>
      </c>
      <c r="AC1364">
        <f>IF($Y1364="","",IF($Y1364=0,$Z1364*EXP($AA1364*2),$Z1364*(1+$Y1364*$AA1364*2)^(1/$Y1364)))</f>
        <v/>
      </c>
      <c r="AD1364">
        <f>IF($Y1364="","",IF($Y1364=0,$Z1364*EXP($AA1364*3),$Z1364*(1+$Y1364*$AA1364*3)^(1/$Y1364)))</f>
        <v/>
      </c>
      <c r="AE1364">
        <f>IF($Y1364="","",IF($Y1364=0,$Z1364*EXP($AA1364*-2),$Z1364*(1+$Y1364*$AA1364*-2)^(1/$Y1364)))</f>
        <v/>
      </c>
      <c r="AF1364">
        <f>IF($Y1364="","",IF($Y1364=0,$Z1364*EXP($AA1364*-3),$Z1364*(1+$Y1364*$AA1364*-3)^(1/$Y1364)))</f>
        <v/>
      </c>
      <c r="AG1364">
        <f>IF($W1364="","",IFERROR(INDEX(IF($T1364&lt;=60,est05_l,est519_l),MATCH($W1364,IF($T1364&lt;=60,est05_k,est519_k),1)),""))</f>
        <v/>
      </c>
      <c r="AH1364">
        <f>IF($W1364="","",IFERROR(INDEX(IF($T1364&lt;=60,est05_m,est519_m),MATCH($W1364,IF($T1364&lt;=60,est05_k,est519_k),1)),""))</f>
        <v/>
      </c>
      <c r="AI1364">
        <f>IF($W1364="","",IFERROR(INDEX(IF($T1364&lt;=60,est05_s,est519_s),MATCH($W1364,IF($T1364&lt;=60,est05_k,est519_k),1)),""))</f>
        <v/>
      </c>
      <c r="AJ1364">
        <f>IF($W1364="","",IFERROR(INDEX(IF($T1364&lt;=60,peso05_l,peso510_l),MATCH($W1364,IF($T1364&lt;=60,peso05_k,peso510_k),1)),""))</f>
        <v/>
      </c>
      <c r="AK1364">
        <f>IF($W1364="","",IFERROR(INDEX(IF($T1364&lt;=60,peso05_m,peso510_m),MATCH($W1364,IF($T1364&lt;=60,peso05_k,peso510_k),1)),""))</f>
        <v/>
      </c>
      <c r="AL1364">
        <f>IF($W1364="","",IFERROR(INDEX(IF($T1364&lt;=60,peso05_s,peso510_s),MATCH($W1364,IF($T1364&lt;=60,peso05_k,peso510_k),1)),""))</f>
        <v/>
      </c>
      <c r="AM1364">
        <f>IF($AJ1364="","",IF($AJ1364=0,LN($F1364/$AK1364)/$AL1364,((($F1364/$AK1364)^$AJ1364)-1)/($AJ1364*$AL1364)))</f>
        <v/>
      </c>
      <c r="AN1364">
        <f>IF($AJ1364="","",IF($AJ1364=0,$AK1364*EXP($AL1364*2),$AK1364*(1+$AJ1364*$AL1364*2)^(1/$AJ1364)))</f>
        <v/>
      </c>
      <c r="AO1364">
        <f>IF($AJ1364="","",IF($AJ1364=0,$AK1364*EXP($AL1364*3),$AK1364*(1+$AJ1364*$AL1364*3)^(1/$AJ1364)))</f>
        <v/>
      </c>
      <c r="AP1364">
        <f>IF($AJ1364="","",IF($AJ1364=0,$AK1364*EXP($AL1364*-2),$AK1364*(1+$AJ1364*$AL1364*-2)^(1/$AJ1364)))</f>
        <v/>
      </c>
      <c r="AQ1364">
        <f>IF($AJ1364="","",IF($AJ1364=0,$AK1364*EXP($AL1364*-3),$AK1364*(1+$AJ1364*$AL1364*-3)^(1/$AJ1364)))</f>
        <v/>
      </c>
      <c r="AR1364">
        <f>IF(OR($X1364="",$T1364&gt;60),"",IFERROR(INDEX(IF($T1364&lt;24,pcomp_l,palt_l),MATCH($X1364,IF($T1364&lt;24,pcomp_k,palt_k),1)),""))</f>
        <v/>
      </c>
      <c r="AS1364">
        <f>IF(OR($X1364="",$T1364&gt;60),"",IFERROR(INDEX(IF($T1364&lt;24,pcomp_m,palt_m),MATCH($X1364,IF($T1364&lt;24,pcomp_k,palt_k),1)),""))</f>
        <v/>
      </c>
      <c r="AT1364">
        <f>IF(OR($X1364="",$T1364&gt;60),"",IFERROR(INDEX(IF($T1364&lt;24,pcomp_s,palt_s),MATCH($X1364,IF($T1364&lt;24,pcomp_k,palt_k),1)),""))</f>
        <v/>
      </c>
      <c r="AU1364">
        <f>IF($AR1364="","",IF($AR1364=0,LN($F1364/$AS1364)/$AT1364,((($F1364/$AS1364)^$AR1364)-1)/($AR1364*$AT1364)))</f>
        <v/>
      </c>
      <c r="AV1364">
        <f>IF($AR1364="","",IF($AR1364=0,$AS1364*EXP($AT1364*2),$AS1364*(1+$AR1364*$AT1364*2)^(1/$AR1364)))</f>
        <v/>
      </c>
      <c r="AW1364">
        <f>IF($AR1364="","",IF($AR1364=0,$AS1364*EXP($AT1364*3),$AS1364*(1+$AR1364*$AT1364*3)^(1/$AR1364)))</f>
        <v/>
      </c>
      <c r="AX1364">
        <f>IF($AR1364="","",IF($AR1364=0,$AS1364*EXP($AT1364*-2),$AS1364*(1+$AR1364*$AT1364*-2)^(1/$AR1364)))</f>
        <v/>
      </c>
      <c r="AY1364">
        <f>IF($AR1364="","",IF($AR1364=0,$AS1364*EXP($AT1364*-3),$AS1364*(1+$AR1364*$AT1364*-3)^(1/$AR1364)))</f>
        <v/>
      </c>
      <c r="AZ1364">
        <f>IF(OR($A1364="",$A1364&lt;&gt;Ficha!$C$4),"",COUNTIF($A$2:$A1364,Ficha!$C$4))</f>
        <v/>
      </c>
    </row>
    <row r="1365">
      <c r="A1365" s="8">
        <f>IF(INDEX(Banco!$A:$A,ROW())="","",INDEX(Banco!$A:$A,ROW()))</f>
        <v/>
      </c>
      <c r="B1365" s="8">
        <f>IF(INDEX(Banco!$B:$B,ROW())="","",INDEX(Banco!$B:$B,ROW()))</f>
        <v/>
      </c>
      <c r="C1365" s="8">
        <f>IF(INDEX(Banco!$C:$C,ROW())="","",INDEX(Banco!$C:$C,ROW()))</f>
        <v/>
      </c>
      <c r="D1365" s="9">
        <f>IF(INDEX(Banco!$D:$D,ROW())="","",INDEX(Banco!$D:$D,ROW()))</f>
        <v/>
      </c>
      <c r="E1365" s="9">
        <f>IF(INDEX(Banco!$E:$E,ROW())="","",INDEX(Banco!$E:$E,ROW()))</f>
        <v/>
      </c>
      <c r="F1365" s="10">
        <f>IF(INDEX(Banco!$F:$F,ROW())="","",INDEX(Banco!$F:$F,ROW()))</f>
        <v/>
      </c>
      <c r="G1365" s="10">
        <f>IF(INDEX(Banco!$G:$G,ROW())="","",INDEX(Banco!$G:$G,ROW()))</f>
        <v/>
      </c>
      <c r="H1365" s="8">
        <f>IF(INDEX(Banco!$H:$H,ROW())="","",INDEX(Banco!$H:$H,ROW()))</f>
        <v/>
      </c>
      <c r="I1365">
        <f>IF($T1365="","",INT($T1365/12)&amp;"a "&amp;MOD($T1365,12)&amp;"m")</f>
        <v/>
      </c>
      <c r="J1365" s="11">
        <f>IF(OR($F1365="",$G1365=""),"",ROUND($F1365/($G1365/100)^2,2))</f>
        <v/>
      </c>
      <c r="K1365" s="12">
        <f>IF(OR($S1365="",$J1365="",$T1365="",$T1365&lt;0,$T1365&gt;228,$Y1365=""),"—",ROUND(IF(ABS($AB1365)&lt;=3,$AB1365,IF($AB1365&gt;3,3+($J1365-$AD1365)/($AD1365-$AC1365),-3+($J1365-$AF1365)/($AE1365-$AF1365))),2))</f>
        <v/>
      </c>
      <c r="L1365">
        <f>IF(OR($K1365="",$K1365="—"),"",IF($T1365&lt;=60,IF($K1365&lt;-3,"Magreza acentuada",IF($K1365&lt;-2,"Magreza",IF($K1365&lt;=1,"Eutrofia",IF($K1365&lt;=2,"Risco de sobrepeso",IF($K1365&lt;=3,"Sobrepeso","Obesidade"))))),IF($K1365&lt;-3,"Magreza acentuada",IF($K1365&lt;-2,"Magreza",IF($K1365&lt;=1,"Eutrofia",IF($K1365&lt;=2,"Sobrepeso",IF($K1365&lt;=3,"Obesidade","Obesidade grave")))))))</f>
        <v/>
      </c>
      <c r="M1365" s="12">
        <f>IF(OR($S1365="",$V1365="",$T1365="",$T1365&lt;0,$T1365&gt;228,$AG1365=""),"—",ROUND(IF($AG1365=0,LN($V1365/$AH1365)/$AI1365,((($V1365/$AH1365)^$AG1365)-1)/($AG1365*$AI1365)),2))</f>
        <v/>
      </c>
      <c r="N1365">
        <f>IF(OR($M1365="",$M1365="—"),"",IF($M1365&lt;-3,"Muito baixa",IF($M1365&lt;-2,"Baixa","Adequada")))</f>
        <v/>
      </c>
      <c r="O1365" s="12">
        <f>IF(OR($S1365="",$F1365="",$T1365="",$T1365&lt;0,$T1365&gt;120,$AJ1365=""),"—",ROUND(IF(ABS($AM1365)&lt;=3,$AM1365,IF($AM1365&gt;3,3+($F1365-$AO1365)/($AO1365-$AN1365),-3+($F1365-$AQ1365)/($AP1365-$AQ1365))),2))</f>
        <v/>
      </c>
      <c r="P1365">
        <f>IF(OR($O1365="",$O1365="—"),"",IF($O1365&lt;-3,"Muito baixo",IF($O1365&lt;-2,"Baixo",IF($O1365&lt;=2,"Adequado","Elevado"))))</f>
        <v/>
      </c>
      <c r="Q1365" s="12">
        <f>IF(OR($S1365="",$F1365="",$T1365="",$T1365&lt;0,$T1365&gt;60,$AR1365=""),"—",ROUND(IF(ABS($AU1365)&lt;=3,$AU1365,IF($AU1365&gt;3,3+($F1365-$AW1365)/($AW1365-$AV1365),-3+($F1365-$AY1365)/($AX1365-$AY1365))),2))</f>
        <v/>
      </c>
      <c r="R1365">
        <f>IF(OR($Q1365="",$Q1365="—"),"",IF($Q1365&lt;-3,"Magreza acentuada",IF($Q1365&lt;-2,"Magreza",IF($Q1365&lt;=1,"Eutrofia",IF($Q1365&lt;=2,"Risco de sobrepeso",IF($Q1365&lt;=3,"Sobrepeso","Obesidade"))))))</f>
        <v/>
      </c>
      <c r="S1365">
        <f>IF($C1365="","",IF(UPPER(LEFT($C1365,1))="M",1,IF(UPPER(LEFT($C1365,1))="F",2,"")))</f>
        <v/>
      </c>
      <c r="T1365">
        <f>IF(OR($D1365="",$E1365=""),"",DATEDIF($D1365,$E1365,"m"))</f>
        <v/>
      </c>
      <c r="U1365">
        <f>IF(OR($D1365="",$E1365=""),"",$E1365-$D1365)</f>
        <v/>
      </c>
      <c r="V1365">
        <f>IF(OR($G1365="",$T1365=""),"",IF($T1365&lt;24,IF(LEFT(LOWER($H1365),4)="em p",$G1365+0.7,$G1365),IF(LEFT(LOWER($H1365),4)="deit",$G1365-0.7,$G1365)))</f>
        <v/>
      </c>
      <c r="W1365">
        <f>IF(OR($S1365="",$T1365=""),"",$S1365*1000000+IF($T1365&lt;=60,$U1365,$T1365))</f>
        <v/>
      </c>
      <c r="X1365">
        <f>IF(OR($S1365="",$V1365="",$T1365&gt;60,$T1365=""),"",$S1365*1000000+ROUND($V1365*10,0))</f>
        <v/>
      </c>
      <c r="Y1365">
        <f>IF($W1365="","",IFERROR(INDEX(IF($T1365&lt;=60,imc05_l,imc519_l),MATCH($W1365,IF($T1365&lt;=60,imc05_k,imc519_k),1)),""))</f>
        <v/>
      </c>
      <c r="Z1365">
        <f>IF($W1365="","",IFERROR(INDEX(IF($T1365&lt;=60,imc05_m,imc519_m),MATCH($W1365,IF($T1365&lt;=60,imc05_k,imc519_k),1)),""))</f>
        <v/>
      </c>
      <c r="AA1365">
        <f>IF($W1365="","",IFERROR(INDEX(IF($T1365&lt;=60,imc05_s,imc519_s),MATCH($W1365,IF($T1365&lt;=60,imc05_k,imc519_k),1)),""))</f>
        <v/>
      </c>
      <c r="AB1365">
        <f>IF($Y1365="","",IF($Y1365=0,LN($J1365/$Z1365)/$AA1365,((($J1365/$Z1365)^$Y1365)-1)/($Y1365*$AA1365)))</f>
        <v/>
      </c>
      <c r="AC1365">
        <f>IF($Y1365="","",IF($Y1365=0,$Z1365*EXP($AA1365*2),$Z1365*(1+$Y1365*$AA1365*2)^(1/$Y1365)))</f>
        <v/>
      </c>
      <c r="AD1365">
        <f>IF($Y1365="","",IF($Y1365=0,$Z1365*EXP($AA1365*3),$Z1365*(1+$Y1365*$AA1365*3)^(1/$Y1365)))</f>
        <v/>
      </c>
      <c r="AE1365">
        <f>IF($Y1365="","",IF($Y1365=0,$Z1365*EXP($AA1365*-2),$Z1365*(1+$Y1365*$AA1365*-2)^(1/$Y1365)))</f>
        <v/>
      </c>
      <c r="AF1365">
        <f>IF($Y1365="","",IF($Y1365=0,$Z1365*EXP($AA1365*-3),$Z1365*(1+$Y1365*$AA1365*-3)^(1/$Y1365)))</f>
        <v/>
      </c>
      <c r="AG1365">
        <f>IF($W1365="","",IFERROR(INDEX(IF($T1365&lt;=60,est05_l,est519_l),MATCH($W1365,IF($T1365&lt;=60,est05_k,est519_k),1)),""))</f>
        <v/>
      </c>
      <c r="AH1365">
        <f>IF($W1365="","",IFERROR(INDEX(IF($T1365&lt;=60,est05_m,est519_m),MATCH($W1365,IF($T1365&lt;=60,est05_k,est519_k),1)),""))</f>
        <v/>
      </c>
      <c r="AI1365">
        <f>IF($W1365="","",IFERROR(INDEX(IF($T1365&lt;=60,est05_s,est519_s),MATCH($W1365,IF($T1365&lt;=60,est05_k,est519_k),1)),""))</f>
        <v/>
      </c>
      <c r="AJ1365">
        <f>IF($W1365="","",IFERROR(INDEX(IF($T1365&lt;=60,peso05_l,peso510_l),MATCH($W1365,IF($T1365&lt;=60,peso05_k,peso510_k),1)),""))</f>
        <v/>
      </c>
      <c r="AK1365">
        <f>IF($W1365="","",IFERROR(INDEX(IF($T1365&lt;=60,peso05_m,peso510_m),MATCH($W1365,IF($T1365&lt;=60,peso05_k,peso510_k),1)),""))</f>
        <v/>
      </c>
      <c r="AL1365">
        <f>IF($W1365="","",IFERROR(INDEX(IF($T1365&lt;=60,peso05_s,peso510_s),MATCH($W1365,IF($T1365&lt;=60,peso05_k,peso510_k),1)),""))</f>
        <v/>
      </c>
      <c r="AM1365">
        <f>IF($AJ1365="","",IF($AJ1365=0,LN($F1365/$AK1365)/$AL1365,((($F1365/$AK1365)^$AJ1365)-1)/($AJ1365*$AL1365)))</f>
        <v/>
      </c>
      <c r="AN1365">
        <f>IF($AJ1365="","",IF($AJ1365=0,$AK1365*EXP($AL1365*2),$AK1365*(1+$AJ1365*$AL1365*2)^(1/$AJ1365)))</f>
        <v/>
      </c>
      <c r="AO1365">
        <f>IF($AJ1365="","",IF($AJ1365=0,$AK1365*EXP($AL1365*3),$AK1365*(1+$AJ1365*$AL1365*3)^(1/$AJ1365)))</f>
        <v/>
      </c>
      <c r="AP1365">
        <f>IF($AJ1365="","",IF($AJ1365=0,$AK1365*EXP($AL1365*-2),$AK1365*(1+$AJ1365*$AL1365*-2)^(1/$AJ1365)))</f>
        <v/>
      </c>
      <c r="AQ1365">
        <f>IF($AJ1365="","",IF($AJ1365=0,$AK1365*EXP($AL1365*-3),$AK1365*(1+$AJ1365*$AL1365*-3)^(1/$AJ1365)))</f>
        <v/>
      </c>
      <c r="AR1365">
        <f>IF(OR($X1365="",$T1365&gt;60),"",IFERROR(INDEX(IF($T1365&lt;24,pcomp_l,palt_l),MATCH($X1365,IF($T1365&lt;24,pcomp_k,palt_k),1)),""))</f>
        <v/>
      </c>
      <c r="AS1365">
        <f>IF(OR($X1365="",$T1365&gt;60),"",IFERROR(INDEX(IF($T1365&lt;24,pcomp_m,palt_m),MATCH($X1365,IF($T1365&lt;24,pcomp_k,palt_k),1)),""))</f>
        <v/>
      </c>
      <c r="AT1365">
        <f>IF(OR($X1365="",$T1365&gt;60),"",IFERROR(INDEX(IF($T1365&lt;24,pcomp_s,palt_s),MATCH($X1365,IF($T1365&lt;24,pcomp_k,palt_k),1)),""))</f>
        <v/>
      </c>
      <c r="AU1365">
        <f>IF($AR1365="","",IF($AR1365=0,LN($F1365/$AS1365)/$AT1365,((($F1365/$AS1365)^$AR1365)-1)/($AR1365*$AT1365)))</f>
        <v/>
      </c>
      <c r="AV1365">
        <f>IF($AR1365="","",IF($AR1365=0,$AS1365*EXP($AT1365*2),$AS1365*(1+$AR1365*$AT1365*2)^(1/$AR1365)))</f>
        <v/>
      </c>
      <c r="AW1365">
        <f>IF($AR1365="","",IF($AR1365=0,$AS1365*EXP($AT1365*3),$AS1365*(1+$AR1365*$AT1365*3)^(1/$AR1365)))</f>
        <v/>
      </c>
      <c r="AX1365">
        <f>IF($AR1365="","",IF($AR1365=0,$AS1365*EXP($AT1365*-2),$AS1365*(1+$AR1365*$AT1365*-2)^(1/$AR1365)))</f>
        <v/>
      </c>
      <c r="AY1365">
        <f>IF($AR1365="","",IF($AR1365=0,$AS1365*EXP($AT1365*-3),$AS1365*(1+$AR1365*$AT1365*-3)^(1/$AR1365)))</f>
        <v/>
      </c>
      <c r="AZ1365">
        <f>IF(OR($A1365="",$A1365&lt;&gt;Ficha!$C$4),"",COUNTIF($A$2:$A1365,Ficha!$C$4))</f>
        <v/>
      </c>
    </row>
    <row r="1366">
      <c r="A1366" s="8">
        <f>IF(INDEX(Banco!$A:$A,ROW())="","",INDEX(Banco!$A:$A,ROW()))</f>
        <v/>
      </c>
      <c r="B1366" s="8">
        <f>IF(INDEX(Banco!$B:$B,ROW())="","",INDEX(Banco!$B:$B,ROW()))</f>
        <v/>
      </c>
      <c r="C1366" s="8">
        <f>IF(INDEX(Banco!$C:$C,ROW())="","",INDEX(Banco!$C:$C,ROW()))</f>
        <v/>
      </c>
      <c r="D1366" s="9">
        <f>IF(INDEX(Banco!$D:$D,ROW())="","",INDEX(Banco!$D:$D,ROW()))</f>
        <v/>
      </c>
      <c r="E1366" s="9">
        <f>IF(INDEX(Banco!$E:$E,ROW())="","",INDEX(Banco!$E:$E,ROW()))</f>
        <v/>
      </c>
      <c r="F1366" s="10">
        <f>IF(INDEX(Banco!$F:$F,ROW())="","",INDEX(Banco!$F:$F,ROW()))</f>
        <v/>
      </c>
      <c r="G1366" s="10">
        <f>IF(INDEX(Banco!$G:$G,ROW())="","",INDEX(Banco!$G:$G,ROW()))</f>
        <v/>
      </c>
      <c r="H1366" s="8">
        <f>IF(INDEX(Banco!$H:$H,ROW())="","",INDEX(Banco!$H:$H,ROW()))</f>
        <v/>
      </c>
      <c r="I1366">
        <f>IF($T1366="","",INT($T1366/12)&amp;"a "&amp;MOD($T1366,12)&amp;"m")</f>
        <v/>
      </c>
      <c r="J1366" s="11">
        <f>IF(OR($F1366="",$G1366=""),"",ROUND($F1366/($G1366/100)^2,2))</f>
        <v/>
      </c>
      <c r="K1366" s="12">
        <f>IF(OR($S1366="",$J1366="",$T1366="",$T1366&lt;0,$T1366&gt;228,$Y1366=""),"—",ROUND(IF(ABS($AB1366)&lt;=3,$AB1366,IF($AB1366&gt;3,3+($J1366-$AD1366)/($AD1366-$AC1366),-3+($J1366-$AF1366)/($AE1366-$AF1366))),2))</f>
        <v/>
      </c>
      <c r="L1366">
        <f>IF(OR($K1366="",$K1366="—"),"",IF($T1366&lt;=60,IF($K1366&lt;-3,"Magreza acentuada",IF($K1366&lt;-2,"Magreza",IF($K1366&lt;=1,"Eutrofia",IF($K1366&lt;=2,"Risco de sobrepeso",IF($K1366&lt;=3,"Sobrepeso","Obesidade"))))),IF($K1366&lt;-3,"Magreza acentuada",IF($K1366&lt;-2,"Magreza",IF($K1366&lt;=1,"Eutrofia",IF($K1366&lt;=2,"Sobrepeso",IF($K1366&lt;=3,"Obesidade","Obesidade grave")))))))</f>
        <v/>
      </c>
      <c r="M1366" s="12">
        <f>IF(OR($S1366="",$V1366="",$T1366="",$T1366&lt;0,$T1366&gt;228,$AG1366=""),"—",ROUND(IF($AG1366=0,LN($V1366/$AH1366)/$AI1366,((($V1366/$AH1366)^$AG1366)-1)/($AG1366*$AI1366)),2))</f>
        <v/>
      </c>
      <c r="N1366">
        <f>IF(OR($M1366="",$M1366="—"),"",IF($M1366&lt;-3,"Muito baixa",IF($M1366&lt;-2,"Baixa","Adequada")))</f>
        <v/>
      </c>
      <c r="O1366" s="12">
        <f>IF(OR($S1366="",$F1366="",$T1366="",$T1366&lt;0,$T1366&gt;120,$AJ1366=""),"—",ROUND(IF(ABS($AM1366)&lt;=3,$AM1366,IF($AM1366&gt;3,3+($F1366-$AO1366)/($AO1366-$AN1366),-3+($F1366-$AQ1366)/($AP1366-$AQ1366))),2))</f>
        <v/>
      </c>
      <c r="P1366">
        <f>IF(OR($O1366="",$O1366="—"),"",IF($O1366&lt;-3,"Muito baixo",IF($O1366&lt;-2,"Baixo",IF($O1366&lt;=2,"Adequado","Elevado"))))</f>
        <v/>
      </c>
      <c r="Q1366" s="12">
        <f>IF(OR($S1366="",$F1366="",$T1366="",$T1366&lt;0,$T1366&gt;60,$AR1366=""),"—",ROUND(IF(ABS($AU1366)&lt;=3,$AU1366,IF($AU1366&gt;3,3+($F1366-$AW1366)/($AW1366-$AV1366),-3+($F1366-$AY1366)/($AX1366-$AY1366))),2))</f>
        <v/>
      </c>
      <c r="R1366">
        <f>IF(OR($Q1366="",$Q1366="—"),"",IF($Q1366&lt;-3,"Magreza acentuada",IF($Q1366&lt;-2,"Magreza",IF($Q1366&lt;=1,"Eutrofia",IF($Q1366&lt;=2,"Risco de sobrepeso",IF($Q1366&lt;=3,"Sobrepeso","Obesidade"))))))</f>
        <v/>
      </c>
      <c r="S1366">
        <f>IF($C1366="","",IF(UPPER(LEFT($C1366,1))="M",1,IF(UPPER(LEFT($C1366,1))="F",2,"")))</f>
        <v/>
      </c>
      <c r="T1366">
        <f>IF(OR($D1366="",$E1366=""),"",DATEDIF($D1366,$E1366,"m"))</f>
        <v/>
      </c>
      <c r="U1366">
        <f>IF(OR($D1366="",$E1366=""),"",$E1366-$D1366)</f>
        <v/>
      </c>
      <c r="V1366">
        <f>IF(OR($G1366="",$T1366=""),"",IF($T1366&lt;24,IF(LEFT(LOWER($H1366),4)="em p",$G1366+0.7,$G1366),IF(LEFT(LOWER($H1366),4)="deit",$G1366-0.7,$G1366)))</f>
        <v/>
      </c>
      <c r="W1366">
        <f>IF(OR($S1366="",$T1366=""),"",$S1366*1000000+IF($T1366&lt;=60,$U1366,$T1366))</f>
        <v/>
      </c>
      <c r="X1366">
        <f>IF(OR($S1366="",$V1366="",$T1366&gt;60,$T1366=""),"",$S1366*1000000+ROUND($V1366*10,0))</f>
        <v/>
      </c>
      <c r="Y1366">
        <f>IF($W1366="","",IFERROR(INDEX(IF($T1366&lt;=60,imc05_l,imc519_l),MATCH($W1366,IF($T1366&lt;=60,imc05_k,imc519_k),1)),""))</f>
        <v/>
      </c>
      <c r="Z1366">
        <f>IF($W1366="","",IFERROR(INDEX(IF($T1366&lt;=60,imc05_m,imc519_m),MATCH($W1366,IF($T1366&lt;=60,imc05_k,imc519_k),1)),""))</f>
        <v/>
      </c>
      <c r="AA1366">
        <f>IF($W1366="","",IFERROR(INDEX(IF($T1366&lt;=60,imc05_s,imc519_s),MATCH($W1366,IF($T1366&lt;=60,imc05_k,imc519_k),1)),""))</f>
        <v/>
      </c>
      <c r="AB1366">
        <f>IF($Y1366="","",IF($Y1366=0,LN($J1366/$Z1366)/$AA1366,((($J1366/$Z1366)^$Y1366)-1)/($Y1366*$AA1366)))</f>
        <v/>
      </c>
      <c r="AC1366">
        <f>IF($Y1366="","",IF($Y1366=0,$Z1366*EXP($AA1366*2),$Z1366*(1+$Y1366*$AA1366*2)^(1/$Y1366)))</f>
        <v/>
      </c>
      <c r="AD1366">
        <f>IF($Y1366="","",IF($Y1366=0,$Z1366*EXP($AA1366*3),$Z1366*(1+$Y1366*$AA1366*3)^(1/$Y1366)))</f>
        <v/>
      </c>
      <c r="AE1366">
        <f>IF($Y1366="","",IF($Y1366=0,$Z1366*EXP($AA1366*-2),$Z1366*(1+$Y1366*$AA1366*-2)^(1/$Y1366)))</f>
        <v/>
      </c>
      <c r="AF1366">
        <f>IF($Y1366="","",IF($Y1366=0,$Z1366*EXP($AA1366*-3),$Z1366*(1+$Y1366*$AA1366*-3)^(1/$Y1366)))</f>
        <v/>
      </c>
      <c r="AG1366">
        <f>IF($W1366="","",IFERROR(INDEX(IF($T1366&lt;=60,est05_l,est519_l),MATCH($W1366,IF($T1366&lt;=60,est05_k,est519_k),1)),""))</f>
        <v/>
      </c>
      <c r="AH1366">
        <f>IF($W1366="","",IFERROR(INDEX(IF($T1366&lt;=60,est05_m,est519_m),MATCH($W1366,IF($T1366&lt;=60,est05_k,est519_k),1)),""))</f>
        <v/>
      </c>
      <c r="AI1366">
        <f>IF($W1366="","",IFERROR(INDEX(IF($T1366&lt;=60,est05_s,est519_s),MATCH($W1366,IF($T1366&lt;=60,est05_k,est519_k),1)),""))</f>
        <v/>
      </c>
      <c r="AJ1366">
        <f>IF($W1366="","",IFERROR(INDEX(IF($T1366&lt;=60,peso05_l,peso510_l),MATCH($W1366,IF($T1366&lt;=60,peso05_k,peso510_k),1)),""))</f>
        <v/>
      </c>
      <c r="AK1366">
        <f>IF($W1366="","",IFERROR(INDEX(IF($T1366&lt;=60,peso05_m,peso510_m),MATCH($W1366,IF($T1366&lt;=60,peso05_k,peso510_k),1)),""))</f>
        <v/>
      </c>
      <c r="AL1366">
        <f>IF($W1366="","",IFERROR(INDEX(IF($T1366&lt;=60,peso05_s,peso510_s),MATCH($W1366,IF($T1366&lt;=60,peso05_k,peso510_k),1)),""))</f>
        <v/>
      </c>
      <c r="AM1366">
        <f>IF($AJ1366="","",IF($AJ1366=0,LN($F1366/$AK1366)/$AL1366,((($F1366/$AK1366)^$AJ1366)-1)/($AJ1366*$AL1366)))</f>
        <v/>
      </c>
      <c r="AN1366">
        <f>IF($AJ1366="","",IF($AJ1366=0,$AK1366*EXP($AL1366*2),$AK1366*(1+$AJ1366*$AL1366*2)^(1/$AJ1366)))</f>
        <v/>
      </c>
      <c r="AO1366">
        <f>IF($AJ1366="","",IF($AJ1366=0,$AK1366*EXP($AL1366*3),$AK1366*(1+$AJ1366*$AL1366*3)^(1/$AJ1366)))</f>
        <v/>
      </c>
      <c r="AP1366">
        <f>IF($AJ1366="","",IF($AJ1366=0,$AK1366*EXP($AL1366*-2),$AK1366*(1+$AJ1366*$AL1366*-2)^(1/$AJ1366)))</f>
        <v/>
      </c>
      <c r="AQ1366">
        <f>IF($AJ1366="","",IF($AJ1366=0,$AK1366*EXP($AL1366*-3),$AK1366*(1+$AJ1366*$AL1366*-3)^(1/$AJ1366)))</f>
        <v/>
      </c>
      <c r="AR1366">
        <f>IF(OR($X1366="",$T1366&gt;60),"",IFERROR(INDEX(IF($T1366&lt;24,pcomp_l,palt_l),MATCH($X1366,IF($T1366&lt;24,pcomp_k,palt_k),1)),""))</f>
        <v/>
      </c>
      <c r="AS1366">
        <f>IF(OR($X1366="",$T1366&gt;60),"",IFERROR(INDEX(IF($T1366&lt;24,pcomp_m,palt_m),MATCH($X1366,IF($T1366&lt;24,pcomp_k,palt_k),1)),""))</f>
        <v/>
      </c>
      <c r="AT1366">
        <f>IF(OR($X1366="",$T1366&gt;60),"",IFERROR(INDEX(IF($T1366&lt;24,pcomp_s,palt_s),MATCH($X1366,IF($T1366&lt;24,pcomp_k,palt_k),1)),""))</f>
        <v/>
      </c>
      <c r="AU1366">
        <f>IF($AR1366="","",IF($AR1366=0,LN($F1366/$AS1366)/$AT1366,((($F1366/$AS1366)^$AR1366)-1)/($AR1366*$AT1366)))</f>
        <v/>
      </c>
      <c r="AV1366">
        <f>IF($AR1366="","",IF($AR1366=0,$AS1366*EXP($AT1366*2),$AS1366*(1+$AR1366*$AT1366*2)^(1/$AR1366)))</f>
        <v/>
      </c>
      <c r="AW1366">
        <f>IF($AR1366="","",IF($AR1366=0,$AS1366*EXP($AT1366*3),$AS1366*(1+$AR1366*$AT1366*3)^(1/$AR1366)))</f>
        <v/>
      </c>
      <c r="AX1366">
        <f>IF($AR1366="","",IF($AR1366=0,$AS1366*EXP($AT1366*-2),$AS1366*(1+$AR1366*$AT1366*-2)^(1/$AR1366)))</f>
        <v/>
      </c>
      <c r="AY1366">
        <f>IF($AR1366="","",IF($AR1366=0,$AS1366*EXP($AT1366*-3),$AS1366*(1+$AR1366*$AT1366*-3)^(1/$AR1366)))</f>
        <v/>
      </c>
      <c r="AZ1366">
        <f>IF(OR($A1366="",$A1366&lt;&gt;Ficha!$C$4),"",COUNTIF($A$2:$A1366,Ficha!$C$4))</f>
        <v/>
      </c>
    </row>
    <row r="1367">
      <c r="A1367" s="8">
        <f>IF(INDEX(Banco!$A:$A,ROW())="","",INDEX(Banco!$A:$A,ROW()))</f>
        <v/>
      </c>
      <c r="B1367" s="8">
        <f>IF(INDEX(Banco!$B:$B,ROW())="","",INDEX(Banco!$B:$B,ROW()))</f>
        <v/>
      </c>
      <c r="C1367" s="8">
        <f>IF(INDEX(Banco!$C:$C,ROW())="","",INDEX(Banco!$C:$C,ROW()))</f>
        <v/>
      </c>
      <c r="D1367" s="9">
        <f>IF(INDEX(Banco!$D:$D,ROW())="","",INDEX(Banco!$D:$D,ROW()))</f>
        <v/>
      </c>
      <c r="E1367" s="9">
        <f>IF(INDEX(Banco!$E:$E,ROW())="","",INDEX(Banco!$E:$E,ROW()))</f>
        <v/>
      </c>
      <c r="F1367" s="10">
        <f>IF(INDEX(Banco!$F:$F,ROW())="","",INDEX(Banco!$F:$F,ROW()))</f>
        <v/>
      </c>
      <c r="G1367" s="10">
        <f>IF(INDEX(Banco!$G:$G,ROW())="","",INDEX(Banco!$G:$G,ROW()))</f>
        <v/>
      </c>
      <c r="H1367" s="8">
        <f>IF(INDEX(Banco!$H:$H,ROW())="","",INDEX(Banco!$H:$H,ROW()))</f>
        <v/>
      </c>
      <c r="I1367">
        <f>IF($T1367="","",INT($T1367/12)&amp;"a "&amp;MOD($T1367,12)&amp;"m")</f>
        <v/>
      </c>
      <c r="J1367" s="11">
        <f>IF(OR($F1367="",$G1367=""),"",ROUND($F1367/($G1367/100)^2,2))</f>
        <v/>
      </c>
      <c r="K1367" s="12">
        <f>IF(OR($S1367="",$J1367="",$T1367="",$T1367&lt;0,$T1367&gt;228,$Y1367=""),"—",ROUND(IF(ABS($AB1367)&lt;=3,$AB1367,IF($AB1367&gt;3,3+($J1367-$AD1367)/($AD1367-$AC1367),-3+($J1367-$AF1367)/($AE1367-$AF1367))),2))</f>
        <v/>
      </c>
      <c r="L1367">
        <f>IF(OR($K1367="",$K1367="—"),"",IF($T1367&lt;=60,IF($K1367&lt;-3,"Magreza acentuada",IF($K1367&lt;-2,"Magreza",IF($K1367&lt;=1,"Eutrofia",IF($K1367&lt;=2,"Risco de sobrepeso",IF($K1367&lt;=3,"Sobrepeso","Obesidade"))))),IF($K1367&lt;-3,"Magreza acentuada",IF($K1367&lt;-2,"Magreza",IF($K1367&lt;=1,"Eutrofia",IF($K1367&lt;=2,"Sobrepeso",IF($K1367&lt;=3,"Obesidade","Obesidade grave")))))))</f>
        <v/>
      </c>
      <c r="M1367" s="12">
        <f>IF(OR($S1367="",$V1367="",$T1367="",$T1367&lt;0,$T1367&gt;228,$AG1367=""),"—",ROUND(IF($AG1367=0,LN($V1367/$AH1367)/$AI1367,((($V1367/$AH1367)^$AG1367)-1)/($AG1367*$AI1367)),2))</f>
        <v/>
      </c>
      <c r="N1367">
        <f>IF(OR($M1367="",$M1367="—"),"",IF($M1367&lt;-3,"Muito baixa",IF($M1367&lt;-2,"Baixa","Adequada")))</f>
        <v/>
      </c>
      <c r="O1367" s="12">
        <f>IF(OR($S1367="",$F1367="",$T1367="",$T1367&lt;0,$T1367&gt;120,$AJ1367=""),"—",ROUND(IF(ABS($AM1367)&lt;=3,$AM1367,IF($AM1367&gt;3,3+($F1367-$AO1367)/($AO1367-$AN1367),-3+($F1367-$AQ1367)/($AP1367-$AQ1367))),2))</f>
        <v/>
      </c>
      <c r="P1367">
        <f>IF(OR($O1367="",$O1367="—"),"",IF($O1367&lt;-3,"Muito baixo",IF($O1367&lt;-2,"Baixo",IF($O1367&lt;=2,"Adequado","Elevado"))))</f>
        <v/>
      </c>
      <c r="Q1367" s="12">
        <f>IF(OR($S1367="",$F1367="",$T1367="",$T1367&lt;0,$T1367&gt;60,$AR1367=""),"—",ROUND(IF(ABS($AU1367)&lt;=3,$AU1367,IF($AU1367&gt;3,3+($F1367-$AW1367)/($AW1367-$AV1367),-3+($F1367-$AY1367)/($AX1367-$AY1367))),2))</f>
        <v/>
      </c>
      <c r="R1367">
        <f>IF(OR($Q1367="",$Q1367="—"),"",IF($Q1367&lt;-3,"Magreza acentuada",IF($Q1367&lt;-2,"Magreza",IF($Q1367&lt;=1,"Eutrofia",IF($Q1367&lt;=2,"Risco de sobrepeso",IF($Q1367&lt;=3,"Sobrepeso","Obesidade"))))))</f>
        <v/>
      </c>
      <c r="S1367">
        <f>IF($C1367="","",IF(UPPER(LEFT($C1367,1))="M",1,IF(UPPER(LEFT($C1367,1))="F",2,"")))</f>
        <v/>
      </c>
      <c r="T1367">
        <f>IF(OR($D1367="",$E1367=""),"",DATEDIF($D1367,$E1367,"m"))</f>
        <v/>
      </c>
      <c r="U1367">
        <f>IF(OR($D1367="",$E1367=""),"",$E1367-$D1367)</f>
        <v/>
      </c>
      <c r="V1367">
        <f>IF(OR($G1367="",$T1367=""),"",IF($T1367&lt;24,IF(LEFT(LOWER($H1367),4)="em p",$G1367+0.7,$G1367),IF(LEFT(LOWER($H1367),4)="deit",$G1367-0.7,$G1367)))</f>
        <v/>
      </c>
      <c r="W1367">
        <f>IF(OR($S1367="",$T1367=""),"",$S1367*1000000+IF($T1367&lt;=60,$U1367,$T1367))</f>
        <v/>
      </c>
      <c r="X1367">
        <f>IF(OR($S1367="",$V1367="",$T1367&gt;60,$T1367=""),"",$S1367*1000000+ROUND($V1367*10,0))</f>
        <v/>
      </c>
      <c r="Y1367">
        <f>IF($W1367="","",IFERROR(INDEX(IF($T1367&lt;=60,imc05_l,imc519_l),MATCH($W1367,IF($T1367&lt;=60,imc05_k,imc519_k),1)),""))</f>
        <v/>
      </c>
      <c r="Z1367">
        <f>IF($W1367="","",IFERROR(INDEX(IF($T1367&lt;=60,imc05_m,imc519_m),MATCH($W1367,IF($T1367&lt;=60,imc05_k,imc519_k),1)),""))</f>
        <v/>
      </c>
      <c r="AA1367">
        <f>IF($W1367="","",IFERROR(INDEX(IF($T1367&lt;=60,imc05_s,imc519_s),MATCH($W1367,IF($T1367&lt;=60,imc05_k,imc519_k),1)),""))</f>
        <v/>
      </c>
      <c r="AB1367">
        <f>IF($Y1367="","",IF($Y1367=0,LN($J1367/$Z1367)/$AA1367,((($J1367/$Z1367)^$Y1367)-1)/($Y1367*$AA1367)))</f>
        <v/>
      </c>
      <c r="AC1367">
        <f>IF($Y1367="","",IF($Y1367=0,$Z1367*EXP($AA1367*2),$Z1367*(1+$Y1367*$AA1367*2)^(1/$Y1367)))</f>
        <v/>
      </c>
      <c r="AD1367">
        <f>IF($Y1367="","",IF($Y1367=0,$Z1367*EXP($AA1367*3),$Z1367*(1+$Y1367*$AA1367*3)^(1/$Y1367)))</f>
        <v/>
      </c>
      <c r="AE1367">
        <f>IF($Y1367="","",IF($Y1367=0,$Z1367*EXP($AA1367*-2),$Z1367*(1+$Y1367*$AA1367*-2)^(1/$Y1367)))</f>
        <v/>
      </c>
      <c r="AF1367">
        <f>IF($Y1367="","",IF($Y1367=0,$Z1367*EXP($AA1367*-3),$Z1367*(1+$Y1367*$AA1367*-3)^(1/$Y1367)))</f>
        <v/>
      </c>
      <c r="AG1367">
        <f>IF($W1367="","",IFERROR(INDEX(IF($T1367&lt;=60,est05_l,est519_l),MATCH($W1367,IF($T1367&lt;=60,est05_k,est519_k),1)),""))</f>
        <v/>
      </c>
      <c r="AH1367">
        <f>IF($W1367="","",IFERROR(INDEX(IF($T1367&lt;=60,est05_m,est519_m),MATCH($W1367,IF($T1367&lt;=60,est05_k,est519_k),1)),""))</f>
        <v/>
      </c>
      <c r="AI1367">
        <f>IF($W1367="","",IFERROR(INDEX(IF($T1367&lt;=60,est05_s,est519_s),MATCH($W1367,IF($T1367&lt;=60,est05_k,est519_k),1)),""))</f>
        <v/>
      </c>
      <c r="AJ1367">
        <f>IF($W1367="","",IFERROR(INDEX(IF($T1367&lt;=60,peso05_l,peso510_l),MATCH($W1367,IF($T1367&lt;=60,peso05_k,peso510_k),1)),""))</f>
        <v/>
      </c>
      <c r="AK1367">
        <f>IF($W1367="","",IFERROR(INDEX(IF($T1367&lt;=60,peso05_m,peso510_m),MATCH($W1367,IF($T1367&lt;=60,peso05_k,peso510_k),1)),""))</f>
        <v/>
      </c>
      <c r="AL1367">
        <f>IF($W1367="","",IFERROR(INDEX(IF($T1367&lt;=60,peso05_s,peso510_s),MATCH($W1367,IF($T1367&lt;=60,peso05_k,peso510_k),1)),""))</f>
        <v/>
      </c>
      <c r="AM1367">
        <f>IF($AJ1367="","",IF($AJ1367=0,LN($F1367/$AK1367)/$AL1367,((($F1367/$AK1367)^$AJ1367)-1)/($AJ1367*$AL1367)))</f>
        <v/>
      </c>
      <c r="AN1367">
        <f>IF($AJ1367="","",IF($AJ1367=0,$AK1367*EXP($AL1367*2),$AK1367*(1+$AJ1367*$AL1367*2)^(1/$AJ1367)))</f>
        <v/>
      </c>
      <c r="AO1367">
        <f>IF($AJ1367="","",IF($AJ1367=0,$AK1367*EXP($AL1367*3),$AK1367*(1+$AJ1367*$AL1367*3)^(1/$AJ1367)))</f>
        <v/>
      </c>
      <c r="AP1367">
        <f>IF($AJ1367="","",IF($AJ1367=0,$AK1367*EXP($AL1367*-2),$AK1367*(1+$AJ1367*$AL1367*-2)^(1/$AJ1367)))</f>
        <v/>
      </c>
      <c r="AQ1367">
        <f>IF($AJ1367="","",IF($AJ1367=0,$AK1367*EXP($AL1367*-3),$AK1367*(1+$AJ1367*$AL1367*-3)^(1/$AJ1367)))</f>
        <v/>
      </c>
      <c r="AR1367">
        <f>IF(OR($X1367="",$T1367&gt;60),"",IFERROR(INDEX(IF($T1367&lt;24,pcomp_l,palt_l),MATCH($X1367,IF($T1367&lt;24,pcomp_k,palt_k),1)),""))</f>
        <v/>
      </c>
      <c r="AS1367">
        <f>IF(OR($X1367="",$T1367&gt;60),"",IFERROR(INDEX(IF($T1367&lt;24,pcomp_m,palt_m),MATCH($X1367,IF($T1367&lt;24,pcomp_k,palt_k),1)),""))</f>
        <v/>
      </c>
      <c r="AT1367">
        <f>IF(OR($X1367="",$T1367&gt;60),"",IFERROR(INDEX(IF($T1367&lt;24,pcomp_s,palt_s),MATCH($X1367,IF($T1367&lt;24,pcomp_k,palt_k),1)),""))</f>
        <v/>
      </c>
      <c r="AU1367">
        <f>IF($AR1367="","",IF($AR1367=0,LN($F1367/$AS1367)/$AT1367,((($F1367/$AS1367)^$AR1367)-1)/($AR1367*$AT1367)))</f>
        <v/>
      </c>
      <c r="AV1367">
        <f>IF($AR1367="","",IF($AR1367=0,$AS1367*EXP($AT1367*2),$AS1367*(1+$AR1367*$AT1367*2)^(1/$AR1367)))</f>
        <v/>
      </c>
      <c r="AW1367">
        <f>IF($AR1367="","",IF($AR1367=0,$AS1367*EXP($AT1367*3),$AS1367*(1+$AR1367*$AT1367*3)^(1/$AR1367)))</f>
        <v/>
      </c>
      <c r="AX1367">
        <f>IF($AR1367="","",IF($AR1367=0,$AS1367*EXP($AT1367*-2),$AS1367*(1+$AR1367*$AT1367*-2)^(1/$AR1367)))</f>
        <v/>
      </c>
      <c r="AY1367">
        <f>IF($AR1367="","",IF($AR1367=0,$AS1367*EXP($AT1367*-3),$AS1367*(1+$AR1367*$AT1367*-3)^(1/$AR1367)))</f>
        <v/>
      </c>
      <c r="AZ1367">
        <f>IF(OR($A1367="",$A1367&lt;&gt;Ficha!$C$4),"",COUNTIF($A$2:$A1367,Ficha!$C$4))</f>
        <v/>
      </c>
    </row>
    <row r="1368">
      <c r="A1368" s="8">
        <f>IF(INDEX(Banco!$A:$A,ROW())="","",INDEX(Banco!$A:$A,ROW()))</f>
        <v/>
      </c>
      <c r="B1368" s="8">
        <f>IF(INDEX(Banco!$B:$B,ROW())="","",INDEX(Banco!$B:$B,ROW()))</f>
        <v/>
      </c>
      <c r="C1368" s="8">
        <f>IF(INDEX(Banco!$C:$C,ROW())="","",INDEX(Banco!$C:$C,ROW()))</f>
        <v/>
      </c>
      <c r="D1368" s="9">
        <f>IF(INDEX(Banco!$D:$D,ROW())="","",INDEX(Banco!$D:$D,ROW()))</f>
        <v/>
      </c>
      <c r="E1368" s="9">
        <f>IF(INDEX(Banco!$E:$E,ROW())="","",INDEX(Banco!$E:$E,ROW()))</f>
        <v/>
      </c>
      <c r="F1368" s="10">
        <f>IF(INDEX(Banco!$F:$F,ROW())="","",INDEX(Banco!$F:$F,ROW()))</f>
        <v/>
      </c>
      <c r="G1368" s="10">
        <f>IF(INDEX(Banco!$G:$G,ROW())="","",INDEX(Banco!$G:$G,ROW()))</f>
        <v/>
      </c>
      <c r="H1368" s="8">
        <f>IF(INDEX(Banco!$H:$H,ROW())="","",INDEX(Banco!$H:$H,ROW()))</f>
        <v/>
      </c>
      <c r="I1368">
        <f>IF($T1368="","",INT($T1368/12)&amp;"a "&amp;MOD($T1368,12)&amp;"m")</f>
        <v/>
      </c>
      <c r="J1368" s="11">
        <f>IF(OR($F1368="",$G1368=""),"",ROUND($F1368/($G1368/100)^2,2))</f>
        <v/>
      </c>
      <c r="K1368" s="12">
        <f>IF(OR($S1368="",$J1368="",$T1368="",$T1368&lt;0,$T1368&gt;228,$Y1368=""),"—",ROUND(IF(ABS($AB1368)&lt;=3,$AB1368,IF($AB1368&gt;3,3+($J1368-$AD1368)/($AD1368-$AC1368),-3+($J1368-$AF1368)/($AE1368-$AF1368))),2))</f>
        <v/>
      </c>
      <c r="L1368">
        <f>IF(OR($K1368="",$K1368="—"),"",IF($T1368&lt;=60,IF($K1368&lt;-3,"Magreza acentuada",IF($K1368&lt;-2,"Magreza",IF($K1368&lt;=1,"Eutrofia",IF($K1368&lt;=2,"Risco de sobrepeso",IF($K1368&lt;=3,"Sobrepeso","Obesidade"))))),IF($K1368&lt;-3,"Magreza acentuada",IF($K1368&lt;-2,"Magreza",IF($K1368&lt;=1,"Eutrofia",IF($K1368&lt;=2,"Sobrepeso",IF($K1368&lt;=3,"Obesidade","Obesidade grave")))))))</f>
        <v/>
      </c>
      <c r="M1368" s="12">
        <f>IF(OR($S1368="",$V1368="",$T1368="",$T1368&lt;0,$T1368&gt;228,$AG1368=""),"—",ROUND(IF($AG1368=0,LN($V1368/$AH1368)/$AI1368,((($V1368/$AH1368)^$AG1368)-1)/($AG1368*$AI1368)),2))</f>
        <v/>
      </c>
      <c r="N1368">
        <f>IF(OR($M1368="",$M1368="—"),"",IF($M1368&lt;-3,"Muito baixa",IF($M1368&lt;-2,"Baixa","Adequada")))</f>
        <v/>
      </c>
      <c r="O1368" s="12">
        <f>IF(OR($S1368="",$F1368="",$T1368="",$T1368&lt;0,$T1368&gt;120,$AJ1368=""),"—",ROUND(IF(ABS($AM1368)&lt;=3,$AM1368,IF($AM1368&gt;3,3+($F1368-$AO1368)/($AO1368-$AN1368),-3+($F1368-$AQ1368)/($AP1368-$AQ1368))),2))</f>
        <v/>
      </c>
      <c r="P1368">
        <f>IF(OR($O1368="",$O1368="—"),"",IF($O1368&lt;-3,"Muito baixo",IF($O1368&lt;-2,"Baixo",IF($O1368&lt;=2,"Adequado","Elevado"))))</f>
        <v/>
      </c>
      <c r="Q1368" s="12">
        <f>IF(OR($S1368="",$F1368="",$T1368="",$T1368&lt;0,$T1368&gt;60,$AR1368=""),"—",ROUND(IF(ABS($AU1368)&lt;=3,$AU1368,IF($AU1368&gt;3,3+($F1368-$AW1368)/($AW1368-$AV1368),-3+($F1368-$AY1368)/($AX1368-$AY1368))),2))</f>
        <v/>
      </c>
      <c r="R1368">
        <f>IF(OR($Q1368="",$Q1368="—"),"",IF($Q1368&lt;-3,"Magreza acentuada",IF($Q1368&lt;-2,"Magreza",IF($Q1368&lt;=1,"Eutrofia",IF($Q1368&lt;=2,"Risco de sobrepeso",IF($Q1368&lt;=3,"Sobrepeso","Obesidade"))))))</f>
        <v/>
      </c>
      <c r="S1368">
        <f>IF($C1368="","",IF(UPPER(LEFT($C1368,1))="M",1,IF(UPPER(LEFT($C1368,1))="F",2,"")))</f>
        <v/>
      </c>
      <c r="T1368">
        <f>IF(OR($D1368="",$E1368=""),"",DATEDIF($D1368,$E1368,"m"))</f>
        <v/>
      </c>
      <c r="U1368">
        <f>IF(OR($D1368="",$E1368=""),"",$E1368-$D1368)</f>
        <v/>
      </c>
      <c r="V1368">
        <f>IF(OR($G1368="",$T1368=""),"",IF($T1368&lt;24,IF(LEFT(LOWER($H1368),4)="em p",$G1368+0.7,$G1368),IF(LEFT(LOWER($H1368),4)="deit",$G1368-0.7,$G1368)))</f>
        <v/>
      </c>
      <c r="W1368">
        <f>IF(OR($S1368="",$T1368=""),"",$S1368*1000000+IF($T1368&lt;=60,$U1368,$T1368))</f>
        <v/>
      </c>
      <c r="X1368">
        <f>IF(OR($S1368="",$V1368="",$T1368&gt;60,$T1368=""),"",$S1368*1000000+ROUND($V1368*10,0))</f>
        <v/>
      </c>
      <c r="Y1368">
        <f>IF($W1368="","",IFERROR(INDEX(IF($T1368&lt;=60,imc05_l,imc519_l),MATCH($W1368,IF($T1368&lt;=60,imc05_k,imc519_k),1)),""))</f>
        <v/>
      </c>
      <c r="Z1368">
        <f>IF($W1368="","",IFERROR(INDEX(IF($T1368&lt;=60,imc05_m,imc519_m),MATCH($W1368,IF($T1368&lt;=60,imc05_k,imc519_k),1)),""))</f>
        <v/>
      </c>
      <c r="AA1368">
        <f>IF($W1368="","",IFERROR(INDEX(IF($T1368&lt;=60,imc05_s,imc519_s),MATCH($W1368,IF($T1368&lt;=60,imc05_k,imc519_k),1)),""))</f>
        <v/>
      </c>
      <c r="AB1368">
        <f>IF($Y1368="","",IF($Y1368=0,LN($J1368/$Z1368)/$AA1368,((($J1368/$Z1368)^$Y1368)-1)/($Y1368*$AA1368)))</f>
        <v/>
      </c>
      <c r="AC1368">
        <f>IF($Y1368="","",IF($Y1368=0,$Z1368*EXP($AA1368*2),$Z1368*(1+$Y1368*$AA1368*2)^(1/$Y1368)))</f>
        <v/>
      </c>
      <c r="AD1368">
        <f>IF($Y1368="","",IF($Y1368=0,$Z1368*EXP($AA1368*3),$Z1368*(1+$Y1368*$AA1368*3)^(1/$Y1368)))</f>
        <v/>
      </c>
      <c r="AE1368">
        <f>IF($Y1368="","",IF($Y1368=0,$Z1368*EXP($AA1368*-2),$Z1368*(1+$Y1368*$AA1368*-2)^(1/$Y1368)))</f>
        <v/>
      </c>
      <c r="AF1368">
        <f>IF($Y1368="","",IF($Y1368=0,$Z1368*EXP($AA1368*-3),$Z1368*(1+$Y1368*$AA1368*-3)^(1/$Y1368)))</f>
        <v/>
      </c>
      <c r="AG1368">
        <f>IF($W1368="","",IFERROR(INDEX(IF($T1368&lt;=60,est05_l,est519_l),MATCH($W1368,IF($T1368&lt;=60,est05_k,est519_k),1)),""))</f>
        <v/>
      </c>
      <c r="AH1368">
        <f>IF($W1368="","",IFERROR(INDEX(IF($T1368&lt;=60,est05_m,est519_m),MATCH($W1368,IF($T1368&lt;=60,est05_k,est519_k),1)),""))</f>
        <v/>
      </c>
      <c r="AI1368">
        <f>IF($W1368="","",IFERROR(INDEX(IF($T1368&lt;=60,est05_s,est519_s),MATCH($W1368,IF($T1368&lt;=60,est05_k,est519_k),1)),""))</f>
        <v/>
      </c>
      <c r="AJ1368">
        <f>IF($W1368="","",IFERROR(INDEX(IF($T1368&lt;=60,peso05_l,peso510_l),MATCH($W1368,IF($T1368&lt;=60,peso05_k,peso510_k),1)),""))</f>
        <v/>
      </c>
      <c r="AK1368">
        <f>IF($W1368="","",IFERROR(INDEX(IF($T1368&lt;=60,peso05_m,peso510_m),MATCH($W1368,IF($T1368&lt;=60,peso05_k,peso510_k),1)),""))</f>
        <v/>
      </c>
      <c r="AL1368">
        <f>IF($W1368="","",IFERROR(INDEX(IF($T1368&lt;=60,peso05_s,peso510_s),MATCH($W1368,IF($T1368&lt;=60,peso05_k,peso510_k),1)),""))</f>
        <v/>
      </c>
      <c r="AM1368">
        <f>IF($AJ1368="","",IF($AJ1368=0,LN($F1368/$AK1368)/$AL1368,((($F1368/$AK1368)^$AJ1368)-1)/($AJ1368*$AL1368)))</f>
        <v/>
      </c>
      <c r="AN1368">
        <f>IF($AJ1368="","",IF($AJ1368=0,$AK1368*EXP($AL1368*2),$AK1368*(1+$AJ1368*$AL1368*2)^(1/$AJ1368)))</f>
        <v/>
      </c>
      <c r="AO1368">
        <f>IF($AJ1368="","",IF($AJ1368=0,$AK1368*EXP($AL1368*3),$AK1368*(1+$AJ1368*$AL1368*3)^(1/$AJ1368)))</f>
        <v/>
      </c>
      <c r="AP1368">
        <f>IF($AJ1368="","",IF($AJ1368=0,$AK1368*EXP($AL1368*-2),$AK1368*(1+$AJ1368*$AL1368*-2)^(1/$AJ1368)))</f>
        <v/>
      </c>
      <c r="AQ1368">
        <f>IF($AJ1368="","",IF($AJ1368=0,$AK1368*EXP($AL1368*-3),$AK1368*(1+$AJ1368*$AL1368*-3)^(1/$AJ1368)))</f>
        <v/>
      </c>
      <c r="AR1368">
        <f>IF(OR($X1368="",$T1368&gt;60),"",IFERROR(INDEX(IF($T1368&lt;24,pcomp_l,palt_l),MATCH($X1368,IF($T1368&lt;24,pcomp_k,palt_k),1)),""))</f>
        <v/>
      </c>
      <c r="AS1368">
        <f>IF(OR($X1368="",$T1368&gt;60),"",IFERROR(INDEX(IF($T1368&lt;24,pcomp_m,palt_m),MATCH($X1368,IF($T1368&lt;24,pcomp_k,palt_k),1)),""))</f>
        <v/>
      </c>
      <c r="AT1368">
        <f>IF(OR($X1368="",$T1368&gt;60),"",IFERROR(INDEX(IF($T1368&lt;24,pcomp_s,palt_s),MATCH($X1368,IF($T1368&lt;24,pcomp_k,palt_k),1)),""))</f>
        <v/>
      </c>
      <c r="AU1368">
        <f>IF($AR1368="","",IF($AR1368=0,LN($F1368/$AS1368)/$AT1368,((($F1368/$AS1368)^$AR1368)-1)/($AR1368*$AT1368)))</f>
        <v/>
      </c>
      <c r="AV1368">
        <f>IF($AR1368="","",IF($AR1368=0,$AS1368*EXP($AT1368*2),$AS1368*(1+$AR1368*$AT1368*2)^(1/$AR1368)))</f>
        <v/>
      </c>
      <c r="AW1368">
        <f>IF($AR1368="","",IF($AR1368=0,$AS1368*EXP($AT1368*3),$AS1368*(1+$AR1368*$AT1368*3)^(1/$AR1368)))</f>
        <v/>
      </c>
      <c r="AX1368">
        <f>IF($AR1368="","",IF($AR1368=0,$AS1368*EXP($AT1368*-2),$AS1368*(1+$AR1368*$AT1368*-2)^(1/$AR1368)))</f>
        <v/>
      </c>
      <c r="AY1368">
        <f>IF($AR1368="","",IF($AR1368=0,$AS1368*EXP($AT1368*-3),$AS1368*(1+$AR1368*$AT1368*-3)^(1/$AR1368)))</f>
        <v/>
      </c>
      <c r="AZ1368">
        <f>IF(OR($A1368="",$A1368&lt;&gt;Ficha!$C$4),"",COUNTIF($A$2:$A1368,Ficha!$C$4))</f>
        <v/>
      </c>
    </row>
    <row r="1369">
      <c r="A1369" s="8">
        <f>IF(INDEX(Banco!$A:$A,ROW())="","",INDEX(Banco!$A:$A,ROW()))</f>
        <v/>
      </c>
      <c r="B1369" s="8">
        <f>IF(INDEX(Banco!$B:$B,ROW())="","",INDEX(Banco!$B:$B,ROW()))</f>
        <v/>
      </c>
      <c r="C1369" s="8">
        <f>IF(INDEX(Banco!$C:$C,ROW())="","",INDEX(Banco!$C:$C,ROW()))</f>
        <v/>
      </c>
      <c r="D1369" s="9">
        <f>IF(INDEX(Banco!$D:$D,ROW())="","",INDEX(Banco!$D:$D,ROW()))</f>
        <v/>
      </c>
      <c r="E1369" s="9">
        <f>IF(INDEX(Banco!$E:$E,ROW())="","",INDEX(Banco!$E:$E,ROW()))</f>
        <v/>
      </c>
      <c r="F1369" s="10">
        <f>IF(INDEX(Banco!$F:$F,ROW())="","",INDEX(Banco!$F:$F,ROW()))</f>
        <v/>
      </c>
      <c r="G1369" s="10">
        <f>IF(INDEX(Banco!$G:$G,ROW())="","",INDEX(Banco!$G:$G,ROW()))</f>
        <v/>
      </c>
      <c r="H1369" s="8">
        <f>IF(INDEX(Banco!$H:$H,ROW())="","",INDEX(Banco!$H:$H,ROW()))</f>
        <v/>
      </c>
      <c r="I1369">
        <f>IF($T1369="","",INT($T1369/12)&amp;"a "&amp;MOD($T1369,12)&amp;"m")</f>
        <v/>
      </c>
      <c r="J1369" s="11">
        <f>IF(OR($F1369="",$G1369=""),"",ROUND($F1369/($G1369/100)^2,2))</f>
        <v/>
      </c>
      <c r="K1369" s="12">
        <f>IF(OR($S1369="",$J1369="",$T1369="",$T1369&lt;0,$T1369&gt;228,$Y1369=""),"—",ROUND(IF(ABS($AB1369)&lt;=3,$AB1369,IF($AB1369&gt;3,3+($J1369-$AD1369)/($AD1369-$AC1369),-3+($J1369-$AF1369)/($AE1369-$AF1369))),2))</f>
        <v/>
      </c>
      <c r="L1369">
        <f>IF(OR($K1369="",$K1369="—"),"",IF($T1369&lt;=60,IF($K1369&lt;-3,"Magreza acentuada",IF($K1369&lt;-2,"Magreza",IF($K1369&lt;=1,"Eutrofia",IF($K1369&lt;=2,"Risco de sobrepeso",IF($K1369&lt;=3,"Sobrepeso","Obesidade"))))),IF($K1369&lt;-3,"Magreza acentuada",IF($K1369&lt;-2,"Magreza",IF($K1369&lt;=1,"Eutrofia",IF($K1369&lt;=2,"Sobrepeso",IF($K1369&lt;=3,"Obesidade","Obesidade grave")))))))</f>
        <v/>
      </c>
      <c r="M1369" s="12">
        <f>IF(OR($S1369="",$V1369="",$T1369="",$T1369&lt;0,$T1369&gt;228,$AG1369=""),"—",ROUND(IF($AG1369=0,LN($V1369/$AH1369)/$AI1369,((($V1369/$AH1369)^$AG1369)-1)/($AG1369*$AI1369)),2))</f>
        <v/>
      </c>
      <c r="N1369">
        <f>IF(OR($M1369="",$M1369="—"),"",IF($M1369&lt;-3,"Muito baixa",IF($M1369&lt;-2,"Baixa","Adequada")))</f>
        <v/>
      </c>
      <c r="O1369" s="12">
        <f>IF(OR($S1369="",$F1369="",$T1369="",$T1369&lt;0,$T1369&gt;120,$AJ1369=""),"—",ROUND(IF(ABS($AM1369)&lt;=3,$AM1369,IF($AM1369&gt;3,3+($F1369-$AO1369)/($AO1369-$AN1369),-3+($F1369-$AQ1369)/($AP1369-$AQ1369))),2))</f>
        <v/>
      </c>
      <c r="P1369">
        <f>IF(OR($O1369="",$O1369="—"),"",IF($O1369&lt;-3,"Muito baixo",IF($O1369&lt;-2,"Baixo",IF($O1369&lt;=2,"Adequado","Elevado"))))</f>
        <v/>
      </c>
      <c r="Q1369" s="12">
        <f>IF(OR($S1369="",$F1369="",$T1369="",$T1369&lt;0,$T1369&gt;60,$AR1369=""),"—",ROUND(IF(ABS($AU1369)&lt;=3,$AU1369,IF($AU1369&gt;3,3+($F1369-$AW1369)/($AW1369-$AV1369),-3+($F1369-$AY1369)/($AX1369-$AY1369))),2))</f>
        <v/>
      </c>
      <c r="R1369">
        <f>IF(OR($Q1369="",$Q1369="—"),"",IF($Q1369&lt;-3,"Magreza acentuada",IF($Q1369&lt;-2,"Magreza",IF($Q1369&lt;=1,"Eutrofia",IF($Q1369&lt;=2,"Risco de sobrepeso",IF($Q1369&lt;=3,"Sobrepeso","Obesidade"))))))</f>
        <v/>
      </c>
      <c r="S1369">
        <f>IF($C1369="","",IF(UPPER(LEFT($C1369,1))="M",1,IF(UPPER(LEFT($C1369,1))="F",2,"")))</f>
        <v/>
      </c>
      <c r="T1369">
        <f>IF(OR($D1369="",$E1369=""),"",DATEDIF($D1369,$E1369,"m"))</f>
        <v/>
      </c>
      <c r="U1369">
        <f>IF(OR($D1369="",$E1369=""),"",$E1369-$D1369)</f>
        <v/>
      </c>
      <c r="V1369">
        <f>IF(OR($G1369="",$T1369=""),"",IF($T1369&lt;24,IF(LEFT(LOWER($H1369),4)="em p",$G1369+0.7,$G1369),IF(LEFT(LOWER($H1369),4)="deit",$G1369-0.7,$G1369)))</f>
        <v/>
      </c>
      <c r="W1369">
        <f>IF(OR($S1369="",$T1369=""),"",$S1369*1000000+IF($T1369&lt;=60,$U1369,$T1369))</f>
        <v/>
      </c>
      <c r="X1369">
        <f>IF(OR($S1369="",$V1369="",$T1369&gt;60,$T1369=""),"",$S1369*1000000+ROUND($V1369*10,0))</f>
        <v/>
      </c>
      <c r="Y1369">
        <f>IF($W1369="","",IFERROR(INDEX(IF($T1369&lt;=60,imc05_l,imc519_l),MATCH($W1369,IF($T1369&lt;=60,imc05_k,imc519_k),1)),""))</f>
        <v/>
      </c>
      <c r="Z1369">
        <f>IF($W1369="","",IFERROR(INDEX(IF($T1369&lt;=60,imc05_m,imc519_m),MATCH($W1369,IF($T1369&lt;=60,imc05_k,imc519_k),1)),""))</f>
        <v/>
      </c>
      <c r="AA1369">
        <f>IF($W1369="","",IFERROR(INDEX(IF($T1369&lt;=60,imc05_s,imc519_s),MATCH($W1369,IF($T1369&lt;=60,imc05_k,imc519_k),1)),""))</f>
        <v/>
      </c>
      <c r="AB1369">
        <f>IF($Y1369="","",IF($Y1369=0,LN($J1369/$Z1369)/$AA1369,((($J1369/$Z1369)^$Y1369)-1)/($Y1369*$AA1369)))</f>
        <v/>
      </c>
      <c r="AC1369">
        <f>IF($Y1369="","",IF($Y1369=0,$Z1369*EXP($AA1369*2),$Z1369*(1+$Y1369*$AA1369*2)^(1/$Y1369)))</f>
        <v/>
      </c>
      <c r="AD1369">
        <f>IF($Y1369="","",IF($Y1369=0,$Z1369*EXP($AA1369*3),$Z1369*(1+$Y1369*$AA1369*3)^(1/$Y1369)))</f>
        <v/>
      </c>
      <c r="AE1369">
        <f>IF($Y1369="","",IF($Y1369=0,$Z1369*EXP($AA1369*-2),$Z1369*(1+$Y1369*$AA1369*-2)^(1/$Y1369)))</f>
        <v/>
      </c>
      <c r="AF1369">
        <f>IF($Y1369="","",IF($Y1369=0,$Z1369*EXP($AA1369*-3),$Z1369*(1+$Y1369*$AA1369*-3)^(1/$Y1369)))</f>
        <v/>
      </c>
      <c r="AG1369">
        <f>IF($W1369="","",IFERROR(INDEX(IF($T1369&lt;=60,est05_l,est519_l),MATCH($W1369,IF($T1369&lt;=60,est05_k,est519_k),1)),""))</f>
        <v/>
      </c>
      <c r="AH1369">
        <f>IF($W1369="","",IFERROR(INDEX(IF($T1369&lt;=60,est05_m,est519_m),MATCH($W1369,IF($T1369&lt;=60,est05_k,est519_k),1)),""))</f>
        <v/>
      </c>
      <c r="AI1369">
        <f>IF($W1369="","",IFERROR(INDEX(IF($T1369&lt;=60,est05_s,est519_s),MATCH($W1369,IF($T1369&lt;=60,est05_k,est519_k),1)),""))</f>
        <v/>
      </c>
      <c r="AJ1369">
        <f>IF($W1369="","",IFERROR(INDEX(IF($T1369&lt;=60,peso05_l,peso510_l),MATCH($W1369,IF($T1369&lt;=60,peso05_k,peso510_k),1)),""))</f>
        <v/>
      </c>
      <c r="AK1369">
        <f>IF($W1369="","",IFERROR(INDEX(IF($T1369&lt;=60,peso05_m,peso510_m),MATCH($W1369,IF($T1369&lt;=60,peso05_k,peso510_k),1)),""))</f>
        <v/>
      </c>
      <c r="AL1369">
        <f>IF($W1369="","",IFERROR(INDEX(IF($T1369&lt;=60,peso05_s,peso510_s),MATCH($W1369,IF($T1369&lt;=60,peso05_k,peso510_k),1)),""))</f>
        <v/>
      </c>
      <c r="AM1369">
        <f>IF($AJ1369="","",IF($AJ1369=0,LN($F1369/$AK1369)/$AL1369,((($F1369/$AK1369)^$AJ1369)-1)/($AJ1369*$AL1369)))</f>
        <v/>
      </c>
      <c r="AN1369">
        <f>IF($AJ1369="","",IF($AJ1369=0,$AK1369*EXP($AL1369*2),$AK1369*(1+$AJ1369*$AL1369*2)^(1/$AJ1369)))</f>
        <v/>
      </c>
      <c r="AO1369">
        <f>IF($AJ1369="","",IF($AJ1369=0,$AK1369*EXP($AL1369*3),$AK1369*(1+$AJ1369*$AL1369*3)^(1/$AJ1369)))</f>
        <v/>
      </c>
      <c r="AP1369">
        <f>IF($AJ1369="","",IF($AJ1369=0,$AK1369*EXP($AL1369*-2),$AK1369*(1+$AJ1369*$AL1369*-2)^(1/$AJ1369)))</f>
        <v/>
      </c>
      <c r="AQ1369">
        <f>IF($AJ1369="","",IF($AJ1369=0,$AK1369*EXP($AL1369*-3),$AK1369*(1+$AJ1369*$AL1369*-3)^(1/$AJ1369)))</f>
        <v/>
      </c>
      <c r="AR1369">
        <f>IF(OR($X1369="",$T1369&gt;60),"",IFERROR(INDEX(IF($T1369&lt;24,pcomp_l,palt_l),MATCH($X1369,IF($T1369&lt;24,pcomp_k,palt_k),1)),""))</f>
        <v/>
      </c>
      <c r="AS1369">
        <f>IF(OR($X1369="",$T1369&gt;60),"",IFERROR(INDEX(IF($T1369&lt;24,pcomp_m,palt_m),MATCH($X1369,IF($T1369&lt;24,pcomp_k,palt_k),1)),""))</f>
        <v/>
      </c>
      <c r="AT1369">
        <f>IF(OR($X1369="",$T1369&gt;60),"",IFERROR(INDEX(IF($T1369&lt;24,pcomp_s,palt_s),MATCH($X1369,IF($T1369&lt;24,pcomp_k,palt_k),1)),""))</f>
        <v/>
      </c>
      <c r="AU1369">
        <f>IF($AR1369="","",IF($AR1369=0,LN($F1369/$AS1369)/$AT1369,((($F1369/$AS1369)^$AR1369)-1)/($AR1369*$AT1369)))</f>
        <v/>
      </c>
      <c r="AV1369">
        <f>IF($AR1369="","",IF($AR1369=0,$AS1369*EXP($AT1369*2),$AS1369*(1+$AR1369*$AT1369*2)^(1/$AR1369)))</f>
        <v/>
      </c>
      <c r="AW1369">
        <f>IF($AR1369="","",IF($AR1369=0,$AS1369*EXP($AT1369*3),$AS1369*(1+$AR1369*$AT1369*3)^(1/$AR1369)))</f>
        <v/>
      </c>
      <c r="AX1369">
        <f>IF($AR1369="","",IF($AR1369=0,$AS1369*EXP($AT1369*-2),$AS1369*(1+$AR1369*$AT1369*-2)^(1/$AR1369)))</f>
        <v/>
      </c>
      <c r="AY1369">
        <f>IF($AR1369="","",IF($AR1369=0,$AS1369*EXP($AT1369*-3),$AS1369*(1+$AR1369*$AT1369*-3)^(1/$AR1369)))</f>
        <v/>
      </c>
      <c r="AZ1369">
        <f>IF(OR($A1369="",$A1369&lt;&gt;Ficha!$C$4),"",COUNTIF($A$2:$A1369,Ficha!$C$4))</f>
        <v/>
      </c>
    </row>
    <row r="1370">
      <c r="A1370" s="8">
        <f>IF(INDEX(Banco!$A:$A,ROW())="","",INDEX(Banco!$A:$A,ROW()))</f>
        <v/>
      </c>
      <c r="B1370" s="8">
        <f>IF(INDEX(Banco!$B:$B,ROW())="","",INDEX(Banco!$B:$B,ROW()))</f>
        <v/>
      </c>
      <c r="C1370" s="8">
        <f>IF(INDEX(Banco!$C:$C,ROW())="","",INDEX(Banco!$C:$C,ROW()))</f>
        <v/>
      </c>
      <c r="D1370" s="9">
        <f>IF(INDEX(Banco!$D:$D,ROW())="","",INDEX(Banco!$D:$D,ROW()))</f>
        <v/>
      </c>
      <c r="E1370" s="9">
        <f>IF(INDEX(Banco!$E:$E,ROW())="","",INDEX(Banco!$E:$E,ROW()))</f>
        <v/>
      </c>
      <c r="F1370" s="10">
        <f>IF(INDEX(Banco!$F:$F,ROW())="","",INDEX(Banco!$F:$F,ROW()))</f>
        <v/>
      </c>
      <c r="G1370" s="10">
        <f>IF(INDEX(Banco!$G:$G,ROW())="","",INDEX(Banco!$G:$G,ROW()))</f>
        <v/>
      </c>
      <c r="H1370" s="8">
        <f>IF(INDEX(Banco!$H:$H,ROW())="","",INDEX(Banco!$H:$H,ROW()))</f>
        <v/>
      </c>
      <c r="I1370">
        <f>IF($T1370="","",INT($T1370/12)&amp;"a "&amp;MOD($T1370,12)&amp;"m")</f>
        <v/>
      </c>
      <c r="J1370" s="11">
        <f>IF(OR($F1370="",$G1370=""),"",ROUND($F1370/($G1370/100)^2,2))</f>
        <v/>
      </c>
      <c r="K1370" s="12">
        <f>IF(OR($S1370="",$J1370="",$T1370="",$T1370&lt;0,$T1370&gt;228,$Y1370=""),"—",ROUND(IF(ABS($AB1370)&lt;=3,$AB1370,IF($AB1370&gt;3,3+($J1370-$AD1370)/($AD1370-$AC1370),-3+($J1370-$AF1370)/($AE1370-$AF1370))),2))</f>
        <v/>
      </c>
      <c r="L1370">
        <f>IF(OR($K1370="",$K1370="—"),"",IF($T1370&lt;=60,IF($K1370&lt;-3,"Magreza acentuada",IF($K1370&lt;-2,"Magreza",IF($K1370&lt;=1,"Eutrofia",IF($K1370&lt;=2,"Risco de sobrepeso",IF($K1370&lt;=3,"Sobrepeso","Obesidade"))))),IF($K1370&lt;-3,"Magreza acentuada",IF($K1370&lt;-2,"Magreza",IF($K1370&lt;=1,"Eutrofia",IF($K1370&lt;=2,"Sobrepeso",IF($K1370&lt;=3,"Obesidade","Obesidade grave")))))))</f>
        <v/>
      </c>
      <c r="M1370" s="12">
        <f>IF(OR($S1370="",$V1370="",$T1370="",$T1370&lt;0,$T1370&gt;228,$AG1370=""),"—",ROUND(IF($AG1370=0,LN($V1370/$AH1370)/$AI1370,((($V1370/$AH1370)^$AG1370)-1)/($AG1370*$AI1370)),2))</f>
        <v/>
      </c>
      <c r="N1370">
        <f>IF(OR($M1370="",$M1370="—"),"",IF($M1370&lt;-3,"Muito baixa",IF($M1370&lt;-2,"Baixa","Adequada")))</f>
        <v/>
      </c>
      <c r="O1370" s="12">
        <f>IF(OR($S1370="",$F1370="",$T1370="",$T1370&lt;0,$T1370&gt;120,$AJ1370=""),"—",ROUND(IF(ABS($AM1370)&lt;=3,$AM1370,IF($AM1370&gt;3,3+($F1370-$AO1370)/($AO1370-$AN1370),-3+($F1370-$AQ1370)/($AP1370-$AQ1370))),2))</f>
        <v/>
      </c>
      <c r="P1370">
        <f>IF(OR($O1370="",$O1370="—"),"",IF($O1370&lt;-3,"Muito baixo",IF($O1370&lt;-2,"Baixo",IF($O1370&lt;=2,"Adequado","Elevado"))))</f>
        <v/>
      </c>
      <c r="Q1370" s="12">
        <f>IF(OR($S1370="",$F1370="",$T1370="",$T1370&lt;0,$T1370&gt;60,$AR1370=""),"—",ROUND(IF(ABS($AU1370)&lt;=3,$AU1370,IF($AU1370&gt;3,3+($F1370-$AW1370)/($AW1370-$AV1370),-3+($F1370-$AY1370)/($AX1370-$AY1370))),2))</f>
        <v/>
      </c>
      <c r="R1370">
        <f>IF(OR($Q1370="",$Q1370="—"),"",IF($Q1370&lt;-3,"Magreza acentuada",IF($Q1370&lt;-2,"Magreza",IF($Q1370&lt;=1,"Eutrofia",IF($Q1370&lt;=2,"Risco de sobrepeso",IF($Q1370&lt;=3,"Sobrepeso","Obesidade"))))))</f>
        <v/>
      </c>
      <c r="S1370">
        <f>IF($C1370="","",IF(UPPER(LEFT($C1370,1))="M",1,IF(UPPER(LEFT($C1370,1))="F",2,"")))</f>
        <v/>
      </c>
      <c r="T1370">
        <f>IF(OR($D1370="",$E1370=""),"",DATEDIF($D1370,$E1370,"m"))</f>
        <v/>
      </c>
      <c r="U1370">
        <f>IF(OR($D1370="",$E1370=""),"",$E1370-$D1370)</f>
        <v/>
      </c>
      <c r="V1370">
        <f>IF(OR($G1370="",$T1370=""),"",IF($T1370&lt;24,IF(LEFT(LOWER($H1370),4)="em p",$G1370+0.7,$G1370),IF(LEFT(LOWER($H1370),4)="deit",$G1370-0.7,$G1370)))</f>
        <v/>
      </c>
      <c r="W1370">
        <f>IF(OR($S1370="",$T1370=""),"",$S1370*1000000+IF($T1370&lt;=60,$U1370,$T1370))</f>
        <v/>
      </c>
      <c r="X1370">
        <f>IF(OR($S1370="",$V1370="",$T1370&gt;60,$T1370=""),"",$S1370*1000000+ROUND($V1370*10,0))</f>
        <v/>
      </c>
      <c r="Y1370">
        <f>IF($W1370="","",IFERROR(INDEX(IF($T1370&lt;=60,imc05_l,imc519_l),MATCH($W1370,IF($T1370&lt;=60,imc05_k,imc519_k),1)),""))</f>
        <v/>
      </c>
      <c r="Z1370">
        <f>IF($W1370="","",IFERROR(INDEX(IF($T1370&lt;=60,imc05_m,imc519_m),MATCH($W1370,IF($T1370&lt;=60,imc05_k,imc519_k),1)),""))</f>
        <v/>
      </c>
      <c r="AA1370">
        <f>IF($W1370="","",IFERROR(INDEX(IF($T1370&lt;=60,imc05_s,imc519_s),MATCH($W1370,IF($T1370&lt;=60,imc05_k,imc519_k),1)),""))</f>
        <v/>
      </c>
      <c r="AB1370">
        <f>IF($Y1370="","",IF($Y1370=0,LN($J1370/$Z1370)/$AA1370,((($J1370/$Z1370)^$Y1370)-1)/($Y1370*$AA1370)))</f>
        <v/>
      </c>
      <c r="AC1370">
        <f>IF($Y1370="","",IF($Y1370=0,$Z1370*EXP($AA1370*2),$Z1370*(1+$Y1370*$AA1370*2)^(1/$Y1370)))</f>
        <v/>
      </c>
      <c r="AD1370">
        <f>IF($Y1370="","",IF($Y1370=0,$Z1370*EXP($AA1370*3),$Z1370*(1+$Y1370*$AA1370*3)^(1/$Y1370)))</f>
        <v/>
      </c>
      <c r="AE1370">
        <f>IF($Y1370="","",IF($Y1370=0,$Z1370*EXP($AA1370*-2),$Z1370*(1+$Y1370*$AA1370*-2)^(1/$Y1370)))</f>
        <v/>
      </c>
      <c r="AF1370">
        <f>IF($Y1370="","",IF($Y1370=0,$Z1370*EXP($AA1370*-3),$Z1370*(1+$Y1370*$AA1370*-3)^(1/$Y1370)))</f>
        <v/>
      </c>
      <c r="AG1370">
        <f>IF($W1370="","",IFERROR(INDEX(IF($T1370&lt;=60,est05_l,est519_l),MATCH($W1370,IF($T1370&lt;=60,est05_k,est519_k),1)),""))</f>
        <v/>
      </c>
      <c r="AH1370">
        <f>IF($W1370="","",IFERROR(INDEX(IF($T1370&lt;=60,est05_m,est519_m),MATCH($W1370,IF($T1370&lt;=60,est05_k,est519_k),1)),""))</f>
        <v/>
      </c>
      <c r="AI1370">
        <f>IF($W1370="","",IFERROR(INDEX(IF($T1370&lt;=60,est05_s,est519_s),MATCH($W1370,IF($T1370&lt;=60,est05_k,est519_k),1)),""))</f>
        <v/>
      </c>
      <c r="AJ1370">
        <f>IF($W1370="","",IFERROR(INDEX(IF($T1370&lt;=60,peso05_l,peso510_l),MATCH($W1370,IF($T1370&lt;=60,peso05_k,peso510_k),1)),""))</f>
        <v/>
      </c>
      <c r="AK1370">
        <f>IF($W1370="","",IFERROR(INDEX(IF($T1370&lt;=60,peso05_m,peso510_m),MATCH($W1370,IF($T1370&lt;=60,peso05_k,peso510_k),1)),""))</f>
        <v/>
      </c>
      <c r="AL1370">
        <f>IF($W1370="","",IFERROR(INDEX(IF($T1370&lt;=60,peso05_s,peso510_s),MATCH($W1370,IF($T1370&lt;=60,peso05_k,peso510_k),1)),""))</f>
        <v/>
      </c>
      <c r="AM1370">
        <f>IF($AJ1370="","",IF($AJ1370=0,LN($F1370/$AK1370)/$AL1370,((($F1370/$AK1370)^$AJ1370)-1)/($AJ1370*$AL1370)))</f>
        <v/>
      </c>
      <c r="AN1370">
        <f>IF($AJ1370="","",IF($AJ1370=0,$AK1370*EXP($AL1370*2),$AK1370*(1+$AJ1370*$AL1370*2)^(1/$AJ1370)))</f>
        <v/>
      </c>
      <c r="AO1370">
        <f>IF($AJ1370="","",IF($AJ1370=0,$AK1370*EXP($AL1370*3),$AK1370*(1+$AJ1370*$AL1370*3)^(1/$AJ1370)))</f>
        <v/>
      </c>
      <c r="AP1370">
        <f>IF($AJ1370="","",IF($AJ1370=0,$AK1370*EXP($AL1370*-2),$AK1370*(1+$AJ1370*$AL1370*-2)^(1/$AJ1370)))</f>
        <v/>
      </c>
      <c r="AQ1370">
        <f>IF($AJ1370="","",IF($AJ1370=0,$AK1370*EXP($AL1370*-3),$AK1370*(1+$AJ1370*$AL1370*-3)^(1/$AJ1370)))</f>
        <v/>
      </c>
      <c r="AR1370">
        <f>IF(OR($X1370="",$T1370&gt;60),"",IFERROR(INDEX(IF($T1370&lt;24,pcomp_l,palt_l),MATCH($X1370,IF($T1370&lt;24,pcomp_k,palt_k),1)),""))</f>
        <v/>
      </c>
      <c r="AS1370">
        <f>IF(OR($X1370="",$T1370&gt;60),"",IFERROR(INDEX(IF($T1370&lt;24,pcomp_m,palt_m),MATCH($X1370,IF($T1370&lt;24,pcomp_k,palt_k),1)),""))</f>
        <v/>
      </c>
      <c r="AT1370">
        <f>IF(OR($X1370="",$T1370&gt;60),"",IFERROR(INDEX(IF($T1370&lt;24,pcomp_s,palt_s),MATCH($X1370,IF($T1370&lt;24,pcomp_k,palt_k),1)),""))</f>
        <v/>
      </c>
      <c r="AU1370">
        <f>IF($AR1370="","",IF($AR1370=0,LN($F1370/$AS1370)/$AT1370,((($F1370/$AS1370)^$AR1370)-1)/($AR1370*$AT1370)))</f>
        <v/>
      </c>
      <c r="AV1370">
        <f>IF($AR1370="","",IF($AR1370=0,$AS1370*EXP($AT1370*2),$AS1370*(1+$AR1370*$AT1370*2)^(1/$AR1370)))</f>
        <v/>
      </c>
      <c r="AW1370">
        <f>IF($AR1370="","",IF($AR1370=0,$AS1370*EXP($AT1370*3),$AS1370*(1+$AR1370*$AT1370*3)^(1/$AR1370)))</f>
        <v/>
      </c>
      <c r="AX1370">
        <f>IF($AR1370="","",IF($AR1370=0,$AS1370*EXP($AT1370*-2),$AS1370*(1+$AR1370*$AT1370*-2)^(1/$AR1370)))</f>
        <v/>
      </c>
      <c r="AY1370">
        <f>IF($AR1370="","",IF($AR1370=0,$AS1370*EXP($AT1370*-3),$AS1370*(1+$AR1370*$AT1370*-3)^(1/$AR1370)))</f>
        <v/>
      </c>
      <c r="AZ1370">
        <f>IF(OR($A1370="",$A1370&lt;&gt;Ficha!$C$4),"",COUNTIF($A$2:$A1370,Ficha!$C$4))</f>
        <v/>
      </c>
    </row>
    <row r="1371">
      <c r="A1371" s="8">
        <f>IF(INDEX(Banco!$A:$A,ROW())="","",INDEX(Banco!$A:$A,ROW()))</f>
        <v/>
      </c>
      <c r="B1371" s="8">
        <f>IF(INDEX(Banco!$B:$B,ROW())="","",INDEX(Banco!$B:$B,ROW()))</f>
        <v/>
      </c>
      <c r="C1371" s="8">
        <f>IF(INDEX(Banco!$C:$C,ROW())="","",INDEX(Banco!$C:$C,ROW()))</f>
        <v/>
      </c>
      <c r="D1371" s="9">
        <f>IF(INDEX(Banco!$D:$D,ROW())="","",INDEX(Banco!$D:$D,ROW()))</f>
        <v/>
      </c>
      <c r="E1371" s="9">
        <f>IF(INDEX(Banco!$E:$E,ROW())="","",INDEX(Banco!$E:$E,ROW()))</f>
        <v/>
      </c>
      <c r="F1371" s="10">
        <f>IF(INDEX(Banco!$F:$F,ROW())="","",INDEX(Banco!$F:$F,ROW()))</f>
        <v/>
      </c>
      <c r="G1371" s="10">
        <f>IF(INDEX(Banco!$G:$G,ROW())="","",INDEX(Banco!$G:$G,ROW()))</f>
        <v/>
      </c>
      <c r="H1371" s="8">
        <f>IF(INDEX(Banco!$H:$H,ROW())="","",INDEX(Banco!$H:$H,ROW()))</f>
        <v/>
      </c>
      <c r="I1371">
        <f>IF($T1371="","",INT($T1371/12)&amp;"a "&amp;MOD($T1371,12)&amp;"m")</f>
        <v/>
      </c>
      <c r="J1371" s="11">
        <f>IF(OR($F1371="",$G1371=""),"",ROUND($F1371/($G1371/100)^2,2))</f>
        <v/>
      </c>
      <c r="K1371" s="12">
        <f>IF(OR($S1371="",$J1371="",$T1371="",$T1371&lt;0,$T1371&gt;228,$Y1371=""),"—",ROUND(IF(ABS($AB1371)&lt;=3,$AB1371,IF($AB1371&gt;3,3+($J1371-$AD1371)/($AD1371-$AC1371),-3+($J1371-$AF1371)/($AE1371-$AF1371))),2))</f>
        <v/>
      </c>
      <c r="L1371">
        <f>IF(OR($K1371="",$K1371="—"),"",IF($T1371&lt;=60,IF($K1371&lt;-3,"Magreza acentuada",IF($K1371&lt;-2,"Magreza",IF($K1371&lt;=1,"Eutrofia",IF($K1371&lt;=2,"Risco de sobrepeso",IF($K1371&lt;=3,"Sobrepeso","Obesidade"))))),IF($K1371&lt;-3,"Magreza acentuada",IF($K1371&lt;-2,"Magreza",IF($K1371&lt;=1,"Eutrofia",IF($K1371&lt;=2,"Sobrepeso",IF($K1371&lt;=3,"Obesidade","Obesidade grave")))))))</f>
        <v/>
      </c>
      <c r="M1371" s="12">
        <f>IF(OR($S1371="",$V1371="",$T1371="",$T1371&lt;0,$T1371&gt;228,$AG1371=""),"—",ROUND(IF($AG1371=0,LN($V1371/$AH1371)/$AI1371,((($V1371/$AH1371)^$AG1371)-1)/($AG1371*$AI1371)),2))</f>
        <v/>
      </c>
      <c r="N1371">
        <f>IF(OR($M1371="",$M1371="—"),"",IF($M1371&lt;-3,"Muito baixa",IF($M1371&lt;-2,"Baixa","Adequada")))</f>
        <v/>
      </c>
      <c r="O1371" s="12">
        <f>IF(OR($S1371="",$F1371="",$T1371="",$T1371&lt;0,$T1371&gt;120,$AJ1371=""),"—",ROUND(IF(ABS($AM1371)&lt;=3,$AM1371,IF($AM1371&gt;3,3+($F1371-$AO1371)/($AO1371-$AN1371),-3+($F1371-$AQ1371)/($AP1371-$AQ1371))),2))</f>
        <v/>
      </c>
      <c r="P1371">
        <f>IF(OR($O1371="",$O1371="—"),"",IF($O1371&lt;-3,"Muito baixo",IF($O1371&lt;-2,"Baixo",IF($O1371&lt;=2,"Adequado","Elevado"))))</f>
        <v/>
      </c>
      <c r="Q1371" s="12">
        <f>IF(OR($S1371="",$F1371="",$T1371="",$T1371&lt;0,$T1371&gt;60,$AR1371=""),"—",ROUND(IF(ABS($AU1371)&lt;=3,$AU1371,IF($AU1371&gt;3,3+($F1371-$AW1371)/($AW1371-$AV1371),-3+($F1371-$AY1371)/($AX1371-$AY1371))),2))</f>
        <v/>
      </c>
      <c r="R1371">
        <f>IF(OR($Q1371="",$Q1371="—"),"",IF($Q1371&lt;-3,"Magreza acentuada",IF($Q1371&lt;-2,"Magreza",IF($Q1371&lt;=1,"Eutrofia",IF($Q1371&lt;=2,"Risco de sobrepeso",IF($Q1371&lt;=3,"Sobrepeso","Obesidade"))))))</f>
        <v/>
      </c>
      <c r="S1371">
        <f>IF($C1371="","",IF(UPPER(LEFT($C1371,1))="M",1,IF(UPPER(LEFT($C1371,1))="F",2,"")))</f>
        <v/>
      </c>
      <c r="T1371">
        <f>IF(OR($D1371="",$E1371=""),"",DATEDIF($D1371,$E1371,"m"))</f>
        <v/>
      </c>
      <c r="U1371">
        <f>IF(OR($D1371="",$E1371=""),"",$E1371-$D1371)</f>
        <v/>
      </c>
      <c r="V1371">
        <f>IF(OR($G1371="",$T1371=""),"",IF($T1371&lt;24,IF(LEFT(LOWER($H1371),4)="em p",$G1371+0.7,$G1371),IF(LEFT(LOWER($H1371),4)="deit",$G1371-0.7,$G1371)))</f>
        <v/>
      </c>
      <c r="W1371">
        <f>IF(OR($S1371="",$T1371=""),"",$S1371*1000000+IF($T1371&lt;=60,$U1371,$T1371))</f>
        <v/>
      </c>
      <c r="X1371">
        <f>IF(OR($S1371="",$V1371="",$T1371&gt;60,$T1371=""),"",$S1371*1000000+ROUND($V1371*10,0))</f>
        <v/>
      </c>
      <c r="Y1371">
        <f>IF($W1371="","",IFERROR(INDEX(IF($T1371&lt;=60,imc05_l,imc519_l),MATCH($W1371,IF($T1371&lt;=60,imc05_k,imc519_k),1)),""))</f>
        <v/>
      </c>
      <c r="Z1371">
        <f>IF($W1371="","",IFERROR(INDEX(IF($T1371&lt;=60,imc05_m,imc519_m),MATCH($W1371,IF($T1371&lt;=60,imc05_k,imc519_k),1)),""))</f>
        <v/>
      </c>
      <c r="AA1371">
        <f>IF($W1371="","",IFERROR(INDEX(IF($T1371&lt;=60,imc05_s,imc519_s),MATCH($W1371,IF($T1371&lt;=60,imc05_k,imc519_k),1)),""))</f>
        <v/>
      </c>
      <c r="AB1371">
        <f>IF($Y1371="","",IF($Y1371=0,LN($J1371/$Z1371)/$AA1371,((($J1371/$Z1371)^$Y1371)-1)/($Y1371*$AA1371)))</f>
        <v/>
      </c>
      <c r="AC1371">
        <f>IF($Y1371="","",IF($Y1371=0,$Z1371*EXP($AA1371*2),$Z1371*(1+$Y1371*$AA1371*2)^(1/$Y1371)))</f>
        <v/>
      </c>
      <c r="AD1371">
        <f>IF($Y1371="","",IF($Y1371=0,$Z1371*EXP($AA1371*3),$Z1371*(1+$Y1371*$AA1371*3)^(1/$Y1371)))</f>
        <v/>
      </c>
      <c r="AE1371">
        <f>IF($Y1371="","",IF($Y1371=0,$Z1371*EXP($AA1371*-2),$Z1371*(1+$Y1371*$AA1371*-2)^(1/$Y1371)))</f>
        <v/>
      </c>
      <c r="AF1371">
        <f>IF($Y1371="","",IF($Y1371=0,$Z1371*EXP($AA1371*-3),$Z1371*(1+$Y1371*$AA1371*-3)^(1/$Y1371)))</f>
        <v/>
      </c>
      <c r="AG1371">
        <f>IF($W1371="","",IFERROR(INDEX(IF($T1371&lt;=60,est05_l,est519_l),MATCH($W1371,IF($T1371&lt;=60,est05_k,est519_k),1)),""))</f>
        <v/>
      </c>
      <c r="AH1371">
        <f>IF($W1371="","",IFERROR(INDEX(IF($T1371&lt;=60,est05_m,est519_m),MATCH($W1371,IF($T1371&lt;=60,est05_k,est519_k),1)),""))</f>
        <v/>
      </c>
      <c r="AI1371">
        <f>IF($W1371="","",IFERROR(INDEX(IF($T1371&lt;=60,est05_s,est519_s),MATCH($W1371,IF($T1371&lt;=60,est05_k,est519_k),1)),""))</f>
        <v/>
      </c>
      <c r="AJ1371">
        <f>IF($W1371="","",IFERROR(INDEX(IF($T1371&lt;=60,peso05_l,peso510_l),MATCH($W1371,IF($T1371&lt;=60,peso05_k,peso510_k),1)),""))</f>
        <v/>
      </c>
      <c r="AK1371">
        <f>IF($W1371="","",IFERROR(INDEX(IF($T1371&lt;=60,peso05_m,peso510_m),MATCH($W1371,IF($T1371&lt;=60,peso05_k,peso510_k),1)),""))</f>
        <v/>
      </c>
      <c r="AL1371">
        <f>IF($W1371="","",IFERROR(INDEX(IF($T1371&lt;=60,peso05_s,peso510_s),MATCH($W1371,IF($T1371&lt;=60,peso05_k,peso510_k),1)),""))</f>
        <v/>
      </c>
      <c r="AM1371">
        <f>IF($AJ1371="","",IF($AJ1371=0,LN($F1371/$AK1371)/$AL1371,((($F1371/$AK1371)^$AJ1371)-1)/($AJ1371*$AL1371)))</f>
        <v/>
      </c>
      <c r="AN1371">
        <f>IF($AJ1371="","",IF($AJ1371=0,$AK1371*EXP($AL1371*2),$AK1371*(1+$AJ1371*$AL1371*2)^(1/$AJ1371)))</f>
        <v/>
      </c>
      <c r="AO1371">
        <f>IF($AJ1371="","",IF($AJ1371=0,$AK1371*EXP($AL1371*3),$AK1371*(1+$AJ1371*$AL1371*3)^(1/$AJ1371)))</f>
        <v/>
      </c>
      <c r="AP1371">
        <f>IF($AJ1371="","",IF($AJ1371=0,$AK1371*EXP($AL1371*-2),$AK1371*(1+$AJ1371*$AL1371*-2)^(1/$AJ1371)))</f>
        <v/>
      </c>
      <c r="AQ1371">
        <f>IF($AJ1371="","",IF($AJ1371=0,$AK1371*EXP($AL1371*-3),$AK1371*(1+$AJ1371*$AL1371*-3)^(1/$AJ1371)))</f>
        <v/>
      </c>
      <c r="AR1371">
        <f>IF(OR($X1371="",$T1371&gt;60),"",IFERROR(INDEX(IF($T1371&lt;24,pcomp_l,palt_l),MATCH($X1371,IF($T1371&lt;24,pcomp_k,palt_k),1)),""))</f>
        <v/>
      </c>
      <c r="AS1371">
        <f>IF(OR($X1371="",$T1371&gt;60),"",IFERROR(INDEX(IF($T1371&lt;24,pcomp_m,palt_m),MATCH($X1371,IF($T1371&lt;24,pcomp_k,palt_k),1)),""))</f>
        <v/>
      </c>
      <c r="AT1371">
        <f>IF(OR($X1371="",$T1371&gt;60),"",IFERROR(INDEX(IF($T1371&lt;24,pcomp_s,palt_s),MATCH($X1371,IF($T1371&lt;24,pcomp_k,palt_k),1)),""))</f>
        <v/>
      </c>
      <c r="AU1371">
        <f>IF($AR1371="","",IF($AR1371=0,LN($F1371/$AS1371)/$AT1371,((($F1371/$AS1371)^$AR1371)-1)/($AR1371*$AT1371)))</f>
        <v/>
      </c>
      <c r="AV1371">
        <f>IF($AR1371="","",IF($AR1371=0,$AS1371*EXP($AT1371*2),$AS1371*(1+$AR1371*$AT1371*2)^(1/$AR1371)))</f>
        <v/>
      </c>
      <c r="AW1371">
        <f>IF($AR1371="","",IF($AR1371=0,$AS1371*EXP($AT1371*3),$AS1371*(1+$AR1371*$AT1371*3)^(1/$AR1371)))</f>
        <v/>
      </c>
      <c r="AX1371">
        <f>IF($AR1371="","",IF($AR1371=0,$AS1371*EXP($AT1371*-2),$AS1371*(1+$AR1371*$AT1371*-2)^(1/$AR1371)))</f>
        <v/>
      </c>
      <c r="AY1371">
        <f>IF($AR1371="","",IF($AR1371=0,$AS1371*EXP($AT1371*-3),$AS1371*(1+$AR1371*$AT1371*-3)^(1/$AR1371)))</f>
        <v/>
      </c>
      <c r="AZ1371">
        <f>IF(OR($A1371="",$A1371&lt;&gt;Ficha!$C$4),"",COUNTIF($A$2:$A1371,Ficha!$C$4))</f>
        <v/>
      </c>
    </row>
    <row r="1372">
      <c r="A1372" s="8">
        <f>IF(INDEX(Banco!$A:$A,ROW())="","",INDEX(Banco!$A:$A,ROW()))</f>
        <v/>
      </c>
      <c r="B1372" s="8">
        <f>IF(INDEX(Banco!$B:$B,ROW())="","",INDEX(Banco!$B:$B,ROW()))</f>
        <v/>
      </c>
      <c r="C1372" s="8">
        <f>IF(INDEX(Banco!$C:$C,ROW())="","",INDEX(Banco!$C:$C,ROW()))</f>
        <v/>
      </c>
      <c r="D1372" s="9">
        <f>IF(INDEX(Banco!$D:$D,ROW())="","",INDEX(Banco!$D:$D,ROW()))</f>
        <v/>
      </c>
      <c r="E1372" s="9">
        <f>IF(INDEX(Banco!$E:$E,ROW())="","",INDEX(Banco!$E:$E,ROW()))</f>
        <v/>
      </c>
      <c r="F1372" s="10">
        <f>IF(INDEX(Banco!$F:$F,ROW())="","",INDEX(Banco!$F:$F,ROW()))</f>
        <v/>
      </c>
      <c r="G1372" s="10">
        <f>IF(INDEX(Banco!$G:$G,ROW())="","",INDEX(Banco!$G:$G,ROW()))</f>
        <v/>
      </c>
      <c r="H1372" s="8">
        <f>IF(INDEX(Banco!$H:$H,ROW())="","",INDEX(Banco!$H:$H,ROW()))</f>
        <v/>
      </c>
      <c r="I1372">
        <f>IF($T1372="","",INT($T1372/12)&amp;"a "&amp;MOD($T1372,12)&amp;"m")</f>
        <v/>
      </c>
      <c r="J1372" s="11">
        <f>IF(OR($F1372="",$G1372=""),"",ROUND($F1372/($G1372/100)^2,2))</f>
        <v/>
      </c>
      <c r="K1372" s="12">
        <f>IF(OR($S1372="",$J1372="",$T1372="",$T1372&lt;0,$T1372&gt;228,$Y1372=""),"—",ROUND(IF(ABS($AB1372)&lt;=3,$AB1372,IF($AB1372&gt;3,3+($J1372-$AD1372)/($AD1372-$AC1372),-3+($J1372-$AF1372)/($AE1372-$AF1372))),2))</f>
        <v/>
      </c>
      <c r="L1372">
        <f>IF(OR($K1372="",$K1372="—"),"",IF($T1372&lt;=60,IF($K1372&lt;-3,"Magreza acentuada",IF($K1372&lt;-2,"Magreza",IF($K1372&lt;=1,"Eutrofia",IF($K1372&lt;=2,"Risco de sobrepeso",IF($K1372&lt;=3,"Sobrepeso","Obesidade"))))),IF($K1372&lt;-3,"Magreza acentuada",IF($K1372&lt;-2,"Magreza",IF($K1372&lt;=1,"Eutrofia",IF($K1372&lt;=2,"Sobrepeso",IF($K1372&lt;=3,"Obesidade","Obesidade grave")))))))</f>
        <v/>
      </c>
      <c r="M1372" s="12">
        <f>IF(OR($S1372="",$V1372="",$T1372="",$T1372&lt;0,$T1372&gt;228,$AG1372=""),"—",ROUND(IF($AG1372=0,LN($V1372/$AH1372)/$AI1372,((($V1372/$AH1372)^$AG1372)-1)/($AG1372*$AI1372)),2))</f>
        <v/>
      </c>
      <c r="N1372">
        <f>IF(OR($M1372="",$M1372="—"),"",IF($M1372&lt;-3,"Muito baixa",IF($M1372&lt;-2,"Baixa","Adequada")))</f>
        <v/>
      </c>
      <c r="O1372" s="12">
        <f>IF(OR($S1372="",$F1372="",$T1372="",$T1372&lt;0,$T1372&gt;120,$AJ1372=""),"—",ROUND(IF(ABS($AM1372)&lt;=3,$AM1372,IF($AM1372&gt;3,3+($F1372-$AO1372)/($AO1372-$AN1372),-3+($F1372-$AQ1372)/($AP1372-$AQ1372))),2))</f>
        <v/>
      </c>
      <c r="P1372">
        <f>IF(OR($O1372="",$O1372="—"),"",IF($O1372&lt;-3,"Muito baixo",IF($O1372&lt;-2,"Baixo",IF($O1372&lt;=2,"Adequado","Elevado"))))</f>
        <v/>
      </c>
      <c r="Q1372" s="12">
        <f>IF(OR($S1372="",$F1372="",$T1372="",$T1372&lt;0,$T1372&gt;60,$AR1372=""),"—",ROUND(IF(ABS($AU1372)&lt;=3,$AU1372,IF($AU1372&gt;3,3+($F1372-$AW1372)/($AW1372-$AV1372),-3+($F1372-$AY1372)/($AX1372-$AY1372))),2))</f>
        <v/>
      </c>
      <c r="R1372">
        <f>IF(OR($Q1372="",$Q1372="—"),"",IF($Q1372&lt;-3,"Magreza acentuada",IF($Q1372&lt;-2,"Magreza",IF($Q1372&lt;=1,"Eutrofia",IF($Q1372&lt;=2,"Risco de sobrepeso",IF($Q1372&lt;=3,"Sobrepeso","Obesidade"))))))</f>
        <v/>
      </c>
      <c r="S1372">
        <f>IF($C1372="","",IF(UPPER(LEFT($C1372,1))="M",1,IF(UPPER(LEFT($C1372,1))="F",2,"")))</f>
        <v/>
      </c>
      <c r="T1372">
        <f>IF(OR($D1372="",$E1372=""),"",DATEDIF($D1372,$E1372,"m"))</f>
        <v/>
      </c>
      <c r="U1372">
        <f>IF(OR($D1372="",$E1372=""),"",$E1372-$D1372)</f>
        <v/>
      </c>
      <c r="V1372">
        <f>IF(OR($G1372="",$T1372=""),"",IF($T1372&lt;24,IF(LEFT(LOWER($H1372),4)="em p",$G1372+0.7,$G1372),IF(LEFT(LOWER($H1372),4)="deit",$G1372-0.7,$G1372)))</f>
        <v/>
      </c>
      <c r="W1372">
        <f>IF(OR($S1372="",$T1372=""),"",$S1372*1000000+IF($T1372&lt;=60,$U1372,$T1372))</f>
        <v/>
      </c>
      <c r="X1372">
        <f>IF(OR($S1372="",$V1372="",$T1372&gt;60,$T1372=""),"",$S1372*1000000+ROUND($V1372*10,0))</f>
        <v/>
      </c>
      <c r="Y1372">
        <f>IF($W1372="","",IFERROR(INDEX(IF($T1372&lt;=60,imc05_l,imc519_l),MATCH($W1372,IF($T1372&lt;=60,imc05_k,imc519_k),1)),""))</f>
        <v/>
      </c>
      <c r="Z1372">
        <f>IF($W1372="","",IFERROR(INDEX(IF($T1372&lt;=60,imc05_m,imc519_m),MATCH($W1372,IF($T1372&lt;=60,imc05_k,imc519_k),1)),""))</f>
        <v/>
      </c>
      <c r="AA1372">
        <f>IF($W1372="","",IFERROR(INDEX(IF($T1372&lt;=60,imc05_s,imc519_s),MATCH($W1372,IF($T1372&lt;=60,imc05_k,imc519_k),1)),""))</f>
        <v/>
      </c>
      <c r="AB1372">
        <f>IF($Y1372="","",IF($Y1372=0,LN($J1372/$Z1372)/$AA1372,((($J1372/$Z1372)^$Y1372)-1)/($Y1372*$AA1372)))</f>
        <v/>
      </c>
      <c r="AC1372">
        <f>IF($Y1372="","",IF($Y1372=0,$Z1372*EXP($AA1372*2),$Z1372*(1+$Y1372*$AA1372*2)^(1/$Y1372)))</f>
        <v/>
      </c>
      <c r="AD1372">
        <f>IF($Y1372="","",IF($Y1372=0,$Z1372*EXP($AA1372*3),$Z1372*(1+$Y1372*$AA1372*3)^(1/$Y1372)))</f>
        <v/>
      </c>
      <c r="AE1372">
        <f>IF($Y1372="","",IF($Y1372=0,$Z1372*EXP($AA1372*-2),$Z1372*(1+$Y1372*$AA1372*-2)^(1/$Y1372)))</f>
        <v/>
      </c>
      <c r="AF1372">
        <f>IF($Y1372="","",IF($Y1372=0,$Z1372*EXP($AA1372*-3),$Z1372*(1+$Y1372*$AA1372*-3)^(1/$Y1372)))</f>
        <v/>
      </c>
      <c r="AG1372">
        <f>IF($W1372="","",IFERROR(INDEX(IF($T1372&lt;=60,est05_l,est519_l),MATCH($W1372,IF($T1372&lt;=60,est05_k,est519_k),1)),""))</f>
        <v/>
      </c>
      <c r="AH1372">
        <f>IF($W1372="","",IFERROR(INDEX(IF($T1372&lt;=60,est05_m,est519_m),MATCH($W1372,IF($T1372&lt;=60,est05_k,est519_k),1)),""))</f>
        <v/>
      </c>
      <c r="AI1372">
        <f>IF($W1372="","",IFERROR(INDEX(IF($T1372&lt;=60,est05_s,est519_s),MATCH($W1372,IF($T1372&lt;=60,est05_k,est519_k),1)),""))</f>
        <v/>
      </c>
      <c r="AJ1372">
        <f>IF($W1372="","",IFERROR(INDEX(IF($T1372&lt;=60,peso05_l,peso510_l),MATCH($W1372,IF($T1372&lt;=60,peso05_k,peso510_k),1)),""))</f>
        <v/>
      </c>
      <c r="AK1372">
        <f>IF($W1372="","",IFERROR(INDEX(IF($T1372&lt;=60,peso05_m,peso510_m),MATCH($W1372,IF($T1372&lt;=60,peso05_k,peso510_k),1)),""))</f>
        <v/>
      </c>
      <c r="AL1372">
        <f>IF($W1372="","",IFERROR(INDEX(IF($T1372&lt;=60,peso05_s,peso510_s),MATCH($W1372,IF($T1372&lt;=60,peso05_k,peso510_k),1)),""))</f>
        <v/>
      </c>
      <c r="AM1372">
        <f>IF($AJ1372="","",IF($AJ1372=0,LN($F1372/$AK1372)/$AL1372,((($F1372/$AK1372)^$AJ1372)-1)/($AJ1372*$AL1372)))</f>
        <v/>
      </c>
      <c r="AN1372">
        <f>IF($AJ1372="","",IF($AJ1372=0,$AK1372*EXP($AL1372*2),$AK1372*(1+$AJ1372*$AL1372*2)^(1/$AJ1372)))</f>
        <v/>
      </c>
      <c r="AO1372">
        <f>IF($AJ1372="","",IF($AJ1372=0,$AK1372*EXP($AL1372*3),$AK1372*(1+$AJ1372*$AL1372*3)^(1/$AJ1372)))</f>
        <v/>
      </c>
      <c r="AP1372">
        <f>IF($AJ1372="","",IF($AJ1372=0,$AK1372*EXP($AL1372*-2),$AK1372*(1+$AJ1372*$AL1372*-2)^(1/$AJ1372)))</f>
        <v/>
      </c>
      <c r="AQ1372">
        <f>IF($AJ1372="","",IF($AJ1372=0,$AK1372*EXP($AL1372*-3),$AK1372*(1+$AJ1372*$AL1372*-3)^(1/$AJ1372)))</f>
        <v/>
      </c>
      <c r="AR1372">
        <f>IF(OR($X1372="",$T1372&gt;60),"",IFERROR(INDEX(IF($T1372&lt;24,pcomp_l,palt_l),MATCH($X1372,IF($T1372&lt;24,pcomp_k,palt_k),1)),""))</f>
        <v/>
      </c>
      <c r="AS1372">
        <f>IF(OR($X1372="",$T1372&gt;60),"",IFERROR(INDEX(IF($T1372&lt;24,pcomp_m,palt_m),MATCH($X1372,IF($T1372&lt;24,pcomp_k,palt_k),1)),""))</f>
        <v/>
      </c>
      <c r="AT1372">
        <f>IF(OR($X1372="",$T1372&gt;60),"",IFERROR(INDEX(IF($T1372&lt;24,pcomp_s,palt_s),MATCH($X1372,IF($T1372&lt;24,pcomp_k,palt_k),1)),""))</f>
        <v/>
      </c>
      <c r="AU1372">
        <f>IF($AR1372="","",IF($AR1372=0,LN($F1372/$AS1372)/$AT1372,((($F1372/$AS1372)^$AR1372)-1)/($AR1372*$AT1372)))</f>
        <v/>
      </c>
      <c r="AV1372">
        <f>IF($AR1372="","",IF($AR1372=0,$AS1372*EXP($AT1372*2),$AS1372*(1+$AR1372*$AT1372*2)^(1/$AR1372)))</f>
        <v/>
      </c>
      <c r="AW1372">
        <f>IF($AR1372="","",IF($AR1372=0,$AS1372*EXP($AT1372*3),$AS1372*(1+$AR1372*$AT1372*3)^(1/$AR1372)))</f>
        <v/>
      </c>
      <c r="AX1372">
        <f>IF($AR1372="","",IF($AR1372=0,$AS1372*EXP($AT1372*-2),$AS1372*(1+$AR1372*$AT1372*-2)^(1/$AR1372)))</f>
        <v/>
      </c>
      <c r="AY1372">
        <f>IF($AR1372="","",IF($AR1372=0,$AS1372*EXP($AT1372*-3),$AS1372*(1+$AR1372*$AT1372*-3)^(1/$AR1372)))</f>
        <v/>
      </c>
      <c r="AZ1372">
        <f>IF(OR($A1372="",$A1372&lt;&gt;Ficha!$C$4),"",COUNTIF($A$2:$A1372,Ficha!$C$4))</f>
        <v/>
      </c>
    </row>
    <row r="1373">
      <c r="A1373" s="8">
        <f>IF(INDEX(Banco!$A:$A,ROW())="","",INDEX(Banco!$A:$A,ROW()))</f>
        <v/>
      </c>
      <c r="B1373" s="8">
        <f>IF(INDEX(Banco!$B:$B,ROW())="","",INDEX(Banco!$B:$B,ROW()))</f>
        <v/>
      </c>
      <c r="C1373" s="8">
        <f>IF(INDEX(Banco!$C:$C,ROW())="","",INDEX(Banco!$C:$C,ROW()))</f>
        <v/>
      </c>
      <c r="D1373" s="9">
        <f>IF(INDEX(Banco!$D:$D,ROW())="","",INDEX(Banco!$D:$D,ROW()))</f>
        <v/>
      </c>
      <c r="E1373" s="9">
        <f>IF(INDEX(Banco!$E:$E,ROW())="","",INDEX(Banco!$E:$E,ROW()))</f>
        <v/>
      </c>
      <c r="F1373" s="10">
        <f>IF(INDEX(Banco!$F:$F,ROW())="","",INDEX(Banco!$F:$F,ROW()))</f>
        <v/>
      </c>
      <c r="G1373" s="10">
        <f>IF(INDEX(Banco!$G:$G,ROW())="","",INDEX(Banco!$G:$G,ROW()))</f>
        <v/>
      </c>
      <c r="H1373" s="8">
        <f>IF(INDEX(Banco!$H:$H,ROW())="","",INDEX(Banco!$H:$H,ROW()))</f>
        <v/>
      </c>
      <c r="I1373">
        <f>IF($T1373="","",INT($T1373/12)&amp;"a "&amp;MOD($T1373,12)&amp;"m")</f>
        <v/>
      </c>
      <c r="J1373" s="11">
        <f>IF(OR($F1373="",$G1373=""),"",ROUND($F1373/($G1373/100)^2,2))</f>
        <v/>
      </c>
      <c r="K1373" s="12">
        <f>IF(OR($S1373="",$J1373="",$T1373="",$T1373&lt;0,$T1373&gt;228,$Y1373=""),"—",ROUND(IF(ABS($AB1373)&lt;=3,$AB1373,IF($AB1373&gt;3,3+($J1373-$AD1373)/($AD1373-$AC1373),-3+($J1373-$AF1373)/($AE1373-$AF1373))),2))</f>
        <v/>
      </c>
      <c r="L1373">
        <f>IF(OR($K1373="",$K1373="—"),"",IF($T1373&lt;=60,IF($K1373&lt;-3,"Magreza acentuada",IF($K1373&lt;-2,"Magreza",IF($K1373&lt;=1,"Eutrofia",IF($K1373&lt;=2,"Risco de sobrepeso",IF($K1373&lt;=3,"Sobrepeso","Obesidade"))))),IF($K1373&lt;-3,"Magreza acentuada",IF($K1373&lt;-2,"Magreza",IF($K1373&lt;=1,"Eutrofia",IF($K1373&lt;=2,"Sobrepeso",IF($K1373&lt;=3,"Obesidade","Obesidade grave")))))))</f>
        <v/>
      </c>
      <c r="M1373" s="12">
        <f>IF(OR($S1373="",$V1373="",$T1373="",$T1373&lt;0,$T1373&gt;228,$AG1373=""),"—",ROUND(IF($AG1373=0,LN($V1373/$AH1373)/$AI1373,((($V1373/$AH1373)^$AG1373)-1)/($AG1373*$AI1373)),2))</f>
        <v/>
      </c>
      <c r="N1373">
        <f>IF(OR($M1373="",$M1373="—"),"",IF($M1373&lt;-3,"Muito baixa",IF($M1373&lt;-2,"Baixa","Adequada")))</f>
        <v/>
      </c>
      <c r="O1373" s="12">
        <f>IF(OR($S1373="",$F1373="",$T1373="",$T1373&lt;0,$T1373&gt;120,$AJ1373=""),"—",ROUND(IF(ABS($AM1373)&lt;=3,$AM1373,IF($AM1373&gt;3,3+($F1373-$AO1373)/($AO1373-$AN1373),-3+($F1373-$AQ1373)/($AP1373-$AQ1373))),2))</f>
        <v/>
      </c>
      <c r="P1373">
        <f>IF(OR($O1373="",$O1373="—"),"",IF($O1373&lt;-3,"Muito baixo",IF($O1373&lt;-2,"Baixo",IF($O1373&lt;=2,"Adequado","Elevado"))))</f>
        <v/>
      </c>
      <c r="Q1373" s="12">
        <f>IF(OR($S1373="",$F1373="",$T1373="",$T1373&lt;0,$T1373&gt;60,$AR1373=""),"—",ROUND(IF(ABS($AU1373)&lt;=3,$AU1373,IF($AU1373&gt;3,3+($F1373-$AW1373)/($AW1373-$AV1373),-3+($F1373-$AY1373)/($AX1373-$AY1373))),2))</f>
        <v/>
      </c>
      <c r="R1373">
        <f>IF(OR($Q1373="",$Q1373="—"),"",IF($Q1373&lt;-3,"Magreza acentuada",IF($Q1373&lt;-2,"Magreza",IF($Q1373&lt;=1,"Eutrofia",IF($Q1373&lt;=2,"Risco de sobrepeso",IF($Q1373&lt;=3,"Sobrepeso","Obesidade"))))))</f>
        <v/>
      </c>
      <c r="S1373">
        <f>IF($C1373="","",IF(UPPER(LEFT($C1373,1))="M",1,IF(UPPER(LEFT($C1373,1))="F",2,"")))</f>
        <v/>
      </c>
      <c r="T1373">
        <f>IF(OR($D1373="",$E1373=""),"",DATEDIF($D1373,$E1373,"m"))</f>
        <v/>
      </c>
      <c r="U1373">
        <f>IF(OR($D1373="",$E1373=""),"",$E1373-$D1373)</f>
        <v/>
      </c>
      <c r="V1373">
        <f>IF(OR($G1373="",$T1373=""),"",IF($T1373&lt;24,IF(LEFT(LOWER($H1373),4)="em p",$G1373+0.7,$G1373),IF(LEFT(LOWER($H1373),4)="deit",$G1373-0.7,$G1373)))</f>
        <v/>
      </c>
      <c r="W1373">
        <f>IF(OR($S1373="",$T1373=""),"",$S1373*1000000+IF($T1373&lt;=60,$U1373,$T1373))</f>
        <v/>
      </c>
      <c r="X1373">
        <f>IF(OR($S1373="",$V1373="",$T1373&gt;60,$T1373=""),"",$S1373*1000000+ROUND($V1373*10,0))</f>
        <v/>
      </c>
      <c r="Y1373">
        <f>IF($W1373="","",IFERROR(INDEX(IF($T1373&lt;=60,imc05_l,imc519_l),MATCH($W1373,IF($T1373&lt;=60,imc05_k,imc519_k),1)),""))</f>
        <v/>
      </c>
      <c r="Z1373">
        <f>IF($W1373="","",IFERROR(INDEX(IF($T1373&lt;=60,imc05_m,imc519_m),MATCH($W1373,IF($T1373&lt;=60,imc05_k,imc519_k),1)),""))</f>
        <v/>
      </c>
      <c r="AA1373">
        <f>IF($W1373="","",IFERROR(INDEX(IF($T1373&lt;=60,imc05_s,imc519_s),MATCH($W1373,IF($T1373&lt;=60,imc05_k,imc519_k),1)),""))</f>
        <v/>
      </c>
      <c r="AB1373">
        <f>IF($Y1373="","",IF($Y1373=0,LN($J1373/$Z1373)/$AA1373,((($J1373/$Z1373)^$Y1373)-1)/($Y1373*$AA1373)))</f>
        <v/>
      </c>
      <c r="AC1373">
        <f>IF($Y1373="","",IF($Y1373=0,$Z1373*EXP($AA1373*2),$Z1373*(1+$Y1373*$AA1373*2)^(1/$Y1373)))</f>
        <v/>
      </c>
      <c r="AD1373">
        <f>IF($Y1373="","",IF($Y1373=0,$Z1373*EXP($AA1373*3),$Z1373*(1+$Y1373*$AA1373*3)^(1/$Y1373)))</f>
        <v/>
      </c>
      <c r="AE1373">
        <f>IF($Y1373="","",IF($Y1373=0,$Z1373*EXP($AA1373*-2),$Z1373*(1+$Y1373*$AA1373*-2)^(1/$Y1373)))</f>
        <v/>
      </c>
      <c r="AF1373">
        <f>IF($Y1373="","",IF($Y1373=0,$Z1373*EXP($AA1373*-3),$Z1373*(1+$Y1373*$AA1373*-3)^(1/$Y1373)))</f>
        <v/>
      </c>
      <c r="AG1373">
        <f>IF($W1373="","",IFERROR(INDEX(IF($T1373&lt;=60,est05_l,est519_l),MATCH($W1373,IF($T1373&lt;=60,est05_k,est519_k),1)),""))</f>
        <v/>
      </c>
      <c r="AH1373">
        <f>IF($W1373="","",IFERROR(INDEX(IF($T1373&lt;=60,est05_m,est519_m),MATCH($W1373,IF($T1373&lt;=60,est05_k,est519_k),1)),""))</f>
        <v/>
      </c>
      <c r="AI1373">
        <f>IF($W1373="","",IFERROR(INDEX(IF($T1373&lt;=60,est05_s,est519_s),MATCH($W1373,IF($T1373&lt;=60,est05_k,est519_k),1)),""))</f>
        <v/>
      </c>
      <c r="AJ1373">
        <f>IF($W1373="","",IFERROR(INDEX(IF($T1373&lt;=60,peso05_l,peso510_l),MATCH($W1373,IF($T1373&lt;=60,peso05_k,peso510_k),1)),""))</f>
        <v/>
      </c>
      <c r="AK1373">
        <f>IF($W1373="","",IFERROR(INDEX(IF($T1373&lt;=60,peso05_m,peso510_m),MATCH($W1373,IF($T1373&lt;=60,peso05_k,peso510_k),1)),""))</f>
        <v/>
      </c>
      <c r="AL1373">
        <f>IF($W1373="","",IFERROR(INDEX(IF($T1373&lt;=60,peso05_s,peso510_s),MATCH($W1373,IF($T1373&lt;=60,peso05_k,peso510_k),1)),""))</f>
        <v/>
      </c>
      <c r="AM1373">
        <f>IF($AJ1373="","",IF($AJ1373=0,LN($F1373/$AK1373)/$AL1373,((($F1373/$AK1373)^$AJ1373)-1)/($AJ1373*$AL1373)))</f>
        <v/>
      </c>
      <c r="AN1373">
        <f>IF($AJ1373="","",IF($AJ1373=0,$AK1373*EXP($AL1373*2),$AK1373*(1+$AJ1373*$AL1373*2)^(1/$AJ1373)))</f>
        <v/>
      </c>
      <c r="AO1373">
        <f>IF($AJ1373="","",IF($AJ1373=0,$AK1373*EXP($AL1373*3),$AK1373*(1+$AJ1373*$AL1373*3)^(1/$AJ1373)))</f>
        <v/>
      </c>
      <c r="AP1373">
        <f>IF($AJ1373="","",IF($AJ1373=0,$AK1373*EXP($AL1373*-2),$AK1373*(1+$AJ1373*$AL1373*-2)^(1/$AJ1373)))</f>
        <v/>
      </c>
      <c r="AQ1373">
        <f>IF($AJ1373="","",IF($AJ1373=0,$AK1373*EXP($AL1373*-3),$AK1373*(1+$AJ1373*$AL1373*-3)^(1/$AJ1373)))</f>
        <v/>
      </c>
      <c r="AR1373">
        <f>IF(OR($X1373="",$T1373&gt;60),"",IFERROR(INDEX(IF($T1373&lt;24,pcomp_l,palt_l),MATCH($X1373,IF($T1373&lt;24,pcomp_k,palt_k),1)),""))</f>
        <v/>
      </c>
      <c r="AS1373">
        <f>IF(OR($X1373="",$T1373&gt;60),"",IFERROR(INDEX(IF($T1373&lt;24,pcomp_m,palt_m),MATCH($X1373,IF($T1373&lt;24,pcomp_k,palt_k),1)),""))</f>
        <v/>
      </c>
      <c r="AT1373">
        <f>IF(OR($X1373="",$T1373&gt;60),"",IFERROR(INDEX(IF($T1373&lt;24,pcomp_s,palt_s),MATCH($X1373,IF($T1373&lt;24,pcomp_k,palt_k),1)),""))</f>
        <v/>
      </c>
      <c r="AU1373">
        <f>IF($AR1373="","",IF($AR1373=0,LN($F1373/$AS1373)/$AT1373,((($F1373/$AS1373)^$AR1373)-1)/($AR1373*$AT1373)))</f>
        <v/>
      </c>
      <c r="AV1373">
        <f>IF($AR1373="","",IF($AR1373=0,$AS1373*EXP($AT1373*2),$AS1373*(1+$AR1373*$AT1373*2)^(1/$AR1373)))</f>
        <v/>
      </c>
      <c r="AW1373">
        <f>IF($AR1373="","",IF($AR1373=0,$AS1373*EXP($AT1373*3),$AS1373*(1+$AR1373*$AT1373*3)^(1/$AR1373)))</f>
        <v/>
      </c>
      <c r="AX1373">
        <f>IF($AR1373="","",IF($AR1373=0,$AS1373*EXP($AT1373*-2),$AS1373*(1+$AR1373*$AT1373*-2)^(1/$AR1373)))</f>
        <v/>
      </c>
      <c r="AY1373">
        <f>IF($AR1373="","",IF($AR1373=0,$AS1373*EXP($AT1373*-3),$AS1373*(1+$AR1373*$AT1373*-3)^(1/$AR1373)))</f>
        <v/>
      </c>
      <c r="AZ1373">
        <f>IF(OR($A1373="",$A1373&lt;&gt;Ficha!$C$4),"",COUNTIF($A$2:$A1373,Ficha!$C$4))</f>
        <v/>
      </c>
    </row>
    <row r="1374">
      <c r="A1374" s="8">
        <f>IF(INDEX(Banco!$A:$A,ROW())="","",INDEX(Banco!$A:$A,ROW()))</f>
        <v/>
      </c>
      <c r="B1374" s="8">
        <f>IF(INDEX(Banco!$B:$B,ROW())="","",INDEX(Banco!$B:$B,ROW()))</f>
        <v/>
      </c>
      <c r="C1374" s="8">
        <f>IF(INDEX(Banco!$C:$C,ROW())="","",INDEX(Banco!$C:$C,ROW()))</f>
        <v/>
      </c>
      <c r="D1374" s="9">
        <f>IF(INDEX(Banco!$D:$D,ROW())="","",INDEX(Banco!$D:$D,ROW()))</f>
        <v/>
      </c>
      <c r="E1374" s="9">
        <f>IF(INDEX(Banco!$E:$E,ROW())="","",INDEX(Banco!$E:$E,ROW()))</f>
        <v/>
      </c>
      <c r="F1374" s="10">
        <f>IF(INDEX(Banco!$F:$F,ROW())="","",INDEX(Banco!$F:$F,ROW()))</f>
        <v/>
      </c>
      <c r="G1374" s="10">
        <f>IF(INDEX(Banco!$G:$G,ROW())="","",INDEX(Banco!$G:$G,ROW()))</f>
        <v/>
      </c>
      <c r="H1374" s="8">
        <f>IF(INDEX(Banco!$H:$H,ROW())="","",INDEX(Banco!$H:$H,ROW()))</f>
        <v/>
      </c>
      <c r="I1374">
        <f>IF($T1374="","",INT($T1374/12)&amp;"a "&amp;MOD($T1374,12)&amp;"m")</f>
        <v/>
      </c>
      <c r="J1374" s="11">
        <f>IF(OR($F1374="",$G1374=""),"",ROUND($F1374/($G1374/100)^2,2))</f>
        <v/>
      </c>
      <c r="K1374" s="12">
        <f>IF(OR($S1374="",$J1374="",$T1374="",$T1374&lt;0,$T1374&gt;228,$Y1374=""),"—",ROUND(IF(ABS($AB1374)&lt;=3,$AB1374,IF($AB1374&gt;3,3+($J1374-$AD1374)/($AD1374-$AC1374),-3+($J1374-$AF1374)/($AE1374-$AF1374))),2))</f>
        <v/>
      </c>
      <c r="L1374">
        <f>IF(OR($K1374="",$K1374="—"),"",IF($T1374&lt;=60,IF($K1374&lt;-3,"Magreza acentuada",IF($K1374&lt;-2,"Magreza",IF($K1374&lt;=1,"Eutrofia",IF($K1374&lt;=2,"Risco de sobrepeso",IF($K1374&lt;=3,"Sobrepeso","Obesidade"))))),IF($K1374&lt;-3,"Magreza acentuada",IF($K1374&lt;-2,"Magreza",IF($K1374&lt;=1,"Eutrofia",IF($K1374&lt;=2,"Sobrepeso",IF($K1374&lt;=3,"Obesidade","Obesidade grave")))))))</f>
        <v/>
      </c>
      <c r="M1374" s="12">
        <f>IF(OR($S1374="",$V1374="",$T1374="",$T1374&lt;0,$T1374&gt;228,$AG1374=""),"—",ROUND(IF($AG1374=0,LN($V1374/$AH1374)/$AI1374,((($V1374/$AH1374)^$AG1374)-1)/($AG1374*$AI1374)),2))</f>
        <v/>
      </c>
      <c r="N1374">
        <f>IF(OR($M1374="",$M1374="—"),"",IF($M1374&lt;-3,"Muito baixa",IF($M1374&lt;-2,"Baixa","Adequada")))</f>
        <v/>
      </c>
      <c r="O1374" s="12">
        <f>IF(OR($S1374="",$F1374="",$T1374="",$T1374&lt;0,$T1374&gt;120,$AJ1374=""),"—",ROUND(IF(ABS($AM1374)&lt;=3,$AM1374,IF($AM1374&gt;3,3+($F1374-$AO1374)/($AO1374-$AN1374),-3+($F1374-$AQ1374)/($AP1374-$AQ1374))),2))</f>
        <v/>
      </c>
      <c r="P1374">
        <f>IF(OR($O1374="",$O1374="—"),"",IF($O1374&lt;-3,"Muito baixo",IF($O1374&lt;-2,"Baixo",IF($O1374&lt;=2,"Adequado","Elevado"))))</f>
        <v/>
      </c>
      <c r="Q1374" s="12">
        <f>IF(OR($S1374="",$F1374="",$T1374="",$T1374&lt;0,$T1374&gt;60,$AR1374=""),"—",ROUND(IF(ABS($AU1374)&lt;=3,$AU1374,IF($AU1374&gt;3,3+($F1374-$AW1374)/($AW1374-$AV1374),-3+($F1374-$AY1374)/($AX1374-$AY1374))),2))</f>
        <v/>
      </c>
      <c r="R1374">
        <f>IF(OR($Q1374="",$Q1374="—"),"",IF($Q1374&lt;-3,"Magreza acentuada",IF($Q1374&lt;-2,"Magreza",IF($Q1374&lt;=1,"Eutrofia",IF($Q1374&lt;=2,"Risco de sobrepeso",IF($Q1374&lt;=3,"Sobrepeso","Obesidade"))))))</f>
        <v/>
      </c>
      <c r="S1374">
        <f>IF($C1374="","",IF(UPPER(LEFT($C1374,1))="M",1,IF(UPPER(LEFT($C1374,1))="F",2,"")))</f>
        <v/>
      </c>
      <c r="T1374">
        <f>IF(OR($D1374="",$E1374=""),"",DATEDIF($D1374,$E1374,"m"))</f>
        <v/>
      </c>
      <c r="U1374">
        <f>IF(OR($D1374="",$E1374=""),"",$E1374-$D1374)</f>
        <v/>
      </c>
      <c r="V1374">
        <f>IF(OR($G1374="",$T1374=""),"",IF($T1374&lt;24,IF(LEFT(LOWER($H1374),4)="em p",$G1374+0.7,$G1374),IF(LEFT(LOWER($H1374),4)="deit",$G1374-0.7,$G1374)))</f>
        <v/>
      </c>
      <c r="W1374">
        <f>IF(OR($S1374="",$T1374=""),"",$S1374*1000000+IF($T1374&lt;=60,$U1374,$T1374))</f>
        <v/>
      </c>
      <c r="X1374">
        <f>IF(OR($S1374="",$V1374="",$T1374&gt;60,$T1374=""),"",$S1374*1000000+ROUND($V1374*10,0))</f>
        <v/>
      </c>
      <c r="Y1374">
        <f>IF($W1374="","",IFERROR(INDEX(IF($T1374&lt;=60,imc05_l,imc519_l),MATCH($W1374,IF($T1374&lt;=60,imc05_k,imc519_k),1)),""))</f>
        <v/>
      </c>
      <c r="Z1374">
        <f>IF($W1374="","",IFERROR(INDEX(IF($T1374&lt;=60,imc05_m,imc519_m),MATCH($W1374,IF($T1374&lt;=60,imc05_k,imc519_k),1)),""))</f>
        <v/>
      </c>
      <c r="AA1374">
        <f>IF($W1374="","",IFERROR(INDEX(IF($T1374&lt;=60,imc05_s,imc519_s),MATCH($W1374,IF($T1374&lt;=60,imc05_k,imc519_k),1)),""))</f>
        <v/>
      </c>
      <c r="AB1374">
        <f>IF($Y1374="","",IF($Y1374=0,LN($J1374/$Z1374)/$AA1374,((($J1374/$Z1374)^$Y1374)-1)/($Y1374*$AA1374)))</f>
        <v/>
      </c>
      <c r="AC1374">
        <f>IF($Y1374="","",IF($Y1374=0,$Z1374*EXP($AA1374*2),$Z1374*(1+$Y1374*$AA1374*2)^(1/$Y1374)))</f>
        <v/>
      </c>
      <c r="AD1374">
        <f>IF($Y1374="","",IF($Y1374=0,$Z1374*EXP($AA1374*3),$Z1374*(1+$Y1374*$AA1374*3)^(1/$Y1374)))</f>
        <v/>
      </c>
      <c r="AE1374">
        <f>IF($Y1374="","",IF($Y1374=0,$Z1374*EXP($AA1374*-2),$Z1374*(1+$Y1374*$AA1374*-2)^(1/$Y1374)))</f>
        <v/>
      </c>
      <c r="AF1374">
        <f>IF($Y1374="","",IF($Y1374=0,$Z1374*EXP($AA1374*-3),$Z1374*(1+$Y1374*$AA1374*-3)^(1/$Y1374)))</f>
        <v/>
      </c>
      <c r="AG1374">
        <f>IF($W1374="","",IFERROR(INDEX(IF($T1374&lt;=60,est05_l,est519_l),MATCH($W1374,IF($T1374&lt;=60,est05_k,est519_k),1)),""))</f>
        <v/>
      </c>
      <c r="AH1374">
        <f>IF($W1374="","",IFERROR(INDEX(IF($T1374&lt;=60,est05_m,est519_m),MATCH($W1374,IF($T1374&lt;=60,est05_k,est519_k),1)),""))</f>
        <v/>
      </c>
      <c r="AI1374">
        <f>IF($W1374="","",IFERROR(INDEX(IF($T1374&lt;=60,est05_s,est519_s),MATCH($W1374,IF($T1374&lt;=60,est05_k,est519_k),1)),""))</f>
        <v/>
      </c>
      <c r="AJ1374">
        <f>IF($W1374="","",IFERROR(INDEX(IF($T1374&lt;=60,peso05_l,peso510_l),MATCH($W1374,IF($T1374&lt;=60,peso05_k,peso510_k),1)),""))</f>
        <v/>
      </c>
      <c r="AK1374">
        <f>IF($W1374="","",IFERROR(INDEX(IF($T1374&lt;=60,peso05_m,peso510_m),MATCH($W1374,IF($T1374&lt;=60,peso05_k,peso510_k),1)),""))</f>
        <v/>
      </c>
      <c r="AL1374">
        <f>IF($W1374="","",IFERROR(INDEX(IF($T1374&lt;=60,peso05_s,peso510_s),MATCH($W1374,IF($T1374&lt;=60,peso05_k,peso510_k),1)),""))</f>
        <v/>
      </c>
      <c r="AM1374">
        <f>IF($AJ1374="","",IF($AJ1374=0,LN($F1374/$AK1374)/$AL1374,((($F1374/$AK1374)^$AJ1374)-1)/($AJ1374*$AL1374)))</f>
        <v/>
      </c>
      <c r="AN1374">
        <f>IF($AJ1374="","",IF($AJ1374=0,$AK1374*EXP($AL1374*2),$AK1374*(1+$AJ1374*$AL1374*2)^(1/$AJ1374)))</f>
        <v/>
      </c>
      <c r="AO1374">
        <f>IF($AJ1374="","",IF($AJ1374=0,$AK1374*EXP($AL1374*3),$AK1374*(1+$AJ1374*$AL1374*3)^(1/$AJ1374)))</f>
        <v/>
      </c>
      <c r="AP1374">
        <f>IF($AJ1374="","",IF($AJ1374=0,$AK1374*EXP($AL1374*-2),$AK1374*(1+$AJ1374*$AL1374*-2)^(1/$AJ1374)))</f>
        <v/>
      </c>
      <c r="AQ1374">
        <f>IF($AJ1374="","",IF($AJ1374=0,$AK1374*EXP($AL1374*-3),$AK1374*(1+$AJ1374*$AL1374*-3)^(1/$AJ1374)))</f>
        <v/>
      </c>
      <c r="AR1374">
        <f>IF(OR($X1374="",$T1374&gt;60),"",IFERROR(INDEX(IF($T1374&lt;24,pcomp_l,palt_l),MATCH($X1374,IF($T1374&lt;24,pcomp_k,palt_k),1)),""))</f>
        <v/>
      </c>
      <c r="AS1374">
        <f>IF(OR($X1374="",$T1374&gt;60),"",IFERROR(INDEX(IF($T1374&lt;24,pcomp_m,palt_m),MATCH($X1374,IF($T1374&lt;24,pcomp_k,palt_k),1)),""))</f>
        <v/>
      </c>
      <c r="AT1374">
        <f>IF(OR($X1374="",$T1374&gt;60),"",IFERROR(INDEX(IF($T1374&lt;24,pcomp_s,palt_s),MATCH($X1374,IF($T1374&lt;24,pcomp_k,palt_k),1)),""))</f>
        <v/>
      </c>
      <c r="AU1374">
        <f>IF($AR1374="","",IF($AR1374=0,LN($F1374/$AS1374)/$AT1374,((($F1374/$AS1374)^$AR1374)-1)/($AR1374*$AT1374)))</f>
        <v/>
      </c>
      <c r="AV1374">
        <f>IF($AR1374="","",IF($AR1374=0,$AS1374*EXP($AT1374*2),$AS1374*(1+$AR1374*$AT1374*2)^(1/$AR1374)))</f>
        <v/>
      </c>
      <c r="AW1374">
        <f>IF($AR1374="","",IF($AR1374=0,$AS1374*EXP($AT1374*3),$AS1374*(1+$AR1374*$AT1374*3)^(1/$AR1374)))</f>
        <v/>
      </c>
      <c r="AX1374">
        <f>IF($AR1374="","",IF($AR1374=0,$AS1374*EXP($AT1374*-2),$AS1374*(1+$AR1374*$AT1374*-2)^(1/$AR1374)))</f>
        <v/>
      </c>
      <c r="AY1374">
        <f>IF($AR1374="","",IF($AR1374=0,$AS1374*EXP($AT1374*-3),$AS1374*(1+$AR1374*$AT1374*-3)^(1/$AR1374)))</f>
        <v/>
      </c>
      <c r="AZ1374">
        <f>IF(OR($A1374="",$A1374&lt;&gt;Ficha!$C$4),"",COUNTIF($A$2:$A1374,Ficha!$C$4))</f>
        <v/>
      </c>
    </row>
    <row r="1375">
      <c r="A1375" s="8">
        <f>IF(INDEX(Banco!$A:$A,ROW())="","",INDEX(Banco!$A:$A,ROW()))</f>
        <v/>
      </c>
      <c r="B1375" s="8">
        <f>IF(INDEX(Banco!$B:$B,ROW())="","",INDEX(Banco!$B:$B,ROW()))</f>
        <v/>
      </c>
      <c r="C1375" s="8">
        <f>IF(INDEX(Banco!$C:$C,ROW())="","",INDEX(Banco!$C:$C,ROW()))</f>
        <v/>
      </c>
      <c r="D1375" s="9">
        <f>IF(INDEX(Banco!$D:$D,ROW())="","",INDEX(Banco!$D:$D,ROW()))</f>
        <v/>
      </c>
      <c r="E1375" s="9">
        <f>IF(INDEX(Banco!$E:$E,ROW())="","",INDEX(Banco!$E:$E,ROW()))</f>
        <v/>
      </c>
      <c r="F1375" s="10">
        <f>IF(INDEX(Banco!$F:$F,ROW())="","",INDEX(Banco!$F:$F,ROW()))</f>
        <v/>
      </c>
      <c r="G1375" s="10">
        <f>IF(INDEX(Banco!$G:$G,ROW())="","",INDEX(Banco!$G:$G,ROW()))</f>
        <v/>
      </c>
      <c r="H1375" s="8">
        <f>IF(INDEX(Banco!$H:$H,ROW())="","",INDEX(Banco!$H:$H,ROW()))</f>
        <v/>
      </c>
      <c r="I1375">
        <f>IF($T1375="","",INT($T1375/12)&amp;"a "&amp;MOD($T1375,12)&amp;"m")</f>
        <v/>
      </c>
      <c r="J1375" s="11">
        <f>IF(OR($F1375="",$G1375=""),"",ROUND($F1375/($G1375/100)^2,2))</f>
        <v/>
      </c>
      <c r="K1375" s="12">
        <f>IF(OR($S1375="",$J1375="",$T1375="",$T1375&lt;0,$T1375&gt;228,$Y1375=""),"—",ROUND(IF(ABS($AB1375)&lt;=3,$AB1375,IF($AB1375&gt;3,3+($J1375-$AD1375)/($AD1375-$AC1375),-3+($J1375-$AF1375)/($AE1375-$AF1375))),2))</f>
        <v/>
      </c>
      <c r="L1375">
        <f>IF(OR($K1375="",$K1375="—"),"",IF($T1375&lt;=60,IF($K1375&lt;-3,"Magreza acentuada",IF($K1375&lt;-2,"Magreza",IF($K1375&lt;=1,"Eutrofia",IF($K1375&lt;=2,"Risco de sobrepeso",IF($K1375&lt;=3,"Sobrepeso","Obesidade"))))),IF($K1375&lt;-3,"Magreza acentuada",IF($K1375&lt;-2,"Magreza",IF($K1375&lt;=1,"Eutrofia",IF($K1375&lt;=2,"Sobrepeso",IF($K1375&lt;=3,"Obesidade","Obesidade grave")))))))</f>
        <v/>
      </c>
      <c r="M1375" s="12">
        <f>IF(OR($S1375="",$V1375="",$T1375="",$T1375&lt;0,$T1375&gt;228,$AG1375=""),"—",ROUND(IF($AG1375=0,LN($V1375/$AH1375)/$AI1375,((($V1375/$AH1375)^$AG1375)-1)/($AG1375*$AI1375)),2))</f>
        <v/>
      </c>
      <c r="N1375">
        <f>IF(OR($M1375="",$M1375="—"),"",IF($M1375&lt;-3,"Muito baixa",IF($M1375&lt;-2,"Baixa","Adequada")))</f>
        <v/>
      </c>
      <c r="O1375" s="12">
        <f>IF(OR($S1375="",$F1375="",$T1375="",$T1375&lt;0,$T1375&gt;120,$AJ1375=""),"—",ROUND(IF(ABS($AM1375)&lt;=3,$AM1375,IF($AM1375&gt;3,3+($F1375-$AO1375)/($AO1375-$AN1375),-3+($F1375-$AQ1375)/($AP1375-$AQ1375))),2))</f>
        <v/>
      </c>
      <c r="P1375">
        <f>IF(OR($O1375="",$O1375="—"),"",IF($O1375&lt;-3,"Muito baixo",IF($O1375&lt;-2,"Baixo",IF($O1375&lt;=2,"Adequado","Elevado"))))</f>
        <v/>
      </c>
      <c r="Q1375" s="12">
        <f>IF(OR($S1375="",$F1375="",$T1375="",$T1375&lt;0,$T1375&gt;60,$AR1375=""),"—",ROUND(IF(ABS($AU1375)&lt;=3,$AU1375,IF($AU1375&gt;3,3+($F1375-$AW1375)/($AW1375-$AV1375),-3+($F1375-$AY1375)/($AX1375-$AY1375))),2))</f>
        <v/>
      </c>
      <c r="R1375">
        <f>IF(OR($Q1375="",$Q1375="—"),"",IF($Q1375&lt;-3,"Magreza acentuada",IF($Q1375&lt;-2,"Magreza",IF($Q1375&lt;=1,"Eutrofia",IF($Q1375&lt;=2,"Risco de sobrepeso",IF($Q1375&lt;=3,"Sobrepeso","Obesidade"))))))</f>
        <v/>
      </c>
      <c r="S1375">
        <f>IF($C1375="","",IF(UPPER(LEFT($C1375,1))="M",1,IF(UPPER(LEFT($C1375,1))="F",2,"")))</f>
        <v/>
      </c>
      <c r="T1375">
        <f>IF(OR($D1375="",$E1375=""),"",DATEDIF($D1375,$E1375,"m"))</f>
        <v/>
      </c>
      <c r="U1375">
        <f>IF(OR($D1375="",$E1375=""),"",$E1375-$D1375)</f>
        <v/>
      </c>
      <c r="V1375">
        <f>IF(OR($G1375="",$T1375=""),"",IF($T1375&lt;24,IF(LEFT(LOWER($H1375),4)="em p",$G1375+0.7,$G1375),IF(LEFT(LOWER($H1375),4)="deit",$G1375-0.7,$G1375)))</f>
        <v/>
      </c>
      <c r="W1375">
        <f>IF(OR($S1375="",$T1375=""),"",$S1375*1000000+IF($T1375&lt;=60,$U1375,$T1375))</f>
        <v/>
      </c>
      <c r="X1375">
        <f>IF(OR($S1375="",$V1375="",$T1375&gt;60,$T1375=""),"",$S1375*1000000+ROUND($V1375*10,0))</f>
        <v/>
      </c>
      <c r="Y1375">
        <f>IF($W1375="","",IFERROR(INDEX(IF($T1375&lt;=60,imc05_l,imc519_l),MATCH($W1375,IF($T1375&lt;=60,imc05_k,imc519_k),1)),""))</f>
        <v/>
      </c>
      <c r="Z1375">
        <f>IF($W1375="","",IFERROR(INDEX(IF($T1375&lt;=60,imc05_m,imc519_m),MATCH($W1375,IF($T1375&lt;=60,imc05_k,imc519_k),1)),""))</f>
        <v/>
      </c>
      <c r="AA1375">
        <f>IF($W1375="","",IFERROR(INDEX(IF($T1375&lt;=60,imc05_s,imc519_s),MATCH($W1375,IF($T1375&lt;=60,imc05_k,imc519_k),1)),""))</f>
        <v/>
      </c>
      <c r="AB1375">
        <f>IF($Y1375="","",IF($Y1375=0,LN($J1375/$Z1375)/$AA1375,((($J1375/$Z1375)^$Y1375)-1)/($Y1375*$AA1375)))</f>
        <v/>
      </c>
      <c r="AC1375">
        <f>IF($Y1375="","",IF($Y1375=0,$Z1375*EXP($AA1375*2),$Z1375*(1+$Y1375*$AA1375*2)^(1/$Y1375)))</f>
        <v/>
      </c>
      <c r="AD1375">
        <f>IF($Y1375="","",IF($Y1375=0,$Z1375*EXP($AA1375*3),$Z1375*(1+$Y1375*$AA1375*3)^(1/$Y1375)))</f>
        <v/>
      </c>
      <c r="AE1375">
        <f>IF($Y1375="","",IF($Y1375=0,$Z1375*EXP($AA1375*-2),$Z1375*(1+$Y1375*$AA1375*-2)^(1/$Y1375)))</f>
        <v/>
      </c>
      <c r="AF1375">
        <f>IF($Y1375="","",IF($Y1375=0,$Z1375*EXP($AA1375*-3),$Z1375*(1+$Y1375*$AA1375*-3)^(1/$Y1375)))</f>
        <v/>
      </c>
      <c r="AG1375">
        <f>IF($W1375="","",IFERROR(INDEX(IF($T1375&lt;=60,est05_l,est519_l),MATCH($W1375,IF($T1375&lt;=60,est05_k,est519_k),1)),""))</f>
        <v/>
      </c>
      <c r="AH1375">
        <f>IF($W1375="","",IFERROR(INDEX(IF($T1375&lt;=60,est05_m,est519_m),MATCH($W1375,IF($T1375&lt;=60,est05_k,est519_k),1)),""))</f>
        <v/>
      </c>
      <c r="AI1375">
        <f>IF($W1375="","",IFERROR(INDEX(IF($T1375&lt;=60,est05_s,est519_s),MATCH($W1375,IF($T1375&lt;=60,est05_k,est519_k),1)),""))</f>
        <v/>
      </c>
      <c r="AJ1375">
        <f>IF($W1375="","",IFERROR(INDEX(IF($T1375&lt;=60,peso05_l,peso510_l),MATCH($W1375,IF($T1375&lt;=60,peso05_k,peso510_k),1)),""))</f>
        <v/>
      </c>
      <c r="AK1375">
        <f>IF($W1375="","",IFERROR(INDEX(IF($T1375&lt;=60,peso05_m,peso510_m),MATCH($W1375,IF($T1375&lt;=60,peso05_k,peso510_k),1)),""))</f>
        <v/>
      </c>
      <c r="AL1375">
        <f>IF($W1375="","",IFERROR(INDEX(IF($T1375&lt;=60,peso05_s,peso510_s),MATCH($W1375,IF($T1375&lt;=60,peso05_k,peso510_k),1)),""))</f>
        <v/>
      </c>
      <c r="AM1375">
        <f>IF($AJ1375="","",IF($AJ1375=0,LN($F1375/$AK1375)/$AL1375,((($F1375/$AK1375)^$AJ1375)-1)/($AJ1375*$AL1375)))</f>
        <v/>
      </c>
      <c r="AN1375">
        <f>IF($AJ1375="","",IF($AJ1375=0,$AK1375*EXP($AL1375*2),$AK1375*(1+$AJ1375*$AL1375*2)^(1/$AJ1375)))</f>
        <v/>
      </c>
      <c r="AO1375">
        <f>IF($AJ1375="","",IF($AJ1375=0,$AK1375*EXP($AL1375*3),$AK1375*(1+$AJ1375*$AL1375*3)^(1/$AJ1375)))</f>
        <v/>
      </c>
      <c r="AP1375">
        <f>IF($AJ1375="","",IF($AJ1375=0,$AK1375*EXP($AL1375*-2),$AK1375*(1+$AJ1375*$AL1375*-2)^(1/$AJ1375)))</f>
        <v/>
      </c>
      <c r="AQ1375">
        <f>IF($AJ1375="","",IF($AJ1375=0,$AK1375*EXP($AL1375*-3),$AK1375*(1+$AJ1375*$AL1375*-3)^(1/$AJ1375)))</f>
        <v/>
      </c>
      <c r="AR1375">
        <f>IF(OR($X1375="",$T1375&gt;60),"",IFERROR(INDEX(IF($T1375&lt;24,pcomp_l,palt_l),MATCH($X1375,IF($T1375&lt;24,pcomp_k,palt_k),1)),""))</f>
        <v/>
      </c>
      <c r="AS1375">
        <f>IF(OR($X1375="",$T1375&gt;60),"",IFERROR(INDEX(IF($T1375&lt;24,pcomp_m,palt_m),MATCH($X1375,IF($T1375&lt;24,pcomp_k,palt_k),1)),""))</f>
        <v/>
      </c>
      <c r="AT1375">
        <f>IF(OR($X1375="",$T1375&gt;60),"",IFERROR(INDEX(IF($T1375&lt;24,pcomp_s,palt_s),MATCH($X1375,IF($T1375&lt;24,pcomp_k,palt_k),1)),""))</f>
        <v/>
      </c>
      <c r="AU1375">
        <f>IF($AR1375="","",IF($AR1375=0,LN($F1375/$AS1375)/$AT1375,((($F1375/$AS1375)^$AR1375)-1)/($AR1375*$AT1375)))</f>
        <v/>
      </c>
      <c r="AV1375">
        <f>IF($AR1375="","",IF($AR1375=0,$AS1375*EXP($AT1375*2),$AS1375*(1+$AR1375*$AT1375*2)^(1/$AR1375)))</f>
        <v/>
      </c>
      <c r="AW1375">
        <f>IF($AR1375="","",IF($AR1375=0,$AS1375*EXP($AT1375*3),$AS1375*(1+$AR1375*$AT1375*3)^(1/$AR1375)))</f>
        <v/>
      </c>
      <c r="AX1375">
        <f>IF($AR1375="","",IF($AR1375=0,$AS1375*EXP($AT1375*-2),$AS1375*(1+$AR1375*$AT1375*-2)^(1/$AR1375)))</f>
        <v/>
      </c>
      <c r="AY1375">
        <f>IF($AR1375="","",IF($AR1375=0,$AS1375*EXP($AT1375*-3),$AS1375*(1+$AR1375*$AT1375*-3)^(1/$AR1375)))</f>
        <v/>
      </c>
      <c r="AZ1375">
        <f>IF(OR($A1375="",$A1375&lt;&gt;Ficha!$C$4),"",COUNTIF($A$2:$A1375,Ficha!$C$4))</f>
        <v/>
      </c>
    </row>
    <row r="1376">
      <c r="A1376" s="8">
        <f>IF(INDEX(Banco!$A:$A,ROW())="","",INDEX(Banco!$A:$A,ROW()))</f>
        <v/>
      </c>
      <c r="B1376" s="8">
        <f>IF(INDEX(Banco!$B:$B,ROW())="","",INDEX(Banco!$B:$B,ROW()))</f>
        <v/>
      </c>
      <c r="C1376" s="8">
        <f>IF(INDEX(Banco!$C:$C,ROW())="","",INDEX(Banco!$C:$C,ROW()))</f>
        <v/>
      </c>
      <c r="D1376" s="9">
        <f>IF(INDEX(Banco!$D:$D,ROW())="","",INDEX(Banco!$D:$D,ROW()))</f>
        <v/>
      </c>
      <c r="E1376" s="9">
        <f>IF(INDEX(Banco!$E:$E,ROW())="","",INDEX(Banco!$E:$E,ROW()))</f>
        <v/>
      </c>
      <c r="F1376" s="10">
        <f>IF(INDEX(Banco!$F:$F,ROW())="","",INDEX(Banco!$F:$F,ROW()))</f>
        <v/>
      </c>
      <c r="G1376" s="10">
        <f>IF(INDEX(Banco!$G:$G,ROW())="","",INDEX(Banco!$G:$G,ROW()))</f>
        <v/>
      </c>
      <c r="H1376" s="8">
        <f>IF(INDEX(Banco!$H:$H,ROW())="","",INDEX(Banco!$H:$H,ROW()))</f>
        <v/>
      </c>
      <c r="I1376">
        <f>IF($T1376="","",INT($T1376/12)&amp;"a "&amp;MOD($T1376,12)&amp;"m")</f>
        <v/>
      </c>
      <c r="J1376" s="11">
        <f>IF(OR($F1376="",$G1376=""),"",ROUND($F1376/($G1376/100)^2,2))</f>
        <v/>
      </c>
      <c r="K1376" s="12">
        <f>IF(OR($S1376="",$J1376="",$T1376="",$T1376&lt;0,$T1376&gt;228,$Y1376=""),"—",ROUND(IF(ABS($AB1376)&lt;=3,$AB1376,IF($AB1376&gt;3,3+($J1376-$AD1376)/($AD1376-$AC1376),-3+($J1376-$AF1376)/($AE1376-$AF1376))),2))</f>
        <v/>
      </c>
      <c r="L1376">
        <f>IF(OR($K1376="",$K1376="—"),"",IF($T1376&lt;=60,IF($K1376&lt;-3,"Magreza acentuada",IF($K1376&lt;-2,"Magreza",IF($K1376&lt;=1,"Eutrofia",IF($K1376&lt;=2,"Risco de sobrepeso",IF($K1376&lt;=3,"Sobrepeso","Obesidade"))))),IF($K1376&lt;-3,"Magreza acentuada",IF($K1376&lt;-2,"Magreza",IF($K1376&lt;=1,"Eutrofia",IF($K1376&lt;=2,"Sobrepeso",IF($K1376&lt;=3,"Obesidade","Obesidade grave")))))))</f>
        <v/>
      </c>
      <c r="M1376" s="12">
        <f>IF(OR($S1376="",$V1376="",$T1376="",$T1376&lt;0,$T1376&gt;228,$AG1376=""),"—",ROUND(IF($AG1376=0,LN($V1376/$AH1376)/$AI1376,((($V1376/$AH1376)^$AG1376)-1)/($AG1376*$AI1376)),2))</f>
        <v/>
      </c>
      <c r="N1376">
        <f>IF(OR($M1376="",$M1376="—"),"",IF($M1376&lt;-3,"Muito baixa",IF($M1376&lt;-2,"Baixa","Adequada")))</f>
        <v/>
      </c>
      <c r="O1376" s="12">
        <f>IF(OR($S1376="",$F1376="",$T1376="",$T1376&lt;0,$T1376&gt;120,$AJ1376=""),"—",ROUND(IF(ABS($AM1376)&lt;=3,$AM1376,IF($AM1376&gt;3,3+($F1376-$AO1376)/($AO1376-$AN1376),-3+($F1376-$AQ1376)/($AP1376-$AQ1376))),2))</f>
        <v/>
      </c>
      <c r="P1376">
        <f>IF(OR($O1376="",$O1376="—"),"",IF($O1376&lt;-3,"Muito baixo",IF($O1376&lt;-2,"Baixo",IF($O1376&lt;=2,"Adequado","Elevado"))))</f>
        <v/>
      </c>
      <c r="Q1376" s="12">
        <f>IF(OR($S1376="",$F1376="",$T1376="",$T1376&lt;0,$T1376&gt;60,$AR1376=""),"—",ROUND(IF(ABS($AU1376)&lt;=3,$AU1376,IF($AU1376&gt;3,3+($F1376-$AW1376)/($AW1376-$AV1376),-3+($F1376-$AY1376)/($AX1376-$AY1376))),2))</f>
        <v/>
      </c>
      <c r="R1376">
        <f>IF(OR($Q1376="",$Q1376="—"),"",IF($Q1376&lt;-3,"Magreza acentuada",IF($Q1376&lt;-2,"Magreza",IF($Q1376&lt;=1,"Eutrofia",IF($Q1376&lt;=2,"Risco de sobrepeso",IF($Q1376&lt;=3,"Sobrepeso","Obesidade"))))))</f>
        <v/>
      </c>
      <c r="S1376">
        <f>IF($C1376="","",IF(UPPER(LEFT($C1376,1))="M",1,IF(UPPER(LEFT($C1376,1))="F",2,"")))</f>
        <v/>
      </c>
      <c r="T1376">
        <f>IF(OR($D1376="",$E1376=""),"",DATEDIF($D1376,$E1376,"m"))</f>
        <v/>
      </c>
      <c r="U1376">
        <f>IF(OR($D1376="",$E1376=""),"",$E1376-$D1376)</f>
        <v/>
      </c>
      <c r="V1376">
        <f>IF(OR($G1376="",$T1376=""),"",IF($T1376&lt;24,IF(LEFT(LOWER($H1376),4)="em p",$G1376+0.7,$G1376),IF(LEFT(LOWER($H1376),4)="deit",$G1376-0.7,$G1376)))</f>
        <v/>
      </c>
      <c r="W1376">
        <f>IF(OR($S1376="",$T1376=""),"",$S1376*1000000+IF($T1376&lt;=60,$U1376,$T1376))</f>
        <v/>
      </c>
      <c r="X1376">
        <f>IF(OR($S1376="",$V1376="",$T1376&gt;60,$T1376=""),"",$S1376*1000000+ROUND($V1376*10,0))</f>
        <v/>
      </c>
      <c r="Y1376">
        <f>IF($W1376="","",IFERROR(INDEX(IF($T1376&lt;=60,imc05_l,imc519_l),MATCH($W1376,IF($T1376&lt;=60,imc05_k,imc519_k),1)),""))</f>
        <v/>
      </c>
      <c r="Z1376">
        <f>IF($W1376="","",IFERROR(INDEX(IF($T1376&lt;=60,imc05_m,imc519_m),MATCH($W1376,IF($T1376&lt;=60,imc05_k,imc519_k),1)),""))</f>
        <v/>
      </c>
      <c r="AA1376">
        <f>IF($W1376="","",IFERROR(INDEX(IF($T1376&lt;=60,imc05_s,imc519_s),MATCH($W1376,IF($T1376&lt;=60,imc05_k,imc519_k),1)),""))</f>
        <v/>
      </c>
      <c r="AB1376">
        <f>IF($Y1376="","",IF($Y1376=0,LN($J1376/$Z1376)/$AA1376,((($J1376/$Z1376)^$Y1376)-1)/($Y1376*$AA1376)))</f>
        <v/>
      </c>
      <c r="AC1376">
        <f>IF($Y1376="","",IF($Y1376=0,$Z1376*EXP($AA1376*2),$Z1376*(1+$Y1376*$AA1376*2)^(1/$Y1376)))</f>
        <v/>
      </c>
      <c r="AD1376">
        <f>IF($Y1376="","",IF($Y1376=0,$Z1376*EXP($AA1376*3),$Z1376*(1+$Y1376*$AA1376*3)^(1/$Y1376)))</f>
        <v/>
      </c>
      <c r="AE1376">
        <f>IF($Y1376="","",IF($Y1376=0,$Z1376*EXP($AA1376*-2),$Z1376*(1+$Y1376*$AA1376*-2)^(1/$Y1376)))</f>
        <v/>
      </c>
      <c r="AF1376">
        <f>IF($Y1376="","",IF($Y1376=0,$Z1376*EXP($AA1376*-3),$Z1376*(1+$Y1376*$AA1376*-3)^(1/$Y1376)))</f>
        <v/>
      </c>
      <c r="AG1376">
        <f>IF($W1376="","",IFERROR(INDEX(IF($T1376&lt;=60,est05_l,est519_l),MATCH($W1376,IF($T1376&lt;=60,est05_k,est519_k),1)),""))</f>
        <v/>
      </c>
      <c r="AH1376">
        <f>IF($W1376="","",IFERROR(INDEX(IF($T1376&lt;=60,est05_m,est519_m),MATCH($W1376,IF($T1376&lt;=60,est05_k,est519_k),1)),""))</f>
        <v/>
      </c>
      <c r="AI1376">
        <f>IF($W1376="","",IFERROR(INDEX(IF($T1376&lt;=60,est05_s,est519_s),MATCH($W1376,IF($T1376&lt;=60,est05_k,est519_k),1)),""))</f>
        <v/>
      </c>
      <c r="AJ1376">
        <f>IF($W1376="","",IFERROR(INDEX(IF($T1376&lt;=60,peso05_l,peso510_l),MATCH($W1376,IF($T1376&lt;=60,peso05_k,peso510_k),1)),""))</f>
        <v/>
      </c>
      <c r="AK1376">
        <f>IF($W1376="","",IFERROR(INDEX(IF($T1376&lt;=60,peso05_m,peso510_m),MATCH($W1376,IF($T1376&lt;=60,peso05_k,peso510_k),1)),""))</f>
        <v/>
      </c>
      <c r="AL1376">
        <f>IF($W1376="","",IFERROR(INDEX(IF($T1376&lt;=60,peso05_s,peso510_s),MATCH($W1376,IF($T1376&lt;=60,peso05_k,peso510_k),1)),""))</f>
        <v/>
      </c>
      <c r="AM1376">
        <f>IF($AJ1376="","",IF($AJ1376=0,LN($F1376/$AK1376)/$AL1376,((($F1376/$AK1376)^$AJ1376)-1)/($AJ1376*$AL1376)))</f>
        <v/>
      </c>
      <c r="AN1376">
        <f>IF($AJ1376="","",IF($AJ1376=0,$AK1376*EXP($AL1376*2),$AK1376*(1+$AJ1376*$AL1376*2)^(1/$AJ1376)))</f>
        <v/>
      </c>
      <c r="AO1376">
        <f>IF($AJ1376="","",IF($AJ1376=0,$AK1376*EXP($AL1376*3),$AK1376*(1+$AJ1376*$AL1376*3)^(1/$AJ1376)))</f>
        <v/>
      </c>
      <c r="AP1376">
        <f>IF($AJ1376="","",IF($AJ1376=0,$AK1376*EXP($AL1376*-2),$AK1376*(1+$AJ1376*$AL1376*-2)^(1/$AJ1376)))</f>
        <v/>
      </c>
      <c r="AQ1376">
        <f>IF($AJ1376="","",IF($AJ1376=0,$AK1376*EXP($AL1376*-3),$AK1376*(1+$AJ1376*$AL1376*-3)^(1/$AJ1376)))</f>
        <v/>
      </c>
      <c r="AR1376">
        <f>IF(OR($X1376="",$T1376&gt;60),"",IFERROR(INDEX(IF($T1376&lt;24,pcomp_l,palt_l),MATCH($X1376,IF($T1376&lt;24,pcomp_k,palt_k),1)),""))</f>
        <v/>
      </c>
      <c r="AS1376">
        <f>IF(OR($X1376="",$T1376&gt;60),"",IFERROR(INDEX(IF($T1376&lt;24,pcomp_m,palt_m),MATCH($X1376,IF($T1376&lt;24,pcomp_k,palt_k),1)),""))</f>
        <v/>
      </c>
      <c r="AT1376">
        <f>IF(OR($X1376="",$T1376&gt;60),"",IFERROR(INDEX(IF($T1376&lt;24,pcomp_s,palt_s),MATCH($X1376,IF($T1376&lt;24,pcomp_k,palt_k),1)),""))</f>
        <v/>
      </c>
      <c r="AU1376">
        <f>IF($AR1376="","",IF($AR1376=0,LN($F1376/$AS1376)/$AT1376,((($F1376/$AS1376)^$AR1376)-1)/($AR1376*$AT1376)))</f>
        <v/>
      </c>
      <c r="AV1376">
        <f>IF($AR1376="","",IF($AR1376=0,$AS1376*EXP($AT1376*2),$AS1376*(1+$AR1376*$AT1376*2)^(1/$AR1376)))</f>
        <v/>
      </c>
      <c r="AW1376">
        <f>IF($AR1376="","",IF($AR1376=0,$AS1376*EXP($AT1376*3),$AS1376*(1+$AR1376*$AT1376*3)^(1/$AR1376)))</f>
        <v/>
      </c>
      <c r="AX1376">
        <f>IF($AR1376="","",IF($AR1376=0,$AS1376*EXP($AT1376*-2),$AS1376*(1+$AR1376*$AT1376*-2)^(1/$AR1376)))</f>
        <v/>
      </c>
      <c r="AY1376">
        <f>IF($AR1376="","",IF($AR1376=0,$AS1376*EXP($AT1376*-3),$AS1376*(1+$AR1376*$AT1376*-3)^(1/$AR1376)))</f>
        <v/>
      </c>
      <c r="AZ1376">
        <f>IF(OR($A1376="",$A1376&lt;&gt;Ficha!$C$4),"",COUNTIF($A$2:$A1376,Ficha!$C$4))</f>
        <v/>
      </c>
    </row>
    <row r="1377">
      <c r="A1377" s="8">
        <f>IF(INDEX(Banco!$A:$A,ROW())="","",INDEX(Banco!$A:$A,ROW()))</f>
        <v/>
      </c>
      <c r="B1377" s="8">
        <f>IF(INDEX(Banco!$B:$B,ROW())="","",INDEX(Banco!$B:$B,ROW()))</f>
        <v/>
      </c>
      <c r="C1377" s="8">
        <f>IF(INDEX(Banco!$C:$C,ROW())="","",INDEX(Banco!$C:$C,ROW()))</f>
        <v/>
      </c>
      <c r="D1377" s="9">
        <f>IF(INDEX(Banco!$D:$D,ROW())="","",INDEX(Banco!$D:$D,ROW()))</f>
        <v/>
      </c>
      <c r="E1377" s="9">
        <f>IF(INDEX(Banco!$E:$E,ROW())="","",INDEX(Banco!$E:$E,ROW()))</f>
        <v/>
      </c>
      <c r="F1377" s="10">
        <f>IF(INDEX(Banco!$F:$F,ROW())="","",INDEX(Banco!$F:$F,ROW()))</f>
        <v/>
      </c>
      <c r="G1377" s="10">
        <f>IF(INDEX(Banco!$G:$G,ROW())="","",INDEX(Banco!$G:$G,ROW()))</f>
        <v/>
      </c>
      <c r="H1377" s="8">
        <f>IF(INDEX(Banco!$H:$H,ROW())="","",INDEX(Banco!$H:$H,ROW()))</f>
        <v/>
      </c>
      <c r="I1377">
        <f>IF($T1377="","",INT($T1377/12)&amp;"a "&amp;MOD($T1377,12)&amp;"m")</f>
        <v/>
      </c>
      <c r="J1377" s="11">
        <f>IF(OR($F1377="",$G1377=""),"",ROUND($F1377/($G1377/100)^2,2))</f>
        <v/>
      </c>
      <c r="K1377" s="12">
        <f>IF(OR($S1377="",$J1377="",$T1377="",$T1377&lt;0,$T1377&gt;228,$Y1377=""),"—",ROUND(IF(ABS($AB1377)&lt;=3,$AB1377,IF($AB1377&gt;3,3+($J1377-$AD1377)/($AD1377-$AC1377),-3+($J1377-$AF1377)/($AE1377-$AF1377))),2))</f>
        <v/>
      </c>
      <c r="L1377">
        <f>IF(OR($K1377="",$K1377="—"),"",IF($T1377&lt;=60,IF($K1377&lt;-3,"Magreza acentuada",IF($K1377&lt;-2,"Magreza",IF($K1377&lt;=1,"Eutrofia",IF($K1377&lt;=2,"Risco de sobrepeso",IF($K1377&lt;=3,"Sobrepeso","Obesidade"))))),IF($K1377&lt;-3,"Magreza acentuada",IF($K1377&lt;-2,"Magreza",IF($K1377&lt;=1,"Eutrofia",IF($K1377&lt;=2,"Sobrepeso",IF($K1377&lt;=3,"Obesidade","Obesidade grave")))))))</f>
        <v/>
      </c>
      <c r="M1377" s="12">
        <f>IF(OR($S1377="",$V1377="",$T1377="",$T1377&lt;0,$T1377&gt;228,$AG1377=""),"—",ROUND(IF($AG1377=0,LN($V1377/$AH1377)/$AI1377,((($V1377/$AH1377)^$AG1377)-1)/($AG1377*$AI1377)),2))</f>
        <v/>
      </c>
      <c r="N1377">
        <f>IF(OR($M1377="",$M1377="—"),"",IF($M1377&lt;-3,"Muito baixa",IF($M1377&lt;-2,"Baixa","Adequada")))</f>
        <v/>
      </c>
      <c r="O1377" s="12">
        <f>IF(OR($S1377="",$F1377="",$T1377="",$T1377&lt;0,$T1377&gt;120,$AJ1377=""),"—",ROUND(IF(ABS($AM1377)&lt;=3,$AM1377,IF($AM1377&gt;3,3+($F1377-$AO1377)/($AO1377-$AN1377),-3+($F1377-$AQ1377)/($AP1377-$AQ1377))),2))</f>
        <v/>
      </c>
      <c r="P1377">
        <f>IF(OR($O1377="",$O1377="—"),"",IF($O1377&lt;-3,"Muito baixo",IF($O1377&lt;-2,"Baixo",IF($O1377&lt;=2,"Adequado","Elevado"))))</f>
        <v/>
      </c>
      <c r="Q1377" s="12">
        <f>IF(OR($S1377="",$F1377="",$T1377="",$T1377&lt;0,$T1377&gt;60,$AR1377=""),"—",ROUND(IF(ABS($AU1377)&lt;=3,$AU1377,IF($AU1377&gt;3,3+($F1377-$AW1377)/($AW1377-$AV1377),-3+($F1377-$AY1377)/($AX1377-$AY1377))),2))</f>
        <v/>
      </c>
      <c r="R1377">
        <f>IF(OR($Q1377="",$Q1377="—"),"",IF($Q1377&lt;-3,"Magreza acentuada",IF($Q1377&lt;-2,"Magreza",IF($Q1377&lt;=1,"Eutrofia",IF($Q1377&lt;=2,"Risco de sobrepeso",IF($Q1377&lt;=3,"Sobrepeso","Obesidade"))))))</f>
        <v/>
      </c>
      <c r="S1377">
        <f>IF($C1377="","",IF(UPPER(LEFT($C1377,1))="M",1,IF(UPPER(LEFT($C1377,1))="F",2,"")))</f>
        <v/>
      </c>
      <c r="T1377">
        <f>IF(OR($D1377="",$E1377=""),"",DATEDIF($D1377,$E1377,"m"))</f>
        <v/>
      </c>
      <c r="U1377">
        <f>IF(OR($D1377="",$E1377=""),"",$E1377-$D1377)</f>
        <v/>
      </c>
      <c r="V1377">
        <f>IF(OR($G1377="",$T1377=""),"",IF($T1377&lt;24,IF(LEFT(LOWER($H1377),4)="em p",$G1377+0.7,$G1377),IF(LEFT(LOWER($H1377),4)="deit",$G1377-0.7,$G1377)))</f>
        <v/>
      </c>
      <c r="W1377">
        <f>IF(OR($S1377="",$T1377=""),"",$S1377*1000000+IF($T1377&lt;=60,$U1377,$T1377))</f>
        <v/>
      </c>
      <c r="X1377">
        <f>IF(OR($S1377="",$V1377="",$T1377&gt;60,$T1377=""),"",$S1377*1000000+ROUND($V1377*10,0))</f>
        <v/>
      </c>
      <c r="Y1377">
        <f>IF($W1377="","",IFERROR(INDEX(IF($T1377&lt;=60,imc05_l,imc519_l),MATCH($W1377,IF($T1377&lt;=60,imc05_k,imc519_k),1)),""))</f>
        <v/>
      </c>
      <c r="Z1377">
        <f>IF($W1377="","",IFERROR(INDEX(IF($T1377&lt;=60,imc05_m,imc519_m),MATCH($W1377,IF($T1377&lt;=60,imc05_k,imc519_k),1)),""))</f>
        <v/>
      </c>
      <c r="AA1377">
        <f>IF($W1377="","",IFERROR(INDEX(IF($T1377&lt;=60,imc05_s,imc519_s),MATCH($W1377,IF($T1377&lt;=60,imc05_k,imc519_k),1)),""))</f>
        <v/>
      </c>
      <c r="AB1377">
        <f>IF($Y1377="","",IF($Y1377=0,LN($J1377/$Z1377)/$AA1377,((($J1377/$Z1377)^$Y1377)-1)/($Y1377*$AA1377)))</f>
        <v/>
      </c>
      <c r="AC1377">
        <f>IF($Y1377="","",IF($Y1377=0,$Z1377*EXP($AA1377*2),$Z1377*(1+$Y1377*$AA1377*2)^(1/$Y1377)))</f>
        <v/>
      </c>
      <c r="AD1377">
        <f>IF($Y1377="","",IF($Y1377=0,$Z1377*EXP($AA1377*3),$Z1377*(1+$Y1377*$AA1377*3)^(1/$Y1377)))</f>
        <v/>
      </c>
      <c r="AE1377">
        <f>IF($Y1377="","",IF($Y1377=0,$Z1377*EXP($AA1377*-2),$Z1377*(1+$Y1377*$AA1377*-2)^(1/$Y1377)))</f>
        <v/>
      </c>
      <c r="AF1377">
        <f>IF($Y1377="","",IF($Y1377=0,$Z1377*EXP($AA1377*-3),$Z1377*(1+$Y1377*$AA1377*-3)^(1/$Y1377)))</f>
        <v/>
      </c>
      <c r="AG1377">
        <f>IF($W1377="","",IFERROR(INDEX(IF($T1377&lt;=60,est05_l,est519_l),MATCH($W1377,IF($T1377&lt;=60,est05_k,est519_k),1)),""))</f>
        <v/>
      </c>
      <c r="AH1377">
        <f>IF($W1377="","",IFERROR(INDEX(IF($T1377&lt;=60,est05_m,est519_m),MATCH($W1377,IF($T1377&lt;=60,est05_k,est519_k),1)),""))</f>
        <v/>
      </c>
      <c r="AI1377">
        <f>IF($W1377="","",IFERROR(INDEX(IF($T1377&lt;=60,est05_s,est519_s),MATCH($W1377,IF($T1377&lt;=60,est05_k,est519_k),1)),""))</f>
        <v/>
      </c>
      <c r="AJ1377">
        <f>IF($W1377="","",IFERROR(INDEX(IF($T1377&lt;=60,peso05_l,peso510_l),MATCH($W1377,IF($T1377&lt;=60,peso05_k,peso510_k),1)),""))</f>
        <v/>
      </c>
      <c r="AK1377">
        <f>IF($W1377="","",IFERROR(INDEX(IF($T1377&lt;=60,peso05_m,peso510_m),MATCH($W1377,IF($T1377&lt;=60,peso05_k,peso510_k),1)),""))</f>
        <v/>
      </c>
      <c r="AL1377">
        <f>IF($W1377="","",IFERROR(INDEX(IF($T1377&lt;=60,peso05_s,peso510_s),MATCH($W1377,IF($T1377&lt;=60,peso05_k,peso510_k),1)),""))</f>
        <v/>
      </c>
      <c r="AM1377">
        <f>IF($AJ1377="","",IF($AJ1377=0,LN($F1377/$AK1377)/$AL1377,((($F1377/$AK1377)^$AJ1377)-1)/($AJ1377*$AL1377)))</f>
        <v/>
      </c>
      <c r="AN1377">
        <f>IF($AJ1377="","",IF($AJ1377=0,$AK1377*EXP($AL1377*2),$AK1377*(1+$AJ1377*$AL1377*2)^(1/$AJ1377)))</f>
        <v/>
      </c>
      <c r="AO1377">
        <f>IF($AJ1377="","",IF($AJ1377=0,$AK1377*EXP($AL1377*3),$AK1377*(1+$AJ1377*$AL1377*3)^(1/$AJ1377)))</f>
        <v/>
      </c>
      <c r="AP1377">
        <f>IF($AJ1377="","",IF($AJ1377=0,$AK1377*EXP($AL1377*-2),$AK1377*(1+$AJ1377*$AL1377*-2)^(1/$AJ1377)))</f>
        <v/>
      </c>
      <c r="AQ1377">
        <f>IF($AJ1377="","",IF($AJ1377=0,$AK1377*EXP($AL1377*-3),$AK1377*(1+$AJ1377*$AL1377*-3)^(1/$AJ1377)))</f>
        <v/>
      </c>
      <c r="AR1377">
        <f>IF(OR($X1377="",$T1377&gt;60),"",IFERROR(INDEX(IF($T1377&lt;24,pcomp_l,palt_l),MATCH($X1377,IF($T1377&lt;24,pcomp_k,palt_k),1)),""))</f>
        <v/>
      </c>
      <c r="AS1377">
        <f>IF(OR($X1377="",$T1377&gt;60),"",IFERROR(INDEX(IF($T1377&lt;24,pcomp_m,palt_m),MATCH($X1377,IF($T1377&lt;24,pcomp_k,palt_k),1)),""))</f>
        <v/>
      </c>
      <c r="AT1377">
        <f>IF(OR($X1377="",$T1377&gt;60),"",IFERROR(INDEX(IF($T1377&lt;24,pcomp_s,palt_s),MATCH($X1377,IF($T1377&lt;24,pcomp_k,palt_k),1)),""))</f>
        <v/>
      </c>
      <c r="AU1377">
        <f>IF($AR1377="","",IF($AR1377=0,LN($F1377/$AS1377)/$AT1377,((($F1377/$AS1377)^$AR1377)-1)/($AR1377*$AT1377)))</f>
        <v/>
      </c>
      <c r="AV1377">
        <f>IF($AR1377="","",IF($AR1377=0,$AS1377*EXP($AT1377*2),$AS1377*(1+$AR1377*$AT1377*2)^(1/$AR1377)))</f>
        <v/>
      </c>
      <c r="AW1377">
        <f>IF($AR1377="","",IF($AR1377=0,$AS1377*EXP($AT1377*3),$AS1377*(1+$AR1377*$AT1377*3)^(1/$AR1377)))</f>
        <v/>
      </c>
      <c r="AX1377">
        <f>IF($AR1377="","",IF($AR1377=0,$AS1377*EXP($AT1377*-2),$AS1377*(1+$AR1377*$AT1377*-2)^(1/$AR1377)))</f>
        <v/>
      </c>
      <c r="AY1377">
        <f>IF($AR1377="","",IF($AR1377=0,$AS1377*EXP($AT1377*-3),$AS1377*(1+$AR1377*$AT1377*-3)^(1/$AR1377)))</f>
        <v/>
      </c>
      <c r="AZ1377">
        <f>IF(OR($A1377="",$A1377&lt;&gt;Ficha!$C$4),"",COUNTIF($A$2:$A1377,Ficha!$C$4))</f>
        <v/>
      </c>
    </row>
    <row r="1378">
      <c r="A1378" s="8">
        <f>IF(INDEX(Banco!$A:$A,ROW())="","",INDEX(Banco!$A:$A,ROW()))</f>
        <v/>
      </c>
      <c r="B1378" s="8">
        <f>IF(INDEX(Banco!$B:$B,ROW())="","",INDEX(Banco!$B:$B,ROW()))</f>
        <v/>
      </c>
      <c r="C1378" s="8">
        <f>IF(INDEX(Banco!$C:$C,ROW())="","",INDEX(Banco!$C:$C,ROW()))</f>
        <v/>
      </c>
      <c r="D1378" s="9">
        <f>IF(INDEX(Banco!$D:$D,ROW())="","",INDEX(Banco!$D:$D,ROW()))</f>
        <v/>
      </c>
      <c r="E1378" s="9">
        <f>IF(INDEX(Banco!$E:$E,ROW())="","",INDEX(Banco!$E:$E,ROW()))</f>
        <v/>
      </c>
      <c r="F1378" s="10">
        <f>IF(INDEX(Banco!$F:$F,ROW())="","",INDEX(Banco!$F:$F,ROW()))</f>
        <v/>
      </c>
      <c r="G1378" s="10">
        <f>IF(INDEX(Banco!$G:$G,ROW())="","",INDEX(Banco!$G:$G,ROW()))</f>
        <v/>
      </c>
      <c r="H1378" s="8">
        <f>IF(INDEX(Banco!$H:$H,ROW())="","",INDEX(Banco!$H:$H,ROW()))</f>
        <v/>
      </c>
      <c r="I1378">
        <f>IF($T1378="","",INT($T1378/12)&amp;"a "&amp;MOD($T1378,12)&amp;"m")</f>
        <v/>
      </c>
      <c r="J1378" s="11">
        <f>IF(OR($F1378="",$G1378=""),"",ROUND($F1378/($G1378/100)^2,2))</f>
        <v/>
      </c>
      <c r="K1378" s="12">
        <f>IF(OR($S1378="",$J1378="",$T1378="",$T1378&lt;0,$T1378&gt;228,$Y1378=""),"—",ROUND(IF(ABS($AB1378)&lt;=3,$AB1378,IF($AB1378&gt;3,3+($J1378-$AD1378)/($AD1378-$AC1378),-3+($J1378-$AF1378)/($AE1378-$AF1378))),2))</f>
        <v/>
      </c>
      <c r="L1378">
        <f>IF(OR($K1378="",$K1378="—"),"",IF($T1378&lt;=60,IF($K1378&lt;-3,"Magreza acentuada",IF($K1378&lt;-2,"Magreza",IF($K1378&lt;=1,"Eutrofia",IF($K1378&lt;=2,"Risco de sobrepeso",IF($K1378&lt;=3,"Sobrepeso","Obesidade"))))),IF($K1378&lt;-3,"Magreza acentuada",IF($K1378&lt;-2,"Magreza",IF($K1378&lt;=1,"Eutrofia",IF($K1378&lt;=2,"Sobrepeso",IF($K1378&lt;=3,"Obesidade","Obesidade grave")))))))</f>
        <v/>
      </c>
      <c r="M1378" s="12">
        <f>IF(OR($S1378="",$V1378="",$T1378="",$T1378&lt;0,$T1378&gt;228,$AG1378=""),"—",ROUND(IF($AG1378=0,LN($V1378/$AH1378)/$AI1378,((($V1378/$AH1378)^$AG1378)-1)/($AG1378*$AI1378)),2))</f>
        <v/>
      </c>
      <c r="N1378">
        <f>IF(OR($M1378="",$M1378="—"),"",IF($M1378&lt;-3,"Muito baixa",IF($M1378&lt;-2,"Baixa","Adequada")))</f>
        <v/>
      </c>
      <c r="O1378" s="12">
        <f>IF(OR($S1378="",$F1378="",$T1378="",$T1378&lt;0,$T1378&gt;120,$AJ1378=""),"—",ROUND(IF(ABS($AM1378)&lt;=3,$AM1378,IF($AM1378&gt;3,3+($F1378-$AO1378)/($AO1378-$AN1378),-3+($F1378-$AQ1378)/($AP1378-$AQ1378))),2))</f>
        <v/>
      </c>
      <c r="P1378">
        <f>IF(OR($O1378="",$O1378="—"),"",IF($O1378&lt;-3,"Muito baixo",IF($O1378&lt;-2,"Baixo",IF($O1378&lt;=2,"Adequado","Elevado"))))</f>
        <v/>
      </c>
      <c r="Q1378" s="12">
        <f>IF(OR($S1378="",$F1378="",$T1378="",$T1378&lt;0,$T1378&gt;60,$AR1378=""),"—",ROUND(IF(ABS($AU1378)&lt;=3,$AU1378,IF($AU1378&gt;3,3+($F1378-$AW1378)/($AW1378-$AV1378),-3+($F1378-$AY1378)/($AX1378-$AY1378))),2))</f>
        <v/>
      </c>
      <c r="R1378">
        <f>IF(OR($Q1378="",$Q1378="—"),"",IF($Q1378&lt;-3,"Magreza acentuada",IF($Q1378&lt;-2,"Magreza",IF($Q1378&lt;=1,"Eutrofia",IF($Q1378&lt;=2,"Risco de sobrepeso",IF($Q1378&lt;=3,"Sobrepeso","Obesidade"))))))</f>
        <v/>
      </c>
      <c r="S1378">
        <f>IF($C1378="","",IF(UPPER(LEFT($C1378,1))="M",1,IF(UPPER(LEFT($C1378,1))="F",2,"")))</f>
        <v/>
      </c>
      <c r="T1378">
        <f>IF(OR($D1378="",$E1378=""),"",DATEDIF($D1378,$E1378,"m"))</f>
        <v/>
      </c>
      <c r="U1378">
        <f>IF(OR($D1378="",$E1378=""),"",$E1378-$D1378)</f>
        <v/>
      </c>
      <c r="V1378">
        <f>IF(OR($G1378="",$T1378=""),"",IF($T1378&lt;24,IF(LEFT(LOWER($H1378),4)="em p",$G1378+0.7,$G1378),IF(LEFT(LOWER($H1378),4)="deit",$G1378-0.7,$G1378)))</f>
        <v/>
      </c>
      <c r="W1378">
        <f>IF(OR($S1378="",$T1378=""),"",$S1378*1000000+IF($T1378&lt;=60,$U1378,$T1378))</f>
        <v/>
      </c>
      <c r="X1378">
        <f>IF(OR($S1378="",$V1378="",$T1378&gt;60,$T1378=""),"",$S1378*1000000+ROUND($V1378*10,0))</f>
        <v/>
      </c>
      <c r="Y1378">
        <f>IF($W1378="","",IFERROR(INDEX(IF($T1378&lt;=60,imc05_l,imc519_l),MATCH($W1378,IF($T1378&lt;=60,imc05_k,imc519_k),1)),""))</f>
        <v/>
      </c>
      <c r="Z1378">
        <f>IF($W1378="","",IFERROR(INDEX(IF($T1378&lt;=60,imc05_m,imc519_m),MATCH($W1378,IF($T1378&lt;=60,imc05_k,imc519_k),1)),""))</f>
        <v/>
      </c>
      <c r="AA1378">
        <f>IF($W1378="","",IFERROR(INDEX(IF($T1378&lt;=60,imc05_s,imc519_s),MATCH($W1378,IF($T1378&lt;=60,imc05_k,imc519_k),1)),""))</f>
        <v/>
      </c>
      <c r="AB1378">
        <f>IF($Y1378="","",IF($Y1378=0,LN($J1378/$Z1378)/$AA1378,((($J1378/$Z1378)^$Y1378)-1)/($Y1378*$AA1378)))</f>
        <v/>
      </c>
      <c r="AC1378">
        <f>IF($Y1378="","",IF($Y1378=0,$Z1378*EXP($AA1378*2),$Z1378*(1+$Y1378*$AA1378*2)^(1/$Y1378)))</f>
        <v/>
      </c>
      <c r="AD1378">
        <f>IF($Y1378="","",IF($Y1378=0,$Z1378*EXP($AA1378*3),$Z1378*(1+$Y1378*$AA1378*3)^(1/$Y1378)))</f>
        <v/>
      </c>
      <c r="AE1378">
        <f>IF($Y1378="","",IF($Y1378=0,$Z1378*EXP($AA1378*-2),$Z1378*(1+$Y1378*$AA1378*-2)^(1/$Y1378)))</f>
        <v/>
      </c>
      <c r="AF1378">
        <f>IF($Y1378="","",IF($Y1378=0,$Z1378*EXP($AA1378*-3),$Z1378*(1+$Y1378*$AA1378*-3)^(1/$Y1378)))</f>
        <v/>
      </c>
      <c r="AG1378">
        <f>IF($W1378="","",IFERROR(INDEX(IF($T1378&lt;=60,est05_l,est519_l),MATCH($W1378,IF($T1378&lt;=60,est05_k,est519_k),1)),""))</f>
        <v/>
      </c>
      <c r="AH1378">
        <f>IF($W1378="","",IFERROR(INDEX(IF($T1378&lt;=60,est05_m,est519_m),MATCH($W1378,IF($T1378&lt;=60,est05_k,est519_k),1)),""))</f>
        <v/>
      </c>
      <c r="AI1378">
        <f>IF($W1378="","",IFERROR(INDEX(IF($T1378&lt;=60,est05_s,est519_s),MATCH($W1378,IF($T1378&lt;=60,est05_k,est519_k),1)),""))</f>
        <v/>
      </c>
      <c r="AJ1378">
        <f>IF($W1378="","",IFERROR(INDEX(IF($T1378&lt;=60,peso05_l,peso510_l),MATCH($W1378,IF($T1378&lt;=60,peso05_k,peso510_k),1)),""))</f>
        <v/>
      </c>
      <c r="AK1378">
        <f>IF($W1378="","",IFERROR(INDEX(IF($T1378&lt;=60,peso05_m,peso510_m),MATCH($W1378,IF($T1378&lt;=60,peso05_k,peso510_k),1)),""))</f>
        <v/>
      </c>
      <c r="AL1378">
        <f>IF($W1378="","",IFERROR(INDEX(IF($T1378&lt;=60,peso05_s,peso510_s),MATCH($W1378,IF($T1378&lt;=60,peso05_k,peso510_k),1)),""))</f>
        <v/>
      </c>
      <c r="AM1378">
        <f>IF($AJ1378="","",IF($AJ1378=0,LN($F1378/$AK1378)/$AL1378,((($F1378/$AK1378)^$AJ1378)-1)/($AJ1378*$AL1378)))</f>
        <v/>
      </c>
      <c r="AN1378">
        <f>IF($AJ1378="","",IF($AJ1378=0,$AK1378*EXP($AL1378*2),$AK1378*(1+$AJ1378*$AL1378*2)^(1/$AJ1378)))</f>
        <v/>
      </c>
      <c r="AO1378">
        <f>IF($AJ1378="","",IF($AJ1378=0,$AK1378*EXP($AL1378*3),$AK1378*(1+$AJ1378*$AL1378*3)^(1/$AJ1378)))</f>
        <v/>
      </c>
      <c r="AP1378">
        <f>IF($AJ1378="","",IF($AJ1378=0,$AK1378*EXP($AL1378*-2),$AK1378*(1+$AJ1378*$AL1378*-2)^(1/$AJ1378)))</f>
        <v/>
      </c>
      <c r="AQ1378">
        <f>IF($AJ1378="","",IF($AJ1378=0,$AK1378*EXP($AL1378*-3),$AK1378*(1+$AJ1378*$AL1378*-3)^(1/$AJ1378)))</f>
        <v/>
      </c>
      <c r="AR1378">
        <f>IF(OR($X1378="",$T1378&gt;60),"",IFERROR(INDEX(IF($T1378&lt;24,pcomp_l,palt_l),MATCH($X1378,IF($T1378&lt;24,pcomp_k,palt_k),1)),""))</f>
        <v/>
      </c>
      <c r="AS1378">
        <f>IF(OR($X1378="",$T1378&gt;60),"",IFERROR(INDEX(IF($T1378&lt;24,pcomp_m,palt_m),MATCH($X1378,IF($T1378&lt;24,pcomp_k,palt_k),1)),""))</f>
        <v/>
      </c>
      <c r="AT1378">
        <f>IF(OR($X1378="",$T1378&gt;60),"",IFERROR(INDEX(IF($T1378&lt;24,pcomp_s,palt_s),MATCH($X1378,IF($T1378&lt;24,pcomp_k,palt_k),1)),""))</f>
        <v/>
      </c>
      <c r="AU1378">
        <f>IF($AR1378="","",IF($AR1378=0,LN($F1378/$AS1378)/$AT1378,((($F1378/$AS1378)^$AR1378)-1)/($AR1378*$AT1378)))</f>
        <v/>
      </c>
      <c r="AV1378">
        <f>IF($AR1378="","",IF($AR1378=0,$AS1378*EXP($AT1378*2),$AS1378*(1+$AR1378*$AT1378*2)^(1/$AR1378)))</f>
        <v/>
      </c>
      <c r="AW1378">
        <f>IF($AR1378="","",IF($AR1378=0,$AS1378*EXP($AT1378*3),$AS1378*(1+$AR1378*$AT1378*3)^(1/$AR1378)))</f>
        <v/>
      </c>
      <c r="AX1378">
        <f>IF($AR1378="","",IF($AR1378=0,$AS1378*EXP($AT1378*-2),$AS1378*(1+$AR1378*$AT1378*-2)^(1/$AR1378)))</f>
        <v/>
      </c>
      <c r="AY1378">
        <f>IF($AR1378="","",IF($AR1378=0,$AS1378*EXP($AT1378*-3),$AS1378*(1+$AR1378*$AT1378*-3)^(1/$AR1378)))</f>
        <v/>
      </c>
      <c r="AZ1378">
        <f>IF(OR($A1378="",$A1378&lt;&gt;Ficha!$C$4),"",COUNTIF($A$2:$A1378,Ficha!$C$4))</f>
        <v/>
      </c>
    </row>
    <row r="1379">
      <c r="A1379" s="8">
        <f>IF(INDEX(Banco!$A:$A,ROW())="","",INDEX(Banco!$A:$A,ROW()))</f>
        <v/>
      </c>
      <c r="B1379" s="8">
        <f>IF(INDEX(Banco!$B:$B,ROW())="","",INDEX(Banco!$B:$B,ROW()))</f>
        <v/>
      </c>
      <c r="C1379" s="8">
        <f>IF(INDEX(Banco!$C:$C,ROW())="","",INDEX(Banco!$C:$C,ROW()))</f>
        <v/>
      </c>
      <c r="D1379" s="9">
        <f>IF(INDEX(Banco!$D:$D,ROW())="","",INDEX(Banco!$D:$D,ROW()))</f>
        <v/>
      </c>
      <c r="E1379" s="9">
        <f>IF(INDEX(Banco!$E:$E,ROW())="","",INDEX(Banco!$E:$E,ROW()))</f>
        <v/>
      </c>
      <c r="F1379" s="10">
        <f>IF(INDEX(Banco!$F:$F,ROW())="","",INDEX(Banco!$F:$F,ROW()))</f>
        <v/>
      </c>
      <c r="G1379" s="10">
        <f>IF(INDEX(Banco!$G:$G,ROW())="","",INDEX(Banco!$G:$G,ROW()))</f>
        <v/>
      </c>
      <c r="H1379" s="8">
        <f>IF(INDEX(Banco!$H:$H,ROW())="","",INDEX(Banco!$H:$H,ROW()))</f>
        <v/>
      </c>
      <c r="I1379">
        <f>IF($T1379="","",INT($T1379/12)&amp;"a "&amp;MOD($T1379,12)&amp;"m")</f>
        <v/>
      </c>
      <c r="J1379" s="11">
        <f>IF(OR($F1379="",$G1379=""),"",ROUND($F1379/($G1379/100)^2,2))</f>
        <v/>
      </c>
      <c r="K1379" s="12">
        <f>IF(OR($S1379="",$J1379="",$T1379="",$T1379&lt;0,$T1379&gt;228,$Y1379=""),"—",ROUND(IF(ABS($AB1379)&lt;=3,$AB1379,IF($AB1379&gt;3,3+($J1379-$AD1379)/($AD1379-$AC1379),-3+($J1379-$AF1379)/($AE1379-$AF1379))),2))</f>
        <v/>
      </c>
      <c r="L1379">
        <f>IF(OR($K1379="",$K1379="—"),"",IF($T1379&lt;=60,IF($K1379&lt;-3,"Magreza acentuada",IF($K1379&lt;-2,"Magreza",IF($K1379&lt;=1,"Eutrofia",IF($K1379&lt;=2,"Risco de sobrepeso",IF($K1379&lt;=3,"Sobrepeso","Obesidade"))))),IF($K1379&lt;-3,"Magreza acentuada",IF($K1379&lt;-2,"Magreza",IF($K1379&lt;=1,"Eutrofia",IF($K1379&lt;=2,"Sobrepeso",IF($K1379&lt;=3,"Obesidade","Obesidade grave")))))))</f>
        <v/>
      </c>
      <c r="M1379" s="12">
        <f>IF(OR($S1379="",$V1379="",$T1379="",$T1379&lt;0,$T1379&gt;228,$AG1379=""),"—",ROUND(IF($AG1379=0,LN($V1379/$AH1379)/$AI1379,((($V1379/$AH1379)^$AG1379)-1)/($AG1379*$AI1379)),2))</f>
        <v/>
      </c>
      <c r="N1379">
        <f>IF(OR($M1379="",$M1379="—"),"",IF($M1379&lt;-3,"Muito baixa",IF($M1379&lt;-2,"Baixa","Adequada")))</f>
        <v/>
      </c>
      <c r="O1379" s="12">
        <f>IF(OR($S1379="",$F1379="",$T1379="",$T1379&lt;0,$T1379&gt;120,$AJ1379=""),"—",ROUND(IF(ABS($AM1379)&lt;=3,$AM1379,IF($AM1379&gt;3,3+($F1379-$AO1379)/($AO1379-$AN1379),-3+($F1379-$AQ1379)/($AP1379-$AQ1379))),2))</f>
        <v/>
      </c>
      <c r="P1379">
        <f>IF(OR($O1379="",$O1379="—"),"",IF($O1379&lt;-3,"Muito baixo",IF($O1379&lt;-2,"Baixo",IF($O1379&lt;=2,"Adequado","Elevado"))))</f>
        <v/>
      </c>
      <c r="Q1379" s="12">
        <f>IF(OR($S1379="",$F1379="",$T1379="",$T1379&lt;0,$T1379&gt;60,$AR1379=""),"—",ROUND(IF(ABS($AU1379)&lt;=3,$AU1379,IF($AU1379&gt;3,3+($F1379-$AW1379)/($AW1379-$AV1379),-3+($F1379-$AY1379)/($AX1379-$AY1379))),2))</f>
        <v/>
      </c>
      <c r="R1379">
        <f>IF(OR($Q1379="",$Q1379="—"),"",IF($Q1379&lt;-3,"Magreza acentuada",IF($Q1379&lt;-2,"Magreza",IF($Q1379&lt;=1,"Eutrofia",IF($Q1379&lt;=2,"Risco de sobrepeso",IF($Q1379&lt;=3,"Sobrepeso","Obesidade"))))))</f>
        <v/>
      </c>
      <c r="S1379">
        <f>IF($C1379="","",IF(UPPER(LEFT($C1379,1))="M",1,IF(UPPER(LEFT($C1379,1))="F",2,"")))</f>
        <v/>
      </c>
      <c r="T1379">
        <f>IF(OR($D1379="",$E1379=""),"",DATEDIF($D1379,$E1379,"m"))</f>
        <v/>
      </c>
      <c r="U1379">
        <f>IF(OR($D1379="",$E1379=""),"",$E1379-$D1379)</f>
        <v/>
      </c>
      <c r="V1379">
        <f>IF(OR($G1379="",$T1379=""),"",IF($T1379&lt;24,IF(LEFT(LOWER($H1379),4)="em p",$G1379+0.7,$G1379),IF(LEFT(LOWER($H1379),4)="deit",$G1379-0.7,$G1379)))</f>
        <v/>
      </c>
      <c r="W1379">
        <f>IF(OR($S1379="",$T1379=""),"",$S1379*1000000+IF($T1379&lt;=60,$U1379,$T1379))</f>
        <v/>
      </c>
      <c r="X1379">
        <f>IF(OR($S1379="",$V1379="",$T1379&gt;60,$T1379=""),"",$S1379*1000000+ROUND($V1379*10,0))</f>
        <v/>
      </c>
      <c r="Y1379">
        <f>IF($W1379="","",IFERROR(INDEX(IF($T1379&lt;=60,imc05_l,imc519_l),MATCH($W1379,IF($T1379&lt;=60,imc05_k,imc519_k),1)),""))</f>
        <v/>
      </c>
      <c r="Z1379">
        <f>IF($W1379="","",IFERROR(INDEX(IF($T1379&lt;=60,imc05_m,imc519_m),MATCH($W1379,IF($T1379&lt;=60,imc05_k,imc519_k),1)),""))</f>
        <v/>
      </c>
      <c r="AA1379">
        <f>IF($W1379="","",IFERROR(INDEX(IF($T1379&lt;=60,imc05_s,imc519_s),MATCH($W1379,IF($T1379&lt;=60,imc05_k,imc519_k),1)),""))</f>
        <v/>
      </c>
      <c r="AB1379">
        <f>IF($Y1379="","",IF($Y1379=0,LN($J1379/$Z1379)/$AA1379,((($J1379/$Z1379)^$Y1379)-1)/($Y1379*$AA1379)))</f>
        <v/>
      </c>
      <c r="AC1379">
        <f>IF($Y1379="","",IF($Y1379=0,$Z1379*EXP($AA1379*2),$Z1379*(1+$Y1379*$AA1379*2)^(1/$Y1379)))</f>
        <v/>
      </c>
      <c r="AD1379">
        <f>IF($Y1379="","",IF($Y1379=0,$Z1379*EXP($AA1379*3),$Z1379*(1+$Y1379*$AA1379*3)^(1/$Y1379)))</f>
        <v/>
      </c>
      <c r="AE1379">
        <f>IF($Y1379="","",IF($Y1379=0,$Z1379*EXP($AA1379*-2),$Z1379*(1+$Y1379*$AA1379*-2)^(1/$Y1379)))</f>
        <v/>
      </c>
      <c r="AF1379">
        <f>IF($Y1379="","",IF($Y1379=0,$Z1379*EXP($AA1379*-3),$Z1379*(1+$Y1379*$AA1379*-3)^(1/$Y1379)))</f>
        <v/>
      </c>
      <c r="AG1379">
        <f>IF($W1379="","",IFERROR(INDEX(IF($T1379&lt;=60,est05_l,est519_l),MATCH($W1379,IF($T1379&lt;=60,est05_k,est519_k),1)),""))</f>
        <v/>
      </c>
      <c r="AH1379">
        <f>IF($W1379="","",IFERROR(INDEX(IF($T1379&lt;=60,est05_m,est519_m),MATCH($W1379,IF($T1379&lt;=60,est05_k,est519_k),1)),""))</f>
        <v/>
      </c>
      <c r="AI1379">
        <f>IF($W1379="","",IFERROR(INDEX(IF($T1379&lt;=60,est05_s,est519_s),MATCH($W1379,IF($T1379&lt;=60,est05_k,est519_k),1)),""))</f>
        <v/>
      </c>
      <c r="AJ1379">
        <f>IF($W1379="","",IFERROR(INDEX(IF($T1379&lt;=60,peso05_l,peso510_l),MATCH($W1379,IF($T1379&lt;=60,peso05_k,peso510_k),1)),""))</f>
        <v/>
      </c>
      <c r="AK1379">
        <f>IF($W1379="","",IFERROR(INDEX(IF($T1379&lt;=60,peso05_m,peso510_m),MATCH($W1379,IF($T1379&lt;=60,peso05_k,peso510_k),1)),""))</f>
        <v/>
      </c>
      <c r="AL1379">
        <f>IF($W1379="","",IFERROR(INDEX(IF($T1379&lt;=60,peso05_s,peso510_s),MATCH($W1379,IF($T1379&lt;=60,peso05_k,peso510_k),1)),""))</f>
        <v/>
      </c>
      <c r="AM1379">
        <f>IF($AJ1379="","",IF($AJ1379=0,LN($F1379/$AK1379)/$AL1379,((($F1379/$AK1379)^$AJ1379)-1)/($AJ1379*$AL1379)))</f>
        <v/>
      </c>
      <c r="AN1379">
        <f>IF($AJ1379="","",IF($AJ1379=0,$AK1379*EXP($AL1379*2),$AK1379*(1+$AJ1379*$AL1379*2)^(1/$AJ1379)))</f>
        <v/>
      </c>
      <c r="AO1379">
        <f>IF($AJ1379="","",IF($AJ1379=0,$AK1379*EXP($AL1379*3),$AK1379*(1+$AJ1379*$AL1379*3)^(1/$AJ1379)))</f>
        <v/>
      </c>
      <c r="AP1379">
        <f>IF($AJ1379="","",IF($AJ1379=0,$AK1379*EXP($AL1379*-2),$AK1379*(1+$AJ1379*$AL1379*-2)^(1/$AJ1379)))</f>
        <v/>
      </c>
      <c r="AQ1379">
        <f>IF($AJ1379="","",IF($AJ1379=0,$AK1379*EXP($AL1379*-3),$AK1379*(1+$AJ1379*$AL1379*-3)^(1/$AJ1379)))</f>
        <v/>
      </c>
      <c r="AR1379">
        <f>IF(OR($X1379="",$T1379&gt;60),"",IFERROR(INDEX(IF($T1379&lt;24,pcomp_l,palt_l),MATCH($X1379,IF($T1379&lt;24,pcomp_k,palt_k),1)),""))</f>
        <v/>
      </c>
      <c r="AS1379">
        <f>IF(OR($X1379="",$T1379&gt;60),"",IFERROR(INDEX(IF($T1379&lt;24,pcomp_m,palt_m),MATCH($X1379,IF($T1379&lt;24,pcomp_k,palt_k),1)),""))</f>
        <v/>
      </c>
      <c r="AT1379">
        <f>IF(OR($X1379="",$T1379&gt;60),"",IFERROR(INDEX(IF($T1379&lt;24,pcomp_s,palt_s),MATCH($X1379,IF($T1379&lt;24,pcomp_k,palt_k),1)),""))</f>
        <v/>
      </c>
      <c r="AU1379">
        <f>IF($AR1379="","",IF($AR1379=0,LN($F1379/$AS1379)/$AT1379,((($F1379/$AS1379)^$AR1379)-1)/($AR1379*$AT1379)))</f>
        <v/>
      </c>
      <c r="AV1379">
        <f>IF($AR1379="","",IF($AR1379=0,$AS1379*EXP($AT1379*2),$AS1379*(1+$AR1379*$AT1379*2)^(1/$AR1379)))</f>
        <v/>
      </c>
      <c r="AW1379">
        <f>IF($AR1379="","",IF($AR1379=0,$AS1379*EXP($AT1379*3),$AS1379*(1+$AR1379*$AT1379*3)^(1/$AR1379)))</f>
        <v/>
      </c>
      <c r="AX1379">
        <f>IF($AR1379="","",IF($AR1379=0,$AS1379*EXP($AT1379*-2),$AS1379*(1+$AR1379*$AT1379*-2)^(1/$AR1379)))</f>
        <v/>
      </c>
      <c r="AY1379">
        <f>IF($AR1379="","",IF($AR1379=0,$AS1379*EXP($AT1379*-3),$AS1379*(1+$AR1379*$AT1379*-3)^(1/$AR1379)))</f>
        <v/>
      </c>
      <c r="AZ1379">
        <f>IF(OR($A1379="",$A1379&lt;&gt;Ficha!$C$4),"",COUNTIF($A$2:$A1379,Ficha!$C$4))</f>
        <v/>
      </c>
    </row>
    <row r="1380">
      <c r="A1380" s="8">
        <f>IF(INDEX(Banco!$A:$A,ROW())="","",INDEX(Banco!$A:$A,ROW()))</f>
        <v/>
      </c>
      <c r="B1380" s="8">
        <f>IF(INDEX(Banco!$B:$B,ROW())="","",INDEX(Banco!$B:$B,ROW()))</f>
        <v/>
      </c>
      <c r="C1380" s="8">
        <f>IF(INDEX(Banco!$C:$C,ROW())="","",INDEX(Banco!$C:$C,ROW()))</f>
        <v/>
      </c>
      <c r="D1380" s="9">
        <f>IF(INDEX(Banco!$D:$D,ROW())="","",INDEX(Banco!$D:$D,ROW()))</f>
        <v/>
      </c>
      <c r="E1380" s="9">
        <f>IF(INDEX(Banco!$E:$E,ROW())="","",INDEX(Banco!$E:$E,ROW()))</f>
        <v/>
      </c>
      <c r="F1380" s="10">
        <f>IF(INDEX(Banco!$F:$F,ROW())="","",INDEX(Banco!$F:$F,ROW()))</f>
        <v/>
      </c>
      <c r="G1380" s="10">
        <f>IF(INDEX(Banco!$G:$G,ROW())="","",INDEX(Banco!$G:$G,ROW()))</f>
        <v/>
      </c>
      <c r="H1380" s="8">
        <f>IF(INDEX(Banco!$H:$H,ROW())="","",INDEX(Banco!$H:$H,ROW()))</f>
        <v/>
      </c>
      <c r="I1380">
        <f>IF($T1380="","",INT($T1380/12)&amp;"a "&amp;MOD($T1380,12)&amp;"m")</f>
        <v/>
      </c>
      <c r="J1380" s="11">
        <f>IF(OR($F1380="",$G1380=""),"",ROUND($F1380/($G1380/100)^2,2))</f>
        <v/>
      </c>
      <c r="K1380" s="12">
        <f>IF(OR($S1380="",$J1380="",$T1380="",$T1380&lt;0,$T1380&gt;228,$Y1380=""),"—",ROUND(IF(ABS($AB1380)&lt;=3,$AB1380,IF($AB1380&gt;3,3+($J1380-$AD1380)/($AD1380-$AC1380),-3+($J1380-$AF1380)/($AE1380-$AF1380))),2))</f>
        <v/>
      </c>
      <c r="L1380">
        <f>IF(OR($K1380="",$K1380="—"),"",IF($T1380&lt;=60,IF($K1380&lt;-3,"Magreza acentuada",IF($K1380&lt;-2,"Magreza",IF($K1380&lt;=1,"Eutrofia",IF($K1380&lt;=2,"Risco de sobrepeso",IF($K1380&lt;=3,"Sobrepeso","Obesidade"))))),IF($K1380&lt;-3,"Magreza acentuada",IF($K1380&lt;-2,"Magreza",IF($K1380&lt;=1,"Eutrofia",IF($K1380&lt;=2,"Sobrepeso",IF($K1380&lt;=3,"Obesidade","Obesidade grave")))))))</f>
        <v/>
      </c>
      <c r="M1380" s="12">
        <f>IF(OR($S1380="",$V1380="",$T1380="",$T1380&lt;0,$T1380&gt;228,$AG1380=""),"—",ROUND(IF($AG1380=0,LN($V1380/$AH1380)/$AI1380,((($V1380/$AH1380)^$AG1380)-1)/($AG1380*$AI1380)),2))</f>
        <v/>
      </c>
      <c r="N1380">
        <f>IF(OR($M1380="",$M1380="—"),"",IF($M1380&lt;-3,"Muito baixa",IF($M1380&lt;-2,"Baixa","Adequada")))</f>
        <v/>
      </c>
      <c r="O1380" s="12">
        <f>IF(OR($S1380="",$F1380="",$T1380="",$T1380&lt;0,$T1380&gt;120,$AJ1380=""),"—",ROUND(IF(ABS($AM1380)&lt;=3,$AM1380,IF($AM1380&gt;3,3+($F1380-$AO1380)/($AO1380-$AN1380),-3+($F1380-$AQ1380)/($AP1380-$AQ1380))),2))</f>
        <v/>
      </c>
      <c r="P1380">
        <f>IF(OR($O1380="",$O1380="—"),"",IF($O1380&lt;-3,"Muito baixo",IF($O1380&lt;-2,"Baixo",IF($O1380&lt;=2,"Adequado","Elevado"))))</f>
        <v/>
      </c>
      <c r="Q1380" s="12">
        <f>IF(OR($S1380="",$F1380="",$T1380="",$T1380&lt;0,$T1380&gt;60,$AR1380=""),"—",ROUND(IF(ABS($AU1380)&lt;=3,$AU1380,IF($AU1380&gt;3,3+($F1380-$AW1380)/($AW1380-$AV1380),-3+($F1380-$AY1380)/($AX1380-$AY1380))),2))</f>
        <v/>
      </c>
      <c r="R1380">
        <f>IF(OR($Q1380="",$Q1380="—"),"",IF($Q1380&lt;-3,"Magreza acentuada",IF($Q1380&lt;-2,"Magreza",IF($Q1380&lt;=1,"Eutrofia",IF($Q1380&lt;=2,"Risco de sobrepeso",IF($Q1380&lt;=3,"Sobrepeso","Obesidade"))))))</f>
        <v/>
      </c>
      <c r="S1380">
        <f>IF($C1380="","",IF(UPPER(LEFT($C1380,1))="M",1,IF(UPPER(LEFT($C1380,1))="F",2,"")))</f>
        <v/>
      </c>
      <c r="T1380">
        <f>IF(OR($D1380="",$E1380=""),"",DATEDIF($D1380,$E1380,"m"))</f>
        <v/>
      </c>
      <c r="U1380">
        <f>IF(OR($D1380="",$E1380=""),"",$E1380-$D1380)</f>
        <v/>
      </c>
      <c r="V1380">
        <f>IF(OR($G1380="",$T1380=""),"",IF($T1380&lt;24,IF(LEFT(LOWER($H1380),4)="em p",$G1380+0.7,$G1380),IF(LEFT(LOWER($H1380),4)="deit",$G1380-0.7,$G1380)))</f>
        <v/>
      </c>
      <c r="W1380">
        <f>IF(OR($S1380="",$T1380=""),"",$S1380*1000000+IF($T1380&lt;=60,$U1380,$T1380))</f>
        <v/>
      </c>
      <c r="X1380">
        <f>IF(OR($S1380="",$V1380="",$T1380&gt;60,$T1380=""),"",$S1380*1000000+ROUND($V1380*10,0))</f>
        <v/>
      </c>
      <c r="Y1380">
        <f>IF($W1380="","",IFERROR(INDEX(IF($T1380&lt;=60,imc05_l,imc519_l),MATCH($W1380,IF($T1380&lt;=60,imc05_k,imc519_k),1)),""))</f>
        <v/>
      </c>
      <c r="Z1380">
        <f>IF($W1380="","",IFERROR(INDEX(IF($T1380&lt;=60,imc05_m,imc519_m),MATCH($W1380,IF($T1380&lt;=60,imc05_k,imc519_k),1)),""))</f>
        <v/>
      </c>
      <c r="AA1380">
        <f>IF($W1380="","",IFERROR(INDEX(IF($T1380&lt;=60,imc05_s,imc519_s),MATCH($W1380,IF($T1380&lt;=60,imc05_k,imc519_k),1)),""))</f>
        <v/>
      </c>
      <c r="AB1380">
        <f>IF($Y1380="","",IF($Y1380=0,LN($J1380/$Z1380)/$AA1380,((($J1380/$Z1380)^$Y1380)-1)/($Y1380*$AA1380)))</f>
        <v/>
      </c>
      <c r="AC1380">
        <f>IF($Y1380="","",IF($Y1380=0,$Z1380*EXP($AA1380*2),$Z1380*(1+$Y1380*$AA1380*2)^(1/$Y1380)))</f>
        <v/>
      </c>
      <c r="AD1380">
        <f>IF($Y1380="","",IF($Y1380=0,$Z1380*EXP($AA1380*3),$Z1380*(1+$Y1380*$AA1380*3)^(1/$Y1380)))</f>
        <v/>
      </c>
      <c r="AE1380">
        <f>IF($Y1380="","",IF($Y1380=0,$Z1380*EXP($AA1380*-2),$Z1380*(1+$Y1380*$AA1380*-2)^(1/$Y1380)))</f>
        <v/>
      </c>
      <c r="AF1380">
        <f>IF($Y1380="","",IF($Y1380=0,$Z1380*EXP($AA1380*-3),$Z1380*(1+$Y1380*$AA1380*-3)^(1/$Y1380)))</f>
        <v/>
      </c>
      <c r="AG1380">
        <f>IF($W1380="","",IFERROR(INDEX(IF($T1380&lt;=60,est05_l,est519_l),MATCH($W1380,IF($T1380&lt;=60,est05_k,est519_k),1)),""))</f>
        <v/>
      </c>
      <c r="AH1380">
        <f>IF($W1380="","",IFERROR(INDEX(IF($T1380&lt;=60,est05_m,est519_m),MATCH($W1380,IF($T1380&lt;=60,est05_k,est519_k),1)),""))</f>
        <v/>
      </c>
      <c r="AI1380">
        <f>IF($W1380="","",IFERROR(INDEX(IF($T1380&lt;=60,est05_s,est519_s),MATCH($W1380,IF($T1380&lt;=60,est05_k,est519_k),1)),""))</f>
        <v/>
      </c>
      <c r="AJ1380">
        <f>IF($W1380="","",IFERROR(INDEX(IF($T1380&lt;=60,peso05_l,peso510_l),MATCH($W1380,IF($T1380&lt;=60,peso05_k,peso510_k),1)),""))</f>
        <v/>
      </c>
      <c r="AK1380">
        <f>IF($W1380="","",IFERROR(INDEX(IF($T1380&lt;=60,peso05_m,peso510_m),MATCH($W1380,IF($T1380&lt;=60,peso05_k,peso510_k),1)),""))</f>
        <v/>
      </c>
      <c r="AL1380">
        <f>IF($W1380="","",IFERROR(INDEX(IF($T1380&lt;=60,peso05_s,peso510_s),MATCH($W1380,IF($T1380&lt;=60,peso05_k,peso510_k),1)),""))</f>
        <v/>
      </c>
      <c r="AM1380">
        <f>IF($AJ1380="","",IF($AJ1380=0,LN($F1380/$AK1380)/$AL1380,((($F1380/$AK1380)^$AJ1380)-1)/($AJ1380*$AL1380)))</f>
        <v/>
      </c>
      <c r="AN1380">
        <f>IF($AJ1380="","",IF($AJ1380=0,$AK1380*EXP($AL1380*2),$AK1380*(1+$AJ1380*$AL1380*2)^(1/$AJ1380)))</f>
        <v/>
      </c>
      <c r="AO1380">
        <f>IF($AJ1380="","",IF($AJ1380=0,$AK1380*EXP($AL1380*3),$AK1380*(1+$AJ1380*$AL1380*3)^(1/$AJ1380)))</f>
        <v/>
      </c>
      <c r="AP1380">
        <f>IF($AJ1380="","",IF($AJ1380=0,$AK1380*EXP($AL1380*-2),$AK1380*(1+$AJ1380*$AL1380*-2)^(1/$AJ1380)))</f>
        <v/>
      </c>
      <c r="AQ1380">
        <f>IF($AJ1380="","",IF($AJ1380=0,$AK1380*EXP($AL1380*-3),$AK1380*(1+$AJ1380*$AL1380*-3)^(1/$AJ1380)))</f>
        <v/>
      </c>
      <c r="AR1380">
        <f>IF(OR($X1380="",$T1380&gt;60),"",IFERROR(INDEX(IF($T1380&lt;24,pcomp_l,palt_l),MATCH($X1380,IF($T1380&lt;24,pcomp_k,palt_k),1)),""))</f>
        <v/>
      </c>
      <c r="AS1380">
        <f>IF(OR($X1380="",$T1380&gt;60),"",IFERROR(INDEX(IF($T1380&lt;24,pcomp_m,palt_m),MATCH($X1380,IF($T1380&lt;24,pcomp_k,palt_k),1)),""))</f>
        <v/>
      </c>
      <c r="AT1380">
        <f>IF(OR($X1380="",$T1380&gt;60),"",IFERROR(INDEX(IF($T1380&lt;24,pcomp_s,palt_s),MATCH($X1380,IF($T1380&lt;24,pcomp_k,palt_k),1)),""))</f>
        <v/>
      </c>
      <c r="AU1380">
        <f>IF($AR1380="","",IF($AR1380=0,LN($F1380/$AS1380)/$AT1380,((($F1380/$AS1380)^$AR1380)-1)/($AR1380*$AT1380)))</f>
        <v/>
      </c>
      <c r="AV1380">
        <f>IF($AR1380="","",IF($AR1380=0,$AS1380*EXP($AT1380*2),$AS1380*(1+$AR1380*$AT1380*2)^(1/$AR1380)))</f>
        <v/>
      </c>
      <c r="AW1380">
        <f>IF($AR1380="","",IF($AR1380=0,$AS1380*EXP($AT1380*3),$AS1380*(1+$AR1380*$AT1380*3)^(1/$AR1380)))</f>
        <v/>
      </c>
      <c r="AX1380">
        <f>IF($AR1380="","",IF($AR1380=0,$AS1380*EXP($AT1380*-2),$AS1380*(1+$AR1380*$AT1380*-2)^(1/$AR1380)))</f>
        <v/>
      </c>
      <c r="AY1380">
        <f>IF($AR1380="","",IF($AR1380=0,$AS1380*EXP($AT1380*-3),$AS1380*(1+$AR1380*$AT1380*-3)^(1/$AR1380)))</f>
        <v/>
      </c>
      <c r="AZ1380">
        <f>IF(OR($A1380="",$A1380&lt;&gt;Ficha!$C$4),"",COUNTIF($A$2:$A1380,Ficha!$C$4))</f>
        <v/>
      </c>
    </row>
    <row r="1381">
      <c r="A1381" s="8">
        <f>IF(INDEX(Banco!$A:$A,ROW())="","",INDEX(Banco!$A:$A,ROW()))</f>
        <v/>
      </c>
      <c r="B1381" s="8">
        <f>IF(INDEX(Banco!$B:$B,ROW())="","",INDEX(Banco!$B:$B,ROW()))</f>
        <v/>
      </c>
      <c r="C1381" s="8">
        <f>IF(INDEX(Banco!$C:$C,ROW())="","",INDEX(Banco!$C:$C,ROW()))</f>
        <v/>
      </c>
      <c r="D1381" s="9">
        <f>IF(INDEX(Banco!$D:$D,ROW())="","",INDEX(Banco!$D:$D,ROW()))</f>
        <v/>
      </c>
      <c r="E1381" s="9">
        <f>IF(INDEX(Banco!$E:$E,ROW())="","",INDEX(Banco!$E:$E,ROW()))</f>
        <v/>
      </c>
      <c r="F1381" s="10">
        <f>IF(INDEX(Banco!$F:$F,ROW())="","",INDEX(Banco!$F:$F,ROW()))</f>
        <v/>
      </c>
      <c r="G1381" s="10">
        <f>IF(INDEX(Banco!$G:$G,ROW())="","",INDEX(Banco!$G:$G,ROW()))</f>
        <v/>
      </c>
      <c r="H1381" s="8">
        <f>IF(INDEX(Banco!$H:$H,ROW())="","",INDEX(Banco!$H:$H,ROW()))</f>
        <v/>
      </c>
      <c r="I1381">
        <f>IF($T1381="","",INT($T1381/12)&amp;"a "&amp;MOD($T1381,12)&amp;"m")</f>
        <v/>
      </c>
      <c r="J1381" s="11">
        <f>IF(OR($F1381="",$G1381=""),"",ROUND($F1381/($G1381/100)^2,2))</f>
        <v/>
      </c>
      <c r="K1381" s="12">
        <f>IF(OR($S1381="",$J1381="",$T1381="",$T1381&lt;0,$T1381&gt;228,$Y1381=""),"—",ROUND(IF(ABS($AB1381)&lt;=3,$AB1381,IF($AB1381&gt;3,3+($J1381-$AD1381)/($AD1381-$AC1381),-3+($J1381-$AF1381)/($AE1381-$AF1381))),2))</f>
        <v/>
      </c>
      <c r="L1381">
        <f>IF(OR($K1381="",$K1381="—"),"",IF($T1381&lt;=60,IF($K1381&lt;-3,"Magreza acentuada",IF($K1381&lt;-2,"Magreza",IF($K1381&lt;=1,"Eutrofia",IF($K1381&lt;=2,"Risco de sobrepeso",IF($K1381&lt;=3,"Sobrepeso","Obesidade"))))),IF($K1381&lt;-3,"Magreza acentuada",IF($K1381&lt;-2,"Magreza",IF($K1381&lt;=1,"Eutrofia",IF($K1381&lt;=2,"Sobrepeso",IF($K1381&lt;=3,"Obesidade","Obesidade grave")))))))</f>
        <v/>
      </c>
      <c r="M1381" s="12">
        <f>IF(OR($S1381="",$V1381="",$T1381="",$T1381&lt;0,$T1381&gt;228,$AG1381=""),"—",ROUND(IF($AG1381=0,LN($V1381/$AH1381)/$AI1381,((($V1381/$AH1381)^$AG1381)-1)/($AG1381*$AI1381)),2))</f>
        <v/>
      </c>
      <c r="N1381">
        <f>IF(OR($M1381="",$M1381="—"),"",IF($M1381&lt;-3,"Muito baixa",IF($M1381&lt;-2,"Baixa","Adequada")))</f>
        <v/>
      </c>
      <c r="O1381" s="12">
        <f>IF(OR($S1381="",$F1381="",$T1381="",$T1381&lt;0,$T1381&gt;120,$AJ1381=""),"—",ROUND(IF(ABS($AM1381)&lt;=3,$AM1381,IF($AM1381&gt;3,3+($F1381-$AO1381)/($AO1381-$AN1381),-3+($F1381-$AQ1381)/($AP1381-$AQ1381))),2))</f>
        <v/>
      </c>
      <c r="P1381">
        <f>IF(OR($O1381="",$O1381="—"),"",IF($O1381&lt;-3,"Muito baixo",IF($O1381&lt;-2,"Baixo",IF($O1381&lt;=2,"Adequado","Elevado"))))</f>
        <v/>
      </c>
      <c r="Q1381" s="12">
        <f>IF(OR($S1381="",$F1381="",$T1381="",$T1381&lt;0,$T1381&gt;60,$AR1381=""),"—",ROUND(IF(ABS($AU1381)&lt;=3,$AU1381,IF($AU1381&gt;3,3+($F1381-$AW1381)/($AW1381-$AV1381),-3+($F1381-$AY1381)/($AX1381-$AY1381))),2))</f>
        <v/>
      </c>
      <c r="R1381">
        <f>IF(OR($Q1381="",$Q1381="—"),"",IF($Q1381&lt;-3,"Magreza acentuada",IF($Q1381&lt;-2,"Magreza",IF($Q1381&lt;=1,"Eutrofia",IF($Q1381&lt;=2,"Risco de sobrepeso",IF($Q1381&lt;=3,"Sobrepeso","Obesidade"))))))</f>
        <v/>
      </c>
      <c r="S1381">
        <f>IF($C1381="","",IF(UPPER(LEFT($C1381,1))="M",1,IF(UPPER(LEFT($C1381,1))="F",2,"")))</f>
        <v/>
      </c>
      <c r="T1381">
        <f>IF(OR($D1381="",$E1381=""),"",DATEDIF($D1381,$E1381,"m"))</f>
        <v/>
      </c>
      <c r="U1381">
        <f>IF(OR($D1381="",$E1381=""),"",$E1381-$D1381)</f>
        <v/>
      </c>
      <c r="V1381">
        <f>IF(OR($G1381="",$T1381=""),"",IF($T1381&lt;24,IF(LEFT(LOWER($H1381),4)="em p",$G1381+0.7,$G1381),IF(LEFT(LOWER($H1381),4)="deit",$G1381-0.7,$G1381)))</f>
        <v/>
      </c>
      <c r="W1381">
        <f>IF(OR($S1381="",$T1381=""),"",$S1381*1000000+IF($T1381&lt;=60,$U1381,$T1381))</f>
        <v/>
      </c>
      <c r="X1381">
        <f>IF(OR($S1381="",$V1381="",$T1381&gt;60,$T1381=""),"",$S1381*1000000+ROUND($V1381*10,0))</f>
        <v/>
      </c>
      <c r="Y1381">
        <f>IF($W1381="","",IFERROR(INDEX(IF($T1381&lt;=60,imc05_l,imc519_l),MATCH($W1381,IF($T1381&lt;=60,imc05_k,imc519_k),1)),""))</f>
        <v/>
      </c>
      <c r="Z1381">
        <f>IF($W1381="","",IFERROR(INDEX(IF($T1381&lt;=60,imc05_m,imc519_m),MATCH($W1381,IF($T1381&lt;=60,imc05_k,imc519_k),1)),""))</f>
        <v/>
      </c>
      <c r="AA1381">
        <f>IF($W1381="","",IFERROR(INDEX(IF($T1381&lt;=60,imc05_s,imc519_s),MATCH($W1381,IF($T1381&lt;=60,imc05_k,imc519_k),1)),""))</f>
        <v/>
      </c>
      <c r="AB1381">
        <f>IF($Y1381="","",IF($Y1381=0,LN($J1381/$Z1381)/$AA1381,((($J1381/$Z1381)^$Y1381)-1)/($Y1381*$AA1381)))</f>
        <v/>
      </c>
      <c r="AC1381">
        <f>IF($Y1381="","",IF($Y1381=0,$Z1381*EXP($AA1381*2),$Z1381*(1+$Y1381*$AA1381*2)^(1/$Y1381)))</f>
        <v/>
      </c>
      <c r="AD1381">
        <f>IF($Y1381="","",IF($Y1381=0,$Z1381*EXP($AA1381*3),$Z1381*(1+$Y1381*$AA1381*3)^(1/$Y1381)))</f>
        <v/>
      </c>
      <c r="AE1381">
        <f>IF($Y1381="","",IF($Y1381=0,$Z1381*EXP($AA1381*-2),$Z1381*(1+$Y1381*$AA1381*-2)^(1/$Y1381)))</f>
        <v/>
      </c>
      <c r="AF1381">
        <f>IF($Y1381="","",IF($Y1381=0,$Z1381*EXP($AA1381*-3),$Z1381*(1+$Y1381*$AA1381*-3)^(1/$Y1381)))</f>
        <v/>
      </c>
      <c r="AG1381">
        <f>IF($W1381="","",IFERROR(INDEX(IF($T1381&lt;=60,est05_l,est519_l),MATCH($W1381,IF($T1381&lt;=60,est05_k,est519_k),1)),""))</f>
        <v/>
      </c>
      <c r="AH1381">
        <f>IF($W1381="","",IFERROR(INDEX(IF($T1381&lt;=60,est05_m,est519_m),MATCH($W1381,IF($T1381&lt;=60,est05_k,est519_k),1)),""))</f>
        <v/>
      </c>
      <c r="AI1381">
        <f>IF($W1381="","",IFERROR(INDEX(IF($T1381&lt;=60,est05_s,est519_s),MATCH($W1381,IF($T1381&lt;=60,est05_k,est519_k),1)),""))</f>
        <v/>
      </c>
      <c r="AJ1381">
        <f>IF($W1381="","",IFERROR(INDEX(IF($T1381&lt;=60,peso05_l,peso510_l),MATCH($W1381,IF($T1381&lt;=60,peso05_k,peso510_k),1)),""))</f>
        <v/>
      </c>
      <c r="AK1381">
        <f>IF($W1381="","",IFERROR(INDEX(IF($T1381&lt;=60,peso05_m,peso510_m),MATCH($W1381,IF($T1381&lt;=60,peso05_k,peso510_k),1)),""))</f>
        <v/>
      </c>
      <c r="AL1381">
        <f>IF($W1381="","",IFERROR(INDEX(IF($T1381&lt;=60,peso05_s,peso510_s),MATCH($W1381,IF($T1381&lt;=60,peso05_k,peso510_k),1)),""))</f>
        <v/>
      </c>
      <c r="AM1381">
        <f>IF($AJ1381="","",IF($AJ1381=0,LN($F1381/$AK1381)/$AL1381,((($F1381/$AK1381)^$AJ1381)-1)/($AJ1381*$AL1381)))</f>
        <v/>
      </c>
      <c r="AN1381">
        <f>IF($AJ1381="","",IF($AJ1381=0,$AK1381*EXP($AL1381*2),$AK1381*(1+$AJ1381*$AL1381*2)^(1/$AJ1381)))</f>
        <v/>
      </c>
      <c r="AO1381">
        <f>IF($AJ1381="","",IF($AJ1381=0,$AK1381*EXP($AL1381*3),$AK1381*(1+$AJ1381*$AL1381*3)^(1/$AJ1381)))</f>
        <v/>
      </c>
      <c r="AP1381">
        <f>IF($AJ1381="","",IF($AJ1381=0,$AK1381*EXP($AL1381*-2),$AK1381*(1+$AJ1381*$AL1381*-2)^(1/$AJ1381)))</f>
        <v/>
      </c>
      <c r="AQ1381">
        <f>IF($AJ1381="","",IF($AJ1381=0,$AK1381*EXP($AL1381*-3),$AK1381*(1+$AJ1381*$AL1381*-3)^(1/$AJ1381)))</f>
        <v/>
      </c>
      <c r="AR1381">
        <f>IF(OR($X1381="",$T1381&gt;60),"",IFERROR(INDEX(IF($T1381&lt;24,pcomp_l,palt_l),MATCH($X1381,IF($T1381&lt;24,pcomp_k,palt_k),1)),""))</f>
        <v/>
      </c>
      <c r="AS1381">
        <f>IF(OR($X1381="",$T1381&gt;60),"",IFERROR(INDEX(IF($T1381&lt;24,pcomp_m,palt_m),MATCH($X1381,IF($T1381&lt;24,pcomp_k,palt_k),1)),""))</f>
        <v/>
      </c>
      <c r="AT1381">
        <f>IF(OR($X1381="",$T1381&gt;60),"",IFERROR(INDEX(IF($T1381&lt;24,pcomp_s,palt_s),MATCH($X1381,IF($T1381&lt;24,pcomp_k,palt_k),1)),""))</f>
        <v/>
      </c>
      <c r="AU1381">
        <f>IF($AR1381="","",IF($AR1381=0,LN($F1381/$AS1381)/$AT1381,((($F1381/$AS1381)^$AR1381)-1)/($AR1381*$AT1381)))</f>
        <v/>
      </c>
      <c r="AV1381">
        <f>IF($AR1381="","",IF($AR1381=0,$AS1381*EXP($AT1381*2),$AS1381*(1+$AR1381*$AT1381*2)^(1/$AR1381)))</f>
        <v/>
      </c>
      <c r="AW1381">
        <f>IF($AR1381="","",IF($AR1381=0,$AS1381*EXP($AT1381*3),$AS1381*(1+$AR1381*$AT1381*3)^(1/$AR1381)))</f>
        <v/>
      </c>
      <c r="AX1381">
        <f>IF($AR1381="","",IF($AR1381=0,$AS1381*EXP($AT1381*-2),$AS1381*(1+$AR1381*$AT1381*-2)^(1/$AR1381)))</f>
        <v/>
      </c>
      <c r="AY1381">
        <f>IF($AR1381="","",IF($AR1381=0,$AS1381*EXP($AT1381*-3),$AS1381*(1+$AR1381*$AT1381*-3)^(1/$AR1381)))</f>
        <v/>
      </c>
      <c r="AZ1381">
        <f>IF(OR($A1381="",$A1381&lt;&gt;Ficha!$C$4),"",COUNTIF($A$2:$A1381,Ficha!$C$4))</f>
        <v/>
      </c>
    </row>
    <row r="1382">
      <c r="A1382" s="8">
        <f>IF(INDEX(Banco!$A:$A,ROW())="","",INDEX(Banco!$A:$A,ROW()))</f>
        <v/>
      </c>
      <c r="B1382" s="8">
        <f>IF(INDEX(Banco!$B:$B,ROW())="","",INDEX(Banco!$B:$B,ROW()))</f>
        <v/>
      </c>
      <c r="C1382" s="8">
        <f>IF(INDEX(Banco!$C:$C,ROW())="","",INDEX(Banco!$C:$C,ROW()))</f>
        <v/>
      </c>
      <c r="D1382" s="9">
        <f>IF(INDEX(Banco!$D:$D,ROW())="","",INDEX(Banco!$D:$D,ROW()))</f>
        <v/>
      </c>
      <c r="E1382" s="9">
        <f>IF(INDEX(Banco!$E:$E,ROW())="","",INDEX(Banco!$E:$E,ROW()))</f>
        <v/>
      </c>
      <c r="F1382" s="10">
        <f>IF(INDEX(Banco!$F:$F,ROW())="","",INDEX(Banco!$F:$F,ROW()))</f>
        <v/>
      </c>
      <c r="G1382" s="10">
        <f>IF(INDEX(Banco!$G:$G,ROW())="","",INDEX(Banco!$G:$G,ROW()))</f>
        <v/>
      </c>
      <c r="H1382" s="8">
        <f>IF(INDEX(Banco!$H:$H,ROW())="","",INDEX(Banco!$H:$H,ROW()))</f>
        <v/>
      </c>
      <c r="I1382">
        <f>IF($T1382="","",INT($T1382/12)&amp;"a "&amp;MOD($T1382,12)&amp;"m")</f>
        <v/>
      </c>
      <c r="J1382" s="11">
        <f>IF(OR($F1382="",$G1382=""),"",ROUND($F1382/($G1382/100)^2,2))</f>
        <v/>
      </c>
      <c r="K1382" s="12">
        <f>IF(OR($S1382="",$J1382="",$T1382="",$T1382&lt;0,$T1382&gt;228,$Y1382=""),"—",ROUND(IF(ABS($AB1382)&lt;=3,$AB1382,IF($AB1382&gt;3,3+($J1382-$AD1382)/($AD1382-$AC1382),-3+($J1382-$AF1382)/($AE1382-$AF1382))),2))</f>
        <v/>
      </c>
      <c r="L1382">
        <f>IF(OR($K1382="",$K1382="—"),"",IF($T1382&lt;=60,IF($K1382&lt;-3,"Magreza acentuada",IF($K1382&lt;-2,"Magreza",IF($K1382&lt;=1,"Eutrofia",IF($K1382&lt;=2,"Risco de sobrepeso",IF($K1382&lt;=3,"Sobrepeso","Obesidade"))))),IF($K1382&lt;-3,"Magreza acentuada",IF($K1382&lt;-2,"Magreza",IF($K1382&lt;=1,"Eutrofia",IF($K1382&lt;=2,"Sobrepeso",IF($K1382&lt;=3,"Obesidade","Obesidade grave")))))))</f>
        <v/>
      </c>
      <c r="M1382" s="12">
        <f>IF(OR($S1382="",$V1382="",$T1382="",$T1382&lt;0,$T1382&gt;228,$AG1382=""),"—",ROUND(IF($AG1382=0,LN($V1382/$AH1382)/$AI1382,((($V1382/$AH1382)^$AG1382)-1)/($AG1382*$AI1382)),2))</f>
        <v/>
      </c>
      <c r="N1382">
        <f>IF(OR($M1382="",$M1382="—"),"",IF($M1382&lt;-3,"Muito baixa",IF($M1382&lt;-2,"Baixa","Adequada")))</f>
        <v/>
      </c>
      <c r="O1382" s="12">
        <f>IF(OR($S1382="",$F1382="",$T1382="",$T1382&lt;0,$T1382&gt;120,$AJ1382=""),"—",ROUND(IF(ABS($AM1382)&lt;=3,$AM1382,IF($AM1382&gt;3,3+($F1382-$AO1382)/($AO1382-$AN1382),-3+($F1382-$AQ1382)/($AP1382-$AQ1382))),2))</f>
        <v/>
      </c>
      <c r="P1382">
        <f>IF(OR($O1382="",$O1382="—"),"",IF($O1382&lt;-3,"Muito baixo",IF($O1382&lt;-2,"Baixo",IF($O1382&lt;=2,"Adequado","Elevado"))))</f>
        <v/>
      </c>
      <c r="Q1382" s="12">
        <f>IF(OR($S1382="",$F1382="",$T1382="",$T1382&lt;0,$T1382&gt;60,$AR1382=""),"—",ROUND(IF(ABS($AU1382)&lt;=3,$AU1382,IF($AU1382&gt;3,3+($F1382-$AW1382)/($AW1382-$AV1382),-3+($F1382-$AY1382)/($AX1382-$AY1382))),2))</f>
        <v/>
      </c>
      <c r="R1382">
        <f>IF(OR($Q1382="",$Q1382="—"),"",IF($Q1382&lt;-3,"Magreza acentuada",IF($Q1382&lt;-2,"Magreza",IF($Q1382&lt;=1,"Eutrofia",IF($Q1382&lt;=2,"Risco de sobrepeso",IF($Q1382&lt;=3,"Sobrepeso","Obesidade"))))))</f>
        <v/>
      </c>
      <c r="S1382">
        <f>IF($C1382="","",IF(UPPER(LEFT($C1382,1))="M",1,IF(UPPER(LEFT($C1382,1))="F",2,"")))</f>
        <v/>
      </c>
      <c r="T1382">
        <f>IF(OR($D1382="",$E1382=""),"",DATEDIF($D1382,$E1382,"m"))</f>
        <v/>
      </c>
      <c r="U1382">
        <f>IF(OR($D1382="",$E1382=""),"",$E1382-$D1382)</f>
        <v/>
      </c>
      <c r="V1382">
        <f>IF(OR($G1382="",$T1382=""),"",IF($T1382&lt;24,IF(LEFT(LOWER($H1382),4)="em p",$G1382+0.7,$G1382),IF(LEFT(LOWER($H1382),4)="deit",$G1382-0.7,$G1382)))</f>
        <v/>
      </c>
      <c r="W1382">
        <f>IF(OR($S1382="",$T1382=""),"",$S1382*1000000+IF($T1382&lt;=60,$U1382,$T1382))</f>
        <v/>
      </c>
      <c r="X1382">
        <f>IF(OR($S1382="",$V1382="",$T1382&gt;60,$T1382=""),"",$S1382*1000000+ROUND($V1382*10,0))</f>
        <v/>
      </c>
      <c r="Y1382">
        <f>IF($W1382="","",IFERROR(INDEX(IF($T1382&lt;=60,imc05_l,imc519_l),MATCH($W1382,IF($T1382&lt;=60,imc05_k,imc519_k),1)),""))</f>
        <v/>
      </c>
      <c r="Z1382">
        <f>IF($W1382="","",IFERROR(INDEX(IF($T1382&lt;=60,imc05_m,imc519_m),MATCH($W1382,IF($T1382&lt;=60,imc05_k,imc519_k),1)),""))</f>
        <v/>
      </c>
      <c r="AA1382">
        <f>IF($W1382="","",IFERROR(INDEX(IF($T1382&lt;=60,imc05_s,imc519_s),MATCH($W1382,IF($T1382&lt;=60,imc05_k,imc519_k),1)),""))</f>
        <v/>
      </c>
      <c r="AB1382">
        <f>IF($Y1382="","",IF($Y1382=0,LN($J1382/$Z1382)/$AA1382,((($J1382/$Z1382)^$Y1382)-1)/($Y1382*$AA1382)))</f>
        <v/>
      </c>
      <c r="AC1382">
        <f>IF($Y1382="","",IF($Y1382=0,$Z1382*EXP($AA1382*2),$Z1382*(1+$Y1382*$AA1382*2)^(1/$Y1382)))</f>
        <v/>
      </c>
      <c r="AD1382">
        <f>IF($Y1382="","",IF($Y1382=0,$Z1382*EXP($AA1382*3),$Z1382*(1+$Y1382*$AA1382*3)^(1/$Y1382)))</f>
        <v/>
      </c>
      <c r="AE1382">
        <f>IF($Y1382="","",IF($Y1382=0,$Z1382*EXP($AA1382*-2),$Z1382*(1+$Y1382*$AA1382*-2)^(1/$Y1382)))</f>
        <v/>
      </c>
      <c r="AF1382">
        <f>IF($Y1382="","",IF($Y1382=0,$Z1382*EXP($AA1382*-3),$Z1382*(1+$Y1382*$AA1382*-3)^(1/$Y1382)))</f>
        <v/>
      </c>
      <c r="AG1382">
        <f>IF($W1382="","",IFERROR(INDEX(IF($T1382&lt;=60,est05_l,est519_l),MATCH($W1382,IF($T1382&lt;=60,est05_k,est519_k),1)),""))</f>
        <v/>
      </c>
      <c r="AH1382">
        <f>IF($W1382="","",IFERROR(INDEX(IF($T1382&lt;=60,est05_m,est519_m),MATCH($W1382,IF($T1382&lt;=60,est05_k,est519_k),1)),""))</f>
        <v/>
      </c>
      <c r="AI1382">
        <f>IF($W1382="","",IFERROR(INDEX(IF($T1382&lt;=60,est05_s,est519_s),MATCH($W1382,IF($T1382&lt;=60,est05_k,est519_k),1)),""))</f>
        <v/>
      </c>
      <c r="AJ1382">
        <f>IF($W1382="","",IFERROR(INDEX(IF($T1382&lt;=60,peso05_l,peso510_l),MATCH($W1382,IF($T1382&lt;=60,peso05_k,peso510_k),1)),""))</f>
        <v/>
      </c>
      <c r="AK1382">
        <f>IF($W1382="","",IFERROR(INDEX(IF($T1382&lt;=60,peso05_m,peso510_m),MATCH($W1382,IF($T1382&lt;=60,peso05_k,peso510_k),1)),""))</f>
        <v/>
      </c>
      <c r="AL1382">
        <f>IF($W1382="","",IFERROR(INDEX(IF($T1382&lt;=60,peso05_s,peso510_s),MATCH($W1382,IF($T1382&lt;=60,peso05_k,peso510_k),1)),""))</f>
        <v/>
      </c>
      <c r="AM1382">
        <f>IF($AJ1382="","",IF($AJ1382=0,LN($F1382/$AK1382)/$AL1382,((($F1382/$AK1382)^$AJ1382)-1)/($AJ1382*$AL1382)))</f>
        <v/>
      </c>
      <c r="AN1382">
        <f>IF($AJ1382="","",IF($AJ1382=0,$AK1382*EXP($AL1382*2),$AK1382*(1+$AJ1382*$AL1382*2)^(1/$AJ1382)))</f>
        <v/>
      </c>
      <c r="AO1382">
        <f>IF($AJ1382="","",IF($AJ1382=0,$AK1382*EXP($AL1382*3),$AK1382*(1+$AJ1382*$AL1382*3)^(1/$AJ1382)))</f>
        <v/>
      </c>
      <c r="AP1382">
        <f>IF($AJ1382="","",IF($AJ1382=0,$AK1382*EXP($AL1382*-2),$AK1382*(1+$AJ1382*$AL1382*-2)^(1/$AJ1382)))</f>
        <v/>
      </c>
      <c r="AQ1382">
        <f>IF($AJ1382="","",IF($AJ1382=0,$AK1382*EXP($AL1382*-3),$AK1382*(1+$AJ1382*$AL1382*-3)^(1/$AJ1382)))</f>
        <v/>
      </c>
      <c r="AR1382">
        <f>IF(OR($X1382="",$T1382&gt;60),"",IFERROR(INDEX(IF($T1382&lt;24,pcomp_l,palt_l),MATCH($X1382,IF($T1382&lt;24,pcomp_k,palt_k),1)),""))</f>
        <v/>
      </c>
      <c r="AS1382">
        <f>IF(OR($X1382="",$T1382&gt;60),"",IFERROR(INDEX(IF($T1382&lt;24,pcomp_m,palt_m),MATCH($X1382,IF($T1382&lt;24,pcomp_k,palt_k),1)),""))</f>
        <v/>
      </c>
      <c r="AT1382">
        <f>IF(OR($X1382="",$T1382&gt;60),"",IFERROR(INDEX(IF($T1382&lt;24,pcomp_s,palt_s),MATCH($X1382,IF($T1382&lt;24,pcomp_k,palt_k),1)),""))</f>
        <v/>
      </c>
      <c r="AU1382">
        <f>IF($AR1382="","",IF($AR1382=0,LN($F1382/$AS1382)/$AT1382,((($F1382/$AS1382)^$AR1382)-1)/($AR1382*$AT1382)))</f>
        <v/>
      </c>
      <c r="AV1382">
        <f>IF($AR1382="","",IF($AR1382=0,$AS1382*EXP($AT1382*2),$AS1382*(1+$AR1382*$AT1382*2)^(1/$AR1382)))</f>
        <v/>
      </c>
      <c r="AW1382">
        <f>IF($AR1382="","",IF($AR1382=0,$AS1382*EXP($AT1382*3),$AS1382*(1+$AR1382*$AT1382*3)^(1/$AR1382)))</f>
        <v/>
      </c>
      <c r="AX1382">
        <f>IF($AR1382="","",IF($AR1382=0,$AS1382*EXP($AT1382*-2),$AS1382*(1+$AR1382*$AT1382*-2)^(1/$AR1382)))</f>
        <v/>
      </c>
      <c r="AY1382">
        <f>IF($AR1382="","",IF($AR1382=0,$AS1382*EXP($AT1382*-3),$AS1382*(1+$AR1382*$AT1382*-3)^(1/$AR1382)))</f>
        <v/>
      </c>
      <c r="AZ1382">
        <f>IF(OR($A1382="",$A1382&lt;&gt;Ficha!$C$4),"",COUNTIF($A$2:$A1382,Ficha!$C$4))</f>
        <v/>
      </c>
    </row>
    <row r="1383">
      <c r="A1383" s="8">
        <f>IF(INDEX(Banco!$A:$A,ROW())="","",INDEX(Banco!$A:$A,ROW()))</f>
        <v/>
      </c>
      <c r="B1383" s="8">
        <f>IF(INDEX(Banco!$B:$B,ROW())="","",INDEX(Banco!$B:$B,ROW()))</f>
        <v/>
      </c>
      <c r="C1383" s="8">
        <f>IF(INDEX(Banco!$C:$C,ROW())="","",INDEX(Banco!$C:$C,ROW()))</f>
        <v/>
      </c>
      <c r="D1383" s="9">
        <f>IF(INDEX(Banco!$D:$D,ROW())="","",INDEX(Banco!$D:$D,ROW()))</f>
        <v/>
      </c>
      <c r="E1383" s="9">
        <f>IF(INDEX(Banco!$E:$E,ROW())="","",INDEX(Banco!$E:$E,ROW()))</f>
        <v/>
      </c>
      <c r="F1383" s="10">
        <f>IF(INDEX(Banco!$F:$F,ROW())="","",INDEX(Banco!$F:$F,ROW()))</f>
        <v/>
      </c>
      <c r="G1383" s="10">
        <f>IF(INDEX(Banco!$G:$G,ROW())="","",INDEX(Banco!$G:$G,ROW()))</f>
        <v/>
      </c>
      <c r="H1383" s="8">
        <f>IF(INDEX(Banco!$H:$H,ROW())="","",INDEX(Banco!$H:$H,ROW()))</f>
        <v/>
      </c>
      <c r="I1383">
        <f>IF($T1383="","",INT($T1383/12)&amp;"a "&amp;MOD($T1383,12)&amp;"m")</f>
        <v/>
      </c>
      <c r="J1383" s="11">
        <f>IF(OR($F1383="",$G1383=""),"",ROUND($F1383/($G1383/100)^2,2))</f>
        <v/>
      </c>
      <c r="K1383" s="12">
        <f>IF(OR($S1383="",$J1383="",$T1383="",$T1383&lt;0,$T1383&gt;228,$Y1383=""),"—",ROUND(IF(ABS($AB1383)&lt;=3,$AB1383,IF($AB1383&gt;3,3+($J1383-$AD1383)/($AD1383-$AC1383),-3+($J1383-$AF1383)/($AE1383-$AF1383))),2))</f>
        <v/>
      </c>
      <c r="L1383">
        <f>IF(OR($K1383="",$K1383="—"),"",IF($T1383&lt;=60,IF($K1383&lt;-3,"Magreza acentuada",IF($K1383&lt;-2,"Magreza",IF($K1383&lt;=1,"Eutrofia",IF($K1383&lt;=2,"Risco de sobrepeso",IF($K1383&lt;=3,"Sobrepeso","Obesidade"))))),IF($K1383&lt;-3,"Magreza acentuada",IF($K1383&lt;-2,"Magreza",IF($K1383&lt;=1,"Eutrofia",IF($K1383&lt;=2,"Sobrepeso",IF($K1383&lt;=3,"Obesidade","Obesidade grave")))))))</f>
        <v/>
      </c>
      <c r="M1383" s="12">
        <f>IF(OR($S1383="",$V1383="",$T1383="",$T1383&lt;0,$T1383&gt;228,$AG1383=""),"—",ROUND(IF($AG1383=0,LN($V1383/$AH1383)/$AI1383,((($V1383/$AH1383)^$AG1383)-1)/($AG1383*$AI1383)),2))</f>
        <v/>
      </c>
      <c r="N1383">
        <f>IF(OR($M1383="",$M1383="—"),"",IF($M1383&lt;-3,"Muito baixa",IF($M1383&lt;-2,"Baixa","Adequada")))</f>
        <v/>
      </c>
      <c r="O1383" s="12">
        <f>IF(OR($S1383="",$F1383="",$T1383="",$T1383&lt;0,$T1383&gt;120,$AJ1383=""),"—",ROUND(IF(ABS($AM1383)&lt;=3,$AM1383,IF($AM1383&gt;3,3+($F1383-$AO1383)/($AO1383-$AN1383),-3+($F1383-$AQ1383)/($AP1383-$AQ1383))),2))</f>
        <v/>
      </c>
      <c r="P1383">
        <f>IF(OR($O1383="",$O1383="—"),"",IF($O1383&lt;-3,"Muito baixo",IF($O1383&lt;-2,"Baixo",IF($O1383&lt;=2,"Adequado","Elevado"))))</f>
        <v/>
      </c>
      <c r="Q1383" s="12">
        <f>IF(OR($S1383="",$F1383="",$T1383="",$T1383&lt;0,$T1383&gt;60,$AR1383=""),"—",ROUND(IF(ABS($AU1383)&lt;=3,$AU1383,IF($AU1383&gt;3,3+($F1383-$AW1383)/($AW1383-$AV1383),-3+($F1383-$AY1383)/($AX1383-$AY1383))),2))</f>
        <v/>
      </c>
      <c r="R1383">
        <f>IF(OR($Q1383="",$Q1383="—"),"",IF($Q1383&lt;-3,"Magreza acentuada",IF($Q1383&lt;-2,"Magreza",IF($Q1383&lt;=1,"Eutrofia",IF($Q1383&lt;=2,"Risco de sobrepeso",IF($Q1383&lt;=3,"Sobrepeso","Obesidade"))))))</f>
        <v/>
      </c>
      <c r="S1383">
        <f>IF($C1383="","",IF(UPPER(LEFT($C1383,1))="M",1,IF(UPPER(LEFT($C1383,1))="F",2,"")))</f>
        <v/>
      </c>
      <c r="T1383">
        <f>IF(OR($D1383="",$E1383=""),"",DATEDIF($D1383,$E1383,"m"))</f>
        <v/>
      </c>
      <c r="U1383">
        <f>IF(OR($D1383="",$E1383=""),"",$E1383-$D1383)</f>
        <v/>
      </c>
      <c r="V1383">
        <f>IF(OR($G1383="",$T1383=""),"",IF($T1383&lt;24,IF(LEFT(LOWER($H1383),4)="em p",$G1383+0.7,$G1383),IF(LEFT(LOWER($H1383),4)="deit",$G1383-0.7,$G1383)))</f>
        <v/>
      </c>
      <c r="W1383">
        <f>IF(OR($S1383="",$T1383=""),"",$S1383*1000000+IF($T1383&lt;=60,$U1383,$T1383))</f>
        <v/>
      </c>
      <c r="X1383">
        <f>IF(OR($S1383="",$V1383="",$T1383&gt;60,$T1383=""),"",$S1383*1000000+ROUND($V1383*10,0))</f>
        <v/>
      </c>
      <c r="Y1383">
        <f>IF($W1383="","",IFERROR(INDEX(IF($T1383&lt;=60,imc05_l,imc519_l),MATCH($W1383,IF($T1383&lt;=60,imc05_k,imc519_k),1)),""))</f>
        <v/>
      </c>
      <c r="Z1383">
        <f>IF($W1383="","",IFERROR(INDEX(IF($T1383&lt;=60,imc05_m,imc519_m),MATCH($W1383,IF($T1383&lt;=60,imc05_k,imc519_k),1)),""))</f>
        <v/>
      </c>
      <c r="AA1383">
        <f>IF($W1383="","",IFERROR(INDEX(IF($T1383&lt;=60,imc05_s,imc519_s),MATCH($W1383,IF($T1383&lt;=60,imc05_k,imc519_k),1)),""))</f>
        <v/>
      </c>
      <c r="AB1383">
        <f>IF($Y1383="","",IF($Y1383=0,LN($J1383/$Z1383)/$AA1383,((($J1383/$Z1383)^$Y1383)-1)/($Y1383*$AA1383)))</f>
        <v/>
      </c>
      <c r="AC1383">
        <f>IF($Y1383="","",IF($Y1383=0,$Z1383*EXP($AA1383*2),$Z1383*(1+$Y1383*$AA1383*2)^(1/$Y1383)))</f>
        <v/>
      </c>
      <c r="AD1383">
        <f>IF($Y1383="","",IF($Y1383=0,$Z1383*EXP($AA1383*3),$Z1383*(1+$Y1383*$AA1383*3)^(1/$Y1383)))</f>
        <v/>
      </c>
      <c r="AE1383">
        <f>IF($Y1383="","",IF($Y1383=0,$Z1383*EXP($AA1383*-2),$Z1383*(1+$Y1383*$AA1383*-2)^(1/$Y1383)))</f>
        <v/>
      </c>
      <c r="AF1383">
        <f>IF($Y1383="","",IF($Y1383=0,$Z1383*EXP($AA1383*-3),$Z1383*(1+$Y1383*$AA1383*-3)^(1/$Y1383)))</f>
        <v/>
      </c>
      <c r="AG1383">
        <f>IF($W1383="","",IFERROR(INDEX(IF($T1383&lt;=60,est05_l,est519_l),MATCH($W1383,IF($T1383&lt;=60,est05_k,est519_k),1)),""))</f>
        <v/>
      </c>
      <c r="AH1383">
        <f>IF($W1383="","",IFERROR(INDEX(IF($T1383&lt;=60,est05_m,est519_m),MATCH($W1383,IF($T1383&lt;=60,est05_k,est519_k),1)),""))</f>
        <v/>
      </c>
      <c r="AI1383">
        <f>IF($W1383="","",IFERROR(INDEX(IF($T1383&lt;=60,est05_s,est519_s),MATCH($W1383,IF($T1383&lt;=60,est05_k,est519_k),1)),""))</f>
        <v/>
      </c>
      <c r="AJ1383">
        <f>IF($W1383="","",IFERROR(INDEX(IF($T1383&lt;=60,peso05_l,peso510_l),MATCH($W1383,IF($T1383&lt;=60,peso05_k,peso510_k),1)),""))</f>
        <v/>
      </c>
      <c r="AK1383">
        <f>IF($W1383="","",IFERROR(INDEX(IF($T1383&lt;=60,peso05_m,peso510_m),MATCH($W1383,IF($T1383&lt;=60,peso05_k,peso510_k),1)),""))</f>
        <v/>
      </c>
      <c r="AL1383">
        <f>IF($W1383="","",IFERROR(INDEX(IF($T1383&lt;=60,peso05_s,peso510_s),MATCH($W1383,IF($T1383&lt;=60,peso05_k,peso510_k),1)),""))</f>
        <v/>
      </c>
      <c r="AM1383">
        <f>IF($AJ1383="","",IF($AJ1383=0,LN($F1383/$AK1383)/$AL1383,((($F1383/$AK1383)^$AJ1383)-1)/($AJ1383*$AL1383)))</f>
        <v/>
      </c>
      <c r="AN1383">
        <f>IF($AJ1383="","",IF($AJ1383=0,$AK1383*EXP($AL1383*2),$AK1383*(1+$AJ1383*$AL1383*2)^(1/$AJ1383)))</f>
        <v/>
      </c>
      <c r="AO1383">
        <f>IF($AJ1383="","",IF($AJ1383=0,$AK1383*EXP($AL1383*3),$AK1383*(1+$AJ1383*$AL1383*3)^(1/$AJ1383)))</f>
        <v/>
      </c>
      <c r="AP1383">
        <f>IF($AJ1383="","",IF($AJ1383=0,$AK1383*EXP($AL1383*-2),$AK1383*(1+$AJ1383*$AL1383*-2)^(1/$AJ1383)))</f>
        <v/>
      </c>
      <c r="AQ1383">
        <f>IF($AJ1383="","",IF($AJ1383=0,$AK1383*EXP($AL1383*-3),$AK1383*(1+$AJ1383*$AL1383*-3)^(1/$AJ1383)))</f>
        <v/>
      </c>
      <c r="AR1383">
        <f>IF(OR($X1383="",$T1383&gt;60),"",IFERROR(INDEX(IF($T1383&lt;24,pcomp_l,palt_l),MATCH($X1383,IF($T1383&lt;24,pcomp_k,palt_k),1)),""))</f>
        <v/>
      </c>
      <c r="AS1383">
        <f>IF(OR($X1383="",$T1383&gt;60),"",IFERROR(INDEX(IF($T1383&lt;24,pcomp_m,palt_m),MATCH($X1383,IF($T1383&lt;24,pcomp_k,palt_k),1)),""))</f>
        <v/>
      </c>
      <c r="AT1383">
        <f>IF(OR($X1383="",$T1383&gt;60),"",IFERROR(INDEX(IF($T1383&lt;24,pcomp_s,palt_s),MATCH($X1383,IF($T1383&lt;24,pcomp_k,palt_k),1)),""))</f>
        <v/>
      </c>
      <c r="AU1383">
        <f>IF($AR1383="","",IF($AR1383=0,LN($F1383/$AS1383)/$AT1383,((($F1383/$AS1383)^$AR1383)-1)/($AR1383*$AT1383)))</f>
        <v/>
      </c>
      <c r="AV1383">
        <f>IF($AR1383="","",IF($AR1383=0,$AS1383*EXP($AT1383*2),$AS1383*(1+$AR1383*$AT1383*2)^(1/$AR1383)))</f>
        <v/>
      </c>
      <c r="AW1383">
        <f>IF($AR1383="","",IF($AR1383=0,$AS1383*EXP($AT1383*3),$AS1383*(1+$AR1383*$AT1383*3)^(1/$AR1383)))</f>
        <v/>
      </c>
      <c r="AX1383">
        <f>IF($AR1383="","",IF($AR1383=0,$AS1383*EXP($AT1383*-2),$AS1383*(1+$AR1383*$AT1383*-2)^(1/$AR1383)))</f>
        <v/>
      </c>
      <c r="AY1383">
        <f>IF($AR1383="","",IF($AR1383=0,$AS1383*EXP($AT1383*-3),$AS1383*(1+$AR1383*$AT1383*-3)^(1/$AR1383)))</f>
        <v/>
      </c>
      <c r="AZ1383">
        <f>IF(OR($A1383="",$A1383&lt;&gt;Ficha!$C$4),"",COUNTIF($A$2:$A1383,Ficha!$C$4))</f>
        <v/>
      </c>
    </row>
    <row r="1384">
      <c r="A1384" s="8">
        <f>IF(INDEX(Banco!$A:$A,ROW())="","",INDEX(Banco!$A:$A,ROW()))</f>
        <v/>
      </c>
      <c r="B1384" s="8">
        <f>IF(INDEX(Banco!$B:$B,ROW())="","",INDEX(Banco!$B:$B,ROW()))</f>
        <v/>
      </c>
      <c r="C1384" s="8">
        <f>IF(INDEX(Banco!$C:$C,ROW())="","",INDEX(Banco!$C:$C,ROW()))</f>
        <v/>
      </c>
      <c r="D1384" s="9">
        <f>IF(INDEX(Banco!$D:$D,ROW())="","",INDEX(Banco!$D:$D,ROW()))</f>
        <v/>
      </c>
      <c r="E1384" s="9">
        <f>IF(INDEX(Banco!$E:$E,ROW())="","",INDEX(Banco!$E:$E,ROW()))</f>
        <v/>
      </c>
      <c r="F1384" s="10">
        <f>IF(INDEX(Banco!$F:$F,ROW())="","",INDEX(Banco!$F:$F,ROW()))</f>
        <v/>
      </c>
      <c r="G1384" s="10">
        <f>IF(INDEX(Banco!$G:$G,ROW())="","",INDEX(Banco!$G:$G,ROW()))</f>
        <v/>
      </c>
      <c r="H1384" s="8">
        <f>IF(INDEX(Banco!$H:$H,ROW())="","",INDEX(Banco!$H:$H,ROW()))</f>
        <v/>
      </c>
      <c r="I1384">
        <f>IF($T1384="","",INT($T1384/12)&amp;"a "&amp;MOD($T1384,12)&amp;"m")</f>
        <v/>
      </c>
      <c r="J1384" s="11">
        <f>IF(OR($F1384="",$G1384=""),"",ROUND($F1384/($G1384/100)^2,2))</f>
        <v/>
      </c>
      <c r="K1384" s="12">
        <f>IF(OR($S1384="",$J1384="",$T1384="",$T1384&lt;0,$T1384&gt;228,$Y1384=""),"—",ROUND(IF(ABS($AB1384)&lt;=3,$AB1384,IF($AB1384&gt;3,3+($J1384-$AD1384)/($AD1384-$AC1384),-3+($J1384-$AF1384)/($AE1384-$AF1384))),2))</f>
        <v/>
      </c>
      <c r="L1384">
        <f>IF(OR($K1384="",$K1384="—"),"",IF($T1384&lt;=60,IF($K1384&lt;-3,"Magreza acentuada",IF($K1384&lt;-2,"Magreza",IF($K1384&lt;=1,"Eutrofia",IF($K1384&lt;=2,"Risco de sobrepeso",IF($K1384&lt;=3,"Sobrepeso","Obesidade"))))),IF($K1384&lt;-3,"Magreza acentuada",IF($K1384&lt;-2,"Magreza",IF($K1384&lt;=1,"Eutrofia",IF($K1384&lt;=2,"Sobrepeso",IF($K1384&lt;=3,"Obesidade","Obesidade grave")))))))</f>
        <v/>
      </c>
      <c r="M1384" s="12">
        <f>IF(OR($S1384="",$V1384="",$T1384="",$T1384&lt;0,$T1384&gt;228,$AG1384=""),"—",ROUND(IF($AG1384=0,LN($V1384/$AH1384)/$AI1384,((($V1384/$AH1384)^$AG1384)-1)/($AG1384*$AI1384)),2))</f>
        <v/>
      </c>
      <c r="N1384">
        <f>IF(OR($M1384="",$M1384="—"),"",IF($M1384&lt;-3,"Muito baixa",IF($M1384&lt;-2,"Baixa","Adequada")))</f>
        <v/>
      </c>
      <c r="O1384" s="12">
        <f>IF(OR($S1384="",$F1384="",$T1384="",$T1384&lt;0,$T1384&gt;120,$AJ1384=""),"—",ROUND(IF(ABS($AM1384)&lt;=3,$AM1384,IF($AM1384&gt;3,3+($F1384-$AO1384)/($AO1384-$AN1384),-3+($F1384-$AQ1384)/($AP1384-$AQ1384))),2))</f>
        <v/>
      </c>
      <c r="P1384">
        <f>IF(OR($O1384="",$O1384="—"),"",IF($O1384&lt;-3,"Muito baixo",IF($O1384&lt;-2,"Baixo",IF($O1384&lt;=2,"Adequado","Elevado"))))</f>
        <v/>
      </c>
      <c r="Q1384" s="12">
        <f>IF(OR($S1384="",$F1384="",$T1384="",$T1384&lt;0,$T1384&gt;60,$AR1384=""),"—",ROUND(IF(ABS($AU1384)&lt;=3,$AU1384,IF($AU1384&gt;3,3+($F1384-$AW1384)/($AW1384-$AV1384),-3+($F1384-$AY1384)/($AX1384-$AY1384))),2))</f>
        <v/>
      </c>
      <c r="R1384">
        <f>IF(OR($Q1384="",$Q1384="—"),"",IF($Q1384&lt;-3,"Magreza acentuada",IF($Q1384&lt;-2,"Magreza",IF($Q1384&lt;=1,"Eutrofia",IF($Q1384&lt;=2,"Risco de sobrepeso",IF($Q1384&lt;=3,"Sobrepeso","Obesidade"))))))</f>
        <v/>
      </c>
      <c r="S1384">
        <f>IF($C1384="","",IF(UPPER(LEFT($C1384,1))="M",1,IF(UPPER(LEFT($C1384,1))="F",2,"")))</f>
        <v/>
      </c>
      <c r="T1384">
        <f>IF(OR($D1384="",$E1384=""),"",DATEDIF($D1384,$E1384,"m"))</f>
        <v/>
      </c>
      <c r="U1384">
        <f>IF(OR($D1384="",$E1384=""),"",$E1384-$D1384)</f>
        <v/>
      </c>
      <c r="V1384">
        <f>IF(OR($G1384="",$T1384=""),"",IF($T1384&lt;24,IF(LEFT(LOWER($H1384),4)="em p",$G1384+0.7,$G1384),IF(LEFT(LOWER($H1384),4)="deit",$G1384-0.7,$G1384)))</f>
        <v/>
      </c>
      <c r="W1384">
        <f>IF(OR($S1384="",$T1384=""),"",$S1384*1000000+IF($T1384&lt;=60,$U1384,$T1384))</f>
        <v/>
      </c>
      <c r="X1384">
        <f>IF(OR($S1384="",$V1384="",$T1384&gt;60,$T1384=""),"",$S1384*1000000+ROUND($V1384*10,0))</f>
        <v/>
      </c>
      <c r="Y1384">
        <f>IF($W1384="","",IFERROR(INDEX(IF($T1384&lt;=60,imc05_l,imc519_l),MATCH($W1384,IF($T1384&lt;=60,imc05_k,imc519_k),1)),""))</f>
        <v/>
      </c>
      <c r="Z1384">
        <f>IF($W1384="","",IFERROR(INDEX(IF($T1384&lt;=60,imc05_m,imc519_m),MATCH($W1384,IF($T1384&lt;=60,imc05_k,imc519_k),1)),""))</f>
        <v/>
      </c>
      <c r="AA1384">
        <f>IF($W1384="","",IFERROR(INDEX(IF($T1384&lt;=60,imc05_s,imc519_s),MATCH($W1384,IF($T1384&lt;=60,imc05_k,imc519_k),1)),""))</f>
        <v/>
      </c>
      <c r="AB1384">
        <f>IF($Y1384="","",IF($Y1384=0,LN($J1384/$Z1384)/$AA1384,((($J1384/$Z1384)^$Y1384)-1)/($Y1384*$AA1384)))</f>
        <v/>
      </c>
      <c r="AC1384">
        <f>IF($Y1384="","",IF($Y1384=0,$Z1384*EXP($AA1384*2),$Z1384*(1+$Y1384*$AA1384*2)^(1/$Y1384)))</f>
        <v/>
      </c>
      <c r="AD1384">
        <f>IF($Y1384="","",IF($Y1384=0,$Z1384*EXP($AA1384*3),$Z1384*(1+$Y1384*$AA1384*3)^(1/$Y1384)))</f>
        <v/>
      </c>
      <c r="AE1384">
        <f>IF($Y1384="","",IF($Y1384=0,$Z1384*EXP($AA1384*-2),$Z1384*(1+$Y1384*$AA1384*-2)^(1/$Y1384)))</f>
        <v/>
      </c>
      <c r="AF1384">
        <f>IF($Y1384="","",IF($Y1384=0,$Z1384*EXP($AA1384*-3),$Z1384*(1+$Y1384*$AA1384*-3)^(1/$Y1384)))</f>
        <v/>
      </c>
      <c r="AG1384">
        <f>IF($W1384="","",IFERROR(INDEX(IF($T1384&lt;=60,est05_l,est519_l),MATCH($W1384,IF($T1384&lt;=60,est05_k,est519_k),1)),""))</f>
        <v/>
      </c>
      <c r="AH1384">
        <f>IF($W1384="","",IFERROR(INDEX(IF($T1384&lt;=60,est05_m,est519_m),MATCH($W1384,IF($T1384&lt;=60,est05_k,est519_k),1)),""))</f>
        <v/>
      </c>
      <c r="AI1384">
        <f>IF($W1384="","",IFERROR(INDEX(IF($T1384&lt;=60,est05_s,est519_s),MATCH($W1384,IF($T1384&lt;=60,est05_k,est519_k),1)),""))</f>
        <v/>
      </c>
      <c r="AJ1384">
        <f>IF($W1384="","",IFERROR(INDEX(IF($T1384&lt;=60,peso05_l,peso510_l),MATCH($W1384,IF($T1384&lt;=60,peso05_k,peso510_k),1)),""))</f>
        <v/>
      </c>
      <c r="AK1384">
        <f>IF($W1384="","",IFERROR(INDEX(IF($T1384&lt;=60,peso05_m,peso510_m),MATCH($W1384,IF($T1384&lt;=60,peso05_k,peso510_k),1)),""))</f>
        <v/>
      </c>
      <c r="AL1384">
        <f>IF($W1384="","",IFERROR(INDEX(IF($T1384&lt;=60,peso05_s,peso510_s),MATCH($W1384,IF($T1384&lt;=60,peso05_k,peso510_k),1)),""))</f>
        <v/>
      </c>
      <c r="AM1384">
        <f>IF($AJ1384="","",IF($AJ1384=0,LN($F1384/$AK1384)/$AL1384,((($F1384/$AK1384)^$AJ1384)-1)/($AJ1384*$AL1384)))</f>
        <v/>
      </c>
      <c r="AN1384">
        <f>IF($AJ1384="","",IF($AJ1384=0,$AK1384*EXP($AL1384*2),$AK1384*(1+$AJ1384*$AL1384*2)^(1/$AJ1384)))</f>
        <v/>
      </c>
      <c r="AO1384">
        <f>IF($AJ1384="","",IF($AJ1384=0,$AK1384*EXP($AL1384*3),$AK1384*(1+$AJ1384*$AL1384*3)^(1/$AJ1384)))</f>
        <v/>
      </c>
      <c r="AP1384">
        <f>IF($AJ1384="","",IF($AJ1384=0,$AK1384*EXP($AL1384*-2),$AK1384*(1+$AJ1384*$AL1384*-2)^(1/$AJ1384)))</f>
        <v/>
      </c>
      <c r="AQ1384">
        <f>IF($AJ1384="","",IF($AJ1384=0,$AK1384*EXP($AL1384*-3),$AK1384*(1+$AJ1384*$AL1384*-3)^(1/$AJ1384)))</f>
        <v/>
      </c>
      <c r="AR1384">
        <f>IF(OR($X1384="",$T1384&gt;60),"",IFERROR(INDEX(IF($T1384&lt;24,pcomp_l,palt_l),MATCH($X1384,IF($T1384&lt;24,pcomp_k,palt_k),1)),""))</f>
        <v/>
      </c>
      <c r="AS1384">
        <f>IF(OR($X1384="",$T1384&gt;60),"",IFERROR(INDEX(IF($T1384&lt;24,pcomp_m,palt_m),MATCH($X1384,IF($T1384&lt;24,pcomp_k,palt_k),1)),""))</f>
        <v/>
      </c>
      <c r="AT1384">
        <f>IF(OR($X1384="",$T1384&gt;60),"",IFERROR(INDEX(IF($T1384&lt;24,pcomp_s,palt_s),MATCH($X1384,IF($T1384&lt;24,pcomp_k,palt_k),1)),""))</f>
        <v/>
      </c>
      <c r="AU1384">
        <f>IF($AR1384="","",IF($AR1384=0,LN($F1384/$AS1384)/$AT1384,((($F1384/$AS1384)^$AR1384)-1)/($AR1384*$AT1384)))</f>
        <v/>
      </c>
      <c r="AV1384">
        <f>IF($AR1384="","",IF($AR1384=0,$AS1384*EXP($AT1384*2),$AS1384*(1+$AR1384*$AT1384*2)^(1/$AR1384)))</f>
        <v/>
      </c>
      <c r="AW1384">
        <f>IF($AR1384="","",IF($AR1384=0,$AS1384*EXP($AT1384*3),$AS1384*(1+$AR1384*$AT1384*3)^(1/$AR1384)))</f>
        <v/>
      </c>
      <c r="AX1384">
        <f>IF($AR1384="","",IF($AR1384=0,$AS1384*EXP($AT1384*-2),$AS1384*(1+$AR1384*$AT1384*-2)^(1/$AR1384)))</f>
        <v/>
      </c>
      <c r="AY1384">
        <f>IF($AR1384="","",IF($AR1384=0,$AS1384*EXP($AT1384*-3),$AS1384*(1+$AR1384*$AT1384*-3)^(1/$AR1384)))</f>
        <v/>
      </c>
      <c r="AZ1384">
        <f>IF(OR($A1384="",$A1384&lt;&gt;Ficha!$C$4),"",COUNTIF($A$2:$A1384,Ficha!$C$4))</f>
        <v/>
      </c>
    </row>
    <row r="1385">
      <c r="A1385" s="8">
        <f>IF(INDEX(Banco!$A:$A,ROW())="","",INDEX(Banco!$A:$A,ROW()))</f>
        <v/>
      </c>
      <c r="B1385" s="8">
        <f>IF(INDEX(Banco!$B:$B,ROW())="","",INDEX(Banco!$B:$B,ROW()))</f>
        <v/>
      </c>
      <c r="C1385" s="8">
        <f>IF(INDEX(Banco!$C:$C,ROW())="","",INDEX(Banco!$C:$C,ROW()))</f>
        <v/>
      </c>
      <c r="D1385" s="9">
        <f>IF(INDEX(Banco!$D:$D,ROW())="","",INDEX(Banco!$D:$D,ROW()))</f>
        <v/>
      </c>
      <c r="E1385" s="9">
        <f>IF(INDEX(Banco!$E:$E,ROW())="","",INDEX(Banco!$E:$E,ROW()))</f>
        <v/>
      </c>
      <c r="F1385" s="10">
        <f>IF(INDEX(Banco!$F:$F,ROW())="","",INDEX(Banco!$F:$F,ROW()))</f>
        <v/>
      </c>
      <c r="G1385" s="10">
        <f>IF(INDEX(Banco!$G:$G,ROW())="","",INDEX(Banco!$G:$G,ROW()))</f>
        <v/>
      </c>
      <c r="H1385" s="8">
        <f>IF(INDEX(Banco!$H:$H,ROW())="","",INDEX(Banco!$H:$H,ROW()))</f>
        <v/>
      </c>
      <c r="I1385">
        <f>IF($T1385="","",INT($T1385/12)&amp;"a "&amp;MOD($T1385,12)&amp;"m")</f>
        <v/>
      </c>
      <c r="J1385" s="11">
        <f>IF(OR($F1385="",$G1385=""),"",ROUND($F1385/($G1385/100)^2,2))</f>
        <v/>
      </c>
      <c r="K1385" s="12">
        <f>IF(OR($S1385="",$J1385="",$T1385="",$T1385&lt;0,$T1385&gt;228,$Y1385=""),"—",ROUND(IF(ABS($AB1385)&lt;=3,$AB1385,IF($AB1385&gt;3,3+($J1385-$AD1385)/($AD1385-$AC1385),-3+($J1385-$AF1385)/($AE1385-$AF1385))),2))</f>
        <v/>
      </c>
      <c r="L1385">
        <f>IF(OR($K1385="",$K1385="—"),"",IF($T1385&lt;=60,IF($K1385&lt;-3,"Magreza acentuada",IF($K1385&lt;-2,"Magreza",IF($K1385&lt;=1,"Eutrofia",IF($K1385&lt;=2,"Risco de sobrepeso",IF($K1385&lt;=3,"Sobrepeso","Obesidade"))))),IF($K1385&lt;-3,"Magreza acentuada",IF($K1385&lt;-2,"Magreza",IF($K1385&lt;=1,"Eutrofia",IF($K1385&lt;=2,"Sobrepeso",IF($K1385&lt;=3,"Obesidade","Obesidade grave")))))))</f>
        <v/>
      </c>
      <c r="M1385" s="12">
        <f>IF(OR($S1385="",$V1385="",$T1385="",$T1385&lt;0,$T1385&gt;228,$AG1385=""),"—",ROUND(IF($AG1385=0,LN($V1385/$AH1385)/$AI1385,((($V1385/$AH1385)^$AG1385)-1)/($AG1385*$AI1385)),2))</f>
        <v/>
      </c>
      <c r="N1385">
        <f>IF(OR($M1385="",$M1385="—"),"",IF($M1385&lt;-3,"Muito baixa",IF($M1385&lt;-2,"Baixa","Adequada")))</f>
        <v/>
      </c>
      <c r="O1385" s="12">
        <f>IF(OR($S1385="",$F1385="",$T1385="",$T1385&lt;0,$T1385&gt;120,$AJ1385=""),"—",ROUND(IF(ABS($AM1385)&lt;=3,$AM1385,IF($AM1385&gt;3,3+($F1385-$AO1385)/($AO1385-$AN1385),-3+($F1385-$AQ1385)/($AP1385-$AQ1385))),2))</f>
        <v/>
      </c>
      <c r="P1385">
        <f>IF(OR($O1385="",$O1385="—"),"",IF($O1385&lt;-3,"Muito baixo",IF($O1385&lt;-2,"Baixo",IF($O1385&lt;=2,"Adequado","Elevado"))))</f>
        <v/>
      </c>
      <c r="Q1385" s="12">
        <f>IF(OR($S1385="",$F1385="",$T1385="",$T1385&lt;0,$T1385&gt;60,$AR1385=""),"—",ROUND(IF(ABS($AU1385)&lt;=3,$AU1385,IF($AU1385&gt;3,3+($F1385-$AW1385)/($AW1385-$AV1385),-3+($F1385-$AY1385)/($AX1385-$AY1385))),2))</f>
        <v/>
      </c>
      <c r="R1385">
        <f>IF(OR($Q1385="",$Q1385="—"),"",IF($Q1385&lt;-3,"Magreza acentuada",IF($Q1385&lt;-2,"Magreza",IF($Q1385&lt;=1,"Eutrofia",IF($Q1385&lt;=2,"Risco de sobrepeso",IF($Q1385&lt;=3,"Sobrepeso","Obesidade"))))))</f>
        <v/>
      </c>
      <c r="S1385">
        <f>IF($C1385="","",IF(UPPER(LEFT($C1385,1))="M",1,IF(UPPER(LEFT($C1385,1))="F",2,"")))</f>
        <v/>
      </c>
      <c r="T1385">
        <f>IF(OR($D1385="",$E1385=""),"",DATEDIF($D1385,$E1385,"m"))</f>
        <v/>
      </c>
      <c r="U1385">
        <f>IF(OR($D1385="",$E1385=""),"",$E1385-$D1385)</f>
        <v/>
      </c>
      <c r="V1385">
        <f>IF(OR($G1385="",$T1385=""),"",IF($T1385&lt;24,IF(LEFT(LOWER($H1385),4)="em p",$G1385+0.7,$G1385),IF(LEFT(LOWER($H1385),4)="deit",$G1385-0.7,$G1385)))</f>
        <v/>
      </c>
      <c r="W1385">
        <f>IF(OR($S1385="",$T1385=""),"",$S1385*1000000+IF($T1385&lt;=60,$U1385,$T1385))</f>
        <v/>
      </c>
      <c r="X1385">
        <f>IF(OR($S1385="",$V1385="",$T1385&gt;60,$T1385=""),"",$S1385*1000000+ROUND($V1385*10,0))</f>
        <v/>
      </c>
      <c r="Y1385">
        <f>IF($W1385="","",IFERROR(INDEX(IF($T1385&lt;=60,imc05_l,imc519_l),MATCH($W1385,IF($T1385&lt;=60,imc05_k,imc519_k),1)),""))</f>
        <v/>
      </c>
      <c r="Z1385">
        <f>IF($W1385="","",IFERROR(INDEX(IF($T1385&lt;=60,imc05_m,imc519_m),MATCH($W1385,IF($T1385&lt;=60,imc05_k,imc519_k),1)),""))</f>
        <v/>
      </c>
      <c r="AA1385">
        <f>IF($W1385="","",IFERROR(INDEX(IF($T1385&lt;=60,imc05_s,imc519_s),MATCH($W1385,IF($T1385&lt;=60,imc05_k,imc519_k),1)),""))</f>
        <v/>
      </c>
      <c r="AB1385">
        <f>IF($Y1385="","",IF($Y1385=0,LN($J1385/$Z1385)/$AA1385,((($J1385/$Z1385)^$Y1385)-1)/($Y1385*$AA1385)))</f>
        <v/>
      </c>
      <c r="AC1385">
        <f>IF($Y1385="","",IF($Y1385=0,$Z1385*EXP($AA1385*2),$Z1385*(1+$Y1385*$AA1385*2)^(1/$Y1385)))</f>
        <v/>
      </c>
      <c r="AD1385">
        <f>IF($Y1385="","",IF($Y1385=0,$Z1385*EXP($AA1385*3),$Z1385*(1+$Y1385*$AA1385*3)^(1/$Y1385)))</f>
        <v/>
      </c>
      <c r="AE1385">
        <f>IF($Y1385="","",IF($Y1385=0,$Z1385*EXP($AA1385*-2),$Z1385*(1+$Y1385*$AA1385*-2)^(1/$Y1385)))</f>
        <v/>
      </c>
      <c r="AF1385">
        <f>IF($Y1385="","",IF($Y1385=0,$Z1385*EXP($AA1385*-3),$Z1385*(1+$Y1385*$AA1385*-3)^(1/$Y1385)))</f>
        <v/>
      </c>
      <c r="AG1385">
        <f>IF($W1385="","",IFERROR(INDEX(IF($T1385&lt;=60,est05_l,est519_l),MATCH($W1385,IF($T1385&lt;=60,est05_k,est519_k),1)),""))</f>
        <v/>
      </c>
      <c r="AH1385">
        <f>IF($W1385="","",IFERROR(INDEX(IF($T1385&lt;=60,est05_m,est519_m),MATCH($W1385,IF($T1385&lt;=60,est05_k,est519_k),1)),""))</f>
        <v/>
      </c>
      <c r="AI1385">
        <f>IF($W1385="","",IFERROR(INDEX(IF($T1385&lt;=60,est05_s,est519_s),MATCH($W1385,IF($T1385&lt;=60,est05_k,est519_k),1)),""))</f>
        <v/>
      </c>
      <c r="AJ1385">
        <f>IF($W1385="","",IFERROR(INDEX(IF($T1385&lt;=60,peso05_l,peso510_l),MATCH($W1385,IF($T1385&lt;=60,peso05_k,peso510_k),1)),""))</f>
        <v/>
      </c>
      <c r="AK1385">
        <f>IF($W1385="","",IFERROR(INDEX(IF($T1385&lt;=60,peso05_m,peso510_m),MATCH($W1385,IF($T1385&lt;=60,peso05_k,peso510_k),1)),""))</f>
        <v/>
      </c>
      <c r="AL1385">
        <f>IF($W1385="","",IFERROR(INDEX(IF($T1385&lt;=60,peso05_s,peso510_s),MATCH($W1385,IF($T1385&lt;=60,peso05_k,peso510_k),1)),""))</f>
        <v/>
      </c>
      <c r="AM1385">
        <f>IF($AJ1385="","",IF($AJ1385=0,LN($F1385/$AK1385)/$AL1385,((($F1385/$AK1385)^$AJ1385)-1)/($AJ1385*$AL1385)))</f>
        <v/>
      </c>
      <c r="AN1385">
        <f>IF($AJ1385="","",IF($AJ1385=0,$AK1385*EXP($AL1385*2),$AK1385*(1+$AJ1385*$AL1385*2)^(1/$AJ1385)))</f>
        <v/>
      </c>
      <c r="AO1385">
        <f>IF($AJ1385="","",IF($AJ1385=0,$AK1385*EXP($AL1385*3),$AK1385*(1+$AJ1385*$AL1385*3)^(1/$AJ1385)))</f>
        <v/>
      </c>
      <c r="AP1385">
        <f>IF($AJ1385="","",IF($AJ1385=0,$AK1385*EXP($AL1385*-2),$AK1385*(1+$AJ1385*$AL1385*-2)^(1/$AJ1385)))</f>
        <v/>
      </c>
      <c r="AQ1385">
        <f>IF($AJ1385="","",IF($AJ1385=0,$AK1385*EXP($AL1385*-3),$AK1385*(1+$AJ1385*$AL1385*-3)^(1/$AJ1385)))</f>
        <v/>
      </c>
      <c r="AR1385">
        <f>IF(OR($X1385="",$T1385&gt;60),"",IFERROR(INDEX(IF($T1385&lt;24,pcomp_l,palt_l),MATCH($X1385,IF($T1385&lt;24,pcomp_k,palt_k),1)),""))</f>
        <v/>
      </c>
      <c r="AS1385">
        <f>IF(OR($X1385="",$T1385&gt;60),"",IFERROR(INDEX(IF($T1385&lt;24,pcomp_m,palt_m),MATCH($X1385,IF($T1385&lt;24,pcomp_k,palt_k),1)),""))</f>
        <v/>
      </c>
      <c r="AT1385">
        <f>IF(OR($X1385="",$T1385&gt;60),"",IFERROR(INDEX(IF($T1385&lt;24,pcomp_s,palt_s),MATCH($X1385,IF($T1385&lt;24,pcomp_k,palt_k),1)),""))</f>
        <v/>
      </c>
      <c r="AU1385">
        <f>IF($AR1385="","",IF($AR1385=0,LN($F1385/$AS1385)/$AT1385,((($F1385/$AS1385)^$AR1385)-1)/($AR1385*$AT1385)))</f>
        <v/>
      </c>
      <c r="AV1385">
        <f>IF($AR1385="","",IF($AR1385=0,$AS1385*EXP($AT1385*2),$AS1385*(1+$AR1385*$AT1385*2)^(1/$AR1385)))</f>
        <v/>
      </c>
      <c r="AW1385">
        <f>IF($AR1385="","",IF($AR1385=0,$AS1385*EXP($AT1385*3),$AS1385*(1+$AR1385*$AT1385*3)^(1/$AR1385)))</f>
        <v/>
      </c>
      <c r="AX1385">
        <f>IF($AR1385="","",IF($AR1385=0,$AS1385*EXP($AT1385*-2),$AS1385*(1+$AR1385*$AT1385*-2)^(1/$AR1385)))</f>
        <v/>
      </c>
      <c r="AY1385">
        <f>IF($AR1385="","",IF($AR1385=0,$AS1385*EXP($AT1385*-3),$AS1385*(1+$AR1385*$AT1385*-3)^(1/$AR1385)))</f>
        <v/>
      </c>
      <c r="AZ1385">
        <f>IF(OR($A1385="",$A1385&lt;&gt;Ficha!$C$4),"",COUNTIF($A$2:$A1385,Ficha!$C$4))</f>
        <v/>
      </c>
    </row>
    <row r="1386">
      <c r="A1386" s="8">
        <f>IF(INDEX(Banco!$A:$A,ROW())="","",INDEX(Banco!$A:$A,ROW()))</f>
        <v/>
      </c>
      <c r="B1386" s="8">
        <f>IF(INDEX(Banco!$B:$B,ROW())="","",INDEX(Banco!$B:$B,ROW()))</f>
        <v/>
      </c>
      <c r="C1386" s="8">
        <f>IF(INDEX(Banco!$C:$C,ROW())="","",INDEX(Banco!$C:$C,ROW()))</f>
        <v/>
      </c>
      <c r="D1386" s="9">
        <f>IF(INDEX(Banco!$D:$D,ROW())="","",INDEX(Banco!$D:$D,ROW()))</f>
        <v/>
      </c>
      <c r="E1386" s="9">
        <f>IF(INDEX(Banco!$E:$E,ROW())="","",INDEX(Banco!$E:$E,ROW()))</f>
        <v/>
      </c>
      <c r="F1386" s="10">
        <f>IF(INDEX(Banco!$F:$F,ROW())="","",INDEX(Banco!$F:$F,ROW()))</f>
        <v/>
      </c>
      <c r="G1386" s="10">
        <f>IF(INDEX(Banco!$G:$G,ROW())="","",INDEX(Banco!$G:$G,ROW()))</f>
        <v/>
      </c>
      <c r="H1386" s="8">
        <f>IF(INDEX(Banco!$H:$H,ROW())="","",INDEX(Banco!$H:$H,ROW()))</f>
        <v/>
      </c>
      <c r="I1386">
        <f>IF($T1386="","",INT($T1386/12)&amp;"a "&amp;MOD($T1386,12)&amp;"m")</f>
        <v/>
      </c>
      <c r="J1386" s="11">
        <f>IF(OR($F1386="",$G1386=""),"",ROUND($F1386/($G1386/100)^2,2))</f>
        <v/>
      </c>
      <c r="K1386" s="12">
        <f>IF(OR($S1386="",$J1386="",$T1386="",$T1386&lt;0,$T1386&gt;228,$Y1386=""),"—",ROUND(IF(ABS($AB1386)&lt;=3,$AB1386,IF($AB1386&gt;3,3+($J1386-$AD1386)/($AD1386-$AC1386),-3+($J1386-$AF1386)/($AE1386-$AF1386))),2))</f>
        <v/>
      </c>
      <c r="L1386">
        <f>IF(OR($K1386="",$K1386="—"),"",IF($T1386&lt;=60,IF($K1386&lt;-3,"Magreza acentuada",IF($K1386&lt;-2,"Magreza",IF($K1386&lt;=1,"Eutrofia",IF($K1386&lt;=2,"Risco de sobrepeso",IF($K1386&lt;=3,"Sobrepeso","Obesidade"))))),IF($K1386&lt;-3,"Magreza acentuada",IF($K1386&lt;-2,"Magreza",IF($K1386&lt;=1,"Eutrofia",IF($K1386&lt;=2,"Sobrepeso",IF($K1386&lt;=3,"Obesidade","Obesidade grave")))))))</f>
        <v/>
      </c>
      <c r="M1386" s="12">
        <f>IF(OR($S1386="",$V1386="",$T1386="",$T1386&lt;0,$T1386&gt;228,$AG1386=""),"—",ROUND(IF($AG1386=0,LN($V1386/$AH1386)/$AI1386,((($V1386/$AH1386)^$AG1386)-1)/($AG1386*$AI1386)),2))</f>
        <v/>
      </c>
      <c r="N1386">
        <f>IF(OR($M1386="",$M1386="—"),"",IF($M1386&lt;-3,"Muito baixa",IF($M1386&lt;-2,"Baixa","Adequada")))</f>
        <v/>
      </c>
      <c r="O1386" s="12">
        <f>IF(OR($S1386="",$F1386="",$T1386="",$T1386&lt;0,$T1386&gt;120,$AJ1386=""),"—",ROUND(IF(ABS($AM1386)&lt;=3,$AM1386,IF($AM1386&gt;3,3+($F1386-$AO1386)/($AO1386-$AN1386),-3+($F1386-$AQ1386)/($AP1386-$AQ1386))),2))</f>
        <v/>
      </c>
      <c r="P1386">
        <f>IF(OR($O1386="",$O1386="—"),"",IF($O1386&lt;-3,"Muito baixo",IF($O1386&lt;-2,"Baixo",IF($O1386&lt;=2,"Adequado","Elevado"))))</f>
        <v/>
      </c>
      <c r="Q1386" s="12">
        <f>IF(OR($S1386="",$F1386="",$T1386="",$T1386&lt;0,$T1386&gt;60,$AR1386=""),"—",ROUND(IF(ABS($AU1386)&lt;=3,$AU1386,IF($AU1386&gt;3,3+($F1386-$AW1386)/($AW1386-$AV1386),-3+($F1386-$AY1386)/($AX1386-$AY1386))),2))</f>
        <v/>
      </c>
      <c r="R1386">
        <f>IF(OR($Q1386="",$Q1386="—"),"",IF($Q1386&lt;-3,"Magreza acentuada",IF($Q1386&lt;-2,"Magreza",IF($Q1386&lt;=1,"Eutrofia",IF($Q1386&lt;=2,"Risco de sobrepeso",IF($Q1386&lt;=3,"Sobrepeso","Obesidade"))))))</f>
        <v/>
      </c>
      <c r="S1386">
        <f>IF($C1386="","",IF(UPPER(LEFT($C1386,1))="M",1,IF(UPPER(LEFT($C1386,1))="F",2,"")))</f>
        <v/>
      </c>
      <c r="T1386">
        <f>IF(OR($D1386="",$E1386=""),"",DATEDIF($D1386,$E1386,"m"))</f>
        <v/>
      </c>
      <c r="U1386">
        <f>IF(OR($D1386="",$E1386=""),"",$E1386-$D1386)</f>
        <v/>
      </c>
      <c r="V1386">
        <f>IF(OR($G1386="",$T1386=""),"",IF($T1386&lt;24,IF(LEFT(LOWER($H1386),4)="em p",$G1386+0.7,$G1386),IF(LEFT(LOWER($H1386),4)="deit",$G1386-0.7,$G1386)))</f>
        <v/>
      </c>
      <c r="W1386">
        <f>IF(OR($S1386="",$T1386=""),"",$S1386*1000000+IF($T1386&lt;=60,$U1386,$T1386))</f>
        <v/>
      </c>
      <c r="X1386">
        <f>IF(OR($S1386="",$V1386="",$T1386&gt;60,$T1386=""),"",$S1386*1000000+ROUND($V1386*10,0))</f>
        <v/>
      </c>
      <c r="Y1386">
        <f>IF($W1386="","",IFERROR(INDEX(IF($T1386&lt;=60,imc05_l,imc519_l),MATCH($W1386,IF($T1386&lt;=60,imc05_k,imc519_k),1)),""))</f>
        <v/>
      </c>
      <c r="Z1386">
        <f>IF($W1386="","",IFERROR(INDEX(IF($T1386&lt;=60,imc05_m,imc519_m),MATCH($W1386,IF($T1386&lt;=60,imc05_k,imc519_k),1)),""))</f>
        <v/>
      </c>
      <c r="AA1386">
        <f>IF($W1386="","",IFERROR(INDEX(IF($T1386&lt;=60,imc05_s,imc519_s),MATCH($W1386,IF($T1386&lt;=60,imc05_k,imc519_k),1)),""))</f>
        <v/>
      </c>
      <c r="AB1386">
        <f>IF($Y1386="","",IF($Y1386=0,LN($J1386/$Z1386)/$AA1386,((($J1386/$Z1386)^$Y1386)-1)/($Y1386*$AA1386)))</f>
        <v/>
      </c>
      <c r="AC1386">
        <f>IF($Y1386="","",IF($Y1386=0,$Z1386*EXP($AA1386*2),$Z1386*(1+$Y1386*$AA1386*2)^(1/$Y1386)))</f>
        <v/>
      </c>
      <c r="AD1386">
        <f>IF($Y1386="","",IF($Y1386=0,$Z1386*EXP($AA1386*3),$Z1386*(1+$Y1386*$AA1386*3)^(1/$Y1386)))</f>
        <v/>
      </c>
      <c r="AE1386">
        <f>IF($Y1386="","",IF($Y1386=0,$Z1386*EXP($AA1386*-2),$Z1386*(1+$Y1386*$AA1386*-2)^(1/$Y1386)))</f>
        <v/>
      </c>
      <c r="AF1386">
        <f>IF($Y1386="","",IF($Y1386=0,$Z1386*EXP($AA1386*-3),$Z1386*(1+$Y1386*$AA1386*-3)^(1/$Y1386)))</f>
        <v/>
      </c>
      <c r="AG1386">
        <f>IF($W1386="","",IFERROR(INDEX(IF($T1386&lt;=60,est05_l,est519_l),MATCH($W1386,IF($T1386&lt;=60,est05_k,est519_k),1)),""))</f>
        <v/>
      </c>
      <c r="AH1386">
        <f>IF($W1386="","",IFERROR(INDEX(IF($T1386&lt;=60,est05_m,est519_m),MATCH($W1386,IF($T1386&lt;=60,est05_k,est519_k),1)),""))</f>
        <v/>
      </c>
      <c r="AI1386">
        <f>IF($W1386="","",IFERROR(INDEX(IF($T1386&lt;=60,est05_s,est519_s),MATCH($W1386,IF($T1386&lt;=60,est05_k,est519_k),1)),""))</f>
        <v/>
      </c>
      <c r="AJ1386">
        <f>IF($W1386="","",IFERROR(INDEX(IF($T1386&lt;=60,peso05_l,peso510_l),MATCH($W1386,IF($T1386&lt;=60,peso05_k,peso510_k),1)),""))</f>
        <v/>
      </c>
      <c r="AK1386">
        <f>IF($W1386="","",IFERROR(INDEX(IF($T1386&lt;=60,peso05_m,peso510_m),MATCH($W1386,IF($T1386&lt;=60,peso05_k,peso510_k),1)),""))</f>
        <v/>
      </c>
      <c r="AL1386">
        <f>IF($W1386="","",IFERROR(INDEX(IF($T1386&lt;=60,peso05_s,peso510_s),MATCH($W1386,IF($T1386&lt;=60,peso05_k,peso510_k),1)),""))</f>
        <v/>
      </c>
      <c r="AM1386">
        <f>IF($AJ1386="","",IF($AJ1386=0,LN($F1386/$AK1386)/$AL1386,((($F1386/$AK1386)^$AJ1386)-1)/($AJ1386*$AL1386)))</f>
        <v/>
      </c>
      <c r="AN1386">
        <f>IF($AJ1386="","",IF($AJ1386=0,$AK1386*EXP($AL1386*2),$AK1386*(1+$AJ1386*$AL1386*2)^(1/$AJ1386)))</f>
        <v/>
      </c>
      <c r="AO1386">
        <f>IF($AJ1386="","",IF($AJ1386=0,$AK1386*EXP($AL1386*3),$AK1386*(1+$AJ1386*$AL1386*3)^(1/$AJ1386)))</f>
        <v/>
      </c>
      <c r="AP1386">
        <f>IF($AJ1386="","",IF($AJ1386=0,$AK1386*EXP($AL1386*-2),$AK1386*(1+$AJ1386*$AL1386*-2)^(1/$AJ1386)))</f>
        <v/>
      </c>
      <c r="AQ1386">
        <f>IF($AJ1386="","",IF($AJ1386=0,$AK1386*EXP($AL1386*-3),$AK1386*(1+$AJ1386*$AL1386*-3)^(1/$AJ1386)))</f>
        <v/>
      </c>
      <c r="AR1386">
        <f>IF(OR($X1386="",$T1386&gt;60),"",IFERROR(INDEX(IF($T1386&lt;24,pcomp_l,palt_l),MATCH($X1386,IF($T1386&lt;24,pcomp_k,palt_k),1)),""))</f>
        <v/>
      </c>
      <c r="AS1386">
        <f>IF(OR($X1386="",$T1386&gt;60),"",IFERROR(INDEX(IF($T1386&lt;24,pcomp_m,palt_m),MATCH($X1386,IF($T1386&lt;24,pcomp_k,palt_k),1)),""))</f>
        <v/>
      </c>
      <c r="AT1386">
        <f>IF(OR($X1386="",$T1386&gt;60),"",IFERROR(INDEX(IF($T1386&lt;24,pcomp_s,palt_s),MATCH($X1386,IF($T1386&lt;24,pcomp_k,palt_k),1)),""))</f>
        <v/>
      </c>
      <c r="AU1386">
        <f>IF($AR1386="","",IF($AR1386=0,LN($F1386/$AS1386)/$AT1386,((($F1386/$AS1386)^$AR1386)-1)/($AR1386*$AT1386)))</f>
        <v/>
      </c>
      <c r="AV1386">
        <f>IF($AR1386="","",IF($AR1386=0,$AS1386*EXP($AT1386*2),$AS1386*(1+$AR1386*$AT1386*2)^(1/$AR1386)))</f>
        <v/>
      </c>
      <c r="AW1386">
        <f>IF($AR1386="","",IF($AR1386=0,$AS1386*EXP($AT1386*3),$AS1386*(1+$AR1386*$AT1386*3)^(1/$AR1386)))</f>
        <v/>
      </c>
      <c r="AX1386">
        <f>IF($AR1386="","",IF($AR1386=0,$AS1386*EXP($AT1386*-2),$AS1386*(1+$AR1386*$AT1386*-2)^(1/$AR1386)))</f>
        <v/>
      </c>
      <c r="AY1386">
        <f>IF($AR1386="","",IF($AR1386=0,$AS1386*EXP($AT1386*-3),$AS1386*(1+$AR1386*$AT1386*-3)^(1/$AR1386)))</f>
        <v/>
      </c>
      <c r="AZ1386">
        <f>IF(OR($A1386="",$A1386&lt;&gt;Ficha!$C$4),"",COUNTIF($A$2:$A1386,Ficha!$C$4))</f>
        <v/>
      </c>
    </row>
    <row r="1387">
      <c r="A1387" s="8">
        <f>IF(INDEX(Banco!$A:$A,ROW())="","",INDEX(Banco!$A:$A,ROW()))</f>
        <v/>
      </c>
      <c r="B1387" s="8">
        <f>IF(INDEX(Banco!$B:$B,ROW())="","",INDEX(Banco!$B:$B,ROW()))</f>
        <v/>
      </c>
      <c r="C1387" s="8">
        <f>IF(INDEX(Banco!$C:$C,ROW())="","",INDEX(Banco!$C:$C,ROW()))</f>
        <v/>
      </c>
      <c r="D1387" s="9">
        <f>IF(INDEX(Banco!$D:$D,ROW())="","",INDEX(Banco!$D:$D,ROW()))</f>
        <v/>
      </c>
      <c r="E1387" s="9">
        <f>IF(INDEX(Banco!$E:$E,ROW())="","",INDEX(Banco!$E:$E,ROW()))</f>
        <v/>
      </c>
      <c r="F1387" s="10">
        <f>IF(INDEX(Banco!$F:$F,ROW())="","",INDEX(Banco!$F:$F,ROW()))</f>
        <v/>
      </c>
      <c r="G1387" s="10">
        <f>IF(INDEX(Banco!$G:$G,ROW())="","",INDEX(Banco!$G:$G,ROW()))</f>
        <v/>
      </c>
      <c r="H1387" s="8">
        <f>IF(INDEX(Banco!$H:$H,ROW())="","",INDEX(Banco!$H:$H,ROW()))</f>
        <v/>
      </c>
      <c r="I1387">
        <f>IF($T1387="","",INT($T1387/12)&amp;"a "&amp;MOD($T1387,12)&amp;"m")</f>
        <v/>
      </c>
      <c r="J1387" s="11">
        <f>IF(OR($F1387="",$G1387=""),"",ROUND($F1387/($G1387/100)^2,2))</f>
        <v/>
      </c>
      <c r="K1387" s="12">
        <f>IF(OR($S1387="",$J1387="",$T1387="",$T1387&lt;0,$T1387&gt;228,$Y1387=""),"—",ROUND(IF(ABS($AB1387)&lt;=3,$AB1387,IF($AB1387&gt;3,3+($J1387-$AD1387)/($AD1387-$AC1387),-3+($J1387-$AF1387)/($AE1387-$AF1387))),2))</f>
        <v/>
      </c>
      <c r="L1387">
        <f>IF(OR($K1387="",$K1387="—"),"",IF($T1387&lt;=60,IF($K1387&lt;-3,"Magreza acentuada",IF($K1387&lt;-2,"Magreza",IF($K1387&lt;=1,"Eutrofia",IF($K1387&lt;=2,"Risco de sobrepeso",IF($K1387&lt;=3,"Sobrepeso","Obesidade"))))),IF($K1387&lt;-3,"Magreza acentuada",IF($K1387&lt;-2,"Magreza",IF($K1387&lt;=1,"Eutrofia",IF($K1387&lt;=2,"Sobrepeso",IF($K1387&lt;=3,"Obesidade","Obesidade grave")))))))</f>
        <v/>
      </c>
      <c r="M1387" s="12">
        <f>IF(OR($S1387="",$V1387="",$T1387="",$T1387&lt;0,$T1387&gt;228,$AG1387=""),"—",ROUND(IF($AG1387=0,LN($V1387/$AH1387)/$AI1387,((($V1387/$AH1387)^$AG1387)-1)/($AG1387*$AI1387)),2))</f>
        <v/>
      </c>
      <c r="N1387">
        <f>IF(OR($M1387="",$M1387="—"),"",IF($M1387&lt;-3,"Muito baixa",IF($M1387&lt;-2,"Baixa","Adequada")))</f>
        <v/>
      </c>
      <c r="O1387" s="12">
        <f>IF(OR($S1387="",$F1387="",$T1387="",$T1387&lt;0,$T1387&gt;120,$AJ1387=""),"—",ROUND(IF(ABS($AM1387)&lt;=3,$AM1387,IF($AM1387&gt;3,3+($F1387-$AO1387)/($AO1387-$AN1387),-3+($F1387-$AQ1387)/($AP1387-$AQ1387))),2))</f>
        <v/>
      </c>
      <c r="P1387">
        <f>IF(OR($O1387="",$O1387="—"),"",IF($O1387&lt;-3,"Muito baixo",IF($O1387&lt;-2,"Baixo",IF($O1387&lt;=2,"Adequado","Elevado"))))</f>
        <v/>
      </c>
      <c r="Q1387" s="12">
        <f>IF(OR($S1387="",$F1387="",$T1387="",$T1387&lt;0,$T1387&gt;60,$AR1387=""),"—",ROUND(IF(ABS($AU1387)&lt;=3,$AU1387,IF($AU1387&gt;3,3+($F1387-$AW1387)/($AW1387-$AV1387),-3+($F1387-$AY1387)/($AX1387-$AY1387))),2))</f>
        <v/>
      </c>
      <c r="R1387">
        <f>IF(OR($Q1387="",$Q1387="—"),"",IF($Q1387&lt;-3,"Magreza acentuada",IF($Q1387&lt;-2,"Magreza",IF($Q1387&lt;=1,"Eutrofia",IF($Q1387&lt;=2,"Risco de sobrepeso",IF($Q1387&lt;=3,"Sobrepeso","Obesidade"))))))</f>
        <v/>
      </c>
      <c r="S1387">
        <f>IF($C1387="","",IF(UPPER(LEFT($C1387,1))="M",1,IF(UPPER(LEFT($C1387,1))="F",2,"")))</f>
        <v/>
      </c>
      <c r="T1387">
        <f>IF(OR($D1387="",$E1387=""),"",DATEDIF($D1387,$E1387,"m"))</f>
        <v/>
      </c>
      <c r="U1387">
        <f>IF(OR($D1387="",$E1387=""),"",$E1387-$D1387)</f>
        <v/>
      </c>
      <c r="V1387">
        <f>IF(OR($G1387="",$T1387=""),"",IF($T1387&lt;24,IF(LEFT(LOWER($H1387),4)="em p",$G1387+0.7,$G1387),IF(LEFT(LOWER($H1387),4)="deit",$G1387-0.7,$G1387)))</f>
        <v/>
      </c>
      <c r="W1387">
        <f>IF(OR($S1387="",$T1387=""),"",$S1387*1000000+IF($T1387&lt;=60,$U1387,$T1387))</f>
        <v/>
      </c>
      <c r="X1387">
        <f>IF(OR($S1387="",$V1387="",$T1387&gt;60,$T1387=""),"",$S1387*1000000+ROUND($V1387*10,0))</f>
        <v/>
      </c>
      <c r="Y1387">
        <f>IF($W1387="","",IFERROR(INDEX(IF($T1387&lt;=60,imc05_l,imc519_l),MATCH($W1387,IF($T1387&lt;=60,imc05_k,imc519_k),1)),""))</f>
        <v/>
      </c>
      <c r="Z1387">
        <f>IF($W1387="","",IFERROR(INDEX(IF($T1387&lt;=60,imc05_m,imc519_m),MATCH($W1387,IF($T1387&lt;=60,imc05_k,imc519_k),1)),""))</f>
        <v/>
      </c>
      <c r="AA1387">
        <f>IF($W1387="","",IFERROR(INDEX(IF($T1387&lt;=60,imc05_s,imc519_s),MATCH($W1387,IF($T1387&lt;=60,imc05_k,imc519_k),1)),""))</f>
        <v/>
      </c>
      <c r="AB1387">
        <f>IF($Y1387="","",IF($Y1387=0,LN($J1387/$Z1387)/$AA1387,((($J1387/$Z1387)^$Y1387)-1)/($Y1387*$AA1387)))</f>
        <v/>
      </c>
      <c r="AC1387">
        <f>IF($Y1387="","",IF($Y1387=0,$Z1387*EXP($AA1387*2),$Z1387*(1+$Y1387*$AA1387*2)^(1/$Y1387)))</f>
        <v/>
      </c>
      <c r="AD1387">
        <f>IF($Y1387="","",IF($Y1387=0,$Z1387*EXP($AA1387*3),$Z1387*(1+$Y1387*$AA1387*3)^(1/$Y1387)))</f>
        <v/>
      </c>
      <c r="AE1387">
        <f>IF($Y1387="","",IF($Y1387=0,$Z1387*EXP($AA1387*-2),$Z1387*(1+$Y1387*$AA1387*-2)^(1/$Y1387)))</f>
        <v/>
      </c>
      <c r="AF1387">
        <f>IF($Y1387="","",IF($Y1387=0,$Z1387*EXP($AA1387*-3),$Z1387*(1+$Y1387*$AA1387*-3)^(1/$Y1387)))</f>
        <v/>
      </c>
      <c r="AG1387">
        <f>IF($W1387="","",IFERROR(INDEX(IF($T1387&lt;=60,est05_l,est519_l),MATCH($W1387,IF($T1387&lt;=60,est05_k,est519_k),1)),""))</f>
        <v/>
      </c>
      <c r="AH1387">
        <f>IF($W1387="","",IFERROR(INDEX(IF($T1387&lt;=60,est05_m,est519_m),MATCH($W1387,IF($T1387&lt;=60,est05_k,est519_k),1)),""))</f>
        <v/>
      </c>
      <c r="AI1387">
        <f>IF($W1387="","",IFERROR(INDEX(IF($T1387&lt;=60,est05_s,est519_s),MATCH($W1387,IF($T1387&lt;=60,est05_k,est519_k),1)),""))</f>
        <v/>
      </c>
      <c r="AJ1387">
        <f>IF($W1387="","",IFERROR(INDEX(IF($T1387&lt;=60,peso05_l,peso510_l),MATCH($W1387,IF($T1387&lt;=60,peso05_k,peso510_k),1)),""))</f>
        <v/>
      </c>
      <c r="AK1387">
        <f>IF($W1387="","",IFERROR(INDEX(IF($T1387&lt;=60,peso05_m,peso510_m),MATCH($W1387,IF($T1387&lt;=60,peso05_k,peso510_k),1)),""))</f>
        <v/>
      </c>
      <c r="AL1387">
        <f>IF($W1387="","",IFERROR(INDEX(IF($T1387&lt;=60,peso05_s,peso510_s),MATCH($W1387,IF($T1387&lt;=60,peso05_k,peso510_k),1)),""))</f>
        <v/>
      </c>
      <c r="AM1387">
        <f>IF($AJ1387="","",IF($AJ1387=0,LN($F1387/$AK1387)/$AL1387,((($F1387/$AK1387)^$AJ1387)-1)/($AJ1387*$AL1387)))</f>
        <v/>
      </c>
      <c r="AN1387">
        <f>IF($AJ1387="","",IF($AJ1387=0,$AK1387*EXP($AL1387*2),$AK1387*(1+$AJ1387*$AL1387*2)^(1/$AJ1387)))</f>
        <v/>
      </c>
      <c r="AO1387">
        <f>IF($AJ1387="","",IF($AJ1387=0,$AK1387*EXP($AL1387*3),$AK1387*(1+$AJ1387*$AL1387*3)^(1/$AJ1387)))</f>
        <v/>
      </c>
      <c r="AP1387">
        <f>IF($AJ1387="","",IF($AJ1387=0,$AK1387*EXP($AL1387*-2),$AK1387*(1+$AJ1387*$AL1387*-2)^(1/$AJ1387)))</f>
        <v/>
      </c>
      <c r="AQ1387">
        <f>IF($AJ1387="","",IF($AJ1387=0,$AK1387*EXP($AL1387*-3),$AK1387*(1+$AJ1387*$AL1387*-3)^(1/$AJ1387)))</f>
        <v/>
      </c>
      <c r="AR1387">
        <f>IF(OR($X1387="",$T1387&gt;60),"",IFERROR(INDEX(IF($T1387&lt;24,pcomp_l,palt_l),MATCH($X1387,IF($T1387&lt;24,pcomp_k,palt_k),1)),""))</f>
        <v/>
      </c>
      <c r="AS1387">
        <f>IF(OR($X1387="",$T1387&gt;60),"",IFERROR(INDEX(IF($T1387&lt;24,pcomp_m,palt_m),MATCH($X1387,IF($T1387&lt;24,pcomp_k,palt_k),1)),""))</f>
        <v/>
      </c>
      <c r="AT1387">
        <f>IF(OR($X1387="",$T1387&gt;60),"",IFERROR(INDEX(IF($T1387&lt;24,pcomp_s,palt_s),MATCH($X1387,IF($T1387&lt;24,pcomp_k,palt_k),1)),""))</f>
        <v/>
      </c>
      <c r="AU1387">
        <f>IF($AR1387="","",IF($AR1387=0,LN($F1387/$AS1387)/$AT1387,((($F1387/$AS1387)^$AR1387)-1)/($AR1387*$AT1387)))</f>
        <v/>
      </c>
      <c r="AV1387">
        <f>IF($AR1387="","",IF($AR1387=0,$AS1387*EXP($AT1387*2),$AS1387*(1+$AR1387*$AT1387*2)^(1/$AR1387)))</f>
        <v/>
      </c>
      <c r="AW1387">
        <f>IF($AR1387="","",IF($AR1387=0,$AS1387*EXP($AT1387*3),$AS1387*(1+$AR1387*$AT1387*3)^(1/$AR1387)))</f>
        <v/>
      </c>
      <c r="AX1387">
        <f>IF($AR1387="","",IF($AR1387=0,$AS1387*EXP($AT1387*-2),$AS1387*(1+$AR1387*$AT1387*-2)^(1/$AR1387)))</f>
        <v/>
      </c>
      <c r="AY1387">
        <f>IF($AR1387="","",IF($AR1387=0,$AS1387*EXP($AT1387*-3),$AS1387*(1+$AR1387*$AT1387*-3)^(1/$AR1387)))</f>
        <v/>
      </c>
      <c r="AZ1387">
        <f>IF(OR($A1387="",$A1387&lt;&gt;Ficha!$C$4),"",COUNTIF($A$2:$A1387,Ficha!$C$4))</f>
        <v/>
      </c>
    </row>
    <row r="1388">
      <c r="A1388" s="8">
        <f>IF(INDEX(Banco!$A:$A,ROW())="","",INDEX(Banco!$A:$A,ROW()))</f>
        <v/>
      </c>
      <c r="B1388" s="8">
        <f>IF(INDEX(Banco!$B:$B,ROW())="","",INDEX(Banco!$B:$B,ROW()))</f>
        <v/>
      </c>
      <c r="C1388" s="8">
        <f>IF(INDEX(Banco!$C:$C,ROW())="","",INDEX(Banco!$C:$C,ROW()))</f>
        <v/>
      </c>
      <c r="D1388" s="9">
        <f>IF(INDEX(Banco!$D:$D,ROW())="","",INDEX(Banco!$D:$D,ROW()))</f>
        <v/>
      </c>
      <c r="E1388" s="9">
        <f>IF(INDEX(Banco!$E:$E,ROW())="","",INDEX(Banco!$E:$E,ROW()))</f>
        <v/>
      </c>
      <c r="F1388" s="10">
        <f>IF(INDEX(Banco!$F:$F,ROW())="","",INDEX(Banco!$F:$F,ROW()))</f>
        <v/>
      </c>
      <c r="G1388" s="10">
        <f>IF(INDEX(Banco!$G:$G,ROW())="","",INDEX(Banco!$G:$G,ROW()))</f>
        <v/>
      </c>
      <c r="H1388" s="8">
        <f>IF(INDEX(Banco!$H:$H,ROW())="","",INDEX(Banco!$H:$H,ROW()))</f>
        <v/>
      </c>
      <c r="I1388">
        <f>IF($T1388="","",INT($T1388/12)&amp;"a "&amp;MOD($T1388,12)&amp;"m")</f>
        <v/>
      </c>
      <c r="J1388" s="11">
        <f>IF(OR($F1388="",$G1388=""),"",ROUND($F1388/($G1388/100)^2,2))</f>
        <v/>
      </c>
      <c r="K1388" s="12">
        <f>IF(OR($S1388="",$J1388="",$T1388="",$T1388&lt;0,$T1388&gt;228,$Y1388=""),"—",ROUND(IF(ABS($AB1388)&lt;=3,$AB1388,IF($AB1388&gt;3,3+($J1388-$AD1388)/($AD1388-$AC1388),-3+($J1388-$AF1388)/($AE1388-$AF1388))),2))</f>
        <v/>
      </c>
      <c r="L1388">
        <f>IF(OR($K1388="",$K1388="—"),"",IF($T1388&lt;=60,IF($K1388&lt;-3,"Magreza acentuada",IF($K1388&lt;-2,"Magreza",IF($K1388&lt;=1,"Eutrofia",IF($K1388&lt;=2,"Risco de sobrepeso",IF($K1388&lt;=3,"Sobrepeso","Obesidade"))))),IF($K1388&lt;-3,"Magreza acentuada",IF($K1388&lt;-2,"Magreza",IF($K1388&lt;=1,"Eutrofia",IF($K1388&lt;=2,"Sobrepeso",IF($K1388&lt;=3,"Obesidade","Obesidade grave")))))))</f>
        <v/>
      </c>
      <c r="M1388" s="12">
        <f>IF(OR($S1388="",$V1388="",$T1388="",$T1388&lt;0,$T1388&gt;228,$AG1388=""),"—",ROUND(IF($AG1388=0,LN($V1388/$AH1388)/$AI1388,((($V1388/$AH1388)^$AG1388)-1)/($AG1388*$AI1388)),2))</f>
        <v/>
      </c>
      <c r="N1388">
        <f>IF(OR($M1388="",$M1388="—"),"",IF($M1388&lt;-3,"Muito baixa",IF($M1388&lt;-2,"Baixa","Adequada")))</f>
        <v/>
      </c>
      <c r="O1388" s="12">
        <f>IF(OR($S1388="",$F1388="",$T1388="",$T1388&lt;0,$T1388&gt;120,$AJ1388=""),"—",ROUND(IF(ABS($AM1388)&lt;=3,$AM1388,IF($AM1388&gt;3,3+($F1388-$AO1388)/($AO1388-$AN1388),-3+($F1388-$AQ1388)/($AP1388-$AQ1388))),2))</f>
        <v/>
      </c>
      <c r="P1388">
        <f>IF(OR($O1388="",$O1388="—"),"",IF($O1388&lt;-3,"Muito baixo",IF($O1388&lt;-2,"Baixo",IF($O1388&lt;=2,"Adequado","Elevado"))))</f>
        <v/>
      </c>
      <c r="Q1388" s="12">
        <f>IF(OR($S1388="",$F1388="",$T1388="",$T1388&lt;0,$T1388&gt;60,$AR1388=""),"—",ROUND(IF(ABS($AU1388)&lt;=3,$AU1388,IF($AU1388&gt;3,3+($F1388-$AW1388)/($AW1388-$AV1388),-3+($F1388-$AY1388)/($AX1388-$AY1388))),2))</f>
        <v/>
      </c>
      <c r="R1388">
        <f>IF(OR($Q1388="",$Q1388="—"),"",IF($Q1388&lt;-3,"Magreza acentuada",IF($Q1388&lt;-2,"Magreza",IF($Q1388&lt;=1,"Eutrofia",IF($Q1388&lt;=2,"Risco de sobrepeso",IF($Q1388&lt;=3,"Sobrepeso","Obesidade"))))))</f>
        <v/>
      </c>
      <c r="S1388">
        <f>IF($C1388="","",IF(UPPER(LEFT($C1388,1))="M",1,IF(UPPER(LEFT($C1388,1))="F",2,"")))</f>
        <v/>
      </c>
      <c r="T1388">
        <f>IF(OR($D1388="",$E1388=""),"",DATEDIF($D1388,$E1388,"m"))</f>
        <v/>
      </c>
      <c r="U1388">
        <f>IF(OR($D1388="",$E1388=""),"",$E1388-$D1388)</f>
        <v/>
      </c>
      <c r="V1388">
        <f>IF(OR($G1388="",$T1388=""),"",IF($T1388&lt;24,IF(LEFT(LOWER($H1388),4)="em p",$G1388+0.7,$G1388),IF(LEFT(LOWER($H1388),4)="deit",$G1388-0.7,$G1388)))</f>
        <v/>
      </c>
      <c r="W1388">
        <f>IF(OR($S1388="",$T1388=""),"",$S1388*1000000+IF($T1388&lt;=60,$U1388,$T1388))</f>
        <v/>
      </c>
      <c r="X1388">
        <f>IF(OR($S1388="",$V1388="",$T1388&gt;60,$T1388=""),"",$S1388*1000000+ROUND($V1388*10,0))</f>
        <v/>
      </c>
      <c r="Y1388">
        <f>IF($W1388="","",IFERROR(INDEX(IF($T1388&lt;=60,imc05_l,imc519_l),MATCH($W1388,IF($T1388&lt;=60,imc05_k,imc519_k),1)),""))</f>
        <v/>
      </c>
      <c r="Z1388">
        <f>IF($W1388="","",IFERROR(INDEX(IF($T1388&lt;=60,imc05_m,imc519_m),MATCH($W1388,IF($T1388&lt;=60,imc05_k,imc519_k),1)),""))</f>
        <v/>
      </c>
      <c r="AA1388">
        <f>IF($W1388="","",IFERROR(INDEX(IF($T1388&lt;=60,imc05_s,imc519_s),MATCH($W1388,IF($T1388&lt;=60,imc05_k,imc519_k),1)),""))</f>
        <v/>
      </c>
      <c r="AB1388">
        <f>IF($Y1388="","",IF($Y1388=0,LN($J1388/$Z1388)/$AA1388,((($J1388/$Z1388)^$Y1388)-1)/($Y1388*$AA1388)))</f>
        <v/>
      </c>
      <c r="AC1388">
        <f>IF($Y1388="","",IF($Y1388=0,$Z1388*EXP($AA1388*2),$Z1388*(1+$Y1388*$AA1388*2)^(1/$Y1388)))</f>
        <v/>
      </c>
      <c r="AD1388">
        <f>IF($Y1388="","",IF($Y1388=0,$Z1388*EXP($AA1388*3),$Z1388*(1+$Y1388*$AA1388*3)^(1/$Y1388)))</f>
        <v/>
      </c>
      <c r="AE1388">
        <f>IF($Y1388="","",IF($Y1388=0,$Z1388*EXP($AA1388*-2),$Z1388*(1+$Y1388*$AA1388*-2)^(1/$Y1388)))</f>
        <v/>
      </c>
      <c r="AF1388">
        <f>IF($Y1388="","",IF($Y1388=0,$Z1388*EXP($AA1388*-3),$Z1388*(1+$Y1388*$AA1388*-3)^(1/$Y1388)))</f>
        <v/>
      </c>
      <c r="AG1388">
        <f>IF($W1388="","",IFERROR(INDEX(IF($T1388&lt;=60,est05_l,est519_l),MATCH($W1388,IF($T1388&lt;=60,est05_k,est519_k),1)),""))</f>
        <v/>
      </c>
      <c r="AH1388">
        <f>IF($W1388="","",IFERROR(INDEX(IF($T1388&lt;=60,est05_m,est519_m),MATCH($W1388,IF($T1388&lt;=60,est05_k,est519_k),1)),""))</f>
        <v/>
      </c>
      <c r="AI1388">
        <f>IF($W1388="","",IFERROR(INDEX(IF($T1388&lt;=60,est05_s,est519_s),MATCH($W1388,IF($T1388&lt;=60,est05_k,est519_k),1)),""))</f>
        <v/>
      </c>
      <c r="AJ1388">
        <f>IF($W1388="","",IFERROR(INDEX(IF($T1388&lt;=60,peso05_l,peso510_l),MATCH($W1388,IF($T1388&lt;=60,peso05_k,peso510_k),1)),""))</f>
        <v/>
      </c>
      <c r="AK1388">
        <f>IF($W1388="","",IFERROR(INDEX(IF($T1388&lt;=60,peso05_m,peso510_m),MATCH($W1388,IF($T1388&lt;=60,peso05_k,peso510_k),1)),""))</f>
        <v/>
      </c>
      <c r="AL1388">
        <f>IF($W1388="","",IFERROR(INDEX(IF($T1388&lt;=60,peso05_s,peso510_s),MATCH($W1388,IF($T1388&lt;=60,peso05_k,peso510_k),1)),""))</f>
        <v/>
      </c>
      <c r="AM1388">
        <f>IF($AJ1388="","",IF($AJ1388=0,LN($F1388/$AK1388)/$AL1388,((($F1388/$AK1388)^$AJ1388)-1)/($AJ1388*$AL1388)))</f>
        <v/>
      </c>
      <c r="AN1388">
        <f>IF($AJ1388="","",IF($AJ1388=0,$AK1388*EXP($AL1388*2),$AK1388*(1+$AJ1388*$AL1388*2)^(1/$AJ1388)))</f>
        <v/>
      </c>
      <c r="AO1388">
        <f>IF($AJ1388="","",IF($AJ1388=0,$AK1388*EXP($AL1388*3),$AK1388*(1+$AJ1388*$AL1388*3)^(1/$AJ1388)))</f>
        <v/>
      </c>
      <c r="AP1388">
        <f>IF($AJ1388="","",IF($AJ1388=0,$AK1388*EXP($AL1388*-2),$AK1388*(1+$AJ1388*$AL1388*-2)^(1/$AJ1388)))</f>
        <v/>
      </c>
      <c r="AQ1388">
        <f>IF($AJ1388="","",IF($AJ1388=0,$AK1388*EXP($AL1388*-3),$AK1388*(1+$AJ1388*$AL1388*-3)^(1/$AJ1388)))</f>
        <v/>
      </c>
      <c r="AR1388">
        <f>IF(OR($X1388="",$T1388&gt;60),"",IFERROR(INDEX(IF($T1388&lt;24,pcomp_l,palt_l),MATCH($X1388,IF($T1388&lt;24,pcomp_k,palt_k),1)),""))</f>
        <v/>
      </c>
      <c r="AS1388">
        <f>IF(OR($X1388="",$T1388&gt;60),"",IFERROR(INDEX(IF($T1388&lt;24,pcomp_m,palt_m),MATCH($X1388,IF($T1388&lt;24,pcomp_k,palt_k),1)),""))</f>
        <v/>
      </c>
      <c r="AT1388">
        <f>IF(OR($X1388="",$T1388&gt;60),"",IFERROR(INDEX(IF($T1388&lt;24,pcomp_s,palt_s),MATCH($X1388,IF($T1388&lt;24,pcomp_k,palt_k),1)),""))</f>
        <v/>
      </c>
      <c r="AU1388">
        <f>IF($AR1388="","",IF($AR1388=0,LN($F1388/$AS1388)/$AT1388,((($F1388/$AS1388)^$AR1388)-1)/($AR1388*$AT1388)))</f>
        <v/>
      </c>
      <c r="AV1388">
        <f>IF($AR1388="","",IF($AR1388=0,$AS1388*EXP($AT1388*2),$AS1388*(1+$AR1388*$AT1388*2)^(1/$AR1388)))</f>
        <v/>
      </c>
      <c r="AW1388">
        <f>IF($AR1388="","",IF($AR1388=0,$AS1388*EXP($AT1388*3),$AS1388*(1+$AR1388*$AT1388*3)^(1/$AR1388)))</f>
        <v/>
      </c>
      <c r="AX1388">
        <f>IF($AR1388="","",IF($AR1388=0,$AS1388*EXP($AT1388*-2),$AS1388*(1+$AR1388*$AT1388*-2)^(1/$AR1388)))</f>
        <v/>
      </c>
      <c r="AY1388">
        <f>IF($AR1388="","",IF($AR1388=0,$AS1388*EXP($AT1388*-3),$AS1388*(1+$AR1388*$AT1388*-3)^(1/$AR1388)))</f>
        <v/>
      </c>
      <c r="AZ1388">
        <f>IF(OR($A1388="",$A1388&lt;&gt;Ficha!$C$4),"",COUNTIF($A$2:$A1388,Ficha!$C$4))</f>
        <v/>
      </c>
    </row>
    <row r="1389">
      <c r="A1389" s="8">
        <f>IF(INDEX(Banco!$A:$A,ROW())="","",INDEX(Banco!$A:$A,ROW()))</f>
        <v/>
      </c>
      <c r="B1389" s="8">
        <f>IF(INDEX(Banco!$B:$B,ROW())="","",INDEX(Banco!$B:$B,ROW()))</f>
        <v/>
      </c>
      <c r="C1389" s="8">
        <f>IF(INDEX(Banco!$C:$C,ROW())="","",INDEX(Banco!$C:$C,ROW()))</f>
        <v/>
      </c>
      <c r="D1389" s="9">
        <f>IF(INDEX(Banco!$D:$D,ROW())="","",INDEX(Banco!$D:$D,ROW()))</f>
        <v/>
      </c>
      <c r="E1389" s="9">
        <f>IF(INDEX(Banco!$E:$E,ROW())="","",INDEX(Banco!$E:$E,ROW()))</f>
        <v/>
      </c>
      <c r="F1389" s="10">
        <f>IF(INDEX(Banco!$F:$F,ROW())="","",INDEX(Banco!$F:$F,ROW()))</f>
        <v/>
      </c>
      <c r="G1389" s="10">
        <f>IF(INDEX(Banco!$G:$G,ROW())="","",INDEX(Banco!$G:$G,ROW()))</f>
        <v/>
      </c>
      <c r="H1389" s="8">
        <f>IF(INDEX(Banco!$H:$H,ROW())="","",INDEX(Banco!$H:$H,ROW()))</f>
        <v/>
      </c>
      <c r="I1389">
        <f>IF($T1389="","",INT($T1389/12)&amp;"a "&amp;MOD($T1389,12)&amp;"m")</f>
        <v/>
      </c>
      <c r="J1389" s="11">
        <f>IF(OR($F1389="",$G1389=""),"",ROUND($F1389/($G1389/100)^2,2))</f>
        <v/>
      </c>
      <c r="K1389" s="12">
        <f>IF(OR($S1389="",$J1389="",$T1389="",$T1389&lt;0,$T1389&gt;228,$Y1389=""),"—",ROUND(IF(ABS($AB1389)&lt;=3,$AB1389,IF($AB1389&gt;3,3+($J1389-$AD1389)/($AD1389-$AC1389),-3+($J1389-$AF1389)/($AE1389-$AF1389))),2))</f>
        <v/>
      </c>
      <c r="L1389">
        <f>IF(OR($K1389="",$K1389="—"),"",IF($T1389&lt;=60,IF($K1389&lt;-3,"Magreza acentuada",IF($K1389&lt;-2,"Magreza",IF($K1389&lt;=1,"Eutrofia",IF($K1389&lt;=2,"Risco de sobrepeso",IF($K1389&lt;=3,"Sobrepeso","Obesidade"))))),IF($K1389&lt;-3,"Magreza acentuada",IF($K1389&lt;-2,"Magreza",IF($K1389&lt;=1,"Eutrofia",IF($K1389&lt;=2,"Sobrepeso",IF($K1389&lt;=3,"Obesidade","Obesidade grave")))))))</f>
        <v/>
      </c>
      <c r="M1389" s="12">
        <f>IF(OR($S1389="",$V1389="",$T1389="",$T1389&lt;0,$T1389&gt;228,$AG1389=""),"—",ROUND(IF($AG1389=0,LN($V1389/$AH1389)/$AI1389,((($V1389/$AH1389)^$AG1389)-1)/($AG1389*$AI1389)),2))</f>
        <v/>
      </c>
      <c r="N1389">
        <f>IF(OR($M1389="",$M1389="—"),"",IF($M1389&lt;-3,"Muito baixa",IF($M1389&lt;-2,"Baixa","Adequada")))</f>
        <v/>
      </c>
      <c r="O1389" s="12">
        <f>IF(OR($S1389="",$F1389="",$T1389="",$T1389&lt;0,$T1389&gt;120,$AJ1389=""),"—",ROUND(IF(ABS($AM1389)&lt;=3,$AM1389,IF($AM1389&gt;3,3+($F1389-$AO1389)/($AO1389-$AN1389),-3+($F1389-$AQ1389)/($AP1389-$AQ1389))),2))</f>
        <v/>
      </c>
      <c r="P1389">
        <f>IF(OR($O1389="",$O1389="—"),"",IF($O1389&lt;-3,"Muito baixo",IF($O1389&lt;-2,"Baixo",IF($O1389&lt;=2,"Adequado","Elevado"))))</f>
        <v/>
      </c>
      <c r="Q1389" s="12">
        <f>IF(OR($S1389="",$F1389="",$T1389="",$T1389&lt;0,$T1389&gt;60,$AR1389=""),"—",ROUND(IF(ABS($AU1389)&lt;=3,$AU1389,IF($AU1389&gt;3,3+($F1389-$AW1389)/($AW1389-$AV1389),-3+($F1389-$AY1389)/($AX1389-$AY1389))),2))</f>
        <v/>
      </c>
      <c r="R1389">
        <f>IF(OR($Q1389="",$Q1389="—"),"",IF($Q1389&lt;-3,"Magreza acentuada",IF($Q1389&lt;-2,"Magreza",IF($Q1389&lt;=1,"Eutrofia",IF($Q1389&lt;=2,"Risco de sobrepeso",IF($Q1389&lt;=3,"Sobrepeso","Obesidade"))))))</f>
        <v/>
      </c>
      <c r="S1389">
        <f>IF($C1389="","",IF(UPPER(LEFT($C1389,1))="M",1,IF(UPPER(LEFT($C1389,1))="F",2,"")))</f>
        <v/>
      </c>
      <c r="T1389">
        <f>IF(OR($D1389="",$E1389=""),"",DATEDIF($D1389,$E1389,"m"))</f>
        <v/>
      </c>
      <c r="U1389">
        <f>IF(OR($D1389="",$E1389=""),"",$E1389-$D1389)</f>
        <v/>
      </c>
      <c r="V1389">
        <f>IF(OR($G1389="",$T1389=""),"",IF($T1389&lt;24,IF(LEFT(LOWER($H1389),4)="em p",$G1389+0.7,$G1389),IF(LEFT(LOWER($H1389),4)="deit",$G1389-0.7,$G1389)))</f>
        <v/>
      </c>
      <c r="W1389">
        <f>IF(OR($S1389="",$T1389=""),"",$S1389*1000000+IF($T1389&lt;=60,$U1389,$T1389))</f>
        <v/>
      </c>
      <c r="X1389">
        <f>IF(OR($S1389="",$V1389="",$T1389&gt;60,$T1389=""),"",$S1389*1000000+ROUND($V1389*10,0))</f>
        <v/>
      </c>
      <c r="Y1389">
        <f>IF($W1389="","",IFERROR(INDEX(IF($T1389&lt;=60,imc05_l,imc519_l),MATCH($W1389,IF($T1389&lt;=60,imc05_k,imc519_k),1)),""))</f>
        <v/>
      </c>
      <c r="Z1389">
        <f>IF($W1389="","",IFERROR(INDEX(IF($T1389&lt;=60,imc05_m,imc519_m),MATCH($W1389,IF($T1389&lt;=60,imc05_k,imc519_k),1)),""))</f>
        <v/>
      </c>
      <c r="AA1389">
        <f>IF($W1389="","",IFERROR(INDEX(IF($T1389&lt;=60,imc05_s,imc519_s),MATCH($W1389,IF($T1389&lt;=60,imc05_k,imc519_k),1)),""))</f>
        <v/>
      </c>
      <c r="AB1389">
        <f>IF($Y1389="","",IF($Y1389=0,LN($J1389/$Z1389)/$AA1389,((($J1389/$Z1389)^$Y1389)-1)/($Y1389*$AA1389)))</f>
        <v/>
      </c>
      <c r="AC1389">
        <f>IF($Y1389="","",IF($Y1389=0,$Z1389*EXP($AA1389*2),$Z1389*(1+$Y1389*$AA1389*2)^(1/$Y1389)))</f>
        <v/>
      </c>
      <c r="AD1389">
        <f>IF($Y1389="","",IF($Y1389=0,$Z1389*EXP($AA1389*3),$Z1389*(1+$Y1389*$AA1389*3)^(1/$Y1389)))</f>
        <v/>
      </c>
      <c r="AE1389">
        <f>IF($Y1389="","",IF($Y1389=0,$Z1389*EXP($AA1389*-2),$Z1389*(1+$Y1389*$AA1389*-2)^(1/$Y1389)))</f>
        <v/>
      </c>
      <c r="AF1389">
        <f>IF($Y1389="","",IF($Y1389=0,$Z1389*EXP($AA1389*-3),$Z1389*(1+$Y1389*$AA1389*-3)^(1/$Y1389)))</f>
        <v/>
      </c>
      <c r="AG1389">
        <f>IF($W1389="","",IFERROR(INDEX(IF($T1389&lt;=60,est05_l,est519_l),MATCH($W1389,IF($T1389&lt;=60,est05_k,est519_k),1)),""))</f>
        <v/>
      </c>
      <c r="AH1389">
        <f>IF($W1389="","",IFERROR(INDEX(IF($T1389&lt;=60,est05_m,est519_m),MATCH($W1389,IF($T1389&lt;=60,est05_k,est519_k),1)),""))</f>
        <v/>
      </c>
      <c r="AI1389">
        <f>IF($W1389="","",IFERROR(INDEX(IF($T1389&lt;=60,est05_s,est519_s),MATCH($W1389,IF($T1389&lt;=60,est05_k,est519_k),1)),""))</f>
        <v/>
      </c>
      <c r="AJ1389">
        <f>IF($W1389="","",IFERROR(INDEX(IF($T1389&lt;=60,peso05_l,peso510_l),MATCH($W1389,IF($T1389&lt;=60,peso05_k,peso510_k),1)),""))</f>
        <v/>
      </c>
      <c r="AK1389">
        <f>IF($W1389="","",IFERROR(INDEX(IF($T1389&lt;=60,peso05_m,peso510_m),MATCH($W1389,IF($T1389&lt;=60,peso05_k,peso510_k),1)),""))</f>
        <v/>
      </c>
      <c r="AL1389">
        <f>IF($W1389="","",IFERROR(INDEX(IF($T1389&lt;=60,peso05_s,peso510_s),MATCH($W1389,IF($T1389&lt;=60,peso05_k,peso510_k),1)),""))</f>
        <v/>
      </c>
      <c r="AM1389">
        <f>IF($AJ1389="","",IF($AJ1389=0,LN($F1389/$AK1389)/$AL1389,((($F1389/$AK1389)^$AJ1389)-1)/($AJ1389*$AL1389)))</f>
        <v/>
      </c>
      <c r="AN1389">
        <f>IF($AJ1389="","",IF($AJ1389=0,$AK1389*EXP($AL1389*2),$AK1389*(1+$AJ1389*$AL1389*2)^(1/$AJ1389)))</f>
        <v/>
      </c>
      <c r="AO1389">
        <f>IF($AJ1389="","",IF($AJ1389=0,$AK1389*EXP($AL1389*3),$AK1389*(1+$AJ1389*$AL1389*3)^(1/$AJ1389)))</f>
        <v/>
      </c>
      <c r="AP1389">
        <f>IF($AJ1389="","",IF($AJ1389=0,$AK1389*EXP($AL1389*-2),$AK1389*(1+$AJ1389*$AL1389*-2)^(1/$AJ1389)))</f>
        <v/>
      </c>
      <c r="AQ1389">
        <f>IF($AJ1389="","",IF($AJ1389=0,$AK1389*EXP($AL1389*-3),$AK1389*(1+$AJ1389*$AL1389*-3)^(1/$AJ1389)))</f>
        <v/>
      </c>
      <c r="AR1389">
        <f>IF(OR($X1389="",$T1389&gt;60),"",IFERROR(INDEX(IF($T1389&lt;24,pcomp_l,palt_l),MATCH($X1389,IF($T1389&lt;24,pcomp_k,palt_k),1)),""))</f>
        <v/>
      </c>
      <c r="AS1389">
        <f>IF(OR($X1389="",$T1389&gt;60),"",IFERROR(INDEX(IF($T1389&lt;24,pcomp_m,palt_m),MATCH($X1389,IF($T1389&lt;24,pcomp_k,palt_k),1)),""))</f>
        <v/>
      </c>
      <c r="AT1389">
        <f>IF(OR($X1389="",$T1389&gt;60),"",IFERROR(INDEX(IF($T1389&lt;24,pcomp_s,palt_s),MATCH($X1389,IF($T1389&lt;24,pcomp_k,palt_k),1)),""))</f>
        <v/>
      </c>
      <c r="AU1389">
        <f>IF($AR1389="","",IF($AR1389=0,LN($F1389/$AS1389)/$AT1389,((($F1389/$AS1389)^$AR1389)-1)/($AR1389*$AT1389)))</f>
        <v/>
      </c>
      <c r="AV1389">
        <f>IF($AR1389="","",IF($AR1389=0,$AS1389*EXP($AT1389*2),$AS1389*(1+$AR1389*$AT1389*2)^(1/$AR1389)))</f>
        <v/>
      </c>
      <c r="AW1389">
        <f>IF($AR1389="","",IF($AR1389=0,$AS1389*EXP($AT1389*3),$AS1389*(1+$AR1389*$AT1389*3)^(1/$AR1389)))</f>
        <v/>
      </c>
      <c r="AX1389">
        <f>IF($AR1389="","",IF($AR1389=0,$AS1389*EXP($AT1389*-2),$AS1389*(1+$AR1389*$AT1389*-2)^(1/$AR1389)))</f>
        <v/>
      </c>
      <c r="AY1389">
        <f>IF($AR1389="","",IF($AR1389=0,$AS1389*EXP($AT1389*-3),$AS1389*(1+$AR1389*$AT1389*-3)^(1/$AR1389)))</f>
        <v/>
      </c>
      <c r="AZ1389">
        <f>IF(OR($A1389="",$A1389&lt;&gt;Ficha!$C$4),"",COUNTIF($A$2:$A1389,Ficha!$C$4))</f>
        <v/>
      </c>
    </row>
    <row r="1390">
      <c r="A1390" s="8">
        <f>IF(INDEX(Banco!$A:$A,ROW())="","",INDEX(Banco!$A:$A,ROW()))</f>
        <v/>
      </c>
      <c r="B1390" s="8">
        <f>IF(INDEX(Banco!$B:$B,ROW())="","",INDEX(Banco!$B:$B,ROW()))</f>
        <v/>
      </c>
      <c r="C1390" s="8">
        <f>IF(INDEX(Banco!$C:$C,ROW())="","",INDEX(Banco!$C:$C,ROW()))</f>
        <v/>
      </c>
      <c r="D1390" s="9">
        <f>IF(INDEX(Banco!$D:$D,ROW())="","",INDEX(Banco!$D:$D,ROW()))</f>
        <v/>
      </c>
      <c r="E1390" s="9">
        <f>IF(INDEX(Banco!$E:$E,ROW())="","",INDEX(Banco!$E:$E,ROW()))</f>
        <v/>
      </c>
      <c r="F1390" s="10">
        <f>IF(INDEX(Banco!$F:$F,ROW())="","",INDEX(Banco!$F:$F,ROW()))</f>
        <v/>
      </c>
      <c r="G1390" s="10">
        <f>IF(INDEX(Banco!$G:$G,ROW())="","",INDEX(Banco!$G:$G,ROW()))</f>
        <v/>
      </c>
      <c r="H1390" s="8">
        <f>IF(INDEX(Banco!$H:$H,ROW())="","",INDEX(Banco!$H:$H,ROW()))</f>
        <v/>
      </c>
      <c r="I1390">
        <f>IF($T1390="","",INT($T1390/12)&amp;"a "&amp;MOD($T1390,12)&amp;"m")</f>
        <v/>
      </c>
      <c r="J1390" s="11">
        <f>IF(OR($F1390="",$G1390=""),"",ROUND($F1390/($G1390/100)^2,2))</f>
        <v/>
      </c>
      <c r="K1390" s="12">
        <f>IF(OR($S1390="",$J1390="",$T1390="",$T1390&lt;0,$T1390&gt;228,$Y1390=""),"—",ROUND(IF(ABS($AB1390)&lt;=3,$AB1390,IF($AB1390&gt;3,3+($J1390-$AD1390)/($AD1390-$AC1390),-3+($J1390-$AF1390)/($AE1390-$AF1390))),2))</f>
        <v/>
      </c>
      <c r="L1390">
        <f>IF(OR($K1390="",$K1390="—"),"",IF($T1390&lt;=60,IF($K1390&lt;-3,"Magreza acentuada",IF($K1390&lt;-2,"Magreza",IF($K1390&lt;=1,"Eutrofia",IF($K1390&lt;=2,"Risco de sobrepeso",IF($K1390&lt;=3,"Sobrepeso","Obesidade"))))),IF($K1390&lt;-3,"Magreza acentuada",IF($K1390&lt;-2,"Magreza",IF($K1390&lt;=1,"Eutrofia",IF($K1390&lt;=2,"Sobrepeso",IF($K1390&lt;=3,"Obesidade","Obesidade grave")))))))</f>
        <v/>
      </c>
      <c r="M1390" s="12">
        <f>IF(OR($S1390="",$V1390="",$T1390="",$T1390&lt;0,$T1390&gt;228,$AG1390=""),"—",ROUND(IF($AG1390=0,LN($V1390/$AH1390)/$AI1390,((($V1390/$AH1390)^$AG1390)-1)/($AG1390*$AI1390)),2))</f>
        <v/>
      </c>
      <c r="N1390">
        <f>IF(OR($M1390="",$M1390="—"),"",IF($M1390&lt;-3,"Muito baixa",IF($M1390&lt;-2,"Baixa","Adequada")))</f>
        <v/>
      </c>
      <c r="O1390" s="12">
        <f>IF(OR($S1390="",$F1390="",$T1390="",$T1390&lt;0,$T1390&gt;120,$AJ1390=""),"—",ROUND(IF(ABS($AM1390)&lt;=3,$AM1390,IF($AM1390&gt;3,3+($F1390-$AO1390)/($AO1390-$AN1390),-3+($F1390-$AQ1390)/($AP1390-$AQ1390))),2))</f>
        <v/>
      </c>
      <c r="P1390">
        <f>IF(OR($O1390="",$O1390="—"),"",IF($O1390&lt;-3,"Muito baixo",IF($O1390&lt;-2,"Baixo",IF($O1390&lt;=2,"Adequado","Elevado"))))</f>
        <v/>
      </c>
      <c r="Q1390" s="12">
        <f>IF(OR($S1390="",$F1390="",$T1390="",$T1390&lt;0,$T1390&gt;60,$AR1390=""),"—",ROUND(IF(ABS($AU1390)&lt;=3,$AU1390,IF($AU1390&gt;3,3+($F1390-$AW1390)/($AW1390-$AV1390),-3+($F1390-$AY1390)/($AX1390-$AY1390))),2))</f>
        <v/>
      </c>
      <c r="R1390">
        <f>IF(OR($Q1390="",$Q1390="—"),"",IF($Q1390&lt;-3,"Magreza acentuada",IF($Q1390&lt;-2,"Magreza",IF($Q1390&lt;=1,"Eutrofia",IF($Q1390&lt;=2,"Risco de sobrepeso",IF($Q1390&lt;=3,"Sobrepeso","Obesidade"))))))</f>
        <v/>
      </c>
      <c r="S1390">
        <f>IF($C1390="","",IF(UPPER(LEFT($C1390,1))="M",1,IF(UPPER(LEFT($C1390,1))="F",2,"")))</f>
        <v/>
      </c>
      <c r="T1390">
        <f>IF(OR($D1390="",$E1390=""),"",DATEDIF($D1390,$E1390,"m"))</f>
        <v/>
      </c>
      <c r="U1390">
        <f>IF(OR($D1390="",$E1390=""),"",$E1390-$D1390)</f>
        <v/>
      </c>
      <c r="V1390">
        <f>IF(OR($G1390="",$T1390=""),"",IF($T1390&lt;24,IF(LEFT(LOWER($H1390),4)="em p",$G1390+0.7,$G1390),IF(LEFT(LOWER($H1390),4)="deit",$G1390-0.7,$G1390)))</f>
        <v/>
      </c>
      <c r="W1390">
        <f>IF(OR($S1390="",$T1390=""),"",$S1390*1000000+IF($T1390&lt;=60,$U1390,$T1390))</f>
        <v/>
      </c>
      <c r="X1390">
        <f>IF(OR($S1390="",$V1390="",$T1390&gt;60,$T1390=""),"",$S1390*1000000+ROUND($V1390*10,0))</f>
        <v/>
      </c>
      <c r="Y1390">
        <f>IF($W1390="","",IFERROR(INDEX(IF($T1390&lt;=60,imc05_l,imc519_l),MATCH($W1390,IF($T1390&lt;=60,imc05_k,imc519_k),1)),""))</f>
        <v/>
      </c>
      <c r="Z1390">
        <f>IF($W1390="","",IFERROR(INDEX(IF($T1390&lt;=60,imc05_m,imc519_m),MATCH($W1390,IF($T1390&lt;=60,imc05_k,imc519_k),1)),""))</f>
        <v/>
      </c>
      <c r="AA1390">
        <f>IF($W1390="","",IFERROR(INDEX(IF($T1390&lt;=60,imc05_s,imc519_s),MATCH($W1390,IF($T1390&lt;=60,imc05_k,imc519_k),1)),""))</f>
        <v/>
      </c>
      <c r="AB1390">
        <f>IF($Y1390="","",IF($Y1390=0,LN($J1390/$Z1390)/$AA1390,((($J1390/$Z1390)^$Y1390)-1)/($Y1390*$AA1390)))</f>
        <v/>
      </c>
      <c r="AC1390">
        <f>IF($Y1390="","",IF($Y1390=0,$Z1390*EXP($AA1390*2),$Z1390*(1+$Y1390*$AA1390*2)^(1/$Y1390)))</f>
        <v/>
      </c>
      <c r="AD1390">
        <f>IF($Y1390="","",IF($Y1390=0,$Z1390*EXP($AA1390*3),$Z1390*(1+$Y1390*$AA1390*3)^(1/$Y1390)))</f>
        <v/>
      </c>
      <c r="AE1390">
        <f>IF($Y1390="","",IF($Y1390=0,$Z1390*EXP($AA1390*-2),$Z1390*(1+$Y1390*$AA1390*-2)^(1/$Y1390)))</f>
        <v/>
      </c>
      <c r="AF1390">
        <f>IF($Y1390="","",IF($Y1390=0,$Z1390*EXP($AA1390*-3),$Z1390*(1+$Y1390*$AA1390*-3)^(1/$Y1390)))</f>
        <v/>
      </c>
      <c r="AG1390">
        <f>IF($W1390="","",IFERROR(INDEX(IF($T1390&lt;=60,est05_l,est519_l),MATCH($W1390,IF($T1390&lt;=60,est05_k,est519_k),1)),""))</f>
        <v/>
      </c>
      <c r="AH1390">
        <f>IF($W1390="","",IFERROR(INDEX(IF($T1390&lt;=60,est05_m,est519_m),MATCH($W1390,IF($T1390&lt;=60,est05_k,est519_k),1)),""))</f>
        <v/>
      </c>
      <c r="AI1390">
        <f>IF($W1390="","",IFERROR(INDEX(IF($T1390&lt;=60,est05_s,est519_s),MATCH($W1390,IF($T1390&lt;=60,est05_k,est519_k),1)),""))</f>
        <v/>
      </c>
      <c r="AJ1390">
        <f>IF($W1390="","",IFERROR(INDEX(IF($T1390&lt;=60,peso05_l,peso510_l),MATCH($W1390,IF($T1390&lt;=60,peso05_k,peso510_k),1)),""))</f>
        <v/>
      </c>
      <c r="AK1390">
        <f>IF($W1390="","",IFERROR(INDEX(IF($T1390&lt;=60,peso05_m,peso510_m),MATCH($W1390,IF($T1390&lt;=60,peso05_k,peso510_k),1)),""))</f>
        <v/>
      </c>
      <c r="AL1390">
        <f>IF($W1390="","",IFERROR(INDEX(IF($T1390&lt;=60,peso05_s,peso510_s),MATCH($W1390,IF($T1390&lt;=60,peso05_k,peso510_k),1)),""))</f>
        <v/>
      </c>
      <c r="AM1390">
        <f>IF($AJ1390="","",IF($AJ1390=0,LN($F1390/$AK1390)/$AL1390,((($F1390/$AK1390)^$AJ1390)-1)/($AJ1390*$AL1390)))</f>
        <v/>
      </c>
      <c r="AN1390">
        <f>IF($AJ1390="","",IF($AJ1390=0,$AK1390*EXP($AL1390*2),$AK1390*(1+$AJ1390*$AL1390*2)^(1/$AJ1390)))</f>
        <v/>
      </c>
      <c r="AO1390">
        <f>IF($AJ1390="","",IF($AJ1390=0,$AK1390*EXP($AL1390*3),$AK1390*(1+$AJ1390*$AL1390*3)^(1/$AJ1390)))</f>
        <v/>
      </c>
      <c r="AP1390">
        <f>IF($AJ1390="","",IF($AJ1390=0,$AK1390*EXP($AL1390*-2),$AK1390*(1+$AJ1390*$AL1390*-2)^(1/$AJ1390)))</f>
        <v/>
      </c>
      <c r="AQ1390">
        <f>IF($AJ1390="","",IF($AJ1390=0,$AK1390*EXP($AL1390*-3),$AK1390*(1+$AJ1390*$AL1390*-3)^(1/$AJ1390)))</f>
        <v/>
      </c>
      <c r="AR1390">
        <f>IF(OR($X1390="",$T1390&gt;60),"",IFERROR(INDEX(IF($T1390&lt;24,pcomp_l,palt_l),MATCH($X1390,IF($T1390&lt;24,pcomp_k,palt_k),1)),""))</f>
        <v/>
      </c>
      <c r="AS1390">
        <f>IF(OR($X1390="",$T1390&gt;60),"",IFERROR(INDEX(IF($T1390&lt;24,pcomp_m,palt_m),MATCH($X1390,IF($T1390&lt;24,pcomp_k,palt_k),1)),""))</f>
        <v/>
      </c>
      <c r="AT1390">
        <f>IF(OR($X1390="",$T1390&gt;60),"",IFERROR(INDEX(IF($T1390&lt;24,pcomp_s,palt_s),MATCH($X1390,IF($T1390&lt;24,pcomp_k,palt_k),1)),""))</f>
        <v/>
      </c>
      <c r="AU1390">
        <f>IF($AR1390="","",IF($AR1390=0,LN($F1390/$AS1390)/$AT1390,((($F1390/$AS1390)^$AR1390)-1)/($AR1390*$AT1390)))</f>
        <v/>
      </c>
      <c r="AV1390">
        <f>IF($AR1390="","",IF($AR1390=0,$AS1390*EXP($AT1390*2),$AS1390*(1+$AR1390*$AT1390*2)^(1/$AR1390)))</f>
        <v/>
      </c>
      <c r="AW1390">
        <f>IF($AR1390="","",IF($AR1390=0,$AS1390*EXP($AT1390*3),$AS1390*(1+$AR1390*$AT1390*3)^(1/$AR1390)))</f>
        <v/>
      </c>
      <c r="AX1390">
        <f>IF($AR1390="","",IF($AR1390=0,$AS1390*EXP($AT1390*-2),$AS1390*(1+$AR1390*$AT1390*-2)^(1/$AR1390)))</f>
        <v/>
      </c>
      <c r="AY1390">
        <f>IF($AR1390="","",IF($AR1390=0,$AS1390*EXP($AT1390*-3),$AS1390*(1+$AR1390*$AT1390*-3)^(1/$AR1390)))</f>
        <v/>
      </c>
      <c r="AZ1390">
        <f>IF(OR($A1390="",$A1390&lt;&gt;Ficha!$C$4),"",COUNTIF($A$2:$A1390,Ficha!$C$4))</f>
        <v/>
      </c>
    </row>
    <row r="1391">
      <c r="A1391" s="8">
        <f>IF(INDEX(Banco!$A:$A,ROW())="","",INDEX(Banco!$A:$A,ROW()))</f>
        <v/>
      </c>
      <c r="B1391" s="8">
        <f>IF(INDEX(Banco!$B:$B,ROW())="","",INDEX(Banco!$B:$B,ROW()))</f>
        <v/>
      </c>
      <c r="C1391" s="8">
        <f>IF(INDEX(Banco!$C:$C,ROW())="","",INDEX(Banco!$C:$C,ROW()))</f>
        <v/>
      </c>
      <c r="D1391" s="9">
        <f>IF(INDEX(Banco!$D:$D,ROW())="","",INDEX(Banco!$D:$D,ROW()))</f>
        <v/>
      </c>
      <c r="E1391" s="9">
        <f>IF(INDEX(Banco!$E:$E,ROW())="","",INDEX(Banco!$E:$E,ROW()))</f>
        <v/>
      </c>
      <c r="F1391" s="10">
        <f>IF(INDEX(Banco!$F:$F,ROW())="","",INDEX(Banco!$F:$F,ROW()))</f>
        <v/>
      </c>
      <c r="G1391" s="10">
        <f>IF(INDEX(Banco!$G:$G,ROW())="","",INDEX(Banco!$G:$G,ROW()))</f>
        <v/>
      </c>
      <c r="H1391" s="8">
        <f>IF(INDEX(Banco!$H:$H,ROW())="","",INDEX(Banco!$H:$H,ROW()))</f>
        <v/>
      </c>
      <c r="I1391">
        <f>IF($T1391="","",INT($T1391/12)&amp;"a "&amp;MOD($T1391,12)&amp;"m")</f>
        <v/>
      </c>
      <c r="J1391" s="11">
        <f>IF(OR($F1391="",$G1391=""),"",ROUND($F1391/($G1391/100)^2,2))</f>
        <v/>
      </c>
      <c r="K1391" s="12">
        <f>IF(OR($S1391="",$J1391="",$T1391="",$T1391&lt;0,$T1391&gt;228,$Y1391=""),"—",ROUND(IF(ABS($AB1391)&lt;=3,$AB1391,IF($AB1391&gt;3,3+($J1391-$AD1391)/($AD1391-$AC1391),-3+($J1391-$AF1391)/($AE1391-$AF1391))),2))</f>
        <v/>
      </c>
      <c r="L1391">
        <f>IF(OR($K1391="",$K1391="—"),"",IF($T1391&lt;=60,IF($K1391&lt;-3,"Magreza acentuada",IF($K1391&lt;-2,"Magreza",IF($K1391&lt;=1,"Eutrofia",IF($K1391&lt;=2,"Risco de sobrepeso",IF($K1391&lt;=3,"Sobrepeso","Obesidade"))))),IF($K1391&lt;-3,"Magreza acentuada",IF($K1391&lt;-2,"Magreza",IF($K1391&lt;=1,"Eutrofia",IF($K1391&lt;=2,"Sobrepeso",IF($K1391&lt;=3,"Obesidade","Obesidade grave")))))))</f>
        <v/>
      </c>
      <c r="M1391" s="12">
        <f>IF(OR($S1391="",$V1391="",$T1391="",$T1391&lt;0,$T1391&gt;228,$AG1391=""),"—",ROUND(IF($AG1391=0,LN($V1391/$AH1391)/$AI1391,((($V1391/$AH1391)^$AG1391)-1)/($AG1391*$AI1391)),2))</f>
        <v/>
      </c>
      <c r="N1391">
        <f>IF(OR($M1391="",$M1391="—"),"",IF($M1391&lt;-3,"Muito baixa",IF($M1391&lt;-2,"Baixa","Adequada")))</f>
        <v/>
      </c>
      <c r="O1391" s="12">
        <f>IF(OR($S1391="",$F1391="",$T1391="",$T1391&lt;0,$T1391&gt;120,$AJ1391=""),"—",ROUND(IF(ABS($AM1391)&lt;=3,$AM1391,IF($AM1391&gt;3,3+($F1391-$AO1391)/($AO1391-$AN1391),-3+($F1391-$AQ1391)/($AP1391-$AQ1391))),2))</f>
        <v/>
      </c>
      <c r="P1391">
        <f>IF(OR($O1391="",$O1391="—"),"",IF($O1391&lt;-3,"Muito baixo",IF($O1391&lt;-2,"Baixo",IF($O1391&lt;=2,"Adequado","Elevado"))))</f>
        <v/>
      </c>
      <c r="Q1391" s="12">
        <f>IF(OR($S1391="",$F1391="",$T1391="",$T1391&lt;0,$T1391&gt;60,$AR1391=""),"—",ROUND(IF(ABS($AU1391)&lt;=3,$AU1391,IF($AU1391&gt;3,3+($F1391-$AW1391)/($AW1391-$AV1391),-3+($F1391-$AY1391)/($AX1391-$AY1391))),2))</f>
        <v/>
      </c>
      <c r="R1391">
        <f>IF(OR($Q1391="",$Q1391="—"),"",IF($Q1391&lt;-3,"Magreza acentuada",IF($Q1391&lt;-2,"Magreza",IF($Q1391&lt;=1,"Eutrofia",IF($Q1391&lt;=2,"Risco de sobrepeso",IF($Q1391&lt;=3,"Sobrepeso","Obesidade"))))))</f>
        <v/>
      </c>
      <c r="S1391">
        <f>IF($C1391="","",IF(UPPER(LEFT($C1391,1))="M",1,IF(UPPER(LEFT($C1391,1))="F",2,"")))</f>
        <v/>
      </c>
      <c r="T1391">
        <f>IF(OR($D1391="",$E1391=""),"",DATEDIF($D1391,$E1391,"m"))</f>
        <v/>
      </c>
      <c r="U1391">
        <f>IF(OR($D1391="",$E1391=""),"",$E1391-$D1391)</f>
        <v/>
      </c>
      <c r="V1391">
        <f>IF(OR($G1391="",$T1391=""),"",IF($T1391&lt;24,IF(LEFT(LOWER($H1391),4)="em p",$G1391+0.7,$G1391),IF(LEFT(LOWER($H1391),4)="deit",$G1391-0.7,$G1391)))</f>
        <v/>
      </c>
      <c r="W1391">
        <f>IF(OR($S1391="",$T1391=""),"",$S1391*1000000+IF($T1391&lt;=60,$U1391,$T1391))</f>
        <v/>
      </c>
      <c r="X1391">
        <f>IF(OR($S1391="",$V1391="",$T1391&gt;60,$T1391=""),"",$S1391*1000000+ROUND($V1391*10,0))</f>
        <v/>
      </c>
      <c r="Y1391">
        <f>IF($W1391="","",IFERROR(INDEX(IF($T1391&lt;=60,imc05_l,imc519_l),MATCH($W1391,IF($T1391&lt;=60,imc05_k,imc519_k),1)),""))</f>
        <v/>
      </c>
      <c r="Z1391">
        <f>IF($W1391="","",IFERROR(INDEX(IF($T1391&lt;=60,imc05_m,imc519_m),MATCH($W1391,IF($T1391&lt;=60,imc05_k,imc519_k),1)),""))</f>
        <v/>
      </c>
      <c r="AA1391">
        <f>IF($W1391="","",IFERROR(INDEX(IF($T1391&lt;=60,imc05_s,imc519_s),MATCH($W1391,IF($T1391&lt;=60,imc05_k,imc519_k),1)),""))</f>
        <v/>
      </c>
      <c r="AB1391">
        <f>IF($Y1391="","",IF($Y1391=0,LN($J1391/$Z1391)/$AA1391,((($J1391/$Z1391)^$Y1391)-1)/($Y1391*$AA1391)))</f>
        <v/>
      </c>
      <c r="AC1391">
        <f>IF($Y1391="","",IF($Y1391=0,$Z1391*EXP($AA1391*2),$Z1391*(1+$Y1391*$AA1391*2)^(1/$Y1391)))</f>
        <v/>
      </c>
      <c r="AD1391">
        <f>IF($Y1391="","",IF($Y1391=0,$Z1391*EXP($AA1391*3),$Z1391*(1+$Y1391*$AA1391*3)^(1/$Y1391)))</f>
        <v/>
      </c>
      <c r="AE1391">
        <f>IF($Y1391="","",IF($Y1391=0,$Z1391*EXP($AA1391*-2),$Z1391*(1+$Y1391*$AA1391*-2)^(1/$Y1391)))</f>
        <v/>
      </c>
      <c r="AF1391">
        <f>IF($Y1391="","",IF($Y1391=0,$Z1391*EXP($AA1391*-3),$Z1391*(1+$Y1391*$AA1391*-3)^(1/$Y1391)))</f>
        <v/>
      </c>
      <c r="AG1391">
        <f>IF($W1391="","",IFERROR(INDEX(IF($T1391&lt;=60,est05_l,est519_l),MATCH($W1391,IF($T1391&lt;=60,est05_k,est519_k),1)),""))</f>
        <v/>
      </c>
      <c r="AH1391">
        <f>IF($W1391="","",IFERROR(INDEX(IF($T1391&lt;=60,est05_m,est519_m),MATCH($W1391,IF($T1391&lt;=60,est05_k,est519_k),1)),""))</f>
        <v/>
      </c>
      <c r="AI1391">
        <f>IF($W1391="","",IFERROR(INDEX(IF($T1391&lt;=60,est05_s,est519_s),MATCH($W1391,IF($T1391&lt;=60,est05_k,est519_k),1)),""))</f>
        <v/>
      </c>
      <c r="AJ1391">
        <f>IF($W1391="","",IFERROR(INDEX(IF($T1391&lt;=60,peso05_l,peso510_l),MATCH($W1391,IF($T1391&lt;=60,peso05_k,peso510_k),1)),""))</f>
        <v/>
      </c>
      <c r="AK1391">
        <f>IF($W1391="","",IFERROR(INDEX(IF($T1391&lt;=60,peso05_m,peso510_m),MATCH($W1391,IF($T1391&lt;=60,peso05_k,peso510_k),1)),""))</f>
        <v/>
      </c>
      <c r="AL1391">
        <f>IF($W1391="","",IFERROR(INDEX(IF($T1391&lt;=60,peso05_s,peso510_s),MATCH($W1391,IF($T1391&lt;=60,peso05_k,peso510_k),1)),""))</f>
        <v/>
      </c>
      <c r="AM1391">
        <f>IF($AJ1391="","",IF($AJ1391=0,LN($F1391/$AK1391)/$AL1391,((($F1391/$AK1391)^$AJ1391)-1)/($AJ1391*$AL1391)))</f>
        <v/>
      </c>
      <c r="AN1391">
        <f>IF($AJ1391="","",IF($AJ1391=0,$AK1391*EXP($AL1391*2),$AK1391*(1+$AJ1391*$AL1391*2)^(1/$AJ1391)))</f>
        <v/>
      </c>
      <c r="AO1391">
        <f>IF($AJ1391="","",IF($AJ1391=0,$AK1391*EXP($AL1391*3),$AK1391*(1+$AJ1391*$AL1391*3)^(1/$AJ1391)))</f>
        <v/>
      </c>
      <c r="AP1391">
        <f>IF($AJ1391="","",IF($AJ1391=0,$AK1391*EXP($AL1391*-2),$AK1391*(1+$AJ1391*$AL1391*-2)^(1/$AJ1391)))</f>
        <v/>
      </c>
      <c r="AQ1391">
        <f>IF($AJ1391="","",IF($AJ1391=0,$AK1391*EXP($AL1391*-3),$AK1391*(1+$AJ1391*$AL1391*-3)^(1/$AJ1391)))</f>
        <v/>
      </c>
      <c r="AR1391">
        <f>IF(OR($X1391="",$T1391&gt;60),"",IFERROR(INDEX(IF($T1391&lt;24,pcomp_l,palt_l),MATCH($X1391,IF($T1391&lt;24,pcomp_k,palt_k),1)),""))</f>
        <v/>
      </c>
      <c r="AS1391">
        <f>IF(OR($X1391="",$T1391&gt;60),"",IFERROR(INDEX(IF($T1391&lt;24,pcomp_m,palt_m),MATCH($X1391,IF($T1391&lt;24,pcomp_k,palt_k),1)),""))</f>
        <v/>
      </c>
      <c r="AT1391">
        <f>IF(OR($X1391="",$T1391&gt;60),"",IFERROR(INDEX(IF($T1391&lt;24,pcomp_s,palt_s),MATCH($X1391,IF($T1391&lt;24,pcomp_k,palt_k),1)),""))</f>
        <v/>
      </c>
      <c r="AU1391">
        <f>IF($AR1391="","",IF($AR1391=0,LN($F1391/$AS1391)/$AT1391,((($F1391/$AS1391)^$AR1391)-1)/($AR1391*$AT1391)))</f>
        <v/>
      </c>
      <c r="AV1391">
        <f>IF($AR1391="","",IF($AR1391=0,$AS1391*EXP($AT1391*2),$AS1391*(1+$AR1391*$AT1391*2)^(1/$AR1391)))</f>
        <v/>
      </c>
      <c r="AW1391">
        <f>IF($AR1391="","",IF($AR1391=0,$AS1391*EXP($AT1391*3),$AS1391*(1+$AR1391*$AT1391*3)^(1/$AR1391)))</f>
        <v/>
      </c>
      <c r="AX1391">
        <f>IF($AR1391="","",IF($AR1391=0,$AS1391*EXP($AT1391*-2),$AS1391*(1+$AR1391*$AT1391*-2)^(1/$AR1391)))</f>
        <v/>
      </c>
      <c r="AY1391">
        <f>IF($AR1391="","",IF($AR1391=0,$AS1391*EXP($AT1391*-3),$AS1391*(1+$AR1391*$AT1391*-3)^(1/$AR1391)))</f>
        <v/>
      </c>
      <c r="AZ1391">
        <f>IF(OR($A1391="",$A1391&lt;&gt;Ficha!$C$4),"",COUNTIF($A$2:$A1391,Ficha!$C$4))</f>
        <v/>
      </c>
    </row>
    <row r="1392">
      <c r="A1392" s="8">
        <f>IF(INDEX(Banco!$A:$A,ROW())="","",INDEX(Banco!$A:$A,ROW()))</f>
        <v/>
      </c>
      <c r="B1392" s="8">
        <f>IF(INDEX(Banco!$B:$B,ROW())="","",INDEX(Banco!$B:$B,ROW()))</f>
        <v/>
      </c>
      <c r="C1392" s="8">
        <f>IF(INDEX(Banco!$C:$C,ROW())="","",INDEX(Banco!$C:$C,ROW()))</f>
        <v/>
      </c>
      <c r="D1392" s="9">
        <f>IF(INDEX(Banco!$D:$D,ROW())="","",INDEX(Banco!$D:$D,ROW()))</f>
        <v/>
      </c>
      <c r="E1392" s="9">
        <f>IF(INDEX(Banco!$E:$E,ROW())="","",INDEX(Banco!$E:$E,ROW()))</f>
        <v/>
      </c>
      <c r="F1392" s="10">
        <f>IF(INDEX(Banco!$F:$F,ROW())="","",INDEX(Banco!$F:$F,ROW()))</f>
        <v/>
      </c>
      <c r="G1392" s="10">
        <f>IF(INDEX(Banco!$G:$G,ROW())="","",INDEX(Banco!$G:$G,ROW()))</f>
        <v/>
      </c>
      <c r="H1392" s="8">
        <f>IF(INDEX(Banco!$H:$H,ROW())="","",INDEX(Banco!$H:$H,ROW()))</f>
        <v/>
      </c>
      <c r="I1392">
        <f>IF($T1392="","",INT($T1392/12)&amp;"a "&amp;MOD($T1392,12)&amp;"m")</f>
        <v/>
      </c>
      <c r="J1392" s="11">
        <f>IF(OR($F1392="",$G1392=""),"",ROUND($F1392/($G1392/100)^2,2))</f>
        <v/>
      </c>
      <c r="K1392" s="12">
        <f>IF(OR($S1392="",$J1392="",$T1392="",$T1392&lt;0,$T1392&gt;228,$Y1392=""),"—",ROUND(IF(ABS($AB1392)&lt;=3,$AB1392,IF($AB1392&gt;3,3+($J1392-$AD1392)/($AD1392-$AC1392),-3+($J1392-$AF1392)/($AE1392-$AF1392))),2))</f>
        <v/>
      </c>
      <c r="L1392">
        <f>IF(OR($K1392="",$K1392="—"),"",IF($T1392&lt;=60,IF($K1392&lt;-3,"Magreza acentuada",IF($K1392&lt;-2,"Magreza",IF($K1392&lt;=1,"Eutrofia",IF($K1392&lt;=2,"Risco de sobrepeso",IF($K1392&lt;=3,"Sobrepeso","Obesidade"))))),IF($K1392&lt;-3,"Magreza acentuada",IF($K1392&lt;-2,"Magreza",IF($K1392&lt;=1,"Eutrofia",IF($K1392&lt;=2,"Sobrepeso",IF($K1392&lt;=3,"Obesidade","Obesidade grave")))))))</f>
        <v/>
      </c>
      <c r="M1392" s="12">
        <f>IF(OR($S1392="",$V1392="",$T1392="",$T1392&lt;0,$T1392&gt;228,$AG1392=""),"—",ROUND(IF($AG1392=0,LN($V1392/$AH1392)/$AI1392,((($V1392/$AH1392)^$AG1392)-1)/($AG1392*$AI1392)),2))</f>
        <v/>
      </c>
      <c r="N1392">
        <f>IF(OR($M1392="",$M1392="—"),"",IF($M1392&lt;-3,"Muito baixa",IF($M1392&lt;-2,"Baixa","Adequada")))</f>
        <v/>
      </c>
      <c r="O1392" s="12">
        <f>IF(OR($S1392="",$F1392="",$T1392="",$T1392&lt;0,$T1392&gt;120,$AJ1392=""),"—",ROUND(IF(ABS($AM1392)&lt;=3,$AM1392,IF($AM1392&gt;3,3+($F1392-$AO1392)/($AO1392-$AN1392),-3+($F1392-$AQ1392)/($AP1392-$AQ1392))),2))</f>
        <v/>
      </c>
      <c r="P1392">
        <f>IF(OR($O1392="",$O1392="—"),"",IF($O1392&lt;-3,"Muito baixo",IF($O1392&lt;-2,"Baixo",IF($O1392&lt;=2,"Adequado","Elevado"))))</f>
        <v/>
      </c>
      <c r="Q1392" s="12">
        <f>IF(OR($S1392="",$F1392="",$T1392="",$T1392&lt;0,$T1392&gt;60,$AR1392=""),"—",ROUND(IF(ABS($AU1392)&lt;=3,$AU1392,IF($AU1392&gt;3,3+($F1392-$AW1392)/($AW1392-$AV1392),-3+($F1392-$AY1392)/($AX1392-$AY1392))),2))</f>
        <v/>
      </c>
      <c r="R1392">
        <f>IF(OR($Q1392="",$Q1392="—"),"",IF($Q1392&lt;-3,"Magreza acentuada",IF($Q1392&lt;-2,"Magreza",IF($Q1392&lt;=1,"Eutrofia",IF($Q1392&lt;=2,"Risco de sobrepeso",IF($Q1392&lt;=3,"Sobrepeso","Obesidade"))))))</f>
        <v/>
      </c>
      <c r="S1392">
        <f>IF($C1392="","",IF(UPPER(LEFT($C1392,1))="M",1,IF(UPPER(LEFT($C1392,1))="F",2,"")))</f>
        <v/>
      </c>
      <c r="T1392">
        <f>IF(OR($D1392="",$E1392=""),"",DATEDIF($D1392,$E1392,"m"))</f>
        <v/>
      </c>
      <c r="U1392">
        <f>IF(OR($D1392="",$E1392=""),"",$E1392-$D1392)</f>
        <v/>
      </c>
      <c r="V1392">
        <f>IF(OR($G1392="",$T1392=""),"",IF($T1392&lt;24,IF(LEFT(LOWER($H1392),4)="em p",$G1392+0.7,$G1392),IF(LEFT(LOWER($H1392),4)="deit",$G1392-0.7,$G1392)))</f>
        <v/>
      </c>
      <c r="W1392">
        <f>IF(OR($S1392="",$T1392=""),"",$S1392*1000000+IF($T1392&lt;=60,$U1392,$T1392))</f>
        <v/>
      </c>
      <c r="X1392">
        <f>IF(OR($S1392="",$V1392="",$T1392&gt;60,$T1392=""),"",$S1392*1000000+ROUND($V1392*10,0))</f>
        <v/>
      </c>
      <c r="Y1392">
        <f>IF($W1392="","",IFERROR(INDEX(IF($T1392&lt;=60,imc05_l,imc519_l),MATCH($W1392,IF($T1392&lt;=60,imc05_k,imc519_k),1)),""))</f>
        <v/>
      </c>
      <c r="Z1392">
        <f>IF($W1392="","",IFERROR(INDEX(IF($T1392&lt;=60,imc05_m,imc519_m),MATCH($W1392,IF($T1392&lt;=60,imc05_k,imc519_k),1)),""))</f>
        <v/>
      </c>
      <c r="AA1392">
        <f>IF($W1392="","",IFERROR(INDEX(IF($T1392&lt;=60,imc05_s,imc519_s),MATCH($W1392,IF($T1392&lt;=60,imc05_k,imc519_k),1)),""))</f>
        <v/>
      </c>
      <c r="AB1392">
        <f>IF($Y1392="","",IF($Y1392=0,LN($J1392/$Z1392)/$AA1392,((($J1392/$Z1392)^$Y1392)-1)/($Y1392*$AA1392)))</f>
        <v/>
      </c>
      <c r="AC1392">
        <f>IF($Y1392="","",IF($Y1392=0,$Z1392*EXP($AA1392*2),$Z1392*(1+$Y1392*$AA1392*2)^(1/$Y1392)))</f>
        <v/>
      </c>
      <c r="AD1392">
        <f>IF($Y1392="","",IF($Y1392=0,$Z1392*EXP($AA1392*3),$Z1392*(1+$Y1392*$AA1392*3)^(1/$Y1392)))</f>
        <v/>
      </c>
      <c r="AE1392">
        <f>IF($Y1392="","",IF($Y1392=0,$Z1392*EXP($AA1392*-2),$Z1392*(1+$Y1392*$AA1392*-2)^(1/$Y1392)))</f>
        <v/>
      </c>
      <c r="AF1392">
        <f>IF($Y1392="","",IF($Y1392=0,$Z1392*EXP($AA1392*-3),$Z1392*(1+$Y1392*$AA1392*-3)^(1/$Y1392)))</f>
        <v/>
      </c>
      <c r="AG1392">
        <f>IF($W1392="","",IFERROR(INDEX(IF($T1392&lt;=60,est05_l,est519_l),MATCH($W1392,IF($T1392&lt;=60,est05_k,est519_k),1)),""))</f>
        <v/>
      </c>
      <c r="AH1392">
        <f>IF($W1392="","",IFERROR(INDEX(IF($T1392&lt;=60,est05_m,est519_m),MATCH($W1392,IF($T1392&lt;=60,est05_k,est519_k),1)),""))</f>
        <v/>
      </c>
      <c r="AI1392">
        <f>IF($W1392="","",IFERROR(INDEX(IF($T1392&lt;=60,est05_s,est519_s),MATCH($W1392,IF($T1392&lt;=60,est05_k,est519_k),1)),""))</f>
        <v/>
      </c>
      <c r="AJ1392">
        <f>IF($W1392="","",IFERROR(INDEX(IF($T1392&lt;=60,peso05_l,peso510_l),MATCH($W1392,IF($T1392&lt;=60,peso05_k,peso510_k),1)),""))</f>
        <v/>
      </c>
      <c r="AK1392">
        <f>IF($W1392="","",IFERROR(INDEX(IF($T1392&lt;=60,peso05_m,peso510_m),MATCH($W1392,IF($T1392&lt;=60,peso05_k,peso510_k),1)),""))</f>
        <v/>
      </c>
      <c r="AL1392">
        <f>IF($W1392="","",IFERROR(INDEX(IF($T1392&lt;=60,peso05_s,peso510_s),MATCH($W1392,IF($T1392&lt;=60,peso05_k,peso510_k),1)),""))</f>
        <v/>
      </c>
      <c r="AM1392">
        <f>IF($AJ1392="","",IF($AJ1392=0,LN($F1392/$AK1392)/$AL1392,((($F1392/$AK1392)^$AJ1392)-1)/($AJ1392*$AL1392)))</f>
        <v/>
      </c>
      <c r="AN1392">
        <f>IF($AJ1392="","",IF($AJ1392=0,$AK1392*EXP($AL1392*2),$AK1392*(1+$AJ1392*$AL1392*2)^(1/$AJ1392)))</f>
        <v/>
      </c>
      <c r="AO1392">
        <f>IF($AJ1392="","",IF($AJ1392=0,$AK1392*EXP($AL1392*3),$AK1392*(1+$AJ1392*$AL1392*3)^(1/$AJ1392)))</f>
        <v/>
      </c>
      <c r="AP1392">
        <f>IF($AJ1392="","",IF($AJ1392=0,$AK1392*EXP($AL1392*-2),$AK1392*(1+$AJ1392*$AL1392*-2)^(1/$AJ1392)))</f>
        <v/>
      </c>
      <c r="AQ1392">
        <f>IF($AJ1392="","",IF($AJ1392=0,$AK1392*EXP($AL1392*-3),$AK1392*(1+$AJ1392*$AL1392*-3)^(1/$AJ1392)))</f>
        <v/>
      </c>
      <c r="AR1392">
        <f>IF(OR($X1392="",$T1392&gt;60),"",IFERROR(INDEX(IF($T1392&lt;24,pcomp_l,palt_l),MATCH($X1392,IF($T1392&lt;24,pcomp_k,palt_k),1)),""))</f>
        <v/>
      </c>
      <c r="AS1392">
        <f>IF(OR($X1392="",$T1392&gt;60),"",IFERROR(INDEX(IF($T1392&lt;24,pcomp_m,palt_m),MATCH($X1392,IF($T1392&lt;24,pcomp_k,palt_k),1)),""))</f>
        <v/>
      </c>
      <c r="AT1392">
        <f>IF(OR($X1392="",$T1392&gt;60),"",IFERROR(INDEX(IF($T1392&lt;24,pcomp_s,palt_s),MATCH($X1392,IF($T1392&lt;24,pcomp_k,palt_k),1)),""))</f>
        <v/>
      </c>
      <c r="AU1392">
        <f>IF($AR1392="","",IF($AR1392=0,LN($F1392/$AS1392)/$AT1392,((($F1392/$AS1392)^$AR1392)-1)/($AR1392*$AT1392)))</f>
        <v/>
      </c>
      <c r="AV1392">
        <f>IF($AR1392="","",IF($AR1392=0,$AS1392*EXP($AT1392*2),$AS1392*(1+$AR1392*$AT1392*2)^(1/$AR1392)))</f>
        <v/>
      </c>
      <c r="AW1392">
        <f>IF($AR1392="","",IF($AR1392=0,$AS1392*EXP($AT1392*3),$AS1392*(1+$AR1392*$AT1392*3)^(1/$AR1392)))</f>
        <v/>
      </c>
      <c r="AX1392">
        <f>IF($AR1392="","",IF($AR1392=0,$AS1392*EXP($AT1392*-2),$AS1392*(1+$AR1392*$AT1392*-2)^(1/$AR1392)))</f>
        <v/>
      </c>
      <c r="AY1392">
        <f>IF($AR1392="","",IF($AR1392=0,$AS1392*EXP($AT1392*-3),$AS1392*(1+$AR1392*$AT1392*-3)^(1/$AR1392)))</f>
        <v/>
      </c>
      <c r="AZ1392">
        <f>IF(OR($A1392="",$A1392&lt;&gt;Ficha!$C$4),"",COUNTIF($A$2:$A1392,Ficha!$C$4))</f>
        <v/>
      </c>
    </row>
    <row r="1393">
      <c r="A1393" s="8">
        <f>IF(INDEX(Banco!$A:$A,ROW())="","",INDEX(Banco!$A:$A,ROW()))</f>
        <v/>
      </c>
      <c r="B1393" s="8">
        <f>IF(INDEX(Banco!$B:$B,ROW())="","",INDEX(Banco!$B:$B,ROW()))</f>
        <v/>
      </c>
      <c r="C1393" s="8">
        <f>IF(INDEX(Banco!$C:$C,ROW())="","",INDEX(Banco!$C:$C,ROW()))</f>
        <v/>
      </c>
      <c r="D1393" s="9">
        <f>IF(INDEX(Banco!$D:$D,ROW())="","",INDEX(Banco!$D:$D,ROW()))</f>
        <v/>
      </c>
      <c r="E1393" s="9">
        <f>IF(INDEX(Banco!$E:$E,ROW())="","",INDEX(Banco!$E:$E,ROW()))</f>
        <v/>
      </c>
      <c r="F1393" s="10">
        <f>IF(INDEX(Banco!$F:$F,ROW())="","",INDEX(Banco!$F:$F,ROW()))</f>
        <v/>
      </c>
      <c r="G1393" s="10">
        <f>IF(INDEX(Banco!$G:$G,ROW())="","",INDEX(Banco!$G:$G,ROW()))</f>
        <v/>
      </c>
      <c r="H1393" s="8">
        <f>IF(INDEX(Banco!$H:$H,ROW())="","",INDEX(Banco!$H:$H,ROW()))</f>
        <v/>
      </c>
      <c r="I1393">
        <f>IF($T1393="","",INT($T1393/12)&amp;"a "&amp;MOD($T1393,12)&amp;"m")</f>
        <v/>
      </c>
      <c r="J1393" s="11">
        <f>IF(OR($F1393="",$G1393=""),"",ROUND($F1393/($G1393/100)^2,2))</f>
        <v/>
      </c>
      <c r="K1393" s="12">
        <f>IF(OR($S1393="",$J1393="",$T1393="",$T1393&lt;0,$T1393&gt;228,$Y1393=""),"—",ROUND(IF(ABS($AB1393)&lt;=3,$AB1393,IF($AB1393&gt;3,3+($J1393-$AD1393)/($AD1393-$AC1393),-3+($J1393-$AF1393)/($AE1393-$AF1393))),2))</f>
        <v/>
      </c>
      <c r="L1393">
        <f>IF(OR($K1393="",$K1393="—"),"",IF($T1393&lt;=60,IF($K1393&lt;-3,"Magreza acentuada",IF($K1393&lt;-2,"Magreza",IF($K1393&lt;=1,"Eutrofia",IF($K1393&lt;=2,"Risco de sobrepeso",IF($K1393&lt;=3,"Sobrepeso","Obesidade"))))),IF($K1393&lt;-3,"Magreza acentuada",IF($K1393&lt;-2,"Magreza",IF($K1393&lt;=1,"Eutrofia",IF($K1393&lt;=2,"Sobrepeso",IF($K1393&lt;=3,"Obesidade","Obesidade grave")))))))</f>
        <v/>
      </c>
      <c r="M1393" s="12">
        <f>IF(OR($S1393="",$V1393="",$T1393="",$T1393&lt;0,$T1393&gt;228,$AG1393=""),"—",ROUND(IF($AG1393=0,LN($V1393/$AH1393)/$AI1393,((($V1393/$AH1393)^$AG1393)-1)/($AG1393*$AI1393)),2))</f>
        <v/>
      </c>
      <c r="N1393">
        <f>IF(OR($M1393="",$M1393="—"),"",IF($M1393&lt;-3,"Muito baixa",IF($M1393&lt;-2,"Baixa","Adequada")))</f>
        <v/>
      </c>
      <c r="O1393" s="12">
        <f>IF(OR($S1393="",$F1393="",$T1393="",$T1393&lt;0,$T1393&gt;120,$AJ1393=""),"—",ROUND(IF(ABS($AM1393)&lt;=3,$AM1393,IF($AM1393&gt;3,3+($F1393-$AO1393)/($AO1393-$AN1393),-3+($F1393-$AQ1393)/($AP1393-$AQ1393))),2))</f>
        <v/>
      </c>
      <c r="P1393">
        <f>IF(OR($O1393="",$O1393="—"),"",IF($O1393&lt;-3,"Muito baixo",IF($O1393&lt;-2,"Baixo",IF($O1393&lt;=2,"Adequado","Elevado"))))</f>
        <v/>
      </c>
      <c r="Q1393" s="12">
        <f>IF(OR($S1393="",$F1393="",$T1393="",$T1393&lt;0,$T1393&gt;60,$AR1393=""),"—",ROUND(IF(ABS($AU1393)&lt;=3,$AU1393,IF($AU1393&gt;3,3+($F1393-$AW1393)/($AW1393-$AV1393),-3+($F1393-$AY1393)/($AX1393-$AY1393))),2))</f>
        <v/>
      </c>
      <c r="R1393">
        <f>IF(OR($Q1393="",$Q1393="—"),"",IF($Q1393&lt;-3,"Magreza acentuada",IF($Q1393&lt;-2,"Magreza",IF($Q1393&lt;=1,"Eutrofia",IF($Q1393&lt;=2,"Risco de sobrepeso",IF($Q1393&lt;=3,"Sobrepeso","Obesidade"))))))</f>
        <v/>
      </c>
      <c r="S1393">
        <f>IF($C1393="","",IF(UPPER(LEFT($C1393,1))="M",1,IF(UPPER(LEFT($C1393,1))="F",2,"")))</f>
        <v/>
      </c>
      <c r="T1393">
        <f>IF(OR($D1393="",$E1393=""),"",DATEDIF($D1393,$E1393,"m"))</f>
        <v/>
      </c>
      <c r="U1393">
        <f>IF(OR($D1393="",$E1393=""),"",$E1393-$D1393)</f>
        <v/>
      </c>
      <c r="V1393">
        <f>IF(OR($G1393="",$T1393=""),"",IF($T1393&lt;24,IF(LEFT(LOWER($H1393),4)="em p",$G1393+0.7,$G1393),IF(LEFT(LOWER($H1393),4)="deit",$G1393-0.7,$G1393)))</f>
        <v/>
      </c>
      <c r="W1393">
        <f>IF(OR($S1393="",$T1393=""),"",$S1393*1000000+IF($T1393&lt;=60,$U1393,$T1393))</f>
        <v/>
      </c>
      <c r="X1393">
        <f>IF(OR($S1393="",$V1393="",$T1393&gt;60,$T1393=""),"",$S1393*1000000+ROUND($V1393*10,0))</f>
        <v/>
      </c>
      <c r="Y1393">
        <f>IF($W1393="","",IFERROR(INDEX(IF($T1393&lt;=60,imc05_l,imc519_l),MATCH($W1393,IF($T1393&lt;=60,imc05_k,imc519_k),1)),""))</f>
        <v/>
      </c>
      <c r="Z1393">
        <f>IF($W1393="","",IFERROR(INDEX(IF($T1393&lt;=60,imc05_m,imc519_m),MATCH($W1393,IF($T1393&lt;=60,imc05_k,imc519_k),1)),""))</f>
        <v/>
      </c>
      <c r="AA1393">
        <f>IF($W1393="","",IFERROR(INDEX(IF($T1393&lt;=60,imc05_s,imc519_s),MATCH($W1393,IF($T1393&lt;=60,imc05_k,imc519_k),1)),""))</f>
        <v/>
      </c>
      <c r="AB1393">
        <f>IF($Y1393="","",IF($Y1393=0,LN($J1393/$Z1393)/$AA1393,((($J1393/$Z1393)^$Y1393)-1)/($Y1393*$AA1393)))</f>
        <v/>
      </c>
      <c r="AC1393">
        <f>IF($Y1393="","",IF($Y1393=0,$Z1393*EXP($AA1393*2),$Z1393*(1+$Y1393*$AA1393*2)^(1/$Y1393)))</f>
        <v/>
      </c>
      <c r="AD1393">
        <f>IF($Y1393="","",IF($Y1393=0,$Z1393*EXP($AA1393*3),$Z1393*(1+$Y1393*$AA1393*3)^(1/$Y1393)))</f>
        <v/>
      </c>
      <c r="AE1393">
        <f>IF($Y1393="","",IF($Y1393=0,$Z1393*EXP($AA1393*-2),$Z1393*(1+$Y1393*$AA1393*-2)^(1/$Y1393)))</f>
        <v/>
      </c>
      <c r="AF1393">
        <f>IF($Y1393="","",IF($Y1393=0,$Z1393*EXP($AA1393*-3),$Z1393*(1+$Y1393*$AA1393*-3)^(1/$Y1393)))</f>
        <v/>
      </c>
      <c r="AG1393">
        <f>IF($W1393="","",IFERROR(INDEX(IF($T1393&lt;=60,est05_l,est519_l),MATCH($W1393,IF($T1393&lt;=60,est05_k,est519_k),1)),""))</f>
        <v/>
      </c>
      <c r="AH1393">
        <f>IF($W1393="","",IFERROR(INDEX(IF($T1393&lt;=60,est05_m,est519_m),MATCH($W1393,IF($T1393&lt;=60,est05_k,est519_k),1)),""))</f>
        <v/>
      </c>
      <c r="AI1393">
        <f>IF($W1393="","",IFERROR(INDEX(IF($T1393&lt;=60,est05_s,est519_s),MATCH($W1393,IF($T1393&lt;=60,est05_k,est519_k),1)),""))</f>
        <v/>
      </c>
      <c r="AJ1393">
        <f>IF($W1393="","",IFERROR(INDEX(IF($T1393&lt;=60,peso05_l,peso510_l),MATCH($W1393,IF($T1393&lt;=60,peso05_k,peso510_k),1)),""))</f>
        <v/>
      </c>
      <c r="AK1393">
        <f>IF($W1393="","",IFERROR(INDEX(IF($T1393&lt;=60,peso05_m,peso510_m),MATCH($W1393,IF($T1393&lt;=60,peso05_k,peso510_k),1)),""))</f>
        <v/>
      </c>
      <c r="AL1393">
        <f>IF($W1393="","",IFERROR(INDEX(IF($T1393&lt;=60,peso05_s,peso510_s),MATCH($W1393,IF($T1393&lt;=60,peso05_k,peso510_k),1)),""))</f>
        <v/>
      </c>
      <c r="AM1393">
        <f>IF($AJ1393="","",IF($AJ1393=0,LN($F1393/$AK1393)/$AL1393,((($F1393/$AK1393)^$AJ1393)-1)/($AJ1393*$AL1393)))</f>
        <v/>
      </c>
      <c r="AN1393">
        <f>IF($AJ1393="","",IF($AJ1393=0,$AK1393*EXP($AL1393*2),$AK1393*(1+$AJ1393*$AL1393*2)^(1/$AJ1393)))</f>
        <v/>
      </c>
      <c r="AO1393">
        <f>IF($AJ1393="","",IF($AJ1393=0,$AK1393*EXP($AL1393*3),$AK1393*(1+$AJ1393*$AL1393*3)^(1/$AJ1393)))</f>
        <v/>
      </c>
      <c r="AP1393">
        <f>IF($AJ1393="","",IF($AJ1393=0,$AK1393*EXP($AL1393*-2),$AK1393*(1+$AJ1393*$AL1393*-2)^(1/$AJ1393)))</f>
        <v/>
      </c>
      <c r="AQ1393">
        <f>IF($AJ1393="","",IF($AJ1393=0,$AK1393*EXP($AL1393*-3),$AK1393*(1+$AJ1393*$AL1393*-3)^(1/$AJ1393)))</f>
        <v/>
      </c>
      <c r="AR1393">
        <f>IF(OR($X1393="",$T1393&gt;60),"",IFERROR(INDEX(IF($T1393&lt;24,pcomp_l,palt_l),MATCH($X1393,IF($T1393&lt;24,pcomp_k,palt_k),1)),""))</f>
        <v/>
      </c>
      <c r="AS1393">
        <f>IF(OR($X1393="",$T1393&gt;60),"",IFERROR(INDEX(IF($T1393&lt;24,pcomp_m,palt_m),MATCH($X1393,IF($T1393&lt;24,pcomp_k,palt_k),1)),""))</f>
        <v/>
      </c>
      <c r="AT1393">
        <f>IF(OR($X1393="",$T1393&gt;60),"",IFERROR(INDEX(IF($T1393&lt;24,pcomp_s,palt_s),MATCH($X1393,IF($T1393&lt;24,pcomp_k,palt_k),1)),""))</f>
        <v/>
      </c>
      <c r="AU1393">
        <f>IF($AR1393="","",IF($AR1393=0,LN($F1393/$AS1393)/$AT1393,((($F1393/$AS1393)^$AR1393)-1)/($AR1393*$AT1393)))</f>
        <v/>
      </c>
      <c r="AV1393">
        <f>IF($AR1393="","",IF($AR1393=0,$AS1393*EXP($AT1393*2),$AS1393*(1+$AR1393*$AT1393*2)^(1/$AR1393)))</f>
        <v/>
      </c>
      <c r="AW1393">
        <f>IF($AR1393="","",IF($AR1393=0,$AS1393*EXP($AT1393*3),$AS1393*(1+$AR1393*$AT1393*3)^(1/$AR1393)))</f>
        <v/>
      </c>
      <c r="AX1393">
        <f>IF($AR1393="","",IF($AR1393=0,$AS1393*EXP($AT1393*-2),$AS1393*(1+$AR1393*$AT1393*-2)^(1/$AR1393)))</f>
        <v/>
      </c>
      <c r="AY1393">
        <f>IF($AR1393="","",IF($AR1393=0,$AS1393*EXP($AT1393*-3),$AS1393*(1+$AR1393*$AT1393*-3)^(1/$AR1393)))</f>
        <v/>
      </c>
      <c r="AZ1393">
        <f>IF(OR($A1393="",$A1393&lt;&gt;Ficha!$C$4),"",COUNTIF($A$2:$A1393,Ficha!$C$4))</f>
        <v/>
      </c>
    </row>
    <row r="1394">
      <c r="A1394" s="8">
        <f>IF(INDEX(Banco!$A:$A,ROW())="","",INDEX(Banco!$A:$A,ROW()))</f>
        <v/>
      </c>
      <c r="B1394" s="8">
        <f>IF(INDEX(Banco!$B:$B,ROW())="","",INDEX(Banco!$B:$B,ROW()))</f>
        <v/>
      </c>
      <c r="C1394" s="8">
        <f>IF(INDEX(Banco!$C:$C,ROW())="","",INDEX(Banco!$C:$C,ROW()))</f>
        <v/>
      </c>
      <c r="D1394" s="9">
        <f>IF(INDEX(Banco!$D:$D,ROW())="","",INDEX(Banco!$D:$D,ROW()))</f>
        <v/>
      </c>
      <c r="E1394" s="9">
        <f>IF(INDEX(Banco!$E:$E,ROW())="","",INDEX(Banco!$E:$E,ROW()))</f>
        <v/>
      </c>
      <c r="F1394" s="10">
        <f>IF(INDEX(Banco!$F:$F,ROW())="","",INDEX(Banco!$F:$F,ROW()))</f>
        <v/>
      </c>
      <c r="G1394" s="10">
        <f>IF(INDEX(Banco!$G:$G,ROW())="","",INDEX(Banco!$G:$G,ROW()))</f>
        <v/>
      </c>
      <c r="H1394" s="8">
        <f>IF(INDEX(Banco!$H:$H,ROW())="","",INDEX(Banco!$H:$H,ROW()))</f>
        <v/>
      </c>
      <c r="I1394">
        <f>IF($T1394="","",INT($T1394/12)&amp;"a "&amp;MOD($T1394,12)&amp;"m")</f>
        <v/>
      </c>
      <c r="J1394" s="11">
        <f>IF(OR($F1394="",$G1394=""),"",ROUND($F1394/($G1394/100)^2,2))</f>
        <v/>
      </c>
      <c r="K1394" s="12">
        <f>IF(OR($S1394="",$J1394="",$T1394="",$T1394&lt;0,$T1394&gt;228,$Y1394=""),"—",ROUND(IF(ABS($AB1394)&lt;=3,$AB1394,IF($AB1394&gt;3,3+($J1394-$AD1394)/($AD1394-$AC1394),-3+($J1394-$AF1394)/($AE1394-$AF1394))),2))</f>
        <v/>
      </c>
      <c r="L1394">
        <f>IF(OR($K1394="",$K1394="—"),"",IF($T1394&lt;=60,IF($K1394&lt;-3,"Magreza acentuada",IF($K1394&lt;-2,"Magreza",IF($K1394&lt;=1,"Eutrofia",IF($K1394&lt;=2,"Risco de sobrepeso",IF($K1394&lt;=3,"Sobrepeso","Obesidade"))))),IF($K1394&lt;-3,"Magreza acentuada",IF($K1394&lt;-2,"Magreza",IF($K1394&lt;=1,"Eutrofia",IF($K1394&lt;=2,"Sobrepeso",IF($K1394&lt;=3,"Obesidade","Obesidade grave")))))))</f>
        <v/>
      </c>
      <c r="M1394" s="12">
        <f>IF(OR($S1394="",$V1394="",$T1394="",$T1394&lt;0,$T1394&gt;228,$AG1394=""),"—",ROUND(IF($AG1394=0,LN($V1394/$AH1394)/$AI1394,((($V1394/$AH1394)^$AG1394)-1)/($AG1394*$AI1394)),2))</f>
        <v/>
      </c>
      <c r="N1394">
        <f>IF(OR($M1394="",$M1394="—"),"",IF($M1394&lt;-3,"Muito baixa",IF($M1394&lt;-2,"Baixa","Adequada")))</f>
        <v/>
      </c>
      <c r="O1394" s="12">
        <f>IF(OR($S1394="",$F1394="",$T1394="",$T1394&lt;0,$T1394&gt;120,$AJ1394=""),"—",ROUND(IF(ABS($AM1394)&lt;=3,$AM1394,IF($AM1394&gt;3,3+($F1394-$AO1394)/($AO1394-$AN1394),-3+($F1394-$AQ1394)/($AP1394-$AQ1394))),2))</f>
        <v/>
      </c>
      <c r="P1394">
        <f>IF(OR($O1394="",$O1394="—"),"",IF($O1394&lt;-3,"Muito baixo",IF($O1394&lt;-2,"Baixo",IF($O1394&lt;=2,"Adequado","Elevado"))))</f>
        <v/>
      </c>
      <c r="Q1394" s="12">
        <f>IF(OR($S1394="",$F1394="",$T1394="",$T1394&lt;0,$T1394&gt;60,$AR1394=""),"—",ROUND(IF(ABS($AU1394)&lt;=3,$AU1394,IF($AU1394&gt;3,3+($F1394-$AW1394)/($AW1394-$AV1394),-3+($F1394-$AY1394)/($AX1394-$AY1394))),2))</f>
        <v/>
      </c>
      <c r="R1394">
        <f>IF(OR($Q1394="",$Q1394="—"),"",IF($Q1394&lt;-3,"Magreza acentuada",IF($Q1394&lt;-2,"Magreza",IF($Q1394&lt;=1,"Eutrofia",IF($Q1394&lt;=2,"Risco de sobrepeso",IF($Q1394&lt;=3,"Sobrepeso","Obesidade"))))))</f>
        <v/>
      </c>
      <c r="S1394">
        <f>IF($C1394="","",IF(UPPER(LEFT($C1394,1))="M",1,IF(UPPER(LEFT($C1394,1))="F",2,"")))</f>
        <v/>
      </c>
      <c r="T1394">
        <f>IF(OR($D1394="",$E1394=""),"",DATEDIF($D1394,$E1394,"m"))</f>
        <v/>
      </c>
      <c r="U1394">
        <f>IF(OR($D1394="",$E1394=""),"",$E1394-$D1394)</f>
        <v/>
      </c>
      <c r="V1394">
        <f>IF(OR($G1394="",$T1394=""),"",IF($T1394&lt;24,IF(LEFT(LOWER($H1394),4)="em p",$G1394+0.7,$G1394),IF(LEFT(LOWER($H1394),4)="deit",$G1394-0.7,$G1394)))</f>
        <v/>
      </c>
      <c r="W1394">
        <f>IF(OR($S1394="",$T1394=""),"",$S1394*1000000+IF($T1394&lt;=60,$U1394,$T1394))</f>
        <v/>
      </c>
      <c r="X1394">
        <f>IF(OR($S1394="",$V1394="",$T1394&gt;60,$T1394=""),"",$S1394*1000000+ROUND($V1394*10,0))</f>
        <v/>
      </c>
      <c r="Y1394">
        <f>IF($W1394="","",IFERROR(INDEX(IF($T1394&lt;=60,imc05_l,imc519_l),MATCH($W1394,IF($T1394&lt;=60,imc05_k,imc519_k),1)),""))</f>
        <v/>
      </c>
      <c r="Z1394">
        <f>IF($W1394="","",IFERROR(INDEX(IF($T1394&lt;=60,imc05_m,imc519_m),MATCH($W1394,IF($T1394&lt;=60,imc05_k,imc519_k),1)),""))</f>
        <v/>
      </c>
      <c r="AA1394">
        <f>IF($W1394="","",IFERROR(INDEX(IF($T1394&lt;=60,imc05_s,imc519_s),MATCH($W1394,IF($T1394&lt;=60,imc05_k,imc519_k),1)),""))</f>
        <v/>
      </c>
      <c r="AB1394">
        <f>IF($Y1394="","",IF($Y1394=0,LN($J1394/$Z1394)/$AA1394,((($J1394/$Z1394)^$Y1394)-1)/($Y1394*$AA1394)))</f>
        <v/>
      </c>
      <c r="AC1394">
        <f>IF($Y1394="","",IF($Y1394=0,$Z1394*EXP($AA1394*2),$Z1394*(1+$Y1394*$AA1394*2)^(1/$Y1394)))</f>
        <v/>
      </c>
      <c r="AD1394">
        <f>IF($Y1394="","",IF($Y1394=0,$Z1394*EXP($AA1394*3),$Z1394*(1+$Y1394*$AA1394*3)^(1/$Y1394)))</f>
        <v/>
      </c>
      <c r="AE1394">
        <f>IF($Y1394="","",IF($Y1394=0,$Z1394*EXP($AA1394*-2),$Z1394*(1+$Y1394*$AA1394*-2)^(1/$Y1394)))</f>
        <v/>
      </c>
      <c r="AF1394">
        <f>IF($Y1394="","",IF($Y1394=0,$Z1394*EXP($AA1394*-3),$Z1394*(1+$Y1394*$AA1394*-3)^(1/$Y1394)))</f>
        <v/>
      </c>
      <c r="AG1394">
        <f>IF($W1394="","",IFERROR(INDEX(IF($T1394&lt;=60,est05_l,est519_l),MATCH($W1394,IF($T1394&lt;=60,est05_k,est519_k),1)),""))</f>
        <v/>
      </c>
      <c r="AH1394">
        <f>IF($W1394="","",IFERROR(INDEX(IF($T1394&lt;=60,est05_m,est519_m),MATCH($W1394,IF($T1394&lt;=60,est05_k,est519_k),1)),""))</f>
        <v/>
      </c>
      <c r="AI1394">
        <f>IF($W1394="","",IFERROR(INDEX(IF($T1394&lt;=60,est05_s,est519_s),MATCH($W1394,IF($T1394&lt;=60,est05_k,est519_k),1)),""))</f>
        <v/>
      </c>
      <c r="AJ1394">
        <f>IF($W1394="","",IFERROR(INDEX(IF($T1394&lt;=60,peso05_l,peso510_l),MATCH($W1394,IF($T1394&lt;=60,peso05_k,peso510_k),1)),""))</f>
        <v/>
      </c>
      <c r="AK1394">
        <f>IF($W1394="","",IFERROR(INDEX(IF($T1394&lt;=60,peso05_m,peso510_m),MATCH($W1394,IF($T1394&lt;=60,peso05_k,peso510_k),1)),""))</f>
        <v/>
      </c>
      <c r="AL1394">
        <f>IF($W1394="","",IFERROR(INDEX(IF($T1394&lt;=60,peso05_s,peso510_s),MATCH($W1394,IF($T1394&lt;=60,peso05_k,peso510_k),1)),""))</f>
        <v/>
      </c>
      <c r="AM1394">
        <f>IF($AJ1394="","",IF($AJ1394=0,LN($F1394/$AK1394)/$AL1394,((($F1394/$AK1394)^$AJ1394)-1)/($AJ1394*$AL1394)))</f>
        <v/>
      </c>
      <c r="AN1394">
        <f>IF($AJ1394="","",IF($AJ1394=0,$AK1394*EXP($AL1394*2),$AK1394*(1+$AJ1394*$AL1394*2)^(1/$AJ1394)))</f>
        <v/>
      </c>
      <c r="AO1394">
        <f>IF($AJ1394="","",IF($AJ1394=0,$AK1394*EXP($AL1394*3),$AK1394*(1+$AJ1394*$AL1394*3)^(1/$AJ1394)))</f>
        <v/>
      </c>
      <c r="AP1394">
        <f>IF($AJ1394="","",IF($AJ1394=0,$AK1394*EXP($AL1394*-2),$AK1394*(1+$AJ1394*$AL1394*-2)^(1/$AJ1394)))</f>
        <v/>
      </c>
      <c r="AQ1394">
        <f>IF($AJ1394="","",IF($AJ1394=0,$AK1394*EXP($AL1394*-3),$AK1394*(1+$AJ1394*$AL1394*-3)^(1/$AJ1394)))</f>
        <v/>
      </c>
      <c r="AR1394">
        <f>IF(OR($X1394="",$T1394&gt;60),"",IFERROR(INDEX(IF($T1394&lt;24,pcomp_l,palt_l),MATCH($X1394,IF($T1394&lt;24,pcomp_k,palt_k),1)),""))</f>
        <v/>
      </c>
      <c r="AS1394">
        <f>IF(OR($X1394="",$T1394&gt;60),"",IFERROR(INDEX(IF($T1394&lt;24,pcomp_m,palt_m),MATCH($X1394,IF($T1394&lt;24,pcomp_k,palt_k),1)),""))</f>
        <v/>
      </c>
      <c r="AT1394">
        <f>IF(OR($X1394="",$T1394&gt;60),"",IFERROR(INDEX(IF($T1394&lt;24,pcomp_s,palt_s),MATCH($X1394,IF($T1394&lt;24,pcomp_k,palt_k),1)),""))</f>
        <v/>
      </c>
      <c r="AU1394">
        <f>IF($AR1394="","",IF($AR1394=0,LN($F1394/$AS1394)/$AT1394,((($F1394/$AS1394)^$AR1394)-1)/($AR1394*$AT1394)))</f>
        <v/>
      </c>
      <c r="AV1394">
        <f>IF($AR1394="","",IF($AR1394=0,$AS1394*EXP($AT1394*2),$AS1394*(1+$AR1394*$AT1394*2)^(1/$AR1394)))</f>
        <v/>
      </c>
      <c r="AW1394">
        <f>IF($AR1394="","",IF($AR1394=0,$AS1394*EXP($AT1394*3),$AS1394*(1+$AR1394*$AT1394*3)^(1/$AR1394)))</f>
        <v/>
      </c>
      <c r="AX1394">
        <f>IF($AR1394="","",IF($AR1394=0,$AS1394*EXP($AT1394*-2),$AS1394*(1+$AR1394*$AT1394*-2)^(1/$AR1394)))</f>
        <v/>
      </c>
      <c r="AY1394">
        <f>IF($AR1394="","",IF($AR1394=0,$AS1394*EXP($AT1394*-3),$AS1394*(1+$AR1394*$AT1394*-3)^(1/$AR1394)))</f>
        <v/>
      </c>
      <c r="AZ1394">
        <f>IF(OR($A1394="",$A1394&lt;&gt;Ficha!$C$4),"",COUNTIF($A$2:$A1394,Ficha!$C$4))</f>
        <v/>
      </c>
    </row>
    <row r="1395">
      <c r="A1395" s="8">
        <f>IF(INDEX(Banco!$A:$A,ROW())="","",INDEX(Banco!$A:$A,ROW()))</f>
        <v/>
      </c>
      <c r="B1395" s="8">
        <f>IF(INDEX(Banco!$B:$B,ROW())="","",INDEX(Banco!$B:$B,ROW()))</f>
        <v/>
      </c>
      <c r="C1395" s="8">
        <f>IF(INDEX(Banco!$C:$C,ROW())="","",INDEX(Banco!$C:$C,ROW()))</f>
        <v/>
      </c>
      <c r="D1395" s="9">
        <f>IF(INDEX(Banco!$D:$D,ROW())="","",INDEX(Banco!$D:$D,ROW()))</f>
        <v/>
      </c>
      <c r="E1395" s="9">
        <f>IF(INDEX(Banco!$E:$E,ROW())="","",INDEX(Banco!$E:$E,ROW()))</f>
        <v/>
      </c>
      <c r="F1395" s="10">
        <f>IF(INDEX(Banco!$F:$F,ROW())="","",INDEX(Banco!$F:$F,ROW()))</f>
        <v/>
      </c>
      <c r="G1395" s="10">
        <f>IF(INDEX(Banco!$G:$G,ROW())="","",INDEX(Banco!$G:$G,ROW()))</f>
        <v/>
      </c>
      <c r="H1395" s="8">
        <f>IF(INDEX(Banco!$H:$H,ROW())="","",INDEX(Banco!$H:$H,ROW()))</f>
        <v/>
      </c>
      <c r="I1395">
        <f>IF($T1395="","",INT($T1395/12)&amp;"a "&amp;MOD($T1395,12)&amp;"m")</f>
        <v/>
      </c>
      <c r="J1395" s="11">
        <f>IF(OR($F1395="",$G1395=""),"",ROUND($F1395/($G1395/100)^2,2))</f>
        <v/>
      </c>
      <c r="K1395" s="12">
        <f>IF(OR($S1395="",$J1395="",$T1395="",$T1395&lt;0,$T1395&gt;228,$Y1395=""),"—",ROUND(IF(ABS($AB1395)&lt;=3,$AB1395,IF($AB1395&gt;3,3+($J1395-$AD1395)/($AD1395-$AC1395),-3+($J1395-$AF1395)/($AE1395-$AF1395))),2))</f>
        <v/>
      </c>
      <c r="L1395">
        <f>IF(OR($K1395="",$K1395="—"),"",IF($T1395&lt;=60,IF($K1395&lt;-3,"Magreza acentuada",IF($K1395&lt;-2,"Magreza",IF($K1395&lt;=1,"Eutrofia",IF($K1395&lt;=2,"Risco de sobrepeso",IF($K1395&lt;=3,"Sobrepeso","Obesidade"))))),IF($K1395&lt;-3,"Magreza acentuada",IF($K1395&lt;-2,"Magreza",IF($K1395&lt;=1,"Eutrofia",IF($K1395&lt;=2,"Sobrepeso",IF($K1395&lt;=3,"Obesidade","Obesidade grave")))))))</f>
        <v/>
      </c>
      <c r="M1395" s="12">
        <f>IF(OR($S1395="",$V1395="",$T1395="",$T1395&lt;0,$T1395&gt;228,$AG1395=""),"—",ROUND(IF($AG1395=0,LN($V1395/$AH1395)/$AI1395,((($V1395/$AH1395)^$AG1395)-1)/($AG1395*$AI1395)),2))</f>
        <v/>
      </c>
      <c r="N1395">
        <f>IF(OR($M1395="",$M1395="—"),"",IF($M1395&lt;-3,"Muito baixa",IF($M1395&lt;-2,"Baixa","Adequada")))</f>
        <v/>
      </c>
      <c r="O1395" s="12">
        <f>IF(OR($S1395="",$F1395="",$T1395="",$T1395&lt;0,$T1395&gt;120,$AJ1395=""),"—",ROUND(IF(ABS($AM1395)&lt;=3,$AM1395,IF($AM1395&gt;3,3+($F1395-$AO1395)/($AO1395-$AN1395),-3+($F1395-$AQ1395)/($AP1395-$AQ1395))),2))</f>
        <v/>
      </c>
      <c r="P1395">
        <f>IF(OR($O1395="",$O1395="—"),"",IF($O1395&lt;-3,"Muito baixo",IF($O1395&lt;-2,"Baixo",IF($O1395&lt;=2,"Adequado","Elevado"))))</f>
        <v/>
      </c>
      <c r="Q1395" s="12">
        <f>IF(OR($S1395="",$F1395="",$T1395="",$T1395&lt;0,$T1395&gt;60,$AR1395=""),"—",ROUND(IF(ABS($AU1395)&lt;=3,$AU1395,IF($AU1395&gt;3,3+($F1395-$AW1395)/($AW1395-$AV1395),-3+($F1395-$AY1395)/($AX1395-$AY1395))),2))</f>
        <v/>
      </c>
      <c r="R1395">
        <f>IF(OR($Q1395="",$Q1395="—"),"",IF($Q1395&lt;-3,"Magreza acentuada",IF($Q1395&lt;-2,"Magreza",IF($Q1395&lt;=1,"Eutrofia",IF($Q1395&lt;=2,"Risco de sobrepeso",IF($Q1395&lt;=3,"Sobrepeso","Obesidade"))))))</f>
        <v/>
      </c>
      <c r="S1395">
        <f>IF($C1395="","",IF(UPPER(LEFT($C1395,1))="M",1,IF(UPPER(LEFT($C1395,1))="F",2,"")))</f>
        <v/>
      </c>
      <c r="T1395">
        <f>IF(OR($D1395="",$E1395=""),"",DATEDIF($D1395,$E1395,"m"))</f>
        <v/>
      </c>
      <c r="U1395">
        <f>IF(OR($D1395="",$E1395=""),"",$E1395-$D1395)</f>
        <v/>
      </c>
      <c r="V1395">
        <f>IF(OR($G1395="",$T1395=""),"",IF($T1395&lt;24,IF(LEFT(LOWER($H1395),4)="em p",$G1395+0.7,$G1395),IF(LEFT(LOWER($H1395),4)="deit",$G1395-0.7,$G1395)))</f>
        <v/>
      </c>
      <c r="W1395">
        <f>IF(OR($S1395="",$T1395=""),"",$S1395*1000000+IF($T1395&lt;=60,$U1395,$T1395))</f>
        <v/>
      </c>
      <c r="X1395">
        <f>IF(OR($S1395="",$V1395="",$T1395&gt;60,$T1395=""),"",$S1395*1000000+ROUND($V1395*10,0))</f>
        <v/>
      </c>
      <c r="Y1395">
        <f>IF($W1395="","",IFERROR(INDEX(IF($T1395&lt;=60,imc05_l,imc519_l),MATCH($W1395,IF($T1395&lt;=60,imc05_k,imc519_k),1)),""))</f>
        <v/>
      </c>
      <c r="Z1395">
        <f>IF($W1395="","",IFERROR(INDEX(IF($T1395&lt;=60,imc05_m,imc519_m),MATCH($W1395,IF($T1395&lt;=60,imc05_k,imc519_k),1)),""))</f>
        <v/>
      </c>
      <c r="AA1395">
        <f>IF($W1395="","",IFERROR(INDEX(IF($T1395&lt;=60,imc05_s,imc519_s),MATCH($W1395,IF($T1395&lt;=60,imc05_k,imc519_k),1)),""))</f>
        <v/>
      </c>
      <c r="AB1395">
        <f>IF($Y1395="","",IF($Y1395=0,LN($J1395/$Z1395)/$AA1395,((($J1395/$Z1395)^$Y1395)-1)/($Y1395*$AA1395)))</f>
        <v/>
      </c>
      <c r="AC1395">
        <f>IF($Y1395="","",IF($Y1395=0,$Z1395*EXP($AA1395*2),$Z1395*(1+$Y1395*$AA1395*2)^(1/$Y1395)))</f>
        <v/>
      </c>
      <c r="AD1395">
        <f>IF($Y1395="","",IF($Y1395=0,$Z1395*EXP($AA1395*3),$Z1395*(1+$Y1395*$AA1395*3)^(1/$Y1395)))</f>
        <v/>
      </c>
      <c r="AE1395">
        <f>IF($Y1395="","",IF($Y1395=0,$Z1395*EXP($AA1395*-2),$Z1395*(1+$Y1395*$AA1395*-2)^(1/$Y1395)))</f>
        <v/>
      </c>
      <c r="AF1395">
        <f>IF($Y1395="","",IF($Y1395=0,$Z1395*EXP($AA1395*-3),$Z1395*(1+$Y1395*$AA1395*-3)^(1/$Y1395)))</f>
        <v/>
      </c>
      <c r="AG1395">
        <f>IF($W1395="","",IFERROR(INDEX(IF($T1395&lt;=60,est05_l,est519_l),MATCH($W1395,IF($T1395&lt;=60,est05_k,est519_k),1)),""))</f>
        <v/>
      </c>
      <c r="AH1395">
        <f>IF($W1395="","",IFERROR(INDEX(IF($T1395&lt;=60,est05_m,est519_m),MATCH($W1395,IF($T1395&lt;=60,est05_k,est519_k),1)),""))</f>
        <v/>
      </c>
      <c r="AI1395">
        <f>IF($W1395="","",IFERROR(INDEX(IF($T1395&lt;=60,est05_s,est519_s),MATCH($W1395,IF($T1395&lt;=60,est05_k,est519_k),1)),""))</f>
        <v/>
      </c>
      <c r="AJ1395">
        <f>IF($W1395="","",IFERROR(INDEX(IF($T1395&lt;=60,peso05_l,peso510_l),MATCH($W1395,IF($T1395&lt;=60,peso05_k,peso510_k),1)),""))</f>
        <v/>
      </c>
      <c r="AK1395">
        <f>IF($W1395="","",IFERROR(INDEX(IF($T1395&lt;=60,peso05_m,peso510_m),MATCH($W1395,IF($T1395&lt;=60,peso05_k,peso510_k),1)),""))</f>
        <v/>
      </c>
      <c r="AL1395">
        <f>IF($W1395="","",IFERROR(INDEX(IF($T1395&lt;=60,peso05_s,peso510_s),MATCH($W1395,IF($T1395&lt;=60,peso05_k,peso510_k),1)),""))</f>
        <v/>
      </c>
      <c r="AM1395">
        <f>IF($AJ1395="","",IF($AJ1395=0,LN($F1395/$AK1395)/$AL1395,((($F1395/$AK1395)^$AJ1395)-1)/($AJ1395*$AL1395)))</f>
        <v/>
      </c>
      <c r="AN1395">
        <f>IF($AJ1395="","",IF($AJ1395=0,$AK1395*EXP($AL1395*2),$AK1395*(1+$AJ1395*$AL1395*2)^(1/$AJ1395)))</f>
        <v/>
      </c>
      <c r="AO1395">
        <f>IF($AJ1395="","",IF($AJ1395=0,$AK1395*EXP($AL1395*3),$AK1395*(1+$AJ1395*$AL1395*3)^(1/$AJ1395)))</f>
        <v/>
      </c>
      <c r="AP1395">
        <f>IF($AJ1395="","",IF($AJ1395=0,$AK1395*EXP($AL1395*-2),$AK1395*(1+$AJ1395*$AL1395*-2)^(1/$AJ1395)))</f>
        <v/>
      </c>
      <c r="AQ1395">
        <f>IF($AJ1395="","",IF($AJ1395=0,$AK1395*EXP($AL1395*-3),$AK1395*(1+$AJ1395*$AL1395*-3)^(1/$AJ1395)))</f>
        <v/>
      </c>
      <c r="AR1395">
        <f>IF(OR($X1395="",$T1395&gt;60),"",IFERROR(INDEX(IF($T1395&lt;24,pcomp_l,palt_l),MATCH($X1395,IF($T1395&lt;24,pcomp_k,palt_k),1)),""))</f>
        <v/>
      </c>
      <c r="AS1395">
        <f>IF(OR($X1395="",$T1395&gt;60),"",IFERROR(INDEX(IF($T1395&lt;24,pcomp_m,palt_m),MATCH($X1395,IF($T1395&lt;24,pcomp_k,palt_k),1)),""))</f>
        <v/>
      </c>
      <c r="AT1395">
        <f>IF(OR($X1395="",$T1395&gt;60),"",IFERROR(INDEX(IF($T1395&lt;24,pcomp_s,palt_s),MATCH($X1395,IF($T1395&lt;24,pcomp_k,palt_k),1)),""))</f>
        <v/>
      </c>
      <c r="AU1395">
        <f>IF($AR1395="","",IF($AR1395=0,LN($F1395/$AS1395)/$AT1395,((($F1395/$AS1395)^$AR1395)-1)/($AR1395*$AT1395)))</f>
        <v/>
      </c>
      <c r="AV1395">
        <f>IF($AR1395="","",IF($AR1395=0,$AS1395*EXP($AT1395*2),$AS1395*(1+$AR1395*$AT1395*2)^(1/$AR1395)))</f>
        <v/>
      </c>
      <c r="AW1395">
        <f>IF($AR1395="","",IF($AR1395=0,$AS1395*EXP($AT1395*3),$AS1395*(1+$AR1395*$AT1395*3)^(1/$AR1395)))</f>
        <v/>
      </c>
      <c r="AX1395">
        <f>IF($AR1395="","",IF($AR1395=0,$AS1395*EXP($AT1395*-2),$AS1395*(1+$AR1395*$AT1395*-2)^(1/$AR1395)))</f>
        <v/>
      </c>
      <c r="AY1395">
        <f>IF($AR1395="","",IF($AR1395=0,$AS1395*EXP($AT1395*-3),$AS1395*(1+$AR1395*$AT1395*-3)^(1/$AR1395)))</f>
        <v/>
      </c>
      <c r="AZ1395">
        <f>IF(OR($A1395="",$A1395&lt;&gt;Ficha!$C$4),"",COUNTIF($A$2:$A1395,Ficha!$C$4))</f>
        <v/>
      </c>
    </row>
    <row r="1396">
      <c r="A1396" s="8">
        <f>IF(INDEX(Banco!$A:$A,ROW())="","",INDEX(Banco!$A:$A,ROW()))</f>
        <v/>
      </c>
      <c r="B1396" s="8">
        <f>IF(INDEX(Banco!$B:$B,ROW())="","",INDEX(Banco!$B:$B,ROW()))</f>
        <v/>
      </c>
      <c r="C1396" s="8">
        <f>IF(INDEX(Banco!$C:$C,ROW())="","",INDEX(Banco!$C:$C,ROW()))</f>
        <v/>
      </c>
      <c r="D1396" s="9">
        <f>IF(INDEX(Banco!$D:$D,ROW())="","",INDEX(Banco!$D:$D,ROW()))</f>
        <v/>
      </c>
      <c r="E1396" s="9">
        <f>IF(INDEX(Banco!$E:$E,ROW())="","",INDEX(Banco!$E:$E,ROW()))</f>
        <v/>
      </c>
      <c r="F1396" s="10">
        <f>IF(INDEX(Banco!$F:$F,ROW())="","",INDEX(Banco!$F:$F,ROW()))</f>
        <v/>
      </c>
      <c r="G1396" s="10">
        <f>IF(INDEX(Banco!$G:$G,ROW())="","",INDEX(Banco!$G:$G,ROW()))</f>
        <v/>
      </c>
      <c r="H1396" s="8">
        <f>IF(INDEX(Banco!$H:$H,ROW())="","",INDEX(Banco!$H:$H,ROW()))</f>
        <v/>
      </c>
      <c r="I1396">
        <f>IF($T1396="","",INT($T1396/12)&amp;"a "&amp;MOD($T1396,12)&amp;"m")</f>
        <v/>
      </c>
      <c r="J1396" s="11">
        <f>IF(OR($F1396="",$G1396=""),"",ROUND($F1396/($G1396/100)^2,2))</f>
        <v/>
      </c>
      <c r="K1396" s="12">
        <f>IF(OR($S1396="",$J1396="",$T1396="",$T1396&lt;0,$T1396&gt;228,$Y1396=""),"—",ROUND(IF(ABS($AB1396)&lt;=3,$AB1396,IF($AB1396&gt;3,3+($J1396-$AD1396)/($AD1396-$AC1396),-3+($J1396-$AF1396)/($AE1396-$AF1396))),2))</f>
        <v/>
      </c>
      <c r="L1396">
        <f>IF(OR($K1396="",$K1396="—"),"",IF($T1396&lt;=60,IF($K1396&lt;-3,"Magreza acentuada",IF($K1396&lt;-2,"Magreza",IF($K1396&lt;=1,"Eutrofia",IF($K1396&lt;=2,"Risco de sobrepeso",IF($K1396&lt;=3,"Sobrepeso","Obesidade"))))),IF($K1396&lt;-3,"Magreza acentuada",IF($K1396&lt;-2,"Magreza",IF($K1396&lt;=1,"Eutrofia",IF($K1396&lt;=2,"Sobrepeso",IF($K1396&lt;=3,"Obesidade","Obesidade grave")))))))</f>
        <v/>
      </c>
      <c r="M1396" s="12">
        <f>IF(OR($S1396="",$V1396="",$T1396="",$T1396&lt;0,$T1396&gt;228,$AG1396=""),"—",ROUND(IF($AG1396=0,LN($V1396/$AH1396)/$AI1396,((($V1396/$AH1396)^$AG1396)-1)/($AG1396*$AI1396)),2))</f>
        <v/>
      </c>
      <c r="N1396">
        <f>IF(OR($M1396="",$M1396="—"),"",IF($M1396&lt;-3,"Muito baixa",IF($M1396&lt;-2,"Baixa","Adequada")))</f>
        <v/>
      </c>
      <c r="O1396" s="12">
        <f>IF(OR($S1396="",$F1396="",$T1396="",$T1396&lt;0,$T1396&gt;120,$AJ1396=""),"—",ROUND(IF(ABS($AM1396)&lt;=3,$AM1396,IF($AM1396&gt;3,3+($F1396-$AO1396)/($AO1396-$AN1396),-3+($F1396-$AQ1396)/($AP1396-$AQ1396))),2))</f>
        <v/>
      </c>
      <c r="P1396">
        <f>IF(OR($O1396="",$O1396="—"),"",IF($O1396&lt;-3,"Muito baixo",IF($O1396&lt;-2,"Baixo",IF($O1396&lt;=2,"Adequado","Elevado"))))</f>
        <v/>
      </c>
      <c r="Q1396" s="12">
        <f>IF(OR($S1396="",$F1396="",$T1396="",$T1396&lt;0,$T1396&gt;60,$AR1396=""),"—",ROUND(IF(ABS($AU1396)&lt;=3,$AU1396,IF($AU1396&gt;3,3+($F1396-$AW1396)/($AW1396-$AV1396),-3+($F1396-$AY1396)/($AX1396-$AY1396))),2))</f>
        <v/>
      </c>
      <c r="R1396">
        <f>IF(OR($Q1396="",$Q1396="—"),"",IF($Q1396&lt;-3,"Magreza acentuada",IF($Q1396&lt;-2,"Magreza",IF($Q1396&lt;=1,"Eutrofia",IF($Q1396&lt;=2,"Risco de sobrepeso",IF($Q1396&lt;=3,"Sobrepeso","Obesidade"))))))</f>
        <v/>
      </c>
      <c r="S1396">
        <f>IF($C1396="","",IF(UPPER(LEFT($C1396,1))="M",1,IF(UPPER(LEFT($C1396,1))="F",2,"")))</f>
        <v/>
      </c>
      <c r="T1396">
        <f>IF(OR($D1396="",$E1396=""),"",DATEDIF($D1396,$E1396,"m"))</f>
        <v/>
      </c>
      <c r="U1396">
        <f>IF(OR($D1396="",$E1396=""),"",$E1396-$D1396)</f>
        <v/>
      </c>
      <c r="V1396">
        <f>IF(OR($G1396="",$T1396=""),"",IF($T1396&lt;24,IF(LEFT(LOWER($H1396),4)="em p",$G1396+0.7,$G1396),IF(LEFT(LOWER($H1396),4)="deit",$G1396-0.7,$G1396)))</f>
        <v/>
      </c>
      <c r="W1396">
        <f>IF(OR($S1396="",$T1396=""),"",$S1396*1000000+IF($T1396&lt;=60,$U1396,$T1396))</f>
        <v/>
      </c>
      <c r="X1396">
        <f>IF(OR($S1396="",$V1396="",$T1396&gt;60,$T1396=""),"",$S1396*1000000+ROUND($V1396*10,0))</f>
        <v/>
      </c>
      <c r="Y1396">
        <f>IF($W1396="","",IFERROR(INDEX(IF($T1396&lt;=60,imc05_l,imc519_l),MATCH($W1396,IF($T1396&lt;=60,imc05_k,imc519_k),1)),""))</f>
        <v/>
      </c>
      <c r="Z1396">
        <f>IF($W1396="","",IFERROR(INDEX(IF($T1396&lt;=60,imc05_m,imc519_m),MATCH($W1396,IF($T1396&lt;=60,imc05_k,imc519_k),1)),""))</f>
        <v/>
      </c>
      <c r="AA1396">
        <f>IF($W1396="","",IFERROR(INDEX(IF($T1396&lt;=60,imc05_s,imc519_s),MATCH($W1396,IF($T1396&lt;=60,imc05_k,imc519_k),1)),""))</f>
        <v/>
      </c>
      <c r="AB1396">
        <f>IF($Y1396="","",IF($Y1396=0,LN($J1396/$Z1396)/$AA1396,((($J1396/$Z1396)^$Y1396)-1)/($Y1396*$AA1396)))</f>
        <v/>
      </c>
      <c r="AC1396">
        <f>IF($Y1396="","",IF($Y1396=0,$Z1396*EXP($AA1396*2),$Z1396*(1+$Y1396*$AA1396*2)^(1/$Y1396)))</f>
        <v/>
      </c>
      <c r="AD1396">
        <f>IF($Y1396="","",IF($Y1396=0,$Z1396*EXP($AA1396*3),$Z1396*(1+$Y1396*$AA1396*3)^(1/$Y1396)))</f>
        <v/>
      </c>
      <c r="AE1396">
        <f>IF($Y1396="","",IF($Y1396=0,$Z1396*EXP($AA1396*-2),$Z1396*(1+$Y1396*$AA1396*-2)^(1/$Y1396)))</f>
        <v/>
      </c>
      <c r="AF1396">
        <f>IF($Y1396="","",IF($Y1396=0,$Z1396*EXP($AA1396*-3),$Z1396*(1+$Y1396*$AA1396*-3)^(1/$Y1396)))</f>
        <v/>
      </c>
      <c r="AG1396">
        <f>IF($W1396="","",IFERROR(INDEX(IF($T1396&lt;=60,est05_l,est519_l),MATCH($W1396,IF($T1396&lt;=60,est05_k,est519_k),1)),""))</f>
        <v/>
      </c>
      <c r="AH1396">
        <f>IF($W1396="","",IFERROR(INDEX(IF($T1396&lt;=60,est05_m,est519_m),MATCH($W1396,IF($T1396&lt;=60,est05_k,est519_k),1)),""))</f>
        <v/>
      </c>
      <c r="AI1396">
        <f>IF($W1396="","",IFERROR(INDEX(IF($T1396&lt;=60,est05_s,est519_s),MATCH($W1396,IF($T1396&lt;=60,est05_k,est519_k),1)),""))</f>
        <v/>
      </c>
      <c r="AJ1396">
        <f>IF($W1396="","",IFERROR(INDEX(IF($T1396&lt;=60,peso05_l,peso510_l),MATCH($W1396,IF($T1396&lt;=60,peso05_k,peso510_k),1)),""))</f>
        <v/>
      </c>
      <c r="AK1396">
        <f>IF($W1396="","",IFERROR(INDEX(IF($T1396&lt;=60,peso05_m,peso510_m),MATCH($W1396,IF($T1396&lt;=60,peso05_k,peso510_k),1)),""))</f>
        <v/>
      </c>
      <c r="AL1396">
        <f>IF($W1396="","",IFERROR(INDEX(IF($T1396&lt;=60,peso05_s,peso510_s),MATCH($W1396,IF($T1396&lt;=60,peso05_k,peso510_k),1)),""))</f>
        <v/>
      </c>
      <c r="AM1396">
        <f>IF($AJ1396="","",IF($AJ1396=0,LN($F1396/$AK1396)/$AL1396,((($F1396/$AK1396)^$AJ1396)-1)/($AJ1396*$AL1396)))</f>
        <v/>
      </c>
      <c r="AN1396">
        <f>IF($AJ1396="","",IF($AJ1396=0,$AK1396*EXP($AL1396*2),$AK1396*(1+$AJ1396*$AL1396*2)^(1/$AJ1396)))</f>
        <v/>
      </c>
      <c r="AO1396">
        <f>IF($AJ1396="","",IF($AJ1396=0,$AK1396*EXP($AL1396*3),$AK1396*(1+$AJ1396*$AL1396*3)^(1/$AJ1396)))</f>
        <v/>
      </c>
      <c r="AP1396">
        <f>IF($AJ1396="","",IF($AJ1396=0,$AK1396*EXP($AL1396*-2),$AK1396*(1+$AJ1396*$AL1396*-2)^(1/$AJ1396)))</f>
        <v/>
      </c>
      <c r="AQ1396">
        <f>IF($AJ1396="","",IF($AJ1396=0,$AK1396*EXP($AL1396*-3),$AK1396*(1+$AJ1396*$AL1396*-3)^(1/$AJ1396)))</f>
        <v/>
      </c>
      <c r="AR1396">
        <f>IF(OR($X1396="",$T1396&gt;60),"",IFERROR(INDEX(IF($T1396&lt;24,pcomp_l,palt_l),MATCH($X1396,IF($T1396&lt;24,pcomp_k,palt_k),1)),""))</f>
        <v/>
      </c>
      <c r="AS1396">
        <f>IF(OR($X1396="",$T1396&gt;60),"",IFERROR(INDEX(IF($T1396&lt;24,pcomp_m,palt_m),MATCH($X1396,IF($T1396&lt;24,pcomp_k,palt_k),1)),""))</f>
        <v/>
      </c>
      <c r="AT1396">
        <f>IF(OR($X1396="",$T1396&gt;60),"",IFERROR(INDEX(IF($T1396&lt;24,pcomp_s,palt_s),MATCH($X1396,IF($T1396&lt;24,pcomp_k,palt_k),1)),""))</f>
        <v/>
      </c>
      <c r="AU1396">
        <f>IF($AR1396="","",IF($AR1396=0,LN($F1396/$AS1396)/$AT1396,((($F1396/$AS1396)^$AR1396)-1)/($AR1396*$AT1396)))</f>
        <v/>
      </c>
      <c r="AV1396">
        <f>IF($AR1396="","",IF($AR1396=0,$AS1396*EXP($AT1396*2),$AS1396*(1+$AR1396*$AT1396*2)^(1/$AR1396)))</f>
        <v/>
      </c>
      <c r="AW1396">
        <f>IF($AR1396="","",IF($AR1396=0,$AS1396*EXP($AT1396*3),$AS1396*(1+$AR1396*$AT1396*3)^(1/$AR1396)))</f>
        <v/>
      </c>
      <c r="AX1396">
        <f>IF($AR1396="","",IF($AR1396=0,$AS1396*EXP($AT1396*-2),$AS1396*(1+$AR1396*$AT1396*-2)^(1/$AR1396)))</f>
        <v/>
      </c>
      <c r="AY1396">
        <f>IF($AR1396="","",IF($AR1396=0,$AS1396*EXP($AT1396*-3),$AS1396*(1+$AR1396*$AT1396*-3)^(1/$AR1396)))</f>
        <v/>
      </c>
      <c r="AZ1396">
        <f>IF(OR($A1396="",$A1396&lt;&gt;Ficha!$C$4),"",COUNTIF($A$2:$A1396,Ficha!$C$4))</f>
        <v/>
      </c>
    </row>
    <row r="1397">
      <c r="A1397" s="8">
        <f>IF(INDEX(Banco!$A:$A,ROW())="","",INDEX(Banco!$A:$A,ROW()))</f>
        <v/>
      </c>
      <c r="B1397" s="8">
        <f>IF(INDEX(Banco!$B:$B,ROW())="","",INDEX(Banco!$B:$B,ROW()))</f>
        <v/>
      </c>
      <c r="C1397" s="8">
        <f>IF(INDEX(Banco!$C:$C,ROW())="","",INDEX(Banco!$C:$C,ROW()))</f>
        <v/>
      </c>
      <c r="D1397" s="9">
        <f>IF(INDEX(Banco!$D:$D,ROW())="","",INDEX(Banco!$D:$D,ROW()))</f>
        <v/>
      </c>
      <c r="E1397" s="9">
        <f>IF(INDEX(Banco!$E:$E,ROW())="","",INDEX(Banco!$E:$E,ROW()))</f>
        <v/>
      </c>
      <c r="F1397" s="10">
        <f>IF(INDEX(Banco!$F:$F,ROW())="","",INDEX(Banco!$F:$F,ROW()))</f>
        <v/>
      </c>
      <c r="G1397" s="10">
        <f>IF(INDEX(Banco!$G:$G,ROW())="","",INDEX(Banco!$G:$G,ROW()))</f>
        <v/>
      </c>
      <c r="H1397" s="8">
        <f>IF(INDEX(Banco!$H:$H,ROW())="","",INDEX(Banco!$H:$H,ROW()))</f>
        <v/>
      </c>
      <c r="I1397">
        <f>IF($T1397="","",INT($T1397/12)&amp;"a "&amp;MOD($T1397,12)&amp;"m")</f>
        <v/>
      </c>
      <c r="J1397" s="11">
        <f>IF(OR($F1397="",$G1397=""),"",ROUND($F1397/($G1397/100)^2,2))</f>
        <v/>
      </c>
      <c r="K1397" s="12">
        <f>IF(OR($S1397="",$J1397="",$T1397="",$T1397&lt;0,$T1397&gt;228,$Y1397=""),"—",ROUND(IF(ABS($AB1397)&lt;=3,$AB1397,IF($AB1397&gt;3,3+($J1397-$AD1397)/($AD1397-$AC1397),-3+($J1397-$AF1397)/($AE1397-$AF1397))),2))</f>
        <v/>
      </c>
      <c r="L1397">
        <f>IF(OR($K1397="",$K1397="—"),"",IF($T1397&lt;=60,IF($K1397&lt;-3,"Magreza acentuada",IF($K1397&lt;-2,"Magreza",IF($K1397&lt;=1,"Eutrofia",IF($K1397&lt;=2,"Risco de sobrepeso",IF($K1397&lt;=3,"Sobrepeso","Obesidade"))))),IF($K1397&lt;-3,"Magreza acentuada",IF($K1397&lt;-2,"Magreza",IF($K1397&lt;=1,"Eutrofia",IF($K1397&lt;=2,"Sobrepeso",IF($K1397&lt;=3,"Obesidade","Obesidade grave")))))))</f>
        <v/>
      </c>
      <c r="M1397" s="12">
        <f>IF(OR($S1397="",$V1397="",$T1397="",$T1397&lt;0,$T1397&gt;228,$AG1397=""),"—",ROUND(IF($AG1397=0,LN($V1397/$AH1397)/$AI1397,((($V1397/$AH1397)^$AG1397)-1)/($AG1397*$AI1397)),2))</f>
        <v/>
      </c>
      <c r="N1397">
        <f>IF(OR($M1397="",$M1397="—"),"",IF($M1397&lt;-3,"Muito baixa",IF($M1397&lt;-2,"Baixa","Adequada")))</f>
        <v/>
      </c>
      <c r="O1397" s="12">
        <f>IF(OR($S1397="",$F1397="",$T1397="",$T1397&lt;0,$T1397&gt;120,$AJ1397=""),"—",ROUND(IF(ABS($AM1397)&lt;=3,$AM1397,IF($AM1397&gt;3,3+($F1397-$AO1397)/($AO1397-$AN1397),-3+($F1397-$AQ1397)/($AP1397-$AQ1397))),2))</f>
        <v/>
      </c>
      <c r="P1397">
        <f>IF(OR($O1397="",$O1397="—"),"",IF($O1397&lt;-3,"Muito baixo",IF($O1397&lt;-2,"Baixo",IF($O1397&lt;=2,"Adequado","Elevado"))))</f>
        <v/>
      </c>
      <c r="Q1397" s="12">
        <f>IF(OR($S1397="",$F1397="",$T1397="",$T1397&lt;0,$T1397&gt;60,$AR1397=""),"—",ROUND(IF(ABS($AU1397)&lt;=3,$AU1397,IF($AU1397&gt;3,3+($F1397-$AW1397)/($AW1397-$AV1397),-3+($F1397-$AY1397)/($AX1397-$AY1397))),2))</f>
        <v/>
      </c>
      <c r="R1397">
        <f>IF(OR($Q1397="",$Q1397="—"),"",IF($Q1397&lt;-3,"Magreza acentuada",IF($Q1397&lt;-2,"Magreza",IF($Q1397&lt;=1,"Eutrofia",IF($Q1397&lt;=2,"Risco de sobrepeso",IF($Q1397&lt;=3,"Sobrepeso","Obesidade"))))))</f>
        <v/>
      </c>
      <c r="S1397">
        <f>IF($C1397="","",IF(UPPER(LEFT($C1397,1))="M",1,IF(UPPER(LEFT($C1397,1))="F",2,"")))</f>
        <v/>
      </c>
      <c r="T1397">
        <f>IF(OR($D1397="",$E1397=""),"",DATEDIF($D1397,$E1397,"m"))</f>
        <v/>
      </c>
      <c r="U1397">
        <f>IF(OR($D1397="",$E1397=""),"",$E1397-$D1397)</f>
        <v/>
      </c>
      <c r="V1397">
        <f>IF(OR($G1397="",$T1397=""),"",IF($T1397&lt;24,IF(LEFT(LOWER($H1397),4)="em p",$G1397+0.7,$G1397),IF(LEFT(LOWER($H1397),4)="deit",$G1397-0.7,$G1397)))</f>
        <v/>
      </c>
      <c r="W1397">
        <f>IF(OR($S1397="",$T1397=""),"",$S1397*1000000+IF($T1397&lt;=60,$U1397,$T1397))</f>
        <v/>
      </c>
      <c r="X1397">
        <f>IF(OR($S1397="",$V1397="",$T1397&gt;60,$T1397=""),"",$S1397*1000000+ROUND($V1397*10,0))</f>
        <v/>
      </c>
      <c r="Y1397">
        <f>IF($W1397="","",IFERROR(INDEX(IF($T1397&lt;=60,imc05_l,imc519_l),MATCH($W1397,IF($T1397&lt;=60,imc05_k,imc519_k),1)),""))</f>
        <v/>
      </c>
      <c r="Z1397">
        <f>IF($W1397="","",IFERROR(INDEX(IF($T1397&lt;=60,imc05_m,imc519_m),MATCH($W1397,IF($T1397&lt;=60,imc05_k,imc519_k),1)),""))</f>
        <v/>
      </c>
      <c r="AA1397">
        <f>IF($W1397="","",IFERROR(INDEX(IF($T1397&lt;=60,imc05_s,imc519_s),MATCH($W1397,IF($T1397&lt;=60,imc05_k,imc519_k),1)),""))</f>
        <v/>
      </c>
      <c r="AB1397">
        <f>IF($Y1397="","",IF($Y1397=0,LN($J1397/$Z1397)/$AA1397,((($J1397/$Z1397)^$Y1397)-1)/($Y1397*$AA1397)))</f>
        <v/>
      </c>
      <c r="AC1397">
        <f>IF($Y1397="","",IF($Y1397=0,$Z1397*EXP($AA1397*2),$Z1397*(1+$Y1397*$AA1397*2)^(1/$Y1397)))</f>
        <v/>
      </c>
      <c r="AD1397">
        <f>IF($Y1397="","",IF($Y1397=0,$Z1397*EXP($AA1397*3),$Z1397*(1+$Y1397*$AA1397*3)^(1/$Y1397)))</f>
        <v/>
      </c>
      <c r="AE1397">
        <f>IF($Y1397="","",IF($Y1397=0,$Z1397*EXP($AA1397*-2),$Z1397*(1+$Y1397*$AA1397*-2)^(1/$Y1397)))</f>
        <v/>
      </c>
      <c r="AF1397">
        <f>IF($Y1397="","",IF($Y1397=0,$Z1397*EXP($AA1397*-3),$Z1397*(1+$Y1397*$AA1397*-3)^(1/$Y1397)))</f>
        <v/>
      </c>
      <c r="AG1397">
        <f>IF($W1397="","",IFERROR(INDEX(IF($T1397&lt;=60,est05_l,est519_l),MATCH($W1397,IF($T1397&lt;=60,est05_k,est519_k),1)),""))</f>
        <v/>
      </c>
      <c r="AH1397">
        <f>IF($W1397="","",IFERROR(INDEX(IF($T1397&lt;=60,est05_m,est519_m),MATCH($W1397,IF($T1397&lt;=60,est05_k,est519_k),1)),""))</f>
        <v/>
      </c>
      <c r="AI1397">
        <f>IF($W1397="","",IFERROR(INDEX(IF($T1397&lt;=60,est05_s,est519_s),MATCH($W1397,IF($T1397&lt;=60,est05_k,est519_k),1)),""))</f>
        <v/>
      </c>
      <c r="AJ1397">
        <f>IF($W1397="","",IFERROR(INDEX(IF($T1397&lt;=60,peso05_l,peso510_l),MATCH($W1397,IF($T1397&lt;=60,peso05_k,peso510_k),1)),""))</f>
        <v/>
      </c>
      <c r="AK1397">
        <f>IF($W1397="","",IFERROR(INDEX(IF($T1397&lt;=60,peso05_m,peso510_m),MATCH($W1397,IF($T1397&lt;=60,peso05_k,peso510_k),1)),""))</f>
        <v/>
      </c>
      <c r="AL1397">
        <f>IF($W1397="","",IFERROR(INDEX(IF($T1397&lt;=60,peso05_s,peso510_s),MATCH($W1397,IF($T1397&lt;=60,peso05_k,peso510_k),1)),""))</f>
        <v/>
      </c>
      <c r="AM1397">
        <f>IF($AJ1397="","",IF($AJ1397=0,LN($F1397/$AK1397)/$AL1397,((($F1397/$AK1397)^$AJ1397)-1)/($AJ1397*$AL1397)))</f>
        <v/>
      </c>
      <c r="AN1397">
        <f>IF($AJ1397="","",IF($AJ1397=0,$AK1397*EXP($AL1397*2),$AK1397*(1+$AJ1397*$AL1397*2)^(1/$AJ1397)))</f>
        <v/>
      </c>
      <c r="AO1397">
        <f>IF($AJ1397="","",IF($AJ1397=0,$AK1397*EXP($AL1397*3),$AK1397*(1+$AJ1397*$AL1397*3)^(1/$AJ1397)))</f>
        <v/>
      </c>
      <c r="AP1397">
        <f>IF($AJ1397="","",IF($AJ1397=0,$AK1397*EXP($AL1397*-2),$AK1397*(1+$AJ1397*$AL1397*-2)^(1/$AJ1397)))</f>
        <v/>
      </c>
      <c r="AQ1397">
        <f>IF($AJ1397="","",IF($AJ1397=0,$AK1397*EXP($AL1397*-3),$AK1397*(1+$AJ1397*$AL1397*-3)^(1/$AJ1397)))</f>
        <v/>
      </c>
      <c r="AR1397">
        <f>IF(OR($X1397="",$T1397&gt;60),"",IFERROR(INDEX(IF($T1397&lt;24,pcomp_l,palt_l),MATCH($X1397,IF($T1397&lt;24,pcomp_k,palt_k),1)),""))</f>
        <v/>
      </c>
      <c r="AS1397">
        <f>IF(OR($X1397="",$T1397&gt;60),"",IFERROR(INDEX(IF($T1397&lt;24,pcomp_m,palt_m),MATCH($X1397,IF($T1397&lt;24,pcomp_k,palt_k),1)),""))</f>
        <v/>
      </c>
      <c r="AT1397">
        <f>IF(OR($X1397="",$T1397&gt;60),"",IFERROR(INDEX(IF($T1397&lt;24,pcomp_s,palt_s),MATCH($X1397,IF($T1397&lt;24,pcomp_k,palt_k),1)),""))</f>
        <v/>
      </c>
      <c r="AU1397">
        <f>IF($AR1397="","",IF($AR1397=0,LN($F1397/$AS1397)/$AT1397,((($F1397/$AS1397)^$AR1397)-1)/($AR1397*$AT1397)))</f>
        <v/>
      </c>
      <c r="AV1397">
        <f>IF($AR1397="","",IF($AR1397=0,$AS1397*EXP($AT1397*2),$AS1397*(1+$AR1397*$AT1397*2)^(1/$AR1397)))</f>
        <v/>
      </c>
      <c r="AW1397">
        <f>IF($AR1397="","",IF($AR1397=0,$AS1397*EXP($AT1397*3),$AS1397*(1+$AR1397*$AT1397*3)^(1/$AR1397)))</f>
        <v/>
      </c>
      <c r="AX1397">
        <f>IF($AR1397="","",IF($AR1397=0,$AS1397*EXP($AT1397*-2),$AS1397*(1+$AR1397*$AT1397*-2)^(1/$AR1397)))</f>
        <v/>
      </c>
      <c r="AY1397">
        <f>IF($AR1397="","",IF($AR1397=0,$AS1397*EXP($AT1397*-3),$AS1397*(1+$AR1397*$AT1397*-3)^(1/$AR1397)))</f>
        <v/>
      </c>
      <c r="AZ1397">
        <f>IF(OR($A1397="",$A1397&lt;&gt;Ficha!$C$4),"",COUNTIF($A$2:$A1397,Ficha!$C$4))</f>
        <v/>
      </c>
    </row>
    <row r="1398">
      <c r="A1398" s="8">
        <f>IF(INDEX(Banco!$A:$A,ROW())="","",INDEX(Banco!$A:$A,ROW()))</f>
        <v/>
      </c>
      <c r="B1398" s="8">
        <f>IF(INDEX(Banco!$B:$B,ROW())="","",INDEX(Banco!$B:$B,ROW()))</f>
        <v/>
      </c>
      <c r="C1398" s="8">
        <f>IF(INDEX(Banco!$C:$C,ROW())="","",INDEX(Banco!$C:$C,ROW()))</f>
        <v/>
      </c>
      <c r="D1398" s="9">
        <f>IF(INDEX(Banco!$D:$D,ROW())="","",INDEX(Banco!$D:$D,ROW()))</f>
        <v/>
      </c>
      <c r="E1398" s="9">
        <f>IF(INDEX(Banco!$E:$E,ROW())="","",INDEX(Banco!$E:$E,ROW()))</f>
        <v/>
      </c>
      <c r="F1398" s="10">
        <f>IF(INDEX(Banco!$F:$F,ROW())="","",INDEX(Banco!$F:$F,ROW()))</f>
        <v/>
      </c>
      <c r="G1398" s="10">
        <f>IF(INDEX(Banco!$G:$G,ROW())="","",INDEX(Banco!$G:$G,ROW()))</f>
        <v/>
      </c>
      <c r="H1398" s="8">
        <f>IF(INDEX(Banco!$H:$H,ROW())="","",INDEX(Banco!$H:$H,ROW()))</f>
        <v/>
      </c>
      <c r="I1398">
        <f>IF($T1398="","",INT($T1398/12)&amp;"a "&amp;MOD($T1398,12)&amp;"m")</f>
        <v/>
      </c>
      <c r="J1398" s="11">
        <f>IF(OR($F1398="",$G1398=""),"",ROUND($F1398/($G1398/100)^2,2))</f>
        <v/>
      </c>
      <c r="K1398" s="12">
        <f>IF(OR($S1398="",$J1398="",$T1398="",$T1398&lt;0,$T1398&gt;228,$Y1398=""),"—",ROUND(IF(ABS($AB1398)&lt;=3,$AB1398,IF($AB1398&gt;3,3+($J1398-$AD1398)/($AD1398-$AC1398),-3+($J1398-$AF1398)/($AE1398-$AF1398))),2))</f>
        <v/>
      </c>
      <c r="L1398">
        <f>IF(OR($K1398="",$K1398="—"),"",IF($T1398&lt;=60,IF($K1398&lt;-3,"Magreza acentuada",IF($K1398&lt;-2,"Magreza",IF($K1398&lt;=1,"Eutrofia",IF($K1398&lt;=2,"Risco de sobrepeso",IF($K1398&lt;=3,"Sobrepeso","Obesidade"))))),IF($K1398&lt;-3,"Magreza acentuada",IF($K1398&lt;-2,"Magreza",IF($K1398&lt;=1,"Eutrofia",IF($K1398&lt;=2,"Sobrepeso",IF($K1398&lt;=3,"Obesidade","Obesidade grave")))))))</f>
        <v/>
      </c>
      <c r="M1398" s="12">
        <f>IF(OR($S1398="",$V1398="",$T1398="",$T1398&lt;0,$T1398&gt;228,$AG1398=""),"—",ROUND(IF($AG1398=0,LN($V1398/$AH1398)/$AI1398,((($V1398/$AH1398)^$AG1398)-1)/($AG1398*$AI1398)),2))</f>
        <v/>
      </c>
      <c r="N1398">
        <f>IF(OR($M1398="",$M1398="—"),"",IF($M1398&lt;-3,"Muito baixa",IF($M1398&lt;-2,"Baixa","Adequada")))</f>
        <v/>
      </c>
      <c r="O1398" s="12">
        <f>IF(OR($S1398="",$F1398="",$T1398="",$T1398&lt;0,$T1398&gt;120,$AJ1398=""),"—",ROUND(IF(ABS($AM1398)&lt;=3,$AM1398,IF($AM1398&gt;3,3+($F1398-$AO1398)/($AO1398-$AN1398),-3+($F1398-$AQ1398)/($AP1398-$AQ1398))),2))</f>
        <v/>
      </c>
      <c r="P1398">
        <f>IF(OR($O1398="",$O1398="—"),"",IF($O1398&lt;-3,"Muito baixo",IF($O1398&lt;-2,"Baixo",IF($O1398&lt;=2,"Adequado","Elevado"))))</f>
        <v/>
      </c>
      <c r="Q1398" s="12">
        <f>IF(OR($S1398="",$F1398="",$T1398="",$T1398&lt;0,$T1398&gt;60,$AR1398=""),"—",ROUND(IF(ABS($AU1398)&lt;=3,$AU1398,IF($AU1398&gt;3,3+($F1398-$AW1398)/($AW1398-$AV1398),-3+($F1398-$AY1398)/($AX1398-$AY1398))),2))</f>
        <v/>
      </c>
      <c r="R1398">
        <f>IF(OR($Q1398="",$Q1398="—"),"",IF($Q1398&lt;-3,"Magreza acentuada",IF($Q1398&lt;-2,"Magreza",IF($Q1398&lt;=1,"Eutrofia",IF($Q1398&lt;=2,"Risco de sobrepeso",IF($Q1398&lt;=3,"Sobrepeso","Obesidade"))))))</f>
        <v/>
      </c>
      <c r="S1398">
        <f>IF($C1398="","",IF(UPPER(LEFT($C1398,1))="M",1,IF(UPPER(LEFT($C1398,1))="F",2,"")))</f>
        <v/>
      </c>
      <c r="T1398">
        <f>IF(OR($D1398="",$E1398=""),"",DATEDIF($D1398,$E1398,"m"))</f>
        <v/>
      </c>
      <c r="U1398">
        <f>IF(OR($D1398="",$E1398=""),"",$E1398-$D1398)</f>
        <v/>
      </c>
      <c r="V1398">
        <f>IF(OR($G1398="",$T1398=""),"",IF($T1398&lt;24,IF(LEFT(LOWER($H1398),4)="em p",$G1398+0.7,$G1398),IF(LEFT(LOWER($H1398),4)="deit",$G1398-0.7,$G1398)))</f>
        <v/>
      </c>
      <c r="W1398">
        <f>IF(OR($S1398="",$T1398=""),"",$S1398*1000000+IF($T1398&lt;=60,$U1398,$T1398))</f>
        <v/>
      </c>
      <c r="X1398">
        <f>IF(OR($S1398="",$V1398="",$T1398&gt;60,$T1398=""),"",$S1398*1000000+ROUND($V1398*10,0))</f>
        <v/>
      </c>
      <c r="Y1398">
        <f>IF($W1398="","",IFERROR(INDEX(IF($T1398&lt;=60,imc05_l,imc519_l),MATCH($W1398,IF($T1398&lt;=60,imc05_k,imc519_k),1)),""))</f>
        <v/>
      </c>
      <c r="Z1398">
        <f>IF($W1398="","",IFERROR(INDEX(IF($T1398&lt;=60,imc05_m,imc519_m),MATCH($W1398,IF($T1398&lt;=60,imc05_k,imc519_k),1)),""))</f>
        <v/>
      </c>
      <c r="AA1398">
        <f>IF($W1398="","",IFERROR(INDEX(IF($T1398&lt;=60,imc05_s,imc519_s),MATCH($W1398,IF($T1398&lt;=60,imc05_k,imc519_k),1)),""))</f>
        <v/>
      </c>
      <c r="AB1398">
        <f>IF($Y1398="","",IF($Y1398=0,LN($J1398/$Z1398)/$AA1398,((($J1398/$Z1398)^$Y1398)-1)/($Y1398*$AA1398)))</f>
        <v/>
      </c>
      <c r="AC1398">
        <f>IF($Y1398="","",IF($Y1398=0,$Z1398*EXP($AA1398*2),$Z1398*(1+$Y1398*$AA1398*2)^(1/$Y1398)))</f>
        <v/>
      </c>
      <c r="AD1398">
        <f>IF($Y1398="","",IF($Y1398=0,$Z1398*EXP($AA1398*3),$Z1398*(1+$Y1398*$AA1398*3)^(1/$Y1398)))</f>
        <v/>
      </c>
      <c r="AE1398">
        <f>IF($Y1398="","",IF($Y1398=0,$Z1398*EXP($AA1398*-2),$Z1398*(1+$Y1398*$AA1398*-2)^(1/$Y1398)))</f>
        <v/>
      </c>
      <c r="AF1398">
        <f>IF($Y1398="","",IF($Y1398=0,$Z1398*EXP($AA1398*-3),$Z1398*(1+$Y1398*$AA1398*-3)^(1/$Y1398)))</f>
        <v/>
      </c>
      <c r="AG1398">
        <f>IF($W1398="","",IFERROR(INDEX(IF($T1398&lt;=60,est05_l,est519_l),MATCH($W1398,IF($T1398&lt;=60,est05_k,est519_k),1)),""))</f>
        <v/>
      </c>
      <c r="AH1398">
        <f>IF($W1398="","",IFERROR(INDEX(IF($T1398&lt;=60,est05_m,est519_m),MATCH($W1398,IF($T1398&lt;=60,est05_k,est519_k),1)),""))</f>
        <v/>
      </c>
      <c r="AI1398">
        <f>IF($W1398="","",IFERROR(INDEX(IF($T1398&lt;=60,est05_s,est519_s),MATCH($W1398,IF($T1398&lt;=60,est05_k,est519_k),1)),""))</f>
        <v/>
      </c>
      <c r="AJ1398">
        <f>IF($W1398="","",IFERROR(INDEX(IF($T1398&lt;=60,peso05_l,peso510_l),MATCH($W1398,IF($T1398&lt;=60,peso05_k,peso510_k),1)),""))</f>
        <v/>
      </c>
      <c r="AK1398">
        <f>IF($W1398="","",IFERROR(INDEX(IF($T1398&lt;=60,peso05_m,peso510_m),MATCH($W1398,IF($T1398&lt;=60,peso05_k,peso510_k),1)),""))</f>
        <v/>
      </c>
      <c r="AL1398">
        <f>IF($W1398="","",IFERROR(INDEX(IF($T1398&lt;=60,peso05_s,peso510_s),MATCH($W1398,IF($T1398&lt;=60,peso05_k,peso510_k),1)),""))</f>
        <v/>
      </c>
      <c r="AM1398">
        <f>IF($AJ1398="","",IF($AJ1398=0,LN($F1398/$AK1398)/$AL1398,((($F1398/$AK1398)^$AJ1398)-1)/($AJ1398*$AL1398)))</f>
        <v/>
      </c>
      <c r="AN1398">
        <f>IF($AJ1398="","",IF($AJ1398=0,$AK1398*EXP($AL1398*2),$AK1398*(1+$AJ1398*$AL1398*2)^(1/$AJ1398)))</f>
        <v/>
      </c>
      <c r="AO1398">
        <f>IF($AJ1398="","",IF($AJ1398=0,$AK1398*EXP($AL1398*3),$AK1398*(1+$AJ1398*$AL1398*3)^(1/$AJ1398)))</f>
        <v/>
      </c>
      <c r="AP1398">
        <f>IF($AJ1398="","",IF($AJ1398=0,$AK1398*EXP($AL1398*-2),$AK1398*(1+$AJ1398*$AL1398*-2)^(1/$AJ1398)))</f>
        <v/>
      </c>
      <c r="AQ1398">
        <f>IF($AJ1398="","",IF($AJ1398=0,$AK1398*EXP($AL1398*-3),$AK1398*(1+$AJ1398*$AL1398*-3)^(1/$AJ1398)))</f>
        <v/>
      </c>
      <c r="AR1398">
        <f>IF(OR($X1398="",$T1398&gt;60),"",IFERROR(INDEX(IF($T1398&lt;24,pcomp_l,palt_l),MATCH($X1398,IF($T1398&lt;24,pcomp_k,palt_k),1)),""))</f>
        <v/>
      </c>
      <c r="AS1398">
        <f>IF(OR($X1398="",$T1398&gt;60),"",IFERROR(INDEX(IF($T1398&lt;24,pcomp_m,palt_m),MATCH($X1398,IF($T1398&lt;24,pcomp_k,palt_k),1)),""))</f>
        <v/>
      </c>
      <c r="AT1398">
        <f>IF(OR($X1398="",$T1398&gt;60),"",IFERROR(INDEX(IF($T1398&lt;24,pcomp_s,palt_s),MATCH($X1398,IF($T1398&lt;24,pcomp_k,palt_k),1)),""))</f>
        <v/>
      </c>
      <c r="AU1398">
        <f>IF($AR1398="","",IF($AR1398=0,LN($F1398/$AS1398)/$AT1398,((($F1398/$AS1398)^$AR1398)-1)/($AR1398*$AT1398)))</f>
        <v/>
      </c>
      <c r="AV1398">
        <f>IF($AR1398="","",IF($AR1398=0,$AS1398*EXP($AT1398*2),$AS1398*(1+$AR1398*$AT1398*2)^(1/$AR1398)))</f>
        <v/>
      </c>
      <c r="AW1398">
        <f>IF($AR1398="","",IF($AR1398=0,$AS1398*EXP($AT1398*3),$AS1398*(1+$AR1398*$AT1398*3)^(1/$AR1398)))</f>
        <v/>
      </c>
      <c r="AX1398">
        <f>IF($AR1398="","",IF($AR1398=0,$AS1398*EXP($AT1398*-2),$AS1398*(1+$AR1398*$AT1398*-2)^(1/$AR1398)))</f>
        <v/>
      </c>
      <c r="AY1398">
        <f>IF($AR1398="","",IF($AR1398=0,$AS1398*EXP($AT1398*-3),$AS1398*(1+$AR1398*$AT1398*-3)^(1/$AR1398)))</f>
        <v/>
      </c>
      <c r="AZ1398">
        <f>IF(OR($A1398="",$A1398&lt;&gt;Ficha!$C$4),"",COUNTIF($A$2:$A1398,Ficha!$C$4))</f>
        <v/>
      </c>
    </row>
    <row r="1399">
      <c r="A1399" s="8">
        <f>IF(INDEX(Banco!$A:$A,ROW())="","",INDEX(Banco!$A:$A,ROW()))</f>
        <v/>
      </c>
      <c r="B1399" s="8">
        <f>IF(INDEX(Banco!$B:$B,ROW())="","",INDEX(Banco!$B:$B,ROW()))</f>
        <v/>
      </c>
      <c r="C1399" s="8">
        <f>IF(INDEX(Banco!$C:$C,ROW())="","",INDEX(Banco!$C:$C,ROW()))</f>
        <v/>
      </c>
      <c r="D1399" s="9">
        <f>IF(INDEX(Banco!$D:$D,ROW())="","",INDEX(Banco!$D:$D,ROW()))</f>
        <v/>
      </c>
      <c r="E1399" s="9">
        <f>IF(INDEX(Banco!$E:$E,ROW())="","",INDEX(Banco!$E:$E,ROW()))</f>
        <v/>
      </c>
      <c r="F1399" s="10">
        <f>IF(INDEX(Banco!$F:$F,ROW())="","",INDEX(Banco!$F:$F,ROW()))</f>
        <v/>
      </c>
      <c r="G1399" s="10">
        <f>IF(INDEX(Banco!$G:$G,ROW())="","",INDEX(Banco!$G:$G,ROW()))</f>
        <v/>
      </c>
      <c r="H1399" s="8">
        <f>IF(INDEX(Banco!$H:$H,ROW())="","",INDEX(Banco!$H:$H,ROW()))</f>
        <v/>
      </c>
      <c r="I1399">
        <f>IF($T1399="","",INT($T1399/12)&amp;"a "&amp;MOD($T1399,12)&amp;"m")</f>
        <v/>
      </c>
      <c r="J1399" s="11">
        <f>IF(OR($F1399="",$G1399=""),"",ROUND($F1399/($G1399/100)^2,2))</f>
        <v/>
      </c>
      <c r="K1399" s="12">
        <f>IF(OR($S1399="",$J1399="",$T1399="",$T1399&lt;0,$T1399&gt;228,$Y1399=""),"—",ROUND(IF(ABS($AB1399)&lt;=3,$AB1399,IF($AB1399&gt;3,3+($J1399-$AD1399)/($AD1399-$AC1399),-3+($J1399-$AF1399)/($AE1399-$AF1399))),2))</f>
        <v/>
      </c>
      <c r="L1399">
        <f>IF(OR($K1399="",$K1399="—"),"",IF($T1399&lt;=60,IF($K1399&lt;-3,"Magreza acentuada",IF($K1399&lt;-2,"Magreza",IF($K1399&lt;=1,"Eutrofia",IF($K1399&lt;=2,"Risco de sobrepeso",IF($K1399&lt;=3,"Sobrepeso","Obesidade"))))),IF($K1399&lt;-3,"Magreza acentuada",IF($K1399&lt;-2,"Magreza",IF($K1399&lt;=1,"Eutrofia",IF($K1399&lt;=2,"Sobrepeso",IF($K1399&lt;=3,"Obesidade","Obesidade grave")))))))</f>
        <v/>
      </c>
      <c r="M1399" s="12">
        <f>IF(OR($S1399="",$V1399="",$T1399="",$T1399&lt;0,$T1399&gt;228,$AG1399=""),"—",ROUND(IF($AG1399=0,LN($V1399/$AH1399)/$AI1399,((($V1399/$AH1399)^$AG1399)-1)/($AG1399*$AI1399)),2))</f>
        <v/>
      </c>
      <c r="N1399">
        <f>IF(OR($M1399="",$M1399="—"),"",IF($M1399&lt;-3,"Muito baixa",IF($M1399&lt;-2,"Baixa","Adequada")))</f>
        <v/>
      </c>
      <c r="O1399" s="12">
        <f>IF(OR($S1399="",$F1399="",$T1399="",$T1399&lt;0,$T1399&gt;120,$AJ1399=""),"—",ROUND(IF(ABS($AM1399)&lt;=3,$AM1399,IF($AM1399&gt;3,3+($F1399-$AO1399)/($AO1399-$AN1399),-3+($F1399-$AQ1399)/($AP1399-$AQ1399))),2))</f>
        <v/>
      </c>
      <c r="P1399">
        <f>IF(OR($O1399="",$O1399="—"),"",IF($O1399&lt;-3,"Muito baixo",IF($O1399&lt;-2,"Baixo",IF($O1399&lt;=2,"Adequado","Elevado"))))</f>
        <v/>
      </c>
      <c r="Q1399" s="12">
        <f>IF(OR($S1399="",$F1399="",$T1399="",$T1399&lt;0,$T1399&gt;60,$AR1399=""),"—",ROUND(IF(ABS($AU1399)&lt;=3,$AU1399,IF($AU1399&gt;3,3+($F1399-$AW1399)/($AW1399-$AV1399),-3+($F1399-$AY1399)/($AX1399-$AY1399))),2))</f>
        <v/>
      </c>
      <c r="R1399">
        <f>IF(OR($Q1399="",$Q1399="—"),"",IF($Q1399&lt;-3,"Magreza acentuada",IF($Q1399&lt;-2,"Magreza",IF($Q1399&lt;=1,"Eutrofia",IF($Q1399&lt;=2,"Risco de sobrepeso",IF($Q1399&lt;=3,"Sobrepeso","Obesidade"))))))</f>
        <v/>
      </c>
      <c r="S1399">
        <f>IF($C1399="","",IF(UPPER(LEFT($C1399,1))="M",1,IF(UPPER(LEFT($C1399,1))="F",2,"")))</f>
        <v/>
      </c>
      <c r="T1399">
        <f>IF(OR($D1399="",$E1399=""),"",DATEDIF($D1399,$E1399,"m"))</f>
        <v/>
      </c>
      <c r="U1399">
        <f>IF(OR($D1399="",$E1399=""),"",$E1399-$D1399)</f>
        <v/>
      </c>
      <c r="V1399">
        <f>IF(OR($G1399="",$T1399=""),"",IF($T1399&lt;24,IF(LEFT(LOWER($H1399),4)="em p",$G1399+0.7,$G1399),IF(LEFT(LOWER($H1399),4)="deit",$G1399-0.7,$G1399)))</f>
        <v/>
      </c>
      <c r="W1399">
        <f>IF(OR($S1399="",$T1399=""),"",$S1399*1000000+IF($T1399&lt;=60,$U1399,$T1399))</f>
        <v/>
      </c>
      <c r="X1399">
        <f>IF(OR($S1399="",$V1399="",$T1399&gt;60,$T1399=""),"",$S1399*1000000+ROUND($V1399*10,0))</f>
        <v/>
      </c>
      <c r="Y1399">
        <f>IF($W1399="","",IFERROR(INDEX(IF($T1399&lt;=60,imc05_l,imc519_l),MATCH($W1399,IF($T1399&lt;=60,imc05_k,imc519_k),1)),""))</f>
        <v/>
      </c>
      <c r="Z1399">
        <f>IF($W1399="","",IFERROR(INDEX(IF($T1399&lt;=60,imc05_m,imc519_m),MATCH($W1399,IF($T1399&lt;=60,imc05_k,imc519_k),1)),""))</f>
        <v/>
      </c>
      <c r="AA1399">
        <f>IF($W1399="","",IFERROR(INDEX(IF($T1399&lt;=60,imc05_s,imc519_s),MATCH($W1399,IF($T1399&lt;=60,imc05_k,imc519_k),1)),""))</f>
        <v/>
      </c>
      <c r="AB1399">
        <f>IF($Y1399="","",IF($Y1399=0,LN($J1399/$Z1399)/$AA1399,((($J1399/$Z1399)^$Y1399)-1)/($Y1399*$AA1399)))</f>
        <v/>
      </c>
      <c r="AC1399">
        <f>IF($Y1399="","",IF($Y1399=0,$Z1399*EXP($AA1399*2),$Z1399*(1+$Y1399*$AA1399*2)^(1/$Y1399)))</f>
        <v/>
      </c>
      <c r="AD1399">
        <f>IF($Y1399="","",IF($Y1399=0,$Z1399*EXP($AA1399*3),$Z1399*(1+$Y1399*$AA1399*3)^(1/$Y1399)))</f>
        <v/>
      </c>
      <c r="AE1399">
        <f>IF($Y1399="","",IF($Y1399=0,$Z1399*EXP($AA1399*-2),$Z1399*(1+$Y1399*$AA1399*-2)^(1/$Y1399)))</f>
        <v/>
      </c>
      <c r="AF1399">
        <f>IF($Y1399="","",IF($Y1399=0,$Z1399*EXP($AA1399*-3),$Z1399*(1+$Y1399*$AA1399*-3)^(1/$Y1399)))</f>
        <v/>
      </c>
      <c r="AG1399">
        <f>IF($W1399="","",IFERROR(INDEX(IF($T1399&lt;=60,est05_l,est519_l),MATCH($W1399,IF($T1399&lt;=60,est05_k,est519_k),1)),""))</f>
        <v/>
      </c>
      <c r="AH1399">
        <f>IF($W1399="","",IFERROR(INDEX(IF($T1399&lt;=60,est05_m,est519_m),MATCH($W1399,IF($T1399&lt;=60,est05_k,est519_k),1)),""))</f>
        <v/>
      </c>
      <c r="AI1399">
        <f>IF($W1399="","",IFERROR(INDEX(IF($T1399&lt;=60,est05_s,est519_s),MATCH($W1399,IF($T1399&lt;=60,est05_k,est519_k),1)),""))</f>
        <v/>
      </c>
      <c r="AJ1399">
        <f>IF($W1399="","",IFERROR(INDEX(IF($T1399&lt;=60,peso05_l,peso510_l),MATCH($W1399,IF($T1399&lt;=60,peso05_k,peso510_k),1)),""))</f>
        <v/>
      </c>
      <c r="AK1399">
        <f>IF($W1399="","",IFERROR(INDEX(IF($T1399&lt;=60,peso05_m,peso510_m),MATCH($W1399,IF($T1399&lt;=60,peso05_k,peso510_k),1)),""))</f>
        <v/>
      </c>
      <c r="AL1399">
        <f>IF($W1399="","",IFERROR(INDEX(IF($T1399&lt;=60,peso05_s,peso510_s),MATCH($W1399,IF($T1399&lt;=60,peso05_k,peso510_k),1)),""))</f>
        <v/>
      </c>
      <c r="AM1399">
        <f>IF($AJ1399="","",IF($AJ1399=0,LN($F1399/$AK1399)/$AL1399,((($F1399/$AK1399)^$AJ1399)-1)/($AJ1399*$AL1399)))</f>
        <v/>
      </c>
      <c r="AN1399">
        <f>IF($AJ1399="","",IF($AJ1399=0,$AK1399*EXP($AL1399*2),$AK1399*(1+$AJ1399*$AL1399*2)^(1/$AJ1399)))</f>
        <v/>
      </c>
      <c r="AO1399">
        <f>IF($AJ1399="","",IF($AJ1399=0,$AK1399*EXP($AL1399*3),$AK1399*(1+$AJ1399*$AL1399*3)^(1/$AJ1399)))</f>
        <v/>
      </c>
      <c r="AP1399">
        <f>IF($AJ1399="","",IF($AJ1399=0,$AK1399*EXP($AL1399*-2),$AK1399*(1+$AJ1399*$AL1399*-2)^(1/$AJ1399)))</f>
        <v/>
      </c>
      <c r="AQ1399">
        <f>IF($AJ1399="","",IF($AJ1399=0,$AK1399*EXP($AL1399*-3),$AK1399*(1+$AJ1399*$AL1399*-3)^(1/$AJ1399)))</f>
        <v/>
      </c>
      <c r="AR1399">
        <f>IF(OR($X1399="",$T1399&gt;60),"",IFERROR(INDEX(IF($T1399&lt;24,pcomp_l,palt_l),MATCH($X1399,IF($T1399&lt;24,pcomp_k,palt_k),1)),""))</f>
        <v/>
      </c>
      <c r="AS1399">
        <f>IF(OR($X1399="",$T1399&gt;60),"",IFERROR(INDEX(IF($T1399&lt;24,pcomp_m,palt_m),MATCH($X1399,IF($T1399&lt;24,pcomp_k,palt_k),1)),""))</f>
        <v/>
      </c>
      <c r="AT1399">
        <f>IF(OR($X1399="",$T1399&gt;60),"",IFERROR(INDEX(IF($T1399&lt;24,pcomp_s,palt_s),MATCH($X1399,IF($T1399&lt;24,pcomp_k,palt_k),1)),""))</f>
        <v/>
      </c>
      <c r="AU1399">
        <f>IF($AR1399="","",IF($AR1399=0,LN($F1399/$AS1399)/$AT1399,((($F1399/$AS1399)^$AR1399)-1)/($AR1399*$AT1399)))</f>
        <v/>
      </c>
      <c r="AV1399">
        <f>IF($AR1399="","",IF($AR1399=0,$AS1399*EXP($AT1399*2),$AS1399*(1+$AR1399*$AT1399*2)^(1/$AR1399)))</f>
        <v/>
      </c>
      <c r="AW1399">
        <f>IF($AR1399="","",IF($AR1399=0,$AS1399*EXP($AT1399*3),$AS1399*(1+$AR1399*$AT1399*3)^(1/$AR1399)))</f>
        <v/>
      </c>
      <c r="AX1399">
        <f>IF($AR1399="","",IF($AR1399=0,$AS1399*EXP($AT1399*-2),$AS1399*(1+$AR1399*$AT1399*-2)^(1/$AR1399)))</f>
        <v/>
      </c>
      <c r="AY1399">
        <f>IF($AR1399="","",IF($AR1399=0,$AS1399*EXP($AT1399*-3),$AS1399*(1+$AR1399*$AT1399*-3)^(1/$AR1399)))</f>
        <v/>
      </c>
      <c r="AZ1399">
        <f>IF(OR($A1399="",$A1399&lt;&gt;Ficha!$C$4),"",COUNTIF($A$2:$A1399,Ficha!$C$4))</f>
        <v/>
      </c>
    </row>
    <row r="1400">
      <c r="A1400" s="8">
        <f>IF(INDEX(Banco!$A:$A,ROW())="","",INDEX(Banco!$A:$A,ROW()))</f>
        <v/>
      </c>
      <c r="B1400" s="8">
        <f>IF(INDEX(Banco!$B:$B,ROW())="","",INDEX(Banco!$B:$B,ROW()))</f>
        <v/>
      </c>
      <c r="C1400" s="8">
        <f>IF(INDEX(Banco!$C:$C,ROW())="","",INDEX(Banco!$C:$C,ROW()))</f>
        <v/>
      </c>
      <c r="D1400" s="9">
        <f>IF(INDEX(Banco!$D:$D,ROW())="","",INDEX(Banco!$D:$D,ROW()))</f>
        <v/>
      </c>
      <c r="E1400" s="9">
        <f>IF(INDEX(Banco!$E:$E,ROW())="","",INDEX(Banco!$E:$E,ROW()))</f>
        <v/>
      </c>
      <c r="F1400" s="10">
        <f>IF(INDEX(Banco!$F:$F,ROW())="","",INDEX(Banco!$F:$F,ROW()))</f>
        <v/>
      </c>
      <c r="G1400" s="10">
        <f>IF(INDEX(Banco!$G:$G,ROW())="","",INDEX(Banco!$G:$G,ROW()))</f>
        <v/>
      </c>
      <c r="H1400" s="8">
        <f>IF(INDEX(Banco!$H:$H,ROW())="","",INDEX(Banco!$H:$H,ROW()))</f>
        <v/>
      </c>
      <c r="I1400">
        <f>IF($T1400="","",INT($T1400/12)&amp;"a "&amp;MOD($T1400,12)&amp;"m")</f>
        <v/>
      </c>
      <c r="J1400" s="11">
        <f>IF(OR($F1400="",$G1400=""),"",ROUND($F1400/($G1400/100)^2,2))</f>
        <v/>
      </c>
      <c r="K1400" s="12">
        <f>IF(OR($S1400="",$J1400="",$T1400="",$T1400&lt;0,$T1400&gt;228,$Y1400=""),"—",ROUND(IF(ABS($AB1400)&lt;=3,$AB1400,IF($AB1400&gt;3,3+($J1400-$AD1400)/($AD1400-$AC1400),-3+($J1400-$AF1400)/($AE1400-$AF1400))),2))</f>
        <v/>
      </c>
      <c r="L1400">
        <f>IF(OR($K1400="",$K1400="—"),"",IF($T1400&lt;=60,IF($K1400&lt;-3,"Magreza acentuada",IF($K1400&lt;-2,"Magreza",IF($K1400&lt;=1,"Eutrofia",IF($K1400&lt;=2,"Risco de sobrepeso",IF($K1400&lt;=3,"Sobrepeso","Obesidade"))))),IF($K1400&lt;-3,"Magreza acentuada",IF($K1400&lt;-2,"Magreza",IF($K1400&lt;=1,"Eutrofia",IF($K1400&lt;=2,"Sobrepeso",IF($K1400&lt;=3,"Obesidade","Obesidade grave")))))))</f>
        <v/>
      </c>
      <c r="M1400" s="12">
        <f>IF(OR($S1400="",$V1400="",$T1400="",$T1400&lt;0,$T1400&gt;228,$AG1400=""),"—",ROUND(IF($AG1400=0,LN($V1400/$AH1400)/$AI1400,((($V1400/$AH1400)^$AG1400)-1)/($AG1400*$AI1400)),2))</f>
        <v/>
      </c>
      <c r="N1400">
        <f>IF(OR($M1400="",$M1400="—"),"",IF($M1400&lt;-3,"Muito baixa",IF($M1400&lt;-2,"Baixa","Adequada")))</f>
        <v/>
      </c>
      <c r="O1400" s="12">
        <f>IF(OR($S1400="",$F1400="",$T1400="",$T1400&lt;0,$T1400&gt;120,$AJ1400=""),"—",ROUND(IF(ABS($AM1400)&lt;=3,$AM1400,IF($AM1400&gt;3,3+($F1400-$AO1400)/($AO1400-$AN1400),-3+($F1400-$AQ1400)/($AP1400-$AQ1400))),2))</f>
        <v/>
      </c>
      <c r="P1400">
        <f>IF(OR($O1400="",$O1400="—"),"",IF($O1400&lt;-3,"Muito baixo",IF($O1400&lt;-2,"Baixo",IF($O1400&lt;=2,"Adequado","Elevado"))))</f>
        <v/>
      </c>
      <c r="Q1400" s="12">
        <f>IF(OR($S1400="",$F1400="",$T1400="",$T1400&lt;0,$T1400&gt;60,$AR1400=""),"—",ROUND(IF(ABS($AU1400)&lt;=3,$AU1400,IF($AU1400&gt;3,3+($F1400-$AW1400)/($AW1400-$AV1400),-3+($F1400-$AY1400)/($AX1400-$AY1400))),2))</f>
        <v/>
      </c>
      <c r="R1400">
        <f>IF(OR($Q1400="",$Q1400="—"),"",IF($Q1400&lt;-3,"Magreza acentuada",IF($Q1400&lt;-2,"Magreza",IF($Q1400&lt;=1,"Eutrofia",IF($Q1400&lt;=2,"Risco de sobrepeso",IF($Q1400&lt;=3,"Sobrepeso","Obesidade"))))))</f>
        <v/>
      </c>
      <c r="S1400">
        <f>IF($C1400="","",IF(UPPER(LEFT($C1400,1))="M",1,IF(UPPER(LEFT($C1400,1))="F",2,"")))</f>
        <v/>
      </c>
      <c r="T1400">
        <f>IF(OR($D1400="",$E1400=""),"",DATEDIF($D1400,$E1400,"m"))</f>
        <v/>
      </c>
      <c r="U1400">
        <f>IF(OR($D1400="",$E1400=""),"",$E1400-$D1400)</f>
        <v/>
      </c>
      <c r="V1400">
        <f>IF(OR($G1400="",$T1400=""),"",IF($T1400&lt;24,IF(LEFT(LOWER($H1400),4)="em p",$G1400+0.7,$G1400),IF(LEFT(LOWER($H1400),4)="deit",$G1400-0.7,$G1400)))</f>
        <v/>
      </c>
      <c r="W1400">
        <f>IF(OR($S1400="",$T1400=""),"",$S1400*1000000+IF($T1400&lt;=60,$U1400,$T1400))</f>
        <v/>
      </c>
      <c r="X1400">
        <f>IF(OR($S1400="",$V1400="",$T1400&gt;60,$T1400=""),"",$S1400*1000000+ROUND($V1400*10,0))</f>
        <v/>
      </c>
      <c r="Y1400">
        <f>IF($W1400="","",IFERROR(INDEX(IF($T1400&lt;=60,imc05_l,imc519_l),MATCH($W1400,IF($T1400&lt;=60,imc05_k,imc519_k),1)),""))</f>
        <v/>
      </c>
      <c r="Z1400">
        <f>IF($W1400="","",IFERROR(INDEX(IF($T1400&lt;=60,imc05_m,imc519_m),MATCH($W1400,IF($T1400&lt;=60,imc05_k,imc519_k),1)),""))</f>
        <v/>
      </c>
      <c r="AA1400">
        <f>IF($W1400="","",IFERROR(INDEX(IF($T1400&lt;=60,imc05_s,imc519_s),MATCH($W1400,IF($T1400&lt;=60,imc05_k,imc519_k),1)),""))</f>
        <v/>
      </c>
      <c r="AB1400">
        <f>IF($Y1400="","",IF($Y1400=0,LN($J1400/$Z1400)/$AA1400,((($J1400/$Z1400)^$Y1400)-1)/($Y1400*$AA1400)))</f>
        <v/>
      </c>
      <c r="AC1400">
        <f>IF($Y1400="","",IF($Y1400=0,$Z1400*EXP($AA1400*2),$Z1400*(1+$Y1400*$AA1400*2)^(1/$Y1400)))</f>
        <v/>
      </c>
      <c r="AD1400">
        <f>IF($Y1400="","",IF($Y1400=0,$Z1400*EXP($AA1400*3),$Z1400*(1+$Y1400*$AA1400*3)^(1/$Y1400)))</f>
        <v/>
      </c>
      <c r="AE1400">
        <f>IF($Y1400="","",IF($Y1400=0,$Z1400*EXP($AA1400*-2),$Z1400*(1+$Y1400*$AA1400*-2)^(1/$Y1400)))</f>
        <v/>
      </c>
      <c r="AF1400">
        <f>IF($Y1400="","",IF($Y1400=0,$Z1400*EXP($AA1400*-3),$Z1400*(1+$Y1400*$AA1400*-3)^(1/$Y1400)))</f>
        <v/>
      </c>
      <c r="AG1400">
        <f>IF($W1400="","",IFERROR(INDEX(IF($T1400&lt;=60,est05_l,est519_l),MATCH($W1400,IF($T1400&lt;=60,est05_k,est519_k),1)),""))</f>
        <v/>
      </c>
      <c r="AH1400">
        <f>IF($W1400="","",IFERROR(INDEX(IF($T1400&lt;=60,est05_m,est519_m),MATCH($W1400,IF($T1400&lt;=60,est05_k,est519_k),1)),""))</f>
        <v/>
      </c>
      <c r="AI1400">
        <f>IF($W1400="","",IFERROR(INDEX(IF($T1400&lt;=60,est05_s,est519_s),MATCH($W1400,IF($T1400&lt;=60,est05_k,est519_k),1)),""))</f>
        <v/>
      </c>
      <c r="AJ1400">
        <f>IF($W1400="","",IFERROR(INDEX(IF($T1400&lt;=60,peso05_l,peso510_l),MATCH($W1400,IF($T1400&lt;=60,peso05_k,peso510_k),1)),""))</f>
        <v/>
      </c>
      <c r="AK1400">
        <f>IF($W1400="","",IFERROR(INDEX(IF($T1400&lt;=60,peso05_m,peso510_m),MATCH($W1400,IF($T1400&lt;=60,peso05_k,peso510_k),1)),""))</f>
        <v/>
      </c>
      <c r="AL1400">
        <f>IF($W1400="","",IFERROR(INDEX(IF($T1400&lt;=60,peso05_s,peso510_s),MATCH($W1400,IF($T1400&lt;=60,peso05_k,peso510_k),1)),""))</f>
        <v/>
      </c>
      <c r="AM1400">
        <f>IF($AJ1400="","",IF($AJ1400=0,LN($F1400/$AK1400)/$AL1400,((($F1400/$AK1400)^$AJ1400)-1)/($AJ1400*$AL1400)))</f>
        <v/>
      </c>
      <c r="AN1400">
        <f>IF($AJ1400="","",IF($AJ1400=0,$AK1400*EXP($AL1400*2),$AK1400*(1+$AJ1400*$AL1400*2)^(1/$AJ1400)))</f>
        <v/>
      </c>
      <c r="AO1400">
        <f>IF($AJ1400="","",IF($AJ1400=0,$AK1400*EXP($AL1400*3),$AK1400*(1+$AJ1400*$AL1400*3)^(1/$AJ1400)))</f>
        <v/>
      </c>
      <c r="AP1400">
        <f>IF($AJ1400="","",IF($AJ1400=0,$AK1400*EXP($AL1400*-2),$AK1400*(1+$AJ1400*$AL1400*-2)^(1/$AJ1400)))</f>
        <v/>
      </c>
      <c r="AQ1400">
        <f>IF($AJ1400="","",IF($AJ1400=0,$AK1400*EXP($AL1400*-3),$AK1400*(1+$AJ1400*$AL1400*-3)^(1/$AJ1400)))</f>
        <v/>
      </c>
      <c r="AR1400">
        <f>IF(OR($X1400="",$T1400&gt;60),"",IFERROR(INDEX(IF($T1400&lt;24,pcomp_l,palt_l),MATCH($X1400,IF($T1400&lt;24,pcomp_k,palt_k),1)),""))</f>
        <v/>
      </c>
      <c r="AS1400">
        <f>IF(OR($X1400="",$T1400&gt;60),"",IFERROR(INDEX(IF($T1400&lt;24,pcomp_m,palt_m),MATCH($X1400,IF($T1400&lt;24,pcomp_k,palt_k),1)),""))</f>
        <v/>
      </c>
      <c r="AT1400">
        <f>IF(OR($X1400="",$T1400&gt;60),"",IFERROR(INDEX(IF($T1400&lt;24,pcomp_s,palt_s),MATCH($X1400,IF($T1400&lt;24,pcomp_k,palt_k),1)),""))</f>
        <v/>
      </c>
      <c r="AU1400">
        <f>IF($AR1400="","",IF($AR1400=0,LN($F1400/$AS1400)/$AT1400,((($F1400/$AS1400)^$AR1400)-1)/($AR1400*$AT1400)))</f>
        <v/>
      </c>
      <c r="AV1400">
        <f>IF($AR1400="","",IF($AR1400=0,$AS1400*EXP($AT1400*2),$AS1400*(1+$AR1400*$AT1400*2)^(1/$AR1400)))</f>
        <v/>
      </c>
      <c r="AW1400">
        <f>IF($AR1400="","",IF($AR1400=0,$AS1400*EXP($AT1400*3),$AS1400*(1+$AR1400*$AT1400*3)^(1/$AR1400)))</f>
        <v/>
      </c>
      <c r="AX1400">
        <f>IF($AR1400="","",IF($AR1400=0,$AS1400*EXP($AT1400*-2),$AS1400*(1+$AR1400*$AT1400*-2)^(1/$AR1400)))</f>
        <v/>
      </c>
      <c r="AY1400">
        <f>IF($AR1400="","",IF($AR1400=0,$AS1400*EXP($AT1400*-3),$AS1400*(1+$AR1400*$AT1400*-3)^(1/$AR1400)))</f>
        <v/>
      </c>
      <c r="AZ1400">
        <f>IF(OR($A1400="",$A1400&lt;&gt;Ficha!$C$4),"",COUNTIF($A$2:$A1400,Ficha!$C$4))</f>
        <v/>
      </c>
    </row>
    <row r="1401">
      <c r="A1401" s="8">
        <f>IF(INDEX(Banco!$A:$A,ROW())="","",INDEX(Banco!$A:$A,ROW()))</f>
        <v/>
      </c>
      <c r="B1401" s="8">
        <f>IF(INDEX(Banco!$B:$B,ROW())="","",INDEX(Banco!$B:$B,ROW()))</f>
        <v/>
      </c>
      <c r="C1401" s="8">
        <f>IF(INDEX(Banco!$C:$C,ROW())="","",INDEX(Banco!$C:$C,ROW()))</f>
        <v/>
      </c>
      <c r="D1401" s="9">
        <f>IF(INDEX(Banco!$D:$D,ROW())="","",INDEX(Banco!$D:$D,ROW()))</f>
        <v/>
      </c>
      <c r="E1401" s="9">
        <f>IF(INDEX(Banco!$E:$E,ROW())="","",INDEX(Banco!$E:$E,ROW()))</f>
        <v/>
      </c>
      <c r="F1401" s="10">
        <f>IF(INDEX(Banco!$F:$F,ROW())="","",INDEX(Banco!$F:$F,ROW()))</f>
        <v/>
      </c>
      <c r="G1401" s="10">
        <f>IF(INDEX(Banco!$G:$G,ROW())="","",INDEX(Banco!$G:$G,ROW()))</f>
        <v/>
      </c>
      <c r="H1401" s="8">
        <f>IF(INDEX(Banco!$H:$H,ROW())="","",INDEX(Banco!$H:$H,ROW()))</f>
        <v/>
      </c>
      <c r="I1401">
        <f>IF($T1401="","",INT($T1401/12)&amp;"a "&amp;MOD($T1401,12)&amp;"m")</f>
        <v/>
      </c>
      <c r="J1401" s="11">
        <f>IF(OR($F1401="",$G1401=""),"",ROUND($F1401/($G1401/100)^2,2))</f>
        <v/>
      </c>
      <c r="K1401" s="12">
        <f>IF(OR($S1401="",$J1401="",$T1401="",$T1401&lt;0,$T1401&gt;228,$Y1401=""),"—",ROUND(IF(ABS($AB1401)&lt;=3,$AB1401,IF($AB1401&gt;3,3+($J1401-$AD1401)/($AD1401-$AC1401),-3+($J1401-$AF1401)/($AE1401-$AF1401))),2))</f>
        <v/>
      </c>
      <c r="L1401">
        <f>IF(OR($K1401="",$K1401="—"),"",IF($T1401&lt;=60,IF($K1401&lt;-3,"Magreza acentuada",IF($K1401&lt;-2,"Magreza",IF($K1401&lt;=1,"Eutrofia",IF($K1401&lt;=2,"Risco de sobrepeso",IF($K1401&lt;=3,"Sobrepeso","Obesidade"))))),IF($K1401&lt;-3,"Magreza acentuada",IF($K1401&lt;-2,"Magreza",IF($K1401&lt;=1,"Eutrofia",IF($K1401&lt;=2,"Sobrepeso",IF($K1401&lt;=3,"Obesidade","Obesidade grave")))))))</f>
        <v/>
      </c>
      <c r="M1401" s="12">
        <f>IF(OR($S1401="",$V1401="",$T1401="",$T1401&lt;0,$T1401&gt;228,$AG1401=""),"—",ROUND(IF($AG1401=0,LN($V1401/$AH1401)/$AI1401,((($V1401/$AH1401)^$AG1401)-1)/($AG1401*$AI1401)),2))</f>
        <v/>
      </c>
      <c r="N1401">
        <f>IF(OR($M1401="",$M1401="—"),"",IF($M1401&lt;-3,"Muito baixa",IF($M1401&lt;-2,"Baixa","Adequada")))</f>
        <v/>
      </c>
      <c r="O1401" s="12">
        <f>IF(OR($S1401="",$F1401="",$T1401="",$T1401&lt;0,$T1401&gt;120,$AJ1401=""),"—",ROUND(IF(ABS($AM1401)&lt;=3,$AM1401,IF($AM1401&gt;3,3+($F1401-$AO1401)/($AO1401-$AN1401),-3+($F1401-$AQ1401)/($AP1401-$AQ1401))),2))</f>
        <v/>
      </c>
      <c r="P1401">
        <f>IF(OR($O1401="",$O1401="—"),"",IF($O1401&lt;-3,"Muito baixo",IF($O1401&lt;-2,"Baixo",IF($O1401&lt;=2,"Adequado","Elevado"))))</f>
        <v/>
      </c>
      <c r="Q1401" s="12">
        <f>IF(OR($S1401="",$F1401="",$T1401="",$T1401&lt;0,$T1401&gt;60,$AR1401=""),"—",ROUND(IF(ABS($AU1401)&lt;=3,$AU1401,IF($AU1401&gt;3,3+($F1401-$AW1401)/($AW1401-$AV1401),-3+($F1401-$AY1401)/($AX1401-$AY1401))),2))</f>
        <v/>
      </c>
      <c r="R1401">
        <f>IF(OR($Q1401="",$Q1401="—"),"",IF($Q1401&lt;-3,"Magreza acentuada",IF($Q1401&lt;-2,"Magreza",IF($Q1401&lt;=1,"Eutrofia",IF($Q1401&lt;=2,"Risco de sobrepeso",IF($Q1401&lt;=3,"Sobrepeso","Obesidade"))))))</f>
        <v/>
      </c>
      <c r="S1401">
        <f>IF($C1401="","",IF(UPPER(LEFT($C1401,1))="M",1,IF(UPPER(LEFT($C1401,1))="F",2,"")))</f>
        <v/>
      </c>
      <c r="T1401">
        <f>IF(OR($D1401="",$E1401=""),"",DATEDIF($D1401,$E1401,"m"))</f>
        <v/>
      </c>
      <c r="U1401">
        <f>IF(OR($D1401="",$E1401=""),"",$E1401-$D1401)</f>
        <v/>
      </c>
      <c r="V1401">
        <f>IF(OR($G1401="",$T1401=""),"",IF($T1401&lt;24,IF(LEFT(LOWER($H1401),4)="em p",$G1401+0.7,$G1401),IF(LEFT(LOWER($H1401),4)="deit",$G1401-0.7,$G1401)))</f>
        <v/>
      </c>
      <c r="W1401">
        <f>IF(OR($S1401="",$T1401=""),"",$S1401*1000000+IF($T1401&lt;=60,$U1401,$T1401))</f>
        <v/>
      </c>
      <c r="X1401">
        <f>IF(OR($S1401="",$V1401="",$T1401&gt;60,$T1401=""),"",$S1401*1000000+ROUND($V1401*10,0))</f>
        <v/>
      </c>
      <c r="Y1401">
        <f>IF($W1401="","",IFERROR(INDEX(IF($T1401&lt;=60,imc05_l,imc519_l),MATCH($W1401,IF($T1401&lt;=60,imc05_k,imc519_k),1)),""))</f>
        <v/>
      </c>
      <c r="Z1401">
        <f>IF($W1401="","",IFERROR(INDEX(IF($T1401&lt;=60,imc05_m,imc519_m),MATCH($W1401,IF($T1401&lt;=60,imc05_k,imc519_k),1)),""))</f>
        <v/>
      </c>
      <c r="AA1401">
        <f>IF($W1401="","",IFERROR(INDEX(IF($T1401&lt;=60,imc05_s,imc519_s),MATCH($W1401,IF($T1401&lt;=60,imc05_k,imc519_k),1)),""))</f>
        <v/>
      </c>
      <c r="AB1401">
        <f>IF($Y1401="","",IF($Y1401=0,LN($J1401/$Z1401)/$AA1401,((($J1401/$Z1401)^$Y1401)-1)/($Y1401*$AA1401)))</f>
        <v/>
      </c>
      <c r="AC1401">
        <f>IF($Y1401="","",IF($Y1401=0,$Z1401*EXP($AA1401*2),$Z1401*(1+$Y1401*$AA1401*2)^(1/$Y1401)))</f>
        <v/>
      </c>
      <c r="AD1401">
        <f>IF($Y1401="","",IF($Y1401=0,$Z1401*EXP($AA1401*3),$Z1401*(1+$Y1401*$AA1401*3)^(1/$Y1401)))</f>
        <v/>
      </c>
      <c r="AE1401">
        <f>IF($Y1401="","",IF($Y1401=0,$Z1401*EXP($AA1401*-2),$Z1401*(1+$Y1401*$AA1401*-2)^(1/$Y1401)))</f>
        <v/>
      </c>
      <c r="AF1401">
        <f>IF($Y1401="","",IF($Y1401=0,$Z1401*EXP($AA1401*-3),$Z1401*(1+$Y1401*$AA1401*-3)^(1/$Y1401)))</f>
        <v/>
      </c>
      <c r="AG1401">
        <f>IF($W1401="","",IFERROR(INDEX(IF($T1401&lt;=60,est05_l,est519_l),MATCH($W1401,IF($T1401&lt;=60,est05_k,est519_k),1)),""))</f>
        <v/>
      </c>
      <c r="AH1401">
        <f>IF($W1401="","",IFERROR(INDEX(IF($T1401&lt;=60,est05_m,est519_m),MATCH($W1401,IF($T1401&lt;=60,est05_k,est519_k),1)),""))</f>
        <v/>
      </c>
      <c r="AI1401">
        <f>IF($W1401="","",IFERROR(INDEX(IF($T1401&lt;=60,est05_s,est519_s),MATCH($W1401,IF($T1401&lt;=60,est05_k,est519_k),1)),""))</f>
        <v/>
      </c>
      <c r="AJ1401">
        <f>IF($W1401="","",IFERROR(INDEX(IF($T1401&lt;=60,peso05_l,peso510_l),MATCH($W1401,IF($T1401&lt;=60,peso05_k,peso510_k),1)),""))</f>
        <v/>
      </c>
      <c r="AK1401">
        <f>IF($W1401="","",IFERROR(INDEX(IF($T1401&lt;=60,peso05_m,peso510_m),MATCH($W1401,IF($T1401&lt;=60,peso05_k,peso510_k),1)),""))</f>
        <v/>
      </c>
      <c r="AL1401">
        <f>IF($W1401="","",IFERROR(INDEX(IF($T1401&lt;=60,peso05_s,peso510_s),MATCH($W1401,IF($T1401&lt;=60,peso05_k,peso510_k),1)),""))</f>
        <v/>
      </c>
      <c r="AM1401">
        <f>IF($AJ1401="","",IF($AJ1401=0,LN($F1401/$AK1401)/$AL1401,((($F1401/$AK1401)^$AJ1401)-1)/($AJ1401*$AL1401)))</f>
        <v/>
      </c>
      <c r="AN1401">
        <f>IF($AJ1401="","",IF($AJ1401=0,$AK1401*EXP($AL1401*2),$AK1401*(1+$AJ1401*$AL1401*2)^(1/$AJ1401)))</f>
        <v/>
      </c>
      <c r="AO1401">
        <f>IF($AJ1401="","",IF($AJ1401=0,$AK1401*EXP($AL1401*3),$AK1401*(1+$AJ1401*$AL1401*3)^(1/$AJ1401)))</f>
        <v/>
      </c>
      <c r="AP1401">
        <f>IF($AJ1401="","",IF($AJ1401=0,$AK1401*EXP($AL1401*-2),$AK1401*(1+$AJ1401*$AL1401*-2)^(1/$AJ1401)))</f>
        <v/>
      </c>
      <c r="AQ1401">
        <f>IF($AJ1401="","",IF($AJ1401=0,$AK1401*EXP($AL1401*-3),$AK1401*(1+$AJ1401*$AL1401*-3)^(1/$AJ1401)))</f>
        <v/>
      </c>
      <c r="AR1401">
        <f>IF(OR($X1401="",$T1401&gt;60),"",IFERROR(INDEX(IF($T1401&lt;24,pcomp_l,palt_l),MATCH($X1401,IF($T1401&lt;24,pcomp_k,palt_k),1)),""))</f>
        <v/>
      </c>
      <c r="AS1401">
        <f>IF(OR($X1401="",$T1401&gt;60),"",IFERROR(INDEX(IF($T1401&lt;24,pcomp_m,palt_m),MATCH($X1401,IF($T1401&lt;24,pcomp_k,palt_k),1)),""))</f>
        <v/>
      </c>
      <c r="AT1401">
        <f>IF(OR($X1401="",$T1401&gt;60),"",IFERROR(INDEX(IF($T1401&lt;24,pcomp_s,palt_s),MATCH($X1401,IF($T1401&lt;24,pcomp_k,palt_k),1)),""))</f>
        <v/>
      </c>
      <c r="AU1401">
        <f>IF($AR1401="","",IF($AR1401=0,LN($F1401/$AS1401)/$AT1401,((($F1401/$AS1401)^$AR1401)-1)/($AR1401*$AT1401)))</f>
        <v/>
      </c>
      <c r="AV1401">
        <f>IF($AR1401="","",IF($AR1401=0,$AS1401*EXP($AT1401*2),$AS1401*(1+$AR1401*$AT1401*2)^(1/$AR1401)))</f>
        <v/>
      </c>
      <c r="AW1401">
        <f>IF($AR1401="","",IF($AR1401=0,$AS1401*EXP($AT1401*3),$AS1401*(1+$AR1401*$AT1401*3)^(1/$AR1401)))</f>
        <v/>
      </c>
      <c r="AX1401">
        <f>IF($AR1401="","",IF($AR1401=0,$AS1401*EXP($AT1401*-2),$AS1401*(1+$AR1401*$AT1401*-2)^(1/$AR1401)))</f>
        <v/>
      </c>
      <c r="AY1401">
        <f>IF($AR1401="","",IF($AR1401=0,$AS1401*EXP($AT1401*-3),$AS1401*(1+$AR1401*$AT1401*-3)^(1/$AR1401)))</f>
        <v/>
      </c>
      <c r="AZ1401">
        <f>IF(OR($A1401="",$A1401&lt;&gt;Ficha!$C$4),"",COUNTIF($A$2:$A1401,Ficha!$C$4))</f>
        <v/>
      </c>
    </row>
    <row r="1402">
      <c r="A1402" s="8">
        <f>IF(INDEX(Banco!$A:$A,ROW())="","",INDEX(Banco!$A:$A,ROW()))</f>
        <v/>
      </c>
      <c r="B1402" s="8">
        <f>IF(INDEX(Banco!$B:$B,ROW())="","",INDEX(Banco!$B:$B,ROW()))</f>
        <v/>
      </c>
      <c r="C1402" s="8">
        <f>IF(INDEX(Banco!$C:$C,ROW())="","",INDEX(Banco!$C:$C,ROW()))</f>
        <v/>
      </c>
      <c r="D1402" s="9">
        <f>IF(INDEX(Banco!$D:$D,ROW())="","",INDEX(Banco!$D:$D,ROW()))</f>
        <v/>
      </c>
      <c r="E1402" s="9">
        <f>IF(INDEX(Banco!$E:$E,ROW())="","",INDEX(Banco!$E:$E,ROW()))</f>
        <v/>
      </c>
      <c r="F1402" s="10">
        <f>IF(INDEX(Banco!$F:$F,ROW())="","",INDEX(Banco!$F:$F,ROW()))</f>
        <v/>
      </c>
      <c r="G1402" s="10">
        <f>IF(INDEX(Banco!$G:$G,ROW())="","",INDEX(Banco!$G:$G,ROW()))</f>
        <v/>
      </c>
      <c r="H1402" s="8">
        <f>IF(INDEX(Banco!$H:$H,ROW())="","",INDEX(Banco!$H:$H,ROW()))</f>
        <v/>
      </c>
      <c r="I1402">
        <f>IF($T1402="","",INT($T1402/12)&amp;"a "&amp;MOD($T1402,12)&amp;"m")</f>
        <v/>
      </c>
      <c r="J1402" s="11">
        <f>IF(OR($F1402="",$G1402=""),"",ROUND($F1402/($G1402/100)^2,2))</f>
        <v/>
      </c>
      <c r="K1402" s="12">
        <f>IF(OR($S1402="",$J1402="",$T1402="",$T1402&lt;0,$T1402&gt;228,$Y1402=""),"—",ROUND(IF(ABS($AB1402)&lt;=3,$AB1402,IF($AB1402&gt;3,3+($J1402-$AD1402)/($AD1402-$AC1402),-3+($J1402-$AF1402)/($AE1402-$AF1402))),2))</f>
        <v/>
      </c>
      <c r="L1402">
        <f>IF(OR($K1402="",$K1402="—"),"",IF($T1402&lt;=60,IF($K1402&lt;-3,"Magreza acentuada",IF($K1402&lt;-2,"Magreza",IF($K1402&lt;=1,"Eutrofia",IF($K1402&lt;=2,"Risco de sobrepeso",IF($K1402&lt;=3,"Sobrepeso","Obesidade"))))),IF($K1402&lt;-3,"Magreza acentuada",IF($K1402&lt;-2,"Magreza",IF($K1402&lt;=1,"Eutrofia",IF($K1402&lt;=2,"Sobrepeso",IF($K1402&lt;=3,"Obesidade","Obesidade grave")))))))</f>
        <v/>
      </c>
      <c r="M1402" s="12">
        <f>IF(OR($S1402="",$V1402="",$T1402="",$T1402&lt;0,$T1402&gt;228,$AG1402=""),"—",ROUND(IF($AG1402=0,LN($V1402/$AH1402)/$AI1402,((($V1402/$AH1402)^$AG1402)-1)/($AG1402*$AI1402)),2))</f>
        <v/>
      </c>
      <c r="N1402">
        <f>IF(OR($M1402="",$M1402="—"),"",IF($M1402&lt;-3,"Muito baixa",IF($M1402&lt;-2,"Baixa","Adequada")))</f>
        <v/>
      </c>
      <c r="O1402" s="12">
        <f>IF(OR($S1402="",$F1402="",$T1402="",$T1402&lt;0,$T1402&gt;120,$AJ1402=""),"—",ROUND(IF(ABS($AM1402)&lt;=3,$AM1402,IF($AM1402&gt;3,3+($F1402-$AO1402)/($AO1402-$AN1402),-3+($F1402-$AQ1402)/($AP1402-$AQ1402))),2))</f>
        <v/>
      </c>
      <c r="P1402">
        <f>IF(OR($O1402="",$O1402="—"),"",IF($O1402&lt;-3,"Muito baixo",IF($O1402&lt;-2,"Baixo",IF($O1402&lt;=2,"Adequado","Elevado"))))</f>
        <v/>
      </c>
      <c r="Q1402" s="12">
        <f>IF(OR($S1402="",$F1402="",$T1402="",$T1402&lt;0,$T1402&gt;60,$AR1402=""),"—",ROUND(IF(ABS($AU1402)&lt;=3,$AU1402,IF($AU1402&gt;3,3+($F1402-$AW1402)/($AW1402-$AV1402),-3+($F1402-$AY1402)/($AX1402-$AY1402))),2))</f>
        <v/>
      </c>
      <c r="R1402">
        <f>IF(OR($Q1402="",$Q1402="—"),"",IF($Q1402&lt;-3,"Magreza acentuada",IF($Q1402&lt;-2,"Magreza",IF($Q1402&lt;=1,"Eutrofia",IF($Q1402&lt;=2,"Risco de sobrepeso",IF($Q1402&lt;=3,"Sobrepeso","Obesidade"))))))</f>
        <v/>
      </c>
      <c r="S1402">
        <f>IF($C1402="","",IF(UPPER(LEFT($C1402,1))="M",1,IF(UPPER(LEFT($C1402,1))="F",2,"")))</f>
        <v/>
      </c>
      <c r="T1402">
        <f>IF(OR($D1402="",$E1402=""),"",DATEDIF($D1402,$E1402,"m"))</f>
        <v/>
      </c>
      <c r="U1402">
        <f>IF(OR($D1402="",$E1402=""),"",$E1402-$D1402)</f>
        <v/>
      </c>
      <c r="V1402">
        <f>IF(OR($G1402="",$T1402=""),"",IF($T1402&lt;24,IF(LEFT(LOWER($H1402),4)="em p",$G1402+0.7,$G1402),IF(LEFT(LOWER($H1402),4)="deit",$G1402-0.7,$G1402)))</f>
        <v/>
      </c>
      <c r="W1402">
        <f>IF(OR($S1402="",$T1402=""),"",$S1402*1000000+IF($T1402&lt;=60,$U1402,$T1402))</f>
        <v/>
      </c>
      <c r="X1402">
        <f>IF(OR($S1402="",$V1402="",$T1402&gt;60,$T1402=""),"",$S1402*1000000+ROUND($V1402*10,0))</f>
        <v/>
      </c>
      <c r="Y1402">
        <f>IF($W1402="","",IFERROR(INDEX(IF($T1402&lt;=60,imc05_l,imc519_l),MATCH($W1402,IF($T1402&lt;=60,imc05_k,imc519_k),1)),""))</f>
        <v/>
      </c>
      <c r="Z1402">
        <f>IF($W1402="","",IFERROR(INDEX(IF($T1402&lt;=60,imc05_m,imc519_m),MATCH($W1402,IF($T1402&lt;=60,imc05_k,imc519_k),1)),""))</f>
        <v/>
      </c>
      <c r="AA1402">
        <f>IF($W1402="","",IFERROR(INDEX(IF($T1402&lt;=60,imc05_s,imc519_s),MATCH($W1402,IF($T1402&lt;=60,imc05_k,imc519_k),1)),""))</f>
        <v/>
      </c>
      <c r="AB1402">
        <f>IF($Y1402="","",IF($Y1402=0,LN($J1402/$Z1402)/$AA1402,((($J1402/$Z1402)^$Y1402)-1)/($Y1402*$AA1402)))</f>
        <v/>
      </c>
      <c r="AC1402">
        <f>IF($Y1402="","",IF($Y1402=0,$Z1402*EXP($AA1402*2),$Z1402*(1+$Y1402*$AA1402*2)^(1/$Y1402)))</f>
        <v/>
      </c>
      <c r="AD1402">
        <f>IF($Y1402="","",IF($Y1402=0,$Z1402*EXP($AA1402*3),$Z1402*(1+$Y1402*$AA1402*3)^(1/$Y1402)))</f>
        <v/>
      </c>
      <c r="AE1402">
        <f>IF($Y1402="","",IF($Y1402=0,$Z1402*EXP($AA1402*-2),$Z1402*(1+$Y1402*$AA1402*-2)^(1/$Y1402)))</f>
        <v/>
      </c>
      <c r="AF1402">
        <f>IF($Y1402="","",IF($Y1402=0,$Z1402*EXP($AA1402*-3),$Z1402*(1+$Y1402*$AA1402*-3)^(1/$Y1402)))</f>
        <v/>
      </c>
      <c r="AG1402">
        <f>IF($W1402="","",IFERROR(INDEX(IF($T1402&lt;=60,est05_l,est519_l),MATCH($W1402,IF($T1402&lt;=60,est05_k,est519_k),1)),""))</f>
        <v/>
      </c>
      <c r="AH1402">
        <f>IF($W1402="","",IFERROR(INDEX(IF($T1402&lt;=60,est05_m,est519_m),MATCH($W1402,IF($T1402&lt;=60,est05_k,est519_k),1)),""))</f>
        <v/>
      </c>
      <c r="AI1402">
        <f>IF($W1402="","",IFERROR(INDEX(IF($T1402&lt;=60,est05_s,est519_s),MATCH($W1402,IF($T1402&lt;=60,est05_k,est519_k),1)),""))</f>
        <v/>
      </c>
      <c r="AJ1402">
        <f>IF($W1402="","",IFERROR(INDEX(IF($T1402&lt;=60,peso05_l,peso510_l),MATCH($W1402,IF($T1402&lt;=60,peso05_k,peso510_k),1)),""))</f>
        <v/>
      </c>
      <c r="AK1402">
        <f>IF($W1402="","",IFERROR(INDEX(IF($T1402&lt;=60,peso05_m,peso510_m),MATCH($W1402,IF($T1402&lt;=60,peso05_k,peso510_k),1)),""))</f>
        <v/>
      </c>
      <c r="AL1402">
        <f>IF($W1402="","",IFERROR(INDEX(IF($T1402&lt;=60,peso05_s,peso510_s),MATCH($W1402,IF($T1402&lt;=60,peso05_k,peso510_k),1)),""))</f>
        <v/>
      </c>
      <c r="AM1402">
        <f>IF($AJ1402="","",IF($AJ1402=0,LN($F1402/$AK1402)/$AL1402,((($F1402/$AK1402)^$AJ1402)-1)/($AJ1402*$AL1402)))</f>
        <v/>
      </c>
      <c r="AN1402">
        <f>IF($AJ1402="","",IF($AJ1402=0,$AK1402*EXP($AL1402*2),$AK1402*(1+$AJ1402*$AL1402*2)^(1/$AJ1402)))</f>
        <v/>
      </c>
      <c r="AO1402">
        <f>IF($AJ1402="","",IF($AJ1402=0,$AK1402*EXP($AL1402*3),$AK1402*(1+$AJ1402*$AL1402*3)^(1/$AJ1402)))</f>
        <v/>
      </c>
      <c r="AP1402">
        <f>IF($AJ1402="","",IF($AJ1402=0,$AK1402*EXP($AL1402*-2),$AK1402*(1+$AJ1402*$AL1402*-2)^(1/$AJ1402)))</f>
        <v/>
      </c>
      <c r="AQ1402">
        <f>IF($AJ1402="","",IF($AJ1402=0,$AK1402*EXP($AL1402*-3),$AK1402*(1+$AJ1402*$AL1402*-3)^(1/$AJ1402)))</f>
        <v/>
      </c>
      <c r="AR1402">
        <f>IF(OR($X1402="",$T1402&gt;60),"",IFERROR(INDEX(IF($T1402&lt;24,pcomp_l,palt_l),MATCH($X1402,IF($T1402&lt;24,pcomp_k,palt_k),1)),""))</f>
        <v/>
      </c>
      <c r="AS1402">
        <f>IF(OR($X1402="",$T1402&gt;60),"",IFERROR(INDEX(IF($T1402&lt;24,pcomp_m,palt_m),MATCH($X1402,IF($T1402&lt;24,pcomp_k,palt_k),1)),""))</f>
        <v/>
      </c>
      <c r="AT1402">
        <f>IF(OR($X1402="",$T1402&gt;60),"",IFERROR(INDEX(IF($T1402&lt;24,pcomp_s,palt_s),MATCH($X1402,IF($T1402&lt;24,pcomp_k,palt_k),1)),""))</f>
        <v/>
      </c>
      <c r="AU1402">
        <f>IF($AR1402="","",IF($AR1402=0,LN($F1402/$AS1402)/$AT1402,((($F1402/$AS1402)^$AR1402)-1)/($AR1402*$AT1402)))</f>
        <v/>
      </c>
      <c r="AV1402">
        <f>IF($AR1402="","",IF($AR1402=0,$AS1402*EXP($AT1402*2),$AS1402*(1+$AR1402*$AT1402*2)^(1/$AR1402)))</f>
        <v/>
      </c>
      <c r="AW1402">
        <f>IF($AR1402="","",IF($AR1402=0,$AS1402*EXP($AT1402*3),$AS1402*(1+$AR1402*$AT1402*3)^(1/$AR1402)))</f>
        <v/>
      </c>
      <c r="AX1402">
        <f>IF($AR1402="","",IF($AR1402=0,$AS1402*EXP($AT1402*-2),$AS1402*(1+$AR1402*$AT1402*-2)^(1/$AR1402)))</f>
        <v/>
      </c>
      <c r="AY1402">
        <f>IF($AR1402="","",IF($AR1402=0,$AS1402*EXP($AT1402*-3),$AS1402*(1+$AR1402*$AT1402*-3)^(1/$AR1402)))</f>
        <v/>
      </c>
      <c r="AZ1402">
        <f>IF(OR($A1402="",$A1402&lt;&gt;Ficha!$C$4),"",COUNTIF($A$2:$A1402,Ficha!$C$4))</f>
        <v/>
      </c>
    </row>
    <row r="1403">
      <c r="A1403" s="8">
        <f>IF(INDEX(Banco!$A:$A,ROW())="","",INDEX(Banco!$A:$A,ROW()))</f>
        <v/>
      </c>
      <c r="B1403" s="8">
        <f>IF(INDEX(Banco!$B:$B,ROW())="","",INDEX(Banco!$B:$B,ROW()))</f>
        <v/>
      </c>
      <c r="C1403" s="8">
        <f>IF(INDEX(Banco!$C:$C,ROW())="","",INDEX(Banco!$C:$C,ROW()))</f>
        <v/>
      </c>
      <c r="D1403" s="9">
        <f>IF(INDEX(Banco!$D:$D,ROW())="","",INDEX(Banco!$D:$D,ROW()))</f>
        <v/>
      </c>
      <c r="E1403" s="9">
        <f>IF(INDEX(Banco!$E:$E,ROW())="","",INDEX(Banco!$E:$E,ROW()))</f>
        <v/>
      </c>
      <c r="F1403" s="10">
        <f>IF(INDEX(Banco!$F:$F,ROW())="","",INDEX(Banco!$F:$F,ROW()))</f>
        <v/>
      </c>
      <c r="G1403" s="10">
        <f>IF(INDEX(Banco!$G:$G,ROW())="","",INDEX(Banco!$G:$G,ROW()))</f>
        <v/>
      </c>
      <c r="H1403" s="8">
        <f>IF(INDEX(Banco!$H:$H,ROW())="","",INDEX(Banco!$H:$H,ROW()))</f>
        <v/>
      </c>
      <c r="I1403">
        <f>IF($T1403="","",INT($T1403/12)&amp;"a "&amp;MOD($T1403,12)&amp;"m")</f>
        <v/>
      </c>
      <c r="J1403" s="11">
        <f>IF(OR($F1403="",$G1403=""),"",ROUND($F1403/($G1403/100)^2,2))</f>
        <v/>
      </c>
      <c r="K1403" s="12">
        <f>IF(OR($S1403="",$J1403="",$T1403="",$T1403&lt;0,$T1403&gt;228,$Y1403=""),"—",ROUND(IF(ABS($AB1403)&lt;=3,$AB1403,IF($AB1403&gt;3,3+($J1403-$AD1403)/($AD1403-$AC1403),-3+($J1403-$AF1403)/($AE1403-$AF1403))),2))</f>
        <v/>
      </c>
      <c r="L1403">
        <f>IF(OR($K1403="",$K1403="—"),"",IF($T1403&lt;=60,IF($K1403&lt;-3,"Magreza acentuada",IF($K1403&lt;-2,"Magreza",IF($K1403&lt;=1,"Eutrofia",IF($K1403&lt;=2,"Risco de sobrepeso",IF($K1403&lt;=3,"Sobrepeso","Obesidade"))))),IF($K1403&lt;-3,"Magreza acentuada",IF($K1403&lt;-2,"Magreza",IF($K1403&lt;=1,"Eutrofia",IF($K1403&lt;=2,"Sobrepeso",IF($K1403&lt;=3,"Obesidade","Obesidade grave")))))))</f>
        <v/>
      </c>
      <c r="M1403" s="12">
        <f>IF(OR($S1403="",$V1403="",$T1403="",$T1403&lt;0,$T1403&gt;228,$AG1403=""),"—",ROUND(IF($AG1403=0,LN($V1403/$AH1403)/$AI1403,((($V1403/$AH1403)^$AG1403)-1)/($AG1403*$AI1403)),2))</f>
        <v/>
      </c>
      <c r="N1403">
        <f>IF(OR($M1403="",$M1403="—"),"",IF($M1403&lt;-3,"Muito baixa",IF($M1403&lt;-2,"Baixa","Adequada")))</f>
        <v/>
      </c>
      <c r="O1403" s="12">
        <f>IF(OR($S1403="",$F1403="",$T1403="",$T1403&lt;0,$T1403&gt;120,$AJ1403=""),"—",ROUND(IF(ABS($AM1403)&lt;=3,$AM1403,IF($AM1403&gt;3,3+($F1403-$AO1403)/($AO1403-$AN1403),-3+($F1403-$AQ1403)/($AP1403-$AQ1403))),2))</f>
        <v/>
      </c>
      <c r="P1403">
        <f>IF(OR($O1403="",$O1403="—"),"",IF($O1403&lt;-3,"Muito baixo",IF($O1403&lt;-2,"Baixo",IF($O1403&lt;=2,"Adequado","Elevado"))))</f>
        <v/>
      </c>
      <c r="Q1403" s="12">
        <f>IF(OR($S1403="",$F1403="",$T1403="",$T1403&lt;0,$T1403&gt;60,$AR1403=""),"—",ROUND(IF(ABS($AU1403)&lt;=3,$AU1403,IF($AU1403&gt;3,3+($F1403-$AW1403)/($AW1403-$AV1403),-3+($F1403-$AY1403)/($AX1403-$AY1403))),2))</f>
        <v/>
      </c>
      <c r="R1403">
        <f>IF(OR($Q1403="",$Q1403="—"),"",IF($Q1403&lt;-3,"Magreza acentuada",IF($Q1403&lt;-2,"Magreza",IF($Q1403&lt;=1,"Eutrofia",IF($Q1403&lt;=2,"Risco de sobrepeso",IF($Q1403&lt;=3,"Sobrepeso","Obesidade"))))))</f>
        <v/>
      </c>
      <c r="S1403">
        <f>IF($C1403="","",IF(UPPER(LEFT($C1403,1))="M",1,IF(UPPER(LEFT($C1403,1))="F",2,"")))</f>
        <v/>
      </c>
      <c r="T1403">
        <f>IF(OR($D1403="",$E1403=""),"",DATEDIF($D1403,$E1403,"m"))</f>
        <v/>
      </c>
      <c r="U1403">
        <f>IF(OR($D1403="",$E1403=""),"",$E1403-$D1403)</f>
        <v/>
      </c>
      <c r="V1403">
        <f>IF(OR($G1403="",$T1403=""),"",IF($T1403&lt;24,IF(LEFT(LOWER($H1403),4)="em p",$G1403+0.7,$G1403),IF(LEFT(LOWER($H1403),4)="deit",$G1403-0.7,$G1403)))</f>
        <v/>
      </c>
      <c r="W1403">
        <f>IF(OR($S1403="",$T1403=""),"",$S1403*1000000+IF($T1403&lt;=60,$U1403,$T1403))</f>
        <v/>
      </c>
      <c r="X1403">
        <f>IF(OR($S1403="",$V1403="",$T1403&gt;60,$T1403=""),"",$S1403*1000000+ROUND($V1403*10,0))</f>
        <v/>
      </c>
      <c r="Y1403">
        <f>IF($W1403="","",IFERROR(INDEX(IF($T1403&lt;=60,imc05_l,imc519_l),MATCH($W1403,IF($T1403&lt;=60,imc05_k,imc519_k),1)),""))</f>
        <v/>
      </c>
      <c r="Z1403">
        <f>IF($W1403="","",IFERROR(INDEX(IF($T1403&lt;=60,imc05_m,imc519_m),MATCH($W1403,IF($T1403&lt;=60,imc05_k,imc519_k),1)),""))</f>
        <v/>
      </c>
      <c r="AA1403">
        <f>IF($W1403="","",IFERROR(INDEX(IF($T1403&lt;=60,imc05_s,imc519_s),MATCH($W1403,IF($T1403&lt;=60,imc05_k,imc519_k),1)),""))</f>
        <v/>
      </c>
      <c r="AB1403">
        <f>IF($Y1403="","",IF($Y1403=0,LN($J1403/$Z1403)/$AA1403,((($J1403/$Z1403)^$Y1403)-1)/($Y1403*$AA1403)))</f>
        <v/>
      </c>
      <c r="AC1403">
        <f>IF($Y1403="","",IF($Y1403=0,$Z1403*EXP($AA1403*2),$Z1403*(1+$Y1403*$AA1403*2)^(1/$Y1403)))</f>
        <v/>
      </c>
      <c r="AD1403">
        <f>IF($Y1403="","",IF($Y1403=0,$Z1403*EXP($AA1403*3),$Z1403*(1+$Y1403*$AA1403*3)^(1/$Y1403)))</f>
        <v/>
      </c>
      <c r="AE1403">
        <f>IF($Y1403="","",IF($Y1403=0,$Z1403*EXP($AA1403*-2),$Z1403*(1+$Y1403*$AA1403*-2)^(1/$Y1403)))</f>
        <v/>
      </c>
      <c r="AF1403">
        <f>IF($Y1403="","",IF($Y1403=0,$Z1403*EXP($AA1403*-3),$Z1403*(1+$Y1403*$AA1403*-3)^(1/$Y1403)))</f>
        <v/>
      </c>
      <c r="AG1403">
        <f>IF($W1403="","",IFERROR(INDEX(IF($T1403&lt;=60,est05_l,est519_l),MATCH($W1403,IF($T1403&lt;=60,est05_k,est519_k),1)),""))</f>
        <v/>
      </c>
      <c r="AH1403">
        <f>IF($W1403="","",IFERROR(INDEX(IF($T1403&lt;=60,est05_m,est519_m),MATCH($W1403,IF($T1403&lt;=60,est05_k,est519_k),1)),""))</f>
        <v/>
      </c>
      <c r="AI1403">
        <f>IF($W1403="","",IFERROR(INDEX(IF($T1403&lt;=60,est05_s,est519_s),MATCH($W1403,IF($T1403&lt;=60,est05_k,est519_k),1)),""))</f>
        <v/>
      </c>
      <c r="AJ1403">
        <f>IF($W1403="","",IFERROR(INDEX(IF($T1403&lt;=60,peso05_l,peso510_l),MATCH($W1403,IF($T1403&lt;=60,peso05_k,peso510_k),1)),""))</f>
        <v/>
      </c>
      <c r="AK1403">
        <f>IF($W1403="","",IFERROR(INDEX(IF($T1403&lt;=60,peso05_m,peso510_m),MATCH($W1403,IF($T1403&lt;=60,peso05_k,peso510_k),1)),""))</f>
        <v/>
      </c>
      <c r="AL1403">
        <f>IF($W1403="","",IFERROR(INDEX(IF($T1403&lt;=60,peso05_s,peso510_s),MATCH($W1403,IF($T1403&lt;=60,peso05_k,peso510_k),1)),""))</f>
        <v/>
      </c>
      <c r="AM1403">
        <f>IF($AJ1403="","",IF($AJ1403=0,LN($F1403/$AK1403)/$AL1403,((($F1403/$AK1403)^$AJ1403)-1)/($AJ1403*$AL1403)))</f>
        <v/>
      </c>
      <c r="AN1403">
        <f>IF($AJ1403="","",IF($AJ1403=0,$AK1403*EXP($AL1403*2),$AK1403*(1+$AJ1403*$AL1403*2)^(1/$AJ1403)))</f>
        <v/>
      </c>
      <c r="AO1403">
        <f>IF($AJ1403="","",IF($AJ1403=0,$AK1403*EXP($AL1403*3),$AK1403*(1+$AJ1403*$AL1403*3)^(1/$AJ1403)))</f>
        <v/>
      </c>
      <c r="AP1403">
        <f>IF($AJ1403="","",IF($AJ1403=0,$AK1403*EXP($AL1403*-2),$AK1403*(1+$AJ1403*$AL1403*-2)^(1/$AJ1403)))</f>
        <v/>
      </c>
      <c r="AQ1403">
        <f>IF($AJ1403="","",IF($AJ1403=0,$AK1403*EXP($AL1403*-3),$AK1403*(1+$AJ1403*$AL1403*-3)^(1/$AJ1403)))</f>
        <v/>
      </c>
      <c r="AR1403">
        <f>IF(OR($X1403="",$T1403&gt;60),"",IFERROR(INDEX(IF($T1403&lt;24,pcomp_l,palt_l),MATCH($X1403,IF($T1403&lt;24,pcomp_k,palt_k),1)),""))</f>
        <v/>
      </c>
      <c r="AS1403">
        <f>IF(OR($X1403="",$T1403&gt;60),"",IFERROR(INDEX(IF($T1403&lt;24,pcomp_m,palt_m),MATCH($X1403,IF($T1403&lt;24,pcomp_k,palt_k),1)),""))</f>
        <v/>
      </c>
      <c r="AT1403">
        <f>IF(OR($X1403="",$T1403&gt;60),"",IFERROR(INDEX(IF($T1403&lt;24,pcomp_s,palt_s),MATCH($X1403,IF($T1403&lt;24,pcomp_k,palt_k),1)),""))</f>
        <v/>
      </c>
      <c r="AU1403">
        <f>IF($AR1403="","",IF($AR1403=0,LN($F1403/$AS1403)/$AT1403,((($F1403/$AS1403)^$AR1403)-1)/($AR1403*$AT1403)))</f>
        <v/>
      </c>
      <c r="AV1403">
        <f>IF($AR1403="","",IF($AR1403=0,$AS1403*EXP($AT1403*2),$AS1403*(1+$AR1403*$AT1403*2)^(1/$AR1403)))</f>
        <v/>
      </c>
      <c r="AW1403">
        <f>IF($AR1403="","",IF($AR1403=0,$AS1403*EXP($AT1403*3),$AS1403*(1+$AR1403*$AT1403*3)^(1/$AR1403)))</f>
        <v/>
      </c>
      <c r="AX1403">
        <f>IF($AR1403="","",IF($AR1403=0,$AS1403*EXP($AT1403*-2),$AS1403*(1+$AR1403*$AT1403*-2)^(1/$AR1403)))</f>
        <v/>
      </c>
      <c r="AY1403">
        <f>IF($AR1403="","",IF($AR1403=0,$AS1403*EXP($AT1403*-3),$AS1403*(1+$AR1403*$AT1403*-3)^(1/$AR1403)))</f>
        <v/>
      </c>
      <c r="AZ1403">
        <f>IF(OR($A1403="",$A1403&lt;&gt;Ficha!$C$4),"",COUNTIF($A$2:$A1403,Ficha!$C$4))</f>
        <v/>
      </c>
    </row>
    <row r="1404">
      <c r="A1404" s="8">
        <f>IF(INDEX(Banco!$A:$A,ROW())="","",INDEX(Banco!$A:$A,ROW()))</f>
        <v/>
      </c>
      <c r="B1404" s="8">
        <f>IF(INDEX(Banco!$B:$B,ROW())="","",INDEX(Banco!$B:$B,ROW()))</f>
        <v/>
      </c>
      <c r="C1404" s="8">
        <f>IF(INDEX(Banco!$C:$C,ROW())="","",INDEX(Banco!$C:$C,ROW()))</f>
        <v/>
      </c>
      <c r="D1404" s="9">
        <f>IF(INDEX(Banco!$D:$D,ROW())="","",INDEX(Banco!$D:$D,ROW()))</f>
        <v/>
      </c>
      <c r="E1404" s="9">
        <f>IF(INDEX(Banco!$E:$E,ROW())="","",INDEX(Banco!$E:$E,ROW()))</f>
        <v/>
      </c>
      <c r="F1404" s="10">
        <f>IF(INDEX(Banco!$F:$F,ROW())="","",INDEX(Banco!$F:$F,ROW()))</f>
        <v/>
      </c>
      <c r="G1404" s="10">
        <f>IF(INDEX(Banco!$G:$G,ROW())="","",INDEX(Banco!$G:$G,ROW()))</f>
        <v/>
      </c>
      <c r="H1404" s="8">
        <f>IF(INDEX(Banco!$H:$H,ROW())="","",INDEX(Banco!$H:$H,ROW()))</f>
        <v/>
      </c>
      <c r="I1404">
        <f>IF($T1404="","",INT($T1404/12)&amp;"a "&amp;MOD($T1404,12)&amp;"m")</f>
        <v/>
      </c>
      <c r="J1404" s="11">
        <f>IF(OR($F1404="",$G1404=""),"",ROUND($F1404/($G1404/100)^2,2))</f>
        <v/>
      </c>
      <c r="K1404" s="12">
        <f>IF(OR($S1404="",$J1404="",$T1404="",$T1404&lt;0,$T1404&gt;228,$Y1404=""),"—",ROUND(IF(ABS($AB1404)&lt;=3,$AB1404,IF($AB1404&gt;3,3+($J1404-$AD1404)/($AD1404-$AC1404),-3+($J1404-$AF1404)/($AE1404-$AF1404))),2))</f>
        <v/>
      </c>
      <c r="L1404">
        <f>IF(OR($K1404="",$K1404="—"),"",IF($T1404&lt;=60,IF($K1404&lt;-3,"Magreza acentuada",IF($K1404&lt;-2,"Magreza",IF($K1404&lt;=1,"Eutrofia",IF($K1404&lt;=2,"Risco de sobrepeso",IF($K1404&lt;=3,"Sobrepeso","Obesidade"))))),IF($K1404&lt;-3,"Magreza acentuada",IF($K1404&lt;-2,"Magreza",IF($K1404&lt;=1,"Eutrofia",IF($K1404&lt;=2,"Sobrepeso",IF($K1404&lt;=3,"Obesidade","Obesidade grave")))))))</f>
        <v/>
      </c>
      <c r="M1404" s="12">
        <f>IF(OR($S1404="",$V1404="",$T1404="",$T1404&lt;0,$T1404&gt;228,$AG1404=""),"—",ROUND(IF($AG1404=0,LN($V1404/$AH1404)/$AI1404,((($V1404/$AH1404)^$AG1404)-1)/($AG1404*$AI1404)),2))</f>
        <v/>
      </c>
      <c r="N1404">
        <f>IF(OR($M1404="",$M1404="—"),"",IF($M1404&lt;-3,"Muito baixa",IF($M1404&lt;-2,"Baixa","Adequada")))</f>
        <v/>
      </c>
      <c r="O1404" s="12">
        <f>IF(OR($S1404="",$F1404="",$T1404="",$T1404&lt;0,$T1404&gt;120,$AJ1404=""),"—",ROUND(IF(ABS($AM1404)&lt;=3,$AM1404,IF($AM1404&gt;3,3+($F1404-$AO1404)/($AO1404-$AN1404),-3+($F1404-$AQ1404)/($AP1404-$AQ1404))),2))</f>
        <v/>
      </c>
      <c r="P1404">
        <f>IF(OR($O1404="",$O1404="—"),"",IF($O1404&lt;-3,"Muito baixo",IF($O1404&lt;-2,"Baixo",IF($O1404&lt;=2,"Adequado","Elevado"))))</f>
        <v/>
      </c>
      <c r="Q1404" s="12">
        <f>IF(OR($S1404="",$F1404="",$T1404="",$T1404&lt;0,$T1404&gt;60,$AR1404=""),"—",ROUND(IF(ABS($AU1404)&lt;=3,$AU1404,IF($AU1404&gt;3,3+($F1404-$AW1404)/($AW1404-$AV1404),-3+($F1404-$AY1404)/($AX1404-$AY1404))),2))</f>
        <v/>
      </c>
      <c r="R1404">
        <f>IF(OR($Q1404="",$Q1404="—"),"",IF($Q1404&lt;-3,"Magreza acentuada",IF($Q1404&lt;-2,"Magreza",IF($Q1404&lt;=1,"Eutrofia",IF($Q1404&lt;=2,"Risco de sobrepeso",IF($Q1404&lt;=3,"Sobrepeso","Obesidade"))))))</f>
        <v/>
      </c>
      <c r="S1404">
        <f>IF($C1404="","",IF(UPPER(LEFT($C1404,1))="M",1,IF(UPPER(LEFT($C1404,1))="F",2,"")))</f>
        <v/>
      </c>
      <c r="T1404">
        <f>IF(OR($D1404="",$E1404=""),"",DATEDIF($D1404,$E1404,"m"))</f>
        <v/>
      </c>
      <c r="U1404">
        <f>IF(OR($D1404="",$E1404=""),"",$E1404-$D1404)</f>
        <v/>
      </c>
      <c r="V1404">
        <f>IF(OR($G1404="",$T1404=""),"",IF($T1404&lt;24,IF(LEFT(LOWER($H1404),4)="em p",$G1404+0.7,$G1404),IF(LEFT(LOWER($H1404),4)="deit",$G1404-0.7,$G1404)))</f>
        <v/>
      </c>
      <c r="W1404">
        <f>IF(OR($S1404="",$T1404=""),"",$S1404*1000000+IF($T1404&lt;=60,$U1404,$T1404))</f>
        <v/>
      </c>
      <c r="X1404">
        <f>IF(OR($S1404="",$V1404="",$T1404&gt;60,$T1404=""),"",$S1404*1000000+ROUND($V1404*10,0))</f>
        <v/>
      </c>
      <c r="Y1404">
        <f>IF($W1404="","",IFERROR(INDEX(IF($T1404&lt;=60,imc05_l,imc519_l),MATCH($W1404,IF($T1404&lt;=60,imc05_k,imc519_k),1)),""))</f>
        <v/>
      </c>
      <c r="Z1404">
        <f>IF($W1404="","",IFERROR(INDEX(IF($T1404&lt;=60,imc05_m,imc519_m),MATCH($W1404,IF($T1404&lt;=60,imc05_k,imc519_k),1)),""))</f>
        <v/>
      </c>
      <c r="AA1404">
        <f>IF($W1404="","",IFERROR(INDEX(IF($T1404&lt;=60,imc05_s,imc519_s),MATCH($W1404,IF($T1404&lt;=60,imc05_k,imc519_k),1)),""))</f>
        <v/>
      </c>
      <c r="AB1404">
        <f>IF($Y1404="","",IF($Y1404=0,LN($J1404/$Z1404)/$AA1404,((($J1404/$Z1404)^$Y1404)-1)/($Y1404*$AA1404)))</f>
        <v/>
      </c>
      <c r="AC1404">
        <f>IF($Y1404="","",IF($Y1404=0,$Z1404*EXP($AA1404*2),$Z1404*(1+$Y1404*$AA1404*2)^(1/$Y1404)))</f>
        <v/>
      </c>
      <c r="AD1404">
        <f>IF($Y1404="","",IF($Y1404=0,$Z1404*EXP($AA1404*3),$Z1404*(1+$Y1404*$AA1404*3)^(1/$Y1404)))</f>
        <v/>
      </c>
      <c r="AE1404">
        <f>IF($Y1404="","",IF($Y1404=0,$Z1404*EXP($AA1404*-2),$Z1404*(1+$Y1404*$AA1404*-2)^(1/$Y1404)))</f>
        <v/>
      </c>
      <c r="AF1404">
        <f>IF($Y1404="","",IF($Y1404=0,$Z1404*EXP($AA1404*-3),$Z1404*(1+$Y1404*$AA1404*-3)^(1/$Y1404)))</f>
        <v/>
      </c>
      <c r="AG1404">
        <f>IF($W1404="","",IFERROR(INDEX(IF($T1404&lt;=60,est05_l,est519_l),MATCH($W1404,IF($T1404&lt;=60,est05_k,est519_k),1)),""))</f>
        <v/>
      </c>
      <c r="AH1404">
        <f>IF($W1404="","",IFERROR(INDEX(IF($T1404&lt;=60,est05_m,est519_m),MATCH($W1404,IF($T1404&lt;=60,est05_k,est519_k),1)),""))</f>
        <v/>
      </c>
      <c r="AI1404">
        <f>IF($W1404="","",IFERROR(INDEX(IF($T1404&lt;=60,est05_s,est519_s),MATCH($W1404,IF($T1404&lt;=60,est05_k,est519_k),1)),""))</f>
        <v/>
      </c>
      <c r="AJ1404">
        <f>IF($W1404="","",IFERROR(INDEX(IF($T1404&lt;=60,peso05_l,peso510_l),MATCH($W1404,IF($T1404&lt;=60,peso05_k,peso510_k),1)),""))</f>
        <v/>
      </c>
      <c r="AK1404">
        <f>IF($W1404="","",IFERROR(INDEX(IF($T1404&lt;=60,peso05_m,peso510_m),MATCH($W1404,IF($T1404&lt;=60,peso05_k,peso510_k),1)),""))</f>
        <v/>
      </c>
      <c r="AL1404">
        <f>IF($W1404="","",IFERROR(INDEX(IF($T1404&lt;=60,peso05_s,peso510_s),MATCH($W1404,IF($T1404&lt;=60,peso05_k,peso510_k),1)),""))</f>
        <v/>
      </c>
      <c r="AM1404">
        <f>IF($AJ1404="","",IF($AJ1404=0,LN($F1404/$AK1404)/$AL1404,((($F1404/$AK1404)^$AJ1404)-1)/($AJ1404*$AL1404)))</f>
        <v/>
      </c>
      <c r="AN1404">
        <f>IF($AJ1404="","",IF($AJ1404=0,$AK1404*EXP($AL1404*2),$AK1404*(1+$AJ1404*$AL1404*2)^(1/$AJ1404)))</f>
        <v/>
      </c>
      <c r="AO1404">
        <f>IF($AJ1404="","",IF($AJ1404=0,$AK1404*EXP($AL1404*3),$AK1404*(1+$AJ1404*$AL1404*3)^(1/$AJ1404)))</f>
        <v/>
      </c>
      <c r="AP1404">
        <f>IF($AJ1404="","",IF($AJ1404=0,$AK1404*EXP($AL1404*-2),$AK1404*(1+$AJ1404*$AL1404*-2)^(1/$AJ1404)))</f>
        <v/>
      </c>
      <c r="AQ1404">
        <f>IF($AJ1404="","",IF($AJ1404=0,$AK1404*EXP($AL1404*-3),$AK1404*(1+$AJ1404*$AL1404*-3)^(1/$AJ1404)))</f>
        <v/>
      </c>
      <c r="AR1404">
        <f>IF(OR($X1404="",$T1404&gt;60),"",IFERROR(INDEX(IF($T1404&lt;24,pcomp_l,palt_l),MATCH($X1404,IF($T1404&lt;24,pcomp_k,palt_k),1)),""))</f>
        <v/>
      </c>
      <c r="AS1404">
        <f>IF(OR($X1404="",$T1404&gt;60),"",IFERROR(INDEX(IF($T1404&lt;24,pcomp_m,palt_m),MATCH($X1404,IF($T1404&lt;24,pcomp_k,palt_k),1)),""))</f>
        <v/>
      </c>
      <c r="AT1404">
        <f>IF(OR($X1404="",$T1404&gt;60),"",IFERROR(INDEX(IF($T1404&lt;24,pcomp_s,palt_s),MATCH($X1404,IF($T1404&lt;24,pcomp_k,palt_k),1)),""))</f>
        <v/>
      </c>
      <c r="AU1404">
        <f>IF($AR1404="","",IF($AR1404=0,LN($F1404/$AS1404)/$AT1404,((($F1404/$AS1404)^$AR1404)-1)/($AR1404*$AT1404)))</f>
        <v/>
      </c>
      <c r="AV1404">
        <f>IF($AR1404="","",IF($AR1404=0,$AS1404*EXP($AT1404*2),$AS1404*(1+$AR1404*$AT1404*2)^(1/$AR1404)))</f>
        <v/>
      </c>
      <c r="AW1404">
        <f>IF($AR1404="","",IF($AR1404=0,$AS1404*EXP($AT1404*3),$AS1404*(1+$AR1404*$AT1404*3)^(1/$AR1404)))</f>
        <v/>
      </c>
      <c r="AX1404">
        <f>IF($AR1404="","",IF($AR1404=0,$AS1404*EXP($AT1404*-2),$AS1404*(1+$AR1404*$AT1404*-2)^(1/$AR1404)))</f>
        <v/>
      </c>
      <c r="AY1404">
        <f>IF($AR1404="","",IF($AR1404=0,$AS1404*EXP($AT1404*-3),$AS1404*(1+$AR1404*$AT1404*-3)^(1/$AR1404)))</f>
        <v/>
      </c>
      <c r="AZ1404">
        <f>IF(OR($A1404="",$A1404&lt;&gt;Ficha!$C$4),"",COUNTIF($A$2:$A1404,Ficha!$C$4))</f>
        <v/>
      </c>
    </row>
    <row r="1405">
      <c r="A1405" s="8">
        <f>IF(INDEX(Banco!$A:$A,ROW())="","",INDEX(Banco!$A:$A,ROW()))</f>
        <v/>
      </c>
      <c r="B1405" s="8">
        <f>IF(INDEX(Banco!$B:$B,ROW())="","",INDEX(Banco!$B:$B,ROW()))</f>
        <v/>
      </c>
      <c r="C1405" s="8">
        <f>IF(INDEX(Banco!$C:$C,ROW())="","",INDEX(Banco!$C:$C,ROW()))</f>
        <v/>
      </c>
      <c r="D1405" s="9">
        <f>IF(INDEX(Banco!$D:$D,ROW())="","",INDEX(Banco!$D:$D,ROW()))</f>
        <v/>
      </c>
      <c r="E1405" s="9">
        <f>IF(INDEX(Banco!$E:$E,ROW())="","",INDEX(Banco!$E:$E,ROW()))</f>
        <v/>
      </c>
      <c r="F1405" s="10">
        <f>IF(INDEX(Banco!$F:$F,ROW())="","",INDEX(Banco!$F:$F,ROW()))</f>
        <v/>
      </c>
      <c r="G1405" s="10">
        <f>IF(INDEX(Banco!$G:$G,ROW())="","",INDEX(Banco!$G:$G,ROW()))</f>
        <v/>
      </c>
      <c r="H1405" s="8">
        <f>IF(INDEX(Banco!$H:$H,ROW())="","",INDEX(Banco!$H:$H,ROW()))</f>
        <v/>
      </c>
      <c r="I1405">
        <f>IF($T1405="","",INT($T1405/12)&amp;"a "&amp;MOD($T1405,12)&amp;"m")</f>
        <v/>
      </c>
      <c r="J1405" s="11">
        <f>IF(OR($F1405="",$G1405=""),"",ROUND($F1405/($G1405/100)^2,2))</f>
        <v/>
      </c>
      <c r="K1405" s="12">
        <f>IF(OR($S1405="",$J1405="",$T1405="",$T1405&lt;0,$T1405&gt;228,$Y1405=""),"—",ROUND(IF(ABS($AB1405)&lt;=3,$AB1405,IF($AB1405&gt;3,3+($J1405-$AD1405)/($AD1405-$AC1405),-3+($J1405-$AF1405)/($AE1405-$AF1405))),2))</f>
        <v/>
      </c>
      <c r="L1405">
        <f>IF(OR($K1405="",$K1405="—"),"",IF($T1405&lt;=60,IF($K1405&lt;-3,"Magreza acentuada",IF($K1405&lt;-2,"Magreza",IF($K1405&lt;=1,"Eutrofia",IF($K1405&lt;=2,"Risco de sobrepeso",IF($K1405&lt;=3,"Sobrepeso","Obesidade"))))),IF($K1405&lt;-3,"Magreza acentuada",IF($K1405&lt;-2,"Magreza",IF($K1405&lt;=1,"Eutrofia",IF($K1405&lt;=2,"Sobrepeso",IF($K1405&lt;=3,"Obesidade","Obesidade grave")))))))</f>
        <v/>
      </c>
      <c r="M1405" s="12">
        <f>IF(OR($S1405="",$V1405="",$T1405="",$T1405&lt;0,$T1405&gt;228,$AG1405=""),"—",ROUND(IF($AG1405=0,LN($V1405/$AH1405)/$AI1405,((($V1405/$AH1405)^$AG1405)-1)/($AG1405*$AI1405)),2))</f>
        <v/>
      </c>
      <c r="N1405">
        <f>IF(OR($M1405="",$M1405="—"),"",IF($M1405&lt;-3,"Muito baixa",IF($M1405&lt;-2,"Baixa","Adequada")))</f>
        <v/>
      </c>
      <c r="O1405" s="12">
        <f>IF(OR($S1405="",$F1405="",$T1405="",$T1405&lt;0,$T1405&gt;120,$AJ1405=""),"—",ROUND(IF(ABS($AM1405)&lt;=3,$AM1405,IF($AM1405&gt;3,3+($F1405-$AO1405)/($AO1405-$AN1405),-3+($F1405-$AQ1405)/($AP1405-$AQ1405))),2))</f>
        <v/>
      </c>
      <c r="P1405">
        <f>IF(OR($O1405="",$O1405="—"),"",IF($O1405&lt;-3,"Muito baixo",IF($O1405&lt;-2,"Baixo",IF($O1405&lt;=2,"Adequado","Elevado"))))</f>
        <v/>
      </c>
      <c r="Q1405" s="12">
        <f>IF(OR($S1405="",$F1405="",$T1405="",$T1405&lt;0,$T1405&gt;60,$AR1405=""),"—",ROUND(IF(ABS($AU1405)&lt;=3,$AU1405,IF($AU1405&gt;3,3+($F1405-$AW1405)/($AW1405-$AV1405),-3+($F1405-$AY1405)/($AX1405-$AY1405))),2))</f>
        <v/>
      </c>
      <c r="R1405">
        <f>IF(OR($Q1405="",$Q1405="—"),"",IF($Q1405&lt;-3,"Magreza acentuada",IF($Q1405&lt;-2,"Magreza",IF($Q1405&lt;=1,"Eutrofia",IF($Q1405&lt;=2,"Risco de sobrepeso",IF($Q1405&lt;=3,"Sobrepeso","Obesidade"))))))</f>
        <v/>
      </c>
      <c r="S1405">
        <f>IF($C1405="","",IF(UPPER(LEFT($C1405,1))="M",1,IF(UPPER(LEFT($C1405,1))="F",2,"")))</f>
        <v/>
      </c>
      <c r="T1405">
        <f>IF(OR($D1405="",$E1405=""),"",DATEDIF($D1405,$E1405,"m"))</f>
        <v/>
      </c>
      <c r="U1405">
        <f>IF(OR($D1405="",$E1405=""),"",$E1405-$D1405)</f>
        <v/>
      </c>
      <c r="V1405">
        <f>IF(OR($G1405="",$T1405=""),"",IF($T1405&lt;24,IF(LEFT(LOWER($H1405),4)="em p",$G1405+0.7,$G1405),IF(LEFT(LOWER($H1405),4)="deit",$G1405-0.7,$G1405)))</f>
        <v/>
      </c>
      <c r="W1405">
        <f>IF(OR($S1405="",$T1405=""),"",$S1405*1000000+IF($T1405&lt;=60,$U1405,$T1405))</f>
        <v/>
      </c>
      <c r="X1405">
        <f>IF(OR($S1405="",$V1405="",$T1405&gt;60,$T1405=""),"",$S1405*1000000+ROUND($V1405*10,0))</f>
        <v/>
      </c>
      <c r="Y1405">
        <f>IF($W1405="","",IFERROR(INDEX(IF($T1405&lt;=60,imc05_l,imc519_l),MATCH($W1405,IF($T1405&lt;=60,imc05_k,imc519_k),1)),""))</f>
        <v/>
      </c>
      <c r="Z1405">
        <f>IF($W1405="","",IFERROR(INDEX(IF($T1405&lt;=60,imc05_m,imc519_m),MATCH($W1405,IF($T1405&lt;=60,imc05_k,imc519_k),1)),""))</f>
        <v/>
      </c>
      <c r="AA1405">
        <f>IF($W1405="","",IFERROR(INDEX(IF($T1405&lt;=60,imc05_s,imc519_s),MATCH($W1405,IF($T1405&lt;=60,imc05_k,imc519_k),1)),""))</f>
        <v/>
      </c>
      <c r="AB1405">
        <f>IF($Y1405="","",IF($Y1405=0,LN($J1405/$Z1405)/$AA1405,((($J1405/$Z1405)^$Y1405)-1)/($Y1405*$AA1405)))</f>
        <v/>
      </c>
      <c r="AC1405">
        <f>IF($Y1405="","",IF($Y1405=0,$Z1405*EXP($AA1405*2),$Z1405*(1+$Y1405*$AA1405*2)^(1/$Y1405)))</f>
        <v/>
      </c>
      <c r="AD1405">
        <f>IF($Y1405="","",IF($Y1405=0,$Z1405*EXP($AA1405*3),$Z1405*(1+$Y1405*$AA1405*3)^(1/$Y1405)))</f>
        <v/>
      </c>
      <c r="AE1405">
        <f>IF($Y1405="","",IF($Y1405=0,$Z1405*EXP($AA1405*-2),$Z1405*(1+$Y1405*$AA1405*-2)^(1/$Y1405)))</f>
        <v/>
      </c>
      <c r="AF1405">
        <f>IF($Y1405="","",IF($Y1405=0,$Z1405*EXP($AA1405*-3),$Z1405*(1+$Y1405*$AA1405*-3)^(1/$Y1405)))</f>
        <v/>
      </c>
      <c r="AG1405">
        <f>IF($W1405="","",IFERROR(INDEX(IF($T1405&lt;=60,est05_l,est519_l),MATCH($W1405,IF($T1405&lt;=60,est05_k,est519_k),1)),""))</f>
        <v/>
      </c>
      <c r="AH1405">
        <f>IF($W1405="","",IFERROR(INDEX(IF($T1405&lt;=60,est05_m,est519_m),MATCH($W1405,IF($T1405&lt;=60,est05_k,est519_k),1)),""))</f>
        <v/>
      </c>
      <c r="AI1405">
        <f>IF($W1405="","",IFERROR(INDEX(IF($T1405&lt;=60,est05_s,est519_s),MATCH($W1405,IF($T1405&lt;=60,est05_k,est519_k),1)),""))</f>
        <v/>
      </c>
      <c r="AJ1405">
        <f>IF($W1405="","",IFERROR(INDEX(IF($T1405&lt;=60,peso05_l,peso510_l),MATCH($W1405,IF($T1405&lt;=60,peso05_k,peso510_k),1)),""))</f>
        <v/>
      </c>
      <c r="AK1405">
        <f>IF($W1405="","",IFERROR(INDEX(IF($T1405&lt;=60,peso05_m,peso510_m),MATCH($W1405,IF($T1405&lt;=60,peso05_k,peso510_k),1)),""))</f>
        <v/>
      </c>
      <c r="AL1405">
        <f>IF($W1405="","",IFERROR(INDEX(IF($T1405&lt;=60,peso05_s,peso510_s),MATCH($W1405,IF($T1405&lt;=60,peso05_k,peso510_k),1)),""))</f>
        <v/>
      </c>
      <c r="AM1405">
        <f>IF($AJ1405="","",IF($AJ1405=0,LN($F1405/$AK1405)/$AL1405,((($F1405/$AK1405)^$AJ1405)-1)/($AJ1405*$AL1405)))</f>
        <v/>
      </c>
      <c r="AN1405">
        <f>IF($AJ1405="","",IF($AJ1405=0,$AK1405*EXP($AL1405*2),$AK1405*(1+$AJ1405*$AL1405*2)^(1/$AJ1405)))</f>
        <v/>
      </c>
      <c r="AO1405">
        <f>IF($AJ1405="","",IF($AJ1405=0,$AK1405*EXP($AL1405*3),$AK1405*(1+$AJ1405*$AL1405*3)^(1/$AJ1405)))</f>
        <v/>
      </c>
      <c r="AP1405">
        <f>IF($AJ1405="","",IF($AJ1405=0,$AK1405*EXP($AL1405*-2),$AK1405*(1+$AJ1405*$AL1405*-2)^(1/$AJ1405)))</f>
        <v/>
      </c>
      <c r="AQ1405">
        <f>IF($AJ1405="","",IF($AJ1405=0,$AK1405*EXP($AL1405*-3),$AK1405*(1+$AJ1405*$AL1405*-3)^(1/$AJ1405)))</f>
        <v/>
      </c>
      <c r="AR1405">
        <f>IF(OR($X1405="",$T1405&gt;60),"",IFERROR(INDEX(IF($T1405&lt;24,pcomp_l,palt_l),MATCH($X1405,IF($T1405&lt;24,pcomp_k,palt_k),1)),""))</f>
        <v/>
      </c>
      <c r="AS1405">
        <f>IF(OR($X1405="",$T1405&gt;60),"",IFERROR(INDEX(IF($T1405&lt;24,pcomp_m,palt_m),MATCH($X1405,IF($T1405&lt;24,pcomp_k,palt_k),1)),""))</f>
        <v/>
      </c>
      <c r="AT1405">
        <f>IF(OR($X1405="",$T1405&gt;60),"",IFERROR(INDEX(IF($T1405&lt;24,pcomp_s,palt_s),MATCH($X1405,IF($T1405&lt;24,pcomp_k,palt_k),1)),""))</f>
        <v/>
      </c>
      <c r="AU1405">
        <f>IF($AR1405="","",IF($AR1405=0,LN($F1405/$AS1405)/$AT1405,((($F1405/$AS1405)^$AR1405)-1)/($AR1405*$AT1405)))</f>
        <v/>
      </c>
      <c r="AV1405">
        <f>IF($AR1405="","",IF($AR1405=0,$AS1405*EXP($AT1405*2),$AS1405*(1+$AR1405*$AT1405*2)^(1/$AR1405)))</f>
        <v/>
      </c>
      <c r="AW1405">
        <f>IF($AR1405="","",IF($AR1405=0,$AS1405*EXP($AT1405*3),$AS1405*(1+$AR1405*$AT1405*3)^(1/$AR1405)))</f>
        <v/>
      </c>
      <c r="AX1405">
        <f>IF($AR1405="","",IF($AR1405=0,$AS1405*EXP($AT1405*-2),$AS1405*(1+$AR1405*$AT1405*-2)^(1/$AR1405)))</f>
        <v/>
      </c>
      <c r="AY1405">
        <f>IF($AR1405="","",IF($AR1405=0,$AS1405*EXP($AT1405*-3),$AS1405*(1+$AR1405*$AT1405*-3)^(1/$AR1405)))</f>
        <v/>
      </c>
      <c r="AZ1405">
        <f>IF(OR($A1405="",$A1405&lt;&gt;Ficha!$C$4),"",COUNTIF($A$2:$A1405,Ficha!$C$4))</f>
        <v/>
      </c>
    </row>
    <row r="1406">
      <c r="A1406" s="8">
        <f>IF(INDEX(Banco!$A:$A,ROW())="","",INDEX(Banco!$A:$A,ROW()))</f>
        <v/>
      </c>
      <c r="B1406" s="8">
        <f>IF(INDEX(Banco!$B:$B,ROW())="","",INDEX(Banco!$B:$B,ROW()))</f>
        <v/>
      </c>
      <c r="C1406" s="8">
        <f>IF(INDEX(Banco!$C:$C,ROW())="","",INDEX(Banco!$C:$C,ROW()))</f>
        <v/>
      </c>
      <c r="D1406" s="9">
        <f>IF(INDEX(Banco!$D:$D,ROW())="","",INDEX(Banco!$D:$D,ROW()))</f>
        <v/>
      </c>
      <c r="E1406" s="9">
        <f>IF(INDEX(Banco!$E:$E,ROW())="","",INDEX(Banco!$E:$E,ROW()))</f>
        <v/>
      </c>
      <c r="F1406" s="10">
        <f>IF(INDEX(Banco!$F:$F,ROW())="","",INDEX(Banco!$F:$F,ROW()))</f>
        <v/>
      </c>
      <c r="G1406" s="10">
        <f>IF(INDEX(Banco!$G:$G,ROW())="","",INDEX(Banco!$G:$G,ROW()))</f>
        <v/>
      </c>
      <c r="H1406" s="8">
        <f>IF(INDEX(Banco!$H:$H,ROW())="","",INDEX(Banco!$H:$H,ROW()))</f>
        <v/>
      </c>
      <c r="I1406">
        <f>IF($T1406="","",INT($T1406/12)&amp;"a "&amp;MOD($T1406,12)&amp;"m")</f>
        <v/>
      </c>
      <c r="J1406" s="11">
        <f>IF(OR($F1406="",$G1406=""),"",ROUND($F1406/($G1406/100)^2,2))</f>
        <v/>
      </c>
      <c r="K1406" s="12">
        <f>IF(OR($S1406="",$J1406="",$T1406="",$T1406&lt;0,$T1406&gt;228,$Y1406=""),"—",ROUND(IF(ABS($AB1406)&lt;=3,$AB1406,IF($AB1406&gt;3,3+($J1406-$AD1406)/($AD1406-$AC1406),-3+($J1406-$AF1406)/($AE1406-$AF1406))),2))</f>
        <v/>
      </c>
      <c r="L1406">
        <f>IF(OR($K1406="",$K1406="—"),"",IF($T1406&lt;=60,IF($K1406&lt;-3,"Magreza acentuada",IF($K1406&lt;-2,"Magreza",IF($K1406&lt;=1,"Eutrofia",IF($K1406&lt;=2,"Risco de sobrepeso",IF($K1406&lt;=3,"Sobrepeso","Obesidade"))))),IF($K1406&lt;-3,"Magreza acentuada",IF($K1406&lt;-2,"Magreza",IF($K1406&lt;=1,"Eutrofia",IF($K1406&lt;=2,"Sobrepeso",IF($K1406&lt;=3,"Obesidade","Obesidade grave")))))))</f>
        <v/>
      </c>
      <c r="M1406" s="12">
        <f>IF(OR($S1406="",$V1406="",$T1406="",$T1406&lt;0,$T1406&gt;228,$AG1406=""),"—",ROUND(IF($AG1406=0,LN($V1406/$AH1406)/$AI1406,((($V1406/$AH1406)^$AG1406)-1)/($AG1406*$AI1406)),2))</f>
        <v/>
      </c>
      <c r="N1406">
        <f>IF(OR($M1406="",$M1406="—"),"",IF($M1406&lt;-3,"Muito baixa",IF($M1406&lt;-2,"Baixa","Adequada")))</f>
        <v/>
      </c>
      <c r="O1406" s="12">
        <f>IF(OR($S1406="",$F1406="",$T1406="",$T1406&lt;0,$T1406&gt;120,$AJ1406=""),"—",ROUND(IF(ABS($AM1406)&lt;=3,$AM1406,IF($AM1406&gt;3,3+($F1406-$AO1406)/($AO1406-$AN1406),-3+($F1406-$AQ1406)/($AP1406-$AQ1406))),2))</f>
        <v/>
      </c>
      <c r="P1406">
        <f>IF(OR($O1406="",$O1406="—"),"",IF($O1406&lt;-3,"Muito baixo",IF($O1406&lt;-2,"Baixo",IF($O1406&lt;=2,"Adequado","Elevado"))))</f>
        <v/>
      </c>
      <c r="Q1406" s="12">
        <f>IF(OR($S1406="",$F1406="",$T1406="",$T1406&lt;0,$T1406&gt;60,$AR1406=""),"—",ROUND(IF(ABS($AU1406)&lt;=3,$AU1406,IF($AU1406&gt;3,3+($F1406-$AW1406)/($AW1406-$AV1406),-3+($F1406-$AY1406)/($AX1406-$AY1406))),2))</f>
        <v/>
      </c>
      <c r="R1406">
        <f>IF(OR($Q1406="",$Q1406="—"),"",IF($Q1406&lt;-3,"Magreza acentuada",IF($Q1406&lt;-2,"Magreza",IF($Q1406&lt;=1,"Eutrofia",IF($Q1406&lt;=2,"Risco de sobrepeso",IF($Q1406&lt;=3,"Sobrepeso","Obesidade"))))))</f>
        <v/>
      </c>
      <c r="S1406">
        <f>IF($C1406="","",IF(UPPER(LEFT($C1406,1))="M",1,IF(UPPER(LEFT($C1406,1))="F",2,"")))</f>
        <v/>
      </c>
      <c r="T1406">
        <f>IF(OR($D1406="",$E1406=""),"",DATEDIF($D1406,$E1406,"m"))</f>
        <v/>
      </c>
      <c r="U1406">
        <f>IF(OR($D1406="",$E1406=""),"",$E1406-$D1406)</f>
        <v/>
      </c>
      <c r="V1406">
        <f>IF(OR($G1406="",$T1406=""),"",IF($T1406&lt;24,IF(LEFT(LOWER($H1406),4)="em p",$G1406+0.7,$G1406),IF(LEFT(LOWER($H1406),4)="deit",$G1406-0.7,$G1406)))</f>
        <v/>
      </c>
      <c r="W1406">
        <f>IF(OR($S1406="",$T1406=""),"",$S1406*1000000+IF($T1406&lt;=60,$U1406,$T1406))</f>
        <v/>
      </c>
      <c r="X1406">
        <f>IF(OR($S1406="",$V1406="",$T1406&gt;60,$T1406=""),"",$S1406*1000000+ROUND($V1406*10,0))</f>
        <v/>
      </c>
      <c r="Y1406">
        <f>IF($W1406="","",IFERROR(INDEX(IF($T1406&lt;=60,imc05_l,imc519_l),MATCH($W1406,IF($T1406&lt;=60,imc05_k,imc519_k),1)),""))</f>
        <v/>
      </c>
      <c r="Z1406">
        <f>IF($W1406="","",IFERROR(INDEX(IF($T1406&lt;=60,imc05_m,imc519_m),MATCH($W1406,IF($T1406&lt;=60,imc05_k,imc519_k),1)),""))</f>
        <v/>
      </c>
      <c r="AA1406">
        <f>IF($W1406="","",IFERROR(INDEX(IF($T1406&lt;=60,imc05_s,imc519_s),MATCH($W1406,IF($T1406&lt;=60,imc05_k,imc519_k),1)),""))</f>
        <v/>
      </c>
      <c r="AB1406">
        <f>IF($Y1406="","",IF($Y1406=0,LN($J1406/$Z1406)/$AA1406,((($J1406/$Z1406)^$Y1406)-1)/($Y1406*$AA1406)))</f>
        <v/>
      </c>
      <c r="AC1406">
        <f>IF($Y1406="","",IF($Y1406=0,$Z1406*EXP($AA1406*2),$Z1406*(1+$Y1406*$AA1406*2)^(1/$Y1406)))</f>
        <v/>
      </c>
      <c r="AD1406">
        <f>IF($Y1406="","",IF($Y1406=0,$Z1406*EXP($AA1406*3),$Z1406*(1+$Y1406*$AA1406*3)^(1/$Y1406)))</f>
        <v/>
      </c>
      <c r="AE1406">
        <f>IF($Y1406="","",IF($Y1406=0,$Z1406*EXP($AA1406*-2),$Z1406*(1+$Y1406*$AA1406*-2)^(1/$Y1406)))</f>
        <v/>
      </c>
      <c r="AF1406">
        <f>IF($Y1406="","",IF($Y1406=0,$Z1406*EXP($AA1406*-3),$Z1406*(1+$Y1406*$AA1406*-3)^(1/$Y1406)))</f>
        <v/>
      </c>
      <c r="AG1406">
        <f>IF($W1406="","",IFERROR(INDEX(IF($T1406&lt;=60,est05_l,est519_l),MATCH($W1406,IF($T1406&lt;=60,est05_k,est519_k),1)),""))</f>
        <v/>
      </c>
      <c r="AH1406">
        <f>IF($W1406="","",IFERROR(INDEX(IF($T1406&lt;=60,est05_m,est519_m),MATCH($W1406,IF($T1406&lt;=60,est05_k,est519_k),1)),""))</f>
        <v/>
      </c>
      <c r="AI1406">
        <f>IF($W1406="","",IFERROR(INDEX(IF($T1406&lt;=60,est05_s,est519_s),MATCH($W1406,IF($T1406&lt;=60,est05_k,est519_k),1)),""))</f>
        <v/>
      </c>
      <c r="AJ1406">
        <f>IF($W1406="","",IFERROR(INDEX(IF($T1406&lt;=60,peso05_l,peso510_l),MATCH($W1406,IF($T1406&lt;=60,peso05_k,peso510_k),1)),""))</f>
        <v/>
      </c>
      <c r="AK1406">
        <f>IF($W1406="","",IFERROR(INDEX(IF($T1406&lt;=60,peso05_m,peso510_m),MATCH($W1406,IF($T1406&lt;=60,peso05_k,peso510_k),1)),""))</f>
        <v/>
      </c>
      <c r="AL1406">
        <f>IF($W1406="","",IFERROR(INDEX(IF($T1406&lt;=60,peso05_s,peso510_s),MATCH($W1406,IF($T1406&lt;=60,peso05_k,peso510_k),1)),""))</f>
        <v/>
      </c>
      <c r="AM1406">
        <f>IF($AJ1406="","",IF($AJ1406=0,LN($F1406/$AK1406)/$AL1406,((($F1406/$AK1406)^$AJ1406)-1)/($AJ1406*$AL1406)))</f>
        <v/>
      </c>
      <c r="AN1406">
        <f>IF($AJ1406="","",IF($AJ1406=0,$AK1406*EXP($AL1406*2),$AK1406*(1+$AJ1406*$AL1406*2)^(1/$AJ1406)))</f>
        <v/>
      </c>
      <c r="AO1406">
        <f>IF($AJ1406="","",IF($AJ1406=0,$AK1406*EXP($AL1406*3),$AK1406*(1+$AJ1406*$AL1406*3)^(1/$AJ1406)))</f>
        <v/>
      </c>
      <c r="AP1406">
        <f>IF($AJ1406="","",IF($AJ1406=0,$AK1406*EXP($AL1406*-2),$AK1406*(1+$AJ1406*$AL1406*-2)^(1/$AJ1406)))</f>
        <v/>
      </c>
      <c r="AQ1406">
        <f>IF($AJ1406="","",IF($AJ1406=0,$AK1406*EXP($AL1406*-3),$AK1406*(1+$AJ1406*$AL1406*-3)^(1/$AJ1406)))</f>
        <v/>
      </c>
      <c r="AR1406">
        <f>IF(OR($X1406="",$T1406&gt;60),"",IFERROR(INDEX(IF($T1406&lt;24,pcomp_l,palt_l),MATCH($X1406,IF($T1406&lt;24,pcomp_k,palt_k),1)),""))</f>
        <v/>
      </c>
      <c r="AS1406">
        <f>IF(OR($X1406="",$T1406&gt;60),"",IFERROR(INDEX(IF($T1406&lt;24,pcomp_m,palt_m),MATCH($X1406,IF($T1406&lt;24,pcomp_k,palt_k),1)),""))</f>
        <v/>
      </c>
      <c r="AT1406">
        <f>IF(OR($X1406="",$T1406&gt;60),"",IFERROR(INDEX(IF($T1406&lt;24,pcomp_s,palt_s),MATCH($X1406,IF($T1406&lt;24,pcomp_k,palt_k),1)),""))</f>
        <v/>
      </c>
      <c r="AU1406">
        <f>IF($AR1406="","",IF($AR1406=0,LN($F1406/$AS1406)/$AT1406,((($F1406/$AS1406)^$AR1406)-1)/($AR1406*$AT1406)))</f>
        <v/>
      </c>
      <c r="AV1406">
        <f>IF($AR1406="","",IF($AR1406=0,$AS1406*EXP($AT1406*2),$AS1406*(1+$AR1406*$AT1406*2)^(1/$AR1406)))</f>
        <v/>
      </c>
      <c r="AW1406">
        <f>IF($AR1406="","",IF($AR1406=0,$AS1406*EXP($AT1406*3),$AS1406*(1+$AR1406*$AT1406*3)^(1/$AR1406)))</f>
        <v/>
      </c>
      <c r="AX1406">
        <f>IF($AR1406="","",IF($AR1406=0,$AS1406*EXP($AT1406*-2),$AS1406*(1+$AR1406*$AT1406*-2)^(1/$AR1406)))</f>
        <v/>
      </c>
      <c r="AY1406">
        <f>IF($AR1406="","",IF($AR1406=0,$AS1406*EXP($AT1406*-3),$AS1406*(1+$AR1406*$AT1406*-3)^(1/$AR1406)))</f>
        <v/>
      </c>
      <c r="AZ1406">
        <f>IF(OR($A1406="",$A1406&lt;&gt;Ficha!$C$4),"",COUNTIF($A$2:$A1406,Ficha!$C$4))</f>
        <v/>
      </c>
    </row>
    <row r="1407">
      <c r="A1407" s="8">
        <f>IF(INDEX(Banco!$A:$A,ROW())="","",INDEX(Banco!$A:$A,ROW()))</f>
        <v/>
      </c>
      <c r="B1407" s="8">
        <f>IF(INDEX(Banco!$B:$B,ROW())="","",INDEX(Banco!$B:$B,ROW()))</f>
        <v/>
      </c>
      <c r="C1407" s="8">
        <f>IF(INDEX(Banco!$C:$C,ROW())="","",INDEX(Banco!$C:$C,ROW()))</f>
        <v/>
      </c>
      <c r="D1407" s="9">
        <f>IF(INDEX(Banco!$D:$D,ROW())="","",INDEX(Banco!$D:$D,ROW()))</f>
        <v/>
      </c>
      <c r="E1407" s="9">
        <f>IF(INDEX(Banco!$E:$E,ROW())="","",INDEX(Banco!$E:$E,ROW()))</f>
        <v/>
      </c>
      <c r="F1407" s="10">
        <f>IF(INDEX(Banco!$F:$F,ROW())="","",INDEX(Banco!$F:$F,ROW()))</f>
        <v/>
      </c>
      <c r="G1407" s="10">
        <f>IF(INDEX(Banco!$G:$G,ROW())="","",INDEX(Banco!$G:$G,ROW()))</f>
        <v/>
      </c>
      <c r="H1407" s="8">
        <f>IF(INDEX(Banco!$H:$H,ROW())="","",INDEX(Banco!$H:$H,ROW()))</f>
        <v/>
      </c>
      <c r="I1407">
        <f>IF($T1407="","",INT($T1407/12)&amp;"a "&amp;MOD($T1407,12)&amp;"m")</f>
        <v/>
      </c>
      <c r="J1407" s="11">
        <f>IF(OR($F1407="",$G1407=""),"",ROUND($F1407/($G1407/100)^2,2))</f>
        <v/>
      </c>
      <c r="K1407" s="12">
        <f>IF(OR($S1407="",$J1407="",$T1407="",$T1407&lt;0,$T1407&gt;228,$Y1407=""),"—",ROUND(IF(ABS($AB1407)&lt;=3,$AB1407,IF($AB1407&gt;3,3+($J1407-$AD1407)/($AD1407-$AC1407),-3+($J1407-$AF1407)/($AE1407-$AF1407))),2))</f>
        <v/>
      </c>
      <c r="L1407">
        <f>IF(OR($K1407="",$K1407="—"),"",IF($T1407&lt;=60,IF($K1407&lt;-3,"Magreza acentuada",IF($K1407&lt;-2,"Magreza",IF($K1407&lt;=1,"Eutrofia",IF($K1407&lt;=2,"Risco de sobrepeso",IF($K1407&lt;=3,"Sobrepeso","Obesidade"))))),IF($K1407&lt;-3,"Magreza acentuada",IF($K1407&lt;-2,"Magreza",IF($K1407&lt;=1,"Eutrofia",IF($K1407&lt;=2,"Sobrepeso",IF($K1407&lt;=3,"Obesidade","Obesidade grave")))))))</f>
        <v/>
      </c>
      <c r="M1407" s="12">
        <f>IF(OR($S1407="",$V1407="",$T1407="",$T1407&lt;0,$T1407&gt;228,$AG1407=""),"—",ROUND(IF($AG1407=0,LN($V1407/$AH1407)/$AI1407,((($V1407/$AH1407)^$AG1407)-1)/($AG1407*$AI1407)),2))</f>
        <v/>
      </c>
      <c r="N1407">
        <f>IF(OR($M1407="",$M1407="—"),"",IF($M1407&lt;-3,"Muito baixa",IF($M1407&lt;-2,"Baixa","Adequada")))</f>
        <v/>
      </c>
      <c r="O1407" s="12">
        <f>IF(OR($S1407="",$F1407="",$T1407="",$T1407&lt;0,$T1407&gt;120,$AJ1407=""),"—",ROUND(IF(ABS($AM1407)&lt;=3,$AM1407,IF($AM1407&gt;3,3+($F1407-$AO1407)/($AO1407-$AN1407),-3+($F1407-$AQ1407)/($AP1407-$AQ1407))),2))</f>
        <v/>
      </c>
      <c r="P1407">
        <f>IF(OR($O1407="",$O1407="—"),"",IF($O1407&lt;-3,"Muito baixo",IF($O1407&lt;-2,"Baixo",IF($O1407&lt;=2,"Adequado","Elevado"))))</f>
        <v/>
      </c>
      <c r="Q1407" s="12">
        <f>IF(OR($S1407="",$F1407="",$T1407="",$T1407&lt;0,$T1407&gt;60,$AR1407=""),"—",ROUND(IF(ABS($AU1407)&lt;=3,$AU1407,IF($AU1407&gt;3,3+($F1407-$AW1407)/($AW1407-$AV1407),-3+($F1407-$AY1407)/($AX1407-$AY1407))),2))</f>
        <v/>
      </c>
      <c r="R1407">
        <f>IF(OR($Q1407="",$Q1407="—"),"",IF($Q1407&lt;-3,"Magreza acentuada",IF($Q1407&lt;-2,"Magreza",IF($Q1407&lt;=1,"Eutrofia",IF($Q1407&lt;=2,"Risco de sobrepeso",IF($Q1407&lt;=3,"Sobrepeso","Obesidade"))))))</f>
        <v/>
      </c>
      <c r="S1407">
        <f>IF($C1407="","",IF(UPPER(LEFT($C1407,1))="M",1,IF(UPPER(LEFT($C1407,1))="F",2,"")))</f>
        <v/>
      </c>
      <c r="T1407">
        <f>IF(OR($D1407="",$E1407=""),"",DATEDIF($D1407,$E1407,"m"))</f>
        <v/>
      </c>
      <c r="U1407">
        <f>IF(OR($D1407="",$E1407=""),"",$E1407-$D1407)</f>
        <v/>
      </c>
      <c r="V1407">
        <f>IF(OR($G1407="",$T1407=""),"",IF($T1407&lt;24,IF(LEFT(LOWER($H1407),4)="em p",$G1407+0.7,$G1407),IF(LEFT(LOWER($H1407),4)="deit",$G1407-0.7,$G1407)))</f>
        <v/>
      </c>
      <c r="W1407">
        <f>IF(OR($S1407="",$T1407=""),"",$S1407*1000000+IF($T1407&lt;=60,$U1407,$T1407))</f>
        <v/>
      </c>
      <c r="X1407">
        <f>IF(OR($S1407="",$V1407="",$T1407&gt;60,$T1407=""),"",$S1407*1000000+ROUND($V1407*10,0))</f>
        <v/>
      </c>
      <c r="Y1407">
        <f>IF($W1407="","",IFERROR(INDEX(IF($T1407&lt;=60,imc05_l,imc519_l),MATCH($W1407,IF($T1407&lt;=60,imc05_k,imc519_k),1)),""))</f>
        <v/>
      </c>
      <c r="Z1407">
        <f>IF($W1407="","",IFERROR(INDEX(IF($T1407&lt;=60,imc05_m,imc519_m),MATCH($W1407,IF($T1407&lt;=60,imc05_k,imc519_k),1)),""))</f>
        <v/>
      </c>
      <c r="AA1407">
        <f>IF($W1407="","",IFERROR(INDEX(IF($T1407&lt;=60,imc05_s,imc519_s),MATCH($W1407,IF($T1407&lt;=60,imc05_k,imc519_k),1)),""))</f>
        <v/>
      </c>
      <c r="AB1407">
        <f>IF($Y1407="","",IF($Y1407=0,LN($J1407/$Z1407)/$AA1407,((($J1407/$Z1407)^$Y1407)-1)/($Y1407*$AA1407)))</f>
        <v/>
      </c>
      <c r="AC1407">
        <f>IF($Y1407="","",IF($Y1407=0,$Z1407*EXP($AA1407*2),$Z1407*(1+$Y1407*$AA1407*2)^(1/$Y1407)))</f>
        <v/>
      </c>
      <c r="AD1407">
        <f>IF($Y1407="","",IF($Y1407=0,$Z1407*EXP($AA1407*3),$Z1407*(1+$Y1407*$AA1407*3)^(1/$Y1407)))</f>
        <v/>
      </c>
      <c r="AE1407">
        <f>IF($Y1407="","",IF($Y1407=0,$Z1407*EXP($AA1407*-2),$Z1407*(1+$Y1407*$AA1407*-2)^(1/$Y1407)))</f>
        <v/>
      </c>
      <c r="AF1407">
        <f>IF($Y1407="","",IF($Y1407=0,$Z1407*EXP($AA1407*-3),$Z1407*(1+$Y1407*$AA1407*-3)^(1/$Y1407)))</f>
        <v/>
      </c>
      <c r="AG1407">
        <f>IF($W1407="","",IFERROR(INDEX(IF($T1407&lt;=60,est05_l,est519_l),MATCH($W1407,IF($T1407&lt;=60,est05_k,est519_k),1)),""))</f>
        <v/>
      </c>
      <c r="AH1407">
        <f>IF($W1407="","",IFERROR(INDEX(IF($T1407&lt;=60,est05_m,est519_m),MATCH($W1407,IF($T1407&lt;=60,est05_k,est519_k),1)),""))</f>
        <v/>
      </c>
      <c r="AI1407">
        <f>IF($W1407="","",IFERROR(INDEX(IF($T1407&lt;=60,est05_s,est519_s),MATCH($W1407,IF($T1407&lt;=60,est05_k,est519_k),1)),""))</f>
        <v/>
      </c>
      <c r="AJ1407">
        <f>IF($W1407="","",IFERROR(INDEX(IF($T1407&lt;=60,peso05_l,peso510_l),MATCH($W1407,IF($T1407&lt;=60,peso05_k,peso510_k),1)),""))</f>
        <v/>
      </c>
      <c r="AK1407">
        <f>IF($W1407="","",IFERROR(INDEX(IF($T1407&lt;=60,peso05_m,peso510_m),MATCH($W1407,IF($T1407&lt;=60,peso05_k,peso510_k),1)),""))</f>
        <v/>
      </c>
      <c r="AL1407">
        <f>IF($W1407="","",IFERROR(INDEX(IF($T1407&lt;=60,peso05_s,peso510_s),MATCH($W1407,IF($T1407&lt;=60,peso05_k,peso510_k),1)),""))</f>
        <v/>
      </c>
      <c r="AM1407">
        <f>IF($AJ1407="","",IF($AJ1407=0,LN($F1407/$AK1407)/$AL1407,((($F1407/$AK1407)^$AJ1407)-1)/($AJ1407*$AL1407)))</f>
        <v/>
      </c>
      <c r="AN1407">
        <f>IF($AJ1407="","",IF($AJ1407=0,$AK1407*EXP($AL1407*2),$AK1407*(1+$AJ1407*$AL1407*2)^(1/$AJ1407)))</f>
        <v/>
      </c>
      <c r="AO1407">
        <f>IF($AJ1407="","",IF($AJ1407=0,$AK1407*EXP($AL1407*3),$AK1407*(1+$AJ1407*$AL1407*3)^(1/$AJ1407)))</f>
        <v/>
      </c>
      <c r="AP1407">
        <f>IF($AJ1407="","",IF($AJ1407=0,$AK1407*EXP($AL1407*-2),$AK1407*(1+$AJ1407*$AL1407*-2)^(1/$AJ1407)))</f>
        <v/>
      </c>
      <c r="AQ1407">
        <f>IF($AJ1407="","",IF($AJ1407=0,$AK1407*EXP($AL1407*-3),$AK1407*(1+$AJ1407*$AL1407*-3)^(1/$AJ1407)))</f>
        <v/>
      </c>
      <c r="AR1407">
        <f>IF(OR($X1407="",$T1407&gt;60),"",IFERROR(INDEX(IF($T1407&lt;24,pcomp_l,palt_l),MATCH($X1407,IF($T1407&lt;24,pcomp_k,palt_k),1)),""))</f>
        <v/>
      </c>
      <c r="AS1407">
        <f>IF(OR($X1407="",$T1407&gt;60),"",IFERROR(INDEX(IF($T1407&lt;24,pcomp_m,palt_m),MATCH($X1407,IF($T1407&lt;24,pcomp_k,palt_k),1)),""))</f>
        <v/>
      </c>
      <c r="AT1407">
        <f>IF(OR($X1407="",$T1407&gt;60),"",IFERROR(INDEX(IF($T1407&lt;24,pcomp_s,palt_s),MATCH($X1407,IF($T1407&lt;24,pcomp_k,palt_k),1)),""))</f>
        <v/>
      </c>
      <c r="AU1407">
        <f>IF($AR1407="","",IF($AR1407=0,LN($F1407/$AS1407)/$AT1407,((($F1407/$AS1407)^$AR1407)-1)/($AR1407*$AT1407)))</f>
        <v/>
      </c>
      <c r="AV1407">
        <f>IF($AR1407="","",IF($AR1407=0,$AS1407*EXP($AT1407*2),$AS1407*(1+$AR1407*$AT1407*2)^(1/$AR1407)))</f>
        <v/>
      </c>
      <c r="AW1407">
        <f>IF($AR1407="","",IF($AR1407=0,$AS1407*EXP($AT1407*3),$AS1407*(1+$AR1407*$AT1407*3)^(1/$AR1407)))</f>
        <v/>
      </c>
      <c r="AX1407">
        <f>IF($AR1407="","",IF($AR1407=0,$AS1407*EXP($AT1407*-2),$AS1407*(1+$AR1407*$AT1407*-2)^(1/$AR1407)))</f>
        <v/>
      </c>
      <c r="AY1407">
        <f>IF($AR1407="","",IF($AR1407=0,$AS1407*EXP($AT1407*-3),$AS1407*(1+$AR1407*$AT1407*-3)^(1/$AR1407)))</f>
        <v/>
      </c>
      <c r="AZ1407">
        <f>IF(OR($A1407="",$A1407&lt;&gt;Ficha!$C$4),"",COUNTIF($A$2:$A1407,Ficha!$C$4))</f>
        <v/>
      </c>
    </row>
    <row r="1408">
      <c r="A1408" s="8">
        <f>IF(INDEX(Banco!$A:$A,ROW())="","",INDEX(Banco!$A:$A,ROW()))</f>
        <v/>
      </c>
      <c r="B1408" s="8">
        <f>IF(INDEX(Banco!$B:$B,ROW())="","",INDEX(Banco!$B:$B,ROW()))</f>
        <v/>
      </c>
      <c r="C1408" s="8">
        <f>IF(INDEX(Banco!$C:$C,ROW())="","",INDEX(Banco!$C:$C,ROW()))</f>
        <v/>
      </c>
      <c r="D1408" s="9">
        <f>IF(INDEX(Banco!$D:$D,ROW())="","",INDEX(Banco!$D:$D,ROW()))</f>
        <v/>
      </c>
      <c r="E1408" s="9">
        <f>IF(INDEX(Banco!$E:$E,ROW())="","",INDEX(Banco!$E:$E,ROW()))</f>
        <v/>
      </c>
      <c r="F1408" s="10">
        <f>IF(INDEX(Banco!$F:$F,ROW())="","",INDEX(Banco!$F:$F,ROW()))</f>
        <v/>
      </c>
      <c r="G1408" s="10">
        <f>IF(INDEX(Banco!$G:$G,ROW())="","",INDEX(Banco!$G:$G,ROW()))</f>
        <v/>
      </c>
      <c r="H1408" s="8">
        <f>IF(INDEX(Banco!$H:$H,ROW())="","",INDEX(Banco!$H:$H,ROW()))</f>
        <v/>
      </c>
      <c r="I1408">
        <f>IF($T1408="","",INT($T1408/12)&amp;"a "&amp;MOD($T1408,12)&amp;"m")</f>
        <v/>
      </c>
      <c r="J1408" s="11">
        <f>IF(OR($F1408="",$G1408=""),"",ROUND($F1408/($G1408/100)^2,2))</f>
        <v/>
      </c>
      <c r="K1408" s="12">
        <f>IF(OR($S1408="",$J1408="",$T1408="",$T1408&lt;0,$T1408&gt;228,$Y1408=""),"—",ROUND(IF(ABS($AB1408)&lt;=3,$AB1408,IF($AB1408&gt;3,3+($J1408-$AD1408)/($AD1408-$AC1408),-3+($J1408-$AF1408)/($AE1408-$AF1408))),2))</f>
        <v/>
      </c>
      <c r="L1408">
        <f>IF(OR($K1408="",$K1408="—"),"",IF($T1408&lt;=60,IF($K1408&lt;-3,"Magreza acentuada",IF($K1408&lt;-2,"Magreza",IF($K1408&lt;=1,"Eutrofia",IF($K1408&lt;=2,"Risco de sobrepeso",IF($K1408&lt;=3,"Sobrepeso","Obesidade"))))),IF($K1408&lt;-3,"Magreza acentuada",IF($K1408&lt;-2,"Magreza",IF($K1408&lt;=1,"Eutrofia",IF($K1408&lt;=2,"Sobrepeso",IF($K1408&lt;=3,"Obesidade","Obesidade grave")))))))</f>
        <v/>
      </c>
      <c r="M1408" s="12">
        <f>IF(OR($S1408="",$V1408="",$T1408="",$T1408&lt;0,$T1408&gt;228,$AG1408=""),"—",ROUND(IF($AG1408=0,LN($V1408/$AH1408)/$AI1408,((($V1408/$AH1408)^$AG1408)-1)/($AG1408*$AI1408)),2))</f>
        <v/>
      </c>
      <c r="N1408">
        <f>IF(OR($M1408="",$M1408="—"),"",IF($M1408&lt;-3,"Muito baixa",IF($M1408&lt;-2,"Baixa","Adequada")))</f>
        <v/>
      </c>
      <c r="O1408" s="12">
        <f>IF(OR($S1408="",$F1408="",$T1408="",$T1408&lt;0,$T1408&gt;120,$AJ1408=""),"—",ROUND(IF(ABS($AM1408)&lt;=3,$AM1408,IF($AM1408&gt;3,3+($F1408-$AO1408)/($AO1408-$AN1408),-3+($F1408-$AQ1408)/($AP1408-$AQ1408))),2))</f>
        <v/>
      </c>
      <c r="P1408">
        <f>IF(OR($O1408="",$O1408="—"),"",IF($O1408&lt;-3,"Muito baixo",IF($O1408&lt;-2,"Baixo",IF($O1408&lt;=2,"Adequado","Elevado"))))</f>
        <v/>
      </c>
      <c r="Q1408" s="12">
        <f>IF(OR($S1408="",$F1408="",$T1408="",$T1408&lt;0,$T1408&gt;60,$AR1408=""),"—",ROUND(IF(ABS($AU1408)&lt;=3,$AU1408,IF($AU1408&gt;3,3+($F1408-$AW1408)/($AW1408-$AV1408),-3+($F1408-$AY1408)/($AX1408-$AY1408))),2))</f>
        <v/>
      </c>
      <c r="R1408">
        <f>IF(OR($Q1408="",$Q1408="—"),"",IF($Q1408&lt;-3,"Magreza acentuada",IF($Q1408&lt;-2,"Magreza",IF($Q1408&lt;=1,"Eutrofia",IF($Q1408&lt;=2,"Risco de sobrepeso",IF($Q1408&lt;=3,"Sobrepeso","Obesidade"))))))</f>
        <v/>
      </c>
      <c r="S1408">
        <f>IF($C1408="","",IF(UPPER(LEFT($C1408,1))="M",1,IF(UPPER(LEFT($C1408,1))="F",2,"")))</f>
        <v/>
      </c>
      <c r="T1408">
        <f>IF(OR($D1408="",$E1408=""),"",DATEDIF($D1408,$E1408,"m"))</f>
        <v/>
      </c>
      <c r="U1408">
        <f>IF(OR($D1408="",$E1408=""),"",$E1408-$D1408)</f>
        <v/>
      </c>
      <c r="V1408">
        <f>IF(OR($G1408="",$T1408=""),"",IF($T1408&lt;24,IF(LEFT(LOWER($H1408),4)="em p",$G1408+0.7,$G1408),IF(LEFT(LOWER($H1408),4)="deit",$G1408-0.7,$G1408)))</f>
        <v/>
      </c>
      <c r="W1408">
        <f>IF(OR($S1408="",$T1408=""),"",$S1408*1000000+IF($T1408&lt;=60,$U1408,$T1408))</f>
        <v/>
      </c>
      <c r="X1408">
        <f>IF(OR($S1408="",$V1408="",$T1408&gt;60,$T1408=""),"",$S1408*1000000+ROUND($V1408*10,0))</f>
        <v/>
      </c>
      <c r="Y1408">
        <f>IF($W1408="","",IFERROR(INDEX(IF($T1408&lt;=60,imc05_l,imc519_l),MATCH($W1408,IF($T1408&lt;=60,imc05_k,imc519_k),1)),""))</f>
        <v/>
      </c>
      <c r="Z1408">
        <f>IF($W1408="","",IFERROR(INDEX(IF($T1408&lt;=60,imc05_m,imc519_m),MATCH($W1408,IF($T1408&lt;=60,imc05_k,imc519_k),1)),""))</f>
        <v/>
      </c>
      <c r="AA1408">
        <f>IF($W1408="","",IFERROR(INDEX(IF($T1408&lt;=60,imc05_s,imc519_s),MATCH($W1408,IF($T1408&lt;=60,imc05_k,imc519_k),1)),""))</f>
        <v/>
      </c>
      <c r="AB1408">
        <f>IF($Y1408="","",IF($Y1408=0,LN($J1408/$Z1408)/$AA1408,((($J1408/$Z1408)^$Y1408)-1)/($Y1408*$AA1408)))</f>
        <v/>
      </c>
      <c r="AC1408">
        <f>IF($Y1408="","",IF($Y1408=0,$Z1408*EXP($AA1408*2),$Z1408*(1+$Y1408*$AA1408*2)^(1/$Y1408)))</f>
        <v/>
      </c>
      <c r="AD1408">
        <f>IF($Y1408="","",IF($Y1408=0,$Z1408*EXP($AA1408*3),$Z1408*(1+$Y1408*$AA1408*3)^(1/$Y1408)))</f>
        <v/>
      </c>
      <c r="AE1408">
        <f>IF($Y1408="","",IF($Y1408=0,$Z1408*EXP($AA1408*-2),$Z1408*(1+$Y1408*$AA1408*-2)^(1/$Y1408)))</f>
        <v/>
      </c>
      <c r="AF1408">
        <f>IF($Y1408="","",IF($Y1408=0,$Z1408*EXP($AA1408*-3),$Z1408*(1+$Y1408*$AA1408*-3)^(1/$Y1408)))</f>
        <v/>
      </c>
      <c r="AG1408">
        <f>IF($W1408="","",IFERROR(INDEX(IF($T1408&lt;=60,est05_l,est519_l),MATCH($W1408,IF($T1408&lt;=60,est05_k,est519_k),1)),""))</f>
        <v/>
      </c>
      <c r="AH1408">
        <f>IF($W1408="","",IFERROR(INDEX(IF($T1408&lt;=60,est05_m,est519_m),MATCH($W1408,IF($T1408&lt;=60,est05_k,est519_k),1)),""))</f>
        <v/>
      </c>
      <c r="AI1408">
        <f>IF($W1408="","",IFERROR(INDEX(IF($T1408&lt;=60,est05_s,est519_s),MATCH($W1408,IF($T1408&lt;=60,est05_k,est519_k),1)),""))</f>
        <v/>
      </c>
      <c r="AJ1408">
        <f>IF($W1408="","",IFERROR(INDEX(IF($T1408&lt;=60,peso05_l,peso510_l),MATCH($W1408,IF($T1408&lt;=60,peso05_k,peso510_k),1)),""))</f>
        <v/>
      </c>
      <c r="AK1408">
        <f>IF($W1408="","",IFERROR(INDEX(IF($T1408&lt;=60,peso05_m,peso510_m),MATCH($W1408,IF($T1408&lt;=60,peso05_k,peso510_k),1)),""))</f>
        <v/>
      </c>
      <c r="AL1408">
        <f>IF($W1408="","",IFERROR(INDEX(IF($T1408&lt;=60,peso05_s,peso510_s),MATCH($W1408,IF($T1408&lt;=60,peso05_k,peso510_k),1)),""))</f>
        <v/>
      </c>
      <c r="AM1408">
        <f>IF($AJ1408="","",IF($AJ1408=0,LN($F1408/$AK1408)/$AL1408,((($F1408/$AK1408)^$AJ1408)-1)/($AJ1408*$AL1408)))</f>
        <v/>
      </c>
      <c r="AN1408">
        <f>IF($AJ1408="","",IF($AJ1408=0,$AK1408*EXP($AL1408*2),$AK1408*(1+$AJ1408*$AL1408*2)^(1/$AJ1408)))</f>
        <v/>
      </c>
      <c r="AO1408">
        <f>IF($AJ1408="","",IF($AJ1408=0,$AK1408*EXP($AL1408*3),$AK1408*(1+$AJ1408*$AL1408*3)^(1/$AJ1408)))</f>
        <v/>
      </c>
      <c r="AP1408">
        <f>IF($AJ1408="","",IF($AJ1408=0,$AK1408*EXP($AL1408*-2),$AK1408*(1+$AJ1408*$AL1408*-2)^(1/$AJ1408)))</f>
        <v/>
      </c>
      <c r="AQ1408">
        <f>IF($AJ1408="","",IF($AJ1408=0,$AK1408*EXP($AL1408*-3),$AK1408*(1+$AJ1408*$AL1408*-3)^(1/$AJ1408)))</f>
        <v/>
      </c>
      <c r="AR1408">
        <f>IF(OR($X1408="",$T1408&gt;60),"",IFERROR(INDEX(IF($T1408&lt;24,pcomp_l,palt_l),MATCH($X1408,IF($T1408&lt;24,pcomp_k,palt_k),1)),""))</f>
        <v/>
      </c>
      <c r="AS1408">
        <f>IF(OR($X1408="",$T1408&gt;60),"",IFERROR(INDEX(IF($T1408&lt;24,pcomp_m,palt_m),MATCH($X1408,IF($T1408&lt;24,pcomp_k,palt_k),1)),""))</f>
        <v/>
      </c>
      <c r="AT1408">
        <f>IF(OR($X1408="",$T1408&gt;60),"",IFERROR(INDEX(IF($T1408&lt;24,pcomp_s,palt_s),MATCH($X1408,IF($T1408&lt;24,pcomp_k,palt_k),1)),""))</f>
        <v/>
      </c>
      <c r="AU1408">
        <f>IF($AR1408="","",IF($AR1408=0,LN($F1408/$AS1408)/$AT1408,((($F1408/$AS1408)^$AR1408)-1)/($AR1408*$AT1408)))</f>
        <v/>
      </c>
      <c r="AV1408">
        <f>IF($AR1408="","",IF($AR1408=0,$AS1408*EXP($AT1408*2),$AS1408*(1+$AR1408*$AT1408*2)^(1/$AR1408)))</f>
        <v/>
      </c>
      <c r="AW1408">
        <f>IF($AR1408="","",IF($AR1408=0,$AS1408*EXP($AT1408*3),$AS1408*(1+$AR1408*$AT1408*3)^(1/$AR1408)))</f>
        <v/>
      </c>
      <c r="AX1408">
        <f>IF($AR1408="","",IF($AR1408=0,$AS1408*EXP($AT1408*-2),$AS1408*(1+$AR1408*$AT1408*-2)^(1/$AR1408)))</f>
        <v/>
      </c>
      <c r="AY1408">
        <f>IF($AR1408="","",IF($AR1408=0,$AS1408*EXP($AT1408*-3),$AS1408*(1+$AR1408*$AT1408*-3)^(1/$AR1408)))</f>
        <v/>
      </c>
      <c r="AZ1408">
        <f>IF(OR($A1408="",$A1408&lt;&gt;Ficha!$C$4),"",COUNTIF($A$2:$A1408,Ficha!$C$4))</f>
        <v/>
      </c>
    </row>
    <row r="1409">
      <c r="A1409" s="8">
        <f>IF(INDEX(Banco!$A:$A,ROW())="","",INDEX(Banco!$A:$A,ROW()))</f>
        <v/>
      </c>
      <c r="B1409" s="8">
        <f>IF(INDEX(Banco!$B:$B,ROW())="","",INDEX(Banco!$B:$B,ROW()))</f>
        <v/>
      </c>
      <c r="C1409" s="8">
        <f>IF(INDEX(Banco!$C:$C,ROW())="","",INDEX(Banco!$C:$C,ROW()))</f>
        <v/>
      </c>
      <c r="D1409" s="9">
        <f>IF(INDEX(Banco!$D:$D,ROW())="","",INDEX(Banco!$D:$D,ROW()))</f>
        <v/>
      </c>
      <c r="E1409" s="9">
        <f>IF(INDEX(Banco!$E:$E,ROW())="","",INDEX(Banco!$E:$E,ROW()))</f>
        <v/>
      </c>
      <c r="F1409" s="10">
        <f>IF(INDEX(Banco!$F:$F,ROW())="","",INDEX(Banco!$F:$F,ROW()))</f>
        <v/>
      </c>
      <c r="G1409" s="10">
        <f>IF(INDEX(Banco!$G:$G,ROW())="","",INDEX(Banco!$G:$G,ROW()))</f>
        <v/>
      </c>
      <c r="H1409" s="8">
        <f>IF(INDEX(Banco!$H:$H,ROW())="","",INDEX(Banco!$H:$H,ROW()))</f>
        <v/>
      </c>
      <c r="I1409">
        <f>IF($T1409="","",INT($T1409/12)&amp;"a "&amp;MOD($T1409,12)&amp;"m")</f>
        <v/>
      </c>
      <c r="J1409" s="11">
        <f>IF(OR($F1409="",$G1409=""),"",ROUND($F1409/($G1409/100)^2,2))</f>
        <v/>
      </c>
      <c r="K1409" s="12">
        <f>IF(OR($S1409="",$J1409="",$T1409="",$T1409&lt;0,$T1409&gt;228,$Y1409=""),"—",ROUND(IF(ABS($AB1409)&lt;=3,$AB1409,IF($AB1409&gt;3,3+($J1409-$AD1409)/($AD1409-$AC1409),-3+($J1409-$AF1409)/($AE1409-$AF1409))),2))</f>
        <v/>
      </c>
      <c r="L1409">
        <f>IF(OR($K1409="",$K1409="—"),"",IF($T1409&lt;=60,IF($K1409&lt;-3,"Magreza acentuada",IF($K1409&lt;-2,"Magreza",IF($K1409&lt;=1,"Eutrofia",IF($K1409&lt;=2,"Risco de sobrepeso",IF($K1409&lt;=3,"Sobrepeso","Obesidade"))))),IF($K1409&lt;-3,"Magreza acentuada",IF($K1409&lt;-2,"Magreza",IF($K1409&lt;=1,"Eutrofia",IF($K1409&lt;=2,"Sobrepeso",IF($K1409&lt;=3,"Obesidade","Obesidade grave")))))))</f>
        <v/>
      </c>
      <c r="M1409" s="12">
        <f>IF(OR($S1409="",$V1409="",$T1409="",$T1409&lt;0,$T1409&gt;228,$AG1409=""),"—",ROUND(IF($AG1409=0,LN($V1409/$AH1409)/$AI1409,((($V1409/$AH1409)^$AG1409)-1)/($AG1409*$AI1409)),2))</f>
        <v/>
      </c>
      <c r="N1409">
        <f>IF(OR($M1409="",$M1409="—"),"",IF($M1409&lt;-3,"Muito baixa",IF($M1409&lt;-2,"Baixa","Adequada")))</f>
        <v/>
      </c>
      <c r="O1409" s="12">
        <f>IF(OR($S1409="",$F1409="",$T1409="",$T1409&lt;0,$T1409&gt;120,$AJ1409=""),"—",ROUND(IF(ABS($AM1409)&lt;=3,$AM1409,IF($AM1409&gt;3,3+($F1409-$AO1409)/($AO1409-$AN1409),-3+($F1409-$AQ1409)/($AP1409-$AQ1409))),2))</f>
        <v/>
      </c>
      <c r="P1409">
        <f>IF(OR($O1409="",$O1409="—"),"",IF($O1409&lt;-3,"Muito baixo",IF($O1409&lt;-2,"Baixo",IF($O1409&lt;=2,"Adequado","Elevado"))))</f>
        <v/>
      </c>
      <c r="Q1409" s="12">
        <f>IF(OR($S1409="",$F1409="",$T1409="",$T1409&lt;0,$T1409&gt;60,$AR1409=""),"—",ROUND(IF(ABS($AU1409)&lt;=3,$AU1409,IF($AU1409&gt;3,3+($F1409-$AW1409)/($AW1409-$AV1409),-3+($F1409-$AY1409)/($AX1409-$AY1409))),2))</f>
        <v/>
      </c>
      <c r="R1409">
        <f>IF(OR($Q1409="",$Q1409="—"),"",IF($Q1409&lt;-3,"Magreza acentuada",IF($Q1409&lt;-2,"Magreza",IF($Q1409&lt;=1,"Eutrofia",IF($Q1409&lt;=2,"Risco de sobrepeso",IF($Q1409&lt;=3,"Sobrepeso","Obesidade"))))))</f>
        <v/>
      </c>
      <c r="S1409">
        <f>IF($C1409="","",IF(UPPER(LEFT($C1409,1))="M",1,IF(UPPER(LEFT($C1409,1))="F",2,"")))</f>
        <v/>
      </c>
      <c r="T1409">
        <f>IF(OR($D1409="",$E1409=""),"",DATEDIF($D1409,$E1409,"m"))</f>
        <v/>
      </c>
      <c r="U1409">
        <f>IF(OR($D1409="",$E1409=""),"",$E1409-$D1409)</f>
        <v/>
      </c>
      <c r="V1409">
        <f>IF(OR($G1409="",$T1409=""),"",IF($T1409&lt;24,IF(LEFT(LOWER($H1409),4)="em p",$G1409+0.7,$G1409),IF(LEFT(LOWER($H1409),4)="deit",$G1409-0.7,$G1409)))</f>
        <v/>
      </c>
      <c r="W1409">
        <f>IF(OR($S1409="",$T1409=""),"",$S1409*1000000+IF($T1409&lt;=60,$U1409,$T1409))</f>
        <v/>
      </c>
      <c r="X1409">
        <f>IF(OR($S1409="",$V1409="",$T1409&gt;60,$T1409=""),"",$S1409*1000000+ROUND($V1409*10,0))</f>
        <v/>
      </c>
      <c r="Y1409">
        <f>IF($W1409="","",IFERROR(INDEX(IF($T1409&lt;=60,imc05_l,imc519_l),MATCH($W1409,IF($T1409&lt;=60,imc05_k,imc519_k),1)),""))</f>
        <v/>
      </c>
      <c r="Z1409">
        <f>IF($W1409="","",IFERROR(INDEX(IF($T1409&lt;=60,imc05_m,imc519_m),MATCH($W1409,IF($T1409&lt;=60,imc05_k,imc519_k),1)),""))</f>
        <v/>
      </c>
      <c r="AA1409">
        <f>IF($W1409="","",IFERROR(INDEX(IF($T1409&lt;=60,imc05_s,imc519_s),MATCH($W1409,IF($T1409&lt;=60,imc05_k,imc519_k),1)),""))</f>
        <v/>
      </c>
      <c r="AB1409">
        <f>IF($Y1409="","",IF($Y1409=0,LN($J1409/$Z1409)/$AA1409,((($J1409/$Z1409)^$Y1409)-1)/($Y1409*$AA1409)))</f>
        <v/>
      </c>
      <c r="AC1409">
        <f>IF($Y1409="","",IF($Y1409=0,$Z1409*EXP($AA1409*2),$Z1409*(1+$Y1409*$AA1409*2)^(1/$Y1409)))</f>
        <v/>
      </c>
      <c r="AD1409">
        <f>IF($Y1409="","",IF($Y1409=0,$Z1409*EXP($AA1409*3),$Z1409*(1+$Y1409*$AA1409*3)^(1/$Y1409)))</f>
        <v/>
      </c>
      <c r="AE1409">
        <f>IF($Y1409="","",IF($Y1409=0,$Z1409*EXP($AA1409*-2),$Z1409*(1+$Y1409*$AA1409*-2)^(1/$Y1409)))</f>
        <v/>
      </c>
      <c r="AF1409">
        <f>IF($Y1409="","",IF($Y1409=0,$Z1409*EXP($AA1409*-3),$Z1409*(1+$Y1409*$AA1409*-3)^(1/$Y1409)))</f>
        <v/>
      </c>
      <c r="AG1409">
        <f>IF($W1409="","",IFERROR(INDEX(IF($T1409&lt;=60,est05_l,est519_l),MATCH($W1409,IF($T1409&lt;=60,est05_k,est519_k),1)),""))</f>
        <v/>
      </c>
      <c r="AH1409">
        <f>IF($W1409="","",IFERROR(INDEX(IF($T1409&lt;=60,est05_m,est519_m),MATCH($W1409,IF($T1409&lt;=60,est05_k,est519_k),1)),""))</f>
        <v/>
      </c>
      <c r="AI1409">
        <f>IF($W1409="","",IFERROR(INDEX(IF($T1409&lt;=60,est05_s,est519_s),MATCH($W1409,IF($T1409&lt;=60,est05_k,est519_k),1)),""))</f>
        <v/>
      </c>
      <c r="AJ1409">
        <f>IF($W1409="","",IFERROR(INDEX(IF($T1409&lt;=60,peso05_l,peso510_l),MATCH($W1409,IF($T1409&lt;=60,peso05_k,peso510_k),1)),""))</f>
        <v/>
      </c>
      <c r="AK1409">
        <f>IF($W1409="","",IFERROR(INDEX(IF($T1409&lt;=60,peso05_m,peso510_m),MATCH($W1409,IF($T1409&lt;=60,peso05_k,peso510_k),1)),""))</f>
        <v/>
      </c>
      <c r="AL1409">
        <f>IF($W1409="","",IFERROR(INDEX(IF($T1409&lt;=60,peso05_s,peso510_s),MATCH($W1409,IF($T1409&lt;=60,peso05_k,peso510_k),1)),""))</f>
        <v/>
      </c>
      <c r="AM1409">
        <f>IF($AJ1409="","",IF($AJ1409=0,LN($F1409/$AK1409)/$AL1409,((($F1409/$AK1409)^$AJ1409)-1)/($AJ1409*$AL1409)))</f>
        <v/>
      </c>
      <c r="AN1409">
        <f>IF($AJ1409="","",IF($AJ1409=0,$AK1409*EXP($AL1409*2),$AK1409*(1+$AJ1409*$AL1409*2)^(1/$AJ1409)))</f>
        <v/>
      </c>
      <c r="AO1409">
        <f>IF($AJ1409="","",IF($AJ1409=0,$AK1409*EXP($AL1409*3),$AK1409*(1+$AJ1409*$AL1409*3)^(1/$AJ1409)))</f>
        <v/>
      </c>
      <c r="AP1409">
        <f>IF($AJ1409="","",IF($AJ1409=0,$AK1409*EXP($AL1409*-2),$AK1409*(1+$AJ1409*$AL1409*-2)^(1/$AJ1409)))</f>
        <v/>
      </c>
      <c r="AQ1409">
        <f>IF($AJ1409="","",IF($AJ1409=0,$AK1409*EXP($AL1409*-3),$AK1409*(1+$AJ1409*$AL1409*-3)^(1/$AJ1409)))</f>
        <v/>
      </c>
      <c r="AR1409">
        <f>IF(OR($X1409="",$T1409&gt;60),"",IFERROR(INDEX(IF($T1409&lt;24,pcomp_l,palt_l),MATCH($X1409,IF($T1409&lt;24,pcomp_k,palt_k),1)),""))</f>
        <v/>
      </c>
      <c r="AS1409">
        <f>IF(OR($X1409="",$T1409&gt;60),"",IFERROR(INDEX(IF($T1409&lt;24,pcomp_m,palt_m),MATCH($X1409,IF($T1409&lt;24,pcomp_k,palt_k),1)),""))</f>
        <v/>
      </c>
      <c r="AT1409">
        <f>IF(OR($X1409="",$T1409&gt;60),"",IFERROR(INDEX(IF($T1409&lt;24,pcomp_s,palt_s),MATCH($X1409,IF($T1409&lt;24,pcomp_k,palt_k),1)),""))</f>
        <v/>
      </c>
      <c r="AU1409">
        <f>IF($AR1409="","",IF($AR1409=0,LN($F1409/$AS1409)/$AT1409,((($F1409/$AS1409)^$AR1409)-1)/($AR1409*$AT1409)))</f>
        <v/>
      </c>
      <c r="AV1409">
        <f>IF($AR1409="","",IF($AR1409=0,$AS1409*EXP($AT1409*2),$AS1409*(1+$AR1409*$AT1409*2)^(1/$AR1409)))</f>
        <v/>
      </c>
      <c r="AW1409">
        <f>IF($AR1409="","",IF($AR1409=0,$AS1409*EXP($AT1409*3),$AS1409*(1+$AR1409*$AT1409*3)^(1/$AR1409)))</f>
        <v/>
      </c>
      <c r="AX1409">
        <f>IF($AR1409="","",IF($AR1409=0,$AS1409*EXP($AT1409*-2),$AS1409*(1+$AR1409*$AT1409*-2)^(1/$AR1409)))</f>
        <v/>
      </c>
      <c r="AY1409">
        <f>IF($AR1409="","",IF($AR1409=0,$AS1409*EXP($AT1409*-3),$AS1409*(1+$AR1409*$AT1409*-3)^(1/$AR1409)))</f>
        <v/>
      </c>
      <c r="AZ1409">
        <f>IF(OR($A1409="",$A1409&lt;&gt;Ficha!$C$4),"",COUNTIF($A$2:$A1409,Ficha!$C$4))</f>
        <v/>
      </c>
    </row>
    <row r="1410">
      <c r="A1410" s="8">
        <f>IF(INDEX(Banco!$A:$A,ROW())="","",INDEX(Banco!$A:$A,ROW()))</f>
        <v/>
      </c>
      <c r="B1410" s="8">
        <f>IF(INDEX(Banco!$B:$B,ROW())="","",INDEX(Banco!$B:$B,ROW()))</f>
        <v/>
      </c>
      <c r="C1410" s="8">
        <f>IF(INDEX(Banco!$C:$C,ROW())="","",INDEX(Banco!$C:$C,ROW()))</f>
        <v/>
      </c>
      <c r="D1410" s="9">
        <f>IF(INDEX(Banco!$D:$D,ROW())="","",INDEX(Banco!$D:$D,ROW()))</f>
        <v/>
      </c>
      <c r="E1410" s="9">
        <f>IF(INDEX(Banco!$E:$E,ROW())="","",INDEX(Banco!$E:$E,ROW()))</f>
        <v/>
      </c>
      <c r="F1410" s="10">
        <f>IF(INDEX(Banco!$F:$F,ROW())="","",INDEX(Banco!$F:$F,ROW()))</f>
        <v/>
      </c>
      <c r="G1410" s="10">
        <f>IF(INDEX(Banco!$G:$G,ROW())="","",INDEX(Banco!$G:$G,ROW()))</f>
        <v/>
      </c>
      <c r="H1410" s="8">
        <f>IF(INDEX(Banco!$H:$H,ROW())="","",INDEX(Banco!$H:$H,ROW()))</f>
        <v/>
      </c>
      <c r="I1410">
        <f>IF($T1410="","",INT($T1410/12)&amp;"a "&amp;MOD($T1410,12)&amp;"m")</f>
        <v/>
      </c>
      <c r="J1410" s="11">
        <f>IF(OR($F1410="",$G1410=""),"",ROUND($F1410/($G1410/100)^2,2))</f>
        <v/>
      </c>
      <c r="K1410" s="12">
        <f>IF(OR($S1410="",$J1410="",$T1410="",$T1410&lt;0,$T1410&gt;228,$Y1410=""),"—",ROUND(IF(ABS($AB1410)&lt;=3,$AB1410,IF($AB1410&gt;3,3+($J1410-$AD1410)/($AD1410-$AC1410),-3+($J1410-$AF1410)/($AE1410-$AF1410))),2))</f>
        <v/>
      </c>
      <c r="L1410">
        <f>IF(OR($K1410="",$K1410="—"),"",IF($T1410&lt;=60,IF($K1410&lt;-3,"Magreza acentuada",IF($K1410&lt;-2,"Magreza",IF($K1410&lt;=1,"Eutrofia",IF($K1410&lt;=2,"Risco de sobrepeso",IF($K1410&lt;=3,"Sobrepeso","Obesidade"))))),IF($K1410&lt;-3,"Magreza acentuada",IF($K1410&lt;-2,"Magreza",IF($K1410&lt;=1,"Eutrofia",IF($K1410&lt;=2,"Sobrepeso",IF($K1410&lt;=3,"Obesidade","Obesidade grave")))))))</f>
        <v/>
      </c>
      <c r="M1410" s="12">
        <f>IF(OR($S1410="",$V1410="",$T1410="",$T1410&lt;0,$T1410&gt;228,$AG1410=""),"—",ROUND(IF($AG1410=0,LN($V1410/$AH1410)/$AI1410,((($V1410/$AH1410)^$AG1410)-1)/($AG1410*$AI1410)),2))</f>
        <v/>
      </c>
      <c r="N1410">
        <f>IF(OR($M1410="",$M1410="—"),"",IF($M1410&lt;-3,"Muito baixa",IF($M1410&lt;-2,"Baixa","Adequada")))</f>
        <v/>
      </c>
      <c r="O1410" s="12">
        <f>IF(OR($S1410="",$F1410="",$T1410="",$T1410&lt;0,$T1410&gt;120,$AJ1410=""),"—",ROUND(IF(ABS($AM1410)&lt;=3,$AM1410,IF($AM1410&gt;3,3+($F1410-$AO1410)/($AO1410-$AN1410),-3+($F1410-$AQ1410)/($AP1410-$AQ1410))),2))</f>
        <v/>
      </c>
      <c r="P1410">
        <f>IF(OR($O1410="",$O1410="—"),"",IF($O1410&lt;-3,"Muito baixo",IF($O1410&lt;-2,"Baixo",IF($O1410&lt;=2,"Adequado","Elevado"))))</f>
        <v/>
      </c>
      <c r="Q1410" s="12">
        <f>IF(OR($S1410="",$F1410="",$T1410="",$T1410&lt;0,$T1410&gt;60,$AR1410=""),"—",ROUND(IF(ABS($AU1410)&lt;=3,$AU1410,IF($AU1410&gt;3,3+($F1410-$AW1410)/($AW1410-$AV1410),-3+($F1410-$AY1410)/($AX1410-$AY1410))),2))</f>
        <v/>
      </c>
      <c r="R1410">
        <f>IF(OR($Q1410="",$Q1410="—"),"",IF($Q1410&lt;-3,"Magreza acentuada",IF($Q1410&lt;-2,"Magreza",IF($Q1410&lt;=1,"Eutrofia",IF($Q1410&lt;=2,"Risco de sobrepeso",IF($Q1410&lt;=3,"Sobrepeso","Obesidade"))))))</f>
        <v/>
      </c>
      <c r="S1410">
        <f>IF($C1410="","",IF(UPPER(LEFT($C1410,1))="M",1,IF(UPPER(LEFT($C1410,1))="F",2,"")))</f>
        <v/>
      </c>
      <c r="T1410">
        <f>IF(OR($D1410="",$E1410=""),"",DATEDIF($D1410,$E1410,"m"))</f>
        <v/>
      </c>
      <c r="U1410">
        <f>IF(OR($D1410="",$E1410=""),"",$E1410-$D1410)</f>
        <v/>
      </c>
      <c r="V1410">
        <f>IF(OR($G1410="",$T1410=""),"",IF($T1410&lt;24,IF(LEFT(LOWER($H1410),4)="em p",$G1410+0.7,$G1410),IF(LEFT(LOWER($H1410),4)="deit",$G1410-0.7,$G1410)))</f>
        <v/>
      </c>
      <c r="W1410">
        <f>IF(OR($S1410="",$T1410=""),"",$S1410*1000000+IF($T1410&lt;=60,$U1410,$T1410))</f>
        <v/>
      </c>
      <c r="X1410">
        <f>IF(OR($S1410="",$V1410="",$T1410&gt;60,$T1410=""),"",$S1410*1000000+ROUND($V1410*10,0))</f>
        <v/>
      </c>
      <c r="Y1410">
        <f>IF($W1410="","",IFERROR(INDEX(IF($T1410&lt;=60,imc05_l,imc519_l),MATCH($W1410,IF($T1410&lt;=60,imc05_k,imc519_k),1)),""))</f>
        <v/>
      </c>
      <c r="Z1410">
        <f>IF($W1410="","",IFERROR(INDEX(IF($T1410&lt;=60,imc05_m,imc519_m),MATCH($W1410,IF($T1410&lt;=60,imc05_k,imc519_k),1)),""))</f>
        <v/>
      </c>
      <c r="AA1410">
        <f>IF($W1410="","",IFERROR(INDEX(IF($T1410&lt;=60,imc05_s,imc519_s),MATCH($W1410,IF($T1410&lt;=60,imc05_k,imc519_k),1)),""))</f>
        <v/>
      </c>
      <c r="AB1410">
        <f>IF($Y1410="","",IF($Y1410=0,LN($J1410/$Z1410)/$AA1410,((($J1410/$Z1410)^$Y1410)-1)/($Y1410*$AA1410)))</f>
        <v/>
      </c>
      <c r="AC1410">
        <f>IF($Y1410="","",IF($Y1410=0,$Z1410*EXP($AA1410*2),$Z1410*(1+$Y1410*$AA1410*2)^(1/$Y1410)))</f>
        <v/>
      </c>
      <c r="AD1410">
        <f>IF($Y1410="","",IF($Y1410=0,$Z1410*EXP($AA1410*3),$Z1410*(1+$Y1410*$AA1410*3)^(1/$Y1410)))</f>
        <v/>
      </c>
      <c r="AE1410">
        <f>IF($Y1410="","",IF($Y1410=0,$Z1410*EXP($AA1410*-2),$Z1410*(1+$Y1410*$AA1410*-2)^(1/$Y1410)))</f>
        <v/>
      </c>
      <c r="AF1410">
        <f>IF($Y1410="","",IF($Y1410=0,$Z1410*EXP($AA1410*-3),$Z1410*(1+$Y1410*$AA1410*-3)^(1/$Y1410)))</f>
        <v/>
      </c>
      <c r="AG1410">
        <f>IF($W1410="","",IFERROR(INDEX(IF($T1410&lt;=60,est05_l,est519_l),MATCH($W1410,IF($T1410&lt;=60,est05_k,est519_k),1)),""))</f>
        <v/>
      </c>
      <c r="AH1410">
        <f>IF($W1410="","",IFERROR(INDEX(IF($T1410&lt;=60,est05_m,est519_m),MATCH($W1410,IF($T1410&lt;=60,est05_k,est519_k),1)),""))</f>
        <v/>
      </c>
      <c r="AI1410">
        <f>IF($W1410="","",IFERROR(INDEX(IF($T1410&lt;=60,est05_s,est519_s),MATCH($W1410,IF($T1410&lt;=60,est05_k,est519_k),1)),""))</f>
        <v/>
      </c>
      <c r="AJ1410">
        <f>IF($W1410="","",IFERROR(INDEX(IF($T1410&lt;=60,peso05_l,peso510_l),MATCH($W1410,IF($T1410&lt;=60,peso05_k,peso510_k),1)),""))</f>
        <v/>
      </c>
      <c r="AK1410">
        <f>IF($W1410="","",IFERROR(INDEX(IF($T1410&lt;=60,peso05_m,peso510_m),MATCH($W1410,IF($T1410&lt;=60,peso05_k,peso510_k),1)),""))</f>
        <v/>
      </c>
      <c r="AL1410">
        <f>IF($W1410="","",IFERROR(INDEX(IF($T1410&lt;=60,peso05_s,peso510_s),MATCH($W1410,IF($T1410&lt;=60,peso05_k,peso510_k),1)),""))</f>
        <v/>
      </c>
      <c r="AM1410">
        <f>IF($AJ1410="","",IF($AJ1410=0,LN($F1410/$AK1410)/$AL1410,((($F1410/$AK1410)^$AJ1410)-1)/($AJ1410*$AL1410)))</f>
        <v/>
      </c>
      <c r="AN1410">
        <f>IF($AJ1410="","",IF($AJ1410=0,$AK1410*EXP($AL1410*2),$AK1410*(1+$AJ1410*$AL1410*2)^(1/$AJ1410)))</f>
        <v/>
      </c>
      <c r="AO1410">
        <f>IF($AJ1410="","",IF($AJ1410=0,$AK1410*EXP($AL1410*3),$AK1410*(1+$AJ1410*$AL1410*3)^(1/$AJ1410)))</f>
        <v/>
      </c>
      <c r="AP1410">
        <f>IF($AJ1410="","",IF($AJ1410=0,$AK1410*EXP($AL1410*-2),$AK1410*(1+$AJ1410*$AL1410*-2)^(1/$AJ1410)))</f>
        <v/>
      </c>
      <c r="AQ1410">
        <f>IF($AJ1410="","",IF($AJ1410=0,$AK1410*EXP($AL1410*-3),$AK1410*(1+$AJ1410*$AL1410*-3)^(1/$AJ1410)))</f>
        <v/>
      </c>
      <c r="AR1410">
        <f>IF(OR($X1410="",$T1410&gt;60),"",IFERROR(INDEX(IF($T1410&lt;24,pcomp_l,palt_l),MATCH($X1410,IF($T1410&lt;24,pcomp_k,palt_k),1)),""))</f>
        <v/>
      </c>
      <c r="AS1410">
        <f>IF(OR($X1410="",$T1410&gt;60),"",IFERROR(INDEX(IF($T1410&lt;24,pcomp_m,palt_m),MATCH($X1410,IF($T1410&lt;24,pcomp_k,palt_k),1)),""))</f>
        <v/>
      </c>
      <c r="AT1410">
        <f>IF(OR($X1410="",$T1410&gt;60),"",IFERROR(INDEX(IF($T1410&lt;24,pcomp_s,palt_s),MATCH($X1410,IF($T1410&lt;24,pcomp_k,palt_k),1)),""))</f>
        <v/>
      </c>
      <c r="AU1410">
        <f>IF($AR1410="","",IF($AR1410=0,LN($F1410/$AS1410)/$AT1410,((($F1410/$AS1410)^$AR1410)-1)/($AR1410*$AT1410)))</f>
        <v/>
      </c>
      <c r="AV1410">
        <f>IF($AR1410="","",IF($AR1410=0,$AS1410*EXP($AT1410*2),$AS1410*(1+$AR1410*$AT1410*2)^(1/$AR1410)))</f>
        <v/>
      </c>
      <c r="AW1410">
        <f>IF($AR1410="","",IF($AR1410=0,$AS1410*EXP($AT1410*3),$AS1410*(1+$AR1410*$AT1410*3)^(1/$AR1410)))</f>
        <v/>
      </c>
      <c r="AX1410">
        <f>IF($AR1410="","",IF($AR1410=0,$AS1410*EXP($AT1410*-2),$AS1410*(1+$AR1410*$AT1410*-2)^(1/$AR1410)))</f>
        <v/>
      </c>
      <c r="AY1410">
        <f>IF($AR1410="","",IF($AR1410=0,$AS1410*EXP($AT1410*-3),$AS1410*(1+$AR1410*$AT1410*-3)^(1/$AR1410)))</f>
        <v/>
      </c>
      <c r="AZ1410">
        <f>IF(OR($A1410="",$A1410&lt;&gt;Ficha!$C$4),"",COUNTIF($A$2:$A1410,Ficha!$C$4))</f>
        <v/>
      </c>
    </row>
    <row r="1411">
      <c r="A1411" s="8">
        <f>IF(INDEX(Banco!$A:$A,ROW())="","",INDEX(Banco!$A:$A,ROW()))</f>
        <v/>
      </c>
      <c r="B1411" s="8">
        <f>IF(INDEX(Banco!$B:$B,ROW())="","",INDEX(Banco!$B:$B,ROW()))</f>
        <v/>
      </c>
      <c r="C1411" s="8">
        <f>IF(INDEX(Banco!$C:$C,ROW())="","",INDEX(Banco!$C:$C,ROW()))</f>
        <v/>
      </c>
      <c r="D1411" s="9">
        <f>IF(INDEX(Banco!$D:$D,ROW())="","",INDEX(Banco!$D:$D,ROW()))</f>
        <v/>
      </c>
      <c r="E1411" s="9">
        <f>IF(INDEX(Banco!$E:$E,ROW())="","",INDEX(Banco!$E:$E,ROW()))</f>
        <v/>
      </c>
      <c r="F1411" s="10">
        <f>IF(INDEX(Banco!$F:$F,ROW())="","",INDEX(Banco!$F:$F,ROW()))</f>
        <v/>
      </c>
      <c r="G1411" s="10">
        <f>IF(INDEX(Banco!$G:$G,ROW())="","",INDEX(Banco!$G:$G,ROW()))</f>
        <v/>
      </c>
      <c r="H1411" s="8">
        <f>IF(INDEX(Banco!$H:$H,ROW())="","",INDEX(Banco!$H:$H,ROW()))</f>
        <v/>
      </c>
      <c r="I1411">
        <f>IF($T1411="","",INT($T1411/12)&amp;"a "&amp;MOD($T1411,12)&amp;"m")</f>
        <v/>
      </c>
      <c r="J1411" s="11">
        <f>IF(OR($F1411="",$G1411=""),"",ROUND($F1411/($G1411/100)^2,2))</f>
        <v/>
      </c>
      <c r="K1411" s="12">
        <f>IF(OR($S1411="",$J1411="",$T1411="",$T1411&lt;0,$T1411&gt;228,$Y1411=""),"—",ROUND(IF(ABS($AB1411)&lt;=3,$AB1411,IF($AB1411&gt;3,3+($J1411-$AD1411)/($AD1411-$AC1411),-3+($J1411-$AF1411)/($AE1411-$AF1411))),2))</f>
        <v/>
      </c>
      <c r="L1411">
        <f>IF(OR($K1411="",$K1411="—"),"",IF($T1411&lt;=60,IF($K1411&lt;-3,"Magreza acentuada",IF($K1411&lt;-2,"Magreza",IF($K1411&lt;=1,"Eutrofia",IF($K1411&lt;=2,"Risco de sobrepeso",IF($K1411&lt;=3,"Sobrepeso","Obesidade"))))),IF($K1411&lt;-3,"Magreza acentuada",IF($K1411&lt;-2,"Magreza",IF($K1411&lt;=1,"Eutrofia",IF($K1411&lt;=2,"Sobrepeso",IF($K1411&lt;=3,"Obesidade","Obesidade grave")))))))</f>
        <v/>
      </c>
      <c r="M1411" s="12">
        <f>IF(OR($S1411="",$V1411="",$T1411="",$T1411&lt;0,$T1411&gt;228,$AG1411=""),"—",ROUND(IF($AG1411=0,LN($V1411/$AH1411)/$AI1411,((($V1411/$AH1411)^$AG1411)-1)/($AG1411*$AI1411)),2))</f>
        <v/>
      </c>
      <c r="N1411">
        <f>IF(OR($M1411="",$M1411="—"),"",IF($M1411&lt;-3,"Muito baixa",IF($M1411&lt;-2,"Baixa","Adequada")))</f>
        <v/>
      </c>
      <c r="O1411" s="12">
        <f>IF(OR($S1411="",$F1411="",$T1411="",$T1411&lt;0,$T1411&gt;120,$AJ1411=""),"—",ROUND(IF(ABS($AM1411)&lt;=3,$AM1411,IF($AM1411&gt;3,3+($F1411-$AO1411)/($AO1411-$AN1411),-3+($F1411-$AQ1411)/($AP1411-$AQ1411))),2))</f>
        <v/>
      </c>
      <c r="P1411">
        <f>IF(OR($O1411="",$O1411="—"),"",IF($O1411&lt;-3,"Muito baixo",IF($O1411&lt;-2,"Baixo",IF($O1411&lt;=2,"Adequado","Elevado"))))</f>
        <v/>
      </c>
      <c r="Q1411" s="12">
        <f>IF(OR($S1411="",$F1411="",$T1411="",$T1411&lt;0,$T1411&gt;60,$AR1411=""),"—",ROUND(IF(ABS($AU1411)&lt;=3,$AU1411,IF($AU1411&gt;3,3+($F1411-$AW1411)/($AW1411-$AV1411),-3+($F1411-$AY1411)/($AX1411-$AY1411))),2))</f>
        <v/>
      </c>
      <c r="R1411">
        <f>IF(OR($Q1411="",$Q1411="—"),"",IF($Q1411&lt;-3,"Magreza acentuada",IF($Q1411&lt;-2,"Magreza",IF($Q1411&lt;=1,"Eutrofia",IF($Q1411&lt;=2,"Risco de sobrepeso",IF($Q1411&lt;=3,"Sobrepeso","Obesidade"))))))</f>
        <v/>
      </c>
      <c r="S1411">
        <f>IF($C1411="","",IF(UPPER(LEFT($C1411,1))="M",1,IF(UPPER(LEFT($C1411,1))="F",2,"")))</f>
        <v/>
      </c>
      <c r="T1411">
        <f>IF(OR($D1411="",$E1411=""),"",DATEDIF($D1411,$E1411,"m"))</f>
        <v/>
      </c>
      <c r="U1411">
        <f>IF(OR($D1411="",$E1411=""),"",$E1411-$D1411)</f>
        <v/>
      </c>
      <c r="V1411">
        <f>IF(OR($G1411="",$T1411=""),"",IF($T1411&lt;24,IF(LEFT(LOWER($H1411),4)="em p",$G1411+0.7,$G1411),IF(LEFT(LOWER($H1411),4)="deit",$G1411-0.7,$G1411)))</f>
        <v/>
      </c>
      <c r="W1411">
        <f>IF(OR($S1411="",$T1411=""),"",$S1411*1000000+IF($T1411&lt;=60,$U1411,$T1411))</f>
        <v/>
      </c>
      <c r="X1411">
        <f>IF(OR($S1411="",$V1411="",$T1411&gt;60,$T1411=""),"",$S1411*1000000+ROUND($V1411*10,0))</f>
        <v/>
      </c>
      <c r="Y1411">
        <f>IF($W1411="","",IFERROR(INDEX(IF($T1411&lt;=60,imc05_l,imc519_l),MATCH($W1411,IF($T1411&lt;=60,imc05_k,imc519_k),1)),""))</f>
        <v/>
      </c>
      <c r="Z1411">
        <f>IF($W1411="","",IFERROR(INDEX(IF($T1411&lt;=60,imc05_m,imc519_m),MATCH($W1411,IF($T1411&lt;=60,imc05_k,imc519_k),1)),""))</f>
        <v/>
      </c>
      <c r="AA1411">
        <f>IF($W1411="","",IFERROR(INDEX(IF($T1411&lt;=60,imc05_s,imc519_s),MATCH($W1411,IF($T1411&lt;=60,imc05_k,imc519_k),1)),""))</f>
        <v/>
      </c>
      <c r="AB1411">
        <f>IF($Y1411="","",IF($Y1411=0,LN($J1411/$Z1411)/$AA1411,((($J1411/$Z1411)^$Y1411)-1)/($Y1411*$AA1411)))</f>
        <v/>
      </c>
      <c r="AC1411">
        <f>IF($Y1411="","",IF($Y1411=0,$Z1411*EXP($AA1411*2),$Z1411*(1+$Y1411*$AA1411*2)^(1/$Y1411)))</f>
        <v/>
      </c>
      <c r="AD1411">
        <f>IF($Y1411="","",IF($Y1411=0,$Z1411*EXP($AA1411*3),$Z1411*(1+$Y1411*$AA1411*3)^(1/$Y1411)))</f>
        <v/>
      </c>
      <c r="AE1411">
        <f>IF($Y1411="","",IF($Y1411=0,$Z1411*EXP($AA1411*-2),$Z1411*(1+$Y1411*$AA1411*-2)^(1/$Y1411)))</f>
        <v/>
      </c>
      <c r="AF1411">
        <f>IF($Y1411="","",IF($Y1411=0,$Z1411*EXP($AA1411*-3),$Z1411*(1+$Y1411*$AA1411*-3)^(1/$Y1411)))</f>
        <v/>
      </c>
      <c r="AG1411">
        <f>IF($W1411="","",IFERROR(INDEX(IF($T1411&lt;=60,est05_l,est519_l),MATCH($W1411,IF($T1411&lt;=60,est05_k,est519_k),1)),""))</f>
        <v/>
      </c>
      <c r="AH1411">
        <f>IF($W1411="","",IFERROR(INDEX(IF($T1411&lt;=60,est05_m,est519_m),MATCH($W1411,IF($T1411&lt;=60,est05_k,est519_k),1)),""))</f>
        <v/>
      </c>
      <c r="AI1411">
        <f>IF($W1411="","",IFERROR(INDEX(IF($T1411&lt;=60,est05_s,est519_s),MATCH($W1411,IF($T1411&lt;=60,est05_k,est519_k),1)),""))</f>
        <v/>
      </c>
      <c r="AJ1411">
        <f>IF($W1411="","",IFERROR(INDEX(IF($T1411&lt;=60,peso05_l,peso510_l),MATCH($W1411,IF($T1411&lt;=60,peso05_k,peso510_k),1)),""))</f>
        <v/>
      </c>
      <c r="AK1411">
        <f>IF($W1411="","",IFERROR(INDEX(IF($T1411&lt;=60,peso05_m,peso510_m),MATCH($W1411,IF($T1411&lt;=60,peso05_k,peso510_k),1)),""))</f>
        <v/>
      </c>
      <c r="AL1411">
        <f>IF($W1411="","",IFERROR(INDEX(IF($T1411&lt;=60,peso05_s,peso510_s),MATCH($W1411,IF($T1411&lt;=60,peso05_k,peso510_k),1)),""))</f>
        <v/>
      </c>
      <c r="AM1411">
        <f>IF($AJ1411="","",IF($AJ1411=0,LN($F1411/$AK1411)/$AL1411,((($F1411/$AK1411)^$AJ1411)-1)/($AJ1411*$AL1411)))</f>
        <v/>
      </c>
      <c r="AN1411">
        <f>IF($AJ1411="","",IF($AJ1411=0,$AK1411*EXP($AL1411*2),$AK1411*(1+$AJ1411*$AL1411*2)^(1/$AJ1411)))</f>
        <v/>
      </c>
      <c r="AO1411">
        <f>IF($AJ1411="","",IF($AJ1411=0,$AK1411*EXP($AL1411*3),$AK1411*(1+$AJ1411*$AL1411*3)^(1/$AJ1411)))</f>
        <v/>
      </c>
      <c r="AP1411">
        <f>IF($AJ1411="","",IF($AJ1411=0,$AK1411*EXP($AL1411*-2),$AK1411*(1+$AJ1411*$AL1411*-2)^(1/$AJ1411)))</f>
        <v/>
      </c>
      <c r="AQ1411">
        <f>IF($AJ1411="","",IF($AJ1411=0,$AK1411*EXP($AL1411*-3),$AK1411*(1+$AJ1411*$AL1411*-3)^(1/$AJ1411)))</f>
        <v/>
      </c>
      <c r="AR1411">
        <f>IF(OR($X1411="",$T1411&gt;60),"",IFERROR(INDEX(IF($T1411&lt;24,pcomp_l,palt_l),MATCH($X1411,IF($T1411&lt;24,pcomp_k,palt_k),1)),""))</f>
        <v/>
      </c>
      <c r="AS1411">
        <f>IF(OR($X1411="",$T1411&gt;60),"",IFERROR(INDEX(IF($T1411&lt;24,pcomp_m,palt_m),MATCH($X1411,IF($T1411&lt;24,pcomp_k,palt_k),1)),""))</f>
        <v/>
      </c>
      <c r="AT1411">
        <f>IF(OR($X1411="",$T1411&gt;60),"",IFERROR(INDEX(IF($T1411&lt;24,pcomp_s,palt_s),MATCH($X1411,IF($T1411&lt;24,pcomp_k,palt_k),1)),""))</f>
        <v/>
      </c>
      <c r="AU1411">
        <f>IF($AR1411="","",IF($AR1411=0,LN($F1411/$AS1411)/$AT1411,((($F1411/$AS1411)^$AR1411)-1)/($AR1411*$AT1411)))</f>
        <v/>
      </c>
      <c r="AV1411">
        <f>IF($AR1411="","",IF($AR1411=0,$AS1411*EXP($AT1411*2),$AS1411*(1+$AR1411*$AT1411*2)^(1/$AR1411)))</f>
        <v/>
      </c>
      <c r="AW1411">
        <f>IF($AR1411="","",IF($AR1411=0,$AS1411*EXP($AT1411*3),$AS1411*(1+$AR1411*$AT1411*3)^(1/$AR1411)))</f>
        <v/>
      </c>
      <c r="AX1411">
        <f>IF($AR1411="","",IF($AR1411=0,$AS1411*EXP($AT1411*-2),$AS1411*(1+$AR1411*$AT1411*-2)^(1/$AR1411)))</f>
        <v/>
      </c>
      <c r="AY1411">
        <f>IF($AR1411="","",IF($AR1411=0,$AS1411*EXP($AT1411*-3),$AS1411*(1+$AR1411*$AT1411*-3)^(1/$AR1411)))</f>
        <v/>
      </c>
      <c r="AZ1411">
        <f>IF(OR($A1411="",$A1411&lt;&gt;Ficha!$C$4),"",COUNTIF($A$2:$A1411,Ficha!$C$4))</f>
        <v/>
      </c>
    </row>
    <row r="1412">
      <c r="A1412" s="8">
        <f>IF(INDEX(Banco!$A:$A,ROW())="","",INDEX(Banco!$A:$A,ROW()))</f>
        <v/>
      </c>
      <c r="B1412" s="8">
        <f>IF(INDEX(Banco!$B:$B,ROW())="","",INDEX(Banco!$B:$B,ROW()))</f>
        <v/>
      </c>
      <c r="C1412" s="8">
        <f>IF(INDEX(Banco!$C:$C,ROW())="","",INDEX(Banco!$C:$C,ROW()))</f>
        <v/>
      </c>
      <c r="D1412" s="9">
        <f>IF(INDEX(Banco!$D:$D,ROW())="","",INDEX(Banco!$D:$D,ROW()))</f>
        <v/>
      </c>
      <c r="E1412" s="9">
        <f>IF(INDEX(Banco!$E:$E,ROW())="","",INDEX(Banco!$E:$E,ROW()))</f>
        <v/>
      </c>
      <c r="F1412" s="10">
        <f>IF(INDEX(Banco!$F:$F,ROW())="","",INDEX(Banco!$F:$F,ROW()))</f>
        <v/>
      </c>
      <c r="G1412" s="10">
        <f>IF(INDEX(Banco!$G:$G,ROW())="","",INDEX(Banco!$G:$G,ROW()))</f>
        <v/>
      </c>
      <c r="H1412" s="8">
        <f>IF(INDEX(Banco!$H:$H,ROW())="","",INDEX(Banco!$H:$H,ROW()))</f>
        <v/>
      </c>
      <c r="I1412">
        <f>IF($T1412="","",INT($T1412/12)&amp;"a "&amp;MOD($T1412,12)&amp;"m")</f>
        <v/>
      </c>
      <c r="J1412" s="11">
        <f>IF(OR($F1412="",$G1412=""),"",ROUND($F1412/($G1412/100)^2,2))</f>
        <v/>
      </c>
      <c r="K1412" s="12">
        <f>IF(OR($S1412="",$J1412="",$T1412="",$T1412&lt;0,$T1412&gt;228,$Y1412=""),"—",ROUND(IF(ABS($AB1412)&lt;=3,$AB1412,IF($AB1412&gt;3,3+($J1412-$AD1412)/($AD1412-$AC1412),-3+($J1412-$AF1412)/($AE1412-$AF1412))),2))</f>
        <v/>
      </c>
      <c r="L1412">
        <f>IF(OR($K1412="",$K1412="—"),"",IF($T1412&lt;=60,IF($K1412&lt;-3,"Magreza acentuada",IF($K1412&lt;-2,"Magreza",IF($K1412&lt;=1,"Eutrofia",IF($K1412&lt;=2,"Risco de sobrepeso",IF($K1412&lt;=3,"Sobrepeso","Obesidade"))))),IF($K1412&lt;-3,"Magreza acentuada",IF($K1412&lt;-2,"Magreza",IF($K1412&lt;=1,"Eutrofia",IF($K1412&lt;=2,"Sobrepeso",IF($K1412&lt;=3,"Obesidade","Obesidade grave")))))))</f>
        <v/>
      </c>
      <c r="M1412" s="12">
        <f>IF(OR($S1412="",$V1412="",$T1412="",$T1412&lt;0,$T1412&gt;228,$AG1412=""),"—",ROUND(IF($AG1412=0,LN($V1412/$AH1412)/$AI1412,((($V1412/$AH1412)^$AG1412)-1)/($AG1412*$AI1412)),2))</f>
        <v/>
      </c>
      <c r="N1412">
        <f>IF(OR($M1412="",$M1412="—"),"",IF($M1412&lt;-3,"Muito baixa",IF($M1412&lt;-2,"Baixa","Adequada")))</f>
        <v/>
      </c>
      <c r="O1412" s="12">
        <f>IF(OR($S1412="",$F1412="",$T1412="",$T1412&lt;0,$T1412&gt;120,$AJ1412=""),"—",ROUND(IF(ABS($AM1412)&lt;=3,$AM1412,IF($AM1412&gt;3,3+($F1412-$AO1412)/($AO1412-$AN1412),-3+($F1412-$AQ1412)/($AP1412-$AQ1412))),2))</f>
        <v/>
      </c>
      <c r="P1412">
        <f>IF(OR($O1412="",$O1412="—"),"",IF($O1412&lt;-3,"Muito baixo",IF($O1412&lt;-2,"Baixo",IF($O1412&lt;=2,"Adequado","Elevado"))))</f>
        <v/>
      </c>
      <c r="Q1412" s="12">
        <f>IF(OR($S1412="",$F1412="",$T1412="",$T1412&lt;0,$T1412&gt;60,$AR1412=""),"—",ROUND(IF(ABS($AU1412)&lt;=3,$AU1412,IF($AU1412&gt;3,3+($F1412-$AW1412)/($AW1412-$AV1412),-3+($F1412-$AY1412)/($AX1412-$AY1412))),2))</f>
        <v/>
      </c>
      <c r="R1412">
        <f>IF(OR($Q1412="",$Q1412="—"),"",IF($Q1412&lt;-3,"Magreza acentuada",IF($Q1412&lt;-2,"Magreza",IF($Q1412&lt;=1,"Eutrofia",IF($Q1412&lt;=2,"Risco de sobrepeso",IF($Q1412&lt;=3,"Sobrepeso","Obesidade"))))))</f>
        <v/>
      </c>
      <c r="S1412">
        <f>IF($C1412="","",IF(UPPER(LEFT($C1412,1))="M",1,IF(UPPER(LEFT($C1412,1))="F",2,"")))</f>
        <v/>
      </c>
      <c r="T1412">
        <f>IF(OR($D1412="",$E1412=""),"",DATEDIF($D1412,$E1412,"m"))</f>
        <v/>
      </c>
      <c r="U1412">
        <f>IF(OR($D1412="",$E1412=""),"",$E1412-$D1412)</f>
        <v/>
      </c>
      <c r="V1412">
        <f>IF(OR($G1412="",$T1412=""),"",IF($T1412&lt;24,IF(LEFT(LOWER($H1412),4)="em p",$G1412+0.7,$G1412),IF(LEFT(LOWER($H1412),4)="deit",$G1412-0.7,$G1412)))</f>
        <v/>
      </c>
      <c r="W1412">
        <f>IF(OR($S1412="",$T1412=""),"",$S1412*1000000+IF($T1412&lt;=60,$U1412,$T1412))</f>
        <v/>
      </c>
      <c r="X1412">
        <f>IF(OR($S1412="",$V1412="",$T1412&gt;60,$T1412=""),"",$S1412*1000000+ROUND($V1412*10,0))</f>
        <v/>
      </c>
      <c r="Y1412">
        <f>IF($W1412="","",IFERROR(INDEX(IF($T1412&lt;=60,imc05_l,imc519_l),MATCH($W1412,IF($T1412&lt;=60,imc05_k,imc519_k),1)),""))</f>
        <v/>
      </c>
      <c r="Z1412">
        <f>IF($W1412="","",IFERROR(INDEX(IF($T1412&lt;=60,imc05_m,imc519_m),MATCH($W1412,IF($T1412&lt;=60,imc05_k,imc519_k),1)),""))</f>
        <v/>
      </c>
      <c r="AA1412">
        <f>IF($W1412="","",IFERROR(INDEX(IF($T1412&lt;=60,imc05_s,imc519_s),MATCH($W1412,IF($T1412&lt;=60,imc05_k,imc519_k),1)),""))</f>
        <v/>
      </c>
      <c r="AB1412">
        <f>IF($Y1412="","",IF($Y1412=0,LN($J1412/$Z1412)/$AA1412,((($J1412/$Z1412)^$Y1412)-1)/($Y1412*$AA1412)))</f>
        <v/>
      </c>
      <c r="AC1412">
        <f>IF($Y1412="","",IF($Y1412=0,$Z1412*EXP($AA1412*2),$Z1412*(1+$Y1412*$AA1412*2)^(1/$Y1412)))</f>
        <v/>
      </c>
      <c r="AD1412">
        <f>IF($Y1412="","",IF($Y1412=0,$Z1412*EXP($AA1412*3),$Z1412*(1+$Y1412*$AA1412*3)^(1/$Y1412)))</f>
        <v/>
      </c>
      <c r="AE1412">
        <f>IF($Y1412="","",IF($Y1412=0,$Z1412*EXP($AA1412*-2),$Z1412*(1+$Y1412*$AA1412*-2)^(1/$Y1412)))</f>
        <v/>
      </c>
      <c r="AF1412">
        <f>IF($Y1412="","",IF($Y1412=0,$Z1412*EXP($AA1412*-3),$Z1412*(1+$Y1412*$AA1412*-3)^(1/$Y1412)))</f>
        <v/>
      </c>
      <c r="AG1412">
        <f>IF($W1412="","",IFERROR(INDEX(IF($T1412&lt;=60,est05_l,est519_l),MATCH($W1412,IF($T1412&lt;=60,est05_k,est519_k),1)),""))</f>
        <v/>
      </c>
      <c r="AH1412">
        <f>IF($W1412="","",IFERROR(INDEX(IF($T1412&lt;=60,est05_m,est519_m),MATCH($W1412,IF($T1412&lt;=60,est05_k,est519_k),1)),""))</f>
        <v/>
      </c>
      <c r="AI1412">
        <f>IF($W1412="","",IFERROR(INDEX(IF($T1412&lt;=60,est05_s,est519_s),MATCH($W1412,IF($T1412&lt;=60,est05_k,est519_k),1)),""))</f>
        <v/>
      </c>
      <c r="AJ1412">
        <f>IF($W1412="","",IFERROR(INDEX(IF($T1412&lt;=60,peso05_l,peso510_l),MATCH($W1412,IF($T1412&lt;=60,peso05_k,peso510_k),1)),""))</f>
        <v/>
      </c>
      <c r="AK1412">
        <f>IF($W1412="","",IFERROR(INDEX(IF($T1412&lt;=60,peso05_m,peso510_m),MATCH($W1412,IF($T1412&lt;=60,peso05_k,peso510_k),1)),""))</f>
        <v/>
      </c>
      <c r="AL1412">
        <f>IF($W1412="","",IFERROR(INDEX(IF($T1412&lt;=60,peso05_s,peso510_s),MATCH($W1412,IF($T1412&lt;=60,peso05_k,peso510_k),1)),""))</f>
        <v/>
      </c>
      <c r="AM1412">
        <f>IF($AJ1412="","",IF($AJ1412=0,LN($F1412/$AK1412)/$AL1412,((($F1412/$AK1412)^$AJ1412)-1)/($AJ1412*$AL1412)))</f>
        <v/>
      </c>
      <c r="AN1412">
        <f>IF($AJ1412="","",IF($AJ1412=0,$AK1412*EXP($AL1412*2),$AK1412*(1+$AJ1412*$AL1412*2)^(1/$AJ1412)))</f>
        <v/>
      </c>
      <c r="AO1412">
        <f>IF($AJ1412="","",IF($AJ1412=0,$AK1412*EXP($AL1412*3),$AK1412*(1+$AJ1412*$AL1412*3)^(1/$AJ1412)))</f>
        <v/>
      </c>
      <c r="AP1412">
        <f>IF($AJ1412="","",IF($AJ1412=0,$AK1412*EXP($AL1412*-2),$AK1412*(1+$AJ1412*$AL1412*-2)^(1/$AJ1412)))</f>
        <v/>
      </c>
      <c r="AQ1412">
        <f>IF($AJ1412="","",IF($AJ1412=0,$AK1412*EXP($AL1412*-3),$AK1412*(1+$AJ1412*$AL1412*-3)^(1/$AJ1412)))</f>
        <v/>
      </c>
      <c r="AR1412">
        <f>IF(OR($X1412="",$T1412&gt;60),"",IFERROR(INDEX(IF($T1412&lt;24,pcomp_l,palt_l),MATCH($X1412,IF($T1412&lt;24,pcomp_k,palt_k),1)),""))</f>
        <v/>
      </c>
      <c r="AS1412">
        <f>IF(OR($X1412="",$T1412&gt;60),"",IFERROR(INDEX(IF($T1412&lt;24,pcomp_m,palt_m),MATCH($X1412,IF($T1412&lt;24,pcomp_k,palt_k),1)),""))</f>
        <v/>
      </c>
      <c r="AT1412">
        <f>IF(OR($X1412="",$T1412&gt;60),"",IFERROR(INDEX(IF($T1412&lt;24,pcomp_s,palt_s),MATCH($X1412,IF($T1412&lt;24,pcomp_k,palt_k),1)),""))</f>
        <v/>
      </c>
      <c r="AU1412">
        <f>IF($AR1412="","",IF($AR1412=0,LN($F1412/$AS1412)/$AT1412,((($F1412/$AS1412)^$AR1412)-1)/($AR1412*$AT1412)))</f>
        <v/>
      </c>
      <c r="AV1412">
        <f>IF($AR1412="","",IF($AR1412=0,$AS1412*EXP($AT1412*2),$AS1412*(1+$AR1412*$AT1412*2)^(1/$AR1412)))</f>
        <v/>
      </c>
      <c r="AW1412">
        <f>IF($AR1412="","",IF($AR1412=0,$AS1412*EXP($AT1412*3),$AS1412*(1+$AR1412*$AT1412*3)^(1/$AR1412)))</f>
        <v/>
      </c>
      <c r="AX1412">
        <f>IF($AR1412="","",IF($AR1412=0,$AS1412*EXP($AT1412*-2),$AS1412*(1+$AR1412*$AT1412*-2)^(1/$AR1412)))</f>
        <v/>
      </c>
      <c r="AY1412">
        <f>IF($AR1412="","",IF($AR1412=0,$AS1412*EXP($AT1412*-3),$AS1412*(1+$AR1412*$AT1412*-3)^(1/$AR1412)))</f>
        <v/>
      </c>
      <c r="AZ1412">
        <f>IF(OR($A1412="",$A1412&lt;&gt;Ficha!$C$4),"",COUNTIF($A$2:$A1412,Ficha!$C$4))</f>
        <v/>
      </c>
    </row>
    <row r="1413">
      <c r="A1413" s="8">
        <f>IF(INDEX(Banco!$A:$A,ROW())="","",INDEX(Banco!$A:$A,ROW()))</f>
        <v/>
      </c>
      <c r="B1413" s="8">
        <f>IF(INDEX(Banco!$B:$B,ROW())="","",INDEX(Banco!$B:$B,ROW()))</f>
        <v/>
      </c>
      <c r="C1413" s="8">
        <f>IF(INDEX(Banco!$C:$C,ROW())="","",INDEX(Banco!$C:$C,ROW()))</f>
        <v/>
      </c>
      <c r="D1413" s="9">
        <f>IF(INDEX(Banco!$D:$D,ROW())="","",INDEX(Banco!$D:$D,ROW()))</f>
        <v/>
      </c>
      <c r="E1413" s="9">
        <f>IF(INDEX(Banco!$E:$E,ROW())="","",INDEX(Banco!$E:$E,ROW()))</f>
        <v/>
      </c>
      <c r="F1413" s="10">
        <f>IF(INDEX(Banco!$F:$F,ROW())="","",INDEX(Banco!$F:$F,ROW()))</f>
        <v/>
      </c>
      <c r="G1413" s="10">
        <f>IF(INDEX(Banco!$G:$G,ROW())="","",INDEX(Banco!$G:$G,ROW()))</f>
        <v/>
      </c>
      <c r="H1413" s="8">
        <f>IF(INDEX(Banco!$H:$H,ROW())="","",INDEX(Banco!$H:$H,ROW()))</f>
        <v/>
      </c>
      <c r="I1413">
        <f>IF($T1413="","",INT($T1413/12)&amp;"a "&amp;MOD($T1413,12)&amp;"m")</f>
        <v/>
      </c>
      <c r="J1413" s="11">
        <f>IF(OR($F1413="",$G1413=""),"",ROUND($F1413/($G1413/100)^2,2))</f>
        <v/>
      </c>
      <c r="K1413" s="12">
        <f>IF(OR($S1413="",$J1413="",$T1413="",$T1413&lt;0,$T1413&gt;228,$Y1413=""),"—",ROUND(IF(ABS($AB1413)&lt;=3,$AB1413,IF($AB1413&gt;3,3+($J1413-$AD1413)/($AD1413-$AC1413),-3+($J1413-$AF1413)/($AE1413-$AF1413))),2))</f>
        <v/>
      </c>
      <c r="L1413">
        <f>IF(OR($K1413="",$K1413="—"),"",IF($T1413&lt;=60,IF($K1413&lt;-3,"Magreza acentuada",IF($K1413&lt;-2,"Magreza",IF($K1413&lt;=1,"Eutrofia",IF($K1413&lt;=2,"Risco de sobrepeso",IF($K1413&lt;=3,"Sobrepeso","Obesidade"))))),IF($K1413&lt;-3,"Magreza acentuada",IF($K1413&lt;-2,"Magreza",IF($K1413&lt;=1,"Eutrofia",IF($K1413&lt;=2,"Sobrepeso",IF($K1413&lt;=3,"Obesidade","Obesidade grave")))))))</f>
        <v/>
      </c>
      <c r="M1413" s="12">
        <f>IF(OR($S1413="",$V1413="",$T1413="",$T1413&lt;0,$T1413&gt;228,$AG1413=""),"—",ROUND(IF($AG1413=0,LN($V1413/$AH1413)/$AI1413,((($V1413/$AH1413)^$AG1413)-1)/($AG1413*$AI1413)),2))</f>
        <v/>
      </c>
      <c r="N1413">
        <f>IF(OR($M1413="",$M1413="—"),"",IF($M1413&lt;-3,"Muito baixa",IF($M1413&lt;-2,"Baixa","Adequada")))</f>
        <v/>
      </c>
      <c r="O1413" s="12">
        <f>IF(OR($S1413="",$F1413="",$T1413="",$T1413&lt;0,$T1413&gt;120,$AJ1413=""),"—",ROUND(IF(ABS($AM1413)&lt;=3,$AM1413,IF($AM1413&gt;3,3+($F1413-$AO1413)/($AO1413-$AN1413),-3+($F1413-$AQ1413)/($AP1413-$AQ1413))),2))</f>
        <v/>
      </c>
      <c r="P1413">
        <f>IF(OR($O1413="",$O1413="—"),"",IF($O1413&lt;-3,"Muito baixo",IF($O1413&lt;-2,"Baixo",IF($O1413&lt;=2,"Adequado","Elevado"))))</f>
        <v/>
      </c>
      <c r="Q1413" s="12">
        <f>IF(OR($S1413="",$F1413="",$T1413="",$T1413&lt;0,$T1413&gt;60,$AR1413=""),"—",ROUND(IF(ABS($AU1413)&lt;=3,$AU1413,IF($AU1413&gt;3,3+($F1413-$AW1413)/($AW1413-$AV1413),-3+($F1413-$AY1413)/($AX1413-$AY1413))),2))</f>
        <v/>
      </c>
      <c r="R1413">
        <f>IF(OR($Q1413="",$Q1413="—"),"",IF($Q1413&lt;-3,"Magreza acentuada",IF($Q1413&lt;-2,"Magreza",IF($Q1413&lt;=1,"Eutrofia",IF($Q1413&lt;=2,"Risco de sobrepeso",IF($Q1413&lt;=3,"Sobrepeso","Obesidade"))))))</f>
        <v/>
      </c>
      <c r="S1413">
        <f>IF($C1413="","",IF(UPPER(LEFT($C1413,1))="M",1,IF(UPPER(LEFT($C1413,1))="F",2,"")))</f>
        <v/>
      </c>
      <c r="T1413">
        <f>IF(OR($D1413="",$E1413=""),"",DATEDIF($D1413,$E1413,"m"))</f>
        <v/>
      </c>
      <c r="U1413">
        <f>IF(OR($D1413="",$E1413=""),"",$E1413-$D1413)</f>
        <v/>
      </c>
      <c r="V1413">
        <f>IF(OR($G1413="",$T1413=""),"",IF($T1413&lt;24,IF(LEFT(LOWER($H1413),4)="em p",$G1413+0.7,$G1413),IF(LEFT(LOWER($H1413),4)="deit",$G1413-0.7,$G1413)))</f>
        <v/>
      </c>
      <c r="W1413">
        <f>IF(OR($S1413="",$T1413=""),"",$S1413*1000000+IF($T1413&lt;=60,$U1413,$T1413))</f>
        <v/>
      </c>
      <c r="X1413">
        <f>IF(OR($S1413="",$V1413="",$T1413&gt;60,$T1413=""),"",$S1413*1000000+ROUND($V1413*10,0))</f>
        <v/>
      </c>
      <c r="Y1413">
        <f>IF($W1413="","",IFERROR(INDEX(IF($T1413&lt;=60,imc05_l,imc519_l),MATCH($W1413,IF($T1413&lt;=60,imc05_k,imc519_k),1)),""))</f>
        <v/>
      </c>
      <c r="Z1413">
        <f>IF($W1413="","",IFERROR(INDEX(IF($T1413&lt;=60,imc05_m,imc519_m),MATCH($W1413,IF($T1413&lt;=60,imc05_k,imc519_k),1)),""))</f>
        <v/>
      </c>
      <c r="AA1413">
        <f>IF($W1413="","",IFERROR(INDEX(IF($T1413&lt;=60,imc05_s,imc519_s),MATCH($W1413,IF($T1413&lt;=60,imc05_k,imc519_k),1)),""))</f>
        <v/>
      </c>
      <c r="AB1413">
        <f>IF($Y1413="","",IF($Y1413=0,LN($J1413/$Z1413)/$AA1413,((($J1413/$Z1413)^$Y1413)-1)/($Y1413*$AA1413)))</f>
        <v/>
      </c>
      <c r="AC1413">
        <f>IF($Y1413="","",IF($Y1413=0,$Z1413*EXP($AA1413*2),$Z1413*(1+$Y1413*$AA1413*2)^(1/$Y1413)))</f>
        <v/>
      </c>
      <c r="AD1413">
        <f>IF($Y1413="","",IF($Y1413=0,$Z1413*EXP($AA1413*3),$Z1413*(1+$Y1413*$AA1413*3)^(1/$Y1413)))</f>
        <v/>
      </c>
      <c r="AE1413">
        <f>IF($Y1413="","",IF($Y1413=0,$Z1413*EXP($AA1413*-2),$Z1413*(1+$Y1413*$AA1413*-2)^(1/$Y1413)))</f>
        <v/>
      </c>
      <c r="AF1413">
        <f>IF($Y1413="","",IF($Y1413=0,$Z1413*EXP($AA1413*-3),$Z1413*(1+$Y1413*$AA1413*-3)^(1/$Y1413)))</f>
        <v/>
      </c>
      <c r="AG1413">
        <f>IF($W1413="","",IFERROR(INDEX(IF($T1413&lt;=60,est05_l,est519_l),MATCH($W1413,IF($T1413&lt;=60,est05_k,est519_k),1)),""))</f>
        <v/>
      </c>
      <c r="AH1413">
        <f>IF($W1413="","",IFERROR(INDEX(IF($T1413&lt;=60,est05_m,est519_m),MATCH($W1413,IF($T1413&lt;=60,est05_k,est519_k),1)),""))</f>
        <v/>
      </c>
      <c r="AI1413">
        <f>IF($W1413="","",IFERROR(INDEX(IF($T1413&lt;=60,est05_s,est519_s),MATCH($W1413,IF($T1413&lt;=60,est05_k,est519_k),1)),""))</f>
        <v/>
      </c>
      <c r="AJ1413">
        <f>IF($W1413="","",IFERROR(INDEX(IF($T1413&lt;=60,peso05_l,peso510_l),MATCH($W1413,IF($T1413&lt;=60,peso05_k,peso510_k),1)),""))</f>
        <v/>
      </c>
      <c r="AK1413">
        <f>IF($W1413="","",IFERROR(INDEX(IF($T1413&lt;=60,peso05_m,peso510_m),MATCH($W1413,IF($T1413&lt;=60,peso05_k,peso510_k),1)),""))</f>
        <v/>
      </c>
      <c r="AL1413">
        <f>IF($W1413="","",IFERROR(INDEX(IF($T1413&lt;=60,peso05_s,peso510_s),MATCH($W1413,IF($T1413&lt;=60,peso05_k,peso510_k),1)),""))</f>
        <v/>
      </c>
      <c r="AM1413">
        <f>IF($AJ1413="","",IF($AJ1413=0,LN($F1413/$AK1413)/$AL1413,((($F1413/$AK1413)^$AJ1413)-1)/($AJ1413*$AL1413)))</f>
        <v/>
      </c>
      <c r="AN1413">
        <f>IF($AJ1413="","",IF($AJ1413=0,$AK1413*EXP($AL1413*2),$AK1413*(1+$AJ1413*$AL1413*2)^(1/$AJ1413)))</f>
        <v/>
      </c>
      <c r="AO1413">
        <f>IF($AJ1413="","",IF($AJ1413=0,$AK1413*EXP($AL1413*3),$AK1413*(1+$AJ1413*$AL1413*3)^(1/$AJ1413)))</f>
        <v/>
      </c>
      <c r="AP1413">
        <f>IF($AJ1413="","",IF($AJ1413=0,$AK1413*EXP($AL1413*-2),$AK1413*(1+$AJ1413*$AL1413*-2)^(1/$AJ1413)))</f>
        <v/>
      </c>
      <c r="AQ1413">
        <f>IF($AJ1413="","",IF($AJ1413=0,$AK1413*EXP($AL1413*-3),$AK1413*(1+$AJ1413*$AL1413*-3)^(1/$AJ1413)))</f>
        <v/>
      </c>
      <c r="AR1413">
        <f>IF(OR($X1413="",$T1413&gt;60),"",IFERROR(INDEX(IF($T1413&lt;24,pcomp_l,palt_l),MATCH($X1413,IF($T1413&lt;24,pcomp_k,palt_k),1)),""))</f>
        <v/>
      </c>
      <c r="AS1413">
        <f>IF(OR($X1413="",$T1413&gt;60),"",IFERROR(INDEX(IF($T1413&lt;24,pcomp_m,palt_m),MATCH($X1413,IF($T1413&lt;24,pcomp_k,palt_k),1)),""))</f>
        <v/>
      </c>
      <c r="AT1413">
        <f>IF(OR($X1413="",$T1413&gt;60),"",IFERROR(INDEX(IF($T1413&lt;24,pcomp_s,palt_s),MATCH($X1413,IF($T1413&lt;24,pcomp_k,palt_k),1)),""))</f>
        <v/>
      </c>
      <c r="AU1413">
        <f>IF($AR1413="","",IF($AR1413=0,LN($F1413/$AS1413)/$AT1413,((($F1413/$AS1413)^$AR1413)-1)/($AR1413*$AT1413)))</f>
        <v/>
      </c>
      <c r="AV1413">
        <f>IF($AR1413="","",IF($AR1413=0,$AS1413*EXP($AT1413*2),$AS1413*(1+$AR1413*$AT1413*2)^(1/$AR1413)))</f>
        <v/>
      </c>
      <c r="AW1413">
        <f>IF($AR1413="","",IF($AR1413=0,$AS1413*EXP($AT1413*3),$AS1413*(1+$AR1413*$AT1413*3)^(1/$AR1413)))</f>
        <v/>
      </c>
      <c r="AX1413">
        <f>IF($AR1413="","",IF($AR1413=0,$AS1413*EXP($AT1413*-2),$AS1413*(1+$AR1413*$AT1413*-2)^(1/$AR1413)))</f>
        <v/>
      </c>
      <c r="AY1413">
        <f>IF($AR1413="","",IF($AR1413=0,$AS1413*EXP($AT1413*-3),$AS1413*(1+$AR1413*$AT1413*-3)^(1/$AR1413)))</f>
        <v/>
      </c>
      <c r="AZ1413">
        <f>IF(OR($A1413="",$A1413&lt;&gt;Ficha!$C$4),"",COUNTIF($A$2:$A1413,Ficha!$C$4))</f>
        <v/>
      </c>
    </row>
    <row r="1414">
      <c r="A1414" s="8">
        <f>IF(INDEX(Banco!$A:$A,ROW())="","",INDEX(Banco!$A:$A,ROW()))</f>
        <v/>
      </c>
      <c r="B1414" s="8">
        <f>IF(INDEX(Banco!$B:$B,ROW())="","",INDEX(Banco!$B:$B,ROW()))</f>
        <v/>
      </c>
      <c r="C1414" s="8">
        <f>IF(INDEX(Banco!$C:$C,ROW())="","",INDEX(Banco!$C:$C,ROW()))</f>
        <v/>
      </c>
      <c r="D1414" s="9">
        <f>IF(INDEX(Banco!$D:$D,ROW())="","",INDEX(Banco!$D:$D,ROW()))</f>
        <v/>
      </c>
      <c r="E1414" s="9">
        <f>IF(INDEX(Banco!$E:$E,ROW())="","",INDEX(Banco!$E:$E,ROW()))</f>
        <v/>
      </c>
      <c r="F1414" s="10">
        <f>IF(INDEX(Banco!$F:$F,ROW())="","",INDEX(Banco!$F:$F,ROW()))</f>
        <v/>
      </c>
      <c r="G1414" s="10">
        <f>IF(INDEX(Banco!$G:$G,ROW())="","",INDEX(Banco!$G:$G,ROW()))</f>
        <v/>
      </c>
      <c r="H1414" s="8">
        <f>IF(INDEX(Banco!$H:$H,ROW())="","",INDEX(Banco!$H:$H,ROW()))</f>
        <v/>
      </c>
      <c r="I1414">
        <f>IF($T1414="","",INT($T1414/12)&amp;"a "&amp;MOD($T1414,12)&amp;"m")</f>
        <v/>
      </c>
      <c r="J1414" s="11">
        <f>IF(OR($F1414="",$G1414=""),"",ROUND($F1414/($G1414/100)^2,2))</f>
        <v/>
      </c>
      <c r="K1414" s="12">
        <f>IF(OR($S1414="",$J1414="",$T1414="",$T1414&lt;0,$T1414&gt;228,$Y1414=""),"—",ROUND(IF(ABS($AB1414)&lt;=3,$AB1414,IF($AB1414&gt;3,3+($J1414-$AD1414)/($AD1414-$AC1414),-3+($J1414-$AF1414)/($AE1414-$AF1414))),2))</f>
        <v/>
      </c>
      <c r="L1414">
        <f>IF(OR($K1414="",$K1414="—"),"",IF($T1414&lt;=60,IF($K1414&lt;-3,"Magreza acentuada",IF($K1414&lt;-2,"Magreza",IF($K1414&lt;=1,"Eutrofia",IF($K1414&lt;=2,"Risco de sobrepeso",IF($K1414&lt;=3,"Sobrepeso","Obesidade"))))),IF($K1414&lt;-3,"Magreza acentuada",IF($K1414&lt;-2,"Magreza",IF($K1414&lt;=1,"Eutrofia",IF($K1414&lt;=2,"Sobrepeso",IF($K1414&lt;=3,"Obesidade","Obesidade grave")))))))</f>
        <v/>
      </c>
      <c r="M1414" s="12">
        <f>IF(OR($S1414="",$V1414="",$T1414="",$T1414&lt;0,$T1414&gt;228,$AG1414=""),"—",ROUND(IF($AG1414=0,LN($V1414/$AH1414)/$AI1414,((($V1414/$AH1414)^$AG1414)-1)/($AG1414*$AI1414)),2))</f>
        <v/>
      </c>
      <c r="N1414">
        <f>IF(OR($M1414="",$M1414="—"),"",IF($M1414&lt;-3,"Muito baixa",IF($M1414&lt;-2,"Baixa","Adequada")))</f>
        <v/>
      </c>
      <c r="O1414" s="12">
        <f>IF(OR($S1414="",$F1414="",$T1414="",$T1414&lt;0,$T1414&gt;120,$AJ1414=""),"—",ROUND(IF(ABS($AM1414)&lt;=3,$AM1414,IF($AM1414&gt;3,3+($F1414-$AO1414)/($AO1414-$AN1414),-3+($F1414-$AQ1414)/($AP1414-$AQ1414))),2))</f>
        <v/>
      </c>
      <c r="P1414">
        <f>IF(OR($O1414="",$O1414="—"),"",IF($O1414&lt;-3,"Muito baixo",IF($O1414&lt;-2,"Baixo",IF($O1414&lt;=2,"Adequado","Elevado"))))</f>
        <v/>
      </c>
      <c r="Q1414" s="12">
        <f>IF(OR($S1414="",$F1414="",$T1414="",$T1414&lt;0,$T1414&gt;60,$AR1414=""),"—",ROUND(IF(ABS($AU1414)&lt;=3,$AU1414,IF($AU1414&gt;3,3+($F1414-$AW1414)/($AW1414-$AV1414),-3+($F1414-$AY1414)/($AX1414-$AY1414))),2))</f>
        <v/>
      </c>
      <c r="R1414">
        <f>IF(OR($Q1414="",$Q1414="—"),"",IF($Q1414&lt;-3,"Magreza acentuada",IF($Q1414&lt;-2,"Magreza",IF($Q1414&lt;=1,"Eutrofia",IF($Q1414&lt;=2,"Risco de sobrepeso",IF($Q1414&lt;=3,"Sobrepeso","Obesidade"))))))</f>
        <v/>
      </c>
      <c r="S1414">
        <f>IF($C1414="","",IF(UPPER(LEFT($C1414,1))="M",1,IF(UPPER(LEFT($C1414,1))="F",2,"")))</f>
        <v/>
      </c>
      <c r="T1414">
        <f>IF(OR($D1414="",$E1414=""),"",DATEDIF($D1414,$E1414,"m"))</f>
        <v/>
      </c>
      <c r="U1414">
        <f>IF(OR($D1414="",$E1414=""),"",$E1414-$D1414)</f>
        <v/>
      </c>
      <c r="V1414">
        <f>IF(OR($G1414="",$T1414=""),"",IF($T1414&lt;24,IF(LEFT(LOWER($H1414),4)="em p",$G1414+0.7,$G1414),IF(LEFT(LOWER($H1414),4)="deit",$G1414-0.7,$G1414)))</f>
        <v/>
      </c>
      <c r="W1414">
        <f>IF(OR($S1414="",$T1414=""),"",$S1414*1000000+IF($T1414&lt;=60,$U1414,$T1414))</f>
        <v/>
      </c>
      <c r="X1414">
        <f>IF(OR($S1414="",$V1414="",$T1414&gt;60,$T1414=""),"",$S1414*1000000+ROUND($V1414*10,0))</f>
        <v/>
      </c>
      <c r="Y1414">
        <f>IF($W1414="","",IFERROR(INDEX(IF($T1414&lt;=60,imc05_l,imc519_l),MATCH($W1414,IF($T1414&lt;=60,imc05_k,imc519_k),1)),""))</f>
        <v/>
      </c>
      <c r="Z1414">
        <f>IF($W1414="","",IFERROR(INDEX(IF($T1414&lt;=60,imc05_m,imc519_m),MATCH($W1414,IF($T1414&lt;=60,imc05_k,imc519_k),1)),""))</f>
        <v/>
      </c>
      <c r="AA1414">
        <f>IF($W1414="","",IFERROR(INDEX(IF($T1414&lt;=60,imc05_s,imc519_s),MATCH($W1414,IF($T1414&lt;=60,imc05_k,imc519_k),1)),""))</f>
        <v/>
      </c>
      <c r="AB1414">
        <f>IF($Y1414="","",IF($Y1414=0,LN($J1414/$Z1414)/$AA1414,((($J1414/$Z1414)^$Y1414)-1)/($Y1414*$AA1414)))</f>
        <v/>
      </c>
      <c r="AC1414">
        <f>IF($Y1414="","",IF($Y1414=0,$Z1414*EXP($AA1414*2),$Z1414*(1+$Y1414*$AA1414*2)^(1/$Y1414)))</f>
        <v/>
      </c>
      <c r="AD1414">
        <f>IF($Y1414="","",IF($Y1414=0,$Z1414*EXP($AA1414*3),$Z1414*(1+$Y1414*$AA1414*3)^(1/$Y1414)))</f>
        <v/>
      </c>
      <c r="AE1414">
        <f>IF($Y1414="","",IF($Y1414=0,$Z1414*EXP($AA1414*-2),$Z1414*(1+$Y1414*$AA1414*-2)^(1/$Y1414)))</f>
        <v/>
      </c>
      <c r="AF1414">
        <f>IF($Y1414="","",IF($Y1414=0,$Z1414*EXP($AA1414*-3),$Z1414*(1+$Y1414*$AA1414*-3)^(1/$Y1414)))</f>
        <v/>
      </c>
      <c r="AG1414">
        <f>IF($W1414="","",IFERROR(INDEX(IF($T1414&lt;=60,est05_l,est519_l),MATCH($W1414,IF($T1414&lt;=60,est05_k,est519_k),1)),""))</f>
        <v/>
      </c>
      <c r="AH1414">
        <f>IF($W1414="","",IFERROR(INDEX(IF($T1414&lt;=60,est05_m,est519_m),MATCH($W1414,IF($T1414&lt;=60,est05_k,est519_k),1)),""))</f>
        <v/>
      </c>
      <c r="AI1414">
        <f>IF($W1414="","",IFERROR(INDEX(IF($T1414&lt;=60,est05_s,est519_s),MATCH($W1414,IF($T1414&lt;=60,est05_k,est519_k),1)),""))</f>
        <v/>
      </c>
      <c r="AJ1414">
        <f>IF($W1414="","",IFERROR(INDEX(IF($T1414&lt;=60,peso05_l,peso510_l),MATCH($W1414,IF($T1414&lt;=60,peso05_k,peso510_k),1)),""))</f>
        <v/>
      </c>
      <c r="AK1414">
        <f>IF($W1414="","",IFERROR(INDEX(IF($T1414&lt;=60,peso05_m,peso510_m),MATCH($W1414,IF($T1414&lt;=60,peso05_k,peso510_k),1)),""))</f>
        <v/>
      </c>
      <c r="AL1414">
        <f>IF($W1414="","",IFERROR(INDEX(IF($T1414&lt;=60,peso05_s,peso510_s),MATCH($W1414,IF($T1414&lt;=60,peso05_k,peso510_k),1)),""))</f>
        <v/>
      </c>
      <c r="AM1414">
        <f>IF($AJ1414="","",IF($AJ1414=0,LN($F1414/$AK1414)/$AL1414,((($F1414/$AK1414)^$AJ1414)-1)/($AJ1414*$AL1414)))</f>
        <v/>
      </c>
      <c r="AN1414">
        <f>IF($AJ1414="","",IF($AJ1414=0,$AK1414*EXP($AL1414*2),$AK1414*(1+$AJ1414*$AL1414*2)^(1/$AJ1414)))</f>
        <v/>
      </c>
      <c r="AO1414">
        <f>IF($AJ1414="","",IF($AJ1414=0,$AK1414*EXP($AL1414*3),$AK1414*(1+$AJ1414*$AL1414*3)^(1/$AJ1414)))</f>
        <v/>
      </c>
      <c r="AP1414">
        <f>IF($AJ1414="","",IF($AJ1414=0,$AK1414*EXP($AL1414*-2),$AK1414*(1+$AJ1414*$AL1414*-2)^(1/$AJ1414)))</f>
        <v/>
      </c>
      <c r="AQ1414">
        <f>IF($AJ1414="","",IF($AJ1414=0,$AK1414*EXP($AL1414*-3),$AK1414*(1+$AJ1414*$AL1414*-3)^(1/$AJ1414)))</f>
        <v/>
      </c>
      <c r="AR1414">
        <f>IF(OR($X1414="",$T1414&gt;60),"",IFERROR(INDEX(IF($T1414&lt;24,pcomp_l,palt_l),MATCH($X1414,IF($T1414&lt;24,pcomp_k,palt_k),1)),""))</f>
        <v/>
      </c>
      <c r="AS1414">
        <f>IF(OR($X1414="",$T1414&gt;60),"",IFERROR(INDEX(IF($T1414&lt;24,pcomp_m,palt_m),MATCH($X1414,IF($T1414&lt;24,pcomp_k,palt_k),1)),""))</f>
        <v/>
      </c>
      <c r="AT1414">
        <f>IF(OR($X1414="",$T1414&gt;60),"",IFERROR(INDEX(IF($T1414&lt;24,pcomp_s,palt_s),MATCH($X1414,IF($T1414&lt;24,pcomp_k,palt_k),1)),""))</f>
        <v/>
      </c>
      <c r="AU1414">
        <f>IF($AR1414="","",IF($AR1414=0,LN($F1414/$AS1414)/$AT1414,((($F1414/$AS1414)^$AR1414)-1)/($AR1414*$AT1414)))</f>
        <v/>
      </c>
      <c r="AV1414">
        <f>IF($AR1414="","",IF($AR1414=0,$AS1414*EXP($AT1414*2),$AS1414*(1+$AR1414*$AT1414*2)^(1/$AR1414)))</f>
        <v/>
      </c>
      <c r="AW1414">
        <f>IF($AR1414="","",IF($AR1414=0,$AS1414*EXP($AT1414*3),$AS1414*(1+$AR1414*$AT1414*3)^(1/$AR1414)))</f>
        <v/>
      </c>
      <c r="AX1414">
        <f>IF($AR1414="","",IF($AR1414=0,$AS1414*EXP($AT1414*-2),$AS1414*(1+$AR1414*$AT1414*-2)^(1/$AR1414)))</f>
        <v/>
      </c>
      <c r="AY1414">
        <f>IF($AR1414="","",IF($AR1414=0,$AS1414*EXP($AT1414*-3),$AS1414*(1+$AR1414*$AT1414*-3)^(1/$AR1414)))</f>
        <v/>
      </c>
      <c r="AZ1414">
        <f>IF(OR($A1414="",$A1414&lt;&gt;Ficha!$C$4),"",COUNTIF($A$2:$A1414,Ficha!$C$4))</f>
        <v/>
      </c>
    </row>
    <row r="1415">
      <c r="A1415" s="8">
        <f>IF(INDEX(Banco!$A:$A,ROW())="","",INDEX(Banco!$A:$A,ROW()))</f>
        <v/>
      </c>
      <c r="B1415" s="8">
        <f>IF(INDEX(Banco!$B:$B,ROW())="","",INDEX(Banco!$B:$B,ROW()))</f>
        <v/>
      </c>
      <c r="C1415" s="8">
        <f>IF(INDEX(Banco!$C:$C,ROW())="","",INDEX(Banco!$C:$C,ROW()))</f>
        <v/>
      </c>
      <c r="D1415" s="9">
        <f>IF(INDEX(Banco!$D:$D,ROW())="","",INDEX(Banco!$D:$D,ROW()))</f>
        <v/>
      </c>
      <c r="E1415" s="9">
        <f>IF(INDEX(Banco!$E:$E,ROW())="","",INDEX(Banco!$E:$E,ROW()))</f>
        <v/>
      </c>
      <c r="F1415" s="10">
        <f>IF(INDEX(Banco!$F:$F,ROW())="","",INDEX(Banco!$F:$F,ROW()))</f>
        <v/>
      </c>
      <c r="G1415" s="10">
        <f>IF(INDEX(Banco!$G:$G,ROW())="","",INDEX(Banco!$G:$G,ROW()))</f>
        <v/>
      </c>
      <c r="H1415" s="8">
        <f>IF(INDEX(Banco!$H:$H,ROW())="","",INDEX(Banco!$H:$H,ROW()))</f>
        <v/>
      </c>
      <c r="I1415">
        <f>IF($T1415="","",INT($T1415/12)&amp;"a "&amp;MOD($T1415,12)&amp;"m")</f>
        <v/>
      </c>
      <c r="J1415" s="11">
        <f>IF(OR($F1415="",$G1415=""),"",ROUND($F1415/($G1415/100)^2,2))</f>
        <v/>
      </c>
      <c r="K1415" s="12">
        <f>IF(OR($S1415="",$J1415="",$T1415="",$T1415&lt;0,$T1415&gt;228,$Y1415=""),"—",ROUND(IF(ABS($AB1415)&lt;=3,$AB1415,IF($AB1415&gt;3,3+($J1415-$AD1415)/($AD1415-$AC1415),-3+($J1415-$AF1415)/($AE1415-$AF1415))),2))</f>
        <v/>
      </c>
      <c r="L1415">
        <f>IF(OR($K1415="",$K1415="—"),"",IF($T1415&lt;=60,IF($K1415&lt;-3,"Magreza acentuada",IF($K1415&lt;-2,"Magreza",IF($K1415&lt;=1,"Eutrofia",IF($K1415&lt;=2,"Risco de sobrepeso",IF($K1415&lt;=3,"Sobrepeso","Obesidade"))))),IF($K1415&lt;-3,"Magreza acentuada",IF($K1415&lt;-2,"Magreza",IF($K1415&lt;=1,"Eutrofia",IF($K1415&lt;=2,"Sobrepeso",IF($K1415&lt;=3,"Obesidade","Obesidade grave")))))))</f>
        <v/>
      </c>
      <c r="M1415" s="12">
        <f>IF(OR($S1415="",$V1415="",$T1415="",$T1415&lt;0,$T1415&gt;228,$AG1415=""),"—",ROUND(IF($AG1415=0,LN($V1415/$AH1415)/$AI1415,((($V1415/$AH1415)^$AG1415)-1)/($AG1415*$AI1415)),2))</f>
        <v/>
      </c>
      <c r="N1415">
        <f>IF(OR($M1415="",$M1415="—"),"",IF($M1415&lt;-3,"Muito baixa",IF($M1415&lt;-2,"Baixa","Adequada")))</f>
        <v/>
      </c>
      <c r="O1415" s="12">
        <f>IF(OR($S1415="",$F1415="",$T1415="",$T1415&lt;0,$T1415&gt;120,$AJ1415=""),"—",ROUND(IF(ABS($AM1415)&lt;=3,$AM1415,IF($AM1415&gt;3,3+($F1415-$AO1415)/($AO1415-$AN1415),-3+($F1415-$AQ1415)/($AP1415-$AQ1415))),2))</f>
        <v/>
      </c>
      <c r="P1415">
        <f>IF(OR($O1415="",$O1415="—"),"",IF($O1415&lt;-3,"Muito baixo",IF($O1415&lt;-2,"Baixo",IF($O1415&lt;=2,"Adequado","Elevado"))))</f>
        <v/>
      </c>
      <c r="Q1415" s="12">
        <f>IF(OR($S1415="",$F1415="",$T1415="",$T1415&lt;0,$T1415&gt;60,$AR1415=""),"—",ROUND(IF(ABS($AU1415)&lt;=3,$AU1415,IF($AU1415&gt;3,3+($F1415-$AW1415)/($AW1415-$AV1415),-3+($F1415-$AY1415)/($AX1415-$AY1415))),2))</f>
        <v/>
      </c>
      <c r="R1415">
        <f>IF(OR($Q1415="",$Q1415="—"),"",IF($Q1415&lt;-3,"Magreza acentuada",IF($Q1415&lt;-2,"Magreza",IF($Q1415&lt;=1,"Eutrofia",IF($Q1415&lt;=2,"Risco de sobrepeso",IF($Q1415&lt;=3,"Sobrepeso","Obesidade"))))))</f>
        <v/>
      </c>
      <c r="S1415">
        <f>IF($C1415="","",IF(UPPER(LEFT($C1415,1))="M",1,IF(UPPER(LEFT($C1415,1))="F",2,"")))</f>
        <v/>
      </c>
      <c r="T1415">
        <f>IF(OR($D1415="",$E1415=""),"",DATEDIF($D1415,$E1415,"m"))</f>
        <v/>
      </c>
      <c r="U1415">
        <f>IF(OR($D1415="",$E1415=""),"",$E1415-$D1415)</f>
        <v/>
      </c>
      <c r="V1415">
        <f>IF(OR($G1415="",$T1415=""),"",IF($T1415&lt;24,IF(LEFT(LOWER($H1415),4)="em p",$G1415+0.7,$G1415),IF(LEFT(LOWER($H1415),4)="deit",$G1415-0.7,$G1415)))</f>
        <v/>
      </c>
      <c r="W1415">
        <f>IF(OR($S1415="",$T1415=""),"",$S1415*1000000+IF($T1415&lt;=60,$U1415,$T1415))</f>
        <v/>
      </c>
      <c r="X1415">
        <f>IF(OR($S1415="",$V1415="",$T1415&gt;60,$T1415=""),"",$S1415*1000000+ROUND($V1415*10,0))</f>
        <v/>
      </c>
      <c r="Y1415">
        <f>IF($W1415="","",IFERROR(INDEX(IF($T1415&lt;=60,imc05_l,imc519_l),MATCH($W1415,IF($T1415&lt;=60,imc05_k,imc519_k),1)),""))</f>
        <v/>
      </c>
      <c r="Z1415">
        <f>IF($W1415="","",IFERROR(INDEX(IF($T1415&lt;=60,imc05_m,imc519_m),MATCH($W1415,IF($T1415&lt;=60,imc05_k,imc519_k),1)),""))</f>
        <v/>
      </c>
      <c r="AA1415">
        <f>IF($W1415="","",IFERROR(INDEX(IF($T1415&lt;=60,imc05_s,imc519_s),MATCH($W1415,IF($T1415&lt;=60,imc05_k,imc519_k),1)),""))</f>
        <v/>
      </c>
      <c r="AB1415">
        <f>IF($Y1415="","",IF($Y1415=0,LN($J1415/$Z1415)/$AA1415,((($J1415/$Z1415)^$Y1415)-1)/($Y1415*$AA1415)))</f>
        <v/>
      </c>
      <c r="AC1415">
        <f>IF($Y1415="","",IF($Y1415=0,$Z1415*EXP($AA1415*2),$Z1415*(1+$Y1415*$AA1415*2)^(1/$Y1415)))</f>
        <v/>
      </c>
      <c r="AD1415">
        <f>IF($Y1415="","",IF($Y1415=0,$Z1415*EXP($AA1415*3),$Z1415*(1+$Y1415*$AA1415*3)^(1/$Y1415)))</f>
        <v/>
      </c>
      <c r="AE1415">
        <f>IF($Y1415="","",IF($Y1415=0,$Z1415*EXP($AA1415*-2),$Z1415*(1+$Y1415*$AA1415*-2)^(1/$Y1415)))</f>
        <v/>
      </c>
      <c r="AF1415">
        <f>IF($Y1415="","",IF($Y1415=0,$Z1415*EXP($AA1415*-3),$Z1415*(1+$Y1415*$AA1415*-3)^(1/$Y1415)))</f>
        <v/>
      </c>
      <c r="AG1415">
        <f>IF($W1415="","",IFERROR(INDEX(IF($T1415&lt;=60,est05_l,est519_l),MATCH($W1415,IF($T1415&lt;=60,est05_k,est519_k),1)),""))</f>
        <v/>
      </c>
      <c r="AH1415">
        <f>IF($W1415="","",IFERROR(INDEX(IF($T1415&lt;=60,est05_m,est519_m),MATCH($W1415,IF($T1415&lt;=60,est05_k,est519_k),1)),""))</f>
        <v/>
      </c>
      <c r="AI1415">
        <f>IF($W1415="","",IFERROR(INDEX(IF($T1415&lt;=60,est05_s,est519_s),MATCH($W1415,IF($T1415&lt;=60,est05_k,est519_k),1)),""))</f>
        <v/>
      </c>
      <c r="AJ1415">
        <f>IF($W1415="","",IFERROR(INDEX(IF($T1415&lt;=60,peso05_l,peso510_l),MATCH($W1415,IF($T1415&lt;=60,peso05_k,peso510_k),1)),""))</f>
        <v/>
      </c>
      <c r="AK1415">
        <f>IF($W1415="","",IFERROR(INDEX(IF($T1415&lt;=60,peso05_m,peso510_m),MATCH($W1415,IF($T1415&lt;=60,peso05_k,peso510_k),1)),""))</f>
        <v/>
      </c>
      <c r="AL1415">
        <f>IF($W1415="","",IFERROR(INDEX(IF($T1415&lt;=60,peso05_s,peso510_s),MATCH($W1415,IF($T1415&lt;=60,peso05_k,peso510_k),1)),""))</f>
        <v/>
      </c>
      <c r="AM1415">
        <f>IF($AJ1415="","",IF($AJ1415=0,LN($F1415/$AK1415)/$AL1415,((($F1415/$AK1415)^$AJ1415)-1)/($AJ1415*$AL1415)))</f>
        <v/>
      </c>
      <c r="AN1415">
        <f>IF($AJ1415="","",IF($AJ1415=0,$AK1415*EXP($AL1415*2),$AK1415*(1+$AJ1415*$AL1415*2)^(1/$AJ1415)))</f>
        <v/>
      </c>
      <c r="AO1415">
        <f>IF($AJ1415="","",IF($AJ1415=0,$AK1415*EXP($AL1415*3),$AK1415*(1+$AJ1415*$AL1415*3)^(1/$AJ1415)))</f>
        <v/>
      </c>
      <c r="AP1415">
        <f>IF($AJ1415="","",IF($AJ1415=0,$AK1415*EXP($AL1415*-2),$AK1415*(1+$AJ1415*$AL1415*-2)^(1/$AJ1415)))</f>
        <v/>
      </c>
      <c r="AQ1415">
        <f>IF($AJ1415="","",IF($AJ1415=0,$AK1415*EXP($AL1415*-3),$AK1415*(1+$AJ1415*$AL1415*-3)^(1/$AJ1415)))</f>
        <v/>
      </c>
      <c r="AR1415">
        <f>IF(OR($X1415="",$T1415&gt;60),"",IFERROR(INDEX(IF($T1415&lt;24,pcomp_l,palt_l),MATCH($X1415,IF($T1415&lt;24,pcomp_k,palt_k),1)),""))</f>
        <v/>
      </c>
      <c r="AS1415">
        <f>IF(OR($X1415="",$T1415&gt;60),"",IFERROR(INDEX(IF($T1415&lt;24,pcomp_m,palt_m),MATCH($X1415,IF($T1415&lt;24,pcomp_k,palt_k),1)),""))</f>
        <v/>
      </c>
      <c r="AT1415">
        <f>IF(OR($X1415="",$T1415&gt;60),"",IFERROR(INDEX(IF($T1415&lt;24,pcomp_s,palt_s),MATCH($X1415,IF($T1415&lt;24,pcomp_k,palt_k),1)),""))</f>
        <v/>
      </c>
      <c r="AU1415">
        <f>IF($AR1415="","",IF($AR1415=0,LN($F1415/$AS1415)/$AT1415,((($F1415/$AS1415)^$AR1415)-1)/($AR1415*$AT1415)))</f>
        <v/>
      </c>
      <c r="AV1415">
        <f>IF($AR1415="","",IF($AR1415=0,$AS1415*EXP($AT1415*2),$AS1415*(1+$AR1415*$AT1415*2)^(1/$AR1415)))</f>
        <v/>
      </c>
      <c r="AW1415">
        <f>IF($AR1415="","",IF($AR1415=0,$AS1415*EXP($AT1415*3),$AS1415*(1+$AR1415*$AT1415*3)^(1/$AR1415)))</f>
        <v/>
      </c>
      <c r="AX1415">
        <f>IF($AR1415="","",IF($AR1415=0,$AS1415*EXP($AT1415*-2),$AS1415*(1+$AR1415*$AT1415*-2)^(1/$AR1415)))</f>
        <v/>
      </c>
      <c r="AY1415">
        <f>IF($AR1415="","",IF($AR1415=0,$AS1415*EXP($AT1415*-3),$AS1415*(1+$AR1415*$AT1415*-3)^(1/$AR1415)))</f>
        <v/>
      </c>
      <c r="AZ1415">
        <f>IF(OR($A1415="",$A1415&lt;&gt;Ficha!$C$4),"",COUNTIF($A$2:$A1415,Ficha!$C$4))</f>
        <v/>
      </c>
    </row>
    <row r="1416">
      <c r="A1416" s="8">
        <f>IF(INDEX(Banco!$A:$A,ROW())="","",INDEX(Banco!$A:$A,ROW()))</f>
        <v/>
      </c>
      <c r="B1416" s="8">
        <f>IF(INDEX(Banco!$B:$B,ROW())="","",INDEX(Banco!$B:$B,ROW()))</f>
        <v/>
      </c>
      <c r="C1416" s="8">
        <f>IF(INDEX(Banco!$C:$C,ROW())="","",INDEX(Banco!$C:$C,ROW()))</f>
        <v/>
      </c>
      <c r="D1416" s="9">
        <f>IF(INDEX(Banco!$D:$D,ROW())="","",INDEX(Banco!$D:$D,ROW()))</f>
        <v/>
      </c>
      <c r="E1416" s="9">
        <f>IF(INDEX(Banco!$E:$E,ROW())="","",INDEX(Banco!$E:$E,ROW()))</f>
        <v/>
      </c>
      <c r="F1416" s="10">
        <f>IF(INDEX(Banco!$F:$F,ROW())="","",INDEX(Banco!$F:$F,ROW()))</f>
        <v/>
      </c>
      <c r="G1416" s="10">
        <f>IF(INDEX(Banco!$G:$G,ROW())="","",INDEX(Banco!$G:$G,ROW()))</f>
        <v/>
      </c>
      <c r="H1416" s="8">
        <f>IF(INDEX(Banco!$H:$H,ROW())="","",INDEX(Banco!$H:$H,ROW()))</f>
        <v/>
      </c>
      <c r="I1416">
        <f>IF($T1416="","",INT($T1416/12)&amp;"a "&amp;MOD($T1416,12)&amp;"m")</f>
        <v/>
      </c>
      <c r="J1416" s="11">
        <f>IF(OR($F1416="",$G1416=""),"",ROUND($F1416/($G1416/100)^2,2))</f>
        <v/>
      </c>
      <c r="K1416" s="12">
        <f>IF(OR($S1416="",$J1416="",$T1416="",$T1416&lt;0,$T1416&gt;228,$Y1416=""),"—",ROUND(IF(ABS($AB1416)&lt;=3,$AB1416,IF($AB1416&gt;3,3+($J1416-$AD1416)/($AD1416-$AC1416),-3+($J1416-$AF1416)/($AE1416-$AF1416))),2))</f>
        <v/>
      </c>
      <c r="L1416">
        <f>IF(OR($K1416="",$K1416="—"),"",IF($T1416&lt;=60,IF($K1416&lt;-3,"Magreza acentuada",IF($K1416&lt;-2,"Magreza",IF($K1416&lt;=1,"Eutrofia",IF($K1416&lt;=2,"Risco de sobrepeso",IF($K1416&lt;=3,"Sobrepeso","Obesidade"))))),IF($K1416&lt;-3,"Magreza acentuada",IF($K1416&lt;-2,"Magreza",IF($K1416&lt;=1,"Eutrofia",IF($K1416&lt;=2,"Sobrepeso",IF($K1416&lt;=3,"Obesidade","Obesidade grave")))))))</f>
        <v/>
      </c>
      <c r="M1416" s="12">
        <f>IF(OR($S1416="",$V1416="",$T1416="",$T1416&lt;0,$T1416&gt;228,$AG1416=""),"—",ROUND(IF($AG1416=0,LN($V1416/$AH1416)/$AI1416,((($V1416/$AH1416)^$AG1416)-1)/($AG1416*$AI1416)),2))</f>
        <v/>
      </c>
      <c r="N1416">
        <f>IF(OR($M1416="",$M1416="—"),"",IF($M1416&lt;-3,"Muito baixa",IF($M1416&lt;-2,"Baixa","Adequada")))</f>
        <v/>
      </c>
      <c r="O1416" s="12">
        <f>IF(OR($S1416="",$F1416="",$T1416="",$T1416&lt;0,$T1416&gt;120,$AJ1416=""),"—",ROUND(IF(ABS($AM1416)&lt;=3,$AM1416,IF($AM1416&gt;3,3+($F1416-$AO1416)/($AO1416-$AN1416),-3+($F1416-$AQ1416)/($AP1416-$AQ1416))),2))</f>
        <v/>
      </c>
      <c r="P1416">
        <f>IF(OR($O1416="",$O1416="—"),"",IF($O1416&lt;-3,"Muito baixo",IF($O1416&lt;-2,"Baixo",IF($O1416&lt;=2,"Adequado","Elevado"))))</f>
        <v/>
      </c>
      <c r="Q1416" s="12">
        <f>IF(OR($S1416="",$F1416="",$T1416="",$T1416&lt;0,$T1416&gt;60,$AR1416=""),"—",ROUND(IF(ABS($AU1416)&lt;=3,$AU1416,IF($AU1416&gt;3,3+($F1416-$AW1416)/($AW1416-$AV1416),-3+($F1416-$AY1416)/($AX1416-$AY1416))),2))</f>
        <v/>
      </c>
      <c r="R1416">
        <f>IF(OR($Q1416="",$Q1416="—"),"",IF($Q1416&lt;-3,"Magreza acentuada",IF($Q1416&lt;-2,"Magreza",IF($Q1416&lt;=1,"Eutrofia",IF($Q1416&lt;=2,"Risco de sobrepeso",IF($Q1416&lt;=3,"Sobrepeso","Obesidade"))))))</f>
        <v/>
      </c>
      <c r="S1416">
        <f>IF($C1416="","",IF(UPPER(LEFT($C1416,1))="M",1,IF(UPPER(LEFT($C1416,1))="F",2,"")))</f>
        <v/>
      </c>
      <c r="T1416">
        <f>IF(OR($D1416="",$E1416=""),"",DATEDIF($D1416,$E1416,"m"))</f>
        <v/>
      </c>
      <c r="U1416">
        <f>IF(OR($D1416="",$E1416=""),"",$E1416-$D1416)</f>
        <v/>
      </c>
      <c r="V1416">
        <f>IF(OR($G1416="",$T1416=""),"",IF($T1416&lt;24,IF(LEFT(LOWER($H1416),4)="em p",$G1416+0.7,$G1416),IF(LEFT(LOWER($H1416),4)="deit",$G1416-0.7,$G1416)))</f>
        <v/>
      </c>
      <c r="W1416">
        <f>IF(OR($S1416="",$T1416=""),"",$S1416*1000000+IF($T1416&lt;=60,$U1416,$T1416))</f>
        <v/>
      </c>
      <c r="X1416">
        <f>IF(OR($S1416="",$V1416="",$T1416&gt;60,$T1416=""),"",$S1416*1000000+ROUND($V1416*10,0))</f>
        <v/>
      </c>
      <c r="Y1416">
        <f>IF($W1416="","",IFERROR(INDEX(IF($T1416&lt;=60,imc05_l,imc519_l),MATCH($W1416,IF($T1416&lt;=60,imc05_k,imc519_k),1)),""))</f>
        <v/>
      </c>
      <c r="Z1416">
        <f>IF($W1416="","",IFERROR(INDEX(IF($T1416&lt;=60,imc05_m,imc519_m),MATCH($W1416,IF($T1416&lt;=60,imc05_k,imc519_k),1)),""))</f>
        <v/>
      </c>
      <c r="AA1416">
        <f>IF($W1416="","",IFERROR(INDEX(IF($T1416&lt;=60,imc05_s,imc519_s),MATCH($W1416,IF($T1416&lt;=60,imc05_k,imc519_k),1)),""))</f>
        <v/>
      </c>
      <c r="AB1416">
        <f>IF($Y1416="","",IF($Y1416=0,LN($J1416/$Z1416)/$AA1416,((($J1416/$Z1416)^$Y1416)-1)/($Y1416*$AA1416)))</f>
        <v/>
      </c>
      <c r="AC1416">
        <f>IF($Y1416="","",IF($Y1416=0,$Z1416*EXP($AA1416*2),$Z1416*(1+$Y1416*$AA1416*2)^(1/$Y1416)))</f>
        <v/>
      </c>
      <c r="AD1416">
        <f>IF($Y1416="","",IF($Y1416=0,$Z1416*EXP($AA1416*3),$Z1416*(1+$Y1416*$AA1416*3)^(1/$Y1416)))</f>
        <v/>
      </c>
      <c r="AE1416">
        <f>IF($Y1416="","",IF($Y1416=0,$Z1416*EXP($AA1416*-2),$Z1416*(1+$Y1416*$AA1416*-2)^(1/$Y1416)))</f>
        <v/>
      </c>
      <c r="AF1416">
        <f>IF($Y1416="","",IF($Y1416=0,$Z1416*EXP($AA1416*-3),$Z1416*(1+$Y1416*$AA1416*-3)^(1/$Y1416)))</f>
        <v/>
      </c>
      <c r="AG1416">
        <f>IF($W1416="","",IFERROR(INDEX(IF($T1416&lt;=60,est05_l,est519_l),MATCH($W1416,IF($T1416&lt;=60,est05_k,est519_k),1)),""))</f>
        <v/>
      </c>
      <c r="AH1416">
        <f>IF($W1416="","",IFERROR(INDEX(IF($T1416&lt;=60,est05_m,est519_m),MATCH($W1416,IF($T1416&lt;=60,est05_k,est519_k),1)),""))</f>
        <v/>
      </c>
      <c r="AI1416">
        <f>IF($W1416="","",IFERROR(INDEX(IF($T1416&lt;=60,est05_s,est519_s),MATCH($W1416,IF($T1416&lt;=60,est05_k,est519_k),1)),""))</f>
        <v/>
      </c>
      <c r="AJ1416">
        <f>IF($W1416="","",IFERROR(INDEX(IF($T1416&lt;=60,peso05_l,peso510_l),MATCH($W1416,IF($T1416&lt;=60,peso05_k,peso510_k),1)),""))</f>
        <v/>
      </c>
      <c r="AK1416">
        <f>IF($W1416="","",IFERROR(INDEX(IF($T1416&lt;=60,peso05_m,peso510_m),MATCH($W1416,IF($T1416&lt;=60,peso05_k,peso510_k),1)),""))</f>
        <v/>
      </c>
      <c r="AL1416">
        <f>IF($W1416="","",IFERROR(INDEX(IF($T1416&lt;=60,peso05_s,peso510_s),MATCH($W1416,IF($T1416&lt;=60,peso05_k,peso510_k),1)),""))</f>
        <v/>
      </c>
      <c r="AM1416">
        <f>IF($AJ1416="","",IF($AJ1416=0,LN($F1416/$AK1416)/$AL1416,((($F1416/$AK1416)^$AJ1416)-1)/($AJ1416*$AL1416)))</f>
        <v/>
      </c>
      <c r="AN1416">
        <f>IF($AJ1416="","",IF($AJ1416=0,$AK1416*EXP($AL1416*2),$AK1416*(1+$AJ1416*$AL1416*2)^(1/$AJ1416)))</f>
        <v/>
      </c>
      <c r="AO1416">
        <f>IF($AJ1416="","",IF($AJ1416=0,$AK1416*EXP($AL1416*3),$AK1416*(1+$AJ1416*$AL1416*3)^(1/$AJ1416)))</f>
        <v/>
      </c>
      <c r="AP1416">
        <f>IF($AJ1416="","",IF($AJ1416=0,$AK1416*EXP($AL1416*-2),$AK1416*(1+$AJ1416*$AL1416*-2)^(1/$AJ1416)))</f>
        <v/>
      </c>
      <c r="AQ1416">
        <f>IF($AJ1416="","",IF($AJ1416=0,$AK1416*EXP($AL1416*-3),$AK1416*(1+$AJ1416*$AL1416*-3)^(1/$AJ1416)))</f>
        <v/>
      </c>
      <c r="AR1416">
        <f>IF(OR($X1416="",$T1416&gt;60),"",IFERROR(INDEX(IF($T1416&lt;24,pcomp_l,palt_l),MATCH($X1416,IF($T1416&lt;24,pcomp_k,palt_k),1)),""))</f>
        <v/>
      </c>
      <c r="AS1416">
        <f>IF(OR($X1416="",$T1416&gt;60),"",IFERROR(INDEX(IF($T1416&lt;24,pcomp_m,palt_m),MATCH($X1416,IF($T1416&lt;24,pcomp_k,palt_k),1)),""))</f>
        <v/>
      </c>
      <c r="AT1416">
        <f>IF(OR($X1416="",$T1416&gt;60),"",IFERROR(INDEX(IF($T1416&lt;24,pcomp_s,palt_s),MATCH($X1416,IF($T1416&lt;24,pcomp_k,palt_k),1)),""))</f>
        <v/>
      </c>
      <c r="AU1416">
        <f>IF($AR1416="","",IF($AR1416=0,LN($F1416/$AS1416)/$AT1416,((($F1416/$AS1416)^$AR1416)-1)/($AR1416*$AT1416)))</f>
        <v/>
      </c>
      <c r="AV1416">
        <f>IF($AR1416="","",IF($AR1416=0,$AS1416*EXP($AT1416*2),$AS1416*(1+$AR1416*$AT1416*2)^(1/$AR1416)))</f>
        <v/>
      </c>
      <c r="AW1416">
        <f>IF($AR1416="","",IF($AR1416=0,$AS1416*EXP($AT1416*3),$AS1416*(1+$AR1416*$AT1416*3)^(1/$AR1416)))</f>
        <v/>
      </c>
      <c r="AX1416">
        <f>IF($AR1416="","",IF($AR1416=0,$AS1416*EXP($AT1416*-2),$AS1416*(1+$AR1416*$AT1416*-2)^(1/$AR1416)))</f>
        <v/>
      </c>
      <c r="AY1416">
        <f>IF($AR1416="","",IF($AR1416=0,$AS1416*EXP($AT1416*-3),$AS1416*(1+$AR1416*$AT1416*-3)^(1/$AR1416)))</f>
        <v/>
      </c>
      <c r="AZ1416">
        <f>IF(OR($A1416="",$A1416&lt;&gt;Ficha!$C$4),"",COUNTIF($A$2:$A1416,Ficha!$C$4))</f>
        <v/>
      </c>
    </row>
    <row r="1417">
      <c r="A1417" s="8">
        <f>IF(INDEX(Banco!$A:$A,ROW())="","",INDEX(Banco!$A:$A,ROW()))</f>
        <v/>
      </c>
      <c r="B1417" s="8">
        <f>IF(INDEX(Banco!$B:$B,ROW())="","",INDEX(Banco!$B:$B,ROW()))</f>
        <v/>
      </c>
      <c r="C1417" s="8">
        <f>IF(INDEX(Banco!$C:$C,ROW())="","",INDEX(Banco!$C:$C,ROW()))</f>
        <v/>
      </c>
      <c r="D1417" s="9">
        <f>IF(INDEX(Banco!$D:$D,ROW())="","",INDEX(Banco!$D:$D,ROW()))</f>
        <v/>
      </c>
      <c r="E1417" s="9">
        <f>IF(INDEX(Banco!$E:$E,ROW())="","",INDEX(Banco!$E:$E,ROW()))</f>
        <v/>
      </c>
      <c r="F1417" s="10">
        <f>IF(INDEX(Banco!$F:$F,ROW())="","",INDEX(Banco!$F:$F,ROW()))</f>
        <v/>
      </c>
      <c r="G1417" s="10">
        <f>IF(INDEX(Banco!$G:$G,ROW())="","",INDEX(Banco!$G:$G,ROW()))</f>
        <v/>
      </c>
      <c r="H1417" s="8">
        <f>IF(INDEX(Banco!$H:$H,ROW())="","",INDEX(Banco!$H:$H,ROW()))</f>
        <v/>
      </c>
      <c r="I1417">
        <f>IF($T1417="","",INT($T1417/12)&amp;"a "&amp;MOD($T1417,12)&amp;"m")</f>
        <v/>
      </c>
      <c r="J1417" s="11">
        <f>IF(OR($F1417="",$G1417=""),"",ROUND($F1417/($G1417/100)^2,2))</f>
        <v/>
      </c>
      <c r="K1417" s="12">
        <f>IF(OR($S1417="",$J1417="",$T1417="",$T1417&lt;0,$T1417&gt;228,$Y1417=""),"—",ROUND(IF(ABS($AB1417)&lt;=3,$AB1417,IF($AB1417&gt;3,3+($J1417-$AD1417)/($AD1417-$AC1417),-3+($J1417-$AF1417)/($AE1417-$AF1417))),2))</f>
        <v/>
      </c>
      <c r="L1417">
        <f>IF(OR($K1417="",$K1417="—"),"",IF($T1417&lt;=60,IF($K1417&lt;-3,"Magreza acentuada",IF($K1417&lt;-2,"Magreza",IF($K1417&lt;=1,"Eutrofia",IF($K1417&lt;=2,"Risco de sobrepeso",IF($K1417&lt;=3,"Sobrepeso","Obesidade"))))),IF($K1417&lt;-3,"Magreza acentuada",IF($K1417&lt;-2,"Magreza",IF($K1417&lt;=1,"Eutrofia",IF($K1417&lt;=2,"Sobrepeso",IF($K1417&lt;=3,"Obesidade","Obesidade grave")))))))</f>
        <v/>
      </c>
      <c r="M1417" s="12">
        <f>IF(OR($S1417="",$V1417="",$T1417="",$T1417&lt;0,$T1417&gt;228,$AG1417=""),"—",ROUND(IF($AG1417=0,LN($V1417/$AH1417)/$AI1417,((($V1417/$AH1417)^$AG1417)-1)/($AG1417*$AI1417)),2))</f>
        <v/>
      </c>
      <c r="N1417">
        <f>IF(OR($M1417="",$M1417="—"),"",IF($M1417&lt;-3,"Muito baixa",IF($M1417&lt;-2,"Baixa","Adequada")))</f>
        <v/>
      </c>
      <c r="O1417" s="12">
        <f>IF(OR($S1417="",$F1417="",$T1417="",$T1417&lt;0,$T1417&gt;120,$AJ1417=""),"—",ROUND(IF(ABS($AM1417)&lt;=3,$AM1417,IF($AM1417&gt;3,3+($F1417-$AO1417)/($AO1417-$AN1417),-3+($F1417-$AQ1417)/($AP1417-$AQ1417))),2))</f>
        <v/>
      </c>
      <c r="P1417">
        <f>IF(OR($O1417="",$O1417="—"),"",IF($O1417&lt;-3,"Muito baixo",IF($O1417&lt;-2,"Baixo",IF($O1417&lt;=2,"Adequado","Elevado"))))</f>
        <v/>
      </c>
      <c r="Q1417" s="12">
        <f>IF(OR($S1417="",$F1417="",$T1417="",$T1417&lt;0,$T1417&gt;60,$AR1417=""),"—",ROUND(IF(ABS($AU1417)&lt;=3,$AU1417,IF($AU1417&gt;3,3+($F1417-$AW1417)/($AW1417-$AV1417),-3+($F1417-$AY1417)/($AX1417-$AY1417))),2))</f>
        <v/>
      </c>
      <c r="R1417">
        <f>IF(OR($Q1417="",$Q1417="—"),"",IF($Q1417&lt;-3,"Magreza acentuada",IF($Q1417&lt;-2,"Magreza",IF($Q1417&lt;=1,"Eutrofia",IF($Q1417&lt;=2,"Risco de sobrepeso",IF($Q1417&lt;=3,"Sobrepeso","Obesidade"))))))</f>
        <v/>
      </c>
      <c r="S1417">
        <f>IF($C1417="","",IF(UPPER(LEFT($C1417,1))="M",1,IF(UPPER(LEFT($C1417,1))="F",2,"")))</f>
        <v/>
      </c>
      <c r="T1417">
        <f>IF(OR($D1417="",$E1417=""),"",DATEDIF($D1417,$E1417,"m"))</f>
        <v/>
      </c>
      <c r="U1417">
        <f>IF(OR($D1417="",$E1417=""),"",$E1417-$D1417)</f>
        <v/>
      </c>
      <c r="V1417">
        <f>IF(OR($G1417="",$T1417=""),"",IF($T1417&lt;24,IF(LEFT(LOWER($H1417),4)="em p",$G1417+0.7,$G1417),IF(LEFT(LOWER($H1417),4)="deit",$G1417-0.7,$G1417)))</f>
        <v/>
      </c>
      <c r="W1417">
        <f>IF(OR($S1417="",$T1417=""),"",$S1417*1000000+IF($T1417&lt;=60,$U1417,$T1417))</f>
        <v/>
      </c>
      <c r="X1417">
        <f>IF(OR($S1417="",$V1417="",$T1417&gt;60,$T1417=""),"",$S1417*1000000+ROUND($V1417*10,0))</f>
        <v/>
      </c>
      <c r="Y1417">
        <f>IF($W1417="","",IFERROR(INDEX(IF($T1417&lt;=60,imc05_l,imc519_l),MATCH($W1417,IF($T1417&lt;=60,imc05_k,imc519_k),1)),""))</f>
        <v/>
      </c>
      <c r="Z1417">
        <f>IF($W1417="","",IFERROR(INDEX(IF($T1417&lt;=60,imc05_m,imc519_m),MATCH($W1417,IF($T1417&lt;=60,imc05_k,imc519_k),1)),""))</f>
        <v/>
      </c>
      <c r="AA1417">
        <f>IF($W1417="","",IFERROR(INDEX(IF($T1417&lt;=60,imc05_s,imc519_s),MATCH($W1417,IF($T1417&lt;=60,imc05_k,imc519_k),1)),""))</f>
        <v/>
      </c>
      <c r="AB1417">
        <f>IF($Y1417="","",IF($Y1417=0,LN($J1417/$Z1417)/$AA1417,((($J1417/$Z1417)^$Y1417)-1)/($Y1417*$AA1417)))</f>
        <v/>
      </c>
      <c r="AC1417">
        <f>IF($Y1417="","",IF($Y1417=0,$Z1417*EXP($AA1417*2),$Z1417*(1+$Y1417*$AA1417*2)^(1/$Y1417)))</f>
        <v/>
      </c>
      <c r="AD1417">
        <f>IF($Y1417="","",IF($Y1417=0,$Z1417*EXP($AA1417*3),$Z1417*(1+$Y1417*$AA1417*3)^(1/$Y1417)))</f>
        <v/>
      </c>
      <c r="AE1417">
        <f>IF($Y1417="","",IF($Y1417=0,$Z1417*EXP($AA1417*-2),$Z1417*(1+$Y1417*$AA1417*-2)^(1/$Y1417)))</f>
        <v/>
      </c>
      <c r="AF1417">
        <f>IF($Y1417="","",IF($Y1417=0,$Z1417*EXP($AA1417*-3),$Z1417*(1+$Y1417*$AA1417*-3)^(1/$Y1417)))</f>
        <v/>
      </c>
      <c r="AG1417">
        <f>IF($W1417="","",IFERROR(INDEX(IF($T1417&lt;=60,est05_l,est519_l),MATCH($W1417,IF($T1417&lt;=60,est05_k,est519_k),1)),""))</f>
        <v/>
      </c>
      <c r="AH1417">
        <f>IF($W1417="","",IFERROR(INDEX(IF($T1417&lt;=60,est05_m,est519_m),MATCH($W1417,IF($T1417&lt;=60,est05_k,est519_k),1)),""))</f>
        <v/>
      </c>
      <c r="AI1417">
        <f>IF($W1417="","",IFERROR(INDEX(IF($T1417&lt;=60,est05_s,est519_s),MATCH($W1417,IF($T1417&lt;=60,est05_k,est519_k),1)),""))</f>
        <v/>
      </c>
      <c r="AJ1417">
        <f>IF($W1417="","",IFERROR(INDEX(IF($T1417&lt;=60,peso05_l,peso510_l),MATCH($W1417,IF($T1417&lt;=60,peso05_k,peso510_k),1)),""))</f>
        <v/>
      </c>
      <c r="AK1417">
        <f>IF($W1417="","",IFERROR(INDEX(IF($T1417&lt;=60,peso05_m,peso510_m),MATCH($W1417,IF($T1417&lt;=60,peso05_k,peso510_k),1)),""))</f>
        <v/>
      </c>
      <c r="AL1417">
        <f>IF($W1417="","",IFERROR(INDEX(IF($T1417&lt;=60,peso05_s,peso510_s),MATCH($W1417,IF($T1417&lt;=60,peso05_k,peso510_k),1)),""))</f>
        <v/>
      </c>
      <c r="AM1417">
        <f>IF($AJ1417="","",IF($AJ1417=0,LN($F1417/$AK1417)/$AL1417,((($F1417/$AK1417)^$AJ1417)-1)/($AJ1417*$AL1417)))</f>
        <v/>
      </c>
      <c r="AN1417">
        <f>IF($AJ1417="","",IF($AJ1417=0,$AK1417*EXP($AL1417*2),$AK1417*(1+$AJ1417*$AL1417*2)^(1/$AJ1417)))</f>
        <v/>
      </c>
      <c r="AO1417">
        <f>IF($AJ1417="","",IF($AJ1417=0,$AK1417*EXP($AL1417*3),$AK1417*(1+$AJ1417*$AL1417*3)^(1/$AJ1417)))</f>
        <v/>
      </c>
      <c r="AP1417">
        <f>IF($AJ1417="","",IF($AJ1417=0,$AK1417*EXP($AL1417*-2),$AK1417*(1+$AJ1417*$AL1417*-2)^(1/$AJ1417)))</f>
        <v/>
      </c>
      <c r="AQ1417">
        <f>IF($AJ1417="","",IF($AJ1417=0,$AK1417*EXP($AL1417*-3),$AK1417*(1+$AJ1417*$AL1417*-3)^(1/$AJ1417)))</f>
        <v/>
      </c>
      <c r="AR1417">
        <f>IF(OR($X1417="",$T1417&gt;60),"",IFERROR(INDEX(IF($T1417&lt;24,pcomp_l,palt_l),MATCH($X1417,IF($T1417&lt;24,pcomp_k,palt_k),1)),""))</f>
        <v/>
      </c>
      <c r="AS1417">
        <f>IF(OR($X1417="",$T1417&gt;60),"",IFERROR(INDEX(IF($T1417&lt;24,pcomp_m,palt_m),MATCH($X1417,IF($T1417&lt;24,pcomp_k,palt_k),1)),""))</f>
        <v/>
      </c>
      <c r="AT1417">
        <f>IF(OR($X1417="",$T1417&gt;60),"",IFERROR(INDEX(IF($T1417&lt;24,pcomp_s,palt_s),MATCH($X1417,IF($T1417&lt;24,pcomp_k,palt_k),1)),""))</f>
        <v/>
      </c>
      <c r="AU1417">
        <f>IF($AR1417="","",IF($AR1417=0,LN($F1417/$AS1417)/$AT1417,((($F1417/$AS1417)^$AR1417)-1)/($AR1417*$AT1417)))</f>
        <v/>
      </c>
      <c r="AV1417">
        <f>IF($AR1417="","",IF($AR1417=0,$AS1417*EXP($AT1417*2),$AS1417*(1+$AR1417*$AT1417*2)^(1/$AR1417)))</f>
        <v/>
      </c>
      <c r="AW1417">
        <f>IF($AR1417="","",IF($AR1417=0,$AS1417*EXP($AT1417*3),$AS1417*(1+$AR1417*$AT1417*3)^(1/$AR1417)))</f>
        <v/>
      </c>
      <c r="AX1417">
        <f>IF($AR1417="","",IF($AR1417=0,$AS1417*EXP($AT1417*-2),$AS1417*(1+$AR1417*$AT1417*-2)^(1/$AR1417)))</f>
        <v/>
      </c>
      <c r="AY1417">
        <f>IF($AR1417="","",IF($AR1417=0,$AS1417*EXP($AT1417*-3),$AS1417*(1+$AR1417*$AT1417*-3)^(1/$AR1417)))</f>
        <v/>
      </c>
      <c r="AZ1417">
        <f>IF(OR($A1417="",$A1417&lt;&gt;Ficha!$C$4),"",COUNTIF($A$2:$A1417,Ficha!$C$4))</f>
        <v/>
      </c>
    </row>
    <row r="1418">
      <c r="A1418" s="8">
        <f>IF(INDEX(Banco!$A:$A,ROW())="","",INDEX(Banco!$A:$A,ROW()))</f>
        <v/>
      </c>
      <c r="B1418" s="8">
        <f>IF(INDEX(Banco!$B:$B,ROW())="","",INDEX(Banco!$B:$B,ROW()))</f>
        <v/>
      </c>
      <c r="C1418" s="8">
        <f>IF(INDEX(Banco!$C:$C,ROW())="","",INDEX(Banco!$C:$C,ROW()))</f>
        <v/>
      </c>
      <c r="D1418" s="9">
        <f>IF(INDEX(Banco!$D:$D,ROW())="","",INDEX(Banco!$D:$D,ROW()))</f>
        <v/>
      </c>
      <c r="E1418" s="9">
        <f>IF(INDEX(Banco!$E:$E,ROW())="","",INDEX(Banco!$E:$E,ROW()))</f>
        <v/>
      </c>
      <c r="F1418" s="10">
        <f>IF(INDEX(Banco!$F:$F,ROW())="","",INDEX(Banco!$F:$F,ROW()))</f>
        <v/>
      </c>
      <c r="G1418" s="10">
        <f>IF(INDEX(Banco!$G:$G,ROW())="","",INDEX(Banco!$G:$G,ROW()))</f>
        <v/>
      </c>
      <c r="H1418" s="8">
        <f>IF(INDEX(Banco!$H:$H,ROW())="","",INDEX(Banco!$H:$H,ROW()))</f>
        <v/>
      </c>
      <c r="I1418">
        <f>IF($T1418="","",INT($T1418/12)&amp;"a "&amp;MOD($T1418,12)&amp;"m")</f>
        <v/>
      </c>
      <c r="J1418" s="11">
        <f>IF(OR($F1418="",$G1418=""),"",ROUND($F1418/($G1418/100)^2,2))</f>
        <v/>
      </c>
      <c r="K1418" s="12">
        <f>IF(OR($S1418="",$J1418="",$T1418="",$T1418&lt;0,$T1418&gt;228,$Y1418=""),"—",ROUND(IF(ABS($AB1418)&lt;=3,$AB1418,IF($AB1418&gt;3,3+($J1418-$AD1418)/($AD1418-$AC1418),-3+($J1418-$AF1418)/($AE1418-$AF1418))),2))</f>
        <v/>
      </c>
      <c r="L1418">
        <f>IF(OR($K1418="",$K1418="—"),"",IF($T1418&lt;=60,IF($K1418&lt;-3,"Magreza acentuada",IF($K1418&lt;-2,"Magreza",IF($K1418&lt;=1,"Eutrofia",IF($K1418&lt;=2,"Risco de sobrepeso",IF($K1418&lt;=3,"Sobrepeso","Obesidade"))))),IF($K1418&lt;-3,"Magreza acentuada",IF($K1418&lt;-2,"Magreza",IF($K1418&lt;=1,"Eutrofia",IF($K1418&lt;=2,"Sobrepeso",IF($K1418&lt;=3,"Obesidade","Obesidade grave")))))))</f>
        <v/>
      </c>
      <c r="M1418" s="12">
        <f>IF(OR($S1418="",$V1418="",$T1418="",$T1418&lt;0,$T1418&gt;228,$AG1418=""),"—",ROUND(IF($AG1418=0,LN($V1418/$AH1418)/$AI1418,((($V1418/$AH1418)^$AG1418)-1)/($AG1418*$AI1418)),2))</f>
        <v/>
      </c>
      <c r="N1418">
        <f>IF(OR($M1418="",$M1418="—"),"",IF($M1418&lt;-3,"Muito baixa",IF($M1418&lt;-2,"Baixa","Adequada")))</f>
        <v/>
      </c>
      <c r="O1418" s="12">
        <f>IF(OR($S1418="",$F1418="",$T1418="",$T1418&lt;0,$T1418&gt;120,$AJ1418=""),"—",ROUND(IF(ABS($AM1418)&lt;=3,$AM1418,IF($AM1418&gt;3,3+($F1418-$AO1418)/($AO1418-$AN1418),-3+($F1418-$AQ1418)/($AP1418-$AQ1418))),2))</f>
        <v/>
      </c>
      <c r="P1418">
        <f>IF(OR($O1418="",$O1418="—"),"",IF($O1418&lt;-3,"Muito baixo",IF($O1418&lt;-2,"Baixo",IF($O1418&lt;=2,"Adequado","Elevado"))))</f>
        <v/>
      </c>
      <c r="Q1418" s="12">
        <f>IF(OR($S1418="",$F1418="",$T1418="",$T1418&lt;0,$T1418&gt;60,$AR1418=""),"—",ROUND(IF(ABS($AU1418)&lt;=3,$AU1418,IF($AU1418&gt;3,3+($F1418-$AW1418)/($AW1418-$AV1418),-3+($F1418-$AY1418)/($AX1418-$AY1418))),2))</f>
        <v/>
      </c>
      <c r="R1418">
        <f>IF(OR($Q1418="",$Q1418="—"),"",IF($Q1418&lt;-3,"Magreza acentuada",IF($Q1418&lt;-2,"Magreza",IF($Q1418&lt;=1,"Eutrofia",IF($Q1418&lt;=2,"Risco de sobrepeso",IF($Q1418&lt;=3,"Sobrepeso","Obesidade"))))))</f>
        <v/>
      </c>
      <c r="S1418">
        <f>IF($C1418="","",IF(UPPER(LEFT($C1418,1))="M",1,IF(UPPER(LEFT($C1418,1))="F",2,"")))</f>
        <v/>
      </c>
      <c r="T1418">
        <f>IF(OR($D1418="",$E1418=""),"",DATEDIF($D1418,$E1418,"m"))</f>
        <v/>
      </c>
      <c r="U1418">
        <f>IF(OR($D1418="",$E1418=""),"",$E1418-$D1418)</f>
        <v/>
      </c>
      <c r="V1418">
        <f>IF(OR($G1418="",$T1418=""),"",IF($T1418&lt;24,IF(LEFT(LOWER($H1418),4)="em p",$G1418+0.7,$G1418),IF(LEFT(LOWER($H1418),4)="deit",$G1418-0.7,$G1418)))</f>
        <v/>
      </c>
      <c r="W1418">
        <f>IF(OR($S1418="",$T1418=""),"",$S1418*1000000+IF($T1418&lt;=60,$U1418,$T1418))</f>
        <v/>
      </c>
      <c r="X1418">
        <f>IF(OR($S1418="",$V1418="",$T1418&gt;60,$T1418=""),"",$S1418*1000000+ROUND($V1418*10,0))</f>
        <v/>
      </c>
      <c r="Y1418">
        <f>IF($W1418="","",IFERROR(INDEX(IF($T1418&lt;=60,imc05_l,imc519_l),MATCH($W1418,IF($T1418&lt;=60,imc05_k,imc519_k),1)),""))</f>
        <v/>
      </c>
      <c r="Z1418">
        <f>IF($W1418="","",IFERROR(INDEX(IF($T1418&lt;=60,imc05_m,imc519_m),MATCH($W1418,IF($T1418&lt;=60,imc05_k,imc519_k),1)),""))</f>
        <v/>
      </c>
      <c r="AA1418">
        <f>IF($W1418="","",IFERROR(INDEX(IF($T1418&lt;=60,imc05_s,imc519_s),MATCH($W1418,IF($T1418&lt;=60,imc05_k,imc519_k),1)),""))</f>
        <v/>
      </c>
      <c r="AB1418">
        <f>IF($Y1418="","",IF($Y1418=0,LN($J1418/$Z1418)/$AA1418,((($J1418/$Z1418)^$Y1418)-1)/($Y1418*$AA1418)))</f>
        <v/>
      </c>
      <c r="AC1418">
        <f>IF($Y1418="","",IF($Y1418=0,$Z1418*EXP($AA1418*2),$Z1418*(1+$Y1418*$AA1418*2)^(1/$Y1418)))</f>
        <v/>
      </c>
      <c r="AD1418">
        <f>IF($Y1418="","",IF($Y1418=0,$Z1418*EXP($AA1418*3),$Z1418*(1+$Y1418*$AA1418*3)^(1/$Y1418)))</f>
        <v/>
      </c>
      <c r="AE1418">
        <f>IF($Y1418="","",IF($Y1418=0,$Z1418*EXP($AA1418*-2),$Z1418*(1+$Y1418*$AA1418*-2)^(1/$Y1418)))</f>
        <v/>
      </c>
      <c r="AF1418">
        <f>IF($Y1418="","",IF($Y1418=0,$Z1418*EXP($AA1418*-3),$Z1418*(1+$Y1418*$AA1418*-3)^(1/$Y1418)))</f>
        <v/>
      </c>
      <c r="AG1418">
        <f>IF($W1418="","",IFERROR(INDEX(IF($T1418&lt;=60,est05_l,est519_l),MATCH($W1418,IF($T1418&lt;=60,est05_k,est519_k),1)),""))</f>
        <v/>
      </c>
      <c r="AH1418">
        <f>IF($W1418="","",IFERROR(INDEX(IF($T1418&lt;=60,est05_m,est519_m),MATCH($W1418,IF($T1418&lt;=60,est05_k,est519_k),1)),""))</f>
        <v/>
      </c>
      <c r="AI1418">
        <f>IF($W1418="","",IFERROR(INDEX(IF($T1418&lt;=60,est05_s,est519_s),MATCH($W1418,IF($T1418&lt;=60,est05_k,est519_k),1)),""))</f>
        <v/>
      </c>
      <c r="AJ1418">
        <f>IF($W1418="","",IFERROR(INDEX(IF($T1418&lt;=60,peso05_l,peso510_l),MATCH($W1418,IF($T1418&lt;=60,peso05_k,peso510_k),1)),""))</f>
        <v/>
      </c>
      <c r="AK1418">
        <f>IF($W1418="","",IFERROR(INDEX(IF($T1418&lt;=60,peso05_m,peso510_m),MATCH($W1418,IF($T1418&lt;=60,peso05_k,peso510_k),1)),""))</f>
        <v/>
      </c>
      <c r="AL1418">
        <f>IF($W1418="","",IFERROR(INDEX(IF($T1418&lt;=60,peso05_s,peso510_s),MATCH($W1418,IF($T1418&lt;=60,peso05_k,peso510_k),1)),""))</f>
        <v/>
      </c>
      <c r="AM1418">
        <f>IF($AJ1418="","",IF($AJ1418=0,LN($F1418/$AK1418)/$AL1418,((($F1418/$AK1418)^$AJ1418)-1)/($AJ1418*$AL1418)))</f>
        <v/>
      </c>
      <c r="AN1418">
        <f>IF($AJ1418="","",IF($AJ1418=0,$AK1418*EXP($AL1418*2),$AK1418*(1+$AJ1418*$AL1418*2)^(1/$AJ1418)))</f>
        <v/>
      </c>
      <c r="AO1418">
        <f>IF($AJ1418="","",IF($AJ1418=0,$AK1418*EXP($AL1418*3),$AK1418*(1+$AJ1418*$AL1418*3)^(1/$AJ1418)))</f>
        <v/>
      </c>
      <c r="AP1418">
        <f>IF($AJ1418="","",IF($AJ1418=0,$AK1418*EXP($AL1418*-2),$AK1418*(1+$AJ1418*$AL1418*-2)^(1/$AJ1418)))</f>
        <v/>
      </c>
      <c r="AQ1418">
        <f>IF($AJ1418="","",IF($AJ1418=0,$AK1418*EXP($AL1418*-3),$AK1418*(1+$AJ1418*$AL1418*-3)^(1/$AJ1418)))</f>
        <v/>
      </c>
      <c r="AR1418">
        <f>IF(OR($X1418="",$T1418&gt;60),"",IFERROR(INDEX(IF($T1418&lt;24,pcomp_l,palt_l),MATCH($X1418,IF($T1418&lt;24,pcomp_k,palt_k),1)),""))</f>
        <v/>
      </c>
      <c r="AS1418">
        <f>IF(OR($X1418="",$T1418&gt;60),"",IFERROR(INDEX(IF($T1418&lt;24,pcomp_m,palt_m),MATCH($X1418,IF($T1418&lt;24,pcomp_k,palt_k),1)),""))</f>
        <v/>
      </c>
      <c r="AT1418">
        <f>IF(OR($X1418="",$T1418&gt;60),"",IFERROR(INDEX(IF($T1418&lt;24,pcomp_s,palt_s),MATCH($X1418,IF($T1418&lt;24,pcomp_k,palt_k),1)),""))</f>
        <v/>
      </c>
      <c r="AU1418">
        <f>IF($AR1418="","",IF($AR1418=0,LN($F1418/$AS1418)/$AT1418,((($F1418/$AS1418)^$AR1418)-1)/($AR1418*$AT1418)))</f>
        <v/>
      </c>
      <c r="AV1418">
        <f>IF($AR1418="","",IF($AR1418=0,$AS1418*EXP($AT1418*2),$AS1418*(1+$AR1418*$AT1418*2)^(1/$AR1418)))</f>
        <v/>
      </c>
      <c r="AW1418">
        <f>IF($AR1418="","",IF($AR1418=0,$AS1418*EXP($AT1418*3),$AS1418*(1+$AR1418*$AT1418*3)^(1/$AR1418)))</f>
        <v/>
      </c>
      <c r="AX1418">
        <f>IF($AR1418="","",IF($AR1418=0,$AS1418*EXP($AT1418*-2),$AS1418*(1+$AR1418*$AT1418*-2)^(1/$AR1418)))</f>
        <v/>
      </c>
      <c r="AY1418">
        <f>IF($AR1418="","",IF($AR1418=0,$AS1418*EXP($AT1418*-3),$AS1418*(1+$AR1418*$AT1418*-3)^(1/$AR1418)))</f>
        <v/>
      </c>
      <c r="AZ1418">
        <f>IF(OR($A1418="",$A1418&lt;&gt;Ficha!$C$4),"",COUNTIF($A$2:$A1418,Ficha!$C$4))</f>
        <v/>
      </c>
    </row>
    <row r="1419">
      <c r="A1419" s="8">
        <f>IF(INDEX(Banco!$A:$A,ROW())="","",INDEX(Banco!$A:$A,ROW()))</f>
        <v/>
      </c>
      <c r="B1419" s="8">
        <f>IF(INDEX(Banco!$B:$B,ROW())="","",INDEX(Banco!$B:$B,ROW()))</f>
        <v/>
      </c>
      <c r="C1419" s="8">
        <f>IF(INDEX(Banco!$C:$C,ROW())="","",INDEX(Banco!$C:$C,ROW()))</f>
        <v/>
      </c>
      <c r="D1419" s="9">
        <f>IF(INDEX(Banco!$D:$D,ROW())="","",INDEX(Banco!$D:$D,ROW()))</f>
        <v/>
      </c>
      <c r="E1419" s="9">
        <f>IF(INDEX(Banco!$E:$E,ROW())="","",INDEX(Banco!$E:$E,ROW()))</f>
        <v/>
      </c>
      <c r="F1419" s="10">
        <f>IF(INDEX(Banco!$F:$F,ROW())="","",INDEX(Banco!$F:$F,ROW()))</f>
        <v/>
      </c>
      <c r="G1419" s="10">
        <f>IF(INDEX(Banco!$G:$G,ROW())="","",INDEX(Banco!$G:$G,ROW()))</f>
        <v/>
      </c>
      <c r="H1419" s="8">
        <f>IF(INDEX(Banco!$H:$H,ROW())="","",INDEX(Banco!$H:$H,ROW()))</f>
        <v/>
      </c>
      <c r="I1419">
        <f>IF($T1419="","",INT($T1419/12)&amp;"a "&amp;MOD($T1419,12)&amp;"m")</f>
        <v/>
      </c>
      <c r="J1419" s="11">
        <f>IF(OR($F1419="",$G1419=""),"",ROUND($F1419/($G1419/100)^2,2))</f>
        <v/>
      </c>
      <c r="K1419" s="12">
        <f>IF(OR($S1419="",$J1419="",$T1419="",$T1419&lt;0,$T1419&gt;228,$Y1419=""),"—",ROUND(IF(ABS($AB1419)&lt;=3,$AB1419,IF($AB1419&gt;3,3+($J1419-$AD1419)/($AD1419-$AC1419),-3+($J1419-$AF1419)/($AE1419-$AF1419))),2))</f>
        <v/>
      </c>
      <c r="L1419">
        <f>IF(OR($K1419="",$K1419="—"),"",IF($T1419&lt;=60,IF($K1419&lt;-3,"Magreza acentuada",IF($K1419&lt;-2,"Magreza",IF($K1419&lt;=1,"Eutrofia",IF($K1419&lt;=2,"Risco de sobrepeso",IF($K1419&lt;=3,"Sobrepeso","Obesidade"))))),IF($K1419&lt;-3,"Magreza acentuada",IF($K1419&lt;-2,"Magreza",IF($K1419&lt;=1,"Eutrofia",IF($K1419&lt;=2,"Sobrepeso",IF($K1419&lt;=3,"Obesidade","Obesidade grave")))))))</f>
        <v/>
      </c>
      <c r="M1419" s="12">
        <f>IF(OR($S1419="",$V1419="",$T1419="",$T1419&lt;0,$T1419&gt;228,$AG1419=""),"—",ROUND(IF($AG1419=0,LN($V1419/$AH1419)/$AI1419,((($V1419/$AH1419)^$AG1419)-1)/($AG1419*$AI1419)),2))</f>
        <v/>
      </c>
      <c r="N1419">
        <f>IF(OR($M1419="",$M1419="—"),"",IF($M1419&lt;-3,"Muito baixa",IF($M1419&lt;-2,"Baixa","Adequada")))</f>
        <v/>
      </c>
      <c r="O1419" s="12">
        <f>IF(OR($S1419="",$F1419="",$T1419="",$T1419&lt;0,$T1419&gt;120,$AJ1419=""),"—",ROUND(IF(ABS($AM1419)&lt;=3,$AM1419,IF($AM1419&gt;3,3+($F1419-$AO1419)/($AO1419-$AN1419),-3+($F1419-$AQ1419)/($AP1419-$AQ1419))),2))</f>
        <v/>
      </c>
      <c r="P1419">
        <f>IF(OR($O1419="",$O1419="—"),"",IF($O1419&lt;-3,"Muito baixo",IF($O1419&lt;-2,"Baixo",IF($O1419&lt;=2,"Adequado","Elevado"))))</f>
        <v/>
      </c>
      <c r="Q1419" s="12">
        <f>IF(OR($S1419="",$F1419="",$T1419="",$T1419&lt;0,$T1419&gt;60,$AR1419=""),"—",ROUND(IF(ABS($AU1419)&lt;=3,$AU1419,IF($AU1419&gt;3,3+($F1419-$AW1419)/($AW1419-$AV1419),-3+($F1419-$AY1419)/($AX1419-$AY1419))),2))</f>
        <v/>
      </c>
      <c r="R1419">
        <f>IF(OR($Q1419="",$Q1419="—"),"",IF($Q1419&lt;-3,"Magreza acentuada",IF($Q1419&lt;-2,"Magreza",IF($Q1419&lt;=1,"Eutrofia",IF($Q1419&lt;=2,"Risco de sobrepeso",IF($Q1419&lt;=3,"Sobrepeso","Obesidade"))))))</f>
        <v/>
      </c>
      <c r="S1419">
        <f>IF($C1419="","",IF(UPPER(LEFT($C1419,1))="M",1,IF(UPPER(LEFT($C1419,1))="F",2,"")))</f>
        <v/>
      </c>
      <c r="T1419">
        <f>IF(OR($D1419="",$E1419=""),"",DATEDIF($D1419,$E1419,"m"))</f>
        <v/>
      </c>
      <c r="U1419">
        <f>IF(OR($D1419="",$E1419=""),"",$E1419-$D1419)</f>
        <v/>
      </c>
      <c r="V1419">
        <f>IF(OR($G1419="",$T1419=""),"",IF($T1419&lt;24,IF(LEFT(LOWER($H1419),4)="em p",$G1419+0.7,$G1419),IF(LEFT(LOWER($H1419),4)="deit",$G1419-0.7,$G1419)))</f>
        <v/>
      </c>
      <c r="W1419">
        <f>IF(OR($S1419="",$T1419=""),"",$S1419*1000000+IF($T1419&lt;=60,$U1419,$T1419))</f>
        <v/>
      </c>
      <c r="X1419">
        <f>IF(OR($S1419="",$V1419="",$T1419&gt;60,$T1419=""),"",$S1419*1000000+ROUND($V1419*10,0))</f>
        <v/>
      </c>
      <c r="Y1419">
        <f>IF($W1419="","",IFERROR(INDEX(IF($T1419&lt;=60,imc05_l,imc519_l),MATCH($W1419,IF($T1419&lt;=60,imc05_k,imc519_k),1)),""))</f>
        <v/>
      </c>
      <c r="Z1419">
        <f>IF($W1419="","",IFERROR(INDEX(IF($T1419&lt;=60,imc05_m,imc519_m),MATCH($W1419,IF($T1419&lt;=60,imc05_k,imc519_k),1)),""))</f>
        <v/>
      </c>
      <c r="AA1419">
        <f>IF($W1419="","",IFERROR(INDEX(IF($T1419&lt;=60,imc05_s,imc519_s),MATCH($W1419,IF($T1419&lt;=60,imc05_k,imc519_k),1)),""))</f>
        <v/>
      </c>
      <c r="AB1419">
        <f>IF($Y1419="","",IF($Y1419=0,LN($J1419/$Z1419)/$AA1419,((($J1419/$Z1419)^$Y1419)-1)/($Y1419*$AA1419)))</f>
        <v/>
      </c>
      <c r="AC1419">
        <f>IF($Y1419="","",IF($Y1419=0,$Z1419*EXP($AA1419*2),$Z1419*(1+$Y1419*$AA1419*2)^(1/$Y1419)))</f>
        <v/>
      </c>
      <c r="AD1419">
        <f>IF($Y1419="","",IF($Y1419=0,$Z1419*EXP($AA1419*3),$Z1419*(1+$Y1419*$AA1419*3)^(1/$Y1419)))</f>
        <v/>
      </c>
      <c r="AE1419">
        <f>IF($Y1419="","",IF($Y1419=0,$Z1419*EXP($AA1419*-2),$Z1419*(1+$Y1419*$AA1419*-2)^(1/$Y1419)))</f>
        <v/>
      </c>
      <c r="AF1419">
        <f>IF($Y1419="","",IF($Y1419=0,$Z1419*EXP($AA1419*-3),$Z1419*(1+$Y1419*$AA1419*-3)^(1/$Y1419)))</f>
        <v/>
      </c>
      <c r="AG1419">
        <f>IF($W1419="","",IFERROR(INDEX(IF($T1419&lt;=60,est05_l,est519_l),MATCH($W1419,IF($T1419&lt;=60,est05_k,est519_k),1)),""))</f>
        <v/>
      </c>
      <c r="AH1419">
        <f>IF($W1419="","",IFERROR(INDEX(IF($T1419&lt;=60,est05_m,est519_m),MATCH($W1419,IF($T1419&lt;=60,est05_k,est519_k),1)),""))</f>
        <v/>
      </c>
      <c r="AI1419">
        <f>IF($W1419="","",IFERROR(INDEX(IF($T1419&lt;=60,est05_s,est519_s),MATCH($W1419,IF($T1419&lt;=60,est05_k,est519_k),1)),""))</f>
        <v/>
      </c>
      <c r="AJ1419">
        <f>IF($W1419="","",IFERROR(INDEX(IF($T1419&lt;=60,peso05_l,peso510_l),MATCH($W1419,IF($T1419&lt;=60,peso05_k,peso510_k),1)),""))</f>
        <v/>
      </c>
      <c r="AK1419">
        <f>IF($W1419="","",IFERROR(INDEX(IF($T1419&lt;=60,peso05_m,peso510_m),MATCH($W1419,IF($T1419&lt;=60,peso05_k,peso510_k),1)),""))</f>
        <v/>
      </c>
      <c r="AL1419">
        <f>IF($W1419="","",IFERROR(INDEX(IF($T1419&lt;=60,peso05_s,peso510_s),MATCH($W1419,IF($T1419&lt;=60,peso05_k,peso510_k),1)),""))</f>
        <v/>
      </c>
      <c r="AM1419">
        <f>IF($AJ1419="","",IF($AJ1419=0,LN($F1419/$AK1419)/$AL1419,((($F1419/$AK1419)^$AJ1419)-1)/($AJ1419*$AL1419)))</f>
        <v/>
      </c>
      <c r="AN1419">
        <f>IF($AJ1419="","",IF($AJ1419=0,$AK1419*EXP($AL1419*2),$AK1419*(1+$AJ1419*$AL1419*2)^(1/$AJ1419)))</f>
        <v/>
      </c>
      <c r="AO1419">
        <f>IF($AJ1419="","",IF($AJ1419=0,$AK1419*EXP($AL1419*3),$AK1419*(1+$AJ1419*$AL1419*3)^(1/$AJ1419)))</f>
        <v/>
      </c>
      <c r="AP1419">
        <f>IF($AJ1419="","",IF($AJ1419=0,$AK1419*EXP($AL1419*-2),$AK1419*(1+$AJ1419*$AL1419*-2)^(1/$AJ1419)))</f>
        <v/>
      </c>
      <c r="AQ1419">
        <f>IF($AJ1419="","",IF($AJ1419=0,$AK1419*EXP($AL1419*-3),$AK1419*(1+$AJ1419*$AL1419*-3)^(1/$AJ1419)))</f>
        <v/>
      </c>
      <c r="AR1419">
        <f>IF(OR($X1419="",$T1419&gt;60),"",IFERROR(INDEX(IF($T1419&lt;24,pcomp_l,palt_l),MATCH($X1419,IF($T1419&lt;24,pcomp_k,palt_k),1)),""))</f>
        <v/>
      </c>
      <c r="AS1419">
        <f>IF(OR($X1419="",$T1419&gt;60),"",IFERROR(INDEX(IF($T1419&lt;24,pcomp_m,palt_m),MATCH($X1419,IF($T1419&lt;24,pcomp_k,palt_k),1)),""))</f>
        <v/>
      </c>
      <c r="AT1419">
        <f>IF(OR($X1419="",$T1419&gt;60),"",IFERROR(INDEX(IF($T1419&lt;24,pcomp_s,palt_s),MATCH($X1419,IF($T1419&lt;24,pcomp_k,palt_k),1)),""))</f>
        <v/>
      </c>
      <c r="AU1419">
        <f>IF($AR1419="","",IF($AR1419=0,LN($F1419/$AS1419)/$AT1419,((($F1419/$AS1419)^$AR1419)-1)/($AR1419*$AT1419)))</f>
        <v/>
      </c>
      <c r="AV1419">
        <f>IF($AR1419="","",IF($AR1419=0,$AS1419*EXP($AT1419*2),$AS1419*(1+$AR1419*$AT1419*2)^(1/$AR1419)))</f>
        <v/>
      </c>
      <c r="AW1419">
        <f>IF($AR1419="","",IF($AR1419=0,$AS1419*EXP($AT1419*3),$AS1419*(1+$AR1419*$AT1419*3)^(1/$AR1419)))</f>
        <v/>
      </c>
      <c r="AX1419">
        <f>IF($AR1419="","",IF($AR1419=0,$AS1419*EXP($AT1419*-2),$AS1419*(1+$AR1419*$AT1419*-2)^(1/$AR1419)))</f>
        <v/>
      </c>
      <c r="AY1419">
        <f>IF($AR1419="","",IF($AR1419=0,$AS1419*EXP($AT1419*-3),$AS1419*(1+$AR1419*$AT1419*-3)^(1/$AR1419)))</f>
        <v/>
      </c>
      <c r="AZ1419">
        <f>IF(OR($A1419="",$A1419&lt;&gt;Ficha!$C$4),"",COUNTIF($A$2:$A1419,Ficha!$C$4))</f>
        <v/>
      </c>
    </row>
    <row r="1420">
      <c r="A1420" s="8">
        <f>IF(INDEX(Banco!$A:$A,ROW())="","",INDEX(Banco!$A:$A,ROW()))</f>
        <v/>
      </c>
      <c r="B1420" s="8">
        <f>IF(INDEX(Banco!$B:$B,ROW())="","",INDEX(Banco!$B:$B,ROW()))</f>
        <v/>
      </c>
      <c r="C1420" s="8">
        <f>IF(INDEX(Banco!$C:$C,ROW())="","",INDEX(Banco!$C:$C,ROW()))</f>
        <v/>
      </c>
      <c r="D1420" s="9">
        <f>IF(INDEX(Banco!$D:$D,ROW())="","",INDEX(Banco!$D:$D,ROW()))</f>
        <v/>
      </c>
      <c r="E1420" s="9">
        <f>IF(INDEX(Banco!$E:$E,ROW())="","",INDEX(Banco!$E:$E,ROW()))</f>
        <v/>
      </c>
      <c r="F1420" s="10">
        <f>IF(INDEX(Banco!$F:$F,ROW())="","",INDEX(Banco!$F:$F,ROW()))</f>
        <v/>
      </c>
      <c r="G1420" s="10">
        <f>IF(INDEX(Banco!$G:$G,ROW())="","",INDEX(Banco!$G:$G,ROW()))</f>
        <v/>
      </c>
      <c r="H1420" s="8">
        <f>IF(INDEX(Banco!$H:$H,ROW())="","",INDEX(Banco!$H:$H,ROW()))</f>
        <v/>
      </c>
      <c r="I1420">
        <f>IF($T1420="","",INT($T1420/12)&amp;"a "&amp;MOD($T1420,12)&amp;"m")</f>
        <v/>
      </c>
      <c r="J1420" s="11">
        <f>IF(OR($F1420="",$G1420=""),"",ROUND($F1420/($G1420/100)^2,2))</f>
        <v/>
      </c>
      <c r="K1420" s="12">
        <f>IF(OR($S1420="",$J1420="",$T1420="",$T1420&lt;0,$T1420&gt;228,$Y1420=""),"—",ROUND(IF(ABS($AB1420)&lt;=3,$AB1420,IF($AB1420&gt;3,3+($J1420-$AD1420)/($AD1420-$AC1420),-3+($J1420-$AF1420)/($AE1420-$AF1420))),2))</f>
        <v/>
      </c>
      <c r="L1420">
        <f>IF(OR($K1420="",$K1420="—"),"",IF($T1420&lt;=60,IF($K1420&lt;-3,"Magreza acentuada",IF($K1420&lt;-2,"Magreza",IF($K1420&lt;=1,"Eutrofia",IF($K1420&lt;=2,"Risco de sobrepeso",IF($K1420&lt;=3,"Sobrepeso","Obesidade"))))),IF($K1420&lt;-3,"Magreza acentuada",IF($K1420&lt;-2,"Magreza",IF($K1420&lt;=1,"Eutrofia",IF($K1420&lt;=2,"Sobrepeso",IF($K1420&lt;=3,"Obesidade","Obesidade grave")))))))</f>
        <v/>
      </c>
      <c r="M1420" s="12">
        <f>IF(OR($S1420="",$V1420="",$T1420="",$T1420&lt;0,$T1420&gt;228,$AG1420=""),"—",ROUND(IF($AG1420=0,LN($V1420/$AH1420)/$AI1420,((($V1420/$AH1420)^$AG1420)-1)/($AG1420*$AI1420)),2))</f>
        <v/>
      </c>
      <c r="N1420">
        <f>IF(OR($M1420="",$M1420="—"),"",IF($M1420&lt;-3,"Muito baixa",IF($M1420&lt;-2,"Baixa","Adequada")))</f>
        <v/>
      </c>
      <c r="O1420" s="12">
        <f>IF(OR($S1420="",$F1420="",$T1420="",$T1420&lt;0,$T1420&gt;120,$AJ1420=""),"—",ROUND(IF(ABS($AM1420)&lt;=3,$AM1420,IF($AM1420&gt;3,3+($F1420-$AO1420)/($AO1420-$AN1420),-3+($F1420-$AQ1420)/($AP1420-$AQ1420))),2))</f>
        <v/>
      </c>
      <c r="P1420">
        <f>IF(OR($O1420="",$O1420="—"),"",IF($O1420&lt;-3,"Muito baixo",IF($O1420&lt;-2,"Baixo",IF($O1420&lt;=2,"Adequado","Elevado"))))</f>
        <v/>
      </c>
      <c r="Q1420" s="12">
        <f>IF(OR($S1420="",$F1420="",$T1420="",$T1420&lt;0,$T1420&gt;60,$AR1420=""),"—",ROUND(IF(ABS($AU1420)&lt;=3,$AU1420,IF($AU1420&gt;3,3+($F1420-$AW1420)/($AW1420-$AV1420),-3+($F1420-$AY1420)/($AX1420-$AY1420))),2))</f>
        <v/>
      </c>
      <c r="R1420">
        <f>IF(OR($Q1420="",$Q1420="—"),"",IF($Q1420&lt;-3,"Magreza acentuada",IF($Q1420&lt;-2,"Magreza",IF($Q1420&lt;=1,"Eutrofia",IF($Q1420&lt;=2,"Risco de sobrepeso",IF($Q1420&lt;=3,"Sobrepeso","Obesidade"))))))</f>
        <v/>
      </c>
      <c r="S1420">
        <f>IF($C1420="","",IF(UPPER(LEFT($C1420,1))="M",1,IF(UPPER(LEFT($C1420,1))="F",2,"")))</f>
        <v/>
      </c>
      <c r="T1420">
        <f>IF(OR($D1420="",$E1420=""),"",DATEDIF($D1420,$E1420,"m"))</f>
        <v/>
      </c>
      <c r="U1420">
        <f>IF(OR($D1420="",$E1420=""),"",$E1420-$D1420)</f>
        <v/>
      </c>
      <c r="V1420">
        <f>IF(OR($G1420="",$T1420=""),"",IF($T1420&lt;24,IF(LEFT(LOWER($H1420),4)="em p",$G1420+0.7,$G1420),IF(LEFT(LOWER($H1420),4)="deit",$G1420-0.7,$G1420)))</f>
        <v/>
      </c>
      <c r="W1420">
        <f>IF(OR($S1420="",$T1420=""),"",$S1420*1000000+IF($T1420&lt;=60,$U1420,$T1420))</f>
        <v/>
      </c>
      <c r="X1420">
        <f>IF(OR($S1420="",$V1420="",$T1420&gt;60,$T1420=""),"",$S1420*1000000+ROUND($V1420*10,0))</f>
        <v/>
      </c>
      <c r="Y1420">
        <f>IF($W1420="","",IFERROR(INDEX(IF($T1420&lt;=60,imc05_l,imc519_l),MATCH($W1420,IF($T1420&lt;=60,imc05_k,imc519_k),1)),""))</f>
        <v/>
      </c>
      <c r="Z1420">
        <f>IF($W1420="","",IFERROR(INDEX(IF($T1420&lt;=60,imc05_m,imc519_m),MATCH($W1420,IF($T1420&lt;=60,imc05_k,imc519_k),1)),""))</f>
        <v/>
      </c>
      <c r="AA1420">
        <f>IF($W1420="","",IFERROR(INDEX(IF($T1420&lt;=60,imc05_s,imc519_s),MATCH($W1420,IF($T1420&lt;=60,imc05_k,imc519_k),1)),""))</f>
        <v/>
      </c>
      <c r="AB1420">
        <f>IF($Y1420="","",IF($Y1420=0,LN($J1420/$Z1420)/$AA1420,((($J1420/$Z1420)^$Y1420)-1)/($Y1420*$AA1420)))</f>
        <v/>
      </c>
      <c r="AC1420">
        <f>IF($Y1420="","",IF($Y1420=0,$Z1420*EXP($AA1420*2),$Z1420*(1+$Y1420*$AA1420*2)^(1/$Y1420)))</f>
        <v/>
      </c>
      <c r="AD1420">
        <f>IF($Y1420="","",IF($Y1420=0,$Z1420*EXP($AA1420*3),$Z1420*(1+$Y1420*$AA1420*3)^(1/$Y1420)))</f>
        <v/>
      </c>
      <c r="AE1420">
        <f>IF($Y1420="","",IF($Y1420=0,$Z1420*EXP($AA1420*-2),$Z1420*(1+$Y1420*$AA1420*-2)^(1/$Y1420)))</f>
        <v/>
      </c>
      <c r="AF1420">
        <f>IF($Y1420="","",IF($Y1420=0,$Z1420*EXP($AA1420*-3),$Z1420*(1+$Y1420*$AA1420*-3)^(1/$Y1420)))</f>
        <v/>
      </c>
      <c r="AG1420">
        <f>IF($W1420="","",IFERROR(INDEX(IF($T1420&lt;=60,est05_l,est519_l),MATCH($W1420,IF($T1420&lt;=60,est05_k,est519_k),1)),""))</f>
        <v/>
      </c>
      <c r="AH1420">
        <f>IF($W1420="","",IFERROR(INDEX(IF($T1420&lt;=60,est05_m,est519_m),MATCH($W1420,IF($T1420&lt;=60,est05_k,est519_k),1)),""))</f>
        <v/>
      </c>
      <c r="AI1420">
        <f>IF($W1420="","",IFERROR(INDEX(IF($T1420&lt;=60,est05_s,est519_s),MATCH($W1420,IF($T1420&lt;=60,est05_k,est519_k),1)),""))</f>
        <v/>
      </c>
      <c r="AJ1420">
        <f>IF($W1420="","",IFERROR(INDEX(IF($T1420&lt;=60,peso05_l,peso510_l),MATCH($W1420,IF($T1420&lt;=60,peso05_k,peso510_k),1)),""))</f>
        <v/>
      </c>
      <c r="AK1420">
        <f>IF($W1420="","",IFERROR(INDEX(IF($T1420&lt;=60,peso05_m,peso510_m),MATCH($W1420,IF($T1420&lt;=60,peso05_k,peso510_k),1)),""))</f>
        <v/>
      </c>
      <c r="AL1420">
        <f>IF($W1420="","",IFERROR(INDEX(IF($T1420&lt;=60,peso05_s,peso510_s),MATCH($W1420,IF($T1420&lt;=60,peso05_k,peso510_k),1)),""))</f>
        <v/>
      </c>
      <c r="AM1420">
        <f>IF($AJ1420="","",IF($AJ1420=0,LN($F1420/$AK1420)/$AL1420,((($F1420/$AK1420)^$AJ1420)-1)/($AJ1420*$AL1420)))</f>
        <v/>
      </c>
      <c r="AN1420">
        <f>IF($AJ1420="","",IF($AJ1420=0,$AK1420*EXP($AL1420*2),$AK1420*(1+$AJ1420*$AL1420*2)^(1/$AJ1420)))</f>
        <v/>
      </c>
      <c r="AO1420">
        <f>IF($AJ1420="","",IF($AJ1420=0,$AK1420*EXP($AL1420*3),$AK1420*(1+$AJ1420*$AL1420*3)^(1/$AJ1420)))</f>
        <v/>
      </c>
      <c r="AP1420">
        <f>IF($AJ1420="","",IF($AJ1420=0,$AK1420*EXP($AL1420*-2),$AK1420*(1+$AJ1420*$AL1420*-2)^(1/$AJ1420)))</f>
        <v/>
      </c>
      <c r="AQ1420">
        <f>IF($AJ1420="","",IF($AJ1420=0,$AK1420*EXP($AL1420*-3),$AK1420*(1+$AJ1420*$AL1420*-3)^(1/$AJ1420)))</f>
        <v/>
      </c>
      <c r="AR1420">
        <f>IF(OR($X1420="",$T1420&gt;60),"",IFERROR(INDEX(IF($T1420&lt;24,pcomp_l,palt_l),MATCH($X1420,IF($T1420&lt;24,pcomp_k,palt_k),1)),""))</f>
        <v/>
      </c>
      <c r="AS1420">
        <f>IF(OR($X1420="",$T1420&gt;60),"",IFERROR(INDEX(IF($T1420&lt;24,pcomp_m,palt_m),MATCH($X1420,IF($T1420&lt;24,pcomp_k,palt_k),1)),""))</f>
        <v/>
      </c>
      <c r="AT1420">
        <f>IF(OR($X1420="",$T1420&gt;60),"",IFERROR(INDEX(IF($T1420&lt;24,pcomp_s,palt_s),MATCH($X1420,IF($T1420&lt;24,pcomp_k,palt_k),1)),""))</f>
        <v/>
      </c>
      <c r="AU1420">
        <f>IF($AR1420="","",IF($AR1420=0,LN($F1420/$AS1420)/$AT1420,((($F1420/$AS1420)^$AR1420)-1)/($AR1420*$AT1420)))</f>
        <v/>
      </c>
      <c r="AV1420">
        <f>IF($AR1420="","",IF($AR1420=0,$AS1420*EXP($AT1420*2),$AS1420*(1+$AR1420*$AT1420*2)^(1/$AR1420)))</f>
        <v/>
      </c>
      <c r="AW1420">
        <f>IF($AR1420="","",IF($AR1420=0,$AS1420*EXP($AT1420*3),$AS1420*(1+$AR1420*$AT1420*3)^(1/$AR1420)))</f>
        <v/>
      </c>
      <c r="AX1420">
        <f>IF($AR1420="","",IF($AR1420=0,$AS1420*EXP($AT1420*-2),$AS1420*(1+$AR1420*$AT1420*-2)^(1/$AR1420)))</f>
        <v/>
      </c>
      <c r="AY1420">
        <f>IF($AR1420="","",IF($AR1420=0,$AS1420*EXP($AT1420*-3),$AS1420*(1+$AR1420*$AT1420*-3)^(1/$AR1420)))</f>
        <v/>
      </c>
      <c r="AZ1420">
        <f>IF(OR($A1420="",$A1420&lt;&gt;Ficha!$C$4),"",COUNTIF($A$2:$A1420,Ficha!$C$4))</f>
        <v/>
      </c>
    </row>
    <row r="1421">
      <c r="A1421" s="8">
        <f>IF(INDEX(Banco!$A:$A,ROW())="","",INDEX(Banco!$A:$A,ROW()))</f>
        <v/>
      </c>
      <c r="B1421" s="8">
        <f>IF(INDEX(Banco!$B:$B,ROW())="","",INDEX(Banco!$B:$B,ROW()))</f>
        <v/>
      </c>
      <c r="C1421" s="8">
        <f>IF(INDEX(Banco!$C:$C,ROW())="","",INDEX(Banco!$C:$C,ROW()))</f>
        <v/>
      </c>
      <c r="D1421" s="9">
        <f>IF(INDEX(Banco!$D:$D,ROW())="","",INDEX(Banco!$D:$D,ROW()))</f>
        <v/>
      </c>
      <c r="E1421" s="9">
        <f>IF(INDEX(Banco!$E:$E,ROW())="","",INDEX(Banco!$E:$E,ROW()))</f>
        <v/>
      </c>
      <c r="F1421" s="10">
        <f>IF(INDEX(Banco!$F:$F,ROW())="","",INDEX(Banco!$F:$F,ROW()))</f>
        <v/>
      </c>
      <c r="G1421" s="10">
        <f>IF(INDEX(Banco!$G:$G,ROW())="","",INDEX(Banco!$G:$G,ROW()))</f>
        <v/>
      </c>
      <c r="H1421" s="8">
        <f>IF(INDEX(Banco!$H:$H,ROW())="","",INDEX(Banco!$H:$H,ROW()))</f>
        <v/>
      </c>
      <c r="I1421">
        <f>IF($T1421="","",INT($T1421/12)&amp;"a "&amp;MOD($T1421,12)&amp;"m")</f>
        <v/>
      </c>
      <c r="J1421" s="11">
        <f>IF(OR($F1421="",$G1421=""),"",ROUND($F1421/($G1421/100)^2,2))</f>
        <v/>
      </c>
      <c r="K1421" s="12">
        <f>IF(OR($S1421="",$J1421="",$T1421="",$T1421&lt;0,$T1421&gt;228,$Y1421=""),"—",ROUND(IF(ABS($AB1421)&lt;=3,$AB1421,IF($AB1421&gt;3,3+($J1421-$AD1421)/($AD1421-$AC1421),-3+($J1421-$AF1421)/($AE1421-$AF1421))),2))</f>
        <v/>
      </c>
      <c r="L1421">
        <f>IF(OR($K1421="",$K1421="—"),"",IF($T1421&lt;=60,IF($K1421&lt;-3,"Magreza acentuada",IF($K1421&lt;-2,"Magreza",IF($K1421&lt;=1,"Eutrofia",IF($K1421&lt;=2,"Risco de sobrepeso",IF($K1421&lt;=3,"Sobrepeso","Obesidade"))))),IF($K1421&lt;-3,"Magreza acentuada",IF($K1421&lt;-2,"Magreza",IF($K1421&lt;=1,"Eutrofia",IF($K1421&lt;=2,"Sobrepeso",IF($K1421&lt;=3,"Obesidade","Obesidade grave")))))))</f>
        <v/>
      </c>
      <c r="M1421" s="12">
        <f>IF(OR($S1421="",$V1421="",$T1421="",$T1421&lt;0,$T1421&gt;228,$AG1421=""),"—",ROUND(IF($AG1421=0,LN($V1421/$AH1421)/$AI1421,((($V1421/$AH1421)^$AG1421)-1)/($AG1421*$AI1421)),2))</f>
        <v/>
      </c>
      <c r="N1421">
        <f>IF(OR($M1421="",$M1421="—"),"",IF($M1421&lt;-3,"Muito baixa",IF($M1421&lt;-2,"Baixa","Adequada")))</f>
        <v/>
      </c>
      <c r="O1421" s="12">
        <f>IF(OR($S1421="",$F1421="",$T1421="",$T1421&lt;0,$T1421&gt;120,$AJ1421=""),"—",ROUND(IF(ABS($AM1421)&lt;=3,$AM1421,IF($AM1421&gt;3,3+($F1421-$AO1421)/($AO1421-$AN1421),-3+($F1421-$AQ1421)/($AP1421-$AQ1421))),2))</f>
        <v/>
      </c>
      <c r="P1421">
        <f>IF(OR($O1421="",$O1421="—"),"",IF($O1421&lt;-3,"Muito baixo",IF($O1421&lt;-2,"Baixo",IF($O1421&lt;=2,"Adequado","Elevado"))))</f>
        <v/>
      </c>
      <c r="Q1421" s="12">
        <f>IF(OR($S1421="",$F1421="",$T1421="",$T1421&lt;0,$T1421&gt;60,$AR1421=""),"—",ROUND(IF(ABS($AU1421)&lt;=3,$AU1421,IF($AU1421&gt;3,3+($F1421-$AW1421)/($AW1421-$AV1421),-3+($F1421-$AY1421)/($AX1421-$AY1421))),2))</f>
        <v/>
      </c>
      <c r="R1421">
        <f>IF(OR($Q1421="",$Q1421="—"),"",IF($Q1421&lt;-3,"Magreza acentuada",IF($Q1421&lt;-2,"Magreza",IF($Q1421&lt;=1,"Eutrofia",IF($Q1421&lt;=2,"Risco de sobrepeso",IF($Q1421&lt;=3,"Sobrepeso","Obesidade"))))))</f>
        <v/>
      </c>
      <c r="S1421">
        <f>IF($C1421="","",IF(UPPER(LEFT($C1421,1))="M",1,IF(UPPER(LEFT($C1421,1))="F",2,"")))</f>
        <v/>
      </c>
      <c r="T1421">
        <f>IF(OR($D1421="",$E1421=""),"",DATEDIF($D1421,$E1421,"m"))</f>
        <v/>
      </c>
      <c r="U1421">
        <f>IF(OR($D1421="",$E1421=""),"",$E1421-$D1421)</f>
        <v/>
      </c>
      <c r="V1421">
        <f>IF(OR($G1421="",$T1421=""),"",IF($T1421&lt;24,IF(LEFT(LOWER($H1421),4)="em p",$G1421+0.7,$G1421),IF(LEFT(LOWER($H1421),4)="deit",$G1421-0.7,$G1421)))</f>
        <v/>
      </c>
      <c r="W1421">
        <f>IF(OR($S1421="",$T1421=""),"",$S1421*1000000+IF($T1421&lt;=60,$U1421,$T1421))</f>
        <v/>
      </c>
      <c r="X1421">
        <f>IF(OR($S1421="",$V1421="",$T1421&gt;60,$T1421=""),"",$S1421*1000000+ROUND($V1421*10,0))</f>
        <v/>
      </c>
      <c r="Y1421">
        <f>IF($W1421="","",IFERROR(INDEX(IF($T1421&lt;=60,imc05_l,imc519_l),MATCH($W1421,IF($T1421&lt;=60,imc05_k,imc519_k),1)),""))</f>
        <v/>
      </c>
      <c r="Z1421">
        <f>IF($W1421="","",IFERROR(INDEX(IF($T1421&lt;=60,imc05_m,imc519_m),MATCH($W1421,IF($T1421&lt;=60,imc05_k,imc519_k),1)),""))</f>
        <v/>
      </c>
      <c r="AA1421">
        <f>IF($W1421="","",IFERROR(INDEX(IF($T1421&lt;=60,imc05_s,imc519_s),MATCH($W1421,IF($T1421&lt;=60,imc05_k,imc519_k),1)),""))</f>
        <v/>
      </c>
      <c r="AB1421">
        <f>IF($Y1421="","",IF($Y1421=0,LN($J1421/$Z1421)/$AA1421,((($J1421/$Z1421)^$Y1421)-1)/($Y1421*$AA1421)))</f>
        <v/>
      </c>
      <c r="AC1421">
        <f>IF($Y1421="","",IF($Y1421=0,$Z1421*EXP($AA1421*2),$Z1421*(1+$Y1421*$AA1421*2)^(1/$Y1421)))</f>
        <v/>
      </c>
      <c r="AD1421">
        <f>IF($Y1421="","",IF($Y1421=0,$Z1421*EXP($AA1421*3),$Z1421*(1+$Y1421*$AA1421*3)^(1/$Y1421)))</f>
        <v/>
      </c>
      <c r="AE1421">
        <f>IF($Y1421="","",IF($Y1421=0,$Z1421*EXP($AA1421*-2),$Z1421*(1+$Y1421*$AA1421*-2)^(1/$Y1421)))</f>
        <v/>
      </c>
      <c r="AF1421">
        <f>IF($Y1421="","",IF($Y1421=0,$Z1421*EXP($AA1421*-3),$Z1421*(1+$Y1421*$AA1421*-3)^(1/$Y1421)))</f>
        <v/>
      </c>
      <c r="AG1421">
        <f>IF($W1421="","",IFERROR(INDEX(IF($T1421&lt;=60,est05_l,est519_l),MATCH($W1421,IF($T1421&lt;=60,est05_k,est519_k),1)),""))</f>
        <v/>
      </c>
      <c r="AH1421">
        <f>IF($W1421="","",IFERROR(INDEX(IF($T1421&lt;=60,est05_m,est519_m),MATCH($W1421,IF($T1421&lt;=60,est05_k,est519_k),1)),""))</f>
        <v/>
      </c>
      <c r="AI1421">
        <f>IF($W1421="","",IFERROR(INDEX(IF($T1421&lt;=60,est05_s,est519_s),MATCH($W1421,IF($T1421&lt;=60,est05_k,est519_k),1)),""))</f>
        <v/>
      </c>
      <c r="AJ1421">
        <f>IF($W1421="","",IFERROR(INDEX(IF($T1421&lt;=60,peso05_l,peso510_l),MATCH($W1421,IF($T1421&lt;=60,peso05_k,peso510_k),1)),""))</f>
        <v/>
      </c>
      <c r="AK1421">
        <f>IF($W1421="","",IFERROR(INDEX(IF($T1421&lt;=60,peso05_m,peso510_m),MATCH($W1421,IF($T1421&lt;=60,peso05_k,peso510_k),1)),""))</f>
        <v/>
      </c>
      <c r="AL1421">
        <f>IF($W1421="","",IFERROR(INDEX(IF($T1421&lt;=60,peso05_s,peso510_s),MATCH($W1421,IF($T1421&lt;=60,peso05_k,peso510_k),1)),""))</f>
        <v/>
      </c>
      <c r="AM1421">
        <f>IF($AJ1421="","",IF($AJ1421=0,LN($F1421/$AK1421)/$AL1421,((($F1421/$AK1421)^$AJ1421)-1)/($AJ1421*$AL1421)))</f>
        <v/>
      </c>
      <c r="AN1421">
        <f>IF($AJ1421="","",IF($AJ1421=0,$AK1421*EXP($AL1421*2),$AK1421*(1+$AJ1421*$AL1421*2)^(1/$AJ1421)))</f>
        <v/>
      </c>
      <c r="AO1421">
        <f>IF($AJ1421="","",IF($AJ1421=0,$AK1421*EXP($AL1421*3),$AK1421*(1+$AJ1421*$AL1421*3)^(1/$AJ1421)))</f>
        <v/>
      </c>
      <c r="AP1421">
        <f>IF($AJ1421="","",IF($AJ1421=0,$AK1421*EXP($AL1421*-2),$AK1421*(1+$AJ1421*$AL1421*-2)^(1/$AJ1421)))</f>
        <v/>
      </c>
      <c r="AQ1421">
        <f>IF($AJ1421="","",IF($AJ1421=0,$AK1421*EXP($AL1421*-3),$AK1421*(1+$AJ1421*$AL1421*-3)^(1/$AJ1421)))</f>
        <v/>
      </c>
      <c r="AR1421">
        <f>IF(OR($X1421="",$T1421&gt;60),"",IFERROR(INDEX(IF($T1421&lt;24,pcomp_l,palt_l),MATCH($X1421,IF($T1421&lt;24,pcomp_k,palt_k),1)),""))</f>
        <v/>
      </c>
      <c r="AS1421">
        <f>IF(OR($X1421="",$T1421&gt;60),"",IFERROR(INDEX(IF($T1421&lt;24,pcomp_m,palt_m),MATCH($X1421,IF($T1421&lt;24,pcomp_k,palt_k),1)),""))</f>
        <v/>
      </c>
      <c r="AT1421">
        <f>IF(OR($X1421="",$T1421&gt;60),"",IFERROR(INDEX(IF($T1421&lt;24,pcomp_s,palt_s),MATCH($X1421,IF($T1421&lt;24,pcomp_k,palt_k),1)),""))</f>
        <v/>
      </c>
      <c r="AU1421">
        <f>IF($AR1421="","",IF($AR1421=0,LN($F1421/$AS1421)/$AT1421,((($F1421/$AS1421)^$AR1421)-1)/($AR1421*$AT1421)))</f>
        <v/>
      </c>
      <c r="AV1421">
        <f>IF($AR1421="","",IF($AR1421=0,$AS1421*EXP($AT1421*2),$AS1421*(1+$AR1421*$AT1421*2)^(1/$AR1421)))</f>
        <v/>
      </c>
      <c r="AW1421">
        <f>IF($AR1421="","",IF($AR1421=0,$AS1421*EXP($AT1421*3),$AS1421*(1+$AR1421*$AT1421*3)^(1/$AR1421)))</f>
        <v/>
      </c>
      <c r="AX1421">
        <f>IF($AR1421="","",IF($AR1421=0,$AS1421*EXP($AT1421*-2),$AS1421*(1+$AR1421*$AT1421*-2)^(1/$AR1421)))</f>
        <v/>
      </c>
      <c r="AY1421">
        <f>IF($AR1421="","",IF($AR1421=0,$AS1421*EXP($AT1421*-3),$AS1421*(1+$AR1421*$AT1421*-3)^(1/$AR1421)))</f>
        <v/>
      </c>
      <c r="AZ1421">
        <f>IF(OR($A1421="",$A1421&lt;&gt;Ficha!$C$4),"",COUNTIF($A$2:$A1421,Ficha!$C$4))</f>
        <v/>
      </c>
    </row>
    <row r="1422">
      <c r="A1422" s="8">
        <f>IF(INDEX(Banco!$A:$A,ROW())="","",INDEX(Banco!$A:$A,ROW()))</f>
        <v/>
      </c>
      <c r="B1422" s="8">
        <f>IF(INDEX(Banco!$B:$B,ROW())="","",INDEX(Banco!$B:$B,ROW()))</f>
        <v/>
      </c>
      <c r="C1422" s="8">
        <f>IF(INDEX(Banco!$C:$C,ROW())="","",INDEX(Banco!$C:$C,ROW()))</f>
        <v/>
      </c>
      <c r="D1422" s="9">
        <f>IF(INDEX(Banco!$D:$D,ROW())="","",INDEX(Banco!$D:$D,ROW()))</f>
        <v/>
      </c>
      <c r="E1422" s="9">
        <f>IF(INDEX(Banco!$E:$E,ROW())="","",INDEX(Banco!$E:$E,ROW()))</f>
        <v/>
      </c>
      <c r="F1422" s="10">
        <f>IF(INDEX(Banco!$F:$F,ROW())="","",INDEX(Banco!$F:$F,ROW()))</f>
        <v/>
      </c>
      <c r="G1422" s="10">
        <f>IF(INDEX(Banco!$G:$G,ROW())="","",INDEX(Banco!$G:$G,ROW()))</f>
        <v/>
      </c>
      <c r="H1422" s="8">
        <f>IF(INDEX(Banco!$H:$H,ROW())="","",INDEX(Banco!$H:$H,ROW()))</f>
        <v/>
      </c>
      <c r="I1422">
        <f>IF($T1422="","",INT($T1422/12)&amp;"a "&amp;MOD($T1422,12)&amp;"m")</f>
        <v/>
      </c>
      <c r="J1422" s="11">
        <f>IF(OR($F1422="",$G1422=""),"",ROUND($F1422/($G1422/100)^2,2))</f>
        <v/>
      </c>
      <c r="K1422" s="12">
        <f>IF(OR($S1422="",$J1422="",$T1422="",$T1422&lt;0,$T1422&gt;228,$Y1422=""),"—",ROUND(IF(ABS($AB1422)&lt;=3,$AB1422,IF($AB1422&gt;3,3+($J1422-$AD1422)/($AD1422-$AC1422),-3+($J1422-$AF1422)/($AE1422-$AF1422))),2))</f>
        <v/>
      </c>
      <c r="L1422">
        <f>IF(OR($K1422="",$K1422="—"),"",IF($T1422&lt;=60,IF($K1422&lt;-3,"Magreza acentuada",IF($K1422&lt;-2,"Magreza",IF($K1422&lt;=1,"Eutrofia",IF($K1422&lt;=2,"Risco de sobrepeso",IF($K1422&lt;=3,"Sobrepeso","Obesidade"))))),IF($K1422&lt;-3,"Magreza acentuada",IF($K1422&lt;-2,"Magreza",IF($K1422&lt;=1,"Eutrofia",IF($K1422&lt;=2,"Sobrepeso",IF($K1422&lt;=3,"Obesidade","Obesidade grave")))))))</f>
        <v/>
      </c>
      <c r="M1422" s="12">
        <f>IF(OR($S1422="",$V1422="",$T1422="",$T1422&lt;0,$T1422&gt;228,$AG1422=""),"—",ROUND(IF($AG1422=0,LN($V1422/$AH1422)/$AI1422,((($V1422/$AH1422)^$AG1422)-1)/($AG1422*$AI1422)),2))</f>
        <v/>
      </c>
      <c r="N1422">
        <f>IF(OR($M1422="",$M1422="—"),"",IF($M1422&lt;-3,"Muito baixa",IF($M1422&lt;-2,"Baixa","Adequada")))</f>
        <v/>
      </c>
      <c r="O1422" s="12">
        <f>IF(OR($S1422="",$F1422="",$T1422="",$T1422&lt;0,$T1422&gt;120,$AJ1422=""),"—",ROUND(IF(ABS($AM1422)&lt;=3,$AM1422,IF($AM1422&gt;3,3+($F1422-$AO1422)/($AO1422-$AN1422),-3+($F1422-$AQ1422)/($AP1422-$AQ1422))),2))</f>
        <v/>
      </c>
      <c r="P1422">
        <f>IF(OR($O1422="",$O1422="—"),"",IF($O1422&lt;-3,"Muito baixo",IF($O1422&lt;-2,"Baixo",IF($O1422&lt;=2,"Adequado","Elevado"))))</f>
        <v/>
      </c>
      <c r="Q1422" s="12">
        <f>IF(OR($S1422="",$F1422="",$T1422="",$T1422&lt;0,$T1422&gt;60,$AR1422=""),"—",ROUND(IF(ABS($AU1422)&lt;=3,$AU1422,IF($AU1422&gt;3,3+($F1422-$AW1422)/($AW1422-$AV1422),-3+($F1422-$AY1422)/($AX1422-$AY1422))),2))</f>
        <v/>
      </c>
      <c r="R1422">
        <f>IF(OR($Q1422="",$Q1422="—"),"",IF($Q1422&lt;-3,"Magreza acentuada",IF($Q1422&lt;-2,"Magreza",IF($Q1422&lt;=1,"Eutrofia",IF($Q1422&lt;=2,"Risco de sobrepeso",IF($Q1422&lt;=3,"Sobrepeso","Obesidade"))))))</f>
        <v/>
      </c>
      <c r="S1422">
        <f>IF($C1422="","",IF(UPPER(LEFT($C1422,1))="M",1,IF(UPPER(LEFT($C1422,1))="F",2,"")))</f>
        <v/>
      </c>
      <c r="T1422">
        <f>IF(OR($D1422="",$E1422=""),"",DATEDIF($D1422,$E1422,"m"))</f>
        <v/>
      </c>
      <c r="U1422">
        <f>IF(OR($D1422="",$E1422=""),"",$E1422-$D1422)</f>
        <v/>
      </c>
      <c r="V1422">
        <f>IF(OR($G1422="",$T1422=""),"",IF($T1422&lt;24,IF(LEFT(LOWER($H1422),4)="em p",$G1422+0.7,$G1422),IF(LEFT(LOWER($H1422),4)="deit",$G1422-0.7,$G1422)))</f>
        <v/>
      </c>
      <c r="W1422">
        <f>IF(OR($S1422="",$T1422=""),"",$S1422*1000000+IF($T1422&lt;=60,$U1422,$T1422))</f>
        <v/>
      </c>
      <c r="X1422">
        <f>IF(OR($S1422="",$V1422="",$T1422&gt;60,$T1422=""),"",$S1422*1000000+ROUND($V1422*10,0))</f>
        <v/>
      </c>
      <c r="Y1422">
        <f>IF($W1422="","",IFERROR(INDEX(IF($T1422&lt;=60,imc05_l,imc519_l),MATCH($W1422,IF($T1422&lt;=60,imc05_k,imc519_k),1)),""))</f>
        <v/>
      </c>
      <c r="Z1422">
        <f>IF($W1422="","",IFERROR(INDEX(IF($T1422&lt;=60,imc05_m,imc519_m),MATCH($W1422,IF($T1422&lt;=60,imc05_k,imc519_k),1)),""))</f>
        <v/>
      </c>
      <c r="AA1422">
        <f>IF($W1422="","",IFERROR(INDEX(IF($T1422&lt;=60,imc05_s,imc519_s),MATCH($W1422,IF($T1422&lt;=60,imc05_k,imc519_k),1)),""))</f>
        <v/>
      </c>
      <c r="AB1422">
        <f>IF($Y1422="","",IF($Y1422=0,LN($J1422/$Z1422)/$AA1422,((($J1422/$Z1422)^$Y1422)-1)/($Y1422*$AA1422)))</f>
        <v/>
      </c>
      <c r="AC1422">
        <f>IF($Y1422="","",IF($Y1422=0,$Z1422*EXP($AA1422*2),$Z1422*(1+$Y1422*$AA1422*2)^(1/$Y1422)))</f>
        <v/>
      </c>
      <c r="AD1422">
        <f>IF($Y1422="","",IF($Y1422=0,$Z1422*EXP($AA1422*3),$Z1422*(1+$Y1422*$AA1422*3)^(1/$Y1422)))</f>
        <v/>
      </c>
      <c r="AE1422">
        <f>IF($Y1422="","",IF($Y1422=0,$Z1422*EXP($AA1422*-2),$Z1422*(1+$Y1422*$AA1422*-2)^(1/$Y1422)))</f>
        <v/>
      </c>
      <c r="AF1422">
        <f>IF($Y1422="","",IF($Y1422=0,$Z1422*EXP($AA1422*-3),$Z1422*(1+$Y1422*$AA1422*-3)^(1/$Y1422)))</f>
        <v/>
      </c>
      <c r="AG1422">
        <f>IF($W1422="","",IFERROR(INDEX(IF($T1422&lt;=60,est05_l,est519_l),MATCH($W1422,IF($T1422&lt;=60,est05_k,est519_k),1)),""))</f>
        <v/>
      </c>
      <c r="AH1422">
        <f>IF($W1422="","",IFERROR(INDEX(IF($T1422&lt;=60,est05_m,est519_m),MATCH($W1422,IF($T1422&lt;=60,est05_k,est519_k),1)),""))</f>
        <v/>
      </c>
      <c r="AI1422">
        <f>IF($W1422="","",IFERROR(INDEX(IF($T1422&lt;=60,est05_s,est519_s),MATCH($W1422,IF($T1422&lt;=60,est05_k,est519_k),1)),""))</f>
        <v/>
      </c>
      <c r="AJ1422">
        <f>IF($W1422="","",IFERROR(INDEX(IF($T1422&lt;=60,peso05_l,peso510_l),MATCH($W1422,IF($T1422&lt;=60,peso05_k,peso510_k),1)),""))</f>
        <v/>
      </c>
      <c r="AK1422">
        <f>IF($W1422="","",IFERROR(INDEX(IF($T1422&lt;=60,peso05_m,peso510_m),MATCH($W1422,IF($T1422&lt;=60,peso05_k,peso510_k),1)),""))</f>
        <v/>
      </c>
      <c r="AL1422">
        <f>IF($W1422="","",IFERROR(INDEX(IF($T1422&lt;=60,peso05_s,peso510_s),MATCH($W1422,IF($T1422&lt;=60,peso05_k,peso510_k),1)),""))</f>
        <v/>
      </c>
      <c r="AM1422">
        <f>IF($AJ1422="","",IF($AJ1422=0,LN($F1422/$AK1422)/$AL1422,((($F1422/$AK1422)^$AJ1422)-1)/($AJ1422*$AL1422)))</f>
        <v/>
      </c>
      <c r="AN1422">
        <f>IF($AJ1422="","",IF($AJ1422=0,$AK1422*EXP($AL1422*2),$AK1422*(1+$AJ1422*$AL1422*2)^(1/$AJ1422)))</f>
        <v/>
      </c>
      <c r="AO1422">
        <f>IF($AJ1422="","",IF($AJ1422=0,$AK1422*EXP($AL1422*3),$AK1422*(1+$AJ1422*$AL1422*3)^(1/$AJ1422)))</f>
        <v/>
      </c>
      <c r="AP1422">
        <f>IF($AJ1422="","",IF($AJ1422=0,$AK1422*EXP($AL1422*-2),$AK1422*(1+$AJ1422*$AL1422*-2)^(1/$AJ1422)))</f>
        <v/>
      </c>
      <c r="AQ1422">
        <f>IF($AJ1422="","",IF($AJ1422=0,$AK1422*EXP($AL1422*-3),$AK1422*(1+$AJ1422*$AL1422*-3)^(1/$AJ1422)))</f>
        <v/>
      </c>
      <c r="AR1422">
        <f>IF(OR($X1422="",$T1422&gt;60),"",IFERROR(INDEX(IF($T1422&lt;24,pcomp_l,palt_l),MATCH($X1422,IF($T1422&lt;24,pcomp_k,palt_k),1)),""))</f>
        <v/>
      </c>
      <c r="AS1422">
        <f>IF(OR($X1422="",$T1422&gt;60),"",IFERROR(INDEX(IF($T1422&lt;24,pcomp_m,palt_m),MATCH($X1422,IF($T1422&lt;24,pcomp_k,palt_k),1)),""))</f>
        <v/>
      </c>
      <c r="AT1422">
        <f>IF(OR($X1422="",$T1422&gt;60),"",IFERROR(INDEX(IF($T1422&lt;24,pcomp_s,palt_s),MATCH($X1422,IF($T1422&lt;24,pcomp_k,palt_k),1)),""))</f>
        <v/>
      </c>
      <c r="AU1422">
        <f>IF($AR1422="","",IF($AR1422=0,LN($F1422/$AS1422)/$AT1422,((($F1422/$AS1422)^$AR1422)-1)/($AR1422*$AT1422)))</f>
        <v/>
      </c>
      <c r="AV1422">
        <f>IF($AR1422="","",IF($AR1422=0,$AS1422*EXP($AT1422*2),$AS1422*(1+$AR1422*$AT1422*2)^(1/$AR1422)))</f>
        <v/>
      </c>
      <c r="AW1422">
        <f>IF($AR1422="","",IF($AR1422=0,$AS1422*EXP($AT1422*3),$AS1422*(1+$AR1422*$AT1422*3)^(1/$AR1422)))</f>
        <v/>
      </c>
      <c r="AX1422">
        <f>IF($AR1422="","",IF($AR1422=0,$AS1422*EXP($AT1422*-2),$AS1422*(1+$AR1422*$AT1422*-2)^(1/$AR1422)))</f>
        <v/>
      </c>
      <c r="AY1422">
        <f>IF($AR1422="","",IF($AR1422=0,$AS1422*EXP($AT1422*-3),$AS1422*(1+$AR1422*$AT1422*-3)^(1/$AR1422)))</f>
        <v/>
      </c>
      <c r="AZ1422">
        <f>IF(OR($A1422="",$A1422&lt;&gt;Ficha!$C$4),"",COUNTIF($A$2:$A1422,Ficha!$C$4))</f>
        <v/>
      </c>
    </row>
    <row r="1423">
      <c r="A1423" s="8">
        <f>IF(INDEX(Banco!$A:$A,ROW())="","",INDEX(Banco!$A:$A,ROW()))</f>
        <v/>
      </c>
      <c r="B1423" s="8">
        <f>IF(INDEX(Banco!$B:$B,ROW())="","",INDEX(Banco!$B:$B,ROW()))</f>
        <v/>
      </c>
      <c r="C1423" s="8">
        <f>IF(INDEX(Banco!$C:$C,ROW())="","",INDEX(Banco!$C:$C,ROW()))</f>
        <v/>
      </c>
      <c r="D1423" s="9">
        <f>IF(INDEX(Banco!$D:$D,ROW())="","",INDEX(Banco!$D:$D,ROW()))</f>
        <v/>
      </c>
      <c r="E1423" s="9">
        <f>IF(INDEX(Banco!$E:$E,ROW())="","",INDEX(Banco!$E:$E,ROW()))</f>
        <v/>
      </c>
      <c r="F1423" s="10">
        <f>IF(INDEX(Banco!$F:$F,ROW())="","",INDEX(Banco!$F:$F,ROW()))</f>
        <v/>
      </c>
      <c r="G1423" s="10">
        <f>IF(INDEX(Banco!$G:$G,ROW())="","",INDEX(Banco!$G:$G,ROW()))</f>
        <v/>
      </c>
      <c r="H1423" s="8">
        <f>IF(INDEX(Banco!$H:$H,ROW())="","",INDEX(Banco!$H:$H,ROW()))</f>
        <v/>
      </c>
      <c r="I1423">
        <f>IF($T1423="","",INT($T1423/12)&amp;"a "&amp;MOD($T1423,12)&amp;"m")</f>
        <v/>
      </c>
      <c r="J1423" s="11">
        <f>IF(OR($F1423="",$G1423=""),"",ROUND($F1423/($G1423/100)^2,2))</f>
        <v/>
      </c>
      <c r="K1423" s="12">
        <f>IF(OR($S1423="",$J1423="",$T1423="",$T1423&lt;0,$T1423&gt;228,$Y1423=""),"—",ROUND(IF(ABS($AB1423)&lt;=3,$AB1423,IF($AB1423&gt;3,3+($J1423-$AD1423)/($AD1423-$AC1423),-3+($J1423-$AF1423)/($AE1423-$AF1423))),2))</f>
        <v/>
      </c>
      <c r="L1423">
        <f>IF(OR($K1423="",$K1423="—"),"",IF($T1423&lt;=60,IF($K1423&lt;-3,"Magreza acentuada",IF($K1423&lt;-2,"Magreza",IF($K1423&lt;=1,"Eutrofia",IF($K1423&lt;=2,"Risco de sobrepeso",IF($K1423&lt;=3,"Sobrepeso","Obesidade"))))),IF($K1423&lt;-3,"Magreza acentuada",IF($K1423&lt;-2,"Magreza",IF($K1423&lt;=1,"Eutrofia",IF($K1423&lt;=2,"Sobrepeso",IF($K1423&lt;=3,"Obesidade","Obesidade grave")))))))</f>
        <v/>
      </c>
      <c r="M1423" s="12">
        <f>IF(OR($S1423="",$V1423="",$T1423="",$T1423&lt;0,$T1423&gt;228,$AG1423=""),"—",ROUND(IF($AG1423=0,LN($V1423/$AH1423)/$AI1423,((($V1423/$AH1423)^$AG1423)-1)/($AG1423*$AI1423)),2))</f>
        <v/>
      </c>
      <c r="N1423">
        <f>IF(OR($M1423="",$M1423="—"),"",IF($M1423&lt;-3,"Muito baixa",IF($M1423&lt;-2,"Baixa","Adequada")))</f>
        <v/>
      </c>
      <c r="O1423" s="12">
        <f>IF(OR($S1423="",$F1423="",$T1423="",$T1423&lt;0,$T1423&gt;120,$AJ1423=""),"—",ROUND(IF(ABS($AM1423)&lt;=3,$AM1423,IF($AM1423&gt;3,3+($F1423-$AO1423)/($AO1423-$AN1423),-3+($F1423-$AQ1423)/($AP1423-$AQ1423))),2))</f>
        <v/>
      </c>
      <c r="P1423">
        <f>IF(OR($O1423="",$O1423="—"),"",IF($O1423&lt;-3,"Muito baixo",IF($O1423&lt;-2,"Baixo",IF($O1423&lt;=2,"Adequado","Elevado"))))</f>
        <v/>
      </c>
      <c r="Q1423" s="12">
        <f>IF(OR($S1423="",$F1423="",$T1423="",$T1423&lt;0,$T1423&gt;60,$AR1423=""),"—",ROUND(IF(ABS($AU1423)&lt;=3,$AU1423,IF($AU1423&gt;3,3+($F1423-$AW1423)/($AW1423-$AV1423),-3+($F1423-$AY1423)/($AX1423-$AY1423))),2))</f>
        <v/>
      </c>
      <c r="R1423">
        <f>IF(OR($Q1423="",$Q1423="—"),"",IF($Q1423&lt;-3,"Magreza acentuada",IF($Q1423&lt;-2,"Magreza",IF($Q1423&lt;=1,"Eutrofia",IF($Q1423&lt;=2,"Risco de sobrepeso",IF($Q1423&lt;=3,"Sobrepeso","Obesidade"))))))</f>
        <v/>
      </c>
      <c r="S1423">
        <f>IF($C1423="","",IF(UPPER(LEFT($C1423,1))="M",1,IF(UPPER(LEFT($C1423,1))="F",2,"")))</f>
        <v/>
      </c>
      <c r="T1423">
        <f>IF(OR($D1423="",$E1423=""),"",DATEDIF($D1423,$E1423,"m"))</f>
        <v/>
      </c>
      <c r="U1423">
        <f>IF(OR($D1423="",$E1423=""),"",$E1423-$D1423)</f>
        <v/>
      </c>
      <c r="V1423">
        <f>IF(OR($G1423="",$T1423=""),"",IF($T1423&lt;24,IF(LEFT(LOWER($H1423),4)="em p",$G1423+0.7,$G1423),IF(LEFT(LOWER($H1423),4)="deit",$G1423-0.7,$G1423)))</f>
        <v/>
      </c>
      <c r="W1423">
        <f>IF(OR($S1423="",$T1423=""),"",$S1423*1000000+IF($T1423&lt;=60,$U1423,$T1423))</f>
        <v/>
      </c>
      <c r="X1423">
        <f>IF(OR($S1423="",$V1423="",$T1423&gt;60,$T1423=""),"",$S1423*1000000+ROUND($V1423*10,0))</f>
        <v/>
      </c>
      <c r="Y1423">
        <f>IF($W1423="","",IFERROR(INDEX(IF($T1423&lt;=60,imc05_l,imc519_l),MATCH($W1423,IF($T1423&lt;=60,imc05_k,imc519_k),1)),""))</f>
        <v/>
      </c>
      <c r="Z1423">
        <f>IF($W1423="","",IFERROR(INDEX(IF($T1423&lt;=60,imc05_m,imc519_m),MATCH($W1423,IF($T1423&lt;=60,imc05_k,imc519_k),1)),""))</f>
        <v/>
      </c>
      <c r="AA1423">
        <f>IF($W1423="","",IFERROR(INDEX(IF($T1423&lt;=60,imc05_s,imc519_s),MATCH($W1423,IF($T1423&lt;=60,imc05_k,imc519_k),1)),""))</f>
        <v/>
      </c>
      <c r="AB1423">
        <f>IF($Y1423="","",IF($Y1423=0,LN($J1423/$Z1423)/$AA1423,((($J1423/$Z1423)^$Y1423)-1)/($Y1423*$AA1423)))</f>
        <v/>
      </c>
      <c r="AC1423">
        <f>IF($Y1423="","",IF($Y1423=0,$Z1423*EXP($AA1423*2),$Z1423*(1+$Y1423*$AA1423*2)^(1/$Y1423)))</f>
        <v/>
      </c>
      <c r="AD1423">
        <f>IF($Y1423="","",IF($Y1423=0,$Z1423*EXP($AA1423*3),$Z1423*(1+$Y1423*$AA1423*3)^(1/$Y1423)))</f>
        <v/>
      </c>
      <c r="AE1423">
        <f>IF($Y1423="","",IF($Y1423=0,$Z1423*EXP($AA1423*-2),$Z1423*(1+$Y1423*$AA1423*-2)^(1/$Y1423)))</f>
        <v/>
      </c>
      <c r="AF1423">
        <f>IF($Y1423="","",IF($Y1423=0,$Z1423*EXP($AA1423*-3),$Z1423*(1+$Y1423*$AA1423*-3)^(1/$Y1423)))</f>
        <v/>
      </c>
      <c r="AG1423">
        <f>IF($W1423="","",IFERROR(INDEX(IF($T1423&lt;=60,est05_l,est519_l),MATCH($W1423,IF($T1423&lt;=60,est05_k,est519_k),1)),""))</f>
        <v/>
      </c>
      <c r="AH1423">
        <f>IF($W1423="","",IFERROR(INDEX(IF($T1423&lt;=60,est05_m,est519_m),MATCH($W1423,IF($T1423&lt;=60,est05_k,est519_k),1)),""))</f>
        <v/>
      </c>
      <c r="AI1423">
        <f>IF($W1423="","",IFERROR(INDEX(IF($T1423&lt;=60,est05_s,est519_s),MATCH($W1423,IF($T1423&lt;=60,est05_k,est519_k),1)),""))</f>
        <v/>
      </c>
      <c r="AJ1423">
        <f>IF($W1423="","",IFERROR(INDEX(IF($T1423&lt;=60,peso05_l,peso510_l),MATCH($W1423,IF($T1423&lt;=60,peso05_k,peso510_k),1)),""))</f>
        <v/>
      </c>
      <c r="AK1423">
        <f>IF($W1423="","",IFERROR(INDEX(IF($T1423&lt;=60,peso05_m,peso510_m),MATCH($W1423,IF($T1423&lt;=60,peso05_k,peso510_k),1)),""))</f>
        <v/>
      </c>
      <c r="AL1423">
        <f>IF($W1423="","",IFERROR(INDEX(IF($T1423&lt;=60,peso05_s,peso510_s),MATCH($W1423,IF($T1423&lt;=60,peso05_k,peso510_k),1)),""))</f>
        <v/>
      </c>
      <c r="AM1423">
        <f>IF($AJ1423="","",IF($AJ1423=0,LN($F1423/$AK1423)/$AL1423,((($F1423/$AK1423)^$AJ1423)-1)/($AJ1423*$AL1423)))</f>
        <v/>
      </c>
      <c r="AN1423">
        <f>IF($AJ1423="","",IF($AJ1423=0,$AK1423*EXP($AL1423*2),$AK1423*(1+$AJ1423*$AL1423*2)^(1/$AJ1423)))</f>
        <v/>
      </c>
      <c r="AO1423">
        <f>IF($AJ1423="","",IF($AJ1423=0,$AK1423*EXP($AL1423*3),$AK1423*(1+$AJ1423*$AL1423*3)^(1/$AJ1423)))</f>
        <v/>
      </c>
      <c r="AP1423">
        <f>IF($AJ1423="","",IF($AJ1423=0,$AK1423*EXP($AL1423*-2),$AK1423*(1+$AJ1423*$AL1423*-2)^(1/$AJ1423)))</f>
        <v/>
      </c>
      <c r="AQ1423">
        <f>IF($AJ1423="","",IF($AJ1423=0,$AK1423*EXP($AL1423*-3),$AK1423*(1+$AJ1423*$AL1423*-3)^(1/$AJ1423)))</f>
        <v/>
      </c>
      <c r="AR1423">
        <f>IF(OR($X1423="",$T1423&gt;60),"",IFERROR(INDEX(IF($T1423&lt;24,pcomp_l,palt_l),MATCH($X1423,IF($T1423&lt;24,pcomp_k,palt_k),1)),""))</f>
        <v/>
      </c>
      <c r="AS1423">
        <f>IF(OR($X1423="",$T1423&gt;60),"",IFERROR(INDEX(IF($T1423&lt;24,pcomp_m,palt_m),MATCH($X1423,IF($T1423&lt;24,pcomp_k,palt_k),1)),""))</f>
        <v/>
      </c>
      <c r="AT1423">
        <f>IF(OR($X1423="",$T1423&gt;60),"",IFERROR(INDEX(IF($T1423&lt;24,pcomp_s,palt_s),MATCH($X1423,IF($T1423&lt;24,pcomp_k,palt_k),1)),""))</f>
        <v/>
      </c>
      <c r="AU1423">
        <f>IF($AR1423="","",IF($AR1423=0,LN($F1423/$AS1423)/$AT1423,((($F1423/$AS1423)^$AR1423)-1)/($AR1423*$AT1423)))</f>
        <v/>
      </c>
      <c r="AV1423">
        <f>IF($AR1423="","",IF($AR1423=0,$AS1423*EXP($AT1423*2),$AS1423*(1+$AR1423*$AT1423*2)^(1/$AR1423)))</f>
        <v/>
      </c>
      <c r="AW1423">
        <f>IF($AR1423="","",IF($AR1423=0,$AS1423*EXP($AT1423*3),$AS1423*(1+$AR1423*$AT1423*3)^(1/$AR1423)))</f>
        <v/>
      </c>
      <c r="AX1423">
        <f>IF($AR1423="","",IF($AR1423=0,$AS1423*EXP($AT1423*-2),$AS1423*(1+$AR1423*$AT1423*-2)^(1/$AR1423)))</f>
        <v/>
      </c>
      <c r="AY1423">
        <f>IF($AR1423="","",IF($AR1423=0,$AS1423*EXP($AT1423*-3),$AS1423*(1+$AR1423*$AT1423*-3)^(1/$AR1423)))</f>
        <v/>
      </c>
      <c r="AZ1423">
        <f>IF(OR($A1423="",$A1423&lt;&gt;Ficha!$C$4),"",COUNTIF($A$2:$A1423,Ficha!$C$4))</f>
        <v/>
      </c>
    </row>
    <row r="1424">
      <c r="A1424" s="8">
        <f>IF(INDEX(Banco!$A:$A,ROW())="","",INDEX(Banco!$A:$A,ROW()))</f>
        <v/>
      </c>
      <c r="B1424" s="8">
        <f>IF(INDEX(Banco!$B:$B,ROW())="","",INDEX(Banco!$B:$B,ROW()))</f>
        <v/>
      </c>
      <c r="C1424" s="8">
        <f>IF(INDEX(Banco!$C:$C,ROW())="","",INDEX(Banco!$C:$C,ROW()))</f>
        <v/>
      </c>
      <c r="D1424" s="9">
        <f>IF(INDEX(Banco!$D:$D,ROW())="","",INDEX(Banco!$D:$D,ROW()))</f>
        <v/>
      </c>
      <c r="E1424" s="9">
        <f>IF(INDEX(Banco!$E:$E,ROW())="","",INDEX(Banco!$E:$E,ROW()))</f>
        <v/>
      </c>
      <c r="F1424" s="10">
        <f>IF(INDEX(Banco!$F:$F,ROW())="","",INDEX(Banco!$F:$F,ROW()))</f>
        <v/>
      </c>
      <c r="G1424" s="10">
        <f>IF(INDEX(Banco!$G:$G,ROW())="","",INDEX(Banco!$G:$G,ROW()))</f>
        <v/>
      </c>
      <c r="H1424" s="8">
        <f>IF(INDEX(Banco!$H:$H,ROW())="","",INDEX(Banco!$H:$H,ROW()))</f>
        <v/>
      </c>
      <c r="I1424">
        <f>IF($T1424="","",INT($T1424/12)&amp;"a "&amp;MOD($T1424,12)&amp;"m")</f>
        <v/>
      </c>
      <c r="J1424" s="11">
        <f>IF(OR($F1424="",$G1424=""),"",ROUND($F1424/($G1424/100)^2,2))</f>
        <v/>
      </c>
      <c r="K1424" s="12">
        <f>IF(OR($S1424="",$J1424="",$T1424="",$T1424&lt;0,$T1424&gt;228,$Y1424=""),"—",ROUND(IF(ABS($AB1424)&lt;=3,$AB1424,IF($AB1424&gt;3,3+($J1424-$AD1424)/($AD1424-$AC1424),-3+($J1424-$AF1424)/($AE1424-$AF1424))),2))</f>
        <v/>
      </c>
      <c r="L1424">
        <f>IF(OR($K1424="",$K1424="—"),"",IF($T1424&lt;=60,IF($K1424&lt;-3,"Magreza acentuada",IF($K1424&lt;-2,"Magreza",IF($K1424&lt;=1,"Eutrofia",IF($K1424&lt;=2,"Risco de sobrepeso",IF($K1424&lt;=3,"Sobrepeso","Obesidade"))))),IF($K1424&lt;-3,"Magreza acentuada",IF($K1424&lt;-2,"Magreza",IF($K1424&lt;=1,"Eutrofia",IF($K1424&lt;=2,"Sobrepeso",IF($K1424&lt;=3,"Obesidade","Obesidade grave")))))))</f>
        <v/>
      </c>
      <c r="M1424" s="12">
        <f>IF(OR($S1424="",$V1424="",$T1424="",$T1424&lt;0,$T1424&gt;228,$AG1424=""),"—",ROUND(IF($AG1424=0,LN($V1424/$AH1424)/$AI1424,((($V1424/$AH1424)^$AG1424)-1)/($AG1424*$AI1424)),2))</f>
        <v/>
      </c>
      <c r="N1424">
        <f>IF(OR($M1424="",$M1424="—"),"",IF($M1424&lt;-3,"Muito baixa",IF($M1424&lt;-2,"Baixa","Adequada")))</f>
        <v/>
      </c>
      <c r="O1424" s="12">
        <f>IF(OR($S1424="",$F1424="",$T1424="",$T1424&lt;0,$T1424&gt;120,$AJ1424=""),"—",ROUND(IF(ABS($AM1424)&lt;=3,$AM1424,IF($AM1424&gt;3,3+($F1424-$AO1424)/($AO1424-$AN1424),-3+($F1424-$AQ1424)/($AP1424-$AQ1424))),2))</f>
        <v/>
      </c>
      <c r="P1424">
        <f>IF(OR($O1424="",$O1424="—"),"",IF($O1424&lt;-3,"Muito baixo",IF($O1424&lt;-2,"Baixo",IF($O1424&lt;=2,"Adequado","Elevado"))))</f>
        <v/>
      </c>
      <c r="Q1424" s="12">
        <f>IF(OR($S1424="",$F1424="",$T1424="",$T1424&lt;0,$T1424&gt;60,$AR1424=""),"—",ROUND(IF(ABS($AU1424)&lt;=3,$AU1424,IF($AU1424&gt;3,3+($F1424-$AW1424)/($AW1424-$AV1424),-3+($F1424-$AY1424)/($AX1424-$AY1424))),2))</f>
        <v/>
      </c>
      <c r="R1424">
        <f>IF(OR($Q1424="",$Q1424="—"),"",IF($Q1424&lt;-3,"Magreza acentuada",IF($Q1424&lt;-2,"Magreza",IF($Q1424&lt;=1,"Eutrofia",IF($Q1424&lt;=2,"Risco de sobrepeso",IF($Q1424&lt;=3,"Sobrepeso","Obesidade"))))))</f>
        <v/>
      </c>
      <c r="S1424">
        <f>IF($C1424="","",IF(UPPER(LEFT($C1424,1))="M",1,IF(UPPER(LEFT($C1424,1))="F",2,"")))</f>
        <v/>
      </c>
      <c r="T1424">
        <f>IF(OR($D1424="",$E1424=""),"",DATEDIF($D1424,$E1424,"m"))</f>
        <v/>
      </c>
      <c r="U1424">
        <f>IF(OR($D1424="",$E1424=""),"",$E1424-$D1424)</f>
        <v/>
      </c>
      <c r="V1424">
        <f>IF(OR($G1424="",$T1424=""),"",IF($T1424&lt;24,IF(LEFT(LOWER($H1424),4)="em p",$G1424+0.7,$G1424),IF(LEFT(LOWER($H1424),4)="deit",$G1424-0.7,$G1424)))</f>
        <v/>
      </c>
      <c r="W1424">
        <f>IF(OR($S1424="",$T1424=""),"",$S1424*1000000+IF($T1424&lt;=60,$U1424,$T1424))</f>
        <v/>
      </c>
      <c r="X1424">
        <f>IF(OR($S1424="",$V1424="",$T1424&gt;60,$T1424=""),"",$S1424*1000000+ROUND($V1424*10,0))</f>
        <v/>
      </c>
      <c r="Y1424">
        <f>IF($W1424="","",IFERROR(INDEX(IF($T1424&lt;=60,imc05_l,imc519_l),MATCH($W1424,IF($T1424&lt;=60,imc05_k,imc519_k),1)),""))</f>
        <v/>
      </c>
      <c r="Z1424">
        <f>IF($W1424="","",IFERROR(INDEX(IF($T1424&lt;=60,imc05_m,imc519_m),MATCH($W1424,IF($T1424&lt;=60,imc05_k,imc519_k),1)),""))</f>
        <v/>
      </c>
      <c r="AA1424">
        <f>IF($W1424="","",IFERROR(INDEX(IF($T1424&lt;=60,imc05_s,imc519_s),MATCH($W1424,IF($T1424&lt;=60,imc05_k,imc519_k),1)),""))</f>
        <v/>
      </c>
      <c r="AB1424">
        <f>IF($Y1424="","",IF($Y1424=0,LN($J1424/$Z1424)/$AA1424,((($J1424/$Z1424)^$Y1424)-1)/($Y1424*$AA1424)))</f>
        <v/>
      </c>
      <c r="AC1424">
        <f>IF($Y1424="","",IF($Y1424=0,$Z1424*EXP($AA1424*2),$Z1424*(1+$Y1424*$AA1424*2)^(1/$Y1424)))</f>
        <v/>
      </c>
      <c r="AD1424">
        <f>IF($Y1424="","",IF($Y1424=0,$Z1424*EXP($AA1424*3),$Z1424*(1+$Y1424*$AA1424*3)^(1/$Y1424)))</f>
        <v/>
      </c>
      <c r="AE1424">
        <f>IF($Y1424="","",IF($Y1424=0,$Z1424*EXP($AA1424*-2),$Z1424*(1+$Y1424*$AA1424*-2)^(1/$Y1424)))</f>
        <v/>
      </c>
      <c r="AF1424">
        <f>IF($Y1424="","",IF($Y1424=0,$Z1424*EXP($AA1424*-3),$Z1424*(1+$Y1424*$AA1424*-3)^(1/$Y1424)))</f>
        <v/>
      </c>
      <c r="AG1424">
        <f>IF($W1424="","",IFERROR(INDEX(IF($T1424&lt;=60,est05_l,est519_l),MATCH($W1424,IF($T1424&lt;=60,est05_k,est519_k),1)),""))</f>
        <v/>
      </c>
      <c r="AH1424">
        <f>IF($W1424="","",IFERROR(INDEX(IF($T1424&lt;=60,est05_m,est519_m),MATCH($W1424,IF($T1424&lt;=60,est05_k,est519_k),1)),""))</f>
        <v/>
      </c>
      <c r="AI1424">
        <f>IF($W1424="","",IFERROR(INDEX(IF($T1424&lt;=60,est05_s,est519_s),MATCH($W1424,IF($T1424&lt;=60,est05_k,est519_k),1)),""))</f>
        <v/>
      </c>
      <c r="AJ1424">
        <f>IF($W1424="","",IFERROR(INDEX(IF($T1424&lt;=60,peso05_l,peso510_l),MATCH($W1424,IF($T1424&lt;=60,peso05_k,peso510_k),1)),""))</f>
        <v/>
      </c>
      <c r="AK1424">
        <f>IF($W1424="","",IFERROR(INDEX(IF($T1424&lt;=60,peso05_m,peso510_m),MATCH($W1424,IF($T1424&lt;=60,peso05_k,peso510_k),1)),""))</f>
        <v/>
      </c>
      <c r="AL1424">
        <f>IF($W1424="","",IFERROR(INDEX(IF($T1424&lt;=60,peso05_s,peso510_s),MATCH($W1424,IF($T1424&lt;=60,peso05_k,peso510_k),1)),""))</f>
        <v/>
      </c>
      <c r="AM1424">
        <f>IF($AJ1424="","",IF($AJ1424=0,LN($F1424/$AK1424)/$AL1424,((($F1424/$AK1424)^$AJ1424)-1)/($AJ1424*$AL1424)))</f>
        <v/>
      </c>
      <c r="AN1424">
        <f>IF($AJ1424="","",IF($AJ1424=0,$AK1424*EXP($AL1424*2),$AK1424*(1+$AJ1424*$AL1424*2)^(1/$AJ1424)))</f>
        <v/>
      </c>
      <c r="AO1424">
        <f>IF($AJ1424="","",IF($AJ1424=0,$AK1424*EXP($AL1424*3),$AK1424*(1+$AJ1424*$AL1424*3)^(1/$AJ1424)))</f>
        <v/>
      </c>
      <c r="AP1424">
        <f>IF($AJ1424="","",IF($AJ1424=0,$AK1424*EXP($AL1424*-2),$AK1424*(1+$AJ1424*$AL1424*-2)^(1/$AJ1424)))</f>
        <v/>
      </c>
      <c r="AQ1424">
        <f>IF($AJ1424="","",IF($AJ1424=0,$AK1424*EXP($AL1424*-3),$AK1424*(1+$AJ1424*$AL1424*-3)^(1/$AJ1424)))</f>
        <v/>
      </c>
      <c r="AR1424">
        <f>IF(OR($X1424="",$T1424&gt;60),"",IFERROR(INDEX(IF($T1424&lt;24,pcomp_l,palt_l),MATCH($X1424,IF($T1424&lt;24,pcomp_k,palt_k),1)),""))</f>
        <v/>
      </c>
      <c r="AS1424">
        <f>IF(OR($X1424="",$T1424&gt;60),"",IFERROR(INDEX(IF($T1424&lt;24,pcomp_m,palt_m),MATCH($X1424,IF($T1424&lt;24,pcomp_k,palt_k),1)),""))</f>
        <v/>
      </c>
      <c r="AT1424">
        <f>IF(OR($X1424="",$T1424&gt;60),"",IFERROR(INDEX(IF($T1424&lt;24,pcomp_s,palt_s),MATCH($X1424,IF($T1424&lt;24,pcomp_k,palt_k),1)),""))</f>
        <v/>
      </c>
      <c r="AU1424">
        <f>IF($AR1424="","",IF($AR1424=0,LN($F1424/$AS1424)/$AT1424,((($F1424/$AS1424)^$AR1424)-1)/($AR1424*$AT1424)))</f>
        <v/>
      </c>
      <c r="AV1424">
        <f>IF($AR1424="","",IF($AR1424=0,$AS1424*EXP($AT1424*2),$AS1424*(1+$AR1424*$AT1424*2)^(1/$AR1424)))</f>
        <v/>
      </c>
      <c r="AW1424">
        <f>IF($AR1424="","",IF($AR1424=0,$AS1424*EXP($AT1424*3),$AS1424*(1+$AR1424*$AT1424*3)^(1/$AR1424)))</f>
        <v/>
      </c>
      <c r="AX1424">
        <f>IF($AR1424="","",IF($AR1424=0,$AS1424*EXP($AT1424*-2),$AS1424*(1+$AR1424*$AT1424*-2)^(1/$AR1424)))</f>
        <v/>
      </c>
      <c r="AY1424">
        <f>IF($AR1424="","",IF($AR1424=0,$AS1424*EXP($AT1424*-3),$AS1424*(1+$AR1424*$AT1424*-3)^(1/$AR1424)))</f>
        <v/>
      </c>
      <c r="AZ1424">
        <f>IF(OR($A1424="",$A1424&lt;&gt;Ficha!$C$4),"",COUNTIF($A$2:$A1424,Ficha!$C$4))</f>
        <v/>
      </c>
    </row>
    <row r="1425">
      <c r="A1425" s="8">
        <f>IF(INDEX(Banco!$A:$A,ROW())="","",INDEX(Banco!$A:$A,ROW()))</f>
        <v/>
      </c>
      <c r="B1425" s="8">
        <f>IF(INDEX(Banco!$B:$B,ROW())="","",INDEX(Banco!$B:$B,ROW()))</f>
        <v/>
      </c>
      <c r="C1425" s="8">
        <f>IF(INDEX(Banco!$C:$C,ROW())="","",INDEX(Banco!$C:$C,ROW()))</f>
        <v/>
      </c>
      <c r="D1425" s="9">
        <f>IF(INDEX(Banco!$D:$D,ROW())="","",INDEX(Banco!$D:$D,ROW()))</f>
        <v/>
      </c>
      <c r="E1425" s="9">
        <f>IF(INDEX(Banco!$E:$E,ROW())="","",INDEX(Banco!$E:$E,ROW()))</f>
        <v/>
      </c>
      <c r="F1425" s="10">
        <f>IF(INDEX(Banco!$F:$F,ROW())="","",INDEX(Banco!$F:$F,ROW()))</f>
        <v/>
      </c>
      <c r="G1425" s="10">
        <f>IF(INDEX(Banco!$G:$G,ROW())="","",INDEX(Banco!$G:$G,ROW()))</f>
        <v/>
      </c>
      <c r="H1425" s="8">
        <f>IF(INDEX(Banco!$H:$H,ROW())="","",INDEX(Banco!$H:$H,ROW()))</f>
        <v/>
      </c>
      <c r="I1425">
        <f>IF($T1425="","",INT($T1425/12)&amp;"a "&amp;MOD($T1425,12)&amp;"m")</f>
        <v/>
      </c>
      <c r="J1425" s="11">
        <f>IF(OR($F1425="",$G1425=""),"",ROUND($F1425/($G1425/100)^2,2))</f>
        <v/>
      </c>
      <c r="K1425" s="12">
        <f>IF(OR($S1425="",$J1425="",$T1425="",$T1425&lt;0,$T1425&gt;228,$Y1425=""),"—",ROUND(IF(ABS($AB1425)&lt;=3,$AB1425,IF($AB1425&gt;3,3+($J1425-$AD1425)/($AD1425-$AC1425),-3+($J1425-$AF1425)/($AE1425-$AF1425))),2))</f>
        <v/>
      </c>
      <c r="L1425">
        <f>IF(OR($K1425="",$K1425="—"),"",IF($T1425&lt;=60,IF($K1425&lt;-3,"Magreza acentuada",IF($K1425&lt;-2,"Magreza",IF($K1425&lt;=1,"Eutrofia",IF($K1425&lt;=2,"Risco de sobrepeso",IF($K1425&lt;=3,"Sobrepeso","Obesidade"))))),IF($K1425&lt;-3,"Magreza acentuada",IF($K1425&lt;-2,"Magreza",IF($K1425&lt;=1,"Eutrofia",IF($K1425&lt;=2,"Sobrepeso",IF($K1425&lt;=3,"Obesidade","Obesidade grave")))))))</f>
        <v/>
      </c>
      <c r="M1425" s="12">
        <f>IF(OR($S1425="",$V1425="",$T1425="",$T1425&lt;0,$T1425&gt;228,$AG1425=""),"—",ROUND(IF($AG1425=0,LN($V1425/$AH1425)/$AI1425,((($V1425/$AH1425)^$AG1425)-1)/($AG1425*$AI1425)),2))</f>
        <v/>
      </c>
      <c r="N1425">
        <f>IF(OR($M1425="",$M1425="—"),"",IF($M1425&lt;-3,"Muito baixa",IF($M1425&lt;-2,"Baixa","Adequada")))</f>
        <v/>
      </c>
      <c r="O1425" s="12">
        <f>IF(OR($S1425="",$F1425="",$T1425="",$T1425&lt;0,$T1425&gt;120,$AJ1425=""),"—",ROUND(IF(ABS($AM1425)&lt;=3,$AM1425,IF($AM1425&gt;3,3+($F1425-$AO1425)/($AO1425-$AN1425),-3+($F1425-$AQ1425)/($AP1425-$AQ1425))),2))</f>
        <v/>
      </c>
      <c r="P1425">
        <f>IF(OR($O1425="",$O1425="—"),"",IF($O1425&lt;-3,"Muito baixo",IF($O1425&lt;-2,"Baixo",IF($O1425&lt;=2,"Adequado","Elevado"))))</f>
        <v/>
      </c>
      <c r="Q1425" s="12">
        <f>IF(OR($S1425="",$F1425="",$T1425="",$T1425&lt;0,$T1425&gt;60,$AR1425=""),"—",ROUND(IF(ABS($AU1425)&lt;=3,$AU1425,IF($AU1425&gt;3,3+($F1425-$AW1425)/($AW1425-$AV1425),-3+($F1425-$AY1425)/($AX1425-$AY1425))),2))</f>
        <v/>
      </c>
      <c r="R1425">
        <f>IF(OR($Q1425="",$Q1425="—"),"",IF($Q1425&lt;-3,"Magreza acentuada",IF($Q1425&lt;-2,"Magreza",IF($Q1425&lt;=1,"Eutrofia",IF($Q1425&lt;=2,"Risco de sobrepeso",IF($Q1425&lt;=3,"Sobrepeso","Obesidade"))))))</f>
        <v/>
      </c>
      <c r="S1425">
        <f>IF($C1425="","",IF(UPPER(LEFT($C1425,1))="M",1,IF(UPPER(LEFT($C1425,1))="F",2,"")))</f>
        <v/>
      </c>
      <c r="T1425">
        <f>IF(OR($D1425="",$E1425=""),"",DATEDIF($D1425,$E1425,"m"))</f>
        <v/>
      </c>
      <c r="U1425">
        <f>IF(OR($D1425="",$E1425=""),"",$E1425-$D1425)</f>
        <v/>
      </c>
      <c r="V1425">
        <f>IF(OR($G1425="",$T1425=""),"",IF($T1425&lt;24,IF(LEFT(LOWER($H1425),4)="em p",$G1425+0.7,$G1425),IF(LEFT(LOWER($H1425),4)="deit",$G1425-0.7,$G1425)))</f>
        <v/>
      </c>
      <c r="W1425">
        <f>IF(OR($S1425="",$T1425=""),"",$S1425*1000000+IF($T1425&lt;=60,$U1425,$T1425))</f>
        <v/>
      </c>
      <c r="X1425">
        <f>IF(OR($S1425="",$V1425="",$T1425&gt;60,$T1425=""),"",$S1425*1000000+ROUND($V1425*10,0))</f>
        <v/>
      </c>
      <c r="Y1425">
        <f>IF($W1425="","",IFERROR(INDEX(IF($T1425&lt;=60,imc05_l,imc519_l),MATCH($W1425,IF($T1425&lt;=60,imc05_k,imc519_k),1)),""))</f>
        <v/>
      </c>
      <c r="Z1425">
        <f>IF($W1425="","",IFERROR(INDEX(IF($T1425&lt;=60,imc05_m,imc519_m),MATCH($W1425,IF($T1425&lt;=60,imc05_k,imc519_k),1)),""))</f>
        <v/>
      </c>
      <c r="AA1425">
        <f>IF($W1425="","",IFERROR(INDEX(IF($T1425&lt;=60,imc05_s,imc519_s),MATCH($W1425,IF($T1425&lt;=60,imc05_k,imc519_k),1)),""))</f>
        <v/>
      </c>
      <c r="AB1425">
        <f>IF($Y1425="","",IF($Y1425=0,LN($J1425/$Z1425)/$AA1425,((($J1425/$Z1425)^$Y1425)-1)/($Y1425*$AA1425)))</f>
        <v/>
      </c>
      <c r="AC1425">
        <f>IF($Y1425="","",IF($Y1425=0,$Z1425*EXP($AA1425*2),$Z1425*(1+$Y1425*$AA1425*2)^(1/$Y1425)))</f>
        <v/>
      </c>
      <c r="AD1425">
        <f>IF($Y1425="","",IF($Y1425=0,$Z1425*EXP($AA1425*3),$Z1425*(1+$Y1425*$AA1425*3)^(1/$Y1425)))</f>
        <v/>
      </c>
      <c r="AE1425">
        <f>IF($Y1425="","",IF($Y1425=0,$Z1425*EXP($AA1425*-2),$Z1425*(1+$Y1425*$AA1425*-2)^(1/$Y1425)))</f>
        <v/>
      </c>
      <c r="AF1425">
        <f>IF($Y1425="","",IF($Y1425=0,$Z1425*EXP($AA1425*-3),$Z1425*(1+$Y1425*$AA1425*-3)^(1/$Y1425)))</f>
        <v/>
      </c>
      <c r="AG1425">
        <f>IF($W1425="","",IFERROR(INDEX(IF($T1425&lt;=60,est05_l,est519_l),MATCH($W1425,IF($T1425&lt;=60,est05_k,est519_k),1)),""))</f>
        <v/>
      </c>
      <c r="AH1425">
        <f>IF($W1425="","",IFERROR(INDEX(IF($T1425&lt;=60,est05_m,est519_m),MATCH($W1425,IF($T1425&lt;=60,est05_k,est519_k),1)),""))</f>
        <v/>
      </c>
      <c r="AI1425">
        <f>IF($W1425="","",IFERROR(INDEX(IF($T1425&lt;=60,est05_s,est519_s),MATCH($W1425,IF($T1425&lt;=60,est05_k,est519_k),1)),""))</f>
        <v/>
      </c>
      <c r="AJ1425">
        <f>IF($W1425="","",IFERROR(INDEX(IF($T1425&lt;=60,peso05_l,peso510_l),MATCH($W1425,IF($T1425&lt;=60,peso05_k,peso510_k),1)),""))</f>
        <v/>
      </c>
      <c r="AK1425">
        <f>IF($W1425="","",IFERROR(INDEX(IF($T1425&lt;=60,peso05_m,peso510_m),MATCH($W1425,IF($T1425&lt;=60,peso05_k,peso510_k),1)),""))</f>
        <v/>
      </c>
      <c r="AL1425">
        <f>IF($W1425="","",IFERROR(INDEX(IF($T1425&lt;=60,peso05_s,peso510_s),MATCH($W1425,IF($T1425&lt;=60,peso05_k,peso510_k),1)),""))</f>
        <v/>
      </c>
      <c r="AM1425">
        <f>IF($AJ1425="","",IF($AJ1425=0,LN($F1425/$AK1425)/$AL1425,((($F1425/$AK1425)^$AJ1425)-1)/($AJ1425*$AL1425)))</f>
        <v/>
      </c>
      <c r="AN1425">
        <f>IF($AJ1425="","",IF($AJ1425=0,$AK1425*EXP($AL1425*2),$AK1425*(1+$AJ1425*$AL1425*2)^(1/$AJ1425)))</f>
        <v/>
      </c>
      <c r="AO1425">
        <f>IF($AJ1425="","",IF($AJ1425=0,$AK1425*EXP($AL1425*3),$AK1425*(1+$AJ1425*$AL1425*3)^(1/$AJ1425)))</f>
        <v/>
      </c>
      <c r="AP1425">
        <f>IF($AJ1425="","",IF($AJ1425=0,$AK1425*EXP($AL1425*-2),$AK1425*(1+$AJ1425*$AL1425*-2)^(1/$AJ1425)))</f>
        <v/>
      </c>
      <c r="AQ1425">
        <f>IF($AJ1425="","",IF($AJ1425=0,$AK1425*EXP($AL1425*-3),$AK1425*(1+$AJ1425*$AL1425*-3)^(1/$AJ1425)))</f>
        <v/>
      </c>
      <c r="AR1425">
        <f>IF(OR($X1425="",$T1425&gt;60),"",IFERROR(INDEX(IF($T1425&lt;24,pcomp_l,palt_l),MATCH($X1425,IF($T1425&lt;24,pcomp_k,palt_k),1)),""))</f>
        <v/>
      </c>
      <c r="AS1425">
        <f>IF(OR($X1425="",$T1425&gt;60),"",IFERROR(INDEX(IF($T1425&lt;24,pcomp_m,palt_m),MATCH($X1425,IF($T1425&lt;24,pcomp_k,palt_k),1)),""))</f>
        <v/>
      </c>
      <c r="AT1425">
        <f>IF(OR($X1425="",$T1425&gt;60),"",IFERROR(INDEX(IF($T1425&lt;24,pcomp_s,palt_s),MATCH($X1425,IF($T1425&lt;24,pcomp_k,palt_k),1)),""))</f>
        <v/>
      </c>
      <c r="AU1425">
        <f>IF($AR1425="","",IF($AR1425=0,LN($F1425/$AS1425)/$AT1425,((($F1425/$AS1425)^$AR1425)-1)/($AR1425*$AT1425)))</f>
        <v/>
      </c>
      <c r="AV1425">
        <f>IF($AR1425="","",IF($AR1425=0,$AS1425*EXP($AT1425*2),$AS1425*(1+$AR1425*$AT1425*2)^(1/$AR1425)))</f>
        <v/>
      </c>
      <c r="AW1425">
        <f>IF($AR1425="","",IF($AR1425=0,$AS1425*EXP($AT1425*3),$AS1425*(1+$AR1425*$AT1425*3)^(1/$AR1425)))</f>
        <v/>
      </c>
      <c r="AX1425">
        <f>IF($AR1425="","",IF($AR1425=0,$AS1425*EXP($AT1425*-2),$AS1425*(1+$AR1425*$AT1425*-2)^(1/$AR1425)))</f>
        <v/>
      </c>
      <c r="AY1425">
        <f>IF($AR1425="","",IF($AR1425=0,$AS1425*EXP($AT1425*-3),$AS1425*(1+$AR1425*$AT1425*-3)^(1/$AR1425)))</f>
        <v/>
      </c>
      <c r="AZ1425">
        <f>IF(OR($A1425="",$A1425&lt;&gt;Ficha!$C$4),"",COUNTIF($A$2:$A1425,Ficha!$C$4))</f>
        <v/>
      </c>
    </row>
    <row r="1426">
      <c r="A1426" s="8">
        <f>IF(INDEX(Banco!$A:$A,ROW())="","",INDEX(Banco!$A:$A,ROW()))</f>
        <v/>
      </c>
      <c r="B1426" s="8">
        <f>IF(INDEX(Banco!$B:$B,ROW())="","",INDEX(Banco!$B:$B,ROW()))</f>
        <v/>
      </c>
      <c r="C1426" s="8">
        <f>IF(INDEX(Banco!$C:$C,ROW())="","",INDEX(Banco!$C:$C,ROW()))</f>
        <v/>
      </c>
      <c r="D1426" s="9">
        <f>IF(INDEX(Banco!$D:$D,ROW())="","",INDEX(Banco!$D:$D,ROW()))</f>
        <v/>
      </c>
      <c r="E1426" s="9">
        <f>IF(INDEX(Banco!$E:$E,ROW())="","",INDEX(Banco!$E:$E,ROW()))</f>
        <v/>
      </c>
      <c r="F1426" s="10">
        <f>IF(INDEX(Banco!$F:$F,ROW())="","",INDEX(Banco!$F:$F,ROW()))</f>
        <v/>
      </c>
      <c r="G1426" s="10">
        <f>IF(INDEX(Banco!$G:$G,ROW())="","",INDEX(Banco!$G:$G,ROW()))</f>
        <v/>
      </c>
      <c r="H1426" s="8">
        <f>IF(INDEX(Banco!$H:$H,ROW())="","",INDEX(Banco!$H:$H,ROW()))</f>
        <v/>
      </c>
      <c r="I1426">
        <f>IF($T1426="","",INT($T1426/12)&amp;"a "&amp;MOD($T1426,12)&amp;"m")</f>
        <v/>
      </c>
      <c r="J1426" s="11">
        <f>IF(OR($F1426="",$G1426=""),"",ROUND($F1426/($G1426/100)^2,2))</f>
        <v/>
      </c>
      <c r="K1426" s="12">
        <f>IF(OR($S1426="",$J1426="",$T1426="",$T1426&lt;0,$T1426&gt;228,$Y1426=""),"—",ROUND(IF(ABS($AB1426)&lt;=3,$AB1426,IF($AB1426&gt;3,3+($J1426-$AD1426)/($AD1426-$AC1426),-3+($J1426-$AF1426)/($AE1426-$AF1426))),2))</f>
        <v/>
      </c>
      <c r="L1426">
        <f>IF(OR($K1426="",$K1426="—"),"",IF($T1426&lt;=60,IF($K1426&lt;-3,"Magreza acentuada",IF($K1426&lt;-2,"Magreza",IF($K1426&lt;=1,"Eutrofia",IF($K1426&lt;=2,"Risco de sobrepeso",IF($K1426&lt;=3,"Sobrepeso","Obesidade"))))),IF($K1426&lt;-3,"Magreza acentuada",IF($K1426&lt;-2,"Magreza",IF($K1426&lt;=1,"Eutrofia",IF($K1426&lt;=2,"Sobrepeso",IF($K1426&lt;=3,"Obesidade","Obesidade grave")))))))</f>
        <v/>
      </c>
      <c r="M1426" s="12">
        <f>IF(OR($S1426="",$V1426="",$T1426="",$T1426&lt;0,$T1426&gt;228,$AG1426=""),"—",ROUND(IF($AG1426=0,LN($V1426/$AH1426)/$AI1426,((($V1426/$AH1426)^$AG1426)-1)/($AG1426*$AI1426)),2))</f>
        <v/>
      </c>
      <c r="N1426">
        <f>IF(OR($M1426="",$M1426="—"),"",IF($M1426&lt;-3,"Muito baixa",IF($M1426&lt;-2,"Baixa","Adequada")))</f>
        <v/>
      </c>
      <c r="O1426" s="12">
        <f>IF(OR($S1426="",$F1426="",$T1426="",$T1426&lt;0,$T1426&gt;120,$AJ1426=""),"—",ROUND(IF(ABS($AM1426)&lt;=3,$AM1426,IF($AM1426&gt;3,3+($F1426-$AO1426)/($AO1426-$AN1426),-3+($F1426-$AQ1426)/($AP1426-$AQ1426))),2))</f>
        <v/>
      </c>
      <c r="P1426">
        <f>IF(OR($O1426="",$O1426="—"),"",IF($O1426&lt;-3,"Muito baixo",IF($O1426&lt;-2,"Baixo",IF($O1426&lt;=2,"Adequado","Elevado"))))</f>
        <v/>
      </c>
      <c r="Q1426" s="12">
        <f>IF(OR($S1426="",$F1426="",$T1426="",$T1426&lt;0,$T1426&gt;60,$AR1426=""),"—",ROUND(IF(ABS($AU1426)&lt;=3,$AU1426,IF($AU1426&gt;3,3+($F1426-$AW1426)/($AW1426-$AV1426),-3+($F1426-$AY1426)/($AX1426-$AY1426))),2))</f>
        <v/>
      </c>
      <c r="R1426">
        <f>IF(OR($Q1426="",$Q1426="—"),"",IF($Q1426&lt;-3,"Magreza acentuada",IF($Q1426&lt;-2,"Magreza",IF($Q1426&lt;=1,"Eutrofia",IF($Q1426&lt;=2,"Risco de sobrepeso",IF($Q1426&lt;=3,"Sobrepeso","Obesidade"))))))</f>
        <v/>
      </c>
      <c r="S1426">
        <f>IF($C1426="","",IF(UPPER(LEFT($C1426,1))="M",1,IF(UPPER(LEFT($C1426,1))="F",2,"")))</f>
        <v/>
      </c>
      <c r="T1426">
        <f>IF(OR($D1426="",$E1426=""),"",DATEDIF($D1426,$E1426,"m"))</f>
        <v/>
      </c>
      <c r="U1426">
        <f>IF(OR($D1426="",$E1426=""),"",$E1426-$D1426)</f>
        <v/>
      </c>
      <c r="V1426">
        <f>IF(OR($G1426="",$T1426=""),"",IF($T1426&lt;24,IF(LEFT(LOWER($H1426),4)="em p",$G1426+0.7,$G1426),IF(LEFT(LOWER($H1426),4)="deit",$G1426-0.7,$G1426)))</f>
        <v/>
      </c>
      <c r="W1426">
        <f>IF(OR($S1426="",$T1426=""),"",$S1426*1000000+IF($T1426&lt;=60,$U1426,$T1426))</f>
        <v/>
      </c>
      <c r="X1426">
        <f>IF(OR($S1426="",$V1426="",$T1426&gt;60,$T1426=""),"",$S1426*1000000+ROUND($V1426*10,0))</f>
        <v/>
      </c>
      <c r="Y1426">
        <f>IF($W1426="","",IFERROR(INDEX(IF($T1426&lt;=60,imc05_l,imc519_l),MATCH($W1426,IF($T1426&lt;=60,imc05_k,imc519_k),1)),""))</f>
        <v/>
      </c>
      <c r="Z1426">
        <f>IF($W1426="","",IFERROR(INDEX(IF($T1426&lt;=60,imc05_m,imc519_m),MATCH($W1426,IF($T1426&lt;=60,imc05_k,imc519_k),1)),""))</f>
        <v/>
      </c>
      <c r="AA1426">
        <f>IF($W1426="","",IFERROR(INDEX(IF($T1426&lt;=60,imc05_s,imc519_s),MATCH($W1426,IF($T1426&lt;=60,imc05_k,imc519_k),1)),""))</f>
        <v/>
      </c>
      <c r="AB1426">
        <f>IF($Y1426="","",IF($Y1426=0,LN($J1426/$Z1426)/$AA1426,((($J1426/$Z1426)^$Y1426)-1)/($Y1426*$AA1426)))</f>
        <v/>
      </c>
      <c r="AC1426">
        <f>IF($Y1426="","",IF($Y1426=0,$Z1426*EXP($AA1426*2),$Z1426*(1+$Y1426*$AA1426*2)^(1/$Y1426)))</f>
        <v/>
      </c>
      <c r="AD1426">
        <f>IF($Y1426="","",IF($Y1426=0,$Z1426*EXP($AA1426*3),$Z1426*(1+$Y1426*$AA1426*3)^(1/$Y1426)))</f>
        <v/>
      </c>
      <c r="AE1426">
        <f>IF($Y1426="","",IF($Y1426=0,$Z1426*EXP($AA1426*-2),$Z1426*(1+$Y1426*$AA1426*-2)^(1/$Y1426)))</f>
        <v/>
      </c>
      <c r="AF1426">
        <f>IF($Y1426="","",IF($Y1426=0,$Z1426*EXP($AA1426*-3),$Z1426*(1+$Y1426*$AA1426*-3)^(1/$Y1426)))</f>
        <v/>
      </c>
      <c r="AG1426">
        <f>IF($W1426="","",IFERROR(INDEX(IF($T1426&lt;=60,est05_l,est519_l),MATCH($W1426,IF($T1426&lt;=60,est05_k,est519_k),1)),""))</f>
        <v/>
      </c>
      <c r="AH1426">
        <f>IF($W1426="","",IFERROR(INDEX(IF($T1426&lt;=60,est05_m,est519_m),MATCH($W1426,IF($T1426&lt;=60,est05_k,est519_k),1)),""))</f>
        <v/>
      </c>
      <c r="AI1426">
        <f>IF($W1426="","",IFERROR(INDEX(IF($T1426&lt;=60,est05_s,est519_s),MATCH($W1426,IF($T1426&lt;=60,est05_k,est519_k),1)),""))</f>
        <v/>
      </c>
      <c r="AJ1426">
        <f>IF($W1426="","",IFERROR(INDEX(IF($T1426&lt;=60,peso05_l,peso510_l),MATCH($W1426,IF($T1426&lt;=60,peso05_k,peso510_k),1)),""))</f>
        <v/>
      </c>
      <c r="AK1426">
        <f>IF($W1426="","",IFERROR(INDEX(IF($T1426&lt;=60,peso05_m,peso510_m),MATCH($W1426,IF($T1426&lt;=60,peso05_k,peso510_k),1)),""))</f>
        <v/>
      </c>
      <c r="AL1426">
        <f>IF($W1426="","",IFERROR(INDEX(IF($T1426&lt;=60,peso05_s,peso510_s),MATCH($W1426,IF($T1426&lt;=60,peso05_k,peso510_k),1)),""))</f>
        <v/>
      </c>
      <c r="AM1426">
        <f>IF($AJ1426="","",IF($AJ1426=0,LN($F1426/$AK1426)/$AL1426,((($F1426/$AK1426)^$AJ1426)-1)/($AJ1426*$AL1426)))</f>
        <v/>
      </c>
      <c r="AN1426">
        <f>IF($AJ1426="","",IF($AJ1426=0,$AK1426*EXP($AL1426*2),$AK1426*(1+$AJ1426*$AL1426*2)^(1/$AJ1426)))</f>
        <v/>
      </c>
      <c r="AO1426">
        <f>IF($AJ1426="","",IF($AJ1426=0,$AK1426*EXP($AL1426*3),$AK1426*(1+$AJ1426*$AL1426*3)^(1/$AJ1426)))</f>
        <v/>
      </c>
      <c r="AP1426">
        <f>IF($AJ1426="","",IF($AJ1426=0,$AK1426*EXP($AL1426*-2),$AK1426*(1+$AJ1426*$AL1426*-2)^(1/$AJ1426)))</f>
        <v/>
      </c>
      <c r="AQ1426">
        <f>IF($AJ1426="","",IF($AJ1426=0,$AK1426*EXP($AL1426*-3),$AK1426*(1+$AJ1426*$AL1426*-3)^(1/$AJ1426)))</f>
        <v/>
      </c>
      <c r="AR1426">
        <f>IF(OR($X1426="",$T1426&gt;60),"",IFERROR(INDEX(IF($T1426&lt;24,pcomp_l,palt_l),MATCH($X1426,IF($T1426&lt;24,pcomp_k,palt_k),1)),""))</f>
        <v/>
      </c>
      <c r="AS1426">
        <f>IF(OR($X1426="",$T1426&gt;60),"",IFERROR(INDEX(IF($T1426&lt;24,pcomp_m,palt_m),MATCH($X1426,IF($T1426&lt;24,pcomp_k,palt_k),1)),""))</f>
        <v/>
      </c>
      <c r="AT1426">
        <f>IF(OR($X1426="",$T1426&gt;60),"",IFERROR(INDEX(IF($T1426&lt;24,pcomp_s,palt_s),MATCH($X1426,IF($T1426&lt;24,pcomp_k,palt_k),1)),""))</f>
        <v/>
      </c>
      <c r="AU1426">
        <f>IF($AR1426="","",IF($AR1426=0,LN($F1426/$AS1426)/$AT1426,((($F1426/$AS1426)^$AR1426)-1)/($AR1426*$AT1426)))</f>
        <v/>
      </c>
      <c r="AV1426">
        <f>IF($AR1426="","",IF($AR1426=0,$AS1426*EXP($AT1426*2),$AS1426*(1+$AR1426*$AT1426*2)^(1/$AR1426)))</f>
        <v/>
      </c>
      <c r="AW1426">
        <f>IF($AR1426="","",IF($AR1426=0,$AS1426*EXP($AT1426*3),$AS1426*(1+$AR1426*$AT1426*3)^(1/$AR1426)))</f>
        <v/>
      </c>
      <c r="AX1426">
        <f>IF($AR1426="","",IF($AR1426=0,$AS1426*EXP($AT1426*-2),$AS1426*(1+$AR1426*$AT1426*-2)^(1/$AR1426)))</f>
        <v/>
      </c>
      <c r="AY1426">
        <f>IF($AR1426="","",IF($AR1426=0,$AS1426*EXP($AT1426*-3),$AS1426*(1+$AR1426*$AT1426*-3)^(1/$AR1426)))</f>
        <v/>
      </c>
      <c r="AZ1426">
        <f>IF(OR($A1426="",$A1426&lt;&gt;Ficha!$C$4),"",COUNTIF($A$2:$A1426,Ficha!$C$4))</f>
        <v/>
      </c>
    </row>
    <row r="1427">
      <c r="A1427" s="8">
        <f>IF(INDEX(Banco!$A:$A,ROW())="","",INDEX(Banco!$A:$A,ROW()))</f>
        <v/>
      </c>
      <c r="B1427" s="8">
        <f>IF(INDEX(Banco!$B:$B,ROW())="","",INDEX(Banco!$B:$B,ROW()))</f>
        <v/>
      </c>
      <c r="C1427" s="8">
        <f>IF(INDEX(Banco!$C:$C,ROW())="","",INDEX(Banco!$C:$C,ROW()))</f>
        <v/>
      </c>
      <c r="D1427" s="9">
        <f>IF(INDEX(Banco!$D:$D,ROW())="","",INDEX(Banco!$D:$D,ROW()))</f>
        <v/>
      </c>
      <c r="E1427" s="9">
        <f>IF(INDEX(Banco!$E:$E,ROW())="","",INDEX(Banco!$E:$E,ROW()))</f>
        <v/>
      </c>
      <c r="F1427" s="10">
        <f>IF(INDEX(Banco!$F:$F,ROW())="","",INDEX(Banco!$F:$F,ROW()))</f>
        <v/>
      </c>
      <c r="G1427" s="10">
        <f>IF(INDEX(Banco!$G:$G,ROW())="","",INDEX(Banco!$G:$G,ROW()))</f>
        <v/>
      </c>
      <c r="H1427" s="8">
        <f>IF(INDEX(Banco!$H:$H,ROW())="","",INDEX(Banco!$H:$H,ROW()))</f>
        <v/>
      </c>
      <c r="I1427">
        <f>IF($T1427="","",INT($T1427/12)&amp;"a "&amp;MOD($T1427,12)&amp;"m")</f>
        <v/>
      </c>
      <c r="J1427" s="11">
        <f>IF(OR($F1427="",$G1427=""),"",ROUND($F1427/($G1427/100)^2,2))</f>
        <v/>
      </c>
      <c r="K1427" s="12">
        <f>IF(OR($S1427="",$J1427="",$T1427="",$T1427&lt;0,$T1427&gt;228,$Y1427=""),"—",ROUND(IF(ABS($AB1427)&lt;=3,$AB1427,IF($AB1427&gt;3,3+($J1427-$AD1427)/($AD1427-$AC1427),-3+($J1427-$AF1427)/($AE1427-$AF1427))),2))</f>
        <v/>
      </c>
      <c r="L1427">
        <f>IF(OR($K1427="",$K1427="—"),"",IF($T1427&lt;=60,IF($K1427&lt;-3,"Magreza acentuada",IF($K1427&lt;-2,"Magreza",IF($K1427&lt;=1,"Eutrofia",IF($K1427&lt;=2,"Risco de sobrepeso",IF($K1427&lt;=3,"Sobrepeso","Obesidade"))))),IF($K1427&lt;-3,"Magreza acentuada",IF($K1427&lt;-2,"Magreza",IF($K1427&lt;=1,"Eutrofia",IF($K1427&lt;=2,"Sobrepeso",IF($K1427&lt;=3,"Obesidade","Obesidade grave")))))))</f>
        <v/>
      </c>
      <c r="M1427" s="12">
        <f>IF(OR($S1427="",$V1427="",$T1427="",$T1427&lt;0,$T1427&gt;228,$AG1427=""),"—",ROUND(IF($AG1427=0,LN($V1427/$AH1427)/$AI1427,((($V1427/$AH1427)^$AG1427)-1)/($AG1427*$AI1427)),2))</f>
        <v/>
      </c>
      <c r="N1427">
        <f>IF(OR($M1427="",$M1427="—"),"",IF($M1427&lt;-3,"Muito baixa",IF($M1427&lt;-2,"Baixa","Adequada")))</f>
        <v/>
      </c>
      <c r="O1427" s="12">
        <f>IF(OR($S1427="",$F1427="",$T1427="",$T1427&lt;0,$T1427&gt;120,$AJ1427=""),"—",ROUND(IF(ABS($AM1427)&lt;=3,$AM1427,IF($AM1427&gt;3,3+($F1427-$AO1427)/($AO1427-$AN1427),-3+($F1427-$AQ1427)/($AP1427-$AQ1427))),2))</f>
        <v/>
      </c>
      <c r="P1427">
        <f>IF(OR($O1427="",$O1427="—"),"",IF($O1427&lt;-3,"Muito baixo",IF($O1427&lt;-2,"Baixo",IF($O1427&lt;=2,"Adequado","Elevado"))))</f>
        <v/>
      </c>
      <c r="Q1427" s="12">
        <f>IF(OR($S1427="",$F1427="",$T1427="",$T1427&lt;0,$T1427&gt;60,$AR1427=""),"—",ROUND(IF(ABS($AU1427)&lt;=3,$AU1427,IF($AU1427&gt;3,3+($F1427-$AW1427)/($AW1427-$AV1427),-3+($F1427-$AY1427)/($AX1427-$AY1427))),2))</f>
        <v/>
      </c>
      <c r="R1427">
        <f>IF(OR($Q1427="",$Q1427="—"),"",IF($Q1427&lt;-3,"Magreza acentuada",IF($Q1427&lt;-2,"Magreza",IF($Q1427&lt;=1,"Eutrofia",IF($Q1427&lt;=2,"Risco de sobrepeso",IF($Q1427&lt;=3,"Sobrepeso","Obesidade"))))))</f>
        <v/>
      </c>
      <c r="S1427">
        <f>IF($C1427="","",IF(UPPER(LEFT($C1427,1))="M",1,IF(UPPER(LEFT($C1427,1))="F",2,"")))</f>
        <v/>
      </c>
      <c r="T1427">
        <f>IF(OR($D1427="",$E1427=""),"",DATEDIF($D1427,$E1427,"m"))</f>
        <v/>
      </c>
      <c r="U1427">
        <f>IF(OR($D1427="",$E1427=""),"",$E1427-$D1427)</f>
        <v/>
      </c>
      <c r="V1427">
        <f>IF(OR($G1427="",$T1427=""),"",IF($T1427&lt;24,IF(LEFT(LOWER($H1427),4)="em p",$G1427+0.7,$G1427),IF(LEFT(LOWER($H1427),4)="deit",$G1427-0.7,$G1427)))</f>
        <v/>
      </c>
      <c r="W1427">
        <f>IF(OR($S1427="",$T1427=""),"",$S1427*1000000+IF($T1427&lt;=60,$U1427,$T1427))</f>
        <v/>
      </c>
      <c r="X1427">
        <f>IF(OR($S1427="",$V1427="",$T1427&gt;60,$T1427=""),"",$S1427*1000000+ROUND($V1427*10,0))</f>
        <v/>
      </c>
      <c r="Y1427">
        <f>IF($W1427="","",IFERROR(INDEX(IF($T1427&lt;=60,imc05_l,imc519_l),MATCH($W1427,IF($T1427&lt;=60,imc05_k,imc519_k),1)),""))</f>
        <v/>
      </c>
      <c r="Z1427">
        <f>IF($W1427="","",IFERROR(INDEX(IF($T1427&lt;=60,imc05_m,imc519_m),MATCH($W1427,IF($T1427&lt;=60,imc05_k,imc519_k),1)),""))</f>
        <v/>
      </c>
      <c r="AA1427">
        <f>IF($W1427="","",IFERROR(INDEX(IF($T1427&lt;=60,imc05_s,imc519_s),MATCH($W1427,IF($T1427&lt;=60,imc05_k,imc519_k),1)),""))</f>
        <v/>
      </c>
      <c r="AB1427">
        <f>IF($Y1427="","",IF($Y1427=0,LN($J1427/$Z1427)/$AA1427,((($J1427/$Z1427)^$Y1427)-1)/($Y1427*$AA1427)))</f>
        <v/>
      </c>
      <c r="AC1427">
        <f>IF($Y1427="","",IF($Y1427=0,$Z1427*EXP($AA1427*2),$Z1427*(1+$Y1427*$AA1427*2)^(1/$Y1427)))</f>
        <v/>
      </c>
      <c r="AD1427">
        <f>IF($Y1427="","",IF($Y1427=0,$Z1427*EXP($AA1427*3),$Z1427*(1+$Y1427*$AA1427*3)^(1/$Y1427)))</f>
        <v/>
      </c>
      <c r="AE1427">
        <f>IF($Y1427="","",IF($Y1427=0,$Z1427*EXP($AA1427*-2),$Z1427*(1+$Y1427*$AA1427*-2)^(1/$Y1427)))</f>
        <v/>
      </c>
      <c r="AF1427">
        <f>IF($Y1427="","",IF($Y1427=0,$Z1427*EXP($AA1427*-3),$Z1427*(1+$Y1427*$AA1427*-3)^(1/$Y1427)))</f>
        <v/>
      </c>
      <c r="AG1427">
        <f>IF($W1427="","",IFERROR(INDEX(IF($T1427&lt;=60,est05_l,est519_l),MATCH($W1427,IF($T1427&lt;=60,est05_k,est519_k),1)),""))</f>
        <v/>
      </c>
      <c r="AH1427">
        <f>IF($W1427="","",IFERROR(INDEX(IF($T1427&lt;=60,est05_m,est519_m),MATCH($W1427,IF($T1427&lt;=60,est05_k,est519_k),1)),""))</f>
        <v/>
      </c>
      <c r="AI1427">
        <f>IF($W1427="","",IFERROR(INDEX(IF($T1427&lt;=60,est05_s,est519_s),MATCH($W1427,IF($T1427&lt;=60,est05_k,est519_k),1)),""))</f>
        <v/>
      </c>
      <c r="AJ1427">
        <f>IF($W1427="","",IFERROR(INDEX(IF($T1427&lt;=60,peso05_l,peso510_l),MATCH($W1427,IF($T1427&lt;=60,peso05_k,peso510_k),1)),""))</f>
        <v/>
      </c>
      <c r="AK1427">
        <f>IF($W1427="","",IFERROR(INDEX(IF($T1427&lt;=60,peso05_m,peso510_m),MATCH($W1427,IF($T1427&lt;=60,peso05_k,peso510_k),1)),""))</f>
        <v/>
      </c>
      <c r="AL1427">
        <f>IF($W1427="","",IFERROR(INDEX(IF($T1427&lt;=60,peso05_s,peso510_s),MATCH($W1427,IF($T1427&lt;=60,peso05_k,peso510_k),1)),""))</f>
        <v/>
      </c>
      <c r="AM1427">
        <f>IF($AJ1427="","",IF($AJ1427=0,LN($F1427/$AK1427)/$AL1427,((($F1427/$AK1427)^$AJ1427)-1)/($AJ1427*$AL1427)))</f>
        <v/>
      </c>
      <c r="AN1427">
        <f>IF($AJ1427="","",IF($AJ1427=0,$AK1427*EXP($AL1427*2),$AK1427*(1+$AJ1427*$AL1427*2)^(1/$AJ1427)))</f>
        <v/>
      </c>
      <c r="AO1427">
        <f>IF($AJ1427="","",IF($AJ1427=0,$AK1427*EXP($AL1427*3),$AK1427*(1+$AJ1427*$AL1427*3)^(1/$AJ1427)))</f>
        <v/>
      </c>
      <c r="AP1427">
        <f>IF($AJ1427="","",IF($AJ1427=0,$AK1427*EXP($AL1427*-2),$AK1427*(1+$AJ1427*$AL1427*-2)^(1/$AJ1427)))</f>
        <v/>
      </c>
      <c r="AQ1427">
        <f>IF($AJ1427="","",IF($AJ1427=0,$AK1427*EXP($AL1427*-3),$AK1427*(1+$AJ1427*$AL1427*-3)^(1/$AJ1427)))</f>
        <v/>
      </c>
      <c r="AR1427">
        <f>IF(OR($X1427="",$T1427&gt;60),"",IFERROR(INDEX(IF($T1427&lt;24,pcomp_l,palt_l),MATCH($X1427,IF($T1427&lt;24,pcomp_k,palt_k),1)),""))</f>
        <v/>
      </c>
      <c r="AS1427">
        <f>IF(OR($X1427="",$T1427&gt;60),"",IFERROR(INDEX(IF($T1427&lt;24,pcomp_m,palt_m),MATCH($X1427,IF($T1427&lt;24,pcomp_k,palt_k),1)),""))</f>
        <v/>
      </c>
      <c r="AT1427">
        <f>IF(OR($X1427="",$T1427&gt;60),"",IFERROR(INDEX(IF($T1427&lt;24,pcomp_s,palt_s),MATCH($X1427,IF($T1427&lt;24,pcomp_k,palt_k),1)),""))</f>
        <v/>
      </c>
      <c r="AU1427">
        <f>IF($AR1427="","",IF($AR1427=0,LN($F1427/$AS1427)/$AT1427,((($F1427/$AS1427)^$AR1427)-1)/($AR1427*$AT1427)))</f>
        <v/>
      </c>
      <c r="AV1427">
        <f>IF($AR1427="","",IF($AR1427=0,$AS1427*EXP($AT1427*2),$AS1427*(1+$AR1427*$AT1427*2)^(1/$AR1427)))</f>
        <v/>
      </c>
      <c r="AW1427">
        <f>IF($AR1427="","",IF($AR1427=0,$AS1427*EXP($AT1427*3),$AS1427*(1+$AR1427*$AT1427*3)^(1/$AR1427)))</f>
        <v/>
      </c>
      <c r="AX1427">
        <f>IF($AR1427="","",IF($AR1427=0,$AS1427*EXP($AT1427*-2),$AS1427*(1+$AR1427*$AT1427*-2)^(1/$AR1427)))</f>
        <v/>
      </c>
      <c r="AY1427">
        <f>IF($AR1427="","",IF($AR1427=0,$AS1427*EXP($AT1427*-3),$AS1427*(1+$AR1427*$AT1427*-3)^(1/$AR1427)))</f>
        <v/>
      </c>
      <c r="AZ1427">
        <f>IF(OR($A1427="",$A1427&lt;&gt;Ficha!$C$4),"",COUNTIF($A$2:$A1427,Ficha!$C$4))</f>
        <v/>
      </c>
    </row>
    <row r="1428">
      <c r="A1428" s="8">
        <f>IF(INDEX(Banco!$A:$A,ROW())="","",INDEX(Banco!$A:$A,ROW()))</f>
        <v/>
      </c>
      <c r="B1428" s="8">
        <f>IF(INDEX(Banco!$B:$B,ROW())="","",INDEX(Banco!$B:$B,ROW()))</f>
        <v/>
      </c>
      <c r="C1428" s="8">
        <f>IF(INDEX(Banco!$C:$C,ROW())="","",INDEX(Banco!$C:$C,ROW()))</f>
        <v/>
      </c>
      <c r="D1428" s="9">
        <f>IF(INDEX(Banco!$D:$D,ROW())="","",INDEX(Banco!$D:$D,ROW()))</f>
        <v/>
      </c>
      <c r="E1428" s="9">
        <f>IF(INDEX(Banco!$E:$E,ROW())="","",INDEX(Banco!$E:$E,ROW()))</f>
        <v/>
      </c>
      <c r="F1428" s="10">
        <f>IF(INDEX(Banco!$F:$F,ROW())="","",INDEX(Banco!$F:$F,ROW()))</f>
        <v/>
      </c>
      <c r="G1428" s="10">
        <f>IF(INDEX(Banco!$G:$G,ROW())="","",INDEX(Banco!$G:$G,ROW()))</f>
        <v/>
      </c>
      <c r="H1428" s="8">
        <f>IF(INDEX(Banco!$H:$H,ROW())="","",INDEX(Banco!$H:$H,ROW()))</f>
        <v/>
      </c>
      <c r="I1428">
        <f>IF($T1428="","",INT($T1428/12)&amp;"a "&amp;MOD($T1428,12)&amp;"m")</f>
        <v/>
      </c>
      <c r="J1428" s="11">
        <f>IF(OR($F1428="",$G1428=""),"",ROUND($F1428/($G1428/100)^2,2))</f>
        <v/>
      </c>
      <c r="K1428" s="12">
        <f>IF(OR($S1428="",$J1428="",$T1428="",$T1428&lt;0,$T1428&gt;228,$Y1428=""),"—",ROUND(IF(ABS($AB1428)&lt;=3,$AB1428,IF($AB1428&gt;3,3+($J1428-$AD1428)/($AD1428-$AC1428),-3+($J1428-$AF1428)/($AE1428-$AF1428))),2))</f>
        <v/>
      </c>
      <c r="L1428">
        <f>IF(OR($K1428="",$K1428="—"),"",IF($T1428&lt;=60,IF($K1428&lt;-3,"Magreza acentuada",IF($K1428&lt;-2,"Magreza",IF($K1428&lt;=1,"Eutrofia",IF($K1428&lt;=2,"Risco de sobrepeso",IF($K1428&lt;=3,"Sobrepeso","Obesidade"))))),IF($K1428&lt;-3,"Magreza acentuada",IF($K1428&lt;-2,"Magreza",IF($K1428&lt;=1,"Eutrofia",IF($K1428&lt;=2,"Sobrepeso",IF($K1428&lt;=3,"Obesidade","Obesidade grave")))))))</f>
        <v/>
      </c>
      <c r="M1428" s="12">
        <f>IF(OR($S1428="",$V1428="",$T1428="",$T1428&lt;0,$T1428&gt;228,$AG1428=""),"—",ROUND(IF($AG1428=0,LN($V1428/$AH1428)/$AI1428,((($V1428/$AH1428)^$AG1428)-1)/($AG1428*$AI1428)),2))</f>
        <v/>
      </c>
      <c r="N1428">
        <f>IF(OR($M1428="",$M1428="—"),"",IF($M1428&lt;-3,"Muito baixa",IF($M1428&lt;-2,"Baixa","Adequada")))</f>
        <v/>
      </c>
      <c r="O1428" s="12">
        <f>IF(OR($S1428="",$F1428="",$T1428="",$T1428&lt;0,$T1428&gt;120,$AJ1428=""),"—",ROUND(IF(ABS($AM1428)&lt;=3,$AM1428,IF($AM1428&gt;3,3+($F1428-$AO1428)/($AO1428-$AN1428),-3+($F1428-$AQ1428)/($AP1428-$AQ1428))),2))</f>
        <v/>
      </c>
      <c r="P1428">
        <f>IF(OR($O1428="",$O1428="—"),"",IF($O1428&lt;-3,"Muito baixo",IF($O1428&lt;-2,"Baixo",IF($O1428&lt;=2,"Adequado","Elevado"))))</f>
        <v/>
      </c>
      <c r="Q1428" s="12">
        <f>IF(OR($S1428="",$F1428="",$T1428="",$T1428&lt;0,$T1428&gt;60,$AR1428=""),"—",ROUND(IF(ABS($AU1428)&lt;=3,$AU1428,IF($AU1428&gt;3,3+($F1428-$AW1428)/($AW1428-$AV1428),-3+($F1428-$AY1428)/($AX1428-$AY1428))),2))</f>
        <v/>
      </c>
      <c r="R1428">
        <f>IF(OR($Q1428="",$Q1428="—"),"",IF($Q1428&lt;-3,"Magreza acentuada",IF($Q1428&lt;-2,"Magreza",IF($Q1428&lt;=1,"Eutrofia",IF($Q1428&lt;=2,"Risco de sobrepeso",IF($Q1428&lt;=3,"Sobrepeso","Obesidade"))))))</f>
        <v/>
      </c>
      <c r="S1428">
        <f>IF($C1428="","",IF(UPPER(LEFT($C1428,1))="M",1,IF(UPPER(LEFT($C1428,1))="F",2,"")))</f>
        <v/>
      </c>
      <c r="T1428">
        <f>IF(OR($D1428="",$E1428=""),"",DATEDIF($D1428,$E1428,"m"))</f>
        <v/>
      </c>
      <c r="U1428">
        <f>IF(OR($D1428="",$E1428=""),"",$E1428-$D1428)</f>
        <v/>
      </c>
      <c r="V1428">
        <f>IF(OR($G1428="",$T1428=""),"",IF($T1428&lt;24,IF(LEFT(LOWER($H1428),4)="em p",$G1428+0.7,$G1428),IF(LEFT(LOWER($H1428),4)="deit",$G1428-0.7,$G1428)))</f>
        <v/>
      </c>
      <c r="W1428">
        <f>IF(OR($S1428="",$T1428=""),"",$S1428*1000000+IF($T1428&lt;=60,$U1428,$T1428))</f>
        <v/>
      </c>
      <c r="X1428">
        <f>IF(OR($S1428="",$V1428="",$T1428&gt;60,$T1428=""),"",$S1428*1000000+ROUND($V1428*10,0))</f>
        <v/>
      </c>
      <c r="Y1428">
        <f>IF($W1428="","",IFERROR(INDEX(IF($T1428&lt;=60,imc05_l,imc519_l),MATCH($W1428,IF($T1428&lt;=60,imc05_k,imc519_k),1)),""))</f>
        <v/>
      </c>
      <c r="Z1428">
        <f>IF($W1428="","",IFERROR(INDEX(IF($T1428&lt;=60,imc05_m,imc519_m),MATCH($W1428,IF($T1428&lt;=60,imc05_k,imc519_k),1)),""))</f>
        <v/>
      </c>
      <c r="AA1428">
        <f>IF($W1428="","",IFERROR(INDEX(IF($T1428&lt;=60,imc05_s,imc519_s),MATCH($W1428,IF($T1428&lt;=60,imc05_k,imc519_k),1)),""))</f>
        <v/>
      </c>
      <c r="AB1428">
        <f>IF($Y1428="","",IF($Y1428=0,LN($J1428/$Z1428)/$AA1428,((($J1428/$Z1428)^$Y1428)-1)/($Y1428*$AA1428)))</f>
        <v/>
      </c>
      <c r="AC1428">
        <f>IF($Y1428="","",IF($Y1428=0,$Z1428*EXP($AA1428*2),$Z1428*(1+$Y1428*$AA1428*2)^(1/$Y1428)))</f>
        <v/>
      </c>
      <c r="AD1428">
        <f>IF($Y1428="","",IF($Y1428=0,$Z1428*EXP($AA1428*3),$Z1428*(1+$Y1428*$AA1428*3)^(1/$Y1428)))</f>
        <v/>
      </c>
      <c r="AE1428">
        <f>IF($Y1428="","",IF($Y1428=0,$Z1428*EXP($AA1428*-2),$Z1428*(1+$Y1428*$AA1428*-2)^(1/$Y1428)))</f>
        <v/>
      </c>
      <c r="AF1428">
        <f>IF($Y1428="","",IF($Y1428=0,$Z1428*EXP($AA1428*-3),$Z1428*(1+$Y1428*$AA1428*-3)^(1/$Y1428)))</f>
        <v/>
      </c>
      <c r="AG1428">
        <f>IF($W1428="","",IFERROR(INDEX(IF($T1428&lt;=60,est05_l,est519_l),MATCH($W1428,IF($T1428&lt;=60,est05_k,est519_k),1)),""))</f>
        <v/>
      </c>
      <c r="AH1428">
        <f>IF($W1428="","",IFERROR(INDEX(IF($T1428&lt;=60,est05_m,est519_m),MATCH($W1428,IF($T1428&lt;=60,est05_k,est519_k),1)),""))</f>
        <v/>
      </c>
      <c r="AI1428">
        <f>IF($W1428="","",IFERROR(INDEX(IF($T1428&lt;=60,est05_s,est519_s),MATCH($W1428,IF($T1428&lt;=60,est05_k,est519_k),1)),""))</f>
        <v/>
      </c>
      <c r="AJ1428">
        <f>IF($W1428="","",IFERROR(INDEX(IF($T1428&lt;=60,peso05_l,peso510_l),MATCH($W1428,IF($T1428&lt;=60,peso05_k,peso510_k),1)),""))</f>
        <v/>
      </c>
      <c r="AK1428">
        <f>IF($W1428="","",IFERROR(INDEX(IF($T1428&lt;=60,peso05_m,peso510_m),MATCH($W1428,IF($T1428&lt;=60,peso05_k,peso510_k),1)),""))</f>
        <v/>
      </c>
      <c r="AL1428">
        <f>IF($W1428="","",IFERROR(INDEX(IF($T1428&lt;=60,peso05_s,peso510_s),MATCH($W1428,IF($T1428&lt;=60,peso05_k,peso510_k),1)),""))</f>
        <v/>
      </c>
      <c r="AM1428">
        <f>IF($AJ1428="","",IF($AJ1428=0,LN($F1428/$AK1428)/$AL1428,((($F1428/$AK1428)^$AJ1428)-1)/($AJ1428*$AL1428)))</f>
        <v/>
      </c>
      <c r="AN1428">
        <f>IF($AJ1428="","",IF($AJ1428=0,$AK1428*EXP($AL1428*2),$AK1428*(1+$AJ1428*$AL1428*2)^(1/$AJ1428)))</f>
        <v/>
      </c>
      <c r="AO1428">
        <f>IF($AJ1428="","",IF($AJ1428=0,$AK1428*EXP($AL1428*3),$AK1428*(1+$AJ1428*$AL1428*3)^(1/$AJ1428)))</f>
        <v/>
      </c>
      <c r="AP1428">
        <f>IF($AJ1428="","",IF($AJ1428=0,$AK1428*EXP($AL1428*-2),$AK1428*(1+$AJ1428*$AL1428*-2)^(1/$AJ1428)))</f>
        <v/>
      </c>
      <c r="AQ1428">
        <f>IF($AJ1428="","",IF($AJ1428=0,$AK1428*EXP($AL1428*-3),$AK1428*(1+$AJ1428*$AL1428*-3)^(1/$AJ1428)))</f>
        <v/>
      </c>
      <c r="AR1428">
        <f>IF(OR($X1428="",$T1428&gt;60),"",IFERROR(INDEX(IF($T1428&lt;24,pcomp_l,palt_l),MATCH($X1428,IF($T1428&lt;24,pcomp_k,palt_k),1)),""))</f>
        <v/>
      </c>
      <c r="AS1428">
        <f>IF(OR($X1428="",$T1428&gt;60),"",IFERROR(INDEX(IF($T1428&lt;24,pcomp_m,palt_m),MATCH($X1428,IF($T1428&lt;24,pcomp_k,palt_k),1)),""))</f>
        <v/>
      </c>
      <c r="AT1428">
        <f>IF(OR($X1428="",$T1428&gt;60),"",IFERROR(INDEX(IF($T1428&lt;24,pcomp_s,palt_s),MATCH($X1428,IF($T1428&lt;24,pcomp_k,palt_k),1)),""))</f>
        <v/>
      </c>
      <c r="AU1428">
        <f>IF($AR1428="","",IF($AR1428=0,LN($F1428/$AS1428)/$AT1428,((($F1428/$AS1428)^$AR1428)-1)/($AR1428*$AT1428)))</f>
        <v/>
      </c>
      <c r="AV1428">
        <f>IF($AR1428="","",IF($AR1428=0,$AS1428*EXP($AT1428*2),$AS1428*(1+$AR1428*$AT1428*2)^(1/$AR1428)))</f>
        <v/>
      </c>
      <c r="AW1428">
        <f>IF($AR1428="","",IF($AR1428=0,$AS1428*EXP($AT1428*3),$AS1428*(1+$AR1428*$AT1428*3)^(1/$AR1428)))</f>
        <v/>
      </c>
      <c r="AX1428">
        <f>IF($AR1428="","",IF($AR1428=0,$AS1428*EXP($AT1428*-2),$AS1428*(1+$AR1428*$AT1428*-2)^(1/$AR1428)))</f>
        <v/>
      </c>
      <c r="AY1428">
        <f>IF($AR1428="","",IF($AR1428=0,$AS1428*EXP($AT1428*-3),$AS1428*(1+$AR1428*$AT1428*-3)^(1/$AR1428)))</f>
        <v/>
      </c>
      <c r="AZ1428">
        <f>IF(OR($A1428="",$A1428&lt;&gt;Ficha!$C$4),"",COUNTIF($A$2:$A1428,Ficha!$C$4))</f>
        <v/>
      </c>
    </row>
    <row r="1429">
      <c r="A1429" s="8">
        <f>IF(INDEX(Banco!$A:$A,ROW())="","",INDEX(Banco!$A:$A,ROW()))</f>
        <v/>
      </c>
      <c r="B1429" s="8">
        <f>IF(INDEX(Banco!$B:$B,ROW())="","",INDEX(Banco!$B:$B,ROW()))</f>
        <v/>
      </c>
      <c r="C1429" s="8">
        <f>IF(INDEX(Banco!$C:$C,ROW())="","",INDEX(Banco!$C:$C,ROW()))</f>
        <v/>
      </c>
      <c r="D1429" s="9">
        <f>IF(INDEX(Banco!$D:$D,ROW())="","",INDEX(Banco!$D:$D,ROW()))</f>
        <v/>
      </c>
      <c r="E1429" s="9">
        <f>IF(INDEX(Banco!$E:$E,ROW())="","",INDEX(Banco!$E:$E,ROW()))</f>
        <v/>
      </c>
      <c r="F1429" s="10">
        <f>IF(INDEX(Banco!$F:$F,ROW())="","",INDEX(Banco!$F:$F,ROW()))</f>
        <v/>
      </c>
      <c r="G1429" s="10">
        <f>IF(INDEX(Banco!$G:$G,ROW())="","",INDEX(Banco!$G:$G,ROW()))</f>
        <v/>
      </c>
      <c r="H1429" s="8">
        <f>IF(INDEX(Banco!$H:$H,ROW())="","",INDEX(Banco!$H:$H,ROW()))</f>
        <v/>
      </c>
      <c r="I1429">
        <f>IF($T1429="","",INT($T1429/12)&amp;"a "&amp;MOD($T1429,12)&amp;"m")</f>
        <v/>
      </c>
      <c r="J1429" s="11">
        <f>IF(OR($F1429="",$G1429=""),"",ROUND($F1429/($G1429/100)^2,2))</f>
        <v/>
      </c>
      <c r="K1429" s="12">
        <f>IF(OR($S1429="",$J1429="",$T1429="",$T1429&lt;0,$T1429&gt;228,$Y1429=""),"—",ROUND(IF(ABS($AB1429)&lt;=3,$AB1429,IF($AB1429&gt;3,3+($J1429-$AD1429)/($AD1429-$AC1429),-3+($J1429-$AF1429)/($AE1429-$AF1429))),2))</f>
        <v/>
      </c>
      <c r="L1429">
        <f>IF(OR($K1429="",$K1429="—"),"",IF($T1429&lt;=60,IF($K1429&lt;-3,"Magreza acentuada",IF($K1429&lt;-2,"Magreza",IF($K1429&lt;=1,"Eutrofia",IF($K1429&lt;=2,"Risco de sobrepeso",IF($K1429&lt;=3,"Sobrepeso","Obesidade"))))),IF($K1429&lt;-3,"Magreza acentuada",IF($K1429&lt;-2,"Magreza",IF($K1429&lt;=1,"Eutrofia",IF($K1429&lt;=2,"Sobrepeso",IF($K1429&lt;=3,"Obesidade","Obesidade grave")))))))</f>
        <v/>
      </c>
      <c r="M1429" s="12">
        <f>IF(OR($S1429="",$V1429="",$T1429="",$T1429&lt;0,$T1429&gt;228,$AG1429=""),"—",ROUND(IF($AG1429=0,LN($V1429/$AH1429)/$AI1429,((($V1429/$AH1429)^$AG1429)-1)/($AG1429*$AI1429)),2))</f>
        <v/>
      </c>
      <c r="N1429">
        <f>IF(OR($M1429="",$M1429="—"),"",IF($M1429&lt;-3,"Muito baixa",IF($M1429&lt;-2,"Baixa","Adequada")))</f>
        <v/>
      </c>
      <c r="O1429" s="12">
        <f>IF(OR($S1429="",$F1429="",$T1429="",$T1429&lt;0,$T1429&gt;120,$AJ1429=""),"—",ROUND(IF(ABS($AM1429)&lt;=3,$AM1429,IF($AM1429&gt;3,3+($F1429-$AO1429)/($AO1429-$AN1429),-3+($F1429-$AQ1429)/($AP1429-$AQ1429))),2))</f>
        <v/>
      </c>
      <c r="P1429">
        <f>IF(OR($O1429="",$O1429="—"),"",IF($O1429&lt;-3,"Muito baixo",IF($O1429&lt;-2,"Baixo",IF($O1429&lt;=2,"Adequado","Elevado"))))</f>
        <v/>
      </c>
      <c r="Q1429" s="12">
        <f>IF(OR($S1429="",$F1429="",$T1429="",$T1429&lt;0,$T1429&gt;60,$AR1429=""),"—",ROUND(IF(ABS($AU1429)&lt;=3,$AU1429,IF($AU1429&gt;3,3+($F1429-$AW1429)/($AW1429-$AV1429),-3+($F1429-$AY1429)/($AX1429-$AY1429))),2))</f>
        <v/>
      </c>
      <c r="R1429">
        <f>IF(OR($Q1429="",$Q1429="—"),"",IF($Q1429&lt;-3,"Magreza acentuada",IF($Q1429&lt;-2,"Magreza",IF($Q1429&lt;=1,"Eutrofia",IF($Q1429&lt;=2,"Risco de sobrepeso",IF($Q1429&lt;=3,"Sobrepeso","Obesidade"))))))</f>
        <v/>
      </c>
      <c r="S1429">
        <f>IF($C1429="","",IF(UPPER(LEFT($C1429,1))="M",1,IF(UPPER(LEFT($C1429,1))="F",2,"")))</f>
        <v/>
      </c>
      <c r="T1429">
        <f>IF(OR($D1429="",$E1429=""),"",DATEDIF($D1429,$E1429,"m"))</f>
        <v/>
      </c>
      <c r="U1429">
        <f>IF(OR($D1429="",$E1429=""),"",$E1429-$D1429)</f>
        <v/>
      </c>
      <c r="V1429">
        <f>IF(OR($G1429="",$T1429=""),"",IF($T1429&lt;24,IF(LEFT(LOWER($H1429),4)="em p",$G1429+0.7,$G1429),IF(LEFT(LOWER($H1429),4)="deit",$G1429-0.7,$G1429)))</f>
        <v/>
      </c>
      <c r="W1429">
        <f>IF(OR($S1429="",$T1429=""),"",$S1429*1000000+IF($T1429&lt;=60,$U1429,$T1429))</f>
        <v/>
      </c>
      <c r="X1429">
        <f>IF(OR($S1429="",$V1429="",$T1429&gt;60,$T1429=""),"",$S1429*1000000+ROUND($V1429*10,0))</f>
        <v/>
      </c>
      <c r="Y1429">
        <f>IF($W1429="","",IFERROR(INDEX(IF($T1429&lt;=60,imc05_l,imc519_l),MATCH($W1429,IF($T1429&lt;=60,imc05_k,imc519_k),1)),""))</f>
        <v/>
      </c>
      <c r="Z1429">
        <f>IF($W1429="","",IFERROR(INDEX(IF($T1429&lt;=60,imc05_m,imc519_m),MATCH($W1429,IF($T1429&lt;=60,imc05_k,imc519_k),1)),""))</f>
        <v/>
      </c>
      <c r="AA1429">
        <f>IF($W1429="","",IFERROR(INDEX(IF($T1429&lt;=60,imc05_s,imc519_s),MATCH($W1429,IF($T1429&lt;=60,imc05_k,imc519_k),1)),""))</f>
        <v/>
      </c>
      <c r="AB1429">
        <f>IF($Y1429="","",IF($Y1429=0,LN($J1429/$Z1429)/$AA1429,((($J1429/$Z1429)^$Y1429)-1)/($Y1429*$AA1429)))</f>
        <v/>
      </c>
      <c r="AC1429">
        <f>IF($Y1429="","",IF($Y1429=0,$Z1429*EXP($AA1429*2),$Z1429*(1+$Y1429*$AA1429*2)^(1/$Y1429)))</f>
        <v/>
      </c>
      <c r="AD1429">
        <f>IF($Y1429="","",IF($Y1429=0,$Z1429*EXP($AA1429*3),$Z1429*(1+$Y1429*$AA1429*3)^(1/$Y1429)))</f>
        <v/>
      </c>
      <c r="AE1429">
        <f>IF($Y1429="","",IF($Y1429=0,$Z1429*EXP($AA1429*-2),$Z1429*(1+$Y1429*$AA1429*-2)^(1/$Y1429)))</f>
        <v/>
      </c>
      <c r="AF1429">
        <f>IF($Y1429="","",IF($Y1429=0,$Z1429*EXP($AA1429*-3),$Z1429*(1+$Y1429*$AA1429*-3)^(1/$Y1429)))</f>
        <v/>
      </c>
      <c r="AG1429">
        <f>IF($W1429="","",IFERROR(INDEX(IF($T1429&lt;=60,est05_l,est519_l),MATCH($W1429,IF($T1429&lt;=60,est05_k,est519_k),1)),""))</f>
        <v/>
      </c>
      <c r="AH1429">
        <f>IF($W1429="","",IFERROR(INDEX(IF($T1429&lt;=60,est05_m,est519_m),MATCH($W1429,IF($T1429&lt;=60,est05_k,est519_k),1)),""))</f>
        <v/>
      </c>
      <c r="AI1429">
        <f>IF($W1429="","",IFERROR(INDEX(IF($T1429&lt;=60,est05_s,est519_s),MATCH($W1429,IF($T1429&lt;=60,est05_k,est519_k),1)),""))</f>
        <v/>
      </c>
      <c r="AJ1429">
        <f>IF($W1429="","",IFERROR(INDEX(IF($T1429&lt;=60,peso05_l,peso510_l),MATCH($W1429,IF($T1429&lt;=60,peso05_k,peso510_k),1)),""))</f>
        <v/>
      </c>
      <c r="AK1429">
        <f>IF($W1429="","",IFERROR(INDEX(IF($T1429&lt;=60,peso05_m,peso510_m),MATCH($W1429,IF($T1429&lt;=60,peso05_k,peso510_k),1)),""))</f>
        <v/>
      </c>
      <c r="AL1429">
        <f>IF($W1429="","",IFERROR(INDEX(IF($T1429&lt;=60,peso05_s,peso510_s),MATCH($W1429,IF($T1429&lt;=60,peso05_k,peso510_k),1)),""))</f>
        <v/>
      </c>
      <c r="AM1429">
        <f>IF($AJ1429="","",IF($AJ1429=0,LN($F1429/$AK1429)/$AL1429,((($F1429/$AK1429)^$AJ1429)-1)/($AJ1429*$AL1429)))</f>
        <v/>
      </c>
      <c r="AN1429">
        <f>IF($AJ1429="","",IF($AJ1429=0,$AK1429*EXP($AL1429*2),$AK1429*(1+$AJ1429*$AL1429*2)^(1/$AJ1429)))</f>
        <v/>
      </c>
      <c r="AO1429">
        <f>IF($AJ1429="","",IF($AJ1429=0,$AK1429*EXP($AL1429*3),$AK1429*(1+$AJ1429*$AL1429*3)^(1/$AJ1429)))</f>
        <v/>
      </c>
      <c r="AP1429">
        <f>IF($AJ1429="","",IF($AJ1429=0,$AK1429*EXP($AL1429*-2),$AK1429*(1+$AJ1429*$AL1429*-2)^(1/$AJ1429)))</f>
        <v/>
      </c>
      <c r="AQ1429">
        <f>IF($AJ1429="","",IF($AJ1429=0,$AK1429*EXP($AL1429*-3),$AK1429*(1+$AJ1429*$AL1429*-3)^(1/$AJ1429)))</f>
        <v/>
      </c>
      <c r="AR1429">
        <f>IF(OR($X1429="",$T1429&gt;60),"",IFERROR(INDEX(IF($T1429&lt;24,pcomp_l,palt_l),MATCH($X1429,IF($T1429&lt;24,pcomp_k,palt_k),1)),""))</f>
        <v/>
      </c>
      <c r="AS1429">
        <f>IF(OR($X1429="",$T1429&gt;60),"",IFERROR(INDEX(IF($T1429&lt;24,pcomp_m,palt_m),MATCH($X1429,IF($T1429&lt;24,pcomp_k,palt_k),1)),""))</f>
        <v/>
      </c>
      <c r="AT1429">
        <f>IF(OR($X1429="",$T1429&gt;60),"",IFERROR(INDEX(IF($T1429&lt;24,pcomp_s,palt_s),MATCH($X1429,IF($T1429&lt;24,pcomp_k,palt_k),1)),""))</f>
        <v/>
      </c>
      <c r="AU1429">
        <f>IF($AR1429="","",IF($AR1429=0,LN($F1429/$AS1429)/$AT1429,((($F1429/$AS1429)^$AR1429)-1)/($AR1429*$AT1429)))</f>
        <v/>
      </c>
      <c r="AV1429">
        <f>IF($AR1429="","",IF($AR1429=0,$AS1429*EXP($AT1429*2),$AS1429*(1+$AR1429*$AT1429*2)^(1/$AR1429)))</f>
        <v/>
      </c>
      <c r="AW1429">
        <f>IF($AR1429="","",IF($AR1429=0,$AS1429*EXP($AT1429*3),$AS1429*(1+$AR1429*$AT1429*3)^(1/$AR1429)))</f>
        <v/>
      </c>
      <c r="AX1429">
        <f>IF($AR1429="","",IF($AR1429=0,$AS1429*EXP($AT1429*-2),$AS1429*(1+$AR1429*$AT1429*-2)^(1/$AR1429)))</f>
        <v/>
      </c>
      <c r="AY1429">
        <f>IF($AR1429="","",IF($AR1429=0,$AS1429*EXP($AT1429*-3),$AS1429*(1+$AR1429*$AT1429*-3)^(1/$AR1429)))</f>
        <v/>
      </c>
      <c r="AZ1429">
        <f>IF(OR($A1429="",$A1429&lt;&gt;Ficha!$C$4),"",COUNTIF($A$2:$A1429,Ficha!$C$4))</f>
        <v/>
      </c>
    </row>
    <row r="1430">
      <c r="A1430" s="8">
        <f>IF(INDEX(Banco!$A:$A,ROW())="","",INDEX(Banco!$A:$A,ROW()))</f>
        <v/>
      </c>
      <c r="B1430" s="8">
        <f>IF(INDEX(Banco!$B:$B,ROW())="","",INDEX(Banco!$B:$B,ROW()))</f>
        <v/>
      </c>
      <c r="C1430" s="8">
        <f>IF(INDEX(Banco!$C:$C,ROW())="","",INDEX(Banco!$C:$C,ROW()))</f>
        <v/>
      </c>
      <c r="D1430" s="9">
        <f>IF(INDEX(Banco!$D:$D,ROW())="","",INDEX(Banco!$D:$D,ROW()))</f>
        <v/>
      </c>
      <c r="E1430" s="9">
        <f>IF(INDEX(Banco!$E:$E,ROW())="","",INDEX(Banco!$E:$E,ROW()))</f>
        <v/>
      </c>
      <c r="F1430" s="10">
        <f>IF(INDEX(Banco!$F:$F,ROW())="","",INDEX(Banco!$F:$F,ROW()))</f>
        <v/>
      </c>
      <c r="G1430" s="10">
        <f>IF(INDEX(Banco!$G:$G,ROW())="","",INDEX(Banco!$G:$G,ROW()))</f>
        <v/>
      </c>
      <c r="H1430" s="8">
        <f>IF(INDEX(Banco!$H:$H,ROW())="","",INDEX(Banco!$H:$H,ROW()))</f>
        <v/>
      </c>
      <c r="I1430">
        <f>IF($T1430="","",INT($T1430/12)&amp;"a "&amp;MOD($T1430,12)&amp;"m")</f>
        <v/>
      </c>
      <c r="J1430" s="11">
        <f>IF(OR($F1430="",$G1430=""),"",ROUND($F1430/($G1430/100)^2,2))</f>
        <v/>
      </c>
      <c r="K1430" s="12">
        <f>IF(OR($S1430="",$J1430="",$T1430="",$T1430&lt;0,$T1430&gt;228,$Y1430=""),"—",ROUND(IF(ABS($AB1430)&lt;=3,$AB1430,IF($AB1430&gt;3,3+($J1430-$AD1430)/($AD1430-$AC1430),-3+($J1430-$AF1430)/($AE1430-$AF1430))),2))</f>
        <v/>
      </c>
      <c r="L1430">
        <f>IF(OR($K1430="",$K1430="—"),"",IF($T1430&lt;=60,IF($K1430&lt;-3,"Magreza acentuada",IF($K1430&lt;-2,"Magreza",IF($K1430&lt;=1,"Eutrofia",IF($K1430&lt;=2,"Risco de sobrepeso",IF($K1430&lt;=3,"Sobrepeso","Obesidade"))))),IF($K1430&lt;-3,"Magreza acentuada",IF($K1430&lt;-2,"Magreza",IF($K1430&lt;=1,"Eutrofia",IF($K1430&lt;=2,"Sobrepeso",IF($K1430&lt;=3,"Obesidade","Obesidade grave")))))))</f>
        <v/>
      </c>
      <c r="M1430" s="12">
        <f>IF(OR($S1430="",$V1430="",$T1430="",$T1430&lt;0,$T1430&gt;228,$AG1430=""),"—",ROUND(IF($AG1430=0,LN($V1430/$AH1430)/$AI1430,((($V1430/$AH1430)^$AG1430)-1)/($AG1430*$AI1430)),2))</f>
        <v/>
      </c>
      <c r="N1430">
        <f>IF(OR($M1430="",$M1430="—"),"",IF($M1430&lt;-3,"Muito baixa",IF($M1430&lt;-2,"Baixa","Adequada")))</f>
        <v/>
      </c>
      <c r="O1430" s="12">
        <f>IF(OR($S1430="",$F1430="",$T1430="",$T1430&lt;0,$T1430&gt;120,$AJ1430=""),"—",ROUND(IF(ABS($AM1430)&lt;=3,$AM1430,IF($AM1430&gt;3,3+($F1430-$AO1430)/($AO1430-$AN1430),-3+($F1430-$AQ1430)/($AP1430-$AQ1430))),2))</f>
        <v/>
      </c>
      <c r="P1430">
        <f>IF(OR($O1430="",$O1430="—"),"",IF($O1430&lt;-3,"Muito baixo",IF($O1430&lt;-2,"Baixo",IF($O1430&lt;=2,"Adequado","Elevado"))))</f>
        <v/>
      </c>
      <c r="Q1430" s="12">
        <f>IF(OR($S1430="",$F1430="",$T1430="",$T1430&lt;0,$T1430&gt;60,$AR1430=""),"—",ROUND(IF(ABS($AU1430)&lt;=3,$AU1430,IF($AU1430&gt;3,3+($F1430-$AW1430)/($AW1430-$AV1430),-3+($F1430-$AY1430)/($AX1430-$AY1430))),2))</f>
        <v/>
      </c>
      <c r="R1430">
        <f>IF(OR($Q1430="",$Q1430="—"),"",IF($Q1430&lt;-3,"Magreza acentuada",IF($Q1430&lt;-2,"Magreza",IF($Q1430&lt;=1,"Eutrofia",IF($Q1430&lt;=2,"Risco de sobrepeso",IF($Q1430&lt;=3,"Sobrepeso","Obesidade"))))))</f>
        <v/>
      </c>
      <c r="S1430">
        <f>IF($C1430="","",IF(UPPER(LEFT($C1430,1))="M",1,IF(UPPER(LEFT($C1430,1))="F",2,"")))</f>
        <v/>
      </c>
      <c r="T1430">
        <f>IF(OR($D1430="",$E1430=""),"",DATEDIF($D1430,$E1430,"m"))</f>
        <v/>
      </c>
      <c r="U1430">
        <f>IF(OR($D1430="",$E1430=""),"",$E1430-$D1430)</f>
        <v/>
      </c>
      <c r="V1430">
        <f>IF(OR($G1430="",$T1430=""),"",IF($T1430&lt;24,IF(LEFT(LOWER($H1430),4)="em p",$G1430+0.7,$G1430),IF(LEFT(LOWER($H1430),4)="deit",$G1430-0.7,$G1430)))</f>
        <v/>
      </c>
      <c r="W1430">
        <f>IF(OR($S1430="",$T1430=""),"",$S1430*1000000+IF($T1430&lt;=60,$U1430,$T1430))</f>
        <v/>
      </c>
      <c r="X1430">
        <f>IF(OR($S1430="",$V1430="",$T1430&gt;60,$T1430=""),"",$S1430*1000000+ROUND($V1430*10,0))</f>
        <v/>
      </c>
      <c r="Y1430">
        <f>IF($W1430="","",IFERROR(INDEX(IF($T1430&lt;=60,imc05_l,imc519_l),MATCH($W1430,IF($T1430&lt;=60,imc05_k,imc519_k),1)),""))</f>
        <v/>
      </c>
      <c r="Z1430">
        <f>IF($W1430="","",IFERROR(INDEX(IF($T1430&lt;=60,imc05_m,imc519_m),MATCH($W1430,IF($T1430&lt;=60,imc05_k,imc519_k),1)),""))</f>
        <v/>
      </c>
      <c r="AA1430">
        <f>IF($W1430="","",IFERROR(INDEX(IF($T1430&lt;=60,imc05_s,imc519_s),MATCH($W1430,IF($T1430&lt;=60,imc05_k,imc519_k),1)),""))</f>
        <v/>
      </c>
      <c r="AB1430">
        <f>IF($Y1430="","",IF($Y1430=0,LN($J1430/$Z1430)/$AA1430,((($J1430/$Z1430)^$Y1430)-1)/($Y1430*$AA1430)))</f>
        <v/>
      </c>
      <c r="AC1430">
        <f>IF($Y1430="","",IF($Y1430=0,$Z1430*EXP($AA1430*2),$Z1430*(1+$Y1430*$AA1430*2)^(1/$Y1430)))</f>
        <v/>
      </c>
      <c r="AD1430">
        <f>IF($Y1430="","",IF($Y1430=0,$Z1430*EXP($AA1430*3),$Z1430*(1+$Y1430*$AA1430*3)^(1/$Y1430)))</f>
        <v/>
      </c>
      <c r="AE1430">
        <f>IF($Y1430="","",IF($Y1430=0,$Z1430*EXP($AA1430*-2),$Z1430*(1+$Y1430*$AA1430*-2)^(1/$Y1430)))</f>
        <v/>
      </c>
      <c r="AF1430">
        <f>IF($Y1430="","",IF($Y1430=0,$Z1430*EXP($AA1430*-3),$Z1430*(1+$Y1430*$AA1430*-3)^(1/$Y1430)))</f>
        <v/>
      </c>
      <c r="AG1430">
        <f>IF($W1430="","",IFERROR(INDEX(IF($T1430&lt;=60,est05_l,est519_l),MATCH($W1430,IF($T1430&lt;=60,est05_k,est519_k),1)),""))</f>
        <v/>
      </c>
      <c r="AH1430">
        <f>IF($W1430="","",IFERROR(INDEX(IF($T1430&lt;=60,est05_m,est519_m),MATCH($W1430,IF($T1430&lt;=60,est05_k,est519_k),1)),""))</f>
        <v/>
      </c>
      <c r="AI1430">
        <f>IF($W1430="","",IFERROR(INDEX(IF($T1430&lt;=60,est05_s,est519_s),MATCH($W1430,IF($T1430&lt;=60,est05_k,est519_k),1)),""))</f>
        <v/>
      </c>
      <c r="AJ1430">
        <f>IF($W1430="","",IFERROR(INDEX(IF($T1430&lt;=60,peso05_l,peso510_l),MATCH($W1430,IF($T1430&lt;=60,peso05_k,peso510_k),1)),""))</f>
        <v/>
      </c>
      <c r="AK1430">
        <f>IF($W1430="","",IFERROR(INDEX(IF($T1430&lt;=60,peso05_m,peso510_m),MATCH($W1430,IF($T1430&lt;=60,peso05_k,peso510_k),1)),""))</f>
        <v/>
      </c>
      <c r="AL1430">
        <f>IF($W1430="","",IFERROR(INDEX(IF($T1430&lt;=60,peso05_s,peso510_s),MATCH($W1430,IF($T1430&lt;=60,peso05_k,peso510_k),1)),""))</f>
        <v/>
      </c>
      <c r="AM1430">
        <f>IF($AJ1430="","",IF($AJ1430=0,LN($F1430/$AK1430)/$AL1430,((($F1430/$AK1430)^$AJ1430)-1)/($AJ1430*$AL1430)))</f>
        <v/>
      </c>
      <c r="AN1430">
        <f>IF($AJ1430="","",IF($AJ1430=0,$AK1430*EXP($AL1430*2),$AK1430*(1+$AJ1430*$AL1430*2)^(1/$AJ1430)))</f>
        <v/>
      </c>
      <c r="AO1430">
        <f>IF($AJ1430="","",IF($AJ1430=0,$AK1430*EXP($AL1430*3),$AK1430*(1+$AJ1430*$AL1430*3)^(1/$AJ1430)))</f>
        <v/>
      </c>
      <c r="AP1430">
        <f>IF($AJ1430="","",IF($AJ1430=0,$AK1430*EXP($AL1430*-2),$AK1430*(1+$AJ1430*$AL1430*-2)^(1/$AJ1430)))</f>
        <v/>
      </c>
      <c r="AQ1430">
        <f>IF($AJ1430="","",IF($AJ1430=0,$AK1430*EXP($AL1430*-3),$AK1430*(1+$AJ1430*$AL1430*-3)^(1/$AJ1430)))</f>
        <v/>
      </c>
      <c r="AR1430">
        <f>IF(OR($X1430="",$T1430&gt;60),"",IFERROR(INDEX(IF($T1430&lt;24,pcomp_l,palt_l),MATCH($X1430,IF($T1430&lt;24,pcomp_k,palt_k),1)),""))</f>
        <v/>
      </c>
      <c r="AS1430">
        <f>IF(OR($X1430="",$T1430&gt;60),"",IFERROR(INDEX(IF($T1430&lt;24,pcomp_m,palt_m),MATCH($X1430,IF($T1430&lt;24,pcomp_k,palt_k),1)),""))</f>
        <v/>
      </c>
      <c r="AT1430">
        <f>IF(OR($X1430="",$T1430&gt;60),"",IFERROR(INDEX(IF($T1430&lt;24,pcomp_s,palt_s),MATCH($X1430,IF($T1430&lt;24,pcomp_k,palt_k),1)),""))</f>
        <v/>
      </c>
      <c r="AU1430">
        <f>IF($AR1430="","",IF($AR1430=0,LN($F1430/$AS1430)/$AT1430,((($F1430/$AS1430)^$AR1430)-1)/($AR1430*$AT1430)))</f>
        <v/>
      </c>
      <c r="AV1430">
        <f>IF($AR1430="","",IF($AR1430=0,$AS1430*EXP($AT1430*2),$AS1430*(1+$AR1430*$AT1430*2)^(1/$AR1430)))</f>
        <v/>
      </c>
      <c r="AW1430">
        <f>IF($AR1430="","",IF($AR1430=0,$AS1430*EXP($AT1430*3),$AS1430*(1+$AR1430*$AT1430*3)^(1/$AR1430)))</f>
        <v/>
      </c>
      <c r="AX1430">
        <f>IF($AR1430="","",IF($AR1430=0,$AS1430*EXP($AT1430*-2),$AS1430*(1+$AR1430*$AT1430*-2)^(1/$AR1430)))</f>
        <v/>
      </c>
      <c r="AY1430">
        <f>IF($AR1430="","",IF($AR1430=0,$AS1430*EXP($AT1430*-3),$AS1430*(1+$AR1430*$AT1430*-3)^(1/$AR1430)))</f>
        <v/>
      </c>
      <c r="AZ1430">
        <f>IF(OR($A1430="",$A1430&lt;&gt;Ficha!$C$4),"",COUNTIF($A$2:$A1430,Ficha!$C$4))</f>
        <v/>
      </c>
    </row>
    <row r="1431">
      <c r="A1431" s="8">
        <f>IF(INDEX(Banco!$A:$A,ROW())="","",INDEX(Banco!$A:$A,ROW()))</f>
        <v/>
      </c>
      <c r="B1431" s="8">
        <f>IF(INDEX(Banco!$B:$B,ROW())="","",INDEX(Banco!$B:$B,ROW()))</f>
        <v/>
      </c>
      <c r="C1431" s="8">
        <f>IF(INDEX(Banco!$C:$C,ROW())="","",INDEX(Banco!$C:$C,ROW()))</f>
        <v/>
      </c>
      <c r="D1431" s="9">
        <f>IF(INDEX(Banco!$D:$D,ROW())="","",INDEX(Banco!$D:$D,ROW()))</f>
        <v/>
      </c>
      <c r="E1431" s="9">
        <f>IF(INDEX(Banco!$E:$E,ROW())="","",INDEX(Banco!$E:$E,ROW()))</f>
        <v/>
      </c>
      <c r="F1431" s="10">
        <f>IF(INDEX(Banco!$F:$F,ROW())="","",INDEX(Banco!$F:$F,ROW()))</f>
        <v/>
      </c>
      <c r="G1431" s="10">
        <f>IF(INDEX(Banco!$G:$G,ROW())="","",INDEX(Banco!$G:$G,ROW()))</f>
        <v/>
      </c>
      <c r="H1431" s="8">
        <f>IF(INDEX(Banco!$H:$H,ROW())="","",INDEX(Banco!$H:$H,ROW()))</f>
        <v/>
      </c>
      <c r="I1431">
        <f>IF($T1431="","",INT($T1431/12)&amp;"a "&amp;MOD($T1431,12)&amp;"m")</f>
        <v/>
      </c>
      <c r="J1431" s="11">
        <f>IF(OR($F1431="",$G1431=""),"",ROUND($F1431/($G1431/100)^2,2))</f>
        <v/>
      </c>
      <c r="K1431" s="12">
        <f>IF(OR($S1431="",$J1431="",$T1431="",$T1431&lt;0,$T1431&gt;228,$Y1431=""),"—",ROUND(IF(ABS($AB1431)&lt;=3,$AB1431,IF($AB1431&gt;3,3+($J1431-$AD1431)/($AD1431-$AC1431),-3+($J1431-$AF1431)/($AE1431-$AF1431))),2))</f>
        <v/>
      </c>
      <c r="L1431">
        <f>IF(OR($K1431="",$K1431="—"),"",IF($T1431&lt;=60,IF($K1431&lt;-3,"Magreza acentuada",IF($K1431&lt;-2,"Magreza",IF($K1431&lt;=1,"Eutrofia",IF($K1431&lt;=2,"Risco de sobrepeso",IF($K1431&lt;=3,"Sobrepeso","Obesidade"))))),IF($K1431&lt;-3,"Magreza acentuada",IF($K1431&lt;-2,"Magreza",IF($K1431&lt;=1,"Eutrofia",IF($K1431&lt;=2,"Sobrepeso",IF($K1431&lt;=3,"Obesidade","Obesidade grave")))))))</f>
        <v/>
      </c>
      <c r="M1431" s="12">
        <f>IF(OR($S1431="",$V1431="",$T1431="",$T1431&lt;0,$T1431&gt;228,$AG1431=""),"—",ROUND(IF($AG1431=0,LN($V1431/$AH1431)/$AI1431,((($V1431/$AH1431)^$AG1431)-1)/($AG1431*$AI1431)),2))</f>
        <v/>
      </c>
      <c r="N1431">
        <f>IF(OR($M1431="",$M1431="—"),"",IF($M1431&lt;-3,"Muito baixa",IF($M1431&lt;-2,"Baixa","Adequada")))</f>
        <v/>
      </c>
      <c r="O1431" s="12">
        <f>IF(OR($S1431="",$F1431="",$T1431="",$T1431&lt;0,$T1431&gt;120,$AJ1431=""),"—",ROUND(IF(ABS($AM1431)&lt;=3,$AM1431,IF($AM1431&gt;3,3+($F1431-$AO1431)/($AO1431-$AN1431),-3+($F1431-$AQ1431)/($AP1431-$AQ1431))),2))</f>
        <v/>
      </c>
      <c r="P1431">
        <f>IF(OR($O1431="",$O1431="—"),"",IF($O1431&lt;-3,"Muito baixo",IF($O1431&lt;-2,"Baixo",IF($O1431&lt;=2,"Adequado","Elevado"))))</f>
        <v/>
      </c>
      <c r="Q1431" s="12">
        <f>IF(OR($S1431="",$F1431="",$T1431="",$T1431&lt;0,$T1431&gt;60,$AR1431=""),"—",ROUND(IF(ABS($AU1431)&lt;=3,$AU1431,IF($AU1431&gt;3,3+($F1431-$AW1431)/($AW1431-$AV1431),-3+($F1431-$AY1431)/($AX1431-$AY1431))),2))</f>
        <v/>
      </c>
      <c r="R1431">
        <f>IF(OR($Q1431="",$Q1431="—"),"",IF($Q1431&lt;-3,"Magreza acentuada",IF($Q1431&lt;-2,"Magreza",IF($Q1431&lt;=1,"Eutrofia",IF($Q1431&lt;=2,"Risco de sobrepeso",IF($Q1431&lt;=3,"Sobrepeso","Obesidade"))))))</f>
        <v/>
      </c>
      <c r="S1431">
        <f>IF($C1431="","",IF(UPPER(LEFT($C1431,1))="M",1,IF(UPPER(LEFT($C1431,1))="F",2,"")))</f>
        <v/>
      </c>
      <c r="T1431">
        <f>IF(OR($D1431="",$E1431=""),"",DATEDIF($D1431,$E1431,"m"))</f>
        <v/>
      </c>
      <c r="U1431">
        <f>IF(OR($D1431="",$E1431=""),"",$E1431-$D1431)</f>
        <v/>
      </c>
      <c r="V1431">
        <f>IF(OR($G1431="",$T1431=""),"",IF($T1431&lt;24,IF(LEFT(LOWER($H1431),4)="em p",$G1431+0.7,$G1431),IF(LEFT(LOWER($H1431),4)="deit",$G1431-0.7,$G1431)))</f>
        <v/>
      </c>
      <c r="W1431">
        <f>IF(OR($S1431="",$T1431=""),"",$S1431*1000000+IF($T1431&lt;=60,$U1431,$T1431))</f>
        <v/>
      </c>
      <c r="X1431">
        <f>IF(OR($S1431="",$V1431="",$T1431&gt;60,$T1431=""),"",$S1431*1000000+ROUND($V1431*10,0))</f>
        <v/>
      </c>
      <c r="Y1431">
        <f>IF($W1431="","",IFERROR(INDEX(IF($T1431&lt;=60,imc05_l,imc519_l),MATCH($W1431,IF($T1431&lt;=60,imc05_k,imc519_k),1)),""))</f>
        <v/>
      </c>
      <c r="Z1431">
        <f>IF($W1431="","",IFERROR(INDEX(IF($T1431&lt;=60,imc05_m,imc519_m),MATCH($W1431,IF($T1431&lt;=60,imc05_k,imc519_k),1)),""))</f>
        <v/>
      </c>
      <c r="AA1431">
        <f>IF($W1431="","",IFERROR(INDEX(IF($T1431&lt;=60,imc05_s,imc519_s),MATCH($W1431,IF($T1431&lt;=60,imc05_k,imc519_k),1)),""))</f>
        <v/>
      </c>
      <c r="AB1431">
        <f>IF($Y1431="","",IF($Y1431=0,LN($J1431/$Z1431)/$AA1431,((($J1431/$Z1431)^$Y1431)-1)/($Y1431*$AA1431)))</f>
        <v/>
      </c>
      <c r="AC1431">
        <f>IF($Y1431="","",IF($Y1431=0,$Z1431*EXP($AA1431*2),$Z1431*(1+$Y1431*$AA1431*2)^(1/$Y1431)))</f>
        <v/>
      </c>
      <c r="AD1431">
        <f>IF($Y1431="","",IF($Y1431=0,$Z1431*EXP($AA1431*3),$Z1431*(1+$Y1431*$AA1431*3)^(1/$Y1431)))</f>
        <v/>
      </c>
      <c r="AE1431">
        <f>IF($Y1431="","",IF($Y1431=0,$Z1431*EXP($AA1431*-2),$Z1431*(1+$Y1431*$AA1431*-2)^(1/$Y1431)))</f>
        <v/>
      </c>
      <c r="AF1431">
        <f>IF($Y1431="","",IF($Y1431=0,$Z1431*EXP($AA1431*-3),$Z1431*(1+$Y1431*$AA1431*-3)^(1/$Y1431)))</f>
        <v/>
      </c>
      <c r="AG1431">
        <f>IF($W1431="","",IFERROR(INDEX(IF($T1431&lt;=60,est05_l,est519_l),MATCH($W1431,IF($T1431&lt;=60,est05_k,est519_k),1)),""))</f>
        <v/>
      </c>
      <c r="AH1431">
        <f>IF($W1431="","",IFERROR(INDEX(IF($T1431&lt;=60,est05_m,est519_m),MATCH($W1431,IF($T1431&lt;=60,est05_k,est519_k),1)),""))</f>
        <v/>
      </c>
      <c r="AI1431">
        <f>IF($W1431="","",IFERROR(INDEX(IF($T1431&lt;=60,est05_s,est519_s),MATCH($W1431,IF($T1431&lt;=60,est05_k,est519_k),1)),""))</f>
        <v/>
      </c>
      <c r="AJ1431">
        <f>IF($W1431="","",IFERROR(INDEX(IF($T1431&lt;=60,peso05_l,peso510_l),MATCH($W1431,IF($T1431&lt;=60,peso05_k,peso510_k),1)),""))</f>
        <v/>
      </c>
      <c r="AK1431">
        <f>IF($W1431="","",IFERROR(INDEX(IF($T1431&lt;=60,peso05_m,peso510_m),MATCH($W1431,IF($T1431&lt;=60,peso05_k,peso510_k),1)),""))</f>
        <v/>
      </c>
      <c r="AL1431">
        <f>IF($W1431="","",IFERROR(INDEX(IF($T1431&lt;=60,peso05_s,peso510_s),MATCH($W1431,IF($T1431&lt;=60,peso05_k,peso510_k),1)),""))</f>
        <v/>
      </c>
      <c r="AM1431">
        <f>IF($AJ1431="","",IF($AJ1431=0,LN($F1431/$AK1431)/$AL1431,((($F1431/$AK1431)^$AJ1431)-1)/($AJ1431*$AL1431)))</f>
        <v/>
      </c>
      <c r="AN1431">
        <f>IF($AJ1431="","",IF($AJ1431=0,$AK1431*EXP($AL1431*2),$AK1431*(1+$AJ1431*$AL1431*2)^(1/$AJ1431)))</f>
        <v/>
      </c>
      <c r="AO1431">
        <f>IF($AJ1431="","",IF($AJ1431=0,$AK1431*EXP($AL1431*3),$AK1431*(1+$AJ1431*$AL1431*3)^(1/$AJ1431)))</f>
        <v/>
      </c>
      <c r="AP1431">
        <f>IF($AJ1431="","",IF($AJ1431=0,$AK1431*EXP($AL1431*-2),$AK1431*(1+$AJ1431*$AL1431*-2)^(1/$AJ1431)))</f>
        <v/>
      </c>
      <c r="AQ1431">
        <f>IF($AJ1431="","",IF($AJ1431=0,$AK1431*EXP($AL1431*-3),$AK1431*(1+$AJ1431*$AL1431*-3)^(1/$AJ1431)))</f>
        <v/>
      </c>
      <c r="AR1431">
        <f>IF(OR($X1431="",$T1431&gt;60),"",IFERROR(INDEX(IF($T1431&lt;24,pcomp_l,palt_l),MATCH($X1431,IF($T1431&lt;24,pcomp_k,palt_k),1)),""))</f>
        <v/>
      </c>
      <c r="AS1431">
        <f>IF(OR($X1431="",$T1431&gt;60),"",IFERROR(INDEX(IF($T1431&lt;24,pcomp_m,palt_m),MATCH($X1431,IF($T1431&lt;24,pcomp_k,palt_k),1)),""))</f>
        <v/>
      </c>
      <c r="AT1431">
        <f>IF(OR($X1431="",$T1431&gt;60),"",IFERROR(INDEX(IF($T1431&lt;24,pcomp_s,palt_s),MATCH($X1431,IF($T1431&lt;24,pcomp_k,palt_k),1)),""))</f>
        <v/>
      </c>
      <c r="AU1431">
        <f>IF($AR1431="","",IF($AR1431=0,LN($F1431/$AS1431)/$AT1431,((($F1431/$AS1431)^$AR1431)-1)/($AR1431*$AT1431)))</f>
        <v/>
      </c>
      <c r="AV1431">
        <f>IF($AR1431="","",IF($AR1431=0,$AS1431*EXP($AT1431*2),$AS1431*(1+$AR1431*$AT1431*2)^(1/$AR1431)))</f>
        <v/>
      </c>
      <c r="AW1431">
        <f>IF($AR1431="","",IF($AR1431=0,$AS1431*EXP($AT1431*3),$AS1431*(1+$AR1431*$AT1431*3)^(1/$AR1431)))</f>
        <v/>
      </c>
      <c r="AX1431">
        <f>IF($AR1431="","",IF($AR1431=0,$AS1431*EXP($AT1431*-2),$AS1431*(1+$AR1431*$AT1431*-2)^(1/$AR1431)))</f>
        <v/>
      </c>
      <c r="AY1431">
        <f>IF($AR1431="","",IF($AR1431=0,$AS1431*EXP($AT1431*-3),$AS1431*(1+$AR1431*$AT1431*-3)^(1/$AR1431)))</f>
        <v/>
      </c>
      <c r="AZ1431">
        <f>IF(OR($A1431="",$A1431&lt;&gt;Ficha!$C$4),"",COUNTIF($A$2:$A1431,Ficha!$C$4))</f>
        <v/>
      </c>
    </row>
    <row r="1432">
      <c r="A1432" s="8">
        <f>IF(INDEX(Banco!$A:$A,ROW())="","",INDEX(Banco!$A:$A,ROW()))</f>
        <v/>
      </c>
      <c r="B1432" s="8">
        <f>IF(INDEX(Banco!$B:$B,ROW())="","",INDEX(Banco!$B:$B,ROW()))</f>
        <v/>
      </c>
      <c r="C1432" s="8">
        <f>IF(INDEX(Banco!$C:$C,ROW())="","",INDEX(Banco!$C:$C,ROW()))</f>
        <v/>
      </c>
      <c r="D1432" s="9">
        <f>IF(INDEX(Banco!$D:$D,ROW())="","",INDEX(Banco!$D:$D,ROW()))</f>
        <v/>
      </c>
      <c r="E1432" s="9">
        <f>IF(INDEX(Banco!$E:$E,ROW())="","",INDEX(Banco!$E:$E,ROW()))</f>
        <v/>
      </c>
      <c r="F1432" s="10">
        <f>IF(INDEX(Banco!$F:$F,ROW())="","",INDEX(Banco!$F:$F,ROW()))</f>
        <v/>
      </c>
      <c r="G1432" s="10">
        <f>IF(INDEX(Banco!$G:$G,ROW())="","",INDEX(Banco!$G:$G,ROW()))</f>
        <v/>
      </c>
      <c r="H1432" s="8">
        <f>IF(INDEX(Banco!$H:$H,ROW())="","",INDEX(Banco!$H:$H,ROW()))</f>
        <v/>
      </c>
      <c r="I1432">
        <f>IF($T1432="","",INT($T1432/12)&amp;"a "&amp;MOD($T1432,12)&amp;"m")</f>
        <v/>
      </c>
      <c r="J1432" s="11">
        <f>IF(OR($F1432="",$G1432=""),"",ROUND($F1432/($G1432/100)^2,2))</f>
        <v/>
      </c>
      <c r="K1432" s="12">
        <f>IF(OR($S1432="",$J1432="",$T1432="",$T1432&lt;0,$T1432&gt;228,$Y1432=""),"—",ROUND(IF(ABS($AB1432)&lt;=3,$AB1432,IF($AB1432&gt;3,3+($J1432-$AD1432)/($AD1432-$AC1432),-3+($J1432-$AF1432)/($AE1432-$AF1432))),2))</f>
        <v/>
      </c>
      <c r="L1432">
        <f>IF(OR($K1432="",$K1432="—"),"",IF($T1432&lt;=60,IF($K1432&lt;-3,"Magreza acentuada",IF($K1432&lt;-2,"Magreza",IF($K1432&lt;=1,"Eutrofia",IF($K1432&lt;=2,"Risco de sobrepeso",IF($K1432&lt;=3,"Sobrepeso","Obesidade"))))),IF($K1432&lt;-3,"Magreza acentuada",IF($K1432&lt;-2,"Magreza",IF($K1432&lt;=1,"Eutrofia",IF($K1432&lt;=2,"Sobrepeso",IF($K1432&lt;=3,"Obesidade","Obesidade grave")))))))</f>
        <v/>
      </c>
      <c r="M1432" s="12">
        <f>IF(OR($S1432="",$V1432="",$T1432="",$T1432&lt;0,$T1432&gt;228,$AG1432=""),"—",ROUND(IF($AG1432=0,LN($V1432/$AH1432)/$AI1432,((($V1432/$AH1432)^$AG1432)-1)/($AG1432*$AI1432)),2))</f>
        <v/>
      </c>
      <c r="N1432">
        <f>IF(OR($M1432="",$M1432="—"),"",IF($M1432&lt;-3,"Muito baixa",IF($M1432&lt;-2,"Baixa","Adequada")))</f>
        <v/>
      </c>
      <c r="O1432" s="12">
        <f>IF(OR($S1432="",$F1432="",$T1432="",$T1432&lt;0,$T1432&gt;120,$AJ1432=""),"—",ROUND(IF(ABS($AM1432)&lt;=3,$AM1432,IF($AM1432&gt;3,3+($F1432-$AO1432)/($AO1432-$AN1432),-3+($F1432-$AQ1432)/($AP1432-$AQ1432))),2))</f>
        <v/>
      </c>
      <c r="P1432">
        <f>IF(OR($O1432="",$O1432="—"),"",IF($O1432&lt;-3,"Muito baixo",IF($O1432&lt;-2,"Baixo",IF($O1432&lt;=2,"Adequado","Elevado"))))</f>
        <v/>
      </c>
      <c r="Q1432" s="12">
        <f>IF(OR($S1432="",$F1432="",$T1432="",$T1432&lt;0,$T1432&gt;60,$AR1432=""),"—",ROUND(IF(ABS($AU1432)&lt;=3,$AU1432,IF($AU1432&gt;3,3+($F1432-$AW1432)/($AW1432-$AV1432),-3+($F1432-$AY1432)/($AX1432-$AY1432))),2))</f>
        <v/>
      </c>
      <c r="R1432">
        <f>IF(OR($Q1432="",$Q1432="—"),"",IF($Q1432&lt;-3,"Magreza acentuada",IF($Q1432&lt;-2,"Magreza",IF($Q1432&lt;=1,"Eutrofia",IF($Q1432&lt;=2,"Risco de sobrepeso",IF($Q1432&lt;=3,"Sobrepeso","Obesidade"))))))</f>
        <v/>
      </c>
      <c r="S1432">
        <f>IF($C1432="","",IF(UPPER(LEFT($C1432,1))="M",1,IF(UPPER(LEFT($C1432,1))="F",2,"")))</f>
        <v/>
      </c>
      <c r="T1432">
        <f>IF(OR($D1432="",$E1432=""),"",DATEDIF($D1432,$E1432,"m"))</f>
        <v/>
      </c>
      <c r="U1432">
        <f>IF(OR($D1432="",$E1432=""),"",$E1432-$D1432)</f>
        <v/>
      </c>
      <c r="V1432">
        <f>IF(OR($G1432="",$T1432=""),"",IF($T1432&lt;24,IF(LEFT(LOWER($H1432),4)="em p",$G1432+0.7,$G1432),IF(LEFT(LOWER($H1432),4)="deit",$G1432-0.7,$G1432)))</f>
        <v/>
      </c>
      <c r="W1432">
        <f>IF(OR($S1432="",$T1432=""),"",$S1432*1000000+IF($T1432&lt;=60,$U1432,$T1432))</f>
        <v/>
      </c>
      <c r="X1432">
        <f>IF(OR($S1432="",$V1432="",$T1432&gt;60,$T1432=""),"",$S1432*1000000+ROUND($V1432*10,0))</f>
        <v/>
      </c>
      <c r="Y1432">
        <f>IF($W1432="","",IFERROR(INDEX(IF($T1432&lt;=60,imc05_l,imc519_l),MATCH($W1432,IF($T1432&lt;=60,imc05_k,imc519_k),1)),""))</f>
        <v/>
      </c>
      <c r="Z1432">
        <f>IF($W1432="","",IFERROR(INDEX(IF($T1432&lt;=60,imc05_m,imc519_m),MATCH($W1432,IF($T1432&lt;=60,imc05_k,imc519_k),1)),""))</f>
        <v/>
      </c>
      <c r="AA1432">
        <f>IF($W1432="","",IFERROR(INDEX(IF($T1432&lt;=60,imc05_s,imc519_s),MATCH($W1432,IF($T1432&lt;=60,imc05_k,imc519_k),1)),""))</f>
        <v/>
      </c>
      <c r="AB1432">
        <f>IF($Y1432="","",IF($Y1432=0,LN($J1432/$Z1432)/$AA1432,((($J1432/$Z1432)^$Y1432)-1)/($Y1432*$AA1432)))</f>
        <v/>
      </c>
      <c r="AC1432">
        <f>IF($Y1432="","",IF($Y1432=0,$Z1432*EXP($AA1432*2),$Z1432*(1+$Y1432*$AA1432*2)^(1/$Y1432)))</f>
        <v/>
      </c>
      <c r="AD1432">
        <f>IF($Y1432="","",IF($Y1432=0,$Z1432*EXP($AA1432*3),$Z1432*(1+$Y1432*$AA1432*3)^(1/$Y1432)))</f>
        <v/>
      </c>
      <c r="AE1432">
        <f>IF($Y1432="","",IF($Y1432=0,$Z1432*EXP($AA1432*-2),$Z1432*(1+$Y1432*$AA1432*-2)^(1/$Y1432)))</f>
        <v/>
      </c>
      <c r="AF1432">
        <f>IF($Y1432="","",IF($Y1432=0,$Z1432*EXP($AA1432*-3),$Z1432*(1+$Y1432*$AA1432*-3)^(1/$Y1432)))</f>
        <v/>
      </c>
      <c r="AG1432">
        <f>IF($W1432="","",IFERROR(INDEX(IF($T1432&lt;=60,est05_l,est519_l),MATCH($W1432,IF($T1432&lt;=60,est05_k,est519_k),1)),""))</f>
        <v/>
      </c>
      <c r="AH1432">
        <f>IF($W1432="","",IFERROR(INDEX(IF($T1432&lt;=60,est05_m,est519_m),MATCH($W1432,IF($T1432&lt;=60,est05_k,est519_k),1)),""))</f>
        <v/>
      </c>
      <c r="AI1432">
        <f>IF($W1432="","",IFERROR(INDEX(IF($T1432&lt;=60,est05_s,est519_s),MATCH($W1432,IF($T1432&lt;=60,est05_k,est519_k),1)),""))</f>
        <v/>
      </c>
      <c r="AJ1432">
        <f>IF($W1432="","",IFERROR(INDEX(IF($T1432&lt;=60,peso05_l,peso510_l),MATCH($W1432,IF($T1432&lt;=60,peso05_k,peso510_k),1)),""))</f>
        <v/>
      </c>
      <c r="AK1432">
        <f>IF($W1432="","",IFERROR(INDEX(IF($T1432&lt;=60,peso05_m,peso510_m),MATCH($W1432,IF($T1432&lt;=60,peso05_k,peso510_k),1)),""))</f>
        <v/>
      </c>
      <c r="AL1432">
        <f>IF($W1432="","",IFERROR(INDEX(IF($T1432&lt;=60,peso05_s,peso510_s),MATCH($W1432,IF($T1432&lt;=60,peso05_k,peso510_k),1)),""))</f>
        <v/>
      </c>
      <c r="AM1432">
        <f>IF($AJ1432="","",IF($AJ1432=0,LN($F1432/$AK1432)/$AL1432,((($F1432/$AK1432)^$AJ1432)-1)/($AJ1432*$AL1432)))</f>
        <v/>
      </c>
      <c r="AN1432">
        <f>IF($AJ1432="","",IF($AJ1432=0,$AK1432*EXP($AL1432*2),$AK1432*(1+$AJ1432*$AL1432*2)^(1/$AJ1432)))</f>
        <v/>
      </c>
      <c r="AO1432">
        <f>IF($AJ1432="","",IF($AJ1432=0,$AK1432*EXP($AL1432*3),$AK1432*(1+$AJ1432*$AL1432*3)^(1/$AJ1432)))</f>
        <v/>
      </c>
      <c r="AP1432">
        <f>IF($AJ1432="","",IF($AJ1432=0,$AK1432*EXP($AL1432*-2),$AK1432*(1+$AJ1432*$AL1432*-2)^(1/$AJ1432)))</f>
        <v/>
      </c>
      <c r="AQ1432">
        <f>IF($AJ1432="","",IF($AJ1432=0,$AK1432*EXP($AL1432*-3),$AK1432*(1+$AJ1432*$AL1432*-3)^(1/$AJ1432)))</f>
        <v/>
      </c>
      <c r="AR1432">
        <f>IF(OR($X1432="",$T1432&gt;60),"",IFERROR(INDEX(IF($T1432&lt;24,pcomp_l,palt_l),MATCH($X1432,IF($T1432&lt;24,pcomp_k,palt_k),1)),""))</f>
        <v/>
      </c>
      <c r="AS1432">
        <f>IF(OR($X1432="",$T1432&gt;60),"",IFERROR(INDEX(IF($T1432&lt;24,pcomp_m,palt_m),MATCH($X1432,IF($T1432&lt;24,pcomp_k,palt_k),1)),""))</f>
        <v/>
      </c>
      <c r="AT1432">
        <f>IF(OR($X1432="",$T1432&gt;60),"",IFERROR(INDEX(IF($T1432&lt;24,pcomp_s,palt_s),MATCH($X1432,IF($T1432&lt;24,pcomp_k,palt_k),1)),""))</f>
        <v/>
      </c>
      <c r="AU1432">
        <f>IF($AR1432="","",IF($AR1432=0,LN($F1432/$AS1432)/$AT1432,((($F1432/$AS1432)^$AR1432)-1)/($AR1432*$AT1432)))</f>
        <v/>
      </c>
      <c r="AV1432">
        <f>IF($AR1432="","",IF($AR1432=0,$AS1432*EXP($AT1432*2),$AS1432*(1+$AR1432*$AT1432*2)^(1/$AR1432)))</f>
        <v/>
      </c>
      <c r="AW1432">
        <f>IF($AR1432="","",IF($AR1432=0,$AS1432*EXP($AT1432*3),$AS1432*(1+$AR1432*$AT1432*3)^(1/$AR1432)))</f>
        <v/>
      </c>
      <c r="AX1432">
        <f>IF($AR1432="","",IF($AR1432=0,$AS1432*EXP($AT1432*-2),$AS1432*(1+$AR1432*$AT1432*-2)^(1/$AR1432)))</f>
        <v/>
      </c>
      <c r="AY1432">
        <f>IF($AR1432="","",IF($AR1432=0,$AS1432*EXP($AT1432*-3),$AS1432*(1+$AR1432*$AT1432*-3)^(1/$AR1432)))</f>
        <v/>
      </c>
      <c r="AZ1432">
        <f>IF(OR($A1432="",$A1432&lt;&gt;Ficha!$C$4),"",COUNTIF($A$2:$A1432,Ficha!$C$4))</f>
        <v/>
      </c>
    </row>
    <row r="1433">
      <c r="A1433" s="8">
        <f>IF(INDEX(Banco!$A:$A,ROW())="","",INDEX(Banco!$A:$A,ROW()))</f>
        <v/>
      </c>
      <c r="B1433" s="8">
        <f>IF(INDEX(Banco!$B:$B,ROW())="","",INDEX(Banco!$B:$B,ROW()))</f>
        <v/>
      </c>
      <c r="C1433" s="8">
        <f>IF(INDEX(Banco!$C:$C,ROW())="","",INDEX(Banco!$C:$C,ROW()))</f>
        <v/>
      </c>
      <c r="D1433" s="9">
        <f>IF(INDEX(Banco!$D:$D,ROW())="","",INDEX(Banco!$D:$D,ROW()))</f>
        <v/>
      </c>
      <c r="E1433" s="9">
        <f>IF(INDEX(Banco!$E:$E,ROW())="","",INDEX(Banco!$E:$E,ROW()))</f>
        <v/>
      </c>
      <c r="F1433" s="10">
        <f>IF(INDEX(Banco!$F:$F,ROW())="","",INDEX(Banco!$F:$F,ROW()))</f>
        <v/>
      </c>
      <c r="G1433" s="10">
        <f>IF(INDEX(Banco!$G:$G,ROW())="","",INDEX(Banco!$G:$G,ROW()))</f>
        <v/>
      </c>
      <c r="H1433" s="8">
        <f>IF(INDEX(Banco!$H:$H,ROW())="","",INDEX(Banco!$H:$H,ROW()))</f>
        <v/>
      </c>
      <c r="I1433">
        <f>IF($T1433="","",INT($T1433/12)&amp;"a "&amp;MOD($T1433,12)&amp;"m")</f>
        <v/>
      </c>
      <c r="J1433" s="11">
        <f>IF(OR($F1433="",$G1433=""),"",ROUND($F1433/($G1433/100)^2,2))</f>
        <v/>
      </c>
      <c r="K1433" s="12">
        <f>IF(OR($S1433="",$J1433="",$T1433="",$T1433&lt;0,$T1433&gt;228,$Y1433=""),"—",ROUND(IF(ABS($AB1433)&lt;=3,$AB1433,IF($AB1433&gt;3,3+($J1433-$AD1433)/($AD1433-$AC1433),-3+($J1433-$AF1433)/($AE1433-$AF1433))),2))</f>
        <v/>
      </c>
      <c r="L1433">
        <f>IF(OR($K1433="",$K1433="—"),"",IF($T1433&lt;=60,IF($K1433&lt;-3,"Magreza acentuada",IF($K1433&lt;-2,"Magreza",IF($K1433&lt;=1,"Eutrofia",IF($K1433&lt;=2,"Risco de sobrepeso",IF($K1433&lt;=3,"Sobrepeso","Obesidade"))))),IF($K1433&lt;-3,"Magreza acentuada",IF($K1433&lt;-2,"Magreza",IF($K1433&lt;=1,"Eutrofia",IF($K1433&lt;=2,"Sobrepeso",IF($K1433&lt;=3,"Obesidade","Obesidade grave")))))))</f>
        <v/>
      </c>
      <c r="M1433" s="12">
        <f>IF(OR($S1433="",$V1433="",$T1433="",$T1433&lt;0,$T1433&gt;228,$AG1433=""),"—",ROUND(IF($AG1433=0,LN($V1433/$AH1433)/$AI1433,((($V1433/$AH1433)^$AG1433)-1)/($AG1433*$AI1433)),2))</f>
        <v/>
      </c>
      <c r="N1433">
        <f>IF(OR($M1433="",$M1433="—"),"",IF($M1433&lt;-3,"Muito baixa",IF($M1433&lt;-2,"Baixa","Adequada")))</f>
        <v/>
      </c>
      <c r="O1433" s="12">
        <f>IF(OR($S1433="",$F1433="",$T1433="",$T1433&lt;0,$T1433&gt;120,$AJ1433=""),"—",ROUND(IF(ABS($AM1433)&lt;=3,$AM1433,IF($AM1433&gt;3,3+($F1433-$AO1433)/($AO1433-$AN1433),-3+($F1433-$AQ1433)/($AP1433-$AQ1433))),2))</f>
        <v/>
      </c>
      <c r="P1433">
        <f>IF(OR($O1433="",$O1433="—"),"",IF($O1433&lt;-3,"Muito baixo",IF($O1433&lt;-2,"Baixo",IF($O1433&lt;=2,"Adequado","Elevado"))))</f>
        <v/>
      </c>
      <c r="Q1433" s="12">
        <f>IF(OR($S1433="",$F1433="",$T1433="",$T1433&lt;0,$T1433&gt;60,$AR1433=""),"—",ROUND(IF(ABS($AU1433)&lt;=3,$AU1433,IF($AU1433&gt;3,3+($F1433-$AW1433)/($AW1433-$AV1433),-3+($F1433-$AY1433)/($AX1433-$AY1433))),2))</f>
        <v/>
      </c>
      <c r="R1433">
        <f>IF(OR($Q1433="",$Q1433="—"),"",IF($Q1433&lt;-3,"Magreza acentuada",IF($Q1433&lt;-2,"Magreza",IF($Q1433&lt;=1,"Eutrofia",IF($Q1433&lt;=2,"Risco de sobrepeso",IF($Q1433&lt;=3,"Sobrepeso","Obesidade"))))))</f>
        <v/>
      </c>
      <c r="S1433">
        <f>IF($C1433="","",IF(UPPER(LEFT($C1433,1))="M",1,IF(UPPER(LEFT($C1433,1))="F",2,"")))</f>
        <v/>
      </c>
      <c r="T1433">
        <f>IF(OR($D1433="",$E1433=""),"",DATEDIF($D1433,$E1433,"m"))</f>
        <v/>
      </c>
      <c r="U1433">
        <f>IF(OR($D1433="",$E1433=""),"",$E1433-$D1433)</f>
        <v/>
      </c>
      <c r="V1433">
        <f>IF(OR($G1433="",$T1433=""),"",IF($T1433&lt;24,IF(LEFT(LOWER($H1433),4)="em p",$G1433+0.7,$G1433),IF(LEFT(LOWER($H1433),4)="deit",$G1433-0.7,$G1433)))</f>
        <v/>
      </c>
      <c r="W1433">
        <f>IF(OR($S1433="",$T1433=""),"",$S1433*1000000+IF($T1433&lt;=60,$U1433,$T1433))</f>
        <v/>
      </c>
      <c r="X1433">
        <f>IF(OR($S1433="",$V1433="",$T1433&gt;60,$T1433=""),"",$S1433*1000000+ROUND($V1433*10,0))</f>
        <v/>
      </c>
      <c r="Y1433">
        <f>IF($W1433="","",IFERROR(INDEX(IF($T1433&lt;=60,imc05_l,imc519_l),MATCH($W1433,IF($T1433&lt;=60,imc05_k,imc519_k),1)),""))</f>
        <v/>
      </c>
      <c r="Z1433">
        <f>IF($W1433="","",IFERROR(INDEX(IF($T1433&lt;=60,imc05_m,imc519_m),MATCH($W1433,IF($T1433&lt;=60,imc05_k,imc519_k),1)),""))</f>
        <v/>
      </c>
      <c r="AA1433">
        <f>IF($W1433="","",IFERROR(INDEX(IF($T1433&lt;=60,imc05_s,imc519_s),MATCH($W1433,IF($T1433&lt;=60,imc05_k,imc519_k),1)),""))</f>
        <v/>
      </c>
      <c r="AB1433">
        <f>IF($Y1433="","",IF($Y1433=0,LN($J1433/$Z1433)/$AA1433,((($J1433/$Z1433)^$Y1433)-1)/($Y1433*$AA1433)))</f>
        <v/>
      </c>
      <c r="AC1433">
        <f>IF($Y1433="","",IF($Y1433=0,$Z1433*EXP($AA1433*2),$Z1433*(1+$Y1433*$AA1433*2)^(1/$Y1433)))</f>
        <v/>
      </c>
      <c r="AD1433">
        <f>IF($Y1433="","",IF($Y1433=0,$Z1433*EXP($AA1433*3),$Z1433*(1+$Y1433*$AA1433*3)^(1/$Y1433)))</f>
        <v/>
      </c>
      <c r="AE1433">
        <f>IF($Y1433="","",IF($Y1433=0,$Z1433*EXP($AA1433*-2),$Z1433*(1+$Y1433*$AA1433*-2)^(1/$Y1433)))</f>
        <v/>
      </c>
      <c r="AF1433">
        <f>IF($Y1433="","",IF($Y1433=0,$Z1433*EXP($AA1433*-3),$Z1433*(1+$Y1433*$AA1433*-3)^(1/$Y1433)))</f>
        <v/>
      </c>
      <c r="AG1433">
        <f>IF($W1433="","",IFERROR(INDEX(IF($T1433&lt;=60,est05_l,est519_l),MATCH($W1433,IF($T1433&lt;=60,est05_k,est519_k),1)),""))</f>
        <v/>
      </c>
      <c r="AH1433">
        <f>IF($W1433="","",IFERROR(INDEX(IF($T1433&lt;=60,est05_m,est519_m),MATCH($W1433,IF($T1433&lt;=60,est05_k,est519_k),1)),""))</f>
        <v/>
      </c>
      <c r="AI1433">
        <f>IF($W1433="","",IFERROR(INDEX(IF($T1433&lt;=60,est05_s,est519_s),MATCH($W1433,IF($T1433&lt;=60,est05_k,est519_k),1)),""))</f>
        <v/>
      </c>
      <c r="AJ1433">
        <f>IF($W1433="","",IFERROR(INDEX(IF($T1433&lt;=60,peso05_l,peso510_l),MATCH($W1433,IF($T1433&lt;=60,peso05_k,peso510_k),1)),""))</f>
        <v/>
      </c>
      <c r="AK1433">
        <f>IF($W1433="","",IFERROR(INDEX(IF($T1433&lt;=60,peso05_m,peso510_m),MATCH($W1433,IF($T1433&lt;=60,peso05_k,peso510_k),1)),""))</f>
        <v/>
      </c>
      <c r="AL1433">
        <f>IF($W1433="","",IFERROR(INDEX(IF($T1433&lt;=60,peso05_s,peso510_s),MATCH($W1433,IF($T1433&lt;=60,peso05_k,peso510_k),1)),""))</f>
        <v/>
      </c>
      <c r="AM1433">
        <f>IF($AJ1433="","",IF($AJ1433=0,LN($F1433/$AK1433)/$AL1433,((($F1433/$AK1433)^$AJ1433)-1)/($AJ1433*$AL1433)))</f>
        <v/>
      </c>
      <c r="AN1433">
        <f>IF($AJ1433="","",IF($AJ1433=0,$AK1433*EXP($AL1433*2),$AK1433*(1+$AJ1433*$AL1433*2)^(1/$AJ1433)))</f>
        <v/>
      </c>
      <c r="AO1433">
        <f>IF($AJ1433="","",IF($AJ1433=0,$AK1433*EXP($AL1433*3),$AK1433*(1+$AJ1433*$AL1433*3)^(1/$AJ1433)))</f>
        <v/>
      </c>
      <c r="AP1433">
        <f>IF($AJ1433="","",IF($AJ1433=0,$AK1433*EXP($AL1433*-2),$AK1433*(1+$AJ1433*$AL1433*-2)^(1/$AJ1433)))</f>
        <v/>
      </c>
      <c r="AQ1433">
        <f>IF($AJ1433="","",IF($AJ1433=0,$AK1433*EXP($AL1433*-3),$AK1433*(1+$AJ1433*$AL1433*-3)^(1/$AJ1433)))</f>
        <v/>
      </c>
      <c r="AR1433">
        <f>IF(OR($X1433="",$T1433&gt;60),"",IFERROR(INDEX(IF($T1433&lt;24,pcomp_l,palt_l),MATCH($X1433,IF($T1433&lt;24,pcomp_k,palt_k),1)),""))</f>
        <v/>
      </c>
      <c r="AS1433">
        <f>IF(OR($X1433="",$T1433&gt;60),"",IFERROR(INDEX(IF($T1433&lt;24,pcomp_m,palt_m),MATCH($X1433,IF($T1433&lt;24,pcomp_k,palt_k),1)),""))</f>
        <v/>
      </c>
      <c r="AT1433">
        <f>IF(OR($X1433="",$T1433&gt;60),"",IFERROR(INDEX(IF($T1433&lt;24,pcomp_s,palt_s),MATCH($X1433,IF($T1433&lt;24,pcomp_k,palt_k),1)),""))</f>
        <v/>
      </c>
      <c r="AU1433">
        <f>IF($AR1433="","",IF($AR1433=0,LN($F1433/$AS1433)/$AT1433,((($F1433/$AS1433)^$AR1433)-1)/($AR1433*$AT1433)))</f>
        <v/>
      </c>
      <c r="AV1433">
        <f>IF($AR1433="","",IF($AR1433=0,$AS1433*EXP($AT1433*2),$AS1433*(1+$AR1433*$AT1433*2)^(1/$AR1433)))</f>
        <v/>
      </c>
      <c r="AW1433">
        <f>IF($AR1433="","",IF($AR1433=0,$AS1433*EXP($AT1433*3),$AS1433*(1+$AR1433*$AT1433*3)^(1/$AR1433)))</f>
        <v/>
      </c>
      <c r="AX1433">
        <f>IF($AR1433="","",IF($AR1433=0,$AS1433*EXP($AT1433*-2),$AS1433*(1+$AR1433*$AT1433*-2)^(1/$AR1433)))</f>
        <v/>
      </c>
      <c r="AY1433">
        <f>IF($AR1433="","",IF($AR1433=0,$AS1433*EXP($AT1433*-3),$AS1433*(1+$AR1433*$AT1433*-3)^(1/$AR1433)))</f>
        <v/>
      </c>
      <c r="AZ1433">
        <f>IF(OR($A1433="",$A1433&lt;&gt;Ficha!$C$4),"",COUNTIF($A$2:$A1433,Ficha!$C$4))</f>
        <v/>
      </c>
    </row>
    <row r="1434">
      <c r="A1434" s="8">
        <f>IF(INDEX(Banco!$A:$A,ROW())="","",INDEX(Banco!$A:$A,ROW()))</f>
        <v/>
      </c>
      <c r="B1434" s="8">
        <f>IF(INDEX(Banco!$B:$B,ROW())="","",INDEX(Banco!$B:$B,ROW()))</f>
        <v/>
      </c>
      <c r="C1434" s="8">
        <f>IF(INDEX(Banco!$C:$C,ROW())="","",INDEX(Banco!$C:$C,ROW()))</f>
        <v/>
      </c>
      <c r="D1434" s="9">
        <f>IF(INDEX(Banco!$D:$D,ROW())="","",INDEX(Banco!$D:$D,ROW()))</f>
        <v/>
      </c>
      <c r="E1434" s="9">
        <f>IF(INDEX(Banco!$E:$E,ROW())="","",INDEX(Banco!$E:$E,ROW()))</f>
        <v/>
      </c>
      <c r="F1434" s="10">
        <f>IF(INDEX(Banco!$F:$F,ROW())="","",INDEX(Banco!$F:$F,ROW()))</f>
        <v/>
      </c>
      <c r="G1434" s="10">
        <f>IF(INDEX(Banco!$G:$G,ROW())="","",INDEX(Banco!$G:$G,ROW()))</f>
        <v/>
      </c>
      <c r="H1434" s="8">
        <f>IF(INDEX(Banco!$H:$H,ROW())="","",INDEX(Banco!$H:$H,ROW()))</f>
        <v/>
      </c>
      <c r="I1434">
        <f>IF($T1434="","",INT($T1434/12)&amp;"a "&amp;MOD($T1434,12)&amp;"m")</f>
        <v/>
      </c>
      <c r="J1434" s="11">
        <f>IF(OR($F1434="",$G1434=""),"",ROUND($F1434/($G1434/100)^2,2))</f>
        <v/>
      </c>
      <c r="K1434" s="12">
        <f>IF(OR($S1434="",$J1434="",$T1434="",$T1434&lt;0,$T1434&gt;228,$Y1434=""),"—",ROUND(IF(ABS($AB1434)&lt;=3,$AB1434,IF($AB1434&gt;3,3+($J1434-$AD1434)/($AD1434-$AC1434),-3+($J1434-$AF1434)/($AE1434-$AF1434))),2))</f>
        <v/>
      </c>
      <c r="L1434">
        <f>IF(OR($K1434="",$K1434="—"),"",IF($T1434&lt;=60,IF($K1434&lt;-3,"Magreza acentuada",IF($K1434&lt;-2,"Magreza",IF($K1434&lt;=1,"Eutrofia",IF($K1434&lt;=2,"Risco de sobrepeso",IF($K1434&lt;=3,"Sobrepeso","Obesidade"))))),IF($K1434&lt;-3,"Magreza acentuada",IF($K1434&lt;-2,"Magreza",IF($K1434&lt;=1,"Eutrofia",IF($K1434&lt;=2,"Sobrepeso",IF($K1434&lt;=3,"Obesidade","Obesidade grave")))))))</f>
        <v/>
      </c>
      <c r="M1434" s="12">
        <f>IF(OR($S1434="",$V1434="",$T1434="",$T1434&lt;0,$T1434&gt;228,$AG1434=""),"—",ROUND(IF($AG1434=0,LN($V1434/$AH1434)/$AI1434,((($V1434/$AH1434)^$AG1434)-1)/($AG1434*$AI1434)),2))</f>
        <v/>
      </c>
      <c r="N1434">
        <f>IF(OR($M1434="",$M1434="—"),"",IF($M1434&lt;-3,"Muito baixa",IF($M1434&lt;-2,"Baixa","Adequada")))</f>
        <v/>
      </c>
      <c r="O1434" s="12">
        <f>IF(OR($S1434="",$F1434="",$T1434="",$T1434&lt;0,$T1434&gt;120,$AJ1434=""),"—",ROUND(IF(ABS($AM1434)&lt;=3,$AM1434,IF($AM1434&gt;3,3+($F1434-$AO1434)/($AO1434-$AN1434),-3+($F1434-$AQ1434)/($AP1434-$AQ1434))),2))</f>
        <v/>
      </c>
      <c r="P1434">
        <f>IF(OR($O1434="",$O1434="—"),"",IF($O1434&lt;-3,"Muito baixo",IF($O1434&lt;-2,"Baixo",IF($O1434&lt;=2,"Adequado","Elevado"))))</f>
        <v/>
      </c>
      <c r="Q1434" s="12">
        <f>IF(OR($S1434="",$F1434="",$T1434="",$T1434&lt;0,$T1434&gt;60,$AR1434=""),"—",ROUND(IF(ABS($AU1434)&lt;=3,$AU1434,IF($AU1434&gt;3,3+($F1434-$AW1434)/($AW1434-$AV1434),-3+($F1434-$AY1434)/($AX1434-$AY1434))),2))</f>
        <v/>
      </c>
      <c r="R1434">
        <f>IF(OR($Q1434="",$Q1434="—"),"",IF($Q1434&lt;-3,"Magreza acentuada",IF($Q1434&lt;-2,"Magreza",IF($Q1434&lt;=1,"Eutrofia",IF($Q1434&lt;=2,"Risco de sobrepeso",IF($Q1434&lt;=3,"Sobrepeso","Obesidade"))))))</f>
        <v/>
      </c>
      <c r="S1434">
        <f>IF($C1434="","",IF(UPPER(LEFT($C1434,1))="M",1,IF(UPPER(LEFT($C1434,1))="F",2,"")))</f>
        <v/>
      </c>
      <c r="T1434">
        <f>IF(OR($D1434="",$E1434=""),"",DATEDIF($D1434,$E1434,"m"))</f>
        <v/>
      </c>
      <c r="U1434">
        <f>IF(OR($D1434="",$E1434=""),"",$E1434-$D1434)</f>
        <v/>
      </c>
      <c r="V1434">
        <f>IF(OR($G1434="",$T1434=""),"",IF($T1434&lt;24,IF(LEFT(LOWER($H1434),4)="em p",$G1434+0.7,$G1434),IF(LEFT(LOWER($H1434),4)="deit",$G1434-0.7,$G1434)))</f>
        <v/>
      </c>
      <c r="W1434">
        <f>IF(OR($S1434="",$T1434=""),"",$S1434*1000000+IF($T1434&lt;=60,$U1434,$T1434))</f>
        <v/>
      </c>
      <c r="X1434">
        <f>IF(OR($S1434="",$V1434="",$T1434&gt;60,$T1434=""),"",$S1434*1000000+ROUND($V1434*10,0))</f>
        <v/>
      </c>
      <c r="Y1434">
        <f>IF($W1434="","",IFERROR(INDEX(IF($T1434&lt;=60,imc05_l,imc519_l),MATCH($W1434,IF($T1434&lt;=60,imc05_k,imc519_k),1)),""))</f>
        <v/>
      </c>
      <c r="Z1434">
        <f>IF($W1434="","",IFERROR(INDEX(IF($T1434&lt;=60,imc05_m,imc519_m),MATCH($W1434,IF($T1434&lt;=60,imc05_k,imc519_k),1)),""))</f>
        <v/>
      </c>
      <c r="AA1434">
        <f>IF($W1434="","",IFERROR(INDEX(IF($T1434&lt;=60,imc05_s,imc519_s),MATCH($W1434,IF($T1434&lt;=60,imc05_k,imc519_k),1)),""))</f>
        <v/>
      </c>
      <c r="AB1434">
        <f>IF($Y1434="","",IF($Y1434=0,LN($J1434/$Z1434)/$AA1434,((($J1434/$Z1434)^$Y1434)-1)/($Y1434*$AA1434)))</f>
        <v/>
      </c>
      <c r="AC1434">
        <f>IF($Y1434="","",IF($Y1434=0,$Z1434*EXP($AA1434*2),$Z1434*(1+$Y1434*$AA1434*2)^(1/$Y1434)))</f>
        <v/>
      </c>
      <c r="AD1434">
        <f>IF($Y1434="","",IF($Y1434=0,$Z1434*EXP($AA1434*3),$Z1434*(1+$Y1434*$AA1434*3)^(1/$Y1434)))</f>
        <v/>
      </c>
      <c r="AE1434">
        <f>IF($Y1434="","",IF($Y1434=0,$Z1434*EXP($AA1434*-2),$Z1434*(1+$Y1434*$AA1434*-2)^(1/$Y1434)))</f>
        <v/>
      </c>
      <c r="AF1434">
        <f>IF($Y1434="","",IF($Y1434=0,$Z1434*EXP($AA1434*-3),$Z1434*(1+$Y1434*$AA1434*-3)^(1/$Y1434)))</f>
        <v/>
      </c>
      <c r="AG1434">
        <f>IF($W1434="","",IFERROR(INDEX(IF($T1434&lt;=60,est05_l,est519_l),MATCH($W1434,IF($T1434&lt;=60,est05_k,est519_k),1)),""))</f>
        <v/>
      </c>
      <c r="AH1434">
        <f>IF($W1434="","",IFERROR(INDEX(IF($T1434&lt;=60,est05_m,est519_m),MATCH($W1434,IF($T1434&lt;=60,est05_k,est519_k),1)),""))</f>
        <v/>
      </c>
      <c r="AI1434">
        <f>IF($W1434="","",IFERROR(INDEX(IF($T1434&lt;=60,est05_s,est519_s),MATCH($W1434,IF($T1434&lt;=60,est05_k,est519_k),1)),""))</f>
        <v/>
      </c>
      <c r="AJ1434">
        <f>IF($W1434="","",IFERROR(INDEX(IF($T1434&lt;=60,peso05_l,peso510_l),MATCH($W1434,IF($T1434&lt;=60,peso05_k,peso510_k),1)),""))</f>
        <v/>
      </c>
      <c r="AK1434">
        <f>IF($W1434="","",IFERROR(INDEX(IF($T1434&lt;=60,peso05_m,peso510_m),MATCH($W1434,IF($T1434&lt;=60,peso05_k,peso510_k),1)),""))</f>
        <v/>
      </c>
      <c r="AL1434">
        <f>IF($W1434="","",IFERROR(INDEX(IF($T1434&lt;=60,peso05_s,peso510_s),MATCH($W1434,IF($T1434&lt;=60,peso05_k,peso510_k),1)),""))</f>
        <v/>
      </c>
      <c r="AM1434">
        <f>IF($AJ1434="","",IF($AJ1434=0,LN($F1434/$AK1434)/$AL1434,((($F1434/$AK1434)^$AJ1434)-1)/($AJ1434*$AL1434)))</f>
        <v/>
      </c>
      <c r="AN1434">
        <f>IF($AJ1434="","",IF($AJ1434=0,$AK1434*EXP($AL1434*2),$AK1434*(1+$AJ1434*$AL1434*2)^(1/$AJ1434)))</f>
        <v/>
      </c>
      <c r="AO1434">
        <f>IF($AJ1434="","",IF($AJ1434=0,$AK1434*EXP($AL1434*3),$AK1434*(1+$AJ1434*$AL1434*3)^(1/$AJ1434)))</f>
        <v/>
      </c>
      <c r="AP1434">
        <f>IF($AJ1434="","",IF($AJ1434=0,$AK1434*EXP($AL1434*-2),$AK1434*(1+$AJ1434*$AL1434*-2)^(1/$AJ1434)))</f>
        <v/>
      </c>
      <c r="AQ1434">
        <f>IF($AJ1434="","",IF($AJ1434=0,$AK1434*EXP($AL1434*-3),$AK1434*(1+$AJ1434*$AL1434*-3)^(1/$AJ1434)))</f>
        <v/>
      </c>
      <c r="AR1434">
        <f>IF(OR($X1434="",$T1434&gt;60),"",IFERROR(INDEX(IF($T1434&lt;24,pcomp_l,palt_l),MATCH($X1434,IF($T1434&lt;24,pcomp_k,palt_k),1)),""))</f>
        <v/>
      </c>
      <c r="AS1434">
        <f>IF(OR($X1434="",$T1434&gt;60),"",IFERROR(INDEX(IF($T1434&lt;24,pcomp_m,palt_m),MATCH($X1434,IF($T1434&lt;24,pcomp_k,palt_k),1)),""))</f>
        <v/>
      </c>
      <c r="AT1434">
        <f>IF(OR($X1434="",$T1434&gt;60),"",IFERROR(INDEX(IF($T1434&lt;24,pcomp_s,palt_s),MATCH($X1434,IF($T1434&lt;24,pcomp_k,palt_k),1)),""))</f>
        <v/>
      </c>
      <c r="AU1434">
        <f>IF($AR1434="","",IF($AR1434=0,LN($F1434/$AS1434)/$AT1434,((($F1434/$AS1434)^$AR1434)-1)/($AR1434*$AT1434)))</f>
        <v/>
      </c>
      <c r="AV1434">
        <f>IF($AR1434="","",IF($AR1434=0,$AS1434*EXP($AT1434*2),$AS1434*(1+$AR1434*$AT1434*2)^(1/$AR1434)))</f>
        <v/>
      </c>
      <c r="AW1434">
        <f>IF($AR1434="","",IF($AR1434=0,$AS1434*EXP($AT1434*3),$AS1434*(1+$AR1434*$AT1434*3)^(1/$AR1434)))</f>
        <v/>
      </c>
      <c r="AX1434">
        <f>IF($AR1434="","",IF($AR1434=0,$AS1434*EXP($AT1434*-2),$AS1434*(1+$AR1434*$AT1434*-2)^(1/$AR1434)))</f>
        <v/>
      </c>
      <c r="AY1434">
        <f>IF($AR1434="","",IF($AR1434=0,$AS1434*EXP($AT1434*-3),$AS1434*(1+$AR1434*$AT1434*-3)^(1/$AR1434)))</f>
        <v/>
      </c>
      <c r="AZ1434">
        <f>IF(OR($A1434="",$A1434&lt;&gt;Ficha!$C$4),"",COUNTIF($A$2:$A1434,Ficha!$C$4))</f>
        <v/>
      </c>
    </row>
    <row r="1435">
      <c r="A1435" s="8">
        <f>IF(INDEX(Banco!$A:$A,ROW())="","",INDEX(Banco!$A:$A,ROW()))</f>
        <v/>
      </c>
      <c r="B1435" s="8">
        <f>IF(INDEX(Banco!$B:$B,ROW())="","",INDEX(Banco!$B:$B,ROW()))</f>
        <v/>
      </c>
      <c r="C1435" s="8">
        <f>IF(INDEX(Banco!$C:$C,ROW())="","",INDEX(Banco!$C:$C,ROW()))</f>
        <v/>
      </c>
      <c r="D1435" s="9">
        <f>IF(INDEX(Banco!$D:$D,ROW())="","",INDEX(Banco!$D:$D,ROW()))</f>
        <v/>
      </c>
      <c r="E1435" s="9">
        <f>IF(INDEX(Banco!$E:$E,ROW())="","",INDEX(Banco!$E:$E,ROW()))</f>
        <v/>
      </c>
      <c r="F1435" s="10">
        <f>IF(INDEX(Banco!$F:$F,ROW())="","",INDEX(Banco!$F:$F,ROW()))</f>
        <v/>
      </c>
      <c r="G1435" s="10">
        <f>IF(INDEX(Banco!$G:$G,ROW())="","",INDEX(Banco!$G:$G,ROW()))</f>
        <v/>
      </c>
      <c r="H1435" s="8">
        <f>IF(INDEX(Banco!$H:$H,ROW())="","",INDEX(Banco!$H:$H,ROW()))</f>
        <v/>
      </c>
      <c r="I1435">
        <f>IF($T1435="","",INT($T1435/12)&amp;"a "&amp;MOD($T1435,12)&amp;"m")</f>
        <v/>
      </c>
      <c r="J1435" s="11">
        <f>IF(OR($F1435="",$G1435=""),"",ROUND($F1435/($G1435/100)^2,2))</f>
        <v/>
      </c>
      <c r="K1435" s="12">
        <f>IF(OR($S1435="",$J1435="",$T1435="",$T1435&lt;0,$T1435&gt;228,$Y1435=""),"—",ROUND(IF(ABS($AB1435)&lt;=3,$AB1435,IF($AB1435&gt;3,3+($J1435-$AD1435)/($AD1435-$AC1435),-3+($J1435-$AF1435)/($AE1435-$AF1435))),2))</f>
        <v/>
      </c>
      <c r="L1435">
        <f>IF(OR($K1435="",$K1435="—"),"",IF($T1435&lt;=60,IF($K1435&lt;-3,"Magreza acentuada",IF($K1435&lt;-2,"Magreza",IF($K1435&lt;=1,"Eutrofia",IF($K1435&lt;=2,"Risco de sobrepeso",IF($K1435&lt;=3,"Sobrepeso","Obesidade"))))),IF($K1435&lt;-3,"Magreza acentuada",IF($K1435&lt;-2,"Magreza",IF($K1435&lt;=1,"Eutrofia",IF($K1435&lt;=2,"Sobrepeso",IF($K1435&lt;=3,"Obesidade","Obesidade grave")))))))</f>
        <v/>
      </c>
      <c r="M1435" s="12">
        <f>IF(OR($S1435="",$V1435="",$T1435="",$T1435&lt;0,$T1435&gt;228,$AG1435=""),"—",ROUND(IF($AG1435=0,LN($V1435/$AH1435)/$AI1435,((($V1435/$AH1435)^$AG1435)-1)/($AG1435*$AI1435)),2))</f>
        <v/>
      </c>
      <c r="N1435">
        <f>IF(OR($M1435="",$M1435="—"),"",IF($M1435&lt;-3,"Muito baixa",IF($M1435&lt;-2,"Baixa","Adequada")))</f>
        <v/>
      </c>
      <c r="O1435" s="12">
        <f>IF(OR($S1435="",$F1435="",$T1435="",$T1435&lt;0,$T1435&gt;120,$AJ1435=""),"—",ROUND(IF(ABS($AM1435)&lt;=3,$AM1435,IF($AM1435&gt;3,3+($F1435-$AO1435)/($AO1435-$AN1435),-3+($F1435-$AQ1435)/($AP1435-$AQ1435))),2))</f>
        <v/>
      </c>
      <c r="P1435">
        <f>IF(OR($O1435="",$O1435="—"),"",IF($O1435&lt;-3,"Muito baixo",IF($O1435&lt;-2,"Baixo",IF($O1435&lt;=2,"Adequado","Elevado"))))</f>
        <v/>
      </c>
      <c r="Q1435" s="12">
        <f>IF(OR($S1435="",$F1435="",$T1435="",$T1435&lt;0,$T1435&gt;60,$AR1435=""),"—",ROUND(IF(ABS($AU1435)&lt;=3,$AU1435,IF($AU1435&gt;3,3+($F1435-$AW1435)/($AW1435-$AV1435),-3+($F1435-$AY1435)/($AX1435-$AY1435))),2))</f>
        <v/>
      </c>
      <c r="R1435">
        <f>IF(OR($Q1435="",$Q1435="—"),"",IF($Q1435&lt;-3,"Magreza acentuada",IF($Q1435&lt;-2,"Magreza",IF($Q1435&lt;=1,"Eutrofia",IF($Q1435&lt;=2,"Risco de sobrepeso",IF($Q1435&lt;=3,"Sobrepeso","Obesidade"))))))</f>
        <v/>
      </c>
      <c r="S1435">
        <f>IF($C1435="","",IF(UPPER(LEFT($C1435,1))="M",1,IF(UPPER(LEFT($C1435,1))="F",2,"")))</f>
        <v/>
      </c>
      <c r="T1435">
        <f>IF(OR($D1435="",$E1435=""),"",DATEDIF($D1435,$E1435,"m"))</f>
        <v/>
      </c>
      <c r="U1435">
        <f>IF(OR($D1435="",$E1435=""),"",$E1435-$D1435)</f>
        <v/>
      </c>
      <c r="V1435">
        <f>IF(OR($G1435="",$T1435=""),"",IF($T1435&lt;24,IF(LEFT(LOWER($H1435),4)="em p",$G1435+0.7,$G1435),IF(LEFT(LOWER($H1435),4)="deit",$G1435-0.7,$G1435)))</f>
        <v/>
      </c>
      <c r="W1435">
        <f>IF(OR($S1435="",$T1435=""),"",$S1435*1000000+IF($T1435&lt;=60,$U1435,$T1435))</f>
        <v/>
      </c>
      <c r="X1435">
        <f>IF(OR($S1435="",$V1435="",$T1435&gt;60,$T1435=""),"",$S1435*1000000+ROUND($V1435*10,0))</f>
        <v/>
      </c>
      <c r="Y1435">
        <f>IF($W1435="","",IFERROR(INDEX(IF($T1435&lt;=60,imc05_l,imc519_l),MATCH($W1435,IF($T1435&lt;=60,imc05_k,imc519_k),1)),""))</f>
        <v/>
      </c>
      <c r="Z1435">
        <f>IF($W1435="","",IFERROR(INDEX(IF($T1435&lt;=60,imc05_m,imc519_m),MATCH($W1435,IF($T1435&lt;=60,imc05_k,imc519_k),1)),""))</f>
        <v/>
      </c>
      <c r="AA1435">
        <f>IF($W1435="","",IFERROR(INDEX(IF($T1435&lt;=60,imc05_s,imc519_s),MATCH($W1435,IF($T1435&lt;=60,imc05_k,imc519_k),1)),""))</f>
        <v/>
      </c>
      <c r="AB1435">
        <f>IF($Y1435="","",IF($Y1435=0,LN($J1435/$Z1435)/$AA1435,((($J1435/$Z1435)^$Y1435)-1)/($Y1435*$AA1435)))</f>
        <v/>
      </c>
      <c r="AC1435">
        <f>IF($Y1435="","",IF($Y1435=0,$Z1435*EXP($AA1435*2),$Z1435*(1+$Y1435*$AA1435*2)^(1/$Y1435)))</f>
        <v/>
      </c>
      <c r="AD1435">
        <f>IF($Y1435="","",IF($Y1435=0,$Z1435*EXP($AA1435*3),$Z1435*(1+$Y1435*$AA1435*3)^(1/$Y1435)))</f>
        <v/>
      </c>
      <c r="AE1435">
        <f>IF($Y1435="","",IF($Y1435=0,$Z1435*EXP($AA1435*-2),$Z1435*(1+$Y1435*$AA1435*-2)^(1/$Y1435)))</f>
        <v/>
      </c>
      <c r="AF1435">
        <f>IF($Y1435="","",IF($Y1435=0,$Z1435*EXP($AA1435*-3),$Z1435*(1+$Y1435*$AA1435*-3)^(1/$Y1435)))</f>
        <v/>
      </c>
      <c r="AG1435">
        <f>IF($W1435="","",IFERROR(INDEX(IF($T1435&lt;=60,est05_l,est519_l),MATCH($W1435,IF($T1435&lt;=60,est05_k,est519_k),1)),""))</f>
        <v/>
      </c>
      <c r="AH1435">
        <f>IF($W1435="","",IFERROR(INDEX(IF($T1435&lt;=60,est05_m,est519_m),MATCH($W1435,IF($T1435&lt;=60,est05_k,est519_k),1)),""))</f>
        <v/>
      </c>
      <c r="AI1435">
        <f>IF($W1435="","",IFERROR(INDEX(IF($T1435&lt;=60,est05_s,est519_s),MATCH($W1435,IF($T1435&lt;=60,est05_k,est519_k),1)),""))</f>
        <v/>
      </c>
      <c r="AJ1435">
        <f>IF($W1435="","",IFERROR(INDEX(IF($T1435&lt;=60,peso05_l,peso510_l),MATCH($W1435,IF($T1435&lt;=60,peso05_k,peso510_k),1)),""))</f>
        <v/>
      </c>
      <c r="AK1435">
        <f>IF($W1435="","",IFERROR(INDEX(IF($T1435&lt;=60,peso05_m,peso510_m),MATCH($W1435,IF($T1435&lt;=60,peso05_k,peso510_k),1)),""))</f>
        <v/>
      </c>
      <c r="AL1435">
        <f>IF($W1435="","",IFERROR(INDEX(IF($T1435&lt;=60,peso05_s,peso510_s),MATCH($W1435,IF($T1435&lt;=60,peso05_k,peso510_k),1)),""))</f>
        <v/>
      </c>
      <c r="AM1435">
        <f>IF($AJ1435="","",IF($AJ1435=0,LN($F1435/$AK1435)/$AL1435,((($F1435/$AK1435)^$AJ1435)-1)/($AJ1435*$AL1435)))</f>
        <v/>
      </c>
      <c r="AN1435">
        <f>IF($AJ1435="","",IF($AJ1435=0,$AK1435*EXP($AL1435*2),$AK1435*(1+$AJ1435*$AL1435*2)^(1/$AJ1435)))</f>
        <v/>
      </c>
      <c r="AO1435">
        <f>IF($AJ1435="","",IF($AJ1435=0,$AK1435*EXP($AL1435*3),$AK1435*(1+$AJ1435*$AL1435*3)^(1/$AJ1435)))</f>
        <v/>
      </c>
      <c r="AP1435">
        <f>IF($AJ1435="","",IF($AJ1435=0,$AK1435*EXP($AL1435*-2),$AK1435*(1+$AJ1435*$AL1435*-2)^(1/$AJ1435)))</f>
        <v/>
      </c>
      <c r="AQ1435">
        <f>IF($AJ1435="","",IF($AJ1435=0,$AK1435*EXP($AL1435*-3),$AK1435*(1+$AJ1435*$AL1435*-3)^(1/$AJ1435)))</f>
        <v/>
      </c>
      <c r="AR1435">
        <f>IF(OR($X1435="",$T1435&gt;60),"",IFERROR(INDEX(IF($T1435&lt;24,pcomp_l,palt_l),MATCH($X1435,IF($T1435&lt;24,pcomp_k,palt_k),1)),""))</f>
        <v/>
      </c>
      <c r="AS1435">
        <f>IF(OR($X1435="",$T1435&gt;60),"",IFERROR(INDEX(IF($T1435&lt;24,pcomp_m,palt_m),MATCH($X1435,IF($T1435&lt;24,pcomp_k,palt_k),1)),""))</f>
        <v/>
      </c>
      <c r="AT1435">
        <f>IF(OR($X1435="",$T1435&gt;60),"",IFERROR(INDEX(IF($T1435&lt;24,pcomp_s,palt_s),MATCH($X1435,IF($T1435&lt;24,pcomp_k,palt_k),1)),""))</f>
        <v/>
      </c>
      <c r="AU1435">
        <f>IF($AR1435="","",IF($AR1435=0,LN($F1435/$AS1435)/$AT1435,((($F1435/$AS1435)^$AR1435)-1)/($AR1435*$AT1435)))</f>
        <v/>
      </c>
      <c r="AV1435">
        <f>IF($AR1435="","",IF($AR1435=0,$AS1435*EXP($AT1435*2),$AS1435*(1+$AR1435*$AT1435*2)^(1/$AR1435)))</f>
        <v/>
      </c>
      <c r="AW1435">
        <f>IF($AR1435="","",IF($AR1435=0,$AS1435*EXP($AT1435*3),$AS1435*(1+$AR1435*$AT1435*3)^(1/$AR1435)))</f>
        <v/>
      </c>
      <c r="AX1435">
        <f>IF($AR1435="","",IF($AR1435=0,$AS1435*EXP($AT1435*-2),$AS1435*(1+$AR1435*$AT1435*-2)^(1/$AR1435)))</f>
        <v/>
      </c>
      <c r="AY1435">
        <f>IF($AR1435="","",IF($AR1435=0,$AS1435*EXP($AT1435*-3),$AS1435*(1+$AR1435*$AT1435*-3)^(1/$AR1435)))</f>
        <v/>
      </c>
      <c r="AZ1435">
        <f>IF(OR($A1435="",$A1435&lt;&gt;Ficha!$C$4),"",COUNTIF($A$2:$A1435,Ficha!$C$4))</f>
        <v/>
      </c>
    </row>
    <row r="1436">
      <c r="A1436" s="8">
        <f>IF(INDEX(Banco!$A:$A,ROW())="","",INDEX(Banco!$A:$A,ROW()))</f>
        <v/>
      </c>
      <c r="B1436" s="8">
        <f>IF(INDEX(Banco!$B:$B,ROW())="","",INDEX(Banco!$B:$B,ROW()))</f>
        <v/>
      </c>
      <c r="C1436" s="8">
        <f>IF(INDEX(Banco!$C:$C,ROW())="","",INDEX(Banco!$C:$C,ROW()))</f>
        <v/>
      </c>
      <c r="D1436" s="9">
        <f>IF(INDEX(Banco!$D:$D,ROW())="","",INDEX(Banco!$D:$D,ROW()))</f>
        <v/>
      </c>
      <c r="E1436" s="9">
        <f>IF(INDEX(Banco!$E:$E,ROW())="","",INDEX(Banco!$E:$E,ROW()))</f>
        <v/>
      </c>
      <c r="F1436" s="10">
        <f>IF(INDEX(Banco!$F:$F,ROW())="","",INDEX(Banco!$F:$F,ROW()))</f>
        <v/>
      </c>
      <c r="G1436" s="10">
        <f>IF(INDEX(Banco!$G:$G,ROW())="","",INDEX(Banco!$G:$G,ROW()))</f>
        <v/>
      </c>
      <c r="H1436" s="8">
        <f>IF(INDEX(Banco!$H:$H,ROW())="","",INDEX(Banco!$H:$H,ROW()))</f>
        <v/>
      </c>
      <c r="I1436">
        <f>IF($T1436="","",INT($T1436/12)&amp;"a "&amp;MOD($T1436,12)&amp;"m")</f>
        <v/>
      </c>
      <c r="J1436" s="11">
        <f>IF(OR($F1436="",$G1436=""),"",ROUND($F1436/($G1436/100)^2,2))</f>
        <v/>
      </c>
      <c r="K1436" s="12">
        <f>IF(OR($S1436="",$J1436="",$T1436="",$T1436&lt;0,$T1436&gt;228,$Y1436=""),"—",ROUND(IF(ABS($AB1436)&lt;=3,$AB1436,IF($AB1436&gt;3,3+($J1436-$AD1436)/($AD1436-$AC1436),-3+($J1436-$AF1436)/($AE1436-$AF1436))),2))</f>
        <v/>
      </c>
      <c r="L1436">
        <f>IF(OR($K1436="",$K1436="—"),"",IF($T1436&lt;=60,IF($K1436&lt;-3,"Magreza acentuada",IF($K1436&lt;-2,"Magreza",IF($K1436&lt;=1,"Eutrofia",IF($K1436&lt;=2,"Risco de sobrepeso",IF($K1436&lt;=3,"Sobrepeso","Obesidade"))))),IF($K1436&lt;-3,"Magreza acentuada",IF($K1436&lt;-2,"Magreza",IF($K1436&lt;=1,"Eutrofia",IF($K1436&lt;=2,"Sobrepeso",IF($K1436&lt;=3,"Obesidade","Obesidade grave")))))))</f>
        <v/>
      </c>
      <c r="M1436" s="12">
        <f>IF(OR($S1436="",$V1436="",$T1436="",$T1436&lt;0,$T1436&gt;228,$AG1436=""),"—",ROUND(IF($AG1436=0,LN($V1436/$AH1436)/$AI1436,((($V1436/$AH1436)^$AG1436)-1)/($AG1436*$AI1436)),2))</f>
        <v/>
      </c>
      <c r="N1436">
        <f>IF(OR($M1436="",$M1436="—"),"",IF($M1436&lt;-3,"Muito baixa",IF($M1436&lt;-2,"Baixa","Adequada")))</f>
        <v/>
      </c>
      <c r="O1436" s="12">
        <f>IF(OR($S1436="",$F1436="",$T1436="",$T1436&lt;0,$T1436&gt;120,$AJ1436=""),"—",ROUND(IF(ABS($AM1436)&lt;=3,$AM1436,IF($AM1436&gt;3,3+($F1436-$AO1436)/($AO1436-$AN1436),-3+($F1436-$AQ1436)/($AP1436-$AQ1436))),2))</f>
        <v/>
      </c>
      <c r="P1436">
        <f>IF(OR($O1436="",$O1436="—"),"",IF($O1436&lt;-3,"Muito baixo",IF($O1436&lt;-2,"Baixo",IF($O1436&lt;=2,"Adequado","Elevado"))))</f>
        <v/>
      </c>
      <c r="Q1436" s="12">
        <f>IF(OR($S1436="",$F1436="",$T1436="",$T1436&lt;0,$T1436&gt;60,$AR1436=""),"—",ROUND(IF(ABS($AU1436)&lt;=3,$AU1436,IF($AU1436&gt;3,3+($F1436-$AW1436)/($AW1436-$AV1436),-3+($F1436-$AY1436)/($AX1436-$AY1436))),2))</f>
        <v/>
      </c>
      <c r="R1436">
        <f>IF(OR($Q1436="",$Q1436="—"),"",IF($Q1436&lt;-3,"Magreza acentuada",IF($Q1436&lt;-2,"Magreza",IF($Q1436&lt;=1,"Eutrofia",IF($Q1436&lt;=2,"Risco de sobrepeso",IF($Q1436&lt;=3,"Sobrepeso","Obesidade"))))))</f>
        <v/>
      </c>
      <c r="S1436">
        <f>IF($C1436="","",IF(UPPER(LEFT($C1436,1))="M",1,IF(UPPER(LEFT($C1436,1))="F",2,"")))</f>
        <v/>
      </c>
      <c r="T1436">
        <f>IF(OR($D1436="",$E1436=""),"",DATEDIF($D1436,$E1436,"m"))</f>
        <v/>
      </c>
      <c r="U1436">
        <f>IF(OR($D1436="",$E1436=""),"",$E1436-$D1436)</f>
        <v/>
      </c>
      <c r="V1436">
        <f>IF(OR($G1436="",$T1436=""),"",IF($T1436&lt;24,IF(LEFT(LOWER($H1436),4)="em p",$G1436+0.7,$G1436),IF(LEFT(LOWER($H1436),4)="deit",$G1436-0.7,$G1436)))</f>
        <v/>
      </c>
      <c r="W1436">
        <f>IF(OR($S1436="",$T1436=""),"",$S1436*1000000+IF($T1436&lt;=60,$U1436,$T1436))</f>
        <v/>
      </c>
      <c r="X1436">
        <f>IF(OR($S1436="",$V1436="",$T1436&gt;60,$T1436=""),"",$S1436*1000000+ROUND($V1436*10,0))</f>
        <v/>
      </c>
      <c r="Y1436">
        <f>IF($W1436="","",IFERROR(INDEX(IF($T1436&lt;=60,imc05_l,imc519_l),MATCH($W1436,IF($T1436&lt;=60,imc05_k,imc519_k),1)),""))</f>
        <v/>
      </c>
      <c r="Z1436">
        <f>IF($W1436="","",IFERROR(INDEX(IF($T1436&lt;=60,imc05_m,imc519_m),MATCH($W1436,IF($T1436&lt;=60,imc05_k,imc519_k),1)),""))</f>
        <v/>
      </c>
      <c r="AA1436">
        <f>IF($W1436="","",IFERROR(INDEX(IF($T1436&lt;=60,imc05_s,imc519_s),MATCH($W1436,IF($T1436&lt;=60,imc05_k,imc519_k),1)),""))</f>
        <v/>
      </c>
      <c r="AB1436">
        <f>IF($Y1436="","",IF($Y1436=0,LN($J1436/$Z1436)/$AA1436,((($J1436/$Z1436)^$Y1436)-1)/($Y1436*$AA1436)))</f>
        <v/>
      </c>
      <c r="AC1436">
        <f>IF($Y1436="","",IF($Y1436=0,$Z1436*EXP($AA1436*2),$Z1436*(1+$Y1436*$AA1436*2)^(1/$Y1436)))</f>
        <v/>
      </c>
      <c r="AD1436">
        <f>IF($Y1436="","",IF($Y1436=0,$Z1436*EXP($AA1436*3),$Z1436*(1+$Y1436*$AA1436*3)^(1/$Y1436)))</f>
        <v/>
      </c>
      <c r="AE1436">
        <f>IF($Y1436="","",IF($Y1436=0,$Z1436*EXP($AA1436*-2),$Z1436*(1+$Y1436*$AA1436*-2)^(1/$Y1436)))</f>
        <v/>
      </c>
      <c r="AF1436">
        <f>IF($Y1436="","",IF($Y1436=0,$Z1436*EXP($AA1436*-3),$Z1436*(1+$Y1436*$AA1436*-3)^(1/$Y1436)))</f>
        <v/>
      </c>
      <c r="AG1436">
        <f>IF($W1436="","",IFERROR(INDEX(IF($T1436&lt;=60,est05_l,est519_l),MATCH($W1436,IF($T1436&lt;=60,est05_k,est519_k),1)),""))</f>
        <v/>
      </c>
      <c r="AH1436">
        <f>IF($W1436="","",IFERROR(INDEX(IF($T1436&lt;=60,est05_m,est519_m),MATCH($W1436,IF($T1436&lt;=60,est05_k,est519_k),1)),""))</f>
        <v/>
      </c>
      <c r="AI1436">
        <f>IF($W1436="","",IFERROR(INDEX(IF($T1436&lt;=60,est05_s,est519_s),MATCH($W1436,IF($T1436&lt;=60,est05_k,est519_k),1)),""))</f>
        <v/>
      </c>
      <c r="AJ1436">
        <f>IF($W1436="","",IFERROR(INDEX(IF($T1436&lt;=60,peso05_l,peso510_l),MATCH($W1436,IF($T1436&lt;=60,peso05_k,peso510_k),1)),""))</f>
        <v/>
      </c>
      <c r="AK1436">
        <f>IF($W1436="","",IFERROR(INDEX(IF($T1436&lt;=60,peso05_m,peso510_m),MATCH($W1436,IF($T1436&lt;=60,peso05_k,peso510_k),1)),""))</f>
        <v/>
      </c>
      <c r="AL1436">
        <f>IF($W1436="","",IFERROR(INDEX(IF($T1436&lt;=60,peso05_s,peso510_s),MATCH($W1436,IF($T1436&lt;=60,peso05_k,peso510_k),1)),""))</f>
        <v/>
      </c>
      <c r="AM1436">
        <f>IF($AJ1436="","",IF($AJ1436=0,LN($F1436/$AK1436)/$AL1436,((($F1436/$AK1436)^$AJ1436)-1)/($AJ1436*$AL1436)))</f>
        <v/>
      </c>
      <c r="AN1436">
        <f>IF($AJ1436="","",IF($AJ1436=0,$AK1436*EXP($AL1436*2),$AK1436*(1+$AJ1436*$AL1436*2)^(1/$AJ1436)))</f>
        <v/>
      </c>
      <c r="AO1436">
        <f>IF($AJ1436="","",IF($AJ1436=0,$AK1436*EXP($AL1436*3),$AK1436*(1+$AJ1436*$AL1436*3)^(1/$AJ1436)))</f>
        <v/>
      </c>
      <c r="AP1436">
        <f>IF($AJ1436="","",IF($AJ1436=0,$AK1436*EXP($AL1436*-2),$AK1436*(1+$AJ1436*$AL1436*-2)^(1/$AJ1436)))</f>
        <v/>
      </c>
      <c r="AQ1436">
        <f>IF($AJ1436="","",IF($AJ1436=0,$AK1436*EXP($AL1436*-3),$AK1436*(1+$AJ1436*$AL1436*-3)^(1/$AJ1436)))</f>
        <v/>
      </c>
      <c r="AR1436">
        <f>IF(OR($X1436="",$T1436&gt;60),"",IFERROR(INDEX(IF($T1436&lt;24,pcomp_l,palt_l),MATCH($X1436,IF($T1436&lt;24,pcomp_k,palt_k),1)),""))</f>
        <v/>
      </c>
      <c r="AS1436">
        <f>IF(OR($X1436="",$T1436&gt;60),"",IFERROR(INDEX(IF($T1436&lt;24,pcomp_m,palt_m),MATCH($X1436,IF($T1436&lt;24,pcomp_k,palt_k),1)),""))</f>
        <v/>
      </c>
      <c r="AT1436">
        <f>IF(OR($X1436="",$T1436&gt;60),"",IFERROR(INDEX(IF($T1436&lt;24,pcomp_s,palt_s),MATCH($X1436,IF($T1436&lt;24,pcomp_k,palt_k),1)),""))</f>
        <v/>
      </c>
      <c r="AU1436">
        <f>IF($AR1436="","",IF($AR1436=0,LN($F1436/$AS1436)/$AT1436,((($F1436/$AS1436)^$AR1436)-1)/($AR1436*$AT1436)))</f>
        <v/>
      </c>
      <c r="AV1436">
        <f>IF($AR1436="","",IF($AR1436=0,$AS1436*EXP($AT1436*2),$AS1436*(1+$AR1436*$AT1436*2)^(1/$AR1436)))</f>
        <v/>
      </c>
      <c r="AW1436">
        <f>IF($AR1436="","",IF($AR1436=0,$AS1436*EXP($AT1436*3),$AS1436*(1+$AR1436*$AT1436*3)^(1/$AR1436)))</f>
        <v/>
      </c>
      <c r="AX1436">
        <f>IF($AR1436="","",IF($AR1436=0,$AS1436*EXP($AT1436*-2),$AS1436*(1+$AR1436*$AT1436*-2)^(1/$AR1436)))</f>
        <v/>
      </c>
      <c r="AY1436">
        <f>IF($AR1436="","",IF($AR1436=0,$AS1436*EXP($AT1436*-3),$AS1436*(1+$AR1436*$AT1436*-3)^(1/$AR1436)))</f>
        <v/>
      </c>
      <c r="AZ1436">
        <f>IF(OR($A1436="",$A1436&lt;&gt;Ficha!$C$4),"",COUNTIF($A$2:$A1436,Ficha!$C$4))</f>
        <v/>
      </c>
    </row>
    <row r="1437">
      <c r="A1437" s="8">
        <f>IF(INDEX(Banco!$A:$A,ROW())="","",INDEX(Banco!$A:$A,ROW()))</f>
        <v/>
      </c>
      <c r="B1437" s="8">
        <f>IF(INDEX(Banco!$B:$B,ROW())="","",INDEX(Banco!$B:$B,ROW()))</f>
        <v/>
      </c>
      <c r="C1437" s="8">
        <f>IF(INDEX(Banco!$C:$C,ROW())="","",INDEX(Banco!$C:$C,ROW()))</f>
        <v/>
      </c>
      <c r="D1437" s="9">
        <f>IF(INDEX(Banco!$D:$D,ROW())="","",INDEX(Banco!$D:$D,ROW()))</f>
        <v/>
      </c>
      <c r="E1437" s="9">
        <f>IF(INDEX(Banco!$E:$E,ROW())="","",INDEX(Banco!$E:$E,ROW()))</f>
        <v/>
      </c>
      <c r="F1437" s="10">
        <f>IF(INDEX(Banco!$F:$F,ROW())="","",INDEX(Banco!$F:$F,ROW()))</f>
        <v/>
      </c>
      <c r="G1437" s="10">
        <f>IF(INDEX(Banco!$G:$G,ROW())="","",INDEX(Banco!$G:$G,ROW()))</f>
        <v/>
      </c>
      <c r="H1437" s="8">
        <f>IF(INDEX(Banco!$H:$H,ROW())="","",INDEX(Banco!$H:$H,ROW()))</f>
        <v/>
      </c>
      <c r="I1437">
        <f>IF($T1437="","",INT($T1437/12)&amp;"a "&amp;MOD($T1437,12)&amp;"m")</f>
        <v/>
      </c>
      <c r="J1437" s="11">
        <f>IF(OR($F1437="",$G1437=""),"",ROUND($F1437/($G1437/100)^2,2))</f>
        <v/>
      </c>
      <c r="K1437" s="12">
        <f>IF(OR($S1437="",$J1437="",$T1437="",$T1437&lt;0,$T1437&gt;228,$Y1437=""),"—",ROUND(IF(ABS($AB1437)&lt;=3,$AB1437,IF($AB1437&gt;3,3+($J1437-$AD1437)/($AD1437-$AC1437),-3+($J1437-$AF1437)/($AE1437-$AF1437))),2))</f>
        <v/>
      </c>
      <c r="L1437">
        <f>IF(OR($K1437="",$K1437="—"),"",IF($T1437&lt;=60,IF($K1437&lt;-3,"Magreza acentuada",IF($K1437&lt;-2,"Magreza",IF($K1437&lt;=1,"Eutrofia",IF($K1437&lt;=2,"Risco de sobrepeso",IF($K1437&lt;=3,"Sobrepeso","Obesidade"))))),IF($K1437&lt;-3,"Magreza acentuada",IF($K1437&lt;-2,"Magreza",IF($K1437&lt;=1,"Eutrofia",IF($K1437&lt;=2,"Sobrepeso",IF($K1437&lt;=3,"Obesidade","Obesidade grave")))))))</f>
        <v/>
      </c>
      <c r="M1437" s="12">
        <f>IF(OR($S1437="",$V1437="",$T1437="",$T1437&lt;0,$T1437&gt;228,$AG1437=""),"—",ROUND(IF($AG1437=0,LN($V1437/$AH1437)/$AI1437,((($V1437/$AH1437)^$AG1437)-1)/($AG1437*$AI1437)),2))</f>
        <v/>
      </c>
      <c r="N1437">
        <f>IF(OR($M1437="",$M1437="—"),"",IF($M1437&lt;-3,"Muito baixa",IF($M1437&lt;-2,"Baixa","Adequada")))</f>
        <v/>
      </c>
      <c r="O1437" s="12">
        <f>IF(OR($S1437="",$F1437="",$T1437="",$T1437&lt;0,$T1437&gt;120,$AJ1437=""),"—",ROUND(IF(ABS($AM1437)&lt;=3,$AM1437,IF($AM1437&gt;3,3+($F1437-$AO1437)/($AO1437-$AN1437),-3+($F1437-$AQ1437)/($AP1437-$AQ1437))),2))</f>
        <v/>
      </c>
      <c r="P1437">
        <f>IF(OR($O1437="",$O1437="—"),"",IF($O1437&lt;-3,"Muito baixo",IF($O1437&lt;-2,"Baixo",IF($O1437&lt;=2,"Adequado","Elevado"))))</f>
        <v/>
      </c>
      <c r="Q1437" s="12">
        <f>IF(OR($S1437="",$F1437="",$T1437="",$T1437&lt;0,$T1437&gt;60,$AR1437=""),"—",ROUND(IF(ABS($AU1437)&lt;=3,$AU1437,IF($AU1437&gt;3,3+($F1437-$AW1437)/($AW1437-$AV1437),-3+($F1437-$AY1437)/($AX1437-$AY1437))),2))</f>
        <v/>
      </c>
      <c r="R1437">
        <f>IF(OR($Q1437="",$Q1437="—"),"",IF($Q1437&lt;-3,"Magreza acentuada",IF($Q1437&lt;-2,"Magreza",IF($Q1437&lt;=1,"Eutrofia",IF($Q1437&lt;=2,"Risco de sobrepeso",IF($Q1437&lt;=3,"Sobrepeso","Obesidade"))))))</f>
        <v/>
      </c>
      <c r="S1437">
        <f>IF($C1437="","",IF(UPPER(LEFT($C1437,1))="M",1,IF(UPPER(LEFT($C1437,1))="F",2,"")))</f>
        <v/>
      </c>
      <c r="T1437">
        <f>IF(OR($D1437="",$E1437=""),"",DATEDIF($D1437,$E1437,"m"))</f>
        <v/>
      </c>
      <c r="U1437">
        <f>IF(OR($D1437="",$E1437=""),"",$E1437-$D1437)</f>
        <v/>
      </c>
      <c r="V1437">
        <f>IF(OR($G1437="",$T1437=""),"",IF($T1437&lt;24,IF(LEFT(LOWER($H1437),4)="em p",$G1437+0.7,$G1437),IF(LEFT(LOWER($H1437),4)="deit",$G1437-0.7,$G1437)))</f>
        <v/>
      </c>
      <c r="W1437">
        <f>IF(OR($S1437="",$T1437=""),"",$S1437*1000000+IF($T1437&lt;=60,$U1437,$T1437))</f>
        <v/>
      </c>
      <c r="X1437">
        <f>IF(OR($S1437="",$V1437="",$T1437&gt;60,$T1437=""),"",$S1437*1000000+ROUND($V1437*10,0))</f>
        <v/>
      </c>
      <c r="Y1437">
        <f>IF($W1437="","",IFERROR(INDEX(IF($T1437&lt;=60,imc05_l,imc519_l),MATCH($W1437,IF($T1437&lt;=60,imc05_k,imc519_k),1)),""))</f>
        <v/>
      </c>
      <c r="Z1437">
        <f>IF($W1437="","",IFERROR(INDEX(IF($T1437&lt;=60,imc05_m,imc519_m),MATCH($W1437,IF($T1437&lt;=60,imc05_k,imc519_k),1)),""))</f>
        <v/>
      </c>
      <c r="AA1437">
        <f>IF($W1437="","",IFERROR(INDEX(IF($T1437&lt;=60,imc05_s,imc519_s),MATCH($W1437,IF($T1437&lt;=60,imc05_k,imc519_k),1)),""))</f>
        <v/>
      </c>
      <c r="AB1437">
        <f>IF($Y1437="","",IF($Y1437=0,LN($J1437/$Z1437)/$AA1437,((($J1437/$Z1437)^$Y1437)-1)/($Y1437*$AA1437)))</f>
        <v/>
      </c>
      <c r="AC1437">
        <f>IF($Y1437="","",IF($Y1437=0,$Z1437*EXP($AA1437*2),$Z1437*(1+$Y1437*$AA1437*2)^(1/$Y1437)))</f>
        <v/>
      </c>
      <c r="AD1437">
        <f>IF($Y1437="","",IF($Y1437=0,$Z1437*EXP($AA1437*3),$Z1437*(1+$Y1437*$AA1437*3)^(1/$Y1437)))</f>
        <v/>
      </c>
      <c r="AE1437">
        <f>IF($Y1437="","",IF($Y1437=0,$Z1437*EXP($AA1437*-2),$Z1437*(1+$Y1437*$AA1437*-2)^(1/$Y1437)))</f>
        <v/>
      </c>
      <c r="AF1437">
        <f>IF($Y1437="","",IF($Y1437=0,$Z1437*EXP($AA1437*-3),$Z1437*(1+$Y1437*$AA1437*-3)^(1/$Y1437)))</f>
        <v/>
      </c>
      <c r="AG1437">
        <f>IF($W1437="","",IFERROR(INDEX(IF($T1437&lt;=60,est05_l,est519_l),MATCH($W1437,IF($T1437&lt;=60,est05_k,est519_k),1)),""))</f>
        <v/>
      </c>
      <c r="AH1437">
        <f>IF($W1437="","",IFERROR(INDEX(IF($T1437&lt;=60,est05_m,est519_m),MATCH($W1437,IF($T1437&lt;=60,est05_k,est519_k),1)),""))</f>
        <v/>
      </c>
      <c r="AI1437">
        <f>IF($W1437="","",IFERROR(INDEX(IF($T1437&lt;=60,est05_s,est519_s),MATCH($W1437,IF($T1437&lt;=60,est05_k,est519_k),1)),""))</f>
        <v/>
      </c>
      <c r="AJ1437">
        <f>IF($W1437="","",IFERROR(INDEX(IF($T1437&lt;=60,peso05_l,peso510_l),MATCH($W1437,IF($T1437&lt;=60,peso05_k,peso510_k),1)),""))</f>
        <v/>
      </c>
      <c r="AK1437">
        <f>IF($W1437="","",IFERROR(INDEX(IF($T1437&lt;=60,peso05_m,peso510_m),MATCH($W1437,IF($T1437&lt;=60,peso05_k,peso510_k),1)),""))</f>
        <v/>
      </c>
      <c r="AL1437">
        <f>IF($W1437="","",IFERROR(INDEX(IF($T1437&lt;=60,peso05_s,peso510_s),MATCH($W1437,IF($T1437&lt;=60,peso05_k,peso510_k),1)),""))</f>
        <v/>
      </c>
      <c r="AM1437">
        <f>IF($AJ1437="","",IF($AJ1437=0,LN($F1437/$AK1437)/$AL1437,((($F1437/$AK1437)^$AJ1437)-1)/($AJ1437*$AL1437)))</f>
        <v/>
      </c>
      <c r="AN1437">
        <f>IF($AJ1437="","",IF($AJ1437=0,$AK1437*EXP($AL1437*2),$AK1437*(1+$AJ1437*$AL1437*2)^(1/$AJ1437)))</f>
        <v/>
      </c>
      <c r="AO1437">
        <f>IF($AJ1437="","",IF($AJ1437=0,$AK1437*EXP($AL1437*3),$AK1437*(1+$AJ1437*$AL1437*3)^(1/$AJ1437)))</f>
        <v/>
      </c>
      <c r="AP1437">
        <f>IF($AJ1437="","",IF($AJ1437=0,$AK1437*EXP($AL1437*-2),$AK1437*(1+$AJ1437*$AL1437*-2)^(1/$AJ1437)))</f>
        <v/>
      </c>
      <c r="AQ1437">
        <f>IF($AJ1437="","",IF($AJ1437=0,$AK1437*EXP($AL1437*-3),$AK1437*(1+$AJ1437*$AL1437*-3)^(1/$AJ1437)))</f>
        <v/>
      </c>
      <c r="AR1437">
        <f>IF(OR($X1437="",$T1437&gt;60),"",IFERROR(INDEX(IF($T1437&lt;24,pcomp_l,palt_l),MATCH($X1437,IF($T1437&lt;24,pcomp_k,palt_k),1)),""))</f>
        <v/>
      </c>
      <c r="AS1437">
        <f>IF(OR($X1437="",$T1437&gt;60),"",IFERROR(INDEX(IF($T1437&lt;24,pcomp_m,palt_m),MATCH($X1437,IF($T1437&lt;24,pcomp_k,palt_k),1)),""))</f>
        <v/>
      </c>
      <c r="AT1437">
        <f>IF(OR($X1437="",$T1437&gt;60),"",IFERROR(INDEX(IF($T1437&lt;24,pcomp_s,palt_s),MATCH($X1437,IF($T1437&lt;24,pcomp_k,palt_k),1)),""))</f>
        <v/>
      </c>
      <c r="AU1437">
        <f>IF($AR1437="","",IF($AR1437=0,LN($F1437/$AS1437)/$AT1437,((($F1437/$AS1437)^$AR1437)-1)/($AR1437*$AT1437)))</f>
        <v/>
      </c>
      <c r="AV1437">
        <f>IF($AR1437="","",IF($AR1437=0,$AS1437*EXP($AT1437*2),$AS1437*(1+$AR1437*$AT1437*2)^(1/$AR1437)))</f>
        <v/>
      </c>
      <c r="AW1437">
        <f>IF($AR1437="","",IF($AR1437=0,$AS1437*EXP($AT1437*3),$AS1437*(1+$AR1437*$AT1437*3)^(1/$AR1437)))</f>
        <v/>
      </c>
      <c r="AX1437">
        <f>IF($AR1437="","",IF($AR1437=0,$AS1437*EXP($AT1437*-2),$AS1437*(1+$AR1437*$AT1437*-2)^(1/$AR1437)))</f>
        <v/>
      </c>
      <c r="AY1437">
        <f>IF($AR1437="","",IF($AR1437=0,$AS1437*EXP($AT1437*-3),$AS1437*(1+$AR1437*$AT1437*-3)^(1/$AR1437)))</f>
        <v/>
      </c>
      <c r="AZ1437">
        <f>IF(OR($A1437="",$A1437&lt;&gt;Ficha!$C$4),"",COUNTIF($A$2:$A1437,Ficha!$C$4))</f>
        <v/>
      </c>
    </row>
    <row r="1438">
      <c r="A1438" s="8">
        <f>IF(INDEX(Banco!$A:$A,ROW())="","",INDEX(Banco!$A:$A,ROW()))</f>
        <v/>
      </c>
      <c r="B1438" s="8">
        <f>IF(INDEX(Banco!$B:$B,ROW())="","",INDEX(Banco!$B:$B,ROW()))</f>
        <v/>
      </c>
      <c r="C1438" s="8">
        <f>IF(INDEX(Banco!$C:$C,ROW())="","",INDEX(Banco!$C:$C,ROW()))</f>
        <v/>
      </c>
      <c r="D1438" s="9">
        <f>IF(INDEX(Banco!$D:$D,ROW())="","",INDEX(Banco!$D:$D,ROW()))</f>
        <v/>
      </c>
      <c r="E1438" s="9">
        <f>IF(INDEX(Banco!$E:$E,ROW())="","",INDEX(Banco!$E:$E,ROW()))</f>
        <v/>
      </c>
      <c r="F1438" s="10">
        <f>IF(INDEX(Banco!$F:$F,ROW())="","",INDEX(Banco!$F:$F,ROW()))</f>
        <v/>
      </c>
      <c r="G1438" s="10">
        <f>IF(INDEX(Banco!$G:$G,ROW())="","",INDEX(Banco!$G:$G,ROW()))</f>
        <v/>
      </c>
      <c r="H1438" s="8">
        <f>IF(INDEX(Banco!$H:$H,ROW())="","",INDEX(Banco!$H:$H,ROW()))</f>
        <v/>
      </c>
      <c r="I1438">
        <f>IF($T1438="","",INT($T1438/12)&amp;"a "&amp;MOD($T1438,12)&amp;"m")</f>
        <v/>
      </c>
      <c r="J1438" s="11">
        <f>IF(OR($F1438="",$G1438=""),"",ROUND($F1438/($G1438/100)^2,2))</f>
        <v/>
      </c>
      <c r="K1438" s="12">
        <f>IF(OR($S1438="",$J1438="",$T1438="",$T1438&lt;0,$T1438&gt;228,$Y1438=""),"—",ROUND(IF(ABS($AB1438)&lt;=3,$AB1438,IF($AB1438&gt;3,3+($J1438-$AD1438)/($AD1438-$AC1438),-3+($J1438-$AF1438)/($AE1438-$AF1438))),2))</f>
        <v/>
      </c>
      <c r="L1438">
        <f>IF(OR($K1438="",$K1438="—"),"",IF($T1438&lt;=60,IF($K1438&lt;-3,"Magreza acentuada",IF($K1438&lt;-2,"Magreza",IF($K1438&lt;=1,"Eutrofia",IF($K1438&lt;=2,"Risco de sobrepeso",IF($K1438&lt;=3,"Sobrepeso","Obesidade"))))),IF($K1438&lt;-3,"Magreza acentuada",IF($K1438&lt;-2,"Magreza",IF($K1438&lt;=1,"Eutrofia",IF($K1438&lt;=2,"Sobrepeso",IF($K1438&lt;=3,"Obesidade","Obesidade grave")))))))</f>
        <v/>
      </c>
      <c r="M1438" s="12">
        <f>IF(OR($S1438="",$V1438="",$T1438="",$T1438&lt;0,$T1438&gt;228,$AG1438=""),"—",ROUND(IF($AG1438=0,LN($V1438/$AH1438)/$AI1438,((($V1438/$AH1438)^$AG1438)-1)/($AG1438*$AI1438)),2))</f>
        <v/>
      </c>
      <c r="N1438">
        <f>IF(OR($M1438="",$M1438="—"),"",IF($M1438&lt;-3,"Muito baixa",IF($M1438&lt;-2,"Baixa","Adequada")))</f>
        <v/>
      </c>
      <c r="O1438" s="12">
        <f>IF(OR($S1438="",$F1438="",$T1438="",$T1438&lt;0,$T1438&gt;120,$AJ1438=""),"—",ROUND(IF(ABS($AM1438)&lt;=3,$AM1438,IF($AM1438&gt;3,3+($F1438-$AO1438)/($AO1438-$AN1438),-3+($F1438-$AQ1438)/($AP1438-$AQ1438))),2))</f>
        <v/>
      </c>
      <c r="P1438">
        <f>IF(OR($O1438="",$O1438="—"),"",IF($O1438&lt;-3,"Muito baixo",IF($O1438&lt;-2,"Baixo",IF($O1438&lt;=2,"Adequado","Elevado"))))</f>
        <v/>
      </c>
      <c r="Q1438" s="12">
        <f>IF(OR($S1438="",$F1438="",$T1438="",$T1438&lt;0,$T1438&gt;60,$AR1438=""),"—",ROUND(IF(ABS($AU1438)&lt;=3,$AU1438,IF($AU1438&gt;3,3+($F1438-$AW1438)/($AW1438-$AV1438),-3+($F1438-$AY1438)/($AX1438-$AY1438))),2))</f>
        <v/>
      </c>
      <c r="R1438">
        <f>IF(OR($Q1438="",$Q1438="—"),"",IF($Q1438&lt;-3,"Magreza acentuada",IF($Q1438&lt;-2,"Magreza",IF($Q1438&lt;=1,"Eutrofia",IF($Q1438&lt;=2,"Risco de sobrepeso",IF($Q1438&lt;=3,"Sobrepeso","Obesidade"))))))</f>
        <v/>
      </c>
      <c r="S1438">
        <f>IF($C1438="","",IF(UPPER(LEFT($C1438,1))="M",1,IF(UPPER(LEFT($C1438,1))="F",2,"")))</f>
        <v/>
      </c>
      <c r="T1438">
        <f>IF(OR($D1438="",$E1438=""),"",DATEDIF($D1438,$E1438,"m"))</f>
        <v/>
      </c>
      <c r="U1438">
        <f>IF(OR($D1438="",$E1438=""),"",$E1438-$D1438)</f>
        <v/>
      </c>
      <c r="V1438">
        <f>IF(OR($G1438="",$T1438=""),"",IF($T1438&lt;24,IF(LEFT(LOWER($H1438),4)="em p",$G1438+0.7,$G1438),IF(LEFT(LOWER($H1438),4)="deit",$G1438-0.7,$G1438)))</f>
        <v/>
      </c>
      <c r="W1438">
        <f>IF(OR($S1438="",$T1438=""),"",$S1438*1000000+IF($T1438&lt;=60,$U1438,$T1438))</f>
        <v/>
      </c>
      <c r="X1438">
        <f>IF(OR($S1438="",$V1438="",$T1438&gt;60,$T1438=""),"",$S1438*1000000+ROUND($V1438*10,0))</f>
        <v/>
      </c>
      <c r="Y1438">
        <f>IF($W1438="","",IFERROR(INDEX(IF($T1438&lt;=60,imc05_l,imc519_l),MATCH($W1438,IF($T1438&lt;=60,imc05_k,imc519_k),1)),""))</f>
        <v/>
      </c>
      <c r="Z1438">
        <f>IF($W1438="","",IFERROR(INDEX(IF($T1438&lt;=60,imc05_m,imc519_m),MATCH($W1438,IF($T1438&lt;=60,imc05_k,imc519_k),1)),""))</f>
        <v/>
      </c>
      <c r="AA1438">
        <f>IF($W1438="","",IFERROR(INDEX(IF($T1438&lt;=60,imc05_s,imc519_s),MATCH($W1438,IF($T1438&lt;=60,imc05_k,imc519_k),1)),""))</f>
        <v/>
      </c>
      <c r="AB1438">
        <f>IF($Y1438="","",IF($Y1438=0,LN($J1438/$Z1438)/$AA1438,((($J1438/$Z1438)^$Y1438)-1)/($Y1438*$AA1438)))</f>
        <v/>
      </c>
      <c r="AC1438">
        <f>IF($Y1438="","",IF($Y1438=0,$Z1438*EXP($AA1438*2),$Z1438*(1+$Y1438*$AA1438*2)^(1/$Y1438)))</f>
        <v/>
      </c>
      <c r="AD1438">
        <f>IF($Y1438="","",IF($Y1438=0,$Z1438*EXP($AA1438*3),$Z1438*(1+$Y1438*$AA1438*3)^(1/$Y1438)))</f>
        <v/>
      </c>
      <c r="AE1438">
        <f>IF($Y1438="","",IF($Y1438=0,$Z1438*EXP($AA1438*-2),$Z1438*(1+$Y1438*$AA1438*-2)^(1/$Y1438)))</f>
        <v/>
      </c>
      <c r="AF1438">
        <f>IF($Y1438="","",IF($Y1438=0,$Z1438*EXP($AA1438*-3),$Z1438*(1+$Y1438*$AA1438*-3)^(1/$Y1438)))</f>
        <v/>
      </c>
      <c r="AG1438">
        <f>IF($W1438="","",IFERROR(INDEX(IF($T1438&lt;=60,est05_l,est519_l),MATCH($W1438,IF($T1438&lt;=60,est05_k,est519_k),1)),""))</f>
        <v/>
      </c>
      <c r="AH1438">
        <f>IF($W1438="","",IFERROR(INDEX(IF($T1438&lt;=60,est05_m,est519_m),MATCH($W1438,IF($T1438&lt;=60,est05_k,est519_k),1)),""))</f>
        <v/>
      </c>
      <c r="AI1438">
        <f>IF($W1438="","",IFERROR(INDEX(IF($T1438&lt;=60,est05_s,est519_s),MATCH($W1438,IF($T1438&lt;=60,est05_k,est519_k),1)),""))</f>
        <v/>
      </c>
      <c r="AJ1438">
        <f>IF($W1438="","",IFERROR(INDEX(IF($T1438&lt;=60,peso05_l,peso510_l),MATCH($W1438,IF($T1438&lt;=60,peso05_k,peso510_k),1)),""))</f>
        <v/>
      </c>
      <c r="AK1438">
        <f>IF($W1438="","",IFERROR(INDEX(IF($T1438&lt;=60,peso05_m,peso510_m),MATCH($W1438,IF($T1438&lt;=60,peso05_k,peso510_k),1)),""))</f>
        <v/>
      </c>
      <c r="AL1438">
        <f>IF($W1438="","",IFERROR(INDEX(IF($T1438&lt;=60,peso05_s,peso510_s),MATCH($W1438,IF($T1438&lt;=60,peso05_k,peso510_k),1)),""))</f>
        <v/>
      </c>
      <c r="AM1438">
        <f>IF($AJ1438="","",IF($AJ1438=0,LN($F1438/$AK1438)/$AL1438,((($F1438/$AK1438)^$AJ1438)-1)/($AJ1438*$AL1438)))</f>
        <v/>
      </c>
      <c r="AN1438">
        <f>IF($AJ1438="","",IF($AJ1438=0,$AK1438*EXP($AL1438*2),$AK1438*(1+$AJ1438*$AL1438*2)^(1/$AJ1438)))</f>
        <v/>
      </c>
      <c r="AO1438">
        <f>IF($AJ1438="","",IF($AJ1438=0,$AK1438*EXP($AL1438*3),$AK1438*(1+$AJ1438*$AL1438*3)^(1/$AJ1438)))</f>
        <v/>
      </c>
      <c r="AP1438">
        <f>IF($AJ1438="","",IF($AJ1438=0,$AK1438*EXP($AL1438*-2),$AK1438*(1+$AJ1438*$AL1438*-2)^(1/$AJ1438)))</f>
        <v/>
      </c>
      <c r="AQ1438">
        <f>IF($AJ1438="","",IF($AJ1438=0,$AK1438*EXP($AL1438*-3),$AK1438*(1+$AJ1438*$AL1438*-3)^(1/$AJ1438)))</f>
        <v/>
      </c>
      <c r="AR1438">
        <f>IF(OR($X1438="",$T1438&gt;60),"",IFERROR(INDEX(IF($T1438&lt;24,pcomp_l,palt_l),MATCH($X1438,IF($T1438&lt;24,pcomp_k,palt_k),1)),""))</f>
        <v/>
      </c>
      <c r="AS1438">
        <f>IF(OR($X1438="",$T1438&gt;60),"",IFERROR(INDEX(IF($T1438&lt;24,pcomp_m,palt_m),MATCH($X1438,IF($T1438&lt;24,pcomp_k,palt_k),1)),""))</f>
        <v/>
      </c>
      <c r="AT1438">
        <f>IF(OR($X1438="",$T1438&gt;60),"",IFERROR(INDEX(IF($T1438&lt;24,pcomp_s,palt_s),MATCH($X1438,IF($T1438&lt;24,pcomp_k,palt_k),1)),""))</f>
        <v/>
      </c>
      <c r="AU1438">
        <f>IF($AR1438="","",IF($AR1438=0,LN($F1438/$AS1438)/$AT1438,((($F1438/$AS1438)^$AR1438)-1)/($AR1438*$AT1438)))</f>
        <v/>
      </c>
      <c r="AV1438">
        <f>IF($AR1438="","",IF($AR1438=0,$AS1438*EXP($AT1438*2),$AS1438*(1+$AR1438*$AT1438*2)^(1/$AR1438)))</f>
        <v/>
      </c>
      <c r="AW1438">
        <f>IF($AR1438="","",IF($AR1438=0,$AS1438*EXP($AT1438*3),$AS1438*(1+$AR1438*$AT1438*3)^(1/$AR1438)))</f>
        <v/>
      </c>
      <c r="AX1438">
        <f>IF($AR1438="","",IF($AR1438=0,$AS1438*EXP($AT1438*-2),$AS1438*(1+$AR1438*$AT1438*-2)^(1/$AR1438)))</f>
        <v/>
      </c>
      <c r="AY1438">
        <f>IF($AR1438="","",IF($AR1438=0,$AS1438*EXP($AT1438*-3),$AS1438*(1+$AR1438*$AT1438*-3)^(1/$AR1438)))</f>
        <v/>
      </c>
      <c r="AZ1438">
        <f>IF(OR($A1438="",$A1438&lt;&gt;Ficha!$C$4),"",COUNTIF($A$2:$A1438,Ficha!$C$4))</f>
        <v/>
      </c>
    </row>
    <row r="1439">
      <c r="A1439" s="8">
        <f>IF(INDEX(Banco!$A:$A,ROW())="","",INDEX(Banco!$A:$A,ROW()))</f>
        <v/>
      </c>
      <c r="B1439" s="8">
        <f>IF(INDEX(Banco!$B:$B,ROW())="","",INDEX(Banco!$B:$B,ROW()))</f>
        <v/>
      </c>
      <c r="C1439" s="8">
        <f>IF(INDEX(Banco!$C:$C,ROW())="","",INDEX(Banco!$C:$C,ROW()))</f>
        <v/>
      </c>
      <c r="D1439" s="9">
        <f>IF(INDEX(Banco!$D:$D,ROW())="","",INDEX(Banco!$D:$D,ROW()))</f>
        <v/>
      </c>
      <c r="E1439" s="9">
        <f>IF(INDEX(Banco!$E:$E,ROW())="","",INDEX(Banco!$E:$E,ROW()))</f>
        <v/>
      </c>
      <c r="F1439" s="10">
        <f>IF(INDEX(Banco!$F:$F,ROW())="","",INDEX(Banco!$F:$F,ROW()))</f>
        <v/>
      </c>
      <c r="G1439" s="10">
        <f>IF(INDEX(Banco!$G:$G,ROW())="","",INDEX(Banco!$G:$G,ROW()))</f>
        <v/>
      </c>
      <c r="H1439" s="8">
        <f>IF(INDEX(Banco!$H:$H,ROW())="","",INDEX(Banco!$H:$H,ROW()))</f>
        <v/>
      </c>
      <c r="I1439">
        <f>IF($T1439="","",INT($T1439/12)&amp;"a "&amp;MOD($T1439,12)&amp;"m")</f>
        <v/>
      </c>
      <c r="J1439" s="11">
        <f>IF(OR($F1439="",$G1439=""),"",ROUND($F1439/($G1439/100)^2,2))</f>
        <v/>
      </c>
      <c r="K1439" s="12">
        <f>IF(OR($S1439="",$J1439="",$T1439="",$T1439&lt;0,$T1439&gt;228,$Y1439=""),"—",ROUND(IF(ABS($AB1439)&lt;=3,$AB1439,IF($AB1439&gt;3,3+($J1439-$AD1439)/($AD1439-$AC1439),-3+($J1439-$AF1439)/($AE1439-$AF1439))),2))</f>
        <v/>
      </c>
      <c r="L1439">
        <f>IF(OR($K1439="",$K1439="—"),"",IF($T1439&lt;=60,IF($K1439&lt;-3,"Magreza acentuada",IF($K1439&lt;-2,"Magreza",IF($K1439&lt;=1,"Eutrofia",IF($K1439&lt;=2,"Risco de sobrepeso",IF($K1439&lt;=3,"Sobrepeso","Obesidade"))))),IF($K1439&lt;-3,"Magreza acentuada",IF($K1439&lt;-2,"Magreza",IF($K1439&lt;=1,"Eutrofia",IF($K1439&lt;=2,"Sobrepeso",IF($K1439&lt;=3,"Obesidade","Obesidade grave")))))))</f>
        <v/>
      </c>
      <c r="M1439" s="12">
        <f>IF(OR($S1439="",$V1439="",$T1439="",$T1439&lt;0,$T1439&gt;228,$AG1439=""),"—",ROUND(IF($AG1439=0,LN($V1439/$AH1439)/$AI1439,((($V1439/$AH1439)^$AG1439)-1)/($AG1439*$AI1439)),2))</f>
        <v/>
      </c>
      <c r="N1439">
        <f>IF(OR($M1439="",$M1439="—"),"",IF($M1439&lt;-3,"Muito baixa",IF($M1439&lt;-2,"Baixa","Adequada")))</f>
        <v/>
      </c>
      <c r="O1439" s="12">
        <f>IF(OR($S1439="",$F1439="",$T1439="",$T1439&lt;0,$T1439&gt;120,$AJ1439=""),"—",ROUND(IF(ABS($AM1439)&lt;=3,$AM1439,IF($AM1439&gt;3,3+($F1439-$AO1439)/($AO1439-$AN1439),-3+($F1439-$AQ1439)/($AP1439-$AQ1439))),2))</f>
        <v/>
      </c>
      <c r="P1439">
        <f>IF(OR($O1439="",$O1439="—"),"",IF($O1439&lt;-3,"Muito baixo",IF($O1439&lt;-2,"Baixo",IF($O1439&lt;=2,"Adequado","Elevado"))))</f>
        <v/>
      </c>
      <c r="Q1439" s="12">
        <f>IF(OR($S1439="",$F1439="",$T1439="",$T1439&lt;0,$T1439&gt;60,$AR1439=""),"—",ROUND(IF(ABS($AU1439)&lt;=3,$AU1439,IF($AU1439&gt;3,3+($F1439-$AW1439)/($AW1439-$AV1439),-3+($F1439-$AY1439)/($AX1439-$AY1439))),2))</f>
        <v/>
      </c>
      <c r="R1439">
        <f>IF(OR($Q1439="",$Q1439="—"),"",IF($Q1439&lt;-3,"Magreza acentuada",IF($Q1439&lt;-2,"Magreza",IF($Q1439&lt;=1,"Eutrofia",IF($Q1439&lt;=2,"Risco de sobrepeso",IF($Q1439&lt;=3,"Sobrepeso","Obesidade"))))))</f>
        <v/>
      </c>
      <c r="S1439">
        <f>IF($C1439="","",IF(UPPER(LEFT($C1439,1))="M",1,IF(UPPER(LEFT($C1439,1))="F",2,"")))</f>
        <v/>
      </c>
      <c r="T1439">
        <f>IF(OR($D1439="",$E1439=""),"",DATEDIF($D1439,$E1439,"m"))</f>
        <v/>
      </c>
      <c r="U1439">
        <f>IF(OR($D1439="",$E1439=""),"",$E1439-$D1439)</f>
        <v/>
      </c>
      <c r="V1439">
        <f>IF(OR($G1439="",$T1439=""),"",IF($T1439&lt;24,IF(LEFT(LOWER($H1439),4)="em p",$G1439+0.7,$G1439),IF(LEFT(LOWER($H1439),4)="deit",$G1439-0.7,$G1439)))</f>
        <v/>
      </c>
      <c r="W1439">
        <f>IF(OR($S1439="",$T1439=""),"",$S1439*1000000+IF($T1439&lt;=60,$U1439,$T1439))</f>
        <v/>
      </c>
      <c r="X1439">
        <f>IF(OR($S1439="",$V1439="",$T1439&gt;60,$T1439=""),"",$S1439*1000000+ROUND($V1439*10,0))</f>
        <v/>
      </c>
      <c r="Y1439">
        <f>IF($W1439="","",IFERROR(INDEX(IF($T1439&lt;=60,imc05_l,imc519_l),MATCH($W1439,IF($T1439&lt;=60,imc05_k,imc519_k),1)),""))</f>
        <v/>
      </c>
      <c r="Z1439">
        <f>IF($W1439="","",IFERROR(INDEX(IF($T1439&lt;=60,imc05_m,imc519_m),MATCH($W1439,IF($T1439&lt;=60,imc05_k,imc519_k),1)),""))</f>
        <v/>
      </c>
      <c r="AA1439">
        <f>IF($W1439="","",IFERROR(INDEX(IF($T1439&lt;=60,imc05_s,imc519_s),MATCH($W1439,IF($T1439&lt;=60,imc05_k,imc519_k),1)),""))</f>
        <v/>
      </c>
      <c r="AB1439">
        <f>IF($Y1439="","",IF($Y1439=0,LN($J1439/$Z1439)/$AA1439,((($J1439/$Z1439)^$Y1439)-1)/($Y1439*$AA1439)))</f>
        <v/>
      </c>
      <c r="AC1439">
        <f>IF($Y1439="","",IF($Y1439=0,$Z1439*EXP($AA1439*2),$Z1439*(1+$Y1439*$AA1439*2)^(1/$Y1439)))</f>
        <v/>
      </c>
      <c r="AD1439">
        <f>IF($Y1439="","",IF($Y1439=0,$Z1439*EXP($AA1439*3),$Z1439*(1+$Y1439*$AA1439*3)^(1/$Y1439)))</f>
        <v/>
      </c>
      <c r="AE1439">
        <f>IF($Y1439="","",IF($Y1439=0,$Z1439*EXP($AA1439*-2),$Z1439*(1+$Y1439*$AA1439*-2)^(1/$Y1439)))</f>
        <v/>
      </c>
      <c r="AF1439">
        <f>IF($Y1439="","",IF($Y1439=0,$Z1439*EXP($AA1439*-3),$Z1439*(1+$Y1439*$AA1439*-3)^(1/$Y1439)))</f>
        <v/>
      </c>
      <c r="AG1439">
        <f>IF($W1439="","",IFERROR(INDEX(IF($T1439&lt;=60,est05_l,est519_l),MATCH($W1439,IF($T1439&lt;=60,est05_k,est519_k),1)),""))</f>
        <v/>
      </c>
      <c r="AH1439">
        <f>IF($W1439="","",IFERROR(INDEX(IF($T1439&lt;=60,est05_m,est519_m),MATCH($W1439,IF($T1439&lt;=60,est05_k,est519_k),1)),""))</f>
        <v/>
      </c>
      <c r="AI1439">
        <f>IF($W1439="","",IFERROR(INDEX(IF($T1439&lt;=60,est05_s,est519_s),MATCH($W1439,IF($T1439&lt;=60,est05_k,est519_k),1)),""))</f>
        <v/>
      </c>
      <c r="AJ1439">
        <f>IF($W1439="","",IFERROR(INDEX(IF($T1439&lt;=60,peso05_l,peso510_l),MATCH($W1439,IF($T1439&lt;=60,peso05_k,peso510_k),1)),""))</f>
        <v/>
      </c>
      <c r="AK1439">
        <f>IF($W1439="","",IFERROR(INDEX(IF($T1439&lt;=60,peso05_m,peso510_m),MATCH($W1439,IF($T1439&lt;=60,peso05_k,peso510_k),1)),""))</f>
        <v/>
      </c>
      <c r="AL1439">
        <f>IF($W1439="","",IFERROR(INDEX(IF($T1439&lt;=60,peso05_s,peso510_s),MATCH($W1439,IF($T1439&lt;=60,peso05_k,peso510_k),1)),""))</f>
        <v/>
      </c>
      <c r="AM1439">
        <f>IF($AJ1439="","",IF($AJ1439=0,LN($F1439/$AK1439)/$AL1439,((($F1439/$AK1439)^$AJ1439)-1)/($AJ1439*$AL1439)))</f>
        <v/>
      </c>
      <c r="AN1439">
        <f>IF($AJ1439="","",IF($AJ1439=0,$AK1439*EXP($AL1439*2),$AK1439*(1+$AJ1439*$AL1439*2)^(1/$AJ1439)))</f>
        <v/>
      </c>
      <c r="AO1439">
        <f>IF($AJ1439="","",IF($AJ1439=0,$AK1439*EXP($AL1439*3),$AK1439*(1+$AJ1439*$AL1439*3)^(1/$AJ1439)))</f>
        <v/>
      </c>
      <c r="AP1439">
        <f>IF($AJ1439="","",IF($AJ1439=0,$AK1439*EXP($AL1439*-2),$AK1439*(1+$AJ1439*$AL1439*-2)^(1/$AJ1439)))</f>
        <v/>
      </c>
      <c r="AQ1439">
        <f>IF($AJ1439="","",IF($AJ1439=0,$AK1439*EXP($AL1439*-3),$AK1439*(1+$AJ1439*$AL1439*-3)^(1/$AJ1439)))</f>
        <v/>
      </c>
      <c r="AR1439">
        <f>IF(OR($X1439="",$T1439&gt;60),"",IFERROR(INDEX(IF($T1439&lt;24,pcomp_l,palt_l),MATCH($X1439,IF($T1439&lt;24,pcomp_k,palt_k),1)),""))</f>
        <v/>
      </c>
      <c r="AS1439">
        <f>IF(OR($X1439="",$T1439&gt;60),"",IFERROR(INDEX(IF($T1439&lt;24,pcomp_m,palt_m),MATCH($X1439,IF($T1439&lt;24,pcomp_k,palt_k),1)),""))</f>
        <v/>
      </c>
      <c r="AT1439">
        <f>IF(OR($X1439="",$T1439&gt;60),"",IFERROR(INDEX(IF($T1439&lt;24,pcomp_s,palt_s),MATCH($X1439,IF($T1439&lt;24,pcomp_k,palt_k),1)),""))</f>
        <v/>
      </c>
      <c r="AU1439">
        <f>IF($AR1439="","",IF($AR1439=0,LN($F1439/$AS1439)/$AT1439,((($F1439/$AS1439)^$AR1439)-1)/($AR1439*$AT1439)))</f>
        <v/>
      </c>
      <c r="AV1439">
        <f>IF($AR1439="","",IF($AR1439=0,$AS1439*EXP($AT1439*2),$AS1439*(1+$AR1439*$AT1439*2)^(1/$AR1439)))</f>
        <v/>
      </c>
      <c r="AW1439">
        <f>IF($AR1439="","",IF($AR1439=0,$AS1439*EXP($AT1439*3),$AS1439*(1+$AR1439*$AT1439*3)^(1/$AR1439)))</f>
        <v/>
      </c>
      <c r="AX1439">
        <f>IF($AR1439="","",IF($AR1439=0,$AS1439*EXP($AT1439*-2),$AS1439*(1+$AR1439*$AT1439*-2)^(1/$AR1439)))</f>
        <v/>
      </c>
      <c r="AY1439">
        <f>IF($AR1439="","",IF($AR1439=0,$AS1439*EXP($AT1439*-3),$AS1439*(1+$AR1439*$AT1439*-3)^(1/$AR1439)))</f>
        <v/>
      </c>
      <c r="AZ1439">
        <f>IF(OR($A1439="",$A1439&lt;&gt;Ficha!$C$4),"",COUNTIF($A$2:$A1439,Ficha!$C$4))</f>
        <v/>
      </c>
    </row>
    <row r="1440">
      <c r="A1440" s="8">
        <f>IF(INDEX(Banco!$A:$A,ROW())="","",INDEX(Banco!$A:$A,ROW()))</f>
        <v/>
      </c>
      <c r="B1440" s="8">
        <f>IF(INDEX(Banco!$B:$B,ROW())="","",INDEX(Banco!$B:$B,ROW()))</f>
        <v/>
      </c>
      <c r="C1440" s="8">
        <f>IF(INDEX(Banco!$C:$C,ROW())="","",INDEX(Banco!$C:$C,ROW()))</f>
        <v/>
      </c>
      <c r="D1440" s="9">
        <f>IF(INDEX(Banco!$D:$D,ROW())="","",INDEX(Banco!$D:$D,ROW()))</f>
        <v/>
      </c>
      <c r="E1440" s="9">
        <f>IF(INDEX(Banco!$E:$E,ROW())="","",INDEX(Banco!$E:$E,ROW()))</f>
        <v/>
      </c>
      <c r="F1440" s="10">
        <f>IF(INDEX(Banco!$F:$F,ROW())="","",INDEX(Banco!$F:$F,ROW()))</f>
        <v/>
      </c>
      <c r="G1440" s="10">
        <f>IF(INDEX(Banco!$G:$G,ROW())="","",INDEX(Banco!$G:$G,ROW()))</f>
        <v/>
      </c>
      <c r="H1440" s="8">
        <f>IF(INDEX(Banco!$H:$H,ROW())="","",INDEX(Banco!$H:$H,ROW()))</f>
        <v/>
      </c>
      <c r="I1440">
        <f>IF($T1440="","",INT($T1440/12)&amp;"a "&amp;MOD($T1440,12)&amp;"m")</f>
        <v/>
      </c>
      <c r="J1440" s="11">
        <f>IF(OR($F1440="",$G1440=""),"",ROUND($F1440/($G1440/100)^2,2))</f>
        <v/>
      </c>
      <c r="K1440" s="12">
        <f>IF(OR($S1440="",$J1440="",$T1440="",$T1440&lt;0,$T1440&gt;228,$Y1440=""),"—",ROUND(IF(ABS($AB1440)&lt;=3,$AB1440,IF($AB1440&gt;3,3+($J1440-$AD1440)/($AD1440-$AC1440),-3+($J1440-$AF1440)/($AE1440-$AF1440))),2))</f>
        <v/>
      </c>
      <c r="L1440">
        <f>IF(OR($K1440="",$K1440="—"),"",IF($T1440&lt;=60,IF($K1440&lt;-3,"Magreza acentuada",IF($K1440&lt;-2,"Magreza",IF($K1440&lt;=1,"Eutrofia",IF($K1440&lt;=2,"Risco de sobrepeso",IF($K1440&lt;=3,"Sobrepeso","Obesidade"))))),IF($K1440&lt;-3,"Magreza acentuada",IF($K1440&lt;-2,"Magreza",IF($K1440&lt;=1,"Eutrofia",IF($K1440&lt;=2,"Sobrepeso",IF($K1440&lt;=3,"Obesidade","Obesidade grave")))))))</f>
        <v/>
      </c>
      <c r="M1440" s="12">
        <f>IF(OR($S1440="",$V1440="",$T1440="",$T1440&lt;0,$T1440&gt;228,$AG1440=""),"—",ROUND(IF($AG1440=0,LN($V1440/$AH1440)/$AI1440,((($V1440/$AH1440)^$AG1440)-1)/($AG1440*$AI1440)),2))</f>
        <v/>
      </c>
      <c r="N1440">
        <f>IF(OR($M1440="",$M1440="—"),"",IF($M1440&lt;-3,"Muito baixa",IF($M1440&lt;-2,"Baixa","Adequada")))</f>
        <v/>
      </c>
      <c r="O1440" s="12">
        <f>IF(OR($S1440="",$F1440="",$T1440="",$T1440&lt;0,$T1440&gt;120,$AJ1440=""),"—",ROUND(IF(ABS($AM1440)&lt;=3,$AM1440,IF($AM1440&gt;3,3+($F1440-$AO1440)/($AO1440-$AN1440),-3+($F1440-$AQ1440)/($AP1440-$AQ1440))),2))</f>
        <v/>
      </c>
      <c r="P1440">
        <f>IF(OR($O1440="",$O1440="—"),"",IF($O1440&lt;-3,"Muito baixo",IF($O1440&lt;-2,"Baixo",IF($O1440&lt;=2,"Adequado","Elevado"))))</f>
        <v/>
      </c>
      <c r="Q1440" s="12">
        <f>IF(OR($S1440="",$F1440="",$T1440="",$T1440&lt;0,$T1440&gt;60,$AR1440=""),"—",ROUND(IF(ABS($AU1440)&lt;=3,$AU1440,IF($AU1440&gt;3,3+($F1440-$AW1440)/($AW1440-$AV1440),-3+($F1440-$AY1440)/($AX1440-$AY1440))),2))</f>
        <v/>
      </c>
      <c r="R1440">
        <f>IF(OR($Q1440="",$Q1440="—"),"",IF($Q1440&lt;-3,"Magreza acentuada",IF($Q1440&lt;-2,"Magreza",IF($Q1440&lt;=1,"Eutrofia",IF($Q1440&lt;=2,"Risco de sobrepeso",IF($Q1440&lt;=3,"Sobrepeso","Obesidade"))))))</f>
        <v/>
      </c>
      <c r="S1440">
        <f>IF($C1440="","",IF(UPPER(LEFT($C1440,1))="M",1,IF(UPPER(LEFT($C1440,1))="F",2,"")))</f>
        <v/>
      </c>
      <c r="T1440">
        <f>IF(OR($D1440="",$E1440=""),"",DATEDIF($D1440,$E1440,"m"))</f>
        <v/>
      </c>
      <c r="U1440">
        <f>IF(OR($D1440="",$E1440=""),"",$E1440-$D1440)</f>
        <v/>
      </c>
      <c r="V1440">
        <f>IF(OR($G1440="",$T1440=""),"",IF($T1440&lt;24,IF(LEFT(LOWER($H1440),4)="em p",$G1440+0.7,$G1440),IF(LEFT(LOWER($H1440),4)="deit",$G1440-0.7,$G1440)))</f>
        <v/>
      </c>
      <c r="W1440">
        <f>IF(OR($S1440="",$T1440=""),"",$S1440*1000000+IF($T1440&lt;=60,$U1440,$T1440))</f>
        <v/>
      </c>
      <c r="X1440">
        <f>IF(OR($S1440="",$V1440="",$T1440&gt;60,$T1440=""),"",$S1440*1000000+ROUND($V1440*10,0))</f>
        <v/>
      </c>
      <c r="Y1440">
        <f>IF($W1440="","",IFERROR(INDEX(IF($T1440&lt;=60,imc05_l,imc519_l),MATCH($W1440,IF($T1440&lt;=60,imc05_k,imc519_k),1)),""))</f>
        <v/>
      </c>
      <c r="Z1440">
        <f>IF($W1440="","",IFERROR(INDEX(IF($T1440&lt;=60,imc05_m,imc519_m),MATCH($W1440,IF($T1440&lt;=60,imc05_k,imc519_k),1)),""))</f>
        <v/>
      </c>
      <c r="AA1440">
        <f>IF($W1440="","",IFERROR(INDEX(IF($T1440&lt;=60,imc05_s,imc519_s),MATCH($W1440,IF($T1440&lt;=60,imc05_k,imc519_k),1)),""))</f>
        <v/>
      </c>
      <c r="AB1440">
        <f>IF($Y1440="","",IF($Y1440=0,LN($J1440/$Z1440)/$AA1440,((($J1440/$Z1440)^$Y1440)-1)/($Y1440*$AA1440)))</f>
        <v/>
      </c>
      <c r="AC1440">
        <f>IF($Y1440="","",IF($Y1440=0,$Z1440*EXP($AA1440*2),$Z1440*(1+$Y1440*$AA1440*2)^(1/$Y1440)))</f>
        <v/>
      </c>
      <c r="AD1440">
        <f>IF($Y1440="","",IF($Y1440=0,$Z1440*EXP($AA1440*3),$Z1440*(1+$Y1440*$AA1440*3)^(1/$Y1440)))</f>
        <v/>
      </c>
      <c r="AE1440">
        <f>IF($Y1440="","",IF($Y1440=0,$Z1440*EXP($AA1440*-2),$Z1440*(1+$Y1440*$AA1440*-2)^(1/$Y1440)))</f>
        <v/>
      </c>
      <c r="AF1440">
        <f>IF($Y1440="","",IF($Y1440=0,$Z1440*EXP($AA1440*-3),$Z1440*(1+$Y1440*$AA1440*-3)^(1/$Y1440)))</f>
        <v/>
      </c>
      <c r="AG1440">
        <f>IF($W1440="","",IFERROR(INDEX(IF($T1440&lt;=60,est05_l,est519_l),MATCH($W1440,IF($T1440&lt;=60,est05_k,est519_k),1)),""))</f>
        <v/>
      </c>
      <c r="AH1440">
        <f>IF($W1440="","",IFERROR(INDEX(IF($T1440&lt;=60,est05_m,est519_m),MATCH($W1440,IF($T1440&lt;=60,est05_k,est519_k),1)),""))</f>
        <v/>
      </c>
      <c r="AI1440">
        <f>IF($W1440="","",IFERROR(INDEX(IF($T1440&lt;=60,est05_s,est519_s),MATCH($W1440,IF($T1440&lt;=60,est05_k,est519_k),1)),""))</f>
        <v/>
      </c>
      <c r="AJ1440">
        <f>IF($W1440="","",IFERROR(INDEX(IF($T1440&lt;=60,peso05_l,peso510_l),MATCH($W1440,IF($T1440&lt;=60,peso05_k,peso510_k),1)),""))</f>
        <v/>
      </c>
      <c r="AK1440">
        <f>IF($W1440="","",IFERROR(INDEX(IF($T1440&lt;=60,peso05_m,peso510_m),MATCH($W1440,IF($T1440&lt;=60,peso05_k,peso510_k),1)),""))</f>
        <v/>
      </c>
      <c r="AL1440">
        <f>IF($W1440="","",IFERROR(INDEX(IF($T1440&lt;=60,peso05_s,peso510_s),MATCH($W1440,IF($T1440&lt;=60,peso05_k,peso510_k),1)),""))</f>
        <v/>
      </c>
      <c r="AM1440">
        <f>IF($AJ1440="","",IF($AJ1440=0,LN($F1440/$AK1440)/$AL1440,((($F1440/$AK1440)^$AJ1440)-1)/($AJ1440*$AL1440)))</f>
        <v/>
      </c>
      <c r="AN1440">
        <f>IF($AJ1440="","",IF($AJ1440=0,$AK1440*EXP($AL1440*2),$AK1440*(1+$AJ1440*$AL1440*2)^(1/$AJ1440)))</f>
        <v/>
      </c>
      <c r="AO1440">
        <f>IF($AJ1440="","",IF($AJ1440=0,$AK1440*EXP($AL1440*3),$AK1440*(1+$AJ1440*$AL1440*3)^(1/$AJ1440)))</f>
        <v/>
      </c>
      <c r="AP1440">
        <f>IF($AJ1440="","",IF($AJ1440=0,$AK1440*EXP($AL1440*-2),$AK1440*(1+$AJ1440*$AL1440*-2)^(1/$AJ1440)))</f>
        <v/>
      </c>
      <c r="AQ1440">
        <f>IF($AJ1440="","",IF($AJ1440=0,$AK1440*EXP($AL1440*-3),$AK1440*(1+$AJ1440*$AL1440*-3)^(1/$AJ1440)))</f>
        <v/>
      </c>
      <c r="AR1440">
        <f>IF(OR($X1440="",$T1440&gt;60),"",IFERROR(INDEX(IF($T1440&lt;24,pcomp_l,palt_l),MATCH($X1440,IF($T1440&lt;24,pcomp_k,palt_k),1)),""))</f>
        <v/>
      </c>
      <c r="AS1440">
        <f>IF(OR($X1440="",$T1440&gt;60),"",IFERROR(INDEX(IF($T1440&lt;24,pcomp_m,palt_m),MATCH($X1440,IF($T1440&lt;24,pcomp_k,palt_k),1)),""))</f>
        <v/>
      </c>
      <c r="AT1440">
        <f>IF(OR($X1440="",$T1440&gt;60),"",IFERROR(INDEX(IF($T1440&lt;24,pcomp_s,palt_s),MATCH($X1440,IF($T1440&lt;24,pcomp_k,palt_k),1)),""))</f>
        <v/>
      </c>
      <c r="AU1440">
        <f>IF($AR1440="","",IF($AR1440=0,LN($F1440/$AS1440)/$AT1440,((($F1440/$AS1440)^$AR1440)-1)/($AR1440*$AT1440)))</f>
        <v/>
      </c>
      <c r="AV1440">
        <f>IF($AR1440="","",IF($AR1440=0,$AS1440*EXP($AT1440*2),$AS1440*(1+$AR1440*$AT1440*2)^(1/$AR1440)))</f>
        <v/>
      </c>
      <c r="AW1440">
        <f>IF($AR1440="","",IF($AR1440=0,$AS1440*EXP($AT1440*3),$AS1440*(1+$AR1440*$AT1440*3)^(1/$AR1440)))</f>
        <v/>
      </c>
      <c r="AX1440">
        <f>IF($AR1440="","",IF($AR1440=0,$AS1440*EXP($AT1440*-2),$AS1440*(1+$AR1440*$AT1440*-2)^(1/$AR1440)))</f>
        <v/>
      </c>
      <c r="AY1440">
        <f>IF($AR1440="","",IF($AR1440=0,$AS1440*EXP($AT1440*-3),$AS1440*(1+$AR1440*$AT1440*-3)^(1/$AR1440)))</f>
        <v/>
      </c>
      <c r="AZ1440">
        <f>IF(OR($A1440="",$A1440&lt;&gt;Ficha!$C$4),"",COUNTIF($A$2:$A1440,Ficha!$C$4))</f>
        <v/>
      </c>
    </row>
    <row r="1441">
      <c r="A1441" s="8">
        <f>IF(INDEX(Banco!$A:$A,ROW())="","",INDEX(Banco!$A:$A,ROW()))</f>
        <v/>
      </c>
      <c r="B1441" s="8">
        <f>IF(INDEX(Banco!$B:$B,ROW())="","",INDEX(Banco!$B:$B,ROW()))</f>
        <v/>
      </c>
      <c r="C1441" s="8">
        <f>IF(INDEX(Banco!$C:$C,ROW())="","",INDEX(Banco!$C:$C,ROW()))</f>
        <v/>
      </c>
      <c r="D1441" s="9">
        <f>IF(INDEX(Banco!$D:$D,ROW())="","",INDEX(Banco!$D:$D,ROW()))</f>
        <v/>
      </c>
      <c r="E1441" s="9">
        <f>IF(INDEX(Banco!$E:$E,ROW())="","",INDEX(Banco!$E:$E,ROW()))</f>
        <v/>
      </c>
      <c r="F1441" s="10">
        <f>IF(INDEX(Banco!$F:$F,ROW())="","",INDEX(Banco!$F:$F,ROW()))</f>
        <v/>
      </c>
      <c r="G1441" s="10">
        <f>IF(INDEX(Banco!$G:$G,ROW())="","",INDEX(Banco!$G:$G,ROW()))</f>
        <v/>
      </c>
      <c r="H1441" s="8">
        <f>IF(INDEX(Banco!$H:$H,ROW())="","",INDEX(Banco!$H:$H,ROW()))</f>
        <v/>
      </c>
      <c r="I1441">
        <f>IF($T1441="","",INT($T1441/12)&amp;"a "&amp;MOD($T1441,12)&amp;"m")</f>
        <v/>
      </c>
      <c r="J1441" s="11">
        <f>IF(OR($F1441="",$G1441=""),"",ROUND($F1441/($G1441/100)^2,2))</f>
        <v/>
      </c>
      <c r="K1441" s="12">
        <f>IF(OR($S1441="",$J1441="",$T1441="",$T1441&lt;0,$T1441&gt;228,$Y1441=""),"—",ROUND(IF(ABS($AB1441)&lt;=3,$AB1441,IF($AB1441&gt;3,3+($J1441-$AD1441)/($AD1441-$AC1441),-3+($J1441-$AF1441)/($AE1441-$AF1441))),2))</f>
        <v/>
      </c>
      <c r="L1441">
        <f>IF(OR($K1441="",$K1441="—"),"",IF($T1441&lt;=60,IF($K1441&lt;-3,"Magreza acentuada",IF($K1441&lt;-2,"Magreza",IF($K1441&lt;=1,"Eutrofia",IF($K1441&lt;=2,"Risco de sobrepeso",IF($K1441&lt;=3,"Sobrepeso","Obesidade"))))),IF($K1441&lt;-3,"Magreza acentuada",IF($K1441&lt;-2,"Magreza",IF($K1441&lt;=1,"Eutrofia",IF($K1441&lt;=2,"Sobrepeso",IF($K1441&lt;=3,"Obesidade","Obesidade grave")))))))</f>
        <v/>
      </c>
      <c r="M1441" s="12">
        <f>IF(OR($S1441="",$V1441="",$T1441="",$T1441&lt;0,$T1441&gt;228,$AG1441=""),"—",ROUND(IF($AG1441=0,LN($V1441/$AH1441)/$AI1441,((($V1441/$AH1441)^$AG1441)-1)/($AG1441*$AI1441)),2))</f>
        <v/>
      </c>
      <c r="N1441">
        <f>IF(OR($M1441="",$M1441="—"),"",IF($M1441&lt;-3,"Muito baixa",IF($M1441&lt;-2,"Baixa","Adequada")))</f>
        <v/>
      </c>
      <c r="O1441" s="12">
        <f>IF(OR($S1441="",$F1441="",$T1441="",$T1441&lt;0,$T1441&gt;120,$AJ1441=""),"—",ROUND(IF(ABS($AM1441)&lt;=3,$AM1441,IF($AM1441&gt;3,3+($F1441-$AO1441)/($AO1441-$AN1441),-3+($F1441-$AQ1441)/($AP1441-$AQ1441))),2))</f>
        <v/>
      </c>
      <c r="P1441">
        <f>IF(OR($O1441="",$O1441="—"),"",IF($O1441&lt;-3,"Muito baixo",IF($O1441&lt;-2,"Baixo",IF($O1441&lt;=2,"Adequado","Elevado"))))</f>
        <v/>
      </c>
      <c r="Q1441" s="12">
        <f>IF(OR($S1441="",$F1441="",$T1441="",$T1441&lt;0,$T1441&gt;60,$AR1441=""),"—",ROUND(IF(ABS($AU1441)&lt;=3,$AU1441,IF($AU1441&gt;3,3+($F1441-$AW1441)/($AW1441-$AV1441),-3+($F1441-$AY1441)/($AX1441-$AY1441))),2))</f>
        <v/>
      </c>
      <c r="R1441">
        <f>IF(OR($Q1441="",$Q1441="—"),"",IF($Q1441&lt;-3,"Magreza acentuada",IF($Q1441&lt;-2,"Magreza",IF($Q1441&lt;=1,"Eutrofia",IF($Q1441&lt;=2,"Risco de sobrepeso",IF($Q1441&lt;=3,"Sobrepeso","Obesidade"))))))</f>
        <v/>
      </c>
      <c r="S1441">
        <f>IF($C1441="","",IF(UPPER(LEFT($C1441,1))="M",1,IF(UPPER(LEFT($C1441,1))="F",2,"")))</f>
        <v/>
      </c>
      <c r="T1441">
        <f>IF(OR($D1441="",$E1441=""),"",DATEDIF($D1441,$E1441,"m"))</f>
        <v/>
      </c>
      <c r="U1441">
        <f>IF(OR($D1441="",$E1441=""),"",$E1441-$D1441)</f>
        <v/>
      </c>
      <c r="V1441">
        <f>IF(OR($G1441="",$T1441=""),"",IF($T1441&lt;24,IF(LEFT(LOWER($H1441),4)="em p",$G1441+0.7,$G1441),IF(LEFT(LOWER($H1441),4)="deit",$G1441-0.7,$G1441)))</f>
        <v/>
      </c>
      <c r="W1441">
        <f>IF(OR($S1441="",$T1441=""),"",$S1441*1000000+IF($T1441&lt;=60,$U1441,$T1441))</f>
        <v/>
      </c>
      <c r="X1441">
        <f>IF(OR($S1441="",$V1441="",$T1441&gt;60,$T1441=""),"",$S1441*1000000+ROUND($V1441*10,0))</f>
        <v/>
      </c>
      <c r="Y1441">
        <f>IF($W1441="","",IFERROR(INDEX(IF($T1441&lt;=60,imc05_l,imc519_l),MATCH($W1441,IF($T1441&lt;=60,imc05_k,imc519_k),1)),""))</f>
        <v/>
      </c>
      <c r="Z1441">
        <f>IF($W1441="","",IFERROR(INDEX(IF($T1441&lt;=60,imc05_m,imc519_m),MATCH($W1441,IF($T1441&lt;=60,imc05_k,imc519_k),1)),""))</f>
        <v/>
      </c>
      <c r="AA1441">
        <f>IF($W1441="","",IFERROR(INDEX(IF($T1441&lt;=60,imc05_s,imc519_s),MATCH($W1441,IF($T1441&lt;=60,imc05_k,imc519_k),1)),""))</f>
        <v/>
      </c>
      <c r="AB1441">
        <f>IF($Y1441="","",IF($Y1441=0,LN($J1441/$Z1441)/$AA1441,((($J1441/$Z1441)^$Y1441)-1)/($Y1441*$AA1441)))</f>
        <v/>
      </c>
      <c r="AC1441">
        <f>IF($Y1441="","",IF($Y1441=0,$Z1441*EXP($AA1441*2),$Z1441*(1+$Y1441*$AA1441*2)^(1/$Y1441)))</f>
        <v/>
      </c>
      <c r="AD1441">
        <f>IF($Y1441="","",IF($Y1441=0,$Z1441*EXP($AA1441*3),$Z1441*(1+$Y1441*$AA1441*3)^(1/$Y1441)))</f>
        <v/>
      </c>
      <c r="AE1441">
        <f>IF($Y1441="","",IF($Y1441=0,$Z1441*EXP($AA1441*-2),$Z1441*(1+$Y1441*$AA1441*-2)^(1/$Y1441)))</f>
        <v/>
      </c>
      <c r="AF1441">
        <f>IF($Y1441="","",IF($Y1441=0,$Z1441*EXP($AA1441*-3),$Z1441*(1+$Y1441*$AA1441*-3)^(1/$Y1441)))</f>
        <v/>
      </c>
      <c r="AG1441">
        <f>IF($W1441="","",IFERROR(INDEX(IF($T1441&lt;=60,est05_l,est519_l),MATCH($W1441,IF($T1441&lt;=60,est05_k,est519_k),1)),""))</f>
        <v/>
      </c>
      <c r="AH1441">
        <f>IF($W1441="","",IFERROR(INDEX(IF($T1441&lt;=60,est05_m,est519_m),MATCH($W1441,IF($T1441&lt;=60,est05_k,est519_k),1)),""))</f>
        <v/>
      </c>
      <c r="AI1441">
        <f>IF($W1441="","",IFERROR(INDEX(IF($T1441&lt;=60,est05_s,est519_s),MATCH($W1441,IF($T1441&lt;=60,est05_k,est519_k),1)),""))</f>
        <v/>
      </c>
      <c r="AJ1441">
        <f>IF($W1441="","",IFERROR(INDEX(IF($T1441&lt;=60,peso05_l,peso510_l),MATCH($W1441,IF($T1441&lt;=60,peso05_k,peso510_k),1)),""))</f>
        <v/>
      </c>
      <c r="AK1441">
        <f>IF($W1441="","",IFERROR(INDEX(IF($T1441&lt;=60,peso05_m,peso510_m),MATCH($W1441,IF($T1441&lt;=60,peso05_k,peso510_k),1)),""))</f>
        <v/>
      </c>
      <c r="AL1441">
        <f>IF($W1441="","",IFERROR(INDEX(IF($T1441&lt;=60,peso05_s,peso510_s),MATCH($W1441,IF($T1441&lt;=60,peso05_k,peso510_k),1)),""))</f>
        <v/>
      </c>
      <c r="AM1441">
        <f>IF($AJ1441="","",IF($AJ1441=0,LN($F1441/$AK1441)/$AL1441,((($F1441/$AK1441)^$AJ1441)-1)/($AJ1441*$AL1441)))</f>
        <v/>
      </c>
      <c r="AN1441">
        <f>IF($AJ1441="","",IF($AJ1441=0,$AK1441*EXP($AL1441*2),$AK1441*(1+$AJ1441*$AL1441*2)^(1/$AJ1441)))</f>
        <v/>
      </c>
      <c r="AO1441">
        <f>IF($AJ1441="","",IF($AJ1441=0,$AK1441*EXP($AL1441*3),$AK1441*(1+$AJ1441*$AL1441*3)^(1/$AJ1441)))</f>
        <v/>
      </c>
      <c r="AP1441">
        <f>IF($AJ1441="","",IF($AJ1441=0,$AK1441*EXP($AL1441*-2),$AK1441*(1+$AJ1441*$AL1441*-2)^(1/$AJ1441)))</f>
        <v/>
      </c>
      <c r="AQ1441">
        <f>IF($AJ1441="","",IF($AJ1441=0,$AK1441*EXP($AL1441*-3),$AK1441*(1+$AJ1441*$AL1441*-3)^(1/$AJ1441)))</f>
        <v/>
      </c>
      <c r="AR1441">
        <f>IF(OR($X1441="",$T1441&gt;60),"",IFERROR(INDEX(IF($T1441&lt;24,pcomp_l,palt_l),MATCH($X1441,IF($T1441&lt;24,pcomp_k,palt_k),1)),""))</f>
        <v/>
      </c>
      <c r="AS1441">
        <f>IF(OR($X1441="",$T1441&gt;60),"",IFERROR(INDEX(IF($T1441&lt;24,pcomp_m,palt_m),MATCH($X1441,IF($T1441&lt;24,pcomp_k,palt_k),1)),""))</f>
        <v/>
      </c>
      <c r="AT1441">
        <f>IF(OR($X1441="",$T1441&gt;60),"",IFERROR(INDEX(IF($T1441&lt;24,pcomp_s,palt_s),MATCH($X1441,IF($T1441&lt;24,pcomp_k,palt_k),1)),""))</f>
        <v/>
      </c>
      <c r="AU1441">
        <f>IF($AR1441="","",IF($AR1441=0,LN($F1441/$AS1441)/$AT1441,((($F1441/$AS1441)^$AR1441)-1)/($AR1441*$AT1441)))</f>
        <v/>
      </c>
      <c r="AV1441">
        <f>IF($AR1441="","",IF($AR1441=0,$AS1441*EXP($AT1441*2),$AS1441*(1+$AR1441*$AT1441*2)^(1/$AR1441)))</f>
        <v/>
      </c>
      <c r="AW1441">
        <f>IF($AR1441="","",IF($AR1441=0,$AS1441*EXP($AT1441*3),$AS1441*(1+$AR1441*$AT1441*3)^(1/$AR1441)))</f>
        <v/>
      </c>
      <c r="AX1441">
        <f>IF($AR1441="","",IF($AR1441=0,$AS1441*EXP($AT1441*-2),$AS1441*(1+$AR1441*$AT1441*-2)^(1/$AR1441)))</f>
        <v/>
      </c>
      <c r="AY1441">
        <f>IF($AR1441="","",IF($AR1441=0,$AS1441*EXP($AT1441*-3),$AS1441*(1+$AR1441*$AT1441*-3)^(1/$AR1441)))</f>
        <v/>
      </c>
      <c r="AZ1441">
        <f>IF(OR($A1441="",$A1441&lt;&gt;Ficha!$C$4),"",COUNTIF($A$2:$A1441,Ficha!$C$4))</f>
        <v/>
      </c>
    </row>
    <row r="1442">
      <c r="A1442" s="8">
        <f>IF(INDEX(Banco!$A:$A,ROW())="","",INDEX(Banco!$A:$A,ROW()))</f>
        <v/>
      </c>
      <c r="B1442" s="8">
        <f>IF(INDEX(Banco!$B:$B,ROW())="","",INDEX(Banco!$B:$B,ROW()))</f>
        <v/>
      </c>
      <c r="C1442" s="8">
        <f>IF(INDEX(Banco!$C:$C,ROW())="","",INDEX(Banco!$C:$C,ROW()))</f>
        <v/>
      </c>
      <c r="D1442" s="9">
        <f>IF(INDEX(Banco!$D:$D,ROW())="","",INDEX(Banco!$D:$D,ROW()))</f>
        <v/>
      </c>
      <c r="E1442" s="9">
        <f>IF(INDEX(Banco!$E:$E,ROW())="","",INDEX(Banco!$E:$E,ROW()))</f>
        <v/>
      </c>
      <c r="F1442" s="10">
        <f>IF(INDEX(Banco!$F:$F,ROW())="","",INDEX(Banco!$F:$F,ROW()))</f>
        <v/>
      </c>
      <c r="G1442" s="10">
        <f>IF(INDEX(Banco!$G:$G,ROW())="","",INDEX(Banco!$G:$G,ROW()))</f>
        <v/>
      </c>
      <c r="H1442" s="8">
        <f>IF(INDEX(Banco!$H:$H,ROW())="","",INDEX(Banco!$H:$H,ROW()))</f>
        <v/>
      </c>
      <c r="I1442">
        <f>IF($T1442="","",INT($T1442/12)&amp;"a "&amp;MOD($T1442,12)&amp;"m")</f>
        <v/>
      </c>
      <c r="J1442" s="11">
        <f>IF(OR($F1442="",$G1442=""),"",ROUND($F1442/($G1442/100)^2,2))</f>
        <v/>
      </c>
      <c r="K1442" s="12">
        <f>IF(OR($S1442="",$J1442="",$T1442="",$T1442&lt;0,$T1442&gt;228,$Y1442=""),"—",ROUND(IF(ABS($AB1442)&lt;=3,$AB1442,IF($AB1442&gt;3,3+($J1442-$AD1442)/($AD1442-$AC1442),-3+($J1442-$AF1442)/($AE1442-$AF1442))),2))</f>
        <v/>
      </c>
      <c r="L1442">
        <f>IF(OR($K1442="",$K1442="—"),"",IF($T1442&lt;=60,IF($K1442&lt;-3,"Magreza acentuada",IF($K1442&lt;-2,"Magreza",IF($K1442&lt;=1,"Eutrofia",IF($K1442&lt;=2,"Risco de sobrepeso",IF($K1442&lt;=3,"Sobrepeso","Obesidade"))))),IF($K1442&lt;-3,"Magreza acentuada",IF($K1442&lt;-2,"Magreza",IF($K1442&lt;=1,"Eutrofia",IF($K1442&lt;=2,"Sobrepeso",IF($K1442&lt;=3,"Obesidade","Obesidade grave")))))))</f>
        <v/>
      </c>
      <c r="M1442" s="12">
        <f>IF(OR($S1442="",$V1442="",$T1442="",$T1442&lt;0,$T1442&gt;228,$AG1442=""),"—",ROUND(IF($AG1442=0,LN($V1442/$AH1442)/$AI1442,((($V1442/$AH1442)^$AG1442)-1)/($AG1442*$AI1442)),2))</f>
        <v/>
      </c>
      <c r="N1442">
        <f>IF(OR($M1442="",$M1442="—"),"",IF($M1442&lt;-3,"Muito baixa",IF($M1442&lt;-2,"Baixa","Adequada")))</f>
        <v/>
      </c>
      <c r="O1442" s="12">
        <f>IF(OR($S1442="",$F1442="",$T1442="",$T1442&lt;0,$T1442&gt;120,$AJ1442=""),"—",ROUND(IF(ABS($AM1442)&lt;=3,$AM1442,IF($AM1442&gt;3,3+($F1442-$AO1442)/($AO1442-$AN1442),-3+($F1442-$AQ1442)/($AP1442-$AQ1442))),2))</f>
        <v/>
      </c>
      <c r="P1442">
        <f>IF(OR($O1442="",$O1442="—"),"",IF($O1442&lt;-3,"Muito baixo",IF($O1442&lt;-2,"Baixo",IF($O1442&lt;=2,"Adequado","Elevado"))))</f>
        <v/>
      </c>
      <c r="Q1442" s="12">
        <f>IF(OR($S1442="",$F1442="",$T1442="",$T1442&lt;0,$T1442&gt;60,$AR1442=""),"—",ROUND(IF(ABS($AU1442)&lt;=3,$AU1442,IF($AU1442&gt;3,3+($F1442-$AW1442)/($AW1442-$AV1442),-3+($F1442-$AY1442)/($AX1442-$AY1442))),2))</f>
        <v/>
      </c>
      <c r="R1442">
        <f>IF(OR($Q1442="",$Q1442="—"),"",IF($Q1442&lt;-3,"Magreza acentuada",IF($Q1442&lt;-2,"Magreza",IF($Q1442&lt;=1,"Eutrofia",IF($Q1442&lt;=2,"Risco de sobrepeso",IF($Q1442&lt;=3,"Sobrepeso","Obesidade"))))))</f>
        <v/>
      </c>
      <c r="S1442">
        <f>IF($C1442="","",IF(UPPER(LEFT($C1442,1))="M",1,IF(UPPER(LEFT($C1442,1))="F",2,"")))</f>
        <v/>
      </c>
      <c r="T1442">
        <f>IF(OR($D1442="",$E1442=""),"",DATEDIF($D1442,$E1442,"m"))</f>
        <v/>
      </c>
      <c r="U1442">
        <f>IF(OR($D1442="",$E1442=""),"",$E1442-$D1442)</f>
        <v/>
      </c>
      <c r="V1442">
        <f>IF(OR($G1442="",$T1442=""),"",IF($T1442&lt;24,IF(LEFT(LOWER($H1442),4)="em p",$G1442+0.7,$G1442),IF(LEFT(LOWER($H1442),4)="deit",$G1442-0.7,$G1442)))</f>
        <v/>
      </c>
      <c r="W1442">
        <f>IF(OR($S1442="",$T1442=""),"",$S1442*1000000+IF($T1442&lt;=60,$U1442,$T1442))</f>
        <v/>
      </c>
      <c r="X1442">
        <f>IF(OR($S1442="",$V1442="",$T1442&gt;60,$T1442=""),"",$S1442*1000000+ROUND($V1442*10,0))</f>
        <v/>
      </c>
      <c r="Y1442">
        <f>IF($W1442="","",IFERROR(INDEX(IF($T1442&lt;=60,imc05_l,imc519_l),MATCH($W1442,IF($T1442&lt;=60,imc05_k,imc519_k),1)),""))</f>
        <v/>
      </c>
      <c r="Z1442">
        <f>IF($W1442="","",IFERROR(INDEX(IF($T1442&lt;=60,imc05_m,imc519_m),MATCH($W1442,IF($T1442&lt;=60,imc05_k,imc519_k),1)),""))</f>
        <v/>
      </c>
      <c r="AA1442">
        <f>IF($W1442="","",IFERROR(INDEX(IF($T1442&lt;=60,imc05_s,imc519_s),MATCH($W1442,IF($T1442&lt;=60,imc05_k,imc519_k),1)),""))</f>
        <v/>
      </c>
      <c r="AB1442">
        <f>IF($Y1442="","",IF($Y1442=0,LN($J1442/$Z1442)/$AA1442,((($J1442/$Z1442)^$Y1442)-1)/($Y1442*$AA1442)))</f>
        <v/>
      </c>
      <c r="AC1442">
        <f>IF($Y1442="","",IF($Y1442=0,$Z1442*EXP($AA1442*2),$Z1442*(1+$Y1442*$AA1442*2)^(1/$Y1442)))</f>
        <v/>
      </c>
      <c r="AD1442">
        <f>IF($Y1442="","",IF($Y1442=0,$Z1442*EXP($AA1442*3),$Z1442*(1+$Y1442*$AA1442*3)^(1/$Y1442)))</f>
        <v/>
      </c>
      <c r="AE1442">
        <f>IF($Y1442="","",IF($Y1442=0,$Z1442*EXP($AA1442*-2),$Z1442*(1+$Y1442*$AA1442*-2)^(1/$Y1442)))</f>
        <v/>
      </c>
      <c r="AF1442">
        <f>IF($Y1442="","",IF($Y1442=0,$Z1442*EXP($AA1442*-3),$Z1442*(1+$Y1442*$AA1442*-3)^(1/$Y1442)))</f>
        <v/>
      </c>
      <c r="AG1442">
        <f>IF($W1442="","",IFERROR(INDEX(IF($T1442&lt;=60,est05_l,est519_l),MATCH($W1442,IF($T1442&lt;=60,est05_k,est519_k),1)),""))</f>
        <v/>
      </c>
      <c r="AH1442">
        <f>IF($W1442="","",IFERROR(INDEX(IF($T1442&lt;=60,est05_m,est519_m),MATCH($W1442,IF($T1442&lt;=60,est05_k,est519_k),1)),""))</f>
        <v/>
      </c>
      <c r="AI1442">
        <f>IF($W1442="","",IFERROR(INDEX(IF($T1442&lt;=60,est05_s,est519_s),MATCH($W1442,IF($T1442&lt;=60,est05_k,est519_k),1)),""))</f>
        <v/>
      </c>
      <c r="AJ1442">
        <f>IF($W1442="","",IFERROR(INDEX(IF($T1442&lt;=60,peso05_l,peso510_l),MATCH($W1442,IF($T1442&lt;=60,peso05_k,peso510_k),1)),""))</f>
        <v/>
      </c>
      <c r="AK1442">
        <f>IF($W1442="","",IFERROR(INDEX(IF($T1442&lt;=60,peso05_m,peso510_m),MATCH($W1442,IF($T1442&lt;=60,peso05_k,peso510_k),1)),""))</f>
        <v/>
      </c>
      <c r="AL1442">
        <f>IF($W1442="","",IFERROR(INDEX(IF($T1442&lt;=60,peso05_s,peso510_s),MATCH($W1442,IF($T1442&lt;=60,peso05_k,peso510_k),1)),""))</f>
        <v/>
      </c>
      <c r="AM1442">
        <f>IF($AJ1442="","",IF($AJ1442=0,LN($F1442/$AK1442)/$AL1442,((($F1442/$AK1442)^$AJ1442)-1)/($AJ1442*$AL1442)))</f>
        <v/>
      </c>
      <c r="AN1442">
        <f>IF($AJ1442="","",IF($AJ1442=0,$AK1442*EXP($AL1442*2),$AK1442*(1+$AJ1442*$AL1442*2)^(1/$AJ1442)))</f>
        <v/>
      </c>
      <c r="AO1442">
        <f>IF($AJ1442="","",IF($AJ1442=0,$AK1442*EXP($AL1442*3),$AK1442*(1+$AJ1442*$AL1442*3)^(1/$AJ1442)))</f>
        <v/>
      </c>
      <c r="AP1442">
        <f>IF($AJ1442="","",IF($AJ1442=0,$AK1442*EXP($AL1442*-2),$AK1442*(1+$AJ1442*$AL1442*-2)^(1/$AJ1442)))</f>
        <v/>
      </c>
      <c r="AQ1442">
        <f>IF($AJ1442="","",IF($AJ1442=0,$AK1442*EXP($AL1442*-3),$AK1442*(1+$AJ1442*$AL1442*-3)^(1/$AJ1442)))</f>
        <v/>
      </c>
      <c r="AR1442">
        <f>IF(OR($X1442="",$T1442&gt;60),"",IFERROR(INDEX(IF($T1442&lt;24,pcomp_l,palt_l),MATCH($X1442,IF($T1442&lt;24,pcomp_k,palt_k),1)),""))</f>
        <v/>
      </c>
      <c r="AS1442">
        <f>IF(OR($X1442="",$T1442&gt;60),"",IFERROR(INDEX(IF($T1442&lt;24,pcomp_m,palt_m),MATCH($X1442,IF($T1442&lt;24,pcomp_k,palt_k),1)),""))</f>
        <v/>
      </c>
      <c r="AT1442">
        <f>IF(OR($X1442="",$T1442&gt;60),"",IFERROR(INDEX(IF($T1442&lt;24,pcomp_s,palt_s),MATCH($X1442,IF($T1442&lt;24,pcomp_k,palt_k),1)),""))</f>
        <v/>
      </c>
      <c r="AU1442">
        <f>IF($AR1442="","",IF($AR1442=0,LN($F1442/$AS1442)/$AT1442,((($F1442/$AS1442)^$AR1442)-1)/($AR1442*$AT1442)))</f>
        <v/>
      </c>
      <c r="AV1442">
        <f>IF($AR1442="","",IF($AR1442=0,$AS1442*EXP($AT1442*2),$AS1442*(1+$AR1442*$AT1442*2)^(1/$AR1442)))</f>
        <v/>
      </c>
      <c r="AW1442">
        <f>IF($AR1442="","",IF($AR1442=0,$AS1442*EXP($AT1442*3),$AS1442*(1+$AR1442*$AT1442*3)^(1/$AR1442)))</f>
        <v/>
      </c>
      <c r="AX1442">
        <f>IF($AR1442="","",IF($AR1442=0,$AS1442*EXP($AT1442*-2),$AS1442*(1+$AR1442*$AT1442*-2)^(1/$AR1442)))</f>
        <v/>
      </c>
      <c r="AY1442">
        <f>IF($AR1442="","",IF($AR1442=0,$AS1442*EXP($AT1442*-3),$AS1442*(1+$AR1442*$AT1442*-3)^(1/$AR1442)))</f>
        <v/>
      </c>
      <c r="AZ1442">
        <f>IF(OR($A1442="",$A1442&lt;&gt;Ficha!$C$4),"",COUNTIF($A$2:$A1442,Ficha!$C$4))</f>
        <v/>
      </c>
    </row>
    <row r="1443">
      <c r="A1443" s="8">
        <f>IF(INDEX(Banco!$A:$A,ROW())="","",INDEX(Banco!$A:$A,ROW()))</f>
        <v/>
      </c>
      <c r="B1443" s="8">
        <f>IF(INDEX(Banco!$B:$B,ROW())="","",INDEX(Banco!$B:$B,ROW()))</f>
        <v/>
      </c>
      <c r="C1443" s="8">
        <f>IF(INDEX(Banco!$C:$C,ROW())="","",INDEX(Banco!$C:$C,ROW()))</f>
        <v/>
      </c>
      <c r="D1443" s="9">
        <f>IF(INDEX(Banco!$D:$D,ROW())="","",INDEX(Banco!$D:$D,ROW()))</f>
        <v/>
      </c>
      <c r="E1443" s="9">
        <f>IF(INDEX(Banco!$E:$E,ROW())="","",INDEX(Banco!$E:$E,ROW()))</f>
        <v/>
      </c>
      <c r="F1443" s="10">
        <f>IF(INDEX(Banco!$F:$F,ROW())="","",INDEX(Banco!$F:$F,ROW()))</f>
        <v/>
      </c>
      <c r="G1443" s="10">
        <f>IF(INDEX(Banco!$G:$G,ROW())="","",INDEX(Banco!$G:$G,ROW()))</f>
        <v/>
      </c>
      <c r="H1443" s="8">
        <f>IF(INDEX(Banco!$H:$H,ROW())="","",INDEX(Banco!$H:$H,ROW()))</f>
        <v/>
      </c>
      <c r="I1443">
        <f>IF($T1443="","",INT($T1443/12)&amp;"a "&amp;MOD($T1443,12)&amp;"m")</f>
        <v/>
      </c>
      <c r="J1443" s="11">
        <f>IF(OR($F1443="",$G1443=""),"",ROUND($F1443/($G1443/100)^2,2))</f>
        <v/>
      </c>
      <c r="K1443" s="12">
        <f>IF(OR($S1443="",$J1443="",$T1443="",$T1443&lt;0,$T1443&gt;228,$Y1443=""),"—",ROUND(IF(ABS($AB1443)&lt;=3,$AB1443,IF($AB1443&gt;3,3+($J1443-$AD1443)/($AD1443-$AC1443),-3+($J1443-$AF1443)/($AE1443-$AF1443))),2))</f>
        <v/>
      </c>
      <c r="L1443">
        <f>IF(OR($K1443="",$K1443="—"),"",IF($T1443&lt;=60,IF($K1443&lt;-3,"Magreza acentuada",IF($K1443&lt;-2,"Magreza",IF($K1443&lt;=1,"Eutrofia",IF($K1443&lt;=2,"Risco de sobrepeso",IF($K1443&lt;=3,"Sobrepeso","Obesidade"))))),IF($K1443&lt;-3,"Magreza acentuada",IF($K1443&lt;-2,"Magreza",IF($K1443&lt;=1,"Eutrofia",IF($K1443&lt;=2,"Sobrepeso",IF($K1443&lt;=3,"Obesidade","Obesidade grave")))))))</f>
        <v/>
      </c>
      <c r="M1443" s="12">
        <f>IF(OR($S1443="",$V1443="",$T1443="",$T1443&lt;0,$T1443&gt;228,$AG1443=""),"—",ROUND(IF($AG1443=0,LN($V1443/$AH1443)/$AI1443,((($V1443/$AH1443)^$AG1443)-1)/($AG1443*$AI1443)),2))</f>
        <v/>
      </c>
      <c r="N1443">
        <f>IF(OR($M1443="",$M1443="—"),"",IF($M1443&lt;-3,"Muito baixa",IF($M1443&lt;-2,"Baixa","Adequada")))</f>
        <v/>
      </c>
      <c r="O1443" s="12">
        <f>IF(OR($S1443="",$F1443="",$T1443="",$T1443&lt;0,$T1443&gt;120,$AJ1443=""),"—",ROUND(IF(ABS($AM1443)&lt;=3,$AM1443,IF($AM1443&gt;3,3+($F1443-$AO1443)/($AO1443-$AN1443),-3+($F1443-$AQ1443)/($AP1443-$AQ1443))),2))</f>
        <v/>
      </c>
      <c r="P1443">
        <f>IF(OR($O1443="",$O1443="—"),"",IF($O1443&lt;-3,"Muito baixo",IF($O1443&lt;-2,"Baixo",IF($O1443&lt;=2,"Adequado","Elevado"))))</f>
        <v/>
      </c>
      <c r="Q1443" s="12">
        <f>IF(OR($S1443="",$F1443="",$T1443="",$T1443&lt;0,$T1443&gt;60,$AR1443=""),"—",ROUND(IF(ABS($AU1443)&lt;=3,$AU1443,IF($AU1443&gt;3,3+($F1443-$AW1443)/($AW1443-$AV1443),-3+($F1443-$AY1443)/($AX1443-$AY1443))),2))</f>
        <v/>
      </c>
      <c r="R1443">
        <f>IF(OR($Q1443="",$Q1443="—"),"",IF($Q1443&lt;-3,"Magreza acentuada",IF($Q1443&lt;-2,"Magreza",IF($Q1443&lt;=1,"Eutrofia",IF($Q1443&lt;=2,"Risco de sobrepeso",IF($Q1443&lt;=3,"Sobrepeso","Obesidade"))))))</f>
        <v/>
      </c>
      <c r="S1443">
        <f>IF($C1443="","",IF(UPPER(LEFT($C1443,1))="M",1,IF(UPPER(LEFT($C1443,1))="F",2,"")))</f>
        <v/>
      </c>
      <c r="T1443">
        <f>IF(OR($D1443="",$E1443=""),"",DATEDIF($D1443,$E1443,"m"))</f>
        <v/>
      </c>
      <c r="U1443">
        <f>IF(OR($D1443="",$E1443=""),"",$E1443-$D1443)</f>
        <v/>
      </c>
      <c r="V1443">
        <f>IF(OR($G1443="",$T1443=""),"",IF($T1443&lt;24,IF(LEFT(LOWER($H1443),4)="em p",$G1443+0.7,$G1443),IF(LEFT(LOWER($H1443),4)="deit",$G1443-0.7,$G1443)))</f>
        <v/>
      </c>
      <c r="W1443">
        <f>IF(OR($S1443="",$T1443=""),"",$S1443*1000000+IF($T1443&lt;=60,$U1443,$T1443))</f>
        <v/>
      </c>
      <c r="X1443">
        <f>IF(OR($S1443="",$V1443="",$T1443&gt;60,$T1443=""),"",$S1443*1000000+ROUND($V1443*10,0))</f>
        <v/>
      </c>
      <c r="Y1443">
        <f>IF($W1443="","",IFERROR(INDEX(IF($T1443&lt;=60,imc05_l,imc519_l),MATCH($W1443,IF($T1443&lt;=60,imc05_k,imc519_k),1)),""))</f>
        <v/>
      </c>
      <c r="Z1443">
        <f>IF($W1443="","",IFERROR(INDEX(IF($T1443&lt;=60,imc05_m,imc519_m),MATCH($W1443,IF($T1443&lt;=60,imc05_k,imc519_k),1)),""))</f>
        <v/>
      </c>
      <c r="AA1443">
        <f>IF($W1443="","",IFERROR(INDEX(IF($T1443&lt;=60,imc05_s,imc519_s),MATCH($W1443,IF($T1443&lt;=60,imc05_k,imc519_k),1)),""))</f>
        <v/>
      </c>
      <c r="AB1443">
        <f>IF($Y1443="","",IF($Y1443=0,LN($J1443/$Z1443)/$AA1443,((($J1443/$Z1443)^$Y1443)-1)/($Y1443*$AA1443)))</f>
        <v/>
      </c>
      <c r="AC1443">
        <f>IF($Y1443="","",IF($Y1443=0,$Z1443*EXP($AA1443*2),$Z1443*(1+$Y1443*$AA1443*2)^(1/$Y1443)))</f>
        <v/>
      </c>
      <c r="AD1443">
        <f>IF($Y1443="","",IF($Y1443=0,$Z1443*EXP($AA1443*3),$Z1443*(1+$Y1443*$AA1443*3)^(1/$Y1443)))</f>
        <v/>
      </c>
      <c r="AE1443">
        <f>IF($Y1443="","",IF($Y1443=0,$Z1443*EXP($AA1443*-2),$Z1443*(1+$Y1443*$AA1443*-2)^(1/$Y1443)))</f>
        <v/>
      </c>
      <c r="AF1443">
        <f>IF($Y1443="","",IF($Y1443=0,$Z1443*EXP($AA1443*-3),$Z1443*(1+$Y1443*$AA1443*-3)^(1/$Y1443)))</f>
        <v/>
      </c>
      <c r="AG1443">
        <f>IF($W1443="","",IFERROR(INDEX(IF($T1443&lt;=60,est05_l,est519_l),MATCH($W1443,IF($T1443&lt;=60,est05_k,est519_k),1)),""))</f>
        <v/>
      </c>
      <c r="AH1443">
        <f>IF($W1443="","",IFERROR(INDEX(IF($T1443&lt;=60,est05_m,est519_m),MATCH($W1443,IF($T1443&lt;=60,est05_k,est519_k),1)),""))</f>
        <v/>
      </c>
      <c r="AI1443">
        <f>IF($W1443="","",IFERROR(INDEX(IF($T1443&lt;=60,est05_s,est519_s),MATCH($W1443,IF($T1443&lt;=60,est05_k,est519_k),1)),""))</f>
        <v/>
      </c>
      <c r="AJ1443">
        <f>IF($W1443="","",IFERROR(INDEX(IF($T1443&lt;=60,peso05_l,peso510_l),MATCH($W1443,IF($T1443&lt;=60,peso05_k,peso510_k),1)),""))</f>
        <v/>
      </c>
      <c r="AK1443">
        <f>IF($W1443="","",IFERROR(INDEX(IF($T1443&lt;=60,peso05_m,peso510_m),MATCH($W1443,IF($T1443&lt;=60,peso05_k,peso510_k),1)),""))</f>
        <v/>
      </c>
      <c r="AL1443">
        <f>IF($W1443="","",IFERROR(INDEX(IF($T1443&lt;=60,peso05_s,peso510_s),MATCH($W1443,IF($T1443&lt;=60,peso05_k,peso510_k),1)),""))</f>
        <v/>
      </c>
      <c r="AM1443">
        <f>IF($AJ1443="","",IF($AJ1443=0,LN($F1443/$AK1443)/$AL1443,((($F1443/$AK1443)^$AJ1443)-1)/($AJ1443*$AL1443)))</f>
        <v/>
      </c>
      <c r="AN1443">
        <f>IF($AJ1443="","",IF($AJ1443=0,$AK1443*EXP($AL1443*2),$AK1443*(1+$AJ1443*$AL1443*2)^(1/$AJ1443)))</f>
        <v/>
      </c>
      <c r="AO1443">
        <f>IF($AJ1443="","",IF($AJ1443=0,$AK1443*EXP($AL1443*3),$AK1443*(1+$AJ1443*$AL1443*3)^(1/$AJ1443)))</f>
        <v/>
      </c>
      <c r="AP1443">
        <f>IF($AJ1443="","",IF($AJ1443=0,$AK1443*EXP($AL1443*-2),$AK1443*(1+$AJ1443*$AL1443*-2)^(1/$AJ1443)))</f>
        <v/>
      </c>
      <c r="AQ1443">
        <f>IF($AJ1443="","",IF($AJ1443=0,$AK1443*EXP($AL1443*-3),$AK1443*(1+$AJ1443*$AL1443*-3)^(1/$AJ1443)))</f>
        <v/>
      </c>
      <c r="AR1443">
        <f>IF(OR($X1443="",$T1443&gt;60),"",IFERROR(INDEX(IF($T1443&lt;24,pcomp_l,palt_l),MATCH($X1443,IF($T1443&lt;24,pcomp_k,palt_k),1)),""))</f>
        <v/>
      </c>
      <c r="AS1443">
        <f>IF(OR($X1443="",$T1443&gt;60),"",IFERROR(INDEX(IF($T1443&lt;24,pcomp_m,palt_m),MATCH($X1443,IF($T1443&lt;24,pcomp_k,palt_k),1)),""))</f>
        <v/>
      </c>
      <c r="AT1443">
        <f>IF(OR($X1443="",$T1443&gt;60),"",IFERROR(INDEX(IF($T1443&lt;24,pcomp_s,palt_s),MATCH($X1443,IF($T1443&lt;24,pcomp_k,palt_k),1)),""))</f>
        <v/>
      </c>
      <c r="AU1443">
        <f>IF($AR1443="","",IF($AR1443=0,LN($F1443/$AS1443)/$AT1443,((($F1443/$AS1443)^$AR1443)-1)/($AR1443*$AT1443)))</f>
        <v/>
      </c>
      <c r="AV1443">
        <f>IF($AR1443="","",IF($AR1443=0,$AS1443*EXP($AT1443*2),$AS1443*(1+$AR1443*$AT1443*2)^(1/$AR1443)))</f>
        <v/>
      </c>
      <c r="AW1443">
        <f>IF($AR1443="","",IF($AR1443=0,$AS1443*EXP($AT1443*3),$AS1443*(1+$AR1443*$AT1443*3)^(1/$AR1443)))</f>
        <v/>
      </c>
      <c r="AX1443">
        <f>IF($AR1443="","",IF($AR1443=0,$AS1443*EXP($AT1443*-2),$AS1443*(1+$AR1443*$AT1443*-2)^(1/$AR1443)))</f>
        <v/>
      </c>
      <c r="AY1443">
        <f>IF($AR1443="","",IF($AR1443=0,$AS1443*EXP($AT1443*-3),$AS1443*(1+$AR1443*$AT1443*-3)^(1/$AR1443)))</f>
        <v/>
      </c>
      <c r="AZ1443">
        <f>IF(OR($A1443="",$A1443&lt;&gt;Ficha!$C$4),"",COUNTIF($A$2:$A1443,Ficha!$C$4))</f>
        <v/>
      </c>
    </row>
    <row r="1444">
      <c r="A1444" s="8">
        <f>IF(INDEX(Banco!$A:$A,ROW())="","",INDEX(Banco!$A:$A,ROW()))</f>
        <v/>
      </c>
      <c r="B1444" s="8">
        <f>IF(INDEX(Banco!$B:$B,ROW())="","",INDEX(Banco!$B:$B,ROW()))</f>
        <v/>
      </c>
      <c r="C1444" s="8">
        <f>IF(INDEX(Banco!$C:$C,ROW())="","",INDEX(Banco!$C:$C,ROW()))</f>
        <v/>
      </c>
      <c r="D1444" s="9">
        <f>IF(INDEX(Banco!$D:$D,ROW())="","",INDEX(Banco!$D:$D,ROW()))</f>
        <v/>
      </c>
      <c r="E1444" s="9">
        <f>IF(INDEX(Banco!$E:$E,ROW())="","",INDEX(Banco!$E:$E,ROW()))</f>
        <v/>
      </c>
      <c r="F1444" s="10">
        <f>IF(INDEX(Banco!$F:$F,ROW())="","",INDEX(Banco!$F:$F,ROW()))</f>
        <v/>
      </c>
      <c r="G1444" s="10">
        <f>IF(INDEX(Banco!$G:$G,ROW())="","",INDEX(Banco!$G:$G,ROW()))</f>
        <v/>
      </c>
      <c r="H1444" s="8">
        <f>IF(INDEX(Banco!$H:$H,ROW())="","",INDEX(Banco!$H:$H,ROW()))</f>
        <v/>
      </c>
      <c r="I1444">
        <f>IF($T1444="","",INT($T1444/12)&amp;"a "&amp;MOD($T1444,12)&amp;"m")</f>
        <v/>
      </c>
      <c r="J1444" s="11">
        <f>IF(OR($F1444="",$G1444=""),"",ROUND($F1444/($G1444/100)^2,2))</f>
        <v/>
      </c>
      <c r="K1444" s="12">
        <f>IF(OR($S1444="",$J1444="",$T1444="",$T1444&lt;0,$T1444&gt;228,$Y1444=""),"—",ROUND(IF(ABS($AB1444)&lt;=3,$AB1444,IF($AB1444&gt;3,3+($J1444-$AD1444)/($AD1444-$AC1444),-3+($J1444-$AF1444)/($AE1444-$AF1444))),2))</f>
        <v/>
      </c>
      <c r="L1444">
        <f>IF(OR($K1444="",$K1444="—"),"",IF($T1444&lt;=60,IF($K1444&lt;-3,"Magreza acentuada",IF($K1444&lt;-2,"Magreza",IF($K1444&lt;=1,"Eutrofia",IF($K1444&lt;=2,"Risco de sobrepeso",IF($K1444&lt;=3,"Sobrepeso","Obesidade"))))),IF($K1444&lt;-3,"Magreza acentuada",IF($K1444&lt;-2,"Magreza",IF($K1444&lt;=1,"Eutrofia",IF($K1444&lt;=2,"Sobrepeso",IF($K1444&lt;=3,"Obesidade","Obesidade grave")))))))</f>
        <v/>
      </c>
      <c r="M1444" s="12">
        <f>IF(OR($S1444="",$V1444="",$T1444="",$T1444&lt;0,$T1444&gt;228,$AG1444=""),"—",ROUND(IF($AG1444=0,LN($V1444/$AH1444)/$AI1444,((($V1444/$AH1444)^$AG1444)-1)/($AG1444*$AI1444)),2))</f>
        <v/>
      </c>
      <c r="N1444">
        <f>IF(OR($M1444="",$M1444="—"),"",IF($M1444&lt;-3,"Muito baixa",IF($M1444&lt;-2,"Baixa","Adequada")))</f>
        <v/>
      </c>
      <c r="O1444" s="12">
        <f>IF(OR($S1444="",$F1444="",$T1444="",$T1444&lt;0,$T1444&gt;120,$AJ1444=""),"—",ROUND(IF(ABS($AM1444)&lt;=3,$AM1444,IF($AM1444&gt;3,3+($F1444-$AO1444)/($AO1444-$AN1444),-3+($F1444-$AQ1444)/($AP1444-$AQ1444))),2))</f>
        <v/>
      </c>
      <c r="P1444">
        <f>IF(OR($O1444="",$O1444="—"),"",IF($O1444&lt;-3,"Muito baixo",IF($O1444&lt;-2,"Baixo",IF($O1444&lt;=2,"Adequado","Elevado"))))</f>
        <v/>
      </c>
      <c r="Q1444" s="12">
        <f>IF(OR($S1444="",$F1444="",$T1444="",$T1444&lt;0,$T1444&gt;60,$AR1444=""),"—",ROUND(IF(ABS($AU1444)&lt;=3,$AU1444,IF($AU1444&gt;3,3+($F1444-$AW1444)/($AW1444-$AV1444),-3+($F1444-$AY1444)/($AX1444-$AY1444))),2))</f>
        <v/>
      </c>
      <c r="R1444">
        <f>IF(OR($Q1444="",$Q1444="—"),"",IF($Q1444&lt;-3,"Magreza acentuada",IF($Q1444&lt;-2,"Magreza",IF($Q1444&lt;=1,"Eutrofia",IF($Q1444&lt;=2,"Risco de sobrepeso",IF($Q1444&lt;=3,"Sobrepeso","Obesidade"))))))</f>
        <v/>
      </c>
      <c r="S1444">
        <f>IF($C1444="","",IF(UPPER(LEFT($C1444,1))="M",1,IF(UPPER(LEFT($C1444,1))="F",2,"")))</f>
        <v/>
      </c>
      <c r="T1444">
        <f>IF(OR($D1444="",$E1444=""),"",DATEDIF($D1444,$E1444,"m"))</f>
        <v/>
      </c>
      <c r="U1444">
        <f>IF(OR($D1444="",$E1444=""),"",$E1444-$D1444)</f>
        <v/>
      </c>
      <c r="V1444">
        <f>IF(OR($G1444="",$T1444=""),"",IF($T1444&lt;24,IF(LEFT(LOWER($H1444),4)="em p",$G1444+0.7,$G1444),IF(LEFT(LOWER($H1444),4)="deit",$G1444-0.7,$G1444)))</f>
        <v/>
      </c>
      <c r="W1444">
        <f>IF(OR($S1444="",$T1444=""),"",$S1444*1000000+IF($T1444&lt;=60,$U1444,$T1444))</f>
        <v/>
      </c>
      <c r="X1444">
        <f>IF(OR($S1444="",$V1444="",$T1444&gt;60,$T1444=""),"",$S1444*1000000+ROUND($V1444*10,0))</f>
        <v/>
      </c>
      <c r="Y1444">
        <f>IF($W1444="","",IFERROR(INDEX(IF($T1444&lt;=60,imc05_l,imc519_l),MATCH($W1444,IF($T1444&lt;=60,imc05_k,imc519_k),1)),""))</f>
        <v/>
      </c>
      <c r="Z1444">
        <f>IF($W1444="","",IFERROR(INDEX(IF($T1444&lt;=60,imc05_m,imc519_m),MATCH($W1444,IF($T1444&lt;=60,imc05_k,imc519_k),1)),""))</f>
        <v/>
      </c>
      <c r="AA1444">
        <f>IF($W1444="","",IFERROR(INDEX(IF($T1444&lt;=60,imc05_s,imc519_s),MATCH($W1444,IF($T1444&lt;=60,imc05_k,imc519_k),1)),""))</f>
        <v/>
      </c>
      <c r="AB1444">
        <f>IF($Y1444="","",IF($Y1444=0,LN($J1444/$Z1444)/$AA1444,((($J1444/$Z1444)^$Y1444)-1)/($Y1444*$AA1444)))</f>
        <v/>
      </c>
      <c r="AC1444">
        <f>IF($Y1444="","",IF($Y1444=0,$Z1444*EXP($AA1444*2),$Z1444*(1+$Y1444*$AA1444*2)^(1/$Y1444)))</f>
        <v/>
      </c>
      <c r="AD1444">
        <f>IF($Y1444="","",IF($Y1444=0,$Z1444*EXP($AA1444*3),$Z1444*(1+$Y1444*$AA1444*3)^(1/$Y1444)))</f>
        <v/>
      </c>
      <c r="AE1444">
        <f>IF($Y1444="","",IF($Y1444=0,$Z1444*EXP($AA1444*-2),$Z1444*(1+$Y1444*$AA1444*-2)^(1/$Y1444)))</f>
        <v/>
      </c>
      <c r="AF1444">
        <f>IF($Y1444="","",IF($Y1444=0,$Z1444*EXP($AA1444*-3),$Z1444*(1+$Y1444*$AA1444*-3)^(1/$Y1444)))</f>
        <v/>
      </c>
      <c r="AG1444">
        <f>IF($W1444="","",IFERROR(INDEX(IF($T1444&lt;=60,est05_l,est519_l),MATCH($W1444,IF($T1444&lt;=60,est05_k,est519_k),1)),""))</f>
        <v/>
      </c>
      <c r="AH1444">
        <f>IF($W1444="","",IFERROR(INDEX(IF($T1444&lt;=60,est05_m,est519_m),MATCH($W1444,IF($T1444&lt;=60,est05_k,est519_k),1)),""))</f>
        <v/>
      </c>
      <c r="AI1444">
        <f>IF($W1444="","",IFERROR(INDEX(IF($T1444&lt;=60,est05_s,est519_s),MATCH($W1444,IF($T1444&lt;=60,est05_k,est519_k),1)),""))</f>
        <v/>
      </c>
      <c r="AJ1444">
        <f>IF($W1444="","",IFERROR(INDEX(IF($T1444&lt;=60,peso05_l,peso510_l),MATCH($W1444,IF($T1444&lt;=60,peso05_k,peso510_k),1)),""))</f>
        <v/>
      </c>
      <c r="AK1444">
        <f>IF($W1444="","",IFERROR(INDEX(IF($T1444&lt;=60,peso05_m,peso510_m),MATCH($W1444,IF($T1444&lt;=60,peso05_k,peso510_k),1)),""))</f>
        <v/>
      </c>
      <c r="AL1444">
        <f>IF($W1444="","",IFERROR(INDEX(IF($T1444&lt;=60,peso05_s,peso510_s),MATCH($W1444,IF($T1444&lt;=60,peso05_k,peso510_k),1)),""))</f>
        <v/>
      </c>
      <c r="AM1444">
        <f>IF($AJ1444="","",IF($AJ1444=0,LN($F1444/$AK1444)/$AL1444,((($F1444/$AK1444)^$AJ1444)-1)/($AJ1444*$AL1444)))</f>
        <v/>
      </c>
      <c r="AN1444">
        <f>IF($AJ1444="","",IF($AJ1444=0,$AK1444*EXP($AL1444*2),$AK1444*(1+$AJ1444*$AL1444*2)^(1/$AJ1444)))</f>
        <v/>
      </c>
      <c r="AO1444">
        <f>IF($AJ1444="","",IF($AJ1444=0,$AK1444*EXP($AL1444*3),$AK1444*(1+$AJ1444*$AL1444*3)^(1/$AJ1444)))</f>
        <v/>
      </c>
      <c r="AP1444">
        <f>IF($AJ1444="","",IF($AJ1444=0,$AK1444*EXP($AL1444*-2),$AK1444*(1+$AJ1444*$AL1444*-2)^(1/$AJ1444)))</f>
        <v/>
      </c>
      <c r="AQ1444">
        <f>IF($AJ1444="","",IF($AJ1444=0,$AK1444*EXP($AL1444*-3),$AK1444*(1+$AJ1444*$AL1444*-3)^(1/$AJ1444)))</f>
        <v/>
      </c>
      <c r="AR1444">
        <f>IF(OR($X1444="",$T1444&gt;60),"",IFERROR(INDEX(IF($T1444&lt;24,pcomp_l,palt_l),MATCH($X1444,IF($T1444&lt;24,pcomp_k,palt_k),1)),""))</f>
        <v/>
      </c>
      <c r="AS1444">
        <f>IF(OR($X1444="",$T1444&gt;60),"",IFERROR(INDEX(IF($T1444&lt;24,pcomp_m,palt_m),MATCH($X1444,IF($T1444&lt;24,pcomp_k,palt_k),1)),""))</f>
        <v/>
      </c>
      <c r="AT1444">
        <f>IF(OR($X1444="",$T1444&gt;60),"",IFERROR(INDEX(IF($T1444&lt;24,pcomp_s,palt_s),MATCH($X1444,IF($T1444&lt;24,pcomp_k,palt_k),1)),""))</f>
        <v/>
      </c>
      <c r="AU1444">
        <f>IF($AR1444="","",IF($AR1444=0,LN($F1444/$AS1444)/$AT1444,((($F1444/$AS1444)^$AR1444)-1)/($AR1444*$AT1444)))</f>
        <v/>
      </c>
      <c r="AV1444">
        <f>IF($AR1444="","",IF($AR1444=0,$AS1444*EXP($AT1444*2),$AS1444*(1+$AR1444*$AT1444*2)^(1/$AR1444)))</f>
        <v/>
      </c>
      <c r="AW1444">
        <f>IF($AR1444="","",IF($AR1444=0,$AS1444*EXP($AT1444*3),$AS1444*(1+$AR1444*$AT1444*3)^(1/$AR1444)))</f>
        <v/>
      </c>
      <c r="AX1444">
        <f>IF($AR1444="","",IF($AR1444=0,$AS1444*EXP($AT1444*-2),$AS1444*(1+$AR1444*$AT1444*-2)^(1/$AR1444)))</f>
        <v/>
      </c>
      <c r="AY1444">
        <f>IF($AR1444="","",IF($AR1444=0,$AS1444*EXP($AT1444*-3),$AS1444*(1+$AR1444*$AT1444*-3)^(1/$AR1444)))</f>
        <v/>
      </c>
      <c r="AZ1444">
        <f>IF(OR($A1444="",$A1444&lt;&gt;Ficha!$C$4),"",COUNTIF($A$2:$A1444,Ficha!$C$4))</f>
        <v/>
      </c>
    </row>
    <row r="1445">
      <c r="A1445" s="8">
        <f>IF(INDEX(Banco!$A:$A,ROW())="","",INDEX(Banco!$A:$A,ROW()))</f>
        <v/>
      </c>
      <c r="B1445" s="8">
        <f>IF(INDEX(Banco!$B:$B,ROW())="","",INDEX(Banco!$B:$B,ROW()))</f>
        <v/>
      </c>
      <c r="C1445" s="8">
        <f>IF(INDEX(Banco!$C:$C,ROW())="","",INDEX(Banco!$C:$C,ROW()))</f>
        <v/>
      </c>
      <c r="D1445" s="9">
        <f>IF(INDEX(Banco!$D:$D,ROW())="","",INDEX(Banco!$D:$D,ROW()))</f>
        <v/>
      </c>
      <c r="E1445" s="9">
        <f>IF(INDEX(Banco!$E:$E,ROW())="","",INDEX(Banco!$E:$E,ROW()))</f>
        <v/>
      </c>
      <c r="F1445" s="10">
        <f>IF(INDEX(Banco!$F:$F,ROW())="","",INDEX(Banco!$F:$F,ROW()))</f>
        <v/>
      </c>
      <c r="G1445" s="10">
        <f>IF(INDEX(Banco!$G:$G,ROW())="","",INDEX(Banco!$G:$G,ROW()))</f>
        <v/>
      </c>
      <c r="H1445" s="8">
        <f>IF(INDEX(Banco!$H:$H,ROW())="","",INDEX(Banco!$H:$H,ROW()))</f>
        <v/>
      </c>
      <c r="I1445">
        <f>IF($T1445="","",INT($T1445/12)&amp;"a "&amp;MOD($T1445,12)&amp;"m")</f>
        <v/>
      </c>
      <c r="J1445" s="11">
        <f>IF(OR($F1445="",$G1445=""),"",ROUND($F1445/($G1445/100)^2,2))</f>
        <v/>
      </c>
      <c r="K1445" s="12">
        <f>IF(OR($S1445="",$J1445="",$T1445="",$T1445&lt;0,$T1445&gt;228,$Y1445=""),"—",ROUND(IF(ABS($AB1445)&lt;=3,$AB1445,IF($AB1445&gt;3,3+($J1445-$AD1445)/($AD1445-$AC1445),-3+($J1445-$AF1445)/($AE1445-$AF1445))),2))</f>
        <v/>
      </c>
      <c r="L1445">
        <f>IF(OR($K1445="",$K1445="—"),"",IF($T1445&lt;=60,IF($K1445&lt;-3,"Magreza acentuada",IF($K1445&lt;-2,"Magreza",IF($K1445&lt;=1,"Eutrofia",IF($K1445&lt;=2,"Risco de sobrepeso",IF($K1445&lt;=3,"Sobrepeso","Obesidade"))))),IF($K1445&lt;-3,"Magreza acentuada",IF($K1445&lt;-2,"Magreza",IF($K1445&lt;=1,"Eutrofia",IF($K1445&lt;=2,"Sobrepeso",IF($K1445&lt;=3,"Obesidade","Obesidade grave")))))))</f>
        <v/>
      </c>
      <c r="M1445" s="12">
        <f>IF(OR($S1445="",$V1445="",$T1445="",$T1445&lt;0,$T1445&gt;228,$AG1445=""),"—",ROUND(IF($AG1445=0,LN($V1445/$AH1445)/$AI1445,((($V1445/$AH1445)^$AG1445)-1)/($AG1445*$AI1445)),2))</f>
        <v/>
      </c>
      <c r="N1445">
        <f>IF(OR($M1445="",$M1445="—"),"",IF($M1445&lt;-3,"Muito baixa",IF($M1445&lt;-2,"Baixa","Adequada")))</f>
        <v/>
      </c>
      <c r="O1445" s="12">
        <f>IF(OR($S1445="",$F1445="",$T1445="",$T1445&lt;0,$T1445&gt;120,$AJ1445=""),"—",ROUND(IF(ABS($AM1445)&lt;=3,$AM1445,IF($AM1445&gt;3,3+($F1445-$AO1445)/($AO1445-$AN1445),-3+($F1445-$AQ1445)/($AP1445-$AQ1445))),2))</f>
        <v/>
      </c>
      <c r="P1445">
        <f>IF(OR($O1445="",$O1445="—"),"",IF($O1445&lt;-3,"Muito baixo",IF($O1445&lt;-2,"Baixo",IF($O1445&lt;=2,"Adequado","Elevado"))))</f>
        <v/>
      </c>
      <c r="Q1445" s="12">
        <f>IF(OR($S1445="",$F1445="",$T1445="",$T1445&lt;0,$T1445&gt;60,$AR1445=""),"—",ROUND(IF(ABS($AU1445)&lt;=3,$AU1445,IF($AU1445&gt;3,3+($F1445-$AW1445)/($AW1445-$AV1445),-3+($F1445-$AY1445)/($AX1445-$AY1445))),2))</f>
        <v/>
      </c>
      <c r="R1445">
        <f>IF(OR($Q1445="",$Q1445="—"),"",IF($Q1445&lt;-3,"Magreza acentuada",IF($Q1445&lt;-2,"Magreza",IF($Q1445&lt;=1,"Eutrofia",IF($Q1445&lt;=2,"Risco de sobrepeso",IF($Q1445&lt;=3,"Sobrepeso","Obesidade"))))))</f>
        <v/>
      </c>
      <c r="S1445">
        <f>IF($C1445="","",IF(UPPER(LEFT($C1445,1))="M",1,IF(UPPER(LEFT($C1445,1))="F",2,"")))</f>
        <v/>
      </c>
      <c r="T1445">
        <f>IF(OR($D1445="",$E1445=""),"",DATEDIF($D1445,$E1445,"m"))</f>
        <v/>
      </c>
      <c r="U1445">
        <f>IF(OR($D1445="",$E1445=""),"",$E1445-$D1445)</f>
        <v/>
      </c>
      <c r="V1445">
        <f>IF(OR($G1445="",$T1445=""),"",IF($T1445&lt;24,IF(LEFT(LOWER($H1445),4)="em p",$G1445+0.7,$G1445),IF(LEFT(LOWER($H1445),4)="deit",$G1445-0.7,$G1445)))</f>
        <v/>
      </c>
      <c r="W1445">
        <f>IF(OR($S1445="",$T1445=""),"",$S1445*1000000+IF($T1445&lt;=60,$U1445,$T1445))</f>
        <v/>
      </c>
      <c r="X1445">
        <f>IF(OR($S1445="",$V1445="",$T1445&gt;60,$T1445=""),"",$S1445*1000000+ROUND($V1445*10,0))</f>
        <v/>
      </c>
      <c r="Y1445">
        <f>IF($W1445="","",IFERROR(INDEX(IF($T1445&lt;=60,imc05_l,imc519_l),MATCH($W1445,IF($T1445&lt;=60,imc05_k,imc519_k),1)),""))</f>
        <v/>
      </c>
      <c r="Z1445">
        <f>IF($W1445="","",IFERROR(INDEX(IF($T1445&lt;=60,imc05_m,imc519_m),MATCH($W1445,IF($T1445&lt;=60,imc05_k,imc519_k),1)),""))</f>
        <v/>
      </c>
      <c r="AA1445">
        <f>IF($W1445="","",IFERROR(INDEX(IF($T1445&lt;=60,imc05_s,imc519_s),MATCH($W1445,IF($T1445&lt;=60,imc05_k,imc519_k),1)),""))</f>
        <v/>
      </c>
      <c r="AB1445">
        <f>IF($Y1445="","",IF($Y1445=0,LN($J1445/$Z1445)/$AA1445,((($J1445/$Z1445)^$Y1445)-1)/($Y1445*$AA1445)))</f>
        <v/>
      </c>
      <c r="AC1445">
        <f>IF($Y1445="","",IF($Y1445=0,$Z1445*EXP($AA1445*2),$Z1445*(1+$Y1445*$AA1445*2)^(1/$Y1445)))</f>
        <v/>
      </c>
      <c r="AD1445">
        <f>IF($Y1445="","",IF($Y1445=0,$Z1445*EXP($AA1445*3),$Z1445*(1+$Y1445*$AA1445*3)^(1/$Y1445)))</f>
        <v/>
      </c>
      <c r="AE1445">
        <f>IF($Y1445="","",IF($Y1445=0,$Z1445*EXP($AA1445*-2),$Z1445*(1+$Y1445*$AA1445*-2)^(1/$Y1445)))</f>
        <v/>
      </c>
      <c r="AF1445">
        <f>IF($Y1445="","",IF($Y1445=0,$Z1445*EXP($AA1445*-3),$Z1445*(1+$Y1445*$AA1445*-3)^(1/$Y1445)))</f>
        <v/>
      </c>
      <c r="AG1445">
        <f>IF($W1445="","",IFERROR(INDEX(IF($T1445&lt;=60,est05_l,est519_l),MATCH($W1445,IF($T1445&lt;=60,est05_k,est519_k),1)),""))</f>
        <v/>
      </c>
      <c r="AH1445">
        <f>IF($W1445="","",IFERROR(INDEX(IF($T1445&lt;=60,est05_m,est519_m),MATCH($W1445,IF($T1445&lt;=60,est05_k,est519_k),1)),""))</f>
        <v/>
      </c>
      <c r="AI1445">
        <f>IF($W1445="","",IFERROR(INDEX(IF($T1445&lt;=60,est05_s,est519_s),MATCH($W1445,IF($T1445&lt;=60,est05_k,est519_k),1)),""))</f>
        <v/>
      </c>
      <c r="AJ1445">
        <f>IF($W1445="","",IFERROR(INDEX(IF($T1445&lt;=60,peso05_l,peso510_l),MATCH($W1445,IF($T1445&lt;=60,peso05_k,peso510_k),1)),""))</f>
        <v/>
      </c>
      <c r="AK1445">
        <f>IF($W1445="","",IFERROR(INDEX(IF($T1445&lt;=60,peso05_m,peso510_m),MATCH($W1445,IF($T1445&lt;=60,peso05_k,peso510_k),1)),""))</f>
        <v/>
      </c>
      <c r="AL1445">
        <f>IF($W1445="","",IFERROR(INDEX(IF($T1445&lt;=60,peso05_s,peso510_s),MATCH($W1445,IF($T1445&lt;=60,peso05_k,peso510_k),1)),""))</f>
        <v/>
      </c>
      <c r="AM1445">
        <f>IF($AJ1445="","",IF($AJ1445=0,LN($F1445/$AK1445)/$AL1445,((($F1445/$AK1445)^$AJ1445)-1)/($AJ1445*$AL1445)))</f>
        <v/>
      </c>
      <c r="AN1445">
        <f>IF($AJ1445="","",IF($AJ1445=0,$AK1445*EXP($AL1445*2),$AK1445*(1+$AJ1445*$AL1445*2)^(1/$AJ1445)))</f>
        <v/>
      </c>
      <c r="AO1445">
        <f>IF($AJ1445="","",IF($AJ1445=0,$AK1445*EXP($AL1445*3),$AK1445*(1+$AJ1445*$AL1445*3)^(1/$AJ1445)))</f>
        <v/>
      </c>
      <c r="AP1445">
        <f>IF($AJ1445="","",IF($AJ1445=0,$AK1445*EXP($AL1445*-2),$AK1445*(1+$AJ1445*$AL1445*-2)^(1/$AJ1445)))</f>
        <v/>
      </c>
      <c r="AQ1445">
        <f>IF($AJ1445="","",IF($AJ1445=0,$AK1445*EXP($AL1445*-3),$AK1445*(1+$AJ1445*$AL1445*-3)^(1/$AJ1445)))</f>
        <v/>
      </c>
      <c r="AR1445">
        <f>IF(OR($X1445="",$T1445&gt;60),"",IFERROR(INDEX(IF($T1445&lt;24,pcomp_l,palt_l),MATCH($X1445,IF($T1445&lt;24,pcomp_k,palt_k),1)),""))</f>
        <v/>
      </c>
      <c r="AS1445">
        <f>IF(OR($X1445="",$T1445&gt;60),"",IFERROR(INDEX(IF($T1445&lt;24,pcomp_m,palt_m),MATCH($X1445,IF($T1445&lt;24,pcomp_k,palt_k),1)),""))</f>
        <v/>
      </c>
      <c r="AT1445">
        <f>IF(OR($X1445="",$T1445&gt;60),"",IFERROR(INDEX(IF($T1445&lt;24,pcomp_s,palt_s),MATCH($X1445,IF($T1445&lt;24,pcomp_k,palt_k),1)),""))</f>
        <v/>
      </c>
      <c r="AU1445">
        <f>IF($AR1445="","",IF($AR1445=0,LN($F1445/$AS1445)/$AT1445,((($F1445/$AS1445)^$AR1445)-1)/($AR1445*$AT1445)))</f>
        <v/>
      </c>
      <c r="AV1445">
        <f>IF($AR1445="","",IF($AR1445=0,$AS1445*EXP($AT1445*2),$AS1445*(1+$AR1445*$AT1445*2)^(1/$AR1445)))</f>
        <v/>
      </c>
      <c r="AW1445">
        <f>IF($AR1445="","",IF($AR1445=0,$AS1445*EXP($AT1445*3),$AS1445*(1+$AR1445*$AT1445*3)^(1/$AR1445)))</f>
        <v/>
      </c>
      <c r="AX1445">
        <f>IF($AR1445="","",IF($AR1445=0,$AS1445*EXP($AT1445*-2),$AS1445*(1+$AR1445*$AT1445*-2)^(1/$AR1445)))</f>
        <v/>
      </c>
      <c r="AY1445">
        <f>IF($AR1445="","",IF($AR1445=0,$AS1445*EXP($AT1445*-3),$AS1445*(1+$AR1445*$AT1445*-3)^(1/$AR1445)))</f>
        <v/>
      </c>
      <c r="AZ1445">
        <f>IF(OR($A1445="",$A1445&lt;&gt;Ficha!$C$4),"",COUNTIF($A$2:$A1445,Ficha!$C$4))</f>
        <v/>
      </c>
    </row>
    <row r="1446">
      <c r="A1446" s="8">
        <f>IF(INDEX(Banco!$A:$A,ROW())="","",INDEX(Banco!$A:$A,ROW()))</f>
        <v/>
      </c>
      <c r="B1446" s="8">
        <f>IF(INDEX(Banco!$B:$B,ROW())="","",INDEX(Banco!$B:$B,ROW()))</f>
        <v/>
      </c>
      <c r="C1446" s="8">
        <f>IF(INDEX(Banco!$C:$C,ROW())="","",INDEX(Banco!$C:$C,ROW()))</f>
        <v/>
      </c>
      <c r="D1446" s="9">
        <f>IF(INDEX(Banco!$D:$D,ROW())="","",INDEX(Banco!$D:$D,ROW()))</f>
        <v/>
      </c>
      <c r="E1446" s="9">
        <f>IF(INDEX(Banco!$E:$E,ROW())="","",INDEX(Banco!$E:$E,ROW()))</f>
        <v/>
      </c>
      <c r="F1446" s="10">
        <f>IF(INDEX(Banco!$F:$F,ROW())="","",INDEX(Banco!$F:$F,ROW()))</f>
        <v/>
      </c>
      <c r="G1446" s="10">
        <f>IF(INDEX(Banco!$G:$G,ROW())="","",INDEX(Banco!$G:$G,ROW()))</f>
        <v/>
      </c>
      <c r="H1446" s="8">
        <f>IF(INDEX(Banco!$H:$H,ROW())="","",INDEX(Banco!$H:$H,ROW()))</f>
        <v/>
      </c>
      <c r="I1446">
        <f>IF($T1446="","",INT($T1446/12)&amp;"a "&amp;MOD($T1446,12)&amp;"m")</f>
        <v/>
      </c>
      <c r="J1446" s="11">
        <f>IF(OR($F1446="",$G1446=""),"",ROUND($F1446/($G1446/100)^2,2))</f>
        <v/>
      </c>
      <c r="K1446" s="12">
        <f>IF(OR($S1446="",$J1446="",$T1446="",$T1446&lt;0,$T1446&gt;228,$Y1446=""),"—",ROUND(IF(ABS($AB1446)&lt;=3,$AB1446,IF($AB1446&gt;3,3+($J1446-$AD1446)/($AD1446-$AC1446),-3+($J1446-$AF1446)/($AE1446-$AF1446))),2))</f>
        <v/>
      </c>
      <c r="L1446">
        <f>IF(OR($K1446="",$K1446="—"),"",IF($T1446&lt;=60,IF($K1446&lt;-3,"Magreza acentuada",IF($K1446&lt;-2,"Magreza",IF($K1446&lt;=1,"Eutrofia",IF($K1446&lt;=2,"Risco de sobrepeso",IF($K1446&lt;=3,"Sobrepeso","Obesidade"))))),IF($K1446&lt;-3,"Magreza acentuada",IF($K1446&lt;-2,"Magreza",IF($K1446&lt;=1,"Eutrofia",IF($K1446&lt;=2,"Sobrepeso",IF($K1446&lt;=3,"Obesidade","Obesidade grave")))))))</f>
        <v/>
      </c>
      <c r="M1446" s="12">
        <f>IF(OR($S1446="",$V1446="",$T1446="",$T1446&lt;0,$T1446&gt;228,$AG1446=""),"—",ROUND(IF($AG1446=0,LN($V1446/$AH1446)/$AI1446,((($V1446/$AH1446)^$AG1446)-1)/($AG1446*$AI1446)),2))</f>
        <v/>
      </c>
      <c r="N1446">
        <f>IF(OR($M1446="",$M1446="—"),"",IF($M1446&lt;-3,"Muito baixa",IF($M1446&lt;-2,"Baixa","Adequada")))</f>
        <v/>
      </c>
      <c r="O1446" s="12">
        <f>IF(OR($S1446="",$F1446="",$T1446="",$T1446&lt;0,$T1446&gt;120,$AJ1446=""),"—",ROUND(IF(ABS($AM1446)&lt;=3,$AM1446,IF($AM1446&gt;3,3+($F1446-$AO1446)/($AO1446-$AN1446),-3+($F1446-$AQ1446)/($AP1446-$AQ1446))),2))</f>
        <v/>
      </c>
      <c r="P1446">
        <f>IF(OR($O1446="",$O1446="—"),"",IF($O1446&lt;-3,"Muito baixo",IF($O1446&lt;-2,"Baixo",IF($O1446&lt;=2,"Adequado","Elevado"))))</f>
        <v/>
      </c>
      <c r="Q1446" s="12">
        <f>IF(OR($S1446="",$F1446="",$T1446="",$T1446&lt;0,$T1446&gt;60,$AR1446=""),"—",ROUND(IF(ABS($AU1446)&lt;=3,$AU1446,IF($AU1446&gt;3,3+($F1446-$AW1446)/($AW1446-$AV1446),-3+($F1446-$AY1446)/($AX1446-$AY1446))),2))</f>
        <v/>
      </c>
      <c r="R1446">
        <f>IF(OR($Q1446="",$Q1446="—"),"",IF($Q1446&lt;-3,"Magreza acentuada",IF($Q1446&lt;-2,"Magreza",IF($Q1446&lt;=1,"Eutrofia",IF($Q1446&lt;=2,"Risco de sobrepeso",IF($Q1446&lt;=3,"Sobrepeso","Obesidade"))))))</f>
        <v/>
      </c>
      <c r="S1446">
        <f>IF($C1446="","",IF(UPPER(LEFT($C1446,1))="M",1,IF(UPPER(LEFT($C1446,1))="F",2,"")))</f>
        <v/>
      </c>
      <c r="T1446">
        <f>IF(OR($D1446="",$E1446=""),"",DATEDIF($D1446,$E1446,"m"))</f>
        <v/>
      </c>
      <c r="U1446">
        <f>IF(OR($D1446="",$E1446=""),"",$E1446-$D1446)</f>
        <v/>
      </c>
      <c r="V1446">
        <f>IF(OR($G1446="",$T1446=""),"",IF($T1446&lt;24,IF(LEFT(LOWER($H1446),4)="em p",$G1446+0.7,$G1446),IF(LEFT(LOWER($H1446),4)="deit",$G1446-0.7,$G1446)))</f>
        <v/>
      </c>
      <c r="W1446">
        <f>IF(OR($S1446="",$T1446=""),"",$S1446*1000000+IF($T1446&lt;=60,$U1446,$T1446))</f>
        <v/>
      </c>
      <c r="X1446">
        <f>IF(OR($S1446="",$V1446="",$T1446&gt;60,$T1446=""),"",$S1446*1000000+ROUND($V1446*10,0))</f>
        <v/>
      </c>
      <c r="Y1446">
        <f>IF($W1446="","",IFERROR(INDEX(IF($T1446&lt;=60,imc05_l,imc519_l),MATCH($W1446,IF($T1446&lt;=60,imc05_k,imc519_k),1)),""))</f>
        <v/>
      </c>
      <c r="Z1446">
        <f>IF($W1446="","",IFERROR(INDEX(IF($T1446&lt;=60,imc05_m,imc519_m),MATCH($W1446,IF($T1446&lt;=60,imc05_k,imc519_k),1)),""))</f>
        <v/>
      </c>
      <c r="AA1446">
        <f>IF($W1446="","",IFERROR(INDEX(IF($T1446&lt;=60,imc05_s,imc519_s),MATCH($W1446,IF($T1446&lt;=60,imc05_k,imc519_k),1)),""))</f>
        <v/>
      </c>
      <c r="AB1446">
        <f>IF($Y1446="","",IF($Y1446=0,LN($J1446/$Z1446)/$AA1446,((($J1446/$Z1446)^$Y1446)-1)/($Y1446*$AA1446)))</f>
        <v/>
      </c>
      <c r="AC1446">
        <f>IF($Y1446="","",IF($Y1446=0,$Z1446*EXP($AA1446*2),$Z1446*(1+$Y1446*$AA1446*2)^(1/$Y1446)))</f>
        <v/>
      </c>
      <c r="AD1446">
        <f>IF($Y1446="","",IF($Y1446=0,$Z1446*EXP($AA1446*3),$Z1446*(1+$Y1446*$AA1446*3)^(1/$Y1446)))</f>
        <v/>
      </c>
      <c r="AE1446">
        <f>IF($Y1446="","",IF($Y1446=0,$Z1446*EXP($AA1446*-2),$Z1446*(1+$Y1446*$AA1446*-2)^(1/$Y1446)))</f>
        <v/>
      </c>
      <c r="AF1446">
        <f>IF($Y1446="","",IF($Y1446=0,$Z1446*EXP($AA1446*-3),$Z1446*(1+$Y1446*$AA1446*-3)^(1/$Y1446)))</f>
        <v/>
      </c>
      <c r="AG1446">
        <f>IF($W1446="","",IFERROR(INDEX(IF($T1446&lt;=60,est05_l,est519_l),MATCH($W1446,IF($T1446&lt;=60,est05_k,est519_k),1)),""))</f>
        <v/>
      </c>
      <c r="AH1446">
        <f>IF($W1446="","",IFERROR(INDEX(IF($T1446&lt;=60,est05_m,est519_m),MATCH($W1446,IF($T1446&lt;=60,est05_k,est519_k),1)),""))</f>
        <v/>
      </c>
      <c r="AI1446">
        <f>IF($W1446="","",IFERROR(INDEX(IF($T1446&lt;=60,est05_s,est519_s),MATCH($W1446,IF($T1446&lt;=60,est05_k,est519_k),1)),""))</f>
        <v/>
      </c>
      <c r="AJ1446">
        <f>IF($W1446="","",IFERROR(INDEX(IF($T1446&lt;=60,peso05_l,peso510_l),MATCH($W1446,IF($T1446&lt;=60,peso05_k,peso510_k),1)),""))</f>
        <v/>
      </c>
      <c r="AK1446">
        <f>IF($W1446="","",IFERROR(INDEX(IF($T1446&lt;=60,peso05_m,peso510_m),MATCH($W1446,IF($T1446&lt;=60,peso05_k,peso510_k),1)),""))</f>
        <v/>
      </c>
      <c r="AL1446">
        <f>IF($W1446="","",IFERROR(INDEX(IF($T1446&lt;=60,peso05_s,peso510_s),MATCH($W1446,IF($T1446&lt;=60,peso05_k,peso510_k),1)),""))</f>
        <v/>
      </c>
      <c r="AM1446">
        <f>IF($AJ1446="","",IF($AJ1446=0,LN($F1446/$AK1446)/$AL1446,((($F1446/$AK1446)^$AJ1446)-1)/($AJ1446*$AL1446)))</f>
        <v/>
      </c>
      <c r="AN1446">
        <f>IF($AJ1446="","",IF($AJ1446=0,$AK1446*EXP($AL1446*2),$AK1446*(1+$AJ1446*$AL1446*2)^(1/$AJ1446)))</f>
        <v/>
      </c>
      <c r="AO1446">
        <f>IF($AJ1446="","",IF($AJ1446=0,$AK1446*EXP($AL1446*3),$AK1446*(1+$AJ1446*$AL1446*3)^(1/$AJ1446)))</f>
        <v/>
      </c>
      <c r="AP1446">
        <f>IF($AJ1446="","",IF($AJ1446=0,$AK1446*EXP($AL1446*-2),$AK1446*(1+$AJ1446*$AL1446*-2)^(1/$AJ1446)))</f>
        <v/>
      </c>
      <c r="AQ1446">
        <f>IF($AJ1446="","",IF($AJ1446=0,$AK1446*EXP($AL1446*-3),$AK1446*(1+$AJ1446*$AL1446*-3)^(1/$AJ1446)))</f>
        <v/>
      </c>
      <c r="AR1446">
        <f>IF(OR($X1446="",$T1446&gt;60),"",IFERROR(INDEX(IF($T1446&lt;24,pcomp_l,palt_l),MATCH($X1446,IF($T1446&lt;24,pcomp_k,palt_k),1)),""))</f>
        <v/>
      </c>
      <c r="AS1446">
        <f>IF(OR($X1446="",$T1446&gt;60),"",IFERROR(INDEX(IF($T1446&lt;24,pcomp_m,palt_m),MATCH($X1446,IF($T1446&lt;24,pcomp_k,palt_k),1)),""))</f>
        <v/>
      </c>
      <c r="AT1446">
        <f>IF(OR($X1446="",$T1446&gt;60),"",IFERROR(INDEX(IF($T1446&lt;24,pcomp_s,palt_s),MATCH($X1446,IF($T1446&lt;24,pcomp_k,palt_k),1)),""))</f>
        <v/>
      </c>
      <c r="AU1446">
        <f>IF($AR1446="","",IF($AR1446=0,LN($F1446/$AS1446)/$AT1446,((($F1446/$AS1446)^$AR1446)-1)/($AR1446*$AT1446)))</f>
        <v/>
      </c>
      <c r="AV1446">
        <f>IF($AR1446="","",IF($AR1446=0,$AS1446*EXP($AT1446*2),$AS1446*(1+$AR1446*$AT1446*2)^(1/$AR1446)))</f>
        <v/>
      </c>
      <c r="AW1446">
        <f>IF($AR1446="","",IF($AR1446=0,$AS1446*EXP($AT1446*3),$AS1446*(1+$AR1446*$AT1446*3)^(1/$AR1446)))</f>
        <v/>
      </c>
      <c r="AX1446">
        <f>IF($AR1446="","",IF($AR1446=0,$AS1446*EXP($AT1446*-2),$AS1446*(1+$AR1446*$AT1446*-2)^(1/$AR1446)))</f>
        <v/>
      </c>
      <c r="AY1446">
        <f>IF($AR1446="","",IF($AR1446=0,$AS1446*EXP($AT1446*-3),$AS1446*(1+$AR1446*$AT1446*-3)^(1/$AR1446)))</f>
        <v/>
      </c>
      <c r="AZ1446">
        <f>IF(OR($A1446="",$A1446&lt;&gt;Ficha!$C$4),"",COUNTIF($A$2:$A1446,Ficha!$C$4))</f>
        <v/>
      </c>
    </row>
    <row r="1447">
      <c r="A1447" s="8">
        <f>IF(INDEX(Banco!$A:$A,ROW())="","",INDEX(Banco!$A:$A,ROW()))</f>
        <v/>
      </c>
      <c r="B1447" s="8">
        <f>IF(INDEX(Banco!$B:$B,ROW())="","",INDEX(Banco!$B:$B,ROW()))</f>
        <v/>
      </c>
      <c r="C1447" s="8">
        <f>IF(INDEX(Banco!$C:$C,ROW())="","",INDEX(Banco!$C:$C,ROW()))</f>
        <v/>
      </c>
      <c r="D1447" s="9">
        <f>IF(INDEX(Banco!$D:$D,ROW())="","",INDEX(Banco!$D:$D,ROW()))</f>
        <v/>
      </c>
      <c r="E1447" s="9">
        <f>IF(INDEX(Banco!$E:$E,ROW())="","",INDEX(Banco!$E:$E,ROW()))</f>
        <v/>
      </c>
      <c r="F1447" s="10">
        <f>IF(INDEX(Banco!$F:$F,ROW())="","",INDEX(Banco!$F:$F,ROW()))</f>
        <v/>
      </c>
      <c r="G1447" s="10">
        <f>IF(INDEX(Banco!$G:$G,ROW())="","",INDEX(Banco!$G:$G,ROW()))</f>
        <v/>
      </c>
      <c r="H1447" s="8">
        <f>IF(INDEX(Banco!$H:$H,ROW())="","",INDEX(Banco!$H:$H,ROW()))</f>
        <v/>
      </c>
      <c r="I1447">
        <f>IF($T1447="","",INT($T1447/12)&amp;"a "&amp;MOD($T1447,12)&amp;"m")</f>
        <v/>
      </c>
      <c r="J1447" s="11">
        <f>IF(OR($F1447="",$G1447=""),"",ROUND($F1447/($G1447/100)^2,2))</f>
        <v/>
      </c>
      <c r="K1447" s="12">
        <f>IF(OR($S1447="",$J1447="",$T1447="",$T1447&lt;0,$T1447&gt;228,$Y1447=""),"—",ROUND(IF(ABS($AB1447)&lt;=3,$AB1447,IF($AB1447&gt;3,3+($J1447-$AD1447)/($AD1447-$AC1447),-3+($J1447-$AF1447)/($AE1447-$AF1447))),2))</f>
        <v/>
      </c>
      <c r="L1447">
        <f>IF(OR($K1447="",$K1447="—"),"",IF($T1447&lt;=60,IF($K1447&lt;-3,"Magreza acentuada",IF($K1447&lt;-2,"Magreza",IF($K1447&lt;=1,"Eutrofia",IF($K1447&lt;=2,"Risco de sobrepeso",IF($K1447&lt;=3,"Sobrepeso","Obesidade"))))),IF($K1447&lt;-3,"Magreza acentuada",IF($K1447&lt;-2,"Magreza",IF($K1447&lt;=1,"Eutrofia",IF($K1447&lt;=2,"Sobrepeso",IF($K1447&lt;=3,"Obesidade","Obesidade grave")))))))</f>
        <v/>
      </c>
      <c r="M1447" s="12">
        <f>IF(OR($S1447="",$V1447="",$T1447="",$T1447&lt;0,$T1447&gt;228,$AG1447=""),"—",ROUND(IF($AG1447=0,LN($V1447/$AH1447)/$AI1447,((($V1447/$AH1447)^$AG1447)-1)/($AG1447*$AI1447)),2))</f>
        <v/>
      </c>
      <c r="N1447">
        <f>IF(OR($M1447="",$M1447="—"),"",IF($M1447&lt;-3,"Muito baixa",IF($M1447&lt;-2,"Baixa","Adequada")))</f>
        <v/>
      </c>
      <c r="O1447" s="12">
        <f>IF(OR($S1447="",$F1447="",$T1447="",$T1447&lt;0,$T1447&gt;120,$AJ1447=""),"—",ROUND(IF(ABS($AM1447)&lt;=3,$AM1447,IF($AM1447&gt;3,3+($F1447-$AO1447)/($AO1447-$AN1447),-3+($F1447-$AQ1447)/($AP1447-$AQ1447))),2))</f>
        <v/>
      </c>
      <c r="P1447">
        <f>IF(OR($O1447="",$O1447="—"),"",IF($O1447&lt;-3,"Muito baixo",IF($O1447&lt;-2,"Baixo",IF($O1447&lt;=2,"Adequado","Elevado"))))</f>
        <v/>
      </c>
      <c r="Q1447" s="12">
        <f>IF(OR($S1447="",$F1447="",$T1447="",$T1447&lt;0,$T1447&gt;60,$AR1447=""),"—",ROUND(IF(ABS($AU1447)&lt;=3,$AU1447,IF($AU1447&gt;3,3+($F1447-$AW1447)/($AW1447-$AV1447),-3+($F1447-$AY1447)/($AX1447-$AY1447))),2))</f>
        <v/>
      </c>
      <c r="R1447">
        <f>IF(OR($Q1447="",$Q1447="—"),"",IF($Q1447&lt;-3,"Magreza acentuada",IF($Q1447&lt;-2,"Magreza",IF($Q1447&lt;=1,"Eutrofia",IF($Q1447&lt;=2,"Risco de sobrepeso",IF($Q1447&lt;=3,"Sobrepeso","Obesidade"))))))</f>
        <v/>
      </c>
      <c r="S1447">
        <f>IF($C1447="","",IF(UPPER(LEFT($C1447,1))="M",1,IF(UPPER(LEFT($C1447,1))="F",2,"")))</f>
        <v/>
      </c>
      <c r="T1447">
        <f>IF(OR($D1447="",$E1447=""),"",DATEDIF($D1447,$E1447,"m"))</f>
        <v/>
      </c>
      <c r="U1447">
        <f>IF(OR($D1447="",$E1447=""),"",$E1447-$D1447)</f>
        <v/>
      </c>
      <c r="V1447">
        <f>IF(OR($G1447="",$T1447=""),"",IF($T1447&lt;24,IF(LEFT(LOWER($H1447),4)="em p",$G1447+0.7,$G1447),IF(LEFT(LOWER($H1447),4)="deit",$G1447-0.7,$G1447)))</f>
        <v/>
      </c>
      <c r="W1447">
        <f>IF(OR($S1447="",$T1447=""),"",$S1447*1000000+IF($T1447&lt;=60,$U1447,$T1447))</f>
        <v/>
      </c>
      <c r="X1447">
        <f>IF(OR($S1447="",$V1447="",$T1447&gt;60,$T1447=""),"",$S1447*1000000+ROUND($V1447*10,0))</f>
        <v/>
      </c>
      <c r="Y1447">
        <f>IF($W1447="","",IFERROR(INDEX(IF($T1447&lt;=60,imc05_l,imc519_l),MATCH($W1447,IF($T1447&lt;=60,imc05_k,imc519_k),1)),""))</f>
        <v/>
      </c>
      <c r="Z1447">
        <f>IF($W1447="","",IFERROR(INDEX(IF($T1447&lt;=60,imc05_m,imc519_m),MATCH($W1447,IF($T1447&lt;=60,imc05_k,imc519_k),1)),""))</f>
        <v/>
      </c>
      <c r="AA1447">
        <f>IF($W1447="","",IFERROR(INDEX(IF($T1447&lt;=60,imc05_s,imc519_s),MATCH($W1447,IF($T1447&lt;=60,imc05_k,imc519_k),1)),""))</f>
        <v/>
      </c>
      <c r="AB1447">
        <f>IF($Y1447="","",IF($Y1447=0,LN($J1447/$Z1447)/$AA1447,((($J1447/$Z1447)^$Y1447)-1)/($Y1447*$AA1447)))</f>
        <v/>
      </c>
      <c r="AC1447">
        <f>IF($Y1447="","",IF($Y1447=0,$Z1447*EXP($AA1447*2),$Z1447*(1+$Y1447*$AA1447*2)^(1/$Y1447)))</f>
        <v/>
      </c>
      <c r="AD1447">
        <f>IF($Y1447="","",IF($Y1447=0,$Z1447*EXP($AA1447*3),$Z1447*(1+$Y1447*$AA1447*3)^(1/$Y1447)))</f>
        <v/>
      </c>
      <c r="AE1447">
        <f>IF($Y1447="","",IF($Y1447=0,$Z1447*EXP($AA1447*-2),$Z1447*(1+$Y1447*$AA1447*-2)^(1/$Y1447)))</f>
        <v/>
      </c>
      <c r="AF1447">
        <f>IF($Y1447="","",IF($Y1447=0,$Z1447*EXP($AA1447*-3),$Z1447*(1+$Y1447*$AA1447*-3)^(1/$Y1447)))</f>
        <v/>
      </c>
      <c r="AG1447">
        <f>IF($W1447="","",IFERROR(INDEX(IF($T1447&lt;=60,est05_l,est519_l),MATCH($W1447,IF($T1447&lt;=60,est05_k,est519_k),1)),""))</f>
        <v/>
      </c>
      <c r="AH1447">
        <f>IF($W1447="","",IFERROR(INDEX(IF($T1447&lt;=60,est05_m,est519_m),MATCH($W1447,IF($T1447&lt;=60,est05_k,est519_k),1)),""))</f>
        <v/>
      </c>
      <c r="AI1447">
        <f>IF($W1447="","",IFERROR(INDEX(IF($T1447&lt;=60,est05_s,est519_s),MATCH($W1447,IF($T1447&lt;=60,est05_k,est519_k),1)),""))</f>
        <v/>
      </c>
      <c r="AJ1447">
        <f>IF($W1447="","",IFERROR(INDEX(IF($T1447&lt;=60,peso05_l,peso510_l),MATCH($W1447,IF($T1447&lt;=60,peso05_k,peso510_k),1)),""))</f>
        <v/>
      </c>
      <c r="AK1447">
        <f>IF($W1447="","",IFERROR(INDEX(IF($T1447&lt;=60,peso05_m,peso510_m),MATCH($W1447,IF($T1447&lt;=60,peso05_k,peso510_k),1)),""))</f>
        <v/>
      </c>
      <c r="AL1447">
        <f>IF($W1447="","",IFERROR(INDEX(IF($T1447&lt;=60,peso05_s,peso510_s),MATCH($W1447,IF($T1447&lt;=60,peso05_k,peso510_k),1)),""))</f>
        <v/>
      </c>
      <c r="AM1447">
        <f>IF($AJ1447="","",IF($AJ1447=0,LN($F1447/$AK1447)/$AL1447,((($F1447/$AK1447)^$AJ1447)-1)/($AJ1447*$AL1447)))</f>
        <v/>
      </c>
      <c r="AN1447">
        <f>IF($AJ1447="","",IF($AJ1447=0,$AK1447*EXP($AL1447*2),$AK1447*(1+$AJ1447*$AL1447*2)^(1/$AJ1447)))</f>
        <v/>
      </c>
      <c r="AO1447">
        <f>IF($AJ1447="","",IF($AJ1447=0,$AK1447*EXP($AL1447*3),$AK1447*(1+$AJ1447*$AL1447*3)^(1/$AJ1447)))</f>
        <v/>
      </c>
      <c r="AP1447">
        <f>IF($AJ1447="","",IF($AJ1447=0,$AK1447*EXP($AL1447*-2),$AK1447*(1+$AJ1447*$AL1447*-2)^(1/$AJ1447)))</f>
        <v/>
      </c>
      <c r="AQ1447">
        <f>IF($AJ1447="","",IF($AJ1447=0,$AK1447*EXP($AL1447*-3),$AK1447*(1+$AJ1447*$AL1447*-3)^(1/$AJ1447)))</f>
        <v/>
      </c>
      <c r="AR1447">
        <f>IF(OR($X1447="",$T1447&gt;60),"",IFERROR(INDEX(IF($T1447&lt;24,pcomp_l,palt_l),MATCH($X1447,IF($T1447&lt;24,pcomp_k,palt_k),1)),""))</f>
        <v/>
      </c>
      <c r="AS1447">
        <f>IF(OR($X1447="",$T1447&gt;60),"",IFERROR(INDEX(IF($T1447&lt;24,pcomp_m,palt_m),MATCH($X1447,IF($T1447&lt;24,pcomp_k,palt_k),1)),""))</f>
        <v/>
      </c>
      <c r="AT1447">
        <f>IF(OR($X1447="",$T1447&gt;60),"",IFERROR(INDEX(IF($T1447&lt;24,pcomp_s,palt_s),MATCH($X1447,IF($T1447&lt;24,pcomp_k,palt_k),1)),""))</f>
        <v/>
      </c>
      <c r="AU1447">
        <f>IF($AR1447="","",IF($AR1447=0,LN($F1447/$AS1447)/$AT1447,((($F1447/$AS1447)^$AR1447)-1)/($AR1447*$AT1447)))</f>
        <v/>
      </c>
      <c r="AV1447">
        <f>IF($AR1447="","",IF($AR1447=0,$AS1447*EXP($AT1447*2),$AS1447*(1+$AR1447*$AT1447*2)^(1/$AR1447)))</f>
        <v/>
      </c>
      <c r="AW1447">
        <f>IF($AR1447="","",IF($AR1447=0,$AS1447*EXP($AT1447*3),$AS1447*(1+$AR1447*$AT1447*3)^(1/$AR1447)))</f>
        <v/>
      </c>
      <c r="AX1447">
        <f>IF($AR1447="","",IF($AR1447=0,$AS1447*EXP($AT1447*-2),$AS1447*(1+$AR1447*$AT1447*-2)^(1/$AR1447)))</f>
        <v/>
      </c>
      <c r="AY1447">
        <f>IF($AR1447="","",IF($AR1447=0,$AS1447*EXP($AT1447*-3),$AS1447*(1+$AR1447*$AT1447*-3)^(1/$AR1447)))</f>
        <v/>
      </c>
      <c r="AZ1447">
        <f>IF(OR($A1447="",$A1447&lt;&gt;Ficha!$C$4),"",COUNTIF($A$2:$A1447,Ficha!$C$4))</f>
        <v/>
      </c>
    </row>
    <row r="1448">
      <c r="A1448" s="8">
        <f>IF(INDEX(Banco!$A:$A,ROW())="","",INDEX(Banco!$A:$A,ROW()))</f>
        <v/>
      </c>
      <c r="B1448" s="8">
        <f>IF(INDEX(Banco!$B:$B,ROW())="","",INDEX(Banco!$B:$B,ROW()))</f>
        <v/>
      </c>
      <c r="C1448" s="8">
        <f>IF(INDEX(Banco!$C:$C,ROW())="","",INDEX(Banco!$C:$C,ROW()))</f>
        <v/>
      </c>
      <c r="D1448" s="9">
        <f>IF(INDEX(Banco!$D:$D,ROW())="","",INDEX(Banco!$D:$D,ROW()))</f>
        <v/>
      </c>
      <c r="E1448" s="9">
        <f>IF(INDEX(Banco!$E:$E,ROW())="","",INDEX(Banco!$E:$E,ROW()))</f>
        <v/>
      </c>
      <c r="F1448" s="10">
        <f>IF(INDEX(Banco!$F:$F,ROW())="","",INDEX(Banco!$F:$F,ROW()))</f>
        <v/>
      </c>
      <c r="G1448" s="10">
        <f>IF(INDEX(Banco!$G:$G,ROW())="","",INDEX(Banco!$G:$G,ROW()))</f>
        <v/>
      </c>
      <c r="H1448" s="8">
        <f>IF(INDEX(Banco!$H:$H,ROW())="","",INDEX(Banco!$H:$H,ROW()))</f>
        <v/>
      </c>
      <c r="I1448">
        <f>IF($T1448="","",INT($T1448/12)&amp;"a "&amp;MOD($T1448,12)&amp;"m")</f>
        <v/>
      </c>
      <c r="J1448" s="11">
        <f>IF(OR($F1448="",$G1448=""),"",ROUND($F1448/($G1448/100)^2,2))</f>
        <v/>
      </c>
      <c r="K1448" s="12">
        <f>IF(OR($S1448="",$J1448="",$T1448="",$T1448&lt;0,$T1448&gt;228,$Y1448=""),"—",ROUND(IF(ABS($AB1448)&lt;=3,$AB1448,IF($AB1448&gt;3,3+($J1448-$AD1448)/($AD1448-$AC1448),-3+($J1448-$AF1448)/($AE1448-$AF1448))),2))</f>
        <v/>
      </c>
      <c r="L1448">
        <f>IF(OR($K1448="",$K1448="—"),"",IF($T1448&lt;=60,IF($K1448&lt;-3,"Magreza acentuada",IF($K1448&lt;-2,"Magreza",IF($K1448&lt;=1,"Eutrofia",IF($K1448&lt;=2,"Risco de sobrepeso",IF($K1448&lt;=3,"Sobrepeso","Obesidade"))))),IF($K1448&lt;-3,"Magreza acentuada",IF($K1448&lt;-2,"Magreza",IF($K1448&lt;=1,"Eutrofia",IF($K1448&lt;=2,"Sobrepeso",IF($K1448&lt;=3,"Obesidade","Obesidade grave")))))))</f>
        <v/>
      </c>
      <c r="M1448" s="12">
        <f>IF(OR($S1448="",$V1448="",$T1448="",$T1448&lt;0,$T1448&gt;228,$AG1448=""),"—",ROUND(IF($AG1448=0,LN($V1448/$AH1448)/$AI1448,((($V1448/$AH1448)^$AG1448)-1)/($AG1448*$AI1448)),2))</f>
        <v/>
      </c>
      <c r="N1448">
        <f>IF(OR($M1448="",$M1448="—"),"",IF($M1448&lt;-3,"Muito baixa",IF($M1448&lt;-2,"Baixa","Adequada")))</f>
        <v/>
      </c>
      <c r="O1448" s="12">
        <f>IF(OR($S1448="",$F1448="",$T1448="",$T1448&lt;0,$T1448&gt;120,$AJ1448=""),"—",ROUND(IF(ABS($AM1448)&lt;=3,$AM1448,IF($AM1448&gt;3,3+($F1448-$AO1448)/($AO1448-$AN1448),-3+($F1448-$AQ1448)/($AP1448-$AQ1448))),2))</f>
        <v/>
      </c>
      <c r="P1448">
        <f>IF(OR($O1448="",$O1448="—"),"",IF($O1448&lt;-3,"Muito baixo",IF($O1448&lt;-2,"Baixo",IF($O1448&lt;=2,"Adequado","Elevado"))))</f>
        <v/>
      </c>
      <c r="Q1448" s="12">
        <f>IF(OR($S1448="",$F1448="",$T1448="",$T1448&lt;0,$T1448&gt;60,$AR1448=""),"—",ROUND(IF(ABS($AU1448)&lt;=3,$AU1448,IF($AU1448&gt;3,3+($F1448-$AW1448)/($AW1448-$AV1448),-3+($F1448-$AY1448)/($AX1448-$AY1448))),2))</f>
        <v/>
      </c>
      <c r="R1448">
        <f>IF(OR($Q1448="",$Q1448="—"),"",IF($Q1448&lt;-3,"Magreza acentuada",IF($Q1448&lt;-2,"Magreza",IF($Q1448&lt;=1,"Eutrofia",IF($Q1448&lt;=2,"Risco de sobrepeso",IF($Q1448&lt;=3,"Sobrepeso","Obesidade"))))))</f>
        <v/>
      </c>
      <c r="S1448">
        <f>IF($C1448="","",IF(UPPER(LEFT($C1448,1))="M",1,IF(UPPER(LEFT($C1448,1))="F",2,"")))</f>
        <v/>
      </c>
      <c r="T1448">
        <f>IF(OR($D1448="",$E1448=""),"",DATEDIF($D1448,$E1448,"m"))</f>
        <v/>
      </c>
      <c r="U1448">
        <f>IF(OR($D1448="",$E1448=""),"",$E1448-$D1448)</f>
        <v/>
      </c>
      <c r="V1448">
        <f>IF(OR($G1448="",$T1448=""),"",IF($T1448&lt;24,IF(LEFT(LOWER($H1448),4)="em p",$G1448+0.7,$G1448),IF(LEFT(LOWER($H1448),4)="deit",$G1448-0.7,$G1448)))</f>
        <v/>
      </c>
      <c r="W1448">
        <f>IF(OR($S1448="",$T1448=""),"",$S1448*1000000+IF($T1448&lt;=60,$U1448,$T1448))</f>
        <v/>
      </c>
      <c r="X1448">
        <f>IF(OR($S1448="",$V1448="",$T1448&gt;60,$T1448=""),"",$S1448*1000000+ROUND($V1448*10,0))</f>
        <v/>
      </c>
      <c r="Y1448">
        <f>IF($W1448="","",IFERROR(INDEX(IF($T1448&lt;=60,imc05_l,imc519_l),MATCH($W1448,IF($T1448&lt;=60,imc05_k,imc519_k),1)),""))</f>
        <v/>
      </c>
      <c r="Z1448">
        <f>IF($W1448="","",IFERROR(INDEX(IF($T1448&lt;=60,imc05_m,imc519_m),MATCH($W1448,IF($T1448&lt;=60,imc05_k,imc519_k),1)),""))</f>
        <v/>
      </c>
      <c r="AA1448">
        <f>IF($W1448="","",IFERROR(INDEX(IF($T1448&lt;=60,imc05_s,imc519_s),MATCH($W1448,IF($T1448&lt;=60,imc05_k,imc519_k),1)),""))</f>
        <v/>
      </c>
      <c r="AB1448">
        <f>IF($Y1448="","",IF($Y1448=0,LN($J1448/$Z1448)/$AA1448,((($J1448/$Z1448)^$Y1448)-1)/($Y1448*$AA1448)))</f>
        <v/>
      </c>
      <c r="AC1448">
        <f>IF($Y1448="","",IF($Y1448=0,$Z1448*EXP($AA1448*2),$Z1448*(1+$Y1448*$AA1448*2)^(1/$Y1448)))</f>
        <v/>
      </c>
      <c r="AD1448">
        <f>IF($Y1448="","",IF($Y1448=0,$Z1448*EXP($AA1448*3),$Z1448*(1+$Y1448*$AA1448*3)^(1/$Y1448)))</f>
        <v/>
      </c>
      <c r="AE1448">
        <f>IF($Y1448="","",IF($Y1448=0,$Z1448*EXP($AA1448*-2),$Z1448*(1+$Y1448*$AA1448*-2)^(1/$Y1448)))</f>
        <v/>
      </c>
      <c r="AF1448">
        <f>IF($Y1448="","",IF($Y1448=0,$Z1448*EXP($AA1448*-3),$Z1448*(1+$Y1448*$AA1448*-3)^(1/$Y1448)))</f>
        <v/>
      </c>
      <c r="AG1448">
        <f>IF($W1448="","",IFERROR(INDEX(IF($T1448&lt;=60,est05_l,est519_l),MATCH($W1448,IF($T1448&lt;=60,est05_k,est519_k),1)),""))</f>
        <v/>
      </c>
      <c r="AH1448">
        <f>IF($W1448="","",IFERROR(INDEX(IF($T1448&lt;=60,est05_m,est519_m),MATCH($W1448,IF($T1448&lt;=60,est05_k,est519_k),1)),""))</f>
        <v/>
      </c>
      <c r="AI1448">
        <f>IF($W1448="","",IFERROR(INDEX(IF($T1448&lt;=60,est05_s,est519_s),MATCH($W1448,IF($T1448&lt;=60,est05_k,est519_k),1)),""))</f>
        <v/>
      </c>
      <c r="AJ1448">
        <f>IF($W1448="","",IFERROR(INDEX(IF($T1448&lt;=60,peso05_l,peso510_l),MATCH($W1448,IF($T1448&lt;=60,peso05_k,peso510_k),1)),""))</f>
        <v/>
      </c>
      <c r="AK1448">
        <f>IF($W1448="","",IFERROR(INDEX(IF($T1448&lt;=60,peso05_m,peso510_m),MATCH($W1448,IF($T1448&lt;=60,peso05_k,peso510_k),1)),""))</f>
        <v/>
      </c>
      <c r="AL1448">
        <f>IF($W1448="","",IFERROR(INDEX(IF($T1448&lt;=60,peso05_s,peso510_s),MATCH($W1448,IF($T1448&lt;=60,peso05_k,peso510_k),1)),""))</f>
        <v/>
      </c>
      <c r="AM1448">
        <f>IF($AJ1448="","",IF($AJ1448=0,LN($F1448/$AK1448)/$AL1448,((($F1448/$AK1448)^$AJ1448)-1)/($AJ1448*$AL1448)))</f>
        <v/>
      </c>
      <c r="AN1448">
        <f>IF($AJ1448="","",IF($AJ1448=0,$AK1448*EXP($AL1448*2),$AK1448*(1+$AJ1448*$AL1448*2)^(1/$AJ1448)))</f>
        <v/>
      </c>
      <c r="AO1448">
        <f>IF($AJ1448="","",IF($AJ1448=0,$AK1448*EXP($AL1448*3),$AK1448*(1+$AJ1448*$AL1448*3)^(1/$AJ1448)))</f>
        <v/>
      </c>
      <c r="AP1448">
        <f>IF($AJ1448="","",IF($AJ1448=0,$AK1448*EXP($AL1448*-2),$AK1448*(1+$AJ1448*$AL1448*-2)^(1/$AJ1448)))</f>
        <v/>
      </c>
      <c r="AQ1448">
        <f>IF($AJ1448="","",IF($AJ1448=0,$AK1448*EXP($AL1448*-3),$AK1448*(1+$AJ1448*$AL1448*-3)^(1/$AJ1448)))</f>
        <v/>
      </c>
      <c r="AR1448">
        <f>IF(OR($X1448="",$T1448&gt;60),"",IFERROR(INDEX(IF($T1448&lt;24,pcomp_l,palt_l),MATCH($X1448,IF($T1448&lt;24,pcomp_k,palt_k),1)),""))</f>
        <v/>
      </c>
      <c r="AS1448">
        <f>IF(OR($X1448="",$T1448&gt;60),"",IFERROR(INDEX(IF($T1448&lt;24,pcomp_m,palt_m),MATCH($X1448,IF($T1448&lt;24,pcomp_k,palt_k),1)),""))</f>
        <v/>
      </c>
      <c r="AT1448">
        <f>IF(OR($X1448="",$T1448&gt;60),"",IFERROR(INDEX(IF($T1448&lt;24,pcomp_s,palt_s),MATCH($X1448,IF($T1448&lt;24,pcomp_k,palt_k),1)),""))</f>
        <v/>
      </c>
      <c r="AU1448">
        <f>IF($AR1448="","",IF($AR1448=0,LN($F1448/$AS1448)/$AT1448,((($F1448/$AS1448)^$AR1448)-1)/($AR1448*$AT1448)))</f>
        <v/>
      </c>
      <c r="AV1448">
        <f>IF($AR1448="","",IF($AR1448=0,$AS1448*EXP($AT1448*2),$AS1448*(1+$AR1448*$AT1448*2)^(1/$AR1448)))</f>
        <v/>
      </c>
      <c r="AW1448">
        <f>IF($AR1448="","",IF($AR1448=0,$AS1448*EXP($AT1448*3),$AS1448*(1+$AR1448*$AT1448*3)^(1/$AR1448)))</f>
        <v/>
      </c>
      <c r="AX1448">
        <f>IF($AR1448="","",IF($AR1448=0,$AS1448*EXP($AT1448*-2),$AS1448*(1+$AR1448*$AT1448*-2)^(1/$AR1448)))</f>
        <v/>
      </c>
      <c r="AY1448">
        <f>IF($AR1448="","",IF($AR1448=0,$AS1448*EXP($AT1448*-3),$AS1448*(1+$AR1448*$AT1448*-3)^(1/$AR1448)))</f>
        <v/>
      </c>
      <c r="AZ1448">
        <f>IF(OR($A1448="",$A1448&lt;&gt;Ficha!$C$4),"",COUNTIF($A$2:$A1448,Ficha!$C$4))</f>
        <v/>
      </c>
    </row>
    <row r="1449">
      <c r="A1449" s="8">
        <f>IF(INDEX(Banco!$A:$A,ROW())="","",INDEX(Banco!$A:$A,ROW()))</f>
        <v/>
      </c>
      <c r="B1449" s="8">
        <f>IF(INDEX(Banco!$B:$B,ROW())="","",INDEX(Banco!$B:$B,ROW()))</f>
        <v/>
      </c>
      <c r="C1449" s="8">
        <f>IF(INDEX(Banco!$C:$C,ROW())="","",INDEX(Banco!$C:$C,ROW()))</f>
        <v/>
      </c>
      <c r="D1449" s="9">
        <f>IF(INDEX(Banco!$D:$D,ROW())="","",INDEX(Banco!$D:$D,ROW()))</f>
        <v/>
      </c>
      <c r="E1449" s="9">
        <f>IF(INDEX(Banco!$E:$E,ROW())="","",INDEX(Banco!$E:$E,ROW()))</f>
        <v/>
      </c>
      <c r="F1449" s="10">
        <f>IF(INDEX(Banco!$F:$F,ROW())="","",INDEX(Banco!$F:$F,ROW()))</f>
        <v/>
      </c>
      <c r="G1449" s="10">
        <f>IF(INDEX(Banco!$G:$G,ROW())="","",INDEX(Banco!$G:$G,ROW()))</f>
        <v/>
      </c>
      <c r="H1449" s="8">
        <f>IF(INDEX(Banco!$H:$H,ROW())="","",INDEX(Banco!$H:$H,ROW()))</f>
        <v/>
      </c>
      <c r="I1449">
        <f>IF($T1449="","",INT($T1449/12)&amp;"a "&amp;MOD($T1449,12)&amp;"m")</f>
        <v/>
      </c>
      <c r="J1449" s="11">
        <f>IF(OR($F1449="",$G1449=""),"",ROUND($F1449/($G1449/100)^2,2))</f>
        <v/>
      </c>
      <c r="K1449" s="12">
        <f>IF(OR($S1449="",$J1449="",$T1449="",$T1449&lt;0,$T1449&gt;228,$Y1449=""),"—",ROUND(IF(ABS($AB1449)&lt;=3,$AB1449,IF($AB1449&gt;3,3+($J1449-$AD1449)/($AD1449-$AC1449),-3+($J1449-$AF1449)/($AE1449-$AF1449))),2))</f>
        <v/>
      </c>
      <c r="L1449">
        <f>IF(OR($K1449="",$K1449="—"),"",IF($T1449&lt;=60,IF($K1449&lt;-3,"Magreza acentuada",IF($K1449&lt;-2,"Magreza",IF($K1449&lt;=1,"Eutrofia",IF($K1449&lt;=2,"Risco de sobrepeso",IF($K1449&lt;=3,"Sobrepeso","Obesidade"))))),IF($K1449&lt;-3,"Magreza acentuada",IF($K1449&lt;-2,"Magreza",IF($K1449&lt;=1,"Eutrofia",IF($K1449&lt;=2,"Sobrepeso",IF($K1449&lt;=3,"Obesidade","Obesidade grave")))))))</f>
        <v/>
      </c>
      <c r="M1449" s="12">
        <f>IF(OR($S1449="",$V1449="",$T1449="",$T1449&lt;0,$T1449&gt;228,$AG1449=""),"—",ROUND(IF($AG1449=0,LN($V1449/$AH1449)/$AI1449,((($V1449/$AH1449)^$AG1449)-1)/($AG1449*$AI1449)),2))</f>
        <v/>
      </c>
      <c r="N1449">
        <f>IF(OR($M1449="",$M1449="—"),"",IF($M1449&lt;-3,"Muito baixa",IF($M1449&lt;-2,"Baixa","Adequada")))</f>
        <v/>
      </c>
      <c r="O1449" s="12">
        <f>IF(OR($S1449="",$F1449="",$T1449="",$T1449&lt;0,$T1449&gt;120,$AJ1449=""),"—",ROUND(IF(ABS($AM1449)&lt;=3,$AM1449,IF($AM1449&gt;3,3+($F1449-$AO1449)/($AO1449-$AN1449),-3+($F1449-$AQ1449)/($AP1449-$AQ1449))),2))</f>
        <v/>
      </c>
      <c r="P1449">
        <f>IF(OR($O1449="",$O1449="—"),"",IF($O1449&lt;-3,"Muito baixo",IF($O1449&lt;-2,"Baixo",IF($O1449&lt;=2,"Adequado","Elevado"))))</f>
        <v/>
      </c>
      <c r="Q1449" s="12">
        <f>IF(OR($S1449="",$F1449="",$T1449="",$T1449&lt;0,$T1449&gt;60,$AR1449=""),"—",ROUND(IF(ABS($AU1449)&lt;=3,$AU1449,IF($AU1449&gt;3,3+($F1449-$AW1449)/($AW1449-$AV1449),-3+($F1449-$AY1449)/($AX1449-$AY1449))),2))</f>
        <v/>
      </c>
      <c r="R1449">
        <f>IF(OR($Q1449="",$Q1449="—"),"",IF($Q1449&lt;-3,"Magreza acentuada",IF($Q1449&lt;-2,"Magreza",IF($Q1449&lt;=1,"Eutrofia",IF($Q1449&lt;=2,"Risco de sobrepeso",IF($Q1449&lt;=3,"Sobrepeso","Obesidade"))))))</f>
        <v/>
      </c>
      <c r="S1449">
        <f>IF($C1449="","",IF(UPPER(LEFT($C1449,1))="M",1,IF(UPPER(LEFT($C1449,1))="F",2,"")))</f>
        <v/>
      </c>
      <c r="T1449">
        <f>IF(OR($D1449="",$E1449=""),"",DATEDIF($D1449,$E1449,"m"))</f>
        <v/>
      </c>
      <c r="U1449">
        <f>IF(OR($D1449="",$E1449=""),"",$E1449-$D1449)</f>
        <v/>
      </c>
      <c r="V1449">
        <f>IF(OR($G1449="",$T1449=""),"",IF($T1449&lt;24,IF(LEFT(LOWER($H1449),4)="em p",$G1449+0.7,$G1449),IF(LEFT(LOWER($H1449),4)="deit",$G1449-0.7,$G1449)))</f>
        <v/>
      </c>
      <c r="W1449">
        <f>IF(OR($S1449="",$T1449=""),"",$S1449*1000000+IF($T1449&lt;=60,$U1449,$T1449))</f>
        <v/>
      </c>
      <c r="X1449">
        <f>IF(OR($S1449="",$V1449="",$T1449&gt;60,$T1449=""),"",$S1449*1000000+ROUND($V1449*10,0))</f>
        <v/>
      </c>
      <c r="Y1449">
        <f>IF($W1449="","",IFERROR(INDEX(IF($T1449&lt;=60,imc05_l,imc519_l),MATCH($W1449,IF($T1449&lt;=60,imc05_k,imc519_k),1)),""))</f>
        <v/>
      </c>
      <c r="Z1449">
        <f>IF($W1449="","",IFERROR(INDEX(IF($T1449&lt;=60,imc05_m,imc519_m),MATCH($W1449,IF($T1449&lt;=60,imc05_k,imc519_k),1)),""))</f>
        <v/>
      </c>
      <c r="AA1449">
        <f>IF($W1449="","",IFERROR(INDEX(IF($T1449&lt;=60,imc05_s,imc519_s),MATCH($W1449,IF($T1449&lt;=60,imc05_k,imc519_k),1)),""))</f>
        <v/>
      </c>
      <c r="AB1449">
        <f>IF($Y1449="","",IF($Y1449=0,LN($J1449/$Z1449)/$AA1449,((($J1449/$Z1449)^$Y1449)-1)/($Y1449*$AA1449)))</f>
        <v/>
      </c>
      <c r="AC1449">
        <f>IF($Y1449="","",IF($Y1449=0,$Z1449*EXP($AA1449*2),$Z1449*(1+$Y1449*$AA1449*2)^(1/$Y1449)))</f>
        <v/>
      </c>
      <c r="AD1449">
        <f>IF($Y1449="","",IF($Y1449=0,$Z1449*EXP($AA1449*3),$Z1449*(1+$Y1449*$AA1449*3)^(1/$Y1449)))</f>
        <v/>
      </c>
      <c r="AE1449">
        <f>IF($Y1449="","",IF($Y1449=0,$Z1449*EXP($AA1449*-2),$Z1449*(1+$Y1449*$AA1449*-2)^(1/$Y1449)))</f>
        <v/>
      </c>
      <c r="AF1449">
        <f>IF($Y1449="","",IF($Y1449=0,$Z1449*EXP($AA1449*-3),$Z1449*(1+$Y1449*$AA1449*-3)^(1/$Y1449)))</f>
        <v/>
      </c>
      <c r="AG1449">
        <f>IF($W1449="","",IFERROR(INDEX(IF($T1449&lt;=60,est05_l,est519_l),MATCH($W1449,IF($T1449&lt;=60,est05_k,est519_k),1)),""))</f>
        <v/>
      </c>
      <c r="AH1449">
        <f>IF($W1449="","",IFERROR(INDEX(IF($T1449&lt;=60,est05_m,est519_m),MATCH($W1449,IF($T1449&lt;=60,est05_k,est519_k),1)),""))</f>
        <v/>
      </c>
      <c r="AI1449">
        <f>IF($W1449="","",IFERROR(INDEX(IF($T1449&lt;=60,est05_s,est519_s),MATCH($W1449,IF($T1449&lt;=60,est05_k,est519_k),1)),""))</f>
        <v/>
      </c>
      <c r="AJ1449">
        <f>IF($W1449="","",IFERROR(INDEX(IF($T1449&lt;=60,peso05_l,peso510_l),MATCH($W1449,IF($T1449&lt;=60,peso05_k,peso510_k),1)),""))</f>
        <v/>
      </c>
      <c r="AK1449">
        <f>IF($W1449="","",IFERROR(INDEX(IF($T1449&lt;=60,peso05_m,peso510_m),MATCH($W1449,IF($T1449&lt;=60,peso05_k,peso510_k),1)),""))</f>
        <v/>
      </c>
      <c r="AL1449">
        <f>IF($W1449="","",IFERROR(INDEX(IF($T1449&lt;=60,peso05_s,peso510_s),MATCH($W1449,IF($T1449&lt;=60,peso05_k,peso510_k),1)),""))</f>
        <v/>
      </c>
      <c r="AM1449">
        <f>IF($AJ1449="","",IF($AJ1449=0,LN($F1449/$AK1449)/$AL1449,((($F1449/$AK1449)^$AJ1449)-1)/($AJ1449*$AL1449)))</f>
        <v/>
      </c>
      <c r="AN1449">
        <f>IF($AJ1449="","",IF($AJ1449=0,$AK1449*EXP($AL1449*2),$AK1449*(1+$AJ1449*$AL1449*2)^(1/$AJ1449)))</f>
        <v/>
      </c>
      <c r="AO1449">
        <f>IF($AJ1449="","",IF($AJ1449=0,$AK1449*EXP($AL1449*3),$AK1449*(1+$AJ1449*$AL1449*3)^(1/$AJ1449)))</f>
        <v/>
      </c>
      <c r="AP1449">
        <f>IF($AJ1449="","",IF($AJ1449=0,$AK1449*EXP($AL1449*-2),$AK1449*(1+$AJ1449*$AL1449*-2)^(1/$AJ1449)))</f>
        <v/>
      </c>
      <c r="AQ1449">
        <f>IF($AJ1449="","",IF($AJ1449=0,$AK1449*EXP($AL1449*-3),$AK1449*(1+$AJ1449*$AL1449*-3)^(1/$AJ1449)))</f>
        <v/>
      </c>
      <c r="AR1449">
        <f>IF(OR($X1449="",$T1449&gt;60),"",IFERROR(INDEX(IF($T1449&lt;24,pcomp_l,palt_l),MATCH($X1449,IF($T1449&lt;24,pcomp_k,palt_k),1)),""))</f>
        <v/>
      </c>
      <c r="AS1449">
        <f>IF(OR($X1449="",$T1449&gt;60),"",IFERROR(INDEX(IF($T1449&lt;24,pcomp_m,palt_m),MATCH($X1449,IF($T1449&lt;24,pcomp_k,palt_k),1)),""))</f>
        <v/>
      </c>
      <c r="AT1449">
        <f>IF(OR($X1449="",$T1449&gt;60),"",IFERROR(INDEX(IF($T1449&lt;24,pcomp_s,palt_s),MATCH($X1449,IF($T1449&lt;24,pcomp_k,palt_k),1)),""))</f>
        <v/>
      </c>
      <c r="AU1449">
        <f>IF($AR1449="","",IF($AR1449=0,LN($F1449/$AS1449)/$AT1449,((($F1449/$AS1449)^$AR1449)-1)/($AR1449*$AT1449)))</f>
        <v/>
      </c>
      <c r="AV1449">
        <f>IF($AR1449="","",IF($AR1449=0,$AS1449*EXP($AT1449*2),$AS1449*(1+$AR1449*$AT1449*2)^(1/$AR1449)))</f>
        <v/>
      </c>
      <c r="AW1449">
        <f>IF($AR1449="","",IF($AR1449=0,$AS1449*EXP($AT1449*3),$AS1449*(1+$AR1449*$AT1449*3)^(1/$AR1449)))</f>
        <v/>
      </c>
      <c r="AX1449">
        <f>IF($AR1449="","",IF($AR1449=0,$AS1449*EXP($AT1449*-2),$AS1449*(1+$AR1449*$AT1449*-2)^(1/$AR1449)))</f>
        <v/>
      </c>
      <c r="AY1449">
        <f>IF($AR1449="","",IF($AR1449=0,$AS1449*EXP($AT1449*-3),$AS1449*(1+$AR1449*$AT1449*-3)^(1/$AR1449)))</f>
        <v/>
      </c>
      <c r="AZ1449">
        <f>IF(OR($A1449="",$A1449&lt;&gt;Ficha!$C$4),"",COUNTIF($A$2:$A1449,Ficha!$C$4))</f>
        <v/>
      </c>
    </row>
    <row r="1450">
      <c r="A1450" s="8">
        <f>IF(INDEX(Banco!$A:$A,ROW())="","",INDEX(Banco!$A:$A,ROW()))</f>
        <v/>
      </c>
      <c r="B1450" s="8">
        <f>IF(INDEX(Banco!$B:$B,ROW())="","",INDEX(Banco!$B:$B,ROW()))</f>
        <v/>
      </c>
      <c r="C1450" s="8">
        <f>IF(INDEX(Banco!$C:$C,ROW())="","",INDEX(Banco!$C:$C,ROW()))</f>
        <v/>
      </c>
      <c r="D1450" s="9">
        <f>IF(INDEX(Banco!$D:$D,ROW())="","",INDEX(Banco!$D:$D,ROW()))</f>
        <v/>
      </c>
      <c r="E1450" s="9">
        <f>IF(INDEX(Banco!$E:$E,ROW())="","",INDEX(Banco!$E:$E,ROW()))</f>
        <v/>
      </c>
      <c r="F1450" s="10">
        <f>IF(INDEX(Banco!$F:$F,ROW())="","",INDEX(Banco!$F:$F,ROW()))</f>
        <v/>
      </c>
      <c r="G1450" s="10">
        <f>IF(INDEX(Banco!$G:$G,ROW())="","",INDEX(Banco!$G:$G,ROW()))</f>
        <v/>
      </c>
      <c r="H1450" s="8">
        <f>IF(INDEX(Banco!$H:$H,ROW())="","",INDEX(Banco!$H:$H,ROW()))</f>
        <v/>
      </c>
      <c r="I1450">
        <f>IF($T1450="","",INT($T1450/12)&amp;"a "&amp;MOD($T1450,12)&amp;"m")</f>
        <v/>
      </c>
      <c r="J1450" s="11">
        <f>IF(OR($F1450="",$G1450=""),"",ROUND($F1450/($G1450/100)^2,2))</f>
        <v/>
      </c>
      <c r="K1450" s="12">
        <f>IF(OR($S1450="",$J1450="",$T1450="",$T1450&lt;0,$T1450&gt;228,$Y1450=""),"—",ROUND(IF(ABS($AB1450)&lt;=3,$AB1450,IF($AB1450&gt;3,3+($J1450-$AD1450)/($AD1450-$AC1450),-3+($J1450-$AF1450)/($AE1450-$AF1450))),2))</f>
        <v/>
      </c>
      <c r="L1450">
        <f>IF(OR($K1450="",$K1450="—"),"",IF($T1450&lt;=60,IF($K1450&lt;-3,"Magreza acentuada",IF($K1450&lt;-2,"Magreza",IF($K1450&lt;=1,"Eutrofia",IF($K1450&lt;=2,"Risco de sobrepeso",IF($K1450&lt;=3,"Sobrepeso","Obesidade"))))),IF($K1450&lt;-3,"Magreza acentuada",IF($K1450&lt;-2,"Magreza",IF($K1450&lt;=1,"Eutrofia",IF($K1450&lt;=2,"Sobrepeso",IF($K1450&lt;=3,"Obesidade","Obesidade grave")))))))</f>
        <v/>
      </c>
      <c r="M1450" s="12">
        <f>IF(OR($S1450="",$V1450="",$T1450="",$T1450&lt;0,$T1450&gt;228,$AG1450=""),"—",ROUND(IF($AG1450=0,LN($V1450/$AH1450)/$AI1450,((($V1450/$AH1450)^$AG1450)-1)/($AG1450*$AI1450)),2))</f>
        <v/>
      </c>
      <c r="N1450">
        <f>IF(OR($M1450="",$M1450="—"),"",IF($M1450&lt;-3,"Muito baixa",IF($M1450&lt;-2,"Baixa","Adequada")))</f>
        <v/>
      </c>
      <c r="O1450" s="12">
        <f>IF(OR($S1450="",$F1450="",$T1450="",$T1450&lt;0,$T1450&gt;120,$AJ1450=""),"—",ROUND(IF(ABS($AM1450)&lt;=3,$AM1450,IF($AM1450&gt;3,3+($F1450-$AO1450)/($AO1450-$AN1450),-3+($F1450-$AQ1450)/($AP1450-$AQ1450))),2))</f>
        <v/>
      </c>
      <c r="P1450">
        <f>IF(OR($O1450="",$O1450="—"),"",IF($O1450&lt;-3,"Muito baixo",IF($O1450&lt;-2,"Baixo",IF($O1450&lt;=2,"Adequado","Elevado"))))</f>
        <v/>
      </c>
      <c r="Q1450" s="12">
        <f>IF(OR($S1450="",$F1450="",$T1450="",$T1450&lt;0,$T1450&gt;60,$AR1450=""),"—",ROUND(IF(ABS($AU1450)&lt;=3,$AU1450,IF($AU1450&gt;3,3+($F1450-$AW1450)/($AW1450-$AV1450),-3+($F1450-$AY1450)/($AX1450-$AY1450))),2))</f>
        <v/>
      </c>
      <c r="R1450">
        <f>IF(OR($Q1450="",$Q1450="—"),"",IF($Q1450&lt;-3,"Magreza acentuada",IF($Q1450&lt;-2,"Magreza",IF($Q1450&lt;=1,"Eutrofia",IF($Q1450&lt;=2,"Risco de sobrepeso",IF($Q1450&lt;=3,"Sobrepeso","Obesidade"))))))</f>
        <v/>
      </c>
      <c r="S1450">
        <f>IF($C1450="","",IF(UPPER(LEFT($C1450,1))="M",1,IF(UPPER(LEFT($C1450,1))="F",2,"")))</f>
        <v/>
      </c>
      <c r="T1450">
        <f>IF(OR($D1450="",$E1450=""),"",DATEDIF($D1450,$E1450,"m"))</f>
        <v/>
      </c>
      <c r="U1450">
        <f>IF(OR($D1450="",$E1450=""),"",$E1450-$D1450)</f>
        <v/>
      </c>
      <c r="V1450">
        <f>IF(OR($G1450="",$T1450=""),"",IF($T1450&lt;24,IF(LEFT(LOWER($H1450),4)="em p",$G1450+0.7,$G1450),IF(LEFT(LOWER($H1450),4)="deit",$G1450-0.7,$G1450)))</f>
        <v/>
      </c>
      <c r="W1450">
        <f>IF(OR($S1450="",$T1450=""),"",$S1450*1000000+IF($T1450&lt;=60,$U1450,$T1450))</f>
        <v/>
      </c>
      <c r="X1450">
        <f>IF(OR($S1450="",$V1450="",$T1450&gt;60,$T1450=""),"",$S1450*1000000+ROUND($V1450*10,0))</f>
        <v/>
      </c>
      <c r="Y1450">
        <f>IF($W1450="","",IFERROR(INDEX(IF($T1450&lt;=60,imc05_l,imc519_l),MATCH($W1450,IF($T1450&lt;=60,imc05_k,imc519_k),1)),""))</f>
        <v/>
      </c>
      <c r="Z1450">
        <f>IF($W1450="","",IFERROR(INDEX(IF($T1450&lt;=60,imc05_m,imc519_m),MATCH($W1450,IF($T1450&lt;=60,imc05_k,imc519_k),1)),""))</f>
        <v/>
      </c>
      <c r="AA1450">
        <f>IF($W1450="","",IFERROR(INDEX(IF($T1450&lt;=60,imc05_s,imc519_s),MATCH($W1450,IF($T1450&lt;=60,imc05_k,imc519_k),1)),""))</f>
        <v/>
      </c>
      <c r="AB1450">
        <f>IF($Y1450="","",IF($Y1450=0,LN($J1450/$Z1450)/$AA1450,((($J1450/$Z1450)^$Y1450)-1)/($Y1450*$AA1450)))</f>
        <v/>
      </c>
      <c r="AC1450">
        <f>IF($Y1450="","",IF($Y1450=0,$Z1450*EXP($AA1450*2),$Z1450*(1+$Y1450*$AA1450*2)^(1/$Y1450)))</f>
        <v/>
      </c>
      <c r="AD1450">
        <f>IF($Y1450="","",IF($Y1450=0,$Z1450*EXP($AA1450*3),$Z1450*(1+$Y1450*$AA1450*3)^(1/$Y1450)))</f>
        <v/>
      </c>
      <c r="AE1450">
        <f>IF($Y1450="","",IF($Y1450=0,$Z1450*EXP($AA1450*-2),$Z1450*(1+$Y1450*$AA1450*-2)^(1/$Y1450)))</f>
        <v/>
      </c>
      <c r="AF1450">
        <f>IF($Y1450="","",IF($Y1450=0,$Z1450*EXP($AA1450*-3),$Z1450*(1+$Y1450*$AA1450*-3)^(1/$Y1450)))</f>
        <v/>
      </c>
      <c r="AG1450">
        <f>IF($W1450="","",IFERROR(INDEX(IF($T1450&lt;=60,est05_l,est519_l),MATCH($W1450,IF($T1450&lt;=60,est05_k,est519_k),1)),""))</f>
        <v/>
      </c>
      <c r="AH1450">
        <f>IF($W1450="","",IFERROR(INDEX(IF($T1450&lt;=60,est05_m,est519_m),MATCH($W1450,IF($T1450&lt;=60,est05_k,est519_k),1)),""))</f>
        <v/>
      </c>
      <c r="AI1450">
        <f>IF($W1450="","",IFERROR(INDEX(IF($T1450&lt;=60,est05_s,est519_s),MATCH($W1450,IF($T1450&lt;=60,est05_k,est519_k),1)),""))</f>
        <v/>
      </c>
      <c r="AJ1450">
        <f>IF($W1450="","",IFERROR(INDEX(IF($T1450&lt;=60,peso05_l,peso510_l),MATCH($W1450,IF($T1450&lt;=60,peso05_k,peso510_k),1)),""))</f>
        <v/>
      </c>
      <c r="AK1450">
        <f>IF($W1450="","",IFERROR(INDEX(IF($T1450&lt;=60,peso05_m,peso510_m),MATCH($W1450,IF($T1450&lt;=60,peso05_k,peso510_k),1)),""))</f>
        <v/>
      </c>
      <c r="AL1450">
        <f>IF($W1450="","",IFERROR(INDEX(IF($T1450&lt;=60,peso05_s,peso510_s),MATCH($W1450,IF($T1450&lt;=60,peso05_k,peso510_k),1)),""))</f>
        <v/>
      </c>
      <c r="AM1450">
        <f>IF($AJ1450="","",IF($AJ1450=0,LN($F1450/$AK1450)/$AL1450,((($F1450/$AK1450)^$AJ1450)-1)/($AJ1450*$AL1450)))</f>
        <v/>
      </c>
      <c r="AN1450">
        <f>IF($AJ1450="","",IF($AJ1450=0,$AK1450*EXP($AL1450*2),$AK1450*(1+$AJ1450*$AL1450*2)^(1/$AJ1450)))</f>
        <v/>
      </c>
      <c r="AO1450">
        <f>IF($AJ1450="","",IF($AJ1450=0,$AK1450*EXP($AL1450*3),$AK1450*(1+$AJ1450*$AL1450*3)^(1/$AJ1450)))</f>
        <v/>
      </c>
      <c r="AP1450">
        <f>IF($AJ1450="","",IF($AJ1450=0,$AK1450*EXP($AL1450*-2),$AK1450*(1+$AJ1450*$AL1450*-2)^(1/$AJ1450)))</f>
        <v/>
      </c>
      <c r="AQ1450">
        <f>IF($AJ1450="","",IF($AJ1450=0,$AK1450*EXP($AL1450*-3),$AK1450*(1+$AJ1450*$AL1450*-3)^(1/$AJ1450)))</f>
        <v/>
      </c>
      <c r="AR1450">
        <f>IF(OR($X1450="",$T1450&gt;60),"",IFERROR(INDEX(IF($T1450&lt;24,pcomp_l,palt_l),MATCH($X1450,IF($T1450&lt;24,pcomp_k,palt_k),1)),""))</f>
        <v/>
      </c>
      <c r="AS1450">
        <f>IF(OR($X1450="",$T1450&gt;60),"",IFERROR(INDEX(IF($T1450&lt;24,pcomp_m,palt_m),MATCH($X1450,IF($T1450&lt;24,pcomp_k,palt_k),1)),""))</f>
        <v/>
      </c>
      <c r="AT1450">
        <f>IF(OR($X1450="",$T1450&gt;60),"",IFERROR(INDEX(IF($T1450&lt;24,pcomp_s,palt_s),MATCH($X1450,IF($T1450&lt;24,pcomp_k,palt_k),1)),""))</f>
        <v/>
      </c>
      <c r="AU1450">
        <f>IF($AR1450="","",IF($AR1450=0,LN($F1450/$AS1450)/$AT1450,((($F1450/$AS1450)^$AR1450)-1)/($AR1450*$AT1450)))</f>
        <v/>
      </c>
      <c r="AV1450">
        <f>IF($AR1450="","",IF($AR1450=0,$AS1450*EXP($AT1450*2),$AS1450*(1+$AR1450*$AT1450*2)^(1/$AR1450)))</f>
        <v/>
      </c>
      <c r="AW1450">
        <f>IF($AR1450="","",IF($AR1450=0,$AS1450*EXP($AT1450*3),$AS1450*(1+$AR1450*$AT1450*3)^(1/$AR1450)))</f>
        <v/>
      </c>
      <c r="AX1450">
        <f>IF($AR1450="","",IF($AR1450=0,$AS1450*EXP($AT1450*-2),$AS1450*(1+$AR1450*$AT1450*-2)^(1/$AR1450)))</f>
        <v/>
      </c>
      <c r="AY1450">
        <f>IF($AR1450="","",IF($AR1450=0,$AS1450*EXP($AT1450*-3),$AS1450*(1+$AR1450*$AT1450*-3)^(1/$AR1450)))</f>
        <v/>
      </c>
      <c r="AZ1450">
        <f>IF(OR($A1450="",$A1450&lt;&gt;Ficha!$C$4),"",COUNTIF($A$2:$A1450,Ficha!$C$4))</f>
        <v/>
      </c>
    </row>
    <row r="1451">
      <c r="A1451" s="8">
        <f>IF(INDEX(Banco!$A:$A,ROW())="","",INDEX(Banco!$A:$A,ROW()))</f>
        <v/>
      </c>
      <c r="B1451" s="8">
        <f>IF(INDEX(Banco!$B:$B,ROW())="","",INDEX(Banco!$B:$B,ROW()))</f>
        <v/>
      </c>
      <c r="C1451" s="8">
        <f>IF(INDEX(Banco!$C:$C,ROW())="","",INDEX(Banco!$C:$C,ROW()))</f>
        <v/>
      </c>
      <c r="D1451" s="9">
        <f>IF(INDEX(Banco!$D:$D,ROW())="","",INDEX(Banco!$D:$D,ROW()))</f>
        <v/>
      </c>
      <c r="E1451" s="9">
        <f>IF(INDEX(Banco!$E:$E,ROW())="","",INDEX(Banco!$E:$E,ROW()))</f>
        <v/>
      </c>
      <c r="F1451" s="10">
        <f>IF(INDEX(Banco!$F:$F,ROW())="","",INDEX(Banco!$F:$F,ROW()))</f>
        <v/>
      </c>
      <c r="G1451" s="10">
        <f>IF(INDEX(Banco!$G:$G,ROW())="","",INDEX(Banco!$G:$G,ROW()))</f>
        <v/>
      </c>
      <c r="H1451" s="8">
        <f>IF(INDEX(Banco!$H:$H,ROW())="","",INDEX(Banco!$H:$H,ROW()))</f>
        <v/>
      </c>
      <c r="I1451">
        <f>IF($T1451="","",INT($T1451/12)&amp;"a "&amp;MOD($T1451,12)&amp;"m")</f>
        <v/>
      </c>
      <c r="J1451" s="11">
        <f>IF(OR($F1451="",$G1451=""),"",ROUND($F1451/($G1451/100)^2,2))</f>
        <v/>
      </c>
      <c r="K1451" s="12">
        <f>IF(OR($S1451="",$J1451="",$T1451="",$T1451&lt;0,$T1451&gt;228,$Y1451=""),"—",ROUND(IF(ABS($AB1451)&lt;=3,$AB1451,IF($AB1451&gt;3,3+($J1451-$AD1451)/($AD1451-$AC1451),-3+($J1451-$AF1451)/($AE1451-$AF1451))),2))</f>
        <v/>
      </c>
      <c r="L1451">
        <f>IF(OR($K1451="",$K1451="—"),"",IF($T1451&lt;=60,IF($K1451&lt;-3,"Magreza acentuada",IF($K1451&lt;-2,"Magreza",IF($K1451&lt;=1,"Eutrofia",IF($K1451&lt;=2,"Risco de sobrepeso",IF($K1451&lt;=3,"Sobrepeso","Obesidade"))))),IF($K1451&lt;-3,"Magreza acentuada",IF($K1451&lt;-2,"Magreza",IF($K1451&lt;=1,"Eutrofia",IF($K1451&lt;=2,"Sobrepeso",IF($K1451&lt;=3,"Obesidade","Obesidade grave")))))))</f>
        <v/>
      </c>
      <c r="M1451" s="12">
        <f>IF(OR($S1451="",$V1451="",$T1451="",$T1451&lt;0,$T1451&gt;228,$AG1451=""),"—",ROUND(IF($AG1451=0,LN($V1451/$AH1451)/$AI1451,((($V1451/$AH1451)^$AG1451)-1)/($AG1451*$AI1451)),2))</f>
        <v/>
      </c>
      <c r="N1451">
        <f>IF(OR($M1451="",$M1451="—"),"",IF($M1451&lt;-3,"Muito baixa",IF($M1451&lt;-2,"Baixa","Adequada")))</f>
        <v/>
      </c>
      <c r="O1451" s="12">
        <f>IF(OR($S1451="",$F1451="",$T1451="",$T1451&lt;0,$T1451&gt;120,$AJ1451=""),"—",ROUND(IF(ABS($AM1451)&lt;=3,$AM1451,IF($AM1451&gt;3,3+($F1451-$AO1451)/($AO1451-$AN1451),-3+($F1451-$AQ1451)/($AP1451-$AQ1451))),2))</f>
        <v/>
      </c>
      <c r="P1451">
        <f>IF(OR($O1451="",$O1451="—"),"",IF($O1451&lt;-3,"Muito baixo",IF($O1451&lt;-2,"Baixo",IF($O1451&lt;=2,"Adequado","Elevado"))))</f>
        <v/>
      </c>
      <c r="Q1451" s="12">
        <f>IF(OR($S1451="",$F1451="",$T1451="",$T1451&lt;0,$T1451&gt;60,$AR1451=""),"—",ROUND(IF(ABS($AU1451)&lt;=3,$AU1451,IF($AU1451&gt;3,3+($F1451-$AW1451)/($AW1451-$AV1451),-3+($F1451-$AY1451)/($AX1451-$AY1451))),2))</f>
        <v/>
      </c>
      <c r="R1451">
        <f>IF(OR($Q1451="",$Q1451="—"),"",IF($Q1451&lt;-3,"Magreza acentuada",IF($Q1451&lt;-2,"Magreza",IF($Q1451&lt;=1,"Eutrofia",IF($Q1451&lt;=2,"Risco de sobrepeso",IF($Q1451&lt;=3,"Sobrepeso","Obesidade"))))))</f>
        <v/>
      </c>
      <c r="S1451">
        <f>IF($C1451="","",IF(UPPER(LEFT($C1451,1))="M",1,IF(UPPER(LEFT($C1451,1))="F",2,"")))</f>
        <v/>
      </c>
      <c r="T1451">
        <f>IF(OR($D1451="",$E1451=""),"",DATEDIF($D1451,$E1451,"m"))</f>
        <v/>
      </c>
      <c r="U1451">
        <f>IF(OR($D1451="",$E1451=""),"",$E1451-$D1451)</f>
        <v/>
      </c>
      <c r="V1451">
        <f>IF(OR($G1451="",$T1451=""),"",IF($T1451&lt;24,IF(LEFT(LOWER($H1451),4)="em p",$G1451+0.7,$G1451),IF(LEFT(LOWER($H1451),4)="deit",$G1451-0.7,$G1451)))</f>
        <v/>
      </c>
      <c r="W1451">
        <f>IF(OR($S1451="",$T1451=""),"",$S1451*1000000+IF($T1451&lt;=60,$U1451,$T1451))</f>
        <v/>
      </c>
      <c r="X1451">
        <f>IF(OR($S1451="",$V1451="",$T1451&gt;60,$T1451=""),"",$S1451*1000000+ROUND($V1451*10,0))</f>
        <v/>
      </c>
      <c r="Y1451">
        <f>IF($W1451="","",IFERROR(INDEX(IF($T1451&lt;=60,imc05_l,imc519_l),MATCH($W1451,IF($T1451&lt;=60,imc05_k,imc519_k),1)),""))</f>
        <v/>
      </c>
      <c r="Z1451">
        <f>IF($W1451="","",IFERROR(INDEX(IF($T1451&lt;=60,imc05_m,imc519_m),MATCH($W1451,IF($T1451&lt;=60,imc05_k,imc519_k),1)),""))</f>
        <v/>
      </c>
      <c r="AA1451">
        <f>IF($W1451="","",IFERROR(INDEX(IF($T1451&lt;=60,imc05_s,imc519_s),MATCH($W1451,IF($T1451&lt;=60,imc05_k,imc519_k),1)),""))</f>
        <v/>
      </c>
      <c r="AB1451">
        <f>IF($Y1451="","",IF($Y1451=0,LN($J1451/$Z1451)/$AA1451,((($J1451/$Z1451)^$Y1451)-1)/($Y1451*$AA1451)))</f>
        <v/>
      </c>
      <c r="AC1451">
        <f>IF($Y1451="","",IF($Y1451=0,$Z1451*EXP($AA1451*2),$Z1451*(1+$Y1451*$AA1451*2)^(1/$Y1451)))</f>
        <v/>
      </c>
      <c r="AD1451">
        <f>IF($Y1451="","",IF($Y1451=0,$Z1451*EXP($AA1451*3),$Z1451*(1+$Y1451*$AA1451*3)^(1/$Y1451)))</f>
        <v/>
      </c>
      <c r="AE1451">
        <f>IF($Y1451="","",IF($Y1451=0,$Z1451*EXP($AA1451*-2),$Z1451*(1+$Y1451*$AA1451*-2)^(1/$Y1451)))</f>
        <v/>
      </c>
      <c r="AF1451">
        <f>IF($Y1451="","",IF($Y1451=0,$Z1451*EXP($AA1451*-3),$Z1451*(1+$Y1451*$AA1451*-3)^(1/$Y1451)))</f>
        <v/>
      </c>
      <c r="AG1451">
        <f>IF($W1451="","",IFERROR(INDEX(IF($T1451&lt;=60,est05_l,est519_l),MATCH($W1451,IF($T1451&lt;=60,est05_k,est519_k),1)),""))</f>
        <v/>
      </c>
      <c r="AH1451">
        <f>IF($W1451="","",IFERROR(INDEX(IF($T1451&lt;=60,est05_m,est519_m),MATCH($W1451,IF($T1451&lt;=60,est05_k,est519_k),1)),""))</f>
        <v/>
      </c>
      <c r="AI1451">
        <f>IF($W1451="","",IFERROR(INDEX(IF($T1451&lt;=60,est05_s,est519_s),MATCH($W1451,IF($T1451&lt;=60,est05_k,est519_k),1)),""))</f>
        <v/>
      </c>
      <c r="AJ1451">
        <f>IF($W1451="","",IFERROR(INDEX(IF($T1451&lt;=60,peso05_l,peso510_l),MATCH($W1451,IF($T1451&lt;=60,peso05_k,peso510_k),1)),""))</f>
        <v/>
      </c>
      <c r="AK1451">
        <f>IF($W1451="","",IFERROR(INDEX(IF($T1451&lt;=60,peso05_m,peso510_m),MATCH($W1451,IF($T1451&lt;=60,peso05_k,peso510_k),1)),""))</f>
        <v/>
      </c>
      <c r="AL1451">
        <f>IF($W1451="","",IFERROR(INDEX(IF($T1451&lt;=60,peso05_s,peso510_s),MATCH($W1451,IF($T1451&lt;=60,peso05_k,peso510_k),1)),""))</f>
        <v/>
      </c>
      <c r="AM1451">
        <f>IF($AJ1451="","",IF($AJ1451=0,LN($F1451/$AK1451)/$AL1451,((($F1451/$AK1451)^$AJ1451)-1)/($AJ1451*$AL1451)))</f>
        <v/>
      </c>
      <c r="AN1451">
        <f>IF($AJ1451="","",IF($AJ1451=0,$AK1451*EXP($AL1451*2),$AK1451*(1+$AJ1451*$AL1451*2)^(1/$AJ1451)))</f>
        <v/>
      </c>
      <c r="AO1451">
        <f>IF($AJ1451="","",IF($AJ1451=0,$AK1451*EXP($AL1451*3),$AK1451*(1+$AJ1451*$AL1451*3)^(1/$AJ1451)))</f>
        <v/>
      </c>
      <c r="AP1451">
        <f>IF($AJ1451="","",IF($AJ1451=0,$AK1451*EXP($AL1451*-2),$AK1451*(1+$AJ1451*$AL1451*-2)^(1/$AJ1451)))</f>
        <v/>
      </c>
      <c r="AQ1451">
        <f>IF($AJ1451="","",IF($AJ1451=0,$AK1451*EXP($AL1451*-3),$AK1451*(1+$AJ1451*$AL1451*-3)^(1/$AJ1451)))</f>
        <v/>
      </c>
      <c r="AR1451">
        <f>IF(OR($X1451="",$T1451&gt;60),"",IFERROR(INDEX(IF($T1451&lt;24,pcomp_l,palt_l),MATCH($X1451,IF($T1451&lt;24,pcomp_k,palt_k),1)),""))</f>
        <v/>
      </c>
      <c r="AS1451">
        <f>IF(OR($X1451="",$T1451&gt;60),"",IFERROR(INDEX(IF($T1451&lt;24,pcomp_m,palt_m),MATCH($X1451,IF($T1451&lt;24,pcomp_k,palt_k),1)),""))</f>
        <v/>
      </c>
      <c r="AT1451">
        <f>IF(OR($X1451="",$T1451&gt;60),"",IFERROR(INDEX(IF($T1451&lt;24,pcomp_s,palt_s),MATCH($X1451,IF($T1451&lt;24,pcomp_k,palt_k),1)),""))</f>
        <v/>
      </c>
      <c r="AU1451">
        <f>IF($AR1451="","",IF($AR1451=0,LN($F1451/$AS1451)/$AT1451,((($F1451/$AS1451)^$AR1451)-1)/($AR1451*$AT1451)))</f>
        <v/>
      </c>
      <c r="AV1451">
        <f>IF($AR1451="","",IF($AR1451=0,$AS1451*EXP($AT1451*2),$AS1451*(1+$AR1451*$AT1451*2)^(1/$AR1451)))</f>
        <v/>
      </c>
      <c r="AW1451">
        <f>IF($AR1451="","",IF($AR1451=0,$AS1451*EXP($AT1451*3),$AS1451*(1+$AR1451*$AT1451*3)^(1/$AR1451)))</f>
        <v/>
      </c>
      <c r="AX1451">
        <f>IF($AR1451="","",IF($AR1451=0,$AS1451*EXP($AT1451*-2),$AS1451*(1+$AR1451*$AT1451*-2)^(1/$AR1451)))</f>
        <v/>
      </c>
      <c r="AY1451">
        <f>IF($AR1451="","",IF($AR1451=0,$AS1451*EXP($AT1451*-3),$AS1451*(1+$AR1451*$AT1451*-3)^(1/$AR1451)))</f>
        <v/>
      </c>
      <c r="AZ1451">
        <f>IF(OR($A1451="",$A1451&lt;&gt;Ficha!$C$4),"",COUNTIF($A$2:$A1451,Ficha!$C$4))</f>
        <v/>
      </c>
    </row>
    <row r="1452">
      <c r="A1452" s="8">
        <f>IF(INDEX(Banco!$A:$A,ROW())="","",INDEX(Banco!$A:$A,ROW()))</f>
        <v/>
      </c>
      <c r="B1452" s="8">
        <f>IF(INDEX(Banco!$B:$B,ROW())="","",INDEX(Banco!$B:$B,ROW()))</f>
        <v/>
      </c>
      <c r="C1452" s="8">
        <f>IF(INDEX(Banco!$C:$C,ROW())="","",INDEX(Banco!$C:$C,ROW()))</f>
        <v/>
      </c>
      <c r="D1452" s="9">
        <f>IF(INDEX(Banco!$D:$D,ROW())="","",INDEX(Banco!$D:$D,ROW()))</f>
        <v/>
      </c>
      <c r="E1452" s="9">
        <f>IF(INDEX(Banco!$E:$E,ROW())="","",INDEX(Banco!$E:$E,ROW()))</f>
        <v/>
      </c>
      <c r="F1452" s="10">
        <f>IF(INDEX(Banco!$F:$F,ROW())="","",INDEX(Banco!$F:$F,ROW()))</f>
        <v/>
      </c>
      <c r="G1452" s="10">
        <f>IF(INDEX(Banco!$G:$G,ROW())="","",INDEX(Banco!$G:$G,ROW()))</f>
        <v/>
      </c>
      <c r="H1452" s="8">
        <f>IF(INDEX(Banco!$H:$H,ROW())="","",INDEX(Banco!$H:$H,ROW()))</f>
        <v/>
      </c>
      <c r="I1452">
        <f>IF($T1452="","",INT($T1452/12)&amp;"a "&amp;MOD($T1452,12)&amp;"m")</f>
        <v/>
      </c>
      <c r="J1452" s="11">
        <f>IF(OR($F1452="",$G1452=""),"",ROUND($F1452/($G1452/100)^2,2))</f>
        <v/>
      </c>
      <c r="K1452" s="12">
        <f>IF(OR($S1452="",$J1452="",$T1452="",$T1452&lt;0,$T1452&gt;228,$Y1452=""),"—",ROUND(IF(ABS($AB1452)&lt;=3,$AB1452,IF($AB1452&gt;3,3+($J1452-$AD1452)/($AD1452-$AC1452),-3+($J1452-$AF1452)/($AE1452-$AF1452))),2))</f>
        <v/>
      </c>
      <c r="L1452">
        <f>IF(OR($K1452="",$K1452="—"),"",IF($T1452&lt;=60,IF($K1452&lt;-3,"Magreza acentuada",IF($K1452&lt;-2,"Magreza",IF($K1452&lt;=1,"Eutrofia",IF($K1452&lt;=2,"Risco de sobrepeso",IF($K1452&lt;=3,"Sobrepeso","Obesidade"))))),IF($K1452&lt;-3,"Magreza acentuada",IF($K1452&lt;-2,"Magreza",IF($K1452&lt;=1,"Eutrofia",IF($K1452&lt;=2,"Sobrepeso",IF($K1452&lt;=3,"Obesidade","Obesidade grave")))))))</f>
        <v/>
      </c>
      <c r="M1452" s="12">
        <f>IF(OR($S1452="",$V1452="",$T1452="",$T1452&lt;0,$T1452&gt;228,$AG1452=""),"—",ROUND(IF($AG1452=0,LN($V1452/$AH1452)/$AI1452,((($V1452/$AH1452)^$AG1452)-1)/($AG1452*$AI1452)),2))</f>
        <v/>
      </c>
      <c r="N1452">
        <f>IF(OR($M1452="",$M1452="—"),"",IF($M1452&lt;-3,"Muito baixa",IF($M1452&lt;-2,"Baixa","Adequada")))</f>
        <v/>
      </c>
      <c r="O1452" s="12">
        <f>IF(OR($S1452="",$F1452="",$T1452="",$T1452&lt;0,$T1452&gt;120,$AJ1452=""),"—",ROUND(IF(ABS($AM1452)&lt;=3,$AM1452,IF($AM1452&gt;3,3+($F1452-$AO1452)/($AO1452-$AN1452),-3+($F1452-$AQ1452)/($AP1452-$AQ1452))),2))</f>
        <v/>
      </c>
      <c r="P1452">
        <f>IF(OR($O1452="",$O1452="—"),"",IF($O1452&lt;-3,"Muito baixo",IF($O1452&lt;-2,"Baixo",IF($O1452&lt;=2,"Adequado","Elevado"))))</f>
        <v/>
      </c>
      <c r="Q1452" s="12">
        <f>IF(OR($S1452="",$F1452="",$T1452="",$T1452&lt;0,$T1452&gt;60,$AR1452=""),"—",ROUND(IF(ABS($AU1452)&lt;=3,$AU1452,IF($AU1452&gt;3,3+($F1452-$AW1452)/($AW1452-$AV1452),-3+($F1452-$AY1452)/($AX1452-$AY1452))),2))</f>
        <v/>
      </c>
      <c r="R1452">
        <f>IF(OR($Q1452="",$Q1452="—"),"",IF($Q1452&lt;-3,"Magreza acentuada",IF($Q1452&lt;-2,"Magreza",IF($Q1452&lt;=1,"Eutrofia",IF($Q1452&lt;=2,"Risco de sobrepeso",IF($Q1452&lt;=3,"Sobrepeso","Obesidade"))))))</f>
        <v/>
      </c>
      <c r="S1452">
        <f>IF($C1452="","",IF(UPPER(LEFT($C1452,1))="M",1,IF(UPPER(LEFT($C1452,1))="F",2,"")))</f>
        <v/>
      </c>
      <c r="T1452">
        <f>IF(OR($D1452="",$E1452=""),"",DATEDIF($D1452,$E1452,"m"))</f>
        <v/>
      </c>
      <c r="U1452">
        <f>IF(OR($D1452="",$E1452=""),"",$E1452-$D1452)</f>
        <v/>
      </c>
      <c r="V1452">
        <f>IF(OR($G1452="",$T1452=""),"",IF($T1452&lt;24,IF(LEFT(LOWER($H1452),4)="em p",$G1452+0.7,$G1452),IF(LEFT(LOWER($H1452),4)="deit",$G1452-0.7,$G1452)))</f>
        <v/>
      </c>
      <c r="W1452">
        <f>IF(OR($S1452="",$T1452=""),"",$S1452*1000000+IF($T1452&lt;=60,$U1452,$T1452))</f>
        <v/>
      </c>
      <c r="X1452">
        <f>IF(OR($S1452="",$V1452="",$T1452&gt;60,$T1452=""),"",$S1452*1000000+ROUND($V1452*10,0))</f>
        <v/>
      </c>
      <c r="Y1452">
        <f>IF($W1452="","",IFERROR(INDEX(IF($T1452&lt;=60,imc05_l,imc519_l),MATCH($W1452,IF($T1452&lt;=60,imc05_k,imc519_k),1)),""))</f>
        <v/>
      </c>
      <c r="Z1452">
        <f>IF($W1452="","",IFERROR(INDEX(IF($T1452&lt;=60,imc05_m,imc519_m),MATCH($W1452,IF($T1452&lt;=60,imc05_k,imc519_k),1)),""))</f>
        <v/>
      </c>
      <c r="AA1452">
        <f>IF($W1452="","",IFERROR(INDEX(IF($T1452&lt;=60,imc05_s,imc519_s),MATCH($W1452,IF($T1452&lt;=60,imc05_k,imc519_k),1)),""))</f>
        <v/>
      </c>
      <c r="AB1452">
        <f>IF($Y1452="","",IF($Y1452=0,LN($J1452/$Z1452)/$AA1452,((($J1452/$Z1452)^$Y1452)-1)/($Y1452*$AA1452)))</f>
        <v/>
      </c>
      <c r="AC1452">
        <f>IF($Y1452="","",IF($Y1452=0,$Z1452*EXP($AA1452*2),$Z1452*(1+$Y1452*$AA1452*2)^(1/$Y1452)))</f>
        <v/>
      </c>
      <c r="AD1452">
        <f>IF($Y1452="","",IF($Y1452=0,$Z1452*EXP($AA1452*3),$Z1452*(1+$Y1452*$AA1452*3)^(1/$Y1452)))</f>
        <v/>
      </c>
      <c r="AE1452">
        <f>IF($Y1452="","",IF($Y1452=0,$Z1452*EXP($AA1452*-2),$Z1452*(1+$Y1452*$AA1452*-2)^(1/$Y1452)))</f>
        <v/>
      </c>
      <c r="AF1452">
        <f>IF($Y1452="","",IF($Y1452=0,$Z1452*EXP($AA1452*-3),$Z1452*(1+$Y1452*$AA1452*-3)^(1/$Y1452)))</f>
        <v/>
      </c>
      <c r="AG1452">
        <f>IF($W1452="","",IFERROR(INDEX(IF($T1452&lt;=60,est05_l,est519_l),MATCH($W1452,IF($T1452&lt;=60,est05_k,est519_k),1)),""))</f>
        <v/>
      </c>
      <c r="AH1452">
        <f>IF($W1452="","",IFERROR(INDEX(IF($T1452&lt;=60,est05_m,est519_m),MATCH($W1452,IF($T1452&lt;=60,est05_k,est519_k),1)),""))</f>
        <v/>
      </c>
      <c r="AI1452">
        <f>IF($W1452="","",IFERROR(INDEX(IF($T1452&lt;=60,est05_s,est519_s),MATCH($W1452,IF($T1452&lt;=60,est05_k,est519_k),1)),""))</f>
        <v/>
      </c>
      <c r="AJ1452">
        <f>IF($W1452="","",IFERROR(INDEX(IF($T1452&lt;=60,peso05_l,peso510_l),MATCH($W1452,IF($T1452&lt;=60,peso05_k,peso510_k),1)),""))</f>
        <v/>
      </c>
      <c r="AK1452">
        <f>IF($W1452="","",IFERROR(INDEX(IF($T1452&lt;=60,peso05_m,peso510_m),MATCH($W1452,IF($T1452&lt;=60,peso05_k,peso510_k),1)),""))</f>
        <v/>
      </c>
      <c r="AL1452">
        <f>IF($W1452="","",IFERROR(INDEX(IF($T1452&lt;=60,peso05_s,peso510_s),MATCH($W1452,IF($T1452&lt;=60,peso05_k,peso510_k),1)),""))</f>
        <v/>
      </c>
      <c r="AM1452">
        <f>IF($AJ1452="","",IF($AJ1452=0,LN($F1452/$AK1452)/$AL1452,((($F1452/$AK1452)^$AJ1452)-1)/($AJ1452*$AL1452)))</f>
        <v/>
      </c>
      <c r="AN1452">
        <f>IF($AJ1452="","",IF($AJ1452=0,$AK1452*EXP($AL1452*2),$AK1452*(1+$AJ1452*$AL1452*2)^(1/$AJ1452)))</f>
        <v/>
      </c>
      <c r="AO1452">
        <f>IF($AJ1452="","",IF($AJ1452=0,$AK1452*EXP($AL1452*3),$AK1452*(1+$AJ1452*$AL1452*3)^(1/$AJ1452)))</f>
        <v/>
      </c>
      <c r="AP1452">
        <f>IF($AJ1452="","",IF($AJ1452=0,$AK1452*EXP($AL1452*-2),$AK1452*(1+$AJ1452*$AL1452*-2)^(1/$AJ1452)))</f>
        <v/>
      </c>
      <c r="AQ1452">
        <f>IF($AJ1452="","",IF($AJ1452=0,$AK1452*EXP($AL1452*-3),$AK1452*(1+$AJ1452*$AL1452*-3)^(1/$AJ1452)))</f>
        <v/>
      </c>
      <c r="AR1452">
        <f>IF(OR($X1452="",$T1452&gt;60),"",IFERROR(INDEX(IF($T1452&lt;24,pcomp_l,palt_l),MATCH($X1452,IF($T1452&lt;24,pcomp_k,palt_k),1)),""))</f>
        <v/>
      </c>
      <c r="AS1452">
        <f>IF(OR($X1452="",$T1452&gt;60),"",IFERROR(INDEX(IF($T1452&lt;24,pcomp_m,palt_m),MATCH($X1452,IF($T1452&lt;24,pcomp_k,palt_k),1)),""))</f>
        <v/>
      </c>
      <c r="AT1452">
        <f>IF(OR($X1452="",$T1452&gt;60),"",IFERROR(INDEX(IF($T1452&lt;24,pcomp_s,palt_s),MATCH($X1452,IF($T1452&lt;24,pcomp_k,palt_k),1)),""))</f>
        <v/>
      </c>
      <c r="AU1452">
        <f>IF($AR1452="","",IF($AR1452=0,LN($F1452/$AS1452)/$AT1452,((($F1452/$AS1452)^$AR1452)-1)/($AR1452*$AT1452)))</f>
        <v/>
      </c>
      <c r="AV1452">
        <f>IF($AR1452="","",IF($AR1452=0,$AS1452*EXP($AT1452*2),$AS1452*(1+$AR1452*$AT1452*2)^(1/$AR1452)))</f>
        <v/>
      </c>
      <c r="AW1452">
        <f>IF($AR1452="","",IF($AR1452=0,$AS1452*EXP($AT1452*3),$AS1452*(1+$AR1452*$AT1452*3)^(1/$AR1452)))</f>
        <v/>
      </c>
      <c r="AX1452">
        <f>IF($AR1452="","",IF($AR1452=0,$AS1452*EXP($AT1452*-2),$AS1452*(1+$AR1452*$AT1452*-2)^(1/$AR1452)))</f>
        <v/>
      </c>
      <c r="AY1452">
        <f>IF($AR1452="","",IF($AR1452=0,$AS1452*EXP($AT1452*-3),$AS1452*(1+$AR1452*$AT1452*-3)^(1/$AR1452)))</f>
        <v/>
      </c>
      <c r="AZ1452">
        <f>IF(OR($A1452="",$A1452&lt;&gt;Ficha!$C$4),"",COUNTIF($A$2:$A1452,Ficha!$C$4))</f>
        <v/>
      </c>
    </row>
    <row r="1453">
      <c r="A1453" s="8">
        <f>IF(INDEX(Banco!$A:$A,ROW())="","",INDEX(Banco!$A:$A,ROW()))</f>
        <v/>
      </c>
      <c r="B1453" s="8">
        <f>IF(INDEX(Banco!$B:$B,ROW())="","",INDEX(Banco!$B:$B,ROW()))</f>
        <v/>
      </c>
      <c r="C1453" s="8">
        <f>IF(INDEX(Banco!$C:$C,ROW())="","",INDEX(Banco!$C:$C,ROW()))</f>
        <v/>
      </c>
      <c r="D1453" s="9">
        <f>IF(INDEX(Banco!$D:$D,ROW())="","",INDEX(Banco!$D:$D,ROW()))</f>
        <v/>
      </c>
      <c r="E1453" s="9">
        <f>IF(INDEX(Banco!$E:$E,ROW())="","",INDEX(Banco!$E:$E,ROW()))</f>
        <v/>
      </c>
      <c r="F1453" s="10">
        <f>IF(INDEX(Banco!$F:$F,ROW())="","",INDEX(Banco!$F:$F,ROW()))</f>
        <v/>
      </c>
      <c r="G1453" s="10">
        <f>IF(INDEX(Banco!$G:$G,ROW())="","",INDEX(Banco!$G:$G,ROW()))</f>
        <v/>
      </c>
      <c r="H1453" s="8">
        <f>IF(INDEX(Banco!$H:$H,ROW())="","",INDEX(Banco!$H:$H,ROW()))</f>
        <v/>
      </c>
      <c r="I1453">
        <f>IF($T1453="","",INT($T1453/12)&amp;"a "&amp;MOD($T1453,12)&amp;"m")</f>
        <v/>
      </c>
      <c r="J1453" s="11">
        <f>IF(OR($F1453="",$G1453=""),"",ROUND($F1453/($G1453/100)^2,2))</f>
        <v/>
      </c>
      <c r="K1453" s="12">
        <f>IF(OR($S1453="",$J1453="",$T1453="",$T1453&lt;0,$T1453&gt;228,$Y1453=""),"—",ROUND(IF(ABS($AB1453)&lt;=3,$AB1453,IF($AB1453&gt;3,3+($J1453-$AD1453)/($AD1453-$AC1453),-3+($J1453-$AF1453)/($AE1453-$AF1453))),2))</f>
        <v/>
      </c>
      <c r="L1453">
        <f>IF(OR($K1453="",$K1453="—"),"",IF($T1453&lt;=60,IF($K1453&lt;-3,"Magreza acentuada",IF($K1453&lt;-2,"Magreza",IF($K1453&lt;=1,"Eutrofia",IF($K1453&lt;=2,"Risco de sobrepeso",IF($K1453&lt;=3,"Sobrepeso","Obesidade"))))),IF($K1453&lt;-3,"Magreza acentuada",IF($K1453&lt;-2,"Magreza",IF($K1453&lt;=1,"Eutrofia",IF($K1453&lt;=2,"Sobrepeso",IF($K1453&lt;=3,"Obesidade","Obesidade grave")))))))</f>
        <v/>
      </c>
      <c r="M1453" s="12">
        <f>IF(OR($S1453="",$V1453="",$T1453="",$T1453&lt;0,$T1453&gt;228,$AG1453=""),"—",ROUND(IF($AG1453=0,LN($V1453/$AH1453)/$AI1453,((($V1453/$AH1453)^$AG1453)-1)/($AG1453*$AI1453)),2))</f>
        <v/>
      </c>
      <c r="N1453">
        <f>IF(OR($M1453="",$M1453="—"),"",IF($M1453&lt;-3,"Muito baixa",IF($M1453&lt;-2,"Baixa","Adequada")))</f>
        <v/>
      </c>
      <c r="O1453" s="12">
        <f>IF(OR($S1453="",$F1453="",$T1453="",$T1453&lt;0,$T1453&gt;120,$AJ1453=""),"—",ROUND(IF(ABS($AM1453)&lt;=3,$AM1453,IF($AM1453&gt;3,3+($F1453-$AO1453)/($AO1453-$AN1453),-3+($F1453-$AQ1453)/($AP1453-$AQ1453))),2))</f>
        <v/>
      </c>
      <c r="P1453">
        <f>IF(OR($O1453="",$O1453="—"),"",IF($O1453&lt;-3,"Muito baixo",IF($O1453&lt;-2,"Baixo",IF($O1453&lt;=2,"Adequado","Elevado"))))</f>
        <v/>
      </c>
      <c r="Q1453" s="12">
        <f>IF(OR($S1453="",$F1453="",$T1453="",$T1453&lt;0,$T1453&gt;60,$AR1453=""),"—",ROUND(IF(ABS($AU1453)&lt;=3,$AU1453,IF($AU1453&gt;3,3+($F1453-$AW1453)/($AW1453-$AV1453),-3+($F1453-$AY1453)/($AX1453-$AY1453))),2))</f>
        <v/>
      </c>
      <c r="R1453">
        <f>IF(OR($Q1453="",$Q1453="—"),"",IF($Q1453&lt;-3,"Magreza acentuada",IF($Q1453&lt;-2,"Magreza",IF($Q1453&lt;=1,"Eutrofia",IF($Q1453&lt;=2,"Risco de sobrepeso",IF($Q1453&lt;=3,"Sobrepeso","Obesidade"))))))</f>
        <v/>
      </c>
      <c r="S1453">
        <f>IF($C1453="","",IF(UPPER(LEFT($C1453,1))="M",1,IF(UPPER(LEFT($C1453,1))="F",2,"")))</f>
        <v/>
      </c>
      <c r="T1453">
        <f>IF(OR($D1453="",$E1453=""),"",DATEDIF($D1453,$E1453,"m"))</f>
        <v/>
      </c>
      <c r="U1453">
        <f>IF(OR($D1453="",$E1453=""),"",$E1453-$D1453)</f>
        <v/>
      </c>
      <c r="V1453">
        <f>IF(OR($G1453="",$T1453=""),"",IF($T1453&lt;24,IF(LEFT(LOWER($H1453),4)="em p",$G1453+0.7,$G1453),IF(LEFT(LOWER($H1453),4)="deit",$G1453-0.7,$G1453)))</f>
        <v/>
      </c>
      <c r="W1453">
        <f>IF(OR($S1453="",$T1453=""),"",$S1453*1000000+IF($T1453&lt;=60,$U1453,$T1453))</f>
        <v/>
      </c>
      <c r="X1453">
        <f>IF(OR($S1453="",$V1453="",$T1453&gt;60,$T1453=""),"",$S1453*1000000+ROUND($V1453*10,0))</f>
        <v/>
      </c>
      <c r="Y1453">
        <f>IF($W1453="","",IFERROR(INDEX(IF($T1453&lt;=60,imc05_l,imc519_l),MATCH($W1453,IF($T1453&lt;=60,imc05_k,imc519_k),1)),""))</f>
        <v/>
      </c>
      <c r="Z1453">
        <f>IF($W1453="","",IFERROR(INDEX(IF($T1453&lt;=60,imc05_m,imc519_m),MATCH($W1453,IF($T1453&lt;=60,imc05_k,imc519_k),1)),""))</f>
        <v/>
      </c>
      <c r="AA1453">
        <f>IF($W1453="","",IFERROR(INDEX(IF($T1453&lt;=60,imc05_s,imc519_s),MATCH($W1453,IF($T1453&lt;=60,imc05_k,imc519_k),1)),""))</f>
        <v/>
      </c>
      <c r="AB1453">
        <f>IF($Y1453="","",IF($Y1453=0,LN($J1453/$Z1453)/$AA1453,((($J1453/$Z1453)^$Y1453)-1)/($Y1453*$AA1453)))</f>
        <v/>
      </c>
      <c r="AC1453">
        <f>IF($Y1453="","",IF($Y1453=0,$Z1453*EXP($AA1453*2),$Z1453*(1+$Y1453*$AA1453*2)^(1/$Y1453)))</f>
        <v/>
      </c>
      <c r="AD1453">
        <f>IF($Y1453="","",IF($Y1453=0,$Z1453*EXP($AA1453*3),$Z1453*(1+$Y1453*$AA1453*3)^(1/$Y1453)))</f>
        <v/>
      </c>
      <c r="AE1453">
        <f>IF($Y1453="","",IF($Y1453=0,$Z1453*EXP($AA1453*-2),$Z1453*(1+$Y1453*$AA1453*-2)^(1/$Y1453)))</f>
        <v/>
      </c>
      <c r="AF1453">
        <f>IF($Y1453="","",IF($Y1453=0,$Z1453*EXP($AA1453*-3),$Z1453*(1+$Y1453*$AA1453*-3)^(1/$Y1453)))</f>
        <v/>
      </c>
      <c r="AG1453">
        <f>IF($W1453="","",IFERROR(INDEX(IF($T1453&lt;=60,est05_l,est519_l),MATCH($W1453,IF($T1453&lt;=60,est05_k,est519_k),1)),""))</f>
        <v/>
      </c>
      <c r="AH1453">
        <f>IF($W1453="","",IFERROR(INDEX(IF($T1453&lt;=60,est05_m,est519_m),MATCH($W1453,IF($T1453&lt;=60,est05_k,est519_k),1)),""))</f>
        <v/>
      </c>
      <c r="AI1453">
        <f>IF($W1453="","",IFERROR(INDEX(IF($T1453&lt;=60,est05_s,est519_s),MATCH($W1453,IF($T1453&lt;=60,est05_k,est519_k),1)),""))</f>
        <v/>
      </c>
      <c r="AJ1453">
        <f>IF($W1453="","",IFERROR(INDEX(IF($T1453&lt;=60,peso05_l,peso510_l),MATCH($W1453,IF($T1453&lt;=60,peso05_k,peso510_k),1)),""))</f>
        <v/>
      </c>
      <c r="AK1453">
        <f>IF($W1453="","",IFERROR(INDEX(IF($T1453&lt;=60,peso05_m,peso510_m),MATCH($W1453,IF($T1453&lt;=60,peso05_k,peso510_k),1)),""))</f>
        <v/>
      </c>
      <c r="AL1453">
        <f>IF($W1453="","",IFERROR(INDEX(IF($T1453&lt;=60,peso05_s,peso510_s),MATCH($W1453,IF($T1453&lt;=60,peso05_k,peso510_k),1)),""))</f>
        <v/>
      </c>
      <c r="AM1453">
        <f>IF($AJ1453="","",IF($AJ1453=0,LN($F1453/$AK1453)/$AL1453,((($F1453/$AK1453)^$AJ1453)-1)/($AJ1453*$AL1453)))</f>
        <v/>
      </c>
      <c r="AN1453">
        <f>IF($AJ1453="","",IF($AJ1453=0,$AK1453*EXP($AL1453*2),$AK1453*(1+$AJ1453*$AL1453*2)^(1/$AJ1453)))</f>
        <v/>
      </c>
      <c r="AO1453">
        <f>IF($AJ1453="","",IF($AJ1453=0,$AK1453*EXP($AL1453*3),$AK1453*(1+$AJ1453*$AL1453*3)^(1/$AJ1453)))</f>
        <v/>
      </c>
      <c r="AP1453">
        <f>IF($AJ1453="","",IF($AJ1453=0,$AK1453*EXP($AL1453*-2),$AK1453*(1+$AJ1453*$AL1453*-2)^(1/$AJ1453)))</f>
        <v/>
      </c>
      <c r="AQ1453">
        <f>IF($AJ1453="","",IF($AJ1453=0,$AK1453*EXP($AL1453*-3),$AK1453*(1+$AJ1453*$AL1453*-3)^(1/$AJ1453)))</f>
        <v/>
      </c>
      <c r="AR1453">
        <f>IF(OR($X1453="",$T1453&gt;60),"",IFERROR(INDEX(IF($T1453&lt;24,pcomp_l,palt_l),MATCH($X1453,IF($T1453&lt;24,pcomp_k,palt_k),1)),""))</f>
        <v/>
      </c>
      <c r="AS1453">
        <f>IF(OR($X1453="",$T1453&gt;60),"",IFERROR(INDEX(IF($T1453&lt;24,pcomp_m,palt_m),MATCH($X1453,IF($T1453&lt;24,pcomp_k,palt_k),1)),""))</f>
        <v/>
      </c>
      <c r="AT1453">
        <f>IF(OR($X1453="",$T1453&gt;60),"",IFERROR(INDEX(IF($T1453&lt;24,pcomp_s,palt_s),MATCH($X1453,IF($T1453&lt;24,pcomp_k,palt_k),1)),""))</f>
        <v/>
      </c>
      <c r="AU1453">
        <f>IF($AR1453="","",IF($AR1453=0,LN($F1453/$AS1453)/$AT1453,((($F1453/$AS1453)^$AR1453)-1)/($AR1453*$AT1453)))</f>
        <v/>
      </c>
      <c r="AV1453">
        <f>IF($AR1453="","",IF($AR1453=0,$AS1453*EXP($AT1453*2),$AS1453*(1+$AR1453*$AT1453*2)^(1/$AR1453)))</f>
        <v/>
      </c>
      <c r="AW1453">
        <f>IF($AR1453="","",IF($AR1453=0,$AS1453*EXP($AT1453*3),$AS1453*(1+$AR1453*$AT1453*3)^(1/$AR1453)))</f>
        <v/>
      </c>
      <c r="AX1453">
        <f>IF($AR1453="","",IF($AR1453=0,$AS1453*EXP($AT1453*-2),$AS1453*(1+$AR1453*$AT1453*-2)^(1/$AR1453)))</f>
        <v/>
      </c>
      <c r="AY1453">
        <f>IF($AR1453="","",IF($AR1453=0,$AS1453*EXP($AT1453*-3),$AS1453*(1+$AR1453*$AT1453*-3)^(1/$AR1453)))</f>
        <v/>
      </c>
      <c r="AZ1453">
        <f>IF(OR($A1453="",$A1453&lt;&gt;Ficha!$C$4),"",COUNTIF($A$2:$A1453,Ficha!$C$4))</f>
        <v/>
      </c>
    </row>
    <row r="1454">
      <c r="A1454" s="8">
        <f>IF(INDEX(Banco!$A:$A,ROW())="","",INDEX(Banco!$A:$A,ROW()))</f>
        <v/>
      </c>
      <c r="B1454" s="8">
        <f>IF(INDEX(Banco!$B:$B,ROW())="","",INDEX(Banco!$B:$B,ROW()))</f>
        <v/>
      </c>
      <c r="C1454" s="8">
        <f>IF(INDEX(Banco!$C:$C,ROW())="","",INDEX(Banco!$C:$C,ROW()))</f>
        <v/>
      </c>
      <c r="D1454" s="9">
        <f>IF(INDEX(Banco!$D:$D,ROW())="","",INDEX(Banco!$D:$D,ROW()))</f>
        <v/>
      </c>
      <c r="E1454" s="9">
        <f>IF(INDEX(Banco!$E:$E,ROW())="","",INDEX(Banco!$E:$E,ROW()))</f>
        <v/>
      </c>
      <c r="F1454" s="10">
        <f>IF(INDEX(Banco!$F:$F,ROW())="","",INDEX(Banco!$F:$F,ROW()))</f>
        <v/>
      </c>
      <c r="G1454" s="10">
        <f>IF(INDEX(Banco!$G:$G,ROW())="","",INDEX(Banco!$G:$G,ROW()))</f>
        <v/>
      </c>
      <c r="H1454" s="8">
        <f>IF(INDEX(Banco!$H:$H,ROW())="","",INDEX(Banco!$H:$H,ROW()))</f>
        <v/>
      </c>
      <c r="I1454">
        <f>IF($T1454="","",INT($T1454/12)&amp;"a "&amp;MOD($T1454,12)&amp;"m")</f>
        <v/>
      </c>
      <c r="J1454" s="11">
        <f>IF(OR($F1454="",$G1454=""),"",ROUND($F1454/($G1454/100)^2,2))</f>
        <v/>
      </c>
      <c r="K1454" s="12">
        <f>IF(OR($S1454="",$J1454="",$T1454="",$T1454&lt;0,$T1454&gt;228,$Y1454=""),"—",ROUND(IF(ABS($AB1454)&lt;=3,$AB1454,IF($AB1454&gt;3,3+($J1454-$AD1454)/($AD1454-$AC1454),-3+($J1454-$AF1454)/($AE1454-$AF1454))),2))</f>
        <v/>
      </c>
      <c r="L1454">
        <f>IF(OR($K1454="",$K1454="—"),"",IF($T1454&lt;=60,IF($K1454&lt;-3,"Magreza acentuada",IF($K1454&lt;-2,"Magreza",IF($K1454&lt;=1,"Eutrofia",IF($K1454&lt;=2,"Risco de sobrepeso",IF($K1454&lt;=3,"Sobrepeso","Obesidade"))))),IF($K1454&lt;-3,"Magreza acentuada",IF($K1454&lt;-2,"Magreza",IF($K1454&lt;=1,"Eutrofia",IF($K1454&lt;=2,"Sobrepeso",IF($K1454&lt;=3,"Obesidade","Obesidade grave")))))))</f>
        <v/>
      </c>
      <c r="M1454" s="12">
        <f>IF(OR($S1454="",$V1454="",$T1454="",$T1454&lt;0,$T1454&gt;228,$AG1454=""),"—",ROUND(IF($AG1454=0,LN($V1454/$AH1454)/$AI1454,((($V1454/$AH1454)^$AG1454)-1)/($AG1454*$AI1454)),2))</f>
        <v/>
      </c>
      <c r="N1454">
        <f>IF(OR($M1454="",$M1454="—"),"",IF($M1454&lt;-3,"Muito baixa",IF($M1454&lt;-2,"Baixa","Adequada")))</f>
        <v/>
      </c>
      <c r="O1454" s="12">
        <f>IF(OR($S1454="",$F1454="",$T1454="",$T1454&lt;0,$T1454&gt;120,$AJ1454=""),"—",ROUND(IF(ABS($AM1454)&lt;=3,$AM1454,IF($AM1454&gt;3,3+($F1454-$AO1454)/($AO1454-$AN1454),-3+($F1454-$AQ1454)/($AP1454-$AQ1454))),2))</f>
        <v/>
      </c>
      <c r="P1454">
        <f>IF(OR($O1454="",$O1454="—"),"",IF($O1454&lt;-3,"Muito baixo",IF($O1454&lt;-2,"Baixo",IF($O1454&lt;=2,"Adequado","Elevado"))))</f>
        <v/>
      </c>
      <c r="Q1454" s="12">
        <f>IF(OR($S1454="",$F1454="",$T1454="",$T1454&lt;0,$T1454&gt;60,$AR1454=""),"—",ROUND(IF(ABS($AU1454)&lt;=3,$AU1454,IF($AU1454&gt;3,3+($F1454-$AW1454)/($AW1454-$AV1454),-3+($F1454-$AY1454)/($AX1454-$AY1454))),2))</f>
        <v/>
      </c>
      <c r="R1454">
        <f>IF(OR($Q1454="",$Q1454="—"),"",IF($Q1454&lt;-3,"Magreza acentuada",IF($Q1454&lt;-2,"Magreza",IF($Q1454&lt;=1,"Eutrofia",IF($Q1454&lt;=2,"Risco de sobrepeso",IF($Q1454&lt;=3,"Sobrepeso","Obesidade"))))))</f>
        <v/>
      </c>
      <c r="S1454">
        <f>IF($C1454="","",IF(UPPER(LEFT($C1454,1))="M",1,IF(UPPER(LEFT($C1454,1))="F",2,"")))</f>
        <v/>
      </c>
      <c r="T1454">
        <f>IF(OR($D1454="",$E1454=""),"",DATEDIF($D1454,$E1454,"m"))</f>
        <v/>
      </c>
      <c r="U1454">
        <f>IF(OR($D1454="",$E1454=""),"",$E1454-$D1454)</f>
        <v/>
      </c>
      <c r="V1454">
        <f>IF(OR($G1454="",$T1454=""),"",IF($T1454&lt;24,IF(LEFT(LOWER($H1454),4)="em p",$G1454+0.7,$G1454),IF(LEFT(LOWER($H1454),4)="deit",$G1454-0.7,$G1454)))</f>
        <v/>
      </c>
      <c r="W1454">
        <f>IF(OR($S1454="",$T1454=""),"",$S1454*1000000+IF($T1454&lt;=60,$U1454,$T1454))</f>
        <v/>
      </c>
      <c r="X1454">
        <f>IF(OR($S1454="",$V1454="",$T1454&gt;60,$T1454=""),"",$S1454*1000000+ROUND($V1454*10,0))</f>
        <v/>
      </c>
      <c r="Y1454">
        <f>IF($W1454="","",IFERROR(INDEX(IF($T1454&lt;=60,imc05_l,imc519_l),MATCH($W1454,IF($T1454&lt;=60,imc05_k,imc519_k),1)),""))</f>
        <v/>
      </c>
      <c r="Z1454">
        <f>IF($W1454="","",IFERROR(INDEX(IF($T1454&lt;=60,imc05_m,imc519_m),MATCH($W1454,IF($T1454&lt;=60,imc05_k,imc519_k),1)),""))</f>
        <v/>
      </c>
      <c r="AA1454">
        <f>IF($W1454="","",IFERROR(INDEX(IF($T1454&lt;=60,imc05_s,imc519_s),MATCH($W1454,IF($T1454&lt;=60,imc05_k,imc519_k),1)),""))</f>
        <v/>
      </c>
      <c r="AB1454">
        <f>IF($Y1454="","",IF($Y1454=0,LN($J1454/$Z1454)/$AA1454,((($J1454/$Z1454)^$Y1454)-1)/($Y1454*$AA1454)))</f>
        <v/>
      </c>
      <c r="AC1454">
        <f>IF($Y1454="","",IF($Y1454=0,$Z1454*EXP($AA1454*2),$Z1454*(1+$Y1454*$AA1454*2)^(1/$Y1454)))</f>
        <v/>
      </c>
      <c r="AD1454">
        <f>IF($Y1454="","",IF($Y1454=0,$Z1454*EXP($AA1454*3),$Z1454*(1+$Y1454*$AA1454*3)^(1/$Y1454)))</f>
        <v/>
      </c>
      <c r="AE1454">
        <f>IF($Y1454="","",IF($Y1454=0,$Z1454*EXP($AA1454*-2),$Z1454*(1+$Y1454*$AA1454*-2)^(1/$Y1454)))</f>
        <v/>
      </c>
      <c r="AF1454">
        <f>IF($Y1454="","",IF($Y1454=0,$Z1454*EXP($AA1454*-3),$Z1454*(1+$Y1454*$AA1454*-3)^(1/$Y1454)))</f>
        <v/>
      </c>
      <c r="AG1454">
        <f>IF($W1454="","",IFERROR(INDEX(IF($T1454&lt;=60,est05_l,est519_l),MATCH($W1454,IF($T1454&lt;=60,est05_k,est519_k),1)),""))</f>
        <v/>
      </c>
      <c r="AH1454">
        <f>IF($W1454="","",IFERROR(INDEX(IF($T1454&lt;=60,est05_m,est519_m),MATCH($W1454,IF($T1454&lt;=60,est05_k,est519_k),1)),""))</f>
        <v/>
      </c>
      <c r="AI1454">
        <f>IF($W1454="","",IFERROR(INDEX(IF($T1454&lt;=60,est05_s,est519_s),MATCH($W1454,IF($T1454&lt;=60,est05_k,est519_k),1)),""))</f>
        <v/>
      </c>
      <c r="AJ1454">
        <f>IF($W1454="","",IFERROR(INDEX(IF($T1454&lt;=60,peso05_l,peso510_l),MATCH($W1454,IF($T1454&lt;=60,peso05_k,peso510_k),1)),""))</f>
        <v/>
      </c>
      <c r="AK1454">
        <f>IF($W1454="","",IFERROR(INDEX(IF($T1454&lt;=60,peso05_m,peso510_m),MATCH($W1454,IF($T1454&lt;=60,peso05_k,peso510_k),1)),""))</f>
        <v/>
      </c>
      <c r="AL1454">
        <f>IF($W1454="","",IFERROR(INDEX(IF($T1454&lt;=60,peso05_s,peso510_s),MATCH($W1454,IF($T1454&lt;=60,peso05_k,peso510_k),1)),""))</f>
        <v/>
      </c>
      <c r="AM1454">
        <f>IF($AJ1454="","",IF($AJ1454=0,LN($F1454/$AK1454)/$AL1454,((($F1454/$AK1454)^$AJ1454)-1)/($AJ1454*$AL1454)))</f>
        <v/>
      </c>
      <c r="AN1454">
        <f>IF($AJ1454="","",IF($AJ1454=0,$AK1454*EXP($AL1454*2),$AK1454*(1+$AJ1454*$AL1454*2)^(1/$AJ1454)))</f>
        <v/>
      </c>
      <c r="AO1454">
        <f>IF($AJ1454="","",IF($AJ1454=0,$AK1454*EXP($AL1454*3),$AK1454*(1+$AJ1454*$AL1454*3)^(1/$AJ1454)))</f>
        <v/>
      </c>
      <c r="AP1454">
        <f>IF($AJ1454="","",IF($AJ1454=0,$AK1454*EXP($AL1454*-2),$AK1454*(1+$AJ1454*$AL1454*-2)^(1/$AJ1454)))</f>
        <v/>
      </c>
      <c r="AQ1454">
        <f>IF($AJ1454="","",IF($AJ1454=0,$AK1454*EXP($AL1454*-3),$AK1454*(1+$AJ1454*$AL1454*-3)^(1/$AJ1454)))</f>
        <v/>
      </c>
      <c r="AR1454">
        <f>IF(OR($X1454="",$T1454&gt;60),"",IFERROR(INDEX(IF($T1454&lt;24,pcomp_l,palt_l),MATCH($X1454,IF($T1454&lt;24,pcomp_k,palt_k),1)),""))</f>
        <v/>
      </c>
      <c r="AS1454">
        <f>IF(OR($X1454="",$T1454&gt;60),"",IFERROR(INDEX(IF($T1454&lt;24,pcomp_m,palt_m),MATCH($X1454,IF($T1454&lt;24,pcomp_k,palt_k),1)),""))</f>
        <v/>
      </c>
      <c r="AT1454">
        <f>IF(OR($X1454="",$T1454&gt;60),"",IFERROR(INDEX(IF($T1454&lt;24,pcomp_s,palt_s),MATCH($X1454,IF($T1454&lt;24,pcomp_k,palt_k),1)),""))</f>
        <v/>
      </c>
      <c r="AU1454">
        <f>IF($AR1454="","",IF($AR1454=0,LN($F1454/$AS1454)/$AT1454,((($F1454/$AS1454)^$AR1454)-1)/($AR1454*$AT1454)))</f>
        <v/>
      </c>
      <c r="AV1454">
        <f>IF($AR1454="","",IF($AR1454=0,$AS1454*EXP($AT1454*2),$AS1454*(1+$AR1454*$AT1454*2)^(1/$AR1454)))</f>
        <v/>
      </c>
      <c r="AW1454">
        <f>IF($AR1454="","",IF($AR1454=0,$AS1454*EXP($AT1454*3),$AS1454*(1+$AR1454*$AT1454*3)^(1/$AR1454)))</f>
        <v/>
      </c>
      <c r="AX1454">
        <f>IF($AR1454="","",IF($AR1454=0,$AS1454*EXP($AT1454*-2),$AS1454*(1+$AR1454*$AT1454*-2)^(1/$AR1454)))</f>
        <v/>
      </c>
      <c r="AY1454">
        <f>IF($AR1454="","",IF($AR1454=0,$AS1454*EXP($AT1454*-3),$AS1454*(1+$AR1454*$AT1454*-3)^(1/$AR1454)))</f>
        <v/>
      </c>
      <c r="AZ1454">
        <f>IF(OR($A1454="",$A1454&lt;&gt;Ficha!$C$4),"",COUNTIF($A$2:$A1454,Ficha!$C$4))</f>
        <v/>
      </c>
    </row>
    <row r="1455">
      <c r="A1455" s="8">
        <f>IF(INDEX(Banco!$A:$A,ROW())="","",INDEX(Banco!$A:$A,ROW()))</f>
        <v/>
      </c>
      <c r="B1455" s="8">
        <f>IF(INDEX(Banco!$B:$B,ROW())="","",INDEX(Banco!$B:$B,ROW()))</f>
        <v/>
      </c>
      <c r="C1455" s="8">
        <f>IF(INDEX(Banco!$C:$C,ROW())="","",INDEX(Banco!$C:$C,ROW()))</f>
        <v/>
      </c>
      <c r="D1455" s="9">
        <f>IF(INDEX(Banco!$D:$D,ROW())="","",INDEX(Banco!$D:$D,ROW()))</f>
        <v/>
      </c>
      <c r="E1455" s="9">
        <f>IF(INDEX(Banco!$E:$E,ROW())="","",INDEX(Banco!$E:$E,ROW()))</f>
        <v/>
      </c>
      <c r="F1455" s="10">
        <f>IF(INDEX(Banco!$F:$F,ROW())="","",INDEX(Banco!$F:$F,ROW()))</f>
        <v/>
      </c>
      <c r="G1455" s="10">
        <f>IF(INDEX(Banco!$G:$G,ROW())="","",INDEX(Banco!$G:$G,ROW()))</f>
        <v/>
      </c>
      <c r="H1455" s="8">
        <f>IF(INDEX(Banco!$H:$H,ROW())="","",INDEX(Banco!$H:$H,ROW()))</f>
        <v/>
      </c>
      <c r="I1455">
        <f>IF($T1455="","",INT($T1455/12)&amp;"a "&amp;MOD($T1455,12)&amp;"m")</f>
        <v/>
      </c>
      <c r="J1455" s="11">
        <f>IF(OR($F1455="",$G1455=""),"",ROUND($F1455/($G1455/100)^2,2))</f>
        <v/>
      </c>
      <c r="K1455" s="12">
        <f>IF(OR($S1455="",$J1455="",$T1455="",$T1455&lt;0,$T1455&gt;228,$Y1455=""),"—",ROUND(IF(ABS($AB1455)&lt;=3,$AB1455,IF($AB1455&gt;3,3+($J1455-$AD1455)/($AD1455-$AC1455),-3+($J1455-$AF1455)/($AE1455-$AF1455))),2))</f>
        <v/>
      </c>
      <c r="L1455">
        <f>IF(OR($K1455="",$K1455="—"),"",IF($T1455&lt;=60,IF($K1455&lt;-3,"Magreza acentuada",IF($K1455&lt;-2,"Magreza",IF($K1455&lt;=1,"Eutrofia",IF($K1455&lt;=2,"Risco de sobrepeso",IF($K1455&lt;=3,"Sobrepeso","Obesidade"))))),IF($K1455&lt;-3,"Magreza acentuada",IF($K1455&lt;-2,"Magreza",IF($K1455&lt;=1,"Eutrofia",IF($K1455&lt;=2,"Sobrepeso",IF($K1455&lt;=3,"Obesidade","Obesidade grave")))))))</f>
        <v/>
      </c>
      <c r="M1455" s="12">
        <f>IF(OR($S1455="",$V1455="",$T1455="",$T1455&lt;0,$T1455&gt;228,$AG1455=""),"—",ROUND(IF($AG1455=0,LN($V1455/$AH1455)/$AI1455,((($V1455/$AH1455)^$AG1455)-1)/($AG1455*$AI1455)),2))</f>
        <v/>
      </c>
      <c r="N1455">
        <f>IF(OR($M1455="",$M1455="—"),"",IF($M1455&lt;-3,"Muito baixa",IF($M1455&lt;-2,"Baixa","Adequada")))</f>
        <v/>
      </c>
      <c r="O1455" s="12">
        <f>IF(OR($S1455="",$F1455="",$T1455="",$T1455&lt;0,$T1455&gt;120,$AJ1455=""),"—",ROUND(IF(ABS($AM1455)&lt;=3,$AM1455,IF($AM1455&gt;3,3+($F1455-$AO1455)/($AO1455-$AN1455),-3+($F1455-$AQ1455)/($AP1455-$AQ1455))),2))</f>
        <v/>
      </c>
      <c r="P1455">
        <f>IF(OR($O1455="",$O1455="—"),"",IF($O1455&lt;-3,"Muito baixo",IF($O1455&lt;-2,"Baixo",IF($O1455&lt;=2,"Adequado","Elevado"))))</f>
        <v/>
      </c>
      <c r="Q1455" s="12">
        <f>IF(OR($S1455="",$F1455="",$T1455="",$T1455&lt;0,$T1455&gt;60,$AR1455=""),"—",ROUND(IF(ABS($AU1455)&lt;=3,$AU1455,IF($AU1455&gt;3,3+($F1455-$AW1455)/($AW1455-$AV1455),-3+($F1455-$AY1455)/($AX1455-$AY1455))),2))</f>
        <v/>
      </c>
      <c r="R1455">
        <f>IF(OR($Q1455="",$Q1455="—"),"",IF($Q1455&lt;-3,"Magreza acentuada",IF($Q1455&lt;-2,"Magreza",IF($Q1455&lt;=1,"Eutrofia",IF($Q1455&lt;=2,"Risco de sobrepeso",IF($Q1455&lt;=3,"Sobrepeso","Obesidade"))))))</f>
        <v/>
      </c>
      <c r="S1455">
        <f>IF($C1455="","",IF(UPPER(LEFT($C1455,1))="M",1,IF(UPPER(LEFT($C1455,1))="F",2,"")))</f>
        <v/>
      </c>
      <c r="T1455">
        <f>IF(OR($D1455="",$E1455=""),"",DATEDIF($D1455,$E1455,"m"))</f>
        <v/>
      </c>
      <c r="U1455">
        <f>IF(OR($D1455="",$E1455=""),"",$E1455-$D1455)</f>
        <v/>
      </c>
      <c r="V1455">
        <f>IF(OR($G1455="",$T1455=""),"",IF($T1455&lt;24,IF(LEFT(LOWER($H1455),4)="em p",$G1455+0.7,$G1455),IF(LEFT(LOWER($H1455),4)="deit",$G1455-0.7,$G1455)))</f>
        <v/>
      </c>
      <c r="W1455">
        <f>IF(OR($S1455="",$T1455=""),"",$S1455*1000000+IF($T1455&lt;=60,$U1455,$T1455))</f>
        <v/>
      </c>
      <c r="X1455">
        <f>IF(OR($S1455="",$V1455="",$T1455&gt;60,$T1455=""),"",$S1455*1000000+ROUND($V1455*10,0))</f>
        <v/>
      </c>
      <c r="Y1455">
        <f>IF($W1455="","",IFERROR(INDEX(IF($T1455&lt;=60,imc05_l,imc519_l),MATCH($W1455,IF($T1455&lt;=60,imc05_k,imc519_k),1)),""))</f>
        <v/>
      </c>
      <c r="Z1455">
        <f>IF($W1455="","",IFERROR(INDEX(IF($T1455&lt;=60,imc05_m,imc519_m),MATCH($W1455,IF($T1455&lt;=60,imc05_k,imc519_k),1)),""))</f>
        <v/>
      </c>
      <c r="AA1455">
        <f>IF($W1455="","",IFERROR(INDEX(IF($T1455&lt;=60,imc05_s,imc519_s),MATCH($W1455,IF($T1455&lt;=60,imc05_k,imc519_k),1)),""))</f>
        <v/>
      </c>
      <c r="AB1455">
        <f>IF($Y1455="","",IF($Y1455=0,LN($J1455/$Z1455)/$AA1455,((($J1455/$Z1455)^$Y1455)-1)/($Y1455*$AA1455)))</f>
        <v/>
      </c>
      <c r="AC1455">
        <f>IF($Y1455="","",IF($Y1455=0,$Z1455*EXP($AA1455*2),$Z1455*(1+$Y1455*$AA1455*2)^(1/$Y1455)))</f>
        <v/>
      </c>
      <c r="AD1455">
        <f>IF($Y1455="","",IF($Y1455=0,$Z1455*EXP($AA1455*3),$Z1455*(1+$Y1455*$AA1455*3)^(1/$Y1455)))</f>
        <v/>
      </c>
      <c r="AE1455">
        <f>IF($Y1455="","",IF($Y1455=0,$Z1455*EXP($AA1455*-2),$Z1455*(1+$Y1455*$AA1455*-2)^(1/$Y1455)))</f>
        <v/>
      </c>
      <c r="AF1455">
        <f>IF($Y1455="","",IF($Y1455=0,$Z1455*EXP($AA1455*-3),$Z1455*(1+$Y1455*$AA1455*-3)^(1/$Y1455)))</f>
        <v/>
      </c>
      <c r="AG1455">
        <f>IF($W1455="","",IFERROR(INDEX(IF($T1455&lt;=60,est05_l,est519_l),MATCH($W1455,IF($T1455&lt;=60,est05_k,est519_k),1)),""))</f>
        <v/>
      </c>
      <c r="AH1455">
        <f>IF($W1455="","",IFERROR(INDEX(IF($T1455&lt;=60,est05_m,est519_m),MATCH($W1455,IF($T1455&lt;=60,est05_k,est519_k),1)),""))</f>
        <v/>
      </c>
      <c r="AI1455">
        <f>IF($W1455="","",IFERROR(INDEX(IF($T1455&lt;=60,est05_s,est519_s),MATCH($W1455,IF($T1455&lt;=60,est05_k,est519_k),1)),""))</f>
        <v/>
      </c>
      <c r="AJ1455">
        <f>IF($W1455="","",IFERROR(INDEX(IF($T1455&lt;=60,peso05_l,peso510_l),MATCH($W1455,IF($T1455&lt;=60,peso05_k,peso510_k),1)),""))</f>
        <v/>
      </c>
      <c r="AK1455">
        <f>IF($W1455="","",IFERROR(INDEX(IF($T1455&lt;=60,peso05_m,peso510_m),MATCH($W1455,IF($T1455&lt;=60,peso05_k,peso510_k),1)),""))</f>
        <v/>
      </c>
      <c r="AL1455">
        <f>IF($W1455="","",IFERROR(INDEX(IF($T1455&lt;=60,peso05_s,peso510_s),MATCH($W1455,IF($T1455&lt;=60,peso05_k,peso510_k),1)),""))</f>
        <v/>
      </c>
      <c r="AM1455">
        <f>IF($AJ1455="","",IF($AJ1455=0,LN($F1455/$AK1455)/$AL1455,((($F1455/$AK1455)^$AJ1455)-1)/($AJ1455*$AL1455)))</f>
        <v/>
      </c>
      <c r="AN1455">
        <f>IF($AJ1455="","",IF($AJ1455=0,$AK1455*EXP($AL1455*2),$AK1455*(1+$AJ1455*$AL1455*2)^(1/$AJ1455)))</f>
        <v/>
      </c>
      <c r="AO1455">
        <f>IF($AJ1455="","",IF($AJ1455=0,$AK1455*EXP($AL1455*3),$AK1455*(1+$AJ1455*$AL1455*3)^(1/$AJ1455)))</f>
        <v/>
      </c>
      <c r="AP1455">
        <f>IF($AJ1455="","",IF($AJ1455=0,$AK1455*EXP($AL1455*-2),$AK1455*(1+$AJ1455*$AL1455*-2)^(1/$AJ1455)))</f>
        <v/>
      </c>
      <c r="AQ1455">
        <f>IF($AJ1455="","",IF($AJ1455=0,$AK1455*EXP($AL1455*-3),$AK1455*(1+$AJ1455*$AL1455*-3)^(1/$AJ1455)))</f>
        <v/>
      </c>
      <c r="AR1455">
        <f>IF(OR($X1455="",$T1455&gt;60),"",IFERROR(INDEX(IF($T1455&lt;24,pcomp_l,palt_l),MATCH($X1455,IF($T1455&lt;24,pcomp_k,palt_k),1)),""))</f>
        <v/>
      </c>
      <c r="AS1455">
        <f>IF(OR($X1455="",$T1455&gt;60),"",IFERROR(INDEX(IF($T1455&lt;24,pcomp_m,palt_m),MATCH($X1455,IF($T1455&lt;24,pcomp_k,palt_k),1)),""))</f>
        <v/>
      </c>
      <c r="AT1455">
        <f>IF(OR($X1455="",$T1455&gt;60),"",IFERROR(INDEX(IF($T1455&lt;24,pcomp_s,palt_s),MATCH($X1455,IF($T1455&lt;24,pcomp_k,palt_k),1)),""))</f>
        <v/>
      </c>
      <c r="AU1455">
        <f>IF($AR1455="","",IF($AR1455=0,LN($F1455/$AS1455)/$AT1455,((($F1455/$AS1455)^$AR1455)-1)/($AR1455*$AT1455)))</f>
        <v/>
      </c>
      <c r="AV1455">
        <f>IF($AR1455="","",IF($AR1455=0,$AS1455*EXP($AT1455*2),$AS1455*(1+$AR1455*$AT1455*2)^(1/$AR1455)))</f>
        <v/>
      </c>
      <c r="AW1455">
        <f>IF($AR1455="","",IF($AR1455=0,$AS1455*EXP($AT1455*3),$AS1455*(1+$AR1455*$AT1455*3)^(1/$AR1455)))</f>
        <v/>
      </c>
      <c r="AX1455">
        <f>IF($AR1455="","",IF($AR1455=0,$AS1455*EXP($AT1455*-2),$AS1455*(1+$AR1455*$AT1455*-2)^(1/$AR1455)))</f>
        <v/>
      </c>
      <c r="AY1455">
        <f>IF($AR1455="","",IF($AR1455=0,$AS1455*EXP($AT1455*-3),$AS1455*(1+$AR1455*$AT1455*-3)^(1/$AR1455)))</f>
        <v/>
      </c>
      <c r="AZ1455">
        <f>IF(OR($A1455="",$A1455&lt;&gt;Ficha!$C$4),"",COUNTIF($A$2:$A1455,Ficha!$C$4))</f>
        <v/>
      </c>
    </row>
    <row r="1456">
      <c r="A1456" s="8">
        <f>IF(INDEX(Banco!$A:$A,ROW())="","",INDEX(Banco!$A:$A,ROW()))</f>
        <v/>
      </c>
      <c r="B1456" s="8">
        <f>IF(INDEX(Banco!$B:$B,ROW())="","",INDEX(Banco!$B:$B,ROW()))</f>
        <v/>
      </c>
      <c r="C1456" s="8">
        <f>IF(INDEX(Banco!$C:$C,ROW())="","",INDEX(Banco!$C:$C,ROW()))</f>
        <v/>
      </c>
      <c r="D1456" s="9">
        <f>IF(INDEX(Banco!$D:$D,ROW())="","",INDEX(Banco!$D:$D,ROW()))</f>
        <v/>
      </c>
      <c r="E1456" s="9">
        <f>IF(INDEX(Banco!$E:$E,ROW())="","",INDEX(Banco!$E:$E,ROW()))</f>
        <v/>
      </c>
      <c r="F1456" s="10">
        <f>IF(INDEX(Banco!$F:$F,ROW())="","",INDEX(Banco!$F:$F,ROW()))</f>
        <v/>
      </c>
      <c r="G1456" s="10">
        <f>IF(INDEX(Banco!$G:$G,ROW())="","",INDEX(Banco!$G:$G,ROW()))</f>
        <v/>
      </c>
      <c r="H1456" s="8">
        <f>IF(INDEX(Banco!$H:$H,ROW())="","",INDEX(Banco!$H:$H,ROW()))</f>
        <v/>
      </c>
      <c r="I1456">
        <f>IF($T1456="","",INT($T1456/12)&amp;"a "&amp;MOD($T1456,12)&amp;"m")</f>
        <v/>
      </c>
      <c r="J1456" s="11">
        <f>IF(OR($F1456="",$G1456=""),"",ROUND($F1456/($G1456/100)^2,2))</f>
        <v/>
      </c>
      <c r="K1456" s="12">
        <f>IF(OR($S1456="",$J1456="",$T1456="",$T1456&lt;0,$T1456&gt;228,$Y1456=""),"—",ROUND(IF(ABS($AB1456)&lt;=3,$AB1456,IF($AB1456&gt;3,3+($J1456-$AD1456)/($AD1456-$AC1456),-3+($J1456-$AF1456)/($AE1456-$AF1456))),2))</f>
        <v/>
      </c>
      <c r="L1456">
        <f>IF(OR($K1456="",$K1456="—"),"",IF($T1456&lt;=60,IF($K1456&lt;-3,"Magreza acentuada",IF($K1456&lt;-2,"Magreza",IF($K1456&lt;=1,"Eutrofia",IF($K1456&lt;=2,"Risco de sobrepeso",IF($K1456&lt;=3,"Sobrepeso","Obesidade"))))),IF($K1456&lt;-3,"Magreza acentuada",IF($K1456&lt;-2,"Magreza",IF($K1456&lt;=1,"Eutrofia",IF($K1456&lt;=2,"Sobrepeso",IF($K1456&lt;=3,"Obesidade","Obesidade grave")))))))</f>
        <v/>
      </c>
      <c r="M1456" s="12">
        <f>IF(OR($S1456="",$V1456="",$T1456="",$T1456&lt;0,$T1456&gt;228,$AG1456=""),"—",ROUND(IF($AG1456=0,LN($V1456/$AH1456)/$AI1456,((($V1456/$AH1456)^$AG1456)-1)/($AG1456*$AI1456)),2))</f>
        <v/>
      </c>
      <c r="N1456">
        <f>IF(OR($M1456="",$M1456="—"),"",IF($M1456&lt;-3,"Muito baixa",IF($M1456&lt;-2,"Baixa","Adequada")))</f>
        <v/>
      </c>
      <c r="O1456" s="12">
        <f>IF(OR($S1456="",$F1456="",$T1456="",$T1456&lt;0,$T1456&gt;120,$AJ1456=""),"—",ROUND(IF(ABS($AM1456)&lt;=3,$AM1456,IF($AM1456&gt;3,3+($F1456-$AO1456)/($AO1456-$AN1456),-3+($F1456-$AQ1456)/($AP1456-$AQ1456))),2))</f>
        <v/>
      </c>
      <c r="P1456">
        <f>IF(OR($O1456="",$O1456="—"),"",IF($O1456&lt;-3,"Muito baixo",IF($O1456&lt;-2,"Baixo",IF($O1456&lt;=2,"Adequado","Elevado"))))</f>
        <v/>
      </c>
      <c r="Q1456" s="12">
        <f>IF(OR($S1456="",$F1456="",$T1456="",$T1456&lt;0,$T1456&gt;60,$AR1456=""),"—",ROUND(IF(ABS($AU1456)&lt;=3,$AU1456,IF($AU1456&gt;3,3+($F1456-$AW1456)/($AW1456-$AV1456),-3+($F1456-$AY1456)/($AX1456-$AY1456))),2))</f>
        <v/>
      </c>
      <c r="R1456">
        <f>IF(OR($Q1456="",$Q1456="—"),"",IF($Q1456&lt;-3,"Magreza acentuada",IF($Q1456&lt;-2,"Magreza",IF($Q1456&lt;=1,"Eutrofia",IF($Q1456&lt;=2,"Risco de sobrepeso",IF($Q1456&lt;=3,"Sobrepeso","Obesidade"))))))</f>
        <v/>
      </c>
      <c r="S1456">
        <f>IF($C1456="","",IF(UPPER(LEFT($C1456,1))="M",1,IF(UPPER(LEFT($C1456,1))="F",2,"")))</f>
        <v/>
      </c>
      <c r="T1456">
        <f>IF(OR($D1456="",$E1456=""),"",DATEDIF($D1456,$E1456,"m"))</f>
        <v/>
      </c>
      <c r="U1456">
        <f>IF(OR($D1456="",$E1456=""),"",$E1456-$D1456)</f>
        <v/>
      </c>
      <c r="V1456">
        <f>IF(OR($G1456="",$T1456=""),"",IF($T1456&lt;24,IF(LEFT(LOWER($H1456),4)="em p",$G1456+0.7,$G1456),IF(LEFT(LOWER($H1456),4)="deit",$G1456-0.7,$G1456)))</f>
        <v/>
      </c>
      <c r="W1456">
        <f>IF(OR($S1456="",$T1456=""),"",$S1456*1000000+IF($T1456&lt;=60,$U1456,$T1456))</f>
        <v/>
      </c>
      <c r="X1456">
        <f>IF(OR($S1456="",$V1456="",$T1456&gt;60,$T1456=""),"",$S1456*1000000+ROUND($V1456*10,0))</f>
        <v/>
      </c>
      <c r="Y1456">
        <f>IF($W1456="","",IFERROR(INDEX(IF($T1456&lt;=60,imc05_l,imc519_l),MATCH($W1456,IF($T1456&lt;=60,imc05_k,imc519_k),1)),""))</f>
        <v/>
      </c>
      <c r="Z1456">
        <f>IF($W1456="","",IFERROR(INDEX(IF($T1456&lt;=60,imc05_m,imc519_m),MATCH($W1456,IF($T1456&lt;=60,imc05_k,imc519_k),1)),""))</f>
        <v/>
      </c>
      <c r="AA1456">
        <f>IF($W1456="","",IFERROR(INDEX(IF($T1456&lt;=60,imc05_s,imc519_s),MATCH($W1456,IF($T1456&lt;=60,imc05_k,imc519_k),1)),""))</f>
        <v/>
      </c>
      <c r="AB1456">
        <f>IF($Y1456="","",IF($Y1456=0,LN($J1456/$Z1456)/$AA1456,((($J1456/$Z1456)^$Y1456)-1)/($Y1456*$AA1456)))</f>
        <v/>
      </c>
      <c r="AC1456">
        <f>IF($Y1456="","",IF($Y1456=0,$Z1456*EXP($AA1456*2),$Z1456*(1+$Y1456*$AA1456*2)^(1/$Y1456)))</f>
        <v/>
      </c>
      <c r="AD1456">
        <f>IF($Y1456="","",IF($Y1456=0,$Z1456*EXP($AA1456*3),$Z1456*(1+$Y1456*$AA1456*3)^(1/$Y1456)))</f>
        <v/>
      </c>
      <c r="AE1456">
        <f>IF($Y1456="","",IF($Y1456=0,$Z1456*EXP($AA1456*-2),$Z1456*(1+$Y1456*$AA1456*-2)^(1/$Y1456)))</f>
        <v/>
      </c>
      <c r="AF1456">
        <f>IF($Y1456="","",IF($Y1456=0,$Z1456*EXP($AA1456*-3),$Z1456*(1+$Y1456*$AA1456*-3)^(1/$Y1456)))</f>
        <v/>
      </c>
      <c r="AG1456">
        <f>IF($W1456="","",IFERROR(INDEX(IF($T1456&lt;=60,est05_l,est519_l),MATCH($W1456,IF($T1456&lt;=60,est05_k,est519_k),1)),""))</f>
        <v/>
      </c>
      <c r="AH1456">
        <f>IF($W1456="","",IFERROR(INDEX(IF($T1456&lt;=60,est05_m,est519_m),MATCH($W1456,IF($T1456&lt;=60,est05_k,est519_k),1)),""))</f>
        <v/>
      </c>
      <c r="AI1456">
        <f>IF($W1456="","",IFERROR(INDEX(IF($T1456&lt;=60,est05_s,est519_s),MATCH($W1456,IF($T1456&lt;=60,est05_k,est519_k),1)),""))</f>
        <v/>
      </c>
      <c r="AJ1456">
        <f>IF($W1456="","",IFERROR(INDEX(IF($T1456&lt;=60,peso05_l,peso510_l),MATCH($W1456,IF($T1456&lt;=60,peso05_k,peso510_k),1)),""))</f>
        <v/>
      </c>
      <c r="AK1456">
        <f>IF($W1456="","",IFERROR(INDEX(IF($T1456&lt;=60,peso05_m,peso510_m),MATCH($W1456,IF($T1456&lt;=60,peso05_k,peso510_k),1)),""))</f>
        <v/>
      </c>
      <c r="AL1456">
        <f>IF($W1456="","",IFERROR(INDEX(IF($T1456&lt;=60,peso05_s,peso510_s),MATCH($W1456,IF($T1456&lt;=60,peso05_k,peso510_k),1)),""))</f>
        <v/>
      </c>
      <c r="AM1456">
        <f>IF($AJ1456="","",IF($AJ1456=0,LN($F1456/$AK1456)/$AL1456,((($F1456/$AK1456)^$AJ1456)-1)/($AJ1456*$AL1456)))</f>
        <v/>
      </c>
      <c r="AN1456">
        <f>IF($AJ1456="","",IF($AJ1456=0,$AK1456*EXP($AL1456*2),$AK1456*(1+$AJ1456*$AL1456*2)^(1/$AJ1456)))</f>
        <v/>
      </c>
      <c r="AO1456">
        <f>IF($AJ1456="","",IF($AJ1456=0,$AK1456*EXP($AL1456*3),$AK1456*(1+$AJ1456*$AL1456*3)^(1/$AJ1456)))</f>
        <v/>
      </c>
      <c r="AP1456">
        <f>IF($AJ1456="","",IF($AJ1456=0,$AK1456*EXP($AL1456*-2),$AK1456*(1+$AJ1456*$AL1456*-2)^(1/$AJ1456)))</f>
        <v/>
      </c>
      <c r="AQ1456">
        <f>IF($AJ1456="","",IF($AJ1456=0,$AK1456*EXP($AL1456*-3),$AK1456*(1+$AJ1456*$AL1456*-3)^(1/$AJ1456)))</f>
        <v/>
      </c>
      <c r="AR1456">
        <f>IF(OR($X1456="",$T1456&gt;60),"",IFERROR(INDEX(IF($T1456&lt;24,pcomp_l,palt_l),MATCH($X1456,IF($T1456&lt;24,pcomp_k,palt_k),1)),""))</f>
        <v/>
      </c>
      <c r="AS1456">
        <f>IF(OR($X1456="",$T1456&gt;60),"",IFERROR(INDEX(IF($T1456&lt;24,pcomp_m,palt_m),MATCH($X1456,IF($T1456&lt;24,pcomp_k,palt_k),1)),""))</f>
        <v/>
      </c>
      <c r="AT1456">
        <f>IF(OR($X1456="",$T1456&gt;60),"",IFERROR(INDEX(IF($T1456&lt;24,pcomp_s,palt_s),MATCH($X1456,IF($T1456&lt;24,pcomp_k,palt_k),1)),""))</f>
        <v/>
      </c>
      <c r="AU1456">
        <f>IF($AR1456="","",IF($AR1456=0,LN($F1456/$AS1456)/$AT1456,((($F1456/$AS1456)^$AR1456)-1)/($AR1456*$AT1456)))</f>
        <v/>
      </c>
      <c r="AV1456">
        <f>IF($AR1456="","",IF($AR1456=0,$AS1456*EXP($AT1456*2),$AS1456*(1+$AR1456*$AT1456*2)^(1/$AR1456)))</f>
        <v/>
      </c>
      <c r="AW1456">
        <f>IF($AR1456="","",IF($AR1456=0,$AS1456*EXP($AT1456*3),$AS1456*(1+$AR1456*$AT1456*3)^(1/$AR1456)))</f>
        <v/>
      </c>
      <c r="AX1456">
        <f>IF($AR1456="","",IF($AR1456=0,$AS1456*EXP($AT1456*-2),$AS1456*(1+$AR1456*$AT1456*-2)^(1/$AR1456)))</f>
        <v/>
      </c>
      <c r="AY1456">
        <f>IF($AR1456="","",IF($AR1456=0,$AS1456*EXP($AT1456*-3),$AS1456*(1+$AR1456*$AT1456*-3)^(1/$AR1456)))</f>
        <v/>
      </c>
      <c r="AZ1456">
        <f>IF(OR($A1456="",$A1456&lt;&gt;Ficha!$C$4),"",COUNTIF($A$2:$A1456,Ficha!$C$4))</f>
        <v/>
      </c>
    </row>
    <row r="1457">
      <c r="A1457" s="8">
        <f>IF(INDEX(Banco!$A:$A,ROW())="","",INDEX(Banco!$A:$A,ROW()))</f>
        <v/>
      </c>
      <c r="B1457" s="8">
        <f>IF(INDEX(Banco!$B:$B,ROW())="","",INDEX(Banco!$B:$B,ROW()))</f>
        <v/>
      </c>
      <c r="C1457" s="8">
        <f>IF(INDEX(Banco!$C:$C,ROW())="","",INDEX(Banco!$C:$C,ROW()))</f>
        <v/>
      </c>
      <c r="D1457" s="9">
        <f>IF(INDEX(Banco!$D:$D,ROW())="","",INDEX(Banco!$D:$D,ROW()))</f>
        <v/>
      </c>
      <c r="E1457" s="9">
        <f>IF(INDEX(Banco!$E:$E,ROW())="","",INDEX(Banco!$E:$E,ROW()))</f>
        <v/>
      </c>
      <c r="F1457" s="10">
        <f>IF(INDEX(Banco!$F:$F,ROW())="","",INDEX(Banco!$F:$F,ROW()))</f>
        <v/>
      </c>
      <c r="G1457" s="10">
        <f>IF(INDEX(Banco!$G:$G,ROW())="","",INDEX(Banco!$G:$G,ROW()))</f>
        <v/>
      </c>
      <c r="H1457" s="8">
        <f>IF(INDEX(Banco!$H:$H,ROW())="","",INDEX(Banco!$H:$H,ROW()))</f>
        <v/>
      </c>
      <c r="I1457">
        <f>IF($T1457="","",INT($T1457/12)&amp;"a "&amp;MOD($T1457,12)&amp;"m")</f>
        <v/>
      </c>
      <c r="J1457" s="11">
        <f>IF(OR($F1457="",$G1457=""),"",ROUND($F1457/($G1457/100)^2,2))</f>
        <v/>
      </c>
      <c r="K1457" s="12">
        <f>IF(OR($S1457="",$J1457="",$T1457="",$T1457&lt;0,$T1457&gt;228,$Y1457=""),"—",ROUND(IF(ABS($AB1457)&lt;=3,$AB1457,IF($AB1457&gt;3,3+($J1457-$AD1457)/($AD1457-$AC1457),-3+($J1457-$AF1457)/($AE1457-$AF1457))),2))</f>
        <v/>
      </c>
      <c r="L1457">
        <f>IF(OR($K1457="",$K1457="—"),"",IF($T1457&lt;=60,IF($K1457&lt;-3,"Magreza acentuada",IF($K1457&lt;-2,"Magreza",IF($K1457&lt;=1,"Eutrofia",IF($K1457&lt;=2,"Risco de sobrepeso",IF($K1457&lt;=3,"Sobrepeso","Obesidade"))))),IF($K1457&lt;-3,"Magreza acentuada",IF($K1457&lt;-2,"Magreza",IF($K1457&lt;=1,"Eutrofia",IF($K1457&lt;=2,"Sobrepeso",IF($K1457&lt;=3,"Obesidade","Obesidade grave")))))))</f>
        <v/>
      </c>
      <c r="M1457" s="12">
        <f>IF(OR($S1457="",$V1457="",$T1457="",$T1457&lt;0,$T1457&gt;228,$AG1457=""),"—",ROUND(IF($AG1457=0,LN($V1457/$AH1457)/$AI1457,((($V1457/$AH1457)^$AG1457)-1)/($AG1457*$AI1457)),2))</f>
        <v/>
      </c>
      <c r="N1457">
        <f>IF(OR($M1457="",$M1457="—"),"",IF($M1457&lt;-3,"Muito baixa",IF($M1457&lt;-2,"Baixa","Adequada")))</f>
        <v/>
      </c>
      <c r="O1457" s="12">
        <f>IF(OR($S1457="",$F1457="",$T1457="",$T1457&lt;0,$T1457&gt;120,$AJ1457=""),"—",ROUND(IF(ABS($AM1457)&lt;=3,$AM1457,IF($AM1457&gt;3,3+($F1457-$AO1457)/($AO1457-$AN1457),-3+($F1457-$AQ1457)/($AP1457-$AQ1457))),2))</f>
        <v/>
      </c>
      <c r="P1457">
        <f>IF(OR($O1457="",$O1457="—"),"",IF($O1457&lt;-3,"Muito baixo",IF($O1457&lt;-2,"Baixo",IF($O1457&lt;=2,"Adequado","Elevado"))))</f>
        <v/>
      </c>
      <c r="Q1457" s="12">
        <f>IF(OR($S1457="",$F1457="",$T1457="",$T1457&lt;0,$T1457&gt;60,$AR1457=""),"—",ROUND(IF(ABS($AU1457)&lt;=3,$AU1457,IF($AU1457&gt;3,3+($F1457-$AW1457)/($AW1457-$AV1457),-3+($F1457-$AY1457)/($AX1457-$AY1457))),2))</f>
        <v/>
      </c>
      <c r="R1457">
        <f>IF(OR($Q1457="",$Q1457="—"),"",IF($Q1457&lt;-3,"Magreza acentuada",IF($Q1457&lt;-2,"Magreza",IF($Q1457&lt;=1,"Eutrofia",IF($Q1457&lt;=2,"Risco de sobrepeso",IF($Q1457&lt;=3,"Sobrepeso","Obesidade"))))))</f>
        <v/>
      </c>
      <c r="S1457">
        <f>IF($C1457="","",IF(UPPER(LEFT($C1457,1))="M",1,IF(UPPER(LEFT($C1457,1))="F",2,"")))</f>
        <v/>
      </c>
      <c r="T1457">
        <f>IF(OR($D1457="",$E1457=""),"",DATEDIF($D1457,$E1457,"m"))</f>
        <v/>
      </c>
      <c r="U1457">
        <f>IF(OR($D1457="",$E1457=""),"",$E1457-$D1457)</f>
        <v/>
      </c>
      <c r="V1457">
        <f>IF(OR($G1457="",$T1457=""),"",IF($T1457&lt;24,IF(LEFT(LOWER($H1457),4)="em p",$G1457+0.7,$G1457),IF(LEFT(LOWER($H1457),4)="deit",$G1457-0.7,$G1457)))</f>
        <v/>
      </c>
      <c r="W1457">
        <f>IF(OR($S1457="",$T1457=""),"",$S1457*1000000+IF($T1457&lt;=60,$U1457,$T1457))</f>
        <v/>
      </c>
      <c r="X1457">
        <f>IF(OR($S1457="",$V1457="",$T1457&gt;60,$T1457=""),"",$S1457*1000000+ROUND($V1457*10,0))</f>
        <v/>
      </c>
      <c r="Y1457">
        <f>IF($W1457="","",IFERROR(INDEX(IF($T1457&lt;=60,imc05_l,imc519_l),MATCH($W1457,IF($T1457&lt;=60,imc05_k,imc519_k),1)),""))</f>
        <v/>
      </c>
      <c r="Z1457">
        <f>IF($W1457="","",IFERROR(INDEX(IF($T1457&lt;=60,imc05_m,imc519_m),MATCH($W1457,IF($T1457&lt;=60,imc05_k,imc519_k),1)),""))</f>
        <v/>
      </c>
      <c r="AA1457">
        <f>IF($W1457="","",IFERROR(INDEX(IF($T1457&lt;=60,imc05_s,imc519_s),MATCH($W1457,IF($T1457&lt;=60,imc05_k,imc519_k),1)),""))</f>
        <v/>
      </c>
      <c r="AB1457">
        <f>IF($Y1457="","",IF($Y1457=0,LN($J1457/$Z1457)/$AA1457,((($J1457/$Z1457)^$Y1457)-1)/($Y1457*$AA1457)))</f>
        <v/>
      </c>
      <c r="AC1457">
        <f>IF($Y1457="","",IF($Y1457=0,$Z1457*EXP($AA1457*2),$Z1457*(1+$Y1457*$AA1457*2)^(1/$Y1457)))</f>
        <v/>
      </c>
      <c r="AD1457">
        <f>IF($Y1457="","",IF($Y1457=0,$Z1457*EXP($AA1457*3),$Z1457*(1+$Y1457*$AA1457*3)^(1/$Y1457)))</f>
        <v/>
      </c>
      <c r="AE1457">
        <f>IF($Y1457="","",IF($Y1457=0,$Z1457*EXP($AA1457*-2),$Z1457*(1+$Y1457*$AA1457*-2)^(1/$Y1457)))</f>
        <v/>
      </c>
      <c r="AF1457">
        <f>IF($Y1457="","",IF($Y1457=0,$Z1457*EXP($AA1457*-3),$Z1457*(1+$Y1457*$AA1457*-3)^(1/$Y1457)))</f>
        <v/>
      </c>
      <c r="AG1457">
        <f>IF($W1457="","",IFERROR(INDEX(IF($T1457&lt;=60,est05_l,est519_l),MATCH($W1457,IF($T1457&lt;=60,est05_k,est519_k),1)),""))</f>
        <v/>
      </c>
      <c r="AH1457">
        <f>IF($W1457="","",IFERROR(INDEX(IF($T1457&lt;=60,est05_m,est519_m),MATCH($W1457,IF($T1457&lt;=60,est05_k,est519_k),1)),""))</f>
        <v/>
      </c>
      <c r="AI1457">
        <f>IF($W1457="","",IFERROR(INDEX(IF($T1457&lt;=60,est05_s,est519_s),MATCH($W1457,IF($T1457&lt;=60,est05_k,est519_k),1)),""))</f>
        <v/>
      </c>
      <c r="AJ1457">
        <f>IF($W1457="","",IFERROR(INDEX(IF($T1457&lt;=60,peso05_l,peso510_l),MATCH($W1457,IF($T1457&lt;=60,peso05_k,peso510_k),1)),""))</f>
        <v/>
      </c>
      <c r="AK1457">
        <f>IF($W1457="","",IFERROR(INDEX(IF($T1457&lt;=60,peso05_m,peso510_m),MATCH($W1457,IF($T1457&lt;=60,peso05_k,peso510_k),1)),""))</f>
        <v/>
      </c>
      <c r="AL1457">
        <f>IF($W1457="","",IFERROR(INDEX(IF($T1457&lt;=60,peso05_s,peso510_s),MATCH($W1457,IF($T1457&lt;=60,peso05_k,peso510_k),1)),""))</f>
        <v/>
      </c>
      <c r="AM1457">
        <f>IF($AJ1457="","",IF($AJ1457=0,LN($F1457/$AK1457)/$AL1457,((($F1457/$AK1457)^$AJ1457)-1)/($AJ1457*$AL1457)))</f>
        <v/>
      </c>
      <c r="AN1457">
        <f>IF($AJ1457="","",IF($AJ1457=0,$AK1457*EXP($AL1457*2),$AK1457*(1+$AJ1457*$AL1457*2)^(1/$AJ1457)))</f>
        <v/>
      </c>
      <c r="AO1457">
        <f>IF($AJ1457="","",IF($AJ1457=0,$AK1457*EXP($AL1457*3),$AK1457*(1+$AJ1457*$AL1457*3)^(1/$AJ1457)))</f>
        <v/>
      </c>
      <c r="AP1457">
        <f>IF($AJ1457="","",IF($AJ1457=0,$AK1457*EXP($AL1457*-2),$AK1457*(1+$AJ1457*$AL1457*-2)^(1/$AJ1457)))</f>
        <v/>
      </c>
      <c r="AQ1457">
        <f>IF($AJ1457="","",IF($AJ1457=0,$AK1457*EXP($AL1457*-3),$AK1457*(1+$AJ1457*$AL1457*-3)^(1/$AJ1457)))</f>
        <v/>
      </c>
      <c r="AR1457">
        <f>IF(OR($X1457="",$T1457&gt;60),"",IFERROR(INDEX(IF($T1457&lt;24,pcomp_l,palt_l),MATCH($X1457,IF($T1457&lt;24,pcomp_k,palt_k),1)),""))</f>
        <v/>
      </c>
      <c r="AS1457">
        <f>IF(OR($X1457="",$T1457&gt;60),"",IFERROR(INDEX(IF($T1457&lt;24,pcomp_m,palt_m),MATCH($X1457,IF($T1457&lt;24,pcomp_k,palt_k),1)),""))</f>
        <v/>
      </c>
      <c r="AT1457">
        <f>IF(OR($X1457="",$T1457&gt;60),"",IFERROR(INDEX(IF($T1457&lt;24,pcomp_s,palt_s),MATCH($X1457,IF($T1457&lt;24,pcomp_k,palt_k),1)),""))</f>
        <v/>
      </c>
      <c r="AU1457">
        <f>IF($AR1457="","",IF($AR1457=0,LN($F1457/$AS1457)/$AT1457,((($F1457/$AS1457)^$AR1457)-1)/($AR1457*$AT1457)))</f>
        <v/>
      </c>
      <c r="AV1457">
        <f>IF($AR1457="","",IF($AR1457=0,$AS1457*EXP($AT1457*2),$AS1457*(1+$AR1457*$AT1457*2)^(1/$AR1457)))</f>
        <v/>
      </c>
      <c r="AW1457">
        <f>IF($AR1457="","",IF($AR1457=0,$AS1457*EXP($AT1457*3),$AS1457*(1+$AR1457*$AT1457*3)^(1/$AR1457)))</f>
        <v/>
      </c>
      <c r="AX1457">
        <f>IF($AR1457="","",IF($AR1457=0,$AS1457*EXP($AT1457*-2),$AS1457*(1+$AR1457*$AT1457*-2)^(1/$AR1457)))</f>
        <v/>
      </c>
      <c r="AY1457">
        <f>IF($AR1457="","",IF($AR1457=0,$AS1457*EXP($AT1457*-3),$AS1457*(1+$AR1457*$AT1457*-3)^(1/$AR1457)))</f>
        <v/>
      </c>
      <c r="AZ1457">
        <f>IF(OR($A1457="",$A1457&lt;&gt;Ficha!$C$4),"",COUNTIF($A$2:$A1457,Ficha!$C$4))</f>
        <v/>
      </c>
    </row>
    <row r="1458">
      <c r="A1458" s="8">
        <f>IF(INDEX(Banco!$A:$A,ROW())="","",INDEX(Banco!$A:$A,ROW()))</f>
        <v/>
      </c>
      <c r="B1458" s="8">
        <f>IF(INDEX(Banco!$B:$B,ROW())="","",INDEX(Banco!$B:$B,ROW()))</f>
        <v/>
      </c>
      <c r="C1458" s="8">
        <f>IF(INDEX(Banco!$C:$C,ROW())="","",INDEX(Banco!$C:$C,ROW()))</f>
        <v/>
      </c>
      <c r="D1458" s="9">
        <f>IF(INDEX(Banco!$D:$D,ROW())="","",INDEX(Banco!$D:$D,ROW()))</f>
        <v/>
      </c>
      <c r="E1458" s="9">
        <f>IF(INDEX(Banco!$E:$E,ROW())="","",INDEX(Banco!$E:$E,ROW()))</f>
        <v/>
      </c>
      <c r="F1458" s="10">
        <f>IF(INDEX(Banco!$F:$F,ROW())="","",INDEX(Banco!$F:$F,ROW()))</f>
        <v/>
      </c>
      <c r="G1458" s="10">
        <f>IF(INDEX(Banco!$G:$G,ROW())="","",INDEX(Banco!$G:$G,ROW()))</f>
        <v/>
      </c>
      <c r="H1458" s="8">
        <f>IF(INDEX(Banco!$H:$H,ROW())="","",INDEX(Banco!$H:$H,ROW()))</f>
        <v/>
      </c>
      <c r="I1458">
        <f>IF($T1458="","",INT($T1458/12)&amp;"a "&amp;MOD($T1458,12)&amp;"m")</f>
        <v/>
      </c>
      <c r="J1458" s="11">
        <f>IF(OR($F1458="",$G1458=""),"",ROUND($F1458/($G1458/100)^2,2))</f>
        <v/>
      </c>
      <c r="K1458" s="12">
        <f>IF(OR($S1458="",$J1458="",$T1458="",$T1458&lt;0,$T1458&gt;228,$Y1458=""),"—",ROUND(IF(ABS($AB1458)&lt;=3,$AB1458,IF($AB1458&gt;3,3+($J1458-$AD1458)/($AD1458-$AC1458),-3+($J1458-$AF1458)/($AE1458-$AF1458))),2))</f>
        <v/>
      </c>
      <c r="L1458">
        <f>IF(OR($K1458="",$K1458="—"),"",IF($T1458&lt;=60,IF($K1458&lt;-3,"Magreza acentuada",IF($K1458&lt;-2,"Magreza",IF($K1458&lt;=1,"Eutrofia",IF($K1458&lt;=2,"Risco de sobrepeso",IF($K1458&lt;=3,"Sobrepeso","Obesidade"))))),IF($K1458&lt;-3,"Magreza acentuada",IF($K1458&lt;-2,"Magreza",IF($K1458&lt;=1,"Eutrofia",IF($K1458&lt;=2,"Sobrepeso",IF($K1458&lt;=3,"Obesidade","Obesidade grave")))))))</f>
        <v/>
      </c>
      <c r="M1458" s="12">
        <f>IF(OR($S1458="",$V1458="",$T1458="",$T1458&lt;0,$T1458&gt;228,$AG1458=""),"—",ROUND(IF($AG1458=0,LN($V1458/$AH1458)/$AI1458,((($V1458/$AH1458)^$AG1458)-1)/($AG1458*$AI1458)),2))</f>
        <v/>
      </c>
      <c r="N1458">
        <f>IF(OR($M1458="",$M1458="—"),"",IF($M1458&lt;-3,"Muito baixa",IF($M1458&lt;-2,"Baixa","Adequada")))</f>
        <v/>
      </c>
      <c r="O1458" s="12">
        <f>IF(OR($S1458="",$F1458="",$T1458="",$T1458&lt;0,$T1458&gt;120,$AJ1458=""),"—",ROUND(IF(ABS($AM1458)&lt;=3,$AM1458,IF($AM1458&gt;3,3+($F1458-$AO1458)/($AO1458-$AN1458),-3+($F1458-$AQ1458)/($AP1458-$AQ1458))),2))</f>
        <v/>
      </c>
      <c r="P1458">
        <f>IF(OR($O1458="",$O1458="—"),"",IF($O1458&lt;-3,"Muito baixo",IF($O1458&lt;-2,"Baixo",IF($O1458&lt;=2,"Adequado","Elevado"))))</f>
        <v/>
      </c>
      <c r="Q1458" s="12">
        <f>IF(OR($S1458="",$F1458="",$T1458="",$T1458&lt;0,$T1458&gt;60,$AR1458=""),"—",ROUND(IF(ABS($AU1458)&lt;=3,$AU1458,IF($AU1458&gt;3,3+($F1458-$AW1458)/($AW1458-$AV1458),-3+($F1458-$AY1458)/($AX1458-$AY1458))),2))</f>
        <v/>
      </c>
      <c r="R1458">
        <f>IF(OR($Q1458="",$Q1458="—"),"",IF($Q1458&lt;-3,"Magreza acentuada",IF($Q1458&lt;-2,"Magreza",IF($Q1458&lt;=1,"Eutrofia",IF($Q1458&lt;=2,"Risco de sobrepeso",IF($Q1458&lt;=3,"Sobrepeso","Obesidade"))))))</f>
        <v/>
      </c>
      <c r="S1458">
        <f>IF($C1458="","",IF(UPPER(LEFT($C1458,1))="M",1,IF(UPPER(LEFT($C1458,1))="F",2,"")))</f>
        <v/>
      </c>
      <c r="T1458">
        <f>IF(OR($D1458="",$E1458=""),"",DATEDIF($D1458,$E1458,"m"))</f>
        <v/>
      </c>
      <c r="U1458">
        <f>IF(OR($D1458="",$E1458=""),"",$E1458-$D1458)</f>
        <v/>
      </c>
      <c r="V1458">
        <f>IF(OR($G1458="",$T1458=""),"",IF($T1458&lt;24,IF(LEFT(LOWER($H1458),4)="em p",$G1458+0.7,$G1458),IF(LEFT(LOWER($H1458),4)="deit",$G1458-0.7,$G1458)))</f>
        <v/>
      </c>
      <c r="W1458">
        <f>IF(OR($S1458="",$T1458=""),"",$S1458*1000000+IF($T1458&lt;=60,$U1458,$T1458))</f>
        <v/>
      </c>
      <c r="X1458">
        <f>IF(OR($S1458="",$V1458="",$T1458&gt;60,$T1458=""),"",$S1458*1000000+ROUND($V1458*10,0))</f>
        <v/>
      </c>
      <c r="Y1458">
        <f>IF($W1458="","",IFERROR(INDEX(IF($T1458&lt;=60,imc05_l,imc519_l),MATCH($W1458,IF($T1458&lt;=60,imc05_k,imc519_k),1)),""))</f>
        <v/>
      </c>
      <c r="Z1458">
        <f>IF($W1458="","",IFERROR(INDEX(IF($T1458&lt;=60,imc05_m,imc519_m),MATCH($W1458,IF($T1458&lt;=60,imc05_k,imc519_k),1)),""))</f>
        <v/>
      </c>
      <c r="AA1458">
        <f>IF($W1458="","",IFERROR(INDEX(IF($T1458&lt;=60,imc05_s,imc519_s),MATCH($W1458,IF($T1458&lt;=60,imc05_k,imc519_k),1)),""))</f>
        <v/>
      </c>
      <c r="AB1458">
        <f>IF($Y1458="","",IF($Y1458=0,LN($J1458/$Z1458)/$AA1458,((($J1458/$Z1458)^$Y1458)-1)/($Y1458*$AA1458)))</f>
        <v/>
      </c>
      <c r="AC1458">
        <f>IF($Y1458="","",IF($Y1458=0,$Z1458*EXP($AA1458*2),$Z1458*(1+$Y1458*$AA1458*2)^(1/$Y1458)))</f>
        <v/>
      </c>
      <c r="AD1458">
        <f>IF($Y1458="","",IF($Y1458=0,$Z1458*EXP($AA1458*3),$Z1458*(1+$Y1458*$AA1458*3)^(1/$Y1458)))</f>
        <v/>
      </c>
      <c r="AE1458">
        <f>IF($Y1458="","",IF($Y1458=0,$Z1458*EXP($AA1458*-2),$Z1458*(1+$Y1458*$AA1458*-2)^(1/$Y1458)))</f>
        <v/>
      </c>
      <c r="AF1458">
        <f>IF($Y1458="","",IF($Y1458=0,$Z1458*EXP($AA1458*-3),$Z1458*(1+$Y1458*$AA1458*-3)^(1/$Y1458)))</f>
        <v/>
      </c>
      <c r="AG1458">
        <f>IF($W1458="","",IFERROR(INDEX(IF($T1458&lt;=60,est05_l,est519_l),MATCH($W1458,IF($T1458&lt;=60,est05_k,est519_k),1)),""))</f>
        <v/>
      </c>
      <c r="AH1458">
        <f>IF($W1458="","",IFERROR(INDEX(IF($T1458&lt;=60,est05_m,est519_m),MATCH($W1458,IF($T1458&lt;=60,est05_k,est519_k),1)),""))</f>
        <v/>
      </c>
      <c r="AI1458">
        <f>IF($W1458="","",IFERROR(INDEX(IF($T1458&lt;=60,est05_s,est519_s),MATCH($W1458,IF($T1458&lt;=60,est05_k,est519_k),1)),""))</f>
        <v/>
      </c>
      <c r="AJ1458">
        <f>IF($W1458="","",IFERROR(INDEX(IF($T1458&lt;=60,peso05_l,peso510_l),MATCH($W1458,IF($T1458&lt;=60,peso05_k,peso510_k),1)),""))</f>
        <v/>
      </c>
      <c r="AK1458">
        <f>IF($W1458="","",IFERROR(INDEX(IF($T1458&lt;=60,peso05_m,peso510_m),MATCH($W1458,IF($T1458&lt;=60,peso05_k,peso510_k),1)),""))</f>
        <v/>
      </c>
      <c r="AL1458">
        <f>IF($W1458="","",IFERROR(INDEX(IF($T1458&lt;=60,peso05_s,peso510_s),MATCH($W1458,IF($T1458&lt;=60,peso05_k,peso510_k),1)),""))</f>
        <v/>
      </c>
      <c r="AM1458">
        <f>IF($AJ1458="","",IF($AJ1458=0,LN($F1458/$AK1458)/$AL1458,((($F1458/$AK1458)^$AJ1458)-1)/($AJ1458*$AL1458)))</f>
        <v/>
      </c>
      <c r="AN1458">
        <f>IF($AJ1458="","",IF($AJ1458=0,$AK1458*EXP($AL1458*2),$AK1458*(1+$AJ1458*$AL1458*2)^(1/$AJ1458)))</f>
        <v/>
      </c>
      <c r="AO1458">
        <f>IF($AJ1458="","",IF($AJ1458=0,$AK1458*EXP($AL1458*3),$AK1458*(1+$AJ1458*$AL1458*3)^(1/$AJ1458)))</f>
        <v/>
      </c>
      <c r="AP1458">
        <f>IF($AJ1458="","",IF($AJ1458=0,$AK1458*EXP($AL1458*-2),$AK1458*(1+$AJ1458*$AL1458*-2)^(1/$AJ1458)))</f>
        <v/>
      </c>
      <c r="AQ1458">
        <f>IF($AJ1458="","",IF($AJ1458=0,$AK1458*EXP($AL1458*-3),$AK1458*(1+$AJ1458*$AL1458*-3)^(1/$AJ1458)))</f>
        <v/>
      </c>
      <c r="AR1458">
        <f>IF(OR($X1458="",$T1458&gt;60),"",IFERROR(INDEX(IF($T1458&lt;24,pcomp_l,palt_l),MATCH($X1458,IF($T1458&lt;24,pcomp_k,palt_k),1)),""))</f>
        <v/>
      </c>
      <c r="AS1458">
        <f>IF(OR($X1458="",$T1458&gt;60),"",IFERROR(INDEX(IF($T1458&lt;24,pcomp_m,palt_m),MATCH($X1458,IF($T1458&lt;24,pcomp_k,palt_k),1)),""))</f>
        <v/>
      </c>
      <c r="AT1458">
        <f>IF(OR($X1458="",$T1458&gt;60),"",IFERROR(INDEX(IF($T1458&lt;24,pcomp_s,palt_s),MATCH($X1458,IF($T1458&lt;24,pcomp_k,palt_k),1)),""))</f>
        <v/>
      </c>
      <c r="AU1458">
        <f>IF($AR1458="","",IF($AR1458=0,LN($F1458/$AS1458)/$AT1458,((($F1458/$AS1458)^$AR1458)-1)/($AR1458*$AT1458)))</f>
        <v/>
      </c>
      <c r="AV1458">
        <f>IF($AR1458="","",IF($AR1458=0,$AS1458*EXP($AT1458*2),$AS1458*(1+$AR1458*$AT1458*2)^(1/$AR1458)))</f>
        <v/>
      </c>
      <c r="AW1458">
        <f>IF($AR1458="","",IF($AR1458=0,$AS1458*EXP($AT1458*3),$AS1458*(1+$AR1458*$AT1458*3)^(1/$AR1458)))</f>
        <v/>
      </c>
      <c r="AX1458">
        <f>IF($AR1458="","",IF($AR1458=0,$AS1458*EXP($AT1458*-2),$AS1458*(1+$AR1458*$AT1458*-2)^(1/$AR1458)))</f>
        <v/>
      </c>
      <c r="AY1458">
        <f>IF($AR1458="","",IF($AR1458=0,$AS1458*EXP($AT1458*-3),$AS1458*(1+$AR1458*$AT1458*-3)^(1/$AR1458)))</f>
        <v/>
      </c>
      <c r="AZ1458">
        <f>IF(OR($A1458="",$A1458&lt;&gt;Ficha!$C$4),"",COUNTIF($A$2:$A1458,Ficha!$C$4))</f>
        <v/>
      </c>
    </row>
    <row r="1459">
      <c r="A1459" s="8">
        <f>IF(INDEX(Banco!$A:$A,ROW())="","",INDEX(Banco!$A:$A,ROW()))</f>
        <v/>
      </c>
      <c r="B1459" s="8">
        <f>IF(INDEX(Banco!$B:$B,ROW())="","",INDEX(Banco!$B:$B,ROW()))</f>
        <v/>
      </c>
      <c r="C1459" s="8">
        <f>IF(INDEX(Banco!$C:$C,ROW())="","",INDEX(Banco!$C:$C,ROW()))</f>
        <v/>
      </c>
      <c r="D1459" s="9">
        <f>IF(INDEX(Banco!$D:$D,ROW())="","",INDEX(Banco!$D:$D,ROW()))</f>
        <v/>
      </c>
      <c r="E1459" s="9">
        <f>IF(INDEX(Banco!$E:$E,ROW())="","",INDEX(Banco!$E:$E,ROW()))</f>
        <v/>
      </c>
      <c r="F1459" s="10">
        <f>IF(INDEX(Banco!$F:$F,ROW())="","",INDEX(Banco!$F:$F,ROW()))</f>
        <v/>
      </c>
      <c r="G1459" s="10">
        <f>IF(INDEX(Banco!$G:$G,ROW())="","",INDEX(Banco!$G:$G,ROW()))</f>
        <v/>
      </c>
      <c r="H1459" s="8">
        <f>IF(INDEX(Banco!$H:$H,ROW())="","",INDEX(Banco!$H:$H,ROW()))</f>
        <v/>
      </c>
      <c r="I1459">
        <f>IF($T1459="","",INT($T1459/12)&amp;"a "&amp;MOD($T1459,12)&amp;"m")</f>
        <v/>
      </c>
      <c r="J1459" s="11">
        <f>IF(OR($F1459="",$G1459=""),"",ROUND($F1459/($G1459/100)^2,2))</f>
        <v/>
      </c>
      <c r="K1459" s="12">
        <f>IF(OR($S1459="",$J1459="",$T1459="",$T1459&lt;0,$T1459&gt;228,$Y1459=""),"—",ROUND(IF(ABS($AB1459)&lt;=3,$AB1459,IF($AB1459&gt;3,3+($J1459-$AD1459)/($AD1459-$AC1459),-3+($J1459-$AF1459)/($AE1459-$AF1459))),2))</f>
        <v/>
      </c>
      <c r="L1459">
        <f>IF(OR($K1459="",$K1459="—"),"",IF($T1459&lt;=60,IF($K1459&lt;-3,"Magreza acentuada",IF($K1459&lt;-2,"Magreza",IF($K1459&lt;=1,"Eutrofia",IF($K1459&lt;=2,"Risco de sobrepeso",IF($K1459&lt;=3,"Sobrepeso","Obesidade"))))),IF($K1459&lt;-3,"Magreza acentuada",IF($K1459&lt;-2,"Magreza",IF($K1459&lt;=1,"Eutrofia",IF($K1459&lt;=2,"Sobrepeso",IF($K1459&lt;=3,"Obesidade","Obesidade grave")))))))</f>
        <v/>
      </c>
      <c r="M1459" s="12">
        <f>IF(OR($S1459="",$V1459="",$T1459="",$T1459&lt;0,$T1459&gt;228,$AG1459=""),"—",ROUND(IF($AG1459=0,LN($V1459/$AH1459)/$AI1459,((($V1459/$AH1459)^$AG1459)-1)/($AG1459*$AI1459)),2))</f>
        <v/>
      </c>
      <c r="N1459">
        <f>IF(OR($M1459="",$M1459="—"),"",IF($M1459&lt;-3,"Muito baixa",IF($M1459&lt;-2,"Baixa","Adequada")))</f>
        <v/>
      </c>
      <c r="O1459" s="12">
        <f>IF(OR($S1459="",$F1459="",$T1459="",$T1459&lt;0,$T1459&gt;120,$AJ1459=""),"—",ROUND(IF(ABS($AM1459)&lt;=3,$AM1459,IF($AM1459&gt;3,3+($F1459-$AO1459)/($AO1459-$AN1459),-3+($F1459-$AQ1459)/($AP1459-$AQ1459))),2))</f>
        <v/>
      </c>
      <c r="P1459">
        <f>IF(OR($O1459="",$O1459="—"),"",IF($O1459&lt;-3,"Muito baixo",IF($O1459&lt;-2,"Baixo",IF($O1459&lt;=2,"Adequado","Elevado"))))</f>
        <v/>
      </c>
      <c r="Q1459" s="12">
        <f>IF(OR($S1459="",$F1459="",$T1459="",$T1459&lt;0,$T1459&gt;60,$AR1459=""),"—",ROUND(IF(ABS($AU1459)&lt;=3,$AU1459,IF($AU1459&gt;3,3+($F1459-$AW1459)/($AW1459-$AV1459),-3+($F1459-$AY1459)/($AX1459-$AY1459))),2))</f>
        <v/>
      </c>
      <c r="R1459">
        <f>IF(OR($Q1459="",$Q1459="—"),"",IF($Q1459&lt;-3,"Magreza acentuada",IF($Q1459&lt;-2,"Magreza",IF($Q1459&lt;=1,"Eutrofia",IF($Q1459&lt;=2,"Risco de sobrepeso",IF($Q1459&lt;=3,"Sobrepeso","Obesidade"))))))</f>
        <v/>
      </c>
      <c r="S1459">
        <f>IF($C1459="","",IF(UPPER(LEFT($C1459,1))="M",1,IF(UPPER(LEFT($C1459,1))="F",2,"")))</f>
        <v/>
      </c>
      <c r="T1459">
        <f>IF(OR($D1459="",$E1459=""),"",DATEDIF($D1459,$E1459,"m"))</f>
        <v/>
      </c>
      <c r="U1459">
        <f>IF(OR($D1459="",$E1459=""),"",$E1459-$D1459)</f>
        <v/>
      </c>
      <c r="V1459">
        <f>IF(OR($G1459="",$T1459=""),"",IF($T1459&lt;24,IF(LEFT(LOWER($H1459),4)="em p",$G1459+0.7,$G1459),IF(LEFT(LOWER($H1459),4)="deit",$G1459-0.7,$G1459)))</f>
        <v/>
      </c>
      <c r="W1459">
        <f>IF(OR($S1459="",$T1459=""),"",$S1459*1000000+IF($T1459&lt;=60,$U1459,$T1459))</f>
        <v/>
      </c>
      <c r="X1459">
        <f>IF(OR($S1459="",$V1459="",$T1459&gt;60,$T1459=""),"",$S1459*1000000+ROUND($V1459*10,0))</f>
        <v/>
      </c>
      <c r="Y1459">
        <f>IF($W1459="","",IFERROR(INDEX(IF($T1459&lt;=60,imc05_l,imc519_l),MATCH($W1459,IF($T1459&lt;=60,imc05_k,imc519_k),1)),""))</f>
        <v/>
      </c>
      <c r="Z1459">
        <f>IF($W1459="","",IFERROR(INDEX(IF($T1459&lt;=60,imc05_m,imc519_m),MATCH($W1459,IF($T1459&lt;=60,imc05_k,imc519_k),1)),""))</f>
        <v/>
      </c>
      <c r="AA1459">
        <f>IF($W1459="","",IFERROR(INDEX(IF($T1459&lt;=60,imc05_s,imc519_s),MATCH($W1459,IF($T1459&lt;=60,imc05_k,imc519_k),1)),""))</f>
        <v/>
      </c>
      <c r="AB1459">
        <f>IF($Y1459="","",IF($Y1459=0,LN($J1459/$Z1459)/$AA1459,((($J1459/$Z1459)^$Y1459)-1)/($Y1459*$AA1459)))</f>
        <v/>
      </c>
      <c r="AC1459">
        <f>IF($Y1459="","",IF($Y1459=0,$Z1459*EXP($AA1459*2),$Z1459*(1+$Y1459*$AA1459*2)^(1/$Y1459)))</f>
        <v/>
      </c>
      <c r="AD1459">
        <f>IF($Y1459="","",IF($Y1459=0,$Z1459*EXP($AA1459*3),$Z1459*(1+$Y1459*$AA1459*3)^(1/$Y1459)))</f>
        <v/>
      </c>
      <c r="AE1459">
        <f>IF($Y1459="","",IF($Y1459=0,$Z1459*EXP($AA1459*-2),$Z1459*(1+$Y1459*$AA1459*-2)^(1/$Y1459)))</f>
        <v/>
      </c>
      <c r="AF1459">
        <f>IF($Y1459="","",IF($Y1459=0,$Z1459*EXP($AA1459*-3),$Z1459*(1+$Y1459*$AA1459*-3)^(1/$Y1459)))</f>
        <v/>
      </c>
      <c r="AG1459">
        <f>IF($W1459="","",IFERROR(INDEX(IF($T1459&lt;=60,est05_l,est519_l),MATCH($W1459,IF($T1459&lt;=60,est05_k,est519_k),1)),""))</f>
        <v/>
      </c>
      <c r="AH1459">
        <f>IF($W1459="","",IFERROR(INDEX(IF($T1459&lt;=60,est05_m,est519_m),MATCH($W1459,IF($T1459&lt;=60,est05_k,est519_k),1)),""))</f>
        <v/>
      </c>
      <c r="AI1459">
        <f>IF($W1459="","",IFERROR(INDEX(IF($T1459&lt;=60,est05_s,est519_s),MATCH($W1459,IF($T1459&lt;=60,est05_k,est519_k),1)),""))</f>
        <v/>
      </c>
      <c r="AJ1459">
        <f>IF($W1459="","",IFERROR(INDEX(IF($T1459&lt;=60,peso05_l,peso510_l),MATCH($W1459,IF($T1459&lt;=60,peso05_k,peso510_k),1)),""))</f>
        <v/>
      </c>
      <c r="AK1459">
        <f>IF($W1459="","",IFERROR(INDEX(IF($T1459&lt;=60,peso05_m,peso510_m),MATCH($W1459,IF($T1459&lt;=60,peso05_k,peso510_k),1)),""))</f>
        <v/>
      </c>
      <c r="AL1459">
        <f>IF($W1459="","",IFERROR(INDEX(IF($T1459&lt;=60,peso05_s,peso510_s),MATCH($W1459,IF($T1459&lt;=60,peso05_k,peso510_k),1)),""))</f>
        <v/>
      </c>
      <c r="AM1459">
        <f>IF($AJ1459="","",IF($AJ1459=0,LN($F1459/$AK1459)/$AL1459,((($F1459/$AK1459)^$AJ1459)-1)/($AJ1459*$AL1459)))</f>
        <v/>
      </c>
      <c r="AN1459">
        <f>IF($AJ1459="","",IF($AJ1459=0,$AK1459*EXP($AL1459*2),$AK1459*(1+$AJ1459*$AL1459*2)^(1/$AJ1459)))</f>
        <v/>
      </c>
      <c r="AO1459">
        <f>IF($AJ1459="","",IF($AJ1459=0,$AK1459*EXP($AL1459*3),$AK1459*(1+$AJ1459*$AL1459*3)^(1/$AJ1459)))</f>
        <v/>
      </c>
      <c r="AP1459">
        <f>IF($AJ1459="","",IF($AJ1459=0,$AK1459*EXP($AL1459*-2),$AK1459*(1+$AJ1459*$AL1459*-2)^(1/$AJ1459)))</f>
        <v/>
      </c>
      <c r="AQ1459">
        <f>IF($AJ1459="","",IF($AJ1459=0,$AK1459*EXP($AL1459*-3),$AK1459*(1+$AJ1459*$AL1459*-3)^(1/$AJ1459)))</f>
        <v/>
      </c>
      <c r="AR1459">
        <f>IF(OR($X1459="",$T1459&gt;60),"",IFERROR(INDEX(IF($T1459&lt;24,pcomp_l,palt_l),MATCH($X1459,IF($T1459&lt;24,pcomp_k,palt_k),1)),""))</f>
        <v/>
      </c>
      <c r="AS1459">
        <f>IF(OR($X1459="",$T1459&gt;60),"",IFERROR(INDEX(IF($T1459&lt;24,pcomp_m,palt_m),MATCH($X1459,IF($T1459&lt;24,pcomp_k,palt_k),1)),""))</f>
        <v/>
      </c>
      <c r="AT1459">
        <f>IF(OR($X1459="",$T1459&gt;60),"",IFERROR(INDEX(IF($T1459&lt;24,pcomp_s,palt_s),MATCH($X1459,IF($T1459&lt;24,pcomp_k,palt_k),1)),""))</f>
        <v/>
      </c>
      <c r="AU1459">
        <f>IF($AR1459="","",IF($AR1459=0,LN($F1459/$AS1459)/$AT1459,((($F1459/$AS1459)^$AR1459)-1)/($AR1459*$AT1459)))</f>
        <v/>
      </c>
      <c r="AV1459">
        <f>IF($AR1459="","",IF($AR1459=0,$AS1459*EXP($AT1459*2),$AS1459*(1+$AR1459*$AT1459*2)^(1/$AR1459)))</f>
        <v/>
      </c>
      <c r="AW1459">
        <f>IF($AR1459="","",IF($AR1459=0,$AS1459*EXP($AT1459*3),$AS1459*(1+$AR1459*$AT1459*3)^(1/$AR1459)))</f>
        <v/>
      </c>
      <c r="AX1459">
        <f>IF($AR1459="","",IF($AR1459=0,$AS1459*EXP($AT1459*-2),$AS1459*(1+$AR1459*$AT1459*-2)^(1/$AR1459)))</f>
        <v/>
      </c>
      <c r="AY1459">
        <f>IF($AR1459="","",IF($AR1459=0,$AS1459*EXP($AT1459*-3),$AS1459*(1+$AR1459*$AT1459*-3)^(1/$AR1459)))</f>
        <v/>
      </c>
      <c r="AZ1459">
        <f>IF(OR($A1459="",$A1459&lt;&gt;Ficha!$C$4),"",COUNTIF($A$2:$A1459,Ficha!$C$4))</f>
        <v/>
      </c>
    </row>
    <row r="1460">
      <c r="A1460" s="8">
        <f>IF(INDEX(Banco!$A:$A,ROW())="","",INDEX(Banco!$A:$A,ROW()))</f>
        <v/>
      </c>
      <c r="B1460" s="8">
        <f>IF(INDEX(Banco!$B:$B,ROW())="","",INDEX(Banco!$B:$B,ROW()))</f>
        <v/>
      </c>
      <c r="C1460" s="8">
        <f>IF(INDEX(Banco!$C:$C,ROW())="","",INDEX(Banco!$C:$C,ROW()))</f>
        <v/>
      </c>
      <c r="D1460" s="9">
        <f>IF(INDEX(Banco!$D:$D,ROW())="","",INDEX(Banco!$D:$D,ROW()))</f>
        <v/>
      </c>
      <c r="E1460" s="9">
        <f>IF(INDEX(Banco!$E:$E,ROW())="","",INDEX(Banco!$E:$E,ROW()))</f>
        <v/>
      </c>
      <c r="F1460" s="10">
        <f>IF(INDEX(Banco!$F:$F,ROW())="","",INDEX(Banco!$F:$F,ROW()))</f>
        <v/>
      </c>
      <c r="G1460" s="10">
        <f>IF(INDEX(Banco!$G:$G,ROW())="","",INDEX(Banco!$G:$G,ROW()))</f>
        <v/>
      </c>
      <c r="H1460" s="8">
        <f>IF(INDEX(Banco!$H:$H,ROW())="","",INDEX(Banco!$H:$H,ROW()))</f>
        <v/>
      </c>
      <c r="I1460">
        <f>IF($T1460="","",INT($T1460/12)&amp;"a "&amp;MOD($T1460,12)&amp;"m")</f>
        <v/>
      </c>
      <c r="J1460" s="11">
        <f>IF(OR($F1460="",$G1460=""),"",ROUND($F1460/($G1460/100)^2,2))</f>
        <v/>
      </c>
      <c r="K1460" s="12">
        <f>IF(OR($S1460="",$J1460="",$T1460="",$T1460&lt;0,$T1460&gt;228,$Y1460=""),"—",ROUND(IF(ABS($AB1460)&lt;=3,$AB1460,IF($AB1460&gt;3,3+($J1460-$AD1460)/($AD1460-$AC1460),-3+($J1460-$AF1460)/($AE1460-$AF1460))),2))</f>
        <v/>
      </c>
      <c r="L1460">
        <f>IF(OR($K1460="",$K1460="—"),"",IF($T1460&lt;=60,IF($K1460&lt;-3,"Magreza acentuada",IF($K1460&lt;-2,"Magreza",IF($K1460&lt;=1,"Eutrofia",IF($K1460&lt;=2,"Risco de sobrepeso",IF($K1460&lt;=3,"Sobrepeso","Obesidade"))))),IF($K1460&lt;-3,"Magreza acentuada",IF($K1460&lt;-2,"Magreza",IF($K1460&lt;=1,"Eutrofia",IF($K1460&lt;=2,"Sobrepeso",IF($K1460&lt;=3,"Obesidade","Obesidade grave")))))))</f>
        <v/>
      </c>
      <c r="M1460" s="12">
        <f>IF(OR($S1460="",$V1460="",$T1460="",$T1460&lt;0,$T1460&gt;228,$AG1460=""),"—",ROUND(IF($AG1460=0,LN($V1460/$AH1460)/$AI1460,((($V1460/$AH1460)^$AG1460)-1)/($AG1460*$AI1460)),2))</f>
        <v/>
      </c>
      <c r="N1460">
        <f>IF(OR($M1460="",$M1460="—"),"",IF($M1460&lt;-3,"Muito baixa",IF($M1460&lt;-2,"Baixa","Adequada")))</f>
        <v/>
      </c>
      <c r="O1460" s="12">
        <f>IF(OR($S1460="",$F1460="",$T1460="",$T1460&lt;0,$T1460&gt;120,$AJ1460=""),"—",ROUND(IF(ABS($AM1460)&lt;=3,$AM1460,IF($AM1460&gt;3,3+($F1460-$AO1460)/($AO1460-$AN1460),-3+($F1460-$AQ1460)/($AP1460-$AQ1460))),2))</f>
        <v/>
      </c>
      <c r="P1460">
        <f>IF(OR($O1460="",$O1460="—"),"",IF($O1460&lt;-3,"Muito baixo",IF($O1460&lt;-2,"Baixo",IF($O1460&lt;=2,"Adequado","Elevado"))))</f>
        <v/>
      </c>
      <c r="Q1460" s="12">
        <f>IF(OR($S1460="",$F1460="",$T1460="",$T1460&lt;0,$T1460&gt;60,$AR1460=""),"—",ROUND(IF(ABS($AU1460)&lt;=3,$AU1460,IF($AU1460&gt;3,3+($F1460-$AW1460)/($AW1460-$AV1460),-3+($F1460-$AY1460)/($AX1460-$AY1460))),2))</f>
        <v/>
      </c>
      <c r="R1460">
        <f>IF(OR($Q1460="",$Q1460="—"),"",IF($Q1460&lt;-3,"Magreza acentuada",IF($Q1460&lt;-2,"Magreza",IF($Q1460&lt;=1,"Eutrofia",IF($Q1460&lt;=2,"Risco de sobrepeso",IF($Q1460&lt;=3,"Sobrepeso","Obesidade"))))))</f>
        <v/>
      </c>
      <c r="S1460">
        <f>IF($C1460="","",IF(UPPER(LEFT($C1460,1))="M",1,IF(UPPER(LEFT($C1460,1))="F",2,"")))</f>
        <v/>
      </c>
      <c r="T1460">
        <f>IF(OR($D1460="",$E1460=""),"",DATEDIF($D1460,$E1460,"m"))</f>
        <v/>
      </c>
      <c r="U1460">
        <f>IF(OR($D1460="",$E1460=""),"",$E1460-$D1460)</f>
        <v/>
      </c>
      <c r="V1460">
        <f>IF(OR($G1460="",$T1460=""),"",IF($T1460&lt;24,IF(LEFT(LOWER($H1460),4)="em p",$G1460+0.7,$G1460),IF(LEFT(LOWER($H1460),4)="deit",$G1460-0.7,$G1460)))</f>
        <v/>
      </c>
      <c r="W1460">
        <f>IF(OR($S1460="",$T1460=""),"",$S1460*1000000+IF($T1460&lt;=60,$U1460,$T1460))</f>
        <v/>
      </c>
      <c r="X1460">
        <f>IF(OR($S1460="",$V1460="",$T1460&gt;60,$T1460=""),"",$S1460*1000000+ROUND($V1460*10,0))</f>
        <v/>
      </c>
      <c r="Y1460">
        <f>IF($W1460="","",IFERROR(INDEX(IF($T1460&lt;=60,imc05_l,imc519_l),MATCH($W1460,IF($T1460&lt;=60,imc05_k,imc519_k),1)),""))</f>
        <v/>
      </c>
      <c r="Z1460">
        <f>IF($W1460="","",IFERROR(INDEX(IF($T1460&lt;=60,imc05_m,imc519_m),MATCH($W1460,IF($T1460&lt;=60,imc05_k,imc519_k),1)),""))</f>
        <v/>
      </c>
      <c r="AA1460">
        <f>IF($W1460="","",IFERROR(INDEX(IF($T1460&lt;=60,imc05_s,imc519_s),MATCH($W1460,IF($T1460&lt;=60,imc05_k,imc519_k),1)),""))</f>
        <v/>
      </c>
      <c r="AB1460">
        <f>IF($Y1460="","",IF($Y1460=0,LN($J1460/$Z1460)/$AA1460,((($J1460/$Z1460)^$Y1460)-1)/($Y1460*$AA1460)))</f>
        <v/>
      </c>
      <c r="AC1460">
        <f>IF($Y1460="","",IF($Y1460=0,$Z1460*EXP($AA1460*2),$Z1460*(1+$Y1460*$AA1460*2)^(1/$Y1460)))</f>
        <v/>
      </c>
      <c r="AD1460">
        <f>IF($Y1460="","",IF($Y1460=0,$Z1460*EXP($AA1460*3),$Z1460*(1+$Y1460*$AA1460*3)^(1/$Y1460)))</f>
        <v/>
      </c>
      <c r="AE1460">
        <f>IF($Y1460="","",IF($Y1460=0,$Z1460*EXP($AA1460*-2),$Z1460*(1+$Y1460*$AA1460*-2)^(1/$Y1460)))</f>
        <v/>
      </c>
      <c r="AF1460">
        <f>IF($Y1460="","",IF($Y1460=0,$Z1460*EXP($AA1460*-3),$Z1460*(1+$Y1460*$AA1460*-3)^(1/$Y1460)))</f>
        <v/>
      </c>
      <c r="AG1460">
        <f>IF($W1460="","",IFERROR(INDEX(IF($T1460&lt;=60,est05_l,est519_l),MATCH($W1460,IF($T1460&lt;=60,est05_k,est519_k),1)),""))</f>
        <v/>
      </c>
      <c r="AH1460">
        <f>IF($W1460="","",IFERROR(INDEX(IF($T1460&lt;=60,est05_m,est519_m),MATCH($W1460,IF($T1460&lt;=60,est05_k,est519_k),1)),""))</f>
        <v/>
      </c>
      <c r="AI1460">
        <f>IF($W1460="","",IFERROR(INDEX(IF($T1460&lt;=60,est05_s,est519_s),MATCH($W1460,IF($T1460&lt;=60,est05_k,est519_k),1)),""))</f>
        <v/>
      </c>
      <c r="AJ1460">
        <f>IF($W1460="","",IFERROR(INDEX(IF($T1460&lt;=60,peso05_l,peso510_l),MATCH($W1460,IF($T1460&lt;=60,peso05_k,peso510_k),1)),""))</f>
        <v/>
      </c>
      <c r="AK1460">
        <f>IF($W1460="","",IFERROR(INDEX(IF($T1460&lt;=60,peso05_m,peso510_m),MATCH($W1460,IF($T1460&lt;=60,peso05_k,peso510_k),1)),""))</f>
        <v/>
      </c>
      <c r="AL1460">
        <f>IF($W1460="","",IFERROR(INDEX(IF($T1460&lt;=60,peso05_s,peso510_s),MATCH($W1460,IF($T1460&lt;=60,peso05_k,peso510_k),1)),""))</f>
        <v/>
      </c>
      <c r="AM1460">
        <f>IF($AJ1460="","",IF($AJ1460=0,LN($F1460/$AK1460)/$AL1460,((($F1460/$AK1460)^$AJ1460)-1)/($AJ1460*$AL1460)))</f>
        <v/>
      </c>
      <c r="AN1460">
        <f>IF($AJ1460="","",IF($AJ1460=0,$AK1460*EXP($AL1460*2),$AK1460*(1+$AJ1460*$AL1460*2)^(1/$AJ1460)))</f>
        <v/>
      </c>
      <c r="AO1460">
        <f>IF($AJ1460="","",IF($AJ1460=0,$AK1460*EXP($AL1460*3),$AK1460*(1+$AJ1460*$AL1460*3)^(1/$AJ1460)))</f>
        <v/>
      </c>
      <c r="AP1460">
        <f>IF($AJ1460="","",IF($AJ1460=0,$AK1460*EXP($AL1460*-2),$AK1460*(1+$AJ1460*$AL1460*-2)^(1/$AJ1460)))</f>
        <v/>
      </c>
      <c r="AQ1460">
        <f>IF($AJ1460="","",IF($AJ1460=0,$AK1460*EXP($AL1460*-3),$AK1460*(1+$AJ1460*$AL1460*-3)^(1/$AJ1460)))</f>
        <v/>
      </c>
      <c r="AR1460">
        <f>IF(OR($X1460="",$T1460&gt;60),"",IFERROR(INDEX(IF($T1460&lt;24,pcomp_l,palt_l),MATCH($X1460,IF($T1460&lt;24,pcomp_k,palt_k),1)),""))</f>
        <v/>
      </c>
      <c r="AS1460">
        <f>IF(OR($X1460="",$T1460&gt;60),"",IFERROR(INDEX(IF($T1460&lt;24,pcomp_m,palt_m),MATCH($X1460,IF($T1460&lt;24,pcomp_k,palt_k),1)),""))</f>
        <v/>
      </c>
      <c r="AT1460">
        <f>IF(OR($X1460="",$T1460&gt;60),"",IFERROR(INDEX(IF($T1460&lt;24,pcomp_s,palt_s),MATCH($X1460,IF($T1460&lt;24,pcomp_k,palt_k),1)),""))</f>
        <v/>
      </c>
      <c r="AU1460">
        <f>IF($AR1460="","",IF($AR1460=0,LN($F1460/$AS1460)/$AT1460,((($F1460/$AS1460)^$AR1460)-1)/($AR1460*$AT1460)))</f>
        <v/>
      </c>
      <c r="AV1460">
        <f>IF($AR1460="","",IF($AR1460=0,$AS1460*EXP($AT1460*2),$AS1460*(1+$AR1460*$AT1460*2)^(1/$AR1460)))</f>
        <v/>
      </c>
      <c r="AW1460">
        <f>IF($AR1460="","",IF($AR1460=0,$AS1460*EXP($AT1460*3),$AS1460*(1+$AR1460*$AT1460*3)^(1/$AR1460)))</f>
        <v/>
      </c>
      <c r="AX1460">
        <f>IF($AR1460="","",IF($AR1460=0,$AS1460*EXP($AT1460*-2),$AS1460*(1+$AR1460*$AT1460*-2)^(1/$AR1460)))</f>
        <v/>
      </c>
      <c r="AY1460">
        <f>IF($AR1460="","",IF($AR1460=0,$AS1460*EXP($AT1460*-3),$AS1460*(1+$AR1460*$AT1460*-3)^(1/$AR1460)))</f>
        <v/>
      </c>
      <c r="AZ1460">
        <f>IF(OR($A1460="",$A1460&lt;&gt;Ficha!$C$4),"",COUNTIF($A$2:$A1460,Ficha!$C$4))</f>
        <v/>
      </c>
    </row>
    <row r="1461">
      <c r="A1461" s="8">
        <f>IF(INDEX(Banco!$A:$A,ROW())="","",INDEX(Banco!$A:$A,ROW()))</f>
        <v/>
      </c>
      <c r="B1461" s="8">
        <f>IF(INDEX(Banco!$B:$B,ROW())="","",INDEX(Banco!$B:$B,ROW()))</f>
        <v/>
      </c>
      <c r="C1461" s="8">
        <f>IF(INDEX(Banco!$C:$C,ROW())="","",INDEX(Banco!$C:$C,ROW()))</f>
        <v/>
      </c>
      <c r="D1461" s="9">
        <f>IF(INDEX(Banco!$D:$D,ROW())="","",INDEX(Banco!$D:$D,ROW()))</f>
        <v/>
      </c>
      <c r="E1461" s="9">
        <f>IF(INDEX(Banco!$E:$E,ROW())="","",INDEX(Banco!$E:$E,ROW()))</f>
        <v/>
      </c>
      <c r="F1461" s="10">
        <f>IF(INDEX(Banco!$F:$F,ROW())="","",INDEX(Banco!$F:$F,ROW()))</f>
        <v/>
      </c>
      <c r="G1461" s="10">
        <f>IF(INDEX(Banco!$G:$G,ROW())="","",INDEX(Banco!$G:$G,ROW()))</f>
        <v/>
      </c>
      <c r="H1461" s="8">
        <f>IF(INDEX(Banco!$H:$H,ROW())="","",INDEX(Banco!$H:$H,ROW()))</f>
        <v/>
      </c>
      <c r="I1461">
        <f>IF($T1461="","",INT($T1461/12)&amp;"a "&amp;MOD($T1461,12)&amp;"m")</f>
        <v/>
      </c>
      <c r="J1461" s="11">
        <f>IF(OR($F1461="",$G1461=""),"",ROUND($F1461/($G1461/100)^2,2))</f>
        <v/>
      </c>
      <c r="K1461" s="12">
        <f>IF(OR($S1461="",$J1461="",$T1461="",$T1461&lt;0,$T1461&gt;228,$Y1461=""),"—",ROUND(IF(ABS($AB1461)&lt;=3,$AB1461,IF($AB1461&gt;3,3+($J1461-$AD1461)/($AD1461-$AC1461),-3+($J1461-$AF1461)/($AE1461-$AF1461))),2))</f>
        <v/>
      </c>
      <c r="L1461">
        <f>IF(OR($K1461="",$K1461="—"),"",IF($T1461&lt;=60,IF($K1461&lt;-3,"Magreza acentuada",IF($K1461&lt;-2,"Magreza",IF($K1461&lt;=1,"Eutrofia",IF($K1461&lt;=2,"Risco de sobrepeso",IF($K1461&lt;=3,"Sobrepeso","Obesidade"))))),IF($K1461&lt;-3,"Magreza acentuada",IF($K1461&lt;-2,"Magreza",IF($K1461&lt;=1,"Eutrofia",IF($K1461&lt;=2,"Sobrepeso",IF($K1461&lt;=3,"Obesidade","Obesidade grave")))))))</f>
        <v/>
      </c>
      <c r="M1461" s="12">
        <f>IF(OR($S1461="",$V1461="",$T1461="",$T1461&lt;0,$T1461&gt;228,$AG1461=""),"—",ROUND(IF($AG1461=0,LN($V1461/$AH1461)/$AI1461,((($V1461/$AH1461)^$AG1461)-1)/($AG1461*$AI1461)),2))</f>
        <v/>
      </c>
      <c r="N1461">
        <f>IF(OR($M1461="",$M1461="—"),"",IF($M1461&lt;-3,"Muito baixa",IF($M1461&lt;-2,"Baixa","Adequada")))</f>
        <v/>
      </c>
      <c r="O1461" s="12">
        <f>IF(OR($S1461="",$F1461="",$T1461="",$T1461&lt;0,$T1461&gt;120,$AJ1461=""),"—",ROUND(IF(ABS($AM1461)&lt;=3,$AM1461,IF($AM1461&gt;3,3+($F1461-$AO1461)/($AO1461-$AN1461),-3+($F1461-$AQ1461)/($AP1461-$AQ1461))),2))</f>
        <v/>
      </c>
      <c r="P1461">
        <f>IF(OR($O1461="",$O1461="—"),"",IF($O1461&lt;-3,"Muito baixo",IF($O1461&lt;-2,"Baixo",IF($O1461&lt;=2,"Adequado","Elevado"))))</f>
        <v/>
      </c>
      <c r="Q1461" s="12">
        <f>IF(OR($S1461="",$F1461="",$T1461="",$T1461&lt;0,$T1461&gt;60,$AR1461=""),"—",ROUND(IF(ABS($AU1461)&lt;=3,$AU1461,IF($AU1461&gt;3,3+($F1461-$AW1461)/($AW1461-$AV1461),-3+($F1461-$AY1461)/($AX1461-$AY1461))),2))</f>
        <v/>
      </c>
      <c r="R1461">
        <f>IF(OR($Q1461="",$Q1461="—"),"",IF($Q1461&lt;-3,"Magreza acentuada",IF($Q1461&lt;-2,"Magreza",IF($Q1461&lt;=1,"Eutrofia",IF($Q1461&lt;=2,"Risco de sobrepeso",IF($Q1461&lt;=3,"Sobrepeso","Obesidade"))))))</f>
        <v/>
      </c>
      <c r="S1461">
        <f>IF($C1461="","",IF(UPPER(LEFT($C1461,1))="M",1,IF(UPPER(LEFT($C1461,1))="F",2,"")))</f>
        <v/>
      </c>
      <c r="T1461">
        <f>IF(OR($D1461="",$E1461=""),"",DATEDIF($D1461,$E1461,"m"))</f>
        <v/>
      </c>
      <c r="U1461">
        <f>IF(OR($D1461="",$E1461=""),"",$E1461-$D1461)</f>
        <v/>
      </c>
      <c r="V1461">
        <f>IF(OR($G1461="",$T1461=""),"",IF($T1461&lt;24,IF(LEFT(LOWER($H1461),4)="em p",$G1461+0.7,$G1461),IF(LEFT(LOWER($H1461),4)="deit",$G1461-0.7,$G1461)))</f>
        <v/>
      </c>
      <c r="W1461">
        <f>IF(OR($S1461="",$T1461=""),"",$S1461*1000000+IF($T1461&lt;=60,$U1461,$T1461))</f>
        <v/>
      </c>
      <c r="X1461">
        <f>IF(OR($S1461="",$V1461="",$T1461&gt;60,$T1461=""),"",$S1461*1000000+ROUND($V1461*10,0))</f>
        <v/>
      </c>
      <c r="Y1461">
        <f>IF($W1461="","",IFERROR(INDEX(IF($T1461&lt;=60,imc05_l,imc519_l),MATCH($W1461,IF($T1461&lt;=60,imc05_k,imc519_k),1)),""))</f>
        <v/>
      </c>
      <c r="Z1461">
        <f>IF($W1461="","",IFERROR(INDEX(IF($T1461&lt;=60,imc05_m,imc519_m),MATCH($W1461,IF($T1461&lt;=60,imc05_k,imc519_k),1)),""))</f>
        <v/>
      </c>
      <c r="AA1461">
        <f>IF($W1461="","",IFERROR(INDEX(IF($T1461&lt;=60,imc05_s,imc519_s),MATCH($W1461,IF($T1461&lt;=60,imc05_k,imc519_k),1)),""))</f>
        <v/>
      </c>
      <c r="AB1461">
        <f>IF($Y1461="","",IF($Y1461=0,LN($J1461/$Z1461)/$AA1461,((($J1461/$Z1461)^$Y1461)-1)/($Y1461*$AA1461)))</f>
        <v/>
      </c>
      <c r="AC1461">
        <f>IF($Y1461="","",IF($Y1461=0,$Z1461*EXP($AA1461*2),$Z1461*(1+$Y1461*$AA1461*2)^(1/$Y1461)))</f>
        <v/>
      </c>
      <c r="AD1461">
        <f>IF($Y1461="","",IF($Y1461=0,$Z1461*EXP($AA1461*3),$Z1461*(1+$Y1461*$AA1461*3)^(1/$Y1461)))</f>
        <v/>
      </c>
      <c r="AE1461">
        <f>IF($Y1461="","",IF($Y1461=0,$Z1461*EXP($AA1461*-2),$Z1461*(1+$Y1461*$AA1461*-2)^(1/$Y1461)))</f>
        <v/>
      </c>
      <c r="AF1461">
        <f>IF($Y1461="","",IF($Y1461=0,$Z1461*EXP($AA1461*-3),$Z1461*(1+$Y1461*$AA1461*-3)^(1/$Y1461)))</f>
        <v/>
      </c>
      <c r="AG1461">
        <f>IF($W1461="","",IFERROR(INDEX(IF($T1461&lt;=60,est05_l,est519_l),MATCH($W1461,IF($T1461&lt;=60,est05_k,est519_k),1)),""))</f>
        <v/>
      </c>
      <c r="AH1461">
        <f>IF($W1461="","",IFERROR(INDEX(IF($T1461&lt;=60,est05_m,est519_m),MATCH($W1461,IF($T1461&lt;=60,est05_k,est519_k),1)),""))</f>
        <v/>
      </c>
      <c r="AI1461">
        <f>IF($W1461="","",IFERROR(INDEX(IF($T1461&lt;=60,est05_s,est519_s),MATCH($W1461,IF($T1461&lt;=60,est05_k,est519_k),1)),""))</f>
        <v/>
      </c>
      <c r="AJ1461">
        <f>IF($W1461="","",IFERROR(INDEX(IF($T1461&lt;=60,peso05_l,peso510_l),MATCH($W1461,IF($T1461&lt;=60,peso05_k,peso510_k),1)),""))</f>
        <v/>
      </c>
      <c r="AK1461">
        <f>IF($W1461="","",IFERROR(INDEX(IF($T1461&lt;=60,peso05_m,peso510_m),MATCH($W1461,IF($T1461&lt;=60,peso05_k,peso510_k),1)),""))</f>
        <v/>
      </c>
      <c r="AL1461">
        <f>IF($W1461="","",IFERROR(INDEX(IF($T1461&lt;=60,peso05_s,peso510_s),MATCH($W1461,IF($T1461&lt;=60,peso05_k,peso510_k),1)),""))</f>
        <v/>
      </c>
      <c r="AM1461">
        <f>IF($AJ1461="","",IF($AJ1461=0,LN($F1461/$AK1461)/$AL1461,((($F1461/$AK1461)^$AJ1461)-1)/($AJ1461*$AL1461)))</f>
        <v/>
      </c>
      <c r="AN1461">
        <f>IF($AJ1461="","",IF($AJ1461=0,$AK1461*EXP($AL1461*2),$AK1461*(1+$AJ1461*$AL1461*2)^(1/$AJ1461)))</f>
        <v/>
      </c>
      <c r="AO1461">
        <f>IF($AJ1461="","",IF($AJ1461=0,$AK1461*EXP($AL1461*3),$AK1461*(1+$AJ1461*$AL1461*3)^(1/$AJ1461)))</f>
        <v/>
      </c>
      <c r="AP1461">
        <f>IF($AJ1461="","",IF($AJ1461=0,$AK1461*EXP($AL1461*-2),$AK1461*(1+$AJ1461*$AL1461*-2)^(1/$AJ1461)))</f>
        <v/>
      </c>
      <c r="AQ1461">
        <f>IF($AJ1461="","",IF($AJ1461=0,$AK1461*EXP($AL1461*-3),$AK1461*(1+$AJ1461*$AL1461*-3)^(1/$AJ1461)))</f>
        <v/>
      </c>
      <c r="AR1461">
        <f>IF(OR($X1461="",$T1461&gt;60),"",IFERROR(INDEX(IF($T1461&lt;24,pcomp_l,palt_l),MATCH($X1461,IF($T1461&lt;24,pcomp_k,palt_k),1)),""))</f>
        <v/>
      </c>
      <c r="AS1461">
        <f>IF(OR($X1461="",$T1461&gt;60),"",IFERROR(INDEX(IF($T1461&lt;24,pcomp_m,palt_m),MATCH($X1461,IF($T1461&lt;24,pcomp_k,palt_k),1)),""))</f>
        <v/>
      </c>
      <c r="AT1461">
        <f>IF(OR($X1461="",$T1461&gt;60),"",IFERROR(INDEX(IF($T1461&lt;24,pcomp_s,palt_s),MATCH($X1461,IF($T1461&lt;24,pcomp_k,palt_k),1)),""))</f>
        <v/>
      </c>
      <c r="AU1461">
        <f>IF($AR1461="","",IF($AR1461=0,LN($F1461/$AS1461)/$AT1461,((($F1461/$AS1461)^$AR1461)-1)/($AR1461*$AT1461)))</f>
        <v/>
      </c>
      <c r="AV1461">
        <f>IF($AR1461="","",IF($AR1461=0,$AS1461*EXP($AT1461*2),$AS1461*(1+$AR1461*$AT1461*2)^(1/$AR1461)))</f>
        <v/>
      </c>
      <c r="AW1461">
        <f>IF($AR1461="","",IF($AR1461=0,$AS1461*EXP($AT1461*3),$AS1461*(1+$AR1461*$AT1461*3)^(1/$AR1461)))</f>
        <v/>
      </c>
      <c r="AX1461">
        <f>IF($AR1461="","",IF($AR1461=0,$AS1461*EXP($AT1461*-2),$AS1461*(1+$AR1461*$AT1461*-2)^(1/$AR1461)))</f>
        <v/>
      </c>
      <c r="AY1461">
        <f>IF($AR1461="","",IF($AR1461=0,$AS1461*EXP($AT1461*-3),$AS1461*(1+$AR1461*$AT1461*-3)^(1/$AR1461)))</f>
        <v/>
      </c>
      <c r="AZ1461">
        <f>IF(OR($A1461="",$A1461&lt;&gt;Ficha!$C$4),"",COUNTIF($A$2:$A1461,Ficha!$C$4))</f>
        <v/>
      </c>
    </row>
    <row r="1462">
      <c r="A1462" s="8">
        <f>IF(INDEX(Banco!$A:$A,ROW())="","",INDEX(Banco!$A:$A,ROW()))</f>
        <v/>
      </c>
      <c r="B1462" s="8">
        <f>IF(INDEX(Banco!$B:$B,ROW())="","",INDEX(Banco!$B:$B,ROW()))</f>
        <v/>
      </c>
      <c r="C1462" s="8">
        <f>IF(INDEX(Banco!$C:$C,ROW())="","",INDEX(Banco!$C:$C,ROW()))</f>
        <v/>
      </c>
      <c r="D1462" s="9">
        <f>IF(INDEX(Banco!$D:$D,ROW())="","",INDEX(Banco!$D:$D,ROW()))</f>
        <v/>
      </c>
      <c r="E1462" s="9">
        <f>IF(INDEX(Banco!$E:$E,ROW())="","",INDEX(Banco!$E:$E,ROW()))</f>
        <v/>
      </c>
      <c r="F1462" s="10">
        <f>IF(INDEX(Banco!$F:$F,ROW())="","",INDEX(Banco!$F:$F,ROW()))</f>
        <v/>
      </c>
      <c r="G1462" s="10">
        <f>IF(INDEX(Banco!$G:$G,ROW())="","",INDEX(Banco!$G:$G,ROW()))</f>
        <v/>
      </c>
      <c r="H1462" s="8">
        <f>IF(INDEX(Banco!$H:$H,ROW())="","",INDEX(Banco!$H:$H,ROW()))</f>
        <v/>
      </c>
      <c r="I1462">
        <f>IF($T1462="","",INT($T1462/12)&amp;"a "&amp;MOD($T1462,12)&amp;"m")</f>
        <v/>
      </c>
      <c r="J1462" s="11">
        <f>IF(OR($F1462="",$G1462=""),"",ROUND($F1462/($G1462/100)^2,2))</f>
        <v/>
      </c>
      <c r="K1462" s="12">
        <f>IF(OR($S1462="",$J1462="",$T1462="",$T1462&lt;0,$T1462&gt;228,$Y1462=""),"—",ROUND(IF(ABS($AB1462)&lt;=3,$AB1462,IF($AB1462&gt;3,3+($J1462-$AD1462)/($AD1462-$AC1462),-3+($J1462-$AF1462)/($AE1462-$AF1462))),2))</f>
        <v/>
      </c>
      <c r="L1462">
        <f>IF(OR($K1462="",$K1462="—"),"",IF($T1462&lt;=60,IF($K1462&lt;-3,"Magreza acentuada",IF($K1462&lt;-2,"Magreza",IF($K1462&lt;=1,"Eutrofia",IF($K1462&lt;=2,"Risco de sobrepeso",IF($K1462&lt;=3,"Sobrepeso","Obesidade"))))),IF($K1462&lt;-3,"Magreza acentuada",IF($K1462&lt;-2,"Magreza",IF($K1462&lt;=1,"Eutrofia",IF($K1462&lt;=2,"Sobrepeso",IF($K1462&lt;=3,"Obesidade","Obesidade grave")))))))</f>
        <v/>
      </c>
      <c r="M1462" s="12">
        <f>IF(OR($S1462="",$V1462="",$T1462="",$T1462&lt;0,$T1462&gt;228,$AG1462=""),"—",ROUND(IF($AG1462=0,LN($V1462/$AH1462)/$AI1462,((($V1462/$AH1462)^$AG1462)-1)/($AG1462*$AI1462)),2))</f>
        <v/>
      </c>
      <c r="N1462">
        <f>IF(OR($M1462="",$M1462="—"),"",IF($M1462&lt;-3,"Muito baixa",IF($M1462&lt;-2,"Baixa","Adequada")))</f>
        <v/>
      </c>
      <c r="O1462" s="12">
        <f>IF(OR($S1462="",$F1462="",$T1462="",$T1462&lt;0,$T1462&gt;120,$AJ1462=""),"—",ROUND(IF(ABS($AM1462)&lt;=3,$AM1462,IF($AM1462&gt;3,3+($F1462-$AO1462)/($AO1462-$AN1462),-3+($F1462-$AQ1462)/($AP1462-$AQ1462))),2))</f>
        <v/>
      </c>
      <c r="P1462">
        <f>IF(OR($O1462="",$O1462="—"),"",IF($O1462&lt;-3,"Muito baixo",IF($O1462&lt;-2,"Baixo",IF($O1462&lt;=2,"Adequado","Elevado"))))</f>
        <v/>
      </c>
      <c r="Q1462" s="12">
        <f>IF(OR($S1462="",$F1462="",$T1462="",$T1462&lt;0,$T1462&gt;60,$AR1462=""),"—",ROUND(IF(ABS($AU1462)&lt;=3,$AU1462,IF($AU1462&gt;3,3+($F1462-$AW1462)/($AW1462-$AV1462),-3+($F1462-$AY1462)/($AX1462-$AY1462))),2))</f>
        <v/>
      </c>
      <c r="R1462">
        <f>IF(OR($Q1462="",$Q1462="—"),"",IF($Q1462&lt;-3,"Magreza acentuada",IF($Q1462&lt;-2,"Magreza",IF($Q1462&lt;=1,"Eutrofia",IF($Q1462&lt;=2,"Risco de sobrepeso",IF($Q1462&lt;=3,"Sobrepeso","Obesidade"))))))</f>
        <v/>
      </c>
      <c r="S1462">
        <f>IF($C1462="","",IF(UPPER(LEFT($C1462,1))="M",1,IF(UPPER(LEFT($C1462,1))="F",2,"")))</f>
        <v/>
      </c>
      <c r="T1462">
        <f>IF(OR($D1462="",$E1462=""),"",DATEDIF($D1462,$E1462,"m"))</f>
        <v/>
      </c>
      <c r="U1462">
        <f>IF(OR($D1462="",$E1462=""),"",$E1462-$D1462)</f>
        <v/>
      </c>
      <c r="V1462">
        <f>IF(OR($G1462="",$T1462=""),"",IF($T1462&lt;24,IF(LEFT(LOWER($H1462),4)="em p",$G1462+0.7,$G1462),IF(LEFT(LOWER($H1462),4)="deit",$G1462-0.7,$G1462)))</f>
        <v/>
      </c>
      <c r="W1462">
        <f>IF(OR($S1462="",$T1462=""),"",$S1462*1000000+IF($T1462&lt;=60,$U1462,$T1462))</f>
        <v/>
      </c>
      <c r="X1462">
        <f>IF(OR($S1462="",$V1462="",$T1462&gt;60,$T1462=""),"",$S1462*1000000+ROUND($V1462*10,0))</f>
        <v/>
      </c>
      <c r="Y1462">
        <f>IF($W1462="","",IFERROR(INDEX(IF($T1462&lt;=60,imc05_l,imc519_l),MATCH($W1462,IF($T1462&lt;=60,imc05_k,imc519_k),1)),""))</f>
        <v/>
      </c>
      <c r="Z1462">
        <f>IF($W1462="","",IFERROR(INDEX(IF($T1462&lt;=60,imc05_m,imc519_m),MATCH($W1462,IF($T1462&lt;=60,imc05_k,imc519_k),1)),""))</f>
        <v/>
      </c>
      <c r="AA1462">
        <f>IF($W1462="","",IFERROR(INDEX(IF($T1462&lt;=60,imc05_s,imc519_s),MATCH($W1462,IF($T1462&lt;=60,imc05_k,imc519_k),1)),""))</f>
        <v/>
      </c>
      <c r="AB1462">
        <f>IF($Y1462="","",IF($Y1462=0,LN($J1462/$Z1462)/$AA1462,((($J1462/$Z1462)^$Y1462)-1)/($Y1462*$AA1462)))</f>
        <v/>
      </c>
      <c r="AC1462">
        <f>IF($Y1462="","",IF($Y1462=0,$Z1462*EXP($AA1462*2),$Z1462*(1+$Y1462*$AA1462*2)^(1/$Y1462)))</f>
        <v/>
      </c>
      <c r="AD1462">
        <f>IF($Y1462="","",IF($Y1462=0,$Z1462*EXP($AA1462*3),$Z1462*(1+$Y1462*$AA1462*3)^(1/$Y1462)))</f>
        <v/>
      </c>
      <c r="AE1462">
        <f>IF($Y1462="","",IF($Y1462=0,$Z1462*EXP($AA1462*-2),$Z1462*(1+$Y1462*$AA1462*-2)^(1/$Y1462)))</f>
        <v/>
      </c>
      <c r="AF1462">
        <f>IF($Y1462="","",IF($Y1462=0,$Z1462*EXP($AA1462*-3),$Z1462*(1+$Y1462*$AA1462*-3)^(1/$Y1462)))</f>
        <v/>
      </c>
      <c r="AG1462">
        <f>IF($W1462="","",IFERROR(INDEX(IF($T1462&lt;=60,est05_l,est519_l),MATCH($W1462,IF($T1462&lt;=60,est05_k,est519_k),1)),""))</f>
        <v/>
      </c>
      <c r="AH1462">
        <f>IF($W1462="","",IFERROR(INDEX(IF($T1462&lt;=60,est05_m,est519_m),MATCH($W1462,IF($T1462&lt;=60,est05_k,est519_k),1)),""))</f>
        <v/>
      </c>
      <c r="AI1462">
        <f>IF($W1462="","",IFERROR(INDEX(IF($T1462&lt;=60,est05_s,est519_s),MATCH($W1462,IF($T1462&lt;=60,est05_k,est519_k),1)),""))</f>
        <v/>
      </c>
      <c r="AJ1462">
        <f>IF($W1462="","",IFERROR(INDEX(IF($T1462&lt;=60,peso05_l,peso510_l),MATCH($W1462,IF($T1462&lt;=60,peso05_k,peso510_k),1)),""))</f>
        <v/>
      </c>
      <c r="AK1462">
        <f>IF($W1462="","",IFERROR(INDEX(IF($T1462&lt;=60,peso05_m,peso510_m),MATCH($W1462,IF($T1462&lt;=60,peso05_k,peso510_k),1)),""))</f>
        <v/>
      </c>
      <c r="AL1462">
        <f>IF($W1462="","",IFERROR(INDEX(IF($T1462&lt;=60,peso05_s,peso510_s),MATCH($W1462,IF($T1462&lt;=60,peso05_k,peso510_k),1)),""))</f>
        <v/>
      </c>
      <c r="AM1462">
        <f>IF($AJ1462="","",IF($AJ1462=0,LN($F1462/$AK1462)/$AL1462,((($F1462/$AK1462)^$AJ1462)-1)/($AJ1462*$AL1462)))</f>
        <v/>
      </c>
      <c r="AN1462">
        <f>IF($AJ1462="","",IF($AJ1462=0,$AK1462*EXP($AL1462*2),$AK1462*(1+$AJ1462*$AL1462*2)^(1/$AJ1462)))</f>
        <v/>
      </c>
      <c r="AO1462">
        <f>IF($AJ1462="","",IF($AJ1462=0,$AK1462*EXP($AL1462*3),$AK1462*(1+$AJ1462*$AL1462*3)^(1/$AJ1462)))</f>
        <v/>
      </c>
      <c r="AP1462">
        <f>IF($AJ1462="","",IF($AJ1462=0,$AK1462*EXP($AL1462*-2),$AK1462*(1+$AJ1462*$AL1462*-2)^(1/$AJ1462)))</f>
        <v/>
      </c>
      <c r="AQ1462">
        <f>IF($AJ1462="","",IF($AJ1462=0,$AK1462*EXP($AL1462*-3),$AK1462*(1+$AJ1462*$AL1462*-3)^(1/$AJ1462)))</f>
        <v/>
      </c>
      <c r="AR1462">
        <f>IF(OR($X1462="",$T1462&gt;60),"",IFERROR(INDEX(IF($T1462&lt;24,pcomp_l,palt_l),MATCH($X1462,IF($T1462&lt;24,pcomp_k,palt_k),1)),""))</f>
        <v/>
      </c>
      <c r="AS1462">
        <f>IF(OR($X1462="",$T1462&gt;60),"",IFERROR(INDEX(IF($T1462&lt;24,pcomp_m,palt_m),MATCH($X1462,IF($T1462&lt;24,pcomp_k,palt_k),1)),""))</f>
        <v/>
      </c>
      <c r="AT1462">
        <f>IF(OR($X1462="",$T1462&gt;60),"",IFERROR(INDEX(IF($T1462&lt;24,pcomp_s,palt_s),MATCH($X1462,IF($T1462&lt;24,pcomp_k,palt_k),1)),""))</f>
        <v/>
      </c>
      <c r="AU1462">
        <f>IF($AR1462="","",IF($AR1462=0,LN($F1462/$AS1462)/$AT1462,((($F1462/$AS1462)^$AR1462)-1)/($AR1462*$AT1462)))</f>
        <v/>
      </c>
      <c r="AV1462">
        <f>IF($AR1462="","",IF($AR1462=0,$AS1462*EXP($AT1462*2),$AS1462*(1+$AR1462*$AT1462*2)^(1/$AR1462)))</f>
        <v/>
      </c>
      <c r="AW1462">
        <f>IF($AR1462="","",IF($AR1462=0,$AS1462*EXP($AT1462*3),$AS1462*(1+$AR1462*$AT1462*3)^(1/$AR1462)))</f>
        <v/>
      </c>
      <c r="AX1462">
        <f>IF($AR1462="","",IF($AR1462=0,$AS1462*EXP($AT1462*-2),$AS1462*(1+$AR1462*$AT1462*-2)^(1/$AR1462)))</f>
        <v/>
      </c>
      <c r="AY1462">
        <f>IF($AR1462="","",IF($AR1462=0,$AS1462*EXP($AT1462*-3),$AS1462*(1+$AR1462*$AT1462*-3)^(1/$AR1462)))</f>
        <v/>
      </c>
      <c r="AZ1462">
        <f>IF(OR($A1462="",$A1462&lt;&gt;Ficha!$C$4),"",COUNTIF($A$2:$A1462,Ficha!$C$4))</f>
        <v/>
      </c>
    </row>
    <row r="1463">
      <c r="A1463" s="8">
        <f>IF(INDEX(Banco!$A:$A,ROW())="","",INDEX(Banco!$A:$A,ROW()))</f>
        <v/>
      </c>
      <c r="B1463" s="8">
        <f>IF(INDEX(Banco!$B:$B,ROW())="","",INDEX(Banco!$B:$B,ROW()))</f>
        <v/>
      </c>
      <c r="C1463" s="8">
        <f>IF(INDEX(Banco!$C:$C,ROW())="","",INDEX(Banco!$C:$C,ROW()))</f>
        <v/>
      </c>
      <c r="D1463" s="9">
        <f>IF(INDEX(Banco!$D:$D,ROW())="","",INDEX(Banco!$D:$D,ROW()))</f>
        <v/>
      </c>
      <c r="E1463" s="9">
        <f>IF(INDEX(Banco!$E:$E,ROW())="","",INDEX(Banco!$E:$E,ROW()))</f>
        <v/>
      </c>
      <c r="F1463" s="10">
        <f>IF(INDEX(Banco!$F:$F,ROW())="","",INDEX(Banco!$F:$F,ROW()))</f>
        <v/>
      </c>
      <c r="G1463" s="10">
        <f>IF(INDEX(Banco!$G:$G,ROW())="","",INDEX(Banco!$G:$G,ROW()))</f>
        <v/>
      </c>
      <c r="H1463" s="8">
        <f>IF(INDEX(Banco!$H:$H,ROW())="","",INDEX(Banco!$H:$H,ROW()))</f>
        <v/>
      </c>
      <c r="I1463">
        <f>IF($T1463="","",INT($T1463/12)&amp;"a "&amp;MOD($T1463,12)&amp;"m")</f>
        <v/>
      </c>
      <c r="J1463" s="11">
        <f>IF(OR($F1463="",$G1463=""),"",ROUND($F1463/($G1463/100)^2,2))</f>
        <v/>
      </c>
      <c r="K1463" s="12">
        <f>IF(OR($S1463="",$J1463="",$T1463="",$T1463&lt;0,$T1463&gt;228,$Y1463=""),"—",ROUND(IF(ABS($AB1463)&lt;=3,$AB1463,IF($AB1463&gt;3,3+($J1463-$AD1463)/($AD1463-$AC1463),-3+($J1463-$AF1463)/($AE1463-$AF1463))),2))</f>
        <v/>
      </c>
      <c r="L1463">
        <f>IF(OR($K1463="",$K1463="—"),"",IF($T1463&lt;=60,IF($K1463&lt;-3,"Magreza acentuada",IF($K1463&lt;-2,"Magreza",IF($K1463&lt;=1,"Eutrofia",IF($K1463&lt;=2,"Risco de sobrepeso",IF($K1463&lt;=3,"Sobrepeso","Obesidade"))))),IF($K1463&lt;-3,"Magreza acentuada",IF($K1463&lt;-2,"Magreza",IF($K1463&lt;=1,"Eutrofia",IF($K1463&lt;=2,"Sobrepeso",IF($K1463&lt;=3,"Obesidade","Obesidade grave")))))))</f>
        <v/>
      </c>
      <c r="M1463" s="12">
        <f>IF(OR($S1463="",$V1463="",$T1463="",$T1463&lt;0,$T1463&gt;228,$AG1463=""),"—",ROUND(IF($AG1463=0,LN($V1463/$AH1463)/$AI1463,((($V1463/$AH1463)^$AG1463)-1)/($AG1463*$AI1463)),2))</f>
        <v/>
      </c>
      <c r="N1463">
        <f>IF(OR($M1463="",$M1463="—"),"",IF($M1463&lt;-3,"Muito baixa",IF($M1463&lt;-2,"Baixa","Adequada")))</f>
        <v/>
      </c>
      <c r="O1463" s="12">
        <f>IF(OR($S1463="",$F1463="",$T1463="",$T1463&lt;0,$T1463&gt;120,$AJ1463=""),"—",ROUND(IF(ABS($AM1463)&lt;=3,$AM1463,IF($AM1463&gt;3,3+($F1463-$AO1463)/($AO1463-$AN1463),-3+($F1463-$AQ1463)/($AP1463-$AQ1463))),2))</f>
        <v/>
      </c>
      <c r="P1463">
        <f>IF(OR($O1463="",$O1463="—"),"",IF($O1463&lt;-3,"Muito baixo",IF($O1463&lt;-2,"Baixo",IF($O1463&lt;=2,"Adequado","Elevado"))))</f>
        <v/>
      </c>
      <c r="Q1463" s="12">
        <f>IF(OR($S1463="",$F1463="",$T1463="",$T1463&lt;0,$T1463&gt;60,$AR1463=""),"—",ROUND(IF(ABS($AU1463)&lt;=3,$AU1463,IF($AU1463&gt;3,3+($F1463-$AW1463)/($AW1463-$AV1463),-3+($F1463-$AY1463)/($AX1463-$AY1463))),2))</f>
        <v/>
      </c>
      <c r="R1463">
        <f>IF(OR($Q1463="",$Q1463="—"),"",IF($Q1463&lt;-3,"Magreza acentuada",IF($Q1463&lt;-2,"Magreza",IF($Q1463&lt;=1,"Eutrofia",IF($Q1463&lt;=2,"Risco de sobrepeso",IF($Q1463&lt;=3,"Sobrepeso","Obesidade"))))))</f>
        <v/>
      </c>
      <c r="S1463">
        <f>IF($C1463="","",IF(UPPER(LEFT($C1463,1))="M",1,IF(UPPER(LEFT($C1463,1))="F",2,"")))</f>
        <v/>
      </c>
      <c r="T1463">
        <f>IF(OR($D1463="",$E1463=""),"",DATEDIF($D1463,$E1463,"m"))</f>
        <v/>
      </c>
      <c r="U1463">
        <f>IF(OR($D1463="",$E1463=""),"",$E1463-$D1463)</f>
        <v/>
      </c>
      <c r="V1463">
        <f>IF(OR($G1463="",$T1463=""),"",IF($T1463&lt;24,IF(LEFT(LOWER($H1463),4)="em p",$G1463+0.7,$G1463),IF(LEFT(LOWER($H1463),4)="deit",$G1463-0.7,$G1463)))</f>
        <v/>
      </c>
      <c r="W1463">
        <f>IF(OR($S1463="",$T1463=""),"",$S1463*1000000+IF($T1463&lt;=60,$U1463,$T1463))</f>
        <v/>
      </c>
      <c r="X1463">
        <f>IF(OR($S1463="",$V1463="",$T1463&gt;60,$T1463=""),"",$S1463*1000000+ROUND($V1463*10,0))</f>
        <v/>
      </c>
      <c r="Y1463">
        <f>IF($W1463="","",IFERROR(INDEX(IF($T1463&lt;=60,imc05_l,imc519_l),MATCH($W1463,IF($T1463&lt;=60,imc05_k,imc519_k),1)),""))</f>
        <v/>
      </c>
      <c r="Z1463">
        <f>IF($W1463="","",IFERROR(INDEX(IF($T1463&lt;=60,imc05_m,imc519_m),MATCH($W1463,IF($T1463&lt;=60,imc05_k,imc519_k),1)),""))</f>
        <v/>
      </c>
      <c r="AA1463">
        <f>IF($W1463="","",IFERROR(INDEX(IF($T1463&lt;=60,imc05_s,imc519_s),MATCH($W1463,IF($T1463&lt;=60,imc05_k,imc519_k),1)),""))</f>
        <v/>
      </c>
      <c r="AB1463">
        <f>IF($Y1463="","",IF($Y1463=0,LN($J1463/$Z1463)/$AA1463,((($J1463/$Z1463)^$Y1463)-1)/($Y1463*$AA1463)))</f>
        <v/>
      </c>
      <c r="AC1463">
        <f>IF($Y1463="","",IF($Y1463=0,$Z1463*EXP($AA1463*2),$Z1463*(1+$Y1463*$AA1463*2)^(1/$Y1463)))</f>
        <v/>
      </c>
      <c r="AD1463">
        <f>IF($Y1463="","",IF($Y1463=0,$Z1463*EXP($AA1463*3),$Z1463*(1+$Y1463*$AA1463*3)^(1/$Y1463)))</f>
        <v/>
      </c>
      <c r="AE1463">
        <f>IF($Y1463="","",IF($Y1463=0,$Z1463*EXP($AA1463*-2),$Z1463*(1+$Y1463*$AA1463*-2)^(1/$Y1463)))</f>
        <v/>
      </c>
      <c r="AF1463">
        <f>IF($Y1463="","",IF($Y1463=0,$Z1463*EXP($AA1463*-3),$Z1463*(1+$Y1463*$AA1463*-3)^(1/$Y1463)))</f>
        <v/>
      </c>
      <c r="AG1463">
        <f>IF($W1463="","",IFERROR(INDEX(IF($T1463&lt;=60,est05_l,est519_l),MATCH($W1463,IF($T1463&lt;=60,est05_k,est519_k),1)),""))</f>
        <v/>
      </c>
      <c r="AH1463">
        <f>IF($W1463="","",IFERROR(INDEX(IF($T1463&lt;=60,est05_m,est519_m),MATCH($W1463,IF($T1463&lt;=60,est05_k,est519_k),1)),""))</f>
        <v/>
      </c>
      <c r="AI1463">
        <f>IF($W1463="","",IFERROR(INDEX(IF($T1463&lt;=60,est05_s,est519_s),MATCH($W1463,IF($T1463&lt;=60,est05_k,est519_k),1)),""))</f>
        <v/>
      </c>
      <c r="AJ1463">
        <f>IF($W1463="","",IFERROR(INDEX(IF($T1463&lt;=60,peso05_l,peso510_l),MATCH($W1463,IF($T1463&lt;=60,peso05_k,peso510_k),1)),""))</f>
        <v/>
      </c>
      <c r="AK1463">
        <f>IF($W1463="","",IFERROR(INDEX(IF($T1463&lt;=60,peso05_m,peso510_m),MATCH($W1463,IF($T1463&lt;=60,peso05_k,peso510_k),1)),""))</f>
        <v/>
      </c>
      <c r="AL1463">
        <f>IF($W1463="","",IFERROR(INDEX(IF($T1463&lt;=60,peso05_s,peso510_s),MATCH($W1463,IF($T1463&lt;=60,peso05_k,peso510_k),1)),""))</f>
        <v/>
      </c>
      <c r="AM1463">
        <f>IF($AJ1463="","",IF($AJ1463=0,LN($F1463/$AK1463)/$AL1463,((($F1463/$AK1463)^$AJ1463)-1)/($AJ1463*$AL1463)))</f>
        <v/>
      </c>
      <c r="AN1463">
        <f>IF($AJ1463="","",IF($AJ1463=0,$AK1463*EXP($AL1463*2),$AK1463*(1+$AJ1463*$AL1463*2)^(1/$AJ1463)))</f>
        <v/>
      </c>
      <c r="AO1463">
        <f>IF($AJ1463="","",IF($AJ1463=0,$AK1463*EXP($AL1463*3),$AK1463*(1+$AJ1463*$AL1463*3)^(1/$AJ1463)))</f>
        <v/>
      </c>
      <c r="AP1463">
        <f>IF($AJ1463="","",IF($AJ1463=0,$AK1463*EXP($AL1463*-2),$AK1463*(1+$AJ1463*$AL1463*-2)^(1/$AJ1463)))</f>
        <v/>
      </c>
      <c r="AQ1463">
        <f>IF($AJ1463="","",IF($AJ1463=0,$AK1463*EXP($AL1463*-3),$AK1463*(1+$AJ1463*$AL1463*-3)^(1/$AJ1463)))</f>
        <v/>
      </c>
      <c r="AR1463">
        <f>IF(OR($X1463="",$T1463&gt;60),"",IFERROR(INDEX(IF($T1463&lt;24,pcomp_l,palt_l),MATCH($X1463,IF($T1463&lt;24,pcomp_k,palt_k),1)),""))</f>
        <v/>
      </c>
      <c r="AS1463">
        <f>IF(OR($X1463="",$T1463&gt;60),"",IFERROR(INDEX(IF($T1463&lt;24,pcomp_m,palt_m),MATCH($X1463,IF($T1463&lt;24,pcomp_k,palt_k),1)),""))</f>
        <v/>
      </c>
      <c r="AT1463">
        <f>IF(OR($X1463="",$T1463&gt;60),"",IFERROR(INDEX(IF($T1463&lt;24,pcomp_s,palt_s),MATCH($X1463,IF($T1463&lt;24,pcomp_k,palt_k),1)),""))</f>
        <v/>
      </c>
      <c r="AU1463">
        <f>IF($AR1463="","",IF($AR1463=0,LN($F1463/$AS1463)/$AT1463,((($F1463/$AS1463)^$AR1463)-1)/($AR1463*$AT1463)))</f>
        <v/>
      </c>
      <c r="AV1463">
        <f>IF($AR1463="","",IF($AR1463=0,$AS1463*EXP($AT1463*2),$AS1463*(1+$AR1463*$AT1463*2)^(1/$AR1463)))</f>
        <v/>
      </c>
      <c r="AW1463">
        <f>IF($AR1463="","",IF($AR1463=0,$AS1463*EXP($AT1463*3),$AS1463*(1+$AR1463*$AT1463*3)^(1/$AR1463)))</f>
        <v/>
      </c>
      <c r="AX1463">
        <f>IF($AR1463="","",IF($AR1463=0,$AS1463*EXP($AT1463*-2),$AS1463*(1+$AR1463*$AT1463*-2)^(1/$AR1463)))</f>
        <v/>
      </c>
      <c r="AY1463">
        <f>IF($AR1463="","",IF($AR1463=0,$AS1463*EXP($AT1463*-3),$AS1463*(1+$AR1463*$AT1463*-3)^(1/$AR1463)))</f>
        <v/>
      </c>
      <c r="AZ1463">
        <f>IF(OR($A1463="",$A1463&lt;&gt;Ficha!$C$4),"",COUNTIF($A$2:$A1463,Ficha!$C$4))</f>
        <v/>
      </c>
    </row>
    <row r="1464">
      <c r="A1464" s="8">
        <f>IF(INDEX(Banco!$A:$A,ROW())="","",INDEX(Banco!$A:$A,ROW()))</f>
        <v/>
      </c>
      <c r="B1464" s="8">
        <f>IF(INDEX(Banco!$B:$B,ROW())="","",INDEX(Banco!$B:$B,ROW()))</f>
        <v/>
      </c>
      <c r="C1464" s="8">
        <f>IF(INDEX(Banco!$C:$C,ROW())="","",INDEX(Banco!$C:$C,ROW()))</f>
        <v/>
      </c>
      <c r="D1464" s="9">
        <f>IF(INDEX(Banco!$D:$D,ROW())="","",INDEX(Banco!$D:$D,ROW()))</f>
        <v/>
      </c>
      <c r="E1464" s="9">
        <f>IF(INDEX(Banco!$E:$E,ROW())="","",INDEX(Banco!$E:$E,ROW()))</f>
        <v/>
      </c>
      <c r="F1464" s="10">
        <f>IF(INDEX(Banco!$F:$F,ROW())="","",INDEX(Banco!$F:$F,ROW()))</f>
        <v/>
      </c>
      <c r="G1464" s="10">
        <f>IF(INDEX(Banco!$G:$G,ROW())="","",INDEX(Banco!$G:$G,ROW()))</f>
        <v/>
      </c>
      <c r="H1464" s="8">
        <f>IF(INDEX(Banco!$H:$H,ROW())="","",INDEX(Banco!$H:$H,ROW()))</f>
        <v/>
      </c>
      <c r="I1464">
        <f>IF($T1464="","",INT($T1464/12)&amp;"a "&amp;MOD($T1464,12)&amp;"m")</f>
        <v/>
      </c>
      <c r="J1464" s="11">
        <f>IF(OR($F1464="",$G1464=""),"",ROUND($F1464/($G1464/100)^2,2))</f>
        <v/>
      </c>
      <c r="K1464" s="12">
        <f>IF(OR($S1464="",$J1464="",$T1464="",$T1464&lt;0,$T1464&gt;228,$Y1464=""),"—",ROUND(IF(ABS($AB1464)&lt;=3,$AB1464,IF($AB1464&gt;3,3+($J1464-$AD1464)/($AD1464-$AC1464),-3+($J1464-$AF1464)/($AE1464-$AF1464))),2))</f>
        <v/>
      </c>
      <c r="L1464">
        <f>IF(OR($K1464="",$K1464="—"),"",IF($T1464&lt;=60,IF($K1464&lt;-3,"Magreza acentuada",IF($K1464&lt;-2,"Magreza",IF($K1464&lt;=1,"Eutrofia",IF($K1464&lt;=2,"Risco de sobrepeso",IF($K1464&lt;=3,"Sobrepeso","Obesidade"))))),IF($K1464&lt;-3,"Magreza acentuada",IF($K1464&lt;-2,"Magreza",IF($K1464&lt;=1,"Eutrofia",IF($K1464&lt;=2,"Sobrepeso",IF($K1464&lt;=3,"Obesidade","Obesidade grave")))))))</f>
        <v/>
      </c>
      <c r="M1464" s="12">
        <f>IF(OR($S1464="",$V1464="",$T1464="",$T1464&lt;0,$T1464&gt;228,$AG1464=""),"—",ROUND(IF($AG1464=0,LN($V1464/$AH1464)/$AI1464,((($V1464/$AH1464)^$AG1464)-1)/($AG1464*$AI1464)),2))</f>
        <v/>
      </c>
      <c r="N1464">
        <f>IF(OR($M1464="",$M1464="—"),"",IF($M1464&lt;-3,"Muito baixa",IF($M1464&lt;-2,"Baixa","Adequada")))</f>
        <v/>
      </c>
      <c r="O1464" s="12">
        <f>IF(OR($S1464="",$F1464="",$T1464="",$T1464&lt;0,$T1464&gt;120,$AJ1464=""),"—",ROUND(IF(ABS($AM1464)&lt;=3,$AM1464,IF($AM1464&gt;3,3+($F1464-$AO1464)/($AO1464-$AN1464),-3+($F1464-$AQ1464)/($AP1464-$AQ1464))),2))</f>
        <v/>
      </c>
      <c r="P1464">
        <f>IF(OR($O1464="",$O1464="—"),"",IF($O1464&lt;-3,"Muito baixo",IF($O1464&lt;-2,"Baixo",IF($O1464&lt;=2,"Adequado","Elevado"))))</f>
        <v/>
      </c>
      <c r="Q1464" s="12">
        <f>IF(OR($S1464="",$F1464="",$T1464="",$T1464&lt;0,$T1464&gt;60,$AR1464=""),"—",ROUND(IF(ABS($AU1464)&lt;=3,$AU1464,IF($AU1464&gt;3,3+($F1464-$AW1464)/($AW1464-$AV1464),-3+($F1464-$AY1464)/($AX1464-$AY1464))),2))</f>
        <v/>
      </c>
      <c r="R1464">
        <f>IF(OR($Q1464="",$Q1464="—"),"",IF($Q1464&lt;-3,"Magreza acentuada",IF($Q1464&lt;-2,"Magreza",IF($Q1464&lt;=1,"Eutrofia",IF($Q1464&lt;=2,"Risco de sobrepeso",IF($Q1464&lt;=3,"Sobrepeso","Obesidade"))))))</f>
        <v/>
      </c>
      <c r="S1464">
        <f>IF($C1464="","",IF(UPPER(LEFT($C1464,1))="M",1,IF(UPPER(LEFT($C1464,1))="F",2,"")))</f>
        <v/>
      </c>
      <c r="T1464">
        <f>IF(OR($D1464="",$E1464=""),"",DATEDIF($D1464,$E1464,"m"))</f>
        <v/>
      </c>
      <c r="U1464">
        <f>IF(OR($D1464="",$E1464=""),"",$E1464-$D1464)</f>
        <v/>
      </c>
      <c r="V1464">
        <f>IF(OR($G1464="",$T1464=""),"",IF($T1464&lt;24,IF(LEFT(LOWER($H1464),4)="em p",$G1464+0.7,$G1464),IF(LEFT(LOWER($H1464),4)="deit",$G1464-0.7,$G1464)))</f>
        <v/>
      </c>
      <c r="W1464">
        <f>IF(OR($S1464="",$T1464=""),"",$S1464*1000000+IF($T1464&lt;=60,$U1464,$T1464))</f>
        <v/>
      </c>
      <c r="X1464">
        <f>IF(OR($S1464="",$V1464="",$T1464&gt;60,$T1464=""),"",$S1464*1000000+ROUND($V1464*10,0))</f>
        <v/>
      </c>
      <c r="Y1464">
        <f>IF($W1464="","",IFERROR(INDEX(IF($T1464&lt;=60,imc05_l,imc519_l),MATCH($W1464,IF($T1464&lt;=60,imc05_k,imc519_k),1)),""))</f>
        <v/>
      </c>
      <c r="Z1464">
        <f>IF($W1464="","",IFERROR(INDEX(IF($T1464&lt;=60,imc05_m,imc519_m),MATCH($W1464,IF($T1464&lt;=60,imc05_k,imc519_k),1)),""))</f>
        <v/>
      </c>
      <c r="AA1464">
        <f>IF($W1464="","",IFERROR(INDEX(IF($T1464&lt;=60,imc05_s,imc519_s),MATCH($W1464,IF($T1464&lt;=60,imc05_k,imc519_k),1)),""))</f>
        <v/>
      </c>
      <c r="AB1464">
        <f>IF($Y1464="","",IF($Y1464=0,LN($J1464/$Z1464)/$AA1464,((($J1464/$Z1464)^$Y1464)-1)/($Y1464*$AA1464)))</f>
        <v/>
      </c>
      <c r="AC1464">
        <f>IF($Y1464="","",IF($Y1464=0,$Z1464*EXP($AA1464*2),$Z1464*(1+$Y1464*$AA1464*2)^(1/$Y1464)))</f>
        <v/>
      </c>
      <c r="AD1464">
        <f>IF($Y1464="","",IF($Y1464=0,$Z1464*EXP($AA1464*3),$Z1464*(1+$Y1464*$AA1464*3)^(1/$Y1464)))</f>
        <v/>
      </c>
      <c r="AE1464">
        <f>IF($Y1464="","",IF($Y1464=0,$Z1464*EXP($AA1464*-2),$Z1464*(1+$Y1464*$AA1464*-2)^(1/$Y1464)))</f>
        <v/>
      </c>
      <c r="AF1464">
        <f>IF($Y1464="","",IF($Y1464=0,$Z1464*EXP($AA1464*-3),$Z1464*(1+$Y1464*$AA1464*-3)^(1/$Y1464)))</f>
        <v/>
      </c>
      <c r="AG1464">
        <f>IF($W1464="","",IFERROR(INDEX(IF($T1464&lt;=60,est05_l,est519_l),MATCH($W1464,IF($T1464&lt;=60,est05_k,est519_k),1)),""))</f>
        <v/>
      </c>
      <c r="AH1464">
        <f>IF($W1464="","",IFERROR(INDEX(IF($T1464&lt;=60,est05_m,est519_m),MATCH($W1464,IF($T1464&lt;=60,est05_k,est519_k),1)),""))</f>
        <v/>
      </c>
      <c r="AI1464">
        <f>IF($W1464="","",IFERROR(INDEX(IF($T1464&lt;=60,est05_s,est519_s),MATCH($W1464,IF($T1464&lt;=60,est05_k,est519_k),1)),""))</f>
        <v/>
      </c>
      <c r="AJ1464">
        <f>IF($W1464="","",IFERROR(INDEX(IF($T1464&lt;=60,peso05_l,peso510_l),MATCH($W1464,IF($T1464&lt;=60,peso05_k,peso510_k),1)),""))</f>
        <v/>
      </c>
      <c r="AK1464">
        <f>IF($W1464="","",IFERROR(INDEX(IF($T1464&lt;=60,peso05_m,peso510_m),MATCH($W1464,IF($T1464&lt;=60,peso05_k,peso510_k),1)),""))</f>
        <v/>
      </c>
      <c r="AL1464">
        <f>IF($W1464="","",IFERROR(INDEX(IF($T1464&lt;=60,peso05_s,peso510_s),MATCH($W1464,IF($T1464&lt;=60,peso05_k,peso510_k),1)),""))</f>
        <v/>
      </c>
      <c r="AM1464">
        <f>IF($AJ1464="","",IF($AJ1464=0,LN($F1464/$AK1464)/$AL1464,((($F1464/$AK1464)^$AJ1464)-1)/($AJ1464*$AL1464)))</f>
        <v/>
      </c>
      <c r="AN1464">
        <f>IF($AJ1464="","",IF($AJ1464=0,$AK1464*EXP($AL1464*2),$AK1464*(1+$AJ1464*$AL1464*2)^(1/$AJ1464)))</f>
        <v/>
      </c>
      <c r="AO1464">
        <f>IF($AJ1464="","",IF($AJ1464=0,$AK1464*EXP($AL1464*3),$AK1464*(1+$AJ1464*$AL1464*3)^(1/$AJ1464)))</f>
        <v/>
      </c>
      <c r="AP1464">
        <f>IF($AJ1464="","",IF($AJ1464=0,$AK1464*EXP($AL1464*-2),$AK1464*(1+$AJ1464*$AL1464*-2)^(1/$AJ1464)))</f>
        <v/>
      </c>
      <c r="AQ1464">
        <f>IF($AJ1464="","",IF($AJ1464=0,$AK1464*EXP($AL1464*-3),$AK1464*(1+$AJ1464*$AL1464*-3)^(1/$AJ1464)))</f>
        <v/>
      </c>
      <c r="AR1464">
        <f>IF(OR($X1464="",$T1464&gt;60),"",IFERROR(INDEX(IF($T1464&lt;24,pcomp_l,palt_l),MATCH($X1464,IF($T1464&lt;24,pcomp_k,palt_k),1)),""))</f>
        <v/>
      </c>
      <c r="AS1464">
        <f>IF(OR($X1464="",$T1464&gt;60),"",IFERROR(INDEX(IF($T1464&lt;24,pcomp_m,palt_m),MATCH($X1464,IF($T1464&lt;24,pcomp_k,palt_k),1)),""))</f>
        <v/>
      </c>
      <c r="AT1464">
        <f>IF(OR($X1464="",$T1464&gt;60),"",IFERROR(INDEX(IF($T1464&lt;24,pcomp_s,palt_s),MATCH($X1464,IF($T1464&lt;24,pcomp_k,palt_k),1)),""))</f>
        <v/>
      </c>
      <c r="AU1464">
        <f>IF($AR1464="","",IF($AR1464=0,LN($F1464/$AS1464)/$AT1464,((($F1464/$AS1464)^$AR1464)-1)/($AR1464*$AT1464)))</f>
        <v/>
      </c>
      <c r="AV1464">
        <f>IF($AR1464="","",IF($AR1464=0,$AS1464*EXP($AT1464*2),$AS1464*(1+$AR1464*$AT1464*2)^(1/$AR1464)))</f>
        <v/>
      </c>
      <c r="AW1464">
        <f>IF($AR1464="","",IF($AR1464=0,$AS1464*EXP($AT1464*3),$AS1464*(1+$AR1464*$AT1464*3)^(1/$AR1464)))</f>
        <v/>
      </c>
      <c r="AX1464">
        <f>IF($AR1464="","",IF($AR1464=0,$AS1464*EXP($AT1464*-2),$AS1464*(1+$AR1464*$AT1464*-2)^(1/$AR1464)))</f>
        <v/>
      </c>
      <c r="AY1464">
        <f>IF($AR1464="","",IF($AR1464=0,$AS1464*EXP($AT1464*-3),$AS1464*(1+$AR1464*$AT1464*-3)^(1/$AR1464)))</f>
        <v/>
      </c>
      <c r="AZ1464">
        <f>IF(OR($A1464="",$A1464&lt;&gt;Ficha!$C$4),"",COUNTIF($A$2:$A1464,Ficha!$C$4))</f>
        <v/>
      </c>
    </row>
    <row r="1465">
      <c r="A1465" s="8">
        <f>IF(INDEX(Banco!$A:$A,ROW())="","",INDEX(Banco!$A:$A,ROW()))</f>
        <v/>
      </c>
      <c r="B1465" s="8">
        <f>IF(INDEX(Banco!$B:$B,ROW())="","",INDEX(Banco!$B:$B,ROW()))</f>
        <v/>
      </c>
      <c r="C1465" s="8">
        <f>IF(INDEX(Banco!$C:$C,ROW())="","",INDEX(Banco!$C:$C,ROW()))</f>
        <v/>
      </c>
      <c r="D1465" s="9">
        <f>IF(INDEX(Banco!$D:$D,ROW())="","",INDEX(Banco!$D:$D,ROW()))</f>
        <v/>
      </c>
      <c r="E1465" s="9">
        <f>IF(INDEX(Banco!$E:$E,ROW())="","",INDEX(Banco!$E:$E,ROW()))</f>
        <v/>
      </c>
      <c r="F1465" s="10">
        <f>IF(INDEX(Banco!$F:$F,ROW())="","",INDEX(Banco!$F:$F,ROW()))</f>
        <v/>
      </c>
      <c r="G1465" s="10">
        <f>IF(INDEX(Banco!$G:$G,ROW())="","",INDEX(Banco!$G:$G,ROW()))</f>
        <v/>
      </c>
      <c r="H1465" s="8">
        <f>IF(INDEX(Banco!$H:$H,ROW())="","",INDEX(Banco!$H:$H,ROW()))</f>
        <v/>
      </c>
      <c r="I1465">
        <f>IF($T1465="","",INT($T1465/12)&amp;"a "&amp;MOD($T1465,12)&amp;"m")</f>
        <v/>
      </c>
      <c r="J1465" s="11">
        <f>IF(OR($F1465="",$G1465=""),"",ROUND($F1465/($G1465/100)^2,2))</f>
        <v/>
      </c>
      <c r="K1465" s="12">
        <f>IF(OR($S1465="",$J1465="",$T1465="",$T1465&lt;0,$T1465&gt;228,$Y1465=""),"—",ROUND(IF(ABS($AB1465)&lt;=3,$AB1465,IF($AB1465&gt;3,3+($J1465-$AD1465)/($AD1465-$AC1465),-3+($J1465-$AF1465)/($AE1465-$AF1465))),2))</f>
        <v/>
      </c>
      <c r="L1465">
        <f>IF(OR($K1465="",$K1465="—"),"",IF($T1465&lt;=60,IF($K1465&lt;-3,"Magreza acentuada",IF($K1465&lt;-2,"Magreza",IF($K1465&lt;=1,"Eutrofia",IF($K1465&lt;=2,"Risco de sobrepeso",IF($K1465&lt;=3,"Sobrepeso","Obesidade"))))),IF($K1465&lt;-3,"Magreza acentuada",IF($K1465&lt;-2,"Magreza",IF($K1465&lt;=1,"Eutrofia",IF($K1465&lt;=2,"Sobrepeso",IF($K1465&lt;=3,"Obesidade","Obesidade grave")))))))</f>
        <v/>
      </c>
      <c r="M1465" s="12">
        <f>IF(OR($S1465="",$V1465="",$T1465="",$T1465&lt;0,$T1465&gt;228,$AG1465=""),"—",ROUND(IF($AG1465=0,LN($V1465/$AH1465)/$AI1465,((($V1465/$AH1465)^$AG1465)-1)/($AG1465*$AI1465)),2))</f>
        <v/>
      </c>
      <c r="N1465">
        <f>IF(OR($M1465="",$M1465="—"),"",IF($M1465&lt;-3,"Muito baixa",IF($M1465&lt;-2,"Baixa","Adequada")))</f>
        <v/>
      </c>
      <c r="O1465" s="12">
        <f>IF(OR($S1465="",$F1465="",$T1465="",$T1465&lt;0,$T1465&gt;120,$AJ1465=""),"—",ROUND(IF(ABS($AM1465)&lt;=3,$AM1465,IF($AM1465&gt;3,3+($F1465-$AO1465)/($AO1465-$AN1465),-3+($F1465-$AQ1465)/($AP1465-$AQ1465))),2))</f>
        <v/>
      </c>
      <c r="P1465">
        <f>IF(OR($O1465="",$O1465="—"),"",IF($O1465&lt;-3,"Muito baixo",IF($O1465&lt;-2,"Baixo",IF($O1465&lt;=2,"Adequado","Elevado"))))</f>
        <v/>
      </c>
      <c r="Q1465" s="12">
        <f>IF(OR($S1465="",$F1465="",$T1465="",$T1465&lt;0,$T1465&gt;60,$AR1465=""),"—",ROUND(IF(ABS($AU1465)&lt;=3,$AU1465,IF($AU1465&gt;3,3+($F1465-$AW1465)/($AW1465-$AV1465),-3+($F1465-$AY1465)/($AX1465-$AY1465))),2))</f>
        <v/>
      </c>
      <c r="R1465">
        <f>IF(OR($Q1465="",$Q1465="—"),"",IF($Q1465&lt;-3,"Magreza acentuada",IF($Q1465&lt;-2,"Magreza",IF($Q1465&lt;=1,"Eutrofia",IF($Q1465&lt;=2,"Risco de sobrepeso",IF($Q1465&lt;=3,"Sobrepeso","Obesidade"))))))</f>
        <v/>
      </c>
      <c r="S1465">
        <f>IF($C1465="","",IF(UPPER(LEFT($C1465,1))="M",1,IF(UPPER(LEFT($C1465,1))="F",2,"")))</f>
        <v/>
      </c>
      <c r="T1465">
        <f>IF(OR($D1465="",$E1465=""),"",DATEDIF($D1465,$E1465,"m"))</f>
        <v/>
      </c>
      <c r="U1465">
        <f>IF(OR($D1465="",$E1465=""),"",$E1465-$D1465)</f>
        <v/>
      </c>
      <c r="V1465">
        <f>IF(OR($G1465="",$T1465=""),"",IF($T1465&lt;24,IF(LEFT(LOWER($H1465),4)="em p",$G1465+0.7,$G1465),IF(LEFT(LOWER($H1465),4)="deit",$G1465-0.7,$G1465)))</f>
        <v/>
      </c>
      <c r="W1465">
        <f>IF(OR($S1465="",$T1465=""),"",$S1465*1000000+IF($T1465&lt;=60,$U1465,$T1465))</f>
        <v/>
      </c>
      <c r="X1465">
        <f>IF(OR($S1465="",$V1465="",$T1465&gt;60,$T1465=""),"",$S1465*1000000+ROUND($V1465*10,0))</f>
        <v/>
      </c>
      <c r="Y1465">
        <f>IF($W1465="","",IFERROR(INDEX(IF($T1465&lt;=60,imc05_l,imc519_l),MATCH($W1465,IF($T1465&lt;=60,imc05_k,imc519_k),1)),""))</f>
        <v/>
      </c>
      <c r="Z1465">
        <f>IF($W1465="","",IFERROR(INDEX(IF($T1465&lt;=60,imc05_m,imc519_m),MATCH($W1465,IF($T1465&lt;=60,imc05_k,imc519_k),1)),""))</f>
        <v/>
      </c>
      <c r="AA1465">
        <f>IF($W1465="","",IFERROR(INDEX(IF($T1465&lt;=60,imc05_s,imc519_s),MATCH($W1465,IF($T1465&lt;=60,imc05_k,imc519_k),1)),""))</f>
        <v/>
      </c>
      <c r="AB1465">
        <f>IF($Y1465="","",IF($Y1465=0,LN($J1465/$Z1465)/$AA1465,((($J1465/$Z1465)^$Y1465)-1)/($Y1465*$AA1465)))</f>
        <v/>
      </c>
      <c r="AC1465">
        <f>IF($Y1465="","",IF($Y1465=0,$Z1465*EXP($AA1465*2),$Z1465*(1+$Y1465*$AA1465*2)^(1/$Y1465)))</f>
        <v/>
      </c>
      <c r="AD1465">
        <f>IF($Y1465="","",IF($Y1465=0,$Z1465*EXP($AA1465*3),$Z1465*(1+$Y1465*$AA1465*3)^(1/$Y1465)))</f>
        <v/>
      </c>
      <c r="AE1465">
        <f>IF($Y1465="","",IF($Y1465=0,$Z1465*EXP($AA1465*-2),$Z1465*(1+$Y1465*$AA1465*-2)^(1/$Y1465)))</f>
        <v/>
      </c>
      <c r="AF1465">
        <f>IF($Y1465="","",IF($Y1465=0,$Z1465*EXP($AA1465*-3),$Z1465*(1+$Y1465*$AA1465*-3)^(1/$Y1465)))</f>
        <v/>
      </c>
      <c r="AG1465">
        <f>IF($W1465="","",IFERROR(INDEX(IF($T1465&lt;=60,est05_l,est519_l),MATCH($W1465,IF($T1465&lt;=60,est05_k,est519_k),1)),""))</f>
        <v/>
      </c>
      <c r="AH1465">
        <f>IF($W1465="","",IFERROR(INDEX(IF($T1465&lt;=60,est05_m,est519_m),MATCH($W1465,IF($T1465&lt;=60,est05_k,est519_k),1)),""))</f>
        <v/>
      </c>
      <c r="AI1465">
        <f>IF($W1465="","",IFERROR(INDEX(IF($T1465&lt;=60,est05_s,est519_s),MATCH($W1465,IF($T1465&lt;=60,est05_k,est519_k),1)),""))</f>
        <v/>
      </c>
      <c r="AJ1465">
        <f>IF($W1465="","",IFERROR(INDEX(IF($T1465&lt;=60,peso05_l,peso510_l),MATCH($W1465,IF($T1465&lt;=60,peso05_k,peso510_k),1)),""))</f>
        <v/>
      </c>
      <c r="AK1465">
        <f>IF($W1465="","",IFERROR(INDEX(IF($T1465&lt;=60,peso05_m,peso510_m),MATCH($W1465,IF($T1465&lt;=60,peso05_k,peso510_k),1)),""))</f>
        <v/>
      </c>
      <c r="AL1465">
        <f>IF($W1465="","",IFERROR(INDEX(IF($T1465&lt;=60,peso05_s,peso510_s),MATCH($W1465,IF($T1465&lt;=60,peso05_k,peso510_k),1)),""))</f>
        <v/>
      </c>
      <c r="AM1465">
        <f>IF($AJ1465="","",IF($AJ1465=0,LN($F1465/$AK1465)/$AL1465,((($F1465/$AK1465)^$AJ1465)-1)/($AJ1465*$AL1465)))</f>
        <v/>
      </c>
      <c r="AN1465">
        <f>IF($AJ1465="","",IF($AJ1465=0,$AK1465*EXP($AL1465*2),$AK1465*(1+$AJ1465*$AL1465*2)^(1/$AJ1465)))</f>
        <v/>
      </c>
      <c r="AO1465">
        <f>IF($AJ1465="","",IF($AJ1465=0,$AK1465*EXP($AL1465*3),$AK1465*(1+$AJ1465*$AL1465*3)^(1/$AJ1465)))</f>
        <v/>
      </c>
      <c r="AP1465">
        <f>IF($AJ1465="","",IF($AJ1465=0,$AK1465*EXP($AL1465*-2),$AK1465*(1+$AJ1465*$AL1465*-2)^(1/$AJ1465)))</f>
        <v/>
      </c>
      <c r="AQ1465">
        <f>IF($AJ1465="","",IF($AJ1465=0,$AK1465*EXP($AL1465*-3),$AK1465*(1+$AJ1465*$AL1465*-3)^(1/$AJ1465)))</f>
        <v/>
      </c>
      <c r="AR1465">
        <f>IF(OR($X1465="",$T1465&gt;60),"",IFERROR(INDEX(IF($T1465&lt;24,pcomp_l,palt_l),MATCH($X1465,IF($T1465&lt;24,pcomp_k,palt_k),1)),""))</f>
        <v/>
      </c>
      <c r="AS1465">
        <f>IF(OR($X1465="",$T1465&gt;60),"",IFERROR(INDEX(IF($T1465&lt;24,pcomp_m,palt_m),MATCH($X1465,IF($T1465&lt;24,pcomp_k,palt_k),1)),""))</f>
        <v/>
      </c>
      <c r="AT1465">
        <f>IF(OR($X1465="",$T1465&gt;60),"",IFERROR(INDEX(IF($T1465&lt;24,pcomp_s,palt_s),MATCH($X1465,IF($T1465&lt;24,pcomp_k,palt_k),1)),""))</f>
        <v/>
      </c>
      <c r="AU1465">
        <f>IF($AR1465="","",IF($AR1465=0,LN($F1465/$AS1465)/$AT1465,((($F1465/$AS1465)^$AR1465)-1)/($AR1465*$AT1465)))</f>
        <v/>
      </c>
      <c r="AV1465">
        <f>IF($AR1465="","",IF($AR1465=0,$AS1465*EXP($AT1465*2),$AS1465*(1+$AR1465*$AT1465*2)^(1/$AR1465)))</f>
        <v/>
      </c>
      <c r="AW1465">
        <f>IF($AR1465="","",IF($AR1465=0,$AS1465*EXP($AT1465*3),$AS1465*(1+$AR1465*$AT1465*3)^(1/$AR1465)))</f>
        <v/>
      </c>
      <c r="AX1465">
        <f>IF($AR1465="","",IF($AR1465=0,$AS1465*EXP($AT1465*-2),$AS1465*(1+$AR1465*$AT1465*-2)^(1/$AR1465)))</f>
        <v/>
      </c>
      <c r="AY1465">
        <f>IF($AR1465="","",IF($AR1465=0,$AS1465*EXP($AT1465*-3),$AS1465*(1+$AR1465*$AT1465*-3)^(1/$AR1465)))</f>
        <v/>
      </c>
      <c r="AZ1465">
        <f>IF(OR($A1465="",$A1465&lt;&gt;Ficha!$C$4),"",COUNTIF($A$2:$A1465,Ficha!$C$4))</f>
        <v/>
      </c>
    </row>
    <row r="1466">
      <c r="A1466" s="8">
        <f>IF(INDEX(Banco!$A:$A,ROW())="","",INDEX(Banco!$A:$A,ROW()))</f>
        <v/>
      </c>
      <c r="B1466" s="8">
        <f>IF(INDEX(Banco!$B:$B,ROW())="","",INDEX(Banco!$B:$B,ROW()))</f>
        <v/>
      </c>
      <c r="C1466" s="8">
        <f>IF(INDEX(Banco!$C:$C,ROW())="","",INDEX(Banco!$C:$C,ROW()))</f>
        <v/>
      </c>
      <c r="D1466" s="9">
        <f>IF(INDEX(Banco!$D:$D,ROW())="","",INDEX(Banco!$D:$D,ROW()))</f>
        <v/>
      </c>
      <c r="E1466" s="9">
        <f>IF(INDEX(Banco!$E:$E,ROW())="","",INDEX(Banco!$E:$E,ROW()))</f>
        <v/>
      </c>
      <c r="F1466" s="10">
        <f>IF(INDEX(Banco!$F:$F,ROW())="","",INDEX(Banco!$F:$F,ROW()))</f>
        <v/>
      </c>
      <c r="G1466" s="10">
        <f>IF(INDEX(Banco!$G:$G,ROW())="","",INDEX(Banco!$G:$G,ROW()))</f>
        <v/>
      </c>
      <c r="H1466" s="8">
        <f>IF(INDEX(Banco!$H:$H,ROW())="","",INDEX(Banco!$H:$H,ROW()))</f>
        <v/>
      </c>
      <c r="I1466">
        <f>IF($T1466="","",INT($T1466/12)&amp;"a "&amp;MOD($T1466,12)&amp;"m")</f>
        <v/>
      </c>
      <c r="J1466" s="11">
        <f>IF(OR($F1466="",$G1466=""),"",ROUND($F1466/($G1466/100)^2,2))</f>
        <v/>
      </c>
      <c r="K1466" s="12">
        <f>IF(OR($S1466="",$J1466="",$T1466="",$T1466&lt;0,$T1466&gt;228,$Y1466=""),"—",ROUND(IF(ABS($AB1466)&lt;=3,$AB1466,IF($AB1466&gt;3,3+($J1466-$AD1466)/($AD1466-$AC1466),-3+($J1466-$AF1466)/($AE1466-$AF1466))),2))</f>
        <v/>
      </c>
      <c r="L1466">
        <f>IF(OR($K1466="",$K1466="—"),"",IF($T1466&lt;=60,IF($K1466&lt;-3,"Magreza acentuada",IF($K1466&lt;-2,"Magreza",IF($K1466&lt;=1,"Eutrofia",IF($K1466&lt;=2,"Risco de sobrepeso",IF($K1466&lt;=3,"Sobrepeso","Obesidade"))))),IF($K1466&lt;-3,"Magreza acentuada",IF($K1466&lt;-2,"Magreza",IF($K1466&lt;=1,"Eutrofia",IF($K1466&lt;=2,"Sobrepeso",IF($K1466&lt;=3,"Obesidade","Obesidade grave")))))))</f>
        <v/>
      </c>
      <c r="M1466" s="12">
        <f>IF(OR($S1466="",$V1466="",$T1466="",$T1466&lt;0,$T1466&gt;228,$AG1466=""),"—",ROUND(IF($AG1466=0,LN($V1466/$AH1466)/$AI1466,((($V1466/$AH1466)^$AG1466)-1)/($AG1466*$AI1466)),2))</f>
        <v/>
      </c>
      <c r="N1466">
        <f>IF(OR($M1466="",$M1466="—"),"",IF($M1466&lt;-3,"Muito baixa",IF($M1466&lt;-2,"Baixa","Adequada")))</f>
        <v/>
      </c>
      <c r="O1466" s="12">
        <f>IF(OR($S1466="",$F1466="",$T1466="",$T1466&lt;0,$T1466&gt;120,$AJ1466=""),"—",ROUND(IF(ABS($AM1466)&lt;=3,$AM1466,IF($AM1466&gt;3,3+($F1466-$AO1466)/($AO1466-$AN1466),-3+($F1466-$AQ1466)/($AP1466-$AQ1466))),2))</f>
        <v/>
      </c>
      <c r="P1466">
        <f>IF(OR($O1466="",$O1466="—"),"",IF($O1466&lt;-3,"Muito baixo",IF($O1466&lt;-2,"Baixo",IF($O1466&lt;=2,"Adequado","Elevado"))))</f>
        <v/>
      </c>
      <c r="Q1466" s="12">
        <f>IF(OR($S1466="",$F1466="",$T1466="",$T1466&lt;0,$T1466&gt;60,$AR1466=""),"—",ROUND(IF(ABS($AU1466)&lt;=3,$AU1466,IF($AU1466&gt;3,3+($F1466-$AW1466)/($AW1466-$AV1466),-3+($F1466-$AY1466)/($AX1466-$AY1466))),2))</f>
        <v/>
      </c>
      <c r="R1466">
        <f>IF(OR($Q1466="",$Q1466="—"),"",IF($Q1466&lt;-3,"Magreza acentuada",IF($Q1466&lt;-2,"Magreza",IF($Q1466&lt;=1,"Eutrofia",IF($Q1466&lt;=2,"Risco de sobrepeso",IF($Q1466&lt;=3,"Sobrepeso","Obesidade"))))))</f>
        <v/>
      </c>
      <c r="S1466">
        <f>IF($C1466="","",IF(UPPER(LEFT($C1466,1))="M",1,IF(UPPER(LEFT($C1466,1))="F",2,"")))</f>
        <v/>
      </c>
      <c r="T1466">
        <f>IF(OR($D1466="",$E1466=""),"",DATEDIF($D1466,$E1466,"m"))</f>
        <v/>
      </c>
      <c r="U1466">
        <f>IF(OR($D1466="",$E1466=""),"",$E1466-$D1466)</f>
        <v/>
      </c>
      <c r="V1466">
        <f>IF(OR($G1466="",$T1466=""),"",IF($T1466&lt;24,IF(LEFT(LOWER($H1466),4)="em p",$G1466+0.7,$G1466),IF(LEFT(LOWER($H1466),4)="deit",$G1466-0.7,$G1466)))</f>
        <v/>
      </c>
      <c r="W1466">
        <f>IF(OR($S1466="",$T1466=""),"",$S1466*1000000+IF($T1466&lt;=60,$U1466,$T1466))</f>
        <v/>
      </c>
      <c r="X1466">
        <f>IF(OR($S1466="",$V1466="",$T1466&gt;60,$T1466=""),"",$S1466*1000000+ROUND($V1466*10,0))</f>
        <v/>
      </c>
      <c r="Y1466">
        <f>IF($W1466="","",IFERROR(INDEX(IF($T1466&lt;=60,imc05_l,imc519_l),MATCH($W1466,IF($T1466&lt;=60,imc05_k,imc519_k),1)),""))</f>
        <v/>
      </c>
      <c r="Z1466">
        <f>IF($W1466="","",IFERROR(INDEX(IF($T1466&lt;=60,imc05_m,imc519_m),MATCH($W1466,IF($T1466&lt;=60,imc05_k,imc519_k),1)),""))</f>
        <v/>
      </c>
      <c r="AA1466">
        <f>IF($W1466="","",IFERROR(INDEX(IF($T1466&lt;=60,imc05_s,imc519_s),MATCH($W1466,IF($T1466&lt;=60,imc05_k,imc519_k),1)),""))</f>
        <v/>
      </c>
      <c r="AB1466">
        <f>IF($Y1466="","",IF($Y1466=0,LN($J1466/$Z1466)/$AA1466,((($J1466/$Z1466)^$Y1466)-1)/($Y1466*$AA1466)))</f>
        <v/>
      </c>
      <c r="AC1466">
        <f>IF($Y1466="","",IF($Y1466=0,$Z1466*EXP($AA1466*2),$Z1466*(1+$Y1466*$AA1466*2)^(1/$Y1466)))</f>
        <v/>
      </c>
      <c r="AD1466">
        <f>IF($Y1466="","",IF($Y1466=0,$Z1466*EXP($AA1466*3),$Z1466*(1+$Y1466*$AA1466*3)^(1/$Y1466)))</f>
        <v/>
      </c>
      <c r="AE1466">
        <f>IF($Y1466="","",IF($Y1466=0,$Z1466*EXP($AA1466*-2),$Z1466*(1+$Y1466*$AA1466*-2)^(1/$Y1466)))</f>
        <v/>
      </c>
      <c r="AF1466">
        <f>IF($Y1466="","",IF($Y1466=0,$Z1466*EXP($AA1466*-3),$Z1466*(1+$Y1466*$AA1466*-3)^(1/$Y1466)))</f>
        <v/>
      </c>
      <c r="AG1466">
        <f>IF($W1466="","",IFERROR(INDEX(IF($T1466&lt;=60,est05_l,est519_l),MATCH($W1466,IF($T1466&lt;=60,est05_k,est519_k),1)),""))</f>
        <v/>
      </c>
      <c r="AH1466">
        <f>IF($W1466="","",IFERROR(INDEX(IF($T1466&lt;=60,est05_m,est519_m),MATCH($W1466,IF($T1466&lt;=60,est05_k,est519_k),1)),""))</f>
        <v/>
      </c>
      <c r="AI1466">
        <f>IF($W1466="","",IFERROR(INDEX(IF($T1466&lt;=60,est05_s,est519_s),MATCH($W1466,IF($T1466&lt;=60,est05_k,est519_k),1)),""))</f>
        <v/>
      </c>
      <c r="AJ1466">
        <f>IF($W1466="","",IFERROR(INDEX(IF($T1466&lt;=60,peso05_l,peso510_l),MATCH($W1466,IF($T1466&lt;=60,peso05_k,peso510_k),1)),""))</f>
        <v/>
      </c>
      <c r="AK1466">
        <f>IF($W1466="","",IFERROR(INDEX(IF($T1466&lt;=60,peso05_m,peso510_m),MATCH($W1466,IF($T1466&lt;=60,peso05_k,peso510_k),1)),""))</f>
        <v/>
      </c>
      <c r="AL1466">
        <f>IF($W1466="","",IFERROR(INDEX(IF($T1466&lt;=60,peso05_s,peso510_s),MATCH($W1466,IF($T1466&lt;=60,peso05_k,peso510_k),1)),""))</f>
        <v/>
      </c>
      <c r="AM1466">
        <f>IF($AJ1466="","",IF($AJ1466=0,LN($F1466/$AK1466)/$AL1466,((($F1466/$AK1466)^$AJ1466)-1)/($AJ1466*$AL1466)))</f>
        <v/>
      </c>
      <c r="AN1466">
        <f>IF($AJ1466="","",IF($AJ1466=0,$AK1466*EXP($AL1466*2),$AK1466*(1+$AJ1466*$AL1466*2)^(1/$AJ1466)))</f>
        <v/>
      </c>
      <c r="AO1466">
        <f>IF($AJ1466="","",IF($AJ1466=0,$AK1466*EXP($AL1466*3),$AK1466*(1+$AJ1466*$AL1466*3)^(1/$AJ1466)))</f>
        <v/>
      </c>
      <c r="AP1466">
        <f>IF($AJ1466="","",IF($AJ1466=0,$AK1466*EXP($AL1466*-2),$AK1466*(1+$AJ1466*$AL1466*-2)^(1/$AJ1466)))</f>
        <v/>
      </c>
      <c r="AQ1466">
        <f>IF($AJ1466="","",IF($AJ1466=0,$AK1466*EXP($AL1466*-3),$AK1466*(1+$AJ1466*$AL1466*-3)^(1/$AJ1466)))</f>
        <v/>
      </c>
      <c r="AR1466">
        <f>IF(OR($X1466="",$T1466&gt;60),"",IFERROR(INDEX(IF($T1466&lt;24,pcomp_l,palt_l),MATCH($X1466,IF($T1466&lt;24,pcomp_k,palt_k),1)),""))</f>
        <v/>
      </c>
      <c r="AS1466">
        <f>IF(OR($X1466="",$T1466&gt;60),"",IFERROR(INDEX(IF($T1466&lt;24,pcomp_m,palt_m),MATCH($X1466,IF($T1466&lt;24,pcomp_k,palt_k),1)),""))</f>
        <v/>
      </c>
      <c r="AT1466">
        <f>IF(OR($X1466="",$T1466&gt;60),"",IFERROR(INDEX(IF($T1466&lt;24,pcomp_s,palt_s),MATCH($X1466,IF($T1466&lt;24,pcomp_k,palt_k),1)),""))</f>
        <v/>
      </c>
      <c r="AU1466">
        <f>IF($AR1466="","",IF($AR1466=0,LN($F1466/$AS1466)/$AT1466,((($F1466/$AS1466)^$AR1466)-1)/($AR1466*$AT1466)))</f>
        <v/>
      </c>
      <c r="AV1466">
        <f>IF($AR1466="","",IF($AR1466=0,$AS1466*EXP($AT1466*2),$AS1466*(1+$AR1466*$AT1466*2)^(1/$AR1466)))</f>
        <v/>
      </c>
      <c r="AW1466">
        <f>IF($AR1466="","",IF($AR1466=0,$AS1466*EXP($AT1466*3),$AS1466*(1+$AR1466*$AT1466*3)^(1/$AR1466)))</f>
        <v/>
      </c>
      <c r="AX1466">
        <f>IF($AR1466="","",IF($AR1466=0,$AS1466*EXP($AT1466*-2),$AS1466*(1+$AR1466*$AT1466*-2)^(1/$AR1466)))</f>
        <v/>
      </c>
      <c r="AY1466">
        <f>IF($AR1466="","",IF($AR1466=0,$AS1466*EXP($AT1466*-3),$AS1466*(1+$AR1466*$AT1466*-3)^(1/$AR1466)))</f>
        <v/>
      </c>
      <c r="AZ1466">
        <f>IF(OR($A1466="",$A1466&lt;&gt;Ficha!$C$4),"",COUNTIF($A$2:$A1466,Ficha!$C$4))</f>
        <v/>
      </c>
    </row>
    <row r="1467">
      <c r="A1467" s="8">
        <f>IF(INDEX(Banco!$A:$A,ROW())="","",INDEX(Banco!$A:$A,ROW()))</f>
        <v/>
      </c>
      <c r="B1467" s="8">
        <f>IF(INDEX(Banco!$B:$B,ROW())="","",INDEX(Banco!$B:$B,ROW()))</f>
        <v/>
      </c>
      <c r="C1467" s="8">
        <f>IF(INDEX(Banco!$C:$C,ROW())="","",INDEX(Banco!$C:$C,ROW()))</f>
        <v/>
      </c>
      <c r="D1467" s="9">
        <f>IF(INDEX(Banco!$D:$D,ROW())="","",INDEX(Banco!$D:$D,ROW()))</f>
        <v/>
      </c>
      <c r="E1467" s="9">
        <f>IF(INDEX(Banco!$E:$E,ROW())="","",INDEX(Banco!$E:$E,ROW()))</f>
        <v/>
      </c>
      <c r="F1467" s="10">
        <f>IF(INDEX(Banco!$F:$F,ROW())="","",INDEX(Banco!$F:$F,ROW()))</f>
        <v/>
      </c>
      <c r="G1467" s="10">
        <f>IF(INDEX(Banco!$G:$G,ROW())="","",INDEX(Banco!$G:$G,ROW()))</f>
        <v/>
      </c>
      <c r="H1467" s="8">
        <f>IF(INDEX(Banco!$H:$H,ROW())="","",INDEX(Banco!$H:$H,ROW()))</f>
        <v/>
      </c>
      <c r="I1467">
        <f>IF($T1467="","",INT($T1467/12)&amp;"a "&amp;MOD($T1467,12)&amp;"m")</f>
        <v/>
      </c>
      <c r="J1467" s="11">
        <f>IF(OR($F1467="",$G1467=""),"",ROUND($F1467/($G1467/100)^2,2))</f>
        <v/>
      </c>
      <c r="K1467" s="12">
        <f>IF(OR($S1467="",$J1467="",$T1467="",$T1467&lt;0,$T1467&gt;228,$Y1467=""),"—",ROUND(IF(ABS($AB1467)&lt;=3,$AB1467,IF($AB1467&gt;3,3+($J1467-$AD1467)/($AD1467-$AC1467),-3+($J1467-$AF1467)/($AE1467-$AF1467))),2))</f>
        <v/>
      </c>
      <c r="L1467">
        <f>IF(OR($K1467="",$K1467="—"),"",IF($T1467&lt;=60,IF($K1467&lt;-3,"Magreza acentuada",IF($K1467&lt;-2,"Magreza",IF($K1467&lt;=1,"Eutrofia",IF($K1467&lt;=2,"Risco de sobrepeso",IF($K1467&lt;=3,"Sobrepeso","Obesidade"))))),IF($K1467&lt;-3,"Magreza acentuada",IF($K1467&lt;-2,"Magreza",IF($K1467&lt;=1,"Eutrofia",IF($K1467&lt;=2,"Sobrepeso",IF($K1467&lt;=3,"Obesidade","Obesidade grave")))))))</f>
        <v/>
      </c>
      <c r="M1467" s="12">
        <f>IF(OR($S1467="",$V1467="",$T1467="",$T1467&lt;0,$T1467&gt;228,$AG1467=""),"—",ROUND(IF($AG1467=0,LN($V1467/$AH1467)/$AI1467,((($V1467/$AH1467)^$AG1467)-1)/($AG1467*$AI1467)),2))</f>
        <v/>
      </c>
      <c r="N1467">
        <f>IF(OR($M1467="",$M1467="—"),"",IF($M1467&lt;-3,"Muito baixa",IF($M1467&lt;-2,"Baixa","Adequada")))</f>
        <v/>
      </c>
      <c r="O1467" s="12">
        <f>IF(OR($S1467="",$F1467="",$T1467="",$T1467&lt;0,$T1467&gt;120,$AJ1467=""),"—",ROUND(IF(ABS($AM1467)&lt;=3,$AM1467,IF($AM1467&gt;3,3+($F1467-$AO1467)/($AO1467-$AN1467),-3+($F1467-$AQ1467)/($AP1467-$AQ1467))),2))</f>
        <v/>
      </c>
      <c r="P1467">
        <f>IF(OR($O1467="",$O1467="—"),"",IF($O1467&lt;-3,"Muito baixo",IF($O1467&lt;-2,"Baixo",IF($O1467&lt;=2,"Adequado","Elevado"))))</f>
        <v/>
      </c>
      <c r="Q1467" s="12">
        <f>IF(OR($S1467="",$F1467="",$T1467="",$T1467&lt;0,$T1467&gt;60,$AR1467=""),"—",ROUND(IF(ABS($AU1467)&lt;=3,$AU1467,IF($AU1467&gt;3,3+($F1467-$AW1467)/($AW1467-$AV1467),-3+($F1467-$AY1467)/($AX1467-$AY1467))),2))</f>
        <v/>
      </c>
      <c r="R1467">
        <f>IF(OR($Q1467="",$Q1467="—"),"",IF($Q1467&lt;-3,"Magreza acentuada",IF($Q1467&lt;-2,"Magreza",IF($Q1467&lt;=1,"Eutrofia",IF($Q1467&lt;=2,"Risco de sobrepeso",IF($Q1467&lt;=3,"Sobrepeso","Obesidade"))))))</f>
        <v/>
      </c>
      <c r="S1467">
        <f>IF($C1467="","",IF(UPPER(LEFT($C1467,1))="M",1,IF(UPPER(LEFT($C1467,1))="F",2,"")))</f>
        <v/>
      </c>
      <c r="T1467">
        <f>IF(OR($D1467="",$E1467=""),"",DATEDIF($D1467,$E1467,"m"))</f>
        <v/>
      </c>
      <c r="U1467">
        <f>IF(OR($D1467="",$E1467=""),"",$E1467-$D1467)</f>
        <v/>
      </c>
      <c r="V1467">
        <f>IF(OR($G1467="",$T1467=""),"",IF($T1467&lt;24,IF(LEFT(LOWER($H1467),4)="em p",$G1467+0.7,$G1467),IF(LEFT(LOWER($H1467),4)="deit",$G1467-0.7,$G1467)))</f>
        <v/>
      </c>
      <c r="W1467">
        <f>IF(OR($S1467="",$T1467=""),"",$S1467*1000000+IF($T1467&lt;=60,$U1467,$T1467))</f>
        <v/>
      </c>
      <c r="X1467">
        <f>IF(OR($S1467="",$V1467="",$T1467&gt;60,$T1467=""),"",$S1467*1000000+ROUND($V1467*10,0))</f>
        <v/>
      </c>
      <c r="Y1467">
        <f>IF($W1467="","",IFERROR(INDEX(IF($T1467&lt;=60,imc05_l,imc519_l),MATCH($W1467,IF($T1467&lt;=60,imc05_k,imc519_k),1)),""))</f>
        <v/>
      </c>
      <c r="Z1467">
        <f>IF($W1467="","",IFERROR(INDEX(IF($T1467&lt;=60,imc05_m,imc519_m),MATCH($W1467,IF($T1467&lt;=60,imc05_k,imc519_k),1)),""))</f>
        <v/>
      </c>
      <c r="AA1467">
        <f>IF($W1467="","",IFERROR(INDEX(IF($T1467&lt;=60,imc05_s,imc519_s),MATCH($W1467,IF($T1467&lt;=60,imc05_k,imc519_k),1)),""))</f>
        <v/>
      </c>
      <c r="AB1467">
        <f>IF($Y1467="","",IF($Y1467=0,LN($J1467/$Z1467)/$AA1467,((($J1467/$Z1467)^$Y1467)-1)/($Y1467*$AA1467)))</f>
        <v/>
      </c>
      <c r="AC1467">
        <f>IF($Y1467="","",IF($Y1467=0,$Z1467*EXP($AA1467*2),$Z1467*(1+$Y1467*$AA1467*2)^(1/$Y1467)))</f>
        <v/>
      </c>
      <c r="AD1467">
        <f>IF($Y1467="","",IF($Y1467=0,$Z1467*EXP($AA1467*3),$Z1467*(1+$Y1467*$AA1467*3)^(1/$Y1467)))</f>
        <v/>
      </c>
      <c r="AE1467">
        <f>IF($Y1467="","",IF($Y1467=0,$Z1467*EXP($AA1467*-2),$Z1467*(1+$Y1467*$AA1467*-2)^(1/$Y1467)))</f>
        <v/>
      </c>
      <c r="AF1467">
        <f>IF($Y1467="","",IF($Y1467=0,$Z1467*EXP($AA1467*-3),$Z1467*(1+$Y1467*$AA1467*-3)^(1/$Y1467)))</f>
        <v/>
      </c>
      <c r="AG1467">
        <f>IF($W1467="","",IFERROR(INDEX(IF($T1467&lt;=60,est05_l,est519_l),MATCH($W1467,IF($T1467&lt;=60,est05_k,est519_k),1)),""))</f>
        <v/>
      </c>
      <c r="AH1467">
        <f>IF($W1467="","",IFERROR(INDEX(IF($T1467&lt;=60,est05_m,est519_m),MATCH($W1467,IF($T1467&lt;=60,est05_k,est519_k),1)),""))</f>
        <v/>
      </c>
      <c r="AI1467">
        <f>IF($W1467="","",IFERROR(INDEX(IF($T1467&lt;=60,est05_s,est519_s),MATCH($W1467,IF($T1467&lt;=60,est05_k,est519_k),1)),""))</f>
        <v/>
      </c>
      <c r="AJ1467">
        <f>IF($W1467="","",IFERROR(INDEX(IF($T1467&lt;=60,peso05_l,peso510_l),MATCH($W1467,IF($T1467&lt;=60,peso05_k,peso510_k),1)),""))</f>
        <v/>
      </c>
      <c r="AK1467">
        <f>IF($W1467="","",IFERROR(INDEX(IF($T1467&lt;=60,peso05_m,peso510_m),MATCH($W1467,IF($T1467&lt;=60,peso05_k,peso510_k),1)),""))</f>
        <v/>
      </c>
      <c r="AL1467">
        <f>IF($W1467="","",IFERROR(INDEX(IF($T1467&lt;=60,peso05_s,peso510_s),MATCH($W1467,IF($T1467&lt;=60,peso05_k,peso510_k),1)),""))</f>
        <v/>
      </c>
      <c r="AM1467">
        <f>IF($AJ1467="","",IF($AJ1467=0,LN($F1467/$AK1467)/$AL1467,((($F1467/$AK1467)^$AJ1467)-1)/($AJ1467*$AL1467)))</f>
        <v/>
      </c>
      <c r="AN1467">
        <f>IF($AJ1467="","",IF($AJ1467=0,$AK1467*EXP($AL1467*2),$AK1467*(1+$AJ1467*$AL1467*2)^(1/$AJ1467)))</f>
        <v/>
      </c>
      <c r="AO1467">
        <f>IF($AJ1467="","",IF($AJ1467=0,$AK1467*EXP($AL1467*3),$AK1467*(1+$AJ1467*$AL1467*3)^(1/$AJ1467)))</f>
        <v/>
      </c>
      <c r="AP1467">
        <f>IF($AJ1467="","",IF($AJ1467=0,$AK1467*EXP($AL1467*-2),$AK1467*(1+$AJ1467*$AL1467*-2)^(1/$AJ1467)))</f>
        <v/>
      </c>
      <c r="AQ1467">
        <f>IF($AJ1467="","",IF($AJ1467=0,$AK1467*EXP($AL1467*-3),$AK1467*(1+$AJ1467*$AL1467*-3)^(1/$AJ1467)))</f>
        <v/>
      </c>
      <c r="AR1467">
        <f>IF(OR($X1467="",$T1467&gt;60),"",IFERROR(INDEX(IF($T1467&lt;24,pcomp_l,palt_l),MATCH($X1467,IF($T1467&lt;24,pcomp_k,palt_k),1)),""))</f>
        <v/>
      </c>
      <c r="AS1467">
        <f>IF(OR($X1467="",$T1467&gt;60),"",IFERROR(INDEX(IF($T1467&lt;24,pcomp_m,palt_m),MATCH($X1467,IF($T1467&lt;24,pcomp_k,palt_k),1)),""))</f>
        <v/>
      </c>
      <c r="AT1467">
        <f>IF(OR($X1467="",$T1467&gt;60),"",IFERROR(INDEX(IF($T1467&lt;24,pcomp_s,palt_s),MATCH($X1467,IF($T1467&lt;24,pcomp_k,palt_k),1)),""))</f>
        <v/>
      </c>
      <c r="AU1467">
        <f>IF($AR1467="","",IF($AR1467=0,LN($F1467/$AS1467)/$AT1467,((($F1467/$AS1467)^$AR1467)-1)/($AR1467*$AT1467)))</f>
        <v/>
      </c>
      <c r="AV1467">
        <f>IF($AR1467="","",IF($AR1467=0,$AS1467*EXP($AT1467*2),$AS1467*(1+$AR1467*$AT1467*2)^(1/$AR1467)))</f>
        <v/>
      </c>
      <c r="AW1467">
        <f>IF($AR1467="","",IF($AR1467=0,$AS1467*EXP($AT1467*3),$AS1467*(1+$AR1467*$AT1467*3)^(1/$AR1467)))</f>
        <v/>
      </c>
      <c r="AX1467">
        <f>IF($AR1467="","",IF($AR1467=0,$AS1467*EXP($AT1467*-2),$AS1467*(1+$AR1467*$AT1467*-2)^(1/$AR1467)))</f>
        <v/>
      </c>
      <c r="AY1467">
        <f>IF($AR1467="","",IF($AR1467=0,$AS1467*EXP($AT1467*-3),$AS1467*(1+$AR1467*$AT1467*-3)^(1/$AR1467)))</f>
        <v/>
      </c>
      <c r="AZ1467">
        <f>IF(OR($A1467="",$A1467&lt;&gt;Ficha!$C$4),"",COUNTIF($A$2:$A1467,Ficha!$C$4))</f>
        <v/>
      </c>
    </row>
    <row r="1468">
      <c r="A1468" s="8">
        <f>IF(INDEX(Banco!$A:$A,ROW())="","",INDEX(Banco!$A:$A,ROW()))</f>
        <v/>
      </c>
      <c r="B1468" s="8">
        <f>IF(INDEX(Banco!$B:$B,ROW())="","",INDEX(Banco!$B:$B,ROW()))</f>
        <v/>
      </c>
      <c r="C1468" s="8">
        <f>IF(INDEX(Banco!$C:$C,ROW())="","",INDEX(Banco!$C:$C,ROW()))</f>
        <v/>
      </c>
      <c r="D1468" s="9">
        <f>IF(INDEX(Banco!$D:$D,ROW())="","",INDEX(Banco!$D:$D,ROW()))</f>
        <v/>
      </c>
      <c r="E1468" s="9">
        <f>IF(INDEX(Banco!$E:$E,ROW())="","",INDEX(Banco!$E:$E,ROW()))</f>
        <v/>
      </c>
      <c r="F1468" s="10">
        <f>IF(INDEX(Banco!$F:$F,ROW())="","",INDEX(Banco!$F:$F,ROW()))</f>
        <v/>
      </c>
      <c r="G1468" s="10">
        <f>IF(INDEX(Banco!$G:$G,ROW())="","",INDEX(Banco!$G:$G,ROW()))</f>
        <v/>
      </c>
      <c r="H1468" s="8">
        <f>IF(INDEX(Banco!$H:$H,ROW())="","",INDEX(Banco!$H:$H,ROW()))</f>
        <v/>
      </c>
      <c r="I1468">
        <f>IF($T1468="","",INT($T1468/12)&amp;"a "&amp;MOD($T1468,12)&amp;"m")</f>
        <v/>
      </c>
      <c r="J1468" s="11">
        <f>IF(OR($F1468="",$G1468=""),"",ROUND($F1468/($G1468/100)^2,2))</f>
        <v/>
      </c>
      <c r="K1468" s="12">
        <f>IF(OR($S1468="",$J1468="",$T1468="",$T1468&lt;0,$T1468&gt;228,$Y1468=""),"—",ROUND(IF(ABS($AB1468)&lt;=3,$AB1468,IF($AB1468&gt;3,3+($J1468-$AD1468)/($AD1468-$AC1468),-3+($J1468-$AF1468)/($AE1468-$AF1468))),2))</f>
        <v/>
      </c>
      <c r="L1468">
        <f>IF(OR($K1468="",$K1468="—"),"",IF($T1468&lt;=60,IF($K1468&lt;-3,"Magreza acentuada",IF($K1468&lt;-2,"Magreza",IF($K1468&lt;=1,"Eutrofia",IF($K1468&lt;=2,"Risco de sobrepeso",IF($K1468&lt;=3,"Sobrepeso","Obesidade"))))),IF($K1468&lt;-3,"Magreza acentuada",IF($K1468&lt;-2,"Magreza",IF($K1468&lt;=1,"Eutrofia",IF($K1468&lt;=2,"Sobrepeso",IF($K1468&lt;=3,"Obesidade","Obesidade grave")))))))</f>
        <v/>
      </c>
      <c r="M1468" s="12">
        <f>IF(OR($S1468="",$V1468="",$T1468="",$T1468&lt;0,$T1468&gt;228,$AG1468=""),"—",ROUND(IF($AG1468=0,LN($V1468/$AH1468)/$AI1468,((($V1468/$AH1468)^$AG1468)-1)/($AG1468*$AI1468)),2))</f>
        <v/>
      </c>
      <c r="N1468">
        <f>IF(OR($M1468="",$M1468="—"),"",IF($M1468&lt;-3,"Muito baixa",IF($M1468&lt;-2,"Baixa","Adequada")))</f>
        <v/>
      </c>
      <c r="O1468" s="12">
        <f>IF(OR($S1468="",$F1468="",$T1468="",$T1468&lt;0,$T1468&gt;120,$AJ1468=""),"—",ROUND(IF(ABS($AM1468)&lt;=3,$AM1468,IF($AM1468&gt;3,3+($F1468-$AO1468)/($AO1468-$AN1468),-3+($F1468-$AQ1468)/($AP1468-$AQ1468))),2))</f>
        <v/>
      </c>
      <c r="P1468">
        <f>IF(OR($O1468="",$O1468="—"),"",IF($O1468&lt;-3,"Muito baixo",IF($O1468&lt;-2,"Baixo",IF($O1468&lt;=2,"Adequado","Elevado"))))</f>
        <v/>
      </c>
      <c r="Q1468" s="12">
        <f>IF(OR($S1468="",$F1468="",$T1468="",$T1468&lt;0,$T1468&gt;60,$AR1468=""),"—",ROUND(IF(ABS($AU1468)&lt;=3,$AU1468,IF($AU1468&gt;3,3+($F1468-$AW1468)/($AW1468-$AV1468),-3+($F1468-$AY1468)/($AX1468-$AY1468))),2))</f>
        <v/>
      </c>
      <c r="R1468">
        <f>IF(OR($Q1468="",$Q1468="—"),"",IF($Q1468&lt;-3,"Magreza acentuada",IF($Q1468&lt;-2,"Magreza",IF($Q1468&lt;=1,"Eutrofia",IF($Q1468&lt;=2,"Risco de sobrepeso",IF($Q1468&lt;=3,"Sobrepeso","Obesidade"))))))</f>
        <v/>
      </c>
      <c r="S1468">
        <f>IF($C1468="","",IF(UPPER(LEFT($C1468,1))="M",1,IF(UPPER(LEFT($C1468,1))="F",2,"")))</f>
        <v/>
      </c>
      <c r="T1468">
        <f>IF(OR($D1468="",$E1468=""),"",DATEDIF($D1468,$E1468,"m"))</f>
        <v/>
      </c>
      <c r="U1468">
        <f>IF(OR($D1468="",$E1468=""),"",$E1468-$D1468)</f>
        <v/>
      </c>
      <c r="V1468">
        <f>IF(OR($G1468="",$T1468=""),"",IF($T1468&lt;24,IF(LEFT(LOWER($H1468),4)="em p",$G1468+0.7,$G1468),IF(LEFT(LOWER($H1468),4)="deit",$G1468-0.7,$G1468)))</f>
        <v/>
      </c>
      <c r="W1468">
        <f>IF(OR($S1468="",$T1468=""),"",$S1468*1000000+IF($T1468&lt;=60,$U1468,$T1468))</f>
        <v/>
      </c>
      <c r="X1468">
        <f>IF(OR($S1468="",$V1468="",$T1468&gt;60,$T1468=""),"",$S1468*1000000+ROUND($V1468*10,0))</f>
        <v/>
      </c>
      <c r="Y1468">
        <f>IF($W1468="","",IFERROR(INDEX(IF($T1468&lt;=60,imc05_l,imc519_l),MATCH($W1468,IF($T1468&lt;=60,imc05_k,imc519_k),1)),""))</f>
        <v/>
      </c>
      <c r="Z1468">
        <f>IF($W1468="","",IFERROR(INDEX(IF($T1468&lt;=60,imc05_m,imc519_m),MATCH($W1468,IF($T1468&lt;=60,imc05_k,imc519_k),1)),""))</f>
        <v/>
      </c>
      <c r="AA1468">
        <f>IF($W1468="","",IFERROR(INDEX(IF($T1468&lt;=60,imc05_s,imc519_s),MATCH($W1468,IF($T1468&lt;=60,imc05_k,imc519_k),1)),""))</f>
        <v/>
      </c>
      <c r="AB1468">
        <f>IF($Y1468="","",IF($Y1468=0,LN($J1468/$Z1468)/$AA1468,((($J1468/$Z1468)^$Y1468)-1)/($Y1468*$AA1468)))</f>
        <v/>
      </c>
      <c r="AC1468">
        <f>IF($Y1468="","",IF($Y1468=0,$Z1468*EXP($AA1468*2),$Z1468*(1+$Y1468*$AA1468*2)^(1/$Y1468)))</f>
        <v/>
      </c>
      <c r="AD1468">
        <f>IF($Y1468="","",IF($Y1468=0,$Z1468*EXP($AA1468*3),$Z1468*(1+$Y1468*$AA1468*3)^(1/$Y1468)))</f>
        <v/>
      </c>
      <c r="AE1468">
        <f>IF($Y1468="","",IF($Y1468=0,$Z1468*EXP($AA1468*-2),$Z1468*(1+$Y1468*$AA1468*-2)^(1/$Y1468)))</f>
        <v/>
      </c>
      <c r="AF1468">
        <f>IF($Y1468="","",IF($Y1468=0,$Z1468*EXP($AA1468*-3),$Z1468*(1+$Y1468*$AA1468*-3)^(1/$Y1468)))</f>
        <v/>
      </c>
      <c r="AG1468">
        <f>IF($W1468="","",IFERROR(INDEX(IF($T1468&lt;=60,est05_l,est519_l),MATCH($W1468,IF($T1468&lt;=60,est05_k,est519_k),1)),""))</f>
        <v/>
      </c>
      <c r="AH1468">
        <f>IF($W1468="","",IFERROR(INDEX(IF($T1468&lt;=60,est05_m,est519_m),MATCH($W1468,IF($T1468&lt;=60,est05_k,est519_k),1)),""))</f>
        <v/>
      </c>
      <c r="AI1468">
        <f>IF($W1468="","",IFERROR(INDEX(IF($T1468&lt;=60,est05_s,est519_s),MATCH($W1468,IF($T1468&lt;=60,est05_k,est519_k),1)),""))</f>
        <v/>
      </c>
      <c r="AJ1468">
        <f>IF($W1468="","",IFERROR(INDEX(IF($T1468&lt;=60,peso05_l,peso510_l),MATCH($W1468,IF($T1468&lt;=60,peso05_k,peso510_k),1)),""))</f>
        <v/>
      </c>
      <c r="AK1468">
        <f>IF($W1468="","",IFERROR(INDEX(IF($T1468&lt;=60,peso05_m,peso510_m),MATCH($W1468,IF($T1468&lt;=60,peso05_k,peso510_k),1)),""))</f>
        <v/>
      </c>
      <c r="AL1468">
        <f>IF($W1468="","",IFERROR(INDEX(IF($T1468&lt;=60,peso05_s,peso510_s),MATCH($W1468,IF($T1468&lt;=60,peso05_k,peso510_k),1)),""))</f>
        <v/>
      </c>
      <c r="AM1468">
        <f>IF($AJ1468="","",IF($AJ1468=0,LN($F1468/$AK1468)/$AL1468,((($F1468/$AK1468)^$AJ1468)-1)/($AJ1468*$AL1468)))</f>
        <v/>
      </c>
      <c r="AN1468">
        <f>IF($AJ1468="","",IF($AJ1468=0,$AK1468*EXP($AL1468*2),$AK1468*(1+$AJ1468*$AL1468*2)^(1/$AJ1468)))</f>
        <v/>
      </c>
      <c r="AO1468">
        <f>IF($AJ1468="","",IF($AJ1468=0,$AK1468*EXP($AL1468*3),$AK1468*(1+$AJ1468*$AL1468*3)^(1/$AJ1468)))</f>
        <v/>
      </c>
      <c r="AP1468">
        <f>IF($AJ1468="","",IF($AJ1468=0,$AK1468*EXP($AL1468*-2),$AK1468*(1+$AJ1468*$AL1468*-2)^(1/$AJ1468)))</f>
        <v/>
      </c>
      <c r="AQ1468">
        <f>IF($AJ1468="","",IF($AJ1468=0,$AK1468*EXP($AL1468*-3),$AK1468*(1+$AJ1468*$AL1468*-3)^(1/$AJ1468)))</f>
        <v/>
      </c>
      <c r="AR1468">
        <f>IF(OR($X1468="",$T1468&gt;60),"",IFERROR(INDEX(IF($T1468&lt;24,pcomp_l,palt_l),MATCH($X1468,IF($T1468&lt;24,pcomp_k,palt_k),1)),""))</f>
        <v/>
      </c>
      <c r="AS1468">
        <f>IF(OR($X1468="",$T1468&gt;60),"",IFERROR(INDEX(IF($T1468&lt;24,pcomp_m,palt_m),MATCH($X1468,IF($T1468&lt;24,pcomp_k,palt_k),1)),""))</f>
        <v/>
      </c>
      <c r="AT1468">
        <f>IF(OR($X1468="",$T1468&gt;60),"",IFERROR(INDEX(IF($T1468&lt;24,pcomp_s,palt_s),MATCH($X1468,IF($T1468&lt;24,pcomp_k,palt_k),1)),""))</f>
        <v/>
      </c>
      <c r="AU1468">
        <f>IF($AR1468="","",IF($AR1468=0,LN($F1468/$AS1468)/$AT1468,((($F1468/$AS1468)^$AR1468)-1)/($AR1468*$AT1468)))</f>
        <v/>
      </c>
      <c r="AV1468">
        <f>IF($AR1468="","",IF($AR1468=0,$AS1468*EXP($AT1468*2),$AS1468*(1+$AR1468*$AT1468*2)^(1/$AR1468)))</f>
        <v/>
      </c>
      <c r="AW1468">
        <f>IF($AR1468="","",IF($AR1468=0,$AS1468*EXP($AT1468*3),$AS1468*(1+$AR1468*$AT1468*3)^(1/$AR1468)))</f>
        <v/>
      </c>
      <c r="AX1468">
        <f>IF($AR1468="","",IF($AR1468=0,$AS1468*EXP($AT1468*-2),$AS1468*(1+$AR1468*$AT1468*-2)^(1/$AR1468)))</f>
        <v/>
      </c>
      <c r="AY1468">
        <f>IF($AR1468="","",IF($AR1468=0,$AS1468*EXP($AT1468*-3),$AS1468*(1+$AR1468*$AT1468*-3)^(1/$AR1468)))</f>
        <v/>
      </c>
      <c r="AZ1468">
        <f>IF(OR($A1468="",$A1468&lt;&gt;Ficha!$C$4),"",COUNTIF($A$2:$A1468,Ficha!$C$4))</f>
        <v/>
      </c>
    </row>
    <row r="1469">
      <c r="A1469" s="8">
        <f>IF(INDEX(Banco!$A:$A,ROW())="","",INDEX(Banco!$A:$A,ROW()))</f>
        <v/>
      </c>
      <c r="B1469" s="8">
        <f>IF(INDEX(Banco!$B:$B,ROW())="","",INDEX(Banco!$B:$B,ROW()))</f>
        <v/>
      </c>
      <c r="C1469" s="8">
        <f>IF(INDEX(Banco!$C:$C,ROW())="","",INDEX(Banco!$C:$C,ROW()))</f>
        <v/>
      </c>
      <c r="D1469" s="9">
        <f>IF(INDEX(Banco!$D:$D,ROW())="","",INDEX(Banco!$D:$D,ROW()))</f>
        <v/>
      </c>
      <c r="E1469" s="9">
        <f>IF(INDEX(Banco!$E:$E,ROW())="","",INDEX(Banco!$E:$E,ROW()))</f>
        <v/>
      </c>
      <c r="F1469" s="10">
        <f>IF(INDEX(Banco!$F:$F,ROW())="","",INDEX(Banco!$F:$F,ROW()))</f>
        <v/>
      </c>
      <c r="G1469" s="10">
        <f>IF(INDEX(Banco!$G:$G,ROW())="","",INDEX(Banco!$G:$G,ROW()))</f>
        <v/>
      </c>
      <c r="H1469" s="8">
        <f>IF(INDEX(Banco!$H:$H,ROW())="","",INDEX(Banco!$H:$H,ROW()))</f>
        <v/>
      </c>
      <c r="I1469">
        <f>IF($T1469="","",INT($T1469/12)&amp;"a "&amp;MOD($T1469,12)&amp;"m")</f>
        <v/>
      </c>
      <c r="J1469" s="11">
        <f>IF(OR($F1469="",$G1469=""),"",ROUND($F1469/($G1469/100)^2,2))</f>
        <v/>
      </c>
      <c r="K1469" s="12">
        <f>IF(OR($S1469="",$J1469="",$T1469="",$T1469&lt;0,$T1469&gt;228,$Y1469=""),"—",ROUND(IF(ABS($AB1469)&lt;=3,$AB1469,IF($AB1469&gt;3,3+($J1469-$AD1469)/($AD1469-$AC1469),-3+($J1469-$AF1469)/($AE1469-$AF1469))),2))</f>
        <v/>
      </c>
      <c r="L1469">
        <f>IF(OR($K1469="",$K1469="—"),"",IF($T1469&lt;=60,IF($K1469&lt;-3,"Magreza acentuada",IF($K1469&lt;-2,"Magreza",IF($K1469&lt;=1,"Eutrofia",IF($K1469&lt;=2,"Risco de sobrepeso",IF($K1469&lt;=3,"Sobrepeso","Obesidade"))))),IF($K1469&lt;-3,"Magreza acentuada",IF($K1469&lt;-2,"Magreza",IF($K1469&lt;=1,"Eutrofia",IF($K1469&lt;=2,"Sobrepeso",IF($K1469&lt;=3,"Obesidade","Obesidade grave")))))))</f>
        <v/>
      </c>
      <c r="M1469" s="12">
        <f>IF(OR($S1469="",$V1469="",$T1469="",$T1469&lt;0,$T1469&gt;228,$AG1469=""),"—",ROUND(IF($AG1469=0,LN($V1469/$AH1469)/$AI1469,((($V1469/$AH1469)^$AG1469)-1)/($AG1469*$AI1469)),2))</f>
        <v/>
      </c>
      <c r="N1469">
        <f>IF(OR($M1469="",$M1469="—"),"",IF($M1469&lt;-3,"Muito baixa",IF($M1469&lt;-2,"Baixa","Adequada")))</f>
        <v/>
      </c>
      <c r="O1469" s="12">
        <f>IF(OR($S1469="",$F1469="",$T1469="",$T1469&lt;0,$T1469&gt;120,$AJ1469=""),"—",ROUND(IF(ABS($AM1469)&lt;=3,$AM1469,IF($AM1469&gt;3,3+($F1469-$AO1469)/($AO1469-$AN1469),-3+($F1469-$AQ1469)/($AP1469-$AQ1469))),2))</f>
        <v/>
      </c>
      <c r="P1469">
        <f>IF(OR($O1469="",$O1469="—"),"",IF($O1469&lt;-3,"Muito baixo",IF($O1469&lt;-2,"Baixo",IF($O1469&lt;=2,"Adequado","Elevado"))))</f>
        <v/>
      </c>
      <c r="Q1469" s="12">
        <f>IF(OR($S1469="",$F1469="",$T1469="",$T1469&lt;0,$T1469&gt;60,$AR1469=""),"—",ROUND(IF(ABS($AU1469)&lt;=3,$AU1469,IF($AU1469&gt;3,3+($F1469-$AW1469)/($AW1469-$AV1469),-3+($F1469-$AY1469)/($AX1469-$AY1469))),2))</f>
        <v/>
      </c>
      <c r="R1469">
        <f>IF(OR($Q1469="",$Q1469="—"),"",IF($Q1469&lt;-3,"Magreza acentuada",IF($Q1469&lt;-2,"Magreza",IF($Q1469&lt;=1,"Eutrofia",IF($Q1469&lt;=2,"Risco de sobrepeso",IF($Q1469&lt;=3,"Sobrepeso","Obesidade"))))))</f>
        <v/>
      </c>
      <c r="S1469">
        <f>IF($C1469="","",IF(UPPER(LEFT($C1469,1))="M",1,IF(UPPER(LEFT($C1469,1))="F",2,"")))</f>
        <v/>
      </c>
      <c r="T1469">
        <f>IF(OR($D1469="",$E1469=""),"",DATEDIF($D1469,$E1469,"m"))</f>
        <v/>
      </c>
      <c r="U1469">
        <f>IF(OR($D1469="",$E1469=""),"",$E1469-$D1469)</f>
        <v/>
      </c>
      <c r="V1469">
        <f>IF(OR($G1469="",$T1469=""),"",IF($T1469&lt;24,IF(LEFT(LOWER($H1469),4)="em p",$G1469+0.7,$G1469),IF(LEFT(LOWER($H1469),4)="deit",$G1469-0.7,$G1469)))</f>
        <v/>
      </c>
      <c r="W1469">
        <f>IF(OR($S1469="",$T1469=""),"",$S1469*1000000+IF($T1469&lt;=60,$U1469,$T1469))</f>
        <v/>
      </c>
      <c r="X1469">
        <f>IF(OR($S1469="",$V1469="",$T1469&gt;60,$T1469=""),"",$S1469*1000000+ROUND($V1469*10,0))</f>
        <v/>
      </c>
      <c r="Y1469">
        <f>IF($W1469="","",IFERROR(INDEX(IF($T1469&lt;=60,imc05_l,imc519_l),MATCH($W1469,IF($T1469&lt;=60,imc05_k,imc519_k),1)),""))</f>
        <v/>
      </c>
      <c r="Z1469">
        <f>IF($W1469="","",IFERROR(INDEX(IF($T1469&lt;=60,imc05_m,imc519_m),MATCH($W1469,IF($T1469&lt;=60,imc05_k,imc519_k),1)),""))</f>
        <v/>
      </c>
      <c r="AA1469">
        <f>IF($W1469="","",IFERROR(INDEX(IF($T1469&lt;=60,imc05_s,imc519_s),MATCH($W1469,IF($T1469&lt;=60,imc05_k,imc519_k),1)),""))</f>
        <v/>
      </c>
      <c r="AB1469">
        <f>IF($Y1469="","",IF($Y1469=0,LN($J1469/$Z1469)/$AA1469,((($J1469/$Z1469)^$Y1469)-1)/($Y1469*$AA1469)))</f>
        <v/>
      </c>
      <c r="AC1469">
        <f>IF($Y1469="","",IF($Y1469=0,$Z1469*EXP($AA1469*2),$Z1469*(1+$Y1469*$AA1469*2)^(1/$Y1469)))</f>
        <v/>
      </c>
      <c r="AD1469">
        <f>IF($Y1469="","",IF($Y1469=0,$Z1469*EXP($AA1469*3),$Z1469*(1+$Y1469*$AA1469*3)^(1/$Y1469)))</f>
        <v/>
      </c>
      <c r="AE1469">
        <f>IF($Y1469="","",IF($Y1469=0,$Z1469*EXP($AA1469*-2),$Z1469*(1+$Y1469*$AA1469*-2)^(1/$Y1469)))</f>
        <v/>
      </c>
      <c r="AF1469">
        <f>IF($Y1469="","",IF($Y1469=0,$Z1469*EXP($AA1469*-3),$Z1469*(1+$Y1469*$AA1469*-3)^(1/$Y1469)))</f>
        <v/>
      </c>
      <c r="AG1469">
        <f>IF($W1469="","",IFERROR(INDEX(IF($T1469&lt;=60,est05_l,est519_l),MATCH($W1469,IF($T1469&lt;=60,est05_k,est519_k),1)),""))</f>
        <v/>
      </c>
      <c r="AH1469">
        <f>IF($W1469="","",IFERROR(INDEX(IF($T1469&lt;=60,est05_m,est519_m),MATCH($W1469,IF($T1469&lt;=60,est05_k,est519_k),1)),""))</f>
        <v/>
      </c>
      <c r="AI1469">
        <f>IF($W1469="","",IFERROR(INDEX(IF($T1469&lt;=60,est05_s,est519_s),MATCH($W1469,IF($T1469&lt;=60,est05_k,est519_k),1)),""))</f>
        <v/>
      </c>
      <c r="AJ1469">
        <f>IF($W1469="","",IFERROR(INDEX(IF($T1469&lt;=60,peso05_l,peso510_l),MATCH($W1469,IF($T1469&lt;=60,peso05_k,peso510_k),1)),""))</f>
        <v/>
      </c>
      <c r="AK1469">
        <f>IF($W1469="","",IFERROR(INDEX(IF($T1469&lt;=60,peso05_m,peso510_m),MATCH($W1469,IF($T1469&lt;=60,peso05_k,peso510_k),1)),""))</f>
        <v/>
      </c>
      <c r="AL1469">
        <f>IF($W1469="","",IFERROR(INDEX(IF($T1469&lt;=60,peso05_s,peso510_s),MATCH($W1469,IF($T1469&lt;=60,peso05_k,peso510_k),1)),""))</f>
        <v/>
      </c>
      <c r="AM1469">
        <f>IF($AJ1469="","",IF($AJ1469=0,LN($F1469/$AK1469)/$AL1469,((($F1469/$AK1469)^$AJ1469)-1)/($AJ1469*$AL1469)))</f>
        <v/>
      </c>
      <c r="AN1469">
        <f>IF($AJ1469="","",IF($AJ1469=0,$AK1469*EXP($AL1469*2),$AK1469*(1+$AJ1469*$AL1469*2)^(1/$AJ1469)))</f>
        <v/>
      </c>
      <c r="AO1469">
        <f>IF($AJ1469="","",IF($AJ1469=0,$AK1469*EXP($AL1469*3),$AK1469*(1+$AJ1469*$AL1469*3)^(1/$AJ1469)))</f>
        <v/>
      </c>
      <c r="AP1469">
        <f>IF($AJ1469="","",IF($AJ1469=0,$AK1469*EXP($AL1469*-2),$AK1469*(1+$AJ1469*$AL1469*-2)^(1/$AJ1469)))</f>
        <v/>
      </c>
      <c r="AQ1469">
        <f>IF($AJ1469="","",IF($AJ1469=0,$AK1469*EXP($AL1469*-3),$AK1469*(1+$AJ1469*$AL1469*-3)^(1/$AJ1469)))</f>
        <v/>
      </c>
      <c r="AR1469">
        <f>IF(OR($X1469="",$T1469&gt;60),"",IFERROR(INDEX(IF($T1469&lt;24,pcomp_l,palt_l),MATCH($X1469,IF($T1469&lt;24,pcomp_k,palt_k),1)),""))</f>
        <v/>
      </c>
      <c r="AS1469">
        <f>IF(OR($X1469="",$T1469&gt;60),"",IFERROR(INDEX(IF($T1469&lt;24,pcomp_m,palt_m),MATCH($X1469,IF($T1469&lt;24,pcomp_k,palt_k),1)),""))</f>
        <v/>
      </c>
      <c r="AT1469">
        <f>IF(OR($X1469="",$T1469&gt;60),"",IFERROR(INDEX(IF($T1469&lt;24,pcomp_s,palt_s),MATCH($X1469,IF($T1469&lt;24,pcomp_k,palt_k),1)),""))</f>
        <v/>
      </c>
      <c r="AU1469">
        <f>IF($AR1469="","",IF($AR1469=0,LN($F1469/$AS1469)/$AT1469,((($F1469/$AS1469)^$AR1469)-1)/($AR1469*$AT1469)))</f>
        <v/>
      </c>
      <c r="AV1469">
        <f>IF($AR1469="","",IF($AR1469=0,$AS1469*EXP($AT1469*2),$AS1469*(1+$AR1469*$AT1469*2)^(1/$AR1469)))</f>
        <v/>
      </c>
      <c r="AW1469">
        <f>IF($AR1469="","",IF($AR1469=0,$AS1469*EXP($AT1469*3),$AS1469*(1+$AR1469*$AT1469*3)^(1/$AR1469)))</f>
        <v/>
      </c>
      <c r="AX1469">
        <f>IF($AR1469="","",IF($AR1469=0,$AS1469*EXP($AT1469*-2),$AS1469*(1+$AR1469*$AT1469*-2)^(1/$AR1469)))</f>
        <v/>
      </c>
      <c r="AY1469">
        <f>IF($AR1469="","",IF($AR1469=0,$AS1469*EXP($AT1469*-3),$AS1469*(1+$AR1469*$AT1469*-3)^(1/$AR1469)))</f>
        <v/>
      </c>
      <c r="AZ1469">
        <f>IF(OR($A1469="",$A1469&lt;&gt;Ficha!$C$4),"",COUNTIF($A$2:$A1469,Ficha!$C$4))</f>
        <v/>
      </c>
    </row>
    <row r="1470">
      <c r="A1470" s="8">
        <f>IF(INDEX(Banco!$A:$A,ROW())="","",INDEX(Banco!$A:$A,ROW()))</f>
        <v/>
      </c>
      <c r="B1470" s="8">
        <f>IF(INDEX(Banco!$B:$B,ROW())="","",INDEX(Banco!$B:$B,ROW()))</f>
        <v/>
      </c>
      <c r="C1470" s="8">
        <f>IF(INDEX(Banco!$C:$C,ROW())="","",INDEX(Banco!$C:$C,ROW()))</f>
        <v/>
      </c>
      <c r="D1470" s="9">
        <f>IF(INDEX(Banco!$D:$D,ROW())="","",INDEX(Banco!$D:$D,ROW()))</f>
        <v/>
      </c>
      <c r="E1470" s="9">
        <f>IF(INDEX(Banco!$E:$E,ROW())="","",INDEX(Banco!$E:$E,ROW()))</f>
        <v/>
      </c>
      <c r="F1470" s="10">
        <f>IF(INDEX(Banco!$F:$F,ROW())="","",INDEX(Banco!$F:$F,ROW()))</f>
        <v/>
      </c>
      <c r="G1470" s="10">
        <f>IF(INDEX(Banco!$G:$G,ROW())="","",INDEX(Banco!$G:$G,ROW()))</f>
        <v/>
      </c>
      <c r="H1470" s="8">
        <f>IF(INDEX(Banco!$H:$H,ROW())="","",INDEX(Banco!$H:$H,ROW()))</f>
        <v/>
      </c>
      <c r="I1470">
        <f>IF($T1470="","",INT($T1470/12)&amp;"a "&amp;MOD($T1470,12)&amp;"m")</f>
        <v/>
      </c>
      <c r="J1470" s="11">
        <f>IF(OR($F1470="",$G1470=""),"",ROUND($F1470/($G1470/100)^2,2))</f>
        <v/>
      </c>
      <c r="K1470" s="12">
        <f>IF(OR($S1470="",$J1470="",$T1470="",$T1470&lt;0,$T1470&gt;228,$Y1470=""),"—",ROUND(IF(ABS($AB1470)&lt;=3,$AB1470,IF($AB1470&gt;3,3+($J1470-$AD1470)/($AD1470-$AC1470),-3+($J1470-$AF1470)/($AE1470-$AF1470))),2))</f>
        <v/>
      </c>
      <c r="L1470">
        <f>IF(OR($K1470="",$K1470="—"),"",IF($T1470&lt;=60,IF($K1470&lt;-3,"Magreza acentuada",IF($K1470&lt;-2,"Magreza",IF($K1470&lt;=1,"Eutrofia",IF($K1470&lt;=2,"Risco de sobrepeso",IF($K1470&lt;=3,"Sobrepeso","Obesidade"))))),IF($K1470&lt;-3,"Magreza acentuada",IF($K1470&lt;-2,"Magreza",IF($K1470&lt;=1,"Eutrofia",IF($K1470&lt;=2,"Sobrepeso",IF($K1470&lt;=3,"Obesidade","Obesidade grave")))))))</f>
        <v/>
      </c>
      <c r="M1470" s="12">
        <f>IF(OR($S1470="",$V1470="",$T1470="",$T1470&lt;0,$T1470&gt;228,$AG1470=""),"—",ROUND(IF($AG1470=0,LN($V1470/$AH1470)/$AI1470,((($V1470/$AH1470)^$AG1470)-1)/($AG1470*$AI1470)),2))</f>
        <v/>
      </c>
      <c r="N1470">
        <f>IF(OR($M1470="",$M1470="—"),"",IF($M1470&lt;-3,"Muito baixa",IF($M1470&lt;-2,"Baixa","Adequada")))</f>
        <v/>
      </c>
      <c r="O1470" s="12">
        <f>IF(OR($S1470="",$F1470="",$T1470="",$T1470&lt;0,$T1470&gt;120,$AJ1470=""),"—",ROUND(IF(ABS($AM1470)&lt;=3,$AM1470,IF($AM1470&gt;3,3+($F1470-$AO1470)/($AO1470-$AN1470),-3+($F1470-$AQ1470)/($AP1470-$AQ1470))),2))</f>
        <v/>
      </c>
      <c r="P1470">
        <f>IF(OR($O1470="",$O1470="—"),"",IF($O1470&lt;-3,"Muito baixo",IF($O1470&lt;-2,"Baixo",IF($O1470&lt;=2,"Adequado","Elevado"))))</f>
        <v/>
      </c>
      <c r="Q1470" s="12">
        <f>IF(OR($S1470="",$F1470="",$T1470="",$T1470&lt;0,$T1470&gt;60,$AR1470=""),"—",ROUND(IF(ABS($AU1470)&lt;=3,$AU1470,IF($AU1470&gt;3,3+($F1470-$AW1470)/($AW1470-$AV1470),-3+($F1470-$AY1470)/($AX1470-$AY1470))),2))</f>
        <v/>
      </c>
      <c r="R1470">
        <f>IF(OR($Q1470="",$Q1470="—"),"",IF($Q1470&lt;-3,"Magreza acentuada",IF($Q1470&lt;-2,"Magreza",IF($Q1470&lt;=1,"Eutrofia",IF($Q1470&lt;=2,"Risco de sobrepeso",IF($Q1470&lt;=3,"Sobrepeso","Obesidade"))))))</f>
        <v/>
      </c>
      <c r="S1470">
        <f>IF($C1470="","",IF(UPPER(LEFT($C1470,1))="M",1,IF(UPPER(LEFT($C1470,1))="F",2,"")))</f>
        <v/>
      </c>
      <c r="T1470">
        <f>IF(OR($D1470="",$E1470=""),"",DATEDIF($D1470,$E1470,"m"))</f>
        <v/>
      </c>
      <c r="U1470">
        <f>IF(OR($D1470="",$E1470=""),"",$E1470-$D1470)</f>
        <v/>
      </c>
      <c r="V1470">
        <f>IF(OR($G1470="",$T1470=""),"",IF($T1470&lt;24,IF(LEFT(LOWER($H1470),4)="em p",$G1470+0.7,$G1470),IF(LEFT(LOWER($H1470),4)="deit",$G1470-0.7,$G1470)))</f>
        <v/>
      </c>
      <c r="W1470">
        <f>IF(OR($S1470="",$T1470=""),"",$S1470*1000000+IF($T1470&lt;=60,$U1470,$T1470))</f>
        <v/>
      </c>
      <c r="X1470">
        <f>IF(OR($S1470="",$V1470="",$T1470&gt;60,$T1470=""),"",$S1470*1000000+ROUND($V1470*10,0))</f>
        <v/>
      </c>
      <c r="Y1470">
        <f>IF($W1470="","",IFERROR(INDEX(IF($T1470&lt;=60,imc05_l,imc519_l),MATCH($W1470,IF($T1470&lt;=60,imc05_k,imc519_k),1)),""))</f>
        <v/>
      </c>
      <c r="Z1470">
        <f>IF($W1470="","",IFERROR(INDEX(IF($T1470&lt;=60,imc05_m,imc519_m),MATCH($W1470,IF($T1470&lt;=60,imc05_k,imc519_k),1)),""))</f>
        <v/>
      </c>
      <c r="AA1470">
        <f>IF($W1470="","",IFERROR(INDEX(IF($T1470&lt;=60,imc05_s,imc519_s),MATCH($W1470,IF($T1470&lt;=60,imc05_k,imc519_k),1)),""))</f>
        <v/>
      </c>
      <c r="AB1470">
        <f>IF($Y1470="","",IF($Y1470=0,LN($J1470/$Z1470)/$AA1470,((($J1470/$Z1470)^$Y1470)-1)/($Y1470*$AA1470)))</f>
        <v/>
      </c>
      <c r="AC1470">
        <f>IF($Y1470="","",IF($Y1470=0,$Z1470*EXP($AA1470*2),$Z1470*(1+$Y1470*$AA1470*2)^(1/$Y1470)))</f>
        <v/>
      </c>
      <c r="AD1470">
        <f>IF($Y1470="","",IF($Y1470=0,$Z1470*EXP($AA1470*3),$Z1470*(1+$Y1470*$AA1470*3)^(1/$Y1470)))</f>
        <v/>
      </c>
      <c r="AE1470">
        <f>IF($Y1470="","",IF($Y1470=0,$Z1470*EXP($AA1470*-2),$Z1470*(1+$Y1470*$AA1470*-2)^(1/$Y1470)))</f>
        <v/>
      </c>
      <c r="AF1470">
        <f>IF($Y1470="","",IF($Y1470=0,$Z1470*EXP($AA1470*-3),$Z1470*(1+$Y1470*$AA1470*-3)^(1/$Y1470)))</f>
        <v/>
      </c>
      <c r="AG1470">
        <f>IF($W1470="","",IFERROR(INDEX(IF($T1470&lt;=60,est05_l,est519_l),MATCH($W1470,IF($T1470&lt;=60,est05_k,est519_k),1)),""))</f>
        <v/>
      </c>
      <c r="AH1470">
        <f>IF($W1470="","",IFERROR(INDEX(IF($T1470&lt;=60,est05_m,est519_m),MATCH($W1470,IF($T1470&lt;=60,est05_k,est519_k),1)),""))</f>
        <v/>
      </c>
      <c r="AI1470">
        <f>IF($W1470="","",IFERROR(INDEX(IF($T1470&lt;=60,est05_s,est519_s),MATCH($W1470,IF($T1470&lt;=60,est05_k,est519_k),1)),""))</f>
        <v/>
      </c>
      <c r="AJ1470">
        <f>IF($W1470="","",IFERROR(INDEX(IF($T1470&lt;=60,peso05_l,peso510_l),MATCH($W1470,IF($T1470&lt;=60,peso05_k,peso510_k),1)),""))</f>
        <v/>
      </c>
      <c r="AK1470">
        <f>IF($W1470="","",IFERROR(INDEX(IF($T1470&lt;=60,peso05_m,peso510_m),MATCH($W1470,IF($T1470&lt;=60,peso05_k,peso510_k),1)),""))</f>
        <v/>
      </c>
      <c r="AL1470">
        <f>IF($W1470="","",IFERROR(INDEX(IF($T1470&lt;=60,peso05_s,peso510_s),MATCH($W1470,IF($T1470&lt;=60,peso05_k,peso510_k),1)),""))</f>
        <v/>
      </c>
      <c r="AM1470">
        <f>IF($AJ1470="","",IF($AJ1470=0,LN($F1470/$AK1470)/$AL1470,((($F1470/$AK1470)^$AJ1470)-1)/($AJ1470*$AL1470)))</f>
        <v/>
      </c>
      <c r="AN1470">
        <f>IF($AJ1470="","",IF($AJ1470=0,$AK1470*EXP($AL1470*2),$AK1470*(1+$AJ1470*$AL1470*2)^(1/$AJ1470)))</f>
        <v/>
      </c>
      <c r="AO1470">
        <f>IF($AJ1470="","",IF($AJ1470=0,$AK1470*EXP($AL1470*3),$AK1470*(1+$AJ1470*$AL1470*3)^(1/$AJ1470)))</f>
        <v/>
      </c>
      <c r="AP1470">
        <f>IF($AJ1470="","",IF($AJ1470=0,$AK1470*EXP($AL1470*-2),$AK1470*(1+$AJ1470*$AL1470*-2)^(1/$AJ1470)))</f>
        <v/>
      </c>
      <c r="AQ1470">
        <f>IF($AJ1470="","",IF($AJ1470=0,$AK1470*EXP($AL1470*-3),$AK1470*(1+$AJ1470*$AL1470*-3)^(1/$AJ1470)))</f>
        <v/>
      </c>
      <c r="AR1470">
        <f>IF(OR($X1470="",$T1470&gt;60),"",IFERROR(INDEX(IF($T1470&lt;24,pcomp_l,palt_l),MATCH($X1470,IF($T1470&lt;24,pcomp_k,palt_k),1)),""))</f>
        <v/>
      </c>
      <c r="AS1470">
        <f>IF(OR($X1470="",$T1470&gt;60),"",IFERROR(INDEX(IF($T1470&lt;24,pcomp_m,palt_m),MATCH($X1470,IF($T1470&lt;24,pcomp_k,palt_k),1)),""))</f>
        <v/>
      </c>
      <c r="AT1470">
        <f>IF(OR($X1470="",$T1470&gt;60),"",IFERROR(INDEX(IF($T1470&lt;24,pcomp_s,palt_s),MATCH($X1470,IF($T1470&lt;24,pcomp_k,palt_k),1)),""))</f>
        <v/>
      </c>
      <c r="AU1470">
        <f>IF($AR1470="","",IF($AR1470=0,LN($F1470/$AS1470)/$AT1470,((($F1470/$AS1470)^$AR1470)-1)/($AR1470*$AT1470)))</f>
        <v/>
      </c>
      <c r="AV1470">
        <f>IF($AR1470="","",IF($AR1470=0,$AS1470*EXP($AT1470*2),$AS1470*(1+$AR1470*$AT1470*2)^(1/$AR1470)))</f>
        <v/>
      </c>
      <c r="AW1470">
        <f>IF($AR1470="","",IF($AR1470=0,$AS1470*EXP($AT1470*3),$AS1470*(1+$AR1470*$AT1470*3)^(1/$AR1470)))</f>
        <v/>
      </c>
      <c r="AX1470">
        <f>IF($AR1470="","",IF($AR1470=0,$AS1470*EXP($AT1470*-2),$AS1470*(1+$AR1470*$AT1470*-2)^(1/$AR1470)))</f>
        <v/>
      </c>
      <c r="AY1470">
        <f>IF($AR1470="","",IF($AR1470=0,$AS1470*EXP($AT1470*-3),$AS1470*(1+$AR1470*$AT1470*-3)^(1/$AR1470)))</f>
        <v/>
      </c>
      <c r="AZ1470">
        <f>IF(OR($A1470="",$A1470&lt;&gt;Ficha!$C$4),"",COUNTIF($A$2:$A1470,Ficha!$C$4))</f>
        <v/>
      </c>
    </row>
    <row r="1471">
      <c r="A1471" s="8">
        <f>IF(INDEX(Banco!$A:$A,ROW())="","",INDEX(Banco!$A:$A,ROW()))</f>
        <v/>
      </c>
      <c r="B1471" s="8">
        <f>IF(INDEX(Banco!$B:$B,ROW())="","",INDEX(Banco!$B:$B,ROW()))</f>
        <v/>
      </c>
      <c r="C1471" s="8">
        <f>IF(INDEX(Banco!$C:$C,ROW())="","",INDEX(Banco!$C:$C,ROW()))</f>
        <v/>
      </c>
      <c r="D1471" s="9">
        <f>IF(INDEX(Banco!$D:$D,ROW())="","",INDEX(Banco!$D:$D,ROW()))</f>
        <v/>
      </c>
      <c r="E1471" s="9">
        <f>IF(INDEX(Banco!$E:$E,ROW())="","",INDEX(Banco!$E:$E,ROW()))</f>
        <v/>
      </c>
      <c r="F1471" s="10">
        <f>IF(INDEX(Banco!$F:$F,ROW())="","",INDEX(Banco!$F:$F,ROW()))</f>
        <v/>
      </c>
      <c r="G1471" s="10">
        <f>IF(INDEX(Banco!$G:$G,ROW())="","",INDEX(Banco!$G:$G,ROW()))</f>
        <v/>
      </c>
      <c r="H1471" s="8">
        <f>IF(INDEX(Banco!$H:$H,ROW())="","",INDEX(Banco!$H:$H,ROW()))</f>
        <v/>
      </c>
      <c r="I1471">
        <f>IF($T1471="","",INT($T1471/12)&amp;"a "&amp;MOD($T1471,12)&amp;"m")</f>
        <v/>
      </c>
      <c r="J1471" s="11">
        <f>IF(OR($F1471="",$G1471=""),"",ROUND($F1471/($G1471/100)^2,2))</f>
        <v/>
      </c>
      <c r="K1471" s="12">
        <f>IF(OR($S1471="",$J1471="",$T1471="",$T1471&lt;0,$T1471&gt;228,$Y1471=""),"—",ROUND(IF(ABS($AB1471)&lt;=3,$AB1471,IF($AB1471&gt;3,3+($J1471-$AD1471)/($AD1471-$AC1471),-3+($J1471-$AF1471)/($AE1471-$AF1471))),2))</f>
        <v/>
      </c>
      <c r="L1471">
        <f>IF(OR($K1471="",$K1471="—"),"",IF($T1471&lt;=60,IF($K1471&lt;-3,"Magreza acentuada",IF($K1471&lt;-2,"Magreza",IF($K1471&lt;=1,"Eutrofia",IF($K1471&lt;=2,"Risco de sobrepeso",IF($K1471&lt;=3,"Sobrepeso","Obesidade"))))),IF($K1471&lt;-3,"Magreza acentuada",IF($K1471&lt;-2,"Magreza",IF($K1471&lt;=1,"Eutrofia",IF($K1471&lt;=2,"Sobrepeso",IF($K1471&lt;=3,"Obesidade","Obesidade grave")))))))</f>
        <v/>
      </c>
      <c r="M1471" s="12">
        <f>IF(OR($S1471="",$V1471="",$T1471="",$T1471&lt;0,$T1471&gt;228,$AG1471=""),"—",ROUND(IF($AG1471=0,LN($V1471/$AH1471)/$AI1471,((($V1471/$AH1471)^$AG1471)-1)/($AG1471*$AI1471)),2))</f>
        <v/>
      </c>
      <c r="N1471">
        <f>IF(OR($M1471="",$M1471="—"),"",IF($M1471&lt;-3,"Muito baixa",IF($M1471&lt;-2,"Baixa","Adequada")))</f>
        <v/>
      </c>
      <c r="O1471" s="12">
        <f>IF(OR($S1471="",$F1471="",$T1471="",$T1471&lt;0,$T1471&gt;120,$AJ1471=""),"—",ROUND(IF(ABS($AM1471)&lt;=3,$AM1471,IF($AM1471&gt;3,3+($F1471-$AO1471)/($AO1471-$AN1471),-3+($F1471-$AQ1471)/($AP1471-$AQ1471))),2))</f>
        <v/>
      </c>
      <c r="P1471">
        <f>IF(OR($O1471="",$O1471="—"),"",IF($O1471&lt;-3,"Muito baixo",IF($O1471&lt;-2,"Baixo",IF($O1471&lt;=2,"Adequado","Elevado"))))</f>
        <v/>
      </c>
      <c r="Q1471" s="12">
        <f>IF(OR($S1471="",$F1471="",$T1471="",$T1471&lt;0,$T1471&gt;60,$AR1471=""),"—",ROUND(IF(ABS($AU1471)&lt;=3,$AU1471,IF($AU1471&gt;3,3+($F1471-$AW1471)/($AW1471-$AV1471),-3+($F1471-$AY1471)/($AX1471-$AY1471))),2))</f>
        <v/>
      </c>
      <c r="R1471">
        <f>IF(OR($Q1471="",$Q1471="—"),"",IF($Q1471&lt;-3,"Magreza acentuada",IF($Q1471&lt;-2,"Magreza",IF($Q1471&lt;=1,"Eutrofia",IF($Q1471&lt;=2,"Risco de sobrepeso",IF($Q1471&lt;=3,"Sobrepeso","Obesidade"))))))</f>
        <v/>
      </c>
      <c r="S1471">
        <f>IF($C1471="","",IF(UPPER(LEFT($C1471,1))="M",1,IF(UPPER(LEFT($C1471,1))="F",2,"")))</f>
        <v/>
      </c>
      <c r="T1471">
        <f>IF(OR($D1471="",$E1471=""),"",DATEDIF($D1471,$E1471,"m"))</f>
        <v/>
      </c>
      <c r="U1471">
        <f>IF(OR($D1471="",$E1471=""),"",$E1471-$D1471)</f>
        <v/>
      </c>
      <c r="V1471">
        <f>IF(OR($G1471="",$T1471=""),"",IF($T1471&lt;24,IF(LEFT(LOWER($H1471),4)="em p",$G1471+0.7,$G1471),IF(LEFT(LOWER($H1471),4)="deit",$G1471-0.7,$G1471)))</f>
        <v/>
      </c>
      <c r="W1471">
        <f>IF(OR($S1471="",$T1471=""),"",$S1471*1000000+IF($T1471&lt;=60,$U1471,$T1471))</f>
        <v/>
      </c>
      <c r="X1471">
        <f>IF(OR($S1471="",$V1471="",$T1471&gt;60,$T1471=""),"",$S1471*1000000+ROUND($V1471*10,0))</f>
        <v/>
      </c>
      <c r="Y1471">
        <f>IF($W1471="","",IFERROR(INDEX(IF($T1471&lt;=60,imc05_l,imc519_l),MATCH($W1471,IF($T1471&lt;=60,imc05_k,imc519_k),1)),""))</f>
        <v/>
      </c>
      <c r="Z1471">
        <f>IF($W1471="","",IFERROR(INDEX(IF($T1471&lt;=60,imc05_m,imc519_m),MATCH($W1471,IF($T1471&lt;=60,imc05_k,imc519_k),1)),""))</f>
        <v/>
      </c>
      <c r="AA1471">
        <f>IF($W1471="","",IFERROR(INDEX(IF($T1471&lt;=60,imc05_s,imc519_s),MATCH($W1471,IF($T1471&lt;=60,imc05_k,imc519_k),1)),""))</f>
        <v/>
      </c>
      <c r="AB1471">
        <f>IF($Y1471="","",IF($Y1471=0,LN($J1471/$Z1471)/$AA1471,((($J1471/$Z1471)^$Y1471)-1)/($Y1471*$AA1471)))</f>
        <v/>
      </c>
      <c r="AC1471">
        <f>IF($Y1471="","",IF($Y1471=0,$Z1471*EXP($AA1471*2),$Z1471*(1+$Y1471*$AA1471*2)^(1/$Y1471)))</f>
        <v/>
      </c>
      <c r="AD1471">
        <f>IF($Y1471="","",IF($Y1471=0,$Z1471*EXP($AA1471*3),$Z1471*(1+$Y1471*$AA1471*3)^(1/$Y1471)))</f>
        <v/>
      </c>
      <c r="AE1471">
        <f>IF($Y1471="","",IF($Y1471=0,$Z1471*EXP($AA1471*-2),$Z1471*(1+$Y1471*$AA1471*-2)^(1/$Y1471)))</f>
        <v/>
      </c>
      <c r="AF1471">
        <f>IF($Y1471="","",IF($Y1471=0,$Z1471*EXP($AA1471*-3),$Z1471*(1+$Y1471*$AA1471*-3)^(1/$Y1471)))</f>
        <v/>
      </c>
      <c r="AG1471">
        <f>IF($W1471="","",IFERROR(INDEX(IF($T1471&lt;=60,est05_l,est519_l),MATCH($W1471,IF($T1471&lt;=60,est05_k,est519_k),1)),""))</f>
        <v/>
      </c>
      <c r="AH1471">
        <f>IF($W1471="","",IFERROR(INDEX(IF($T1471&lt;=60,est05_m,est519_m),MATCH($W1471,IF($T1471&lt;=60,est05_k,est519_k),1)),""))</f>
        <v/>
      </c>
      <c r="AI1471">
        <f>IF($W1471="","",IFERROR(INDEX(IF($T1471&lt;=60,est05_s,est519_s),MATCH($W1471,IF($T1471&lt;=60,est05_k,est519_k),1)),""))</f>
        <v/>
      </c>
      <c r="AJ1471">
        <f>IF($W1471="","",IFERROR(INDEX(IF($T1471&lt;=60,peso05_l,peso510_l),MATCH($W1471,IF($T1471&lt;=60,peso05_k,peso510_k),1)),""))</f>
        <v/>
      </c>
      <c r="AK1471">
        <f>IF($W1471="","",IFERROR(INDEX(IF($T1471&lt;=60,peso05_m,peso510_m),MATCH($W1471,IF($T1471&lt;=60,peso05_k,peso510_k),1)),""))</f>
        <v/>
      </c>
      <c r="AL1471">
        <f>IF($W1471="","",IFERROR(INDEX(IF($T1471&lt;=60,peso05_s,peso510_s),MATCH($W1471,IF($T1471&lt;=60,peso05_k,peso510_k),1)),""))</f>
        <v/>
      </c>
      <c r="AM1471">
        <f>IF($AJ1471="","",IF($AJ1471=0,LN($F1471/$AK1471)/$AL1471,((($F1471/$AK1471)^$AJ1471)-1)/($AJ1471*$AL1471)))</f>
        <v/>
      </c>
      <c r="AN1471">
        <f>IF($AJ1471="","",IF($AJ1471=0,$AK1471*EXP($AL1471*2),$AK1471*(1+$AJ1471*$AL1471*2)^(1/$AJ1471)))</f>
        <v/>
      </c>
      <c r="AO1471">
        <f>IF($AJ1471="","",IF($AJ1471=0,$AK1471*EXP($AL1471*3),$AK1471*(1+$AJ1471*$AL1471*3)^(1/$AJ1471)))</f>
        <v/>
      </c>
      <c r="AP1471">
        <f>IF($AJ1471="","",IF($AJ1471=0,$AK1471*EXP($AL1471*-2),$AK1471*(1+$AJ1471*$AL1471*-2)^(1/$AJ1471)))</f>
        <v/>
      </c>
      <c r="AQ1471">
        <f>IF($AJ1471="","",IF($AJ1471=0,$AK1471*EXP($AL1471*-3),$AK1471*(1+$AJ1471*$AL1471*-3)^(1/$AJ1471)))</f>
        <v/>
      </c>
      <c r="AR1471">
        <f>IF(OR($X1471="",$T1471&gt;60),"",IFERROR(INDEX(IF($T1471&lt;24,pcomp_l,palt_l),MATCH($X1471,IF($T1471&lt;24,pcomp_k,palt_k),1)),""))</f>
        <v/>
      </c>
      <c r="AS1471">
        <f>IF(OR($X1471="",$T1471&gt;60),"",IFERROR(INDEX(IF($T1471&lt;24,pcomp_m,palt_m),MATCH($X1471,IF($T1471&lt;24,pcomp_k,palt_k),1)),""))</f>
        <v/>
      </c>
      <c r="AT1471">
        <f>IF(OR($X1471="",$T1471&gt;60),"",IFERROR(INDEX(IF($T1471&lt;24,pcomp_s,palt_s),MATCH($X1471,IF($T1471&lt;24,pcomp_k,palt_k),1)),""))</f>
        <v/>
      </c>
      <c r="AU1471">
        <f>IF($AR1471="","",IF($AR1471=0,LN($F1471/$AS1471)/$AT1471,((($F1471/$AS1471)^$AR1471)-1)/($AR1471*$AT1471)))</f>
        <v/>
      </c>
      <c r="AV1471">
        <f>IF($AR1471="","",IF($AR1471=0,$AS1471*EXP($AT1471*2),$AS1471*(1+$AR1471*$AT1471*2)^(1/$AR1471)))</f>
        <v/>
      </c>
      <c r="AW1471">
        <f>IF($AR1471="","",IF($AR1471=0,$AS1471*EXP($AT1471*3),$AS1471*(1+$AR1471*$AT1471*3)^(1/$AR1471)))</f>
        <v/>
      </c>
      <c r="AX1471">
        <f>IF($AR1471="","",IF($AR1471=0,$AS1471*EXP($AT1471*-2),$AS1471*(1+$AR1471*$AT1471*-2)^(1/$AR1471)))</f>
        <v/>
      </c>
      <c r="AY1471">
        <f>IF($AR1471="","",IF($AR1471=0,$AS1471*EXP($AT1471*-3),$AS1471*(1+$AR1471*$AT1471*-3)^(1/$AR1471)))</f>
        <v/>
      </c>
      <c r="AZ1471">
        <f>IF(OR($A1471="",$A1471&lt;&gt;Ficha!$C$4),"",COUNTIF($A$2:$A1471,Ficha!$C$4))</f>
        <v/>
      </c>
    </row>
    <row r="1472">
      <c r="A1472" s="8">
        <f>IF(INDEX(Banco!$A:$A,ROW())="","",INDEX(Banco!$A:$A,ROW()))</f>
        <v/>
      </c>
      <c r="B1472" s="8">
        <f>IF(INDEX(Banco!$B:$B,ROW())="","",INDEX(Banco!$B:$B,ROW()))</f>
        <v/>
      </c>
      <c r="C1472" s="8">
        <f>IF(INDEX(Banco!$C:$C,ROW())="","",INDEX(Banco!$C:$C,ROW()))</f>
        <v/>
      </c>
      <c r="D1472" s="9">
        <f>IF(INDEX(Banco!$D:$D,ROW())="","",INDEX(Banco!$D:$D,ROW()))</f>
        <v/>
      </c>
      <c r="E1472" s="9">
        <f>IF(INDEX(Banco!$E:$E,ROW())="","",INDEX(Banco!$E:$E,ROW()))</f>
        <v/>
      </c>
      <c r="F1472" s="10">
        <f>IF(INDEX(Banco!$F:$F,ROW())="","",INDEX(Banco!$F:$F,ROW()))</f>
        <v/>
      </c>
      <c r="G1472" s="10">
        <f>IF(INDEX(Banco!$G:$G,ROW())="","",INDEX(Banco!$G:$G,ROW()))</f>
        <v/>
      </c>
      <c r="H1472" s="8">
        <f>IF(INDEX(Banco!$H:$H,ROW())="","",INDEX(Banco!$H:$H,ROW()))</f>
        <v/>
      </c>
      <c r="I1472">
        <f>IF($T1472="","",INT($T1472/12)&amp;"a "&amp;MOD($T1472,12)&amp;"m")</f>
        <v/>
      </c>
      <c r="J1472" s="11">
        <f>IF(OR($F1472="",$G1472=""),"",ROUND($F1472/($G1472/100)^2,2))</f>
        <v/>
      </c>
      <c r="K1472" s="12">
        <f>IF(OR($S1472="",$J1472="",$T1472="",$T1472&lt;0,$T1472&gt;228,$Y1472=""),"—",ROUND(IF(ABS($AB1472)&lt;=3,$AB1472,IF($AB1472&gt;3,3+($J1472-$AD1472)/($AD1472-$AC1472),-3+($J1472-$AF1472)/($AE1472-$AF1472))),2))</f>
        <v/>
      </c>
      <c r="L1472">
        <f>IF(OR($K1472="",$K1472="—"),"",IF($T1472&lt;=60,IF($K1472&lt;-3,"Magreza acentuada",IF($K1472&lt;-2,"Magreza",IF($K1472&lt;=1,"Eutrofia",IF($K1472&lt;=2,"Risco de sobrepeso",IF($K1472&lt;=3,"Sobrepeso","Obesidade"))))),IF($K1472&lt;-3,"Magreza acentuada",IF($K1472&lt;-2,"Magreza",IF($K1472&lt;=1,"Eutrofia",IF($K1472&lt;=2,"Sobrepeso",IF($K1472&lt;=3,"Obesidade","Obesidade grave")))))))</f>
        <v/>
      </c>
      <c r="M1472" s="12">
        <f>IF(OR($S1472="",$V1472="",$T1472="",$T1472&lt;0,$T1472&gt;228,$AG1472=""),"—",ROUND(IF($AG1472=0,LN($V1472/$AH1472)/$AI1472,((($V1472/$AH1472)^$AG1472)-1)/($AG1472*$AI1472)),2))</f>
        <v/>
      </c>
      <c r="N1472">
        <f>IF(OR($M1472="",$M1472="—"),"",IF($M1472&lt;-3,"Muito baixa",IF($M1472&lt;-2,"Baixa","Adequada")))</f>
        <v/>
      </c>
      <c r="O1472" s="12">
        <f>IF(OR($S1472="",$F1472="",$T1472="",$T1472&lt;0,$T1472&gt;120,$AJ1472=""),"—",ROUND(IF(ABS($AM1472)&lt;=3,$AM1472,IF($AM1472&gt;3,3+($F1472-$AO1472)/($AO1472-$AN1472),-3+($F1472-$AQ1472)/($AP1472-$AQ1472))),2))</f>
        <v/>
      </c>
      <c r="P1472">
        <f>IF(OR($O1472="",$O1472="—"),"",IF($O1472&lt;-3,"Muito baixo",IF($O1472&lt;-2,"Baixo",IF($O1472&lt;=2,"Adequado","Elevado"))))</f>
        <v/>
      </c>
      <c r="Q1472" s="12">
        <f>IF(OR($S1472="",$F1472="",$T1472="",$T1472&lt;0,$T1472&gt;60,$AR1472=""),"—",ROUND(IF(ABS($AU1472)&lt;=3,$AU1472,IF($AU1472&gt;3,3+($F1472-$AW1472)/($AW1472-$AV1472),-3+($F1472-$AY1472)/($AX1472-$AY1472))),2))</f>
        <v/>
      </c>
      <c r="R1472">
        <f>IF(OR($Q1472="",$Q1472="—"),"",IF($Q1472&lt;-3,"Magreza acentuada",IF($Q1472&lt;-2,"Magreza",IF($Q1472&lt;=1,"Eutrofia",IF($Q1472&lt;=2,"Risco de sobrepeso",IF($Q1472&lt;=3,"Sobrepeso","Obesidade"))))))</f>
        <v/>
      </c>
      <c r="S1472">
        <f>IF($C1472="","",IF(UPPER(LEFT($C1472,1))="M",1,IF(UPPER(LEFT($C1472,1))="F",2,"")))</f>
        <v/>
      </c>
      <c r="T1472">
        <f>IF(OR($D1472="",$E1472=""),"",DATEDIF($D1472,$E1472,"m"))</f>
        <v/>
      </c>
      <c r="U1472">
        <f>IF(OR($D1472="",$E1472=""),"",$E1472-$D1472)</f>
        <v/>
      </c>
      <c r="V1472">
        <f>IF(OR($G1472="",$T1472=""),"",IF($T1472&lt;24,IF(LEFT(LOWER($H1472),4)="em p",$G1472+0.7,$G1472),IF(LEFT(LOWER($H1472),4)="deit",$G1472-0.7,$G1472)))</f>
        <v/>
      </c>
      <c r="W1472">
        <f>IF(OR($S1472="",$T1472=""),"",$S1472*1000000+IF($T1472&lt;=60,$U1472,$T1472))</f>
        <v/>
      </c>
      <c r="X1472">
        <f>IF(OR($S1472="",$V1472="",$T1472&gt;60,$T1472=""),"",$S1472*1000000+ROUND($V1472*10,0))</f>
        <v/>
      </c>
      <c r="Y1472">
        <f>IF($W1472="","",IFERROR(INDEX(IF($T1472&lt;=60,imc05_l,imc519_l),MATCH($W1472,IF($T1472&lt;=60,imc05_k,imc519_k),1)),""))</f>
        <v/>
      </c>
      <c r="Z1472">
        <f>IF($W1472="","",IFERROR(INDEX(IF($T1472&lt;=60,imc05_m,imc519_m),MATCH($W1472,IF($T1472&lt;=60,imc05_k,imc519_k),1)),""))</f>
        <v/>
      </c>
      <c r="AA1472">
        <f>IF($W1472="","",IFERROR(INDEX(IF($T1472&lt;=60,imc05_s,imc519_s),MATCH($W1472,IF($T1472&lt;=60,imc05_k,imc519_k),1)),""))</f>
        <v/>
      </c>
      <c r="AB1472">
        <f>IF($Y1472="","",IF($Y1472=0,LN($J1472/$Z1472)/$AA1472,((($J1472/$Z1472)^$Y1472)-1)/($Y1472*$AA1472)))</f>
        <v/>
      </c>
      <c r="AC1472">
        <f>IF($Y1472="","",IF($Y1472=0,$Z1472*EXP($AA1472*2),$Z1472*(1+$Y1472*$AA1472*2)^(1/$Y1472)))</f>
        <v/>
      </c>
      <c r="AD1472">
        <f>IF($Y1472="","",IF($Y1472=0,$Z1472*EXP($AA1472*3),$Z1472*(1+$Y1472*$AA1472*3)^(1/$Y1472)))</f>
        <v/>
      </c>
      <c r="AE1472">
        <f>IF($Y1472="","",IF($Y1472=0,$Z1472*EXP($AA1472*-2),$Z1472*(1+$Y1472*$AA1472*-2)^(1/$Y1472)))</f>
        <v/>
      </c>
      <c r="AF1472">
        <f>IF($Y1472="","",IF($Y1472=0,$Z1472*EXP($AA1472*-3),$Z1472*(1+$Y1472*$AA1472*-3)^(1/$Y1472)))</f>
        <v/>
      </c>
      <c r="AG1472">
        <f>IF($W1472="","",IFERROR(INDEX(IF($T1472&lt;=60,est05_l,est519_l),MATCH($W1472,IF($T1472&lt;=60,est05_k,est519_k),1)),""))</f>
        <v/>
      </c>
      <c r="AH1472">
        <f>IF($W1472="","",IFERROR(INDEX(IF($T1472&lt;=60,est05_m,est519_m),MATCH($W1472,IF($T1472&lt;=60,est05_k,est519_k),1)),""))</f>
        <v/>
      </c>
      <c r="AI1472">
        <f>IF($W1472="","",IFERROR(INDEX(IF($T1472&lt;=60,est05_s,est519_s),MATCH($W1472,IF($T1472&lt;=60,est05_k,est519_k),1)),""))</f>
        <v/>
      </c>
      <c r="AJ1472">
        <f>IF($W1472="","",IFERROR(INDEX(IF($T1472&lt;=60,peso05_l,peso510_l),MATCH($W1472,IF($T1472&lt;=60,peso05_k,peso510_k),1)),""))</f>
        <v/>
      </c>
      <c r="AK1472">
        <f>IF($W1472="","",IFERROR(INDEX(IF($T1472&lt;=60,peso05_m,peso510_m),MATCH($W1472,IF($T1472&lt;=60,peso05_k,peso510_k),1)),""))</f>
        <v/>
      </c>
      <c r="AL1472">
        <f>IF($W1472="","",IFERROR(INDEX(IF($T1472&lt;=60,peso05_s,peso510_s),MATCH($W1472,IF($T1472&lt;=60,peso05_k,peso510_k),1)),""))</f>
        <v/>
      </c>
      <c r="AM1472">
        <f>IF($AJ1472="","",IF($AJ1472=0,LN($F1472/$AK1472)/$AL1472,((($F1472/$AK1472)^$AJ1472)-1)/($AJ1472*$AL1472)))</f>
        <v/>
      </c>
      <c r="AN1472">
        <f>IF($AJ1472="","",IF($AJ1472=0,$AK1472*EXP($AL1472*2),$AK1472*(1+$AJ1472*$AL1472*2)^(1/$AJ1472)))</f>
        <v/>
      </c>
      <c r="AO1472">
        <f>IF($AJ1472="","",IF($AJ1472=0,$AK1472*EXP($AL1472*3),$AK1472*(1+$AJ1472*$AL1472*3)^(1/$AJ1472)))</f>
        <v/>
      </c>
      <c r="AP1472">
        <f>IF($AJ1472="","",IF($AJ1472=0,$AK1472*EXP($AL1472*-2),$AK1472*(1+$AJ1472*$AL1472*-2)^(1/$AJ1472)))</f>
        <v/>
      </c>
      <c r="AQ1472">
        <f>IF($AJ1472="","",IF($AJ1472=0,$AK1472*EXP($AL1472*-3),$AK1472*(1+$AJ1472*$AL1472*-3)^(1/$AJ1472)))</f>
        <v/>
      </c>
      <c r="AR1472">
        <f>IF(OR($X1472="",$T1472&gt;60),"",IFERROR(INDEX(IF($T1472&lt;24,pcomp_l,palt_l),MATCH($X1472,IF($T1472&lt;24,pcomp_k,palt_k),1)),""))</f>
        <v/>
      </c>
      <c r="AS1472">
        <f>IF(OR($X1472="",$T1472&gt;60),"",IFERROR(INDEX(IF($T1472&lt;24,pcomp_m,palt_m),MATCH($X1472,IF($T1472&lt;24,pcomp_k,palt_k),1)),""))</f>
        <v/>
      </c>
      <c r="AT1472">
        <f>IF(OR($X1472="",$T1472&gt;60),"",IFERROR(INDEX(IF($T1472&lt;24,pcomp_s,palt_s),MATCH($X1472,IF($T1472&lt;24,pcomp_k,palt_k),1)),""))</f>
        <v/>
      </c>
      <c r="AU1472">
        <f>IF($AR1472="","",IF($AR1472=0,LN($F1472/$AS1472)/$AT1472,((($F1472/$AS1472)^$AR1472)-1)/($AR1472*$AT1472)))</f>
        <v/>
      </c>
      <c r="AV1472">
        <f>IF($AR1472="","",IF($AR1472=0,$AS1472*EXP($AT1472*2),$AS1472*(1+$AR1472*$AT1472*2)^(1/$AR1472)))</f>
        <v/>
      </c>
      <c r="AW1472">
        <f>IF($AR1472="","",IF($AR1472=0,$AS1472*EXP($AT1472*3),$AS1472*(1+$AR1472*$AT1472*3)^(1/$AR1472)))</f>
        <v/>
      </c>
      <c r="AX1472">
        <f>IF($AR1472="","",IF($AR1472=0,$AS1472*EXP($AT1472*-2),$AS1472*(1+$AR1472*$AT1472*-2)^(1/$AR1472)))</f>
        <v/>
      </c>
      <c r="AY1472">
        <f>IF($AR1472="","",IF($AR1472=0,$AS1472*EXP($AT1472*-3),$AS1472*(1+$AR1472*$AT1472*-3)^(1/$AR1472)))</f>
        <v/>
      </c>
      <c r="AZ1472">
        <f>IF(OR($A1472="",$A1472&lt;&gt;Ficha!$C$4),"",COUNTIF($A$2:$A1472,Ficha!$C$4))</f>
        <v/>
      </c>
    </row>
    <row r="1473">
      <c r="A1473" s="8">
        <f>IF(INDEX(Banco!$A:$A,ROW())="","",INDEX(Banco!$A:$A,ROW()))</f>
        <v/>
      </c>
      <c r="B1473" s="8">
        <f>IF(INDEX(Banco!$B:$B,ROW())="","",INDEX(Banco!$B:$B,ROW()))</f>
        <v/>
      </c>
      <c r="C1473" s="8">
        <f>IF(INDEX(Banco!$C:$C,ROW())="","",INDEX(Banco!$C:$C,ROW()))</f>
        <v/>
      </c>
      <c r="D1473" s="9">
        <f>IF(INDEX(Banco!$D:$D,ROW())="","",INDEX(Banco!$D:$D,ROW()))</f>
        <v/>
      </c>
      <c r="E1473" s="9">
        <f>IF(INDEX(Banco!$E:$E,ROW())="","",INDEX(Banco!$E:$E,ROW()))</f>
        <v/>
      </c>
      <c r="F1473" s="10">
        <f>IF(INDEX(Banco!$F:$F,ROW())="","",INDEX(Banco!$F:$F,ROW()))</f>
        <v/>
      </c>
      <c r="G1473" s="10">
        <f>IF(INDEX(Banco!$G:$G,ROW())="","",INDEX(Banco!$G:$G,ROW()))</f>
        <v/>
      </c>
      <c r="H1473" s="8">
        <f>IF(INDEX(Banco!$H:$H,ROW())="","",INDEX(Banco!$H:$H,ROW()))</f>
        <v/>
      </c>
      <c r="I1473">
        <f>IF($T1473="","",INT($T1473/12)&amp;"a "&amp;MOD($T1473,12)&amp;"m")</f>
        <v/>
      </c>
      <c r="J1473" s="11">
        <f>IF(OR($F1473="",$G1473=""),"",ROUND($F1473/($G1473/100)^2,2))</f>
        <v/>
      </c>
      <c r="K1473" s="12">
        <f>IF(OR($S1473="",$J1473="",$T1473="",$T1473&lt;0,$T1473&gt;228,$Y1473=""),"—",ROUND(IF(ABS($AB1473)&lt;=3,$AB1473,IF($AB1473&gt;3,3+($J1473-$AD1473)/($AD1473-$AC1473),-3+($J1473-$AF1473)/($AE1473-$AF1473))),2))</f>
        <v/>
      </c>
      <c r="L1473">
        <f>IF(OR($K1473="",$K1473="—"),"",IF($T1473&lt;=60,IF($K1473&lt;-3,"Magreza acentuada",IF($K1473&lt;-2,"Magreza",IF($K1473&lt;=1,"Eutrofia",IF($K1473&lt;=2,"Risco de sobrepeso",IF($K1473&lt;=3,"Sobrepeso","Obesidade"))))),IF($K1473&lt;-3,"Magreza acentuada",IF($K1473&lt;-2,"Magreza",IF($K1473&lt;=1,"Eutrofia",IF($K1473&lt;=2,"Sobrepeso",IF($K1473&lt;=3,"Obesidade","Obesidade grave")))))))</f>
        <v/>
      </c>
      <c r="M1473" s="12">
        <f>IF(OR($S1473="",$V1473="",$T1473="",$T1473&lt;0,$T1473&gt;228,$AG1473=""),"—",ROUND(IF($AG1473=0,LN($V1473/$AH1473)/$AI1473,((($V1473/$AH1473)^$AG1473)-1)/($AG1473*$AI1473)),2))</f>
        <v/>
      </c>
      <c r="N1473">
        <f>IF(OR($M1473="",$M1473="—"),"",IF($M1473&lt;-3,"Muito baixa",IF($M1473&lt;-2,"Baixa","Adequada")))</f>
        <v/>
      </c>
      <c r="O1473" s="12">
        <f>IF(OR($S1473="",$F1473="",$T1473="",$T1473&lt;0,$T1473&gt;120,$AJ1473=""),"—",ROUND(IF(ABS($AM1473)&lt;=3,$AM1473,IF($AM1473&gt;3,3+($F1473-$AO1473)/($AO1473-$AN1473),-3+($F1473-$AQ1473)/($AP1473-$AQ1473))),2))</f>
        <v/>
      </c>
      <c r="P1473">
        <f>IF(OR($O1473="",$O1473="—"),"",IF($O1473&lt;-3,"Muito baixo",IF($O1473&lt;-2,"Baixo",IF($O1473&lt;=2,"Adequado","Elevado"))))</f>
        <v/>
      </c>
      <c r="Q1473" s="12">
        <f>IF(OR($S1473="",$F1473="",$T1473="",$T1473&lt;0,$T1473&gt;60,$AR1473=""),"—",ROUND(IF(ABS($AU1473)&lt;=3,$AU1473,IF($AU1473&gt;3,3+($F1473-$AW1473)/($AW1473-$AV1473),-3+($F1473-$AY1473)/($AX1473-$AY1473))),2))</f>
        <v/>
      </c>
      <c r="R1473">
        <f>IF(OR($Q1473="",$Q1473="—"),"",IF($Q1473&lt;-3,"Magreza acentuada",IF($Q1473&lt;-2,"Magreza",IF($Q1473&lt;=1,"Eutrofia",IF($Q1473&lt;=2,"Risco de sobrepeso",IF($Q1473&lt;=3,"Sobrepeso","Obesidade"))))))</f>
        <v/>
      </c>
      <c r="S1473">
        <f>IF($C1473="","",IF(UPPER(LEFT($C1473,1))="M",1,IF(UPPER(LEFT($C1473,1))="F",2,"")))</f>
        <v/>
      </c>
      <c r="T1473">
        <f>IF(OR($D1473="",$E1473=""),"",DATEDIF($D1473,$E1473,"m"))</f>
        <v/>
      </c>
      <c r="U1473">
        <f>IF(OR($D1473="",$E1473=""),"",$E1473-$D1473)</f>
        <v/>
      </c>
      <c r="V1473">
        <f>IF(OR($G1473="",$T1473=""),"",IF($T1473&lt;24,IF(LEFT(LOWER($H1473),4)="em p",$G1473+0.7,$G1473),IF(LEFT(LOWER($H1473),4)="deit",$G1473-0.7,$G1473)))</f>
        <v/>
      </c>
      <c r="W1473">
        <f>IF(OR($S1473="",$T1473=""),"",$S1473*1000000+IF($T1473&lt;=60,$U1473,$T1473))</f>
        <v/>
      </c>
      <c r="X1473">
        <f>IF(OR($S1473="",$V1473="",$T1473&gt;60,$T1473=""),"",$S1473*1000000+ROUND($V1473*10,0))</f>
        <v/>
      </c>
      <c r="Y1473">
        <f>IF($W1473="","",IFERROR(INDEX(IF($T1473&lt;=60,imc05_l,imc519_l),MATCH($W1473,IF($T1473&lt;=60,imc05_k,imc519_k),1)),""))</f>
        <v/>
      </c>
      <c r="Z1473">
        <f>IF($W1473="","",IFERROR(INDEX(IF($T1473&lt;=60,imc05_m,imc519_m),MATCH($W1473,IF($T1473&lt;=60,imc05_k,imc519_k),1)),""))</f>
        <v/>
      </c>
      <c r="AA1473">
        <f>IF($W1473="","",IFERROR(INDEX(IF($T1473&lt;=60,imc05_s,imc519_s),MATCH($W1473,IF($T1473&lt;=60,imc05_k,imc519_k),1)),""))</f>
        <v/>
      </c>
      <c r="AB1473">
        <f>IF($Y1473="","",IF($Y1473=0,LN($J1473/$Z1473)/$AA1473,((($J1473/$Z1473)^$Y1473)-1)/($Y1473*$AA1473)))</f>
        <v/>
      </c>
      <c r="AC1473">
        <f>IF($Y1473="","",IF($Y1473=0,$Z1473*EXP($AA1473*2),$Z1473*(1+$Y1473*$AA1473*2)^(1/$Y1473)))</f>
        <v/>
      </c>
      <c r="AD1473">
        <f>IF($Y1473="","",IF($Y1473=0,$Z1473*EXP($AA1473*3),$Z1473*(1+$Y1473*$AA1473*3)^(1/$Y1473)))</f>
        <v/>
      </c>
      <c r="AE1473">
        <f>IF($Y1473="","",IF($Y1473=0,$Z1473*EXP($AA1473*-2),$Z1473*(1+$Y1473*$AA1473*-2)^(1/$Y1473)))</f>
        <v/>
      </c>
      <c r="AF1473">
        <f>IF($Y1473="","",IF($Y1473=0,$Z1473*EXP($AA1473*-3),$Z1473*(1+$Y1473*$AA1473*-3)^(1/$Y1473)))</f>
        <v/>
      </c>
      <c r="AG1473">
        <f>IF($W1473="","",IFERROR(INDEX(IF($T1473&lt;=60,est05_l,est519_l),MATCH($W1473,IF($T1473&lt;=60,est05_k,est519_k),1)),""))</f>
        <v/>
      </c>
      <c r="AH1473">
        <f>IF($W1473="","",IFERROR(INDEX(IF($T1473&lt;=60,est05_m,est519_m),MATCH($W1473,IF($T1473&lt;=60,est05_k,est519_k),1)),""))</f>
        <v/>
      </c>
      <c r="AI1473">
        <f>IF($W1473="","",IFERROR(INDEX(IF($T1473&lt;=60,est05_s,est519_s),MATCH($W1473,IF($T1473&lt;=60,est05_k,est519_k),1)),""))</f>
        <v/>
      </c>
      <c r="AJ1473">
        <f>IF($W1473="","",IFERROR(INDEX(IF($T1473&lt;=60,peso05_l,peso510_l),MATCH($W1473,IF($T1473&lt;=60,peso05_k,peso510_k),1)),""))</f>
        <v/>
      </c>
      <c r="AK1473">
        <f>IF($W1473="","",IFERROR(INDEX(IF($T1473&lt;=60,peso05_m,peso510_m),MATCH($W1473,IF($T1473&lt;=60,peso05_k,peso510_k),1)),""))</f>
        <v/>
      </c>
      <c r="AL1473">
        <f>IF($W1473="","",IFERROR(INDEX(IF($T1473&lt;=60,peso05_s,peso510_s),MATCH($W1473,IF($T1473&lt;=60,peso05_k,peso510_k),1)),""))</f>
        <v/>
      </c>
      <c r="AM1473">
        <f>IF($AJ1473="","",IF($AJ1473=0,LN($F1473/$AK1473)/$AL1473,((($F1473/$AK1473)^$AJ1473)-1)/($AJ1473*$AL1473)))</f>
        <v/>
      </c>
      <c r="AN1473">
        <f>IF($AJ1473="","",IF($AJ1473=0,$AK1473*EXP($AL1473*2),$AK1473*(1+$AJ1473*$AL1473*2)^(1/$AJ1473)))</f>
        <v/>
      </c>
      <c r="AO1473">
        <f>IF($AJ1473="","",IF($AJ1473=0,$AK1473*EXP($AL1473*3),$AK1473*(1+$AJ1473*$AL1473*3)^(1/$AJ1473)))</f>
        <v/>
      </c>
      <c r="AP1473">
        <f>IF($AJ1473="","",IF($AJ1473=0,$AK1473*EXP($AL1473*-2),$AK1473*(1+$AJ1473*$AL1473*-2)^(1/$AJ1473)))</f>
        <v/>
      </c>
      <c r="AQ1473">
        <f>IF($AJ1473="","",IF($AJ1473=0,$AK1473*EXP($AL1473*-3),$AK1473*(1+$AJ1473*$AL1473*-3)^(1/$AJ1473)))</f>
        <v/>
      </c>
      <c r="AR1473">
        <f>IF(OR($X1473="",$T1473&gt;60),"",IFERROR(INDEX(IF($T1473&lt;24,pcomp_l,palt_l),MATCH($X1473,IF($T1473&lt;24,pcomp_k,palt_k),1)),""))</f>
        <v/>
      </c>
      <c r="AS1473">
        <f>IF(OR($X1473="",$T1473&gt;60),"",IFERROR(INDEX(IF($T1473&lt;24,pcomp_m,palt_m),MATCH($X1473,IF($T1473&lt;24,pcomp_k,palt_k),1)),""))</f>
        <v/>
      </c>
      <c r="AT1473">
        <f>IF(OR($X1473="",$T1473&gt;60),"",IFERROR(INDEX(IF($T1473&lt;24,pcomp_s,palt_s),MATCH($X1473,IF($T1473&lt;24,pcomp_k,palt_k),1)),""))</f>
        <v/>
      </c>
      <c r="AU1473">
        <f>IF($AR1473="","",IF($AR1473=0,LN($F1473/$AS1473)/$AT1473,((($F1473/$AS1473)^$AR1473)-1)/($AR1473*$AT1473)))</f>
        <v/>
      </c>
      <c r="AV1473">
        <f>IF($AR1473="","",IF($AR1473=0,$AS1473*EXP($AT1473*2),$AS1473*(1+$AR1473*$AT1473*2)^(1/$AR1473)))</f>
        <v/>
      </c>
      <c r="AW1473">
        <f>IF($AR1473="","",IF($AR1473=0,$AS1473*EXP($AT1473*3),$AS1473*(1+$AR1473*$AT1473*3)^(1/$AR1473)))</f>
        <v/>
      </c>
      <c r="AX1473">
        <f>IF($AR1473="","",IF($AR1473=0,$AS1473*EXP($AT1473*-2),$AS1473*(1+$AR1473*$AT1473*-2)^(1/$AR1473)))</f>
        <v/>
      </c>
      <c r="AY1473">
        <f>IF($AR1473="","",IF($AR1473=0,$AS1473*EXP($AT1473*-3),$AS1473*(1+$AR1473*$AT1473*-3)^(1/$AR1473)))</f>
        <v/>
      </c>
      <c r="AZ1473">
        <f>IF(OR($A1473="",$A1473&lt;&gt;Ficha!$C$4),"",COUNTIF($A$2:$A1473,Ficha!$C$4))</f>
        <v/>
      </c>
    </row>
    <row r="1474">
      <c r="A1474" s="8">
        <f>IF(INDEX(Banco!$A:$A,ROW())="","",INDEX(Banco!$A:$A,ROW()))</f>
        <v/>
      </c>
      <c r="B1474" s="8">
        <f>IF(INDEX(Banco!$B:$B,ROW())="","",INDEX(Banco!$B:$B,ROW()))</f>
        <v/>
      </c>
      <c r="C1474" s="8">
        <f>IF(INDEX(Banco!$C:$C,ROW())="","",INDEX(Banco!$C:$C,ROW()))</f>
        <v/>
      </c>
      <c r="D1474" s="9">
        <f>IF(INDEX(Banco!$D:$D,ROW())="","",INDEX(Banco!$D:$D,ROW()))</f>
        <v/>
      </c>
      <c r="E1474" s="9">
        <f>IF(INDEX(Banco!$E:$E,ROW())="","",INDEX(Banco!$E:$E,ROW()))</f>
        <v/>
      </c>
      <c r="F1474" s="10">
        <f>IF(INDEX(Banco!$F:$F,ROW())="","",INDEX(Banco!$F:$F,ROW()))</f>
        <v/>
      </c>
      <c r="G1474" s="10">
        <f>IF(INDEX(Banco!$G:$G,ROW())="","",INDEX(Banco!$G:$G,ROW()))</f>
        <v/>
      </c>
      <c r="H1474" s="8">
        <f>IF(INDEX(Banco!$H:$H,ROW())="","",INDEX(Banco!$H:$H,ROW()))</f>
        <v/>
      </c>
      <c r="I1474">
        <f>IF($T1474="","",INT($T1474/12)&amp;"a "&amp;MOD($T1474,12)&amp;"m")</f>
        <v/>
      </c>
      <c r="J1474" s="11">
        <f>IF(OR($F1474="",$G1474=""),"",ROUND($F1474/($G1474/100)^2,2))</f>
        <v/>
      </c>
      <c r="K1474" s="12">
        <f>IF(OR($S1474="",$J1474="",$T1474="",$T1474&lt;0,$T1474&gt;228,$Y1474=""),"—",ROUND(IF(ABS($AB1474)&lt;=3,$AB1474,IF($AB1474&gt;3,3+($J1474-$AD1474)/($AD1474-$AC1474),-3+($J1474-$AF1474)/($AE1474-$AF1474))),2))</f>
        <v/>
      </c>
      <c r="L1474">
        <f>IF(OR($K1474="",$K1474="—"),"",IF($T1474&lt;=60,IF($K1474&lt;-3,"Magreza acentuada",IF($K1474&lt;-2,"Magreza",IF($K1474&lt;=1,"Eutrofia",IF($K1474&lt;=2,"Risco de sobrepeso",IF($K1474&lt;=3,"Sobrepeso","Obesidade"))))),IF($K1474&lt;-3,"Magreza acentuada",IF($K1474&lt;-2,"Magreza",IF($K1474&lt;=1,"Eutrofia",IF($K1474&lt;=2,"Sobrepeso",IF($K1474&lt;=3,"Obesidade","Obesidade grave")))))))</f>
        <v/>
      </c>
      <c r="M1474" s="12">
        <f>IF(OR($S1474="",$V1474="",$T1474="",$T1474&lt;0,$T1474&gt;228,$AG1474=""),"—",ROUND(IF($AG1474=0,LN($V1474/$AH1474)/$AI1474,((($V1474/$AH1474)^$AG1474)-1)/($AG1474*$AI1474)),2))</f>
        <v/>
      </c>
      <c r="N1474">
        <f>IF(OR($M1474="",$M1474="—"),"",IF($M1474&lt;-3,"Muito baixa",IF($M1474&lt;-2,"Baixa","Adequada")))</f>
        <v/>
      </c>
      <c r="O1474" s="12">
        <f>IF(OR($S1474="",$F1474="",$T1474="",$T1474&lt;0,$T1474&gt;120,$AJ1474=""),"—",ROUND(IF(ABS($AM1474)&lt;=3,$AM1474,IF($AM1474&gt;3,3+($F1474-$AO1474)/($AO1474-$AN1474),-3+($F1474-$AQ1474)/($AP1474-$AQ1474))),2))</f>
        <v/>
      </c>
      <c r="P1474">
        <f>IF(OR($O1474="",$O1474="—"),"",IF($O1474&lt;-3,"Muito baixo",IF($O1474&lt;-2,"Baixo",IF($O1474&lt;=2,"Adequado","Elevado"))))</f>
        <v/>
      </c>
      <c r="Q1474" s="12">
        <f>IF(OR($S1474="",$F1474="",$T1474="",$T1474&lt;0,$T1474&gt;60,$AR1474=""),"—",ROUND(IF(ABS($AU1474)&lt;=3,$AU1474,IF($AU1474&gt;3,3+($F1474-$AW1474)/($AW1474-$AV1474),-3+($F1474-$AY1474)/($AX1474-$AY1474))),2))</f>
        <v/>
      </c>
      <c r="R1474">
        <f>IF(OR($Q1474="",$Q1474="—"),"",IF($Q1474&lt;-3,"Magreza acentuada",IF($Q1474&lt;-2,"Magreza",IF($Q1474&lt;=1,"Eutrofia",IF($Q1474&lt;=2,"Risco de sobrepeso",IF($Q1474&lt;=3,"Sobrepeso","Obesidade"))))))</f>
        <v/>
      </c>
      <c r="S1474">
        <f>IF($C1474="","",IF(UPPER(LEFT($C1474,1))="M",1,IF(UPPER(LEFT($C1474,1))="F",2,"")))</f>
        <v/>
      </c>
      <c r="T1474">
        <f>IF(OR($D1474="",$E1474=""),"",DATEDIF($D1474,$E1474,"m"))</f>
        <v/>
      </c>
      <c r="U1474">
        <f>IF(OR($D1474="",$E1474=""),"",$E1474-$D1474)</f>
        <v/>
      </c>
      <c r="V1474">
        <f>IF(OR($G1474="",$T1474=""),"",IF($T1474&lt;24,IF(LEFT(LOWER($H1474),4)="em p",$G1474+0.7,$G1474),IF(LEFT(LOWER($H1474),4)="deit",$G1474-0.7,$G1474)))</f>
        <v/>
      </c>
      <c r="W1474">
        <f>IF(OR($S1474="",$T1474=""),"",$S1474*1000000+IF($T1474&lt;=60,$U1474,$T1474))</f>
        <v/>
      </c>
      <c r="X1474">
        <f>IF(OR($S1474="",$V1474="",$T1474&gt;60,$T1474=""),"",$S1474*1000000+ROUND($V1474*10,0))</f>
        <v/>
      </c>
      <c r="Y1474">
        <f>IF($W1474="","",IFERROR(INDEX(IF($T1474&lt;=60,imc05_l,imc519_l),MATCH($W1474,IF($T1474&lt;=60,imc05_k,imc519_k),1)),""))</f>
        <v/>
      </c>
      <c r="Z1474">
        <f>IF($W1474="","",IFERROR(INDEX(IF($T1474&lt;=60,imc05_m,imc519_m),MATCH($W1474,IF($T1474&lt;=60,imc05_k,imc519_k),1)),""))</f>
        <v/>
      </c>
      <c r="AA1474">
        <f>IF($W1474="","",IFERROR(INDEX(IF($T1474&lt;=60,imc05_s,imc519_s),MATCH($W1474,IF($T1474&lt;=60,imc05_k,imc519_k),1)),""))</f>
        <v/>
      </c>
      <c r="AB1474">
        <f>IF($Y1474="","",IF($Y1474=0,LN($J1474/$Z1474)/$AA1474,((($J1474/$Z1474)^$Y1474)-1)/($Y1474*$AA1474)))</f>
        <v/>
      </c>
      <c r="AC1474">
        <f>IF($Y1474="","",IF($Y1474=0,$Z1474*EXP($AA1474*2),$Z1474*(1+$Y1474*$AA1474*2)^(1/$Y1474)))</f>
        <v/>
      </c>
      <c r="AD1474">
        <f>IF($Y1474="","",IF($Y1474=0,$Z1474*EXP($AA1474*3),$Z1474*(1+$Y1474*$AA1474*3)^(1/$Y1474)))</f>
        <v/>
      </c>
      <c r="AE1474">
        <f>IF($Y1474="","",IF($Y1474=0,$Z1474*EXP($AA1474*-2),$Z1474*(1+$Y1474*$AA1474*-2)^(1/$Y1474)))</f>
        <v/>
      </c>
      <c r="AF1474">
        <f>IF($Y1474="","",IF($Y1474=0,$Z1474*EXP($AA1474*-3),$Z1474*(1+$Y1474*$AA1474*-3)^(1/$Y1474)))</f>
        <v/>
      </c>
      <c r="AG1474">
        <f>IF($W1474="","",IFERROR(INDEX(IF($T1474&lt;=60,est05_l,est519_l),MATCH($W1474,IF($T1474&lt;=60,est05_k,est519_k),1)),""))</f>
        <v/>
      </c>
      <c r="AH1474">
        <f>IF($W1474="","",IFERROR(INDEX(IF($T1474&lt;=60,est05_m,est519_m),MATCH($W1474,IF($T1474&lt;=60,est05_k,est519_k),1)),""))</f>
        <v/>
      </c>
      <c r="AI1474">
        <f>IF($W1474="","",IFERROR(INDEX(IF($T1474&lt;=60,est05_s,est519_s),MATCH($W1474,IF($T1474&lt;=60,est05_k,est519_k),1)),""))</f>
        <v/>
      </c>
      <c r="AJ1474">
        <f>IF($W1474="","",IFERROR(INDEX(IF($T1474&lt;=60,peso05_l,peso510_l),MATCH($W1474,IF($T1474&lt;=60,peso05_k,peso510_k),1)),""))</f>
        <v/>
      </c>
      <c r="AK1474">
        <f>IF($W1474="","",IFERROR(INDEX(IF($T1474&lt;=60,peso05_m,peso510_m),MATCH($W1474,IF($T1474&lt;=60,peso05_k,peso510_k),1)),""))</f>
        <v/>
      </c>
      <c r="AL1474">
        <f>IF($W1474="","",IFERROR(INDEX(IF($T1474&lt;=60,peso05_s,peso510_s),MATCH($W1474,IF($T1474&lt;=60,peso05_k,peso510_k),1)),""))</f>
        <v/>
      </c>
      <c r="AM1474">
        <f>IF($AJ1474="","",IF($AJ1474=0,LN($F1474/$AK1474)/$AL1474,((($F1474/$AK1474)^$AJ1474)-1)/($AJ1474*$AL1474)))</f>
        <v/>
      </c>
      <c r="AN1474">
        <f>IF($AJ1474="","",IF($AJ1474=0,$AK1474*EXP($AL1474*2),$AK1474*(1+$AJ1474*$AL1474*2)^(1/$AJ1474)))</f>
        <v/>
      </c>
      <c r="AO1474">
        <f>IF($AJ1474="","",IF($AJ1474=0,$AK1474*EXP($AL1474*3),$AK1474*(1+$AJ1474*$AL1474*3)^(1/$AJ1474)))</f>
        <v/>
      </c>
      <c r="AP1474">
        <f>IF($AJ1474="","",IF($AJ1474=0,$AK1474*EXP($AL1474*-2),$AK1474*(1+$AJ1474*$AL1474*-2)^(1/$AJ1474)))</f>
        <v/>
      </c>
      <c r="AQ1474">
        <f>IF($AJ1474="","",IF($AJ1474=0,$AK1474*EXP($AL1474*-3),$AK1474*(1+$AJ1474*$AL1474*-3)^(1/$AJ1474)))</f>
        <v/>
      </c>
      <c r="AR1474">
        <f>IF(OR($X1474="",$T1474&gt;60),"",IFERROR(INDEX(IF($T1474&lt;24,pcomp_l,palt_l),MATCH($X1474,IF($T1474&lt;24,pcomp_k,palt_k),1)),""))</f>
        <v/>
      </c>
      <c r="AS1474">
        <f>IF(OR($X1474="",$T1474&gt;60),"",IFERROR(INDEX(IF($T1474&lt;24,pcomp_m,palt_m),MATCH($X1474,IF($T1474&lt;24,pcomp_k,palt_k),1)),""))</f>
        <v/>
      </c>
      <c r="AT1474">
        <f>IF(OR($X1474="",$T1474&gt;60),"",IFERROR(INDEX(IF($T1474&lt;24,pcomp_s,palt_s),MATCH($X1474,IF($T1474&lt;24,pcomp_k,palt_k),1)),""))</f>
        <v/>
      </c>
      <c r="AU1474">
        <f>IF($AR1474="","",IF($AR1474=0,LN($F1474/$AS1474)/$AT1474,((($F1474/$AS1474)^$AR1474)-1)/($AR1474*$AT1474)))</f>
        <v/>
      </c>
      <c r="AV1474">
        <f>IF($AR1474="","",IF($AR1474=0,$AS1474*EXP($AT1474*2),$AS1474*(1+$AR1474*$AT1474*2)^(1/$AR1474)))</f>
        <v/>
      </c>
      <c r="AW1474">
        <f>IF($AR1474="","",IF($AR1474=0,$AS1474*EXP($AT1474*3),$AS1474*(1+$AR1474*$AT1474*3)^(1/$AR1474)))</f>
        <v/>
      </c>
      <c r="AX1474">
        <f>IF($AR1474="","",IF($AR1474=0,$AS1474*EXP($AT1474*-2),$AS1474*(1+$AR1474*$AT1474*-2)^(1/$AR1474)))</f>
        <v/>
      </c>
      <c r="AY1474">
        <f>IF($AR1474="","",IF($AR1474=0,$AS1474*EXP($AT1474*-3),$AS1474*(1+$AR1474*$AT1474*-3)^(1/$AR1474)))</f>
        <v/>
      </c>
      <c r="AZ1474">
        <f>IF(OR($A1474="",$A1474&lt;&gt;Ficha!$C$4),"",COUNTIF($A$2:$A1474,Ficha!$C$4))</f>
        <v/>
      </c>
    </row>
    <row r="1475">
      <c r="A1475" s="8">
        <f>IF(INDEX(Banco!$A:$A,ROW())="","",INDEX(Banco!$A:$A,ROW()))</f>
        <v/>
      </c>
      <c r="B1475" s="8">
        <f>IF(INDEX(Banco!$B:$B,ROW())="","",INDEX(Banco!$B:$B,ROW()))</f>
        <v/>
      </c>
      <c r="C1475" s="8">
        <f>IF(INDEX(Banco!$C:$C,ROW())="","",INDEX(Banco!$C:$C,ROW()))</f>
        <v/>
      </c>
      <c r="D1475" s="9">
        <f>IF(INDEX(Banco!$D:$D,ROW())="","",INDEX(Banco!$D:$D,ROW()))</f>
        <v/>
      </c>
      <c r="E1475" s="9">
        <f>IF(INDEX(Banco!$E:$E,ROW())="","",INDEX(Banco!$E:$E,ROW()))</f>
        <v/>
      </c>
      <c r="F1475" s="10">
        <f>IF(INDEX(Banco!$F:$F,ROW())="","",INDEX(Banco!$F:$F,ROW()))</f>
        <v/>
      </c>
      <c r="G1475" s="10">
        <f>IF(INDEX(Banco!$G:$G,ROW())="","",INDEX(Banco!$G:$G,ROW()))</f>
        <v/>
      </c>
      <c r="H1475" s="8">
        <f>IF(INDEX(Banco!$H:$H,ROW())="","",INDEX(Banco!$H:$H,ROW()))</f>
        <v/>
      </c>
      <c r="I1475">
        <f>IF($T1475="","",INT($T1475/12)&amp;"a "&amp;MOD($T1475,12)&amp;"m")</f>
        <v/>
      </c>
      <c r="J1475" s="11">
        <f>IF(OR($F1475="",$G1475=""),"",ROUND($F1475/($G1475/100)^2,2))</f>
        <v/>
      </c>
      <c r="K1475" s="12">
        <f>IF(OR($S1475="",$J1475="",$T1475="",$T1475&lt;0,$T1475&gt;228,$Y1475=""),"—",ROUND(IF(ABS($AB1475)&lt;=3,$AB1475,IF($AB1475&gt;3,3+($J1475-$AD1475)/($AD1475-$AC1475),-3+($J1475-$AF1475)/($AE1475-$AF1475))),2))</f>
        <v/>
      </c>
      <c r="L1475">
        <f>IF(OR($K1475="",$K1475="—"),"",IF($T1475&lt;=60,IF($K1475&lt;-3,"Magreza acentuada",IF($K1475&lt;-2,"Magreza",IF($K1475&lt;=1,"Eutrofia",IF($K1475&lt;=2,"Risco de sobrepeso",IF($K1475&lt;=3,"Sobrepeso","Obesidade"))))),IF($K1475&lt;-3,"Magreza acentuada",IF($K1475&lt;-2,"Magreza",IF($K1475&lt;=1,"Eutrofia",IF($K1475&lt;=2,"Sobrepeso",IF($K1475&lt;=3,"Obesidade","Obesidade grave")))))))</f>
        <v/>
      </c>
      <c r="M1475" s="12">
        <f>IF(OR($S1475="",$V1475="",$T1475="",$T1475&lt;0,$T1475&gt;228,$AG1475=""),"—",ROUND(IF($AG1475=0,LN($V1475/$AH1475)/$AI1475,((($V1475/$AH1475)^$AG1475)-1)/($AG1475*$AI1475)),2))</f>
        <v/>
      </c>
      <c r="N1475">
        <f>IF(OR($M1475="",$M1475="—"),"",IF($M1475&lt;-3,"Muito baixa",IF($M1475&lt;-2,"Baixa","Adequada")))</f>
        <v/>
      </c>
      <c r="O1475" s="12">
        <f>IF(OR($S1475="",$F1475="",$T1475="",$T1475&lt;0,$T1475&gt;120,$AJ1475=""),"—",ROUND(IF(ABS($AM1475)&lt;=3,$AM1475,IF($AM1475&gt;3,3+($F1475-$AO1475)/($AO1475-$AN1475),-3+($F1475-$AQ1475)/($AP1475-$AQ1475))),2))</f>
        <v/>
      </c>
      <c r="P1475">
        <f>IF(OR($O1475="",$O1475="—"),"",IF($O1475&lt;-3,"Muito baixo",IF($O1475&lt;-2,"Baixo",IF($O1475&lt;=2,"Adequado","Elevado"))))</f>
        <v/>
      </c>
      <c r="Q1475" s="12">
        <f>IF(OR($S1475="",$F1475="",$T1475="",$T1475&lt;0,$T1475&gt;60,$AR1475=""),"—",ROUND(IF(ABS($AU1475)&lt;=3,$AU1475,IF($AU1475&gt;3,3+($F1475-$AW1475)/($AW1475-$AV1475),-3+($F1475-$AY1475)/($AX1475-$AY1475))),2))</f>
        <v/>
      </c>
      <c r="R1475">
        <f>IF(OR($Q1475="",$Q1475="—"),"",IF($Q1475&lt;-3,"Magreza acentuada",IF($Q1475&lt;-2,"Magreza",IF($Q1475&lt;=1,"Eutrofia",IF($Q1475&lt;=2,"Risco de sobrepeso",IF($Q1475&lt;=3,"Sobrepeso","Obesidade"))))))</f>
        <v/>
      </c>
      <c r="S1475">
        <f>IF($C1475="","",IF(UPPER(LEFT($C1475,1))="M",1,IF(UPPER(LEFT($C1475,1))="F",2,"")))</f>
        <v/>
      </c>
      <c r="T1475">
        <f>IF(OR($D1475="",$E1475=""),"",DATEDIF($D1475,$E1475,"m"))</f>
        <v/>
      </c>
      <c r="U1475">
        <f>IF(OR($D1475="",$E1475=""),"",$E1475-$D1475)</f>
        <v/>
      </c>
      <c r="V1475">
        <f>IF(OR($G1475="",$T1475=""),"",IF($T1475&lt;24,IF(LEFT(LOWER($H1475),4)="em p",$G1475+0.7,$G1475),IF(LEFT(LOWER($H1475),4)="deit",$G1475-0.7,$G1475)))</f>
        <v/>
      </c>
      <c r="W1475">
        <f>IF(OR($S1475="",$T1475=""),"",$S1475*1000000+IF($T1475&lt;=60,$U1475,$T1475))</f>
        <v/>
      </c>
      <c r="X1475">
        <f>IF(OR($S1475="",$V1475="",$T1475&gt;60,$T1475=""),"",$S1475*1000000+ROUND($V1475*10,0))</f>
        <v/>
      </c>
      <c r="Y1475">
        <f>IF($W1475="","",IFERROR(INDEX(IF($T1475&lt;=60,imc05_l,imc519_l),MATCH($W1475,IF($T1475&lt;=60,imc05_k,imc519_k),1)),""))</f>
        <v/>
      </c>
      <c r="Z1475">
        <f>IF($W1475="","",IFERROR(INDEX(IF($T1475&lt;=60,imc05_m,imc519_m),MATCH($W1475,IF($T1475&lt;=60,imc05_k,imc519_k),1)),""))</f>
        <v/>
      </c>
      <c r="AA1475">
        <f>IF($W1475="","",IFERROR(INDEX(IF($T1475&lt;=60,imc05_s,imc519_s),MATCH($W1475,IF($T1475&lt;=60,imc05_k,imc519_k),1)),""))</f>
        <v/>
      </c>
      <c r="AB1475">
        <f>IF($Y1475="","",IF($Y1475=0,LN($J1475/$Z1475)/$AA1475,((($J1475/$Z1475)^$Y1475)-1)/($Y1475*$AA1475)))</f>
        <v/>
      </c>
      <c r="AC1475">
        <f>IF($Y1475="","",IF($Y1475=0,$Z1475*EXP($AA1475*2),$Z1475*(1+$Y1475*$AA1475*2)^(1/$Y1475)))</f>
        <v/>
      </c>
      <c r="AD1475">
        <f>IF($Y1475="","",IF($Y1475=0,$Z1475*EXP($AA1475*3),$Z1475*(1+$Y1475*$AA1475*3)^(1/$Y1475)))</f>
        <v/>
      </c>
      <c r="AE1475">
        <f>IF($Y1475="","",IF($Y1475=0,$Z1475*EXP($AA1475*-2),$Z1475*(1+$Y1475*$AA1475*-2)^(1/$Y1475)))</f>
        <v/>
      </c>
      <c r="AF1475">
        <f>IF($Y1475="","",IF($Y1475=0,$Z1475*EXP($AA1475*-3),$Z1475*(1+$Y1475*$AA1475*-3)^(1/$Y1475)))</f>
        <v/>
      </c>
      <c r="AG1475">
        <f>IF($W1475="","",IFERROR(INDEX(IF($T1475&lt;=60,est05_l,est519_l),MATCH($W1475,IF($T1475&lt;=60,est05_k,est519_k),1)),""))</f>
        <v/>
      </c>
      <c r="AH1475">
        <f>IF($W1475="","",IFERROR(INDEX(IF($T1475&lt;=60,est05_m,est519_m),MATCH($W1475,IF($T1475&lt;=60,est05_k,est519_k),1)),""))</f>
        <v/>
      </c>
      <c r="AI1475">
        <f>IF($W1475="","",IFERROR(INDEX(IF($T1475&lt;=60,est05_s,est519_s),MATCH($W1475,IF($T1475&lt;=60,est05_k,est519_k),1)),""))</f>
        <v/>
      </c>
      <c r="AJ1475">
        <f>IF($W1475="","",IFERROR(INDEX(IF($T1475&lt;=60,peso05_l,peso510_l),MATCH($W1475,IF($T1475&lt;=60,peso05_k,peso510_k),1)),""))</f>
        <v/>
      </c>
      <c r="AK1475">
        <f>IF($W1475="","",IFERROR(INDEX(IF($T1475&lt;=60,peso05_m,peso510_m),MATCH($W1475,IF($T1475&lt;=60,peso05_k,peso510_k),1)),""))</f>
        <v/>
      </c>
      <c r="AL1475">
        <f>IF($W1475="","",IFERROR(INDEX(IF($T1475&lt;=60,peso05_s,peso510_s),MATCH($W1475,IF($T1475&lt;=60,peso05_k,peso510_k),1)),""))</f>
        <v/>
      </c>
      <c r="AM1475">
        <f>IF($AJ1475="","",IF($AJ1475=0,LN($F1475/$AK1475)/$AL1475,((($F1475/$AK1475)^$AJ1475)-1)/($AJ1475*$AL1475)))</f>
        <v/>
      </c>
      <c r="AN1475">
        <f>IF($AJ1475="","",IF($AJ1475=0,$AK1475*EXP($AL1475*2),$AK1475*(1+$AJ1475*$AL1475*2)^(1/$AJ1475)))</f>
        <v/>
      </c>
      <c r="AO1475">
        <f>IF($AJ1475="","",IF($AJ1475=0,$AK1475*EXP($AL1475*3),$AK1475*(1+$AJ1475*$AL1475*3)^(1/$AJ1475)))</f>
        <v/>
      </c>
      <c r="AP1475">
        <f>IF($AJ1475="","",IF($AJ1475=0,$AK1475*EXP($AL1475*-2),$AK1475*(1+$AJ1475*$AL1475*-2)^(1/$AJ1475)))</f>
        <v/>
      </c>
      <c r="AQ1475">
        <f>IF($AJ1475="","",IF($AJ1475=0,$AK1475*EXP($AL1475*-3),$AK1475*(1+$AJ1475*$AL1475*-3)^(1/$AJ1475)))</f>
        <v/>
      </c>
      <c r="AR1475">
        <f>IF(OR($X1475="",$T1475&gt;60),"",IFERROR(INDEX(IF($T1475&lt;24,pcomp_l,palt_l),MATCH($X1475,IF($T1475&lt;24,pcomp_k,palt_k),1)),""))</f>
        <v/>
      </c>
      <c r="AS1475">
        <f>IF(OR($X1475="",$T1475&gt;60),"",IFERROR(INDEX(IF($T1475&lt;24,pcomp_m,palt_m),MATCH($X1475,IF($T1475&lt;24,pcomp_k,palt_k),1)),""))</f>
        <v/>
      </c>
      <c r="AT1475">
        <f>IF(OR($X1475="",$T1475&gt;60),"",IFERROR(INDEX(IF($T1475&lt;24,pcomp_s,palt_s),MATCH($X1475,IF($T1475&lt;24,pcomp_k,palt_k),1)),""))</f>
        <v/>
      </c>
      <c r="AU1475">
        <f>IF($AR1475="","",IF($AR1475=0,LN($F1475/$AS1475)/$AT1475,((($F1475/$AS1475)^$AR1475)-1)/($AR1475*$AT1475)))</f>
        <v/>
      </c>
      <c r="AV1475">
        <f>IF($AR1475="","",IF($AR1475=0,$AS1475*EXP($AT1475*2),$AS1475*(1+$AR1475*$AT1475*2)^(1/$AR1475)))</f>
        <v/>
      </c>
      <c r="AW1475">
        <f>IF($AR1475="","",IF($AR1475=0,$AS1475*EXP($AT1475*3),$AS1475*(1+$AR1475*$AT1475*3)^(1/$AR1475)))</f>
        <v/>
      </c>
      <c r="AX1475">
        <f>IF($AR1475="","",IF($AR1475=0,$AS1475*EXP($AT1475*-2),$AS1475*(1+$AR1475*$AT1475*-2)^(1/$AR1475)))</f>
        <v/>
      </c>
      <c r="AY1475">
        <f>IF($AR1475="","",IF($AR1475=0,$AS1475*EXP($AT1475*-3),$AS1475*(1+$AR1475*$AT1475*-3)^(1/$AR1475)))</f>
        <v/>
      </c>
      <c r="AZ1475">
        <f>IF(OR($A1475="",$A1475&lt;&gt;Ficha!$C$4),"",COUNTIF($A$2:$A1475,Ficha!$C$4))</f>
        <v/>
      </c>
    </row>
    <row r="1476">
      <c r="A1476" s="8">
        <f>IF(INDEX(Banco!$A:$A,ROW())="","",INDEX(Banco!$A:$A,ROW()))</f>
        <v/>
      </c>
      <c r="B1476" s="8">
        <f>IF(INDEX(Banco!$B:$B,ROW())="","",INDEX(Banco!$B:$B,ROW()))</f>
        <v/>
      </c>
      <c r="C1476" s="8">
        <f>IF(INDEX(Banco!$C:$C,ROW())="","",INDEX(Banco!$C:$C,ROW()))</f>
        <v/>
      </c>
      <c r="D1476" s="9">
        <f>IF(INDEX(Banco!$D:$D,ROW())="","",INDEX(Banco!$D:$D,ROW()))</f>
        <v/>
      </c>
      <c r="E1476" s="9">
        <f>IF(INDEX(Banco!$E:$E,ROW())="","",INDEX(Banco!$E:$E,ROW()))</f>
        <v/>
      </c>
      <c r="F1476" s="10">
        <f>IF(INDEX(Banco!$F:$F,ROW())="","",INDEX(Banco!$F:$F,ROW()))</f>
        <v/>
      </c>
      <c r="G1476" s="10">
        <f>IF(INDEX(Banco!$G:$G,ROW())="","",INDEX(Banco!$G:$G,ROW()))</f>
        <v/>
      </c>
      <c r="H1476" s="8">
        <f>IF(INDEX(Banco!$H:$H,ROW())="","",INDEX(Banco!$H:$H,ROW()))</f>
        <v/>
      </c>
      <c r="I1476">
        <f>IF($T1476="","",INT($T1476/12)&amp;"a "&amp;MOD($T1476,12)&amp;"m")</f>
        <v/>
      </c>
      <c r="J1476" s="11">
        <f>IF(OR($F1476="",$G1476=""),"",ROUND($F1476/($G1476/100)^2,2))</f>
        <v/>
      </c>
      <c r="K1476" s="12">
        <f>IF(OR($S1476="",$J1476="",$T1476="",$T1476&lt;0,$T1476&gt;228,$Y1476=""),"—",ROUND(IF(ABS($AB1476)&lt;=3,$AB1476,IF($AB1476&gt;3,3+($J1476-$AD1476)/($AD1476-$AC1476),-3+($J1476-$AF1476)/($AE1476-$AF1476))),2))</f>
        <v/>
      </c>
      <c r="L1476">
        <f>IF(OR($K1476="",$K1476="—"),"",IF($T1476&lt;=60,IF($K1476&lt;-3,"Magreza acentuada",IF($K1476&lt;-2,"Magreza",IF($K1476&lt;=1,"Eutrofia",IF($K1476&lt;=2,"Risco de sobrepeso",IF($K1476&lt;=3,"Sobrepeso","Obesidade"))))),IF($K1476&lt;-3,"Magreza acentuada",IF($K1476&lt;-2,"Magreza",IF($K1476&lt;=1,"Eutrofia",IF($K1476&lt;=2,"Sobrepeso",IF($K1476&lt;=3,"Obesidade","Obesidade grave")))))))</f>
        <v/>
      </c>
      <c r="M1476" s="12">
        <f>IF(OR($S1476="",$V1476="",$T1476="",$T1476&lt;0,$T1476&gt;228,$AG1476=""),"—",ROUND(IF($AG1476=0,LN($V1476/$AH1476)/$AI1476,((($V1476/$AH1476)^$AG1476)-1)/($AG1476*$AI1476)),2))</f>
        <v/>
      </c>
      <c r="N1476">
        <f>IF(OR($M1476="",$M1476="—"),"",IF($M1476&lt;-3,"Muito baixa",IF($M1476&lt;-2,"Baixa","Adequada")))</f>
        <v/>
      </c>
      <c r="O1476" s="12">
        <f>IF(OR($S1476="",$F1476="",$T1476="",$T1476&lt;0,$T1476&gt;120,$AJ1476=""),"—",ROUND(IF(ABS($AM1476)&lt;=3,$AM1476,IF($AM1476&gt;3,3+($F1476-$AO1476)/($AO1476-$AN1476),-3+($F1476-$AQ1476)/($AP1476-$AQ1476))),2))</f>
        <v/>
      </c>
      <c r="P1476">
        <f>IF(OR($O1476="",$O1476="—"),"",IF($O1476&lt;-3,"Muito baixo",IF($O1476&lt;-2,"Baixo",IF($O1476&lt;=2,"Adequado","Elevado"))))</f>
        <v/>
      </c>
      <c r="Q1476" s="12">
        <f>IF(OR($S1476="",$F1476="",$T1476="",$T1476&lt;0,$T1476&gt;60,$AR1476=""),"—",ROUND(IF(ABS($AU1476)&lt;=3,$AU1476,IF($AU1476&gt;3,3+($F1476-$AW1476)/($AW1476-$AV1476),-3+($F1476-$AY1476)/($AX1476-$AY1476))),2))</f>
        <v/>
      </c>
      <c r="R1476">
        <f>IF(OR($Q1476="",$Q1476="—"),"",IF($Q1476&lt;-3,"Magreza acentuada",IF($Q1476&lt;-2,"Magreza",IF($Q1476&lt;=1,"Eutrofia",IF($Q1476&lt;=2,"Risco de sobrepeso",IF($Q1476&lt;=3,"Sobrepeso","Obesidade"))))))</f>
        <v/>
      </c>
      <c r="S1476">
        <f>IF($C1476="","",IF(UPPER(LEFT($C1476,1))="M",1,IF(UPPER(LEFT($C1476,1))="F",2,"")))</f>
        <v/>
      </c>
      <c r="T1476">
        <f>IF(OR($D1476="",$E1476=""),"",DATEDIF($D1476,$E1476,"m"))</f>
        <v/>
      </c>
      <c r="U1476">
        <f>IF(OR($D1476="",$E1476=""),"",$E1476-$D1476)</f>
        <v/>
      </c>
      <c r="V1476">
        <f>IF(OR($G1476="",$T1476=""),"",IF($T1476&lt;24,IF(LEFT(LOWER($H1476),4)="em p",$G1476+0.7,$G1476),IF(LEFT(LOWER($H1476),4)="deit",$G1476-0.7,$G1476)))</f>
        <v/>
      </c>
      <c r="W1476">
        <f>IF(OR($S1476="",$T1476=""),"",$S1476*1000000+IF($T1476&lt;=60,$U1476,$T1476))</f>
        <v/>
      </c>
      <c r="X1476">
        <f>IF(OR($S1476="",$V1476="",$T1476&gt;60,$T1476=""),"",$S1476*1000000+ROUND($V1476*10,0))</f>
        <v/>
      </c>
      <c r="Y1476">
        <f>IF($W1476="","",IFERROR(INDEX(IF($T1476&lt;=60,imc05_l,imc519_l),MATCH($W1476,IF($T1476&lt;=60,imc05_k,imc519_k),1)),""))</f>
        <v/>
      </c>
      <c r="Z1476">
        <f>IF($W1476="","",IFERROR(INDEX(IF($T1476&lt;=60,imc05_m,imc519_m),MATCH($W1476,IF($T1476&lt;=60,imc05_k,imc519_k),1)),""))</f>
        <v/>
      </c>
      <c r="AA1476">
        <f>IF($W1476="","",IFERROR(INDEX(IF($T1476&lt;=60,imc05_s,imc519_s),MATCH($W1476,IF($T1476&lt;=60,imc05_k,imc519_k),1)),""))</f>
        <v/>
      </c>
      <c r="AB1476">
        <f>IF($Y1476="","",IF($Y1476=0,LN($J1476/$Z1476)/$AA1476,((($J1476/$Z1476)^$Y1476)-1)/($Y1476*$AA1476)))</f>
        <v/>
      </c>
      <c r="AC1476">
        <f>IF($Y1476="","",IF($Y1476=0,$Z1476*EXP($AA1476*2),$Z1476*(1+$Y1476*$AA1476*2)^(1/$Y1476)))</f>
        <v/>
      </c>
      <c r="AD1476">
        <f>IF($Y1476="","",IF($Y1476=0,$Z1476*EXP($AA1476*3),$Z1476*(1+$Y1476*$AA1476*3)^(1/$Y1476)))</f>
        <v/>
      </c>
      <c r="AE1476">
        <f>IF($Y1476="","",IF($Y1476=0,$Z1476*EXP($AA1476*-2),$Z1476*(1+$Y1476*$AA1476*-2)^(1/$Y1476)))</f>
        <v/>
      </c>
      <c r="AF1476">
        <f>IF($Y1476="","",IF($Y1476=0,$Z1476*EXP($AA1476*-3),$Z1476*(1+$Y1476*$AA1476*-3)^(1/$Y1476)))</f>
        <v/>
      </c>
      <c r="AG1476">
        <f>IF($W1476="","",IFERROR(INDEX(IF($T1476&lt;=60,est05_l,est519_l),MATCH($W1476,IF($T1476&lt;=60,est05_k,est519_k),1)),""))</f>
        <v/>
      </c>
      <c r="AH1476">
        <f>IF($W1476="","",IFERROR(INDEX(IF($T1476&lt;=60,est05_m,est519_m),MATCH($W1476,IF($T1476&lt;=60,est05_k,est519_k),1)),""))</f>
        <v/>
      </c>
      <c r="AI1476">
        <f>IF($W1476="","",IFERROR(INDEX(IF($T1476&lt;=60,est05_s,est519_s),MATCH($W1476,IF($T1476&lt;=60,est05_k,est519_k),1)),""))</f>
        <v/>
      </c>
      <c r="AJ1476">
        <f>IF($W1476="","",IFERROR(INDEX(IF($T1476&lt;=60,peso05_l,peso510_l),MATCH($W1476,IF($T1476&lt;=60,peso05_k,peso510_k),1)),""))</f>
        <v/>
      </c>
      <c r="AK1476">
        <f>IF($W1476="","",IFERROR(INDEX(IF($T1476&lt;=60,peso05_m,peso510_m),MATCH($W1476,IF($T1476&lt;=60,peso05_k,peso510_k),1)),""))</f>
        <v/>
      </c>
      <c r="AL1476">
        <f>IF($W1476="","",IFERROR(INDEX(IF($T1476&lt;=60,peso05_s,peso510_s),MATCH($W1476,IF($T1476&lt;=60,peso05_k,peso510_k),1)),""))</f>
        <v/>
      </c>
      <c r="AM1476">
        <f>IF($AJ1476="","",IF($AJ1476=0,LN($F1476/$AK1476)/$AL1476,((($F1476/$AK1476)^$AJ1476)-1)/($AJ1476*$AL1476)))</f>
        <v/>
      </c>
      <c r="AN1476">
        <f>IF($AJ1476="","",IF($AJ1476=0,$AK1476*EXP($AL1476*2),$AK1476*(1+$AJ1476*$AL1476*2)^(1/$AJ1476)))</f>
        <v/>
      </c>
      <c r="AO1476">
        <f>IF($AJ1476="","",IF($AJ1476=0,$AK1476*EXP($AL1476*3),$AK1476*(1+$AJ1476*$AL1476*3)^(1/$AJ1476)))</f>
        <v/>
      </c>
      <c r="AP1476">
        <f>IF($AJ1476="","",IF($AJ1476=0,$AK1476*EXP($AL1476*-2),$AK1476*(1+$AJ1476*$AL1476*-2)^(1/$AJ1476)))</f>
        <v/>
      </c>
      <c r="AQ1476">
        <f>IF($AJ1476="","",IF($AJ1476=0,$AK1476*EXP($AL1476*-3),$AK1476*(1+$AJ1476*$AL1476*-3)^(1/$AJ1476)))</f>
        <v/>
      </c>
      <c r="AR1476">
        <f>IF(OR($X1476="",$T1476&gt;60),"",IFERROR(INDEX(IF($T1476&lt;24,pcomp_l,palt_l),MATCH($X1476,IF($T1476&lt;24,pcomp_k,palt_k),1)),""))</f>
        <v/>
      </c>
      <c r="AS1476">
        <f>IF(OR($X1476="",$T1476&gt;60),"",IFERROR(INDEX(IF($T1476&lt;24,pcomp_m,palt_m),MATCH($X1476,IF($T1476&lt;24,pcomp_k,palt_k),1)),""))</f>
        <v/>
      </c>
      <c r="AT1476">
        <f>IF(OR($X1476="",$T1476&gt;60),"",IFERROR(INDEX(IF($T1476&lt;24,pcomp_s,palt_s),MATCH($X1476,IF($T1476&lt;24,pcomp_k,palt_k),1)),""))</f>
        <v/>
      </c>
      <c r="AU1476">
        <f>IF($AR1476="","",IF($AR1476=0,LN($F1476/$AS1476)/$AT1476,((($F1476/$AS1476)^$AR1476)-1)/($AR1476*$AT1476)))</f>
        <v/>
      </c>
      <c r="AV1476">
        <f>IF($AR1476="","",IF($AR1476=0,$AS1476*EXP($AT1476*2),$AS1476*(1+$AR1476*$AT1476*2)^(1/$AR1476)))</f>
        <v/>
      </c>
      <c r="AW1476">
        <f>IF($AR1476="","",IF($AR1476=0,$AS1476*EXP($AT1476*3),$AS1476*(1+$AR1476*$AT1476*3)^(1/$AR1476)))</f>
        <v/>
      </c>
      <c r="AX1476">
        <f>IF($AR1476="","",IF($AR1476=0,$AS1476*EXP($AT1476*-2),$AS1476*(1+$AR1476*$AT1476*-2)^(1/$AR1476)))</f>
        <v/>
      </c>
      <c r="AY1476">
        <f>IF($AR1476="","",IF($AR1476=0,$AS1476*EXP($AT1476*-3),$AS1476*(1+$AR1476*$AT1476*-3)^(1/$AR1476)))</f>
        <v/>
      </c>
      <c r="AZ1476">
        <f>IF(OR($A1476="",$A1476&lt;&gt;Ficha!$C$4),"",COUNTIF($A$2:$A1476,Ficha!$C$4))</f>
        <v/>
      </c>
    </row>
    <row r="1477">
      <c r="A1477" s="8">
        <f>IF(INDEX(Banco!$A:$A,ROW())="","",INDEX(Banco!$A:$A,ROW()))</f>
        <v/>
      </c>
      <c r="B1477" s="8">
        <f>IF(INDEX(Banco!$B:$B,ROW())="","",INDEX(Banco!$B:$B,ROW()))</f>
        <v/>
      </c>
      <c r="C1477" s="8">
        <f>IF(INDEX(Banco!$C:$C,ROW())="","",INDEX(Banco!$C:$C,ROW()))</f>
        <v/>
      </c>
      <c r="D1477" s="9">
        <f>IF(INDEX(Banco!$D:$D,ROW())="","",INDEX(Banco!$D:$D,ROW()))</f>
        <v/>
      </c>
      <c r="E1477" s="9">
        <f>IF(INDEX(Banco!$E:$E,ROW())="","",INDEX(Banco!$E:$E,ROW()))</f>
        <v/>
      </c>
      <c r="F1477" s="10">
        <f>IF(INDEX(Banco!$F:$F,ROW())="","",INDEX(Banco!$F:$F,ROW()))</f>
        <v/>
      </c>
      <c r="G1477" s="10">
        <f>IF(INDEX(Banco!$G:$G,ROW())="","",INDEX(Banco!$G:$G,ROW()))</f>
        <v/>
      </c>
      <c r="H1477" s="8">
        <f>IF(INDEX(Banco!$H:$H,ROW())="","",INDEX(Banco!$H:$H,ROW()))</f>
        <v/>
      </c>
      <c r="I1477">
        <f>IF($T1477="","",INT($T1477/12)&amp;"a "&amp;MOD($T1477,12)&amp;"m")</f>
        <v/>
      </c>
      <c r="J1477" s="11">
        <f>IF(OR($F1477="",$G1477=""),"",ROUND($F1477/($G1477/100)^2,2))</f>
        <v/>
      </c>
      <c r="K1477" s="12">
        <f>IF(OR($S1477="",$J1477="",$T1477="",$T1477&lt;0,$T1477&gt;228,$Y1477=""),"—",ROUND(IF(ABS($AB1477)&lt;=3,$AB1477,IF($AB1477&gt;3,3+($J1477-$AD1477)/($AD1477-$AC1477),-3+($J1477-$AF1477)/($AE1477-$AF1477))),2))</f>
        <v/>
      </c>
      <c r="L1477">
        <f>IF(OR($K1477="",$K1477="—"),"",IF($T1477&lt;=60,IF($K1477&lt;-3,"Magreza acentuada",IF($K1477&lt;-2,"Magreza",IF($K1477&lt;=1,"Eutrofia",IF($K1477&lt;=2,"Risco de sobrepeso",IF($K1477&lt;=3,"Sobrepeso","Obesidade"))))),IF($K1477&lt;-3,"Magreza acentuada",IF($K1477&lt;-2,"Magreza",IF($K1477&lt;=1,"Eutrofia",IF($K1477&lt;=2,"Sobrepeso",IF($K1477&lt;=3,"Obesidade","Obesidade grave")))))))</f>
        <v/>
      </c>
      <c r="M1477" s="12">
        <f>IF(OR($S1477="",$V1477="",$T1477="",$T1477&lt;0,$T1477&gt;228,$AG1477=""),"—",ROUND(IF($AG1477=0,LN($V1477/$AH1477)/$AI1477,((($V1477/$AH1477)^$AG1477)-1)/($AG1477*$AI1477)),2))</f>
        <v/>
      </c>
      <c r="N1477">
        <f>IF(OR($M1477="",$M1477="—"),"",IF($M1477&lt;-3,"Muito baixa",IF($M1477&lt;-2,"Baixa","Adequada")))</f>
        <v/>
      </c>
      <c r="O1477" s="12">
        <f>IF(OR($S1477="",$F1477="",$T1477="",$T1477&lt;0,$T1477&gt;120,$AJ1477=""),"—",ROUND(IF(ABS($AM1477)&lt;=3,$AM1477,IF($AM1477&gt;3,3+($F1477-$AO1477)/($AO1477-$AN1477),-3+($F1477-$AQ1477)/($AP1477-$AQ1477))),2))</f>
        <v/>
      </c>
      <c r="P1477">
        <f>IF(OR($O1477="",$O1477="—"),"",IF($O1477&lt;-3,"Muito baixo",IF($O1477&lt;-2,"Baixo",IF($O1477&lt;=2,"Adequado","Elevado"))))</f>
        <v/>
      </c>
      <c r="Q1477" s="12">
        <f>IF(OR($S1477="",$F1477="",$T1477="",$T1477&lt;0,$T1477&gt;60,$AR1477=""),"—",ROUND(IF(ABS($AU1477)&lt;=3,$AU1477,IF($AU1477&gt;3,3+($F1477-$AW1477)/($AW1477-$AV1477),-3+($F1477-$AY1477)/($AX1477-$AY1477))),2))</f>
        <v/>
      </c>
      <c r="R1477">
        <f>IF(OR($Q1477="",$Q1477="—"),"",IF($Q1477&lt;-3,"Magreza acentuada",IF($Q1477&lt;-2,"Magreza",IF($Q1477&lt;=1,"Eutrofia",IF($Q1477&lt;=2,"Risco de sobrepeso",IF($Q1477&lt;=3,"Sobrepeso","Obesidade"))))))</f>
        <v/>
      </c>
      <c r="S1477">
        <f>IF($C1477="","",IF(UPPER(LEFT($C1477,1))="M",1,IF(UPPER(LEFT($C1477,1))="F",2,"")))</f>
        <v/>
      </c>
      <c r="T1477">
        <f>IF(OR($D1477="",$E1477=""),"",DATEDIF($D1477,$E1477,"m"))</f>
        <v/>
      </c>
      <c r="U1477">
        <f>IF(OR($D1477="",$E1477=""),"",$E1477-$D1477)</f>
        <v/>
      </c>
      <c r="V1477">
        <f>IF(OR($G1477="",$T1477=""),"",IF($T1477&lt;24,IF(LEFT(LOWER($H1477),4)="em p",$G1477+0.7,$G1477),IF(LEFT(LOWER($H1477),4)="deit",$G1477-0.7,$G1477)))</f>
        <v/>
      </c>
      <c r="W1477">
        <f>IF(OR($S1477="",$T1477=""),"",$S1477*1000000+IF($T1477&lt;=60,$U1477,$T1477))</f>
        <v/>
      </c>
      <c r="X1477">
        <f>IF(OR($S1477="",$V1477="",$T1477&gt;60,$T1477=""),"",$S1477*1000000+ROUND($V1477*10,0))</f>
        <v/>
      </c>
      <c r="Y1477">
        <f>IF($W1477="","",IFERROR(INDEX(IF($T1477&lt;=60,imc05_l,imc519_l),MATCH($W1477,IF($T1477&lt;=60,imc05_k,imc519_k),1)),""))</f>
        <v/>
      </c>
      <c r="Z1477">
        <f>IF($W1477="","",IFERROR(INDEX(IF($T1477&lt;=60,imc05_m,imc519_m),MATCH($W1477,IF($T1477&lt;=60,imc05_k,imc519_k),1)),""))</f>
        <v/>
      </c>
      <c r="AA1477">
        <f>IF($W1477="","",IFERROR(INDEX(IF($T1477&lt;=60,imc05_s,imc519_s),MATCH($W1477,IF($T1477&lt;=60,imc05_k,imc519_k),1)),""))</f>
        <v/>
      </c>
      <c r="AB1477">
        <f>IF($Y1477="","",IF($Y1477=0,LN($J1477/$Z1477)/$AA1477,((($J1477/$Z1477)^$Y1477)-1)/($Y1477*$AA1477)))</f>
        <v/>
      </c>
      <c r="AC1477">
        <f>IF($Y1477="","",IF($Y1477=0,$Z1477*EXP($AA1477*2),$Z1477*(1+$Y1477*$AA1477*2)^(1/$Y1477)))</f>
        <v/>
      </c>
      <c r="AD1477">
        <f>IF($Y1477="","",IF($Y1477=0,$Z1477*EXP($AA1477*3),$Z1477*(1+$Y1477*$AA1477*3)^(1/$Y1477)))</f>
        <v/>
      </c>
      <c r="AE1477">
        <f>IF($Y1477="","",IF($Y1477=0,$Z1477*EXP($AA1477*-2),$Z1477*(1+$Y1477*$AA1477*-2)^(1/$Y1477)))</f>
        <v/>
      </c>
      <c r="AF1477">
        <f>IF($Y1477="","",IF($Y1477=0,$Z1477*EXP($AA1477*-3),$Z1477*(1+$Y1477*$AA1477*-3)^(1/$Y1477)))</f>
        <v/>
      </c>
      <c r="AG1477">
        <f>IF($W1477="","",IFERROR(INDEX(IF($T1477&lt;=60,est05_l,est519_l),MATCH($W1477,IF($T1477&lt;=60,est05_k,est519_k),1)),""))</f>
        <v/>
      </c>
      <c r="AH1477">
        <f>IF($W1477="","",IFERROR(INDEX(IF($T1477&lt;=60,est05_m,est519_m),MATCH($W1477,IF($T1477&lt;=60,est05_k,est519_k),1)),""))</f>
        <v/>
      </c>
      <c r="AI1477">
        <f>IF($W1477="","",IFERROR(INDEX(IF($T1477&lt;=60,est05_s,est519_s),MATCH($W1477,IF($T1477&lt;=60,est05_k,est519_k),1)),""))</f>
        <v/>
      </c>
      <c r="AJ1477">
        <f>IF($W1477="","",IFERROR(INDEX(IF($T1477&lt;=60,peso05_l,peso510_l),MATCH($W1477,IF($T1477&lt;=60,peso05_k,peso510_k),1)),""))</f>
        <v/>
      </c>
      <c r="AK1477">
        <f>IF($W1477="","",IFERROR(INDEX(IF($T1477&lt;=60,peso05_m,peso510_m),MATCH($W1477,IF($T1477&lt;=60,peso05_k,peso510_k),1)),""))</f>
        <v/>
      </c>
      <c r="AL1477">
        <f>IF($W1477="","",IFERROR(INDEX(IF($T1477&lt;=60,peso05_s,peso510_s),MATCH($W1477,IF($T1477&lt;=60,peso05_k,peso510_k),1)),""))</f>
        <v/>
      </c>
      <c r="AM1477">
        <f>IF($AJ1477="","",IF($AJ1477=0,LN($F1477/$AK1477)/$AL1477,((($F1477/$AK1477)^$AJ1477)-1)/($AJ1477*$AL1477)))</f>
        <v/>
      </c>
      <c r="AN1477">
        <f>IF($AJ1477="","",IF($AJ1477=0,$AK1477*EXP($AL1477*2),$AK1477*(1+$AJ1477*$AL1477*2)^(1/$AJ1477)))</f>
        <v/>
      </c>
      <c r="AO1477">
        <f>IF($AJ1477="","",IF($AJ1477=0,$AK1477*EXP($AL1477*3),$AK1477*(1+$AJ1477*$AL1477*3)^(1/$AJ1477)))</f>
        <v/>
      </c>
      <c r="AP1477">
        <f>IF($AJ1477="","",IF($AJ1477=0,$AK1477*EXP($AL1477*-2),$AK1477*(1+$AJ1477*$AL1477*-2)^(1/$AJ1477)))</f>
        <v/>
      </c>
      <c r="AQ1477">
        <f>IF($AJ1477="","",IF($AJ1477=0,$AK1477*EXP($AL1477*-3),$AK1477*(1+$AJ1477*$AL1477*-3)^(1/$AJ1477)))</f>
        <v/>
      </c>
      <c r="AR1477">
        <f>IF(OR($X1477="",$T1477&gt;60),"",IFERROR(INDEX(IF($T1477&lt;24,pcomp_l,palt_l),MATCH($X1477,IF($T1477&lt;24,pcomp_k,palt_k),1)),""))</f>
        <v/>
      </c>
      <c r="AS1477">
        <f>IF(OR($X1477="",$T1477&gt;60),"",IFERROR(INDEX(IF($T1477&lt;24,pcomp_m,palt_m),MATCH($X1477,IF($T1477&lt;24,pcomp_k,palt_k),1)),""))</f>
        <v/>
      </c>
      <c r="AT1477">
        <f>IF(OR($X1477="",$T1477&gt;60),"",IFERROR(INDEX(IF($T1477&lt;24,pcomp_s,palt_s),MATCH($X1477,IF($T1477&lt;24,pcomp_k,palt_k),1)),""))</f>
        <v/>
      </c>
      <c r="AU1477">
        <f>IF($AR1477="","",IF($AR1477=0,LN($F1477/$AS1477)/$AT1477,((($F1477/$AS1477)^$AR1477)-1)/($AR1477*$AT1477)))</f>
        <v/>
      </c>
      <c r="AV1477">
        <f>IF($AR1477="","",IF($AR1477=0,$AS1477*EXP($AT1477*2),$AS1477*(1+$AR1477*$AT1477*2)^(1/$AR1477)))</f>
        <v/>
      </c>
      <c r="AW1477">
        <f>IF($AR1477="","",IF($AR1477=0,$AS1477*EXP($AT1477*3),$AS1477*(1+$AR1477*$AT1477*3)^(1/$AR1477)))</f>
        <v/>
      </c>
      <c r="AX1477">
        <f>IF($AR1477="","",IF($AR1477=0,$AS1477*EXP($AT1477*-2),$AS1477*(1+$AR1477*$AT1477*-2)^(1/$AR1477)))</f>
        <v/>
      </c>
      <c r="AY1477">
        <f>IF($AR1477="","",IF($AR1477=0,$AS1477*EXP($AT1477*-3),$AS1477*(1+$AR1477*$AT1477*-3)^(1/$AR1477)))</f>
        <v/>
      </c>
      <c r="AZ1477">
        <f>IF(OR($A1477="",$A1477&lt;&gt;Ficha!$C$4),"",COUNTIF($A$2:$A1477,Ficha!$C$4))</f>
        <v/>
      </c>
    </row>
    <row r="1478">
      <c r="A1478" s="8">
        <f>IF(INDEX(Banco!$A:$A,ROW())="","",INDEX(Banco!$A:$A,ROW()))</f>
        <v/>
      </c>
      <c r="B1478" s="8">
        <f>IF(INDEX(Banco!$B:$B,ROW())="","",INDEX(Banco!$B:$B,ROW()))</f>
        <v/>
      </c>
      <c r="C1478" s="8">
        <f>IF(INDEX(Banco!$C:$C,ROW())="","",INDEX(Banco!$C:$C,ROW()))</f>
        <v/>
      </c>
      <c r="D1478" s="9">
        <f>IF(INDEX(Banco!$D:$D,ROW())="","",INDEX(Banco!$D:$D,ROW()))</f>
        <v/>
      </c>
      <c r="E1478" s="9">
        <f>IF(INDEX(Banco!$E:$E,ROW())="","",INDEX(Banco!$E:$E,ROW()))</f>
        <v/>
      </c>
      <c r="F1478" s="10">
        <f>IF(INDEX(Banco!$F:$F,ROW())="","",INDEX(Banco!$F:$F,ROW()))</f>
        <v/>
      </c>
      <c r="G1478" s="10">
        <f>IF(INDEX(Banco!$G:$G,ROW())="","",INDEX(Banco!$G:$G,ROW()))</f>
        <v/>
      </c>
      <c r="H1478" s="8">
        <f>IF(INDEX(Banco!$H:$H,ROW())="","",INDEX(Banco!$H:$H,ROW()))</f>
        <v/>
      </c>
      <c r="I1478">
        <f>IF($T1478="","",INT($T1478/12)&amp;"a "&amp;MOD($T1478,12)&amp;"m")</f>
        <v/>
      </c>
      <c r="J1478" s="11">
        <f>IF(OR($F1478="",$G1478=""),"",ROUND($F1478/($G1478/100)^2,2))</f>
        <v/>
      </c>
      <c r="K1478" s="12">
        <f>IF(OR($S1478="",$J1478="",$T1478="",$T1478&lt;0,$T1478&gt;228,$Y1478=""),"—",ROUND(IF(ABS($AB1478)&lt;=3,$AB1478,IF($AB1478&gt;3,3+($J1478-$AD1478)/($AD1478-$AC1478),-3+($J1478-$AF1478)/($AE1478-$AF1478))),2))</f>
        <v/>
      </c>
      <c r="L1478">
        <f>IF(OR($K1478="",$K1478="—"),"",IF($T1478&lt;=60,IF($K1478&lt;-3,"Magreza acentuada",IF($K1478&lt;-2,"Magreza",IF($K1478&lt;=1,"Eutrofia",IF($K1478&lt;=2,"Risco de sobrepeso",IF($K1478&lt;=3,"Sobrepeso","Obesidade"))))),IF($K1478&lt;-3,"Magreza acentuada",IF($K1478&lt;-2,"Magreza",IF($K1478&lt;=1,"Eutrofia",IF($K1478&lt;=2,"Sobrepeso",IF($K1478&lt;=3,"Obesidade","Obesidade grave")))))))</f>
        <v/>
      </c>
      <c r="M1478" s="12">
        <f>IF(OR($S1478="",$V1478="",$T1478="",$T1478&lt;0,$T1478&gt;228,$AG1478=""),"—",ROUND(IF($AG1478=0,LN($V1478/$AH1478)/$AI1478,((($V1478/$AH1478)^$AG1478)-1)/($AG1478*$AI1478)),2))</f>
        <v/>
      </c>
      <c r="N1478">
        <f>IF(OR($M1478="",$M1478="—"),"",IF($M1478&lt;-3,"Muito baixa",IF($M1478&lt;-2,"Baixa","Adequada")))</f>
        <v/>
      </c>
      <c r="O1478" s="12">
        <f>IF(OR($S1478="",$F1478="",$T1478="",$T1478&lt;0,$T1478&gt;120,$AJ1478=""),"—",ROUND(IF(ABS($AM1478)&lt;=3,$AM1478,IF($AM1478&gt;3,3+($F1478-$AO1478)/($AO1478-$AN1478),-3+($F1478-$AQ1478)/($AP1478-$AQ1478))),2))</f>
        <v/>
      </c>
      <c r="P1478">
        <f>IF(OR($O1478="",$O1478="—"),"",IF($O1478&lt;-3,"Muito baixo",IF($O1478&lt;-2,"Baixo",IF($O1478&lt;=2,"Adequado","Elevado"))))</f>
        <v/>
      </c>
      <c r="Q1478" s="12">
        <f>IF(OR($S1478="",$F1478="",$T1478="",$T1478&lt;0,$T1478&gt;60,$AR1478=""),"—",ROUND(IF(ABS($AU1478)&lt;=3,$AU1478,IF($AU1478&gt;3,3+($F1478-$AW1478)/($AW1478-$AV1478),-3+($F1478-$AY1478)/($AX1478-$AY1478))),2))</f>
        <v/>
      </c>
      <c r="R1478">
        <f>IF(OR($Q1478="",$Q1478="—"),"",IF($Q1478&lt;-3,"Magreza acentuada",IF($Q1478&lt;-2,"Magreza",IF($Q1478&lt;=1,"Eutrofia",IF($Q1478&lt;=2,"Risco de sobrepeso",IF($Q1478&lt;=3,"Sobrepeso","Obesidade"))))))</f>
        <v/>
      </c>
      <c r="S1478">
        <f>IF($C1478="","",IF(UPPER(LEFT($C1478,1))="M",1,IF(UPPER(LEFT($C1478,1))="F",2,"")))</f>
        <v/>
      </c>
      <c r="T1478">
        <f>IF(OR($D1478="",$E1478=""),"",DATEDIF($D1478,$E1478,"m"))</f>
        <v/>
      </c>
      <c r="U1478">
        <f>IF(OR($D1478="",$E1478=""),"",$E1478-$D1478)</f>
        <v/>
      </c>
      <c r="V1478">
        <f>IF(OR($G1478="",$T1478=""),"",IF($T1478&lt;24,IF(LEFT(LOWER($H1478),4)="em p",$G1478+0.7,$G1478),IF(LEFT(LOWER($H1478),4)="deit",$G1478-0.7,$G1478)))</f>
        <v/>
      </c>
      <c r="W1478">
        <f>IF(OR($S1478="",$T1478=""),"",$S1478*1000000+IF($T1478&lt;=60,$U1478,$T1478))</f>
        <v/>
      </c>
      <c r="X1478">
        <f>IF(OR($S1478="",$V1478="",$T1478&gt;60,$T1478=""),"",$S1478*1000000+ROUND($V1478*10,0))</f>
        <v/>
      </c>
      <c r="Y1478">
        <f>IF($W1478="","",IFERROR(INDEX(IF($T1478&lt;=60,imc05_l,imc519_l),MATCH($W1478,IF($T1478&lt;=60,imc05_k,imc519_k),1)),""))</f>
        <v/>
      </c>
      <c r="Z1478">
        <f>IF($W1478="","",IFERROR(INDEX(IF($T1478&lt;=60,imc05_m,imc519_m),MATCH($W1478,IF($T1478&lt;=60,imc05_k,imc519_k),1)),""))</f>
        <v/>
      </c>
      <c r="AA1478">
        <f>IF($W1478="","",IFERROR(INDEX(IF($T1478&lt;=60,imc05_s,imc519_s),MATCH($W1478,IF($T1478&lt;=60,imc05_k,imc519_k),1)),""))</f>
        <v/>
      </c>
      <c r="AB1478">
        <f>IF($Y1478="","",IF($Y1478=0,LN($J1478/$Z1478)/$AA1478,((($J1478/$Z1478)^$Y1478)-1)/($Y1478*$AA1478)))</f>
        <v/>
      </c>
      <c r="AC1478">
        <f>IF($Y1478="","",IF($Y1478=0,$Z1478*EXP($AA1478*2),$Z1478*(1+$Y1478*$AA1478*2)^(1/$Y1478)))</f>
        <v/>
      </c>
      <c r="AD1478">
        <f>IF($Y1478="","",IF($Y1478=0,$Z1478*EXP($AA1478*3),$Z1478*(1+$Y1478*$AA1478*3)^(1/$Y1478)))</f>
        <v/>
      </c>
      <c r="AE1478">
        <f>IF($Y1478="","",IF($Y1478=0,$Z1478*EXP($AA1478*-2),$Z1478*(1+$Y1478*$AA1478*-2)^(1/$Y1478)))</f>
        <v/>
      </c>
      <c r="AF1478">
        <f>IF($Y1478="","",IF($Y1478=0,$Z1478*EXP($AA1478*-3),$Z1478*(1+$Y1478*$AA1478*-3)^(1/$Y1478)))</f>
        <v/>
      </c>
      <c r="AG1478">
        <f>IF($W1478="","",IFERROR(INDEX(IF($T1478&lt;=60,est05_l,est519_l),MATCH($W1478,IF($T1478&lt;=60,est05_k,est519_k),1)),""))</f>
        <v/>
      </c>
      <c r="AH1478">
        <f>IF($W1478="","",IFERROR(INDEX(IF($T1478&lt;=60,est05_m,est519_m),MATCH($W1478,IF($T1478&lt;=60,est05_k,est519_k),1)),""))</f>
        <v/>
      </c>
      <c r="AI1478">
        <f>IF($W1478="","",IFERROR(INDEX(IF($T1478&lt;=60,est05_s,est519_s),MATCH($W1478,IF($T1478&lt;=60,est05_k,est519_k),1)),""))</f>
        <v/>
      </c>
      <c r="AJ1478">
        <f>IF($W1478="","",IFERROR(INDEX(IF($T1478&lt;=60,peso05_l,peso510_l),MATCH($W1478,IF($T1478&lt;=60,peso05_k,peso510_k),1)),""))</f>
        <v/>
      </c>
      <c r="AK1478">
        <f>IF($W1478="","",IFERROR(INDEX(IF($T1478&lt;=60,peso05_m,peso510_m),MATCH($W1478,IF($T1478&lt;=60,peso05_k,peso510_k),1)),""))</f>
        <v/>
      </c>
      <c r="AL1478">
        <f>IF($W1478="","",IFERROR(INDEX(IF($T1478&lt;=60,peso05_s,peso510_s),MATCH($W1478,IF($T1478&lt;=60,peso05_k,peso510_k),1)),""))</f>
        <v/>
      </c>
      <c r="AM1478">
        <f>IF($AJ1478="","",IF($AJ1478=0,LN($F1478/$AK1478)/$AL1478,((($F1478/$AK1478)^$AJ1478)-1)/($AJ1478*$AL1478)))</f>
        <v/>
      </c>
      <c r="AN1478">
        <f>IF($AJ1478="","",IF($AJ1478=0,$AK1478*EXP($AL1478*2),$AK1478*(1+$AJ1478*$AL1478*2)^(1/$AJ1478)))</f>
        <v/>
      </c>
      <c r="AO1478">
        <f>IF($AJ1478="","",IF($AJ1478=0,$AK1478*EXP($AL1478*3),$AK1478*(1+$AJ1478*$AL1478*3)^(1/$AJ1478)))</f>
        <v/>
      </c>
      <c r="AP1478">
        <f>IF($AJ1478="","",IF($AJ1478=0,$AK1478*EXP($AL1478*-2),$AK1478*(1+$AJ1478*$AL1478*-2)^(1/$AJ1478)))</f>
        <v/>
      </c>
      <c r="AQ1478">
        <f>IF($AJ1478="","",IF($AJ1478=0,$AK1478*EXP($AL1478*-3),$AK1478*(1+$AJ1478*$AL1478*-3)^(1/$AJ1478)))</f>
        <v/>
      </c>
      <c r="AR1478">
        <f>IF(OR($X1478="",$T1478&gt;60),"",IFERROR(INDEX(IF($T1478&lt;24,pcomp_l,palt_l),MATCH($X1478,IF($T1478&lt;24,pcomp_k,palt_k),1)),""))</f>
        <v/>
      </c>
      <c r="AS1478">
        <f>IF(OR($X1478="",$T1478&gt;60),"",IFERROR(INDEX(IF($T1478&lt;24,pcomp_m,palt_m),MATCH($X1478,IF($T1478&lt;24,pcomp_k,palt_k),1)),""))</f>
        <v/>
      </c>
      <c r="AT1478">
        <f>IF(OR($X1478="",$T1478&gt;60),"",IFERROR(INDEX(IF($T1478&lt;24,pcomp_s,palt_s),MATCH($X1478,IF($T1478&lt;24,pcomp_k,palt_k),1)),""))</f>
        <v/>
      </c>
      <c r="AU1478">
        <f>IF($AR1478="","",IF($AR1478=0,LN($F1478/$AS1478)/$AT1478,((($F1478/$AS1478)^$AR1478)-1)/($AR1478*$AT1478)))</f>
        <v/>
      </c>
      <c r="AV1478">
        <f>IF($AR1478="","",IF($AR1478=0,$AS1478*EXP($AT1478*2),$AS1478*(1+$AR1478*$AT1478*2)^(1/$AR1478)))</f>
        <v/>
      </c>
      <c r="AW1478">
        <f>IF($AR1478="","",IF($AR1478=0,$AS1478*EXP($AT1478*3),$AS1478*(1+$AR1478*$AT1478*3)^(1/$AR1478)))</f>
        <v/>
      </c>
      <c r="AX1478">
        <f>IF($AR1478="","",IF($AR1478=0,$AS1478*EXP($AT1478*-2),$AS1478*(1+$AR1478*$AT1478*-2)^(1/$AR1478)))</f>
        <v/>
      </c>
      <c r="AY1478">
        <f>IF($AR1478="","",IF($AR1478=0,$AS1478*EXP($AT1478*-3),$AS1478*(1+$AR1478*$AT1478*-3)^(1/$AR1478)))</f>
        <v/>
      </c>
      <c r="AZ1478">
        <f>IF(OR($A1478="",$A1478&lt;&gt;Ficha!$C$4),"",COUNTIF($A$2:$A1478,Ficha!$C$4))</f>
        <v/>
      </c>
    </row>
    <row r="1479">
      <c r="A1479" s="8">
        <f>IF(INDEX(Banco!$A:$A,ROW())="","",INDEX(Banco!$A:$A,ROW()))</f>
        <v/>
      </c>
      <c r="B1479" s="8">
        <f>IF(INDEX(Banco!$B:$B,ROW())="","",INDEX(Banco!$B:$B,ROW()))</f>
        <v/>
      </c>
      <c r="C1479" s="8">
        <f>IF(INDEX(Banco!$C:$C,ROW())="","",INDEX(Banco!$C:$C,ROW()))</f>
        <v/>
      </c>
      <c r="D1479" s="9">
        <f>IF(INDEX(Banco!$D:$D,ROW())="","",INDEX(Banco!$D:$D,ROW()))</f>
        <v/>
      </c>
      <c r="E1479" s="9">
        <f>IF(INDEX(Banco!$E:$E,ROW())="","",INDEX(Banco!$E:$E,ROW()))</f>
        <v/>
      </c>
      <c r="F1479" s="10">
        <f>IF(INDEX(Banco!$F:$F,ROW())="","",INDEX(Banco!$F:$F,ROW()))</f>
        <v/>
      </c>
      <c r="G1479" s="10">
        <f>IF(INDEX(Banco!$G:$G,ROW())="","",INDEX(Banco!$G:$G,ROW()))</f>
        <v/>
      </c>
      <c r="H1479" s="8">
        <f>IF(INDEX(Banco!$H:$H,ROW())="","",INDEX(Banco!$H:$H,ROW()))</f>
        <v/>
      </c>
      <c r="I1479">
        <f>IF($T1479="","",INT($T1479/12)&amp;"a "&amp;MOD($T1479,12)&amp;"m")</f>
        <v/>
      </c>
      <c r="J1479" s="11">
        <f>IF(OR($F1479="",$G1479=""),"",ROUND($F1479/($G1479/100)^2,2))</f>
        <v/>
      </c>
      <c r="K1479" s="12">
        <f>IF(OR($S1479="",$J1479="",$T1479="",$T1479&lt;0,$T1479&gt;228,$Y1479=""),"—",ROUND(IF(ABS($AB1479)&lt;=3,$AB1479,IF($AB1479&gt;3,3+($J1479-$AD1479)/($AD1479-$AC1479),-3+($J1479-$AF1479)/($AE1479-$AF1479))),2))</f>
        <v/>
      </c>
      <c r="L1479">
        <f>IF(OR($K1479="",$K1479="—"),"",IF($T1479&lt;=60,IF($K1479&lt;-3,"Magreza acentuada",IF($K1479&lt;-2,"Magreza",IF($K1479&lt;=1,"Eutrofia",IF($K1479&lt;=2,"Risco de sobrepeso",IF($K1479&lt;=3,"Sobrepeso","Obesidade"))))),IF($K1479&lt;-3,"Magreza acentuada",IF($K1479&lt;-2,"Magreza",IF($K1479&lt;=1,"Eutrofia",IF($K1479&lt;=2,"Sobrepeso",IF($K1479&lt;=3,"Obesidade","Obesidade grave")))))))</f>
        <v/>
      </c>
      <c r="M1479" s="12">
        <f>IF(OR($S1479="",$V1479="",$T1479="",$T1479&lt;0,$T1479&gt;228,$AG1479=""),"—",ROUND(IF($AG1479=0,LN($V1479/$AH1479)/$AI1479,((($V1479/$AH1479)^$AG1479)-1)/($AG1479*$AI1479)),2))</f>
        <v/>
      </c>
      <c r="N1479">
        <f>IF(OR($M1479="",$M1479="—"),"",IF($M1479&lt;-3,"Muito baixa",IF($M1479&lt;-2,"Baixa","Adequada")))</f>
        <v/>
      </c>
      <c r="O1479" s="12">
        <f>IF(OR($S1479="",$F1479="",$T1479="",$T1479&lt;0,$T1479&gt;120,$AJ1479=""),"—",ROUND(IF(ABS($AM1479)&lt;=3,$AM1479,IF($AM1479&gt;3,3+($F1479-$AO1479)/($AO1479-$AN1479),-3+($F1479-$AQ1479)/($AP1479-$AQ1479))),2))</f>
        <v/>
      </c>
      <c r="P1479">
        <f>IF(OR($O1479="",$O1479="—"),"",IF($O1479&lt;-3,"Muito baixo",IF($O1479&lt;-2,"Baixo",IF($O1479&lt;=2,"Adequado","Elevado"))))</f>
        <v/>
      </c>
      <c r="Q1479" s="12">
        <f>IF(OR($S1479="",$F1479="",$T1479="",$T1479&lt;0,$T1479&gt;60,$AR1479=""),"—",ROUND(IF(ABS($AU1479)&lt;=3,$AU1479,IF($AU1479&gt;3,3+($F1479-$AW1479)/($AW1479-$AV1479),-3+($F1479-$AY1479)/($AX1479-$AY1479))),2))</f>
        <v/>
      </c>
      <c r="R1479">
        <f>IF(OR($Q1479="",$Q1479="—"),"",IF($Q1479&lt;-3,"Magreza acentuada",IF($Q1479&lt;-2,"Magreza",IF($Q1479&lt;=1,"Eutrofia",IF($Q1479&lt;=2,"Risco de sobrepeso",IF($Q1479&lt;=3,"Sobrepeso","Obesidade"))))))</f>
        <v/>
      </c>
      <c r="S1479">
        <f>IF($C1479="","",IF(UPPER(LEFT($C1479,1))="M",1,IF(UPPER(LEFT($C1479,1))="F",2,"")))</f>
        <v/>
      </c>
      <c r="T1479">
        <f>IF(OR($D1479="",$E1479=""),"",DATEDIF($D1479,$E1479,"m"))</f>
        <v/>
      </c>
      <c r="U1479">
        <f>IF(OR($D1479="",$E1479=""),"",$E1479-$D1479)</f>
        <v/>
      </c>
      <c r="V1479">
        <f>IF(OR($G1479="",$T1479=""),"",IF($T1479&lt;24,IF(LEFT(LOWER($H1479),4)="em p",$G1479+0.7,$G1479),IF(LEFT(LOWER($H1479),4)="deit",$G1479-0.7,$G1479)))</f>
        <v/>
      </c>
      <c r="W1479">
        <f>IF(OR($S1479="",$T1479=""),"",$S1479*1000000+IF($T1479&lt;=60,$U1479,$T1479))</f>
        <v/>
      </c>
      <c r="X1479">
        <f>IF(OR($S1479="",$V1479="",$T1479&gt;60,$T1479=""),"",$S1479*1000000+ROUND($V1479*10,0))</f>
        <v/>
      </c>
      <c r="Y1479">
        <f>IF($W1479="","",IFERROR(INDEX(IF($T1479&lt;=60,imc05_l,imc519_l),MATCH($W1479,IF($T1479&lt;=60,imc05_k,imc519_k),1)),""))</f>
        <v/>
      </c>
      <c r="Z1479">
        <f>IF($W1479="","",IFERROR(INDEX(IF($T1479&lt;=60,imc05_m,imc519_m),MATCH($W1479,IF($T1479&lt;=60,imc05_k,imc519_k),1)),""))</f>
        <v/>
      </c>
      <c r="AA1479">
        <f>IF($W1479="","",IFERROR(INDEX(IF($T1479&lt;=60,imc05_s,imc519_s),MATCH($W1479,IF($T1479&lt;=60,imc05_k,imc519_k),1)),""))</f>
        <v/>
      </c>
      <c r="AB1479">
        <f>IF($Y1479="","",IF($Y1479=0,LN($J1479/$Z1479)/$AA1479,((($J1479/$Z1479)^$Y1479)-1)/($Y1479*$AA1479)))</f>
        <v/>
      </c>
      <c r="AC1479">
        <f>IF($Y1479="","",IF($Y1479=0,$Z1479*EXP($AA1479*2),$Z1479*(1+$Y1479*$AA1479*2)^(1/$Y1479)))</f>
        <v/>
      </c>
      <c r="AD1479">
        <f>IF($Y1479="","",IF($Y1479=0,$Z1479*EXP($AA1479*3),$Z1479*(1+$Y1479*$AA1479*3)^(1/$Y1479)))</f>
        <v/>
      </c>
      <c r="AE1479">
        <f>IF($Y1479="","",IF($Y1479=0,$Z1479*EXP($AA1479*-2),$Z1479*(1+$Y1479*$AA1479*-2)^(1/$Y1479)))</f>
        <v/>
      </c>
      <c r="AF1479">
        <f>IF($Y1479="","",IF($Y1479=0,$Z1479*EXP($AA1479*-3),$Z1479*(1+$Y1479*$AA1479*-3)^(1/$Y1479)))</f>
        <v/>
      </c>
      <c r="AG1479">
        <f>IF($W1479="","",IFERROR(INDEX(IF($T1479&lt;=60,est05_l,est519_l),MATCH($W1479,IF($T1479&lt;=60,est05_k,est519_k),1)),""))</f>
        <v/>
      </c>
      <c r="AH1479">
        <f>IF($W1479="","",IFERROR(INDEX(IF($T1479&lt;=60,est05_m,est519_m),MATCH($W1479,IF($T1479&lt;=60,est05_k,est519_k),1)),""))</f>
        <v/>
      </c>
      <c r="AI1479">
        <f>IF($W1479="","",IFERROR(INDEX(IF($T1479&lt;=60,est05_s,est519_s),MATCH($W1479,IF($T1479&lt;=60,est05_k,est519_k),1)),""))</f>
        <v/>
      </c>
      <c r="AJ1479">
        <f>IF($W1479="","",IFERROR(INDEX(IF($T1479&lt;=60,peso05_l,peso510_l),MATCH($W1479,IF($T1479&lt;=60,peso05_k,peso510_k),1)),""))</f>
        <v/>
      </c>
      <c r="AK1479">
        <f>IF($W1479="","",IFERROR(INDEX(IF($T1479&lt;=60,peso05_m,peso510_m),MATCH($W1479,IF($T1479&lt;=60,peso05_k,peso510_k),1)),""))</f>
        <v/>
      </c>
      <c r="AL1479">
        <f>IF($W1479="","",IFERROR(INDEX(IF($T1479&lt;=60,peso05_s,peso510_s),MATCH($W1479,IF($T1479&lt;=60,peso05_k,peso510_k),1)),""))</f>
        <v/>
      </c>
      <c r="AM1479">
        <f>IF($AJ1479="","",IF($AJ1479=0,LN($F1479/$AK1479)/$AL1479,((($F1479/$AK1479)^$AJ1479)-1)/($AJ1479*$AL1479)))</f>
        <v/>
      </c>
      <c r="AN1479">
        <f>IF($AJ1479="","",IF($AJ1479=0,$AK1479*EXP($AL1479*2),$AK1479*(1+$AJ1479*$AL1479*2)^(1/$AJ1479)))</f>
        <v/>
      </c>
      <c r="AO1479">
        <f>IF($AJ1479="","",IF($AJ1479=0,$AK1479*EXP($AL1479*3),$AK1479*(1+$AJ1479*$AL1479*3)^(1/$AJ1479)))</f>
        <v/>
      </c>
      <c r="AP1479">
        <f>IF($AJ1479="","",IF($AJ1479=0,$AK1479*EXP($AL1479*-2),$AK1479*(1+$AJ1479*$AL1479*-2)^(1/$AJ1479)))</f>
        <v/>
      </c>
      <c r="AQ1479">
        <f>IF($AJ1479="","",IF($AJ1479=0,$AK1479*EXP($AL1479*-3),$AK1479*(1+$AJ1479*$AL1479*-3)^(1/$AJ1479)))</f>
        <v/>
      </c>
      <c r="AR1479">
        <f>IF(OR($X1479="",$T1479&gt;60),"",IFERROR(INDEX(IF($T1479&lt;24,pcomp_l,palt_l),MATCH($X1479,IF($T1479&lt;24,pcomp_k,palt_k),1)),""))</f>
        <v/>
      </c>
      <c r="AS1479">
        <f>IF(OR($X1479="",$T1479&gt;60),"",IFERROR(INDEX(IF($T1479&lt;24,pcomp_m,palt_m),MATCH($X1479,IF($T1479&lt;24,pcomp_k,palt_k),1)),""))</f>
        <v/>
      </c>
      <c r="AT1479">
        <f>IF(OR($X1479="",$T1479&gt;60),"",IFERROR(INDEX(IF($T1479&lt;24,pcomp_s,palt_s),MATCH($X1479,IF($T1479&lt;24,pcomp_k,palt_k),1)),""))</f>
        <v/>
      </c>
      <c r="AU1479">
        <f>IF($AR1479="","",IF($AR1479=0,LN($F1479/$AS1479)/$AT1479,((($F1479/$AS1479)^$AR1479)-1)/($AR1479*$AT1479)))</f>
        <v/>
      </c>
      <c r="AV1479">
        <f>IF($AR1479="","",IF($AR1479=0,$AS1479*EXP($AT1479*2),$AS1479*(1+$AR1479*$AT1479*2)^(1/$AR1479)))</f>
        <v/>
      </c>
      <c r="AW1479">
        <f>IF($AR1479="","",IF($AR1479=0,$AS1479*EXP($AT1479*3),$AS1479*(1+$AR1479*$AT1479*3)^(1/$AR1479)))</f>
        <v/>
      </c>
      <c r="AX1479">
        <f>IF($AR1479="","",IF($AR1479=0,$AS1479*EXP($AT1479*-2),$AS1479*(1+$AR1479*$AT1479*-2)^(1/$AR1479)))</f>
        <v/>
      </c>
      <c r="AY1479">
        <f>IF($AR1479="","",IF($AR1479=0,$AS1479*EXP($AT1479*-3),$AS1479*(1+$AR1479*$AT1479*-3)^(1/$AR1479)))</f>
        <v/>
      </c>
      <c r="AZ1479">
        <f>IF(OR($A1479="",$A1479&lt;&gt;Ficha!$C$4),"",COUNTIF($A$2:$A1479,Ficha!$C$4))</f>
        <v/>
      </c>
    </row>
    <row r="1480">
      <c r="A1480" s="8">
        <f>IF(INDEX(Banco!$A:$A,ROW())="","",INDEX(Banco!$A:$A,ROW()))</f>
        <v/>
      </c>
      <c r="B1480" s="8">
        <f>IF(INDEX(Banco!$B:$B,ROW())="","",INDEX(Banco!$B:$B,ROW()))</f>
        <v/>
      </c>
      <c r="C1480" s="8">
        <f>IF(INDEX(Banco!$C:$C,ROW())="","",INDEX(Banco!$C:$C,ROW()))</f>
        <v/>
      </c>
      <c r="D1480" s="9">
        <f>IF(INDEX(Banco!$D:$D,ROW())="","",INDEX(Banco!$D:$D,ROW()))</f>
        <v/>
      </c>
      <c r="E1480" s="9">
        <f>IF(INDEX(Banco!$E:$E,ROW())="","",INDEX(Banco!$E:$E,ROW()))</f>
        <v/>
      </c>
      <c r="F1480" s="10">
        <f>IF(INDEX(Banco!$F:$F,ROW())="","",INDEX(Banco!$F:$F,ROW()))</f>
        <v/>
      </c>
      <c r="G1480" s="10">
        <f>IF(INDEX(Banco!$G:$G,ROW())="","",INDEX(Banco!$G:$G,ROW()))</f>
        <v/>
      </c>
      <c r="H1480" s="8">
        <f>IF(INDEX(Banco!$H:$H,ROW())="","",INDEX(Banco!$H:$H,ROW()))</f>
        <v/>
      </c>
      <c r="I1480">
        <f>IF($T1480="","",INT($T1480/12)&amp;"a "&amp;MOD($T1480,12)&amp;"m")</f>
        <v/>
      </c>
      <c r="J1480" s="11">
        <f>IF(OR($F1480="",$G1480=""),"",ROUND($F1480/($G1480/100)^2,2))</f>
        <v/>
      </c>
      <c r="K1480" s="12">
        <f>IF(OR($S1480="",$J1480="",$T1480="",$T1480&lt;0,$T1480&gt;228,$Y1480=""),"—",ROUND(IF(ABS($AB1480)&lt;=3,$AB1480,IF($AB1480&gt;3,3+($J1480-$AD1480)/($AD1480-$AC1480),-3+($J1480-$AF1480)/($AE1480-$AF1480))),2))</f>
        <v/>
      </c>
      <c r="L1480">
        <f>IF(OR($K1480="",$K1480="—"),"",IF($T1480&lt;=60,IF($K1480&lt;-3,"Magreza acentuada",IF($K1480&lt;-2,"Magreza",IF($K1480&lt;=1,"Eutrofia",IF($K1480&lt;=2,"Risco de sobrepeso",IF($K1480&lt;=3,"Sobrepeso","Obesidade"))))),IF($K1480&lt;-3,"Magreza acentuada",IF($K1480&lt;-2,"Magreza",IF($K1480&lt;=1,"Eutrofia",IF($K1480&lt;=2,"Sobrepeso",IF($K1480&lt;=3,"Obesidade","Obesidade grave")))))))</f>
        <v/>
      </c>
      <c r="M1480" s="12">
        <f>IF(OR($S1480="",$V1480="",$T1480="",$T1480&lt;0,$T1480&gt;228,$AG1480=""),"—",ROUND(IF($AG1480=0,LN($V1480/$AH1480)/$AI1480,((($V1480/$AH1480)^$AG1480)-1)/($AG1480*$AI1480)),2))</f>
        <v/>
      </c>
      <c r="N1480">
        <f>IF(OR($M1480="",$M1480="—"),"",IF($M1480&lt;-3,"Muito baixa",IF($M1480&lt;-2,"Baixa","Adequada")))</f>
        <v/>
      </c>
      <c r="O1480" s="12">
        <f>IF(OR($S1480="",$F1480="",$T1480="",$T1480&lt;0,$T1480&gt;120,$AJ1480=""),"—",ROUND(IF(ABS($AM1480)&lt;=3,$AM1480,IF($AM1480&gt;3,3+($F1480-$AO1480)/($AO1480-$AN1480),-3+($F1480-$AQ1480)/($AP1480-$AQ1480))),2))</f>
        <v/>
      </c>
      <c r="P1480">
        <f>IF(OR($O1480="",$O1480="—"),"",IF($O1480&lt;-3,"Muito baixo",IF($O1480&lt;-2,"Baixo",IF($O1480&lt;=2,"Adequado","Elevado"))))</f>
        <v/>
      </c>
      <c r="Q1480" s="12">
        <f>IF(OR($S1480="",$F1480="",$T1480="",$T1480&lt;0,$T1480&gt;60,$AR1480=""),"—",ROUND(IF(ABS($AU1480)&lt;=3,$AU1480,IF($AU1480&gt;3,3+($F1480-$AW1480)/($AW1480-$AV1480),-3+($F1480-$AY1480)/($AX1480-$AY1480))),2))</f>
        <v/>
      </c>
      <c r="R1480">
        <f>IF(OR($Q1480="",$Q1480="—"),"",IF($Q1480&lt;-3,"Magreza acentuada",IF($Q1480&lt;-2,"Magreza",IF($Q1480&lt;=1,"Eutrofia",IF($Q1480&lt;=2,"Risco de sobrepeso",IF($Q1480&lt;=3,"Sobrepeso","Obesidade"))))))</f>
        <v/>
      </c>
      <c r="S1480">
        <f>IF($C1480="","",IF(UPPER(LEFT($C1480,1))="M",1,IF(UPPER(LEFT($C1480,1))="F",2,"")))</f>
        <v/>
      </c>
      <c r="T1480">
        <f>IF(OR($D1480="",$E1480=""),"",DATEDIF($D1480,$E1480,"m"))</f>
        <v/>
      </c>
      <c r="U1480">
        <f>IF(OR($D1480="",$E1480=""),"",$E1480-$D1480)</f>
        <v/>
      </c>
      <c r="V1480">
        <f>IF(OR($G1480="",$T1480=""),"",IF($T1480&lt;24,IF(LEFT(LOWER($H1480),4)="em p",$G1480+0.7,$G1480),IF(LEFT(LOWER($H1480),4)="deit",$G1480-0.7,$G1480)))</f>
        <v/>
      </c>
      <c r="W1480">
        <f>IF(OR($S1480="",$T1480=""),"",$S1480*1000000+IF($T1480&lt;=60,$U1480,$T1480))</f>
        <v/>
      </c>
      <c r="X1480">
        <f>IF(OR($S1480="",$V1480="",$T1480&gt;60,$T1480=""),"",$S1480*1000000+ROUND($V1480*10,0))</f>
        <v/>
      </c>
      <c r="Y1480">
        <f>IF($W1480="","",IFERROR(INDEX(IF($T1480&lt;=60,imc05_l,imc519_l),MATCH($W1480,IF($T1480&lt;=60,imc05_k,imc519_k),1)),""))</f>
        <v/>
      </c>
      <c r="Z1480">
        <f>IF($W1480="","",IFERROR(INDEX(IF($T1480&lt;=60,imc05_m,imc519_m),MATCH($W1480,IF($T1480&lt;=60,imc05_k,imc519_k),1)),""))</f>
        <v/>
      </c>
      <c r="AA1480">
        <f>IF($W1480="","",IFERROR(INDEX(IF($T1480&lt;=60,imc05_s,imc519_s),MATCH($W1480,IF($T1480&lt;=60,imc05_k,imc519_k),1)),""))</f>
        <v/>
      </c>
      <c r="AB1480">
        <f>IF($Y1480="","",IF($Y1480=0,LN($J1480/$Z1480)/$AA1480,((($J1480/$Z1480)^$Y1480)-1)/($Y1480*$AA1480)))</f>
        <v/>
      </c>
      <c r="AC1480">
        <f>IF($Y1480="","",IF($Y1480=0,$Z1480*EXP($AA1480*2),$Z1480*(1+$Y1480*$AA1480*2)^(1/$Y1480)))</f>
        <v/>
      </c>
      <c r="AD1480">
        <f>IF($Y1480="","",IF($Y1480=0,$Z1480*EXP($AA1480*3),$Z1480*(1+$Y1480*$AA1480*3)^(1/$Y1480)))</f>
        <v/>
      </c>
      <c r="AE1480">
        <f>IF($Y1480="","",IF($Y1480=0,$Z1480*EXP($AA1480*-2),$Z1480*(1+$Y1480*$AA1480*-2)^(1/$Y1480)))</f>
        <v/>
      </c>
      <c r="AF1480">
        <f>IF($Y1480="","",IF($Y1480=0,$Z1480*EXP($AA1480*-3),$Z1480*(1+$Y1480*$AA1480*-3)^(1/$Y1480)))</f>
        <v/>
      </c>
      <c r="AG1480">
        <f>IF($W1480="","",IFERROR(INDEX(IF($T1480&lt;=60,est05_l,est519_l),MATCH($W1480,IF($T1480&lt;=60,est05_k,est519_k),1)),""))</f>
        <v/>
      </c>
      <c r="AH1480">
        <f>IF($W1480="","",IFERROR(INDEX(IF($T1480&lt;=60,est05_m,est519_m),MATCH($W1480,IF($T1480&lt;=60,est05_k,est519_k),1)),""))</f>
        <v/>
      </c>
      <c r="AI1480">
        <f>IF($W1480="","",IFERROR(INDEX(IF($T1480&lt;=60,est05_s,est519_s),MATCH($W1480,IF($T1480&lt;=60,est05_k,est519_k),1)),""))</f>
        <v/>
      </c>
      <c r="AJ1480">
        <f>IF($W1480="","",IFERROR(INDEX(IF($T1480&lt;=60,peso05_l,peso510_l),MATCH($W1480,IF($T1480&lt;=60,peso05_k,peso510_k),1)),""))</f>
        <v/>
      </c>
      <c r="AK1480">
        <f>IF($W1480="","",IFERROR(INDEX(IF($T1480&lt;=60,peso05_m,peso510_m),MATCH($W1480,IF($T1480&lt;=60,peso05_k,peso510_k),1)),""))</f>
        <v/>
      </c>
      <c r="AL1480">
        <f>IF($W1480="","",IFERROR(INDEX(IF($T1480&lt;=60,peso05_s,peso510_s),MATCH($W1480,IF($T1480&lt;=60,peso05_k,peso510_k),1)),""))</f>
        <v/>
      </c>
      <c r="AM1480">
        <f>IF($AJ1480="","",IF($AJ1480=0,LN($F1480/$AK1480)/$AL1480,((($F1480/$AK1480)^$AJ1480)-1)/($AJ1480*$AL1480)))</f>
        <v/>
      </c>
      <c r="AN1480">
        <f>IF($AJ1480="","",IF($AJ1480=0,$AK1480*EXP($AL1480*2),$AK1480*(1+$AJ1480*$AL1480*2)^(1/$AJ1480)))</f>
        <v/>
      </c>
      <c r="AO1480">
        <f>IF($AJ1480="","",IF($AJ1480=0,$AK1480*EXP($AL1480*3),$AK1480*(1+$AJ1480*$AL1480*3)^(1/$AJ1480)))</f>
        <v/>
      </c>
      <c r="AP1480">
        <f>IF($AJ1480="","",IF($AJ1480=0,$AK1480*EXP($AL1480*-2),$AK1480*(1+$AJ1480*$AL1480*-2)^(1/$AJ1480)))</f>
        <v/>
      </c>
      <c r="AQ1480">
        <f>IF($AJ1480="","",IF($AJ1480=0,$AK1480*EXP($AL1480*-3),$AK1480*(1+$AJ1480*$AL1480*-3)^(1/$AJ1480)))</f>
        <v/>
      </c>
      <c r="AR1480">
        <f>IF(OR($X1480="",$T1480&gt;60),"",IFERROR(INDEX(IF($T1480&lt;24,pcomp_l,palt_l),MATCH($X1480,IF($T1480&lt;24,pcomp_k,palt_k),1)),""))</f>
        <v/>
      </c>
      <c r="AS1480">
        <f>IF(OR($X1480="",$T1480&gt;60),"",IFERROR(INDEX(IF($T1480&lt;24,pcomp_m,palt_m),MATCH($X1480,IF($T1480&lt;24,pcomp_k,palt_k),1)),""))</f>
        <v/>
      </c>
      <c r="AT1480">
        <f>IF(OR($X1480="",$T1480&gt;60),"",IFERROR(INDEX(IF($T1480&lt;24,pcomp_s,palt_s),MATCH($X1480,IF($T1480&lt;24,pcomp_k,palt_k),1)),""))</f>
        <v/>
      </c>
      <c r="AU1480">
        <f>IF($AR1480="","",IF($AR1480=0,LN($F1480/$AS1480)/$AT1480,((($F1480/$AS1480)^$AR1480)-1)/($AR1480*$AT1480)))</f>
        <v/>
      </c>
      <c r="AV1480">
        <f>IF($AR1480="","",IF($AR1480=0,$AS1480*EXP($AT1480*2),$AS1480*(1+$AR1480*$AT1480*2)^(1/$AR1480)))</f>
        <v/>
      </c>
      <c r="AW1480">
        <f>IF($AR1480="","",IF($AR1480=0,$AS1480*EXP($AT1480*3),$AS1480*(1+$AR1480*$AT1480*3)^(1/$AR1480)))</f>
        <v/>
      </c>
      <c r="AX1480">
        <f>IF($AR1480="","",IF($AR1480=0,$AS1480*EXP($AT1480*-2),$AS1480*(1+$AR1480*$AT1480*-2)^(1/$AR1480)))</f>
        <v/>
      </c>
      <c r="AY1480">
        <f>IF($AR1480="","",IF($AR1480=0,$AS1480*EXP($AT1480*-3),$AS1480*(1+$AR1480*$AT1480*-3)^(1/$AR1480)))</f>
        <v/>
      </c>
      <c r="AZ1480">
        <f>IF(OR($A1480="",$A1480&lt;&gt;Ficha!$C$4),"",COUNTIF($A$2:$A1480,Ficha!$C$4))</f>
        <v/>
      </c>
    </row>
    <row r="1481">
      <c r="A1481" s="8">
        <f>IF(INDEX(Banco!$A:$A,ROW())="","",INDEX(Banco!$A:$A,ROW()))</f>
        <v/>
      </c>
      <c r="B1481" s="8">
        <f>IF(INDEX(Banco!$B:$B,ROW())="","",INDEX(Banco!$B:$B,ROW()))</f>
        <v/>
      </c>
      <c r="C1481" s="8">
        <f>IF(INDEX(Banco!$C:$C,ROW())="","",INDEX(Banco!$C:$C,ROW()))</f>
        <v/>
      </c>
      <c r="D1481" s="9">
        <f>IF(INDEX(Banco!$D:$D,ROW())="","",INDEX(Banco!$D:$D,ROW()))</f>
        <v/>
      </c>
      <c r="E1481" s="9">
        <f>IF(INDEX(Banco!$E:$E,ROW())="","",INDEX(Banco!$E:$E,ROW()))</f>
        <v/>
      </c>
      <c r="F1481" s="10">
        <f>IF(INDEX(Banco!$F:$F,ROW())="","",INDEX(Banco!$F:$F,ROW()))</f>
        <v/>
      </c>
      <c r="G1481" s="10">
        <f>IF(INDEX(Banco!$G:$G,ROW())="","",INDEX(Banco!$G:$G,ROW()))</f>
        <v/>
      </c>
      <c r="H1481" s="8">
        <f>IF(INDEX(Banco!$H:$H,ROW())="","",INDEX(Banco!$H:$H,ROW()))</f>
        <v/>
      </c>
      <c r="I1481">
        <f>IF($T1481="","",INT($T1481/12)&amp;"a "&amp;MOD($T1481,12)&amp;"m")</f>
        <v/>
      </c>
      <c r="J1481" s="11">
        <f>IF(OR($F1481="",$G1481=""),"",ROUND($F1481/($G1481/100)^2,2))</f>
        <v/>
      </c>
      <c r="K1481" s="12">
        <f>IF(OR($S1481="",$J1481="",$T1481="",$T1481&lt;0,$T1481&gt;228,$Y1481=""),"—",ROUND(IF(ABS($AB1481)&lt;=3,$AB1481,IF($AB1481&gt;3,3+($J1481-$AD1481)/($AD1481-$AC1481),-3+($J1481-$AF1481)/($AE1481-$AF1481))),2))</f>
        <v/>
      </c>
      <c r="L1481">
        <f>IF(OR($K1481="",$K1481="—"),"",IF($T1481&lt;=60,IF($K1481&lt;-3,"Magreza acentuada",IF($K1481&lt;-2,"Magreza",IF($K1481&lt;=1,"Eutrofia",IF($K1481&lt;=2,"Risco de sobrepeso",IF($K1481&lt;=3,"Sobrepeso","Obesidade"))))),IF($K1481&lt;-3,"Magreza acentuada",IF($K1481&lt;-2,"Magreza",IF($K1481&lt;=1,"Eutrofia",IF($K1481&lt;=2,"Sobrepeso",IF($K1481&lt;=3,"Obesidade","Obesidade grave")))))))</f>
        <v/>
      </c>
      <c r="M1481" s="12">
        <f>IF(OR($S1481="",$V1481="",$T1481="",$T1481&lt;0,$T1481&gt;228,$AG1481=""),"—",ROUND(IF($AG1481=0,LN($V1481/$AH1481)/$AI1481,((($V1481/$AH1481)^$AG1481)-1)/($AG1481*$AI1481)),2))</f>
        <v/>
      </c>
      <c r="N1481">
        <f>IF(OR($M1481="",$M1481="—"),"",IF($M1481&lt;-3,"Muito baixa",IF($M1481&lt;-2,"Baixa","Adequada")))</f>
        <v/>
      </c>
      <c r="O1481" s="12">
        <f>IF(OR($S1481="",$F1481="",$T1481="",$T1481&lt;0,$T1481&gt;120,$AJ1481=""),"—",ROUND(IF(ABS($AM1481)&lt;=3,$AM1481,IF($AM1481&gt;3,3+($F1481-$AO1481)/($AO1481-$AN1481),-3+($F1481-$AQ1481)/($AP1481-$AQ1481))),2))</f>
        <v/>
      </c>
      <c r="P1481">
        <f>IF(OR($O1481="",$O1481="—"),"",IF($O1481&lt;-3,"Muito baixo",IF($O1481&lt;-2,"Baixo",IF($O1481&lt;=2,"Adequado","Elevado"))))</f>
        <v/>
      </c>
      <c r="Q1481" s="12">
        <f>IF(OR($S1481="",$F1481="",$T1481="",$T1481&lt;0,$T1481&gt;60,$AR1481=""),"—",ROUND(IF(ABS($AU1481)&lt;=3,$AU1481,IF($AU1481&gt;3,3+($F1481-$AW1481)/($AW1481-$AV1481),-3+($F1481-$AY1481)/($AX1481-$AY1481))),2))</f>
        <v/>
      </c>
      <c r="R1481">
        <f>IF(OR($Q1481="",$Q1481="—"),"",IF($Q1481&lt;-3,"Magreza acentuada",IF($Q1481&lt;-2,"Magreza",IF($Q1481&lt;=1,"Eutrofia",IF($Q1481&lt;=2,"Risco de sobrepeso",IF($Q1481&lt;=3,"Sobrepeso","Obesidade"))))))</f>
        <v/>
      </c>
      <c r="S1481">
        <f>IF($C1481="","",IF(UPPER(LEFT($C1481,1))="M",1,IF(UPPER(LEFT($C1481,1))="F",2,"")))</f>
        <v/>
      </c>
      <c r="T1481">
        <f>IF(OR($D1481="",$E1481=""),"",DATEDIF($D1481,$E1481,"m"))</f>
        <v/>
      </c>
      <c r="U1481">
        <f>IF(OR($D1481="",$E1481=""),"",$E1481-$D1481)</f>
        <v/>
      </c>
      <c r="V1481">
        <f>IF(OR($G1481="",$T1481=""),"",IF($T1481&lt;24,IF(LEFT(LOWER($H1481),4)="em p",$G1481+0.7,$G1481),IF(LEFT(LOWER($H1481),4)="deit",$G1481-0.7,$G1481)))</f>
        <v/>
      </c>
      <c r="W1481">
        <f>IF(OR($S1481="",$T1481=""),"",$S1481*1000000+IF($T1481&lt;=60,$U1481,$T1481))</f>
        <v/>
      </c>
      <c r="X1481">
        <f>IF(OR($S1481="",$V1481="",$T1481&gt;60,$T1481=""),"",$S1481*1000000+ROUND($V1481*10,0))</f>
        <v/>
      </c>
      <c r="Y1481">
        <f>IF($W1481="","",IFERROR(INDEX(IF($T1481&lt;=60,imc05_l,imc519_l),MATCH($W1481,IF($T1481&lt;=60,imc05_k,imc519_k),1)),""))</f>
        <v/>
      </c>
      <c r="Z1481">
        <f>IF($W1481="","",IFERROR(INDEX(IF($T1481&lt;=60,imc05_m,imc519_m),MATCH($W1481,IF($T1481&lt;=60,imc05_k,imc519_k),1)),""))</f>
        <v/>
      </c>
      <c r="AA1481">
        <f>IF($W1481="","",IFERROR(INDEX(IF($T1481&lt;=60,imc05_s,imc519_s),MATCH($W1481,IF($T1481&lt;=60,imc05_k,imc519_k),1)),""))</f>
        <v/>
      </c>
      <c r="AB1481">
        <f>IF($Y1481="","",IF($Y1481=0,LN($J1481/$Z1481)/$AA1481,((($J1481/$Z1481)^$Y1481)-1)/($Y1481*$AA1481)))</f>
        <v/>
      </c>
      <c r="AC1481">
        <f>IF($Y1481="","",IF($Y1481=0,$Z1481*EXP($AA1481*2),$Z1481*(1+$Y1481*$AA1481*2)^(1/$Y1481)))</f>
        <v/>
      </c>
      <c r="AD1481">
        <f>IF($Y1481="","",IF($Y1481=0,$Z1481*EXP($AA1481*3),$Z1481*(1+$Y1481*$AA1481*3)^(1/$Y1481)))</f>
        <v/>
      </c>
      <c r="AE1481">
        <f>IF($Y1481="","",IF($Y1481=0,$Z1481*EXP($AA1481*-2),$Z1481*(1+$Y1481*$AA1481*-2)^(1/$Y1481)))</f>
        <v/>
      </c>
      <c r="AF1481">
        <f>IF($Y1481="","",IF($Y1481=0,$Z1481*EXP($AA1481*-3),$Z1481*(1+$Y1481*$AA1481*-3)^(1/$Y1481)))</f>
        <v/>
      </c>
      <c r="AG1481">
        <f>IF($W1481="","",IFERROR(INDEX(IF($T1481&lt;=60,est05_l,est519_l),MATCH($W1481,IF($T1481&lt;=60,est05_k,est519_k),1)),""))</f>
        <v/>
      </c>
      <c r="AH1481">
        <f>IF($W1481="","",IFERROR(INDEX(IF($T1481&lt;=60,est05_m,est519_m),MATCH($W1481,IF($T1481&lt;=60,est05_k,est519_k),1)),""))</f>
        <v/>
      </c>
      <c r="AI1481">
        <f>IF($W1481="","",IFERROR(INDEX(IF($T1481&lt;=60,est05_s,est519_s),MATCH($W1481,IF($T1481&lt;=60,est05_k,est519_k),1)),""))</f>
        <v/>
      </c>
      <c r="AJ1481">
        <f>IF($W1481="","",IFERROR(INDEX(IF($T1481&lt;=60,peso05_l,peso510_l),MATCH($W1481,IF($T1481&lt;=60,peso05_k,peso510_k),1)),""))</f>
        <v/>
      </c>
      <c r="AK1481">
        <f>IF($W1481="","",IFERROR(INDEX(IF($T1481&lt;=60,peso05_m,peso510_m),MATCH($W1481,IF($T1481&lt;=60,peso05_k,peso510_k),1)),""))</f>
        <v/>
      </c>
      <c r="AL1481">
        <f>IF($W1481="","",IFERROR(INDEX(IF($T1481&lt;=60,peso05_s,peso510_s),MATCH($W1481,IF($T1481&lt;=60,peso05_k,peso510_k),1)),""))</f>
        <v/>
      </c>
      <c r="AM1481">
        <f>IF($AJ1481="","",IF($AJ1481=0,LN($F1481/$AK1481)/$AL1481,((($F1481/$AK1481)^$AJ1481)-1)/($AJ1481*$AL1481)))</f>
        <v/>
      </c>
      <c r="AN1481">
        <f>IF($AJ1481="","",IF($AJ1481=0,$AK1481*EXP($AL1481*2),$AK1481*(1+$AJ1481*$AL1481*2)^(1/$AJ1481)))</f>
        <v/>
      </c>
      <c r="AO1481">
        <f>IF($AJ1481="","",IF($AJ1481=0,$AK1481*EXP($AL1481*3),$AK1481*(1+$AJ1481*$AL1481*3)^(1/$AJ1481)))</f>
        <v/>
      </c>
      <c r="AP1481">
        <f>IF($AJ1481="","",IF($AJ1481=0,$AK1481*EXP($AL1481*-2),$AK1481*(1+$AJ1481*$AL1481*-2)^(1/$AJ1481)))</f>
        <v/>
      </c>
      <c r="AQ1481">
        <f>IF($AJ1481="","",IF($AJ1481=0,$AK1481*EXP($AL1481*-3),$AK1481*(1+$AJ1481*$AL1481*-3)^(1/$AJ1481)))</f>
        <v/>
      </c>
      <c r="AR1481">
        <f>IF(OR($X1481="",$T1481&gt;60),"",IFERROR(INDEX(IF($T1481&lt;24,pcomp_l,palt_l),MATCH($X1481,IF($T1481&lt;24,pcomp_k,palt_k),1)),""))</f>
        <v/>
      </c>
      <c r="AS1481">
        <f>IF(OR($X1481="",$T1481&gt;60),"",IFERROR(INDEX(IF($T1481&lt;24,pcomp_m,palt_m),MATCH($X1481,IF($T1481&lt;24,pcomp_k,palt_k),1)),""))</f>
        <v/>
      </c>
      <c r="AT1481">
        <f>IF(OR($X1481="",$T1481&gt;60),"",IFERROR(INDEX(IF($T1481&lt;24,pcomp_s,palt_s),MATCH($X1481,IF($T1481&lt;24,pcomp_k,palt_k),1)),""))</f>
        <v/>
      </c>
      <c r="AU1481">
        <f>IF($AR1481="","",IF($AR1481=0,LN($F1481/$AS1481)/$AT1481,((($F1481/$AS1481)^$AR1481)-1)/($AR1481*$AT1481)))</f>
        <v/>
      </c>
      <c r="AV1481">
        <f>IF($AR1481="","",IF($AR1481=0,$AS1481*EXP($AT1481*2),$AS1481*(1+$AR1481*$AT1481*2)^(1/$AR1481)))</f>
        <v/>
      </c>
      <c r="AW1481">
        <f>IF($AR1481="","",IF($AR1481=0,$AS1481*EXP($AT1481*3),$AS1481*(1+$AR1481*$AT1481*3)^(1/$AR1481)))</f>
        <v/>
      </c>
      <c r="AX1481">
        <f>IF($AR1481="","",IF($AR1481=0,$AS1481*EXP($AT1481*-2),$AS1481*(1+$AR1481*$AT1481*-2)^(1/$AR1481)))</f>
        <v/>
      </c>
      <c r="AY1481">
        <f>IF($AR1481="","",IF($AR1481=0,$AS1481*EXP($AT1481*-3),$AS1481*(1+$AR1481*$AT1481*-3)^(1/$AR1481)))</f>
        <v/>
      </c>
      <c r="AZ1481">
        <f>IF(OR($A1481="",$A1481&lt;&gt;Ficha!$C$4),"",COUNTIF($A$2:$A1481,Ficha!$C$4))</f>
        <v/>
      </c>
    </row>
    <row r="1482">
      <c r="A1482" s="8">
        <f>IF(INDEX(Banco!$A:$A,ROW())="","",INDEX(Banco!$A:$A,ROW()))</f>
        <v/>
      </c>
      <c r="B1482" s="8">
        <f>IF(INDEX(Banco!$B:$B,ROW())="","",INDEX(Banco!$B:$B,ROW()))</f>
        <v/>
      </c>
      <c r="C1482" s="8">
        <f>IF(INDEX(Banco!$C:$C,ROW())="","",INDEX(Banco!$C:$C,ROW()))</f>
        <v/>
      </c>
      <c r="D1482" s="9">
        <f>IF(INDEX(Banco!$D:$D,ROW())="","",INDEX(Banco!$D:$D,ROW()))</f>
        <v/>
      </c>
      <c r="E1482" s="9">
        <f>IF(INDEX(Banco!$E:$E,ROW())="","",INDEX(Banco!$E:$E,ROW()))</f>
        <v/>
      </c>
      <c r="F1482" s="10">
        <f>IF(INDEX(Banco!$F:$F,ROW())="","",INDEX(Banco!$F:$F,ROW()))</f>
        <v/>
      </c>
      <c r="G1482" s="10">
        <f>IF(INDEX(Banco!$G:$G,ROW())="","",INDEX(Banco!$G:$G,ROW()))</f>
        <v/>
      </c>
      <c r="H1482" s="8">
        <f>IF(INDEX(Banco!$H:$H,ROW())="","",INDEX(Banco!$H:$H,ROW()))</f>
        <v/>
      </c>
      <c r="I1482">
        <f>IF($T1482="","",INT($T1482/12)&amp;"a "&amp;MOD($T1482,12)&amp;"m")</f>
        <v/>
      </c>
      <c r="J1482" s="11">
        <f>IF(OR($F1482="",$G1482=""),"",ROUND($F1482/($G1482/100)^2,2))</f>
        <v/>
      </c>
      <c r="K1482" s="12">
        <f>IF(OR($S1482="",$J1482="",$T1482="",$T1482&lt;0,$T1482&gt;228,$Y1482=""),"—",ROUND(IF(ABS($AB1482)&lt;=3,$AB1482,IF($AB1482&gt;3,3+($J1482-$AD1482)/($AD1482-$AC1482),-3+($J1482-$AF1482)/($AE1482-$AF1482))),2))</f>
        <v/>
      </c>
      <c r="L1482">
        <f>IF(OR($K1482="",$K1482="—"),"",IF($T1482&lt;=60,IF($K1482&lt;-3,"Magreza acentuada",IF($K1482&lt;-2,"Magreza",IF($K1482&lt;=1,"Eutrofia",IF($K1482&lt;=2,"Risco de sobrepeso",IF($K1482&lt;=3,"Sobrepeso","Obesidade"))))),IF($K1482&lt;-3,"Magreza acentuada",IF($K1482&lt;-2,"Magreza",IF($K1482&lt;=1,"Eutrofia",IF($K1482&lt;=2,"Sobrepeso",IF($K1482&lt;=3,"Obesidade","Obesidade grave")))))))</f>
        <v/>
      </c>
      <c r="M1482" s="12">
        <f>IF(OR($S1482="",$V1482="",$T1482="",$T1482&lt;0,$T1482&gt;228,$AG1482=""),"—",ROUND(IF($AG1482=0,LN($V1482/$AH1482)/$AI1482,((($V1482/$AH1482)^$AG1482)-1)/($AG1482*$AI1482)),2))</f>
        <v/>
      </c>
      <c r="N1482">
        <f>IF(OR($M1482="",$M1482="—"),"",IF($M1482&lt;-3,"Muito baixa",IF($M1482&lt;-2,"Baixa","Adequada")))</f>
        <v/>
      </c>
      <c r="O1482" s="12">
        <f>IF(OR($S1482="",$F1482="",$T1482="",$T1482&lt;0,$T1482&gt;120,$AJ1482=""),"—",ROUND(IF(ABS($AM1482)&lt;=3,$AM1482,IF($AM1482&gt;3,3+($F1482-$AO1482)/($AO1482-$AN1482),-3+($F1482-$AQ1482)/($AP1482-$AQ1482))),2))</f>
        <v/>
      </c>
      <c r="P1482">
        <f>IF(OR($O1482="",$O1482="—"),"",IF($O1482&lt;-3,"Muito baixo",IF($O1482&lt;-2,"Baixo",IF($O1482&lt;=2,"Adequado","Elevado"))))</f>
        <v/>
      </c>
      <c r="Q1482" s="12">
        <f>IF(OR($S1482="",$F1482="",$T1482="",$T1482&lt;0,$T1482&gt;60,$AR1482=""),"—",ROUND(IF(ABS($AU1482)&lt;=3,$AU1482,IF($AU1482&gt;3,3+($F1482-$AW1482)/($AW1482-$AV1482),-3+($F1482-$AY1482)/($AX1482-$AY1482))),2))</f>
        <v/>
      </c>
      <c r="R1482">
        <f>IF(OR($Q1482="",$Q1482="—"),"",IF($Q1482&lt;-3,"Magreza acentuada",IF($Q1482&lt;-2,"Magreza",IF($Q1482&lt;=1,"Eutrofia",IF($Q1482&lt;=2,"Risco de sobrepeso",IF($Q1482&lt;=3,"Sobrepeso","Obesidade"))))))</f>
        <v/>
      </c>
      <c r="S1482">
        <f>IF($C1482="","",IF(UPPER(LEFT($C1482,1))="M",1,IF(UPPER(LEFT($C1482,1))="F",2,"")))</f>
        <v/>
      </c>
      <c r="T1482">
        <f>IF(OR($D1482="",$E1482=""),"",DATEDIF($D1482,$E1482,"m"))</f>
        <v/>
      </c>
      <c r="U1482">
        <f>IF(OR($D1482="",$E1482=""),"",$E1482-$D1482)</f>
        <v/>
      </c>
      <c r="V1482">
        <f>IF(OR($G1482="",$T1482=""),"",IF($T1482&lt;24,IF(LEFT(LOWER($H1482),4)="em p",$G1482+0.7,$G1482),IF(LEFT(LOWER($H1482),4)="deit",$G1482-0.7,$G1482)))</f>
        <v/>
      </c>
      <c r="W1482">
        <f>IF(OR($S1482="",$T1482=""),"",$S1482*1000000+IF($T1482&lt;=60,$U1482,$T1482))</f>
        <v/>
      </c>
      <c r="X1482">
        <f>IF(OR($S1482="",$V1482="",$T1482&gt;60,$T1482=""),"",$S1482*1000000+ROUND($V1482*10,0))</f>
        <v/>
      </c>
      <c r="Y1482">
        <f>IF($W1482="","",IFERROR(INDEX(IF($T1482&lt;=60,imc05_l,imc519_l),MATCH($W1482,IF($T1482&lt;=60,imc05_k,imc519_k),1)),""))</f>
        <v/>
      </c>
      <c r="Z1482">
        <f>IF($W1482="","",IFERROR(INDEX(IF($T1482&lt;=60,imc05_m,imc519_m),MATCH($W1482,IF($T1482&lt;=60,imc05_k,imc519_k),1)),""))</f>
        <v/>
      </c>
      <c r="AA1482">
        <f>IF($W1482="","",IFERROR(INDEX(IF($T1482&lt;=60,imc05_s,imc519_s),MATCH($W1482,IF($T1482&lt;=60,imc05_k,imc519_k),1)),""))</f>
        <v/>
      </c>
      <c r="AB1482">
        <f>IF($Y1482="","",IF($Y1482=0,LN($J1482/$Z1482)/$AA1482,((($J1482/$Z1482)^$Y1482)-1)/($Y1482*$AA1482)))</f>
        <v/>
      </c>
      <c r="AC1482">
        <f>IF($Y1482="","",IF($Y1482=0,$Z1482*EXP($AA1482*2),$Z1482*(1+$Y1482*$AA1482*2)^(1/$Y1482)))</f>
        <v/>
      </c>
      <c r="AD1482">
        <f>IF($Y1482="","",IF($Y1482=0,$Z1482*EXP($AA1482*3),$Z1482*(1+$Y1482*$AA1482*3)^(1/$Y1482)))</f>
        <v/>
      </c>
      <c r="AE1482">
        <f>IF($Y1482="","",IF($Y1482=0,$Z1482*EXP($AA1482*-2),$Z1482*(1+$Y1482*$AA1482*-2)^(1/$Y1482)))</f>
        <v/>
      </c>
      <c r="AF1482">
        <f>IF($Y1482="","",IF($Y1482=0,$Z1482*EXP($AA1482*-3),$Z1482*(1+$Y1482*$AA1482*-3)^(1/$Y1482)))</f>
        <v/>
      </c>
      <c r="AG1482">
        <f>IF($W1482="","",IFERROR(INDEX(IF($T1482&lt;=60,est05_l,est519_l),MATCH($W1482,IF($T1482&lt;=60,est05_k,est519_k),1)),""))</f>
        <v/>
      </c>
      <c r="AH1482">
        <f>IF($W1482="","",IFERROR(INDEX(IF($T1482&lt;=60,est05_m,est519_m),MATCH($W1482,IF($T1482&lt;=60,est05_k,est519_k),1)),""))</f>
        <v/>
      </c>
      <c r="AI1482">
        <f>IF($W1482="","",IFERROR(INDEX(IF($T1482&lt;=60,est05_s,est519_s),MATCH($W1482,IF($T1482&lt;=60,est05_k,est519_k),1)),""))</f>
        <v/>
      </c>
      <c r="AJ1482">
        <f>IF($W1482="","",IFERROR(INDEX(IF($T1482&lt;=60,peso05_l,peso510_l),MATCH($W1482,IF($T1482&lt;=60,peso05_k,peso510_k),1)),""))</f>
        <v/>
      </c>
      <c r="AK1482">
        <f>IF($W1482="","",IFERROR(INDEX(IF($T1482&lt;=60,peso05_m,peso510_m),MATCH($W1482,IF($T1482&lt;=60,peso05_k,peso510_k),1)),""))</f>
        <v/>
      </c>
      <c r="AL1482">
        <f>IF($W1482="","",IFERROR(INDEX(IF($T1482&lt;=60,peso05_s,peso510_s),MATCH($W1482,IF($T1482&lt;=60,peso05_k,peso510_k),1)),""))</f>
        <v/>
      </c>
      <c r="AM1482">
        <f>IF($AJ1482="","",IF($AJ1482=0,LN($F1482/$AK1482)/$AL1482,((($F1482/$AK1482)^$AJ1482)-1)/($AJ1482*$AL1482)))</f>
        <v/>
      </c>
      <c r="AN1482">
        <f>IF($AJ1482="","",IF($AJ1482=0,$AK1482*EXP($AL1482*2),$AK1482*(1+$AJ1482*$AL1482*2)^(1/$AJ1482)))</f>
        <v/>
      </c>
      <c r="AO1482">
        <f>IF($AJ1482="","",IF($AJ1482=0,$AK1482*EXP($AL1482*3),$AK1482*(1+$AJ1482*$AL1482*3)^(1/$AJ1482)))</f>
        <v/>
      </c>
      <c r="AP1482">
        <f>IF($AJ1482="","",IF($AJ1482=0,$AK1482*EXP($AL1482*-2),$AK1482*(1+$AJ1482*$AL1482*-2)^(1/$AJ1482)))</f>
        <v/>
      </c>
      <c r="AQ1482">
        <f>IF($AJ1482="","",IF($AJ1482=0,$AK1482*EXP($AL1482*-3),$AK1482*(1+$AJ1482*$AL1482*-3)^(1/$AJ1482)))</f>
        <v/>
      </c>
      <c r="AR1482">
        <f>IF(OR($X1482="",$T1482&gt;60),"",IFERROR(INDEX(IF($T1482&lt;24,pcomp_l,palt_l),MATCH($X1482,IF($T1482&lt;24,pcomp_k,palt_k),1)),""))</f>
        <v/>
      </c>
      <c r="AS1482">
        <f>IF(OR($X1482="",$T1482&gt;60),"",IFERROR(INDEX(IF($T1482&lt;24,pcomp_m,palt_m),MATCH($X1482,IF($T1482&lt;24,pcomp_k,palt_k),1)),""))</f>
        <v/>
      </c>
      <c r="AT1482">
        <f>IF(OR($X1482="",$T1482&gt;60),"",IFERROR(INDEX(IF($T1482&lt;24,pcomp_s,palt_s),MATCH($X1482,IF($T1482&lt;24,pcomp_k,palt_k),1)),""))</f>
        <v/>
      </c>
      <c r="AU1482">
        <f>IF($AR1482="","",IF($AR1482=0,LN($F1482/$AS1482)/$AT1482,((($F1482/$AS1482)^$AR1482)-1)/($AR1482*$AT1482)))</f>
        <v/>
      </c>
      <c r="AV1482">
        <f>IF($AR1482="","",IF($AR1482=0,$AS1482*EXP($AT1482*2),$AS1482*(1+$AR1482*$AT1482*2)^(1/$AR1482)))</f>
        <v/>
      </c>
      <c r="AW1482">
        <f>IF($AR1482="","",IF($AR1482=0,$AS1482*EXP($AT1482*3),$AS1482*(1+$AR1482*$AT1482*3)^(1/$AR1482)))</f>
        <v/>
      </c>
      <c r="AX1482">
        <f>IF($AR1482="","",IF($AR1482=0,$AS1482*EXP($AT1482*-2),$AS1482*(1+$AR1482*$AT1482*-2)^(1/$AR1482)))</f>
        <v/>
      </c>
      <c r="AY1482">
        <f>IF($AR1482="","",IF($AR1482=0,$AS1482*EXP($AT1482*-3),$AS1482*(1+$AR1482*$AT1482*-3)^(1/$AR1482)))</f>
        <v/>
      </c>
      <c r="AZ1482">
        <f>IF(OR($A1482="",$A1482&lt;&gt;Ficha!$C$4),"",COUNTIF($A$2:$A1482,Ficha!$C$4))</f>
        <v/>
      </c>
    </row>
    <row r="1483">
      <c r="A1483" s="8">
        <f>IF(INDEX(Banco!$A:$A,ROW())="","",INDEX(Banco!$A:$A,ROW()))</f>
        <v/>
      </c>
      <c r="B1483" s="8">
        <f>IF(INDEX(Banco!$B:$B,ROW())="","",INDEX(Banco!$B:$B,ROW()))</f>
        <v/>
      </c>
      <c r="C1483" s="8">
        <f>IF(INDEX(Banco!$C:$C,ROW())="","",INDEX(Banco!$C:$C,ROW()))</f>
        <v/>
      </c>
      <c r="D1483" s="9">
        <f>IF(INDEX(Banco!$D:$D,ROW())="","",INDEX(Banco!$D:$D,ROW()))</f>
        <v/>
      </c>
      <c r="E1483" s="9">
        <f>IF(INDEX(Banco!$E:$E,ROW())="","",INDEX(Banco!$E:$E,ROW()))</f>
        <v/>
      </c>
      <c r="F1483" s="10">
        <f>IF(INDEX(Banco!$F:$F,ROW())="","",INDEX(Banco!$F:$F,ROW()))</f>
        <v/>
      </c>
      <c r="G1483" s="10">
        <f>IF(INDEX(Banco!$G:$G,ROW())="","",INDEX(Banco!$G:$G,ROW()))</f>
        <v/>
      </c>
      <c r="H1483" s="8">
        <f>IF(INDEX(Banco!$H:$H,ROW())="","",INDEX(Banco!$H:$H,ROW()))</f>
        <v/>
      </c>
      <c r="I1483">
        <f>IF($T1483="","",INT($T1483/12)&amp;"a "&amp;MOD($T1483,12)&amp;"m")</f>
        <v/>
      </c>
      <c r="J1483" s="11">
        <f>IF(OR($F1483="",$G1483=""),"",ROUND($F1483/($G1483/100)^2,2))</f>
        <v/>
      </c>
      <c r="K1483" s="12">
        <f>IF(OR($S1483="",$J1483="",$T1483="",$T1483&lt;0,$T1483&gt;228,$Y1483=""),"—",ROUND(IF(ABS($AB1483)&lt;=3,$AB1483,IF($AB1483&gt;3,3+($J1483-$AD1483)/($AD1483-$AC1483),-3+($J1483-$AF1483)/($AE1483-$AF1483))),2))</f>
        <v/>
      </c>
      <c r="L1483">
        <f>IF(OR($K1483="",$K1483="—"),"",IF($T1483&lt;=60,IF($K1483&lt;-3,"Magreza acentuada",IF($K1483&lt;-2,"Magreza",IF($K1483&lt;=1,"Eutrofia",IF($K1483&lt;=2,"Risco de sobrepeso",IF($K1483&lt;=3,"Sobrepeso","Obesidade"))))),IF($K1483&lt;-3,"Magreza acentuada",IF($K1483&lt;-2,"Magreza",IF($K1483&lt;=1,"Eutrofia",IF($K1483&lt;=2,"Sobrepeso",IF($K1483&lt;=3,"Obesidade","Obesidade grave")))))))</f>
        <v/>
      </c>
      <c r="M1483" s="12">
        <f>IF(OR($S1483="",$V1483="",$T1483="",$T1483&lt;0,$T1483&gt;228,$AG1483=""),"—",ROUND(IF($AG1483=0,LN($V1483/$AH1483)/$AI1483,((($V1483/$AH1483)^$AG1483)-1)/($AG1483*$AI1483)),2))</f>
        <v/>
      </c>
      <c r="N1483">
        <f>IF(OR($M1483="",$M1483="—"),"",IF($M1483&lt;-3,"Muito baixa",IF($M1483&lt;-2,"Baixa","Adequada")))</f>
        <v/>
      </c>
      <c r="O1483" s="12">
        <f>IF(OR($S1483="",$F1483="",$T1483="",$T1483&lt;0,$T1483&gt;120,$AJ1483=""),"—",ROUND(IF(ABS($AM1483)&lt;=3,$AM1483,IF($AM1483&gt;3,3+($F1483-$AO1483)/($AO1483-$AN1483),-3+($F1483-$AQ1483)/($AP1483-$AQ1483))),2))</f>
        <v/>
      </c>
      <c r="P1483">
        <f>IF(OR($O1483="",$O1483="—"),"",IF($O1483&lt;-3,"Muito baixo",IF($O1483&lt;-2,"Baixo",IF($O1483&lt;=2,"Adequado","Elevado"))))</f>
        <v/>
      </c>
      <c r="Q1483" s="12">
        <f>IF(OR($S1483="",$F1483="",$T1483="",$T1483&lt;0,$T1483&gt;60,$AR1483=""),"—",ROUND(IF(ABS($AU1483)&lt;=3,$AU1483,IF($AU1483&gt;3,3+($F1483-$AW1483)/($AW1483-$AV1483),-3+($F1483-$AY1483)/($AX1483-$AY1483))),2))</f>
        <v/>
      </c>
      <c r="R1483">
        <f>IF(OR($Q1483="",$Q1483="—"),"",IF($Q1483&lt;-3,"Magreza acentuada",IF($Q1483&lt;-2,"Magreza",IF($Q1483&lt;=1,"Eutrofia",IF($Q1483&lt;=2,"Risco de sobrepeso",IF($Q1483&lt;=3,"Sobrepeso","Obesidade"))))))</f>
        <v/>
      </c>
      <c r="S1483">
        <f>IF($C1483="","",IF(UPPER(LEFT($C1483,1))="M",1,IF(UPPER(LEFT($C1483,1))="F",2,"")))</f>
        <v/>
      </c>
      <c r="T1483">
        <f>IF(OR($D1483="",$E1483=""),"",DATEDIF($D1483,$E1483,"m"))</f>
        <v/>
      </c>
      <c r="U1483">
        <f>IF(OR($D1483="",$E1483=""),"",$E1483-$D1483)</f>
        <v/>
      </c>
      <c r="V1483">
        <f>IF(OR($G1483="",$T1483=""),"",IF($T1483&lt;24,IF(LEFT(LOWER($H1483),4)="em p",$G1483+0.7,$G1483),IF(LEFT(LOWER($H1483),4)="deit",$G1483-0.7,$G1483)))</f>
        <v/>
      </c>
      <c r="W1483">
        <f>IF(OR($S1483="",$T1483=""),"",$S1483*1000000+IF($T1483&lt;=60,$U1483,$T1483))</f>
        <v/>
      </c>
      <c r="X1483">
        <f>IF(OR($S1483="",$V1483="",$T1483&gt;60,$T1483=""),"",$S1483*1000000+ROUND($V1483*10,0))</f>
        <v/>
      </c>
      <c r="Y1483">
        <f>IF($W1483="","",IFERROR(INDEX(IF($T1483&lt;=60,imc05_l,imc519_l),MATCH($W1483,IF($T1483&lt;=60,imc05_k,imc519_k),1)),""))</f>
        <v/>
      </c>
      <c r="Z1483">
        <f>IF($W1483="","",IFERROR(INDEX(IF($T1483&lt;=60,imc05_m,imc519_m),MATCH($W1483,IF($T1483&lt;=60,imc05_k,imc519_k),1)),""))</f>
        <v/>
      </c>
      <c r="AA1483">
        <f>IF($W1483="","",IFERROR(INDEX(IF($T1483&lt;=60,imc05_s,imc519_s),MATCH($W1483,IF($T1483&lt;=60,imc05_k,imc519_k),1)),""))</f>
        <v/>
      </c>
      <c r="AB1483">
        <f>IF($Y1483="","",IF($Y1483=0,LN($J1483/$Z1483)/$AA1483,((($J1483/$Z1483)^$Y1483)-1)/($Y1483*$AA1483)))</f>
        <v/>
      </c>
      <c r="AC1483">
        <f>IF($Y1483="","",IF($Y1483=0,$Z1483*EXP($AA1483*2),$Z1483*(1+$Y1483*$AA1483*2)^(1/$Y1483)))</f>
        <v/>
      </c>
      <c r="AD1483">
        <f>IF($Y1483="","",IF($Y1483=0,$Z1483*EXP($AA1483*3),$Z1483*(1+$Y1483*$AA1483*3)^(1/$Y1483)))</f>
        <v/>
      </c>
      <c r="AE1483">
        <f>IF($Y1483="","",IF($Y1483=0,$Z1483*EXP($AA1483*-2),$Z1483*(1+$Y1483*$AA1483*-2)^(1/$Y1483)))</f>
        <v/>
      </c>
      <c r="AF1483">
        <f>IF($Y1483="","",IF($Y1483=0,$Z1483*EXP($AA1483*-3),$Z1483*(1+$Y1483*$AA1483*-3)^(1/$Y1483)))</f>
        <v/>
      </c>
      <c r="AG1483">
        <f>IF($W1483="","",IFERROR(INDEX(IF($T1483&lt;=60,est05_l,est519_l),MATCH($W1483,IF($T1483&lt;=60,est05_k,est519_k),1)),""))</f>
        <v/>
      </c>
      <c r="AH1483">
        <f>IF($W1483="","",IFERROR(INDEX(IF($T1483&lt;=60,est05_m,est519_m),MATCH($W1483,IF($T1483&lt;=60,est05_k,est519_k),1)),""))</f>
        <v/>
      </c>
      <c r="AI1483">
        <f>IF($W1483="","",IFERROR(INDEX(IF($T1483&lt;=60,est05_s,est519_s),MATCH($W1483,IF($T1483&lt;=60,est05_k,est519_k),1)),""))</f>
        <v/>
      </c>
      <c r="AJ1483">
        <f>IF($W1483="","",IFERROR(INDEX(IF($T1483&lt;=60,peso05_l,peso510_l),MATCH($W1483,IF($T1483&lt;=60,peso05_k,peso510_k),1)),""))</f>
        <v/>
      </c>
      <c r="AK1483">
        <f>IF($W1483="","",IFERROR(INDEX(IF($T1483&lt;=60,peso05_m,peso510_m),MATCH($W1483,IF($T1483&lt;=60,peso05_k,peso510_k),1)),""))</f>
        <v/>
      </c>
      <c r="AL1483">
        <f>IF($W1483="","",IFERROR(INDEX(IF($T1483&lt;=60,peso05_s,peso510_s),MATCH($W1483,IF($T1483&lt;=60,peso05_k,peso510_k),1)),""))</f>
        <v/>
      </c>
      <c r="AM1483">
        <f>IF($AJ1483="","",IF($AJ1483=0,LN($F1483/$AK1483)/$AL1483,((($F1483/$AK1483)^$AJ1483)-1)/($AJ1483*$AL1483)))</f>
        <v/>
      </c>
      <c r="AN1483">
        <f>IF($AJ1483="","",IF($AJ1483=0,$AK1483*EXP($AL1483*2),$AK1483*(1+$AJ1483*$AL1483*2)^(1/$AJ1483)))</f>
        <v/>
      </c>
      <c r="AO1483">
        <f>IF($AJ1483="","",IF($AJ1483=0,$AK1483*EXP($AL1483*3),$AK1483*(1+$AJ1483*$AL1483*3)^(1/$AJ1483)))</f>
        <v/>
      </c>
      <c r="AP1483">
        <f>IF($AJ1483="","",IF($AJ1483=0,$AK1483*EXP($AL1483*-2),$AK1483*(1+$AJ1483*$AL1483*-2)^(1/$AJ1483)))</f>
        <v/>
      </c>
      <c r="AQ1483">
        <f>IF($AJ1483="","",IF($AJ1483=0,$AK1483*EXP($AL1483*-3),$AK1483*(1+$AJ1483*$AL1483*-3)^(1/$AJ1483)))</f>
        <v/>
      </c>
      <c r="AR1483">
        <f>IF(OR($X1483="",$T1483&gt;60),"",IFERROR(INDEX(IF($T1483&lt;24,pcomp_l,palt_l),MATCH($X1483,IF($T1483&lt;24,pcomp_k,palt_k),1)),""))</f>
        <v/>
      </c>
      <c r="AS1483">
        <f>IF(OR($X1483="",$T1483&gt;60),"",IFERROR(INDEX(IF($T1483&lt;24,pcomp_m,palt_m),MATCH($X1483,IF($T1483&lt;24,pcomp_k,palt_k),1)),""))</f>
        <v/>
      </c>
      <c r="AT1483">
        <f>IF(OR($X1483="",$T1483&gt;60),"",IFERROR(INDEX(IF($T1483&lt;24,pcomp_s,palt_s),MATCH($X1483,IF($T1483&lt;24,pcomp_k,palt_k),1)),""))</f>
        <v/>
      </c>
      <c r="AU1483">
        <f>IF($AR1483="","",IF($AR1483=0,LN($F1483/$AS1483)/$AT1483,((($F1483/$AS1483)^$AR1483)-1)/($AR1483*$AT1483)))</f>
        <v/>
      </c>
      <c r="AV1483">
        <f>IF($AR1483="","",IF($AR1483=0,$AS1483*EXP($AT1483*2),$AS1483*(1+$AR1483*$AT1483*2)^(1/$AR1483)))</f>
        <v/>
      </c>
      <c r="AW1483">
        <f>IF($AR1483="","",IF($AR1483=0,$AS1483*EXP($AT1483*3),$AS1483*(1+$AR1483*$AT1483*3)^(1/$AR1483)))</f>
        <v/>
      </c>
      <c r="AX1483">
        <f>IF($AR1483="","",IF($AR1483=0,$AS1483*EXP($AT1483*-2),$AS1483*(1+$AR1483*$AT1483*-2)^(1/$AR1483)))</f>
        <v/>
      </c>
      <c r="AY1483">
        <f>IF($AR1483="","",IF($AR1483=0,$AS1483*EXP($AT1483*-3),$AS1483*(1+$AR1483*$AT1483*-3)^(1/$AR1483)))</f>
        <v/>
      </c>
      <c r="AZ1483">
        <f>IF(OR($A1483="",$A1483&lt;&gt;Ficha!$C$4),"",COUNTIF($A$2:$A1483,Ficha!$C$4))</f>
        <v/>
      </c>
    </row>
    <row r="1484">
      <c r="A1484" s="8">
        <f>IF(INDEX(Banco!$A:$A,ROW())="","",INDEX(Banco!$A:$A,ROW()))</f>
        <v/>
      </c>
      <c r="B1484" s="8">
        <f>IF(INDEX(Banco!$B:$B,ROW())="","",INDEX(Banco!$B:$B,ROW()))</f>
        <v/>
      </c>
      <c r="C1484" s="8">
        <f>IF(INDEX(Banco!$C:$C,ROW())="","",INDEX(Banco!$C:$C,ROW()))</f>
        <v/>
      </c>
      <c r="D1484" s="9">
        <f>IF(INDEX(Banco!$D:$D,ROW())="","",INDEX(Banco!$D:$D,ROW()))</f>
        <v/>
      </c>
      <c r="E1484" s="9">
        <f>IF(INDEX(Banco!$E:$E,ROW())="","",INDEX(Banco!$E:$E,ROW()))</f>
        <v/>
      </c>
      <c r="F1484" s="10">
        <f>IF(INDEX(Banco!$F:$F,ROW())="","",INDEX(Banco!$F:$F,ROW()))</f>
        <v/>
      </c>
      <c r="G1484" s="10">
        <f>IF(INDEX(Banco!$G:$G,ROW())="","",INDEX(Banco!$G:$G,ROW()))</f>
        <v/>
      </c>
      <c r="H1484" s="8">
        <f>IF(INDEX(Banco!$H:$H,ROW())="","",INDEX(Banco!$H:$H,ROW()))</f>
        <v/>
      </c>
      <c r="I1484">
        <f>IF($T1484="","",INT($T1484/12)&amp;"a "&amp;MOD($T1484,12)&amp;"m")</f>
        <v/>
      </c>
      <c r="J1484" s="11">
        <f>IF(OR($F1484="",$G1484=""),"",ROUND($F1484/($G1484/100)^2,2))</f>
        <v/>
      </c>
      <c r="K1484" s="12">
        <f>IF(OR($S1484="",$J1484="",$T1484="",$T1484&lt;0,$T1484&gt;228,$Y1484=""),"—",ROUND(IF(ABS($AB1484)&lt;=3,$AB1484,IF($AB1484&gt;3,3+($J1484-$AD1484)/($AD1484-$AC1484),-3+($J1484-$AF1484)/($AE1484-$AF1484))),2))</f>
        <v/>
      </c>
      <c r="L1484">
        <f>IF(OR($K1484="",$K1484="—"),"",IF($T1484&lt;=60,IF($K1484&lt;-3,"Magreza acentuada",IF($K1484&lt;-2,"Magreza",IF($K1484&lt;=1,"Eutrofia",IF($K1484&lt;=2,"Risco de sobrepeso",IF($K1484&lt;=3,"Sobrepeso","Obesidade"))))),IF($K1484&lt;-3,"Magreza acentuada",IF($K1484&lt;-2,"Magreza",IF($K1484&lt;=1,"Eutrofia",IF($K1484&lt;=2,"Sobrepeso",IF($K1484&lt;=3,"Obesidade","Obesidade grave")))))))</f>
        <v/>
      </c>
      <c r="M1484" s="12">
        <f>IF(OR($S1484="",$V1484="",$T1484="",$T1484&lt;0,$T1484&gt;228,$AG1484=""),"—",ROUND(IF($AG1484=0,LN($V1484/$AH1484)/$AI1484,((($V1484/$AH1484)^$AG1484)-1)/($AG1484*$AI1484)),2))</f>
        <v/>
      </c>
      <c r="N1484">
        <f>IF(OR($M1484="",$M1484="—"),"",IF($M1484&lt;-3,"Muito baixa",IF($M1484&lt;-2,"Baixa","Adequada")))</f>
        <v/>
      </c>
      <c r="O1484" s="12">
        <f>IF(OR($S1484="",$F1484="",$T1484="",$T1484&lt;0,$T1484&gt;120,$AJ1484=""),"—",ROUND(IF(ABS($AM1484)&lt;=3,$AM1484,IF($AM1484&gt;3,3+($F1484-$AO1484)/($AO1484-$AN1484),-3+($F1484-$AQ1484)/($AP1484-$AQ1484))),2))</f>
        <v/>
      </c>
      <c r="P1484">
        <f>IF(OR($O1484="",$O1484="—"),"",IF($O1484&lt;-3,"Muito baixo",IF($O1484&lt;-2,"Baixo",IF($O1484&lt;=2,"Adequado","Elevado"))))</f>
        <v/>
      </c>
      <c r="Q1484" s="12">
        <f>IF(OR($S1484="",$F1484="",$T1484="",$T1484&lt;0,$T1484&gt;60,$AR1484=""),"—",ROUND(IF(ABS($AU1484)&lt;=3,$AU1484,IF($AU1484&gt;3,3+($F1484-$AW1484)/($AW1484-$AV1484),-3+($F1484-$AY1484)/($AX1484-$AY1484))),2))</f>
        <v/>
      </c>
      <c r="R1484">
        <f>IF(OR($Q1484="",$Q1484="—"),"",IF($Q1484&lt;-3,"Magreza acentuada",IF($Q1484&lt;-2,"Magreza",IF($Q1484&lt;=1,"Eutrofia",IF($Q1484&lt;=2,"Risco de sobrepeso",IF($Q1484&lt;=3,"Sobrepeso","Obesidade"))))))</f>
        <v/>
      </c>
      <c r="S1484">
        <f>IF($C1484="","",IF(UPPER(LEFT($C1484,1))="M",1,IF(UPPER(LEFT($C1484,1))="F",2,"")))</f>
        <v/>
      </c>
      <c r="T1484">
        <f>IF(OR($D1484="",$E1484=""),"",DATEDIF($D1484,$E1484,"m"))</f>
        <v/>
      </c>
      <c r="U1484">
        <f>IF(OR($D1484="",$E1484=""),"",$E1484-$D1484)</f>
        <v/>
      </c>
      <c r="V1484">
        <f>IF(OR($G1484="",$T1484=""),"",IF($T1484&lt;24,IF(LEFT(LOWER($H1484),4)="em p",$G1484+0.7,$G1484),IF(LEFT(LOWER($H1484),4)="deit",$G1484-0.7,$G1484)))</f>
        <v/>
      </c>
      <c r="W1484">
        <f>IF(OR($S1484="",$T1484=""),"",$S1484*1000000+IF($T1484&lt;=60,$U1484,$T1484))</f>
        <v/>
      </c>
      <c r="X1484">
        <f>IF(OR($S1484="",$V1484="",$T1484&gt;60,$T1484=""),"",$S1484*1000000+ROUND($V1484*10,0))</f>
        <v/>
      </c>
      <c r="Y1484">
        <f>IF($W1484="","",IFERROR(INDEX(IF($T1484&lt;=60,imc05_l,imc519_l),MATCH($W1484,IF($T1484&lt;=60,imc05_k,imc519_k),1)),""))</f>
        <v/>
      </c>
      <c r="Z1484">
        <f>IF($W1484="","",IFERROR(INDEX(IF($T1484&lt;=60,imc05_m,imc519_m),MATCH($W1484,IF($T1484&lt;=60,imc05_k,imc519_k),1)),""))</f>
        <v/>
      </c>
      <c r="AA1484">
        <f>IF($W1484="","",IFERROR(INDEX(IF($T1484&lt;=60,imc05_s,imc519_s),MATCH($W1484,IF($T1484&lt;=60,imc05_k,imc519_k),1)),""))</f>
        <v/>
      </c>
      <c r="AB1484">
        <f>IF($Y1484="","",IF($Y1484=0,LN($J1484/$Z1484)/$AA1484,((($J1484/$Z1484)^$Y1484)-1)/($Y1484*$AA1484)))</f>
        <v/>
      </c>
      <c r="AC1484">
        <f>IF($Y1484="","",IF($Y1484=0,$Z1484*EXP($AA1484*2),$Z1484*(1+$Y1484*$AA1484*2)^(1/$Y1484)))</f>
        <v/>
      </c>
      <c r="AD1484">
        <f>IF($Y1484="","",IF($Y1484=0,$Z1484*EXP($AA1484*3),$Z1484*(1+$Y1484*$AA1484*3)^(1/$Y1484)))</f>
        <v/>
      </c>
      <c r="AE1484">
        <f>IF($Y1484="","",IF($Y1484=0,$Z1484*EXP($AA1484*-2),$Z1484*(1+$Y1484*$AA1484*-2)^(1/$Y1484)))</f>
        <v/>
      </c>
      <c r="AF1484">
        <f>IF($Y1484="","",IF($Y1484=0,$Z1484*EXP($AA1484*-3),$Z1484*(1+$Y1484*$AA1484*-3)^(1/$Y1484)))</f>
        <v/>
      </c>
      <c r="AG1484">
        <f>IF($W1484="","",IFERROR(INDEX(IF($T1484&lt;=60,est05_l,est519_l),MATCH($W1484,IF($T1484&lt;=60,est05_k,est519_k),1)),""))</f>
        <v/>
      </c>
      <c r="AH1484">
        <f>IF($W1484="","",IFERROR(INDEX(IF($T1484&lt;=60,est05_m,est519_m),MATCH($W1484,IF($T1484&lt;=60,est05_k,est519_k),1)),""))</f>
        <v/>
      </c>
      <c r="AI1484">
        <f>IF($W1484="","",IFERROR(INDEX(IF($T1484&lt;=60,est05_s,est519_s),MATCH($W1484,IF($T1484&lt;=60,est05_k,est519_k),1)),""))</f>
        <v/>
      </c>
      <c r="AJ1484">
        <f>IF($W1484="","",IFERROR(INDEX(IF($T1484&lt;=60,peso05_l,peso510_l),MATCH($W1484,IF($T1484&lt;=60,peso05_k,peso510_k),1)),""))</f>
        <v/>
      </c>
      <c r="AK1484">
        <f>IF($W1484="","",IFERROR(INDEX(IF($T1484&lt;=60,peso05_m,peso510_m),MATCH($W1484,IF($T1484&lt;=60,peso05_k,peso510_k),1)),""))</f>
        <v/>
      </c>
      <c r="AL1484">
        <f>IF($W1484="","",IFERROR(INDEX(IF($T1484&lt;=60,peso05_s,peso510_s),MATCH($W1484,IF($T1484&lt;=60,peso05_k,peso510_k),1)),""))</f>
        <v/>
      </c>
      <c r="AM1484">
        <f>IF($AJ1484="","",IF($AJ1484=0,LN($F1484/$AK1484)/$AL1484,((($F1484/$AK1484)^$AJ1484)-1)/($AJ1484*$AL1484)))</f>
        <v/>
      </c>
      <c r="AN1484">
        <f>IF($AJ1484="","",IF($AJ1484=0,$AK1484*EXP($AL1484*2),$AK1484*(1+$AJ1484*$AL1484*2)^(1/$AJ1484)))</f>
        <v/>
      </c>
      <c r="AO1484">
        <f>IF($AJ1484="","",IF($AJ1484=0,$AK1484*EXP($AL1484*3),$AK1484*(1+$AJ1484*$AL1484*3)^(1/$AJ1484)))</f>
        <v/>
      </c>
      <c r="AP1484">
        <f>IF($AJ1484="","",IF($AJ1484=0,$AK1484*EXP($AL1484*-2),$AK1484*(1+$AJ1484*$AL1484*-2)^(1/$AJ1484)))</f>
        <v/>
      </c>
      <c r="AQ1484">
        <f>IF($AJ1484="","",IF($AJ1484=0,$AK1484*EXP($AL1484*-3),$AK1484*(1+$AJ1484*$AL1484*-3)^(1/$AJ1484)))</f>
        <v/>
      </c>
      <c r="AR1484">
        <f>IF(OR($X1484="",$T1484&gt;60),"",IFERROR(INDEX(IF($T1484&lt;24,pcomp_l,palt_l),MATCH($X1484,IF($T1484&lt;24,pcomp_k,palt_k),1)),""))</f>
        <v/>
      </c>
      <c r="AS1484">
        <f>IF(OR($X1484="",$T1484&gt;60),"",IFERROR(INDEX(IF($T1484&lt;24,pcomp_m,palt_m),MATCH($X1484,IF($T1484&lt;24,pcomp_k,palt_k),1)),""))</f>
        <v/>
      </c>
      <c r="AT1484">
        <f>IF(OR($X1484="",$T1484&gt;60),"",IFERROR(INDEX(IF($T1484&lt;24,pcomp_s,palt_s),MATCH($X1484,IF($T1484&lt;24,pcomp_k,palt_k),1)),""))</f>
        <v/>
      </c>
      <c r="AU1484">
        <f>IF($AR1484="","",IF($AR1484=0,LN($F1484/$AS1484)/$AT1484,((($F1484/$AS1484)^$AR1484)-1)/($AR1484*$AT1484)))</f>
        <v/>
      </c>
      <c r="AV1484">
        <f>IF($AR1484="","",IF($AR1484=0,$AS1484*EXP($AT1484*2),$AS1484*(1+$AR1484*$AT1484*2)^(1/$AR1484)))</f>
        <v/>
      </c>
      <c r="AW1484">
        <f>IF($AR1484="","",IF($AR1484=0,$AS1484*EXP($AT1484*3),$AS1484*(1+$AR1484*$AT1484*3)^(1/$AR1484)))</f>
        <v/>
      </c>
      <c r="AX1484">
        <f>IF($AR1484="","",IF($AR1484=0,$AS1484*EXP($AT1484*-2),$AS1484*(1+$AR1484*$AT1484*-2)^(1/$AR1484)))</f>
        <v/>
      </c>
      <c r="AY1484">
        <f>IF($AR1484="","",IF($AR1484=0,$AS1484*EXP($AT1484*-3),$AS1484*(1+$AR1484*$AT1484*-3)^(1/$AR1484)))</f>
        <v/>
      </c>
      <c r="AZ1484">
        <f>IF(OR($A1484="",$A1484&lt;&gt;Ficha!$C$4),"",COUNTIF($A$2:$A1484,Ficha!$C$4))</f>
        <v/>
      </c>
    </row>
    <row r="1485">
      <c r="A1485" s="8">
        <f>IF(INDEX(Banco!$A:$A,ROW())="","",INDEX(Banco!$A:$A,ROW()))</f>
        <v/>
      </c>
      <c r="B1485" s="8">
        <f>IF(INDEX(Banco!$B:$B,ROW())="","",INDEX(Banco!$B:$B,ROW()))</f>
        <v/>
      </c>
      <c r="C1485" s="8">
        <f>IF(INDEX(Banco!$C:$C,ROW())="","",INDEX(Banco!$C:$C,ROW()))</f>
        <v/>
      </c>
      <c r="D1485" s="9">
        <f>IF(INDEX(Banco!$D:$D,ROW())="","",INDEX(Banco!$D:$D,ROW()))</f>
        <v/>
      </c>
      <c r="E1485" s="9">
        <f>IF(INDEX(Banco!$E:$E,ROW())="","",INDEX(Banco!$E:$E,ROW()))</f>
        <v/>
      </c>
      <c r="F1485" s="10">
        <f>IF(INDEX(Banco!$F:$F,ROW())="","",INDEX(Banco!$F:$F,ROW()))</f>
        <v/>
      </c>
      <c r="G1485" s="10">
        <f>IF(INDEX(Banco!$G:$G,ROW())="","",INDEX(Banco!$G:$G,ROW()))</f>
        <v/>
      </c>
      <c r="H1485" s="8">
        <f>IF(INDEX(Banco!$H:$H,ROW())="","",INDEX(Banco!$H:$H,ROW()))</f>
        <v/>
      </c>
      <c r="I1485">
        <f>IF($T1485="","",INT($T1485/12)&amp;"a "&amp;MOD($T1485,12)&amp;"m")</f>
        <v/>
      </c>
      <c r="J1485" s="11">
        <f>IF(OR($F1485="",$G1485=""),"",ROUND($F1485/($G1485/100)^2,2))</f>
        <v/>
      </c>
      <c r="K1485" s="12">
        <f>IF(OR($S1485="",$J1485="",$T1485="",$T1485&lt;0,$T1485&gt;228,$Y1485=""),"—",ROUND(IF(ABS($AB1485)&lt;=3,$AB1485,IF($AB1485&gt;3,3+($J1485-$AD1485)/($AD1485-$AC1485),-3+($J1485-$AF1485)/($AE1485-$AF1485))),2))</f>
        <v/>
      </c>
      <c r="L1485">
        <f>IF(OR($K1485="",$K1485="—"),"",IF($T1485&lt;=60,IF($K1485&lt;-3,"Magreza acentuada",IF($K1485&lt;-2,"Magreza",IF($K1485&lt;=1,"Eutrofia",IF($K1485&lt;=2,"Risco de sobrepeso",IF($K1485&lt;=3,"Sobrepeso","Obesidade"))))),IF($K1485&lt;-3,"Magreza acentuada",IF($K1485&lt;-2,"Magreza",IF($K1485&lt;=1,"Eutrofia",IF($K1485&lt;=2,"Sobrepeso",IF($K1485&lt;=3,"Obesidade","Obesidade grave")))))))</f>
        <v/>
      </c>
      <c r="M1485" s="12">
        <f>IF(OR($S1485="",$V1485="",$T1485="",$T1485&lt;0,$T1485&gt;228,$AG1485=""),"—",ROUND(IF($AG1485=0,LN($V1485/$AH1485)/$AI1485,((($V1485/$AH1485)^$AG1485)-1)/($AG1485*$AI1485)),2))</f>
        <v/>
      </c>
      <c r="N1485">
        <f>IF(OR($M1485="",$M1485="—"),"",IF($M1485&lt;-3,"Muito baixa",IF($M1485&lt;-2,"Baixa","Adequada")))</f>
        <v/>
      </c>
      <c r="O1485" s="12">
        <f>IF(OR($S1485="",$F1485="",$T1485="",$T1485&lt;0,$T1485&gt;120,$AJ1485=""),"—",ROUND(IF(ABS($AM1485)&lt;=3,$AM1485,IF($AM1485&gt;3,3+($F1485-$AO1485)/($AO1485-$AN1485),-3+($F1485-$AQ1485)/($AP1485-$AQ1485))),2))</f>
        <v/>
      </c>
      <c r="P1485">
        <f>IF(OR($O1485="",$O1485="—"),"",IF($O1485&lt;-3,"Muito baixo",IF($O1485&lt;-2,"Baixo",IF($O1485&lt;=2,"Adequado","Elevado"))))</f>
        <v/>
      </c>
      <c r="Q1485" s="12">
        <f>IF(OR($S1485="",$F1485="",$T1485="",$T1485&lt;0,$T1485&gt;60,$AR1485=""),"—",ROUND(IF(ABS($AU1485)&lt;=3,$AU1485,IF($AU1485&gt;3,3+($F1485-$AW1485)/($AW1485-$AV1485),-3+($F1485-$AY1485)/($AX1485-$AY1485))),2))</f>
        <v/>
      </c>
      <c r="R1485">
        <f>IF(OR($Q1485="",$Q1485="—"),"",IF($Q1485&lt;-3,"Magreza acentuada",IF($Q1485&lt;-2,"Magreza",IF($Q1485&lt;=1,"Eutrofia",IF($Q1485&lt;=2,"Risco de sobrepeso",IF($Q1485&lt;=3,"Sobrepeso","Obesidade"))))))</f>
        <v/>
      </c>
      <c r="S1485">
        <f>IF($C1485="","",IF(UPPER(LEFT($C1485,1))="M",1,IF(UPPER(LEFT($C1485,1))="F",2,"")))</f>
        <v/>
      </c>
      <c r="T1485">
        <f>IF(OR($D1485="",$E1485=""),"",DATEDIF($D1485,$E1485,"m"))</f>
        <v/>
      </c>
      <c r="U1485">
        <f>IF(OR($D1485="",$E1485=""),"",$E1485-$D1485)</f>
        <v/>
      </c>
      <c r="V1485">
        <f>IF(OR($G1485="",$T1485=""),"",IF($T1485&lt;24,IF(LEFT(LOWER($H1485),4)="em p",$G1485+0.7,$G1485),IF(LEFT(LOWER($H1485),4)="deit",$G1485-0.7,$G1485)))</f>
        <v/>
      </c>
      <c r="W1485">
        <f>IF(OR($S1485="",$T1485=""),"",$S1485*1000000+IF($T1485&lt;=60,$U1485,$T1485))</f>
        <v/>
      </c>
      <c r="X1485">
        <f>IF(OR($S1485="",$V1485="",$T1485&gt;60,$T1485=""),"",$S1485*1000000+ROUND($V1485*10,0))</f>
        <v/>
      </c>
      <c r="Y1485">
        <f>IF($W1485="","",IFERROR(INDEX(IF($T1485&lt;=60,imc05_l,imc519_l),MATCH($W1485,IF($T1485&lt;=60,imc05_k,imc519_k),1)),""))</f>
        <v/>
      </c>
      <c r="Z1485">
        <f>IF($W1485="","",IFERROR(INDEX(IF($T1485&lt;=60,imc05_m,imc519_m),MATCH($W1485,IF($T1485&lt;=60,imc05_k,imc519_k),1)),""))</f>
        <v/>
      </c>
      <c r="AA1485">
        <f>IF($W1485="","",IFERROR(INDEX(IF($T1485&lt;=60,imc05_s,imc519_s),MATCH($W1485,IF($T1485&lt;=60,imc05_k,imc519_k),1)),""))</f>
        <v/>
      </c>
      <c r="AB1485">
        <f>IF($Y1485="","",IF($Y1485=0,LN($J1485/$Z1485)/$AA1485,((($J1485/$Z1485)^$Y1485)-1)/($Y1485*$AA1485)))</f>
        <v/>
      </c>
      <c r="AC1485">
        <f>IF($Y1485="","",IF($Y1485=0,$Z1485*EXP($AA1485*2),$Z1485*(1+$Y1485*$AA1485*2)^(1/$Y1485)))</f>
        <v/>
      </c>
      <c r="AD1485">
        <f>IF($Y1485="","",IF($Y1485=0,$Z1485*EXP($AA1485*3),$Z1485*(1+$Y1485*$AA1485*3)^(1/$Y1485)))</f>
        <v/>
      </c>
      <c r="AE1485">
        <f>IF($Y1485="","",IF($Y1485=0,$Z1485*EXP($AA1485*-2),$Z1485*(1+$Y1485*$AA1485*-2)^(1/$Y1485)))</f>
        <v/>
      </c>
      <c r="AF1485">
        <f>IF($Y1485="","",IF($Y1485=0,$Z1485*EXP($AA1485*-3),$Z1485*(1+$Y1485*$AA1485*-3)^(1/$Y1485)))</f>
        <v/>
      </c>
      <c r="AG1485">
        <f>IF($W1485="","",IFERROR(INDEX(IF($T1485&lt;=60,est05_l,est519_l),MATCH($W1485,IF($T1485&lt;=60,est05_k,est519_k),1)),""))</f>
        <v/>
      </c>
      <c r="AH1485">
        <f>IF($W1485="","",IFERROR(INDEX(IF($T1485&lt;=60,est05_m,est519_m),MATCH($W1485,IF($T1485&lt;=60,est05_k,est519_k),1)),""))</f>
        <v/>
      </c>
      <c r="AI1485">
        <f>IF($W1485="","",IFERROR(INDEX(IF($T1485&lt;=60,est05_s,est519_s),MATCH($W1485,IF($T1485&lt;=60,est05_k,est519_k),1)),""))</f>
        <v/>
      </c>
      <c r="AJ1485">
        <f>IF($W1485="","",IFERROR(INDEX(IF($T1485&lt;=60,peso05_l,peso510_l),MATCH($W1485,IF($T1485&lt;=60,peso05_k,peso510_k),1)),""))</f>
        <v/>
      </c>
      <c r="AK1485">
        <f>IF($W1485="","",IFERROR(INDEX(IF($T1485&lt;=60,peso05_m,peso510_m),MATCH($W1485,IF($T1485&lt;=60,peso05_k,peso510_k),1)),""))</f>
        <v/>
      </c>
      <c r="AL1485">
        <f>IF($W1485="","",IFERROR(INDEX(IF($T1485&lt;=60,peso05_s,peso510_s),MATCH($W1485,IF($T1485&lt;=60,peso05_k,peso510_k),1)),""))</f>
        <v/>
      </c>
      <c r="AM1485">
        <f>IF($AJ1485="","",IF($AJ1485=0,LN($F1485/$AK1485)/$AL1485,((($F1485/$AK1485)^$AJ1485)-1)/($AJ1485*$AL1485)))</f>
        <v/>
      </c>
      <c r="AN1485">
        <f>IF($AJ1485="","",IF($AJ1485=0,$AK1485*EXP($AL1485*2),$AK1485*(1+$AJ1485*$AL1485*2)^(1/$AJ1485)))</f>
        <v/>
      </c>
      <c r="AO1485">
        <f>IF($AJ1485="","",IF($AJ1485=0,$AK1485*EXP($AL1485*3),$AK1485*(1+$AJ1485*$AL1485*3)^(1/$AJ1485)))</f>
        <v/>
      </c>
      <c r="AP1485">
        <f>IF($AJ1485="","",IF($AJ1485=0,$AK1485*EXP($AL1485*-2),$AK1485*(1+$AJ1485*$AL1485*-2)^(1/$AJ1485)))</f>
        <v/>
      </c>
      <c r="AQ1485">
        <f>IF($AJ1485="","",IF($AJ1485=0,$AK1485*EXP($AL1485*-3),$AK1485*(1+$AJ1485*$AL1485*-3)^(1/$AJ1485)))</f>
        <v/>
      </c>
      <c r="AR1485">
        <f>IF(OR($X1485="",$T1485&gt;60),"",IFERROR(INDEX(IF($T1485&lt;24,pcomp_l,palt_l),MATCH($X1485,IF($T1485&lt;24,pcomp_k,palt_k),1)),""))</f>
        <v/>
      </c>
      <c r="AS1485">
        <f>IF(OR($X1485="",$T1485&gt;60),"",IFERROR(INDEX(IF($T1485&lt;24,pcomp_m,palt_m),MATCH($X1485,IF($T1485&lt;24,pcomp_k,palt_k),1)),""))</f>
        <v/>
      </c>
      <c r="AT1485">
        <f>IF(OR($X1485="",$T1485&gt;60),"",IFERROR(INDEX(IF($T1485&lt;24,pcomp_s,palt_s),MATCH($X1485,IF($T1485&lt;24,pcomp_k,palt_k),1)),""))</f>
        <v/>
      </c>
      <c r="AU1485">
        <f>IF($AR1485="","",IF($AR1485=0,LN($F1485/$AS1485)/$AT1485,((($F1485/$AS1485)^$AR1485)-1)/($AR1485*$AT1485)))</f>
        <v/>
      </c>
      <c r="AV1485">
        <f>IF($AR1485="","",IF($AR1485=0,$AS1485*EXP($AT1485*2),$AS1485*(1+$AR1485*$AT1485*2)^(1/$AR1485)))</f>
        <v/>
      </c>
      <c r="AW1485">
        <f>IF($AR1485="","",IF($AR1485=0,$AS1485*EXP($AT1485*3),$AS1485*(1+$AR1485*$AT1485*3)^(1/$AR1485)))</f>
        <v/>
      </c>
      <c r="AX1485">
        <f>IF($AR1485="","",IF($AR1485=0,$AS1485*EXP($AT1485*-2),$AS1485*(1+$AR1485*$AT1485*-2)^(1/$AR1485)))</f>
        <v/>
      </c>
      <c r="AY1485">
        <f>IF($AR1485="","",IF($AR1485=0,$AS1485*EXP($AT1485*-3),$AS1485*(1+$AR1485*$AT1485*-3)^(1/$AR1485)))</f>
        <v/>
      </c>
      <c r="AZ1485">
        <f>IF(OR($A1485="",$A1485&lt;&gt;Ficha!$C$4),"",COUNTIF($A$2:$A1485,Ficha!$C$4))</f>
        <v/>
      </c>
    </row>
    <row r="1486">
      <c r="A1486" s="8">
        <f>IF(INDEX(Banco!$A:$A,ROW())="","",INDEX(Banco!$A:$A,ROW()))</f>
        <v/>
      </c>
      <c r="B1486" s="8">
        <f>IF(INDEX(Banco!$B:$B,ROW())="","",INDEX(Banco!$B:$B,ROW()))</f>
        <v/>
      </c>
      <c r="C1486" s="8">
        <f>IF(INDEX(Banco!$C:$C,ROW())="","",INDEX(Banco!$C:$C,ROW()))</f>
        <v/>
      </c>
      <c r="D1486" s="9">
        <f>IF(INDEX(Banco!$D:$D,ROW())="","",INDEX(Banco!$D:$D,ROW()))</f>
        <v/>
      </c>
      <c r="E1486" s="9">
        <f>IF(INDEX(Banco!$E:$E,ROW())="","",INDEX(Banco!$E:$E,ROW()))</f>
        <v/>
      </c>
      <c r="F1486" s="10">
        <f>IF(INDEX(Banco!$F:$F,ROW())="","",INDEX(Banco!$F:$F,ROW()))</f>
        <v/>
      </c>
      <c r="G1486" s="10">
        <f>IF(INDEX(Banco!$G:$G,ROW())="","",INDEX(Banco!$G:$G,ROW()))</f>
        <v/>
      </c>
      <c r="H1486" s="8">
        <f>IF(INDEX(Banco!$H:$H,ROW())="","",INDEX(Banco!$H:$H,ROW()))</f>
        <v/>
      </c>
      <c r="I1486">
        <f>IF($T1486="","",INT($T1486/12)&amp;"a "&amp;MOD($T1486,12)&amp;"m")</f>
        <v/>
      </c>
      <c r="J1486" s="11">
        <f>IF(OR($F1486="",$G1486=""),"",ROUND($F1486/($G1486/100)^2,2))</f>
        <v/>
      </c>
      <c r="K1486" s="12">
        <f>IF(OR($S1486="",$J1486="",$T1486="",$T1486&lt;0,$T1486&gt;228,$Y1486=""),"—",ROUND(IF(ABS($AB1486)&lt;=3,$AB1486,IF($AB1486&gt;3,3+($J1486-$AD1486)/($AD1486-$AC1486),-3+($J1486-$AF1486)/($AE1486-$AF1486))),2))</f>
        <v/>
      </c>
      <c r="L1486">
        <f>IF(OR($K1486="",$K1486="—"),"",IF($T1486&lt;=60,IF($K1486&lt;-3,"Magreza acentuada",IF($K1486&lt;-2,"Magreza",IF($K1486&lt;=1,"Eutrofia",IF($K1486&lt;=2,"Risco de sobrepeso",IF($K1486&lt;=3,"Sobrepeso","Obesidade"))))),IF($K1486&lt;-3,"Magreza acentuada",IF($K1486&lt;-2,"Magreza",IF($K1486&lt;=1,"Eutrofia",IF($K1486&lt;=2,"Sobrepeso",IF($K1486&lt;=3,"Obesidade","Obesidade grave")))))))</f>
        <v/>
      </c>
      <c r="M1486" s="12">
        <f>IF(OR($S1486="",$V1486="",$T1486="",$T1486&lt;0,$T1486&gt;228,$AG1486=""),"—",ROUND(IF($AG1486=0,LN($V1486/$AH1486)/$AI1486,((($V1486/$AH1486)^$AG1486)-1)/($AG1486*$AI1486)),2))</f>
        <v/>
      </c>
      <c r="N1486">
        <f>IF(OR($M1486="",$M1486="—"),"",IF($M1486&lt;-3,"Muito baixa",IF($M1486&lt;-2,"Baixa","Adequada")))</f>
        <v/>
      </c>
      <c r="O1486" s="12">
        <f>IF(OR($S1486="",$F1486="",$T1486="",$T1486&lt;0,$T1486&gt;120,$AJ1486=""),"—",ROUND(IF(ABS($AM1486)&lt;=3,$AM1486,IF($AM1486&gt;3,3+($F1486-$AO1486)/($AO1486-$AN1486),-3+($F1486-$AQ1486)/($AP1486-$AQ1486))),2))</f>
        <v/>
      </c>
      <c r="P1486">
        <f>IF(OR($O1486="",$O1486="—"),"",IF($O1486&lt;-3,"Muito baixo",IF($O1486&lt;-2,"Baixo",IF($O1486&lt;=2,"Adequado","Elevado"))))</f>
        <v/>
      </c>
      <c r="Q1486" s="12">
        <f>IF(OR($S1486="",$F1486="",$T1486="",$T1486&lt;0,$T1486&gt;60,$AR1486=""),"—",ROUND(IF(ABS($AU1486)&lt;=3,$AU1486,IF($AU1486&gt;3,3+($F1486-$AW1486)/($AW1486-$AV1486),-3+($F1486-$AY1486)/($AX1486-$AY1486))),2))</f>
        <v/>
      </c>
      <c r="R1486">
        <f>IF(OR($Q1486="",$Q1486="—"),"",IF($Q1486&lt;-3,"Magreza acentuada",IF($Q1486&lt;-2,"Magreza",IF($Q1486&lt;=1,"Eutrofia",IF($Q1486&lt;=2,"Risco de sobrepeso",IF($Q1486&lt;=3,"Sobrepeso","Obesidade"))))))</f>
        <v/>
      </c>
      <c r="S1486">
        <f>IF($C1486="","",IF(UPPER(LEFT($C1486,1))="M",1,IF(UPPER(LEFT($C1486,1))="F",2,"")))</f>
        <v/>
      </c>
      <c r="T1486">
        <f>IF(OR($D1486="",$E1486=""),"",DATEDIF($D1486,$E1486,"m"))</f>
        <v/>
      </c>
      <c r="U1486">
        <f>IF(OR($D1486="",$E1486=""),"",$E1486-$D1486)</f>
        <v/>
      </c>
      <c r="V1486">
        <f>IF(OR($G1486="",$T1486=""),"",IF($T1486&lt;24,IF(LEFT(LOWER($H1486),4)="em p",$G1486+0.7,$G1486),IF(LEFT(LOWER($H1486),4)="deit",$G1486-0.7,$G1486)))</f>
        <v/>
      </c>
      <c r="W1486">
        <f>IF(OR($S1486="",$T1486=""),"",$S1486*1000000+IF($T1486&lt;=60,$U1486,$T1486))</f>
        <v/>
      </c>
      <c r="X1486">
        <f>IF(OR($S1486="",$V1486="",$T1486&gt;60,$T1486=""),"",$S1486*1000000+ROUND($V1486*10,0))</f>
        <v/>
      </c>
      <c r="Y1486">
        <f>IF($W1486="","",IFERROR(INDEX(IF($T1486&lt;=60,imc05_l,imc519_l),MATCH($W1486,IF($T1486&lt;=60,imc05_k,imc519_k),1)),""))</f>
        <v/>
      </c>
      <c r="Z1486">
        <f>IF($W1486="","",IFERROR(INDEX(IF($T1486&lt;=60,imc05_m,imc519_m),MATCH($W1486,IF($T1486&lt;=60,imc05_k,imc519_k),1)),""))</f>
        <v/>
      </c>
      <c r="AA1486">
        <f>IF($W1486="","",IFERROR(INDEX(IF($T1486&lt;=60,imc05_s,imc519_s),MATCH($W1486,IF($T1486&lt;=60,imc05_k,imc519_k),1)),""))</f>
        <v/>
      </c>
      <c r="AB1486">
        <f>IF($Y1486="","",IF($Y1486=0,LN($J1486/$Z1486)/$AA1486,((($J1486/$Z1486)^$Y1486)-1)/($Y1486*$AA1486)))</f>
        <v/>
      </c>
      <c r="AC1486">
        <f>IF($Y1486="","",IF($Y1486=0,$Z1486*EXP($AA1486*2),$Z1486*(1+$Y1486*$AA1486*2)^(1/$Y1486)))</f>
        <v/>
      </c>
      <c r="AD1486">
        <f>IF($Y1486="","",IF($Y1486=0,$Z1486*EXP($AA1486*3),$Z1486*(1+$Y1486*$AA1486*3)^(1/$Y1486)))</f>
        <v/>
      </c>
      <c r="AE1486">
        <f>IF($Y1486="","",IF($Y1486=0,$Z1486*EXP($AA1486*-2),$Z1486*(1+$Y1486*$AA1486*-2)^(1/$Y1486)))</f>
        <v/>
      </c>
      <c r="AF1486">
        <f>IF($Y1486="","",IF($Y1486=0,$Z1486*EXP($AA1486*-3),$Z1486*(1+$Y1486*$AA1486*-3)^(1/$Y1486)))</f>
        <v/>
      </c>
      <c r="AG1486">
        <f>IF($W1486="","",IFERROR(INDEX(IF($T1486&lt;=60,est05_l,est519_l),MATCH($W1486,IF($T1486&lt;=60,est05_k,est519_k),1)),""))</f>
        <v/>
      </c>
      <c r="AH1486">
        <f>IF($W1486="","",IFERROR(INDEX(IF($T1486&lt;=60,est05_m,est519_m),MATCH($W1486,IF($T1486&lt;=60,est05_k,est519_k),1)),""))</f>
        <v/>
      </c>
      <c r="AI1486">
        <f>IF($W1486="","",IFERROR(INDEX(IF($T1486&lt;=60,est05_s,est519_s),MATCH($W1486,IF($T1486&lt;=60,est05_k,est519_k),1)),""))</f>
        <v/>
      </c>
      <c r="AJ1486">
        <f>IF($W1486="","",IFERROR(INDEX(IF($T1486&lt;=60,peso05_l,peso510_l),MATCH($W1486,IF($T1486&lt;=60,peso05_k,peso510_k),1)),""))</f>
        <v/>
      </c>
      <c r="AK1486">
        <f>IF($W1486="","",IFERROR(INDEX(IF($T1486&lt;=60,peso05_m,peso510_m),MATCH($W1486,IF($T1486&lt;=60,peso05_k,peso510_k),1)),""))</f>
        <v/>
      </c>
      <c r="AL1486">
        <f>IF($W1486="","",IFERROR(INDEX(IF($T1486&lt;=60,peso05_s,peso510_s),MATCH($W1486,IF($T1486&lt;=60,peso05_k,peso510_k),1)),""))</f>
        <v/>
      </c>
      <c r="AM1486">
        <f>IF($AJ1486="","",IF($AJ1486=0,LN($F1486/$AK1486)/$AL1486,((($F1486/$AK1486)^$AJ1486)-1)/($AJ1486*$AL1486)))</f>
        <v/>
      </c>
      <c r="AN1486">
        <f>IF($AJ1486="","",IF($AJ1486=0,$AK1486*EXP($AL1486*2),$AK1486*(1+$AJ1486*$AL1486*2)^(1/$AJ1486)))</f>
        <v/>
      </c>
      <c r="AO1486">
        <f>IF($AJ1486="","",IF($AJ1486=0,$AK1486*EXP($AL1486*3),$AK1486*(1+$AJ1486*$AL1486*3)^(1/$AJ1486)))</f>
        <v/>
      </c>
      <c r="AP1486">
        <f>IF($AJ1486="","",IF($AJ1486=0,$AK1486*EXP($AL1486*-2),$AK1486*(1+$AJ1486*$AL1486*-2)^(1/$AJ1486)))</f>
        <v/>
      </c>
      <c r="AQ1486">
        <f>IF($AJ1486="","",IF($AJ1486=0,$AK1486*EXP($AL1486*-3),$AK1486*(1+$AJ1486*$AL1486*-3)^(1/$AJ1486)))</f>
        <v/>
      </c>
      <c r="AR1486">
        <f>IF(OR($X1486="",$T1486&gt;60),"",IFERROR(INDEX(IF($T1486&lt;24,pcomp_l,palt_l),MATCH($X1486,IF($T1486&lt;24,pcomp_k,palt_k),1)),""))</f>
        <v/>
      </c>
      <c r="AS1486">
        <f>IF(OR($X1486="",$T1486&gt;60),"",IFERROR(INDEX(IF($T1486&lt;24,pcomp_m,palt_m),MATCH($X1486,IF($T1486&lt;24,pcomp_k,palt_k),1)),""))</f>
        <v/>
      </c>
      <c r="AT1486">
        <f>IF(OR($X1486="",$T1486&gt;60),"",IFERROR(INDEX(IF($T1486&lt;24,pcomp_s,palt_s),MATCH($X1486,IF($T1486&lt;24,pcomp_k,palt_k),1)),""))</f>
        <v/>
      </c>
      <c r="AU1486">
        <f>IF($AR1486="","",IF($AR1486=0,LN($F1486/$AS1486)/$AT1486,((($F1486/$AS1486)^$AR1486)-1)/($AR1486*$AT1486)))</f>
        <v/>
      </c>
      <c r="AV1486">
        <f>IF($AR1486="","",IF($AR1486=0,$AS1486*EXP($AT1486*2),$AS1486*(1+$AR1486*$AT1486*2)^(1/$AR1486)))</f>
        <v/>
      </c>
      <c r="AW1486">
        <f>IF($AR1486="","",IF($AR1486=0,$AS1486*EXP($AT1486*3),$AS1486*(1+$AR1486*$AT1486*3)^(1/$AR1486)))</f>
        <v/>
      </c>
      <c r="AX1486">
        <f>IF($AR1486="","",IF($AR1486=0,$AS1486*EXP($AT1486*-2),$AS1486*(1+$AR1486*$AT1486*-2)^(1/$AR1486)))</f>
        <v/>
      </c>
      <c r="AY1486">
        <f>IF($AR1486="","",IF($AR1486=0,$AS1486*EXP($AT1486*-3),$AS1486*(1+$AR1486*$AT1486*-3)^(1/$AR1486)))</f>
        <v/>
      </c>
      <c r="AZ1486">
        <f>IF(OR($A1486="",$A1486&lt;&gt;Ficha!$C$4),"",COUNTIF($A$2:$A1486,Ficha!$C$4))</f>
        <v/>
      </c>
    </row>
    <row r="1487">
      <c r="A1487" s="8">
        <f>IF(INDEX(Banco!$A:$A,ROW())="","",INDEX(Banco!$A:$A,ROW()))</f>
        <v/>
      </c>
      <c r="B1487" s="8">
        <f>IF(INDEX(Banco!$B:$B,ROW())="","",INDEX(Banco!$B:$B,ROW()))</f>
        <v/>
      </c>
      <c r="C1487" s="8">
        <f>IF(INDEX(Banco!$C:$C,ROW())="","",INDEX(Banco!$C:$C,ROW()))</f>
        <v/>
      </c>
      <c r="D1487" s="9">
        <f>IF(INDEX(Banco!$D:$D,ROW())="","",INDEX(Banco!$D:$D,ROW()))</f>
        <v/>
      </c>
      <c r="E1487" s="9">
        <f>IF(INDEX(Banco!$E:$E,ROW())="","",INDEX(Banco!$E:$E,ROW()))</f>
        <v/>
      </c>
      <c r="F1487" s="10">
        <f>IF(INDEX(Banco!$F:$F,ROW())="","",INDEX(Banco!$F:$F,ROW()))</f>
        <v/>
      </c>
      <c r="G1487" s="10">
        <f>IF(INDEX(Banco!$G:$G,ROW())="","",INDEX(Banco!$G:$G,ROW()))</f>
        <v/>
      </c>
      <c r="H1487" s="8">
        <f>IF(INDEX(Banco!$H:$H,ROW())="","",INDEX(Banco!$H:$H,ROW()))</f>
        <v/>
      </c>
      <c r="I1487">
        <f>IF($T1487="","",INT($T1487/12)&amp;"a "&amp;MOD($T1487,12)&amp;"m")</f>
        <v/>
      </c>
      <c r="J1487" s="11">
        <f>IF(OR($F1487="",$G1487=""),"",ROUND($F1487/($G1487/100)^2,2))</f>
        <v/>
      </c>
      <c r="K1487" s="12">
        <f>IF(OR($S1487="",$J1487="",$T1487="",$T1487&lt;0,$T1487&gt;228,$Y1487=""),"—",ROUND(IF(ABS($AB1487)&lt;=3,$AB1487,IF($AB1487&gt;3,3+($J1487-$AD1487)/($AD1487-$AC1487),-3+($J1487-$AF1487)/($AE1487-$AF1487))),2))</f>
        <v/>
      </c>
      <c r="L1487">
        <f>IF(OR($K1487="",$K1487="—"),"",IF($T1487&lt;=60,IF($K1487&lt;-3,"Magreza acentuada",IF($K1487&lt;-2,"Magreza",IF($K1487&lt;=1,"Eutrofia",IF($K1487&lt;=2,"Risco de sobrepeso",IF($K1487&lt;=3,"Sobrepeso","Obesidade"))))),IF($K1487&lt;-3,"Magreza acentuada",IF($K1487&lt;-2,"Magreza",IF($K1487&lt;=1,"Eutrofia",IF($K1487&lt;=2,"Sobrepeso",IF($K1487&lt;=3,"Obesidade","Obesidade grave")))))))</f>
        <v/>
      </c>
      <c r="M1487" s="12">
        <f>IF(OR($S1487="",$V1487="",$T1487="",$T1487&lt;0,$T1487&gt;228,$AG1487=""),"—",ROUND(IF($AG1487=0,LN($V1487/$AH1487)/$AI1487,((($V1487/$AH1487)^$AG1487)-1)/($AG1487*$AI1487)),2))</f>
        <v/>
      </c>
      <c r="N1487">
        <f>IF(OR($M1487="",$M1487="—"),"",IF($M1487&lt;-3,"Muito baixa",IF($M1487&lt;-2,"Baixa","Adequada")))</f>
        <v/>
      </c>
      <c r="O1487" s="12">
        <f>IF(OR($S1487="",$F1487="",$T1487="",$T1487&lt;0,$T1487&gt;120,$AJ1487=""),"—",ROUND(IF(ABS($AM1487)&lt;=3,$AM1487,IF($AM1487&gt;3,3+($F1487-$AO1487)/($AO1487-$AN1487),-3+($F1487-$AQ1487)/($AP1487-$AQ1487))),2))</f>
        <v/>
      </c>
      <c r="P1487">
        <f>IF(OR($O1487="",$O1487="—"),"",IF($O1487&lt;-3,"Muito baixo",IF($O1487&lt;-2,"Baixo",IF($O1487&lt;=2,"Adequado","Elevado"))))</f>
        <v/>
      </c>
      <c r="Q1487" s="12">
        <f>IF(OR($S1487="",$F1487="",$T1487="",$T1487&lt;0,$T1487&gt;60,$AR1487=""),"—",ROUND(IF(ABS($AU1487)&lt;=3,$AU1487,IF($AU1487&gt;3,3+($F1487-$AW1487)/($AW1487-$AV1487),-3+($F1487-$AY1487)/($AX1487-$AY1487))),2))</f>
        <v/>
      </c>
      <c r="R1487">
        <f>IF(OR($Q1487="",$Q1487="—"),"",IF($Q1487&lt;-3,"Magreza acentuada",IF($Q1487&lt;-2,"Magreza",IF($Q1487&lt;=1,"Eutrofia",IF($Q1487&lt;=2,"Risco de sobrepeso",IF($Q1487&lt;=3,"Sobrepeso","Obesidade"))))))</f>
        <v/>
      </c>
      <c r="S1487">
        <f>IF($C1487="","",IF(UPPER(LEFT($C1487,1))="M",1,IF(UPPER(LEFT($C1487,1))="F",2,"")))</f>
        <v/>
      </c>
      <c r="T1487">
        <f>IF(OR($D1487="",$E1487=""),"",DATEDIF($D1487,$E1487,"m"))</f>
        <v/>
      </c>
      <c r="U1487">
        <f>IF(OR($D1487="",$E1487=""),"",$E1487-$D1487)</f>
        <v/>
      </c>
      <c r="V1487">
        <f>IF(OR($G1487="",$T1487=""),"",IF($T1487&lt;24,IF(LEFT(LOWER($H1487),4)="em p",$G1487+0.7,$G1487),IF(LEFT(LOWER($H1487),4)="deit",$G1487-0.7,$G1487)))</f>
        <v/>
      </c>
      <c r="W1487">
        <f>IF(OR($S1487="",$T1487=""),"",$S1487*1000000+IF($T1487&lt;=60,$U1487,$T1487))</f>
        <v/>
      </c>
      <c r="X1487">
        <f>IF(OR($S1487="",$V1487="",$T1487&gt;60,$T1487=""),"",$S1487*1000000+ROUND($V1487*10,0))</f>
        <v/>
      </c>
      <c r="Y1487">
        <f>IF($W1487="","",IFERROR(INDEX(IF($T1487&lt;=60,imc05_l,imc519_l),MATCH($W1487,IF($T1487&lt;=60,imc05_k,imc519_k),1)),""))</f>
        <v/>
      </c>
      <c r="Z1487">
        <f>IF($W1487="","",IFERROR(INDEX(IF($T1487&lt;=60,imc05_m,imc519_m),MATCH($W1487,IF($T1487&lt;=60,imc05_k,imc519_k),1)),""))</f>
        <v/>
      </c>
      <c r="AA1487">
        <f>IF($W1487="","",IFERROR(INDEX(IF($T1487&lt;=60,imc05_s,imc519_s),MATCH($W1487,IF($T1487&lt;=60,imc05_k,imc519_k),1)),""))</f>
        <v/>
      </c>
      <c r="AB1487">
        <f>IF($Y1487="","",IF($Y1487=0,LN($J1487/$Z1487)/$AA1487,((($J1487/$Z1487)^$Y1487)-1)/($Y1487*$AA1487)))</f>
        <v/>
      </c>
      <c r="AC1487">
        <f>IF($Y1487="","",IF($Y1487=0,$Z1487*EXP($AA1487*2),$Z1487*(1+$Y1487*$AA1487*2)^(1/$Y1487)))</f>
        <v/>
      </c>
      <c r="AD1487">
        <f>IF($Y1487="","",IF($Y1487=0,$Z1487*EXP($AA1487*3),$Z1487*(1+$Y1487*$AA1487*3)^(1/$Y1487)))</f>
        <v/>
      </c>
      <c r="AE1487">
        <f>IF($Y1487="","",IF($Y1487=0,$Z1487*EXP($AA1487*-2),$Z1487*(1+$Y1487*$AA1487*-2)^(1/$Y1487)))</f>
        <v/>
      </c>
      <c r="AF1487">
        <f>IF($Y1487="","",IF($Y1487=0,$Z1487*EXP($AA1487*-3),$Z1487*(1+$Y1487*$AA1487*-3)^(1/$Y1487)))</f>
        <v/>
      </c>
      <c r="AG1487">
        <f>IF($W1487="","",IFERROR(INDEX(IF($T1487&lt;=60,est05_l,est519_l),MATCH($W1487,IF($T1487&lt;=60,est05_k,est519_k),1)),""))</f>
        <v/>
      </c>
      <c r="AH1487">
        <f>IF($W1487="","",IFERROR(INDEX(IF($T1487&lt;=60,est05_m,est519_m),MATCH($W1487,IF($T1487&lt;=60,est05_k,est519_k),1)),""))</f>
        <v/>
      </c>
      <c r="AI1487">
        <f>IF($W1487="","",IFERROR(INDEX(IF($T1487&lt;=60,est05_s,est519_s),MATCH($W1487,IF($T1487&lt;=60,est05_k,est519_k),1)),""))</f>
        <v/>
      </c>
      <c r="AJ1487">
        <f>IF($W1487="","",IFERROR(INDEX(IF($T1487&lt;=60,peso05_l,peso510_l),MATCH($W1487,IF($T1487&lt;=60,peso05_k,peso510_k),1)),""))</f>
        <v/>
      </c>
      <c r="AK1487">
        <f>IF($W1487="","",IFERROR(INDEX(IF($T1487&lt;=60,peso05_m,peso510_m),MATCH($W1487,IF($T1487&lt;=60,peso05_k,peso510_k),1)),""))</f>
        <v/>
      </c>
      <c r="AL1487">
        <f>IF($W1487="","",IFERROR(INDEX(IF($T1487&lt;=60,peso05_s,peso510_s),MATCH($W1487,IF($T1487&lt;=60,peso05_k,peso510_k),1)),""))</f>
        <v/>
      </c>
      <c r="AM1487">
        <f>IF($AJ1487="","",IF($AJ1487=0,LN($F1487/$AK1487)/$AL1487,((($F1487/$AK1487)^$AJ1487)-1)/($AJ1487*$AL1487)))</f>
        <v/>
      </c>
      <c r="AN1487">
        <f>IF($AJ1487="","",IF($AJ1487=0,$AK1487*EXP($AL1487*2),$AK1487*(1+$AJ1487*$AL1487*2)^(1/$AJ1487)))</f>
        <v/>
      </c>
      <c r="AO1487">
        <f>IF($AJ1487="","",IF($AJ1487=0,$AK1487*EXP($AL1487*3),$AK1487*(1+$AJ1487*$AL1487*3)^(1/$AJ1487)))</f>
        <v/>
      </c>
      <c r="AP1487">
        <f>IF($AJ1487="","",IF($AJ1487=0,$AK1487*EXP($AL1487*-2),$AK1487*(1+$AJ1487*$AL1487*-2)^(1/$AJ1487)))</f>
        <v/>
      </c>
      <c r="AQ1487">
        <f>IF($AJ1487="","",IF($AJ1487=0,$AK1487*EXP($AL1487*-3),$AK1487*(1+$AJ1487*$AL1487*-3)^(1/$AJ1487)))</f>
        <v/>
      </c>
      <c r="AR1487">
        <f>IF(OR($X1487="",$T1487&gt;60),"",IFERROR(INDEX(IF($T1487&lt;24,pcomp_l,palt_l),MATCH($X1487,IF($T1487&lt;24,pcomp_k,palt_k),1)),""))</f>
        <v/>
      </c>
      <c r="AS1487">
        <f>IF(OR($X1487="",$T1487&gt;60),"",IFERROR(INDEX(IF($T1487&lt;24,pcomp_m,palt_m),MATCH($X1487,IF($T1487&lt;24,pcomp_k,palt_k),1)),""))</f>
        <v/>
      </c>
      <c r="AT1487">
        <f>IF(OR($X1487="",$T1487&gt;60),"",IFERROR(INDEX(IF($T1487&lt;24,pcomp_s,palt_s),MATCH($X1487,IF($T1487&lt;24,pcomp_k,palt_k),1)),""))</f>
        <v/>
      </c>
      <c r="AU1487">
        <f>IF($AR1487="","",IF($AR1487=0,LN($F1487/$AS1487)/$AT1487,((($F1487/$AS1487)^$AR1487)-1)/($AR1487*$AT1487)))</f>
        <v/>
      </c>
      <c r="AV1487">
        <f>IF($AR1487="","",IF($AR1487=0,$AS1487*EXP($AT1487*2),$AS1487*(1+$AR1487*$AT1487*2)^(1/$AR1487)))</f>
        <v/>
      </c>
      <c r="AW1487">
        <f>IF($AR1487="","",IF($AR1487=0,$AS1487*EXP($AT1487*3),$AS1487*(1+$AR1487*$AT1487*3)^(1/$AR1487)))</f>
        <v/>
      </c>
      <c r="AX1487">
        <f>IF($AR1487="","",IF($AR1487=0,$AS1487*EXP($AT1487*-2),$AS1487*(1+$AR1487*$AT1487*-2)^(1/$AR1487)))</f>
        <v/>
      </c>
      <c r="AY1487">
        <f>IF($AR1487="","",IF($AR1487=0,$AS1487*EXP($AT1487*-3),$AS1487*(1+$AR1487*$AT1487*-3)^(1/$AR1487)))</f>
        <v/>
      </c>
      <c r="AZ1487">
        <f>IF(OR($A1487="",$A1487&lt;&gt;Ficha!$C$4),"",COUNTIF($A$2:$A1487,Ficha!$C$4))</f>
        <v/>
      </c>
    </row>
    <row r="1488">
      <c r="A1488" s="8">
        <f>IF(INDEX(Banco!$A:$A,ROW())="","",INDEX(Banco!$A:$A,ROW()))</f>
        <v/>
      </c>
      <c r="B1488" s="8">
        <f>IF(INDEX(Banco!$B:$B,ROW())="","",INDEX(Banco!$B:$B,ROW()))</f>
        <v/>
      </c>
      <c r="C1488" s="8">
        <f>IF(INDEX(Banco!$C:$C,ROW())="","",INDEX(Banco!$C:$C,ROW()))</f>
        <v/>
      </c>
      <c r="D1488" s="9">
        <f>IF(INDEX(Banco!$D:$D,ROW())="","",INDEX(Banco!$D:$D,ROW()))</f>
        <v/>
      </c>
      <c r="E1488" s="9">
        <f>IF(INDEX(Banco!$E:$E,ROW())="","",INDEX(Banco!$E:$E,ROW()))</f>
        <v/>
      </c>
      <c r="F1488" s="10">
        <f>IF(INDEX(Banco!$F:$F,ROW())="","",INDEX(Banco!$F:$F,ROW()))</f>
        <v/>
      </c>
      <c r="G1488" s="10">
        <f>IF(INDEX(Banco!$G:$G,ROW())="","",INDEX(Banco!$G:$G,ROW()))</f>
        <v/>
      </c>
      <c r="H1488" s="8">
        <f>IF(INDEX(Banco!$H:$H,ROW())="","",INDEX(Banco!$H:$H,ROW()))</f>
        <v/>
      </c>
      <c r="I1488">
        <f>IF($T1488="","",INT($T1488/12)&amp;"a "&amp;MOD($T1488,12)&amp;"m")</f>
        <v/>
      </c>
      <c r="J1488" s="11">
        <f>IF(OR($F1488="",$G1488=""),"",ROUND($F1488/($G1488/100)^2,2))</f>
        <v/>
      </c>
      <c r="K1488" s="12">
        <f>IF(OR($S1488="",$J1488="",$T1488="",$T1488&lt;0,$T1488&gt;228,$Y1488=""),"—",ROUND(IF(ABS($AB1488)&lt;=3,$AB1488,IF($AB1488&gt;3,3+($J1488-$AD1488)/($AD1488-$AC1488),-3+($J1488-$AF1488)/($AE1488-$AF1488))),2))</f>
        <v/>
      </c>
      <c r="L1488">
        <f>IF(OR($K1488="",$K1488="—"),"",IF($T1488&lt;=60,IF($K1488&lt;-3,"Magreza acentuada",IF($K1488&lt;-2,"Magreza",IF($K1488&lt;=1,"Eutrofia",IF($K1488&lt;=2,"Risco de sobrepeso",IF($K1488&lt;=3,"Sobrepeso","Obesidade"))))),IF($K1488&lt;-3,"Magreza acentuada",IF($K1488&lt;-2,"Magreza",IF($K1488&lt;=1,"Eutrofia",IF($K1488&lt;=2,"Sobrepeso",IF($K1488&lt;=3,"Obesidade","Obesidade grave")))))))</f>
        <v/>
      </c>
      <c r="M1488" s="12">
        <f>IF(OR($S1488="",$V1488="",$T1488="",$T1488&lt;0,$T1488&gt;228,$AG1488=""),"—",ROUND(IF($AG1488=0,LN($V1488/$AH1488)/$AI1488,((($V1488/$AH1488)^$AG1488)-1)/($AG1488*$AI1488)),2))</f>
        <v/>
      </c>
      <c r="N1488">
        <f>IF(OR($M1488="",$M1488="—"),"",IF($M1488&lt;-3,"Muito baixa",IF($M1488&lt;-2,"Baixa","Adequada")))</f>
        <v/>
      </c>
      <c r="O1488" s="12">
        <f>IF(OR($S1488="",$F1488="",$T1488="",$T1488&lt;0,$T1488&gt;120,$AJ1488=""),"—",ROUND(IF(ABS($AM1488)&lt;=3,$AM1488,IF($AM1488&gt;3,3+($F1488-$AO1488)/($AO1488-$AN1488),-3+($F1488-$AQ1488)/($AP1488-$AQ1488))),2))</f>
        <v/>
      </c>
      <c r="P1488">
        <f>IF(OR($O1488="",$O1488="—"),"",IF($O1488&lt;-3,"Muito baixo",IF($O1488&lt;-2,"Baixo",IF($O1488&lt;=2,"Adequado","Elevado"))))</f>
        <v/>
      </c>
      <c r="Q1488" s="12">
        <f>IF(OR($S1488="",$F1488="",$T1488="",$T1488&lt;0,$T1488&gt;60,$AR1488=""),"—",ROUND(IF(ABS($AU1488)&lt;=3,$AU1488,IF($AU1488&gt;3,3+($F1488-$AW1488)/($AW1488-$AV1488),-3+($F1488-$AY1488)/($AX1488-$AY1488))),2))</f>
        <v/>
      </c>
      <c r="R1488">
        <f>IF(OR($Q1488="",$Q1488="—"),"",IF($Q1488&lt;-3,"Magreza acentuada",IF($Q1488&lt;-2,"Magreza",IF($Q1488&lt;=1,"Eutrofia",IF($Q1488&lt;=2,"Risco de sobrepeso",IF($Q1488&lt;=3,"Sobrepeso","Obesidade"))))))</f>
        <v/>
      </c>
      <c r="S1488">
        <f>IF($C1488="","",IF(UPPER(LEFT($C1488,1))="M",1,IF(UPPER(LEFT($C1488,1))="F",2,"")))</f>
        <v/>
      </c>
      <c r="T1488">
        <f>IF(OR($D1488="",$E1488=""),"",DATEDIF($D1488,$E1488,"m"))</f>
        <v/>
      </c>
      <c r="U1488">
        <f>IF(OR($D1488="",$E1488=""),"",$E1488-$D1488)</f>
        <v/>
      </c>
      <c r="V1488">
        <f>IF(OR($G1488="",$T1488=""),"",IF($T1488&lt;24,IF(LEFT(LOWER($H1488),4)="em p",$G1488+0.7,$G1488),IF(LEFT(LOWER($H1488),4)="deit",$G1488-0.7,$G1488)))</f>
        <v/>
      </c>
      <c r="W1488">
        <f>IF(OR($S1488="",$T1488=""),"",$S1488*1000000+IF($T1488&lt;=60,$U1488,$T1488))</f>
        <v/>
      </c>
      <c r="X1488">
        <f>IF(OR($S1488="",$V1488="",$T1488&gt;60,$T1488=""),"",$S1488*1000000+ROUND($V1488*10,0))</f>
        <v/>
      </c>
      <c r="Y1488">
        <f>IF($W1488="","",IFERROR(INDEX(IF($T1488&lt;=60,imc05_l,imc519_l),MATCH($W1488,IF($T1488&lt;=60,imc05_k,imc519_k),1)),""))</f>
        <v/>
      </c>
      <c r="Z1488">
        <f>IF($W1488="","",IFERROR(INDEX(IF($T1488&lt;=60,imc05_m,imc519_m),MATCH($W1488,IF($T1488&lt;=60,imc05_k,imc519_k),1)),""))</f>
        <v/>
      </c>
      <c r="AA1488">
        <f>IF($W1488="","",IFERROR(INDEX(IF($T1488&lt;=60,imc05_s,imc519_s),MATCH($W1488,IF($T1488&lt;=60,imc05_k,imc519_k),1)),""))</f>
        <v/>
      </c>
      <c r="AB1488">
        <f>IF($Y1488="","",IF($Y1488=0,LN($J1488/$Z1488)/$AA1488,((($J1488/$Z1488)^$Y1488)-1)/($Y1488*$AA1488)))</f>
        <v/>
      </c>
      <c r="AC1488">
        <f>IF($Y1488="","",IF($Y1488=0,$Z1488*EXP($AA1488*2),$Z1488*(1+$Y1488*$AA1488*2)^(1/$Y1488)))</f>
        <v/>
      </c>
      <c r="AD1488">
        <f>IF($Y1488="","",IF($Y1488=0,$Z1488*EXP($AA1488*3),$Z1488*(1+$Y1488*$AA1488*3)^(1/$Y1488)))</f>
        <v/>
      </c>
      <c r="AE1488">
        <f>IF($Y1488="","",IF($Y1488=0,$Z1488*EXP($AA1488*-2),$Z1488*(1+$Y1488*$AA1488*-2)^(1/$Y1488)))</f>
        <v/>
      </c>
      <c r="AF1488">
        <f>IF($Y1488="","",IF($Y1488=0,$Z1488*EXP($AA1488*-3),$Z1488*(1+$Y1488*$AA1488*-3)^(1/$Y1488)))</f>
        <v/>
      </c>
      <c r="AG1488">
        <f>IF($W1488="","",IFERROR(INDEX(IF($T1488&lt;=60,est05_l,est519_l),MATCH($W1488,IF($T1488&lt;=60,est05_k,est519_k),1)),""))</f>
        <v/>
      </c>
      <c r="AH1488">
        <f>IF($W1488="","",IFERROR(INDEX(IF($T1488&lt;=60,est05_m,est519_m),MATCH($W1488,IF($T1488&lt;=60,est05_k,est519_k),1)),""))</f>
        <v/>
      </c>
      <c r="AI1488">
        <f>IF($W1488="","",IFERROR(INDEX(IF($T1488&lt;=60,est05_s,est519_s),MATCH($W1488,IF($T1488&lt;=60,est05_k,est519_k),1)),""))</f>
        <v/>
      </c>
      <c r="AJ1488">
        <f>IF($W1488="","",IFERROR(INDEX(IF($T1488&lt;=60,peso05_l,peso510_l),MATCH($W1488,IF($T1488&lt;=60,peso05_k,peso510_k),1)),""))</f>
        <v/>
      </c>
      <c r="AK1488">
        <f>IF($W1488="","",IFERROR(INDEX(IF($T1488&lt;=60,peso05_m,peso510_m),MATCH($W1488,IF($T1488&lt;=60,peso05_k,peso510_k),1)),""))</f>
        <v/>
      </c>
      <c r="AL1488">
        <f>IF($W1488="","",IFERROR(INDEX(IF($T1488&lt;=60,peso05_s,peso510_s),MATCH($W1488,IF($T1488&lt;=60,peso05_k,peso510_k),1)),""))</f>
        <v/>
      </c>
      <c r="AM1488">
        <f>IF($AJ1488="","",IF($AJ1488=0,LN($F1488/$AK1488)/$AL1488,((($F1488/$AK1488)^$AJ1488)-1)/($AJ1488*$AL1488)))</f>
        <v/>
      </c>
      <c r="AN1488">
        <f>IF($AJ1488="","",IF($AJ1488=0,$AK1488*EXP($AL1488*2),$AK1488*(1+$AJ1488*$AL1488*2)^(1/$AJ1488)))</f>
        <v/>
      </c>
      <c r="AO1488">
        <f>IF($AJ1488="","",IF($AJ1488=0,$AK1488*EXP($AL1488*3),$AK1488*(1+$AJ1488*$AL1488*3)^(1/$AJ1488)))</f>
        <v/>
      </c>
      <c r="AP1488">
        <f>IF($AJ1488="","",IF($AJ1488=0,$AK1488*EXP($AL1488*-2),$AK1488*(1+$AJ1488*$AL1488*-2)^(1/$AJ1488)))</f>
        <v/>
      </c>
      <c r="AQ1488">
        <f>IF($AJ1488="","",IF($AJ1488=0,$AK1488*EXP($AL1488*-3),$AK1488*(1+$AJ1488*$AL1488*-3)^(1/$AJ1488)))</f>
        <v/>
      </c>
      <c r="AR1488">
        <f>IF(OR($X1488="",$T1488&gt;60),"",IFERROR(INDEX(IF($T1488&lt;24,pcomp_l,palt_l),MATCH($X1488,IF($T1488&lt;24,pcomp_k,palt_k),1)),""))</f>
        <v/>
      </c>
      <c r="AS1488">
        <f>IF(OR($X1488="",$T1488&gt;60),"",IFERROR(INDEX(IF($T1488&lt;24,pcomp_m,palt_m),MATCH($X1488,IF($T1488&lt;24,pcomp_k,palt_k),1)),""))</f>
        <v/>
      </c>
      <c r="AT1488">
        <f>IF(OR($X1488="",$T1488&gt;60),"",IFERROR(INDEX(IF($T1488&lt;24,pcomp_s,palt_s),MATCH($X1488,IF($T1488&lt;24,pcomp_k,palt_k),1)),""))</f>
        <v/>
      </c>
      <c r="AU1488">
        <f>IF($AR1488="","",IF($AR1488=0,LN($F1488/$AS1488)/$AT1488,((($F1488/$AS1488)^$AR1488)-1)/($AR1488*$AT1488)))</f>
        <v/>
      </c>
      <c r="AV1488">
        <f>IF($AR1488="","",IF($AR1488=0,$AS1488*EXP($AT1488*2),$AS1488*(1+$AR1488*$AT1488*2)^(1/$AR1488)))</f>
        <v/>
      </c>
      <c r="AW1488">
        <f>IF($AR1488="","",IF($AR1488=0,$AS1488*EXP($AT1488*3),$AS1488*(1+$AR1488*$AT1488*3)^(1/$AR1488)))</f>
        <v/>
      </c>
      <c r="AX1488">
        <f>IF($AR1488="","",IF($AR1488=0,$AS1488*EXP($AT1488*-2),$AS1488*(1+$AR1488*$AT1488*-2)^(1/$AR1488)))</f>
        <v/>
      </c>
      <c r="AY1488">
        <f>IF($AR1488="","",IF($AR1488=0,$AS1488*EXP($AT1488*-3),$AS1488*(1+$AR1488*$AT1488*-3)^(1/$AR1488)))</f>
        <v/>
      </c>
      <c r="AZ1488">
        <f>IF(OR($A1488="",$A1488&lt;&gt;Ficha!$C$4),"",COUNTIF($A$2:$A1488,Ficha!$C$4))</f>
        <v/>
      </c>
    </row>
    <row r="1489">
      <c r="A1489" s="8">
        <f>IF(INDEX(Banco!$A:$A,ROW())="","",INDEX(Banco!$A:$A,ROW()))</f>
        <v/>
      </c>
      <c r="B1489" s="8">
        <f>IF(INDEX(Banco!$B:$B,ROW())="","",INDEX(Banco!$B:$B,ROW()))</f>
        <v/>
      </c>
      <c r="C1489" s="8">
        <f>IF(INDEX(Banco!$C:$C,ROW())="","",INDEX(Banco!$C:$C,ROW()))</f>
        <v/>
      </c>
      <c r="D1489" s="9">
        <f>IF(INDEX(Banco!$D:$D,ROW())="","",INDEX(Banco!$D:$D,ROW()))</f>
        <v/>
      </c>
      <c r="E1489" s="9">
        <f>IF(INDEX(Banco!$E:$E,ROW())="","",INDEX(Banco!$E:$E,ROW()))</f>
        <v/>
      </c>
      <c r="F1489" s="10">
        <f>IF(INDEX(Banco!$F:$F,ROW())="","",INDEX(Banco!$F:$F,ROW()))</f>
        <v/>
      </c>
      <c r="G1489" s="10">
        <f>IF(INDEX(Banco!$G:$G,ROW())="","",INDEX(Banco!$G:$G,ROW()))</f>
        <v/>
      </c>
      <c r="H1489" s="8">
        <f>IF(INDEX(Banco!$H:$H,ROW())="","",INDEX(Banco!$H:$H,ROW()))</f>
        <v/>
      </c>
      <c r="I1489">
        <f>IF($T1489="","",INT($T1489/12)&amp;"a "&amp;MOD($T1489,12)&amp;"m")</f>
        <v/>
      </c>
      <c r="J1489" s="11">
        <f>IF(OR($F1489="",$G1489=""),"",ROUND($F1489/($G1489/100)^2,2))</f>
        <v/>
      </c>
      <c r="K1489" s="12">
        <f>IF(OR($S1489="",$J1489="",$T1489="",$T1489&lt;0,$T1489&gt;228,$Y1489=""),"—",ROUND(IF(ABS($AB1489)&lt;=3,$AB1489,IF($AB1489&gt;3,3+($J1489-$AD1489)/($AD1489-$AC1489),-3+($J1489-$AF1489)/($AE1489-$AF1489))),2))</f>
        <v/>
      </c>
      <c r="L1489">
        <f>IF(OR($K1489="",$K1489="—"),"",IF($T1489&lt;=60,IF($K1489&lt;-3,"Magreza acentuada",IF($K1489&lt;-2,"Magreza",IF($K1489&lt;=1,"Eutrofia",IF($K1489&lt;=2,"Risco de sobrepeso",IF($K1489&lt;=3,"Sobrepeso","Obesidade"))))),IF($K1489&lt;-3,"Magreza acentuada",IF($K1489&lt;-2,"Magreza",IF($K1489&lt;=1,"Eutrofia",IF($K1489&lt;=2,"Sobrepeso",IF($K1489&lt;=3,"Obesidade","Obesidade grave")))))))</f>
        <v/>
      </c>
      <c r="M1489" s="12">
        <f>IF(OR($S1489="",$V1489="",$T1489="",$T1489&lt;0,$T1489&gt;228,$AG1489=""),"—",ROUND(IF($AG1489=0,LN($V1489/$AH1489)/$AI1489,((($V1489/$AH1489)^$AG1489)-1)/($AG1489*$AI1489)),2))</f>
        <v/>
      </c>
      <c r="N1489">
        <f>IF(OR($M1489="",$M1489="—"),"",IF($M1489&lt;-3,"Muito baixa",IF($M1489&lt;-2,"Baixa","Adequada")))</f>
        <v/>
      </c>
      <c r="O1489" s="12">
        <f>IF(OR($S1489="",$F1489="",$T1489="",$T1489&lt;0,$T1489&gt;120,$AJ1489=""),"—",ROUND(IF(ABS($AM1489)&lt;=3,$AM1489,IF($AM1489&gt;3,3+($F1489-$AO1489)/($AO1489-$AN1489),-3+($F1489-$AQ1489)/($AP1489-$AQ1489))),2))</f>
        <v/>
      </c>
      <c r="P1489">
        <f>IF(OR($O1489="",$O1489="—"),"",IF($O1489&lt;-3,"Muito baixo",IF($O1489&lt;-2,"Baixo",IF($O1489&lt;=2,"Adequado","Elevado"))))</f>
        <v/>
      </c>
      <c r="Q1489" s="12">
        <f>IF(OR($S1489="",$F1489="",$T1489="",$T1489&lt;0,$T1489&gt;60,$AR1489=""),"—",ROUND(IF(ABS($AU1489)&lt;=3,$AU1489,IF($AU1489&gt;3,3+($F1489-$AW1489)/($AW1489-$AV1489),-3+($F1489-$AY1489)/($AX1489-$AY1489))),2))</f>
        <v/>
      </c>
      <c r="R1489">
        <f>IF(OR($Q1489="",$Q1489="—"),"",IF($Q1489&lt;-3,"Magreza acentuada",IF($Q1489&lt;-2,"Magreza",IF($Q1489&lt;=1,"Eutrofia",IF($Q1489&lt;=2,"Risco de sobrepeso",IF($Q1489&lt;=3,"Sobrepeso","Obesidade"))))))</f>
        <v/>
      </c>
      <c r="S1489">
        <f>IF($C1489="","",IF(UPPER(LEFT($C1489,1))="M",1,IF(UPPER(LEFT($C1489,1))="F",2,"")))</f>
        <v/>
      </c>
      <c r="T1489">
        <f>IF(OR($D1489="",$E1489=""),"",DATEDIF($D1489,$E1489,"m"))</f>
        <v/>
      </c>
      <c r="U1489">
        <f>IF(OR($D1489="",$E1489=""),"",$E1489-$D1489)</f>
        <v/>
      </c>
      <c r="V1489">
        <f>IF(OR($G1489="",$T1489=""),"",IF($T1489&lt;24,IF(LEFT(LOWER($H1489),4)="em p",$G1489+0.7,$G1489),IF(LEFT(LOWER($H1489),4)="deit",$G1489-0.7,$G1489)))</f>
        <v/>
      </c>
      <c r="W1489">
        <f>IF(OR($S1489="",$T1489=""),"",$S1489*1000000+IF($T1489&lt;=60,$U1489,$T1489))</f>
        <v/>
      </c>
      <c r="X1489">
        <f>IF(OR($S1489="",$V1489="",$T1489&gt;60,$T1489=""),"",$S1489*1000000+ROUND($V1489*10,0))</f>
        <v/>
      </c>
      <c r="Y1489">
        <f>IF($W1489="","",IFERROR(INDEX(IF($T1489&lt;=60,imc05_l,imc519_l),MATCH($W1489,IF($T1489&lt;=60,imc05_k,imc519_k),1)),""))</f>
        <v/>
      </c>
      <c r="Z1489">
        <f>IF($W1489="","",IFERROR(INDEX(IF($T1489&lt;=60,imc05_m,imc519_m),MATCH($W1489,IF($T1489&lt;=60,imc05_k,imc519_k),1)),""))</f>
        <v/>
      </c>
      <c r="AA1489">
        <f>IF($W1489="","",IFERROR(INDEX(IF($T1489&lt;=60,imc05_s,imc519_s),MATCH($W1489,IF($T1489&lt;=60,imc05_k,imc519_k),1)),""))</f>
        <v/>
      </c>
      <c r="AB1489">
        <f>IF($Y1489="","",IF($Y1489=0,LN($J1489/$Z1489)/$AA1489,((($J1489/$Z1489)^$Y1489)-1)/($Y1489*$AA1489)))</f>
        <v/>
      </c>
      <c r="AC1489">
        <f>IF($Y1489="","",IF($Y1489=0,$Z1489*EXP($AA1489*2),$Z1489*(1+$Y1489*$AA1489*2)^(1/$Y1489)))</f>
        <v/>
      </c>
      <c r="AD1489">
        <f>IF($Y1489="","",IF($Y1489=0,$Z1489*EXP($AA1489*3),$Z1489*(1+$Y1489*$AA1489*3)^(1/$Y1489)))</f>
        <v/>
      </c>
      <c r="AE1489">
        <f>IF($Y1489="","",IF($Y1489=0,$Z1489*EXP($AA1489*-2),$Z1489*(1+$Y1489*$AA1489*-2)^(1/$Y1489)))</f>
        <v/>
      </c>
      <c r="AF1489">
        <f>IF($Y1489="","",IF($Y1489=0,$Z1489*EXP($AA1489*-3),$Z1489*(1+$Y1489*$AA1489*-3)^(1/$Y1489)))</f>
        <v/>
      </c>
      <c r="AG1489">
        <f>IF($W1489="","",IFERROR(INDEX(IF($T1489&lt;=60,est05_l,est519_l),MATCH($W1489,IF($T1489&lt;=60,est05_k,est519_k),1)),""))</f>
        <v/>
      </c>
      <c r="AH1489">
        <f>IF($W1489="","",IFERROR(INDEX(IF($T1489&lt;=60,est05_m,est519_m),MATCH($W1489,IF($T1489&lt;=60,est05_k,est519_k),1)),""))</f>
        <v/>
      </c>
      <c r="AI1489">
        <f>IF($W1489="","",IFERROR(INDEX(IF($T1489&lt;=60,est05_s,est519_s),MATCH($W1489,IF($T1489&lt;=60,est05_k,est519_k),1)),""))</f>
        <v/>
      </c>
      <c r="AJ1489">
        <f>IF($W1489="","",IFERROR(INDEX(IF($T1489&lt;=60,peso05_l,peso510_l),MATCH($W1489,IF($T1489&lt;=60,peso05_k,peso510_k),1)),""))</f>
        <v/>
      </c>
      <c r="AK1489">
        <f>IF($W1489="","",IFERROR(INDEX(IF($T1489&lt;=60,peso05_m,peso510_m),MATCH($W1489,IF($T1489&lt;=60,peso05_k,peso510_k),1)),""))</f>
        <v/>
      </c>
      <c r="AL1489">
        <f>IF($W1489="","",IFERROR(INDEX(IF($T1489&lt;=60,peso05_s,peso510_s),MATCH($W1489,IF($T1489&lt;=60,peso05_k,peso510_k),1)),""))</f>
        <v/>
      </c>
      <c r="AM1489">
        <f>IF($AJ1489="","",IF($AJ1489=0,LN($F1489/$AK1489)/$AL1489,((($F1489/$AK1489)^$AJ1489)-1)/($AJ1489*$AL1489)))</f>
        <v/>
      </c>
      <c r="AN1489">
        <f>IF($AJ1489="","",IF($AJ1489=0,$AK1489*EXP($AL1489*2),$AK1489*(1+$AJ1489*$AL1489*2)^(1/$AJ1489)))</f>
        <v/>
      </c>
      <c r="AO1489">
        <f>IF($AJ1489="","",IF($AJ1489=0,$AK1489*EXP($AL1489*3),$AK1489*(1+$AJ1489*$AL1489*3)^(1/$AJ1489)))</f>
        <v/>
      </c>
      <c r="AP1489">
        <f>IF($AJ1489="","",IF($AJ1489=0,$AK1489*EXP($AL1489*-2),$AK1489*(1+$AJ1489*$AL1489*-2)^(1/$AJ1489)))</f>
        <v/>
      </c>
      <c r="AQ1489">
        <f>IF($AJ1489="","",IF($AJ1489=0,$AK1489*EXP($AL1489*-3),$AK1489*(1+$AJ1489*$AL1489*-3)^(1/$AJ1489)))</f>
        <v/>
      </c>
      <c r="AR1489">
        <f>IF(OR($X1489="",$T1489&gt;60),"",IFERROR(INDEX(IF($T1489&lt;24,pcomp_l,palt_l),MATCH($X1489,IF($T1489&lt;24,pcomp_k,palt_k),1)),""))</f>
        <v/>
      </c>
      <c r="AS1489">
        <f>IF(OR($X1489="",$T1489&gt;60),"",IFERROR(INDEX(IF($T1489&lt;24,pcomp_m,palt_m),MATCH($X1489,IF($T1489&lt;24,pcomp_k,palt_k),1)),""))</f>
        <v/>
      </c>
      <c r="AT1489">
        <f>IF(OR($X1489="",$T1489&gt;60),"",IFERROR(INDEX(IF($T1489&lt;24,pcomp_s,palt_s),MATCH($X1489,IF($T1489&lt;24,pcomp_k,palt_k),1)),""))</f>
        <v/>
      </c>
      <c r="AU1489">
        <f>IF($AR1489="","",IF($AR1489=0,LN($F1489/$AS1489)/$AT1489,((($F1489/$AS1489)^$AR1489)-1)/($AR1489*$AT1489)))</f>
        <v/>
      </c>
      <c r="AV1489">
        <f>IF($AR1489="","",IF($AR1489=0,$AS1489*EXP($AT1489*2),$AS1489*(1+$AR1489*$AT1489*2)^(1/$AR1489)))</f>
        <v/>
      </c>
      <c r="AW1489">
        <f>IF($AR1489="","",IF($AR1489=0,$AS1489*EXP($AT1489*3),$AS1489*(1+$AR1489*$AT1489*3)^(1/$AR1489)))</f>
        <v/>
      </c>
      <c r="AX1489">
        <f>IF($AR1489="","",IF($AR1489=0,$AS1489*EXP($AT1489*-2),$AS1489*(1+$AR1489*$AT1489*-2)^(1/$AR1489)))</f>
        <v/>
      </c>
      <c r="AY1489">
        <f>IF($AR1489="","",IF($AR1489=0,$AS1489*EXP($AT1489*-3),$AS1489*(1+$AR1489*$AT1489*-3)^(1/$AR1489)))</f>
        <v/>
      </c>
      <c r="AZ1489">
        <f>IF(OR($A1489="",$A1489&lt;&gt;Ficha!$C$4),"",COUNTIF($A$2:$A1489,Ficha!$C$4))</f>
        <v/>
      </c>
    </row>
    <row r="1490">
      <c r="A1490" s="8">
        <f>IF(INDEX(Banco!$A:$A,ROW())="","",INDEX(Banco!$A:$A,ROW()))</f>
        <v/>
      </c>
      <c r="B1490" s="8">
        <f>IF(INDEX(Banco!$B:$B,ROW())="","",INDEX(Banco!$B:$B,ROW()))</f>
        <v/>
      </c>
      <c r="C1490" s="8">
        <f>IF(INDEX(Banco!$C:$C,ROW())="","",INDEX(Banco!$C:$C,ROW()))</f>
        <v/>
      </c>
      <c r="D1490" s="9">
        <f>IF(INDEX(Banco!$D:$D,ROW())="","",INDEX(Banco!$D:$D,ROW()))</f>
        <v/>
      </c>
      <c r="E1490" s="9">
        <f>IF(INDEX(Banco!$E:$E,ROW())="","",INDEX(Banco!$E:$E,ROW()))</f>
        <v/>
      </c>
      <c r="F1490" s="10">
        <f>IF(INDEX(Banco!$F:$F,ROW())="","",INDEX(Banco!$F:$F,ROW()))</f>
        <v/>
      </c>
      <c r="G1490" s="10">
        <f>IF(INDEX(Banco!$G:$G,ROW())="","",INDEX(Banco!$G:$G,ROW()))</f>
        <v/>
      </c>
      <c r="H1490" s="8">
        <f>IF(INDEX(Banco!$H:$H,ROW())="","",INDEX(Banco!$H:$H,ROW()))</f>
        <v/>
      </c>
      <c r="I1490">
        <f>IF($T1490="","",INT($T1490/12)&amp;"a "&amp;MOD($T1490,12)&amp;"m")</f>
        <v/>
      </c>
      <c r="J1490" s="11">
        <f>IF(OR($F1490="",$G1490=""),"",ROUND($F1490/($G1490/100)^2,2))</f>
        <v/>
      </c>
      <c r="K1490" s="12">
        <f>IF(OR($S1490="",$J1490="",$T1490="",$T1490&lt;0,$T1490&gt;228,$Y1490=""),"—",ROUND(IF(ABS($AB1490)&lt;=3,$AB1490,IF($AB1490&gt;3,3+($J1490-$AD1490)/($AD1490-$AC1490),-3+($J1490-$AF1490)/($AE1490-$AF1490))),2))</f>
        <v/>
      </c>
      <c r="L1490">
        <f>IF(OR($K1490="",$K1490="—"),"",IF($T1490&lt;=60,IF($K1490&lt;-3,"Magreza acentuada",IF($K1490&lt;-2,"Magreza",IF($K1490&lt;=1,"Eutrofia",IF($K1490&lt;=2,"Risco de sobrepeso",IF($K1490&lt;=3,"Sobrepeso","Obesidade"))))),IF($K1490&lt;-3,"Magreza acentuada",IF($K1490&lt;-2,"Magreza",IF($K1490&lt;=1,"Eutrofia",IF($K1490&lt;=2,"Sobrepeso",IF($K1490&lt;=3,"Obesidade","Obesidade grave")))))))</f>
        <v/>
      </c>
      <c r="M1490" s="12">
        <f>IF(OR($S1490="",$V1490="",$T1490="",$T1490&lt;0,$T1490&gt;228,$AG1490=""),"—",ROUND(IF($AG1490=0,LN($V1490/$AH1490)/$AI1490,((($V1490/$AH1490)^$AG1490)-1)/($AG1490*$AI1490)),2))</f>
        <v/>
      </c>
      <c r="N1490">
        <f>IF(OR($M1490="",$M1490="—"),"",IF($M1490&lt;-3,"Muito baixa",IF($M1490&lt;-2,"Baixa","Adequada")))</f>
        <v/>
      </c>
      <c r="O1490" s="12">
        <f>IF(OR($S1490="",$F1490="",$T1490="",$T1490&lt;0,$T1490&gt;120,$AJ1490=""),"—",ROUND(IF(ABS($AM1490)&lt;=3,$AM1490,IF($AM1490&gt;3,3+($F1490-$AO1490)/($AO1490-$AN1490),-3+($F1490-$AQ1490)/($AP1490-$AQ1490))),2))</f>
        <v/>
      </c>
      <c r="P1490">
        <f>IF(OR($O1490="",$O1490="—"),"",IF($O1490&lt;-3,"Muito baixo",IF($O1490&lt;-2,"Baixo",IF($O1490&lt;=2,"Adequado","Elevado"))))</f>
        <v/>
      </c>
      <c r="Q1490" s="12">
        <f>IF(OR($S1490="",$F1490="",$T1490="",$T1490&lt;0,$T1490&gt;60,$AR1490=""),"—",ROUND(IF(ABS($AU1490)&lt;=3,$AU1490,IF($AU1490&gt;3,3+($F1490-$AW1490)/($AW1490-$AV1490),-3+($F1490-$AY1490)/($AX1490-$AY1490))),2))</f>
        <v/>
      </c>
      <c r="R1490">
        <f>IF(OR($Q1490="",$Q1490="—"),"",IF($Q1490&lt;-3,"Magreza acentuada",IF($Q1490&lt;-2,"Magreza",IF($Q1490&lt;=1,"Eutrofia",IF($Q1490&lt;=2,"Risco de sobrepeso",IF($Q1490&lt;=3,"Sobrepeso","Obesidade"))))))</f>
        <v/>
      </c>
      <c r="S1490">
        <f>IF($C1490="","",IF(UPPER(LEFT($C1490,1))="M",1,IF(UPPER(LEFT($C1490,1))="F",2,"")))</f>
        <v/>
      </c>
      <c r="T1490">
        <f>IF(OR($D1490="",$E1490=""),"",DATEDIF($D1490,$E1490,"m"))</f>
        <v/>
      </c>
      <c r="U1490">
        <f>IF(OR($D1490="",$E1490=""),"",$E1490-$D1490)</f>
        <v/>
      </c>
      <c r="V1490">
        <f>IF(OR($G1490="",$T1490=""),"",IF($T1490&lt;24,IF(LEFT(LOWER($H1490),4)="em p",$G1490+0.7,$G1490),IF(LEFT(LOWER($H1490),4)="deit",$G1490-0.7,$G1490)))</f>
        <v/>
      </c>
      <c r="W1490">
        <f>IF(OR($S1490="",$T1490=""),"",$S1490*1000000+IF($T1490&lt;=60,$U1490,$T1490))</f>
        <v/>
      </c>
      <c r="X1490">
        <f>IF(OR($S1490="",$V1490="",$T1490&gt;60,$T1490=""),"",$S1490*1000000+ROUND($V1490*10,0))</f>
        <v/>
      </c>
      <c r="Y1490">
        <f>IF($W1490="","",IFERROR(INDEX(IF($T1490&lt;=60,imc05_l,imc519_l),MATCH($W1490,IF($T1490&lt;=60,imc05_k,imc519_k),1)),""))</f>
        <v/>
      </c>
      <c r="Z1490">
        <f>IF($W1490="","",IFERROR(INDEX(IF($T1490&lt;=60,imc05_m,imc519_m),MATCH($W1490,IF($T1490&lt;=60,imc05_k,imc519_k),1)),""))</f>
        <v/>
      </c>
      <c r="AA1490">
        <f>IF($W1490="","",IFERROR(INDEX(IF($T1490&lt;=60,imc05_s,imc519_s),MATCH($W1490,IF($T1490&lt;=60,imc05_k,imc519_k),1)),""))</f>
        <v/>
      </c>
      <c r="AB1490">
        <f>IF($Y1490="","",IF($Y1490=0,LN($J1490/$Z1490)/$AA1490,((($J1490/$Z1490)^$Y1490)-1)/($Y1490*$AA1490)))</f>
        <v/>
      </c>
      <c r="AC1490">
        <f>IF($Y1490="","",IF($Y1490=0,$Z1490*EXP($AA1490*2),$Z1490*(1+$Y1490*$AA1490*2)^(1/$Y1490)))</f>
        <v/>
      </c>
      <c r="AD1490">
        <f>IF($Y1490="","",IF($Y1490=0,$Z1490*EXP($AA1490*3),$Z1490*(1+$Y1490*$AA1490*3)^(1/$Y1490)))</f>
        <v/>
      </c>
      <c r="AE1490">
        <f>IF($Y1490="","",IF($Y1490=0,$Z1490*EXP($AA1490*-2),$Z1490*(1+$Y1490*$AA1490*-2)^(1/$Y1490)))</f>
        <v/>
      </c>
      <c r="AF1490">
        <f>IF($Y1490="","",IF($Y1490=0,$Z1490*EXP($AA1490*-3),$Z1490*(1+$Y1490*$AA1490*-3)^(1/$Y1490)))</f>
        <v/>
      </c>
      <c r="AG1490">
        <f>IF($W1490="","",IFERROR(INDEX(IF($T1490&lt;=60,est05_l,est519_l),MATCH($W1490,IF($T1490&lt;=60,est05_k,est519_k),1)),""))</f>
        <v/>
      </c>
      <c r="AH1490">
        <f>IF($W1490="","",IFERROR(INDEX(IF($T1490&lt;=60,est05_m,est519_m),MATCH($W1490,IF($T1490&lt;=60,est05_k,est519_k),1)),""))</f>
        <v/>
      </c>
      <c r="AI1490">
        <f>IF($W1490="","",IFERROR(INDEX(IF($T1490&lt;=60,est05_s,est519_s),MATCH($W1490,IF($T1490&lt;=60,est05_k,est519_k),1)),""))</f>
        <v/>
      </c>
      <c r="AJ1490">
        <f>IF($W1490="","",IFERROR(INDEX(IF($T1490&lt;=60,peso05_l,peso510_l),MATCH($W1490,IF($T1490&lt;=60,peso05_k,peso510_k),1)),""))</f>
        <v/>
      </c>
      <c r="AK1490">
        <f>IF($W1490="","",IFERROR(INDEX(IF($T1490&lt;=60,peso05_m,peso510_m),MATCH($W1490,IF($T1490&lt;=60,peso05_k,peso510_k),1)),""))</f>
        <v/>
      </c>
      <c r="AL1490">
        <f>IF($W1490="","",IFERROR(INDEX(IF($T1490&lt;=60,peso05_s,peso510_s),MATCH($W1490,IF($T1490&lt;=60,peso05_k,peso510_k),1)),""))</f>
        <v/>
      </c>
      <c r="AM1490">
        <f>IF($AJ1490="","",IF($AJ1490=0,LN($F1490/$AK1490)/$AL1490,((($F1490/$AK1490)^$AJ1490)-1)/($AJ1490*$AL1490)))</f>
        <v/>
      </c>
      <c r="AN1490">
        <f>IF($AJ1490="","",IF($AJ1490=0,$AK1490*EXP($AL1490*2),$AK1490*(1+$AJ1490*$AL1490*2)^(1/$AJ1490)))</f>
        <v/>
      </c>
      <c r="AO1490">
        <f>IF($AJ1490="","",IF($AJ1490=0,$AK1490*EXP($AL1490*3),$AK1490*(1+$AJ1490*$AL1490*3)^(1/$AJ1490)))</f>
        <v/>
      </c>
      <c r="AP1490">
        <f>IF($AJ1490="","",IF($AJ1490=0,$AK1490*EXP($AL1490*-2),$AK1490*(1+$AJ1490*$AL1490*-2)^(1/$AJ1490)))</f>
        <v/>
      </c>
      <c r="AQ1490">
        <f>IF($AJ1490="","",IF($AJ1490=0,$AK1490*EXP($AL1490*-3),$AK1490*(1+$AJ1490*$AL1490*-3)^(1/$AJ1490)))</f>
        <v/>
      </c>
      <c r="AR1490">
        <f>IF(OR($X1490="",$T1490&gt;60),"",IFERROR(INDEX(IF($T1490&lt;24,pcomp_l,palt_l),MATCH($X1490,IF($T1490&lt;24,pcomp_k,palt_k),1)),""))</f>
        <v/>
      </c>
      <c r="AS1490">
        <f>IF(OR($X1490="",$T1490&gt;60),"",IFERROR(INDEX(IF($T1490&lt;24,pcomp_m,palt_m),MATCH($X1490,IF($T1490&lt;24,pcomp_k,palt_k),1)),""))</f>
        <v/>
      </c>
      <c r="AT1490">
        <f>IF(OR($X1490="",$T1490&gt;60),"",IFERROR(INDEX(IF($T1490&lt;24,pcomp_s,palt_s),MATCH($X1490,IF($T1490&lt;24,pcomp_k,palt_k),1)),""))</f>
        <v/>
      </c>
      <c r="AU1490">
        <f>IF($AR1490="","",IF($AR1490=0,LN($F1490/$AS1490)/$AT1490,((($F1490/$AS1490)^$AR1490)-1)/($AR1490*$AT1490)))</f>
        <v/>
      </c>
      <c r="AV1490">
        <f>IF($AR1490="","",IF($AR1490=0,$AS1490*EXP($AT1490*2),$AS1490*(1+$AR1490*$AT1490*2)^(1/$AR1490)))</f>
        <v/>
      </c>
      <c r="AW1490">
        <f>IF($AR1490="","",IF($AR1490=0,$AS1490*EXP($AT1490*3),$AS1490*(1+$AR1490*$AT1490*3)^(1/$AR1490)))</f>
        <v/>
      </c>
      <c r="AX1490">
        <f>IF($AR1490="","",IF($AR1490=0,$AS1490*EXP($AT1490*-2),$AS1490*(1+$AR1490*$AT1490*-2)^(1/$AR1490)))</f>
        <v/>
      </c>
      <c r="AY1490">
        <f>IF($AR1490="","",IF($AR1490=0,$AS1490*EXP($AT1490*-3),$AS1490*(1+$AR1490*$AT1490*-3)^(1/$AR1490)))</f>
        <v/>
      </c>
      <c r="AZ1490">
        <f>IF(OR($A1490="",$A1490&lt;&gt;Ficha!$C$4),"",COUNTIF($A$2:$A1490,Ficha!$C$4))</f>
        <v/>
      </c>
    </row>
    <row r="1491">
      <c r="A1491" s="8">
        <f>IF(INDEX(Banco!$A:$A,ROW())="","",INDEX(Banco!$A:$A,ROW()))</f>
        <v/>
      </c>
      <c r="B1491" s="8">
        <f>IF(INDEX(Banco!$B:$B,ROW())="","",INDEX(Banco!$B:$B,ROW()))</f>
        <v/>
      </c>
      <c r="C1491" s="8">
        <f>IF(INDEX(Banco!$C:$C,ROW())="","",INDEX(Banco!$C:$C,ROW()))</f>
        <v/>
      </c>
      <c r="D1491" s="9">
        <f>IF(INDEX(Banco!$D:$D,ROW())="","",INDEX(Banco!$D:$D,ROW()))</f>
        <v/>
      </c>
      <c r="E1491" s="9">
        <f>IF(INDEX(Banco!$E:$E,ROW())="","",INDEX(Banco!$E:$E,ROW()))</f>
        <v/>
      </c>
      <c r="F1491" s="10">
        <f>IF(INDEX(Banco!$F:$F,ROW())="","",INDEX(Banco!$F:$F,ROW()))</f>
        <v/>
      </c>
      <c r="G1491" s="10">
        <f>IF(INDEX(Banco!$G:$G,ROW())="","",INDEX(Banco!$G:$G,ROW()))</f>
        <v/>
      </c>
      <c r="H1491" s="8">
        <f>IF(INDEX(Banco!$H:$H,ROW())="","",INDEX(Banco!$H:$H,ROW()))</f>
        <v/>
      </c>
      <c r="I1491">
        <f>IF($T1491="","",INT($T1491/12)&amp;"a "&amp;MOD($T1491,12)&amp;"m")</f>
        <v/>
      </c>
      <c r="J1491" s="11">
        <f>IF(OR($F1491="",$G1491=""),"",ROUND($F1491/($G1491/100)^2,2))</f>
        <v/>
      </c>
      <c r="K1491" s="12">
        <f>IF(OR($S1491="",$J1491="",$T1491="",$T1491&lt;0,$T1491&gt;228,$Y1491=""),"—",ROUND(IF(ABS($AB1491)&lt;=3,$AB1491,IF($AB1491&gt;3,3+($J1491-$AD1491)/($AD1491-$AC1491),-3+($J1491-$AF1491)/($AE1491-$AF1491))),2))</f>
        <v/>
      </c>
      <c r="L1491">
        <f>IF(OR($K1491="",$K1491="—"),"",IF($T1491&lt;=60,IF($K1491&lt;-3,"Magreza acentuada",IF($K1491&lt;-2,"Magreza",IF($K1491&lt;=1,"Eutrofia",IF($K1491&lt;=2,"Risco de sobrepeso",IF($K1491&lt;=3,"Sobrepeso","Obesidade"))))),IF($K1491&lt;-3,"Magreza acentuada",IF($K1491&lt;-2,"Magreza",IF($K1491&lt;=1,"Eutrofia",IF($K1491&lt;=2,"Sobrepeso",IF($K1491&lt;=3,"Obesidade","Obesidade grave")))))))</f>
        <v/>
      </c>
      <c r="M1491" s="12">
        <f>IF(OR($S1491="",$V1491="",$T1491="",$T1491&lt;0,$T1491&gt;228,$AG1491=""),"—",ROUND(IF($AG1491=0,LN($V1491/$AH1491)/$AI1491,((($V1491/$AH1491)^$AG1491)-1)/($AG1491*$AI1491)),2))</f>
        <v/>
      </c>
      <c r="N1491">
        <f>IF(OR($M1491="",$M1491="—"),"",IF($M1491&lt;-3,"Muito baixa",IF($M1491&lt;-2,"Baixa","Adequada")))</f>
        <v/>
      </c>
      <c r="O1491" s="12">
        <f>IF(OR($S1491="",$F1491="",$T1491="",$T1491&lt;0,$T1491&gt;120,$AJ1491=""),"—",ROUND(IF(ABS($AM1491)&lt;=3,$AM1491,IF($AM1491&gt;3,3+($F1491-$AO1491)/($AO1491-$AN1491),-3+($F1491-$AQ1491)/($AP1491-$AQ1491))),2))</f>
        <v/>
      </c>
      <c r="P1491">
        <f>IF(OR($O1491="",$O1491="—"),"",IF($O1491&lt;-3,"Muito baixo",IF($O1491&lt;-2,"Baixo",IF($O1491&lt;=2,"Adequado","Elevado"))))</f>
        <v/>
      </c>
      <c r="Q1491" s="12">
        <f>IF(OR($S1491="",$F1491="",$T1491="",$T1491&lt;0,$T1491&gt;60,$AR1491=""),"—",ROUND(IF(ABS($AU1491)&lt;=3,$AU1491,IF($AU1491&gt;3,3+($F1491-$AW1491)/($AW1491-$AV1491),-3+($F1491-$AY1491)/($AX1491-$AY1491))),2))</f>
        <v/>
      </c>
      <c r="R1491">
        <f>IF(OR($Q1491="",$Q1491="—"),"",IF($Q1491&lt;-3,"Magreza acentuada",IF($Q1491&lt;-2,"Magreza",IF($Q1491&lt;=1,"Eutrofia",IF($Q1491&lt;=2,"Risco de sobrepeso",IF($Q1491&lt;=3,"Sobrepeso","Obesidade"))))))</f>
        <v/>
      </c>
      <c r="S1491">
        <f>IF($C1491="","",IF(UPPER(LEFT($C1491,1))="M",1,IF(UPPER(LEFT($C1491,1))="F",2,"")))</f>
        <v/>
      </c>
      <c r="T1491">
        <f>IF(OR($D1491="",$E1491=""),"",DATEDIF($D1491,$E1491,"m"))</f>
        <v/>
      </c>
      <c r="U1491">
        <f>IF(OR($D1491="",$E1491=""),"",$E1491-$D1491)</f>
        <v/>
      </c>
      <c r="V1491">
        <f>IF(OR($G1491="",$T1491=""),"",IF($T1491&lt;24,IF(LEFT(LOWER($H1491),4)="em p",$G1491+0.7,$G1491),IF(LEFT(LOWER($H1491),4)="deit",$G1491-0.7,$G1491)))</f>
        <v/>
      </c>
      <c r="W1491">
        <f>IF(OR($S1491="",$T1491=""),"",$S1491*1000000+IF($T1491&lt;=60,$U1491,$T1491))</f>
        <v/>
      </c>
      <c r="X1491">
        <f>IF(OR($S1491="",$V1491="",$T1491&gt;60,$T1491=""),"",$S1491*1000000+ROUND($V1491*10,0))</f>
        <v/>
      </c>
      <c r="Y1491">
        <f>IF($W1491="","",IFERROR(INDEX(IF($T1491&lt;=60,imc05_l,imc519_l),MATCH($W1491,IF($T1491&lt;=60,imc05_k,imc519_k),1)),""))</f>
        <v/>
      </c>
      <c r="Z1491">
        <f>IF($W1491="","",IFERROR(INDEX(IF($T1491&lt;=60,imc05_m,imc519_m),MATCH($W1491,IF($T1491&lt;=60,imc05_k,imc519_k),1)),""))</f>
        <v/>
      </c>
      <c r="AA1491">
        <f>IF($W1491="","",IFERROR(INDEX(IF($T1491&lt;=60,imc05_s,imc519_s),MATCH($W1491,IF($T1491&lt;=60,imc05_k,imc519_k),1)),""))</f>
        <v/>
      </c>
      <c r="AB1491">
        <f>IF($Y1491="","",IF($Y1491=0,LN($J1491/$Z1491)/$AA1491,((($J1491/$Z1491)^$Y1491)-1)/($Y1491*$AA1491)))</f>
        <v/>
      </c>
      <c r="AC1491">
        <f>IF($Y1491="","",IF($Y1491=0,$Z1491*EXP($AA1491*2),$Z1491*(1+$Y1491*$AA1491*2)^(1/$Y1491)))</f>
        <v/>
      </c>
      <c r="AD1491">
        <f>IF($Y1491="","",IF($Y1491=0,$Z1491*EXP($AA1491*3),$Z1491*(1+$Y1491*$AA1491*3)^(1/$Y1491)))</f>
        <v/>
      </c>
      <c r="AE1491">
        <f>IF($Y1491="","",IF($Y1491=0,$Z1491*EXP($AA1491*-2),$Z1491*(1+$Y1491*$AA1491*-2)^(1/$Y1491)))</f>
        <v/>
      </c>
      <c r="AF1491">
        <f>IF($Y1491="","",IF($Y1491=0,$Z1491*EXP($AA1491*-3),$Z1491*(1+$Y1491*$AA1491*-3)^(1/$Y1491)))</f>
        <v/>
      </c>
      <c r="AG1491">
        <f>IF($W1491="","",IFERROR(INDEX(IF($T1491&lt;=60,est05_l,est519_l),MATCH($W1491,IF($T1491&lt;=60,est05_k,est519_k),1)),""))</f>
        <v/>
      </c>
      <c r="AH1491">
        <f>IF($W1491="","",IFERROR(INDEX(IF($T1491&lt;=60,est05_m,est519_m),MATCH($W1491,IF($T1491&lt;=60,est05_k,est519_k),1)),""))</f>
        <v/>
      </c>
      <c r="AI1491">
        <f>IF($W1491="","",IFERROR(INDEX(IF($T1491&lt;=60,est05_s,est519_s),MATCH($W1491,IF($T1491&lt;=60,est05_k,est519_k),1)),""))</f>
        <v/>
      </c>
      <c r="AJ1491">
        <f>IF($W1491="","",IFERROR(INDEX(IF($T1491&lt;=60,peso05_l,peso510_l),MATCH($W1491,IF($T1491&lt;=60,peso05_k,peso510_k),1)),""))</f>
        <v/>
      </c>
      <c r="AK1491">
        <f>IF($W1491="","",IFERROR(INDEX(IF($T1491&lt;=60,peso05_m,peso510_m),MATCH($W1491,IF($T1491&lt;=60,peso05_k,peso510_k),1)),""))</f>
        <v/>
      </c>
      <c r="AL1491">
        <f>IF($W1491="","",IFERROR(INDEX(IF($T1491&lt;=60,peso05_s,peso510_s),MATCH($W1491,IF($T1491&lt;=60,peso05_k,peso510_k),1)),""))</f>
        <v/>
      </c>
      <c r="AM1491">
        <f>IF($AJ1491="","",IF($AJ1491=0,LN($F1491/$AK1491)/$AL1491,((($F1491/$AK1491)^$AJ1491)-1)/($AJ1491*$AL1491)))</f>
        <v/>
      </c>
      <c r="AN1491">
        <f>IF($AJ1491="","",IF($AJ1491=0,$AK1491*EXP($AL1491*2),$AK1491*(1+$AJ1491*$AL1491*2)^(1/$AJ1491)))</f>
        <v/>
      </c>
      <c r="AO1491">
        <f>IF($AJ1491="","",IF($AJ1491=0,$AK1491*EXP($AL1491*3),$AK1491*(1+$AJ1491*$AL1491*3)^(1/$AJ1491)))</f>
        <v/>
      </c>
      <c r="AP1491">
        <f>IF($AJ1491="","",IF($AJ1491=0,$AK1491*EXP($AL1491*-2),$AK1491*(1+$AJ1491*$AL1491*-2)^(1/$AJ1491)))</f>
        <v/>
      </c>
      <c r="AQ1491">
        <f>IF($AJ1491="","",IF($AJ1491=0,$AK1491*EXP($AL1491*-3),$AK1491*(1+$AJ1491*$AL1491*-3)^(1/$AJ1491)))</f>
        <v/>
      </c>
      <c r="AR1491">
        <f>IF(OR($X1491="",$T1491&gt;60),"",IFERROR(INDEX(IF($T1491&lt;24,pcomp_l,palt_l),MATCH($X1491,IF($T1491&lt;24,pcomp_k,palt_k),1)),""))</f>
        <v/>
      </c>
      <c r="AS1491">
        <f>IF(OR($X1491="",$T1491&gt;60),"",IFERROR(INDEX(IF($T1491&lt;24,pcomp_m,palt_m),MATCH($X1491,IF($T1491&lt;24,pcomp_k,palt_k),1)),""))</f>
        <v/>
      </c>
      <c r="AT1491">
        <f>IF(OR($X1491="",$T1491&gt;60),"",IFERROR(INDEX(IF($T1491&lt;24,pcomp_s,palt_s),MATCH($X1491,IF($T1491&lt;24,pcomp_k,palt_k),1)),""))</f>
        <v/>
      </c>
      <c r="AU1491">
        <f>IF($AR1491="","",IF($AR1491=0,LN($F1491/$AS1491)/$AT1491,((($F1491/$AS1491)^$AR1491)-1)/($AR1491*$AT1491)))</f>
        <v/>
      </c>
      <c r="AV1491">
        <f>IF($AR1491="","",IF($AR1491=0,$AS1491*EXP($AT1491*2),$AS1491*(1+$AR1491*$AT1491*2)^(1/$AR1491)))</f>
        <v/>
      </c>
      <c r="AW1491">
        <f>IF($AR1491="","",IF($AR1491=0,$AS1491*EXP($AT1491*3),$AS1491*(1+$AR1491*$AT1491*3)^(1/$AR1491)))</f>
        <v/>
      </c>
      <c r="AX1491">
        <f>IF($AR1491="","",IF($AR1491=0,$AS1491*EXP($AT1491*-2),$AS1491*(1+$AR1491*$AT1491*-2)^(1/$AR1491)))</f>
        <v/>
      </c>
      <c r="AY1491">
        <f>IF($AR1491="","",IF($AR1491=0,$AS1491*EXP($AT1491*-3),$AS1491*(1+$AR1491*$AT1491*-3)^(1/$AR1491)))</f>
        <v/>
      </c>
      <c r="AZ1491">
        <f>IF(OR($A1491="",$A1491&lt;&gt;Ficha!$C$4),"",COUNTIF($A$2:$A1491,Ficha!$C$4))</f>
        <v/>
      </c>
    </row>
    <row r="1492">
      <c r="A1492" s="8">
        <f>IF(INDEX(Banco!$A:$A,ROW())="","",INDEX(Banco!$A:$A,ROW()))</f>
        <v/>
      </c>
      <c r="B1492" s="8">
        <f>IF(INDEX(Banco!$B:$B,ROW())="","",INDEX(Banco!$B:$B,ROW()))</f>
        <v/>
      </c>
      <c r="C1492" s="8">
        <f>IF(INDEX(Banco!$C:$C,ROW())="","",INDEX(Banco!$C:$C,ROW()))</f>
        <v/>
      </c>
      <c r="D1492" s="9">
        <f>IF(INDEX(Banco!$D:$D,ROW())="","",INDEX(Banco!$D:$D,ROW()))</f>
        <v/>
      </c>
      <c r="E1492" s="9">
        <f>IF(INDEX(Banco!$E:$E,ROW())="","",INDEX(Banco!$E:$E,ROW()))</f>
        <v/>
      </c>
      <c r="F1492" s="10">
        <f>IF(INDEX(Banco!$F:$F,ROW())="","",INDEX(Banco!$F:$F,ROW()))</f>
        <v/>
      </c>
      <c r="G1492" s="10">
        <f>IF(INDEX(Banco!$G:$G,ROW())="","",INDEX(Banco!$G:$G,ROW()))</f>
        <v/>
      </c>
      <c r="H1492" s="8">
        <f>IF(INDEX(Banco!$H:$H,ROW())="","",INDEX(Banco!$H:$H,ROW()))</f>
        <v/>
      </c>
      <c r="I1492">
        <f>IF($T1492="","",INT($T1492/12)&amp;"a "&amp;MOD($T1492,12)&amp;"m")</f>
        <v/>
      </c>
      <c r="J1492" s="11">
        <f>IF(OR($F1492="",$G1492=""),"",ROUND($F1492/($G1492/100)^2,2))</f>
        <v/>
      </c>
      <c r="K1492" s="12">
        <f>IF(OR($S1492="",$J1492="",$T1492="",$T1492&lt;0,$T1492&gt;228,$Y1492=""),"—",ROUND(IF(ABS($AB1492)&lt;=3,$AB1492,IF($AB1492&gt;3,3+($J1492-$AD1492)/($AD1492-$AC1492),-3+($J1492-$AF1492)/($AE1492-$AF1492))),2))</f>
        <v/>
      </c>
      <c r="L1492">
        <f>IF(OR($K1492="",$K1492="—"),"",IF($T1492&lt;=60,IF($K1492&lt;-3,"Magreza acentuada",IF($K1492&lt;-2,"Magreza",IF($K1492&lt;=1,"Eutrofia",IF($K1492&lt;=2,"Risco de sobrepeso",IF($K1492&lt;=3,"Sobrepeso","Obesidade"))))),IF($K1492&lt;-3,"Magreza acentuada",IF($K1492&lt;-2,"Magreza",IF($K1492&lt;=1,"Eutrofia",IF($K1492&lt;=2,"Sobrepeso",IF($K1492&lt;=3,"Obesidade","Obesidade grave")))))))</f>
        <v/>
      </c>
      <c r="M1492" s="12">
        <f>IF(OR($S1492="",$V1492="",$T1492="",$T1492&lt;0,$T1492&gt;228,$AG1492=""),"—",ROUND(IF($AG1492=0,LN($V1492/$AH1492)/$AI1492,((($V1492/$AH1492)^$AG1492)-1)/($AG1492*$AI1492)),2))</f>
        <v/>
      </c>
      <c r="N1492">
        <f>IF(OR($M1492="",$M1492="—"),"",IF($M1492&lt;-3,"Muito baixa",IF($M1492&lt;-2,"Baixa","Adequada")))</f>
        <v/>
      </c>
      <c r="O1492" s="12">
        <f>IF(OR($S1492="",$F1492="",$T1492="",$T1492&lt;0,$T1492&gt;120,$AJ1492=""),"—",ROUND(IF(ABS($AM1492)&lt;=3,$AM1492,IF($AM1492&gt;3,3+($F1492-$AO1492)/($AO1492-$AN1492),-3+($F1492-$AQ1492)/($AP1492-$AQ1492))),2))</f>
        <v/>
      </c>
      <c r="P1492">
        <f>IF(OR($O1492="",$O1492="—"),"",IF($O1492&lt;-3,"Muito baixo",IF($O1492&lt;-2,"Baixo",IF($O1492&lt;=2,"Adequado","Elevado"))))</f>
        <v/>
      </c>
      <c r="Q1492" s="12">
        <f>IF(OR($S1492="",$F1492="",$T1492="",$T1492&lt;0,$T1492&gt;60,$AR1492=""),"—",ROUND(IF(ABS($AU1492)&lt;=3,$AU1492,IF($AU1492&gt;3,3+($F1492-$AW1492)/($AW1492-$AV1492),-3+($F1492-$AY1492)/($AX1492-$AY1492))),2))</f>
        <v/>
      </c>
      <c r="R1492">
        <f>IF(OR($Q1492="",$Q1492="—"),"",IF($Q1492&lt;-3,"Magreza acentuada",IF($Q1492&lt;-2,"Magreza",IF($Q1492&lt;=1,"Eutrofia",IF($Q1492&lt;=2,"Risco de sobrepeso",IF($Q1492&lt;=3,"Sobrepeso","Obesidade"))))))</f>
        <v/>
      </c>
      <c r="S1492">
        <f>IF($C1492="","",IF(UPPER(LEFT($C1492,1))="M",1,IF(UPPER(LEFT($C1492,1))="F",2,"")))</f>
        <v/>
      </c>
      <c r="T1492">
        <f>IF(OR($D1492="",$E1492=""),"",DATEDIF($D1492,$E1492,"m"))</f>
        <v/>
      </c>
      <c r="U1492">
        <f>IF(OR($D1492="",$E1492=""),"",$E1492-$D1492)</f>
        <v/>
      </c>
      <c r="V1492">
        <f>IF(OR($G1492="",$T1492=""),"",IF($T1492&lt;24,IF(LEFT(LOWER($H1492),4)="em p",$G1492+0.7,$G1492),IF(LEFT(LOWER($H1492),4)="deit",$G1492-0.7,$G1492)))</f>
        <v/>
      </c>
      <c r="W1492">
        <f>IF(OR($S1492="",$T1492=""),"",$S1492*1000000+IF($T1492&lt;=60,$U1492,$T1492))</f>
        <v/>
      </c>
      <c r="X1492">
        <f>IF(OR($S1492="",$V1492="",$T1492&gt;60,$T1492=""),"",$S1492*1000000+ROUND($V1492*10,0))</f>
        <v/>
      </c>
      <c r="Y1492">
        <f>IF($W1492="","",IFERROR(INDEX(IF($T1492&lt;=60,imc05_l,imc519_l),MATCH($W1492,IF($T1492&lt;=60,imc05_k,imc519_k),1)),""))</f>
        <v/>
      </c>
      <c r="Z1492">
        <f>IF($W1492="","",IFERROR(INDEX(IF($T1492&lt;=60,imc05_m,imc519_m),MATCH($W1492,IF($T1492&lt;=60,imc05_k,imc519_k),1)),""))</f>
        <v/>
      </c>
      <c r="AA1492">
        <f>IF($W1492="","",IFERROR(INDEX(IF($T1492&lt;=60,imc05_s,imc519_s),MATCH($W1492,IF($T1492&lt;=60,imc05_k,imc519_k),1)),""))</f>
        <v/>
      </c>
      <c r="AB1492">
        <f>IF($Y1492="","",IF($Y1492=0,LN($J1492/$Z1492)/$AA1492,((($J1492/$Z1492)^$Y1492)-1)/($Y1492*$AA1492)))</f>
        <v/>
      </c>
      <c r="AC1492">
        <f>IF($Y1492="","",IF($Y1492=0,$Z1492*EXP($AA1492*2),$Z1492*(1+$Y1492*$AA1492*2)^(1/$Y1492)))</f>
        <v/>
      </c>
      <c r="AD1492">
        <f>IF($Y1492="","",IF($Y1492=0,$Z1492*EXP($AA1492*3),$Z1492*(1+$Y1492*$AA1492*3)^(1/$Y1492)))</f>
        <v/>
      </c>
      <c r="AE1492">
        <f>IF($Y1492="","",IF($Y1492=0,$Z1492*EXP($AA1492*-2),$Z1492*(1+$Y1492*$AA1492*-2)^(1/$Y1492)))</f>
        <v/>
      </c>
      <c r="AF1492">
        <f>IF($Y1492="","",IF($Y1492=0,$Z1492*EXP($AA1492*-3),$Z1492*(1+$Y1492*$AA1492*-3)^(1/$Y1492)))</f>
        <v/>
      </c>
      <c r="AG1492">
        <f>IF($W1492="","",IFERROR(INDEX(IF($T1492&lt;=60,est05_l,est519_l),MATCH($W1492,IF($T1492&lt;=60,est05_k,est519_k),1)),""))</f>
        <v/>
      </c>
      <c r="AH1492">
        <f>IF($W1492="","",IFERROR(INDEX(IF($T1492&lt;=60,est05_m,est519_m),MATCH($W1492,IF($T1492&lt;=60,est05_k,est519_k),1)),""))</f>
        <v/>
      </c>
      <c r="AI1492">
        <f>IF($W1492="","",IFERROR(INDEX(IF($T1492&lt;=60,est05_s,est519_s),MATCH($W1492,IF($T1492&lt;=60,est05_k,est519_k),1)),""))</f>
        <v/>
      </c>
      <c r="AJ1492">
        <f>IF($W1492="","",IFERROR(INDEX(IF($T1492&lt;=60,peso05_l,peso510_l),MATCH($W1492,IF($T1492&lt;=60,peso05_k,peso510_k),1)),""))</f>
        <v/>
      </c>
      <c r="AK1492">
        <f>IF($W1492="","",IFERROR(INDEX(IF($T1492&lt;=60,peso05_m,peso510_m),MATCH($W1492,IF($T1492&lt;=60,peso05_k,peso510_k),1)),""))</f>
        <v/>
      </c>
      <c r="AL1492">
        <f>IF($W1492="","",IFERROR(INDEX(IF($T1492&lt;=60,peso05_s,peso510_s),MATCH($W1492,IF($T1492&lt;=60,peso05_k,peso510_k),1)),""))</f>
        <v/>
      </c>
      <c r="AM1492">
        <f>IF($AJ1492="","",IF($AJ1492=0,LN($F1492/$AK1492)/$AL1492,((($F1492/$AK1492)^$AJ1492)-1)/($AJ1492*$AL1492)))</f>
        <v/>
      </c>
      <c r="AN1492">
        <f>IF($AJ1492="","",IF($AJ1492=0,$AK1492*EXP($AL1492*2),$AK1492*(1+$AJ1492*$AL1492*2)^(1/$AJ1492)))</f>
        <v/>
      </c>
      <c r="AO1492">
        <f>IF($AJ1492="","",IF($AJ1492=0,$AK1492*EXP($AL1492*3),$AK1492*(1+$AJ1492*$AL1492*3)^(1/$AJ1492)))</f>
        <v/>
      </c>
      <c r="AP1492">
        <f>IF($AJ1492="","",IF($AJ1492=0,$AK1492*EXP($AL1492*-2),$AK1492*(1+$AJ1492*$AL1492*-2)^(1/$AJ1492)))</f>
        <v/>
      </c>
      <c r="AQ1492">
        <f>IF($AJ1492="","",IF($AJ1492=0,$AK1492*EXP($AL1492*-3),$AK1492*(1+$AJ1492*$AL1492*-3)^(1/$AJ1492)))</f>
        <v/>
      </c>
      <c r="AR1492">
        <f>IF(OR($X1492="",$T1492&gt;60),"",IFERROR(INDEX(IF($T1492&lt;24,pcomp_l,palt_l),MATCH($X1492,IF($T1492&lt;24,pcomp_k,palt_k),1)),""))</f>
        <v/>
      </c>
      <c r="AS1492">
        <f>IF(OR($X1492="",$T1492&gt;60),"",IFERROR(INDEX(IF($T1492&lt;24,pcomp_m,palt_m),MATCH($X1492,IF($T1492&lt;24,pcomp_k,palt_k),1)),""))</f>
        <v/>
      </c>
      <c r="AT1492">
        <f>IF(OR($X1492="",$T1492&gt;60),"",IFERROR(INDEX(IF($T1492&lt;24,pcomp_s,palt_s),MATCH($X1492,IF($T1492&lt;24,pcomp_k,palt_k),1)),""))</f>
        <v/>
      </c>
      <c r="AU1492">
        <f>IF($AR1492="","",IF($AR1492=0,LN($F1492/$AS1492)/$AT1492,((($F1492/$AS1492)^$AR1492)-1)/($AR1492*$AT1492)))</f>
        <v/>
      </c>
      <c r="AV1492">
        <f>IF($AR1492="","",IF($AR1492=0,$AS1492*EXP($AT1492*2),$AS1492*(1+$AR1492*$AT1492*2)^(1/$AR1492)))</f>
        <v/>
      </c>
      <c r="AW1492">
        <f>IF($AR1492="","",IF($AR1492=0,$AS1492*EXP($AT1492*3),$AS1492*(1+$AR1492*$AT1492*3)^(1/$AR1492)))</f>
        <v/>
      </c>
      <c r="AX1492">
        <f>IF($AR1492="","",IF($AR1492=0,$AS1492*EXP($AT1492*-2),$AS1492*(1+$AR1492*$AT1492*-2)^(1/$AR1492)))</f>
        <v/>
      </c>
      <c r="AY1492">
        <f>IF($AR1492="","",IF($AR1492=0,$AS1492*EXP($AT1492*-3),$AS1492*(1+$AR1492*$AT1492*-3)^(1/$AR1492)))</f>
        <v/>
      </c>
      <c r="AZ1492">
        <f>IF(OR($A1492="",$A1492&lt;&gt;Ficha!$C$4),"",COUNTIF($A$2:$A1492,Ficha!$C$4))</f>
        <v/>
      </c>
    </row>
    <row r="1493">
      <c r="A1493" s="8">
        <f>IF(INDEX(Banco!$A:$A,ROW())="","",INDEX(Banco!$A:$A,ROW()))</f>
        <v/>
      </c>
      <c r="B1493" s="8">
        <f>IF(INDEX(Banco!$B:$B,ROW())="","",INDEX(Banco!$B:$B,ROW()))</f>
        <v/>
      </c>
      <c r="C1493" s="8">
        <f>IF(INDEX(Banco!$C:$C,ROW())="","",INDEX(Banco!$C:$C,ROW()))</f>
        <v/>
      </c>
      <c r="D1493" s="9">
        <f>IF(INDEX(Banco!$D:$D,ROW())="","",INDEX(Banco!$D:$D,ROW()))</f>
        <v/>
      </c>
      <c r="E1493" s="9">
        <f>IF(INDEX(Banco!$E:$E,ROW())="","",INDEX(Banco!$E:$E,ROW()))</f>
        <v/>
      </c>
      <c r="F1493" s="10">
        <f>IF(INDEX(Banco!$F:$F,ROW())="","",INDEX(Banco!$F:$F,ROW()))</f>
        <v/>
      </c>
      <c r="G1493" s="10">
        <f>IF(INDEX(Banco!$G:$G,ROW())="","",INDEX(Banco!$G:$G,ROW()))</f>
        <v/>
      </c>
      <c r="H1493" s="8">
        <f>IF(INDEX(Banco!$H:$H,ROW())="","",INDEX(Banco!$H:$H,ROW()))</f>
        <v/>
      </c>
      <c r="I1493">
        <f>IF($T1493="","",INT($T1493/12)&amp;"a "&amp;MOD($T1493,12)&amp;"m")</f>
        <v/>
      </c>
      <c r="J1493" s="11">
        <f>IF(OR($F1493="",$G1493=""),"",ROUND($F1493/($G1493/100)^2,2))</f>
        <v/>
      </c>
      <c r="K1493" s="12">
        <f>IF(OR($S1493="",$J1493="",$T1493="",$T1493&lt;0,$T1493&gt;228,$Y1493=""),"—",ROUND(IF(ABS($AB1493)&lt;=3,$AB1493,IF($AB1493&gt;3,3+($J1493-$AD1493)/($AD1493-$AC1493),-3+($J1493-$AF1493)/($AE1493-$AF1493))),2))</f>
        <v/>
      </c>
      <c r="L1493">
        <f>IF(OR($K1493="",$K1493="—"),"",IF($T1493&lt;=60,IF($K1493&lt;-3,"Magreza acentuada",IF($K1493&lt;-2,"Magreza",IF($K1493&lt;=1,"Eutrofia",IF($K1493&lt;=2,"Risco de sobrepeso",IF($K1493&lt;=3,"Sobrepeso","Obesidade"))))),IF($K1493&lt;-3,"Magreza acentuada",IF($K1493&lt;-2,"Magreza",IF($K1493&lt;=1,"Eutrofia",IF($K1493&lt;=2,"Sobrepeso",IF($K1493&lt;=3,"Obesidade","Obesidade grave")))))))</f>
        <v/>
      </c>
      <c r="M1493" s="12">
        <f>IF(OR($S1493="",$V1493="",$T1493="",$T1493&lt;0,$T1493&gt;228,$AG1493=""),"—",ROUND(IF($AG1493=0,LN($V1493/$AH1493)/$AI1493,((($V1493/$AH1493)^$AG1493)-1)/($AG1493*$AI1493)),2))</f>
        <v/>
      </c>
      <c r="N1493">
        <f>IF(OR($M1493="",$M1493="—"),"",IF($M1493&lt;-3,"Muito baixa",IF($M1493&lt;-2,"Baixa","Adequada")))</f>
        <v/>
      </c>
      <c r="O1493" s="12">
        <f>IF(OR($S1493="",$F1493="",$T1493="",$T1493&lt;0,$T1493&gt;120,$AJ1493=""),"—",ROUND(IF(ABS($AM1493)&lt;=3,$AM1493,IF($AM1493&gt;3,3+($F1493-$AO1493)/($AO1493-$AN1493),-3+($F1493-$AQ1493)/($AP1493-$AQ1493))),2))</f>
        <v/>
      </c>
      <c r="P1493">
        <f>IF(OR($O1493="",$O1493="—"),"",IF($O1493&lt;-3,"Muito baixo",IF($O1493&lt;-2,"Baixo",IF($O1493&lt;=2,"Adequado","Elevado"))))</f>
        <v/>
      </c>
      <c r="Q1493" s="12">
        <f>IF(OR($S1493="",$F1493="",$T1493="",$T1493&lt;0,$T1493&gt;60,$AR1493=""),"—",ROUND(IF(ABS($AU1493)&lt;=3,$AU1493,IF($AU1493&gt;3,3+($F1493-$AW1493)/($AW1493-$AV1493),-3+($F1493-$AY1493)/($AX1493-$AY1493))),2))</f>
        <v/>
      </c>
      <c r="R1493">
        <f>IF(OR($Q1493="",$Q1493="—"),"",IF($Q1493&lt;-3,"Magreza acentuada",IF($Q1493&lt;-2,"Magreza",IF($Q1493&lt;=1,"Eutrofia",IF($Q1493&lt;=2,"Risco de sobrepeso",IF($Q1493&lt;=3,"Sobrepeso","Obesidade"))))))</f>
        <v/>
      </c>
      <c r="S1493">
        <f>IF($C1493="","",IF(UPPER(LEFT($C1493,1))="M",1,IF(UPPER(LEFT($C1493,1))="F",2,"")))</f>
        <v/>
      </c>
      <c r="T1493">
        <f>IF(OR($D1493="",$E1493=""),"",DATEDIF($D1493,$E1493,"m"))</f>
        <v/>
      </c>
      <c r="U1493">
        <f>IF(OR($D1493="",$E1493=""),"",$E1493-$D1493)</f>
        <v/>
      </c>
      <c r="V1493">
        <f>IF(OR($G1493="",$T1493=""),"",IF($T1493&lt;24,IF(LEFT(LOWER($H1493),4)="em p",$G1493+0.7,$G1493),IF(LEFT(LOWER($H1493),4)="deit",$G1493-0.7,$G1493)))</f>
        <v/>
      </c>
      <c r="W1493">
        <f>IF(OR($S1493="",$T1493=""),"",$S1493*1000000+IF($T1493&lt;=60,$U1493,$T1493))</f>
        <v/>
      </c>
      <c r="X1493">
        <f>IF(OR($S1493="",$V1493="",$T1493&gt;60,$T1493=""),"",$S1493*1000000+ROUND($V1493*10,0))</f>
        <v/>
      </c>
      <c r="Y1493">
        <f>IF($W1493="","",IFERROR(INDEX(IF($T1493&lt;=60,imc05_l,imc519_l),MATCH($W1493,IF($T1493&lt;=60,imc05_k,imc519_k),1)),""))</f>
        <v/>
      </c>
      <c r="Z1493">
        <f>IF($W1493="","",IFERROR(INDEX(IF($T1493&lt;=60,imc05_m,imc519_m),MATCH($W1493,IF($T1493&lt;=60,imc05_k,imc519_k),1)),""))</f>
        <v/>
      </c>
      <c r="AA1493">
        <f>IF($W1493="","",IFERROR(INDEX(IF($T1493&lt;=60,imc05_s,imc519_s),MATCH($W1493,IF($T1493&lt;=60,imc05_k,imc519_k),1)),""))</f>
        <v/>
      </c>
      <c r="AB1493">
        <f>IF($Y1493="","",IF($Y1493=0,LN($J1493/$Z1493)/$AA1493,((($J1493/$Z1493)^$Y1493)-1)/($Y1493*$AA1493)))</f>
        <v/>
      </c>
      <c r="AC1493">
        <f>IF($Y1493="","",IF($Y1493=0,$Z1493*EXP($AA1493*2),$Z1493*(1+$Y1493*$AA1493*2)^(1/$Y1493)))</f>
        <v/>
      </c>
      <c r="AD1493">
        <f>IF($Y1493="","",IF($Y1493=0,$Z1493*EXP($AA1493*3),$Z1493*(1+$Y1493*$AA1493*3)^(1/$Y1493)))</f>
        <v/>
      </c>
      <c r="AE1493">
        <f>IF($Y1493="","",IF($Y1493=0,$Z1493*EXP($AA1493*-2),$Z1493*(1+$Y1493*$AA1493*-2)^(1/$Y1493)))</f>
        <v/>
      </c>
      <c r="AF1493">
        <f>IF($Y1493="","",IF($Y1493=0,$Z1493*EXP($AA1493*-3),$Z1493*(1+$Y1493*$AA1493*-3)^(1/$Y1493)))</f>
        <v/>
      </c>
      <c r="AG1493">
        <f>IF($W1493="","",IFERROR(INDEX(IF($T1493&lt;=60,est05_l,est519_l),MATCH($W1493,IF($T1493&lt;=60,est05_k,est519_k),1)),""))</f>
        <v/>
      </c>
      <c r="AH1493">
        <f>IF($W1493="","",IFERROR(INDEX(IF($T1493&lt;=60,est05_m,est519_m),MATCH($W1493,IF($T1493&lt;=60,est05_k,est519_k),1)),""))</f>
        <v/>
      </c>
      <c r="AI1493">
        <f>IF($W1493="","",IFERROR(INDEX(IF($T1493&lt;=60,est05_s,est519_s),MATCH($W1493,IF($T1493&lt;=60,est05_k,est519_k),1)),""))</f>
        <v/>
      </c>
      <c r="AJ1493">
        <f>IF($W1493="","",IFERROR(INDEX(IF($T1493&lt;=60,peso05_l,peso510_l),MATCH($W1493,IF($T1493&lt;=60,peso05_k,peso510_k),1)),""))</f>
        <v/>
      </c>
      <c r="AK1493">
        <f>IF($W1493="","",IFERROR(INDEX(IF($T1493&lt;=60,peso05_m,peso510_m),MATCH($W1493,IF($T1493&lt;=60,peso05_k,peso510_k),1)),""))</f>
        <v/>
      </c>
      <c r="AL1493">
        <f>IF($W1493="","",IFERROR(INDEX(IF($T1493&lt;=60,peso05_s,peso510_s),MATCH($W1493,IF($T1493&lt;=60,peso05_k,peso510_k),1)),""))</f>
        <v/>
      </c>
      <c r="AM1493">
        <f>IF($AJ1493="","",IF($AJ1493=0,LN($F1493/$AK1493)/$AL1493,((($F1493/$AK1493)^$AJ1493)-1)/($AJ1493*$AL1493)))</f>
        <v/>
      </c>
      <c r="AN1493">
        <f>IF($AJ1493="","",IF($AJ1493=0,$AK1493*EXP($AL1493*2),$AK1493*(1+$AJ1493*$AL1493*2)^(1/$AJ1493)))</f>
        <v/>
      </c>
      <c r="AO1493">
        <f>IF($AJ1493="","",IF($AJ1493=0,$AK1493*EXP($AL1493*3),$AK1493*(1+$AJ1493*$AL1493*3)^(1/$AJ1493)))</f>
        <v/>
      </c>
      <c r="AP1493">
        <f>IF($AJ1493="","",IF($AJ1493=0,$AK1493*EXP($AL1493*-2),$AK1493*(1+$AJ1493*$AL1493*-2)^(1/$AJ1493)))</f>
        <v/>
      </c>
      <c r="AQ1493">
        <f>IF($AJ1493="","",IF($AJ1493=0,$AK1493*EXP($AL1493*-3),$AK1493*(1+$AJ1493*$AL1493*-3)^(1/$AJ1493)))</f>
        <v/>
      </c>
      <c r="AR1493">
        <f>IF(OR($X1493="",$T1493&gt;60),"",IFERROR(INDEX(IF($T1493&lt;24,pcomp_l,palt_l),MATCH($X1493,IF($T1493&lt;24,pcomp_k,palt_k),1)),""))</f>
        <v/>
      </c>
      <c r="AS1493">
        <f>IF(OR($X1493="",$T1493&gt;60),"",IFERROR(INDEX(IF($T1493&lt;24,pcomp_m,palt_m),MATCH($X1493,IF($T1493&lt;24,pcomp_k,palt_k),1)),""))</f>
        <v/>
      </c>
      <c r="AT1493">
        <f>IF(OR($X1493="",$T1493&gt;60),"",IFERROR(INDEX(IF($T1493&lt;24,pcomp_s,palt_s),MATCH($X1493,IF($T1493&lt;24,pcomp_k,palt_k),1)),""))</f>
        <v/>
      </c>
      <c r="AU1493">
        <f>IF($AR1493="","",IF($AR1493=0,LN($F1493/$AS1493)/$AT1493,((($F1493/$AS1493)^$AR1493)-1)/($AR1493*$AT1493)))</f>
        <v/>
      </c>
      <c r="AV1493">
        <f>IF($AR1493="","",IF($AR1493=0,$AS1493*EXP($AT1493*2),$AS1493*(1+$AR1493*$AT1493*2)^(1/$AR1493)))</f>
        <v/>
      </c>
      <c r="AW1493">
        <f>IF($AR1493="","",IF($AR1493=0,$AS1493*EXP($AT1493*3),$AS1493*(1+$AR1493*$AT1493*3)^(1/$AR1493)))</f>
        <v/>
      </c>
      <c r="AX1493">
        <f>IF($AR1493="","",IF($AR1493=0,$AS1493*EXP($AT1493*-2),$AS1493*(1+$AR1493*$AT1493*-2)^(1/$AR1493)))</f>
        <v/>
      </c>
      <c r="AY1493">
        <f>IF($AR1493="","",IF($AR1493=0,$AS1493*EXP($AT1493*-3),$AS1493*(1+$AR1493*$AT1493*-3)^(1/$AR1493)))</f>
        <v/>
      </c>
      <c r="AZ1493">
        <f>IF(OR($A1493="",$A1493&lt;&gt;Ficha!$C$4),"",COUNTIF($A$2:$A1493,Ficha!$C$4))</f>
        <v/>
      </c>
    </row>
    <row r="1494">
      <c r="A1494" s="8">
        <f>IF(INDEX(Banco!$A:$A,ROW())="","",INDEX(Banco!$A:$A,ROW()))</f>
        <v/>
      </c>
      <c r="B1494" s="8">
        <f>IF(INDEX(Banco!$B:$B,ROW())="","",INDEX(Banco!$B:$B,ROW()))</f>
        <v/>
      </c>
      <c r="C1494" s="8">
        <f>IF(INDEX(Banco!$C:$C,ROW())="","",INDEX(Banco!$C:$C,ROW()))</f>
        <v/>
      </c>
      <c r="D1494" s="9">
        <f>IF(INDEX(Banco!$D:$D,ROW())="","",INDEX(Banco!$D:$D,ROW()))</f>
        <v/>
      </c>
      <c r="E1494" s="9">
        <f>IF(INDEX(Banco!$E:$E,ROW())="","",INDEX(Banco!$E:$E,ROW()))</f>
        <v/>
      </c>
      <c r="F1494" s="10">
        <f>IF(INDEX(Banco!$F:$F,ROW())="","",INDEX(Banco!$F:$F,ROW()))</f>
        <v/>
      </c>
      <c r="G1494" s="10">
        <f>IF(INDEX(Banco!$G:$G,ROW())="","",INDEX(Banco!$G:$G,ROW()))</f>
        <v/>
      </c>
      <c r="H1494" s="8">
        <f>IF(INDEX(Banco!$H:$H,ROW())="","",INDEX(Banco!$H:$H,ROW()))</f>
        <v/>
      </c>
      <c r="I1494">
        <f>IF($T1494="","",INT($T1494/12)&amp;"a "&amp;MOD($T1494,12)&amp;"m")</f>
        <v/>
      </c>
      <c r="J1494" s="11">
        <f>IF(OR($F1494="",$G1494=""),"",ROUND($F1494/($G1494/100)^2,2))</f>
        <v/>
      </c>
      <c r="K1494" s="12">
        <f>IF(OR($S1494="",$J1494="",$T1494="",$T1494&lt;0,$T1494&gt;228,$Y1494=""),"—",ROUND(IF(ABS($AB1494)&lt;=3,$AB1494,IF($AB1494&gt;3,3+($J1494-$AD1494)/($AD1494-$AC1494),-3+($J1494-$AF1494)/($AE1494-$AF1494))),2))</f>
        <v/>
      </c>
      <c r="L1494">
        <f>IF(OR($K1494="",$K1494="—"),"",IF($T1494&lt;=60,IF($K1494&lt;-3,"Magreza acentuada",IF($K1494&lt;-2,"Magreza",IF($K1494&lt;=1,"Eutrofia",IF($K1494&lt;=2,"Risco de sobrepeso",IF($K1494&lt;=3,"Sobrepeso","Obesidade"))))),IF($K1494&lt;-3,"Magreza acentuada",IF($K1494&lt;-2,"Magreza",IF($K1494&lt;=1,"Eutrofia",IF($K1494&lt;=2,"Sobrepeso",IF($K1494&lt;=3,"Obesidade","Obesidade grave")))))))</f>
        <v/>
      </c>
      <c r="M1494" s="12">
        <f>IF(OR($S1494="",$V1494="",$T1494="",$T1494&lt;0,$T1494&gt;228,$AG1494=""),"—",ROUND(IF($AG1494=0,LN($V1494/$AH1494)/$AI1494,((($V1494/$AH1494)^$AG1494)-1)/($AG1494*$AI1494)),2))</f>
        <v/>
      </c>
      <c r="N1494">
        <f>IF(OR($M1494="",$M1494="—"),"",IF($M1494&lt;-3,"Muito baixa",IF($M1494&lt;-2,"Baixa","Adequada")))</f>
        <v/>
      </c>
      <c r="O1494" s="12">
        <f>IF(OR($S1494="",$F1494="",$T1494="",$T1494&lt;0,$T1494&gt;120,$AJ1494=""),"—",ROUND(IF(ABS($AM1494)&lt;=3,$AM1494,IF($AM1494&gt;3,3+($F1494-$AO1494)/($AO1494-$AN1494),-3+($F1494-$AQ1494)/($AP1494-$AQ1494))),2))</f>
        <v/>
      </c>
      <c r="P1494">
        <f>IF(OR($O1494="",$O1494="—"),"",IF($O1494&lt;-3,"Muito baixo",IF($O1494&lt;-2,"Baixo",IF($O1494&lt;=2,"Adequado","Elevado"))))</f>
        <v/>
      </c>
      <c r="Q1494" s="12">
        <f>IF(OR($S1494="",$F1494="",$T1494="",$T1494&lt;0,$T1494&gt;60,$AR1494=""),"—",ROUND(IF(ABS($AU1494)&lt;=3,$AU1494,IF($AU1494&gt;3,3+($F1494-$AW1494)/($AW1494-$AV1494),-3+($F1494-$AY1494)/($AX1494-$AY1494))),2))</f>
        <v/>
      </c>
      <c r="R1494">
        <f>IF(OR($Q1494="",$Q1494="—"),"",IF($Q1494&lt;-3,"Magreza acentuada",IF($Q1494&lt;-2,"Magreza",IF($Q1494&lt;=1,"Eutrofia",IF($Q1494&lt;=2,"Risco de sobrepeso",IF($Q1494&lt;=3,"Sobrepeso","Obesidade"))))))</f>
        <v/>
      </c>
      <c r="S1494">
        <f>IF($C1494="","",IF(UPPER(LEFT($C1494,1))="M",1,IF(UPPER(LEFT($C1494,1))="F",2,"")))</f>
        <v/>
      </c>
      <c r="T1494">
        <f>IF(OR($D1494="",$E1494=""),"",DATEDIF($D1494,$E1494,"m"))</f>
        <v/>
      </c>
      <c r="U1494">
        <f>IF(OR($D1494="",$E1494=""),"",$E1494-$D1494)</f>
        <v/>
      </c>
      <c r="V1494">
        <f>IF(OR($G1494="",$T1494=""),"",IF($T1494&lt;24,IF(LEFT(LOWER($H1494),4)="em p",$G1494+0.7,$G1494),IF(LEFT(LOWER($H1494),4)="deit",$G1494-0.7,$G1494)))</f>
        <v/>
      </c>
      <c r="W1494">
        <f>IF(OR($S1494="",$T1494=""),"",$S1494*1000000+IF($T1494&lt;=60,$U1494,$T1494))</f>
        <v/>
      </c>
      <c r="X1494">
        <f>IF(OR($S1494="",$V1494="",$T1494&gt;60,$T1494=""),"",$S1494*1000000+ROUND($V1494*10,0))</f>
        <v/>
      </c>
      <c r="Y1494">
        <f>IF($W1494="","",IFERROR(INDEX(IF($T1494&lt;=60,imc05_l,imc519_l),MATCH($W1494,IF($T1494&lt;=60,imc05_k,imc519_k),1)),""))</f>
        <v/>
      </c>
      <c r="Z1494">
        <f>IF($W1494="","",IFERROR(INDEX(IF($T1494&lt;=60,imc05_m,imc519_m),MATCH($W1494,IF($T1494&lt;=60,imc05_k,imc519_k),1)),""))</f>
        <v/>
      </c>
      <c r="AA1494">
        <f>IF($W1494="","",IFERROR(INDEX(IF($T1494&lt;=60,imc05_s,imc519_s),MATCH($W1494,IF($T1494&lt;=60,imc05_k,imc519_k),1)),""))</f>
        <v/>
      </c>
      <c r="AB1494">
        <f>IF($Y1494="","",IF($Y1494=0,LN($J1494/$Z1494)/$AA1494,((($J1494/$Z1494)^$Y1494)-1)/($Y1494*$AA1494)))</f>
        <v/>
      </c>
      <c r="AC1494">
        <f>IF($Y1494="","",IF($Y1494=0,$Z1494*EXP($AA1494*2),$Z1494*(1+$Y1494*$AA1494*2)^(1/$Y1494)))</f>
        <v/>
      </c>
      <c r="AD1494">
        <f>IF($Y1494="","",IF($Y1494=0,$Z1494*EXP($AA1494*3),$Z1494*(1+$Y1494*$AA1494*3)^(1/$Y1494)))</f>
        <v/>
      </c>
      <c r="AE1494">
        <f>IF($Y1494="","",IF($Y1494=0,$Z1494*EXP($AA1494*-2),$Z1494*(1+$Y1494*$AA1494*-2)^(1/$Y1494)))</f>
        <v/>
      </c>
      <c r="AF1494">
        <f>IF($Y1494="","",IF($Y1494=0,$Z1494*EXP($AA1494*-3),$Z1494*(1+$Y1494*$AA1494*-3)^(1/$Y1494)))</f>
        <v/>
      </c>
      <c r="AG1494">
        <f>IF($W1494="","",IFERROR(INDEX(IF($T1494&lt;=60,est05_l,est519_l),MATCH($W1494,IF($T1494&lt;=60,est05_k,est519_k),1)),""))</f>
        <v/>
      </c>
      <c r="AH1494">
        <f>IF($W1494="","",IFERROR(INDEX(IF($T1494&lt;=60,est05_m,est519_m),MATCH($W1494,IF($T1494&lt;=60,est05_k,est519_k),1)),""))</f>
        <v/>
      </c>
      <c r="AI1494">
        <f>IF($W1494="","",IFERROR(INDEX(IF($T1494&lt;=60,est05_s,est519_s),MATCH($W1494,IF($T1494&lt;=60,est05_k,est519_k),1)),""))</f>
        <v/>
      </c>
      <c r="AJ1494">
        <f>IF($W1494="","",IFERROR(INDEX(IF($T1494&lt;=60,peso05_l,peso510_l),MATCH($W1494,IF($T1494&lt;=60,peso05_k,peso510_k),1)),""))</f>
        <v/>
      </c>
      <c r="AK1494">
        <f>IF($W1494="","",IFERROR(INDEX(IF($T1494&lt;=60,peso05_m,peso510_m),MATCH($W1494,IF($T1494&lt;=60,peso05_k,peso510_k),1)),""))</f>
        <v/>
      </c>
      <c r="AL1494">
        <f>IF($W1494="","",IFERROR(INDEX(IF($T1494&lt;=60,peso05_s,peso510_s),MATCH($W1494,IF($T1494&lt;=60,peso05_k,peso510_k),1)),""))</f>
        <v/>
      </c>
      <c r="AM1494">
        <f>IF($AJ1494="","",IF($AJ1494=0,LN($F1494/$AK1494)/$AL1494,((($F1494/$AK1494)^$AJ1494)-1)/($AJ1494*$AL1494)))</f>
        <v/>
      </c>
      <c r="AN1494">
        <f>IF($AJ1494="","",IF($AJ1494=0,$AK1494*EXP($AL1494*2),$AK1494*(1+$AJ1494*$AL1494*2)^(1/$AJ1494)))</f>
        <v/>
      </c>
      <c r="AO1494">
        <f>IF($AJ1494="","",IF($AJ1494=0,$AK1494*EXP($AL1494*3),$AK1494*(1+$AJ1494*$AL1494*3)^(1/$AJ1494)))</f>
        <v/>
      </c>
      <c r="AP1494">
        <f>IF($AJ1494="","",IF($AJ1494=0,$AK1494*EXP($AL1494*-2),$AK1494*(1+$AJ1494*$AL1494*-2)^(1/$AJ1494)))</f>
        <v/>
      </c>
      <c r="AQ1494">
        <f>IF($AJ1494="","",IF($AJ1494=0,$AK1494*EXP($AL1494*-3),$AK1494*(1+$AJ1494*$AL1494*-3)^(1/$AJ1494)))</f>
        <v/>
      </c>
      <c r="AR1494">
        <f>IF(OR($X1494="",$T1494&gt;60),"",IFERROR(INDEX(IF($T1494&lt;24,pcomp_l,palt_l),MATCH($X1494,IF($T1494&lt;24,pcomp_k,palt_k),1)),""))</f>
        <v/>
      </c>
      <c r="AS1494">
        <f>IF(OR($X1494="",$T1494&gt;60),"",IFERROR(INDEX(IF($T1494&lt;24,pcomp_m,palt_m),MATCH($X1494,IF($T1494&lt;24,pcomp_k,palt_k),1)),""))</f>
        <v/>
      </c>
      <c r="AT1494">
        <f>IF(OR($X1494="",$T1494&gt;60),"",IFERROR(INDEX(IF($T1494&lt;24,pcomp_s,palt_s),MATCH($X1494,IF($T1494&lt;24,pcomp_k,palt_k),1)),""))</f>
        <v/>
      </c>
      <c r="AU1494">
        <f>IF($AR1494="","",IF($AR1494=0,LN($F1494/$AS1494)/$AT1494,((($F1494/$AS1494)^$AR1494)-1)/($AR1494*$AT1494)))</f>
        <v/>
      </c>
      <c r="AV1494">
        <f>IF($AR1494="","",IF($AR1494=0,$AS1494*EXP($AT1494*2),$AS1494*(1+$AR1494*$AT1494*2)^(1/$AR1494)))</f>
        <v/>
      </c>
      <c r="AW1494">
        <f>IF($AR1494="","",IF($AR1494=0,$AS1494*EXP($AT1494*3),$AS1494*(1+$AR1494*$AT1494*3)^(1/$AR1494)))</f>
        <v/>
      </c>
      <c r="AX1494">
        <f>IF($AR1494="","",IF($AR1494=0,$AS1494*EXP($AT1494*-2),$AS1494*(1+$AR1494*$AT1494*-2)^(1/$AR1494)))</f>
        <v/>
      </c>
      <c r="AY1494">
        <f>IF($AR1494="","",IF($AR1494=0,$AS1494*EXP($AT1494*-3),$AS1494*(1+$AR1494*$AT1494*-3)^(1/$AR1494)))</f>
        <v/>
      </c>
      <c r="AZ1494">
        <f>IF(OR($A1494="",$A1494&lt;&gt;Ficha!$C$4),"",COUNTIF($A$2:$A1494,Ficha!$C$4))</f>
        <v/>
      </c>
    </row>
    <row r="1495">
      <c r="A1495" s="8">
        <f>IF(INDEX(Banco!$A:$A,ROW())="","",INDEX(Banco!$A:$A,ROW()))</f>
        <v/>
      </c>
      <c r="B1495" s="8">
        <f>IF(INDEX(Banco!$B:$B,ROW())="","",INDEX(Banco!$B:$B,ROW()))</f>
        <v/>
      </c>
      <c r="C1495" s="8">
        <f>IF(INDEX(Banco!$C:$C,ROW())="","",INDEX(Banco!$C:$C,ROW()))</f>
        <v/>
      </c>
      <c r="D1495" s="9">
        <f>IF(INDEX(Banco!$D:$D,ROW())="","",INDEX(Banco!$D:$D,ROW()))</f>
        <v/>
      </c>
      <c r="E1495" s="9">
        <f>IF(INDEX(Banco!$E:$E,ROW())="","",INDEX(Banco!$E:$E,ROW()))</f>
        <v/>
      </c>
      <c r="F1495" s="10">
        <f>IF(INDEX(Banco!$F:$F,ROW())="","",INDEX(Banco!$F:$F,ROW()))</f>
        <v/>
      </c>
      <c r="G1495" s="10">
        <f>IF(INDEX(Banco!$G:$G,ROW())="","",INDEX(Banco!$G:$G,ROW()))</f>
        <v/>
      </c>
      <c r="H1495" s="8">
        <f>IF(INDEX(Banco!$H:$H,ROW())="","",INDEX(Banco!$H:$H,ROW()))</f>
        <v/>
      </c>
      <c r="I1495">
        <f>IF($T1495="","",INT($T1495/12)&amp;"a "&amp;MOD($T1495,12)&amp;"m")</f>
        <v/>
      </c>
      <c r="J1495" s="11">
        <f>IF(OR($F1495="",$G1495=""),"",ROUND($F1495/($G1495/100)^2,2))</f>
        <v/>
      </c>
      <c r="K1495" s="12">
        <f>IF(OR($S1495="",$J1495="",$T1495="",$T1495&lt;0,$T1495&gt;228,$Y1495=""),"—",ROUND(IF(ABS($AB1495)&lt;=3,$AB1495,IF($AB1495&gt;3,3+($J1495-$AD1495)/($AD1495-$AC1495),-3+($J1495-$AF1495)/($AE1495-$AF1495))),2))</f>
        <v/>
      </c>
      <c r="L1495">
        <f>IF(OR($K1495="",$K1495="—"),"",IF($T1495&lt;=60,IF($K1495&lt;-3,"Magreza acentuada",IF($K1495&lt;-2,"Magreza",IF($K1495&lt;=1,"Eutrofia",IF($K1495&lt;=2,"Risco de sobrepeso",IF($K1495&lt;=3,"Sobrepeso","Obesidade"))))),IF($K1495&lt;-3,"Magreza acentuada",IF($K1495&lt;-2,"Magreza",IF($K1495&lt;=1,"Eutrofia",IF($K1495&lt;=2,"Sobrepeso",IF($K1495&lt;=3,"Obesidade","Obesidade grave")))))))</f>
        <v/>
      </c>
      <c r="M1495" s="12">
        <f>IF(OR($S1495="",$V1495="",$T1495="",$T1495&lt;0,$T1495&gt;228,$AG1495=""),"—",ROUND(IF($AG1495=0,LN($V1495/$AH1495)/$AI1495,((($V1495/$AH1495)^$AG1495)-1)/($AG1495*$AI1495)),2))</f>
        <v/>
      </c>
      <c r="N1495">
        <f>IF(OR($M1495="",$M1495="—"),"",IF($M1495&lt;-3,"Muito baixa",IF($M1495&lt;-2,"Baixa","Adequada")))</f>
        <v/>
      </c>
      <c r="O1495" s="12">
        <f>IF(OR($S1495="",$F1495="",$T1495="",$T1495&lt;0,$T1495&gt;120,$AJ1495=""),"—",ROUND(IF(ABS($AM1495)&lt;=3,$AM1495,IF($AM1495&gt;3,3+($F1495-$AO1495)/($AO1495-$AN1495),-3+($F1495-$AQ1495)/($AP1495-$AQ1495))),2))</f>
        <v/>
      </c>
      <c r="P1495">
        <f>IF(OR($O1495="",$O1495="—"),"",IF($O1495&lt;-3,"Muito baixo",IF($O1495&lt;-2,"Baixo",IF($O1495&lt;=2,"Adequado","Elevado"))))</f>
        <v/>
      </c>
      <c r="Q1495" s="12">
        <f>IF(OR($S1495="",$F1495="",$T1495="",$T1495&lt;0,$T1495&gt;60,$AR1495=""),"—",ROUND(IF(ABS($AU1495)&lt;=3,$AU1495,IF($AU1495&gt;3,3+($F1495-$AW1495)/($AW1495-$AV1495),-3+($F1495-$AY1495)/($AX1495-$AY1495))),2))</f>
        <v/>
      </c>
      <c r="R1495">
        <f>IF(OR($Q1495="",$Q1495="—"),"",IF($Q1495&lt;-3,"Magreza acentuada",IF($Q1495&lt;-2,"Magreza",IF($Q1495&lt;=1,"Eutrofia",IF($Q1495&lt;=2,"Risco de sobrepeso",IF($Q1495&lt;=3,"Sobrepeso","Obesidade"))))))</f>
        <v/>
      </c>
      <c r="S1495">
        <f>IF($C1495="","",IF(UPPER(LEFT($C1495,1))="M",1,IF(UPPER(LEFT($C1495,1))="F",2,"")))</f>
        <v/>
      </c>
      <c r="T1495">
        <f>IF(OR($D1495="",$E1495=""),"",DATEDIF($D1495,$E1495,"m"))</f>
        <v/>
      </c>
      <c r="U1495">
        <f>IF(OR($D1495="",$E1495=""),"",$E1495-$D1495)</f>
        <v/>
      </c>
      <c r="V1495">
        <f>IF(OR($G1495="",$T1495=""),"",IF($T1495&lt;24,IF(LEFT(LOWER($H1495),4)="em p",$G1495+0.7,$G1495),IF(LEFT(LOWER($H1495),4)="deit",$G1495-0.7,$G1495)))</f>
        <v/>
      </c>
      <c r="W1495">
        <f>IF(OR($S1495="",$T1495=""),"",$S1495*1000000+IF($T1495&lt;=60,$U1495,$T1495))</f>
        <v/>
      </c>
      <c r="X1495">
        <f>IF(OR($S1495="",$V1495="",$T1495&gt;60,$T1495=""),"",$S1495*1000000+ROUND($V1495*10,0))</f>
        <v/>
      </c>
      <c r="Y1495">
        <f>IF($W1495="","",IFERROR(INDEX(IF($T1495&lt;=60,imc05_l,imc519_l),MATCH($W1495,IF($T1495&lt;=60,imc05_k,imc519_k),1)),""))</f>
        <v/>
      </c>
      <c r="Z1495">
        <f>IF($W1495="","",IFERROR(INDEX(IF($T1495&lt;=60,imc05_m,imc519_m),MATCH($W1495,IF($T1495&lt;=60,imc05_k,imc519_k),1)),""))</f>
        <v/>
      </c>
      <c r="AA1495">
        <f>IF($W1495="","",IFERROR(INDEX(IF($T1495&lt;=60,imc05_s,imc519_s),MATCH($W1495,IF($T1495&lt;=60,imc05_k,imc519_k),1)),""))</f>
        <v/>
      </c>
      <c r="AB1495">
        <f>IF($Y1495="","",IF($Y1495=0,LN($J1495/$Z1495)/$AA1495,((($J1495/$Z1495)^$Y1495)-1)/($Y1495*$AA1495)))</f>
        <v/>
      </c>
      <c r="AC1495">
        <f>IF($Y1495="","",IF($Y1495=0,$Z1495*EXP($AA1495*2),$Z1495*(1+$Y1495*$AA1495*2)^(1/$Y1495)))</f>
        <v/>
      </c>
      <c r="AD1495">
        <f>IF($Y1495="","",IF($Y1495=0,$Z1495*EXP($AA1495*3),$Z1495*(1+$Y1495*$AA1495*3)^(1/$Y1495)))</f>
        <v/>
      </c>
      <c r="AE1495">
        <f>IF($Y1495="","",IF($Y1495=0,$Z1495*EXP($AA1495*-2),$Z1495*(1+$Y1495*$AA1495*-2)^(1/$Y1495)))</f>
        <v/>
      </c>
      <c r="AF1495">
        <f>IF($Y1495="","",IF($Y1495=0,$Z1495*EXP($AA1495*-3),$Z1495*(1+$Y1495*$AA1495*-3)^(1/$Y1495)))</f>
        <v/>
      </c>
      <c r="AG1495">
        <f>IF($W1495="","",IFERROR(INDEX(IF($T1495&lt;=60,est05_l,est519_l),MATCH($W1495,IF($T1495&lt;=60,est05_k,est519_k),1)),""))</f>
        <v/>
      </c>
      <c r="AH1495">
        <f>IF($W1495="","",IFERROR(INDEX(IF($T1495&lt;=60,est05_m,est519_m),MATCH($W1495,IF($T1495&lt;=60,est05_k,est519_k),1)),""))</f>
        <v/>
      </c>
      <c r="AI1495">
        <f>IF($W1495="","",IFERROR(INDEX(IF($T1495&lt;=60,est05_s,est519_s),MATCH($W1495,IF($T1495&lt;=60,est05_k,est519_k),1)),""))</f>
        <v/>
      </c>
      <c r="AJ1495">
        <f>IF($W1495="","",IFERROR(INDEX(IF($T1495&lt;=60,peso05_l,peso510_l),MATCH($W1495,IF($T1495&lt;=60,peso05_k,peso510_k),1)),""))</f>
        <v/>
      </c>
      <c r="AK1495">
        <f>IF($W1495="","",IFERROR(INDEX(IF($T1495&lt;=60,peso05_m,peso510_m),MATCH($W1495,IF($T1495&lt;=60,peso05_k,peso510_k),1)),""))</f>
        <v/>
      </c>
      <c r="AL1495">
        <f>IF($W1495="","",IFERROR(INDEX(IF($T1495&lt;=60,peso05_s,peso510_s),MATCH($W1495,IF($T1495&lt;=60,peso05_k,peso510_k),1)),""))</f>
        <v/>
      </c>
      <c r="AM1495">
        <f>IF($AJ1495="","",IF($AJ1495=0,LN($F1495/$AK1495)/$AL1495,((($F1495/$AK1495)^$AJ1495)-1)/($AJ1495*$AL1495)))</f>
        <v/>
      </c>
      <c r="AN1495">
        <f>IF($AJ1495="","",IF($AJ1495=0,$AK1495*EXP($AL1495*2),$AK1495*(1+$AJ1495*$AL1495*2)^(1/$AJ1495)))</f>
        <v/>
      </c>
      <c r="AO1495">
        <f>IF($AJ1495="","",IF($AJ1495=0,$AK1495*EXP($AL1495*3),$AK1495*(1+$AJ1495*$AL1495*3)^(1/$AJ1495)))</f>
        <v/>
      </c>
      <c r="AP1495">
        <f>IF($AJ1495="","",IF($AJ1495=0,$AK1495*EXP($AL1495*-2),$AK1495*(1+$AJ1495*$AL1495*-2)^(1/$AJ1495)))</f>
        <v/>
      </c>
      <c r="AQ1495">
        <f>IF($AJ1495="","",IF($AJ1495=0,$AK1495*EXP($AL1495*-3),$AK1495*(1+$AJ1495*$AL1495*-3)^(1/$AJ1495)))</f>
        <v/>
      </c>
      <c r="AR1495">
        <f>IF(OR($X1495="",$T1495&gt;60),"",IFERROR(INDEX(IF($T1495&lt;24,pcomp_l,palt_l),MATCH($X1495,IF($T1495&lt;24,pcomp_k,palt_k),1)),""))</f>
        <v/>
      </c>
      <c r="AS1495">
        <f>IF(OR($X1495="",$T1495&gt;60),"",IFERROR(INDEX(IF($T1495&lt;24,pcomp_m,palt_m),MATCH($X1495,IF($T1495&lt;24,pcomp_k,palt_k),1)),""))</f>
        <v/>
      </c>
      <c r="AT1495">
        <f>IF(OR($X1495="",$T1495&gt;60),"",IFERROR(INDEX(IF($T1495&lt;24,pcomp_s,palt_s),MATCH($X1495,IF($T1495&lt;24,pcomp_k,palt_k),1)),""))</f>
        <v/>
      </c>
      <c r="AU1495">
        <f>IF($AR1495="","",IF($AR1495=0,LN($F1495/$AS1495)/$AT1495,((($F1495/$AS1495)^$AR1495)-1)/($AR1495*$AT1495)))</f>
        <v/>
      </c>
      <c r="AV1495">
        <f>IF($AR1495="","",IF($AR1495=0,$AS1495*EXP($AT1495*2),$AS1495*(1+$AR1495*$AT1495*2)^(1/$AR1495)))</f>
        <v/>
      </c>
      <c r="AW1495">
        <f>IF($AR1495="","",IF($AR1495=0,$AS1495*EXP($AT1495*3),$AS1495*(1+$AR1495*$AT1495*3)^(1/$AR1495)))</f>
        <v/>
      </c>
      <c r="AX1495">
        <f>IF($AR1495="","",IF($AR1495=0,$AS1495*EXP($AT1495*-2),$AS1495*(1+$AR1495*$AT1495*-2)^(1/$AR1495)))</f>
        <v/>
      </c>
      <c r="AY1495">
        <f>IF($AR1495="","",IF($AR1495=0,$AS1495*EXP($AT1495*-3),$AS1495*(1+$AR1495*$AT1495*-3)^(1/$AR1495)))</f>
        <v/>
      </c>
      <c r="AZ1495">
        <f>IF(OR($A1495="",$A1495&lt;&gt;Ficha!$C$4),"",COUNTIF($A$2:$A1495,Ficha!$C$4))</f>
        <v/>
      </c>
    </row>
    <row r="1496">
      <c r="A1496" s="8">
        <f>IF(INDEX(Banco!$A:$A,ROW())="","",INDEX(Banco!$A:$A,ROW()))</f>
        <v/>
      </c>
      <c r="B1496" s="8">
        <f>IF(INDEX(Banco!$B:$B,ROW())="","",INDEX(Banco!$B:$B,ROW()))</f>
        <v/>
      </c>
      <c r="C1496" s="8">
        <f>IF(INDEX(Banco!$C:$C,ROW())="","",INDEX(Banco!$C:$C,ROW()))</f>
        <v/>
      </c>
      <c r="D1496" s="9">
        <f>IF(INDEX(Banco!$D:$D,ROW())="","",INDEX(Banco!$D:$D,ROW()))</f>
        <v/>
      </c>
      <c r="E1496" s="9">
        <f>IF(INDEX(Banco!$E:$E,ROW())="","",INDEX(Banco!$E:$E,ROW()))</f>
        <v/>
      </c>
      <c r="F1496" s="10">
        <f>IF(INDEX(Banco!$F:$F,ROW())="","",INDEX(Banco!$F:$F,ROW()))</f>
        <v/>
      </c>
      <c r="G1496" s="10">
        <f>IF(INDEX(Banco!$G:$G,ROW())="","",INDEX(Banco!$G:$G,ROW()))</f>
        <v/>
      </c>
      <c r="H1496" s="8">
        <f>IF(INDEX(Banco!$H:$H,ROW())="","",INDEX(Banco!$H:$H,ROW()))</f>
        <v/>
      </c>
      <c r="I1496">
        <f>IF($T1496="","",INT($T1496/12)&amp;"a "&amp;MOD($T1496,12)&amp;"m")</f>
        <v/>
      </c>
      <c r="J1496" s="11">
        <f>IF(OR($F1496="",$G1496=""),"",ROUND($F1496/($G1496/100)^2,2))</f>
        <v/>
      </c>
      <c r="K1496" s="12">
        <f>IF(OR($S1496="",$J1496="",$T1496="",$T1496&lt;0,$T1496&gt;228,$Y1496=""),"—",ROUND(IF(ABS($AB1496)&lt;=3,$AB1496,IF($AB1496&gt;3,3+($J1496-$AD1496)/($AD1496-$AC1496),-3+($J1496-$AF1496)/($AE1496-$AF1496))),2))</f>
        <v/>
      </c>
      <c r="L1496">
        <f>IF(OR($K1496="",$K1496="—"),"",IF($T1496&lt;=60,IF($K1496&lt;-3,"Magreza acentuada",IF($K1496&lt;-2,"Magreza",IF($K1496&lt;=1,"Eutrofia",IF($K1496&lt;=2,"Risco de sobrepeso",IF($K1496&lt;=3,"Sobrepeso","Obesidade"))))),IF($K1496&lt;-3,"Magreza acentuada",IF($K1496&lt;-2,"Magreza",IF($K1496&lt;=1,"Eutrofia",IF($K1496&lt;=2,"Sobrepeso",IF($K1496&lt;=3,"Obesidade","Obesidade grave")))))))</f>
        <v/>
      </c>
      <c r="M1496" s="12">
        <f>IF(OR($S1496="",$V1496="",$T1496="",$T1496&lt;0,$T1496&gt;228,$AG1496=""),"—",ROUND(IF($AG1496=0,LN($V1496/$AH1496)/$AI1496,((($V1496/$AH1496)^$AG1496)-1)/($AG1496*$AI1496)),2))</f>
        <v/>
      </c>
      <c r="N1496">
        <f>IF(OR($M1496="",$M1496="—"),"",IF($M1496&lt;-3,"Muito baixa",IF($M1496&lt;-2,"Baixa","Adequada")))</f>
        <v/>
      </c>
      <c r="O1496" s="12">
        <f>IF(OR($S1496="",$F1496="",$T1496="",$T1496&lt;0,$T1496&gt;120,$AJ1496=""),"—",ROUND(IF(ABS($AM1496)&lt;=3,$AM1496,IF($AM1496&gt;3,3+($F1496-$AO1496)/($AO1496-$AN1496),-3+($F1496-$AQ1496)/($AP1496-$AQ1496))),2))</f>
        <v/>
      </c>
      <c r="P1496">
        <f>IF(OR($O1496="",$O1496="—"),"",IF($O1496&lt;-3,"Muito baixo",IF($O1496&lt;-2,"Baixo",IF($O1496&lt;=2,"Adequado","Elevado"))))</f>
        <v/>
      </c>
      <c r="Q1496" s="12">
        <f>IF(OR($S1496="",$F1496="",$T1496="",$T1496&lt;0,$T1496&gt;60,$AR1496=""),"—",ROUND(IF(ABS($AU1496)&lt;=3,$AU1496,IF($AU1496&gt;3,3+($F1496-$AW1496)/($AW1496-$AV1496),-3+($F1496-$AY1496)/($AX1496-$AY1496))),2))</f>
        <v/>
      </c>
      <c r="R1496">
        <f>IF(OR($Q1496="",$Q1496="—"),"",IF($Q1496&lt;-3,"Magreza acentuada",IF($Q1496&lt;-2,"Magreza",IF($Q1496&lt;=1,"Eutrofia",IF($Q1496&lt;=2,"Risco de sobrepeso",IF($Q1496&lt;=3,"Sobrepeso","Obesidade"))))))</f>
        <v/>
      </c>
      <c r="S1496">
        <f>IF($C1496="","",IF(UPPER(LEFT($C1496,1))="M",1,IF(UPPER(LEFT($C1496,1))="F",2,"")))</f>
        <v/>
      </c>
      <c r="T1496">
        <f>IF(OR($D1496="",$E1496=""),"",DATEDIF($D1496,$E1496,"m"))</f>
        <v/>
      </c>
      <c r="U1496">
        <f>IF(OR($D1496="",$E1496=""),"",$E1496-$D1496)</f>
        <v/>
      </c>
      <c r="V1496">
        <f>IF(OR($G1496="",$T1496=""),"",IF($T1496&lt;24,IF(LEFT(LOWER($H1496),4)="em p",$G1496+0.7,$G1496),IF(LEFT(LOWER($H1496),4)="deit",$G1496-0.7,$G1496)))</f>
        <v/>
      </c>
      <c r="W1496">
        <f>IF(OR($S1496="",$T1496=""),"",$S1496*1000000+IF($T1496&lt;=60,$U1496,$T1496))</f>
        <v/>
      </c>
      <c r="X1496">
        <f>IF(OR($S1496="",$V1496="",$T1496&gt;60,$T1496=""),"",$S1496*1000000+ROUND($V1496*10,0))</f>
        <v/>
      </c>
      <c r="Y1496">
        <f>IF($W1496="","",IFERROR(INDEX(IF($T1496&lt;=60,imc05_l,imc519_l),MATCH($W1496,IF($T1496&lt;=60,imc05_k,imc519_k),1)),""))</f>
        <v/>
      </c>
      <c r="Z1496">
        <f>IF($W1496="","",IFERROR(INDEX(IF($T1496&lt;=60,imc05_m,imc519_m),MATCH($W1496,IF($T1496&lt;=60,imc05_k,imc519_k),1)),""))</f>
        <v/>
      </c>
      <c r="AA1496">
        <f>IF($W1496="","",IFERROR(INDEX(IF($T1496&lt;=60,imc05_s,imc519_s),MATCH($W1496,IF($T1496&lt;=60,imc05_k,imc519_k),1)),""))</f>
        <v/>
      </c>
      <c r="AB1496">
        <f>IF($Y1496="","",IF($Y1496=0,LN($J1496/$Z1496)/$AA1496,((($J1496/$Z1496)^$Y1496)-1)/($Y1496*$AA1496)))</f>
        <v/>
      </c>
      <c r="AC1496">
        <f>IF($Y1496="","",IF($Y1496=0,$Z1496*EXP($AA1496*2),$Z1496*(1+$Y1496*$AA1496*2)^(1/$Y1496)))</f>
        <v/>
      </c>
      <c r="AD1496">
        <f>IF($Y1496="","",IF($Y1496=0,$Z1496*EXP($AA1496*3),$Z1496*(1+$Y1496*$AA1496*3)^(1/$Y1496)))</f>
        <v/>
      </c>
      <c r="AE1496">
        <f>IF($Y1496="","",IF($Y1496=0,$Z1496*EXP($AA1496*-2),$Z1496*(1+$Y1496*$AA1496*-2)^(1/$Y1496)))</f>
        <v/>
      </c>
      <c r="AF1496">
        <f>IF($Y1496="","",IF($Y1496=0,$Z1496*EXP($AA1496*-3),$Z1496*(1+$Y1496*$AA1496*-3)^(1/$Y1496)))</f>
        <v/>
      </c>
      <c r="AG1496">
        <f>IF($W1496="","",IFERROR(INDEX(IF($T1496&lt;=60,est05_l,est519_l),MATCH($W1496,IF($T1496&lt;=60,est05_k,est519_k),1)),""))</f>
        <v/>
      </c>
      <c r="AH1496">
        <f>IF($W1496="","",IFERROR(INDEX(IF($T1496&lt;=60,est05_m,est519_m),MATCH($W1496,IF($T1496&lt;=60,est05_k,est519_k),1)),""))</f>
        <v/>
      </c>
      <c r="AI1496">
        <f>IF($W1496="","",IFERROR(INDEX(IF($T1496&lt;=60,est05_s,est519_s),MATCH($W1496,IF($T1496&lt;=60,est05_k,est519_k),1)),""))</f>
        <v/>
      </c>
      <c r="AJ1496">
        <f>IF($W1496="","",IFERROR(INDEX(IF($T1496&lt;=60,peso05_l,peso510_l),MATCH($W1496,IF($T1496&lt;=60,peso05_k,peso510_k),1)),""))</f>
        <v/>
      </c>
      <c r="AK1496">
        <f>IF($W1496="","",IFERROR(INDEX(IF($T1496&lt;=60,peso05_m,peso510_m),MATCH($W1496,IF($T1496&lt;=60,peso05_k,peso510_k),1)),""))</f>
        <v/>
      </c>
      <c r="AL1496">
        <f>IF($W1496="","",IFERROR(INDEX(IF($T1496&lt;=60,peso05_s,peso510_s),MATCH($W1496,IF($T1496&lt;=60,peso05_k,peso510_k),1)),""))</f>
        <v/>
      </c>
      <c r="AM1496">
        <f>IF($AJ1496="","",IF($AJ1496=0,LN($F1496/$AK1496)/$AL1496,((($F1496/$AK1496)^$AJ1496)-1)/($AJ1496*$AL1496)))</f>
        <v/>
      </c>
      <c r="AN1496">
        <f>IF($AJ1496="","",IF($AJ1496=0,$AK1496*EXP($AL1496*2),$AK1496*(1+$AJ1496*$AL1496*2)^(1/$AJ1496)))</f>
        <v/>
      </c>
      <c r="AO1496">
        <f>IF($AJ1496="","",IF($AJ1496=0,$AK1496*EXP($AL1496*3),$AK1496*(1+$AJ1496*$AL1496*3)^(1/$AJ1496)))</f>
        <v/>
      </c>
      <c r="AP1496">
        <f>IF($AJ1496="","",IF($AJ1496=0,$AK1496*EXP($AL1496*-2),$AK1496*(1+$AJ1496*$AL1496*-2)^(1/$AJ1496)))</f>
        <v/>
      </c>
      <c r="AQ1496">
        <f>IF($AJ1496="","",IF($AJ1496=0,$AK1496*EXP($AL1496*-3),$AK1496*(1+$AJ1496*$AL1496*-3)^(1/$AJ1496)))</f>
        <v/>
      </c>
      <c r="AR1496">
        <f>IF(OR($X1496="",$T1496&gt;60),"",IFERROR(INDEX(IF($T1496&lt;24,pcomp_l,palt_l),MATCH($X1496,IF($T1496&lt;24,pcomp_k,palt_k),1)),""))</f>
        <v/>
      </c>
      <c r="AS1496">
        <f>IF(OR($X1496="",$T1496&gt;60),"",IFERROR(INDEX(IF($T1496&lt;24,pcomp_m,palt_m),MATCH($X1496,IF($T1496&lt;24,pcomp_k,palt_k),1)),""))</f>
        <v/>
      </c>
      <c r="AT1496">
        <f>IF(OR($X1496="",$T1496&gt;60),"",IFERROR(INDEX(IF($T1496&lt;24,pcomp_s,palt_s),MATCH($X1496,IF($T1496&lt;24,pcomp_k,palt_k),1)),""))</f>
        <v/>
      </c>
      <c r="AU1496">
        <f>IF($AR1496="","",IF($AR1496=0,LN($F1496/$AS1496)/$AT1496,((($F1496/$AS1496)^$AR1496)-1)/($AR1496*$AT1496)))</f>
        <v/>
      </c>
      <c r="AV1496">
        <f>IF($AR1496="","",IF($AR1496=0,$AS1496*EXP($AT1496*2),$AS1496*(1+$AR1496*$AT1496*2)^(1/$AR1496)))</f>
        <v/>
      </c>
      <c r="AW1496">
        <f>IF($AR1496="","",IF($AR1496=0,$AS1496*EXP($AT1496*3),$AS1496*(1+$AR1496*$AT1496*3)^(1/$AR1496)))</f>
        <v/>
      </c>
      <c r="AX1496">
        <f>IF($AR1496="","",IF($AR1496=0,$AS1496*EXP($AT1496*-2),$AS1496*(1+$AR1496*$AT1496*-2)^(1/$AR1496)))</f>
        <v/>
      </c>
      <c r="AY1496">
        <f>IF($AR1496="","",IF($AR1496=0,$AS1496*EXP($AT1496*-3),$AS1496*(1+$AR1496*$AT1496*-3)^(1/$AR1496)))</f>
        <v/>
      </c>
      <c r="AZ1496">
        <f>IF(OR($A1496="",$A1496&lt;&gt;Ficha!$C$4),"",COUNTIF($A$2:$A1496,Ficha!$C$4))</f>
        <v/>
      </c>
    </row>
    <row r="1497">
      <c r="A1497" s="8">
        <f>IF(INDEX(Banco!$A:$A,ROW())="","",INDEX(Banco!$A:$A,ROW()))</f>
        <v/>
      </c>
      <c r="B1497" s="8">
        <f>IF(INDEX(Banco!$B:$B,ROW())="","",INDEX(Banco!$B:$B,ROW()))</f>
        <v/>
      </c>
      <c r="C1497" s="8">
        <f>IF(INDEX(Banco!$C:$C,ROW())="","",INDEX(Banco!$C:$C,ROW()))</f>
        <v/>
      </c>
      <c r="D1497" s="9">
        <f>IF(INDEX(Banco!$D:$D,ROW())="","",INDEX(Banco!$D:$D,ROW()))</f>
        <v/>
      </c>
      <c r="E1497" s="9">
        <f>IF(INDEX(Banco!$E:$E,ROW())="","",INDEX(Banco!$E:$E,ROW()))</f>
        <v/>
      </c>
      <c r="F1497" s="10">
        <f>IF(INDEX(Banco!$F:$F,ROW())="","",INDEX(Banco!$F:$F,ROW()))</f>
        <v/>
      </c>
      <c r="G1497" s="10">
        <f>IF(INDEX(Banco!$G:$G,ROW())="","",INDEX(Banco!$G:$G,ROW()))</f>
        <v/>
      </c>
      <c r="H1497" s="8">
        <f>IF(INDEX(Banco!$H:$H,ROW())="","",INDEX(Banco!$H:$H,ROW()))</f>
        <v/>
      </c>
      <c r="I1497">
        <f>IF($T1497="","",INT($T1497/12)&amp;"a "&amp;MOD($T1497,12)&amp;"m")</f>
        <v/>
      </c>
      <c r="J1497" s="11">
        <f>IF(OR($F1497="",$G1497=""),"",ROUND($F1497/($G1497/100)^2,2))</f>
        <v/>
      </c>
      <c r="K1497" s="12">
        <f>IF(OR($S1497="",$J1497="",$T1497="",$T1497&lt;0,$T1497&gt;228,$Y1497=""),"—",ROUND(IF(ABS($AB1497)&lt;=3,$AB1497,IF($AB1497&gt;3,3+($J1497-$AD1497)/($AD1497-$AC1497),-3+($J1497-$AF1497)/($AE1497-$AF1497))),2))</f>
        <v/>
      </c>
      <c r="L1497">
        <f>IF(OR($K1497="",$K1497="—"),"",IF($T1497&lt;=60,IF($K1497&lt;-3,"Magreza acentuada",IF($K1497&lt;-2,"Magreza",IF($K1497&lt;=1,"Eutrofia",IF($K1497&lt;=2,"Risco de sobrepeso",IF($K1497&lt;=3,"Sobrepeso","Obesidade"))))),IF($K1497&lt;-3,"Magreza acentuada",IF($K1497&lt;-2,"Magreza",IF($K1497&lt;=1,"Eutrofia",IF($K1497&lt;=2,"Sobrepeso",IF($K1497&lt;=3,"Obesidade","Obesidade grave")))))))</f>
        <v/>
      </c>
      <c r="M1497" s="12">
        <f>IF(OR($S1497="",$V1497="",$T1497="",$T1497&lt;0,$T1497&gt;228,$AG1497=""),"—",ROUND(IF($AG1497=0,LN($V1497/$AH1497)/$AI1497,((($V1497/$AH1497)^$AG1497)-1)/($AG1497*$AI1497)),2))</f>
        <v/>
      </c>
      <c r="N1497">
        <f>IF(OR($M1497="",$M1497="—"),"",IF($M1497&lt;-3,"Muito baixa",IF($M1497&lt;-2,"Baixa","Adequada")))</f>
        <v/>
      </c>
      <c r="O1497" s="12">
        <f>IF(OR($S1497="",$F1497="",$T1497="",$T1497&lt;0,$T1497&gt;120,$AJ1497=""),"—",ROUND(IF(ABS($AM1497)&lt;=3,$AM1497,IF($AM1497&gt;3,3+($F1497-$AO1497)/($AO1497-$AN1497),-3+($F1497-$AQ1497)/($AP1497-$AQ1497))),2))</f>
        <v/>
      </c>
      <c r="P1497">
        <f>IF(OR($O1497="",$O1497="—"),"",IF($O1497&lt;-3,"Muito baixo",IF($O1497&lt;-2,"Baixo",IF($O1497&lt;=2,"Adequado","Elevado"))))</f>
        <v/>
      </c>
      <c r="Q1497" s="12">
        <f>IF(OR($S1497="",$F1497="",$T1497="",$T1497&lt;0,$T1497&gt;60,$AR1497=""),"—",ROUND(IF(ABS($AU1497)&lt;=3,$AU1497,IF($AU1497&gt;3,3+($F1497-$AW1497)/($AW1497-$AV1497),-3+($F1497-$AY1497)/($AX1497-$AY1497))),2))</f>
        <v/>
      </c>
      <c r="R1497">
        <f>IF(OR($Q1497="",$Q1497="—"),"",IF($Q1497&lt;-3,"Magreza acentuada",IF($Q1497&lt;-2,"Magreza",IF($Q1497&lt;=1,"Eutrofia",IF($Q1497&lt;=2,"Risco de sobrepeso",IF($Q1497&lt;=3,"Sobrepeso","Obesidade"))))))</f>
        <v/>
      </c>
      <c r="S1497">
        <f>IF($C1497="","",IF(UPPER(LEFT($C1497,1))="M",1,IF(UPPER(LEFT($C1497,1))="F",2,"")))</f>
        <v/>
      </c>
      <c r="T1497">
        <f>IF(OR($D1497="",$E1497=""),"",DATEDIF($D1497,$E1497,"m"))</f>
        <v/>
      </c>
      <c r="U1497">
        <f>IF(OR($D1497="",$E1497=""),"",$E1497-$D1497)</f>
        <v/>
      </c>
      <c r="V1497">
        <f>IF(OR($G1497="",$T1497=""),"",IF($T1497&lt;24,IF(LEFT(LOWER($H1497),4)="em p",$G1497+0.7,$G1497),IF(LEFT(LOWER($H1497),4)="deit",$G1497-0.7,$G1497)))</f>
        <v/>
      </c>
      <c r="W1497">
        <f>IF(OR($S1497="",$T1497=""),"",$S1497*1000000+IF($T1497&lt;=60,$U1497,$T1497))</f>
        <v/>
      </c>
      <c r="X1497">
        <f>IF(OR($S1497="",$V1497="",$T1497&gt;60,$T1497=""),"",$S1497*1000000+ROUND($V1497*10,0))</f>
        <v/>
      </c>
      <c r="Y1497">
        <f>IF($W1497="","",IFERROR(INDEX(IF($T1497&lt;=60,imc05_l,imc519_l),MATCH($W1497,IF($T1497&lt;=60,imc05_k,imc519_k),1)),""))</f>
        <v/>
      </c>
      <c r="Z1497">
        <f>IF($W1497="","",IFERROR(INDEX(IF($T1497&lt;=60,imc05_m,imc519_m),MATCH($W1497,IF($T1497&lt;=60,imc05_k,imc519_k),1)),""))</f>
        <v/>
      </c>
      <c r="AA1497">
        <f>IF($W1497="","",IFERROR(INDEX(IF($T1497&lt;=60,imc05_s,imc519_s),MATCH($W1497,IF($T1497&lt;=60,imc05_k,imc519_k),1)),""))</f>
        <v/>
      </c>
      <c r="AB1497">
        <f>IF($Y1497="","",IF($Y1497=0,LN($J1497/$Z1497)/$AA1497,((($J1497/$Z1497)^$Y1497)-1)/($Y1497*$AA1497)))</f>
        <v/>
      </c>
      <c r="AC1497">
        <f>IF($Y1497="","",IF($Y1497=0,$Z1497*EXP($AA1497*2),$Z1497*(1+$Y1497*$AA1497*2)^(1/$Y1497)))</f>
        <v/>
      </c>
      <c r="AD1497">
        <f>IF($Y1497="","",IF($Y1497=0,$Z1497*EXP($AA1497*3),$Z1497*(1+$Y1497*$AA1497*3)^(1/$Y1497)))</f>
        <v/>
      </c>
      <c r="AE1497">
        <f>IF($Y1497="","",IF($Y1497=0,$Z1497*EXP($AA1497*-2),$Z1497*(1+$Y1497*$AA1497*-2)^(1/$Y1497)))</f>
        <v/>
      </c>
      <c r="AF1497">
        <f>IF($Y1497="","",IF($Y1497=0,$Z1497*EXP($AA1497*-3),$Z1497*(1+$Y1497*$AA1497*-3)^(1/$Y1497)))</f>
        <v/>
      </c>
      <c r="AG1497">
        <f>IF($W1497="","",IFERROR(INDEX(IF($T1497&lt;=60,est05_l,est519_l),MATCH($W1497,IF($T1497&lt;=60,est05_k,est519_k),1)),""))</f>
        <v/>
      </c>
      <c r="AH1497">
        <f>IF($W1497="","",IFERROR(INDEX(IF($T1497&lt;=60,est05_m,est519_m),MATCH($W1497,IF($T1497&lt;=60,est05_k,est519_k),1)),""))</f>
        <v/>
      </c>
      <c r="AI1497">
        <f>IF($W1497="","",IFERROR(INDEX(IF($T1497&lt;=60,est05_s,est519_s),MATCH($W1497,IF($T1497&lt;=60,est05_k,est519_k),1)),""))</f>
        <v/>
      </c>
      <c r="AJ1497">
        <f>IF($W1497="","",IFERROR(INDEX(IF($T1497&lt;=60,peso05_l,peso510_l),MATCH($W1497,IF($T1497&lt;=60,peso05_k,peso510_k),1)),""))</f>
        <v/>
      </c>
      <c r="AK1497">
        <f>IF($W1497="","",IFERROR(INDEX(IF($T1497&lt;=60,peso05_m,peso510_m),MATCH($W1497,IF($T1497&lt;=60,peso05_k,peso510_k),1)),""))</f>
        <v/>
      </c>
      <c r="AL1497">
        <f>IF($W1497="","",IFERROR(INDEX(IF($T1497&lt;=60,peso05_s,peso510_s),MATCH($W1497,IF($T1497&lt;=60,peso05_k,peso510_k),1)),""))</f>
        <v/>
      </c>
      <c r="AM1497">
        <f>IF($AJ1497="","",IF($AJ1497=0,LN($F1497/$AK1497)/$AL1497,((($F1497/$AK1497)^$AJ1497)-1)/($AJ1497*$AL1497)))</f>
        <v/>
      </c>
      <c r="AN1497">
        <f>IF($AJ1497="","",IF($AJ1497=0,$AK1497*EXP($AL1497*2),$AK1497*(1+$AJ1497*$AL1497*2)^(1/$AJ1497)))</f>
        <v/>
      </c>
      <c r="AO1497">
        <f>IF($AJ1497="","",IF($AJ1497=0,$AK1497*EXP($AL1497*3),$AK1497*(1+$AJ1497*$AL1497*3)^(1/$AJ1497)))</f>
        <v/>
      </c>
      <c r="AP1497">
        <f>IF($AJ1497="","",IF($AJ1497=0,$AK1497*EXP($AL1497*-2),$AK1497*(1+$AJ1497*$AL1497*-2)^(1/$AJ1497)))</f>
        <v/>
      </c>
      <c r="AQ1497">
        <f>IF($AJ1497="","",IF($AJ1497=0,$AK1497*EXP($AL1497*-3),$AK1497*(1+$AJ1497*$AL1497*-3)^(1/$AJ1497)))</f>
        <v/>
      </c>
      <c r="AR1497">
        <f>IF(OR($X1497="",$T1497&gt;60),"",IFERROR(INDEX(IF($T1497&lt;24,pcomp_l,palt_l),MATCH($X1497,IF($T1497&lt;24,pcomp_k,palt_k),1)),""))</f>
        <v/>
      </c>
      <c r="AS1497">
        <f>IF(OR($X1497="",$T1497&gt;60),"",IFERROR(INDEX(IF($T1497&lt;24,pcomp_m,palt_m),MATCH($X1497,IF($T1497&lt;24,pcomp_k,palt_k),1)),""))</f>
        <v/>
      </c>
      <c r="AT1497">
        <f>IF(OR($X1497="",$T1497&gt;60),"",IFERROR(INDEX(IF($T1497&lt;24,pcomp_s,palt_s),MATCH($X1497,IF($T1497&lt;24,pcomp_k,palt_k),1)),""))</f>
        <v/>
      </c>
      <c r="AU1497">
        <f>IF($AR1497="","",IF($AR1497=0,LN($F1497/$AS1497)/$AT1497,((($F1497/$AS1497)^$AR1497)-1)/($AR1497*$AT1497)))</f>
        <v/>
      </c>
      <c r="AV1497">
        <f>IF($AR1497="","",IF($AR1497=0,$AS1497*EXP($AT1497*2),$AS1497*(1+$AR1497*$AT1497*2)^(1/$AR1497)))</f>
        <v/>
      </c>
      <c r="AW1497">
        <f>IF($AR1497="","",IF($AR1497=0,$AS1497*EXP($AT1497*3),$AS1497*(1+$AR1497*$AT1497*3)^(1/$AR1497)))</f>
        <v/>
      </c>
      <c r="AX1497">
        <f>IF($AR1497="","",IF($AR1497=0,$AS1497*EXP($AT1497*-2),$AS1497*(1+$AR1497*$AT1497*-2)^(1/$AR1497)))</f>
        <v/>
      </c>
      <c r="AY1497">
        <f>IF($AR1497="","",IF($AR1497=0,$AS1497*EXP($AT1497*-3),$AS1497*(1+$AR1497*$AT1497*-3)^(1/$AR1497)))</f>
        <v/>
      </c>
      <c r="AZ1497">
        <f>IF(OR($A1497="",$A1497&lt;&gt;Ficha!$C$4),"",COUNTIF($A$2:$A1497,Ficha!$C$4))</f>
        <v/>
      </c>
    </row>
    <row r="1498">
      <c r="A1498" s="8">
        <f>IF(INDEX(Banco!$A:$A,ROW())="","",INDEX(Banco!$A:$A,ROW()))</f>
        <v/>
      </c>
      <c r="B1498" s="8">
        <f>IF(INDEX(Banco!$B:$B,ROW())="","",INDEX(Banco!$B:$B,ROW()))</f>
        <v/>
      </c>
      <c r="C1498" s="8">
        <f>IF(INDEX(Banco!$C:$C,ROW())="","",INDEX(Banco!$C:$C,ROW()))</f>
        <v/>
      </c>
      <c r="D1498" s="9">
        <f>IF(INDEX(Banco!$D:$D,ROW())="","",INDEX(Banco!$D:$D,ROW()))</f>
        <v/>
      </c>
      <c r="E1498" s="9">
        <f>IF(INDEX(Banco!$E:$E,ROW())="","",INDEX(Banco!$E:$E,ROW()))</f>
        <v/>
      </c>
      <c r="F1498" s="10">
        <f>IF(INDEX(Banco!$F:$F,ROW())="","",INDEX(Banco!$F:$F,ROW()))</f>
        <v/>
      </c>
      <c r="G1498" s="10">
        <f>IF(INDEX(Banco!$G:$G,ROW())="","",INDEX(Banco!$G:$G,ROW()))</f>
        <v/>
      </c>
      <c r="H1498" s="8">
        <f>IF(INDEX(Banco!$H:$H,ROW())="","",INDEX(Banco!$H:$H,ROW()))</f>
        <v/>
      </c>
      <c r="I1498">
        <f>IF($T1498="","",INT($T1498/12)&amp;"a "&amp;MOD($T1498,12)&amp;"m")</f>
        <v/>
      </c>
      <c r="J1498" s="11">
        <f>IF(OR($F1498="",$G1498=""),"",ROUND($F1498/($G1498/100)^2,2))</f>
        <v/>
      </c>
      <c r="K1498" s="12">
        <f>IF(OR($S1498="",$J1498="",$T1498="",$T1498&lt;0,$T1498&gt;228,$Y1498=""),"—",ROUND(IF(ABS($AB1498)&lt;=3,$AB1498,IF($AB1498&gt;3,3+($J1498-$AD1498)/($AD1498-$AC1498),-3+($J1498-$AF1498)/($AE1498-$AF1498))),2))</f>
        <v/>
      </c>
      <c r="L1498">
        <f>IF(OR($K1498="",$K1498="—"),"",IF($T1498&lt;=60,IF($K1498&lt;-3,"Magreza acentuada",IF($K1498&lt;-2,"Magreza",IF($K1498&lt;=1,"Eutrofia",IF($K1498&lt;=2,"Risco de sobrepeso",IF($K1498&lt;=3,"Sobrepeso","Obesidade"))))),IF($K1498&lt;-3,"Magreza acentuada",IF($K1498&lt;-2,"Magreza",IF($K1498&lt;=1,"Eutrofia",IF($K1498&lt;=2,"Sobrepeso",IF($K1498&lt;=3,"Obesidade","Obesidade grave")))))))</f>
        <v/>
      </c>
      <c r="M1498" s="12">
        <f>IF(OR($S1498="",$V1498="",$T1498="",$T1498&lt;0,$T1498&gt;228,$AG1498=""),"—",ROUND(IF($AG1498=0,LN($V1498/$AH1498)/$AI1498,((($V1498/$AH1498)^$AG1498)-1)/($AG1498*$AI1498)),2))</f>
        <v/>
      </c>
      <c r="N1498">
        <f>IF(OR($M1498="",$M1498="—"),"",IF($M1498&lt;-3,"Muito baixa",IF($M1498&lt;-2,"Baixa","Adequada")))</f>
        <v/>
      </c>
      <c r="O1498" s="12">
        <f>IF(OR($S1498="",$F1498="",$T1498="",$T1498&lt;0,$T1498&gt;120,$AJ1498=""),"—",ROUND(IF(ABS($AM1498)&lt;=3,$AM1498,IF($AM1498&gt;3,3+($F1498-$AO1498)/($AO1498-$AN1498),-3+($F1498-$AQ1498)/($AP1498-$AQ1498))),2))</f>
        <v/>
      </c>
      <c r="P1498">
        <f>IF(OR($O1498="",$O1498="—"),"",IF($O1498&lt;-3,"Muito baixo",IF($O1498&lt;-2,"Baixo",IF($O1498&lt;=2,"Adequado","Elevado"))))</f>
        <v/>
      </c>
      <c r="Q1498" s="12">
        <f>IF(OR($S1498="",$F1498="",$T1498="",$T1498&lt;0,$T1498&gt;60,$AR1498=""),"—",ROUND(IF(ABS($AU1498)&lt;=3,$AU1498,IF($AU1498&gt;3,3+($F1498-$AW1498)/($AW1498-$AV1498),-3+($F1498-$AY1498)/($AX1498-$AY1498))),2))</f>
        <v/>
      </c>
      <c r="R1498">
        <f>IF(OR($Q1498="",$Q1498="—"),"",IF($Q1498&lt;-3,"Magreza acentuada",IF($Q1498&lt;-2,"Magreza",IF($Q1498&lt;=1,"Eutrofia",IF($Q1498&lt;=2,"Risco de sobrepeso",IF($Q1498&lt;=3,"Sobrepeso","Obesidade"))))))</f>
        <v/>
      </c>
      <c r="S1498">
        <f>IF($C1498="","",IF(UPPER(LEFT($C1498,1))="M",1,IF(UPPER(LEFT($C1498,1))="F",2,"")))</f>
        <v/>
      </c>
      <c r="T1498">
        <f>IF(OR($D1498="",$E1498=""),"",DATEDIF($D1498,$E1498,"m"))</f>
        <v/>
      </c>
      <c r="U1498">
        <f>IF(OR($D1498="",$E1498=""),"",$E1498-$D1498)</f>
        <v/>
      </c>
      <c r="V1498">
        <f>IF(OR($G1498="",$T1498=""),"",IF($T1498&lt;24,IF(LEFT(LOWER($H1498),4)="em p",$G1498+0.7,$G1498),IF(LEFT(LOWER($H1498),4)="deit",$G1498-0.7,$G1498)))</f>
        <v/>
      </c>
      <c r="W1498">
        <f>IF(OR($S1498="",$T1498=""),"",$S1498*1000000+IF($T1498&lt;=60,$U1498,$T1498))</f>
        <v/>
      </c>
      <c r="X1498">
        <f>IF(OR($S1498="",$V1498="",$T1498&gt;60,$T1498=""),"",$S1498*1000000+ROUND($V1498*10,0))</f>
        <v/>
      </c>
      <c r="Y1498">
        <f>IF($W1498="","",IFERROR(INDEX(IF($T1498&lt;=60,imc05_l,imc519_l),MATCH($W1498,IF($T1498&lt;=60,imc05_k,imc519_k),1)),""))</f>
        <v/>
      </c>
      <c r="Z1498">
        <f>IF($W1498="","",IFERROR(INDEX(IF($T1498&lt;=60,imc05_m,imc519_m),MATCH($W1498,IF($T1498&lt;=60,imc05_k,imc519_k),1)),""))</f>
        <v/>
      </c>
      <c r="AA1498">
        <f>IF($W1498="","",IFERROR(INDEX(IF($T1498&lt;=60,imc05_s,imc519_s),MATCH($W1498,IF($T1498&lt;=60,imc05_k,imc519_k),1)),""))</f>
        <v/>
      </c>
      <c r="AB1498">
        <f>IF($Y1498="","",IF($Y1498=0,LN($J1498/$Z1498)/$AA1498,((($J1498/$Z1498)^$Y1498)-1)/($Y1498*$AA1498)))</f>
        <v/>
      </c>
      <c r="AC1498">
        <f>IF($Y1498="","",IF($Y1498=0,$Z1498*EXP($AA1498*2),$Z1498*(1+$Y1498*$AA1498*2)^(1/$Y1498)))</f>
        <v/>
      </c>
      <c r="AD1498">
        <f>IF($Y1498="","",IF($Y1498=0,$Z1498*EXP($AA1498*3),$Z1498*(1+$Y1498*$AA1498*3)^(1/$Y1498)))</f>
        <v/>
      </c>
      <c r="AE1498">
        <f>IF($Y1498="","",IF($Y1498=0,$Z1498*EXP($AA1498*-2),$Z1498*(1+$Y1498*$AA1498*-2)^(1/$Y1498)))</f>
        <v/>
      </c>
      <c r="AF1498">
        <f>IF($Y1498="","",IF($Y1498=0,$Z1498*EXP($AA1498*-3),$Z1498*(1+$Y1498*$AA1498*-3)^(1/$Y1498)))</f>
        <v/>
      </c>
      <c r="AG1498">
        <f>IF($W1498="","",IFERROR(INDEX(IF($T1498&lt;=60,est05_l,est519_l),MATCH($W1498,IF($T1498&lt;=60,est05_k,est519_k),1)),""))</f>
        <v/>
      </c>
      <c r="AH1498">
        <f>IF($W1498="","",IFERROR(INDEX(IF($T1498&lt;=60,est05_m,est519_m),MATCH($W1498,IF($T1498&lt;=60,est05_k,est519_k),1)),""))</f>
        <v/>
      </c>
      <c r="AI1498">
        <f>IF($W1498="","",IFERROR(INDEX(IF($T1498&lt;=60,est05_s,est519_s),MATCH($W1498,IF($T1498&lt;=60,est05_k,est519_k),1)),""))</f>
        <v/>
      </c>
      <c r="AJ1498">
        <f>IF($W1498="","",IFERROR(INDEX(IF($T1498&lt;=60,peso05_l,peso510_l),MATCH($W1498,IF($T1498&lt;=60,peso05_k,peso510_k),1)),""))</f>
        <v/>
      </c>
      <c r="AK1498">
        <f>IF($W1498="","",IFERROR(INDEX(IF($T1498&lt;=60,peso05_m,peso510_m),MATCH($W1498,IF($T1498&lt;=60,peso05_k,peso510_k),1)),""))</f>
        <v/>
      </c>
      <c r="AL1498">
        <f>IF($W1498="","",IFERROR(INDEX(IF($T1498&lt;=60,peso05_s,peso510_s),MATCH($W1498,IF($T1498&lt;=60,peso05_k,peso510_k),1)),""))</f>
        <v/>
      </c>
      <c r="AM1498">
        <f>IF($AJ1498="","",IF($AJ1498=0,LN($F1498/$AK1498)/$AL1498,((($F1498/$AK1498)^$AJ1498)-1)/($AJ1498*$AL1498)))</f>
        <v/>
      </c>
      <c r="AN1498">
        <f>IF($AJ1498="","",IF($AJ1498=0,$AK1498*EXP($AL1498*2),$AK1498*(1+$AJ1498*$AL1498*2)^(1/$AJ1498)))</f>
        <v/>
      </c>
      <c r="AO1498">
        <f>IF($AJ1498="","",IF($AJ1498=0,$AK1498*EXP($AL1498*3),$AK1498*(1+$AJ1498*$AL1498*3)^(1/$AJ1498)))</f>
        <v/>
      </c>
      <c r="AP1498">
        <f>IF($AJ1498="","",IF($AJ1498=0,$AK1498*EXP($AL1498*-2),$AK1498*(1+$AJ1498*$AL1498*-2)^(1/$AJ1498)))</f>
        <v/>
      </c>
      <c r="AQ1498">
        <f>IF($AJ1498="","",IF($AJ1498=0,$AK1498*EXP($AL1498*-3),$AK1498*(1+$AJ1498*$AL1498*-3)^(1/$AJ1498)))</f>
        <v/>
      </c>
      <c r="AR1498">
        <f>IF(OR($X1498="",$T1498&gt;60),"",IFERROR(INDEX(IF($T1498&lt;24,pcomp_l,palt_l),MATCH($X1498,IF($T1498&lt;24,pcomp_k,palt_k),1)),""))</f>
        <v/>
      </c>
      <c r="AS1498">
        <f>IF(OR($X1498="",$T1498&gt;60),"",IFERROR(INDEX(IF($T1498&lt;24,pcomp_m,palt_m),MATCH($X1498,IF($T1498&lt;24,pcomp_k,palt_k),1)),""))</f>
        <v/>
      </c>
      <c r="AT1498">
        <f>IF(OR($X1498="",$T1498&gt;60),"",IFERROR(INDEX(IF($T1498&lt;24,pcomp_s,palt_s),MATCH($X1498,IF($T1498&lt;24,pcomp_k,palt_k),1)),""))</f>
        <v/>
      </c>
      <c r="AU1498">
        <f>IF($AR1498="","",IF($AR1498=0,LN($F1498/$AS1498)/$AT1498,((($F1498/$AS1498)^$AR1498)-1)/($AR1498*$AT1498)))</f>
        <v/>
      </c>
      <c r="AV1498">
        <f>IF($AR1498="","",IF($AR1498=0,$AS1498*EXP($AT1498*2),$AS1498*(1+$AR1498*$AT1498*2)^(1/$AR1498)))</f>
        <v/>
      </c>
      <c r="AW1498">
        <f>IF($AR1498="","",IF($AR1498=0,$AS1498*EXP($AT1498*3),$AS1498*(1+$AR1498*$AT1498*3)^(1/$AR1498)))</f>
        <v/>
      </c>
      <c r="AX1498">
        <f>IF($AR1498="","",IF($AR1498=0,$AS1498*EXP($AT1498*-2),$AS1498*(1+$AR1498*$AT1498*-2)^(1/$AR1498)))</f>
        <v/>
      </c>
      <c r="AY1498">
        <f>IF($AR1498="","",IF($AR1498=0,$AS1498*EXP($AT1498*-3),$AS1498*(1+$AR1498*$AT1498*-3)^(1/$AR1498)))</f>
        <v/>
      </c>
      <c r="AZ1498">
        <f>IF(OR($A1498="",$A1498&lt;&gt;Ficha!$C$4),"",COUNTIF($A$2:$A1498,Ficha!$C$4))</f>
        <v/>
      </c>
    </row>
    <row r="1499">
      <c r="A1499" s="8">
        <f>IF(INDEX(Banco!$A:$A,ROW())="","",INDEX(Banco!$A:$A,ROW()))</f>
        <v/>
      </c>
      <c r="B1499" s="8">
        <f>IF(INDEX(Banco!$B:$B,ROW())="","",INDEX(Banco!$B:$B,ROW()))</f>
        <v/>
      </c>
      <c r="C1499" s="8">
        <f>IF(INDEX(Banco!$C:$C,ROW())="","",INDEX(Banco!$C:$C,ROW()))</f>
        <v/>
      </c>
      <c r="D1499" s="9">
        <f>IF(INDEX(Banco!$D:$D,ROW())="","",INDEX(Banco!$D:$D,ROW()))</f>
        <v/>
      </c>
      <c r="E1499" s="9">
        <f>IF(INDEX(Banco!$E:$E,ROW())="","",INDEX(Banco!$E:$E,ROW()))</f>
        <v/>
      </c>
      <c r="F1499" s="10">
        <f>IF(INDEX(Banco!$F:$F,ROW())="","",INDEX(Banco!$F:$F,ROW()))</f>
        <v/>
      </c>
      <c r="G1499" s="10">
        <f>IF(INDEX(Banco!$G:$G,ROW())="","",INDEX(Banco!$G:$G,ROW()))</f>
        <v/>
      </c>
      <c r="H1499" s="8">
        <f>IF(INDEX(Banco!$H:$H,ROW())="","",INDEX(Banco!$H:$H,ROW()))</f>
        <v/>
      </c>
      <c r="I1499">
        <f>IF($T1499="","",INT($T1499/12)&amp;"a "&amp;MOD($T1499,12)&amp;"m")</f>
        <v/>
      </c>
      <c r="J1499" s="11">
        <f>IF(OR($F1499="",$G1499=""),"",ROUND($F1499/($G1499/100)^2,2))</f>
        <v/>
      </c>
      <c r="K1499" s="12">
        <f>IF(OR($S1499="",$J1499="",$T1499="",$T1499&lt;0,$T1499&gt;228,$Y1499=""),"—",ROUND(IF(ABS($AB1499)&lt;=3,$AB1499,IF($AB1499&gt;3,3+($J1499-$AD1499)/($AD1499-$AC1499),-3+($J1499-$AF1499)/($AE1499-$AF1499))),2))</f>
        <v/>
      </c>
      <c r="L1499">
        <f>IF(OR($K1499="",$K1499="—"),"",IF($T1499&lt;=60,IF($K1499&lt;-3,"Magreza acentuada",IF($K1499&lt;-2,"Magreza",IF($K1499&lt;=1,"Eutrofia",IF($K1499&lt;=2,"Risco de sobrepeso",IF($K1499&lt;=3,"Sobrepeso","Obesidade"))))),IF($K1499&lt;-3,"Magreza acentuada",IF($K1499&lt;-2,"Magreza",IF($K1499&lt;=1,"Eutrofia",IF($K1499&lt;=2,"Sobrepeso",IF($K1499&lt;=3,"Obesidade","Obesidade grave")))))))</f>
        <v/>
      </c>
      <c r="M1499" s="12">
        <f>IF(OR($S1499="",$V1499="",$T1499="",$T1499&lt;0,$T1499&gt;228,$AG1499=""),"—",ROUND(IF($AG1499=0,LN($V1499/$AH1499)/$AI1499,((($V1499/$AH1499)^$AG1499)-1)/($AG1499*$AI1499)),2))</f>
        <v/>
      </c>
      <c r="N1499">
        <f>IF(OR($M1499="",$M1499="—"),"",IF($M1499&lt;-3,"Muito baixa",IF($M1499&lt;-2,"Baixa","Adequada")))</f>
        <v/>
      </c>
      <c r="O1499" s="12">
        <f>IF(OR($S1499="",$F1499="",$T1499="",$T1499&lt;0,$T1499&gt;120,$AJ1499=""),"—",ROUND(IF(ABS($AM1499)&lt;=3,$AM1499,IF($AM1499&gt;3,3+($F1499-$AO1499)/($AO1499-$AN1499),-3+($F1499-$AQ1499)/($AP1499-$AQ1499))),2))</f>
        <v/>
      </c>
      <c r="P1499">
        <f>IF(OR($O1499="",$O1499="—"),"",IF($O1499&lt;-3,"Muito baixo",IF($O1499&lt;-2,"Baixo",IF($O1499&lt;=2,"Adequado","Elevado"))))</f>
        <v/>
      </c>
      <c r="Q1499" s="12">
        <f>IF(OR($S1499="",$F1499="",$T1499="",$T1499&lt;0,$T1499&gt;60,$AR1499=""),"—",ROUND(IF(ABS($AU1499)&lt;=3,$AU1499,IF($AU1499&gt;3,3+($F1499-$AW1499)/($AW1499-$AV1499),-3+($F1499-$AY1499)/($AX1499-$AY1499))),2))</f>
        <v/>
      </c>
      <c r="R1499">
        <f>IF(OR($Q1499="",$Q1499="—"),"",IF($Q1499&lt;-3,"Magreza acentuada",IF($Q1499&lt;-2,"Magreza",IF($Q1499&lt;=1,"Eutrofia",IF($Q1499&lt;=2,"Risco de sobrepeso",IF($Q1499&lt;=3,"Sobrepeso","Obesidade"))))))</f>
        <v/>
      </c>
      <c r="S1499">
        <f>IF($C1499="","",IF(UPPER(LEFT($C1499,1))="M",1,IF(UPPER(LEFT($C1499,1))="F",2,"")))</f>
        <v/>
      </c>
      <c r="T1499">
        <f>IF(OR($D1499="",$E1499=""),"",DATEDIF($D1499,$E1499,"m"))</f>
        <v/>
      </c>
      <c r="U1499">
        <f>IF(OR($D1499="",$E1499=""),"",$E1499-$D1499)</f>
        <v/>
      </c>
      <c r="V1499">
        <f>IF(OR($G1499="",$T1499=""),"",IF($T1499&lt;24,IF(LEFT(LOWER($H1499),4)="em p",$G1499+0.7,$G1499),IF(LEFT(LOWER($H1499),4)="deit",$G1499-0.7,$G1499)))</f>
        <v/>
      </c>
      <c r="W1499">
        <f>IF(OR($S1499="",$T1499=""),"",$S1499*1000000+IF($T1499&lt;=60,$U1499,$T1499))</f>
        <v/>
      </c>
      <c r="X1499">
        <f>IF(OR($S1499="",$V1499="",$T1499&gt;60,$T1499=""),"",$S1499*1000000+ROUND($V1499*10,0))</f>
        <v/>
      </c>
      <c r="Y1499">
        <f>IF($W1499="","",IFERROR(INDEX(IF($T1499&lt;=60,imc05_l,imc519_l),MATCH($W1499,IF($T1499&lt;=60,imc05_k,imc519_k),1)),""))</f>
        <v/>
      </c>
      <c r="Z1499">
        <f>IF($W1499="","",IFERROR(INDEX(IF($T1499&lt;=60,imc05_m,imc519_m),MATCH($W1499,IF($T1499&lt;=60,imc05_k,imc519_k),1)),""))</f>
        <v/>
      </c>
      <c r="AA1499">
        <f>IF($W1499="","",IFERROR(INDEX(IF($T1499&lt;=60,imc05_s,imc519_s),MATCH($W1499,IF($T1499&lt;=60,imc05_k,imc519_k),1)),""))</f>
        <v/>
      </c>
      <c r="AB1499">
        <f>IF($Y1499="","",IF($Y1499=0,LN($J1499/$Z1499)/$AA1499,((($J1499/$Z1499)^$Y1499)-1)/($Y1499*$AA1499)))</f>
        <v/>
      </c>
      <c r="AC1499">
        <f>IF($Y1499="","",IF($Y1499=0,$Z1499*EXP($AA1499*2),$Z1499*(1+$Y1499*$AA1499*2)^(1/$Y1499)))</f>
        <v/>
      </c>
      <c r="AD1499">
        <f>IF($Y1499="","",IF($Y1499=0,$Z1499*EXP($AA1499*3),$Z1499*(1+$Y1499*$AA1499*3)^(1/$Y1499)))</f>
        <v/>
      </c>
      <c r="AE1499">
        <f>IF($Y1499="","",IF($Y1499=0,$Z1499*EXP($AA1499*-2),$Z1499*(1+$Y1499*$AA1499*-2)^(1/$Y1499)))</f>
        <v/>
      </c>
      <c r="AF1499">
        <f>IF($Y1499="","",IF($Y1499=0,$Z1499*EXP($AA1499*-3),$Z1499*(1+$Y1499*$AA1499*-3)^(1/$Y1499)))</f>
        <v/>
      </c>
      <c r="AG1499">
        <f>IF($W1499="","",IFERROR(INDEX(IF($T1499&lt;=60,est05_l,est519_l),MATCH($W1499,IF($T1499&lt;=60,est05_k,est519_k),1)),""))</f>
        <v/>
      </c>
      <c r="AH1499">
        <f>IF($W1499="","",IFERROR(INDEX(IF($T1499&lt;=60,est05_m,est519_m),MATCH($W1499,IF($T1499&lt;=60,est05_k,est519_k),1)),""))</f>
        <v/>
      </c>
      <c r="AI1499">
        <f>IF($W1499="","",IFERROR(INDEX(IF($T1499&lt;=60,est05_s,est519_s),MATCH($W1499,IF($T1499&lt;=60,est05_k,est519_k),1)),""))</f>
        <v/>
      </c>
      <c r="AJ1499">
        <f>IF($W1499="","",IFERROR(INDEX(IF($T1499&lt;=60,peso05_l,peso510_l),MATCH($W1499,IF($T1499&lt;=60,peso05_k,peso510_k),1)),""))</f>
        <v/>
      </c>
      <c r="AK1499">
        <f>IF($W1499="","",IFERROR(INDEX(IF($T1499&lt;=60,peso05_m,peso510_m),MATCH($W1499,IF($T1499&lt;=60,peso05_k,peso510_k),1)),""))</f>
        <v/>
      </c>
      <c r="AL1499">
        <f>IF($W1499="","",IFERROR(INDEX(IF($T1499&lt;=60,peso05_s,peso510_s),MATCH($W1499,IF($T1499&lt;=60,peso05_k,peso510_k),1)),""))</f>
        <v/>
      </c>
      <c r="AM1499">
        <f>IF($AJ1499="","",IF($AJ1499=0,LN($F1499/$AK1499)/$AL1499,((($F1499/$AK1499)^$AJ1499)-1)/($AJ1499*$AL1499)))</f>
        <v/>
      </c>
      <c r="AN1499">
        <f>IF($AJ1499="","",IF($AJ1499=0,$AK1499*EXP($AL1499*2),$AK1499*(1+$AJ1499*$AL1499*2)^(1/$AJ1499)))</f>
        <v/>
      </c>
      <c r="AO1499">
        <f>IF($AJ1499="","",IF($AJ1499=0,$AK1499*EXP($AL1499*3),$AK1499*(1+$AJ1499*$AL1499*3)^(1/$AJ1499)))</f>
        <v/>
      </c>
      <c r="AP1499">
        <f>IF($AJ1499="","",IF($AJ1499=0,$AK1499*EXP($AL1499*-2),$AK1499*(1+$AJ1499*$AL1499*-2)^(1/$AJ1499)))</f>
        <v/>
      </c>
      <c r="AQ1499">
        <f>IF($AJ1499="","",IF($AJ1499=0,$AK1499*EXP($AL1499*-3),$AK1499*(1+$AJ1499*$AL1499*-3)^(1/$AJ1499)))</f>
        <v/>
      </c>
      <c r="AR1499">
        <f>IF(OR($X1499="",$T1499&gt;60),"",IFERROR(INDEX(IF($T1499&lt;24,pcomp_l,palt_l),MATCH($X1499,IF($T1499&lt;24,pcomp_k,palt_k),1)),""))</f>
        <v/>
      </c>
      <c r="AS1499">
        <f>IF(OR($X1499="",$T1499&gt;60),"",IFERROR(INDEX(IF($T1499&lt;24,pcomp_m,palt_m),MATCH($X1499,IF($T1499&lt;24,pcomp_k,palt_k),1)),""))</f>
        <v/>
      </c>
      <c r="AT1499">
        <f>IF(OR($X1499="",$T1499&gt;60),"",IFERROR(INDEX(IF($T1499&lt;24,pcomp_s,palt_s),MATCH($X1499,IF($T1499&lt;24,pcomp_k,palt_k),1)),""))</f>
        <v/>
      </c>
      <c r="AU1499">
        <f>IF($AR1499="","",IF($AR1499=0,LN($F1499/$AS1499)/$AT1499,((($F1499/$AS1499)^$AR1499)-1)/($AR1499*$AT1499)))</f>
        <v/>
      </c>
      <c r="AV1499">
        <f>IF($AR1499="","",IF($AR1499=0,$AS1499*EXP($AT1499*2),$AS1499*(1+$AR1499*$AT1499*2)^(1/$AR1499)))</f>
        <v/>
      </c>
      <c r="AW1499">
        <f>IF($AR1499="","",IF($AR1499=0,$AS1499*EXP($AT1499*3),$AS1499*(1+$AR1499*$AT1499*3)^(1/$AR1499)))</f>
        <v/>
      </c>
      <c r="AX1499">
        <f>IF($AR1499="","",IF($AR1499=0,$AS1499*EXP($AT1499*-2),$AS1499*(1+$AR1499*$AT1499*-2)^(1/$AR1499)))</f>
        <v/>
      </c>
      <c r="AY1499">
        <f>IF($AR1499="","",IF($AR1499=0,$AS1499*EXP($AT1499*-3),$AS1499*(1+$AR1499*$AT1499*-3)^(1/$AR1499)))</f>
        <v/>
      </c>
      <c r="AZ1499">
        <f>IF(OR($A1499="",$A1499&lt;&gt;Ficha!$C$4),"",COUNTIF($A$2:$A1499,Ficha!$C$4))</f>
        <v/>
      </c>
    </row>
    <row r="1500">
      <c r="A1500" s="8">
        <f>IF(INDEX(Banco!$A:$A,ROW())="","",INDEX(Banco!$A:$A,ROW()))</f>
        <v/>
      </c>
      <c r="B1500" s="8">
        <f>IF(INDEX(Banco!$B:$B,ROW())="","",INDEX(Banco!$B:$B,ROW()))</f>
        <v/>
      </c>
      <c r="C1500" s="8">
        <f>IF(INDEX(Banco!$C:$C,ROW())="","",INDEX(Banco!$C:$C,ROW()))</f>
        <v/>
      </c>
      <c r="D1500" s="9">
        <f>IF(INDEX(Banco!$D:$D,ROW())="","",INDEX(Banco!$D:$D,ROW()))</f>
        <v/>
      </c>
      <c r="E1500" s="9">
        <f>IF(INDEX(Banco!$E:$E,ROW())="","",INDEX(Banco!$E:$E,ROW()))</f>
        <v/>
      </c>
      <c r="F1500" s="10">
        <f>IF(INDEX(Banco!$F:$F,ROW())="","",INDEX(Banco!$F:$F,ROW()))</f>
        <v/>
      </c>
      <c r="G1500" s="10">
        <f>IF(INDEX(Banco!$G:$G,ROW())="","",INDEX(Banco!$G:$G,ROW()))</f>
        <v/>
      </c>
      <c r="H1500" s="8">
        <f>IF(INDEX(Banco!$H:$H,ROW())="","",INDEX(Banco!$H:$H,ROW()))</f>
        <v/>
      </c>
      <c r="I1500">
        <f>IF($T1500="","",INT($T1500/12)&amp;"a "&amp;MOD($T1500,12)&amp;"m")</f>
        <v/>
      </c>
      <c r="J1500" s="11">
        <f>IF(OR($F1500="",$G1500=""),"",ROUND($F1500/($G1500/100)^2,2))</f>
        <v/>
      </c>
      <c r="K1500" s="12">
        <f>IF(OR($S1500="",$J1500="",$T1500="",$T1500&lt;0,$T1500&gt;228,$Y1500=""),"—",ROUND(IF(ABS($AB1500)&lt;=3,$AB1500,IF($AB1500&gt;3,3+($J1500-$AD1500)/($AD1500-$AC1500),-3+($J1500-$AF1500)/($AE1500-$AF1500))),2))</f>
        <v/>
      </c>
      <c r="L1500">
        <f>IF(OR($K1500="",$K1500="—"),"",IF($T1500&lt;=60,IF($K1500&lt;-3,"Magreza acentuada",IF($K1500&lt;-2,"Magreza",IF($K1500&lt;=1,"Eutrofia",IF($K1500&lt;=2,"Risco de sobrepeso",IF($K1500&lt;=3,"Sobrepeso","Obesidade"))))),IF($K1500&lt;-3,"Magreza acentuada",IF($K1500&lt;-2,"Magreza",IF($K1500&lt;=1,"Eutrofia",IF($K1500&lt;=2,"Sobrepeso",IF($K1500&lt;=3,"Obesidade","Obesidade grave")))))))</f>
        <v/>
      </c>
      <c r="M1500" s="12">
        <f>IF(OR($S1500="",$V1500="",$T1500="",$T1500&lt;0,$T1500&gt;228,$AG1500=""),"—",ROUND(IF($AG1500=0,LN($V1500/$AH1500)/$AI1500,((($V1500/$AH1500)^$AG1500)-1)/($AG1500*$AI1500)),2))</f>
        <v/>
      </c>
      <c r="N1500">
        <f>IF(OR($M1500="",$M1500="—"),"",IF($M1500&lt;-3,"Muito baixa",IF($M1500&lt;-2,"Baixa","Adequada")))</f>
        <v/>
      </c>
      <c r="O1500" s="12">
        <f>IF(OR($S1500="",$F1500="",$T1500="",$T1500&lt;0,$T1500&gt;120,$AJ1500=""),"—",ROUND(IF(ABS($AM1500)&lt;=3,$AM1500,IF($AM1500&gt;3,3+($F1500-$AO1500)/($AO1500-$AN1500),-3+($F1500-$AQ1500)/($AP1500-$AQ1500))),2))</f>
        <v/>
      </c>
      <c r="P1500">
        <f>IF(OR($O1500="",$O1500="—"),"",IF($O1500&lt;-3,"Muito baixo",IF($O1500&lt;-2,"Baixo",IF($O1500&lt;=2,"Adequado","Elevado"))))</f>
        <v/>
      </c>
      <c r="Q1500" s="12">
        <f>IF(OR($S1500="",$F1500="",$T1500="",$T1500&lt;0,$T1500&gt;60,$AR1500=""),"—",ROUND(IF(ABS($AU1500)&lt;=3,$AU1500,IF($AU1500&gt;3,3+($F1500-$AW1500)/($AW1500-$AV1500),-3+($F1500-$AY1500)/($AX1500-$AY1500))),2))</f>
        <v/>
      </c>
      <c r="R1500">
        <f>IF(OR($Q1500="",$Q1500="—"),"",IF($Q1500&lt;-3,"Magreza acentuada",IF($Q1500&lt;-2,"Magreza",IF($Q1500&lt;=1,"Eutrofia",IF($Q1500&lt;=2,"Risco de sobrepeso",IF($Q1500&lt;=3,"Sobrepeso","Obesidade"))))))</f>
        <v/>
      </c>
      <c r="S1500">
        <f>IF($C1500="","",IF(UPPER(LEFT($C1500,1))="M",1,IF(UPPER(LEFT($C1500,1))="F",2,"")))</f>
        <v/>
      </c>
      <c r="T1500">
        <f>IF(OR($D1500="",$E1500=""),"",DATEDIF($D1500,$E1500,"m"))</f>
        <v/>
      </c>
      <c r="U1500">
        <f>IF(OR($D1500="",$E1500=""),"",$E1500-$D1500)</f>
        <v/>
      </c>
      <c r="V1500">
        <f>IF(OR($G1500="",$T1500=""),"",IF($T1500&lt;24,IF(LEFT(LOWER($H1500),4)="em p",$G1500+0.7,$G1500),IF(LEFT(LOWER($H1500),4)="deit",$G1500-0.7,$G1500)))</f>
        <v/>
      </c>
      <c r="W1500">
        <f>IF(OR($S1500="",$T1500=""),"",$S1500*1000000+IF($T1500&lt;=60,$U1500,$T1500))</f>
        <v/>
      </c>
      <c r="X1500">
        <f>IF(OR($S1500="",$V1500="",$T1500&gt;60,$T1500=""),"",$S1500*1000000+ROUND($V1500*10,0))</f>
        <v/>
      </c>
      <c r="Y1500">
        <f>IF($W1500="","",IFERROR(INDEX(IF($T1500&lt;=60,imc05_l,imc519_l),MATCH($W1500,IF($T1500&lt;=60,imc05_k,imc519_k),1)),""))</f>
        <v/>
      </c>
      <c r="Z1500">
        <f>IF($W1500="","",IFERROR(INDEX(IF($T1500&lt;=60,imc05_m,imc519_m),MATCH($W1500,IF($T1500&lt;=60,imc05_k,imc519_k),1)),""))</f>
        <v/>
      </c>
      <c r="AA1500">
        <f>IF($W1500="","",IFERROR(INDEX(IF($T1500&lt;=60,imc05_s,imc519_s),MATCH($W1500,IF($T1500&lt;=60,imc05_k,imc519_k),1)),""))</f>
        <v/>
      </c>
      <c r="AB1500">
        <f>IF($Y1500="","",IF($Y1500=0,LN($J1500/$Z1500)/$AA1500,((($J1500/$Z1500)^$Y1500)-1)/($Y1500*$AA1500)))</f>
        <v/>
      </c>
      <c r="AC1500">
        <f>IF($Y1500="","",IF($Y1500=0,$Z1500*EXP($AA1500*2),$Z1500*(1+$Y1500*$AA1500*2)^(1/$Y1500)))</f>
        <v/>
      </c>
      <c r="AD1500">
        <f>IF($Y1500="","",IF($Y1500=0,$Z1500*EXP($AA1500*3),$Z1500*(1+$Y1500*$AA1500*3)^(1/$Y1500)))</f>
        <v/>
      </c>
      <c r="AE1500">
        <f>IF($Y1500="","",IF($Y1500=0,$Z1500*EXP($AA1500*-2),$Z1500*(1+$Y1500*$AA1500*-2)^(1/$Y1500)))</f>
        <v/>
      </c>
      <c r="AF1500">
        <f>IF($Y1500="","",IF($Y1500=0,$Z1500*EXP($AA1500*-3),$Z1500*(1+$Y1500*$AA1500*-3)^(1/$Y1500)))</f>
        <v/>
      </c>
      <c r="AG1500">
        <f>IF($W1500="","",IFERROR(INDEX(IF($T1500&lt;=60,est05_l,est519_l),MATCH($W1500,IF($T1500&lt;=60,est05_k,est519_k),1)),""))</f>
        <v/>
      </c>
      <c r="AH1500">
        <f>IF($W1500="","",IFERROR(INDEX(IF($T1500&lt;=60,est05_m,est519_m),MATCH($W1500,IF($T1500&lt;=60,est05_k,est519_k),1)),""))</f>
        <v/>
      </c>
      <c r="AI1500">
        <f>IF($W1500="","",IFERROR(INDEX(IF($T1500&lt;=60,est05_s,est519_s),MATCH($W1500,IF($T1500&lt;=60,est05_k,est519_k),1)),""))</f>
        <v/>
      </c>
      <c r="AJ1500">
        <f>IF($W1500="","",IFERROR(INDEX(IF($T1500&lt;=60,peso05_l,peso510_l),MATCH($W1500,IF($T1500&lt;=60,peso05_k,peso510_k),1)),""))</f>
        <v/>
      </c>
      <c r="AK1500">
        <f>IF($W1500="","",IFERROR(INDEX(IF($T1500&lt;=60,peso05_m,peso510_m),MATCH($W1500,IF($T1500&lt;=60,peso05_k,peso510_k),1)),""))</f>
        <v/>
      </c>
      <c r="AL1500">
        <f>IF($W1500="","",IFERROR(INDEX(IF($T1500&lt;=60,peso05_s,peso510_s),MATCH($W1500,IF($T1500&lt;=60,peso05_k,peso510_k),1)),""))</f>
        <v/>
      </c>
      <c r="AM1500">
        <f>IF($AJ1500="","",IF($AJ1500=0,LN($F1500/$AK1500)/$AL1500,((($F1500/$AK1500)^$AJ1500)-1)/($AJ1500*$AL1500)))</f>
        <v/>
      </c>
      <c r="AN1500">
        <f>IF($AJ1500="","",IF($AJ1500=0,$AK1500*EXP($AL1500*2),$AK1500*(1+$AJ1500*$AL1500*2)^(1/$AJ1500)))</f>
        <v/>
      </c>
      <c r="AO1500">
        <f>IF($AJ1500="","",IF($AJ1500=0,$AK1500*EXP($AL1500*3),$AK1500*(1+$AJ1500*$AL1500*3)^(1/$AJ1500)))</f>
        <v/>
      </c>
      <c r="AP1500">
        <f>IF($AJ1500="","",IF($AJ1500=0,$AK1500*EXP($AL1500*-2),$AK1500*(1+$AJ1500*$AL1500*-2)^(1/$AJ1500)))</f>
        <v/>
      </c>
      <c r="AQ1500">
        <f>IF($AJ1500="","",IF($AJ1500=0,$AK1500*EXP($AL1500*-3),$AK1500*(1+$AJ1500*$AL1500*-3)^(1/$AJ1500)))</f>
        <v/>
      </c>
      <c r="AR1500">
        <f>IF(OR($X1500="",$T1500&gt;60),"",IFERROR(INDEX(IF($T1500&lt;24,pcomp_l,palt_l),MATCH($X1500,IF($T1500&lt;24,pcomp_k,palt_k),1)),""))</f>
        <v/>
      </c>
      <c r="AS1500">
        <f>IF(OR($X1500="",$T1500&gt;60),"",IFERROR(INDEX(IF($T1500&lt;24,pcomp_m,palt_m),MATCH($X1500,IF($T1500&lt;24,pcomp_k,palt_k),1)),""))</f>
        <v/>
      </c>
      <c r="AT1500">
        <f>IF(OR($X1500="",$T1500&gt;60),"",IFERROR(INDEX(IF($T1500&lt;24,pcomp_s,palt_s),MATCH($X1500,IF($T1500&lt;24,pcomp_k,palt_k),1)),""))</f>
        <v/>
      </c>
      <c r="AU1500">
        <f>IF($AR1500="","",IF($AR1500=0,LN($F1500/$AS1500)/$AT1500,((($F1500/$AS1500)^$AR1500)-1)/($AR1500*$AT1500)))</f>
        <v/>
      </c>
      <c r="AV1500">
        <f>IF($AR1500="","",IF($AR1500=0,$AS1500*EXP($AT1500*2),$AS1500*(1+$AR1500*$AT1500*2)^(1/$AR1500)))</f>
        <v/>
      </c>
      <c r="AW1500">
        <f>IF($AR1500="","",IF($AR1500=0,$AS1500*EXP($AT1500*3),$AS1500*(1+$AR1500*$AT1500*3)^(1/$AR1500)))</f>
        <v/>
      </c>
      <c r="AX1500">
        <f>IF($AR1500="","",IF($AR1500=0,$AS1500*EXP($AT1500*-2),$AS1500*(1+$AR1500*$AT1500*-2)^(1/$AR1500)))</f>
        <v/>
      </c>
      <c r="AY1500">
        <f>IF($AR1500="","",IF($AR1500=0,$AS1500*EXP($AT1500*-3),$AS1500*(1+$AR1500*$AT1500*-3)^(1/$AR1500)))</f>
        <v/>
      </c>
      <c r="AZ1500">
        <f>IF(OR($A1500="",$A1500&lt;&gt;Ficha!$C$4),"",COUNTIF($A$2:$A1500,Ficha!$C$4))</f>
        <v/>
      </c>
    </row>
    <row r="1501">
      <c r="A1501" s="8">
        <f>IF(INDEX(Banco!$A:$A,ROW())="","",INDEX(Banco!$A:$A,ROW()))</f>
        <v/>
      </c>
      <c r="B1501" s="8">
        <f>IF(INDEX(Banco!$B:$B,ROW())="","",INDEX(Banco!$B:$B,ROW()))</f>
        <v/>
      </c>
      <c r="C1501" s="8">
        <f>IF(INDEX(Banco!$C:$C,ROW())="","",INDEX(Banco!$C:$C,ROW()))</f>
        <v/>
      </c>
      <c r="D1501" s="9">
        <f>IF(INDEX(Banco!$D:$D,ROW())="","",INDEX(Banco!$D:$D,ROW()))</f>
        <v/>
      </c>
      <c r="E1501" s="9">
        <f>IF(INDEX(Banco!$E:$E,ROW())="","",INDEX(Banco!$E:$E,ROW()))</f>
        <v/>
      </c>
      <c r="F1501" s="10">
        <f>IF(INDEX(Banco!$F:$F,ROW())="","",INDEX(Banco!$F:$F,ROW()))</f>
        <v/>
      </c>
      <c r="G1501" s="10">
        <f>IF(INDEX(Banco!$G:$G,ROW())="","",INDEX(Banco!$G:$G,ROW()))</f>
        <v/>
      </c>
      <c r="H1501" s="8">
        <f>IF(INDEX(Banco!$H:$H,ROW())="","",INDEX(Banco!$H:$H,ROW()))</f>
        <v/>
      </c>
      <c r="I1501">
        <f>IF($T1501="","",INT($T1501/12)&amp;"a "&amp;MOD($T1501,12)&amp;"m")</f>
        <v/>
      </c>
      <c r="J1501" s="11">
        <f>IF(OR($F1501="",$G1501=""),"",ROUND($F1501/($G1501/100)^2,2))</f>
        <v/>
      </c>
      <c r="K1501" s="12">
        <f>IF(OR($S1501="",$J1501="",$T1501="",$T1501&lt;0,$T1501&gt;228,$Y1501=""),"—",ROUND(IF(ABS($AB1501)&lt;=3,$AB1501,IF($AB1501&gt;3,3+($J1501-$AD1501)/($AD1501-$AC1501),-3+($J1501-$AF1501)/($AE1501-$AF1501))),2))</f>
        <v/>
      </c>
      <c r="L1501">
        <f>IF(OR($K1501="",$K1501="—"),"",IF($T1501&lt;=60,IF($K1501&lt;-3,"Magreza acentuada",IF($K1501&lt;-2,"Magreza",IF($K1501&lt;=1,"Eutrofia",IF($K1501&lt;=2,"Risco de sobrepeso",IF($K1501&lt;=3,"Sobrepeso","Obesidade"))))),IF($K1501&lt;-3,"Magreza acentuada",IF($K1501&lt;-2,"Magreza",IF($K1501&lt;=1,"Eutrofia",IF($K1501&lt;=2,"Sobrepeso",IF($K1501&lt;=3,"Obesidade","Obesidade grave")))))))</f>
        <v/>
      </c>
      <c r="M1501" s="12">
        <f>IF(OR($S1501="",$V1501="",$T1501="",$T1501&lt;0,$T1501&gt;228,$AG1501=""),"—",ROUND(IF($AG1501=0,LN($V1501/$AH1501)/$AI1501,((($V1501/$AH1501)^$AG1501)-1)/($AG1501*$AI1501)),2))</f>
        <v/>
      </c>
      <c r="N1501">
        <f>IF(OR($M1501="",$M1501="—"),"",IF($M1501&lt;-3,"Muito baixa",IF($M1501&lt;-2,"Baixa","Adequada")))</f>
        <v/>
      </c>
      <c r="O1501" s="12">
        <f>IF(OR($S1501="",$F1501="",$T1501="",$T1501&lt;0,$T1501&gt;120,$AJ1501=""),"—",ROUND(IF(ABS($AM1501)&lt;=3,$AM1501,IF($AM1501&gt;3,3+($F1501-$AO1501)/($AO1501-$AN1501),-3+($F1501-$AQ1501)/($AP1501-$AQ1501))),2))</f>
        <v/>
      </c>
      <c r="P1501">
        <f>IF(OR($O1501="",$O1501="—"),"",IF($O1501&lt;-3,"Muito baixo",IF($O1501&lt;-2,"Baixo",IF($O1501&lt;=2,"Adequado","Elevado"))))</f>
        <v/>
      </c>
      <c r="Q1501" s="12">
        <f>IF(OR($S1501="",$F1501="",$T1501="",$T1501&lt;0,$T1501&gt;60,$AR1501=""),"—",ROUND(IF(ABS($AU1501)&lt;=3,$AU1501,IF($AU1501&gt;3,3+($F1501-$AW1501)/($AW1501-$AV1501),-3+($F1501-$AY1501)/($AX1501-$AY1501))),2))</f>
        <v/>
      </c>
      <c r="R1501">
        <f>IF(OR($Q1501="",$Q1501="—"),"",IF($Q1501&lt;-3,"Magreza acentuada",IF($Q1501&lt;-2,"Magreza",IF($Q1501&lt;=1,"Eutrofia",IF($Q1501&lt;=2,"Risco de sobrepeso",IF($Q1501&lt;=3,"Sobrepeso","Obesidade"))))))</f>
        <v/>
      </c>
      <c r="S1501">
        <f>IF($C1501="","",IF(UPPER(LEFT($C1501,1))="M",1,IF(UPPER(LEFT($C1501,1))="F",2,"")))</f>
        <v/>
      </c>
      <c r="T1501">
        <f>IF(OR($D1501="",$E1501=""),"",DATEDIF($D1501,$E1501,"m"))</f>
        <v/>
      </c>
      <c r="U1501">
        <f>IF(OR($D1501="",$E1501=""),"",$E1501-$D1501)</f>
        <v/>
      </c>
      <c r="V1501">
        <f>IF(OR($G1501="",$T1501=""),"",IF($T1501&lt;24,IF(LEFT(LOWER($H1501),4)="em p",$G1501+0.7,$G1501),IF(LEFT(LOWER($H1501),4)="deit",$G1501-0.7,$G1501)))</f>
        <v/>
      </c>
      <c r="W1501">
        <f>IF(OR($S1501="",$T1501=""),"",$S1501*1000000+IF($T1501&lt;=60,$U1501,$T1501))</f>
        <v/>
      </c>
      <c r="X1501">
        <f>IF(OR($S1501="",$V1501="",$T1501&gt;60,$T1501=""),"",$S1501*1000000+ROUND($V1501*10,0))</f>
        <v/>
      </c>
      <c r="Y1501">
        <f>IF($W1501="","",IFERROR(INDEX(IF($T1501&lt;=60,imc05_l,imc519_l),MATCH($W1501,IF($T1501&lt;=60,imc05_k,imc519_k),1)),""))</f>
        <v/>
      </c>
      <c r="Z1501">
        <f>IF($W1501="","",IFERROR(INDEX(IF($T1501&lt;=60,imc05_m,imc519_m),MATCH($W1501,IF($T1501&lt;=60,imc05_k,imc519_k),1)),""))</f>
        <v/>
      </c>
      <c r="AA1501">
        <f>IF($W1501="","",IFERROR(INDEX(IF($T1501&lt;=60,imc05_s,imc519_s),MATCH($W1501,IF($T1501&lt;=60,imc05_k,imc519_k),1)),""))</f>
        <v/>
      </c>
      <c r="AB1501">
        <f>IF($Y1501="","",IF($Y1501=0,LN($J1501/$Z1501)/$AA1501,((($J1501/$Z1501)^$Y1501)-1)/($Y1501*$AA1501)))</f>
        <v/>
      </c>
      <c r="AC1501">
        <f>IF($Y1501="","",IF($Y1501=0,$Z1501*EXP($AA1501*2),$Z1501*(1+$Y1501*$AA1501*2)^(1/$Y1501)))</f>
        <v/>
      </c>
      <c r="AD1501">
        <f>IF($Y1501="","",IF($Y1501=0,$Z1501*EXP($AA1501*3),$Z1501*(1+$Y1501*$AA1501*3)^(1/$Y1501)))</f>
        <v/>
      </c>
      <c r="AE1501">
        <f>IF($Y1501="","",IF($Y1501=0,$Z1501*EXP($AA1501*-2),$Z1501*(1+$Y1501*$AA1501*-2)^(1/$Y1501)))</f>
        <v/>
      </c>
      <c r="AF1501">
        <f>IF($Y1501="","",IF($Y1501=0,$Z1501*EXP($AA1501*-3),$Z1501*(1+$Y1501*$AA1501*-3)^(1/$Y1501)))</f>
        <v/>
      </c>
      <c r="AG1501">
        <f>IF($W1501="","",IFERROR(INDEX(IF($T1501&lt;=60,est05_l,est519_l),MATCH($W1501,IF($T1501&lt;=60,est05_k,est519_k),1)),""))</f>
        <v/>
      </c>
      <c r="AH1501">
        <f>IF($W1501="","",IFERROR(INDEX(IF($T1501&lt;=60,est05_m,est519_m),MATCH($W1501,IF($T1501&lt;=60,est05_k,est519_k),1)),""))</f>
        <v/>
      </c>
      <c r="AI1501">
        <f>IF($W1501="","",IFERROR(INDEX(IF($T1501&lt;=60,est05_s,est519_s),MATCH($W1501,IF($T1501&lt;=60,est05_k,est519_k),1)),""))</f>
        <v/>
      </c>
      <c r="AJ1501">
        <f>IF($W1501="","",IFERROR(INDEX(IF($T1501&lt;=60,peso05_l,peso510_l),MATCH($W1501,IF($T1501&lt;=60,peso05_k,peso510_k),1)),""))</f>
        <v/>
      </c>
      <c r="AK1501">
        <f>IF($W1501="","",IFERROR(INDEX(IF($T1501&lt;=60,peso05_m,peso510_m),MATCH($W1501,IF($T1501&lt;=60,peso05_k,peso510_k),1)),""))</f>
        <v/>
      </c>
      <c r="AL1501">
        <f>IF($W1501="","",IFERROR(INDEX(IF($T1501&lt;=60,peso05_s,peso510_s),MATCH($W1501,IF($T1501&lt;=60,peso05_k,peso510_k),1)),""))</f>
        <v/>
      </c>
      <c r="AM1501">
        <f>IF($AJ1501="","",IF($AJ1501=0,LN($F1501/$AK1501)/$AL1501,((($F1501/$AK1501)^$AJ1501)-1)/($AJ1501*$AL1501)))</f>
        <v/>
      </c>
      <c r="AN1501">
        <f>IF($AJ1501="","",IF($AJ1501=0,$AK1501*EXP($AL1501*2),$AK1501*(1+$AJ1501*$AL1501*2)^(1/$AJ1501)))</f>
        <v/>
      </c>
      <c r="AO1501">
        <f>IF($AJ1501="","",IF($AJ1501=0,$AK1501*EXP($AL1501*3),$AK1501*(1+$AJ1501*$AL1501*3)^(1/$AJ1501)))</f>
        <v/>
      </c>
      <c r="AP1501">
        <f>IF($AJ1501="","",IF($AJ1501=0,$AK1501*EXP($AL1501*-2),$AK1501*(1+$AJ1501*$AL1501*-2)^(1/$AJ1501)))</f>
        <v/>
      </c>
      <c r="AQ1501">
        <f>IF($AJ1501="","",IF($AJ1501=0,$AK1501*EXP($AL1501*-3),$AK1501*(1+$AJ1501*$AL1501*-3)^(1/$AJ1501)))</f>
        <v/>
      </c>
      <c r="AR1501">
        <f>IF(OR($X1501="",$T1501&gt;60),"",IFERROR(INDEX(IF($T1501&lt;24,pcomp_l,palt_l),MATCH($X1501,IF($T1501&lt;24,pcomp_k,palt_k),1)),""))</f>
        <v/>
      </c>
      <c r="AS1501">
        <f>IF(OR($X1501="",$T1501&gt;60),"",IFERROR(INDEX(IF($T1501&lt;24,pcomp_m,palt_m),MATCH($X1501,IF($T1501&lt;24,pcomp_k,palt_k),1)),""))</f>
        <v/>
      </c>
      <c r="AT1501">
        <f>IF(OR($X1501="",$T1501&gt;60),"",IFERROR(INDEX(IF($T1501&lt;24,pcomp_s,palt_s),MATCH($X1501,IF($T1501&lt;24,pcomp_k,palt_k),1)),""))</f>
        <v/>
      </c>
      <c r="AU1501">
        <f>IF($AR1501="","",IF($AR1501=0,LN($F1501/$AS1501)/$AT1501,((($F1501/$AS1501)^$AR1501)-1)/($AR1501*$AT1501)))</f>
        <v/>
      </c>
      <c r="AV1501">
        <f>IF($AR1501="","",IF($AR1501=0,$AS1501*EXP($AT1501*2),$AS1501*(1+$AR1501*$AT1501*2)^(1/$AR1501)))</f>
        <v/>
      </c>
      <c r="AW1501">
        <f>IF($AR1501="","",IF($AR1501=0,$AS1501*EXP($AT1501*3),$AS1501*(1+$AR1501*$AT1501*3)^(1/$AR1501)))</f>
        <v/>
      </c>
      <c r="AX1501">
        <f>IF($AR1501="","",IF($AR1501=0,$AS1501*EXP($AT1501*-2),$AS1501*(1+$AR1501*$AT1501*-2)^(1/$AR1501)))</f>
        <v/>
      </c>
      <c r="AY1501">
        <f>IF($AR1501="","",IF($AR1501=0,$AS1501*EXP($AT1501*-3),$AS1501*(1+$AR1501*$AT1501*-3)^(1/$AR1501)))</f>
        <v/>
      </c>
      <c r="AZ1501">
        <f>IF(OR($A1501="",$A1501&lt;&gt;Ficha!$C$4),"",COUNTIF($A$2:$A1501,Ficha!$C$4))</f>
        <v/>
      </c>
    </row>
  </sheetData>
  <autoFilter ref="A1:R1501"/>
  <conditionalFormatting sqref="L2:L1501">
    <cfRule type="cellIs" priority="1" operator="equal" dxfId="0">
      <formula>"Eutrofia"</formula>
    </cfRule>
    <cfRule type="cellIs" priority="2" operator="equal" dxfId="0">
      <formula>"Adequada"</formula>
    </cfRule>
    <cfRule type="cellIs" priority="3" operator="equal" dxfId="0">
      <formula>"Adequado"</formula>
    </cfRule>
    <cfRule type="cellIs" priority="4" operator="equal" dxfId="1">
      <formula>"Magreza"</formula>
    </cfRule>
    <cfRule type="cellIs" priority="5" operator="equal" dxfId="1">
      <formula>"Baixa"</formula>
    </cfRule>
    <cfRule type="cellIs" priority="6" operator="equal" dxfId="1">
      <formula>"Baixo"</formula>
    </cfRule>
    <cfRule type="cellIs" priority="7" operator="equal" dxfId="1">
      <formula>"Risco de sobrepeso"</formula>
    </cfRule>
    <cfRule type="cellIs" priority="8" operator="equal" dxfId="1">
      <formula>"Sobrepeso"</formula>
    </cfRule>
    <cfRule type="cellIs" priority="9" operator="equal" dxfId="1">
      <formula>"Elevado"</formula>
    </cfRule>
    <cfRule type="cellIs" priority="10" operator="equal" dxfId="2">
      <formula>"Magreza acentuada"</formula>
    </cfRule>
    <cfRule type="cellIs" priority="11" operator="equal" dxfId="2">
      <formula>"Muito baixa"</formula>
    </cfRule>
    <cfRule type="cellIs" priority="12" operator="equal" dxfId="2">
      <formula>"Muito baixo"</formula>
    </cfRule>
    <cfRule type="cellIs" priority="13" operator="equal" dxfId="2">
      <formula>"Obesidade"</formula>
    </cfRule>
    <cfRule type="cellIs" priority="14" operator="equal" dxfId="2">
      <formula>"Obesidade grave"</formula>
    </cfRule>
  </conditionalFormatting>
  <conditionalFormatting sqref="N2:N1501">
    <cfRule type="cellIs" priority="15" operator="equal" dxfId="0">
      <formula>"Eutrofia"</formula>
    </cfRule>
    <cfRule type="cellIs" priority="16" operator="equal" dxfId="0">
      <formula>"Adequada"</formula>
    </cfRule>
    <cfRule type="cellIs" priority="17" operator="equal" dxfId="0">
      <formula>"Adequado"</formula>
    </cfRule>
    <cfRule type="cellIs" priority="18" operator="equal" dxfId="1">
      <formula>"Magreza"</formula>
    </cfRule>
    <cfRule type="cellIs" priority="19" operator="equal" dxfId="1">
      <formula>"Baixa"</formula>
    </cfRule>
    <cfRule type="cellIs" priority="20" operator="equal" dxfId="1">
      <formula>"Baixo"</formula>
    </cfRule>
    <cfRule type="cellIs" priority="21" operator="equal" dxfId="1">
      <formula>"Risco de sobrepeso"</formula>
    </cfRule>
    <cfRule type="cellIs" priority="22" operator="equal" dxfId="1">
      <formula>"Sobrepeso"</formula>
    </cfRule>
    <cfRule type="cellIs" priority="23" operator="equal" dxfId="1">
      <formula>"Elevado"</formula>
    </cfRule>
    <cfRule type="cellIs" priority="24" operator="equal" dxfId="2">
      <formula>"Magreza acentuada"</formula>
    </cfRule>
    <cfRule type="cellIs" priority="25" operator="equal" dxfId="2">
      <formula>"Muito baixa"</formula>
    </cfRule>
    <cfRule type="cellIs" priority="26" operator="equal" dxfId="2">
      <formula>"Muito baixo"</formula>
    </cfRule>
    <cfRule type="cellIs" priority="27" operator="equal" dxfId="2">
      <formula>"Obesidade"</formula>
    </cfRule>
    <cfRule type="cellIs" priority="28" operator="equal" dxfId="2">
      <formula>"Obesidade grave"</formula>
    </cfRule>
  </conditionalFormatting>
  <conditionalFormatting sqref="P2:P1501">
    <cfRule type="cellIs" priority="29" operator="equal" dxfId="0">
      <formula>"Eutrofia"</formula>
    </cfRule>
    <cfRule type="cellIs" priority="30" operator="equal" dxfId="0">
      <formula>"Adequada"</formula>
    </cfRule>
    <cfRule type="cellIs" priority="31" operator="equal" dxfId="0">
      <formula>"Adequado"</formula>
    </cfRule>
    <cfRule type="cellIs" priority="32" operator="equal" dxfId="1">
      <formula>"Magreza"</formula>
    </cfRule>
    <cfRule type="cellIs" priority="33" operator="equal" dxfId="1">
      <formula>"Baixa"</formula>
    </cfRule>
    <cfRule type="cellIs" priority="34" operator="equal" dxfId="1">
      <formula>"Baixo"</formula>
    </cfRule>
    <cfRule type="cellIs" priority="35" operator="equal" dxfId="1">
      <formula>"Risco de sobrepeso"</formula>
    </cfRule>
    <cfRule type="cellIs" priority="36" operator="equal" dxfId="1">
      <formula>"Sobrepeso"</formula>
    </cfRule>
    <cfRule type="cellIs" priority="37" operator="equal" dxfId="1">
      <formula>"Elevado"</formula>
    </cfRule>
    <cfRule type="cellIs" priority="38" operator="equal" dxfId="2">
      <formula>"Magreza acentuada"</formula>
    </cfRule>
    <cfRule type="cellIs" priority="39" operator="equal" dxfId="2">
      <formula>"Muito baixa"</formula>
    </cfRule>
    <cfRule type="cellIs" priority="40" operator="equal" dxfId="2">
      <formula>"Muito baixo"</formula>
    </cfRule>
    <cfRule type="cellIs" priority="41" operator="equal" dxfId="2">
      <formula>"Obesidade"</formula>
    </cfRule>
    <cfRule type="cellIs" priority="42" operator="equal" dxfId="2">
      <formula>"Obesidade grave"</formula>
    </cfRule>
  </conditionalFormatting>
  <conditionalFormatting sqref="R2:R1501">
    <cfRule type="cellIs" priority="43" operator="equal" dxfId="0">
      <formula>"Eutrofia"</formula>
    </cfRule>
    <cfRule type="cellIs" priority="44" operator="equal" dxfId="0">
      <formula>"Adequada"</formula>
    </cfRule>
    <cfRule type="cellIs" priority="45" operator="equal" dxfId="0">
      <formula>"Adequado"</formula>
    </cfRule>
    <cfRule type="cellIs" priority="46" operator="equal" dxfId="1">
      <formula>"Magreza"</formula>
    </cfRule>
    <cfRule type="cellIs" priority="47" operator="equal" dxfId="1">
      <formula>"Baixa"</formula>
    </cfRule>
    <cfRule type="cellIs" priority="48" operator="equal" dxfId="1">
      <formula>"Baixo"</formula>
    </cfRule>
    <cfRule type="cellIs" priority="49" operator="equal" dxfId="1">
      <formula>"Risco de sobrepeso"</formula>
    </cfRule>
    <cfRule type="cellIs" priority="50" operator="equal" dxfId="1">
      <formula>"Sobrepeso"</formula>
    </cfRule>
    <cfRule type="cellIs" priority="51" operator="equal" dxfId="1">
      <formula>"Elevado"</formula>
    </cfRule>
    <cfRule type="cellIs" priority="52" operator="equal" dxfId="2">
      <formula>"Magreza acentuada"</formula>
    </cfRule>
    <cfRule type="cellIs" priority="53" operator="equal" dxfId="2">
      <formula>"Muito baixa"</formula>
    </cfRule>
    <cfRule type="cellIs" priority="54" operator="equal" dxfId="2">
      <formula>"Muito baixo"</formula>
    </cfRule>
    <cfRule type="cellIs" priority="55" operator="equal" dxfId="2">
      <formula>"Obesidade"</formula>
    </cfRule>
    <cfRule type="cellIs" priority="56" operator="equal" dxfId="2">
      <formula>"Obesidade grave"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40"/>
  <sheetViews>
    <sheetView showGridLines="0" workbookViewId="0">
      <selection activeCell="A1" sqref="A1"/>
    </sheetView>
  </sheetViews>
  <sheetFormatPr baseColWidth="8" defaultRowHeight="15"/>
  <cols>
    <col width="6" customWidth="1" min="2" max="2"/>
    <col width="12" customWidth="1" min="3" max="3"/>
    <col width="9" customWidth="1" min="4" max="4"/>
    <col width="18" customWidth="1" min="5" max="5"/>
    <col width="9" customWidth="1" min="6" max="6"/>
    <col width="9" customWidth="1" min="7" max="7"/>
    <col width="10" customWidth="1" min="8" max="8"/>
  </cols>
  <sheetData>
    <row r="2">
      <c r="B2" s="13" t="inlineStr">
        <is>
          <t>Ficha de Acompanhamento Individual</t>
        </is>
      </c>
    </row>
    <row r="3">
      <c r="B3" s="6" t="inlineStr">
        <is>
          <t>Selecione o ID/Prontuário para ver o histórico e a curva de evolução:</t>
        </is>
      </c>
    </row>
    <row r="4">
      <c r="B4" s="14" t="inlineStr">
        <is>
          <t>ID:</t>
        </is>
      </c>
      <c r="C4" s="15" t="n"/>
    </row>
    <row r="5">
      <c r="B5" s="14" t="inlineStr">
        <is>
          <t>Nome:</t>
        </is>
      </c>
      <c r="C5">
        <f>IFERROR(INDEX(calc_Nome,MATCH(C4,calc_ID,0)),"")</f>
        <v/>
      </c>
    </row>
    <row r="6">
      <c r="B6" s="14" t="inlineStr">
        <is>
          <t>Última medição:</t>
        </is>
      </c>
      <c r="C6">
        <f>IFERROR(TEXT(INDEX(calc_Data,MATCH(MAX(calc_seq),calc_seq,0)),"dd/mm/yyyy"),"")</f>
        <v/>
      </c>
    </row>
    <row r="7">
      <c r="B7" s="14" t="inlineStr">
        <is>
          <t>Diagnóstico atual (IMC/idade):</t>
        </is>
      </c>
      <c r="C7" s="16">
        <f>IFERROR(INDEX(calc_dIMC,MATCH(MAX(calc_seq),calc_seq,0)),"")</f>
        <v/>
      </c>
    </row>
    <row r="10">
      <c r="B10" s="7" t="inlineStr">
        <is>
          <t>#</t>
        </is>
      </c>
      <c r="C10" s="7" t="inlineStr">
        <is>
          <t>Data</t>
        </is>
      </c>
      <c r="D10" s="7" t="inlineStr">
        <is>
          <t>Z IMC/id</t>
        </is>
      </c>
      <c r="E10" s="7" t="inlineStr">
        <is>
          <t>Diagnóstico IMC/id</t>
        </is>
      </c>
      <c r="F10" s="7" t="inlineStr">
        <is>
          <t>Z Est/id</t>
        </is>
      </c>
      <c r="G10" s="7" t="inlineStr">
        <is>
          <t>Z Peso/id</t>
        </is>
      </c>
      <c r="H10" s="7" t="inlineStr">
        <is>
          <t>Z Peso/est</t>
        </is>
      </c>
    </row>
    <row r="11">
      <c r="B11" s="17">
        <f>IF(ISNUMBER(MATCH(1,calc_seq,0)),1,"")</f>
        <v/>
      </c>
      <c r="C11" s="18">
        <f>IFERROR(INDEX(calc_Data,MATCH(1,calc_seq,0)),"")</f>
        <v/>
      </c>
      <c r="D11" s="19">
        <f>IFERROR(INDEX(calc_zIMC,MATCH(1,calc_seq,0)),"")</f>
        <v/>
      </c>
      <c r="E11" s="17">
        <f>IFERROR(INDEX(calc_dIMC,MATCH(1,calc_seq,0)),"")</f>
        <v/>
      </c>
      <c r="F11" s="19">
        <f>IFERROR(INDEX(calc_zEst,MATCH(1,calc_seq,0)),"")</f>
        <v/>
      </c>
      <c r="G11" s="19">
        <f>IFERROR(INDEX(calc_zPeso,MATCH(1,calc_seq,0)),"")</f>
        <v/>
      </c>
      <c r="H11" s="19">
        <f>IFERROR(INDEX(calc_zPE,MATCH(1,calc_seq,0)),"")</f>
        <v/>
      </c>
    </row>
    <row r="12">
      <c r="B12" s="17">
        <f>IF(ISNUMBER(MATCH(2,calc_seq,0)),2,"")</f>
        <v/>
      </c>
      <c r="C12" s="18">
        <f>IFERROR(INDEX(calc_Data,MATCH(2,calc_seq,0)),"")</f>
        <v/>
      </c>
      <c r="D12" s="19">
        <f>IFERROR(INDEX(calc_zIMC,MATCH(2,calc_seq,0)),"")</f>
        <v/>
      </c>
      <c r="E12" s="17">
        <f>IFERROR(INDEX(calc_dIMC,MATCH(2,calc_seq,0)),"")</f>
        <v/>
      </c>
      <c r="F12" s="19">
        <f>IFERROR(INDEX(calc_zEst,MATCH(2,calc_seq,0)),"")</f>
        <v/>
      </c>
      <c r="G12" s="19">
        <f>IFERROR(INDEX(calc_zPeso,MATCH(2,calc_seq,0)),"")</f>
        <v/>
      </c>
      <c r="H12" s="19">
        <f>IFERROR(INDEX(calc_zPE,MATCH(2,calc_seq,0)),"")</f>
        <v/>
      </c>
    </row>
    <row r="13">
      <c r="B13" s="17">
        <f>IF(ISNUMBER(MATCH(3,calc_seq,0)),3,"")</f>
        <v/>
      </c>
      <c r="C13" s="18">
        <f>IFERROR(INDEX(calc_Data,MATCH(3,calc_seq,0)),"")</f>
        <v/>
      </c>
      <c r="D13" s="19">
        <f>IFERROR(INDEX(calc_zIMC,MATCH(3,calc_seq,0)),"")</f>
        <v/>
      </c>
      <c r="E13" s="17">
        <f>IFERROR(INDEX(calc_dIMC,MATCH(3,calc_seq,0)),"")</f>
        <v/>
      </c>
      <c r="F13" s="19">
        <f>IFERROR(INDEX(calc_zEst,MATCH(3,calc_seq,0)),"")</f>
        <v/>
      </c>
      <c r="G13" s="19">
        <f>IFERROR(INDEX(calc_zPeso,MATCH(3,calc_seq,0)),"")</f>
        <v/>
      </c>
      <c r="H13" s="19">
        <f>IFERROR(INDEX(calc_zPE,MATCH(3,calc_seq,0)),"")</f>
        <v/>
      </c>
    </row>
    <row r="14">
      <c r="B14" s="17">
        <f>IF(ISNUMBER(MATCH(4,calc_seq,0)),4,"")</f>
        <v/>
      </c>
      <c r="C14" s="18">
        <f>IFERROR(INDEX(calc_Data,MATCH(4,calc_seq,0)),"")</f>
        <v/>
      </c>
      <c r="D14" s="19">
        <f>IFERROR(INDEX(calc_zIMC,MATCH(4,calc_seq,0)),"")</f>
        <v/>
      </c>
      <c r="E14" s="17">
        <f>IFERROR(INDEX(calc_dIMC,MATCH(4,calc_seq,0)),"")</f>
        <v/>
      </c>
      <c r="F14" s="19">
        <f>IFERROR(INDEX(calc_zEst,MATCH(4,calc_seq,0)),"")</f>
        <v/>
      </c>
      <c r="G14" s="19">
        <f>IFERROR(INDEX(calc_zPeso,MATCH(4,calc_seq,0)),"")</f>
        <v/>
      </c>
      <c r="H14" s="19">
        <f>IFERROR(INDEX(calc_zPE,MATCH(4,calc_seq,0)),"")</f>
        <v/>
      </c>
    </row>
    <row r="15">
      <c r="B15" s="17">
        <f>IF(ISNUMBER(MATCH(5,calc_seq,0)),5,"")</f>
        <v/>
      </c>
      <c r="C15" s="18">
        <f>IFERROR(INDEX(calc_Data,MATCH(5,calc_seq,0)),"")</f>
        <v/>
      </c>
      <c r="D15" s="19">
        <f>IFERROR(INDEX(calc_zIMC,MATCH(5,calc_seq,0)),"")</f>
        <v/>
      </c>
      <c r="E15" s="17">
        <f>IFERROR(INDEX(calc_dIMC,MATCH(5,calc_seq,0)),"")</f>
        <v/>
      </c>
      <c r="F15" s="19">
        <f>IFERROR(INDEX(calc_zEst,MATCH(5,calc_seq,0)),"")</f>
        <v/>
      </c>
      <c r="G15" s="19">
        <f>IFERROR(INDEX(calc_zPeso,MATCH(5,calc_seq,0)),"")</f>
        <v/>
      </c>
      <c r="H15" s="19">
        <f>IFERROR(INDEX(calc_zPE,MATCH(5,calc_seq,0)),"")</f>
        <v/>
      </c>
    </row>
    <row r="16">
      <c r="B16" s="17">
        <f>IF(ISNUMBER(MATCH(6,calc_seq,0)),6,"")</f>
        <v/>
      </c>
      <c r="C16" s="18">
        <f>IFERROR(INDEX(calc_Data,MATCH(6,calc_seq,0)),"")</f>
        <v/>
      </c>
      <c r="D16" s="19">
        <f>IFERROR(INDEX(calc_zIMC,MATCH(6,calc_seq,0)),"")</f>
        <v/>
      </c>
      <c r="E16" s="17">
        <f>IFERROR(INDEX(calc_dIMC,MATCH(6,calc_seq,0)),"")</f>
        <v/>
      </c>
      <c r="F16" s="19">
        <f>IFERROR(INDEX(calc_zEst,MATCH(6,calc_seq,0)),"")</f>
        <v/>
      </c>
      <c r="G16" s="19">
        <f>IFERROR(INDEX(calc_zPeso,MATCH(6,calc_seq,0)),"")</f>
        <v/>
      </c>
      <c r="H16" s="19">
        <f>IFERROR(INDEX(calc_zPE,MATCH(6,calc_seq,0)),"")</f>
        <v/>
      </c>
    </row>
    <row r="17">
      <c r="B17" s="17">
        <f>IF(ISNUMBER(MATCH(7,calc_seq,0)),7,"")</f>
        <v/>
      </c>
      <c r="C17" s="18">
        <f>IFERROR(INDEX(calc_Data,MATCH(7,calc_seq,0)),"")</f>
        <v/>
      </c>
      <c r="D17" s="19">
        <f>IFERROR(INDEX(calc_zIMC,MATCH(7,calc_seq,0)),"")</f>
        <v/>
      </c>
      <c r="E17" s="17">
        <f>IFERROR(INDEX(calc_dIMC,MATCH(7,calc_seq,0)),"")</f>
        <v/>
      </c>
      <c r="F17" s="19">
        <f>IFERROR(INDEX(calc_zEst,MATCH(7,calc_seq,0)),"")</f>
        <v/>
      </c>
      <c r="G17" s="19">
        <f>IFERROR(INDEX(calc_zPeso,MATCH(7,calc_seq,0)),"")</f>
        <v/>
      </c>
      <c r="H17" s="19">
        <f>IFERROR(INDEX(calc_zPE,MATCH(7,calc_seq,0)),"")</f>
        <v/>
      </c>
    </row>
    <row r="18">
      <c r="B18" s="17">
        <f>IF(ISNUMBER(MATCH(8,calc_seq,0)),8,"")</f>
        <v/>
      </c>
      <c r="C18" s="18">
        <f>IFERROR(INDEX(calc_Data,MATCH(8,calc_seq,0)),"")</f>
        <v/>
      </c>
      <c r="D18" s="19">
        <f>IFERROR(INDEX(calc_zIMC,MATCH(8,calc_seq,0)),"")</f>
        <v/>
      </c>
      <c r="E18" s="17">
        <f>IFERROR(INDEX(calc_dIMC,MATCH(8,calc_seq,0)),"")</f>
        <v/>
      </c>
      <c r="F18" s="19">
        <f>IFERROR(INDEX(calc_zEst,MATCH(8,calc_seq,0)),"")</f>
        <v/>
      </c>
      <c r="G18" s="19">
        <f>IFERROR(INDEX(calc_zPeso,MATCH(8,calc_seq,0)),"")</f>
        <v/>
      </c>
      <c r="H18" s="19">
        <f>IFERROR(INDEX(calc_zPE,MATCH(8,calc_seq,0)),"")</f>
        <v/>
      </c>
    </row>
    <row r="19">
      <c r="B19" s="17">
        <f>IF(ISNUMBER(MATCH(9,calc_seq,0)),9,"")</f>
        <v/>
      </c>
      <c r="C19" s="18">
        <f>IFERROR(INDEX(calc_Data,MATCH(9,calc_seq,0)),"")</f>
        <v/>
      </c>
      <c r="D19" s="19">
        <f>IFERROR(INDEX(calc_zIMC,MATCH(9,calc_seq,0)),"")</f>
        <v/>
      </c>
      <c r="E19" s="17">
        <f>IFERROR(INDEX(calc_dIMC,MATCH(9,calc_seq,0)),"")</f>
        <v/>
      </c>
      <c r="F19" s="19">
        <f>IFERROR(INDEX(calc_zEst,MATCH(9,calc_seq,0)),"")</f>
        <v/>
      </c>
      <c r="G19" s="19">
        <f>IFERROR(INDEX(calc_zPeso,MATCH(9,calc_seq,0)),"")</f>
        <v/>
      </c>
      <c r="H19" s="19">
        <f>IFERROR(INDEX(calc_zPE,MATCH(9,calc_seq,0)),"")</f>
        <v/>
      </c>
    </row>
    <row r="20">
      <c r="B20" s="17">
        <f>IF(ISNUMBER(MATCH(10,calc_seq,0)),10,"")</f>
        <v/>
      </c>
      <c r="C20" s="18">
        <f>IFERROR(INDEX(calc_Data,MATCH(10,calc_seq,0)),"")</f>
        <v/>
      </c>
      <c r="D20" s="19">
        <f>IFERROR(INDEX(calc_zIMC,MATCH(10,calc_seq,0)),"")</f>
        <v/>
      </c>
      <c r="E20" s="17">
        <f>IFERROR(INDEX(calc_dIMC,MATCH(10,calc_seq,0)),"")</f>
        <v/>
      </c>
      <c r="F20" s="19">
        <f>IFERROR(INDEX(calc_zEst,MATCH(10,calc_seq,0)),"")</f>
        <v/>
      </c>
      <c r="G20" s="19">
        <f>IFERROR(INDEX(calc_zPeso,MATCH(10,calc_seq,0)),"")</f>
        <v/>
      </c>
      <c r="H20" s="19">
        <f>IFERROR(INDEX(calc_zPE,MATCH(10,calc_seq,0)),"")</f>
        <v/>
      </c>
    </row>
    <row r="21">
      <c r="B21" s="17">
        <f>IF(ISNUMBER(MATCH(11,calc_seq,0)),11,"")</f>
        <v/>
      </c>
      <c r="C21" s="18">
        <f>IFERROR(INDEX(calc_Data,MATCH(11,calc_seq,0)),"")</f>
        <v/>
      </c>
      <c r="D21" s="19">
        <f>IFERROR(INDEX(calc_zIMC,MATCH(11,calc_seq,0)),"")</f>
        <v/>
      </c>
      <c r="E21" s="17">
        <f>IFERROR(INDEX(calc_dIMC,MATCH(11,calc_seq,0)),"")</f>
        <v/>
      </c>
      <c r="F21" s="19">
        <f>IFERROR(INDEX(calc_zEst,MATCH(11,calc_seq,0)),"")</f>
        <v/>
      </c>
      <c r="G21" s="19">
        <f>IFERROR(INDEX(calc_zPeso,MATCH(11,calc_seq,0)),"")</f>
        <v/>
      </c>
      <c r="H21" s="19">
        <f>IFERROR(INDEX(calc_zPE,MATCH(11,calc_seq,0)),"")</f>
        <v/>
      </c>
    </row>
    <row r="22">
      <c r="B22" s="17">
        <f>IF(ISNUMBER(MATCH(12,calc_seq,0)),12,"")</f>
        <v/>
      </c>
      <c r="C22" s="18">
        <f>IFERROR(INDEX(calc_Data,MATCH(12,calc_seq,0)),"")</f>
        <v/>
      </c>
      <c r="D22" s="19">
        <f>IFERROR(INDEX(calc_zIMC,MATCH(12,calc_seq,0)),"")</f>
        <v/>
      </c>
      <c r="E22" s="17">
        <f>IFERROR(INDEX(calc_dIMC,MATCH(12,calc_seq,0)),"")</f>
        <v/>
      </c>
      <c r="F22" s="19">
        <f>IFERROR(INDEX(calc_zEst,MATCH(12,calc_seq,0)),"")</f>
        <v/>
      </c>
      <c r="G22" s="19">
        <f>IFERROR(INDEX(calc_zPeso,MATCH(12,calc_seq,0)),"")</f>
        <v/>
      </c>
      <c r="H22" s="19">
        <f>IFERROR(INDEX(calc_zPE,MATCH(12,calc_seq,0)),"")</f>
        <v/>
      </c>
    </row>
    <row r="23">
      <c r="B23" s="17">
        <f>IF(ISNUMBER(MATCH(13,calc_seq,0)),13,"")</f>
        <v/>
      </c>
      <c r="C23" s="18">
        <f>IFERROR(INDEX(calc_Data,MATCH(13,calc_seq,0)),"")</f>
        <v/>
      </c>
      <c r="D23" s="19">
        <f>IFERROR(INDEX(calc_zIMC,MATCH(13,calc_seq,0)),"")</f>
        <v/>
      </c>
      <c r="E23" s="17">
        <f>IFERROR(INDEX(calc_dIMC,MATCH(13,calc_seq,0)),"")</f>
        <v/>
      </c>
      <c r="F23" s="19">
        <f>IFERROR(INDEX(calc_zEst,MATCH(13,calc_seq,0)),"")</f>
        <v/>
      </c>
      <c r="G23" s="19">
        <f>IFERROR(INDEX(calc_zPeso,MATCH(13,calc_seq,0)),"")</f>
        <v/>
      </c>
      <c r="H23" s="19">
        <f>IFERROR(INDEX(calc_zPE,MATCH(13,calc_seq,0)),"")</f>
        <v/>
      </c>
    </row>
    <row r="24">
      <c r="B24" s="17">
        <f>IF(ISNUMBER(MATCH(14,calc_seq,0)),14,"")</f>
        <v/>
      </c>
      <c r="C24" s="18">
        <f>IFERROR(INDEX(calc_Data,MATCH(14,calc_seq,0)),"")</f>
        <v/>
      </c>
      <c r="D24" s="19">
        <f>IFERROR(INDEX(calc_zIMC,MATCH(14,calc_seq,0)),"")</f>
        <v/>
      </c>
      <c r="E24" s="17">
        <f>IFERROR(INDEX(calc_dIMC,MATCH(14,calc_seq,0)),"")</f>
        <v/>
      </c>
      <c r="F24" s="19">
        <f>IFERROR(INDEX(calc_zEst,MATCH(14,calc_seq,0)),"")</f>
        <v/>
      </c>
      <c r="G24" s="19">
        <f>IFERROR(INDEX(calc_zPeso,MATCH(14,calc_seq,0)),"")</f>
        <v/>
      </c>
      <c r="H24" s="19">
        <f>IFERROR(INDEX(calc_zPE,MATCH(14,calc_seq,0)),"")</f>
        <v/>
      </c>
    </row>
    <row r="25">
      <c r="B25" s="17">
        <f>IF(ISNUMBER(MATCH(15,calc_seq,0)),15,"")</f>
        <v/>
      </c>
      <c r="C25" s="18">
        <f>IFERROR(INDEX(calc_Data,MATCH(15,calc_seq,0)),"")</f>
        <v/>
      </c>
      <c r="D25" s="19">
        <f>IFERROR(INDEX(calc_zIMC,MATCH(15,calc_seq,0)),"")</f>
        <v/>
      </c>
      <c r="E25" s="17">
        <f>IFERROR(INDEX(calc_dIMC,MATCH(15,calc_seq,0)),"")</f>
        <v/>
      </c>
      <c r="F25" s="19">
        <f>IFERROR(INDEX(calc_zEst,MATCH(15,calc_seq,0)),"")</f>
        <v/>
      </c>
      <c r="G25" s="19">
        <f>IFERROR(INDEX(calc_zPeso,MATCH(15,calc_seq,0)),"")</f>
        <v/>
      </c>
      <c r="H25" s="19">
        <f>IFERROR(INDEX(calc_zPE,MATCH(15,calc_seq,0)),"")</f>
        <v/>
      </c>
    </row>
    <row r="26">
      <c r="B26" s="17">
        <f>IF(ISNUMBER(MATCH(16,calc_seq,0)),16,"")</f>
        <v/>
      </c>
      <c r="C26" s="18">
        <f>IFERROR(INDEX(calc_Data,MATCH(16,calc_seq,0)),"")</f>
        <v/>
      </c>
      <c r="D26" s="19">
        <f>IFERROR(INDEX(calc_zIMC,MATCH(16,calc_seq,0)),"")</f>
        <v/>
      </c>
      <c r="E26" s="17">
        <f>IFERROR(INDEX(calc_dIMC,MATCH(16,calc_seq,0)),"")</f>
        <v/>
      </c>
      <c r="F26" s="19">
        <f>IFERROR(INDEX(calc_zEst,MATCH(16,calc_seq,0)),"")</f>
        <v/>
      </c>
      <c r="G26" s="19">
        <f>IFERROR(INDEX(calc_zPeso,MATCH(16,calc_seq,0)),"")</f>
        <v/>
      </c>
      <c r="H26" s="19">
        <f>IFERROR(INDEX(calc_zPE,MATCH(16,calc_seq,0)),"")</f>
        <v/>
      </c>
    </row>
    <row r="27">
      <c r="B27" s="17">
        <f>IF(ISNUMBER(MATCH(17,calc_seq,0)),17,"")</f>
        <v/>
      </c>
      <c r="C27" s="18">
        <f>IFERROR(INDEX(calc_Data,MATCH(17,calc_seq,0)),"")</f>
        <v/>
      </c>
      <c r="D27" s="19">
        <f>IFERROR(INDEX(calc_zIMC,MATCH(17,calc_seq,0)),"")</f>
        <v/>
      </c>
      <c r="E27" s="17">
        <f>IFERROR(INDEX(calc_dIMC,MATCH(17,calc_seq,0)),"")</f>
        <v/>
      </c>
      <c r="F27" s="19">
        <f>IFERROR(INDEX(calc_zEst,MATCH(17,calc_seq,0)),"")</f>
        <v/>
      </c>
      <c r="G27" s="19">
        <f>IFERROR(INDEX(calc_zPeso,MATCH(17,calc_seq,0)),"")</f>
        <v/>
      </c>
      <c r="H27" s="19">
        <f>IFERROR(INDEX(calc_zPE,MATCH(17,calc_seq,0)),"")</f>
        <v/>
      </c>
    </row>
    <row r="28">
      <c r="B28" s="17">
        <f>IF(ISNUMBER(MATCH(18,calc_seq,0)),18,"")</f>
        <v/>
      </c>
      <c r="C28" s="18">
        <f>IFERROR(INDEX(calc_Data,MATCH(18,calc_seq,0)),"")</f>
        <v/>
      </c>
      <c r="D28" s="19">
        <f>IFERROR(INDEX(calc_zIMC,MATCH(18,calc_seq,0)),"")</f>
        <v/>
      </c>
      <c r="E28" s="17">
        <f>IFERROR(INDEX(calc_dIMC,MATCH(18,calc_seq,0)),"")</f>
        <v/>
      </c>
      <c r="F28" s="19">
        <f>IFERROR(INDEX(calc_zEst,MATCH(18,calc_seq,0)),"")</f>
        <v/>
      </c>
      <c r="G28" s="19">
        <f>IFERROR(INDEX(calc_zPeso,MATCH(18,calc_seq,0)),"")</f>
        <v/>
      </c>
      <c r="H28" s="19">
        <f>IFERROR(INDEX(calc_zPE,MATCH(18,calc_seq,0)),"")</f>
        <v/>
      </c>
    </row>
    <row r="29">
      <c r="B29" s="17">
        <f>IF(ISNUMBER(MATCH(19,calc_seq,0)),19,"")</f>
        <v/>
      </c>
      <c r="C29" s="18">
        <f>IFERROR(INDEX(calc_Data,MATCH(19,calc_seq,0)),"")</f>
        <v/>
      </c>
      <c r="D29" s="19">
        <f>IFERROR(INDEX(calc_zIMC,MATCH(19,calc_seq,0)),"")</f>
        <v/>
      </c>
      <c r="E29" s="17">
        <f>IFERROR(INDEX(calc_dIMC,MATCH(19,calc_seq,0)),"")</f>
        <v/>
      </c>
      <c r="F29" s="19">
        <f>IFERROR(INDEX(calc_zEst,MATCH(19,calc_seq,0)),"")</f>
        <v/>
      </c>
      <c r="G29" s="19">
        <f>IFERROR(INDEX(calc_zPeso,MATCH(19,calc_seq,0)),"")</f>
        <v/>
      </c>
      <c r="H29" s="19">
        <f>IFERROR(INDEX(calc_zPE,MATCH(19,calc_seq,0)),"")</f>
        <v/>
      </c>
    </row>
    <row r="30">
      <c r="B30" s="17">
        <f>IF(ISNUMBER(MATCH(20,calc_seq,0)),20,"")</f>
        <v/>
      </c>
      <c r="C30" s="18">
        <f>IFERROR(INDEX(calc_Data,MATCH(20,calc_seq,0)),"")</f>
        <v/>
      </c>
      <c r="D30" s="19">
        <f>IFERROR(INDEX(calc_zIMC,MATCH(20,calc_seq,0)),"")</f>
        <v/>
      </c>
      <c r="E30" s="17">
        <f>IFERROR(INDEX(calc_dIMC,MATCH(20,calc_seq,0)),"")</f>
        <v/>
      </c>
      <c r="F30" s="19">
        <f>IFERROR(INDEX(calc_zEst,MATCH(20,calc_seq,0)),"")</f>
        <v/>
      </c>
      <c r="G30" s="19">
        <f>IFERROR(INDEX(calc_zPeso,MATCH(20,calc_seq,0)),"")</f>
        <v/>
      </c>
      <c r="H30" s="19">
        <f>IFERROR(INDEX(calc_zPE,MATCH(20,calc_seq,0)),"")</f>
        <v/>
      </c>
    </row>
    <row r="31">
      <c r="B31" s="17">
        <f>IF(ISNUMBER(MATCH(21,calc_seq,0)),21,"")</f>
        <v/>
      </c>
      <c r="C31" s="18">
        <f>IFERROR(INDEX(calc_Data,MATCH(21,calc_seq,0)),"")</f>
        <v/>
      </c>
      <c r="D31" s="19">
        <f>IFERROR(INDEX(calc_zIMC,MATCH(21,calc_seq,0)),"")</f>
        <v/>
      </c>
      <c r="E31" s="17">
        <f>IFERROR(INDEX(calc_dIMC,MATCH(21,calc_seq,0)),"")</f>
        <v/>
      </c>
      <c r="F31" s="19">
        <f>IFERROR(INDEX(calc_zEst,MATCH(21,calc_seq,0)),"")</f>
        <v/>
      </c>
      <c r="G31" s="19">
        <f>IFERROR(INDEX(calc_zPeso,MATCH(21,calc_seq,0)),"")</f>
        <v/>
      </c>
      <c r="H31" s="19">
        <f>IFERROR(INDEX(calc_zPE,MATCH(21,calc_seq,0)),"")</f>
        <v/>
      </c>
    </row>
    <row r="32">
      <c r="B32" s="17">
        <f>IF(ISNUMBER(MATCH(22,calc_seq,0)),22,"")</f>
        <v/>
      </c>
      <c r="C32" s="18">
        <f>IFERROR(INDEX(calc_Data,MATCH(22,calc_seq,0)),"")</f>
        <v/>
      </c>
      <c r="D32" s="19">
        <f>IFERROR(INDEX(calc_zIMC,MATCH(22,calc_seq,0)),"")</f>
        <v/>
      </c>
      <c r="E32" s="17">
        <f>IFERROR(INDEX(calc_dIMC,MATCH(22,calc_seq,0)),"")</f>
        <v/>
      </c>
      <c r="F32" s="19">
        <f>IFERROR(INDEX(calc_zEst,MATCH(22,calc_seq,0)),"")</f>
        <v/>
      </c>
      <c r="G32" s="19">
        <f>IFERROR(INDEX(calc_zPeso,MATCH(22,calc_seq,0)),"")</f>
        <v/>
      </c>
      <c r="H32" s="19">
        <f>IFERROR(INDEX(calc_zPE,MATCH(22,calc_seq,0)),"")</f>
        <v/>
      </c>
    </row>
    <row r="33">
      <c r="B33" s="17">
        <f>IF(ISNUMBER(MATCH(23,calc_seq,0)),23,"")</f>
        <v/>
      </c>
      <c r="C33" s="18">
        <f>IFERROR(INDEX(calc_Data,MATCH(23,calc_seq,0)),"")</f>
        <v/>
      </c>
      <c r="D33" s="19">
        <f>IFERROR(INDEX(calc_zIMC,MATCH(23,calc_seq,0)),"")</f>
        <v/>
      </c>
      <c r="E33" s="17">
        <f>IFERROR(INDEX(calc_dIMC,MATCH(23,calc_seq,0)),"")</f>
        <v/>
      </c>
      <c r="F33" s="19">
        <f>IFERROR(INDEX(calc_zEst,MATCH(23,calc_seq,0)),"")</f>
        <v/>
      </c>
      <c r="G33" s="19">
        <f>IFERROR(INDEX(calc_zPeso,MATCH(23,calc_seq,0)),"")</f>
        <v/>
      </c>
      <c r="H33" s="19">
        <f>IFERROR(INDEX(calc_zPE,MATCH(23,calc_seq,0)),"")</f>
        <v/>
      </c>
    </row>
    <row r="34">
      <c r="B34" s="17">
        <f>IF(ISNUMBER(MATCH(24,calc_seq,0)),24,"")</f>
        <v/>
      </c>
      <c r="C34" s="18">
        <f>IFERROR(INDEX(calc_Data,MATCH(24,calc_seq,0)),"")</f>
        <v/>
      </c>
      <c r="D34" s="19">
        <f>IFERROR(INDEX(calc_zIMC,MATCH(24,calc_seq,0)),"")</f>
        <v/>
      </c>
      <c r="E34" s="17">
        <f>IFERROR(INDEX(calc_dIMC,MATCH(24,calc_seq,0)),"")</f>
        <v/>
      </c>
      <c r="F34" s="19">
        <f>IFERROR(INDEX(calc_zEst,MATCH(24,calc_seq,0)),"")</f>
        <v/>
      </c>
      <c r="G34" s="19">
        <f>IFERROR(INDEX(calc_zPeso,MATCH(24,calc_seq,0)),"")</f>
        <v/>
      </c>
      <c r="H34" s="19">
        <f>IFERROR(INDEX(calc_zPE,MATCH(24,calc_seq,0)),"")</f>
        <v/>
      </c>
    </row>
    <row r="35">
      <c r="B35" s="17">
        <f>IF(ISNUMBER(MATCH(25,calc_seq,0)),25,"")</f>
        <v/>
      </c>
      <c r="C35" s="18">
        <f>IFERROR(INDEX(calc_Data,MATCH(25,calc_seq,0)),"")</f>
        <v/>
      </c>
      <c r="D35" s="19">
        <f>IFERROR(INDEX(calc_zIMC,MATCH(25,calc_seq,0)),"")</f>
        <v/>
      </c>
      <c r="E35" s="17">
        <f>IFERROR(INDEX(calc_dIMC,MATCH(25,calc_seq,0)),"")</f>
        <v/>
      </c>
      <c r="F35" s="19">
        <f>IFERROR(INDEX(calc_zEst,MATCH(25,calc_seq,0)),"")</f>
        <v/>
      </c>
      <c r="G35" s="19">
        <f>IFERROR(INDEX(calc_zPeso,MATCH(25,calc_seq,0)),"")</f>
        <v/>
      </c>
      <c r="H35" s="19">
        <f>IFERROR(INDEX(calc_zPE,MATCH(25,calc_seq,0)),"")</f>
        <v/>
      </c>
    </row>
    <row r="36">
      <c r="B36" s="17">
        <f>IF(ISNUMBER(MATCH(26,calc_seq,0)),26,"")</f>
        <v/>
      </c>
      <c r="C36" s="18">
        <f>IFERROR(INDEX(calc_Data,MATCH(26,calc_seq,0)),"")</f>
        <v/>
      </c>
      <c r="D36" s="19">
        <f>IFERROR(INDEX(calc_zIMC,MATCH(26,calc_seq,0)),"")</f>
        <v/>
      </c>
      <c r="E36" s="17">
        <f>IFERROR(INDEX(calc_dIMC,MATCH(26,calc_seq,0)),"")</f>
        <v/>
      </c>
      <c r="F36" s="19">
        <f>IFERROR(INDEX(calc_zEst,MATCH(26,calc_seq,0)),"")</f>
        <v/>
      </c>
      <c r="G36" s="19">
        <f>IFERROR(INDEX(calc_zPeso,MATCH(26,calc_seq,0)),"")</f>
        <v/>
      </c>
      <c r="H36" s="19">
        <f>IFERROR(INDEX(calc_zPE,MATCH(26,calc_seq,0)),"")</f>
        <v/>
      </c>
    </row>
    <row r="37">
      <c r="B37" s="17">
        <f>IF(ISNUMBER(MATCH(27,calc_seq,0)),27,"")</f>
        <v/>
      </c>
      <c r="C37" s="18">
        <f>IFERROR(INDEX(calc_Data,MATCH(27,calc_seq,0)),"")</f>
        <v/>
      </c>
      <c r="D37" s="19">
        <f>IFERROR(INDEX(calc_zIMC,MATCH(27,calc_seq,0)),"")</f>
        <v/>
      </c>
      <c r="E37" s="17">
        <f>IFERROR(INDEX(calc_dIMC,MATCH(27,calc_seq,0)),"")</f>
        <v/>
      </c>
      <c r="F37" s="19">
        <f>IFERROR(INDEX(calc_zEst,MATCH(27,calc_seq,0)),"")</f>
        <v/>
      </c>
      <c r="G37" s="19">
        <f>IFERROR(INDEX(calc_zPeso,MATCH(27,calc_seq,0)),"")</f>
        <v/>
      </c>
      <c r="H37" s="19">
        <f>IFERROR(INDEX(calc_zPE,MATCH(27,calc_seq,0)),"")</f>
        <v/>
      </c>
    </row>
    <row r="38">
      <c r="B38" s="17">
        <f>IF(ISNUMBER(MATCH(28,calc_seq,0)),28,"")</f>
        <v/>
      </c>
      <c r="C38" s="18">
        <f>IFERROR(INDEX(calc_Data,MATCH(28,calc_seq,0)),"")</f>
        <v/>
      </c>
      <c r="D38" s="19">
        <f>IFERROR(INDEX(calc_zIMC,MATCH(28,calc_seq,0)),"")</f>
        <v/>
      </c>
      <c r="E38" s="17">
        <f>IFERROR(INDEX(calc_dIMC,MATCH(28,calc_seq,0)),"")</f>
        <v/>
      </c>
      <c r="F38" s="19">
        <f>IFERROR(INDEX(calc_zEst,MATCH(28,calc_seq,0)),"")</f>
        <v/>
      </c>
      <c r="G38" s="19">
        <f>IFERROR(INDEX(calc_zPeso,MATCH(28,calc_seq,0)),"")</f>
        <v/>
      </c>
      <c r="H38" s="19">
        <f>IFERROR(INDEX(calc_zPE,MATCH(28,calc_seq,0)),"")</f>
        <v/>
      </c>
    </row>
    <row r="39">
      <c r="B39" s="17">
        <f>IF(ISNUMBER(MATCH(29,calc_seq,0)),29,"")</f>
        <v/>
      </c>
      <c r="C39" s="18">
        <f>IFERROR(INDEX(calc_Data,MATCH(29,calc_seq,0)),"")</f>
        <v/>
      </c>
      <c r="D39" s="19">
        <f>IFERROR(INDEX(calc_zIMC,MATCH(29,calc_seq,0)),"")</f>
        <v/>
      </c>
      <c r="E39" s="17">
        <f>IFERROR(INDEX(calc_dIMC,MATCH(29,calc_seq,0)),"")</f>
        <v/>
      </c>
      <c r="F39" s="19">
        <f>IFERROR(INDEX(calc_zEst,MATCH(29,calc_seq,0)),"")</f>
        <v/>
      </c>
      <c r="G39" s="19">
        <f>IFERROR(INDEX(calc_zPeso,MATCH(29,calc_seq,0)),"")</f>
        <v/>
      </c>
      <c r="H39" s="19">
        <f>IFERROR(INDEX(calc_zPE,MATCH(29,calc_seq,0)),"")</f>
        <v/>
      </c>
    </row>
    <row r="40">
      <c r="B40" s="17">
        <f>IF(ISNUMBER(MATCH(30,calc_seq,0)),30,"")</f>
        <v/>
      </c>
      <c r="C40" s="18">
        <f>IFERROR(INDEX(calc_Data,MATCH(30,calc_seq,0)),"")</f>
        <v/>
      </c>
      <c r="D40" s="19">
        <f>IFERROR(INDEX(calc_zIMC,MATCH(30,calc_seq,0)),"")</f>
        <v/>
      </c>
      <c r="E40" s="17">
        <f>IFERROR(INDEX(calc_dIMC,MATCH(30,calc_seq,0)),"")</f>
        <v/>
      </c>
      <c r="F40" s="19">
        <f>IFERROR(INDEX(calc_zEst,MATCH(30,calc_seq,0)),"")</f>
        <v/>
      </c>
      <c r="G40" s="19">
        <f>IFERROR(INDEX(calc_zPeso,MATCH(30,calc_seq,0)),"")</f>
        <v/>
      </c>
      <c r="H40" s="19">
        <f>IFERROR(INDEX(calc_zPE,MATCH(30,calc_seq,0)),"")</f>
        <v/>
      </c>
    </row>
  </sheetData>
  <mergeCells count="2">
    <mergeCell ref="C7:E7"/>
    <mergeCell ref="B3:H3"/>
  </mergeCells>
  <conditionalFormatting sqref="C7">
    <cfRule type="cellIs" priority="1" operator="equal" dxfId="3">
      <formula>"Eutrofia"</formula>
    </cfRule>
    <cfRule type="cellIs" priority="2" operator="equal" dxfId="3">
      <formula>"Adequada"</formula>
    </cfRule>
    <cfRule type="cellIs" priority="3" operator="equal" dxfId="3">
      <formula>"Adequado"</formula>
    </cfRule>
    <cfRule type="cellIs" priority="4" operator="equal" dxfId="4">
      <formula>"Magreza"</formula>
    </cfRule>
    <cfRule type="cellIs" priority="5" operator="equal" dxfId="4">
      <formula>"Baixa"</formula>
    </cfRule>
    <cfRule type="cellIs" priority="6" operator="equal" dxfId="4">
      <formula>"Baixo"</formula>
    </cfRule>
    <cfRule type="cellIs" priority="7" operator="equal" dxfId="4">
      <formula>"Risco de sobrepeso"</formula>
    </cfRule>
    <cfRule type="cellIs" priority="8" operator="equal" dxfId="4">
      <formula>"Sobrepeso"</formula>
    </cfRule>
    <cfRule type="cellIs" priority="9" operator="equal" dxfId="4">
      <formula>"Elevado"</formula>
    </cfRule>
    <cfRule type="cellIs" priority="10" operator="equal" dxfId="5">
      <formula>"Magreza acentuada"</formula>
    </cfRule>
    <cfRule type="cellIs" priority="11" operator="equal" dxfId="5">
      <formula>"Muito baixa"</formula>
    </cfRule>
    <cfRule type="cellIs" priority="12" operator="equal" dxfId="5">
      <formula>"Muito baixo"</formula>
    </cfRule>
    <cfRule type="cellIs" priority="13" operator="equal" dxfId="5">
      <formula>"Obesidade"</formula>
    </cfRule>
    <cfRule type="cellIs" priority="14" operator="equal" dxfId="5">
      <formula>"Obesidade grave"</formula>
    </cfRule>
  </conditionalFormatting>
  <dataValidations count="1">
    <dataValidation sqref="C4" showDropDown="0" showInputMessage="0" showErrorMessage="0" allowBlank="1" type="list">
      <formula1>calc_ID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O9"/>
  <sheetViews>
    <sheetView showGridLines="0" workbookViewId="0">
      <selection activeCell="A1" sqref="A1"/>
    </sheetView>
  </sheetViews>
  <sheetFormatPr baseColWidth="8" defaultRowHeight="15"/>
  <cols>
    <col width="13" customWidth="1" min="2" max="2"/>
    <col width="14" customWidth="1" min="3" max="3"/>
    <col width="13" customWidth="1" min="4" max="4"/>
    <col width="13" customWidth="1" min="5" max="5"/>
    <col width="16" customWidth="1" min="6" max="6"/>
    <col width="13" customWidth="1" min="7" max="7"/>
    <col width="20" customWidth="1" min="8" max="8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</cols>
  <sheetData>
    <row r="2">
      <c r="B2" s="13" t="inlineStr">
        <is>
          <t>Consulta Rápida (1 criança)</t>
        </is>
      </c>
    </row>
    <row r="3">
      <c r="F3" s="20" t="inlineStr">
        <is>
          <t>Resultado</t>
        </is>
      </c>
      <c r="G3" s="6" t="inlineStr">
        <is>
          <t>escore-z</t>
        </is>
      </c>
      <c r="H3" s="6" t="inlineStr">
        <is>
          <t>diagnostico</t>
        </is>
      </c>
    </row>
    <row r="4">
      <c r="B4" s="14" t="inlineStr">
        <is>
          <t>Sexo</t>
        </is>
      </c>
      <c r="C4" s="15" t="n"/>
      <c r="D4" s="6" t="inlineStr">
        <is>
          <t>Masculino/Feminino</t>
        </is>
      </c>
      <c r="F4" s="21" t="inlineStr">
        <is>
          <t>IMC</t>
        </is>
      </c>
      <c r="G4" s="12">
        <f>$AF$4</f>
        <v/>
      </c>
      <c r="Z4">
        <f>IF($C$4="","",IF(UPPER(LEFT($C$4,1))="M",1,IF(UPPER(LEFT($C$4,1))="F",2,"")))</f>
        <v/>
      </c>
      <c r="AA4">
        <f>IF(OR($C$5="",$C$6=""),"",DATEDIF($C$5,$C$6,"m"))</f>
        <v/>
      </c>
      <c r="AB4">
        <f>IF(OR($C$5="",$C$6=""),"",$C$6-$C$5)</f>
        <v/>
      </c>
      <c r="AC4">
        <f>IF(OR($C$8="",$AA$4=""),"",IF($AA$4&lt;24,IF(LEFT(LOWER($C$9),4)="em p",$C$8+0.7,$C$8),IF(LEFT(LOWER($C$9),4)="deit",$C$8-0.7,$C$8)))</f>
        <v/>
      </c>
      <c r="AD4">
        <f>IF(OR($Z$4="",$AA$4=""),"",$Z$4*1000000+IF($AA$4&lt;=60,$AB$4,$AA$4))</f>
        <v/>
      </c>
      <c r="AE4">
        <f>IF(OR($Z$4="",$AC$4="",$AA$4&gt;60,$AA$4=""),"",$Z$4*1000000+ROUND($AC$4*10,0))</f>
        <v/>
      </c>
      <c r="AF4">
        <f>IF(OR($C$7="",$C$8=""),"",ROUND($C$7/($C$8/100)^2,2))</f>
        <v/>
      </c>
      <c r="AG4">
        <f>IF($AD$4="","",IFERROR(INDEX(IF($AA$4&lt;=60,imc05_l,imc519_l),MATCH($AD$4,IF($AA$4&lt;=60,imc05_k,imc519_k),1)),""))</f>
        <v/>
      </c>
      <c r="AH4">
        <f>IF($AD$4="","",IFERROR(INDEX(IF($AA$4&lt;=60,imc05_m,imc519_m),MATCH($AD$4,IF($AA$4&lt;=60,imc05_k,imc519_k),1)),""))</f>
        <v/>
      </c>
      <c r="AI4">
        <f>IF($AD$4="","",IFERROR(INDEX(IF($AA$4&lt;=60,imc05_s,imc519_s),MATCH($AD$4,IF($AA$4&lt;=60,imc05_k,imc519_k),1)),""))</f>
        <v/>
      </c>
      <c r="AJ4">
        <f>IF($AG$4="","",IF($AG$4=0,LN($AF$4/$AH$4)/$AI$4,((($AF$4/$AH$4)^$AG$4)-1)/($AG$4*$AI$4)))</f>
        <v/>
      </c>
      <c r="AK4">
        <f>IF($AG$4="","",IF($AG$4=0,$AH$4*EXP($AI$4*2),$AH$4*(1+$AG$4*$AI$4*2)^(1/$AG$4)))</f>
        <v/>
      </c>
      <c r="AL4">
        <f>IF($AG$4="","",IF($AG$4=0,$AH$4*EXP($AI$4*3),$AH$4*(1+$AG$4*$AI$4*3)^(1/$AG$4)))</f>
        <v/>
      </c>
      <c r="AM4">
        <f>IF($AG$4="","",IF($AG$4=0,$AH$4*EXP($AI$4*-2),$AH$4*(1+$AG$4*$AI$4*-2)^(1/$AG$4)))</f>
        <v/>
      </c>
      <c r="AN4">
        <f>IF($AG$4="","",IF($AG$4=0,$AH$4*EXP($AI$4*-3),$AH$4*(1+$AG$4*$AI$4*-3)^(1/$AG$4)))</f>
        <v/>
      </c>
      <c r="AO4">
        <f>IF($AD$4="","",IFERROR(INDEX(IF($AA$4&lt;=60,est05_l,est519_l),MATCH($AD$4,IF($AA$4&lt;=60,est05_k,est519_k),1)),""))</f>
        <v/>
      </c>
      <c r="AP4">
        <f>IF($AD$4="","",IFERROR(INDEX(IF($AA$4&lt;=60,est05_m,est519_m),MATCH($AD$4,IF($AA$4&lt;=60,est05_k,est519_k),1)),""))</f>
        <v/>
      </c>
      <c r="AQ4">
        <f>IF($AD$4="","",IFERROR(INDEX(IF($AA$4&lt;=60,est05_s,est519_s),MATCH($AD$4,IF($AA$4&lt;=60,est05_k,est519_k),1)),""))</f>
        <v/>
      </c>
      <c r="AR4">
        <f>IF($AD$4="","",IFERROR(INDEX(IF($AA$4&lt;=60,peso05_l,peso510_l),MATCH($AD$4,IF($AA$4&lt;=60,peso05_k,peso510_k),1)),""))</f>
        <v/>
      </c>
      <c r="AS4">
        <f>IF($AD$4="","",IFERROR(INDEX(IF($AA$4&lt;=60,peso05_m,peso510_m),MATCH($AD$4,IF($AA$4&lt;=60,peso05_k,peso510_k),1)),""))</f>
        <v/>
      </c>
      <c r="AT4">
        <f>IF($AD$4="","",IFERROR(INDEX(IF($AA$4&lt;=60,peso05_s,peso510_s),MATCH($AD$4,IF($AA$4&lt;=60,peso05_k,peso510_k),1)),""))</f>
        <v/>
      </c>
      <c r="AU4">
        <f>IF($AR$4="","",IF($AR$4=0,LN($C$7/$AS$4)/$AT$4,((($C$7/$AS$4)^$AR$4)-1)/($AR$4*$AT$4)))</f>
        <v/>
      </c>
      <c r="AV4">
        <f>IF($AR$4="","",IF($AR$4=0,$AS$4*EXP($AT$4*2),$AS$4*(1+$AR$4*$AT$4*2)^(1/$AR$4)))</f>
        <v/>
      </c>
      <c r="AW4">
        <f>IF($AR$4="","",IF($AR$4=0,$AS$4*EXP($AT$4*3),$AS$4*(1+$AR$4*$AT$4*3)^(1/$AR$4)))</f>
        <v/>
      </c>
      <c r="AX4">
        <f>IF($AR$4="","",IF($AR$4=0,$AS$4*EXP($AT$4*-2),$AS$4*(1+$AR$4*$AT$4*-2)^(1/$AR$4)))</f>
        <v/>
      </c>
      <c r="AY4">
        <f>IF($AR$4="","",IF($AR$4=0,$AS$4*EXP($AT$4*-3),$AS$4*(1+$AR$4*$AT$4*-3)^(1/$AR$4)))</f>
        <v/>
      </c>
      <c r="AZ4">
        <f>IF(OR($AE$4="",$AA$4&gt;60),"",IFERROR(INDEX(IF($AA$4&lt;24,pcomp_l,palt_l),MATCH($AE$4,IF($AA$4&lt;24,pcomp_k,palt_k),1)),""))</f>
        <v/>
      </c>
      <c r="BA4">
        <f>IF(OR($AE$4="",$AA$4&gt;60),"",IFERROR(INDEX(IF($AA$4&lt;24,pcomp_m,palt_m),MATCH($AE$4,IF($AA$4&lt;24,pcomp_k,palt_k),1)),""))</f>
        <v/>
      </c>
      <c r="BB4">
        <f>IF(OR($AE$4="",$AA$4&gt;60),"",IFERROR(INDEX(IF($AA$4&lt;24,pcomp_s,palt_s),MATCH($AE$4,IF($AA$4&lt;24,pcomp_k,palt_k),1)),""))</f>
        <v/>
      </c>
      <c r="BC4">
        <f>IF($AZ$4="","",IF($AZ$4=0,LN($C$7/$BA$4)/$BB$4,((($C$7/$BA$4)^$AZ$4)-1)/($AZ$4*$BB$4)))</f>
        <v/>
      </c>
      <c r="BD4">
        <f>IF($AZ$4="","",IF($AZ$4=0,$BA$4*EXP($BB$4*2),$BA$4*(1+$AZ$4*$BB$4*2)^(1/$AZ$4)))</f>
        <v/>
      </c>
      <c r="BE4">
        <f>IF($AZ$4="","",IF($AZ$4=0,$BA$4*EXP($BB$4*3),$BA$4*(1+$AZ$4*$BB$4*3)^(1/$AZ$4)))</f>
        <v/>
      </c>
      <c r="BF4">
        <f>IF($AZ$4="","",IF($AZ$4=0,$BA$4*EXP($BB$4*-2),$BA$4*(1+$AZ$4*$BB$4*-2)^(1/$AZ$4)))</f>
        <v/>
      </c>
      <c r="BG4">
        <f>IF($AZ$4="","",IF($AZ$4=0,$BA$4*EXP($BB$4*-3),$BA$4*(1+$AZ$4*$BB$4*-3)^(1/$AZ$4)))</f>
        <v/>
      </c>
      <c r="BH4">
        <f>IF(OR($Z$4="",$AF$4="",$AA$4="",$AA$4&lt;0,$AA$4&gt;228,$AG$4=""),"—",ROUND(IF(ABS($AJ$4)&lt;=3,$AJ$4,IF($AJ$4&gt;3,3+($AF$4-$AL$4)/($AL$4-$AK$4),-3+($AF$4-$AN$4)/($AM$4-$AN$4))),2))</f>
        <v/>
      </c>
      <c r="BI4">
        <f>IF(OR($Z$4="",$AC$4="",$AA$4="",$AA$4&lt;0,$AA$4&gt;228,$AO$4=""),"—",ROUND(IF($AO$4=0,LN($AC$4/$AP$4)/$AQ$4,((($AC$4/$AP$4)^$AO$4)-1)/($AO$4*$AQ$4)),2))</f>
        <v/>
      </c>
      <c r="BJ4">
        <f>IF(OR($Z$4="",$C$7="",$AA$4="",$AA$4&lt;0,$AA$4&gt;120,$AR$4=""),"—",ROUND(IF(ABS($AU$4)&lt;=3,$AU$4,IF($AU$4&gt;3,3+($C$7-$AW$4)/($AW$4-$AV$4),-3+($C$7-$AY$4)/($AX$4-$AY$4))),2))</f>
        <v/>
      </c>
      <c r="BK4">
        <f>IF(OR($Z$4="",$C$7="",$AA$4="",$AA$4&lt;0,$AA$4&gt;60,$AZ$4=""),"—",ROUND(IF(ABS($BC$4)&lt;=3,$BC$4,IF($BC$4&gt;3,3+($C$7-$BE$4)/($BE$4-$BD$4),-3+($C$7-$BG$4)/($BF$4-$BG$4))),2))</f>
        <v/>
      </c>
      <c r="BL4">
        <f>IF(OR($BH$4="",$BH$4="—"),"",IF($AA$4&lt;=60,IF($BH$4&lt;-3,"Magreza acentuada",IF($BH$4&lt;-2,"Magreza",IF($BH$4&lt;=1,"Eutrofia",IF($BH$4&lt;=2,"Risco de sobrepeso",IF($BH$4&lt;=3,"Sobrepeso","Obesidade"))))),IF($BH$4&lt;-3,"Magreza acentuada",IF($BH$4&lt;-2,"Magreza",IF($BH$4&lt;=1,"Eutrofia",IF($BH$4&lt;=2,"Sobrepeso",IF($BH$4&lt;=3,"Obesidade","Obesidade grave")))))))</f>
        <v/>
      </c>
      <c r="BM4">
        <f>IF(OR($BI$4="",$BI$4="—"),"",IF($BI$4&lt;-3,"Muito baixa",IF($BI$4&lt;-2,"Baixa","Adequada")))</f>
        <v/>
      </c>
      <c r="BN4">
        <f>IF(OR($BJ$4="",$BJ$4="—"),"",IF($BJ$4&lt;-3,"Muito baixo",IF($BJ$4&lt;-2,"Baixo",IF($BJ$4&lt;=2,"Adequado","Elevado"))))</f>
        <v/>
      </c>
      <c r="BO4">
        <f>IF(OR($BK$4="",$BK$4="—"),"",IF($BK$4&lt;-3,"Magreza acentuada",IF($BK$4&lt;-2,"Magreza",IF($BK$4&lt;=1,"Eutrofia",IF($BK$4&lt;=2,"Risco de sobrepeso",IF($BK$4&lt;=3,"Sobrepeso","Obesidade"))))))</f>
        <v/>
      </c>
    </row>
    <row r="5">
      <c r="B5" s="14" t="inlineStr">
        <is>
          <t>Data de nascimento</t>
        </is>
      </c>
      <c r="C5" s="22" t="n"/>
      <c r="D5" s="6" t="inlineStr">
        <is>
          <t>dd/mm/aaaa</t>
        </is>
      </c>
      <c r="F5" s="23" t="inlineStr">
        <is>
          <t>IMC/idade</t>
        </is>
      </c>
      <c r="G5" s="12">
        <f>$BH$4</f>
        <v/>
      </c>
      <c r="H5" s="24">
        <f>$BL$4</f>
        <v/>
      </c>
    </row>
    <row r="6">
      <c r="B6" s="14" t="inlineStr">
        <is>
          <t>Data da medida</t>
        </is>
      </c>
      <c r="C6" s="22" t="n"/>
      <c r="D6" s="6" t="inlineStr">
        <is>
          <t>dd/mm/aaaa</t>
        </is>
      </c>
      <c r="F6" s="21" t="inlineStr">
        <is>
          <t>Estatura/idade</t>
        </is>
      </c>
      <c r="G6" s="12">
        <f>$BI$4</f>
        <v/>
      </c>
      <c r="H6">
        <f>$BM$4</f>
        <v/>
      </c>
    </row>
    <row r="7">
      <c r="B7" s="14" t="inlineStr">
        <is>
          <t>Peso (kg)</t>
        </is>
      </c>
      <c r="C7" s="15" t="n"/>
      <c r="D7" s="6" t="inlineStr"/>
      <c r="F7" s="21" t="inlineStr">
        <is>
          <t>Peso/idade</t>
        </is>
      </c>
      <c r="G7" s="12">
        <f>$BJ$4</f>
        <v/>
      </c>
      <c r="H7">
        <f>$BN$4</f>
        <v/>
      </c>
    </row>
    <row r="8">
      <c r="B8" s="14" t="inlineStr">
        <is>
          <t>Altura (cm)</t>
        </is>
      </c>
      <c r="C8" s="15" t="n"/>
      <c r="D8" s="6" t="inlineStr"/>
      <c r="F8" s="21" t="inlineStr">
        <is>
          <t>Peso/estatura</t>
        </is>
      </c>
      <c r="G8" s="12">
        <f>$BK$4</f>
        <v/>
      </c>
      <c r="H8">
        <f>$BO$4</f>
        <v/>
      </c>
    </row>
    <row r="9">
      <c r="B9" s="14" t="inlineStr">
        <is>
          <t>Medida</t>
        </is>
      </c>
      <c r="C9" s="22" t="n"/>
      <c r="D9" s="6" t="inlineStr">
        <is>
          <t>Deitado/Em pé (opcional)</t>
        </is>
      </c>
    </row>
  </sheetData>
  <conditionalFormatting sqref="H4">
    <cfRule type="cellIs" priority="1" operator="equal" dxfId="0">
      <formula>"Eutrofia"</formula>
    </cfRule>
    <cfRule type="cellIs" priority="2" operator="equal" dxfId="0">
      <formula>"Adequada"</formula>
    </cfRule>
    <cfRule type="cellIs" priority="3" operator="equal" dxfId="0">
      <formula>"Adequado"</formula>
    </cfRule>
    <cfRule type="cellIs" priority="4" operator="equal" dxfId="1">
      <formula>"Magreza"</formula>
    </cfRule>
    <cfRule type="cellIs" priority="5" operator="equal" dxfId="1">
      <formula>"Baixa"</formula>
    </cfRule>
    <cfRule type="cellIs" priority="6" operator="equal" dxfId="1">
      <formula>"Baixo"</formula>
    </cfRule>
    <cfRule type="cellIs" priority="7" operator="equal" dxfId="1">
      <formula>"Risco de sobrepeso"</formula>
    </cfRule>
    <cfRule type="cellIs" priority="8" operator="equal" dxfId="1">
      <formula>"Sobrepeso"</formula>
    </cfRule>
    <cfRule type="cellIs" priority="9" operator="equal" dxfId="1">
      <formula>"Elevado"</formula>
    </cfRule>
    <cfRule type="cellIs" priority="10" operator="equal" dxfId="2">
      <formula>"Magreza acentuada"</formula>
    </cfRule>
    <cfRule type="cellIs" priority="11" operator="equal" dxfId="2">
      <formula>"Muito baixa"</formula>
    </cfRule>
    <cfRule type="cellIs" priority="12" operator="equal" dxfId="2">
      <formula>"Muito baixo"</formula>
    </cfRule>
    <cfRule type="cellIs" priority="13" operator="equal" dxfId="2">
      <formula>"Obesidade"</formula>
    </cfRule>
    <cfRule type="cellIs" priority="14" operator="equal" dxfId="2">
      <formula>"Obesidade grave"</formula>
    </cfRule>
  </conditionalFormatting>
  <conditionalFormatting sqref="H5">
    <cfRule type="cellIs" priority="15" operator="equal" dxfId="0">
      <formula>"Eutrofia"</formula>
    </cfRule>
    <cfRule type="cellIs" priority="16" operator="equal" dxfId="0">
      <formula>"Adequada"</formula>
    </cfRule>
    <cfRule type="cellIs" priority="17" operator="equal" dxfId="0">
      <formula>"Adequado"</formula>
    </cfRule>
    <cfRule type="cellIs" priority="18" operator="equal" dxfId="1">
      <formula>"Magreza"</formula>
    </cfRule>
    <cfRule type="cellIs" priority="19" operator="equal" dxfId="1">
      <formula>"Baixa"</formula>
    </cfRule>
    <cfRule type="cellIs" priority="20" operator="equal" dxfId="1">
      <formula>"Baixo"</formula>
    </cfRule>
    <cfRule type="cellIs" priority="21" operator="equal" dxfId="1">
      <formula>"Risco de sobrepeso"</formula>
    </cfRule>
    <cfRule type="cellIs" priority="22" operator="equal" dxfId="1">
      <formula>"Sobrepeso"</formula>
    </cfRule>
    <cfRule type="cellIs" priority="23" operator="equal" dxfId="1">
      <formula>"Elevado"</formula>
    </cfRule>
    <cfRule type="cellIs" priority="24" operator="equal" dxfId="2">
      <formula>"Magreza acentuada"</formula>
    </cfRule>
    <cfRule type="cellIs" priority="25" operator="equal" dxfId="2">
      <formula>"Muito baixa"</formula>
    </cfRule>
    <cfRule type="cellIs" priority="26" operator="equal" dxfId="2">
      <formula>"Muito baixo"</formula>
    </cfRule>
    <cfRule type="cellIs" priority="27" operator="equal" dxfId="2">
      <formula>"Obesidade"</formula>
    </cfRule>
    <cfRule type="cellIs" priority="28" operator="equal" dxfId="2">
      <formula>"Obesidade grave"</formula>
    </cfRule>
  </conditionalFormatting>
  <conditionalFormatting sqref="H6">
    <cfRule type="cellIs" priority="29" operator="equal" dxfId="0">
      <formula>"Eutrofia"</formula>
    </cfRule>
    <cfRule type="cellIs" priority="30" operator="equal" dxfId="0">
      <formula>"Adequada"</formula>
    </cfRule>
    <cfRule type="cellIs" priority="31" operator="equal" dxfId="0">
      <formula>"Adequado"</formula>
    </cfRule>
    <cfRule type="cellIs" priority="32" operator="equal" dxfId="1">
      <formula>"Magreza"</formula>
    </cfRule>
    <cfRule type="cellIs" priority="33" operator="equal" dxfId="1">
      <formula>"Baixa"</formula>
    </cfRule>
    <cfRule type="cellIs" priority="34" operator="equal" dxfId="1">
      <formula>"Baixo"</formula>
    </cfRule>
    <cfRule type="cellIs" priority="35" operator="equal" dxfId="1">
      <formula>"Risco de sobrepeso"</formula>
    </cfRule>
    <cfRule type="cellIs" priority="36" operator="equal" dxfId="1">
      <formula>"Sobrepeso"</formula>
    </cfRule>
    <cfRule type="cellIs" priority="37" operator="equal" dxfId="1">
      <formula>"Elevado"</formula>
    </cfRule>
    <cfRule type="cellIs" priority="38" operator="equal" dxfId="2">
      <formula>"Magreza acentuada"</formula>
    </cfRule>
    <cfRule type="cellIs" priority="39" operator="equal" dxfId="2">
      <formula>"Muito baixa"</formula>
    </cfRule>
    <cfRule type="cellIs" priority="40" operator="equal" dxfId="2">
      <formula>"Muito baixo"</formula>
    </cfRule>
    <cfRule type="cellIs" priority="41" operator="equal" dxfId="2">
      <formula>"Obesidade"</formula>
    </cfRule>
    <cfRule type="cellIs" priority="42" operator="equal" dxfId="2">
      <formula>"Obesidade grave"</formula>
    </cfRule>
  </conditionalFormatting>
  <conditionalFormatting sqref="H7">
    <cfRule type="cellIs" priority="43" operator="equal" dxfId="0">
      <formula>"Eutrofia"</formula>
    </cfRule>
    <cfRule type="cellIs" priority="44" operator="equal" dxfId="0">
      <formula>"Adequada"</formula>
    </cfRule>
    <cfRule type="cellIs" priority="45" operator="equal" dxfId="0">
      <formula>"Adequado"</formula>
    </cfRule>
    <cfRule type="cellIs" priority="46" operator="equal" dxfId="1">
      <formula>"Magreza"</formula>
    </cfRule>
    <cfRule type="cellIs" priority="47" operator="equal" dxfId="1">
      <formula>"Baixa"</formula>
    </cfRule>
    <cfRule type="cellIs" priority="48" operator="equal" dxfId="1">
      <formula>"Baixo"</formula>
    </cfRule>
    <cfRule type="cellIs" priority="49" operator="equal" dxfId="1">
      <formula>"Risco de sobrepeso"</formula>
    </cfRule>
    <cfRule type="cellIs" priority="50" operator="equal" dxfId="1">
      <formula>"Sobrepeso"</formula>
    </cfRule>
    <cfRule type="cellIs" priority="51" operator="equal" dxfId="1">
      <formula>"Elevado"</formula>
    </cfRule>
    <cfRule type="cellIs" priority="52" operator="equal" dxfId="2">
      <formula>"Magreza acentuada"</formula>
    </cfRule>
    <cfRule type="cellIs" priority="53" operator="equal" dxfId="2">
      <formula>"Muito baixa"</formula>
    </cfRule>
    <cfRule type="cellIs" priority="54" operator="equal" dxfId="2">
      <formula>"Muito baixo"</formula>
    </cfRule>
    <cfRule type="cellIs" priority="55" operator="equal" dxfId="2">
      <formula>"Obesidade"</formula>
    </cfRule>
    <cfRule type="cellIs" priority="56" operator="equal" dxfId="2">
      <formula>"Obesidade grave"</formula>
    </cfRule>
  </conditionalFormatting>
  <conditionalFormatting sqref="H8">
    <cfRule type="cellIs" priority="57" operator="equal" dxfId="0">
      <formula>"Eutrofia"</formula>
    </cfRule>
    <cfRule type="cellIs" priority="58" operator="equal" dxfId="0">
      <formula>"Adequada"</formula>
    </cfRule>
    <cfRule type="cellIs" priority="59" operator="equal" dxfId="0">
      <formula>"Adequado"</formula>
    </cfRule>
    <cfRule type="cellIs" priority="60" operator="equal" dxfId="1">
      <formula>"Magreza"</formula>
    </cfRule>
    <cfRule type="cellIs" priority="61" operator="equal" dxfId="1">
      <formula>"Baixa"</formula>
    </cfRule>
    <cfRule type="cellIs" priority="62" operator="equal" dxfId="1">
      <formula>"Baixo"</formula>
    </cfRule>
    <cfRule type="cellIs" priority="63" operator="equal" dxfId="1">
      <formula>"Risco de sobrepeso"</formula>
    </cfRule>
    <cfRule type="cellIs" priority="64" operator="equal" dxfId="1">
      <formula>"Sobrepeso"</formula>
    </cfRule>
    <cfRule type="cellIs" priority="65" operator="equal" dxfId="1">
      <formula>"Elevado"</formula>
    </cfRule>
    <cfRule type="cellIs" priority="66" operator="equal" dxfId="2">
      <formula>"Magreza acentuada"</formula>
    </cfRule>
    <cfRule type="cellIs" priority="67" operator="equal" dxfId="2">
      <formula>"Muito baixa"</formula>
    </cfRule>
    <cfRule type="cellIs" priority="68" operator="equal" dxfId="2">
      <formula>"Muito baixo"</formula>
    </cfRule>
    <cfRule type="cellIs" priority="69" operator="equal" dxfId="2">
      <formula>"Obesidade"</formula>
    </cfRule>
    <cfRule type="cellIs" priority="70" operator="equal" dxfId="2">
      <formula>"Obesidade grave"</formula>
    </cfRule>
  </conditionalFormatting>
  <dataValidations count="2">
    <dataValidation sqref="C4" showDropDown="0" showInputMessage="0" showErrorMessage="0" allowBlank="1" type="list">
      <formula1>"Masculino,Feminino"</formula1>
    </dataValidation>
    <dataValidation sqref="C9" showDropDown="0" showInputMessage="0" showErrorMessage="0" allowBlank="1" type="list">
      <formula1>"Deitado,Em pe"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23"/>
  <sheetViews>
    <sheetView showGridLines="0" workbookViewId="0">
      <selection activeCell="A1" sqref="A1"/>
    </sheetView>
  </sheetViews>
  <sheetFormatPr baseColWidth="8" defaultRowHeight="15"/>
  <cols>
    <col width="42" customWidth="1" min="2" max="2"/>
    <col width="8" customWidth="1" min="3" max="3"/>
    <col width="8" customWidth="1" min="4" max="4"/>
    <col width="10" customWidth="1" min="5" max="5"/>
  </cols>
  <sheetData>
    <row r="2">
      <c r="B2" s="13" t="inlineStr">
        <is>
          <t>Painel — Resumo da turma / unidade</t>
        </is>
      </c>
    </row>
    <row r="4">
      <c r="B4" s="14" t="inlineStr">
        <is>
          <t>Total de crianças avaliadas:</t>
        </is>
      </c>
      <c r="E4">
        <f>SUMPRODUCT(--(calc_ID&lt;&gt;""))</f>
        <v/>
      </c>
    </row>
    <row r="5">
      <c r="B5" s="14" t="inlineStr">
        <is>
          <t>Com IMC/idade calculado:</t>
        </is>
      </c>
      <c r="E5">
        <f>SUMPRODUCT(--(calc_dIMC&lt;&gt;""))</f>
        <v/>
      </c>
    </row>
    <row r="7">
      <c r="B7" s="20" t="inlineStr">
        <is>
          <t>Distribuição IMC/idade</t>
        </is>
      </c>
    </row>
    <row r="8">
      <c r="B8" s="25" t="inlineStr">
        <is>
          <t>Categoria</t>
        </is>
      </c>
      <c r="C8" s="25" t="inlineStr">
        <is>
          <t>N</t>
        </is>
      </c>
      <c r="D8" s="25" t="inlineStr">
        <is>
          <t>%</t>
        </is>
      </c>
    </row>
    <row r="9">
      <c r="B9" t="inlineStr">
        <is>
          <t>Magreza acentuada</t>
        </is>
      </c>
      <c r="C9">
        <f>COUNTIF(calc_dIMC,"Magreza acentuada")</f>
        <v/>
      </c>
      <c r="D9" s="26">
        <f>IFERROR(C9/$E$5,0)</f>
        <v/>
      </c>
    </row>
    <row r="10">
      <c r="B10" t="inlineStr">
        <is>
          <t>Magreza</t>
        </is>
      </c>
      <c r="C10">
        <f>COUNTIF(calc_dIMC,"Magreza")</f>
        <v/>
      </c>
      <c r="D10" s="26">
        <f>IFERROR(C10/$E$5,0)</f>
        <v/>
      </c>
    </row>
    <row r="11">
      <c r="B11" t="inlineStr">
        <is>
          <t>Eutrofia</t>
        </is>
      </c>
      <c r="C11">
        <f>COUNTIF(calc_dIMC,"Eutrofia")</f>
        <v/>
      </c>
      <c r="D11" s="26">
        <f>IFERROR(C11/$E$5,0)</f>
        <v/>
      </c>
    </row>
    <row r="12">
      <c r="B12" t="inlineStr">
        <is>
          <t>Risco de sobrepeso</t>
        </is>
      </c>
      <c r="C12">
        <f>COUNTIF(calc_dIMC,"Risco de sobrepeso")</f>
        <v/>
      </c>
      <c r="D12" s="26">
        <f>IFERROR(C12/$E$5,0)</f>
        <v/>
      </c>
    </row>
    <row r="13">
      <c r="B13" t="inlineStr">
        <is>
          <t>Sobrepeso</t>
        </is>
      </c>
      <c r="C13">
        <f>COUNTIF(calc_dIMC,"Sobrepeso")</f>
        <v/>
      </c>
      <c r="D13" s="26">
        <f>IFERROR(C13/$E$5,0)</f>
        <v/>
      </c>
    </row>
    <row r="14">
      <c r="B14" t="inlineStr">
        <is>
          <t>Obesidade</t>
        </is>
      </c>
      <c r="C14">
        <f>COUNTIF(calc_dIMC,"Obesidade")</f>
        <v/>
      </c>
      <c r="D14" s="26">
        <f>IFERROR(C14/$E$5,0)</f>
        <v/>
      </c>
    </row>
    <row r="15">
      <c r="B15" t="inlineStr">
        <is>
          <t>Obesidade grave</t>
        </is>
      </c>
      <c r="C15">
        <f>COUNTIF(calc_dIMC,"Obesidade grave")</f>
        <v/>
      </c>
      <c r="D15" s="26">
        <f>IFERROR(C15/$E$5,0)</f>
        <v/>
      </c>
    </row>
    <row r="18">
      <c r="B18" s="20" t="inlineStr">
        <is>
          <t>Indicadores-chave</t>
        </is>
      </c>
    </row>
    <row r="19">
      <c r="B19" t="inlineStr">
        <is>
          <t>Excesso de peso (sobrepeso+obesidade) %</t>
        </is>
      </c>
      <c r="E19" s="26">
        <f>IFERROR((COUNTIF(calc_dIMC,"Sobrepeso")+COUNTIF(calc_dIMC,"Obesidade")+COUNTIF(calc_dIMC,"Obesidade grave"))/$E$5,0)</f>
        <v/>
      </c>
    </row>
    <row r="20">
      <c r="B20" t="inlineStr">
        <is>
          <t>Magreza (magreza+magreza acentuada) %</t>
        </is>
      </c>
      <c r="E20" s="26">
        <f>IFERROR((COUNTIF(calc_dIMC,"Magreza")+COUNTIF(calc_dIMC,"Magreza acentuada"))/$E$5,0)</f>
        <v/>
      </c>
    </row>
    <row r="21">
      <c r="B21" t="inlineStr">
        <is>
          <t>Baixa estatura para idade %</t>
        </is>
      </c>
      <c r="E21" s="26">
        <f>IFERROR((COUNTIF(calc_dEst,"Baixa")+COUNTIF(calc_dEst,"Muito baixa"))/SUMPRODUCT(--(calc_dEst&lt;&gt;"")),0)</f>
        <v/>
      </c>
    </row>
    <row r="23">
      <c r="B23" s="6" t="inlineStr">
        <is>
          <t>Cores: referência aproximada para triagem rápida (verde/amarelo/vermelho), não substitui avaliação clínica.</t>
        </is>
      </c>
    </row>
  </sheetData>
  <conditionalFormatting sqref="E19">
    <cfRule type="cellIs" priority="1" operator="lessThan" dxfId="0">
      <formula>0.1</formula>
    </cfRule>
    <cfRule type="cellIs" priority="2" operator="between" dxfId="1">
      <formula>0.1</formula>
      <formula>0.2</formula>
    </cfRule>
    <cfRule type="cellIs" priority="3" operator="greaterThan" dxfId="2">
      <formula>0.2</formula>
    </cfRule>
  </conditionalFormatting>
  <conditionalFormatting sqref="E20">
    <cfRule type="cellIs" priority="4" operator="lessThan" dxfId="0">
      <formula>0.05</formula>
    </cfRule>
    <cfRule type="cellIs" priority="5" operator="between" dxfId="1">
      <formula>0.05</formula>
      <formula>0.1</formula>
    </cfRule>
    <cfRule type="cellIs" priority="6" operator="greaterThan" dxfId="2">
      <formula>0.1</formula>
    </cfRule>
  </conditionalFormatting>
  <conditionalFormatting sqref="E21">
    <cfRule type="cellIs" priority="7" operator="lessThan" dxfId="0">
      <formula>0.05</formula>
    </cfRule>
    <cfRule type="cellIs" priority="8" operator="between" dxfId="1">
      <formula>0.05</formula>
      <formula>0.1</formula>
    </cfRule>
    <cfRule type="cellIs" priority="9" operator="greaterThan" dxfId="2">
      <formula>0.1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6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</t>
        </is>
      </c>
      <c r="B1" t="inlineStr">
        <is>
          <t>sexo</t>
        </is>
      </c>
      <c r="C1" t="inlineStr">
        <is>
          <t>chave</t>
        </is>
      </c>
      <c r="D1" t="inlineStr">
        <is>
          <t>l</t>
        </is>
      </c>
      <c r="E1" t="inlineStr">
        <is>
          <t>m</t>
        </is>
      </c>
      <c r="F1" t="inlineStr">
        <is>
          <t>s</t>
        </is>
      </c>
    </row>
    <row r="2">
      <c r="A2" t="n">
        <v>1000000</v>
      </c>
      <c r="B2" t="n">
        <v>1</v>
      </c>
      <c r="C2" t="n">
        <v>0</v>
      </c>
      <c r="D2" t="n">
        <v>-0.3053</v>
      </c>
      <c r="E2" t="n">
        <v>13.4069</v>
      </c>
      <c r="F2" t="n">
        <v>0.0956</v>
      </c>
    </row>
    <row r="3">
      <c r="A3" t="n">
        <v>1000001</v>
      </c>
      <c r="B3" t="n">
        <v>1</v>
      </c>
      <c r="C3" t="n">
        <v>1</v>
      </c>
      <c r="D3" t="n">
        <v>-0.1867</v>
      </c>
      <c r="E3" t="n">
        <v>13.3976</v>
      </c>
      <c r="F3" t="n">
        <v>0.09597</v>
      </c>
    </row>
    <row r="4">
      <c r="A4" t="n">
        <v>1000002</v>
      </c>
      <c r="B4" t="n">
        <v>1</v>
      </c>
      <c r="C4" t="n">
        <v>2</v>
      </c>
      <c r="D4" t="n">
        <v>-0.06809999999999999</v>
      </c>
      <c r="E4" t="n">
        <v>13.3883</v>
      </c>
      <c r="F4" t="n">
        <v>0.09634</v>
      </c>
    </row>
    <row r="5">
      <c r="A5" t="n">
        <v>1000003</v>
      </c>
      <c r="B5" t="n">
        <v>1</v>
      </c>
      <c r="C5" t="n">
        <v>3</v>
      </c>
      <c r="D5" t="n">
        <v>0.0505</v>
      </c>
      <c r="E5" t="n">
        <v>13.3791</v>
      </c>
      <c r="F5" t="n">
        <v>0.09672</v>
      </c>
    </row>
    <row r="6">
      <c r="A6" t="n">
        <v>1000004</v>
      </c>
      <c r="B6" t="n">
        <v>1</v>
      </c>
      <c r="C6" t="n">
        <v>4</v>
      </c>
      <c r="D6" t="n">
        <v>0.169</v>
      </c>
      <c r="E6" t="n">
        <v>13.3698</v>
      </c>
      <c r="F6" t="n">
        <v>0.09709</v>
      </c>
    </row>
    <row r="7">
      <c r="A7" t="n">
        <v>1000005</v>
      </c>
      <c r="B7" t="n">
        <v>1</v>
      </c>
      <c r="C7" t="n">
        <v>5</v>
      </c>
      <c r="D7" t="n">
        <v>0.2876</v>
      </c>
      <c r="E7" t="n">
        <v>13.3606</v>
      </c>
      <c r="F7" t="n">
        <v>0.09746</v>
      </c>
    </row>
    <row r="8">
      <c r="A8" t="n">
        <v>1000006</v>
      </c>
      <c r="B8" t="n">
        <v>1</v>
      </c>
      <c r="C8" t="n">
        <v>6</v>
      </c>
      <c r="D8" t="n">
        <v>0.4062</v>
      </c>
      <c r="E8" t="n">
        <v>13.3513</v>
      </c>
      <c r="F8" t="n">
        <v>0.09784</v>
      </c>
    </row>
    <row r="9">
      <c r="A9" t="n">
        <v>1000007</v>
      </c>
      <c r="B9" t="n">
        <v>1</v>
      </c>
      <c r="C9" t="n">
        <v>7</v>
      </c>
      <c r="D9" t="n">
        <v>0.5247000000000001</v>
      </c>
      <c r="E9" t="n">
        <v>13.3421</v>
      </c>
      <c r="F9" t="n">
        <v>0.09821000000000001</v>
      </c>
    </row>
    <row r="10">
      <c r="A10" t="n">
        <v>1000008</v>
      </c>
      <c r="B10" t="n">
        <v>1</v>
      </c>
      <c r="C10" t="n">
        <v>8</v>
      </c>
      <c r="D10" t="n">
        <v>0.5094</v>
      </c>
      <c r="E10" t="n">
        <v>13.3843</v>
      </c>
      <c r="F10" t="n">
        <v>0.09769</v>
      </c>
    </row>
    <row r="11">
      <c r="A11" t="n">
        <v>1000009</v>
      </c>
      <c r="B11" t="n">
        <v>1</v>
      </c>
      <c r="C11" t="n">
        <v>9</v>
      </c>
      <c r="D11" t="n">
        <v>0.4941</v>
      </c>
      <c r="E11" t="n">
        <v>13.4265</v>
      </c>
      <c r="F11" t="n">
        <v>0.09716</v>
      </c>
    </row>
    <row r="12">
      <c r="A12" t="n">
        <v>1000010</v>
      </c>
      <c r="B12" t="n">
        <v>1</v>
      </c>
      <c r="C12" t="n">
        <v>10</v>
      </c>
      <c r="D12" t="n">
        <v>0.4789</v>
      </c>
      <c r="E12" t="n">
        <v>13.4687</v>
      </c>
      <c r="F12" t="n">
        <v>0.09664</v>
      </c>
    </row>
    <row r="13">
      <c r="A13" t="n">
        <v>1000011</v>
      </c>
      <c r="B13" t="n">
        <v>1</v>
      </c>
      <c r="C13" t="n">
        <v>11</v>
      </c>
      <c r="D13" t="n">
        <v>0.4636</v>
      </c>
      <c r="E13" t="n">
        <v>13.511</v>
      </c>
      <c r="F13" t="n">
        <v>0.09611</v>
      </c>
    </row>
    <row r="14">
      <c r="A14" t="n">
        <v>1000012</v>
      </c>
      <c r="B14" t="n">
        <v>1</v>
      </c>
      <c r="C14" t="n">
        <v>12</v>
      </c>
      <c r="D14" t="n">
        <v>0.4483</v>
      </c>
      <c r="E14" t="n">
        <v>13.5532</v>
      </c>
      <c r="F14" t="n">
        <v>0.09558999999999999</v>
      </c>
    </row>
    <row r="15">
      <c r="A15" t="n">
        <v>1000013</v>
      </c>
      <c r="B15" t="n">
        <v>1</v>
      </c>
      <c r="C15" t="n">
        <v>13</v>
      </c>
      <c r="D15" t="n">
        <v>0.433</v>
      </c>
      <c r="E15" t="n">
        <v>13.5954</v>
      </c>
      <c r="F15" t="n">
        <v>0.09507</v>
      </c>
    </row>
    <row r="16">
      <c r="A16" t="n">
        <v>1000014</v>
      </c>
      <c r="B16" t="n">
        <v>1</v>
      </c>
      <c r="C16" t="n">
        <v>14</v>
      </c>
      <c r="D16" t="n">
        <v>0.4177</v>
      </c>
      <c r="E16" t="n">
        <v>13.6377</v>
      </c>
      <c r="F16" t="n">
        <v>0.09454</v>
      </c>
    </row>
    <row r="17">
      <c r="A17" t="n">
        <v>1000015</v>
      </c>
      <c r="B17" t="n">
        <v>1</v>
      </c>
      <c r="C17" t="n">
        <v>15</v>
      </c>
      <c r="D17" t="n">
        <v>0.4059</v>
      </c>
      <c r="E17" t="n">
        <v>13.7174</v>
      </c>
      <c r="F17" t="n">
        <v>0.09415999999999999</v>
      </c>
    </row>
    <row r="18">
      <c r="A18" t="n">
        <v>1000016</v>
      </c>
      <c r="B18" t="n">
        <v>1</v>
      </c>
      <c r="C18" t="n">
        <v>16</v>
      </c>
      <c r="D18" t="n">
        <v>0.3946</v>
      </c>
      <c r="E18" t="n">
        <v>13.8006</v>
      </c>
      <c r="F18" t="n">
        <v>0.09379999999999999</v>
      </c>
    </row>
    <row r="19">
      <c r="A19" t="n">
        <v>1000017</v>
      </c>
      <c r="B19" t="n">
        <v>1</v>
      </c>
      <c r="C19" t="n">
        <v>17</v>
      </c>
      <c r="D19" t="n">
        <v>0.3839</v>
      </c>
      <c r="E19" t="n">
        <v>13.8854</v>
      </c>
      <c r="F19" t="n">
        <v>0.09347</v>
      </c>
    </row>
    <row r="20">
      <c r="A20" t="n">
        <v>1000018</v>
      </c>
      <c r="B20" t="n">
        <v>1</v>
      </c>
      <c r="C20" t="n">
        <v>18</v>
      </c>
      <c r="D20" t="n">
        <v>0.3735</v>
      </c>
      <c r="E20" t="n">
        <v>13.9707</v>
      </c>
      <c r="F20" t="n">
        <v>0.09315</v>
      </c>
    </row>
    <row r="21">
      <c r="A21" t="n">
        <v>1000019</v>
      </c>
      <c r="B21" t="n">
        <v>1</v>
      </c>
      <c r="C21" t="n">
        <v>19</v>
      </c>
      <c r="D21" t="n">
        <v>0.3636</v>
      </c>
      <c r="E21" t="n">
        <v>14.0558</v>
      </c>
      <c r="F21" t="n">
        <v>0.09285</v>
      </c>
    </row>
    <row r="22">
      <c r="A22" t="n">
        <v>1000020</v>
      </c>
      <c r="B22" t="n">
        <v>1</v>
      </c>
      <c r="C22" t="n">
        <v>20</v>
      </c>
      <c r="D22" t="n">
        <v>0.3541</v>
      </c>
      <c r="E22" t="n">
        <v>14.1404</v>
      </c>
      <c r="F22" t="n">
        <v>0.09257</v>
      </c>
    </row>
    <row r="23">
      <c r="A23" t="n">
        <v>1000021</v>
      </c>
      <c r="B23" t="n">
        <v>1</v>
      </c>
      <c r="C23" t="n">
        <v>21</v>
      </c>
      <c r="D23" t="n">
        <v>0.3449</v>
      </c>
      <c r="E23" t="n">
        <v>14.2241</v>
      </c>
      <c r="F23" t="n">
        <v>0.09229999999999999</v>
      </c>
    </row>
    <row r="24">
      <c r="A24" t="n">
        <v>1000022</v>
      </c>
      <c r="B24" t="n">
        <v>1</v>
      </c>
      <c r="C24" t="n">
        <v>22</v>
      </c>
      <c r="D24" t="n">
        <v>0.336</v>
      </c>
      <c r="E24" t="n">
        <v>14.3065</v>
      </c>
      <c r="F24" t="n">
        <v>0.09204</v>
      </c>
    </row>
    <row r="25">
      <c r="A25" t="n">
        <v>1000023</v>
      </c>
      <c r="B25" t="n">
        <v>1</v>
      </c>
      <c r="C25" t="n">
        <v>23</v>
      </c>
      <c r="D25" t="n">
        <v>0.3274</v>
      </c>
      <c r="E25" t="n">
        <v>14.3877</v>
      </c>
      <c r="F25" t="n">
        <v>0.09180000000000001</v>
      </c>
    </row>
    <row r="26">
      <c r="A26" t="n">
        <v>1000024</v>
      </c>
      <c r="B26" t="n">
        <v>1</v>
      </c>
      <c r="C26" t="n">
        <v>24</v>
      </c>
      <c r="D26" t="n">
        <v>0.3191</v>
      </c>
      <c r="E26" t="n">
        <v>14.4675</v>
      </c>
      <c r="F26" t="n">
        <v>0.09156</v>
      </c>
    </row>
    <row r="27">
      <c r="A27" t="n">
        <v>1000025</v>
      </c>
      <c r="B27" t="n">
        <v>1</v>
      </c>
      <c r="C27" t="n">
        <v>25</v>
      </c>
      <c r="D27" t="n">
        <v>0.311</v>
      </c>
      <c r="E27" t="n">
        <v>14.5457</v>
      </c>
      <c r="F27" t="n">
        <v>0.09134</v>
      </c>
    </row>
    <row r="28">
      <c r="A28" t="n">
        <v>1000026</v>
      </c>
      <c r="B28" t="n">
        <v>1</v>
      </c>
      <c r="C28" t="n">
        <v>26</v>
      </c>
      <c r="D28" t="n">
        <v>0.3032</v>
      </c>
      <c r="E28" t="n">
        <v>14.6225</v>
      </c>
      <c r="F28" t="n">
        <v>0.09112000000000001</v>
      </c>
    </row>
    <row r="29">
      <c r="A29" t="n">
        <v>1000027</v>
      </c>
      <c r="B29" t="n">
        <v>1</v>
      </c>
      <c r="C29" t="n">
        <v>27</v>
      </c>
      <c r="D29" t="n">
        <v>0.2955</v>
      </c>
      <c r="E29" t="n">
        <v>14.6977</v>
      </c>
      <c r="F29" t="n">
        <v>0.09092</v>
      </c>
    </row>
    <row r="30">
      <c r="A30" t="n">
        <v>1000028</v>
      </c>
      <c r="B30" t="n">
        <v>1</v>
      </c>
      <c r="C30" t="n">
        <v>28</v>
      </c>
      <c r="D30" t="n">
        <v>0.2881</v>
      </c>
      <c r="E30" t="n">
        <v>14.7714</v>
      </c>
      <c r="F30" t="n">
        <v>0.09072</v>
      </c>
    </row>
    <row r="31">
      <c r="A31" t="n">
        <v>1000029</v>
      </c>
      <c r="B31" t="n">
        <v>1</v>
      </c>
      <c r="C31" t="n">
        <v>29</v>
      </c>
      <c r="D31" t="n">
        <v>0.2809</v>
      </c>
      <c r="E31" t="n">
        <v>14.8436</v>
      </c>
      <c r="F31" t="n">
        <v>0.09053</v>
      </c>
    </row>
    <row r="32">
      <c r="A32" t="n">
        <v>1000030</v>
      </c>
      <c r="B32" t="n">
        <v>1</v>
      </c>
      <c r="C32" t="n">
        <v>30</v>
      </c>
      <c r="D32" t="n">
        <v>0.2738</v>
      </c>
      <c r="E32" t="n">
        <v>14.914</v>
      </c>
      <c r="F32" t="n">
        <v>0.09035</v>
      </c>
    </row>
    <row r="33">
      <c r="A33" t="n">
        <v>1000031</v>
      </c>
      <c r="B33" t="n">
        <v>1</v>
      </c>
      <c r="C33" t="n">
        <v>31</v>
      </c>
      <c r="D33" t="n">
        <v>0.2669</v>
      </c>
      <c r="E33" t="n">
        <v>14.9822</v>
      </c>
      <c r="F33" t="n">
        <v>0.09017</v>
      </c>
    </row>
    <row r="34">
      <c r="A34" t="n">
        <v>1000032</v>
      </c>
      <c r="B34" t="n">
        <v>1</v>
      </c>
      <c r="C34" t="n">
        <v>32</v>
      </c>
      <c r="D34" t="n">
        <v>0.2602</v>
      </c>
      <c r="E34" t="n">
        <v>15.0485</v>
      </c>
      <c r="F34" t="n">
        <v>0.09</v>
      </c>
    </row>
    <row r="35">
      <c r="A35" t="n">
        <v>1000033</v>
      </c>
      <c r="B35" t="n">
        <v>1</v>
      </c>
      <c r="C35" t="n">
        <v>33</v>
      </c>
      <c r="D35" t="n">
        <v>0.2536</v>
      </c>
      <c r="E35" t="n">
        <v>15.1127</v>
      </c>
      <c r="F35" t="n">
        <v>0.08984</v>
      </c>
    </row>
    <row r="36">
      <c r="A36" t="n">
        <v>1000034</v>
      </c>
      <c r="B36" t="n">
        <v>1</v>
      </c>
      <c r="C36" t="n">
        <v>34</v>
      </c>
      <c r="D36" t="n">
        <v>0.2472</v>
      </c>
      <c r="E36" t="n">
        <v>15.175</v>
      </c>
      <c r="F36" t="n">
        <v>0.08968</v>
      </c>
    </row>
    <row r="37">
      <c r="A37" t="n">
        <v>1000035</v>
      </c>
      <c r="B37" t="n">
        <v>1</v>
      </c>
      <c r="C37" t="n">
        <v>35</v>
      </c>
      <c r="D37" t="n">
        <v>0.2409</v>
      </c>
      <c r="E37" t="n">
        <v>15.2355</v>
      </c>
      <c r="F37" t="n">
        <v>0.08953</v>
      </c>
    </row>
    <row r="38">
      <c r="A38" t="n">
        <v>1000036</v>
      </c>
      <c r="B38" t="n">
        <v>1</v>
      </c>
      <c r="C38" t="n">
        <v>36</v>
      </c>
      <c r="D38" t="n">
        <v>0.2348</v>
      </c>
      <c r="E38" t="n">
        <v>15.2942</v>
      </c>
      <c r="F38" t="n">
        <v>0.08938</v>
      </c>
    </row>
    <row r="39">
      <c r="A39" t="n">
        <v>1000037</v>
      </c>
      <c r="B39" t="n">
        <v>1</v>
      </c>
      <c r="C39" t="n">
        <v>37</v>
      </c>
      <c r="D39" t="n">
        <v>0.2287</v>
      </c>
      <c r="E39" t="n">
        <v>15.3511</v>
      </c>
      <c r="F39" t="n">
        <v>0.08924</v>
      </c>
    </row>
    <row r="40">
      <c r="A40" t="n">
        <v>1000038</v>
      </c>
      <c r="B40" t="n">
        <v>1</v>
      </c>
      <c r="C40" t="n">
        <v>38</v>
      </c>
      <c r="D40" t="n">
        <v>0.2228</v>
      </c>
      <c r="E40" t="n">
        <v>15.4062</v>
      </c>
      <c r="F40" t="n">
        <v>0.0891</v>
      </c>
    </row>
    <row r="41">
      <c r="A41" t="n">
        <v>1000039</v>
      </c>
      <c r="B41" t="n">
        <v>1</v>
      </c>
      <c r="C41" t="n">
        <v>39</v>
      </c>
      <c r="D41" t="n">
        <v>0.217</v>
      </c>
      <c r="E41" t="n">
        <v>15.4597</v>
      </c>
      <c r="F41" t="n">
        <v>0.08896999999999999</v>
      </c>
    </row>
    <row r="42">
      <c r="A42" t="n">
        <v>1000040</v>
      </c>
      <c r="B42" t="n">
        <v>1</v>
      </c>
      <c r="C42" t="n">
        <v>40</v>
      </c>
      <c r="D42" t="n">
        <v>0.2113</v>
      </c>
      <c r="E42" t="n">
        <v>15.5115</v>
      </c>
      <c r="F42" t="n">
        <v>0.08884</v>
      </c>
    </row>
    <row r="43">
      <c r="A43" t="n">
        <v>1000041</v>
      </c>
      <c r="B43" t="n">
        <v>1</v>
      </c>
      <c r="C43" t="n">
        <v>41</v>
      </c>
      <c r="D43" t="n">
        <v>0.2058</v>
      </c>
      <c r="E43" t="n">
        <v>15.5618</v>
      </c>
      <c r="F43" t="n">
        <v>0.08871</v>
      </c>
    </row>
    <row r="44">
      <c r="A44" t="n">
        <v>1000042</v>
      </c>
      <c r="B44" t="n">
        <v>1</v>
      </c>
      <c r="C44" t="n">
        <v>42</v>
      </c>
      <c r="D44" t="n">
        <v>0.2003</v>
      </c>
      <c r="E44" t="n">
        <v>15.6107</v>
      </c>
      <c r="F44" t="n">
        <v>0.08859</v>
      </c>
    </row>
    <row r="45">
      <c r="A45" t="n">
        <v>1000043</v>
      </c>
      <c r="B45" t="n">
        <v>1</v>
      </c>
      <c r="C45" t="n">
        <v>43</v>
      </c>
      <c r="D45" t="n">
        <v>0.1949</v>
      </c>
      <c r="E45" t="n">
        <v>15.6582</v>
      </c>
      <c r="F45" t="n">
        <v>0.08846999999999999</v>
      </c>
    </row>
    <row r="46">
      <c r="A46" t="n">
        <v>1000044</v>
      </c>
      <c r="B46" t="n">
        <v>1</v>
      </c>
      <c r="C46" t="n">
        <v>44</v>
      </c>
      <c r="D46" t="n">
        <v>0.1896</v>
      </c>
      <c r="E46" t="n">
        <v>15.7043</v>
      </c>
      <c r="F46" t="n">
        <v>0.08835</v>
      </c>
    </row>
    <row r="47">
      <c r="A47" t="n">
        <v>1000045</v>
      </c>
      <c r="B47" t="n">
        <v>1</v>
      </c>
      <c r="C47" t="n">
        <v>45</v>
      </c>
      <c r="D47" t="n">
        <v>0.1844</v>
      </c>
      <c r="E47" t="n">
        <v>15.7492</v>
      </c>
      <c r="F47" t="n">
        <v>0.08824</v>
      </c>
    </row>
    <row r="48">
      <c r="A48" t="n">
        <v>1000046</v>
      </c>
      <c r="B48" t="n">
        <v>1</v>
      </c>
      <c r="C48" t="n">
        <v>46</v>
      </c>
      <c r="D48" t="n">
        <v>0.1793</v>
      </c>
      <c r="E48" t="n">
        <v>15.7929</v>
      </c>
      <c r="F48" t="n">
        <v>0.08813</v>
      </c>
    </row>
    <row r="49">
      <c r="A49" t="n">
        <v>1000047</v>
      </c>
      <c r="B49" t="n">
        <v>1</v>
      </c>
      <c r="C49" t="n">
        <v>47</v>
      </c>
      <c r="D49" t="n">
        <v>0.1743</v>
      </c>
      <c r="E49" t="n">
        <v>15.8353</v>
      </c>
      <c r="F49" t="n">
        <v>0.08802</v>
      </c>
    </row>
    <row r="50">
      <c r="A50" t="n">
        <v>1000048</v>
      </c>
      <c r="B50" t="n">
        <v>1</v>
      </c>
      <c r="C50" t="n">
        <v>48</v>
      </c>
      <c r="D50" t="n">
        <v>0.1693</v>
      </c>
      <c r="E50" t="n">
        <v>15.8767</v>
      </c>
      <c r="F50" t="n">
        <v>0.08792</v>
      </c>
    </row>
    <row r="51">
      <c r="A51" t="n">
        <v>1000049</v>
      </c>
      <c r="B51" t="n">
        <v>1</v>
      </c>
      <c r="C51" t="n">
        <v>49</v>
      </c>
      <c r="D51" t="n">
        <v>0.1645</v>
      </c>
      <c r="E51" t="n">
        <v>15.9169</v>
      </c>
      <c r="F51" t="n">
        <v>0.08782</v>
      </c>
    </row>
    <row r="52">
      <c r="A52" t="n">
        <v>1000050</v>
      </c>
      <c r="B52" t="n">
        <v>1</v>
      </c>
      <c r="C52" t="n">
        <v>50</v>
      </c>
      <c r="D52" t="n">
        <v>0.1597</v>
      </c>
      <c r="E52" t="n">
        <v>15.956</v>
      </c>
      <c r="F52" t="n">
        <v>0.08772000000000001</v>
      </c>
    </row>
    <row r="53">
      <c r="A53" t="n">
        <v>1000051</v>
      </c>
      <c r="B53" t="n">
        <v>1</v>
      </c>
      <c r="C53" t="n">
        <v>51</v>
      </c>
      <c r="D53" t="n">
        <v>0.155</v>
      </c>
      <c r="E53" t="n">
        <v>15.9941</v>
      </c>
      <c r="F53" t="n">
        <v>0.08762</v>
      </c>
    </row>
    <row r="54">
      <c r="A54" t="n">
        <v>1000052</v>
      </c>
      <c r="B54" t="n">
        <v>1</v>
      </c>
      <c r="C54" t="n">
        <v>52</v>
      </c>
      <c r="D54" t="n">
        <v>0.1503</v>
      </c>
      <c r="E54" t="n">
        <v>16.0311</v>
      </c>
      <c r="F54" t="n">
        <v>0.08753</v>
      </c>
    </row>
    <row r="55">
      <c r="A55" t="n">
        <v>1000053</v>
      </c>
      <c r="B55" t="n">
        <v>1</v>
      </c>
      <c r="C55" t="n">
        <v>53</v>
      </c>
      <c r="D55" t="n">
        <v>0.1457</v>
      </c>
      <c r="E55" t="n">
        <v>16.0672</v>
      </c>
      <c r="F55" t="n">
        <v>0.08742999999999999</v>
      </c>
    </row>
    <row r="56">
      <c r="A56" t="n">
        <v>1000054</v>
      </c>
      <c r="B56" t="n">
        <v>1</v>
      </c>
      <c r="C56" t="n">
        <v>54</v>
      </c>
      <c r="D56" t="n">
        <v>0.1412</v>
      </c>
      <c r="E56" t="n">
        <v>16.1023</v>
      </c>
      <c r="F56" t="n">
        <v>0.08734</v>
      </c>
    </row>
    <row r="57">
      <c r="A57" t="n">
        <v>1000055</v>
      </c>
      <c r="B57" t="n">
        <v>1</v>
      </c>
      <c r="C57" t="n">
        <v>55</v>
      </c>
      <c r="D57" t="n">
        <v>0.1368</v>
      </c>
      <c r="E57" t="n">
        <v>16.1365</v>
      </c>
      <c r="F57" t="n">
        <v>0.08724999999999999</v>
      </c>
    </row>
    <row r="58">
      <c r="A58" t="n">
        <v>1000056</v>
      </c>
      <c r="B58" t="n">
        <v>1</v>
      </c>
      <c r="C58" t="n">
        <v>56</v>
      </c>
      <c r="D58" t="n">
        <v>0.1324</v>
      </c>
      <c r="E58" t="n">
        <v>16.1698</v>
      </c>
      <c r="F58" t="n">
        <v>0.08717</v>
      </c>
    </row>
    <row r="59">
      <c r="A59" t="n">
        <v>1000057</v>
      </c>
      <c r="B59" t="n">
        <v>1</v>
      </c>
      <c r="C59" t="n">
        <v>57</v>
      </c>
      <c r="D59" t="n">
        <v>0.128</v>
      </c>
      <c r="E59" t="n">
        <v>16.2021</v>
      </c>
      <c r="F59" t="n">
        <v>0.08708</v>
      </c>
    </row>
    <row r="60">
      <c r="A60" t="n">
        <v>1000058</v>
      </c>
      <c r="B60" t="n">
        <v>1</v>
      </c>
      <c r="C60" t="n">
        <v>58</v>
      </c>
      <c r="D60" t="n">
        <v>0.1238</v>
      </c>
      <c r="E60" t="n">
        <v>16.2336</v>
      </c>
      <c r="F60" t="n">
        <v>0.08699999999999999</v>
      </c>
    </row>
    <row r="61">
      <c r="A61" t="n">
        <v>1000059</v>
      </c>
      <c r="B61" t="n">
        <v>1</v>
      </c>
      <c r="C61" t="n">
        <v>59</v>
      </c>
      <c r="D61" t="n">
        <v>0.1196</v>
      </c>
      <c r="E61" t="n">
        <v>16.2642</v>
      </c>
      <c r="F61" t="n">
        <v>0.08692</v>
      </c>
    </row>
    <row r="62">
      <c r="A62" t="n">
        <v>1000060</v>
      </c>
      <c r="B62" t="n">
        <v>1</v>
      </c>
      <c r="C62" t="n">
        <v>60</v>
      </c>
      <c r="D62" t="n">
        <v>0.1154</v>
      </c>
      <c r="E62" t="n">
        <v>16.2941</v>
      </c>
      <c r="F62" t="n">
        <v>0.08684</v>
      </c>
    </row>
    <row r="63">
      <c r="A63" t="n">
        <v>1000061</v>
      </c>
      <c r="B63" t="n">
        <v>1</v>
      </c>
      <c r="C63" t="n">
        <v>61</v>
      </c>
      <c r="D63" t="n">
        <v>0.1113</v>
      </c>
      <c r="E63" t="n">
        <v>16.3231</v>
      </c>
      <c r="F63" t="n">
        <v>0.08676</v>
      </c>
    </row>
    <row r="64">
      <c r="A64" t="n">
        <v>1000062</v>
      </c>
      <c r="B64" t="n">
        <v>1</v>
      </c>
      <c r="C64" t="n">
        <v>62</v>
      </c>
      <c r="D64" t="n">
        <v>0.1072</v>
      </c>
      <c r="E64" t="n">
        <v>16.3513</v>
      </c>
      <c r="F64" t="n">
        <v>0.08669</v>
      </c>
    </row>
    <row r="65">
      <c r="A65" t="n">
        <v>1000063</v>
      </c>
      <c r="B65" t="n">
        <v>1</v>
      </c>
      <c r="C65" t="n">
        <v>63</v>
      </c>
      <c r="D65" t="n">
        <v>0.1032</v>
      </c>
      <c r="E65" t="n">
        <v>16.3787</v>
      </c>
      <c r="F65" t="n">
        <v>0.08661000000000001</v>
      </c>
    </row>
    <row r="66">
      <c r="A66" t="n">
        <v>1000064</v>
      </c>
      <c r="B66" t="n">
        <v>1</v>
      </c>
      <c r="C66" t="n">
        <v>64</v>
      </c>
      <c r="D66" t="n">
        <v>0.0993</v>
      </c>
      <c r="E66" t="n">
        <v>16.4053</v>
      </c>
      <c r="F66" t="n">
        <v>0.08654000000000001</v>
      </c>
    </row>
    <row r="67">
      <c r="A67" t="n">
        <v>1000065</v>
      </c>
      <c r="B67" t="n">
        <v>1</v>
      </c>
      <c r="C67" t="n">
        <v>65</v>
      </c>
      <c r="D67" t="n">
        <v>0.0954</v>
      </c>
      <c r="E67" t="n">
        <v>16.4312</v>
      </c>
      <c r="F67" t="n">
        <v>0.08646</v>
      </c>
    </row>
    <row r="68">
      <c r="A68" t="n">
        <v>1000066</v>
      </c>
      <c r="B68" t="n">
        <v>1</v>
      </c>
      <c r="C68" t="n">
        <v>66</v>
      </c>
      <c r="D68" t="n">
        <v>0.0915</v>
      </c>
      <c r="E68" t="n">
        <v>16.4562</v>
      </c>
      <c r="F68" t="n">
        <v>0.08638999999999999</v>
      </c>
    </row>
    <row r="69">
      <c r="A69" t="n">
        <v>1000067</v>
      </c>
      <c r="B69" t="n">
        <v>1</v>
      </c>
      <c r="C69" t="n">
        <v>67</v>
      </c>
      <c r="D69" t="n">
        <v>0.0877</v>
      </c>
      <c r="E69" t="n">
        <v>16.4806</v>
      </c>
      <c r="F69" t="n">
        <v>0.08631999999999999</v>
      </c>
    </row>
    <row r="70">
      <c r="A70" t="n">
        <v>1000068</v>
      </c>
      <c r="B70" t="n">
        <v>1</v>
      </c>
      <c r="C70" t="n">
        <v>68</v>
      </c>
      <c r="D70" t="n">
        <v>0.08400000000000001</v>
      </c>
      <c r="E70" t="n">
        <v>16.5042</v>
      </c>
      <c r="F70" t="n">
        <v>0.08626</v>
      </c>
    </row>
    <row r="71">
      <c r="A71" t="n">
        <v>1000069</v>
      </c>
      <c r="B71" t="n">
        <v>1</v>
      </c>
      <c r="C71" t="n">
        <v>69</v>
      </c>
      <c r="D71" t="n">
        <v>0.0803</v>
      </c>
      <c r="E71" t="n">
        <v>16.5271</v>
      </c>
      <c r="F71" t="n">
        <v>0.08619</v>
      </c>
    </row>
    <row r="72">
      <c r="A72" t="n">
        <v>1000070</v>
      </c>
      <c r="B72" t="n">
        <v>1</v>
      </c>
      <c r="C72" t="n">
        <v>70</v>
      </c>
      <c r="D72" t="n">
        <v>0.0766</v>
      </c>
      <c r="E72" t="n">
        <v>16.5494</v>
      </c>
      <c r="F72" t="n">
        <v>0.08612</v>
      </c>
    </row>
    <row r="73">
      <c r="A73" t="n">
        <v>1000071</v>
      </c>
      <c r="B73" t="n">
        <v>1</v>
      </c>
      <c r="C73" t="n">
        <v>71</v>
      </c>
      <c r="D73" t="n">
        <v>0.07290000000000001</v>
      </c>
      <c r="E73" t="n">
        <v>16.571</v>
      </c>
      <c r="F73" t="n">
        <v>0.08606</v>
      </c>
    </row>
    <row r="74">
      <c r="A74" t="n">
        <v>1000072</v>
      </c>
      <c r="B74" t="n">
        <v>1</v>
      </c>
      <c r="C74" t="n">
        <v>72</v>
      </c>
      <c r="D74" t="n">
        <v>0.0693</v>
      </c>
      <c r="E74" t="n">
        <v>16.592</v>
      </c>
      <c r="F74" t="n">
        <v>0.08599</v>
      </c>
    </row>
    <row r="75">
      <c r="A75" t="n">
        <v>1000073</v>
      </c>
      <c r="B75" t="n">
        <v>1</v>
      </c>
      <c r="C75" t="n">
        <v>73</v>
      </c>
      <c r="D75" t="n">
        <v>0.0658</v>
      </c>
      <c r="E75" t="n">
        <v>16.6124</v>
      </c>
      <c r="F75" t="n">
        <v>0.08593000000000001</v>
      </c>
    </row>
    <row r="76">
      <c r="A76" t="n">
        <v>1000074</v>
      </c>
      <c r="B76" t="n">
        <v>1</v>
      </c>
      <c r="C76" t="n">
        <v>74</v>
      </c>
      <c r="D76" t="n">
        <v>0.0623</v>
      </c>
      <c r="E76" t="n">
        <v>16.6321</v>
      </c>
      <c r="F76" t="n">
        <v>0.08587</v>
      </c>
    </row>
    <row r="77">
      <c r="A77" t="n">
        <v>1000075</v>
      </c>
      <c r="B77" t="n">
        <v>1</v>
      </c>
      <c r="C77" t="n">
        <v>75</v>
      </c>
      <c r="D77" t="n">
        <v>0.0588</v>
      </c>
      <c r="E77" t="n">
        <v>16.6514</v>
      </c>
      <c r="F77" t="n">
        <v>0.08581</v>
      </c>
    </row>
    <row r="78">
      <c r="A78" t="n">
        <v>1000076</v>
      </c>
      <c r="B78" t="n">
        <v>1</v>
      </c>
      <c r="C78" t="n">
        <v>76</v>
      </c>
      <c r="D78" t="n">
        <v>0.0554</v>
      </c>
      <c r="E78" t="n">
        <v>16.67</v>
      </c>
      <c r="F78" t="n">
        <v>0.08575000000000001</v>
      </c>
    </row>
    <row r="79">
      <c r="A79" t="n">
        <v>1000077</v>
      </c>
      <c r="B79" t="n">
        <v>1</v>
      </c>
      <c r="C79" t="n">
        <v>77</v>
      </c>
      <c r="D79" t="n">
        <v>0.052</v>
      </c>
      <c r="E79" t="n">
        <v>16.6882</v>
      </c>
      <c r="F79" t="n">
        <v>0.08569</v>
      </c>
    </row>
    <row r="80">
      <c r="A80" t="n">
        <v>1000078</v>
      </c>
      <c r="B80" t="n">
        <v>1</v>
      </c>
      <c r="C80" t="n">
        <v>78</v>
      </c>
      <c r="D80" t="n">
        <v>0.0486</v>
      </c>
      <c r="E80" t="n">
        <v>16.7058</v>
      </c>
      <c r="F80" t="n">
        <v>0.08563999999999999</v>
      </c>
    </row>
    <row r="81">
      <c r="A81" t="n">
        <v>1000079</v>
      </c>
      <c r="B81" t="n">
        <v>1</v>
      </c>
      <c r="C81" t="n">
        <v>79</v>
      </c>
      <c r="D81" t="n">
        <v>0.0452</v>
      </c>
      <c r="E81" t="n">
        <v>16.7229</v>
      </c>
      <c r="F81" t="n">
        <v>0.08558</v>
      </c>
    </row>
    <row r="82">
      <c r="A82" t="n">
        <v>1000080</v>
      </c>
      <c r="B82" t="n">
        <v>1</v>
      </c>
      <c r="C82" t="n">
        <v>80</v>
      </c>
      <c r="D82" t="n">
        <v>0.0419</v>
      </c>
      <c r="E82" t="n">
        <v>16.7396</v>
      </c>
      <c r="F82" t="n">
        <v>0.08552</v>
      </c>
    </row>
    <row r="83">
      <c r="A83" t="n">
        <v>1000081</v>
      </c>
      <c r="B83" t="n">
        <v>1</v>
      </c>
      <c r="C83" t="n">
        <v>81</v>
      </c>
      <c r="D83" t="n">
        <v>0.0387</v>
      </c>
      <c r="E83" t="n">
        <v>16.7557</v>
      </c>
      <c r="F83" t="n">
        <v>0.08547</v>
      </c>
    </row>
    <row r="84">
      <c r="A84" t="n">
        <v>1000082</v>
      </c>
      <c r="B84" t="n">
        <v>1</v>
      </c>
      <c r="C84" t="n">
        <v>82</v>
      </c>
      <c r="D84" t="n">
        <v>0.0354</v>
      </c>
      <c r="E84" t="n">
        <v>16.7715</v>
      </c>
      <c r="F84" t="n">
        <v>0.08541</v>
      </c>
    </row>
    <row r="85">
      <c r="A85" t="n">
        <v>1000083</v>
      </c>
      <c r="B85" t="n">
        <v>1</v>
      </c>
      <c r="C85" t="n">
        <v>83</v>
      </c>
      <c r="D85" t="n">
        <v>0.0322</v>
      </c>
      <c r="E85" t="n">
        <v>16.7867</v>
      </c>
      <c r="F85" t="n">
        <v>0.08536000000000001</v>
      </c>
    </row>
    <row r="86">
      <c r="A86" t="n">
        <v>1000084</v>
      </c>
      <c r="B86" t="n">
        <v>1</v>
      </c>
      <c r="C86" t="n">
        <v>84</v>
      </c>
      <c r="D86" t="n">
        <v>0.0291</v>
      </c>
      <c r="E86" t="n">
        <v>16.8016</v>
      </c>
      <c r="F86" t="n">
        <v>0.08531</v>
      </c>
    </row>
    <row r="87">
      <c r="A87" t="n">
        <v>1000085</v>
      </c>
      <c r="B87" t="n">
        <v>1</v>
      </c>
      <c r="C87" t="n">
        <v>85</v>
      </c>
      <c r="D87" t="n">
        <v>0.0259</v>
      </c>
      <c r="E87" t="n">
        <v>16.8161</v>
      </c>
      <c r="F87" t="n">
        <v>0.08526</v>
      </c>
    </row>
    <row r="88">
      <c r="A88" t="n">
        <v>1000086</v>
      </c>
      <c r="B88" t="n">
        <v>1</v>
      </c>
      <c r="C88" t="n">
        <v>86</v>
      </c>
      <c r="D88" t="n">
        <v>0.0228</v>
      </c>
      <c r="E88" t="n">
        <v>16.8301</v>
      </c>
      <c r="F88" t="n">
        <v>0.08520999999999999</v>
      </c>
    </row>
    <row r="89">
      <c r="A89" t="n">
        <v>1000087</v>
      </c>
      <c r="B89" t="n">
        <v>1</v>
      </c>
      <c r="C89" t="n">
        <v>87</v>
      </c>
      <c r="D89" t="n">
        <v>0.0197</v>
      </c>
      <c r="E89" t="n">
        <v>16.8438</v>
      </c>
      <c r="F89" t="n">
        <v>0.08516</v>
      </c>
    </row>
    <row r="90">
      <c r="A90" t="n">
        <v>1000088</v>
      </c>
      <c r="B90" t="n">
        <v>1</v>
      </c>
      <c r="C90" t="n">
        <v>88</v>
      </c>
      <c r="D90" t="n">
        <v>0.0167</v>
      </c>
      <c r="E90" t="n">
        <v>16.8571</v>
      </c>
      <c r="F90" t="n">
        <v>0.08511000000000001</v>
      </c>
    </row>
    <row r="91">
      <c r="A91" t="n">
        <v>1000089</v>
      </c>
      <c r="B91" t="n">
        <v>1</v>
      </c>
      <c r="C91" t="n">
        <v>89</v>
      </c>
      <c r="D91" t="n">
        <v>0.0137</v>
      </c>
      <c r="E91" t="n">
        <v>16.8701</v>
      </c>
      <c r="F91" t="n">
        <v>0.08506</v>
      </c>
    </row>
    <row r="92">
      <c r="A92" t="n">
        <v>1000090</v>
      </c>
      <c r="B92" t="n">
        <v>1</v>
      </c>
      <c r="C92" t="n">
        <v>90</v>
      </c>
      <c r="D92" t="n">
        <v>0.0107</v>
      </c>
      <c r="E92" t="n">
        <v>16.8827</v>
      </c>
      <c r="F92" t="n">
        <v>0.08501</v>
      </c>
    </row>
    <row r="93">
      <c r="A93" t="n">
        <v>1000091</v>
      </c>
      <c r="B93" t="n">
        <v>1</v>
      </c>
      <c r="C93" t="n">
        <v>91</v>
      </c>
      <c r="D93" t="n">
        <v>0.0077</v>
      </c>
      <c r="E93" t="n">
        <v>16.895</v>
      </c>
      <c r="F93" t="n">
        <v>0.08495999999999999</v>
      </c>
    </row>
    <row r="94">
      <c r="A94" t="n">
        <v>1000092</v>
      </c>
      <c r="B94" t="n">
        <v>1</v>
      </c>
      <c r="C94" t="n">
        <v>92</v>
      </c>
      <c r="D94" t="n">
        <v>0.0048</v>
      </c>
      <c r="E94" t="n">
        <v>16.9069</v>
      </c>
      <c r="F94" t="n">
        <v>0.08492</v>
      </c>
    </row>
    <row r="95">
      <c r="A95" t="n">
        <v>1000093</v>
      </c>
      <c r="B95" t="n">
        <v>1</v>
      </c>
      <c r="C95" t="n">
        <v>93</v>
      </c>
      <c r="D95" t="n">
        <v>0.0018</v>
      </c>
      <c r="E95" t="n">
        <v>16.9186</v>
      </c>
      <c r="F95" t="n">
        <v>0.08487</v>
      </c>
    </row>
    <row r="96">
      <c r="A96" t="n">
        <v>1000094</v>
      </c>
      <c r="B96" t="n">
        <v>1</v>
      </c>
      <c r="C96" t="n">
        <v>94</v>
      </c>
      <c r="D96" t="n">
        <v>-0.0011</v>
      </c>
      <c r="E96" t="n">
        <v>16.9299</v>
      </c>
      <c r="F96" t="n">
        <v>0.08483</v>
      </c>
    </row>
    <row r="97">
      <c r="A97" t="n">
        <v>1000095</v>
      </c>
      <c r="B97" t="n">
        <v>1</v>
      </c>
      <c r="C97" t="n">
        <v>95</v>
      </c>
      <c r="D97" t="n">
        <v>-0.0039</v>
      </c>
      <c r="E97" t="n">
        <v>16.941</v>
      </c>
      <c r="F97" t="n">
        <v>0.08477999999999999</v>
      </c>
    </row>
    <row r="98">
      <c r="A98" t="n">
        <v>1000096</v>
      </c>
      <c r="B98" t="n">
        <v>1</v>
      </c>
      <c r="C98" t="n">
        <v>96</v>
      </c>
      <c r="D98" t="n">
        <v>-0.0068</v>
      </c>
      <c r="E98" t="n">
        <v>16.9518</v>
      </c>
      <c r="F98" t="n">
        <v>0.08474</v>
      </c>
    </row>
    <row r="99">
      <c r="A99" t="n">
        <v>1000097</v>
      </c>
      <c r="B99" t="n">
        <v>1</v>
      </c>
      <c r="C99" t="n">
        <v>97</v>
      </c>
      <c r="D99" t="n">
        <v>-0.009599999999999999</v>
      </c>
      <c r="E99" t="n">
        <v>16.9623</v>
      </c>
      <c r="F99" t="n">
        <v>0.0847</v>
      </c>
    </row>
    <row r="100">
      <c r="A100" t="n">
        <v>1000098</v>
      </c>
      <c r="B100" t="n">
        <v>1</v>
      </c>
      <c r="C100" t="n">
        <v>98</v>
      </c>
      <c r="D100" t="n">
        <v>-0.0124</v>
      </c>
      <c r="E100" t="n">
        <v>16.9725</v>
      </c>
      <c r="F100" t="n">
        <v>0.08465</v>
      </c>
    </row>
    <row r="101">
      <c r="A101" t="n">
        <v>1000099</v>
      </c>
      <c r="B101" t="n">
        <v>1</v>
      </c>
      <c r="C101" t="n">
        <v>99</v>
      </c>
      <c r="D101" t="n">
        <v>-0.0151</v>
      </c>
      <c r="E101" t="n">
        <v>16.9825</v>
      </c>
      <c r="F101" t="n">
        <v>0.08461</v>
      </c>
    </row>
    <row r="102">
      <c r="A102" t="n">
        <v>1000100</v>
      </c>
      <c r="B102" t="n">
        <v>1</v>
      </c>
      <c r="C102" t="n">
        <v>100</v>
      </c>
      <c r="D102" t="n">
        <v>-0.0179</v>
      </c>
      <c r="E102" t="n">
        <v>16.9923</v>
      </c>
      <c r="F102" t="n">
        <v>0.08457000000000001</v>
      </c>
    </row>
    <row r="103">
      <c r="A103" t="n">
        <v>1000101</v>
      </c>
      <c r="B103" t="n">
        <v>1</v>
      </c>
      <c r="C103" t="n">
        <v>101</v>
      </c>
      <c r="D103" t="n">
        <v>-0.0206</v>
      </c>
      <c r="E103" t="n">
        <v>17.0018</v>
      </c>
      <c r="F103" t="n">
        <v>0.08452999999999999</v>
      </c>
    </row>
    <row r="104">
      <c r="A104" t="n">
        <v>1000102</v>
      </c>
      <c r="B104" t="n">
        <v>1</v>
      </c>
      <c r="C104" t="n">
        <v>102</v>
      </c>
      <c r="D104" t="n">
        <v>-0.0233</v>
      </c>
      <c r="E104" t="n">
        <v>17.0111</v>
      </c>
      <c r="F104" t="n">
        <v>0.08449</v>
      </c>
    </row>
    <row r="105">
      <c r="A105" t="n">
        <v>1000103</v>
      </c>
      <c r="B105" t="n">
        <v>1</v>
      </c>
      <c r="C105" t="n">
        <v>103</v>
      </c>
      <c r="D105" t="n">
        <v>-0.026</v>
      </c>
      <c r="E105" t="n">
        <v>17.0201</v>
      </c>
      <c r="F105" t="n">
        <v>0.08445</v>
      </c>
    </row>
    <row r="106">
      <c r="A106" t="n">
        <v>1000104</v>
      </c>
      <c r="B106" t="n">
        <v>1</v>
      </c>
      <c r="C106" t="n">
        <v>104</v>
      </c>
      <c r="D106" t="n">
        <v>-0.0287</v>
      </c>
      <c r="E106" t="n">
        <v>17.029</v>
      </c>
      <c r="F106" t="n">
        <v>0.08441</v>
      </c>
    </row>
    <row r="107">
      <c r="A107" t="n">
        <v>1000105</v>
      </c>
      <c r="B107" t="n">
        <v>1</v>
      </c>
      <c r="C107" t="n">
        <v>105</v>
      </c>
      <c r="D107" t="n">
        <v>-0.0313</v>
      </c>
      <c r="E107" t="n">
        <v>17.0376</v>
      </c>
      <c r="F107" t="n">
        <v>0.08437</v>
      </c>
    </row>
    <row r="108">
      <c r="A108" t="n">
        <v>1000106</v>
      </c>
      <c r="B108" t="n">
        <v>1</v>
      </c>
      <c r="C108" t="n">
        <v>106</v>
      </c>
      <c r="D108" t="n">
        <v>-0.0339</v>
      </c>
      <c r="E108" t="n">
        <v>17.0461</v>
      </c>
      <c r="F108" t="n">
        <v>0.08433</v>
      </c>
    </row>
    <row r="109">
      <c r="A109" t="n">
        <v>1000107</v>
      </c>
      <c r="B109" t="n">
        <v>1</v>
      </c>
      <c r="C109" t="n">
        <v>107</v>
      </c>
      <c r="D109" t="n">
        <v>-0.0365</v>
      </c>
      <c r="E109" t="n">
        <v>17.0544</v>
      </c>
      <c r="F109" t="n">
        <v>0.08429</v>
      </c>
    </row>
    <row r="110">
      <c r="A110" t="n">
        <v>1000108</v>
      </c>
      <c r="B110" t="n">
        <v>1</v>
      </c>
      <c r="C110" t="n">
        <v>108</v>
      </c>
      <c r="D110" t="n">
        <v>-0.0391</v>
      </c>
      <c r="E110" t="n">
        <v>17.0624</v>
      </c>
      <c r="F110" t="n">
        <v>0.08426</v>
      </c>
    </row>
    <row r="111">
      <c r="A111" t="n">
        <v>1000109</v>
      </c>
      <c r="B111" t="n">
        <v>1</v>
      </c>
      <c r="C111" t="n">
        <v>109</v>
      </c>
      <c r="D111" t="n">
        <v>-0.0416</v>
      </c>
      <c r="E111" t="n">
        <v>17.0704</v>
      </c>
      <c r="F111" t="n">
        <v>0.08422</v>
      </c>
    </row>
    <row r="112">
      <c r="A112" t="n">
        <v>1000110</v>
      </c>
      <c r="B112" t="n">
        <v>1</v>
      </c>
      <c r="C112" t="n">
        <v>110</v>
      </c>
      <c r="D112" t="n">
        <v>-0.0442</v>
      </c>
      <c r="E112" t="n">
        <v>17.0781</v>
      </c>
      <c r="F112" t="n">
        <v>0.08418</v>
      </c>
    </row>
    <row r="113">
      <c r="A113" t="n">
        <v>1000111</v>
      </c>
      <c r="B113" t="n">
        <v>1</v>
      </c>
      <c r="C113" t="n">
        <v>111</v>
      </c>
      <c r="D113" t="n">
        <v>-0.0467</v>
      </c>
      <c r="E113" t="n">
        <v>17.0857</v>
      </c>
      <c r="F113" t="n">
        <v>0.08415</v>
      </c>
    </row>
    <row r="114">
      <c r="A114" t="n">
        <v>1000112</v>
      </c>
      <c r="B114" t="n">
        <v>1</v>
      </c>
      <c r="C114" t="n">
        <v>112</v>
      </c>
      <c r="D114" t="n">
        <v>-0.0492</v>
      </c>
      <c r="E114" t="n">
        <v>17.0931</v>
      </c>
      <c r="F114" t="n">
        <v>0.08411</v>
      </c>
    </row>
    <row r="115">
      <c r="A115" t="n">
        <v>1000113</v>
      </c>
      <c r="B115" t="n">
        <v>1</v>
      </c>
      <c r="C115" t="n">
        <v>113</v>
      </c>
      <c r="D115" t="n">
        <v>-0.0517</v>
      </c>
      <c r="E115" t="n">
        <v>17.1003</v>
      </c>
      <c r="F115" t="n">
        <v>0.08408</v>
      </c>
    </row>
    <row r="116">
      <c r="A116" t="n">
        <v>1000114</v>
      </c>
      <c r="B116" t="n">
        <v>1</v>
      </c>
      <c r="C116" t="n">
        <v>114</v>
      </c>
      <c r="D116" t="n">
        <v>-0.0541</v>
      </c>
      <c r="E116" t="n">
        <v>17.1074</v>
      </c>
      <c r="F116" t="n">
        <v>0.08404</v>
      </c>
    </row>
    <row r="117">
      <c r="A117" t="n">
        <v>1000115</v>
      </c>
      <c r="B117" t="n">
        <v>1</v>
      </c>
      <c r="C117" t="n">
        <v>115</v>
      </c>
      <c r="D117" t="n">
        <v>-0.0566</v>
      </c>
      <c r="E117" t="n">
        <v>17.1144</v>
      </c>
      <c r="F117" t="n">
        <v>0.08401</v>
      </c>
    </row>
    <row r="118">
      <c r="A118" t="n">
        <v>1000116</v>
      </c>
      <c r="B118" t="n">
        <v>1</v>
      </c>
      <c r="C118" t="n">
        <v>116</v>
      </c>
      <c r="D118" t="n">
        <v>-0.059</v>
      </c>
      <c r="E118" t="n">
        <v>17.1212</v>
      </c>
      <c r="F118" t="n">
        <v>0.08397</v>
      </c>
    </row>
    <row r="119">
      <c r="A119" t="n">
        <v>1000117</v>
      </c>
      <c r="B119" t="n">
        <v>1</v>
      </c>
      <c r="C119" t="n">
        <v>117</v>
      </c>
      <c r="D119" t="n">
        <v>-0.0614</v>
      </c>
      <c r="E119" t="n">
        <v>17.1279</v>
      </c>
      <c r="F119" t="n">
        <v>0.08394</v>
      </c>
    </row>
    <row r="120">
      <c r="A120" t="n">
        <v>1000118</v>
      </c>
      <c r="B120" t="n">
        <v>1</v>
      </c>
      <c r="C120" t="n">
        <v>118</v>
      </c>
      <c r="D120" t="n">
        <v>-0.0638</v>
      </c>
      <c r="E120" t="n">
        <v>17.1344</v>
      </c>
      <c r="F120" t="n">
        <v>0.08391</v>
      </c>
    </row>
    <row r="121">
      <c r="A121" t="n">
        <v>1000119</v>
      </c>
      <c r="B121" t="n">
        <v>1</v>
      </c>
      <c r="C121" t="n">
        <v>119</v>
      </c>
      <c r="D121" t="n">
        <v>-0.06619999999999999</v>
      </c>
      <c r="E121" t="n">
        <v>17.1409</v>
      </c>
      <c r="F121" t="n">
        <v>0.08387</v>
      </c>
    </row>
    <row r="122">
      <c r="A122" t="n">
        <v>1000120</v>
      </c>
      <c r="B122" t="n">
        <v>1</v>
      </c>
      <c r="C122" t="n">
        <v>120</v>
      </c>
      <c r="D122" t="n">
        <v>-0.06859999999999999</v>
      </c>
      <c r="E122" t="n">
        <v>17.1472</v>
      </c>
      <c r="F122" t="n">
        <v>0.08384</v>
      </c>
    </row>
    <row r="123">
      <c r="A123" t="n">
        <v>1000121</v>
      </c>
      <c r="B123" t="n">
        <v>1</v>
      </c>
      <c r="C123" t="n">
        <v>121</v>
      </c>
      <c r="D123" t="n">
        <v>-0.0709</v>
      </c>
      <c r="E123" t="n">
        <v>17.1533</v>
      </c>
      <c r="F123" t="n">
        <v>0.08381</v>
      </c>
    </row>
    <row r="124">
      <c r="A124" t="n">
        <v>1000122</v>
      </c>
      <c r="B124" t="n">
        <v>1</v>
      </c>
      <c r="C124" t="n">
        <v>122</v>
      </c>
      <c r="D124" t="n">
        <v>-0.0732</v>
      </c>
      <c r="E124" t="n">
        <v>17.1594</v>
      </c>
      <c r="F124" t="n">
        <v>0.08377999999999999</v>
      </c>
    </row>
    <row r="125">
      <c r="A125" t="n">
        <v>1000123</v>
      </c>
      <c r="B125" t="n">
        <v>1</v>
      </c>
      <c r="C125" t="n">
        <v>123</v>
      </c>
      <c r="D125" t="n">
        <v>-0.0756</v>
      </c>
      <c r="E125" t="n">
        <v>17.1653</v>
      </c>
      <c r="F125" t="n">
        <v>0.08375</v>
      </c>
    </row>
    <row r="126">
      <c r="A126" t="n">
        <v>1000124</v>
      </c>
      <c r="B126" t="n">
        <v>1</v>
      </c>
      <c r="C126" t="n">
        <v>124</v>
      </c>
      <c r="D126" t="n">
        <v>-0.0779</v>
      </c>
      <c r="E126" t="n">
        <v>17.1712</v>
      </c>
      <c r="F126" t="n">
        <v>0.08371000000000001</v>
      </c>
    </row>
    <row r="127">
      <c r="A127" t="n">
        <v>1000125</v>
      </c>
      <c r="B127" t="n">
        <v>1</v>
      </c>
      <c r="C127" t="n">
        <v>125</v>
      </c>
      <c r="D127" t="n">
        <v>-0.0801</v>
      </c>
      <c r="E127" t="n">
        <v>17.1769</v>
      </c>
      <c r="F127" t="n">
        <v>0.08368</v>
      </c>
    </row>
    <row r="128">
      <c r="A128" t="n">
        <v>1000126</v>
      </c>
      <c r="B128" t="n">
        <v>1</v>
      </c>
      <c r="C128" t="n">
        <v>126</v>
      </c>
      <c r="D128" t="n">
        <v>-0.0824</v>
      </c>
      <c r="E128" t="n">
        <v>17.1825</v>
      </c>
      <c r="F128" t="n">
        <v>0.08365</v>
      </c>
    </row>
    <row r="129">
      <c r="A129" t="n">
        <v>1000127</v>
      </c>
      <c r="B129" t="n">
        <v>1</v>
      </c>
      <c r="C129" t="n">
        <v>127</v>
      </c>
      <c r="D129" t="n">
        <v>-0.0847</v>
      </c>
      <c r="E129" t="n">
        <v>17.188</v>
      </c>
      <c r="F129" t="n">
        <v>0.08362</v>
      </c>
    </row>
    <row r="130">
      <c r="A130" t="n">
        <v>1000128</v>
      </c>
      <c r="B130" t="n">
        <v>1</v>
      </c>
      <c r="C130" t="n">
        <v>128</v>
      </c>
      <c r="D130" t="n">
        <v>-0.08690000000000001</v>
      </c>
      <c r="E130" t="n">
        <v>17.1934</v>
      </c>
      <c r="F130" t="n">
        <v>0.08359</v>
      </c>
    </row>
    <row r="131">
      <c r="A131" t="n">
        <v>1000129</v>
      </c>
      <c r="B131" t="n">
        <v>1</v>
      </c>
      <c r="C131" t="n">
        <v>129</v>
      </c>
      <c r="D131" t="n">
        <v>-0.0891</v>
      </c>
      <c r="E131" t="n">
        <v>17.1987</v>
      </c>
      <c r="F131" t="n">
        <v>0.08356</v>
      </c>
    </row>
    <row r="132">
      <c r="A132" t="n">
        <v>1000130</v>
      </c>
      <c r="B132" t="n">
        <v>1</v>
      </c>
      <c r="C132" t="n">
        <v>130</v>
      </c>
      <c r="D132" t="n">
        <v>-0.09130000000000001</v>
      </c>
      <c r="E132" t="n">
        <v>17.2038</v>
      </c>
      <c r="F132" t="n">
        <v>0.08354</v>
      </c>
    </row>
    <row r="133">
      <c r="A133" t="n">
        <v>1000131</v>
      </c>
      <c r="B133" t="n">
        <v>1</v>
      </c>
      <c r="C133" t="n">
        <v>131</v>
      </c>
      <c r="D133" t="n">
        <v>-0.0935</v>
      </c>
      <c r="E133" t="n">
        <v>17.2089</v>
      </c>
      <c r="F133" t="n">
        <v>0.08351</v>
      </c>
    </row>
    <row r="134">
      <c r="A134" t="n">
        <v>1000132</v>
      </c>
      <c r="B134" t="n">
        <v>1</v>
      </c>
      <c r="C134" t="n">
        <v>132</v>
      </c>
      <c r="D134" t="n">
        <v>-0.09569999999999999</v>
      </c>
      <c r="E134" t="n">
        <v>17.2138</v>
      </c>
      <c r="F134" t="n">
        <v>0.08348</v>
      </c>
    </row>
    <row r="135">
      <c r="A135" t="n">
        <v>1000133</v>
      </c>
      <c r="B135" t="n">
        <v>1</v>
      </c>
      <c r="C135" t="n">
        <v>133</v>
      </c>
      <c r="D135" t="n">
        <v>-0.0979</v>
      </c>
      <c r="E135" t="n">
        <v>17.2187</v>
      </c>
      <c r="F135" t="n">
        <v>0.08345</v>
      </c>
    </row>
    <row r="136">
      <c r="A136" t="n">
        <v>1000134</v>
      </c>
      <c r="B136" t="n">
        <v>1</v>
      </c>
      <c r="C136" t="n">
        <v>134</v>
      </c>
      <c r="D136" t="n">
        <v>-0.1</v>
      </c>
      <c r="E136" t="n">
        <v>17.2234</v>
      </c>
      <c r="F136" t="n">
        <v>0.08341999999999999</v>
      </c>
    </row>
    <row r="137">
      <c r="A137" t="n">
        <v>1000135</v>
      </c>
      <c r="B137" t="n">
        <v>1</v>
      </c>
      <c r="C137" t="n">
        <v>135</v>
      </c>
      <c r="D137" t="n">
        <v>-0.1022</v>
      </c>
      <c r="E137" t="n">
        <v>17.2281</v>
      </c>
      <c r="F137" t="n">
        <v>0.0834</v>
      </c>
    </row>
    <row r="138">
      <c r="A138" t="n">
        <v>1000136</v>
      </c>
      <c r="B138" t="n">
        <v>1</v>
      </c>
      <c r="C138" t="n">
        <v>136</v>
      </c>
      <c r="D138" t="n">
        <v>-0.1043</v>
      </c>
      <c r="E138" t="n">
        <v>17.2326</v>
      </c>
      <c r="F138" t="n">
        <v>0.08337</v>
      </c>
    </row>
    <row r="139">
      <c r="A139" t="n">
        <v>1000137</v>
      </c>
      <c r="B139" t="n">
        <v>1</v>
      </c>
      <c r="C139" t="n">
        <v>137</v>
      </c>
      <c r="D139" t="n">
        <v>-0.1064</v>
      </c>
      <c r="E139" t="n">
        <v>17.237</v>
      </c>
      <c r="F139" t="n">
        <v>0.08334</v>
      </c>
    </row>
    <row r="140">
      <c r="A140" t="n">
        <v>1000138</v>
      </c>
      <c r="B140" t="n">
        <v>1</v>
      </c>
      <c r="C140" t="n">
        <v>138</v>
      </c>
      <c r="D140" t="n">
        <v>-0.1085</v>
      </c>
      <c r="E140" t="n">
        <v>17.2414</v>
      </c>
      <c r="F140" t="n">
        <v>0.08332000000000001</v>
      </c>
    </row>
    <row r="141">
      <c r="A141" t="n">
        <v>1000139</v>
      </c>
      <c r="B141" t="n">
        <v>1</v>
      </c>
      <c r="C141" t="n">
        <v>139</v>
      </c>
      <c r="D141" t="n">
        <v>-0.1106</v>
      </c>
      <c r="E141" t="n">
        <v>17.2456</v>
      </c>
      <c r="F141" t="n">
        <v>0.08329</v>
      </c>
    </row>
    <row r="142">
      <c r="A142" t="n">
        <v>1000140</v>
      </c>
      <c r="B142" t="n">
        <v>1</v>
      </c>
      <c r="C142" t="n">
        <v>140</v>
      </c>
      <c r="D142" t="n">
        <v>-0.1127</v>
      </c>
      <c r="E142" t="n">
        <v>17.2497</v>
      </c>
      <c r="F142" t="n">
        <v>0.08326</v>
      </c>
    </row>
    <row r="143">
      <c r="A143" t="n">
        <v>1000141</v>
      </c>
      <c r="B143" t="n">
        <v>1</v>
      </c>
      <c r="C143" t="n">
        <v>141</v>
      </c>
      <c r="D143" t="n">
        <v>-0.1147</v>
      </c>
      <c r="E143" t="n">
        <v>17.2537</v>
      </c>
      <c r="F143" t="n">
        <v>0.08323999999999999</v>
      </c>
    </row>
    <row r="144">
      <c r="A144" t="n">
        <v>1000142</v>
      </c>
      <c r="B144" t="n">
        <v>1</v>
      </c>
      <c r="C144" t="n">
        <v>142</v>
      </c>
      <c r="D144" t="n">
        <v>-0.1168</v>
      </c>
      <c r="E144" t="n">
        <v>17.2576</v>
      </c>
      <c r="F144" t="n">
        <v>0.08321000000000001</v>
      </c>
    </row>
    <row r="145">
      <c r="A145" t="n">
        <v>1000143</v>
      </c>
      <c r="B145" t="n">
        <v>1</v>
      </c>
      <c r="C145" t="n">
        <v>143</v>
      </c>
      <c r="D145" t="n">
        <v>-0.1188</v>
      </c>
      <c r="E145" t="n">
        <v>17.2615</v>
      </c>
      <c r="F145" t="n">
        <v>0.08319</v>
      </c>
    </row>
    <row r="146">
      <c r="A146" t="n">
        <v>1000144</v>
      </c>
      <c r="B146" t="n">
        <v>1</v>
      </c>
      <c r="C146" t="n">
        <v>144</v>
      </c>
      <c r="D146" t="n">
        <v>-0.1208</v>
      </c>
      <c r="E146" t="n">
        <v>17.2652</v>
      </c>
      <c r="F146" t="n">
        <v>0.08316</v>
      </c>
    </row>
    <row r="147">
      <c r="A147" t="n">
        <v>1000145</v>
      </c>
      <c r="B147" t="n">
        <v>1</v>
      </c>
      <c r="C147" t="n">
        <v>145</v>
      </c>
      <c r="D147" t="n">
        <v>-0.1229</v>
      </c>
      <c r="E147" t="n">
        <v>17.2688</v>
      </c>
      <c r="F147" t="n">
        <v>0.08314000000000001</v>
      </c>
    </row>
    <row r="148">
      <c r="A148" t="n">
        <v>1000146</v>
      </c>
      <c r="B148" t="n">
        <v>1</v>
      </c>
      <c r="C148" t="n">
        <v>146</v>
      </c>
      <c r="D148" t="n">
        <v>-0.1249</v>
      </c>
      <c r="E148" t="n">
        <v>17.2723</v>
      </c>
      <c r="F148" t="n">
        <v>0.08311</v>
      </c>
    </row>
    <row r="149">
      <c r="A149" t="n">
        <v>1000147</v>
      </c>
      <c r="B149" t="n">
        <v>1</v>
      </c>
      <c r="C149" t="n">
        <v>147</v>
      </c>
      <c r="D149" t="n">
        <v>-0.1269</v>
      </c>
      <c r="E149" t="n">
        <v>17.2757</v>
      </c>
      <c r="F149" t="n">
        <v>0.08309</v>
      </c>
    </row>
    <row r="150">
      <c r="A150" t="n">
        <v>1000148</v>
      </c>
      <c r="B150" t="n">
        <v>1</v>
      </c>
      <c r="C150" t="n">
        <v>148</v>
      </c>
      <c r="D150" t="n">
        <v>-0.1288</v>
      </c>
      <c r="E150" t="n">
        <v>17.2791</v>
      </c>
      <c r="F150" t="n">
        <v>0.08305999999999999</v>
      </c>
    </row>
    <row r="151">
      <c r="A151" t="n">
        <v>1000149</v>
      </c>
      <c r="B151" t="n">
        <v>1</v>
      </c>
      <c r="C151" t="n">
        <v>149</v>
      </c>
      <c r="D151" t="n">
        <v>-0.1308</v>
      </c>
      <c r="E151" t="n">
        <v>17.2823</v>
      </c>
      <c r="F151" t="n">
        <v>0.08304</v>
      </c>
    </row>
    <row r="152">
      <c r="A152" t="n">
        <v>1000150</v>
      </c>
      <c r="B152" t="n">
        <v>1</v>
      </c>
      <c r="C152" t="n">
        <v>150</v>
      </c>
      <c r="D152" t="n">
        <v>-0.1328</v>
      </c>
      <c r="E152" t="n">
        <v>17.2854</v>
      </c>
      <c r="F152" t="n">
        <v>0.08302</v>
      </c>
    </row>
    <row r="153">
      <c r="A153" t="n">
        <v>1000151</v>
      </c>
      <c r="B153" t="n">
        <v>1</v>
      </c>
      <c r="C153" t="n">
        <v>151</v>
      </c>
      <c r="D153" t="n">
        <v>-0.1347</v>
      </c>
      <c r="E153" t="n">
        <v>17.2885</v>
      </c>
      <c r="F153" t="n">
        <v>0.08298999999999999</v>
      </c>
    </row>
    <row r="154">
      <c r="A154" t="n">
        <v>1000152</v>
      </c>
      <c r="B154" t="n">
        <v>1</v>
      </c>
      <c r="C154" t="n">
        <v>152</v>
      </c>
      <c r="D154" t="n">
        <v>-0.1366</v>
      </c>
      <c r="E154" t="n">
        <v>17.2914</v>
      </c>
      <c r="F154" t="n">
        <v>0.08297</v>
      </c>
    </row>
    <row r="155">
      <c r="A155" t="n">
        <v>1000153</v>
      </c>
      <c r="B155" t="n">
        <v>1</v>
      </c>
      <c r="C155" t="n">
        <v>153</v>
      </c>
      <c r="D155" t="n">
        <v>-0.1386</v>
      </c>
      <c r="E155" t="n">
        <v>17.2943</v>
      </c>
      <c r="F155" t="n">
        <v>0.08295</v>
      </c>
    </row>
    <row r="156">
      <c r="A156" t="n">
        <v>1000154</v>
      </c>
      <c r="B156" t="n">
        <v>1</v>
      </c>
      <c r="C156" t="n">
        <v>154</v>
      </c>
      <c r="D156" t="n">
        <v>-0.1405</v>
      </c>
      <c r="E156" t="n">
        <v>17.297</v>
      </c>
      <c r="F156" t="n">
        <v>0.08291999999999999</v>
      </c>
    </row>
    <row r="157">
      <c r="A157" t="n">
        <v>1000155</v>
      </c>
      <c r="B157" t="n">
        <v>1</v>
      </c>
      <c r="C157" t="n">
        <v>155</v>
      </c>
      <c r="D157" t="n">
        <v>-0.1424</v>
      </c>
      <c r="E157" t="n">
        <v>17.2997</v>
      </c>
      <c r="F157" t="n">
        <v>0.0829</v>
      </c>
    </row>
    <row r="158">
      <c r="A158" t="n">
        <v>1000156</v>
      </c>
      <c r="B158" t="n">
        <v>1</v>
      </c>
      <c r="C158" t="n">
        <v>156</v>
      </c>
      <c r="D158" t="n">
        <v>-0.1443</v>
      </c>
      <c r="E158" t="n">
        <v>17.3023</v>
      </c>
      <c r="F158" t="n">
        <v>0.08288</v>
      </c>
    </row>
    <row r="159">
      <c r="A159" t="n">
        <v>1000157</v>
      </c>
      <c r="B159" t="n">
        <v>1</v>
      </c>
      <c r="C159" t="n">
        <v>157</v>
      </c>
      <c r="D159" t="n">
        <v>-0.1462</v>
      </c>
      <c r="E159" t="n">
        <v>17.3048</v>
      </c>
      <c r="F159" t="n">
        <v>0.08284999999999999</v>
      </c>
    </row>
    <row r="160">
      <c r="A160" t="n">
        <v>1000158</v>
      </c>
      <c r="B160" t="n">
        <v>1</v>
      </c>
      <c r="C160" t="n">
        <v>158</v>
      </c>
      <c r="D160" t="n">
        <v>-0.148</v>
      </c>
      <c r="E160" t="n">
        <v>17.3072</v>
      </c>
      <c r="F160" t="n">
        <v>0.08283</v>
      </c>
    </row>
    <row r="161">
      <c r="A161" t="n">
        <v>1000159</v>
      </c>
      <c r="B161" t="n">
        <v>1</v>
      </c>
      <c r="C161" t="n">
        <v>159</v>
      </c>
      <c r="D161" t="n">
        <v>-0.1499</v>
      </c>
      <c r="E161" t="n">
        <v>17.3095</v>
      </c>
      <c r="F161" t="n">
        <v>0.08280999999999999</v>
      </c>
    </row>
    <row r="162">
      <c r="A162" t="n">
        <v>1000160</v>
      </c>
      <c r="B162" t="n">
        <v>1</v>
      </c>
      <c r="C162" t="n">
        <v>160</v>
      </c>
      <c r="D162" t="n">
        <v>-0.1518</v>
      </c>
      <c r="E162" t="n">
        <v>17.3117</v>
      </c>
      <c r="F162" t="n">
        <v>0.08279</v>
      </c>
    </row>
    <row r="163">
      <c r="A163" t="n">
        <v>1000161</v>
      </c>
      <c r="B163" t="n">
        <v>1</v>
      </c>
      <c r="C163" t="n">
        <v>161</v>
      </c>
      <c r="D163" t="n">
        <v>-0.1536</v>
      </c>
      <c r="E163" t="n">
        <v>17.3139</v>
      </c>
      <c r="F163" t="n">
        <v>0.08277</v>
      </c>
    </row>
    <row r="164">
      <c r="A164" t="n">
        <v>1000162</v>
      </c>
      <c r="B164" t="n">
        <v>1</v>
      </c>
      <c r="C164" t="n">
        <v>162</v>
      </c>
      <c r="D164" t="n">
        <v>-0.1554</v>
      </c>
      <c r="E164" t="n">
        <v>17.316</v>
      </c>
      <c r="F164" t="n">
        <v>0.08275</v>
      </c>
    </row>
    <row r="165">
      <c r="A165" t="n">
        <v>1000163</v>
      </c>
      <c r="B165" t="n">
        <v>1</v>
      </c>
      <c r="C165" t="n">
        <v>163</v>
      </c>
      <c r="D165" t="n">
        <v>-0.1573</v>
      </c>
      <c r="E165" t="n">
        <v>17.318</v>
      </c>
      <c r="F165" t="n">
        <v>0.08272</v>
      </c>
    </row>
    <row r="166">
      <c r="A166" t="n">
        <v>1000164</v>
      </c>
      <c r="B166" t="n">
        <v>1</v>
      </c>
      <c r="C166" t="n">
        <v>164</v>
      </c>
      <c r="D166" t="n">
        <v>-0.1591</v>
      </c>
      <c r="E166" t="n">
        <v>17.3199</v>
      </c>
      <c r="F166" t="n">
        <v>0.0827</v>
      </c>
    </row>
    <row r="167">
      <c r="A167" t="n">
        <v>1000165</v>
      </c>
      <c r="B167" t="n">
        <v>1</v>
      </c>
      <c r="C167" t="n">
        <v>165</v>
      </c>
      <c r="D167" t="n">
        <v>-0.1609</v>
      </c>
      <c r="E167" t="n">
        <v>17.3218</v>
      </c>
      <c r="F167" t="n">
        <v>0.08268</v>
      </c>
    </row>
    <row r="168">
      <c r="A168" t="n">
        <v>1000166</v>
      </c>
      <c r="B168" t="n">
        <v>1</v>
      </c>
      <c r="C168" t="n">
        <v>166</v>
      </c>
      <c r="D168" t="n">
        <v>-0.1627</v>
      </c>
      <c r="E168" t="n">
        <v>17.3235</v>
      </c>
      <c r="F168" t="n">
        <v>0.08266</v>
      </c>
    </row>
    <row r="169">
      <c r="A169" t="n">
        <v>1000167</v>
      </c>
      <c r="B169" t="n">
        <v>1</v>
      </c>
      <c r="C169" t="n">
        <v>167</v>
      </c>
      <c r="D169" t="n">
        <v>-0.1645</v>
      </c>
      <c r="E169" t="n">
        <v>17.3252</v>
      </c>
      <c r="F169" t="n">
        <v>0.08264000000000001</v>
      </c>
    </row>
    <row r="170">
      <c r="A170" t="n">
        <v>1000168</v>
      </c>
      <c r="B170" t="n">
        <v>1</v>
      </c>
      <c r="C170" t="n">
        <v>168</v>
      </c>
      <c r="D170" t="n">
        <v>-0.1663</v>
      </c>
      <c r="E170" t="n">
        <v>17.3268</v>
      </c>
      <c r="F170" t="n">
        <v>0.08262</v>
      </c>
    </row>
    <row r="171">
      <c r="A171" t="n">
        <v>1000169</v>
      </c>
      <c r="B171" t="n">
        <v>1</v>
      </c>
      <c r="C171" t="n">
        <v>169</v>
      </c>
      <c r="D171" t="n">
        <v>-0.168</v>
      </c>
      <c r="E171" t="n">
        <v>17.3284</v>
      </c>
      <c r="F171" t="n">
        <v>0.08260000000000001</v>
      </c>
    </row>
    <row r="172">
      <c r="A172" t="n">
        <v>1000170</v>
      </c>
      <c r="B172" t="n">
        <v>1</v>
      </c>
      <c r="C172" t="n">
        <v>170</v>
      </c>
      <c r="D172" t="n">
        <v>-0.1698</v>
      </c>
      <c r="E172" t="n">
        <v>17.3299</v>
      </c>
      <c r="F172" t="n">
        <v>0.08258</v>
      </c>
    </row>
    <row r="173">
      <c r="A173" t="n">
        <v>1000171</v>
      </c>
      <c r="B173" t="n">
        <v>1</v>
      </c>
      <c r="C173" t="n">
        <v>171</v>
      </c>
      <c r="D173" t="n">
        <v>-0.1715</v>
      </c>
      <c r="E173" t="n">
        <v>17.3313</v>
      </c>
      <c r="F173" t="n">
        <v>0.08255999999999999</v>
      </c>
    </row>
    <row r="174">
      <c r="A174" t="n">
        <v>1000172</v>
      </c>
      <c r="B174" t="n">
        <v>1</v>
      </c>
      <c r="C174" t="n">
        <v>172</v>
      </c>
      <c r="D174" t="n">
        <v>-0.1733</v>
      </c>
      <c r="E174" t="n">
        <v>17.3326</v>
      </c>
      <c r="F174" t="n">
        <v>0.08254</v>
      </c>
    </row>
    <row r="175">
      <c r="A175" t="n">
        <v>1000173</v>
      </c>
      <c r="B175" t="n">
        <v>1</v>
      </c>
      <c r="C175" t="n">
        <v>173</v>
      </c>
      <c r="D175" t="n">
        <v>-0.175</v>
      </c>
      <c r="E175" t="n">
        <v>17.3338</v>
      </c>
      <c r="F175" t="n">
        <v>0.08252</v>
      </c>
    </row>
    <row r="176">
      <c r="A176" t="n">
        <v>1000174</v>
      </c>
      <c r="B176" t="n">
        <v>1</v>
      </c>
      <c r="C176" t="n">
        <v>174</v>
      </c>
      <c r="D176" t="n">
        <v>-0.1768</v>
      </c>
      <c r="E176" t="n">
        <v>17.335</v>
      </c>
      <c r="F176" t="n">
        <v>0.0825</v>
      </c>
    </row>
    <row r="177">
      <c r="A177" t="n">
        <v>1000175</v>
      </c>
      <c r="B177" t="n">
        <v>1</v>
      </c>
      <c r="C177" t="n">
        <v>175</v>
      </c>
      <c r="D177" t="n">
        <v>-0.1785</v>
      </c>
      <c r="E177" t="n">
        <v>17.3361</v>
      </c>
      <c r="F177" t="n">
        <v>0.08248</v>
      </c>
    </row>
    <row r="178">
      <c r="A178" t="n">
        <v>1000176</v>
      </c>
      <c r="B178" t="n">
        <v>1</v>
      </c>
      <c r="C178" t="n">
        <v>176</v>
      </c>
      <c r="D178" t="n">
        <v>-0.1802</v>
      </c>
      <c r="E178" t="n">
        <v>17.3371</v>
      </c>
      <c r="F178" t="n">
        <v>0.08246000000000001</v>
      </c>
    </row>
    <row r="179">
      <c r="A179" t="n">
        <v>1000177</v>
      </c>
      <c r="B179" t="n">
        <v>1</v>
      </c>
      <c r="C179" t="n">
        <v>177</v>
      </c>
      <c r="D179" t="n">
        <v>-0.1819</v>
      </c>
      <c r="E179" t="n">
        <v>17.3381</v>
      </c>
      <c r="F179" t="n">
        <v>0.08244</v>
      </c>
    </row>
    <row r="180">
      <c r="A180" t="n">
        <v>1000178</v>
      </c>
      <c r="B180" t="n">
        <v>1</v>
      </c>
      <c r="C180" t="n">
        <v>178</v>
      </c>
      <c r="D180" t="n">
        <v>-0.1836</v>
      </c>
      <c r="E180" t="n">
        <v>17.339</v>
      </c>
      <c r="F180" t="n">
        <v>0.08241999999999999</v>
      </c>
    </row>
    <row r="181">
      <c r="A181" t="n">
        <v>1000179</v>
      </c>
      <c r="B181" t="n">
        <v>1</v>
      </c>
      <c r="C181" t="n">
        <v>179</v>
      </c>
      <c r="D181" t="n">
        <v>-0.1853</v>
      </c>
      <c r="E181" t="n">
        <v>17.3398</v>
      </c>
      <c r="F181" t="n">
        <v>0.08241</v>
      </c>
    </row>
    <row r="182">
      <c r="A182" t="n">
        <v>1000180</v>
      </c>
      <c r="B182" t="n">
        <v>1</v>
      </c>
      <c r="C182" t="n">
        <v>180</v>
      </c>
      <c r="D182" t="n">
        <v>-0.187</v>
      </c>
      <c r="E182" t="n">
        <v>17.3406</v>
      </c>
      <c r="F182" t="n">
        <v>0.08239</v>
      </c>
    </row>
    <row r="183">
      <c r="A183" t="n">
        <v>1000181</v>
      </c>
      <c r="B183" t="n">
        <v>1</v>
      </c>
      <c r="C183" t="n">
        <v>181</v>
      </c>
      <c r="D183" t="n">
        <v>-0.1886</v>
      </c>
      <c r="E183" t="n">
        <v>17.3412</v>
      </c>
      <c r="F183" t="n">
        <v>0.08237</v>
      </c>
    </row>
    <row r="184">
      <c r="A184" t="n">
        <v>1000182</v>
      </c>
      <c r="B184" t="n">
        <v>1</v>
      </c>
      <c r="C184" t="n">
        <v>182</v>
      </c>
      <c r="D184" t="n">
        <v>-0.1903</v>
      </c>
      <c r="E184" t="n">
        <v>17.3419</v>
      </c>
      <c r="F184" t="n">
        <v>0.08235000000000001</v>
      </c>
    </row>
    <row r="185">
      <c r="A185" t="n">
        <v>1000183</v>
      </c>
      <c r="B185" t="n">
        <v>1</v>
      </c>
      <c r="C185" t="n">
        <v>183</v>
      </c>
      <c r="D185" t="n">
        <v>-0.1919</v>
      </c>
      <c r="E185" t="n">
        <v>17.3424</v>
      </c>
      <c r="F185" t="n">
        <v>0.08233</v>
      </c>
    </row>
    <row r="186">
      <c r="A186" t="n">
        <v>1000184</v>
      </c>
      <c r="B186" t="n">
        <v>1</v>
      </c>
      <c r="C186" t="n">
        <v>184</v>
      </c>
      <c r="D186" t="n">
        <v>-0.1936</v>
      </c>
      <c r="E186" t="n">
        <v>17.3429</v>
      </c>
      <c r="F186" t="n">
        <v>0.08230999999999999</v>
      </c>
    </row>
    <row r="187">
      <c r="A187" t="n">
        <v>1000185</v>
      </c>
      <c r="B187" t="n">
        <v>1</v>
      </c>
      <c r="C187" t="n">
        <v>185</v>
      </c>
      <c r="D187" t="n">
        <v>-0.1952</v>
      </c>
      <c r="E187" t="n">
        <v>17.3433</v>
      </c>
      <c r="F187" t="n">
        <v>0.0823</v>
      </c>
    </row>
    <row r="188">
      <c r="A188" t="n">
        <v>1000186</v>
      </c>
      <c r="B188" t="n">
        <v>1</v>
      </c>
      <c r="C188" t="n">
        <v>186</v>
      </c>
      <c r="D188" t="n">
        <v>-0.1969</v>
      </c>
      <c r="E188" t="n">
        <v>17.3437</v>
      </c>
      <c r="F188" t="n">
        <v>0.08228000000000001</v>
      </c>
    </row>
    <row r="189">
      <c r="A189" t="n">
        <v>1000187</v>
      </c>
      <c r="B189" t="n">
        <v>1</v>
      </c>
      <c r="C189" t="n">
        <v>187</v>
      </c>
      <c r="D189" t="n">
        <v>-0.1985</v>
      </c>
      <c r="E189" t="n">
        <v>17.3439</v>
      </c>
      <c r="F189" t="n">
        <v>0.08226</v>
      </c>
    </row>
    <row r="190">
      <c r="A190" t="n">
        <v>1000188</v>
      </c>
      <c r="B190" t="n">
        <v>1</v>
      </c>
      <c r="C190" t="n">
        <v>188</v>
      </c>
      <c r="D190" t="n">
        <v>-0.2001</v>
      </c>
      <c r="E190" t="n">
        <v>17.3441</v>
      </c>
      <c r="F190" t="n">
        <v>0.08223999999999999</v>
      </c>
    </row>
    <row r="191">
      <c r="A191" t="n">
        <v>1000189</v>
      </c>
      <c r="B191" t="n">
        <v>1</v>
      </c>
      <c r="C191" t="n">
        <v>189</v>
      </c>
      <c r="D191" t="n">
        <v>-0.2017</v>
      </c>
      <c r="E191" t="n">
        <v>17.3443</v>
      </c>
      <c r="F191" t="n">
        <v>0.08222</v>
      </c>
    </row>
    <row r="192">
      <c r="A192" t="n">
        <v>1000190</v>
      </c>
      <c r="B192" t="n">
        <v>1</v>
      </c>
      <c r="C192" t="n">
        <v>190</v>
      </c>
      <c r="D192" t="n">
        <v>-0.2033</v>
      </c>
      <c r="E192" t="n">
        <v>17.3444</v>
      </c>
      <c r="F192" t="n">
        <v>0.08221000000000001</v>
      </c>
    </row>
    <row r="193">
      <c r="A193" t="n">
        <v>1000191</v>
      </c>
      <c r="B193" t="n">
        <v>1</v>
      </c>
      <c r="C193" t="n">
        <v>191</v>
      </c>
      <c r="D193" t="n">
        <v>-0.2049</v>
      </c>
      <c r="E193" t="n">
        <v>17.3444</v>
      </c>
      <c r="F193" t="n">
        <v>0.08219</v>
      </c>
    </row>
    <row r="194">
      <c r="A194" t="n">
        <v>1000192</v>
      </c>
      <c r="B194" t="n">
        <v>1</v>
      </c>
      <c r="C194" t="n">
        <v>192</v>
      </c>
      <c r="D194" t="n">
        <v>-0.2065</v>
      </c>
      <c r="E194" t="n">
        <v>17.3443</v>
      </c>
      <c r="F194" t="n">
        <v>0.08217000000000001</v>
      </c>
    </row>
    <row r="195">
      <c r="A195" t="n">
        <v>1000193</v>
      </c>
      <c r="B195" t="n">
        <v>1</v>
      </c>
      <c r="C195" t="n">
        <v>193</v>
      </c>
      <c r="D195" t="n">
        <v>-0.2081</v>
      </c>
      <c r="E195" t="n">
        <v>17.3442</v>
      </c>
      <c r="F195" t="n">
        <v>0.08216</v>
      </c>
    </row>
    <row r="196">
      <c r="A196" t="n">
        <v>1000194</v>
      </c>
      <c r="B196" t="n">
        <v>1</v>
      </c>
      <c r="C196" t="n">
        <v>194</v>
      </c>
      <c r="D196" t="n">
        <v>-0.2097</v>
      </c>
      <c r="E196" t="n">
        <v>17.344</v>
      </c>
      <c r="F196" t="n">
        <v>0.08214</v>
      </c>
    </row>
    <row r="197">
      <c r="A197" t="n">
        <v>1000195</v>
      </c>
      <c r="B197" t="n">
        <v>1</v>
      </c>
      <c r="C197" t="n">
        <v>195</v>
      </c>
      <c r="D197" t="n">
        <v>-0.2112</v>
      </c>
      <c r="E197" t="n">
        <v>17.3438</v>
      </c>
      <c r="F197" t="n">
        <v>0.08212</v>
      </c>
    </row>
    <row r="198">
      <c r="A198" t="n">
        <v>1000196</v>
      </c>
      <c r="B198" t="n">
        <v>1</v>
      </c>
      <c r="C198" t="n">
        <v>196</v>
      </c>
      <c r="D198" t="n">
        <v>-0.2128</v>
      </c>
      <c r="E198" t="n">
        <v>17.3434</v>
      </c>
      <c r="F198" t="n">
        <v>0.08210000000000001</v>
      </c>
    </row>
    <row r="199">
      <c r="A199" t="n">
        <v>1000197</v>
      </c>
      <c r="B199" t="n">
        <v>1</v>
      </c>
      <c r="C199" t="n">
        <v>197</v>
      </c>
      <c r="D199" t="n">
        <v>-0.2144</v>
      </c>
      <c r="E199" t="n">
        <v>17.3431</v>
      </c>
      <c r="F199" t="n">
        <v>0.08209</v>
      </c>
    </row>
    <row r="200">
      <c r="A200" t="n">
        <v>1000198</v>
      </c>
      <c r="B200" t="n">
        <v>1</v>
      </c>
      <c r="C200" t="n">
        <v>198</v>
      </c>
      <c r="D200" t="n">
        <v>-0.2159</v>
      </c>
      <c r="E200" t="n">
        <v>17.3426</v>
      </c>
      <c r="F200" t="n">
        <v>0.08207</v>
      </c>
    </row>
    <row r="201">
      <c r="A201" t="n">
        <v>1000199</v>
      </c>
      <c r="B201" t="n">
        <v>1</v>
      </c>
      <c r="C201" t="n">
        <v>199</v>
      </c>
      <c r="D201" t="n">
        <v>-0.2174</v>
      </c>
      <c r="E201" t="n">
        <v>17.3421</v>
      </c>
      <c r="F201" t="n">
        <v>0.08205</v>
      </c>
    </row>
    <row r="202">
      <c r="A202" t="n">
        <v>1000200</v>
      </c>
      <c r="B202" t="n">
        <v>1</v>
      </c>
      <c r="C202" t="n">
        <v>200</v>
      </c>
      <c r="D202" t="n">
        <v>-0.219</v>
      </c>
      <c r="E202" t="n">
        <v>17.3416</v>
      </c>
      <c r="F202" t="n">
        <v>0.08204</v>
      </c>
    </row>
    <row r="203">
      <c r="A203" t="n">
        <v>1000201</v>
      </c>
      <c r="B203" t="n">
        <v>1</v>
      </c>
      <c r="C203" t="n">
        <v>201</v>
      </c>
      <c r="D203" t="n">
        <v>-0.2205</v>
      </c>
      <c r="E203" t="n">
        <v>17.3409</v>
      </c>
      <c r="F203" t="n">
        <v>0.08202</v>
      </c>
    </row>
    <row r="204">
      <c r="A204" t="n">
        <v>1000202</v>
      </c>
      <c r="B204" t="n">
        <v>1</v>
      </c>
      <c r="C204" t="n">
        <v>202</v>
      </c>
      <c r="D204" t="n">
        <v>-0.222</v>
      </c>
      <c r="E204" t="n">
        <v>17.3402</v>
      </c>
      <c r="F204" t="n">
        <v>0.08201</v>
      </c>
    </row>
    <row r="205">
      <c r="A205" t="n">
        <v>1000203</v>
      </c>
      <c r="B205" t="n">
        <v>1</v>
      </c>
      <c r="C205" t="n">
        <v>203</v>
      </c>
      <c r="D205" t="n">
        <v>-0.2235</v>
      </c>
      <c r="E205" t="n">
        <v>17.3395</v>
      </c>
      <c r="F205" t="n">
        <v>0.08198999999999999</v>
      </c>
    </row>
    <row r="206">
      <c r="A206" t="n">
        <v>1000204</v>
      </c>
      <c r="B206" t="n">
        <v>1</v>
      </c>
      <c r="C206" t="n">
        <v>204</v>
      </c>
      <c r="D206" t="n">
        <v>-0.2251</v>
      </c>
      <c r="E206" t="n">
        <v>17.3387</v>
      </c>
      <c r="F206" t="n">
        <v>0.08197</v>
      </c>
    </row>
    <row r="207">
      <c r="A207" t="n">
        <v>1000205</v>
      </c>
      <c r="B207" t="n">
        <v>1</v>
      </c>
      <c r="C207" t="n">
        <v>205</v>
      </c>
      <c r="D207" t="n">
        <v>-0.2266</v>
      </c>
      <c r="E207" t="n">
        <v>17.3378</v>
      </c>
      <c r="F207" t="n">
        <v>0.08196000000000001</v>
      </c>
    </row>
    <row r="208">
      <c r="A208" t="n">
        <v>1000206</v>
      </c>
      <c r="B208" t="n">
        <v>1</v>
      </c>
      <c r="C208" t="n">
        <v>206</v>
      </c>
      <c r="D208" t="n">
        <v>-0.2281</v>
      </c>
      <c r="E208" t="n">
        <v>17.3369</v>
      </c>
      <c r="F208" t="n">
        <v>0.08194</v>
      </c>
    </row>
    <row r="209">
      <c r="A209" t="n">
        <v>1000207</v>
      </c>
      <c r="B209" t="n">
        <v>1</v>
      </c>
      <c r="C209" t="n">
        <v>207</v>
      </c>
      <c r="D209" t="n">
        <v>-0.2295</v>
      </c>
      <c r="E209" t="n">
        <v>17.3359</v>
      </c>
      <c r="F209" t="n">
        <v>0.08193</v>
      </c>
    </row>
    <row r="210">
      <c r="A210" t="n">
        <v>1000208</v>
      </c>
      <c r="B210" t="n">
        <v>1</v>
      </c>
      <c r="C210" t="n">
        <v>208</v>
      </c>
      <c r="D210" t="n">
        <v>-0.231</v>
      </c>
      <c r="E210" t="n">
        <v>17.3349</v>
      </c>
      <c r="F210" t="n">
        <v>0.08191</v>
      </c>
    </row>
    <row r="211">
      <c r="A211" t="n">
        <v>1000209</v>
      </c>
      <c r="B211" t="n">
        <v>1</v>
      </c>
      <c r="C211" t="n">
        <v>209</v>
      </c>
      <c r="D211" t="n">
        <v>-0.2325</v>
      </c>
      <c r="E211" t="n">
        <v>17.3338</v>
      </c>
      <c r="F211" t="n">
        <v>0.08189</v>
      </c>
    </row>
    <row r="212">
      <c r="A212" t="n">
        <v>1000210</v>
      </c>
      <c r="B212" t="n">
        <v>1</v>
      </c>
      <c r="C212" t="n">
        <v>210</v>
      </c>
      <c r="D212" t="n">
        <v>-0.234</v>
      </c>
      <c r="E212" t="n">
        <v>17.3326</v>
      </c>
      <c r="F212" t="n">
        <v>0.08187999999999999</v>
      </c>
    </row>
    <row r="213">
      <c r="A213" t="n">
        <v>1000211</v>
      </c>
      <c r="B213" t="n">
        <v>1</v>
      </c>
      <c r="C213" t="n">
        <v>211</v>
      </c>
      <c r="D213" t="n">
        <v>-0.2354</v>
      </c>
      <c r="E213" t="n">
        <v>17.3314</v>
      </c>
      <c r="F213" t="n">
        <v>0.08186</v>
      </c>
    </row>
    <row r="214">
      <c r="A214" t="n">
        <v>1000212</v>
      </c>
      <c r="B214" t="n">
        <v>1</v>
      </c>
      <c r="C214" t="n">
        <v>212</v>
      </c>
      <c r="D214" t="n">
        <v>-0.2369</v>
      </c>
      <c r="E214" t="n">
        <v>17.3302</v>
      </c>
      <c r="F214" t="n">
        <v>0.08185000000000001</v>
      </c>
    </row>
    <row r="215">
      <c r="A215" t="n">
        <v>1000213</v>
      </c>
      <c r="B215" t="n">
        <v>1</v>
      </c>
      <c r="C215" t="n">
        <v>213</v>
      </c>
      <c r="D215" t="n">
        <v>-0.2384</v>
      </c>
      <c r="E215" t="n">
        <v>17.3289</v>
      </c>
      <c r="F215" t="n">
        <v>0.08183</v>
      </c>
    </row>
    <row r="216">
      <c r="A216" t="n">
        <v>1000214</v>
      </c>
      <c r="B216" t="n">
        <v>1</v>
      </c>
      <c r="C216" t="n">
        <v>214</v>
      </c>
      <c r="D216" t="n">
        <v>-0.2398</v>
      </c>
      <c r="E216" t="n">
        <v>17.3275</v>
      </c>
      <c r="F216" t="n">
        <v>0.08182</v>
      </c>
    </row>
    <row r="217">
      <c r="A217" t="n">
        <v>1000215</v>
      </c>
      <c r="B217" t="n">
        <v>1</v>
      </c>
      <c r="C217" t="n">
        <v>215</v>
      </c>
      <c r="D217" t="n">
        <v>-0.2413</v>
      </c>
      <c r="E217" t="n">
        <v>17.3261</v>
      </c>
      <c r="F217" t="n">
        <v>0.0818</v>
      </c>
    </row>
    <row r="218">
      <c r="A218" t="n">
        <v>1000216</v>
      </c>
      <c r="B218" t="n">
        <v>1</v>
      </c>
      <c r="C218" t="n">
        <v>216</v>
      </c>
      <c r="D218" t="n">
        <v>-0.2427</v>
      </c>
      <c r="E218" t="n">
        <v>17.3246</v>
      </c>
      <c r="F218" t="n">
        <v>0.08179</v>
      </c>
    </row>
    <row r="219">
      <c r="A219" t="n">
        <v>1000217</v>
      </c>
      <c r="B219" t="n">
        <v>1</v>
      </c>
      <c r="C219" t="n">
        <v>217</v>
      </c>
      <c r="D219" t="n">
        <v>-0.2441</v>
      </c>
      <c r="E219" t="n">
        <v>17.323</v>
      </c>
      <c r="F219" t="n">
        <v>0.08177</v>
      </c>
    </row>
    <row r="220">
      <c r="A220" t="n">
        <v>1000218</v>
      </c>
      <c r="B220" t="n">
        <v>1</v>
      </c>
      <c r="C220" t="n">
        <v>218</v>
      </c>
      <c r="D220" t="n">
        <v>-0.2456</v>
      </c>
      <c r="E220" t="n">
        <v>17.3215</v>
      </c>
      <c r="F220" t="n">
        <v>0.08176</v>
      </c>
    </row>
    <row r="221">
      <c r="A221" t="n">
        <v>1000219</v>
      </c>
      <c r="B221" t="n">
        <v>1</v>
      </c>
      <c r="C221" t="n">
        <v>219</v>
      </c>
      <c r="D221" t="n">
        <v>-0.247</v>
      </c>
      <c r="E221" t="n">
        <v>17.3198</v>
      </c>
      <c r="F221" t="n">
        <v>0.08173999999999999</v>
      </c>
    </row>
    <row r="222">
      <c r="A222" t="n">
        <v>1000220</v>
      </c>
      <c r="B222" t="n">
        <v>1</v>
      </c>
      <c r="C222" t="n">
        <v>220</v>
      </c>
      <c r="D222" t="n">
        <v>-0.2484</v>
      </c>
      <c r="E222" t="n">
        <v>17.3181</v>
      </c>
      <c r="F222" t="n">
        <v>0.08173</v>
      </c>
    </row>
    <row r="223">
      <c r="A223" t="n">
        <v>1000221</v>
      </c>
      <c r="B223" t="n">
        <v>1</v>
      </c>
      <c r="C223" t="n">
        <v>221</v>
      </c>
      <c r="D223" t="n">
        <v>-0.2498</v>
      </c>
      <c r="E223" t="n">
        <v>17.3164</v>
      </c>
      <c r="F223" t="n">
        <v>0.08171</v>
      </c>
    </row>
    <row r="224">
      <c r="A224" t="n">
        <v>1000222</v>
      </c>
      <c r="B224" t="n">
        <v>1</v>
      </c>
      <c r="C224" t="n">
        <v>222</v>
      </c>
      <c r="D224" t="n">
        <v>-0.2512</v>
      </c>
      <c r="E224" t="n">
        <v>17.3146</v>
      </c>
      <c r="F224" t="n">
        <v>0.08169999999999999</v>
      </c>
    </row>
    <row r="225">
      <c r="A225" t="n">
        <v>1000223</v>
      </c>
      <c r="B225" t="n">
        <v>1</v>
      </c>
      <c r="C225" t="n">
        <v>223</v>
      </c>
      <c r="D225" t="n">
        <v>-0.2526</v>
      </c>
      <c r="E225" t="n">
        <v>17.3127</v>
      </c>
      <c r="F225" t="n">
        <v>0.08168</v>
      </c>
    </row>
    <row r="226">
      <c r="A226" t="n">
        <v>1000224</v>
      </c>
      <c r="B226" t="n">
        <v>1</v>
      </c>
      <c r="C226" t="n">
        <v>224</v>
      </c>
      <c r="D226" t="n">
        <v>-0.254</v>
      </c>
      <c r="E226" t="n">
        <v>17.3108</v>
      </c>
      <c r="F226" t="n">
        <v>0.08167000000000001</v>
      </c>
    </row>
    <row r="227">
      <c r="A227" t="n">
        <v>1000225</v>
      </c>
      <c r="B227" t="n">
        <v>1</v>
      </c>
      <c r="C227" t="n">
        <v>225</v>
      </c>
      <c r="D227" t="n">
        <v>-0.2554</v>
      </c>
      <c r="E227" t="n">
        <v>17.3089</v>
      </c>
      <c r="F227" t="n">
        <v>0.08165</v>
      </c>
    </row>
    <row r="228">
      <c r="A228" t="n">
        <v>1000226</v>
      </c>
      <c r="B228" t="n">
        <v>1</v>
      </c>
      <c r="C228" t="n">
        <v>226</v>
      </c>
      <c r="D228" t="n">
        <v>-0.2568</v>
      </c>
      <c r="E228" t="n">
        <v>17.3069</v>
      </c>
      <c r="F228" t="n">
        <v>0.08164</v>
      </c>
    </row>
    <row r="229">
      <c r="A229" t="n">
        <v>1000227</v>
      </c>
      <c r="B229" t="n">
        <v>1</v>
      </c>
      <c r="C229" t="n">
        <v>227</v>
      </c>
      <c r="D229" t="n">
        <v>-0.2581</v>
      </c>
      <c r="E229" t="n">
        <v>17.3048</v>
      </c>
      <c r="F229" t="n">
        <v>0.08162999999999999</v>
      </c>
    </row>
    <row r="230">
      <c r="A230" t="n">
        <v>1000228</v>
      </c>
      <c r="B230" t="n">
        <v>1</v>
      </c>
      <c r="C230" t="n">
        <v>228</v>
      </c>
      <c r="D230" t="n">
        <v>-0.2595</v>
      </c>
      <c r="E230" t="n">
        <v>17.3027</v>
      </c>
      <c r="F230" t="n">
        <v>0.08161</v>
      </c>
    </row>
    <row r="231">
      <c r="A231" t="n">
        <v>1000229</v>
      </c>
      <c r="B231" t="n">
        <v>1</v>
      </c>
      <c r="C231" t="n">
        <v>229</v>
      </c>
      <c r="D231" t="n">
        <v>-0.2609</v>
      </c>
      <c r="E231" t="n">
        <v>17.3006</v>
      </c>
      <c r="F231" t="n">
        <v>0.08160000000000001</v>
      </c>
    </row>
    <row r="232">
      <c r="A232" t="n">
        <v>1000230</v>
      </c>
      <c r="B232" t="n">
        <v>1</v>
      </c>
      <c r="C232" t="n">
        <v>230</v>
      </c>
      <c r="D232" t="n">
        <v>-0.2622</v>
      </c>
      <c r="E232" t="n">
        <v>17.2984</v>
      </c>
      <c r="F232" t="n">
        <v>0.08158</v>
      </c>
    </row>
    <row r="233">
      <c r="A233" t="n">
        <v>1000231</v>
      </c>
      <c r="B233" t="n">
        <v>1</v>
      </c>
      <c r="C233" t="n">
        <v>231</v>
      </c>
      <c r="D233" t="n">
        <v>-0.2636</v>
      </c>
      <c r="E233" t="n">
        <v>17.2962</v>
      </c>
      <c r="F233" t="n">
        <v>0.08157</v>
      </c>
    </row>
    <row r="234">
      <c r="A234" t="n">
        <v>1000232</v>
      </c>
      <c r="B234" t="n">
        <v>1</v>
      </c>
      <c r="C234" t="n">
        <v>232</v>
      </c>
      <c r="D234" t="n">
        <v>-0.265</v>
      </c>
      <c r="E234" t="n">
        <v>17.2939</v>
      </c>
      <c r="F234" t="n">
        <v>0.08155</v>
      </c>
    </row>
    <row r="235">
      <c r="A235" t="n">
        <v>1000233</v>
      </c>
      <c r="B235" t="n">
        <v>1</v>
      </c>
      <c r="C235" t="n">
        <v>233</v>
      </c>
      <c r="D235" t="n">
        <v>-0.2663</v>
      </c>
      <c r="E235" t="n">
        <v>17.2916</v>
      </c>
      <c r="F235" t="n">
        <v>0.08154</v>
      </c>
    </row>
    <row r="236">
      <c r="A236" t="n">
        <v>1000234</v>
      </c>
      <c r="B236" t="n">
        <v>1</v>
      </c>
      <c r="C236" t="n">
        <v>234</v>
      </c>
      <c r="D236" t="n">
        <v>-0.2676</v>
      </c>
      <c r="E236" t="n">
        <v>17.2892</v>
      </c>
      <c r="F236" t="n">
        <v>0.08153000000000001</v>
      </c>
    </row>
    <row r="237">
      <c r="A237" t="n">
        <v>1000235</v>
      </c>
      <c r="B237" t="n">
        <v>1</v>
      </c>
      <c r="C237" t="n">
        <v>235</v>
      </c>
      <c r="D237" t="n">
        <v>-0.269</v>
      </c>
      <c r="E237" t="n">
        <v>17.2868</v>
      </c>
      <c r="F237" t="n">
        <v>0.08151</v>
      </c>
    </row>
    <row r="238">
      <c r="A238" t="n">
        <v>1000236</v>
      </c>
      <c r="B238" t="n">
        <v>1</v>
      </c>
      <c r="C238" t="n">
        <v>236</v>
      </c>
      <c r="D238" t="n">
        <v>-0.2703</v>
      </c>
      <c r="E238" t="n">
        <v>17.2844</v>
      </c>
      <c r="F238" t="n">
        <v>0.0815</v>
      </c>
    </row>
    <row r="239">
      <c r="A239" t="n">
        <v>1000237</v>
      </c>
      <c r="B239" t="n">
        <v>1</v>
      </c>
      <c r="C239" t="n">
        <v>237</v>
      </c>
      <c r="D239" t="n">
        <v>-0.2716</v>
      </c>
      <c r="E239" t="n">
        <v>17.2819</v>
      </c>
      <c r="F239" t="n">
        <v>0.08149000000000001</v>
      </c>
    </row>
    <row r="240">
      <c r="A240" t="n">
        <v>1000238</v>
      </c>
      <c r="B240" t="n">
        <v>1</v>
      </c>
      <c r="C240" t="n">
        <v>238</v>
      </c>
      <c r="D240" t="n">
        <v>-0.273</v>
      </c>
      <c r="E240" t="n">
        <v>17.2794</v>
      </c>
      <c r="F240" t="n">
        <v>0.08147</v>
      </c>
    </row>
    <row r="241">
      <c r="A241" t="n">
        <v>1000239</v>
      </c>
      <c r="B241" t="n">
        <v>1</v>
      </c>
      <c r="C241" t="n">
        <v>239</v>
      </c>
      <c r="D241" t="n">
        <v>-0.2743</v>
      </c>
      <c r="E241" t="n">
        <v>17.2768</v>
      </c>
      <c r="F241" t="n">
        <v>0.08146</v>
      </c>
    </row>
    <row r="242">
      <c r="A242" t="n">
        <v>1000240</v>
      </c>
      <c r="B242" t="n">
        <v>1</v>
      </c>
      <c r="C242" t="n">
        <v>240</v>
      </c>
      <c r="D242" t="n">
        <v>-0.2756</v>
      </c>
      <c r="E242" t="n">
        <v>17.2742</v>
      </c>
      <c r="F242" t="n">
        <v>0.08144999999999999</v>
      </c>
    </row>
    <row r="243">
      <c r="A243" t="n">
        <v>1000241</v>
      </c>
      <c r="B243" t="n">
        <v>1</v>
      </c>
      <c r="C243" t="n">
        <v>241</v>
      </c>
      <c r="D243" t="n">
        <v>-0.2769</v>
      </c>
      <c r="E243" t="n">
        <v>17.2715</v>
      </c>
      <c r="F243" t="n">
        <v>0.08143</v>
      </c>
    </row>
    <row r="244">
      <c r="A244" t="n">
        <v>1000242</v>
      </c>
      <c r="B244" t="n">
        <v>1</v>
      </c>
      <c r="C244" t="n">
        <v>242</v>
      </c>
      <c r="D244" t="n">
        <v>-0.2782</v>
      </c>
      <c r="E244" t="n">
        <v>17.2688</v>
      </c>
      <c r="F244" t="n">
        <v>0.08142000000000001</v>
      </c>
    </row>
    <row r="245">
      <c r="A245" t="n">
        <v>1000243</v>
      </c>
      <c r="B245" t="n">
        <v>1</v>
      </c>
      <c r="C245" t="n">
        <v>243</v>
      </c>
      <c r="D245" t="n">
        <v>-0.2795</v>
      </c>
      <c r="E245" t="n">
        <v>17.2661</v>
      </c>
      <c r="F245" t="n">
        <v>0.08141</v>
      </c>
    </row>
    <row r="246">
      <c r="A246" t="n">
        <v>1000244</v>
      </c>
      <c r="B246" t="n">
        <v>1</v>
      </c>
      <c r="C246" t="n">
        <v>244</v>
      </c>
      <c r="D246" t="n">
        <v>-0.2808</v>
      </c>
      <c r="E246" t="n">
        <v>17.2633</v>
      </c>
      <c r="F246" t="n">
        <v>0.08139</v>
      </c>
    </row>
    <row r="247">
      <c r="A247" t="n">
        <v>1000245</v>
      </c>
      <c r="B247" t="n">
        <v>1</v>
      </c>
      <c r="C247" t="n">
        <v>245</v>
      </c>
      <c r="D247" t="n">
        <v>-0.2821</v>
      </c>
      <c r="E247" t="n">
        <v>17.2605</v>
      </c>
      <c r="F247" t="n">
        <v>0.08137999999999999</v>
      </c>
    </row>
    <row r="248">
      <c r="A248" t="n">
        <v>1000246</v>
      </c>
      <c r="B248" t="n">
        <v>1</v>
      </c>
      <c r="C248" t="n">
        <v>246</v>
      </c>
      <c r="D248" t="n">
        <v>-0.2834</v>
      </c>
      <c r="E248" t="n">
        <v>17.2577</v>
      </c>
      <c r="F248" t="n">
        <v>0.08137</v>
      </c>
    </row>
    <row r="249">
      <c r="A249" t="n">
        <v>1000247</v>
      </c>
      <c r="B249" t="n">
        <v>1</v>
      </c>
      <c r="C249" t="n">
        <v>247</v>
      </c>
      <c r="D249" t="n">
        <v>-0.2847</v>
      </c>
      <c r="E249" t="n">
        <v>17.2548</v>
      </c>
      <c r="F249" t="n">
        <v>0.08135000000000001</v>
      </c>
    </row>
    <row r="250">
      <c r="A250" t="n">
        <v>1000248</v>
      </c>
      <c r="B250" t="n">
        <v>1</v>
      </c>
      <c r="C250" t="n">
        <v>248</v>
      </c>
      <c r="D250" t="n">
        <v>-0.2859</v>
      </c>
      <c r="E250" t="n">
        <v>17.2519</v>
      </c>
      <c r="F250" t="n">
        <v>0.08134</v>
      </c>
    </row>
    <row r="251">
      <c r="A251" t="n">
        <v>1000249</v>
      </c>
      <c r="B251" t="n">
        <v>1</v>
      </c>
      <c r="C251" t="n">
        <v>249</v>
      </c>
      <c r="D251" t="n">
        <v>-0.2872</v>
      </c>
      <c r="E251" t="n">
        <v>17.249</v>
      </c>
      <c r="F251" t="n">
        <v>0.08133</v>
      </c>
    </row>
    <row r="252">
      <c r="A252" t="n">
        <v>1000250</v>
      </c>
      <c r="B252" t="n">
        <v>1</v>
      </c>
      <c r="C252" t="n">
        <v>250</v>
      </c>
      <c r="D252" t="n">
        <v>-0.2885</v>
      </c>
      <c r="E252" t="n">
        <v>17.246</v>
      </c>
      <c r="F252" t="n">
        <v>0.08130999999999999</v>
      </c>
    </row>
    <row r="253">
      <c r="A253" t="n">
        <v>1000251</v>
      </c>
      <c r="B253" t="n">
        <v>1</v>
      </c>
      <c r="C253" t="n">
        <v>251</v>
      </c>
      <c r="D253" t="n">
        <v>-0.2898</v>
      </c>
      <c r="E253" t="n">
        <v>17.243</v>
      </c>
      <c r="F253" t="n">
        <v>0.0813</v>
      </c>
    </row>
    <row r="254">
      <c r="A254" t="n">
        <v>1000252</v>
      </c>
      <c r="B254" t="n">
        <v>1</v>
      </c>
      <c r="C254" t="n">
        <v>252</v>
      </c>
      <c r="D254" t="n">
        <v>-0.291</v>
      </c>
      <c r="E254" t="n">
        <v>17.2399</v>
      </c>
      <c r="F254" t="n">
        <v>0.08129</v>
      </c>
    </row>
    <row r="255">
      <c r="A255" t="n">
        <v>1000253</v>
      </c>
      <c r="B255" t="n">
        <v>1</v>
      </c>
      <c r="C255" t="n">
        <v>253</v>
      </c>
      <c r="D255" t="n">
        <v>-0.2923</v>
      </c>
      <c r="E255" t="n">
        <v>17.2368</v>
      </c>
      <c r="F255" t="n">
        <v>0.08128000000000001</v>
      </c>
    </row>
    <row r="256">
      <c r="A256" t="n">
        <v>1000254</v>
      </c>
      <c r="B256" t="n">
        <v>1</v>
      </c>
      <c r="C256" t="n">
        <v>254</v>
      </c>
      <c r="D256" t="n">
        <v>-0.2935</v>
      </c>
      <c r="E256" t="n">
        <v>17.2337</v>
      </c>
      <c r="F256" t="n">
        <v>0.08126</v>
      </c>
    </row>
    <row r="257">
      <c r="A257" t="n">
        <v>1000255</v>
      </c>
      <c r="B257" t="n">
        <v>1</v>
      </c>
      <c r="C257" t="n">
        <v>255</v>
      </c>
      <c r="D257" t="n">
        <v>-0.2948</v>
      </c>
      <c r="E257" t="n">
        <v>17.2306</v>
      </c>
      <c r="F257" t="n">
        <v>0.08125</v>
      </c>
    </row>
    <row r="258">
      <c r="A258" t="n">
        <v>1000256</v>
      </c>
      <c r="B258" t="n">
        <v>1</v>
      </c>
      <c r="C258" t="n">
        <v>256</v>
      </c>
      <c r="D258" t="n">
        <v>-0.296</v>
      </c>
      <c r="E258" t="n">
        <v>17.2274</v>
      </c>
      <c r="F258" t="n">
        <v>0.08124000000000001</v>
      </c>
    </row>
    <row r="259">
      <c r="A259" t="n">
        <v>1000257</v>
      </c>
      <c r="B259" t="n">
        <v>1</v>
      </c>
      <c r="C259" t="n">
        <v>257</v>
      </c>
      <c r="D259" t="n">
        <v>-0.2972</v>
      </c>
      <c r="E259" t="n">
        <v>17.2242</v>
      </c>
      <c r="F259" t="n">
        <v>0.08122</v>
      </c>
    </row>
    <row r="260">
      <c r="A260" t="n">
        <v>1000258</v>
      </c>
      <c r="B260" t="n">
        <v>1</v>
      </c>
      <c r="C260" t="n">
        <v>258</v>
      </c>
      <c r="D260" t="n">
        <v>-0.2985</v>
      </c>
      <c r="E260" t="n">
        <v>17.221</v>
      </c>
      <c r="F260" t="n">
        <v>0.08121</v>
      </c>
    </row>
    <row r="261">
      <c r="A261" t="n">
        <v>1000259</v>
      </c>
      <c r="B261" t="n">
        <v>1</v>
      </c>
      <c r="C261" t="n">
        <v>259</v>
      </c>
      <c r="D261" t="n">
        <v>-0.2997</v>
      </c>
      <c r="E261" t="n">
        <v>17.2177</v>
      </c>
      <c r="F261" t="n">
        <v>0.08119999999999999</v>
      </c>
    </row>
    <row r="262">
      <c r="A262" t="n">
        <v>1000260</v>
      </c>
      <c r="B262" t="n">
        <v>1</v>
      </c>
      <c r="C262" t="n">
        <v>260</v>
      </c>
      <c r="D262" t="n">
        <v>-0.3009</v>
      </c>
      <c r="E262" t="n">
        <v>17.2144</v>
      </c>
      <c r="F262" t="n">
        <v>0.08119</v>
      </c>
    </row>
    <row r="263">
      <c r="A263" t="n">
        <v>1000261</v>
      </c>
      <c r="B263" t="n">
        <v>1</v>
      </c>
      <c r="C263" t="n">
        <v>261</v>
      </c>
      <c r="D263" t="n">
        <v>-0.3022</v>
      </c>
      <c r="E263" t="n">
        <v>17.2111</v>
      </c>
      <c r="F263" t="n">
        <v>0.08117000000000001</v>
      </c>
    </row>
    <row r="264">
      <c r="A264" t="n">
        <v>1000262</v>
      </c>
      <c r="B264" t="n">
        <v>1</v>
      </c>
      <c r="C264" t="n">
        <v>262</v>
      </c>
      <c r="D264" t="n">
        <v>-0.3034</v>
      </c>
      <c r="E264" t="n">
        <v>17.2078</v>
      </c>
      <c r="F264" t="n">
        <v>0.08116</v>
      </c>
    </row>
    <row r="265">
      <c r="A265" t="n">
        <v>1000263</v>
      </c>
      <c r="B265" t="n">
        <v>1</v>
      </c>
      <c r="C265" t="n">
        <v>263</v>
      </c>
      <c r="D265" t="n">
        <v>-0.3046</v>
      </c>
      <c r="E265" t="n">
        <v>17.2044</v>
      </c>
      <c r="F265" t="n">
        <v>0.08115</v>
      </c>
    </row>
    <row r="266">
      <c r="A266" t="n">
        <v>1000264</v>
      </c>
      <c r="B266" t="n">
        <v>1</v>
      </c>
      <c r="C266" t="n">
        <v>264</v>
      </c>
      <c r="D266" t="n">
        <v>-0.3058</v>
      </c>
      <c r="E266" t="n">
        <v>17.2011</v>
      </c>
      <c r="F266" t="n">
        <v>0.08114</v>
      </c>
    </row>
    <row r="267">
      <c r="A267" t="n">
        <v>1000265</v>
      </c>
      <c r="B267" t="n">
        <v>1</v>
      </c>
      <c r="C267" t="n">
        <v>265</v>
      </c>
      <c r="D267" t="n">
        <v>-0.307</v>
      </c>
      <c r="E267" t="n">
        <v>17.1976</v>
      </c>
      <c r="F267" t="n">
        <v>0.08112999999999999</v>
      </c>
    </row>
    <row r="268">
      <c r="A268" t="n">
        <v>1000266</v>
      </c>
      <c r="B268" t="n">
        <v>1</v>
      </c>
      <c r="C268" t="n">
        <v>266</v>
      </c>
      <c r="D268" t="n">
        <v>-0.3082</v>
      </c>
      <c r="E268" t="n">
        <v>17.1942</v>
      </c>
      <c r="F268" t="n">
        <v>0.08111</v>
      </c>
    </row>
    <row r="269">
      <c r="A269" t="n">
        <v>1000267</v>
      </c>
      <c r="B269" t="n">
        <v>1</v>
      </c>
      <c r="C269" t="n">
        <v>267</v>
      </c>
      <c r="D269" t="n">
        <v>-0.3094</v>
      </c>
      <c r="E269" t="n">
        <v>17.1908</v>
      </c>
      <c r="F269" t="n">
        <v>0.08110000000000001</v>
      </c>
    </row>
    <row r="270">
      <c r="A270" t="n">
        <v>1000268</v>
      </c>
      <c r="B270" t="n">
        <v>1</v>
      </c>
      <c r="C270" t="n">
        <v>268</v>
      </c>
      <c r="D270" t="n">
        <v>-0.3106</v>
      </c>
      <c r="E270" t="n">
        <v>17.1873</v>
      </c>
      <c r="F270" t="n">
        <v>0.08109</v>
      </c>
    </row>
    <row r="271">
      <c r="A271" t="n">
        <v>1000269</v>
      </c>
      <c r="B271" t="n">
        <v>1</v>
      </c>
      <c r="C271" t="n">
        <v>269</v>
      </c>
      <c r="D271" t="n">
        <v>-0.3118</v>
      </c>
      <c r="E271" t="n">
        <v>17.1838</v>
      </c>
      <c r="F271" t="n">
        <v>0.08108</v>
      </c>
    </row>
    <row r="272">
      <c r="A272" t="n">
        <v>1000270</v>
      </c>
      <c r="B272" t="n">
        <v>1</v>
      </c>
      <c r="C272" t="n">
        <v>270</v>
      </c>
      <c r="D272" t="n">
        <v>-0.313</v>
      </c>
      <c r="E272" t="n">
        <v>17.1803</v>
      </c>
      <c r="F272" t="n">
        <v>0.08107</v>
      </c>
    </row>
    <row r="273">
      <c r="A273" t="n">
        <v>1000271</v>
      </c>
      <c r="B273" t="n">
        <v>1</v>
      </c>
      <c r="C273" t="n">
        <v>271</v>
      </c>
      <c r="D273" t="n">
        <v>-0.3142</v>
      </c>
      <c r="E273" t="n">
        <v>17.1767</v>
      </c>
      <c r="F273" t="n">
        <v>0.08105</v>
      </c>
    </row>
    <row r="274">
      <c r="A274" t="n">
        <v>1000272</v>
      </c>
      <c r="B274" t="n">
        <v>1</v>
      </c>
      <c r="C274" t="n">
        <v>272</v>
      </c>
      <c r="D274" t="n">
        <v>-0.3153</v>
      </c>
      <c r="E274" t="n">
        <v>17.1731</v>
      </c>
      <c r="F274" t="n">
        <v>0.08104</v>
      </c>
    </row>
    <row r="275">
      <c r="A275" t="n">
        <v>1000273</v>
      </c>
      <c r="B275" t="n">
        <v>1</v>
      </c>
      <c r="C275" t="n">
        <v>273</v>
      </c>
      <c r="D275" t="n">
        <v>-0.3165</v>
      </c>
      <c r="E275" t="n">
        <v>17.1696</v>
      </c>
      <c r="F275" t="n">
        <v>0.08103</v>
      </c>
    </row>
    <row r="276">
      <c r="A276" t="n">
        <v>1000274</v>
      </c>
      <c r="B276" t="n">
        <v>1</v>
      </c>
      <c r="C276" t="n">
        <v>274</v>
      </c>
      <c r="D276" t="n">
        <v>-0.3177</v>
      </c>
      <c r="E276" t="n">
        <v>17.1659</v>
      </c>
      <c r="F276" t="n">
        <v>0.08101999999999999</v>
      </c>
    </row>
    <row r="277">
      <c r="A277" t="n">
        <v>1000275</v>
      </c>
      <c r="B277" t="n">
        <v>1</v>
      </c>
      <c r="C277" t="n">
        <v>275</v>
      </c>
      <c r="D277" t="n">
        <v>-0.3189</v>
      </c>
      <c r="E277" t="n">
        <v>17.1623</v>
      </c>
      <c r="F277" t="n">
        <v>0.08101</v>
      </c>
    </row>
    <row r="278">
      <c r="A278" t="n">
        <v>1000276</v>
      </c>
      <c r="B278" t="n">
        <v>1</v>
      </c>
      <c r="C278" t="n">
        <v>276</v>
      </c>
      <c r="D278" t="n">
        <v>-0.32</v>
      </c>
      <c r="E278" t="n">
        <v>17.1587</v>
      </c>
      <c r="F278" t="n">
        <v>0.08099000000000001</v>
      </c>
    </row>
    <row r="279">
      <c r="A279" t="n">
        <v>1000277</v>
      </c>
      <c r="B279" t="n">
        <v>1</v>
      </c>
      <c r="C279" t="n">
        <v>277</v>
      </c>
      <c r="D279" t="n">
        <v>-0.3212</v>
      </c>
      <c r="E279" t="n">
        <v>17.155</v>
      </c>
      <c r="F279" t="n">
        <v>0.08098</v>
      </c>
    </row>
    <row r="280">
      <c r="A280" t="n">
        <v>1000278</v>
      </c>
      <c r="B280" t="n">
        <v>1</v>
      </c>
      <c r="C280" t="n">
        <v>278</v>
      </c>
      <c r="D280" t="n">
        <v>-0.3223</v>
      </c>
      <c r="E280" t="n">
        <v>17.1513</v>
      </c>
      <c r="F280" t="n">
        <v>0.08097</v>
      </c>
    </row>
    <row r="281">
      <c r="A281" t="n">
        <v>1000279</v>
      </c>
      <c r="B281" t="n">
        <v>1</v>
      </c>
      <c r="C281" t="n">
        <v>279</v>
      </c>
      <c r="D281" t="n">
        <v>-0.3235</v>
      </c>
      <c r="E281" t="n">
        <v>17.1476</v>
      </c>
      <c r="F281" t="n">
        <v>0.08096</v>
      </c>
    </row>
    <row r="282">
      <c r="A282" t="n">
        <v>1000280</v>
      </c>
      <c r="B282" t="n">
        <v>1</v>
      </c>
      <c r="C282" t="n">
        <v>280</v>
      </c>
      <c r="D282" t="n">
        <v>-0.3246</v>
      </c>
      <c r="E282" t="n">
        <v>17.1439</v>
      </c>
      <c r="F282" t="n">
        <v>0.08094999999999999</v>
      </c>
    </row>
    <row r="283">
      <c r="A283" t="n">
        <v>1000281</v>
      </c>
      <c r="B283" t="n">
        <v>1</v>
      </c>
      <c r="C283" t="n">
        <v>281</v>
      </c>
      <c r="D283" t="n">
        <v>-0.3258</v>
      </c>
      <c r="E283" t="n">
        <v>17.1402</v>
      </c>
      <c r="F283" t="n">
        <v>0.08094</v>
      </c>
    </row>
    <row r="284">
      <c r="A284" t="n">
        <v>1000282</v>
      </c>
      <c r="B284" t="n">
        <v>1</v>
      </c>
      <c r="C284" t="n">
        <v>282</v>
      </c>
      <c r="D284" t="n">
        <v>-0.3269</v>
      </c>
      <c r="E284" t="n">
        <v>17.1364</v>
      </c>
      <c r="F284" t="n">
        <v>0.08093</v>
      </c>
    </row>
    <row r="285">
      <c r="A285" t="n">
        <v>1000283</v>
      </c>
      <c r="B285" t="n">
        <v>1</v>
      </c>
      <c r="C285" t="n">
        <v>283</v>
      </c>
      <c r="D285" t="n">
        <v>-0.3281</v>
      </c>
      <c r="E285" t="n">
        <v>17.1326</v>
      </c>
      <c r="F285" t="n">
        <v>0.08091</v>
      </c>
    </row>
    <row r="286">
      <c r="A286" t="n">
        <v>1000284</v>
      </c>
      <c r="B286" t="n">
        <v>1</v>
      </c>
      <c r="C286" t="n">
        <v>284</v>
      </c>
      <c r="D286" t="n">
        <v>-0.3292</v>
      </c>
      <c r="E286" t="n">
        <v>17.1288</v>
      </c>
      <c r="F286" t="n">
        <v>0.0809</v>
      </c>
    </row>
    <row r="287">
      <c r="A287" t="n">
        <v>1000285</v>
      </c>
      <c r="B287" t="n">
        <v>1</v>
      </c>
      <c r="C287" t="n">
        <v>285</v>
      </c>
      <c r="D287" t="n">
        <v>-0.3303</v>
      </c>
      <c r="E287" t="n">
        <v>17.125</v>
      </c>
      <c r="F287" t="n">
        <v>0.08089</v>
      </c>
    </row>
    <row r="288">
      <c r="A288" t="n">
        <v>1000286</v>
      </c>
      <c r="B288" t="n">
        <v>1</v>
      </c>
      <c r="C288" t="n">
        <v>286</v>
      </c>
      <c r="D288" t="n">
        <v>-0.3315</v>
      </c>
      <c r="E288" t="n">
        <v>17.1212</v>
      </c>
      <c r="F288" t="n">
        <v>0.08087999999999999</v>
      </c>
    </row>
    <row r="289">
      <c r="A289" t="n">
        <v>1000287</v>
      </c>
      <c r="B289" t="n">
        <v>1</v>
      </c>
      <c r="C289" t="n">
        <v>287</v>
      </c>
      <c r="D289" t="n">
        <v>-0.3326</v>
      </c>
      <c r="E289" t="n">
        <v>17.1174</v>
      </c>
      <c r="F289" t="n">
        <v>0.08087</v>
      </c>
    </row>
    <row r="290">
      <c r="A290" t="n">
        <v>1000288</v>
      </c>
      <c r="B290" t="n">
        <v>1</v>
      </c>
      <c r="C290" t="n">
        <v>288</v>
      </c>
      <c r="D290" t="n">
        <v>-0.3337</v>
      </c>
      <c r="E290" t="n">
        <v>17.1135</v>
      </c>
      <c r="F290" t="n">
        <v>0.08086</v>
      </c>
    </row>
    <row r="291">
      <c r="A291" t="n">
        <v>1000289</v>
      </c>
      <c r="B291" t="n">
        <v>1</v>
      </c>
      <c r="C291" t="n">
        <v>289</v>
      </c>
      <c r="D291" t="n">
        <v>-0.3348</v>
      </c>
      <c r="E291" t="n">
        <v>17.1097</v>
      </c>
      <c r="F291" t="n">
        <v>0.08085000000000001</v>
      </c>
    </row>
    <row r="292">
      <c r="A292" t="n">
        <v>1000290</v>
      </c>
      <c r="B292" t="n">
        <v>1</v>
      </c>
      <c r="C292" t="n">
        <v>290</v>
      </c>
      <c r="D292" t="n">
        <v>-0.3359</v>
      </c>
      <c r="E292" t="n">
        <v>17.1058</v>
      </c>
      <c r="F292" t="n">
        <v>0.08084</v>
      </c>
    </row>
    <row r="293">
      <c r="A293" t="n">
        <v>1000291</v>
      </c>
      <c r="B293" t="n">
        <v>1</v>
      </c>
      <c r="C293" t="n">
        <v>291</v>
      </c>
      <c r="D293" t="n">
        <v>-0.3371</v>
      </c>
      <c r="E293" t="n">
        <v>17.1019</v>
      </c>
      <c r="F293" t="n">
        <v>0.08082</v>
      </c>
    </row>
    <row r="294">
      <c r="A294" t="n">
        <v>1000292</v>
      </c>
      <c r="B294" t="n">
        <v>1</v>
      </c>
      <c r="C294" t="n">
        <v>292</v>
      </c>
      <c r="D294" t="n">
        <v>-0.3382</v>
      </c>
      <c r="E294" t="n">
        <v>17.098</v>
      </c>
      <c r="F294" t="n">
        <v>0.08081000000000001</v>
      </c>
    </row>
    <row r="295">
      <c r="A295" t="n">
        <v>1000293</v>
      </c>
      <c r="B295" t="n">
        <v>1</v>
      </c>
      <c r="C295" t="n">
        <v>293</v>
      </c>
      <c r="D295" t="n">
        <v>-0.3393</v>
      </c>
      <c r="E295" t="n">
        <v>17.0941</v>
      </c>
      <c r="F295" t="n">
        <v>0.0808</v>
      </c>
    </row>
    <row r="296">
      <c r="A296" t="n">
        <v>1000294</v>
      </c>
      <c r="B296" t="n">
        <v>1</v>
      </c>
      <c r="C296" t="n">
        <v>294</v>
      </c>
      <c r="D296" t="n">
        <v>-0.3404</v>
      </c>
      <c r="E296" t="n">
        <v>17.0901</v>
      </c>
      <c r="F296" t="n">
        <v>0.08079</v>
      </c>
    </row>
    <row r="297">
      <c r="A297" t="n">
        <v>1000295</v>
      </c>
      <c r="B297" t="n">
        <v>1</v>
      </c>
      <c r="C297" t="n">
        <v>295</v>
      </c>
      <c r="D297" t="n">
        <v>-0.3415</v>
      </c>
      <c r="E297" t="n">
        <v>17.0862</v>
      </c>
      <c r="F297" t="n">
        <v>0.08078</v>
      </c>
    </row>
    <row r="298">
      <c r="A298" t="n">
        <v>1000296</v>
      </c>
      <c r="B298" t="n">
        <v>1</v>
      </c>
      <c r="C298" t="n">
        <v>296</v>
      </c>
      <c r="D298" t="n">
        <v>-0.3426</v>
      </c>
      <c r="E298" t="n">
        <v>17.0823</v>
      </c>
      <c r="F298" t="n">
        <v>0.08076999999999999</v>
      </c>
    </row>
    <row r="299">
      <c r="A299" t="n">
        <v>1000297</v>
      </c>
      <c r="B299" t="n">
        <v>1</v>
      </c>
      <c r="C299" t="n">
        <v>297</v>
      </c>
      <c r="D299" t="n">
        <v>-0.3437</v>
      </c>
      <c r="E299" t="n">
        <v>17.0783</v>
      </c>
      <c r="F299" t="n">
        <v>0.08076</v>
      </c>
    </row>
    <row r="300">
      <c r="A300" t="n">
        <v>1000298</v>
      </c>
      <c r="B300" t="n">
        <v>1</v>
      </c>
      <c r="C300" t="n">
        <v>298</v>
      </c>
      <c r="D300" t="n">
        <v>-0.3448</v>
      </c>
      <c r="E300" t="n">
        <v>17.0743</v>
      </c>
      <c r="F300" t="n">
        <v>0.08075</v>
      </c>
    </row>
    <row r="301">
      <c r="A301" t="n">
        <v>1000299</v>
      </c>
      <c r="B301" t="n">
        <v>1</v>
      </c>
      <c r="C301" t="n">
        <v>299</v>
      </c>
      <c r="D301" t="n">
        <v>-0.3458</v>
      </c>
      <c r="E301" t="n">
        <v>17.0703</v>
      </c>
      <c r="F301" t="n">
        <v>0.08074000000000001</v>
      </c>
    </row>
    <row r="302">
      <c r="A302" t="n">
        <v>1000300</v>
      </c>
      <c r="B302" t="n">
        <v>1</v>
      </c>
      <c r="C302" t="n">
        <v>300</v>
      </c>
      <c r="D302" t="n">
        <v>-0.3469</v>
      </c>
      <c r="E302" t="n">
        <v>17.0663</v>
      </c>
      <c r="F302" t="n">
        <v>0.08073</v>
      </c>
    </row>
    <row r="303">
      <c r="A303" t="n">
        <v>1000301</v>
      </c>
      <c r="B303" t="n">
        <v>1</v>
      </c>
      <c r="C303" t="n">
        <v>301</v>
      </c>
      <c r="D303" t="n">
        <v>-0.348</v>
      </c>
      <c r="E303" t="n">
        <v>17.0623</v>
      </c>
      <c r="F303" t="n">
        <v>0.08071</v>
      </c>
    </row>
    <row r="304">
      <c r="A304" t="n">
        <v>1000302</v>
      </c>
      <c r="B304" t="n">
        <v>1</v>
      </c>
      <c r="C304" t="n">
        <v>302</v>
      </c>
      <c r="D304" t="n">
        <v>-0.3491</v>
      </c>
      <c r="E304" t="n">
        <v>17.0583</v>
      </c>
      <c r="F304" t="n">
        <v>0.08069999999999999</v>
      </c>
    </row>
    <row r="305">
      <c r="A305" t="n">
        <v>1000303</v>
      </c>
      <c r="B305" t="n">
        <v>1</v>
      </c>
      <c r="C305" t="n">
        <v>303</v>
      </c>
      <c r="D305" t="n">
        <v>-0.3502</v>
      </c>
      <c r="E305" t="n">
        <v>17.0543</v>
      </c>
      <c r="F305" t="n">
        <v>0.08069</v>
      </c>
    </row>
    <row r="306">
      <c r="A306" t="n">
        <v>1000304</v>
      </c>
      <c r="B306" t="n">
        <v>1</v>
      </c>
      <c r="C306" t="n">
        <v>304</v>
      </c>
      <c r="D306" t="n">
        <v>-0.3512</v>
      </c>
      <c r="E306" t="n">
        <v>17.0503</v>
      </c>
      <c r="F306" t="n">
        <v>0.08068</v>
      </c>
    </row>
    <row r="307">
      <c r="A307" t="n">
        <v>1000305</v>
      </c>
      <c r="B307" t="n">
        <v>1</v>
      </c>
      <c r="C307" t="n">
        <v>305</v>
      </c>
      <c r="D307" t="n">
        <v>-0.3523</v>
      </c>
      <c r="E307" t="n">
        <v>17.0463</v>
      </c>
      <c r="F307" t="n">
        <v>0.08067000000000001</v>
      </c>
    </row>
    <row r="308">
      <c r="A308" t="n">
        <v>1000306</v>
      </c>
      <c r="B308" t="n">
        <v>1</v>
      </c>
      <c r="C308" t="n">
        <v>306</v>
      </c>
      <c r="D308" t="n">
        <v>-0.3534</v>
      </c>
      <c r="E308" t="n">
        <v>17.0422</v>
      </c>
      <c r="F308" t="n">
        <v>0.08066</v>
      </c>
    </row>
    <row r="309">
      <c r="A309" t="n">
        <v>1000307</v>
      </c>
      <c r="B309" t="n">
        <v>1</v>
      </c>
      <c r="C309" t="n">
        <v>307</v>
      </c>
      <c r="D309" t="n">
        <v>-0.3544</v>
      </c>
      <c r="E309" t="n">
        <v>17.0382</v>
      </c>
      <c r="F309" t="n">
        <v>0.08065</v>
      </c>
    </row>
    <row r="310">
      <c r="A310" t="n">
        <v>1000308</v>
      </c>
      <c r="B310" t="n">
        <v>1</v>
      </c>
      <c r="C310" t="n">
        <v>308</v>
      </c>
      <c r="D310" t="n">
        <v>-0.3555</v>
      </c>
      <c r="E310" t="n">
        <v>17.0341</v>
      </c>
      <c r="F310" t="n">
        <v>0.08064</v>
      </c>
    </row>
    <row r="311">
      <c r="A311" t="n">
        <v>1000309</v>
      </c>
      <c r="B311" t="n">
        <v>1</v>
      </c>
      <c r="C311" t="n">
        <v>309</v>
      </c>
      <c r="D311" t="n">
        <v>-0.3565</v>
      </c>
      <c r="E311" t="n">
        <v>17.0301</v>
      </c>
      <c r="F311" t="n">
        <v>0.08062999999999999</v>
      </c>
    </row>
    <row r="312">
      <c r="A312" t="n">
        <v>1000310</v>
      </c>
      <c r="B312" t="n">
        <v>1</v>
      </c>
      <c r="C312" t="n">
        <v>310</v>
      </c>
      <c r="D312" t="n">
        <v>-0.3576</v>
      </c>
      <c r="E312" t="n">
        <v>17.026</v>
      </c>
      <c r="F312" t="n">
        <v>0.08062</v>
      </c>
    </row>
    <row r="313">
      <c r="A313" t="n">
        <v>1000311</v>
      </c>
      <c r="B313" t="n">
        <v>1</v>
      </c>
      <c r="C313" t="n">
        <v>311</v>
      </c>
      <c r="D313" t="n">
        <v>-0.3586</v>
      </c>
      <c r="E313" t="n">
        <v>17.0219</v>
      </c>
      <c r="F313" t="n">
        <v>0.08061</v>
      </c>
    </row>
    <row r="314">
      <c r="A314" t="n">
        <v>1000312</v>
      </c>
      <c r="B314" t="n">
        <v>1</v>
      </c>
      <c r="C314" t="n">
        <v>312</v>
      </c>
      <c r="D314" t="n">
        <v>-0.3597</v>
      </c>
      <c r="E314" t="n">
        <v>17.0178</v>
      </c>
      <c r="F314" t="n">
        <v>0.0806</v>
      </c>
    </row>
    <row r="315">
      <c r="A315" t="n">
        <v>1000313</v>
      </c>
      <c r="B315" t="n">
        <v>1</v>
      </c>
      <c r="C315" t="n">
        <v>313</v>
      </c>
      <c r="D315" t="n">
        <v>-0.3607</v>
      </c>
      <c r="E315" t="n">
        <v>17.0138</v>
      </c>
      <c r="F315" t="n">
        <v>0.08058999999999999</v>
      </c>
    </row>
    <row r="316">
      <c r="A316" t="n">
        <v>1000314</v>
      </c>
      <c r="B316" t="n">
        <v>1</v>
      </c>
      <c r="C316" t="n">
        <v>314</v>
      </c>
      <c r="D316" t="n">
        <v>-0.3618</v>
      </c>
      <c r="E316" t="n">
        <v>17.0097</v>
      </c>
      <c r="F316" t="n">
        <v>0.08058</v>
      </c>
    </row>
    <row r="317">
      <c r="A317" t="n">
        <v>1000315</v>
      </c>
      <c r="B317" t="n">
        <v>1</v>
      </c>
      <c r="C317" t="n">
        <v>315</v>
      </c>
      <c r="D317" t="n">
        <v>-0.3628</v>
      </c>
      <c r="E317" t="n">
        <v>17.0056</v>
      </c>
      <c r="F317" t="n">
        <v>0.08057</v>
      </c>
    </row>
    <row r="318">
      <c r="A318" t="n">
        <v>1000316</v>
      </c>
      <c r="B318" t="n">
        <v>1</v>
      </c>
      <c r="C318" t="n">
        <v>316</v>
      </c>
      <c r="D318" t="n">
        <v>-0.3638</v>
      </c>
      <c r="E318" t="n">
        <v>17.0015</v>
      </c>
      <c r="F318" t="n">
        <v>0.08056000000000001</v>
      </c>
    </row>
    <row r="319">
      <c r="A319" t="n">
        <v>1000317</v>
      </c>
      <c r="B319" t="n">
        <v>1</v>
      </c>
      <c r="C319" t="n">
        <v>317</v>
      </c>
      <c r="D319" t="n">
        <v>-0.3649</v>
      </c>
      <c r="E319" t="n">
        <v>16.9974</v>
      </c>
      <c r="F319" t="n">
        <v>0.08055</v>
      </c>
    </row>
    <row r="320">
      <c r="A320" t="n">
        <v>1000318</v>
      </c>
      <c r="B320" t="n">
        <v>1</v>
      </c>
      <c r="C320" t="n">
        <v>318</v>
      </c>
      <c r="D320" t="n">
        <v>-0.3659</v>
      </c>
      <c r="E320" t="n">
        <v>16.9933</v>
      </c>
      <c r="F320" t="n">
        <v>0.08054</v>
      </c>
    </row>
    <row r="321">
      <c r="A321" t="n">
        <v>1000319</v>
      </c>
      <c r="B321" t="n">
        <v>1</v>
      </c>
      <c r="C321" t="n">
        <v>319</v>
      </c>
      <c r="D321" t="n">
        <v>-0.3669</v>
      </c>
      <c r="E321" t="n">
        <v>16.9892</v>
      </c>
      <c r="F321" t="n">
        <v>0.08053</v>
      </c>
    </row>
    <row r="322">
      <c r="A322" t="n">
        <v>1000320</v>
      </c>
      <c r="B322" t="n">
        <v>1</v>
      </c>
      <c r="C322" t="n">
        <v>320</v>
      </c>
      <c r="D322" t="n">
        <v>-0.3679</v>
      </c>
      <c r="E322" t="n">
        <v>16.985</v>
      </c>
      <c r="F322" t="n">
        <v>0.08051999999999999</v>
      </c>
    </row>
    <row r="323">
      <c r="A323" t="n">
        <v>1000321</v>
      </c>
      <c r="B323" t="n">
        <v>1</v>
      </c>
      <c r="C323" t="n">
        <v>321</v>
      </c>
      <c r="D323" t="n">
        <v>-0.369</v>
      </c>
      <c r="E323" t="n">
        <v>16.9809</v>
      </c>
      <c r="F323" t="n">
        <v>0.08051</v>
      </c>
    </row>
    <row r="324">
      <c r="A324" t="n">
        <v>1000322</v>
      </c>
      <c r="B324" t="n">
        <v>1</v>
      </c>
      <c r="C324" t="n">
        <v>322</v>
      </c>
      <c r="D324" t="n">
        <v>-0.37</v>
      </c>
      <c r="E324" t="n">
        <v>16.9768</v>
      </c>
      <c r="F324" t="n">
        <v>0.0805</v>
      </c>
    </row>
    <row r="325">
      <c r="A325" t="n">
        <v>1000323</v>
      </c>
      <c r="B325" t="n">
        <v>1</v>
      </c>
      <c r="C325" t="n">
        <v>323</v>
      </c>
      <c r="D325" t="n">
        <v>-0.371</v>
      </c>
      <c r="E325" t="n">
        <v>16.9727</v>
      </c>
      <c r="F325" t="n">
        <v>0.08049000000000001</v>
      </c>
    </row>
    <row r="326">
      <c r="A326" t="n">
        <v>1000324</v>
      </c>
      <c r="B326" t="n">
        <v>1</v>
      </c>
      <c r="C326" t="n">
        <v>324</v>
      </c>
      <c r="D326" t="n">
        <v>-0.372</v>
      </c>
      <c r="E326" t="n">
        <v>16.9686</v>
      </c>
      <c r="F326" t="n">
        <v>0.08048</v>
      </c>
    </row>
    <row r="327">
      <c r="A327" t="n">
        <v>1000325</v>
      </c>
      <c r="B327" t="n">
        <v>1</v>
      </c>
      <c r="C327" t="n">
        <v>325</v>
      </c>
      <c r="D327" t="n">
        <v>-0.373</v>
      </c>
      <c r="E327" t="n">
        <v>16.9644</v>
      </c>
      <c r="F327" t="n">
        <v>0.08047</v>
      </c>
    </row>
    <row r="328">
      <c r="A328" t="n">
        <v>1000326</v>
      </c>
      <c r="B328" t="n">
        <v>1</v>
      </c>
      <c r="C328" t="n">
        <v>326</v>
      </c>
      <c r="D328" t="n">
        <v>-0.374</v>
      </c>
      <c r="E328" t="n">
        <v>16.9603</v>
      </c>
      <c r="F328" t="n">
        <v>0.08046</v>
      </c>
    </row>
    <row r="329">
      <c r="A329" t="n">
        <v>1000327</v>
      </c>
      <c r="B329" t="n">
        <v>1</v>
      </c>
      <c r="C329" t="n">
        <v>327</v>
      </c>
      <c r="D329" t="n">
        <v>-0.375</v>
      </c>
      <c r="E329" t="n">
        <v>16.9562</v>
      </c>
      <c r="F329" t="n">
        <v>0.08044999999999999</v>
      </c>
    </row>
    <row r="330">
      <c r="A330" t="n">
        <v>1000328</v>
      </c>
      <c r="B330" t="n">
        <v>1</v>
      </c>
      <c r="C330" t="n">
        <v>328</v>
      </c>
      <c r="D330" t="n">
        <v>-0.376</v>
      </c>
      <c r="E330" t="n">
        <v>16.9521</v>
      </c>
      <c r="F330" t="n">
        <v>0.08044</v>
      </c>
    </row>
    <row r="331">
      <c r="A331" t="n">
        <v>1000329</v>
      </c>
      <c r="B331" t="n">
        <v>1</v>
      </c>
      <c r="C331" t="n">
        <v>329</v>
      </c>
      <c r="D331" t="n">
        <v>-0.377</v>
      </c>
      <c r="E331" t="n">
        <v>16.9479</v>
      </c>
      <c r="F331" t="n">
        <v>0.08043</v>
      </c>
    </row>
    <row r="332">
      <c r="A332" t="n">
        <v>1000330</v>
      </c>
      <c r="B332" t="n">
        <v>1</v>
      </c>
      <c r="C332" t="n">
        <v>330</v>
      </c>
      <c r="D332" t="n">
        <v>-0.378</v>
      </c>
      <c r="E332" t="n">
        <v>16.9438</v>
      </c>
      <c r="F332" t="n">
        <v>0.08042000000000001</v>
      </c>
    </row>
    <row r="333">
      <c r="A333" t="n">
        <v>1000331</v>
      </c>
      <c r="B333" t="n">
        <v>1</v>
      </c>
      <c r="C333" t="n">
        <v>331</v>
      </c>
      <c r="D333" t="n">
        <v>-0.379</v>
      </c>
      <c r="E333" t="n">
        <v>16.9397</v>
      </c>
      <c r="F333" t="n">
        <v>0.08041</v>
      </c>
    </row>
    <row r="334">
      <c r="A334" t="n">
        <v>1000332</v>
      </c>
      <c r="B334" t="n">
        <v>1</v>
      </c>
      <c r="C334" t="n">
        <v>332</v>
      </c>
      <c r="D334" t="n">
        <v>-0.38</v>
      </c>
      <c r="E334" t="n">
        <v>16.9355</v>
      </c>
      <c r="F334" t="n">
        <v>0.0804</v>
      </c>
    </row>
    <row r="335">
      <c r="A335" t="n">
        <v>1000333</v>
      </c>
      <c r="B335" t="n">
        <v>1</v>
      </c>
      <c r="C335" t="n">
        <v>333</v>
      </c>
      <c r="D335" t="n">
        <v>-0.381</v>
      </c>
      <c r="E335" t="n">
        <v>16.9314</v>
      </c>
      <c r="F335" t="n">
        <v>0.08039</v>
      </c>
    </row>
    <row r="336">
      <c r="A336" t="n">
        <v>1000334</v>
      </c>
      <c r="B336" t="n">
        <v>1</v>
      </c>
      <c r="C336" t="n">
        <v>334</v>
      </c>
      <c r="D336" t="n">
        <v>-0.382</v>
      </c>
      <c r="E336" t="n">
        <v>16.9273</v>
      </c>
      <c r="F336" t="n">
        <v>0.08037999999999999</v>
      </c>
    </row>
    <row r="337">
      <c r="A337" t="n">
        <v>1000335</v>
      </c>
      <c r="B337" t="n">
        <v>1</v>
      </c>
      <c r="C337" t="n">
        <v>335</v>
      </c>
      <c r="D337" t="n">
        <v>-0.383</v>
      </c>
      <c r="E337" t="n">
        <v>16.9231</v>
      </c>
      <c r="F337" t="n">
        <v>0.08037</v>
      </c>
    </row>
    <row r="338">
      <c r="A338" t="n">
        <v>1000336</v>
      </c>
      <c r="B338" t="n">
        <v>1</v>
      </c>
      <c r="C338" t="n">
        <v>336</v>
      </c>
      <c r="D338" t="n">
        <v>-0.3839</v>
      </c>
      <c r="E338" t="n">
        <v>16.919</v>
      </c>
      <c r="F338" t="n">
        <v>0.08036</v>
      </c>
    </row>
    <row r="339">
      <c r="A339" t="n">
        <v>1000337</v>
      </c>
      <c r="B339" t="n">
        <v>1</v>
      </c>
      <c r="C339" t="n">
        <v>337</v>
      </c>
      <c r="D339" t="n">
        <v>-0.3849</v>
      </c>
      <c r="E339" t="n">
        <v>16.9148</v>
      </c>
      <c r="F339" t="n">
        <v>0.08035</v>
      </c>
    </row>
    <row r="340">
      <c r="A340" t="n">
        <v>1000338</v>
      </c>
      <c r="B340" t="n">
        <v>1</v>
      </c>
      <c r="C340" t="n">
        <v>338</v>
      </c>
      <c r="D340" t="n">
        <v>-0.3859</v>
      </c>
      <c r="E340" t="n">
        <v>16.9107</v>
      </c>
      <c r="F340" t="n">
        <v>0.08033999999999999</v>
      </c>
    </row>
    <row r="341">
      <c r="A341" t="n">
        <v>1000339</v>
      </c>
      <c r="B341" t="n">
        <v>1</v>
      </c>
      <c r="C341" t="n">
        <v>339</v>
      </c>
      <c r="D341" t="n">
        <v>-0.3869</v>
      </c>
      <c r="E341" t="n">
        <v>16.9066</v>
      </c>
      <c r="F341" t="n">
        <v>0.08033</v>
      </c>
    </row>
    <row r="342">
      <c r="A342" t="n">
        <v>1000340</v>
      </c>
      <c r="B342" t="n">
        <v>1</v>
      </c>
      <c r="C342" t="n">
        <v>340</v>
      </c>
      <c r="D342" t="n">
        <v>-0.3878</v>
      </c>
      <c r="E342" t="n">
        <v>16.9024</v>
      </c>
      <c r="F342" t="n">
        <v>0.08032</v>
      </c>
    </row>
    <row r="343">
      <c r="A343" t="n">
        <v>1000341</v>
      </c>
      <c r="B343" t="n">
        <v>1</v>
      </c>
      <c r="C343" t="n">
        <v>341</v>
      </c>
      <c r="D343" t="n">
        <v>-0.3888</v>
      </c>
      <c r="E343" t="n">
        <v>16.8983</v>
      </c>
      <c r="F343" t="n">
        <v>0.08031000000000001</v>
      </c>
    </row>
    <row r="344">
      <c r="A344" t="n">
        <v>1000342</v>
      </c>
      <c r="B344" t="n">
        <v>1</v>
      </c>
      <c r="C344" t="n">
        <v>342</v>
      </c>
      <c r="D344" t="n">
        <v>-0.3898</v>
      </c>
      <c r="E344" t="n">
        <v>16.8942</v>
      </c>
      <c r="F344" t="n">
        <v>0.0803</v>
      </c>
    </row>
    <row r="345">
      <c r="A345" t="n">
        <v>1000343</v>
      </c>
      <c r="B345" t="n">
        <v>1</v>
      </c>
      <c r="C345" t="n">
        <v>343</v>
      </c>
      <c r="D345" t="n">
        <v>-0.3907</v>
      </c>
      <c r="E345" t="n">
        <v>16.89</v>
      </c>
      <c r="F345" t="n">
        <v>0.08029</v>
      </c>
    </row>
    <row r="346">
      <c r="A346" t="n">
        <v>1000344</v>
      </c>
      <c r="B346" t="n">
        <v>1</v>
      </c>
      <c r="C346" t="n">
        <v>344</v>
      </c>
      <c r="D346" t="n">
        <v>-0.3917</v>
      </c>
      <c r="E346" t="n">
        <v>16.8859</v>
      </c>
      <c r="F346" t="n">
        <v>0.08028</v>
      </c>
    </row>
    <row r="347">
      <c r="A347" t="n">
        <v>1000345</v>
      </c>
      <c r="B347" t="n">
        <v>1</v>
      </c>
      <c r="C347" t="n">
        <v>345</v>
      </c>
      <c r="D347" t="n">
        <v>-0.3926</v>
      </c>
      <c r="E347" t="n">
        <v>16.8817</v>
      </c>
      <c r="F347" t="n">
        <v>0.08026999999999999</v>
      </c>
    </row>
    <row r="348">
      <c r="A348" t="n">
        <v>1000346</v>
      </c>
      <c r="B348" t="n">
        <v>1</v>
      </c>
      <c r="C348" t="n">
        <v>346</v>
      </c>
      <c r="D348" t="n">
        <v>-0.3936</v>
      </c>
      <c r="E348" t="n">
        <v>16.8776</v>
      </c>
      <c r="F348" t="n">
        <v>0.08026</v>
      </c>
    </row>
    <row r="349">
      <c r="A349" t="n">
        <v>1000347</v>
      </c>
      <c r="B349" t="n">
        <v>1</v>
      </c>
      <c r="C349" t="n">
        <v>347</v>
      </c>
      <c r="D349" t="n">
        <v>-0.3945</v>
      </c>
      <c r="E349" t="n">
        <v>16.8735</v>
      </c>
      <c r="F349" t="n">
        <v>0.08025</v>
      </c>
    </row>
    <row r="350">
      <c r="A350" t="n">
        <v>1000348</v>
      </c>
      <c r="B350" t="n">
        <v>1</v>
      </c>
      <c r="C350" t="n">
        <v>348</v>
      </c>
      <c r="D350" t="n">
        <v>-0.3955</v>
      </c>
      <c r="E350" t="n">
        <v>16.8693</v>
      </c>
      <c r="F350" t="n">
        <v>0.08024000000000001</v>
      </c>
    </row>
    <row r="351">
      <c r="A351" t="n">
        <v>1000349</v>
      </c>
      <c r="B351" t="n">
        <v>1</v>
      </c>
      <c r="C351" t="n">
        <v>349</v>
      </c>
      <c r="D351" t="n">
        <v>-0.3964</v>
      </c>
      <c r="E351" t="n">
        <v>16.8652</v>
      </c>
      <c r="F351" t="n">
        <v>0.08023</v>
      </c>
    </row>
    <row r="352">
      <c r="A352" t="n">
        <v>1000350</v>
      </c>
      <c r="B352" t="n">
        <v>1</v>
      </c>
      <c r="C352" t="n">
        <v>350</v>
      </c>
      <c r="D352" t="n">
        <v>-0.3974</v>
      </c>
      <c r="E352" t="n">
        <v>16.861</v>
      </c>
      <c r="F352" t="n">
        <v>0.08022</v>
      </c>
    </row>
    <row r="353">
      <c r="A353" t="n">
        <v>1000351</v>
      </c>
      <c r="B353" t="n">
        <v>1</v>
      </c>
      <c r="C353" t="n">
        <v>351</v>
      </c>
      <c r="D353" t="n">
        <v>-0.3983</v>
      </c>
      <c r="E353" t="n">
        <v>16.8569</v>
      </c>
      <c r="F353" t="n">
        <v>0.08022</v>
      </c>
    </row>
    <row r="354">
      <c r="A354" t="n">
        <v>1000352</v>
      </c>
      <c r="B354" t="n">
        <v>1</v>
      </c>
      <c r="C354" t="n">
        <v>352</v>
      </c>
      <c r="D354" t="n">
        <v>-0.3993</v>
      </c>
      <c r="E354" t="n">
        <v>16.8528</v>
      </c>
      <c r="F354" t="n">
        <v>0.08021</v>
      </c>
    </row>
    <row r="355">
      <c r="A355" t="n">
        <v>1000353</v>
      </c>
      <c r="B355" t="n">
        <v>1</v>
      </c>
      <c r="C355" t="n">
        <v>353</v>
      </c>
      <c r="D355" t="n">
        <v>-0.4002</v>
      </c>
      <c r="E355" t="n">
        <v>16.8486</v>
      </c>
      <c r="F355" t="n">
        <v>0.08019999999999999</v>
      </c>
    </row>
    <row r="356">
      <c r="A356" t="n">
        <v>1000354</v>
      </c>
      <c r="B356" t="n">
        <v>1</v>
      </c>
      <c r="C356" t="n">
        <v>354</v>
      </c>
      <c r="D356" t="n">
        <v>-0.4011</v>
      </c>
      <c r="E356" t="n">
        <v>16.8445</v>
      </c>
      <c r="F356" t="n">
        <v>0.08019</v>
      </c>
    </row>
    <row r="357">
      <c r="A357" t="n">
        <v>1000355</v>
      </c>
      <c r="B357" t="n">
        <v>1</v>
      </c>
      <c r="C357" t="n">
        <v>355</v>
      </c>
      <c r="D357" t="n">
        <v>-0.4021</v>
      </c>
      <c r="E357" t="n">
        <v>16.8404</v>
      </c>
      <c r="F357" t="n">
        <v>0.08018</v>
      </c>
    </row>
    <row r="358">
      <c r="A358" t="n">
        <v>1000356</v>
      </c>
      <c r="B358" t="n">
        <v>1</v>
      </c>
      <c r="C358" t="n">
        <v>356</v>
      </c>
      <c r="D358" t="n">
        <v>-0.403</v>
      </c>
      <c r="E358" t="n">
        <v>16.8363</v>
      </c>
      <c r="F358" t="n">
        <v>0.08017000000000001</v>
      </c>
    </row>
    <row r="359">
      <c r="A359" t="n">
        <v>1000357</v>
      </c>
      <c r="B359" t="n">
        <v>1</v>
      </c>
      <c r="C359" t="n">
        <v>357</v>
      </c>
      <c r="D359" t="n">
        <v>-0.4039</v>
      </c>
      <c r="E359" t="n">
        <v>16.8321</v>
      </c>
      <c r="F359" t="n">
        <v>0.08016</v>
      </c>
    </row>
    <row r="360">
      <c r="A360" t="n">
        <v>1000358</v>
      </c>
      <c r="B360" t="n">
        <v>1</v>
      </c>
      <c r="C360" t="n">
        <v>358</v>
      </c>
      <c r="D360" t="n">
        <v>-0.4049</v>
      </c>
      <c r="E360" t="n">
        <v>16.828</v>
      </c>
      <c r="F360" t="n">
        <v>0.08015</v>
      </c>
    </row>
    <row r="361">
      <c r="A361" t="n">
        <v>1000359</v>
      </c>
      <c r="B361" t="n">
        <v>1</v>
      </c>
      <c r="C361" t="n">
        <v>359</v>
      </c>
      <c r="D361" t="n">
        <v>-0.4058</v>
      </c>
      <c r="E361" t="n">
        <v>16.8239</v>
      </c>
      <c r="F361" t="n">
        <v>0.08014</v>
      </c>
    </row>
    <row r="362">
      <c r="A362" t="n">
        <v>1000360</v>
      </c>
      <c r="B362" t="n">
        <v>1</v>
      </c>
      <c r="C362" t="n">
        <v>360</v>
      </c>
      <c r="D362" t="n">
        <v>-0.4067</v>
      </c>
      <c r="E362" t="n">
        <v>16.8198</v>
      </c>
      <c r="F362" t="n">
        <v>0.08013000000000001</v>
      </c>
    </row>
    <row r="363">
      <c r="A363" t="n">
        <v>1000361</v>
      </c>
      <c r="B363" t="n">
        <v>1</v>
      </c>
      <c r="C363" t="n">
        <v>361</v>
      </c>
      <c r="D363" t="n">
        <v>-0.4076</v>
      </c>
      <c r="E363" t="n">
        <v>16.8156</v>
      </c>
      <c r="F363" t="n">
        <v>0.08012</v>
      </c>
    </row>
    <row r="364">
      <c r="A364" t="n">
        <v>1000362</v>
      </c>
      <c r="B364" t="n">
        <v>1</v>
      </c>
      <c r="C364" t="n">
        <v>362</v>
      </c>
      <c r="D364" t="n">
        <v>-0.4085</v>
      </c>
      <c r="E364" t="n">
        <v>16.8115</v>
      </c>
      <c r="F364" t="n">
        <v>0.08011</v>
      </c>
    </row>
    <row r="365">
      <c r="A365" t="n">
        <v>1000363</v>
      </c>
      <c r="B365" t="n">
        <v>1</v>
      </c>
      <c r="C365" t="n">
        <v>363</v>
      </c>
      <c r="D365" t="n">
        <v>-0.4095</v>
      </c>
      <c r="E365" t="n">
        <v>16.8074</v>
      </c>
      <c r="F365" t="n">
        <v>0.08011</v>
      </c>
    </row>
    <row r="366">
      <c r="A366" t="n">
        <v>1000364</v>
      </c>
      <c r="B366" t="n">
        <v>1</v>
      </c>
      <c r="C366" t="n">
        <v>364</v>
      </c>
      <c r="D366" t="n">
        <v>-0.4104</v>
      </c>
      <c r="E366" t="n">
        <v>16.8033</v>
      </c>
      <c r="F366" t="n">
        <v>0.0801</v>
      </c>
    </row>
    <row r="367">
      <c r="A367" t="n">
        <v>1000365</v>
      </c>
      <c r="B367" t="n">
        <v>1</v>
      </c>
      <c r="C367" t="n">
        <v>365</v>
      </c>
      <c r="D367" t="n">
        <v>-0.4113</v>
      </c>
      <c r="E367" t="n">
        <v>16.7992</v>
      </c>
      <c r="F367" t="n">
        <v>0.08008999999999999</v>
      </c>
    </row>
    <row r="368">
      <c r="A368" t="n">
        <v>1000366</v>
      </c>
      <c r="B368" t="n">
        <v>1</v>
      </c>
      <c r="C368" t="n">
        <v>366</v>
      </c>
      <c r="D368" t="n">
        <v>-0.4122</v>
      </c>
      <c r="E368" t="n">
        <v>16.7951</v>
      </c>
      <c r="F368" t="n">
        <v>0.08008</v>
      </c>
    </row>
    <row r="369">
      <c r="A369" t="n">
        <v>1000367</v>
      </c>
      <c r="B369" t="n">
        <v>1</v>
      </c>
      <c r="C369" t="n">
        <v>367</v>
      </c>
      <c r="D369" t="n">
        <v>-0.4131</v>
      </c>
      <c r="E369" t="n">
        <v>16.7909</v>
      </c>
      <c r="F369" t="n">
        <v>0.08007</v>
      </c>
    </row>
    <row r="370">
      <c r="A370" t="n">
        <v>1000368</v>
      </c>
      <c r="B370" t="n">
        <v>1</v>
      </c>
      <c r="C370" t="n">
        <v>368</v>
      </c>
      <c r="D370" t="n">
        <v>-0.414</v>
      </c>
      <c r="E370" t="n">
        <v>16.7868</v>
      </c>
      <c r="F370" t="n">
        <v>0.08006000000000001</v>
      </c>
    </row>
    <row r="371">
      <c r="A371" t="n">
        <v>1000369</v>
      </c>
      <c r="B371" t="n">
        <v>1</v>
      </c>
      <c r="C371" t="n">
        <v>369</v>
      </c>
      <c r="D371" t="n">
        <v>-0.4149</v>
      </c>
      <c r="E371" t="n">
        <v>16.7827</v>
      </c>
      <c r="F371" t="n">
        <v>0.08005</v>
      </c>
    </row>
    <row r="372">
      <c r="A372" t="n">
        <v>1000370</v>
      </c>
      <c r="B372" t="n">
        <v>1</v>
      </c>
      <c r="C372" t="n">
        <v>370</v>
      </c>
      <c r="D372" t="n">
        <v>-0.4158</v>
      </c>
      <c r="E372" t="n">
        <v>16.7786</v>
      </c>
      <c r="F372" t="n">
        <v>0.08004</v>
      </c>
    </row>
    <row r="373">
      <c r="A373" t="n">
        <v>1000371</v>
      </c>
      <c r="B373" t="n">
        <v>1</v>
      </c>
      <c r="C373" t="n">
        <v>371</v>
      </c>
      <c r="D373" t="n">
        <v>-0.4167</v>
      </c>
      <c r="E373" t="n">
        <v>16.7745</v>
      </c>
      <c r="F373" t="n">
        <v>0.08003</v>
      </c>
    </row>
    <row r="374">
      <c r="A374" t="n">
        <v>1000372</v>
      </c>
      <c r="B374" t="n">
        <v>1</v>
      </c>
      <c r="C374" t="n">
        <v>372</v>
      </c>
      <c r="D374" t="n">
        <v>-0.4176</v>
      </c>
      <c r="E374" t="n">
        <v>16.7704</v>
      </c>
      <c r="F374" t="n">
        <v>0.08003</v>
      </c>
    </row>
    <row r="375">
      <c r="A375" t="n">
        <v>1000373</v>
      </c>
      <c r="B375" t="n">
        <v>1</v>
      </c>
      <c r="C375" t="n">
        <v>373</v>
      </c>
      <c r="D375" t="n">
        <v>-0.4185</v>
      </c>
      <c r="E375" t="n">
        <v>16.7663</v>
      </c>
      <c r="F375" t="n">
        <v>0.08001999999999999</v>
      </c>
    </row>
    <row r="376">
      <c r="A376" t="n">
        <v>1000374</v>
      </c>
      <c r="B376" t="n">
        <v>1</v>
      </c>
      <c r="C376" t="n">
        <v>374</v>
      </c>
      <c r="D376" t="n">
        <v>-0.4194</v>
      </c>
      <c r="E376" t="n">
        <v>16.7622</v>
      </c>
      <c r="F376" t="n">
        <v>0.08001</v>
      </c>
    </row>
    <row r="377">
      <c r="A377" t="n">
        <v>1000375</v>
      </c>
      <c r="B377" t="n">
        <v>1</v>
      </c>
      <c r="C377" t="n">
        <v>375</v>
      </c>
      <c r="D377" t="n">
        <v>-0.4203</v>
      </c>
      <c r="E377" t="n">
        <v>16.7582</v>
      </c>
      <c r="F377" t="n">
        <v>0.08</v>
      </c>
    </row>
    <row r="378">
      <c r="A378" t="n">
        <v>1000376</v>
      </c>
      <c r="B378" t="n">
        <v>1</v>
      </c>
      <c r="C378" t="n">
        <v>376</v>
      </c>
      <c r="D378" t="n">
        <v>-0.4211</v>
      </c>
      <c r="E378" t="n">
        <v>16.7541</v>
      </c>
      <c r="F378" t="n">
        <v>0.07999000000000001</v>
      </c>
    </row>
    <row r="379">
      <c r="A379" t="n">
        <v>1000377</v>
      </c>
      <c r="B379" t="n">
        <v>1</v>
      </c>
      <c r="C379" t="n">
        <v>377</v>
      </c>
      <c r="D379" t="n">
        <v>-0.422</v>
      </c>
      <c r="E379" t="n">
        <v>16.75</v>
      </c>
      <c r="F379" t="n">
        <v>0.07998</v>
      </c>
    </row>
    <row r="380">
      <c r="A380" t="n">
        <v>1000378</v>
      </c>
      <c r="B380" t="n">
        <v>1</v>
      </c>
      <c r="C380" t="n">
        <v>378</v>
      </c>
      <c r="D380" t="n">
        <v>-0.4229</v>
      </c>
      <c r="E380" t="n">
        <v>16.7459</v>
      </c>
      <c r="F380" t="n">
        <v>0.07997</v>
      </c>
    </row>
    <row r="381">
      <c r="A381" t="n">
        <v>1000379</v>
      </c>
      <c r="B381" t="n">
        <v>1</v>
      </c>
      <c r="C381" t="n">
        <v>379</v>
      </c>
      <c r="D381" t="n">
        <v>-0.4238</v>
      </c>
      <c r="E381" t="n">
        <v>16.7418</v>
      </c>
      <c r="F381" t="n">
        <v>0.07996</v>
      </c>
    </row>
    <row r="382">
      <c r="A382" t="n">
        <v>1000380</v>
      </c>
      <c r="B382" t="n">
        <v>1</v>
      </c>
      <c r="C382" t="n">
        <v>380</v>
      </c>
      <c r="D382" t="n">
        <v>-0.4247</v>
      </c>
      <c r="E382" t="n">
        <v>16.7377</v>
      </c>
      <c r="F382" t="n">
        <v>0.07996</v>
      </c>
    </row>
    <row r="383">
      <c r="A383" t="n">
        <v>1000381</v>
      </c>
      <c r="B383" t="n">
        <v>1</v>
      </c>
      <c r="C383" t="n">
        <v>381</v>
      </c>
      <c r="D383" t="n">
        <v>-0.4255</v>
      </c>
      <c r="E383" t="n">
        <v>16.7337</v>
      </c>
      <c r="F383" t="n">
        <v>0.07994999999999999</v>
      </c>
    </row>
    <row r="384">
      <c r="A384" t="n">
        <v>1000382</v>
      </c>
      <c r="B384" t="n">
        <v>1</v>
      </c>
      <c r="C384" t="n">
        <v>382</v>
      </c>
      <c r="D384" t="n">
        <v>-0.4264</v>
      </c>
      <c r="E384" t="n">
        <v>16.7296</v>
      </c>
      <c r="F384" t="n">
        <v>0.07994</v>
      </c>
    </row>
    <row r="385">
      <c r="A385" t="n">
        <v>1000383</v>
      </c>
      <c r="B385" t="n">
        <v>1</v>
      </c>
      <c r="C385" t="n">
        <v>383</v>
      </c>
      <c r="D385" t="n">
        <v>-0.4273</v>
      </c>
      <c r="E385" t="n">
        <v>16.7255</v>
      </c>
      <c r="F385" t="n">
        <v>0.07993</v>
      </c>
    </row>
    <row r="386">
      <c r="A386" t="n">
        <v>1000384</v>
      </c>
      <c r="B386" t="n">
        <v>1</v>
      </c>
      <c r="C386" t="n">
        <v>384</v>
      </c>
      <c r="D386" t="n">
        <v>-0.4282</v>
      </c>
      <c r="E386" t="n">
        <v>16.7215</v>
      </c>
      <c r="F386" t="n">
        <v>0.07992</v>
      </c>
    </row>
    <row r="387">
      <c r="A387" t="n">
        <v>1000385</v>
      </c>
      <c r="B387" t="n">
        <v>1</v>
      </c>
      <c r="C387" t="n">
        <v>385</v>
      </c>
      <c r="D387" t="n">
        <v>-0.429</v>
      </c>
      <c r="E387" t="n">
        <v>16.7174</v>
      </c>
      <c r="F387" t="n">
        <v>0.07990999999999999</v>
      </c>
    </row>
    <row r="388">
      <c r="A388" t="n">
        <v>1000386</v>
      </c>
      <c r="B388" t="n">
        <v>1</v>
      </c>
      <c r="C388" t="n">
        <v>386</v>
      </c>
      <c r="D388" t="n">
        <v>-0.4299</v>
      </c>
      <c r="E388" t="n">
        <v>16.7134</v>
      </c>
      <c r="F388" t="n">
        <v>0.0799</v>
      </c>
    </row>
    <row r="389">
      <c r="A389" t="n">
        <v>1000387</v>
      </c>
      <c r="B389" t="n">
        <v>1</v>
      </c>
      <c r="C389" t="n">
        <v>387</v>
      </c>
      <c r="D389" t="n">
        <v>-0.4308</v>
      </c>
      <c r="E389" t="n">
        <v>16.7093</v>
      </c>
      <c r="F389" t="n">
        <v>0.0799</v>
      </c>
    </row>
    <row r="390">
      <c r="A390" t="n">
        <v>1000388</v>
      </c>
      <c r="B390" t="n">
        <v>1</v>
      </c>
      <c r="C390" t="n">
        <v>388</v>
      </c>
      <c r="D390" t="n">
        <v>-0.4316</v>
      </c>
      <c r="E390" t="n">
        <v>16.7053</v>
      </c>
      <c r="F390" t="n">
        <v>0.07989</v>
      </c>
    </row>
    <row r="391">
      <c r="A391" t="n">
        <v>1000389</v>
      </c>
      <c r="B391" t="n">
        <v>1</v>
      </c>
      <c r="C391" t="n">
        <v>389</v>
      </c>
      <c r="D391" t="n">
        <v>-0.4325</v>
      </c>
      <c r="E391" t="n">
        <v>16.7012</v>
      </c>
      <c r="F391" t="n">
        <v>0.07988000000000001</v>
      </c>
    </row>
    <row r="392">
      <c r="A392" t="n">
        <v>1000390</v>
      </c>
      <c r="B392" t="n">
        <v>1</v>
      </c>
      <c r="C392" t="n">
        <v>390</v>
      </c>
      <c r="D392" t="n">
        <v>-0.4333</v>
      </c>
      <c r="E392" t="n">
        <v>16.6972</v>
      </c>
      <c r="F392" t="n">
        <v>0.07987</v>
      </c>
    </row>
    <row r="393">
      <c r="A393" t="n">
        <v>1000391</v>
      </c>
      <c r="B393" t="n">
        <v>1</v>
      </c>
      <c r="C393" t="n">
        <v>391</v>
      </c>
      <c r="D393" t="n">
        <v>-0.4342</v>
      </c>
      <c r="E393" t="n">
        <v>16.6932</v>
      </c>
      <c r="F393" t="n">
        <v>0.07986</v>
      </c>
    </row>
    <row r="394">
      <c r="A394" t="n">
        <v>1000392</v>
      </c>
      <c r="B394" t="n">
        <v>1</v>
      </c>
      <c r="C394" t="n">
        <v>392</v>
      </c>
      <c r="D394" t="n">
        <v>-0.435</v>
      </c>
      <c r="E394" t="n">
        <v>16.6891</v>
      </c>
      <c r="F394" t="n">
        <v>0.07985</v>
      </c>
    </row>
    <row r="395">
      <c r="A395" t="n">
        <v>1000393</v>
      </c>
      <c r="B395" t="n">
        <v>1</v>
      </c>
      <c r="C395" t="n">
        <v>393</v>
      </c>
      <c r="D395" t="n">
        <v>-0.4359</v>
      </c>
      <c r="E395" t="n">
        <v>16.6851</v>
      </c>
      <c r="F395" t="n">
        <v>0.07983999999999999</v>
      </c>
    </row>
    <row r="396">
      <c r="A396" t="n">
        <v>1000394</v>
      </c>
      <c r="B396" t="n">
        <v>1</v>
      </c>
      <c r="C396" t="n">
        <v>394</v>
      </c>
      <c r="D396" t="n">
        <v>-0.4367</v>
      </c>
      <c r="E396" t="n">
        <v>16.6811</v>
      </c>
      <c r="F396" t="n">
        <v>0.07983999999999999</v>
      </c>
    </row>
    <row r="397">
      <c r="A397" t="n">
        <v>1000395</v>
      </c>
      <c r="B397" t="n">
        <v>1</v>
      </c>
      <c r="C397" t="n">
        <v>395</v>
      </c>
      <c r="D397" t="n">
        <v>-0.4376</v>
      </c>
      <c r="E397" t="n">
        <v>16.6771</v>
      </c>
      <c r="F397" t="n">
        <v>0.07983</v>
      </c>
    </row>
    <row r="398">
      <c r="A398" t="n">
        <v>1000396</v>
      </c>
      <c r="B398" t="n">
        <v>1</v>
      </c>
      <c r="C398" t="n">
        <v>396</v>
      </c>
      <c r="D398" t="n">
        <v>-0.4384</v>
      </c>
      <c r="E398" t="n">
        <v>16.6731</v>
      </c>
      <c r="F398" t="n">
        <v>0.07982</v>
      </c>
    </row>
    <row r="399">
      <c r="A399" t="n">
        <v>1000397</v>
      </c>
      <c r="B399" t="n">
        <v>1</v>
      </c>
      <c r="C399" t="n">
        <v>397</v>
      </c>
      <c r="D399" t="n">
        <v>-0.4393</v>
      </c>
      <c r="E399" t="n">
        <v>16.6691</v>
      </c>
      <c r="F399" t="n">
        <v>0.07981000000000001</v>
      </c>
    </row>
    <row r="400">
      <c r="A400" t="n">
        <v>1000398</v>
      </c>
      <c r="B400" t="n">
        <v>1</v>
      </c>
      <c r="C400" t="n">
        <v>398</v>
      </c>
      <c r="D400" t="n">
        <v>-0.4401</v>
      </c>
      <c r="E400" t="n">
        <v>16.6651</v>
      </c>
      <c r="F400" t="n">
        <v>0.0798</v>
      </c>
    </row>
    <row r="401">
      <c r="A401" t="n">
        <v>1000399</v>
      </c>
      <c r="B401" t="n">
        <v>1</v>
      </c>
      <c r="C401" t="n">
        <v>399</v>
      </c>
      <c r="D401" t="n">
        <v>-0.441</v>
      </c>
      <c r="E401" t="n">
        <v>16.6611</v>
      </c>
      <c r="F401" t="n">
        <v>0.0798</v>
      </c>
    </row>
    <row r="402">
      <c r="A402" t="n">
        <v>1000400</v>
      </c>
      <c r="B402" t="n">
        <v>1</v>
      </c>
      <c r="C402" t="n">
        <v>400</v>
      </c>
      <c r="D402" t="n">
        <v>-0.4418</v>
      </c>
      <c r="E402" t="n">
        <v>16.6571</v>
      </c>
      <c r="F402" t="n">
        <v>0.07979</v>
      </c>
    </row>
    <row r="403">
      <c r="A403" t="n">
        <v>1000401</v>
      </c>
      <c r="B403" t="n">
        <v>1</v>
      </c>
      <c r="C403" t="n">
        <v>401</v>
      </c>
      <c r="D403" t="n">
        <v>-0.4426</v>
      </c>
      <c r="E403" t="n">
        <v>16.6531</v>
      </c>
      <c r="F403" t="n">
        <v>0.07978</v>
      </c>
    </row>
    <row r="404">
      <c r="A404" t="n">
        <v>1000402</v>
      </c>
      <c r="B404" t="n">
        <v>1</v>
      </c>
      <c r="C404" t="n">
        <v>402</v>
      </c>
      <c r="D404" t="n">
        <v>-0.4435</v>
      </c>
      <c r="E404" t="n">
        <v>16.6491</v>
      </c>
      <c r="F404" t="n">
        <v>0.07976999999999999</v>
      </c>
    </row>
    <row r="405">
      <c r="A405" t="n">
        <v>1000403</v>
      </c>
      <c r="B405" t="n">
        <v>1</v>
      </c>
      <c r="C405" t="n">
        <v>403</v>
      </c>
      <c r="D405" t="n">
        <v>-0.4443</v>
      </c>
      <c r="E405" t="n">
        <v>16.6451</v>
      </c>
      <c r="F405" t="n">
        <v>0.07976</v>
      </c>
    </row>
    <row r="406">
      <c r="A406" t="n">
        <v>1000404</v>
      </c>
      <c r="B406" t="n">
        <v>1</v>
      </c>
      <c r="C406" t="n">
        <v>404</v>
      </c>
      <c r="D406" t="n">
        <v>-0.4451</v>
      </c>
      <c r="E406" t="n">
        <v>16.6412</v>
      </c>
      <c r="F406" t="n">
        <v>0.07975</v>
      </c>
    </row>
    <row r="407">
      <c r="A407" t="n">
        <v>1000405</v>
      </c>
      <c r="B407" t="n">
        <v>1</v>
      </c>
      <c r="C407" t="n">
        <v>405</v>
      </c>
      <c r="D407" t="n">
        <v>-0.446</v>
      </c>
      <c r="E407" t="n">
        <v>16.6372</v>
      </c>
      <c r="F407" t="n">
        <v>0.07975</v>
      </c>
    </row>
    <row r="408">
      <c r="A408" t="n">
        <v>1000406</v>
      </c>
      <c r="B408" t="n">
        <v>1</v>
      </c>
      <c r="C408" t="n">
        <v>406</v>
      </c>
      <c r="D408" t="n">
        <v>-0.4468</v>
      </c>
      <c r="E408" t="n">
        <v>16.6332</v>
      </c>
      <c r="F408" t="n">
        <v>0.07974000000000001</v>
      </c>
    </row>
    <row r="409">
      <c r="A409" t="n">
        <v>1000407</v>
      </c>
      <c r="B409" t="n">
        <v>1</v>
      </c>
      <c r="C409" t="n">
        <v>407</v>
      </c>
      <c r="D409" t="n">
        <v>-0.4476</v>
      </c>
      <c r="E409" t="n">
        <v>16.6293</v>
      </c>
      <c r="F409" t="n">
        <v>0.07973</v>
      </c>
    </row>
    <row r="410">
      <c r="A410" t="n">
        <v>1000408</v>
      </c>
      <c r="B410" t="n">
        <v>1</v>
      </c>
      <c r="C410" t="n">
        <v>408</v>
      </c>
      <c r="D410" t="n">
        <v>-0.4484</v>
      </c>
      <c r="E410" t="n">
        <v>16.6253</v>
      </c>
      <c r="F410" t="n">
        <v>0.07972</v>
      </c>
    </row>
    <row r="411">
      <c r="A411" t="n">
        <v>1000409</v>
      </c>
      <c r="B411" t="n">
        <v>1</v>
      </c>
      <c r="C411" t="n">
        <v>409</v>
      </c>
      <c r="D411" t="n">
        <v>-0.4493</v>
      </c>
      <c r="E411" t="n">
        <v>16.6214</v>
      </c>
      <c r="F411" t="n">
        <v>0.07971</v>
      </c>
    </row>
    <row r="412">
      <c r="A412" t="n">
        <v>1000410</v>
      </c>
      <c r="B412" t="n">
        <v>1</v>
      </c>
      <c r="C412" t="n">
        <v>410</v>
      </c>
      <c r="D412" t="n">
        <v>-0.4501</v>
      </c>
      <c r="E412" t="n">
        <v>16.6175</v>
      </c>
      <c r="F412" t="n">
        <v>0.07971</v>
      </c>
    </row>
    <row r="413">
      <c r="A413" t="n">
        <v>1000411</v>
      </c>
      <c r="B413" t="n">
        <v>1</v>
      </c>
      <c r="C413" t="n">
        <v>411</v>
      </c>
      <c r="D413" t="n">
        <v>-0.4509</v>
      </c>
      <c r="E413" t="n">
        <v>16.6135</v>
      </c>
      <c r="F413" t="n">
        <v>0.07969999999999999</v>
      </c>
    </row>
    <row r="414">
      <c r="A414" t="n">
        <v>1000412</v>
      </c>
      <c r="B414" t="n">
        <v>1</v>
      </c>
      <c r="C414" t="n">
        <v>412</v>
      </c>
      <c r="D414" t="n">
        <v>-0.4517</v>
      </c>
      <c r="E414" t="n">
        <v>16.6096</v>
      </c>
      <c r="F414" t="n">
        <v>0.07969</v>
      </c>
    </row>
    <row r="415">
      <c r="A415" t="n">
        <v>1000413</v>
      </c>
      <c r="B415" t="n">
        <v>1</v>
      </c>
      <c r="C415" t="n">
        <v>413</v>
      </c>
      <c r="D415" t="n">
        <v>-0.4525</v>
      </c>
      <c r="E415" t="n">
        <v>16.6057</v>
      </c>
      <c r="F415" t="n">
        <v>0.07968</v>
      </c>
    </row>
    <row r="416">
      <c r="A416" t="n">
        <v>1000414</v>
      </c>
      <c r="B416" t="n">
        <v>1</v>
      </c>
      <c r="C416" t="n">
        <v>414</v>
      </c>
      <c r="D416" t="n">
        <v>-0.4533</v>
      </c>
      <c r="E416" t="n">
        <v>16.6018</v>
      </c>
      <c r="F416" t="n">
        <v>0.07967</v>
      </c>
    </row>
    <row r="417">
      <c r="A417" t="n">
        <v>1000415</v>
      </c>
      <c r="B417" t="n">
        <v>1</v>
      </c>
      <c r="C417" t="n">
        <v>415</v>
      </c>
      <c r="D417" t="n">
        <v>-0.4541</v>
      </c>
      <c r="E417" t="n">
        <v>16.5979</v>
      </c>
      <c r="F417" t="n">
        <v>0.07965999999999999</v>
      </c>
    </row>
    <row r="418">
      <c r="A418" t="n">
        <v>1000416</v>
      </c>
      <c r="B418" t="n">
        <v>1</v>
      </c>
      <c r="C418" t="n">
        <v>416</v>
      </c>
      <c r="D418" t="n">
        <v>-0.455</v>
      </c>
      <c r="E418" t="n">
        <v>16.594</v>
      </c>
      <c r="F418" t="n">
        <v>0.07965999999999999</v>
      </c>
    </row>
    <row r="419">
      <c r="A419" t="n">
        <v>1000417</v>
      </c>
      <c r="B419" t="n">
        <v>1</v>
      </c>
      <c r="C419" t="n">
        <v>417</v>
      </c>
      <c r="D419" t="n">
        <v>-0.4558</v>
      </c>
      <c r="E419" t="n">
        <v>16.5901</v>
      </c>
      <c r="F419" t="n">
        <v>0.07965</v>
      </c>
    </row>
    <row r="420">
      <c r="A420" t="n">
        <v>1000418</v>
      </c>
      <c r="B420" t="n">
        <v>1</v>
      </c>
      <c r="C420" t="n">
        <v>418</v>
      </c>
      <c r="D420" t="n">
        <v>-0.4566</v>
      </c>
      <c r="E420" t="n">
        <v>16.5862</v>
      </c>
      <c r="F420" t="n">
        <v>0.07964</v>
      </c>
    </row>
    <row r="421">
      <c r="A421" t="n">
        <v>1000419</v>
      </c>
      <c r="B421" t="n">
        <v>1</v>
      </c>
      <c r="C421" t="n">
        <v>419</v>
      </c>
      <c r="D421" t="n">
        <v>-0.4574</v>
      </c>
      <c r="E421" t="n">
        <v>16.5823</v>
      </c>
      <c r="F421" t="n">
        <v>0.07963000000000001</v>
      </c>
    </row>
    <row r="422">
      <c r="A422" t="n">
        <v>1000420</v>
      </c>
      <c r="B422" t="n">
        <v>1</v>
      </c>
      <c r="C422" t="n">
        <v>420</v>
      </c>
      <c r="D422" t="n">
        <v>-0.4582</v>
      </c>
      <c r="E422" t="n">
        <v>16.5784</v>
      </c>
      <c r="F422" t="n">
        <v>0.07963000000000001</v>
      </c>
    </row>
    <row r="423">
      <c r="A423" t="n">
        <v>1000421</v>
      </c>
      <c r="B423" t="n">
        <v>1</v>
      </c>
      <c r="C423" t="n">
        <v>421</v>
      </c>
      <c r="D423" t="n">
        <v>-0.459</v>
      </c>
      <c r="E423" t="n">
        <v>16.5745</v>
      </c>
      <c r="F423" t="n">
        <v>0.07962</v>
      </c>
    </row>
    <row r="424">
      <c r="A424" t="n">
        <v>1000422</v>
      </c>
      <c r="B424" t="n">
        <v>1</v>
      </c>
      <c r="C424" t="n">
        <v>422</v>
      </c>
      <c r="D424" t="n">
        <v>-0.4598</v>
      </c>
      <c r="E424" t="n">
        <v>16.5707</v>
      </c>
      <c r="F424" t="n">
        <v>0.07961</v>
      </c>
    </row>
    <row r="425">
      <c r="A425" t="n">
        <v>1000423</v>
      </c>
      <c r="B425" t="n">
        <v>1</v>
      </c>
      <c r="C425" t="n">
        <v>423</v>
      </c>
      <c r="D425" t="n">
        <v>-0.4606</v>
      </c>
      <c r="E425" t="n">
        <v>16.5668</v>
      </c>
      <c r="F425" t="n">
        <v>0.0796</v>
      </c>
    </row>
    <row r="426">
      <c r="A426" t="n">
        <v>1000424</v>
      </c>
      <c r="B426" t="n">
        <v>1</v>
      </c>
      <c r="C426" t="n">
        <v>424</v>
      </c>
      <c r="D426" t="n">
        <v>-0.4614</v>
      </c>
      <c r="E426" t="n">
        <v>16.5629</v>
      </c>
      <c r="F426" t="n">
        <v>0.07958999999999999</v>
      </c>
    </row>
    <row r="427">
      <c r="A427" t="n">
        <v>1000425</v>
      </c>
      <c r="B427" t="n">
        <v>1</v>
      </c>
      <c r="C427" t="n">
        <v>425</v>
      </c>
      <c r="D427" t="n">
        <v>-0.4621</v>
      </c>
      <c r="E427" t="n">
        <v>16.5591</v>
      </c>
      <c r="F427" t="n">
        <v>0.07958999999999999</v>
      </c>
    </row>
    <row r="428">
      <c r="A428" t="n">
        <v>1000426</v>
      </c>
      <c r="B428" t="n">
        <v>1</v>
      </c>
      <c r="C428" t="n">
        <v>426</v>
      </c>
      <c r="D428" t="n">
        <v>-0.4629</v>
      </c>
      <c r="E428" t="n">
        <v>16.5553</v>
      </c>
      <c r="F428" t="n">
        <v>0.07958</v>
      </c>
    </row>
    <row r="429">
      <c r="A429" t="n">
        <v>1000427</v>
      </c>
      <c r="B429" t="n">
        <v>1</v>
      </c>
      <c r="C429" t="n">
        <v>427</v>
      </c>
      <c r="D429" t="n">
        <v>-0.4637</v>
      </c>
      <c r="E429" t="n">
        <v>16.5514</v>
      </c>
      <c r="F429" t="n">
        <v>0.07957</v>
      </c>
    </row>
    <row r="430">
      <c r="A430" t="n">
        <v>1000428</v>
      </c>
      <c r="B430" t="n">
        <v>1</v>
      </c>
      <c r="C430" t="n">
        <v>428</v>
      </c>
      <c r="D430" t="n">
        <v>-0.4645</v>
      </c>
      <c r="E430" t="n">
        <v>16.5476</v>
      </c>
      <c r="F430" t="n">
        <v>0.07956000000000001</v>
      </c>
    </row>
    <row r="431">
      <c r="A431" t="n">
        <v>1000429</v>
      </c>
      <c r="B431" t="n">
        <v>1</v>
      </c>
      <c r="C431" t="n">
        <v>429</v>
      </c>
      <c r="D431" t="n">
        <v>-0.4653</v>
      </c>
      <c r="E431" t="n">
        <v>16.5438</v>
      </c>
      <c r="F431" t="n">
        <v>0.07955</v>
      </c>
    </row>
    <row r="432">
      <c r="A432" t="n">
        <v>1000430</v>
      </c>
      <c r="B432" t="n">
        <v>1</v>
      </c>
      <c r="C432" t="n">
        <v>430</v>
      </c>
      <c r="D432" t="n">
        <v>-0.4661</v>
      </c>
      <c r="E432" t="n">
        <v>16.5399</v>
      </c>
      <c r="F432" t="n">
        <v>0.07955</v>
      </c>
    </row>
    <row r="433">
      <c r="A433" t="n">
        <v>1000431</v>
      </c>
      <c r="B433" t="n">
        <v>1</v>
      </c>
      <c r="C433" t="n">
        <v>431</v>
      </c>
      <c r="D433" t="n">
        <v>-0.4669</v>
      </c>
      <c r="E433" t="n">
        <v>16.5361</v>
      </c>
      <c r="F433" t="n">
        <v>0.07954</v>
      </c>
    </row>
    <row r="434">
      <c r="A434" t="n">
        <v>1000432</v>
      </c>
      <c r="B434" t="n">
        <v>1</v>
      </c>
      <c r="C434" t="n">
        <v>432</v>
      </c>
      <c r="D434" t="n">
        <v>-0.4677</v>
      </c>
      <c r="E434" t="n">
        <v>16.5323</v>
      </c>
      <c r="F434" t="n">
        <v>0.07953</v>
      </c>
    </row>
    <row r="435">
      <c r="A435" t="n">
        <v>1000433</v>
      </c>
      <c r="B435" t="n">
        <v>1</v>
      </c>
      <c r="C435" t="n">
        <v>433</v>
      </c>
      <c r="D435" t="n">
        <v>-0.4684</v>
      </c>
      <c r="E435" t="n">
        <v>16.5285</v>
      </c>
      <c r="F435" t="n">
        <v>0.07951999999999999</v>
      </c>
    </row>
    <row r="436">
      <c r="A436" t="n">
        <v>1000434</v>
      </c>
      <c r="B436" t="n">
        <v>1</v>
      </c>
      <c r="C436" t="n">
        <v>434</v>
      </c>
      <c r="D436" t="n">
        <v>-0.4692</v>
      </c>
      <c r="E436" t="n">
        <v>16.5247</v>
      </c>
      <c r="F436" t="n">
        <v>0.07951999999999999</v>
      </c>
    </row>
    <row r="437">
      <c r="A437" t="n">
        <v>1000435</v>
      </c>
      <c r="B437" t="n">
        <v>1</v>
      </c>
      <c r="C437" t="n">
        <v>435</v>
      </c>
      <c r="D437" t="n">
        <v>-0.47</v>
      </c>
      <c r="E437" t="n">
        <v>16.5209</v>
      </c>
      <c r="F437" t="n">
        <v>0.07951</v>
      </c>
    </row>
    <row r="438">
      <c r="A438" t="n">
        <v>1000436</v>
      </c>
      <c r="B438" t="n">
        <v>1</v>
      </c>
      <c r="C438" t="n">
        <v>436</v>
      </c>
      <c r="D438" t="n">
        <v>-0.4708</v>
      </c>
      <c r="E438" t="n">
        <v>16.5172</v>
      </c>
      <c r="F438" t="n">
        <v>0.0795</v>
      </c>
    </row>
    <row r="439">
      <c r="A439" t="n">
        <v>1000437</v>
      </c>
      <c r="B439" t="n">
        <v>1</v>
      </c>
      <c r="C439" t="n">
        <v>437</v>
      </c>
      <c r="D439" t="n">
        <v>-0.4715</v>
      </c>
      <c r="E439" t="n">
        <v>16.5134</v>
      </c>
      <c r="F439" t="n">
        <v>0.07949000000000001</v>
      </c>
    </row>
    <row r="440">
      <c r="A440" t="n">
        <v>1000438</v>
      </c>
      <c r="B440" t="n">
        <v>1</v>
      </c>
      <c r="C440" t="n">
        <v>438</v>
      </c>
      <c r="D440" t="n">
        <v>-0.4723</v>
      </c>
      <c r="E440" t="n">
        <v>16.5096</v>
      </c>
      <c r="F440" t="n">
        <v>0.07949000000000001</v>
      </c>
    </row>
    <row r="441">
      <c r="A441" t="n">
        <v>1000439</v>
      </c>
      <c r="B441" t="n">
        <v>1</v>
      </c>
      <c r="C441" t="n">
        <v>439</v>
      </c>
      <c r="D441" t="n">
        <v>-0.4731</v>
      </c>
      <c r="E441" t="n">
        <v>16.5059</v>
      </c>
      <c r="F441" t="n">
        <v>0.07948</v>
      </c>
    </row>
    <row r="442">
      <c r="A442" t="n">
        <v>1000440</v>
      </c>
      <c r="B442" t="n">
        <v>1</v>
      </c>
      <c r="C442" t="n">
        <v>440</v>
      </c>
      <c r="D442" t="n">
        <v>-0.4738</v>
      </c>
      <c r="E442" t="n">
        <v>16.5021</v>
      </c>
      <c r="F442" t="n">
        <v>0.07947</v>
      </c>
    </row>
    <row r="443">
      <c r="A443" t="n">
        <v>1000441</v>
      </c>
      <c r="B443" t="n">
        <v>1</v>
      </c>
      <c r="C443" t="n">
        <v>441</v>
      </c>
      <c r="D443" t="n">
        <v>-0.4746</v>
      </c>
      <c r="E443" t="n">
        <v>16.4984</v>
      </c>
      <c r="F443" t="n">
        <v>0.07946</v>
      </c>
    </row>
    <row r="444">
      <c r="A444" t="n">
        <v>1000442</v>
      </c>
      <c r="B444" t="n">
        <v>1</v>
      </c>
      <c r="C444" t="n">
        <v>442</v>
      </c>
      <c r="D444" t="n">
        <v>-0.4754</v>
      </c>
      <c r="E444" t="n">
        <v>16.4946</v>
      </c>
      <c r="F444" t="n">
        <v>0.07946</v>
      </c>
    </row>
    <row r="445">
      <c r="A445" t="n">
        <v>1000443</v>
      </c>
      <c r="B445" t="n">
        <v>1</v>
      </c>
      <c r="C445" t="n">
        <v>443</v>
      </c>
      <c r="D445" t="n">
        <v>-0.4761</v>
      </c>
      <c r="E445" t="n">
        <v>16.4909</v>
      </c>
      <c r="F445" t="n">
        <v>0.07945000000000001</v>
      </c>
    </row>
    <row r="446">
      <c r="A446" t="n">
        <v>1000444</v>
      </c>
      <c r="B446" t="n">
        <v>1</v>
      </c>
      <c r="C446" t="n">
        <v>444</v>
      </c>
      <c r="D446" t="n">
        <v>-0.4769</v>
      </c>
      <c r="E446" t="n">
        <v>16.4871</v>
      </c>
      <c r="F446" t="n">
        <v>0.07944</v>
      </c>
    </row>
    <row r="447">
      <c r="A447" t="n">
        <v>1000445</v>
      </c>
      <c r="B447" t="n">
        <v>1</v>
      </c>
      <c r="C447" t="n">
        <v>445</v>
      </c>
      <c r="D447" t="n">
        <v>-0.4777</v>
      </c>
      <c r="E447" t="n">
        <v>16.4834</v>
      </c>
      <c r="F447" t="n">
        <v>0.07943</v>
      </c>
    </row>
    <row r="448">
      <c r="A448" t="n">
        <v>1000446</v>
      </c>
      <c r="B448" t="n">
        <v>1</v>
      </c>
      <c r="C448" t="n">
        <v>446</v>
      </c>
      <c r="D448" t="n">
        <v>-0.4784</v>
      </c>
      <c r="E448" t="n">
        <v>16.4797</v>
      </c>
      <c r="F448" t="n">
        <v>0.07943</v>
      </c>
    </row>
    <row r="449">
      <c r="A449" t="n">
        <v>1000447</v>
      </c>
      <c r="B449" t="n">
        <v>1</v>
      </c>
      <c r="C449" t="n">
        <v>447</v>
      </c>
      <c r="D449" t="n">
        <v>-0.4792</v>
      </c>
      <c r="E449" t="n">
        <v>16.476</v>
      </c>
      <c r="F449" t="n">
        <v>0.07942</v>
      </c>
    </row>
    <row r="450">
      <c r="A450" t="n">
        <v>1000448</v>
      </c>
      <c r="B450" t="n">
        <v>1</v>
      </c>
      <c r="C450" t="n">
        <v>448</v>
      </c>
      <c r="D450" t="n">
        <v>-0.4799</v>
      </c>
      <c r="E450" t="n">
        <v>16.4723</v>
      </c>
      <c r="F450" t="n">
        <v>0.07940999999999999</v>
      </c>
    </row>
    <row r="451">
      <c r="A451" t="n">
        <v>1000449</v>
      </c>
      <c r="B451" t="n">
        <v>1</v>
      </c>
      <c r="C451" t="n">
        <v>449</v>
      </c>
      <c r="D451" t="n">
        <v>-0.4807</v>
      </c>
      <c r="E451" t="n">
        <v>16.4686</v>
      </c>
      <c r="F451" t="n">
        <v>0.0794</v>
      </c>
    </row>
    <row r="452">
      <c r="A452" t="n">
        <v>1000450</v>
      </c>
      <c r="B452" t="n">
        <v>1</v>
      </c>
      <c r="C452" t="n">
        <v>450</v>
      </c>
      <c r="D452" t="n">
        <v>-0.4814</v>
      </c>
      <c r="E452" t="n">
        <v>16.4649</v>
      </c>
      <c r="F452" t="n">
        <v>0.0794</v>
      </c>
    </row>
    <row r="453">
      <c r="A453" t="n">
        <v>1000451</v>
      </c>
      <c r="B453" t="n">
        <v>1</v>
      </c>
      <c r="C453" t="n">
        <v>451</v>
      </c>
      <c r="D453" t="n">
        <v>-0.4822</v>
      </c>
      <c r="E453" t="n">
        <v>16.4612</v>
      </c>
      <c r="F453" t="n">
        <v>0.07939</v>
      </c>
    </row>
    <row r="454">
      <c r="A454" t="n">
        <v>1000452</v>
      </c>
      <c r="B454" t="n">
        <v>1</v>
      </c>
      <c r="C454" t="n">
        <v>452</v>
      </c>
      <c r="D454" t="n">
        <v>-0.4829</v>
      </c>
      <c r="E454" t="n">
        <v>16.4576</v>
      </c>
      <c r="F454" t="n">
        <v>0.07938000000000001</v>
      </c>
    </row>
    <row r="455">
      <c r="A455" t="n">
        <v>1000453</v>
      </c>
      <c r="B455" t="n">
        <v>1</v>
      </c>
      <c r="C455" t="n">
        <v>453</v>
      </c>
      <c r="D455" t="n">
        <v>-0.4837</v>
      </c>
      <c r="E455" t="n">
        <v>16.4539</v>
      </c>
      <c r="F455" t="n">
        <v>0.07937</v>
      </c>
    </row>
    <row r="456">
      <c r="A456" t="n">
        <v>1000454</v>
      </c>
      <c r="B456" t="n">
        <v>1</v>
      </c>
      <c r="C456" t="n">
        <v>454</v>
      </c>
      <c r="D456" t="n">
        <v>-0.4844</v>
      </c>
      <c r="E456" t="n">
        <v>16.4502</v>
      </c>
      <c r="F456" t="n">
        <v>0.07937</v>
      </c>
    </row>
    <row r="457">
      <c r="A457" t="n">
        <v>1000455</v>
      </c>
      <c r="B457" t="n">
        <v>1</v>
      </c>
      <c r="C457" t="n">
        <v>455</v>
      </c>
      <c r="D457" t="n">
        <v>-0.4852</v>
      </c>
      <c r="E457" t="n">
        <v>16.4466</v>
      </c>
      <c r="F457" t="n">
        <v>0.07936</v>
      </c>
    </row>
    <row r="458">
      <c r="A458" t="n">
        <v>1000456</v>
      </c>
      <c r="B458" t="n">
        <v>1</v>
      </c>
      <c r="C458" t="n">
        <v>456</v>
      </c>
      <c r="D458" t="n">
        <v>-0.4859</v>
      </c>
      <c r="E458" t="n">
        <v>16.4429</v>
      </c>
      <c r="F458" t="n">
        <v>0.07935</v>
      </c>
    </row>
    <row r="459">
      <c r="A459" t="n">
        <v>1000457</v>
      </c>
      <c r="B459" t="n">
        <v>1</v>
      </c>
      <c r="C459" t="n">
        <v>457</v>
      </c>
      <c r="D459" t="n">
        <v>-0.4867</v>
      </c>
      <c r="E459" t="n">
        <v>16.4393</v>
      </c>
      <c r="F459" t="n">
        <v>0.07933999999999999</v>
      </c>
    </row>
    <row r="460">
      <c r="A460" t="n">
        <v>1000458</v>
      </c>
      <c r="B460" t="n">
        <v>1</v>
      </c>
      <c r="C460" t="n">
        <v>458</v>
      </c>
      <c r="D460" t="n">
        <v>-0.4874</v>
      </c>
      <c r="E460" t="n">
        <v>16.4357</v>
      </c>
      <c r="F460" t="n">
        <v>0.07933999999999999</v>
      </c>
    </row>
    <row r="461">
      <c r="A461" t="n">
        <v>1000459</v>
      </c>
      <c r="B461" t="n">
        <v>1</v>
      </c>
      <c r="C461" t="n">
        <v>459</v>
      </c>
      <c r="D461" t="n">
        <v>-0.4881</v>
      </c>
      <c r="E461" t="n">
        <v>16.432</v>
      </c>
      <c r="F461" t="n">
        <v>0.07933</v>
      </c>
    </row>
    <row r="462">
      <c r="A462" t="n">
        <v>1000460</v>
      </c>
      <c r="B462" t="n">
        <v>1</v>
      </c>
      <c r="C462" t="n">
        <v>460</v>
      </c>
      <c r="D462" t="n">
        <v>-0.4889</v>
      </c>
      <c r="E462" t="n">
        <v>16.4284</v>
      </c>
      <c r="F462" t="n">
        <v>0.07932</v>
      </c>
    </row>
    <row r="463">
      <c r="A463" t="n">
        <v>1000461</v>
      </c>
      <c r="B463" t="n">
        <v>1</v>
      </c>
      <c r="C463" t="n">
        <v>461</v>
      </c>
      <c r="D463" t="n">
        <v>-0.4896</v>
      </c>
      <c r="E463" t="n">
        <v>16.4248</v>
      </c>
      <c r="F463" t="n">
        <v>0.07931000000000001</v>
      </c>
    </row>
    <row r="464">
      <c r="A464" t="n">
        <v>1000462</v>
      </c>
      <c r="B464" t="n">
        <v>1</v>
      </c>
      <c r="C464" t="n">
        <v>462</v>
      </c>
      <c r="D464" t="n">
        <v>-0.4903</v>
      </c>
      <c r="E464" t="n">
        <v>16.4212</v>
      </c>
      <c r="F464" t="n">
        <v>0.07931000000000001</v>
      </c>
    </row>
    <row r="465">
      <c r="A465" t="n">
        <v>1000463</v>
      </c>
      <c r="B465" t="n">
        <v>1</v>
      </c>
      <c r="C465" t="n">
        <v>463</v>
      </c>
      <c r="D465" t="n">
        <v>-0.4911</v>
      </c>
      <c r="E465" t="n">
        <v>16.4176</v>
      </c>
      <c r="F465" t="n">
        <v>0.0793</v>
      </c>
    </row>
    <row r="466">
      <c r="A466" t="n">
        <v>1000464</v>
      </c>
      <c r="B466" t="n">
        <v>1</v>
      </c>
      <c r="C466" t="n">
        <v>464</v>
      </c>
      <c r="D466" t="n">
        <v>-0.4918</v>
      </c>
      <c r="E466" t="n">
        <v>16.414</v>
      </c>
      <c r="F466" t="n">
        <v>0.07929</v>
      </c>
    </row>
    <row r="467">
      <c r="A467" t="n">
        <v>1000465</v>
      </c>
      <c r="B467" t="n">
        <v>1</v>
      </c>
      <c r="C467" t="n">
        <v>465</v>
      </c>
      <c r="D467" t="n">
        <v>-0.4925</v>
      </c>
      <c r="E467" t="n">
        <v>16.4104</v>
      </c>
      <c r="F467" t="n">
        <v>0.07929</v>
      </c>
    </row>
    <row r="468">
      <c r="A468" t="n">
        <v>1000466</v>
      </c>
      <c r="B468" t="n">
        <v>1</v>
      </c>
      <c r="C468" t="n">
        <v>466</v>
      </c>
      <c r="D468" t="n">
        <v>-0.4933</v>
      </c>
      <c r="E468" t="n">
        <v>16.4069</v>
      </c>
      <c r="F468" t="n">
        <v>0.07928</v>
      </c>
    </row>
    <row r="469">
      <c r="A469" t="n">
        <v>1000467</v>
      </c>
      <c r="B469" t="n">
        <v>1</v>
      </c>
      <c r="C469" t="n">
        <v>467</v>
      </c>
      <c r="D469" t="n">
        <v>-0.494</v>
      </c>
      <c r="E469" t="n">
        <v>16.4033</v>
      </c>
      <c r="F469" t="n">
        <v>0.07926999999999999</v>
      </c>
    </row>
    <row r="470">
      <c r="A470" t="n">
        <v>1000468</v>
      </c>
      <c r="B470" t="n">
        <v>1</v>
      </c>
      <c r="C470" t="n">
        <v>468</v>
      </c>
      <c r="D470" t="n">
        <v>-0.4947</v>
      </c>
      <c r="E470" t="n">
        <v>16.3997</v>
      </c>
      <c r="F470" t="n">
        <v>0.07926</v>
      </c>
    </row>
    <row r="471">
      <c r="A471" t="n">
        <v>1000469</v>
      </c>
      <c r="B471" t="n">
        <v>1</v>
      </c>
      <c r="C471" t="n">
        <v>469</v>
      </c>
      <c r="D471" t="n">
        <v>-0.4954</v>
      </c>
      <c r="E471" t="n">
        <v>16.3962</v>
      </c>
      <c r="F471" t="n">
        <v>0.07926</v>
      </c>
    </row>
    <row r="472">
      <c r="A472" t="n">
        <v>1000470</v>
      </c>
      <c r="B472" t="n">
        <v>1</v>
      </c>
      <c r="C472" t="n">
        <v>470</v>
      </c>
      <c r="D472" t="n">
        <v>-0.4962</v>
      </c>
      <c r="E472" t="n">
        <v>16.3926</v>
      </c>
      <c r="F472" t="n">
        <v>0.07925</v>
      </c>
    </row>
    <row r="473">
      <c r="A473" t="n">
        <v>1000471</v>
      </c>
      <c r="B473" t="n">
        <v>1</v>
      </c>
      <c r="C473" t="n">
        <v>471</v>
      </c>
      <c r="D473" t="n">
        <v>-0.4969</v>
      </c>
      <c r="E473" t="n">
        <v>16.3891</v>
      </c>
      <c r="F473" t="n">
        <v>0.07924</v>
      </c>
    </row>
    <row r="474">
      <c r="A474" t="n">
        <v>1000472</v>
      </c>
      <c r="B474" t="n">
        <v>1</v>
      </c>
      <c r="C474" t="n">
        <v>472</v>
      </c>
      <c r="D474" t="n">
        <v>-0.4976</v>
      </c>
      <c r="E474" t="n">
        <v>16.3856</v>
      </c>
      <c r="F474" t="n">
        <v>0.07924</v>
      </c>
    </row>
    <row r="475">
      <c r="A475" t="n">
        <v>1000473</v>
      </c>
      <c r="B475" t="n">
        <v>1</v>
      </c>
      <c r="C475" t="n">
        <v>473</v>
      </c>
      <c r="D475" t="n">
        <v>-0.4983</v>
      </c>
      <c r="E475" t="n">
        <v>16.3821</v>
      </c>
      <c r="F475" t="n">
        <v>0.07922999999999999</v>
      </c>
    </row>
    <row r="476">
      <c r="A476" t="n">
        <v>1000474</v>
      </c>
      <c r="B476" t="n">
        <v>1</v>
      </c>
      <c r="C476" t="n">
        <v>474</v>
      </c>
      <c r="D476" t="n">
        <v>-0.499</v>
      </c>
      <c r="E476" t="n">
        <v>16.3785</v>
      </c>
      <c r="F476" t="n">
        <v>0.07922</v>
      </c>
    </row>
    <row r="477">
      <c r="A477" t="n">
        <v>1000475</v>
      </c>
      <c r="B477" t="n">
        <v>1</v>
      </c>
      <c r="C477" t="n">
        <v>475</v>
      </c>
      <c r="D477" t="n">
        <v>-0.4997</v>
      </c>
      <c r="E477" t="n">
        <v>16.375</v>
      </c>
      <c r="F477" t="n">
        <v>0.07921</v>
      </c>
    </row>
    <row r="478">
      <c r="A478" t="n">
        <v>1000476</v>
      </c>
      <c r="B478" t="n">
        <v>1</v>
      </c>
      <c r="C478" t="n">
        <v>476</v>
      </c>
      <c r="D478" t="n">
        <v>-0.5004999999999999</v>
      </c>
      <c r="E478" t="n">
        <v>16.3715</v>
      </c>
      <c r="F478" t="n">
        <v>0.07921</v>
      </c>
    </row>
    <row r="479">
      <c r="A479" t="n">
        <v>1000477</v>
      </c>
      <c r="B479" t="n">
        <v>1</v>
      </c>
      <c r="C479" t="n">
        <v>477</v>
      </c>
      <c r="D479" t="n">
        <v>-0.5012</v>
      </c>
      <c r="E479" t="n">
        <v>16.368</v>
      </c>
      <c r="F479" t="n">
        <v>0.07920000000000001</v>
      </c>
    </row>
    <row r="480">
      <c r="A480" t="n">
        <v>1000478</v>
      </c>
      <c r="B480" t="n">
        <v>1</v>
      </c>
      <c r="C480" t="n">
        <v>478</v>
      </c>
      <c r="D480" t="n">
        <v>-0.5019</v>
      </c>
      <c r="E480" t="n">
        <v>16.3646</v>
      </c>
      <c r="F480" t="n">
        <v>0.07919</v>
      </c>
    </row>
    <row r="481">
      <c r="A481" t="n">
        <v>1000479</v>
      </c>
      <c r="B481" t="n">
        <v>1</v>
      </c>
      <c r="C481" t="n">
        <v>479</v>
      </c>
      <c r="D481" t="n">
        <v>-0.5026</v>
      </c>
      <c r="E481" t="n">
        <v>16.3611</v>
      </c>
      <c r="F481" t="n">
        <v>0.07919</v>
      </c>
    </row>
    <row r="482">
      <c r="A482" t="n">
        <v>1000480</v>
      </c>
      <c r="B482" t="n">
        <v>1</v>
      </c>
      <c r="C482" t="n">
        <v>480</v>
      </c>
      <c r="D482" t="n">
        <v>-0.5033</v>
      </c>
      <c r="E482" t="n">
        <v>16.3576</v>
      </c>
      <c r="F482" t="n">
        <v>0.07918</v>
      </c>
    </row>
    <row r="483">
      <c r="A483" t="n">
        <v>1000481</v>
      </c>
      <c r="B483" t="n">
        <v>1</v>
      </c>
      <c r="C483" t="n">
        <v>481</v>
      </c>
      <c r="D483" t="n">
        <v>-0.504</v>
      </c>
      <c r="E483" t="n">
        <v>16.3541</v>
      </c>
      <c r="F483" t="n">
        <v>0.07917</v>
      </c>
    </row>
    <row r="484">
      <c r="A484" t="n">
        <v>1000482</v>
      </c>
      <c r="B484" t="n">
        <v>1</v>
      </c>
      <c r="C484" t="n">
        <v>482</v>
      </c>
      <c r="D484" t="n">
        <v>-0.5047</v>
      </c>
      <c r="E484" t="n">
        <v>16.3507</v>
      </c>
      <c r="F484" t="n">
        <v>0.07915999999999999</v>
      </c>
    </row>
    <row r="485">
      <c r="A485" t="n">
        <v>1000483</v>
      </c>
      <c r="B485" t="n">
        <v>1</v>
      </c>
      <c r="C485" t="n">
        <v>483</v>
      </c>
      <c r="D485" t="n">
        <v>-0.5054</v>
      </c>
      <c r="E485" t="n">
        <v>16.3472</v>
      </c>
      <c r="F485" t="n">
        <v>0.07915999999999999</v>
      </c>
    </row>
    <row r="486">
      <c r="A486" t="n">
        <v>1000484</v>
      </c>
      <c r="B486" t="n">
        <v>1</v>
      </c>
      <c r="C486" t="n">
        <v>484</v>
      </c>
      <c r="D486" t="n">
        <v>-0.5061</v>
      </c>
      <c r="E486" t="n">
        <v>16.3438</v>
      </c>
      <c r="F486" t="n">
        <v>0.07915</v>
      </c>
    </row>
    <row r="487">
      <c r="A487" t="n">
        <v>1000485</v>
      </c>
      <c r="B487" t="n">
        <v>1</v>
      </c>
      <c r="C487" t="n">
        <v>485</v>
      </c>
      <c r="D487" t="n">
        <v>-0.5068</v>
      </c>
      <c r="E487" t="n">
        <v>16.3404</v>
      </c>
      <c r="F487" t="n">
        <v>0.07914</v>
      </c>
    </row>
    <row r="488">
      <c r="A488" t="n">
        <v>1000486</v>
      </c>
      <c r="B488" t="n">
        <v>1</v>
      </c>
      <c r="C488" t="n">
        <v>486</v>
      </c>
      <c r="D488" t="n">
        <v>-0.5075</v>
      </c>
      <c r="E488" t="n">
        <v>16.3369</v>
      </c>
      <c r="F488" t="n">
        <v>0.07914</v>
      </c>
    </row>
    <row r="489">
      <c r="A489" t="n">
        <v>1000487</v>
      </c>
      <c r="B489" t="n">
        <v>1</v>
      </c>
      <c r="C489" t="n">
        <v>487</v>
      </c>
      <c r="D489" t="n">
        <v>-0.5082</v>
      </c>
      <c r="E489" t="n">
        <v>16.3335</v>
      </c>
      <c r="F489" t="n">
        <v>0.07913000000000001</v>
      </c>
    </row>
    <row r="490">
      <c r="A490" t="n">
        <v>1000488</v>
      </c>
      <c r="B490" t="n">
        <v>1</v>
      </c>
      <c r="C490" t="n">
        <v>488</v>
      </c>
      <c r="D490" t="n">
        <v>-0.5089</v>
      </c>
      <c r="E490" t="n">
        <v>16.3301</v>
      </c>
      <c r="F490" t="n">
        <v>0.07912</v>
      </c>
    </row>
    <row r="491">
      <c r="A491" t="n">
        <v>1000489</v>
      </c>
      <c r="B491" t="n">
        <v>1</v>
      </c>
      <c r="C491" t="n">
        <v>489</v>
      </c>
      <c r="D491" t="n">
        <v>-0.5096000000000001</v>
      </c>
      <c r="E491" t="n">
        <v>16.3267</v>
      </c>
      <c r="F491" t="n">
        <v>0.07912</v>
      </c>
    </row>
    <row r="492">
      <c r="A492" t="n">
        <v>1000490</v>
      </c>
      <c r="B492" t="n">
        <v>1</v>
      </c>
      <c r="C492" t="n">
        <v>490</v>
      </c>
      <c r="D492" t="n">
        <v>-0.5103</v>
      </c>
      <c r="E492" t="n">
        <v>16.3233</v>
      </c>
      <c r="F492" t="n">
        <v>0.07911</v>
      </c>
    </row>
    <row r="493">
      <c r="A493" t="n">
        <v>1000491</v>
      </c>
      <c r="B493" t="n">
        <v>1</v>
      </c>
      <c r="C493" t="n">
        <v>491</v>
      </c>
      <c r="D493" t="n">
        <v>-0.511</v>
      </c>
      <c r="E493" t="n">
        <v>16.3199</v>
      </c>
      <c r="F493" t="n">
        <v>0.0791</v>
      </c>
    </row>
    <row r="494">
      <c r="A494" t="n">
        <v>1000492</v>
      </c>
      <c r="B494" t="n">
        <v>1</v>
      </c>
      <c r="C494" t="n">
        <v>492</v>
      </c>
      <c r="D494" t="n">
        <v>-0.5117</v>
      </c>
      <c r="E494" t="n">
        <v>16.3165</v>
      </c>
      <c r="F494" t="n">
        <v>0.07908999999999999</v>
      </c>
    </row>
    <row r="495">
      <c r="A495" t="n">
        <v>1000493</v>
      </c>
      <c r="B495" t="n">
        <v>1</v>
      </c>
      <c r="C495" t="n">
        <v>493</v>
      </c>
      <c r="D495" t="n">
        <v>-0.5124</v>
      </c>
      <c r="E495" t="n">
        <v>16.3131</v>
      </c>
      <c r="F495" t="n">
        <v>0.07908999999999999</v>
      </c>
    </row>
    <row r="496">
      <c r="A496" t="n">
        <v>1000494</v>
      </c>
      <c r="B496" t="n">
        <v>1</v>
      </c>
      <c r="C496" t="n">
        <v>494</v>
      </c>
      <c r="D496" t="n">
        <v>-0.5131</v>
      </c>
      <c r="E496" t="n">
        <v>16.3098</v>
      </c>
      <c r="F496" t="n">
        <v>0.07908</v>
      </c>
    </row>
    <row r="497">
      <c r="A497" t="n">
        <v>1000495</v>
      </c>
      <c r="B497" t="n">
        <v>1</v>
      </c>
      <c r="C497" t="n">
        <v>495</v>
      </c>
      <c r="D497" t="n">
        <v>-0.5138</v>
      </c>
      <c r="E497" t="n">
        <v>16.3064</v>
      </c>
      <c r="F497" t="n">
        <v>0.07907</v>
      </c>
    </row>
    <row r="498">
      <c r="A498" t="n">
        <v>1000496</v>
      </c>
      <c r="B498" t="n">
        <v>1</v>
      </c>
      <c r="C498" t="n">
        <v>496</v>
      </c>
      <c r="D498" t="n">
        <v>-0.5144</v>
      </c>
      <c r="E498" t="n">
        <v>16.3031</v>
      </c>
      <c r="F498" t="n">
        <v>0.07907</v>
      </c>
    </row>
    <row r="499">
      <c r="A499" t="n">
        <v>1000497</v>
      </c>
      <c r="B499" t="n">
        <v>1</v>
      </c>
      <c r="C499" t="n">
        <v>497</v>
      </c>
      <c r="D499" t="n">
        <v>-0.5151</v>
      </c>
      <c r="E499" t="n">
        <v>16.2997</v>
      </c>
      <c r="F499" t="n">
        <v>0.07906000000000001</v>
      </c>
    </row>
    <row r="500">
      <c r="A500" t="n">
        <v>1000498</v>
      </c>
      <c r="B500" t="n">
        <v>1</v>
      </c>
      <c r="C500" t="n">
        <v>498</v>
      </c>
      <c r="D500" t="n">
        <v>-0.5158</v>
      </c>
      <c r="E500" t="n">
        <v>16.2964</v>
      </c>
      <c r="F500" t="n">
        <v>0.07905</v>
      </c>
    </row>
    <row r="501">
      <c r="A501" t="n">
        <v>1000499</v>
      </c>
      <c r="B501" t="n">
        <v>1</v>
      </c>
      <c r="C501" t="n">
        <v>499</v>
      </c>
      <c r="D501" t="n">
        <v>-0.5165</v>
      </c>
      <c r="E501" t="n">
        <v>16.293</v>
      </c>
      <c r="F501" t="n">
        <v>0.07905</v>
      </c>
    </row>
    <row r="502">
      <c r="A502" t="n">
        <v>1000500</v>
      </c>
      <c r="B502" t="n">
        <v>1</v>
      </c>
      <c r="C502" t="n">
        <v>500</v>
      </c>
      <c r="D502" t="n">
        <v>-0.5172</v>
      </c>
      <c r="E502" t="n">
        <v>16.2897</v>
      </c>
      <c r="F502" t="n">
        <v>0.07904</v>
      </c>
    </row>
    <row r="503">
      <c r="A503" t="n">
        <v>1000501</v>
      </c>
      <c r="B503" t="n">
        <v>1</v>
      </c>
      <c r="C503" t="n">
        <v>501</v>
      </c>
      <c r="D503" t="n">
        <v>-0.5179</v>
      </c>
      <c r="E503" t="n">
        <v>16.2864</v>
      </c>
      <c r="F503" t="n">
        <v>0.07903</v>
      </c>
    </row>
    <row r="504">
      <c r="A504" t="n">
        <v>1000502</v>
      </c>
      <c r="B504" t="n">
        <v>1</v>
      </c>
      <c r="C504" t="n">
        <v>502</v>
      </c>
      <c r="D504" t="n">
        <v>-0.5185</v>
      </c>
      <c r="E504" t="n">
        <v>16.2831</v>
      </c>
      <c r="F504" t="n">
        <v>0.07903</v>
      </c>
    </row>
    <row r="505">
      <c r="A505" t="n">
        <v>1000503</v>
      </c>
      <c r="B505" t="n">
        <v>1</v>
      </c>
      <c r="C505" t="n">
        <v>503</v>
      </c>
      <c r="D505" t="n">
        <v>-0.5192</v>
      </c>
      <c r="E505" t="n">
        <v>16.2798</v>
      </c>
      <c r="F505" t="n">
        <v>0.07902000000000001</v>
      </c>
    </row>
    <row r="506">
      <c r="A506" t="n">
        <v>1000504</v>
      </c>
      <c r="B506" t="n">
        <v>1</v>
      </c>
      <c r="C506" t="n">
        <v>504</v>
      </c>
      <c r="D506" t="n">
        <v>-0.5199</v>
      </c>
      <c r="E506" t="n">
        <v>16.2765</v>
      </c>
      <c r="F506" t="n">
        <v>0.07901</v>
      </c>
    </row>
    <row r="507">
      <c r="A507" t="n">
        <v>1000505</v>
      </c>
      <c r="B507" t="n">
        <v>1</v>
      </c>
      <c r="C507" t="n">
        <v>505</v>
      </c>
      <c r="D507" t="n">
        <v>-0.5206</v>
      </c>
      <c r="E507" t="n">
        <v>16.2732</v>
      </c>
      <c r="F507" t="n">
        <v>0.07901</v>
      </c>
    </row>
    <row r="508">
      <c r="A508" t="n">
        <v>1000506</v>
      </c>
      <c r="B508" t="n">
        <v>1</v>
      </c>
      <c r="C508" t="n">
        <v>506</v>
      </c>
      <c r="D508" t="n">
        <v>-0.5212</v>
      </c>
      <c r="E508" t="n">
        <v>16.2699</v>
      </c>
      <c r="F508" t="n">
        <v>0.079</v>
      </c>
    </row>
    <row r="509">
      <c r="A509" t="n">
        <v>1000507</v>
      </c>
      <c r="B509" t="n">
        <v>1</v>
      </c>
      <c r="C509" t="n">
        <v>507</v>
      </c>
      <c r="D509" t="n">
        <v>-0.5219</v>
      </c>
      <c r="E509" t="n">
        <v>16.2666</v>
      </c>
      <c r="F509" t="n">
        <v>0.07899</v>
      </c>
    </row>
    <row r="510">
      <c r="A510" t="n">
        <v>1000508</v>
      </c>
      <c r="B510" t="n">
        <v>1</v>
      </c>
      <c r="C510" t="n">
        <v>508</v>
      </c>
      <c r="D510" t="n">
        <v>-0.5226</v>
      </c>
      <c r="E510" t="n">
        <v>16.2634</v>
      </c>
      <c r="F510" t="n">
        <v>0.07899</v>
      </c>
    </row>
    <row r="511">
      <c r="A511" t="n">
        <v>1000509</v>
      </c>
      <c r="B511" t="n">
        <v>1</v>
      </c>
      <c r="C511" t="n">
        <v>509</v>
      </c>
      <c r="D511" t="n">
        <v>-0.5233</v>
      </c>
      <c r="E511" t="n">
        <v>16.2601</v>
      </c>
      <c r="F511" t="n">
        <v>0.07897999999999999</v>
      </c>
    </row>
    <row r="512">
      <c r="A512" t="n">
        <v>1000510</v>
      </c>
      <c r="B512" t="n">
        <v>1</v>
      </c>
      <c r="C512" t="n">
        <v>510</v>
      </c>
      <c r="D512" t="n">
        <v>-0.5239</v>
      </c>
      <c r="E512" t="n">
        <v>16.2568</v>
      </c>
      <c r="F512" t="n">
        <v>0.07897</v>
      </c>
    </row>
    <row r="513">
      <c r="A513" t="n">
        <v>1000511</v>
      </c>
      <c r="B513" t="n">
        <v>1</v>
      </c>
      <c r="C513" t="n">
        <v>511</v>
      </c>
      <c r="D513" t="n">
        <v>-0.5246</v>
      </c>
      <c r="E513" t="n">
        <v>16.2536</v>
      </c>
      <c r="F513" t="n">
        <v>0.07897</v>
      </c>
    </row>
    <row r="514">
      <c r="A514" t="n">
        <v>1000512</v>
      </c>
      <c r="B514" t="n">
        <v>1</v>
      </c>
      <c r="C514" t="n">
        <v>512</v>
      </c>
      <c r="D514" t="n">
        <v>-0.5253</v>
      </c>
      <c r="E514" t="n">
        <v>16.2504</v>
      </c>
      <c r="F514" t="n">
        <v>0.07896</v>
      </c>
    </row>
    <row r="515">
      <c r="A515" t="n">
        <v>1000513</v>
      </c>
      <c r="B515" t="n">
        <v>1</v>
      </c>
      <c r="C515" t="n">
        <v>513</v>
      </c>
      <c r="D515" t="n">
        <v>-0.5259</v>
      </c>
      <c r="E515" t="n">
        <v>16.2471</v>
      </c>
      <c r="F515" t="n">
        <v>0.07895000000000001</v>
      </c>
    </row>
    <row r="516">
      <c r="A516" t="n">
        <v>1000514</v>
      </c>
      <c r="B516" t="n">
        <v>1</v>
      </c>
      <c r="C516" t="n">
        <v>514</v>
      </c>
      <c r="D516" t="n">
        <v>-0.5266</v>
      </c>
      <c r="E516" t="n">
        <v>16.2439</v>
      </c>
      <c r="F516" t="n">
        <v>0.07895000000000001</v>
      </c>
    </row>
    <row r="517">
      <c r="A517" t="n">
        <v>1000515</v>
      </c>
      <c r="B517" t="n">
        <v>1</v>
      </c>
      <c r="C517" t="n">
        <v>515</v>
      </c>
      <c r="D517" t="n">
        <v>-0.5273</v>
      </c>
      <c r="E517" t="n">
        <v>16.2407</v>
      </c>
      <c r="F517" t="n">
        <v>0.07894</v>
      </c>
    </row>
    <row r="518">
      <c r="A518" t="n">
        <v>1000516</v>
      </c>
      <c r="B518" t="n">
        <v>1</v>
      </c>
      <c r="C518" t="n">
        <v>516</v>
      </c>
      <c r="D518" t="n">
        <v>-0.5279</v>
      </c>
      <c r="E518" t="n">
        <v>16.2375</v>
      </c>
      <c r="F518" t="n">
        <v>0.07893</v>
      </c>
    </row>
    <row r="519">
      <c r="A519" t="n">
        <v>1000517</v>
      </c>
      <c r="B519" t="n">
        <v>1</v>
      </c>
      <c r="C519" t="n">
        <v>517</v>
      </c>
      <c r="D519" t="n">
        <v>-0.5286</v>
      </c>
      <c r="E519" t="n">
        <v>16.2343</v>
      </c>
      <c r="F519" t="n">
        <v>0.07893</v>
      </c>
    </row>
    <row r="520">
      <c r="A520" t="n">
        <v>1000518</v>
      </c>
      <c r="B520" t="n">
        <v>1</v>
      </c>
      <c r="C520" t="n">
        <v>518</v>
      </c>
      <c r="D520" t="n">
        <v>-0.5292</v>
      </c>
      <c r="E520" t="n">
        <v>16.2311</v>
      </c>
      <c r="F520" t="n">
        <v>0.07892</v>
      </c>
    </row>
    <row r="521">
      <c r="A521" t="n">
        <v>1000519</v>
      </c>
      <c r="B521" t="n">
        <v>1</v>
      </c>
      <c r="C521" t="n">
        <v>519</v>
      </c>
      <c r="D521" t="n">
        <v>-0.5299</v>
      </c>
      <c r="E521" t="n">
        <v>16.2279</v>
      </c>
      <c r="F521" t="n">
        <v>0.07890999999999999</v>
      </c>
    </row>
    <row r="522">
      <c r="A522" t="n">
        <v>1000520</v>
      </c>
      <c r="B522" t="n">
        <v>1</v>
      </c>
      <c r="C522" t="n">
        <v>520</v>
      </c>
      <c r="D522" t="n">
        <v>-0.5306</v>
      </c>
      <c r="E522" t="n">
        <v>16.2247</v>
      </c>
      <c r="F522" t="n">
        <v>0.07890999999999999</v>
      </c>
    </row>
    <row r="523">
      <c r="A523" t="n">
        <v>1000521</v>
      </c>
      <c r="B523" t="n">
        <v>1</v>
      </c>
      <c r="C523" t="n">
        <v>521</v>
      </c>
      <c r="D523" t="n">
        <v>-0.5312</v>
      </c>
      <c r="E523" t="n">
        <v>16.2215</v>
      </c>
      <c r="F523" t="n">
        <v>0.0789</v>
      </c>
    </row>
    <row r="524">
      <c r="A524" t="n">
        <v>1000522</v>
      </c>
      <c r="B524" t="n">
        <v>1</v>
      </c>
      <c r="C524" t="n">
        <v>522</v>
      </c>
      <c r="D524" t="n">
        <v>-0.5319</v>
      </c>
      <c r="E524" t="n">
        <v>16.2184</v>
      </c>
      <c r="F524" t="n">
        <v>0.07889</v>
      </c>
    </row>
    <row r="525">
      <c r="A525" t="n">
        <v>1000523</v>
      </c>
      <c r="B525" t="n">
        <v>1</v>
      </c>
      <c r="C525" t="n">
        <v>523</v>
      </c>
      <c r="D525" t="n">
        <v>-0.5325</v>
      </c>
      <c r="E525" t="n">
        <v>16.2152</v>
      </c>
      <c r="F525" t="n">
        <v>0.07889</v>
      </c>
    </row>
    <row r="526">
      <c r="A526" t="n">
        <v>1000524</v>
      </c>
      <c r="B526" t="n">
        <v>1</v>
      </c>
      <c r="C526" t="n">
        <v>524</v>
      </c>
      <c r="D526" t="n">
        <v>-0.5332</v>
      </c>
      <c r="E526" t="n">
        <v>16.2121</v>
      </c>
      <c r="F526" t="n">
        <v>0.07888000000000001</v>
      </c>
    </row>
    <row r="527">
      <c r="A527" t="n">
        <v>1000525</v>
      </c>
      <c r="B527" t="n">
        <v>1</v>
      </c>
      <c r="C527" t="n">
        <v>525</v>
      </c>
      <c r="D527" t="n">
        <v>-0.5338000000000001</v>
      </c>
      <c r="E527" t="n">
        <v>16.2089</v>
      </c>
      <c r="F527" t="n">
        <v>0.07887</v>
      </c>
    </row>
    <row r="528">
      <c r="A528" t="n">
        <v>1000526</v>
      </c>
      <c r="B528" t="n">
        <v>1</v>
      </c>
      <c r="C528" t="n">
        <v>526</v>
      </c>
      <c r="D528" t="n">
        <v>-0.5345</v>
      </c>
      <c r="E528" t="n">
        <v>16.2058</v>
      </c>
      <c r="F528" t="n">
        <v>0.07887</v>
      </c>
    </row>
    <row r="529">
      <c r="A529" t="n">
        <v>1000527</v>
      </c>
      <c r="B529" t="n">
        <v>1</v>
      </c>
      <c r="C529" t="n">
        <v>527</v>
      </c>
      <c r="D529" t="n">
        <v>-0.5351</v>
      </c>
      <c r="E529" t="n">
        <v>16.2027</v>
      </c>
      <c r="F529" t="n">
        <v>0.07886</v>
      </c>
    </row>
    <row r="530">
      <c r="A530" t="n">
        <v>1000528</v>
      </c>
      <c r="B530" t="n">
        <v>1</v>
      </c>
      <c r="C530" t="n">
        <v>528</v>
      </c>
      <c r="D530" t="n">
        <v>-0.5358000000000001</v>
      </c>
      <c r="E530" t="n">
        <v>16.1996</v>
      </c>
      <c r="F530" t="n">
        <v>0.07885</v>
      </c>
    </row>
    <row r="531">
      <c r="A531" t="n">
        <v>1000529</v>
      </c>
      <c r="B531" t="n">
        <v>1</v>
      </c>
      <c r="C531" t="n">
        <v>529</v>
      </c>
      <c r="D531" t="n">
        <v>-0.5364</v>
      </c>
      <c r="E531" t="n">
        <v>16.1964</v>
      </c>
      <c r="F531" t="n">
        <v>0.07885</v>
      </c>
    </row>
    <row r="532">
      <c r="A532" t="n">
        <v>1000530</v>
      </c>
      <c r="B532" t="n">
        <v>1</v>
      </c>
      <c r="C532" t="n">
        <v>530</v>
      </c>
      <c r="D532" t="n">
        <v>-0.5371</v>
      </c>
      <c r="E532" t="n">
        <v>16.1933</v>
      </c>
      <c r="F532" t="n">
        <v>0.07883999999999999</v>
      </c>
    </row>
    <row r="533">
      <c r="A533" t="n">
        <v>1000531</v>
      </c>
      <c r="B533" t="n">
        <v>1</v>
      </c>
      <c r="C533" t="n">
        <v>531</v>
      </c>
      <c r="D533" t="n">
        <v>-0.5377</v>
      </c>
      <c r="E533" t="n">
        <v>16.1902</v>
      </c>
      <c r="F533" t="n">
        <v>0.07883</v>
      </c>
    </row>
    <row r="534">
      <c r="A534" t="n">
        <v>1000532</v>
      </c>
      <c r="B534" t="n">
        <v>1</v>
      </c>
      <c r="C534" t="n">
        <v>532</v>
      </c>
      <c r="D534" t="n">
        <v>-0.5383</v>
      </c>
      <c r="E534" t="n">
        <v>16.1872</v>
      </c>
      <c r="F534" t="n">
        <v>0.07883</v>
      </c>
    </row>
    <row r="535">
      <c r="A535" t="n">
        <v>1000533</v>
      </c>
      <c r="B535" t="n">
        <v>1</v>
      </c>
      <c r="C535" t="n">
        <v>533</v>
      </c>
      <c r="D535" t="n">
        <v>-0.539</v>
      </c>
      <c r="E535" t="n">
        <v>16.1841</v>
      </c>
      <c r="F535" t="n">
        <v>0.07882</v>
      </c>
    </row>
    <row r="536">
      <c r="A536" t="n">
        <v>1000534</v>
      </c>
      <c r="B536" t="n">
        <v>1</v>
      </c>
      <c r="C536" t="n">
        <v>534</v>
      </c>
      <c r="D536" t="n">
        <v>-0.5396</v>
      </c>
      <c r="E536" t="n">
        <v>16.181</v>
      </c>
      <c r="F536" t="n">
        <v>0.07881000000000001</v>
      </c>
    </row>
    <row r="537">
      <c r="A537" t="n">
        <v>1000535</v>
      </c>
      <c r="B537" t="n">
        <v>1</v>
      </c>
      <c r="C537" t="n">
        <v>535</v>
      </c>
      <c r="D537" t="n">
        <v>-0.5403</v>
      </c>
      <c r="E537" t="n">
        <v>16.1779</v>
      </c>
      <c r="F537" t="n">
        <v>0.07881000000000001</v>
      </c>
    </row>
    <row r="538">
      <c r="A538" t="n">
        <v>1000536</v>
      </c>
      <c r="B538" t="n">
        <v>1</v>
      </c>
      <c r="C538" t="n">
        <v>536</v>
      </c>
      <c r="D538" t="n">
        <v>-0.5409</v>
      </c>
      <c r="E538" t="n">
        <v>16.1749</v>
      </c>
      <c r="F538" t="n">
        <v>0.0788</v>
      </c>
    </row>
    <row r="539">
      <c r="A539" t="n">
        <v>1000537</v>
      </c>
      <c r="B539" t="n">
        <v>1</v>
      </c>
      <c r="C539" t="n">
        <v>537</v>
      </c>
      <c r="D539" t="n">
        <v>-0.5415</v>
      </c>
      <c r="E539" t="n">
        <v>16.1718</v>
      </c>
      <c r="F539" t="n">
        <v>0.0788</v>
      </c>
    </row>
    <row r="540">
      <c r="A540" t="n">
        <v>1000538</v>
      </c>
      <c r="B540" t="n">
        <v>1</v>
      </c>
      <c r="C540" t="n">
        <v>538</v>
      </c>
      <c r="D540" t="n">
        <v>-0.5422</v>
      </c>
      <c r="E540" t="n">
        <v>16.1688</v>
      </c>
      <c r="F540" t="n">
        <v>0.07879</v>
      </c>
    </row>
    <row r="541">
      <c r="A541" t="n">
        <v>1000539</v>
      </c>
      <c r="B541" t="n">
        <v>1</v>
      </c>
      <c r="C541" t="n">
        <v>539</v>
      </c>
      <c r="D541" t="n">
        <v>-0.5427999999999999</v>
      </c>
      <c r="E541" t="n">
        <v>16.1658</v>
      </c>
      <c r="F541" t="n">
        <v>0.07878</v>
      </c>
    </row>
    <row r="542">
      <c r="A542" t="n">
        <v>1000540</v>
      </c>
      <c r="B542" t="n">
        <v>1</v>
      </c>
      <c r="C542" t="n">
        <v>540</v>
      </c>
      <c r="D542" t="n">
        <v>-0.5434</v>
      </c>
      <c r="E542" t="n">
        <v>16.1627</v>
      </c>
      <c r="F542" t="n">
        <v>0.07878</v>
      </c>
    </row>
    <row r="543">
      <c r="A543" t="n">
        <v>1000541</v>
      </c>
      <c r="B543" t="n">
        <v>1</v>
      </c>
      <c r="C543" t="n">
        <v>541</v>
      </c>
      <c r="D543" t="n">
        <v>-0.5441</v>
      </c>
      <c r="E543" t="n">
        <v>16.1597</v>
      </c>
      <c r="F543" t="n">
        <v>0.07877000000000001</v>
      </c>
    </row>
    <row r="544">
      <c r="A544" t="n">
        <v>1000542</v>
      </c>
      <c r="B544" t="n">
        <v>1</v>
      </c>
      <c r="C544" t="n">
        <v>542</v>
      </c>
      <c r="D544" t="n">
        <v>-0.5447</v>
      </c>
      <c r="E544" t="n">
        <v>16.1567</v>
      </c>
      <c r="F544" t="n">
        <v>0.07876</v>
      </c>
    </row>
    <row r="545">
      <c r="A545" t="n">
        <v>1000543</v>
      </c>
      <c r="B545" t="n">
        <v>1</v>
      </c>
      <c r="C545" t="n">
        <v>543</v>
      </c>
      <c r="D545" t="n">
        <v>-0.5453</v>
      </c>
      <c r="E545" t="n">
        <v>16.1537</v>
      </c>
      <c r="F545" t="n">
        <v>0.07876</v>
      </c>
    </row>
    <row r="546">
      <c r="A546" t="n">
        <v>1000544</v>
      </c>
      <c r="B546" t="n">
        <v>1</v>
      </c>
      <c r="C546" t="n">
        <v>544</v>
      </c>
      <c r="D546" t="n">
        <v>-0.546</v>
      </c>
      <c r="E546" t="n">
        <v>16.1507</v>
      </c>
      <c r="F546" t="n">
        <v>0.07875</v>
      </c>
    </row>
    <row r="547">
      <c r="A547" t="n">
        <v>1000545</v>
      </c>
      <c r="B547" t="n">
        <v>1</v>
      </c>
      <c r="C547" t="n">
        <v>545</v>
      </c>
      <c r="D547" t="n">
        <v>-0.5466</v>
      </c>
      <c r="E547" t="n">
        <v>16.1477</v>
      </c>
      <c r="F547" t="n">
        <v>0.07874</v>
      </c>
    </row>
    <row r="548">
      <c r="A548" t="n">
        <v>1000546</v>
      </c>
      <c r="B548" t="n">
        <v>1</v>
      </c>
      <c r="C548" t="n">
        <v>546</v>
      </c>
      <c r="D548" t="n">
        <v>-0.5472</v>
      </c>
      <c r="E548" t="n">
        <v>16.1447</v>
      </c>
      <c r="F548" t="n">
        <v>0.07874</v>
      </c>
    </row>
    <row r="549">
      <c r="A549" t="n">
        <v>1000547</v>
      </c>
      <c r="B549" t="n">
        <v>1</v>
      </c>
      <c r="C549" t="n">
        <v>547</v>
      </c>
      <c r="D549" t="n">
        <v>-0.5479000000000001</v>
      </c>
      <c r="E549" t="n">
        <v>16.1418</v>
      </c>
      <c r="F549" t="n">
        <v>0.07872999999999999</v>
      </c>
    </row>
    <row r="550">
      <c r="A550" t="n">
        <v>1000548</v>
      </c>
      <c r="B550" t="n">
        <v>1</v>
      </c>
      <c r="C550" t="n">
        <v>548</v>
      </c>
      <c r="D550" t="n">
        <v>-0.5485</v>
      </c>
      <c r="E550" t="n">
        <v>16.1388</v>
      </c>
      <c r="F550" t="n">
        <v>0.07872999999999999</v>
      </c>
    </row>
    <row r="551">
      <c r="A551" t="n">
        <v>1000549</v>
      </c>
      <c r="B551" t="n">
        <v>1</v>
      </c>
      <c r="C551" t="n">
        <v>549</v>
      </c>
      <c r="D551" t="n">
        <v>-0.5491</v>
      </c>
      <c r="E551" t="n">
        <v>16.1359</v>
      </c>
      <c r="F551" t="n">
        <v>0.07872</v>
      </c>
    </row>
    <row r="552">
      <c r="A552" t="n">
        <v>1000550</v>
      </c>
      <c r="B552" t="n">
        <v>1</v>
      </c>
      <c r="C552" t="n">
        <v>550</v>
      </c>
      <c r="D552" t="n">
        <v>-0.5497</v>
      </c>
      <c r="E552" t="n">
        <v>16.1329</v>
      </c>
      <c r="F552" t="n">
        <v>0.07871</v>
      </c>
    </row>
    <row r="553">
      <c r="A553" t="n">
        <v>1000551</v>
      </c>
      <c r="B553" t="n">
        <v>1</v>
      </c>
      <c r="C553" t="n">
        <v>551</v>
      </c>
      <c r="D553" t="n">
        <v>-0.5503</v>
      </c>
      <c r="E553" t="n">
        <v>16.13</v>
      </c>
      <c r="F553" t="n">
        <v>0.07871</v>
      </c>
    </row>
    <row r="554">
      <c r="A554" t="n">
        <v>1000552</v>
      </c>
      <c r="B554" t="n">
        <v>1</v>
      </c>
      <c r="C554" t="n">
        <v>552</v>
      </c>
      <c r="D554" t="n">
        <v>-0.551</v>
      </c>
      <c r="E554" t="n">
        <v>16.127</v>
      </c>
      <c r="F554" t="n">
        <v>0.07870000000000001</v>
      </c>
    </row>
    <row r="555">
      <c r="A555" t="n">
        <v>1000553</v>
      </c>
      <c r="B555" t="n">
        <v>1</v>
      </c>
      <c r="C555" t="n">
        <v>553</v>
      </c>
      <c r="D555" t="n">
        <v>-0.5516</v>
      </c>
      <c r="E555" t="n">
        <v>16.1241</v>
      </c>
      <c r="F555" t="n">
        <v>0.07869</v>
      </c>
    </row>
    <row r="556">
      <c r="A556" t="n">
        <v>1000554</v>
      </c>
      <c r="B556" t="n">
        <v>1</v>
      </c>
      <c r="C556" t="n">
        <v>554</v>
      </c>
      <c r="D556" t="n">
        <v>-0.5522</v>
      </c>
      <c r="E556" t="n">
        <v>16.1212</v>
      </c>
      <c r="F556" t="n">
        <v>0.07869</v>
      </c>
    </row>
    <row r="557">
      <c r="A557" t="n">
        <v>1000555</v>
      </c>
      <c r="B557" t="n">
        <v>1</v>
      </c>
      <c r="C557" t="n">
        <v>555</v>
      </c>
      <c r="D557" t="n">
        <v>-0.5528</v>
      </c>
      <c r="E557" t="n">
        <v>16.1183</v>
      </c>
      <c r="F557" t="n">
        <v>0.07868</v>
      </c>
    </row>
    <row r="558">
      <c r="A558" t="n">
        <v>1000556</v>
      </c>
      <c r="B558" t="n">
        <v>1</v>
      </c>
      <c r="C558" t="n">
        <v>556</v>
      </c>
      <c r="D558" t="n">
        <v>-0.5534</v>
      </c>
      <c r="E558" t="n">
        <v>16.1154</v>
      </c>
      <c r="F558" t="n">
        <v>0.07867</v>
      </c>
    </row>
    <row r="559">
      <c r="A559" t="n">
        <v>1000557</v>
      </c>
      <c r="B559" t="n">
        <v>1</v>
      </c>
      <c r="C559" t="n">
        <v>557</v>
      </c>
      <c r="D559" t="n">
        <v>-0.5541</v>
      </c>
      <c r="E559" t="n">
        <v>16.1125</v>
      </c>
      <c r="F559" t="n">
        <v>0.07867</v>
      </c>
    </row>
    <row r="560">
      <c r="A560" t="n">
        <v>1000558</v>
      </c>
      <c r="B560" t="n">
        <v>1</v>
      </c>
      <c r="C560" t="n">
        <v>558</v>
      </c>
      <c r="D560" t="n">
        <v>-0.5547</v>
      </c>
      <c r="E560" t="n">
        <v>16.1096</v>
      </c>
      <c r="F560" t="n">
        <v>0.07865999999999999</v>
      </c>
    </row>
    <row r="561">
      <c r="A561" t="n">
        <v>1000559</v>
      </c>
      <c r="B561" t="n">
        <v>1</v>
      </c>
      <c r="C561" t="n">
        <v>559</v>
      </c>
      <c r="D561" t="n">
        <v>-0.5553</v>
      </c>
      <c r="E561" t="n">
        <v>16.1067</v>
      </c>
      <c r="F561" t="n">
        <v>0.07865999999999999</v>
      </c>
    </row>
    <row r="562">
      <c r="A562" t="n">
        <v>1000560</v>
      </c>
      <c r="B562" t="n">
        <v>1</v>
      </c>
      <c r="C562" t="n">
        <v>560</v>
      </c>
      <c r="D562" t="n">
        <v>-0.5558999999999999</v>
      </c>
      <c r="E562" t="n">
        <v>16.1039</v>
      </c>
      <c r="F562" t="n">
        <v>0.07865</v>
      </c>
    </row>
    <row r="563">
      <c r="A563" t="n">
        <v>1000561</v>
      </c>
      <c r="B563" t="n">
        <v>1</v>
      </c>
      <c r="C563" t="n">
        <v>561</v>
      </c>
      <c r="D563" t="n">
        <v>-0.5565</v>
      </c>
      <c r="E563" t="n">
        <v>16.101</v>
      </c>
      <c r="F563" t="n">
        <v>0.07864</v>
      </c>
    </row>
    <row r="564">
      <c r="A564" t="n">
        <v>1000562</v>
      </c>
      <c r="B564" t="n">
        <v>1</v>
      </c>
      <c r="C564" t="n">
        <v>562</v>
      </c>
      <c r="D564" t="n">
        <v>-0.5571</v>
      </c>
      <c r="E564" t="n">
        <v>16.0981</v>
      </c>
      <c r="F564" t="n">
        <v>0.07864</v>
      </c>
    </row>
    <row r="565">
      <c r="A565" t="n">
        <v>1000563</v>
      </c>
      <c r="B565" t="n">
        <v>1</v>
      </c>
      <c r="C565" t="n">
        <v>563</v>
      </c>
      <c r="D565" t="n">
        <v>-0.5577</v>
      </c>
      <c r="E565" t="n">
        <v>16.0953</v>
      </c>
      <c r="F565" t="n">
        <v>0.07863000000000001</v>
      </c>
    </row>
    <row r="566">
      <c r="A566" t="n">
        <v>1000564</v>
      </c>
      <c r="B566" t="n">
        <v>1</v>
      </c>
      <c r="C566" t="n">
        <v>564</v>
      </c>
      <c r="D566" t="n">
        <v>-0.5583</v>
      </c>
      <c r="E566" t="n">
        <v>16.0925</v>
      </c>
      <c r="F566" t="n">
        <v>0.07863000000000001</v>
      </c>
    </row>
    <row r="567">
      <c r="A567" t="n">
        <v>1000565</v>
      </c>
      <c r="B567" t="n">
        <v>1</v>
      </c>
      <c r="C567" t="n">
        <v>565</v>
      </c>
      <c r="D567" t="n">
        <v>-0.5589</v>
      </c>
      <c r="E567" t="n">
        <v>16.0896</v>
      </c>
      <c r="F567" t="n">
        <v>0.07862</v>
      </c>
    </row>
    <row r="568">
      <c r="A568" t="n">
        <v>1000566</v>
      </c>
      <c r="B568" t="n">
        <v>1</v>
      </c>
      <c r="C568" t="n">
        <v>566</v>
      </c>
      <c r="D568" t="n">
        <v>-0.5595</v>
      </c>
      <c r="E568" t="n">
        <v>16.0868</v>
      </c>
      <c r="F568" t="n">
        <v>0.07861</v>
      </c>
    </row>
    <row r="569">
      <c r="A569" t="n">
        <v>1000567</v>
      </c>
      <c r="B569" t="n">
        <v>1</v>
      </c>
      <c r="C569" t="n">
        <v>567</v>
      </c>
      <c r="D569" t="n">
        <v>-0.5602</v>
      </c>
      <c r="E569" t="n">
        <v>16.084</v>
      </c>
      <c r="F569" t="n">
        <v>0.07861</v>
      </c>
    </row>
    <row r="570">
      <c r="A570" t="n">
        <v>1000568</v>
      </c>
      <c r="B570" t="n">
        <v>1</v>
      </c>
      <c r="C570" t="n">
        <v>568</v>
      </c>
      <c r="D570" t="n">
        <v>-0.5608</v>
      </c>
      <c r="E570" t="n">
        <v>16.0812</v>
      </c>
      <c r="F570" t="n">
        <v>0.0786</v>
      </c>
    </row>
    <row r="571">
      <c r="A571" t="n">
        <v>1000569</v>
      </c>
      <c r="B571" t="n">
        <v>1</v>
      </c>
      <c r="C571" t="n">
        <v>569</v>
      </c>
      <c r="D571" t="n">
        <v>-0.5614</v>
      </c>
      <c r="E571" t="n">
        <v>16.0784</v>
      </c>
      <c r="F571" t="n">
        <v>0.07858999999999999</v>
      </c>
    </row>
    <row r="572">
      <c r="A572" t="n">
        <v>1000570</v>
      </c>
      <c r="B572" t="n">
        <v>1</v>
      </c>
      <c r="C572" t="n">
        <v>570</v>
      </c>
      <c r="D572" t="n">
        <v>-0.5620000000000001</v>
      </c>
      <c r="E572" t="n">
        <v>16.0756</v>
      </c>
      <c r="F572" t="n">
        <v>0.07858999999999999</v>
      </c>
    </row>
    <row r="573">
      <c r="A573" t="n">
        <v>1000571</v>
      </c>
      <c r="B573" t="n">
        <v>1</v>
      </c>
      <c r="C573" t="n">
        <v>571</v>
      </c>
      <c r="D573" t="n">
        <v>-0.5626</v>
      </c>
      <c r="E573" t="n">
        <v>16.0728</v>
      </c>
      <c r="F573" t="n">
        <v>0.07858</v>
      </c>
    </row>
    <row r="574">
      <c r="A574" t="n">
        <v>1000572</v>
      </c>
      <c r="B574" t="n">
        <v>1</v>
      </c>
      <c r="C574" t="n">
        <v>572</v>
      </c>
      <c r="D574" t="n">
        <v>-0.5632</v>
      </c>
      <c r="E574" t="n">
        <v>16.0701</v>
      </c>
      <c r="F574" t="n">
        <v>0.07858</v>
      </c>
    </row>
    <row r="575">
      <c r="A575" t="n">
        <v>1000573</v>
      </c>
      <c r="B575" t="n">
        <v>1</v>
      </c>
      <c r="C575" t="n">
        <v>573</v>
      </c>
      <c r="D575" t="n">
        <v>-0.5638</v>
      </c>
      <c r="E575" t="n">
        <v>16.0673</v>
      </c>
      <c r="F575" t="n">
        <v>0.07857</v>
      </c>
    </row>
    <row r="576">
      <c r="A576" t="n">
        <v>1000574</v>
      </c>
      <c r="B576" t="n">
        <v>1</v>
      </c>
      <c r="C576" t="n">
        <v>574</v>
      </c>
      <c r="D576" t="n">
        <v>-0.5644</v>
      </c>
      <c r="E576" t="n">
        <v>16.0646</v>
      </c>
      <c r="F576" t="n">
        <v>0.07856</v>
      </c>
    </row>
    <row r="577">
      <c r="A577" t="n">
        <v>1000575</v>
      </c>
      <c r="B577" t="n">
        <v>1</v>
      </c>
      <c r="C577" t="n">
        <v>575</v>
      </c>
      <c r="D577" t="n">
        <v>-0.5649999999999999</v>
      </c>
      <c r="E577" t="n">
        <v>16.0618</v>
      </c>
      <c r="F577" t="n">
        <v>0.07856</v>
      </c>
    </row>
    <row r="578">
      <c r="A578" t="n">
        <v>1000576</v>
      </c>
      <c r="B578" t="n">
        <v>1</v>
      </c>
      <c r="C578" t="n">
        <v>576</v>
      </c>
      <c r="D578" t="n">
        <v>-0.5656</v>
      </c>
      <c r="E578" t="n">
        <v>16.0591</v>
      </c>
      <c r="F578" t="n">
        <v>0.07854999999999999</v>
      </c>
    </row>
    <row r="579">
      <c r="A579" t="n">
        <v>1000577</v>
      </c>
      <c r="B579" t="n">
        <v>1</v>
      </c>
      <c r="C579" t="n">
        <v>577</v>
      </c>
      <c r="D579" t="n">
        <v>-0.5662</v>
      </c>
      <c r="E579" t="n">
        <v>16.0564</v>
      </c>
      <c r="F579" t="n">
        <v>0.07854999999999999</v>
      </c>
    </row>
    <row r="580">
      <c r="A580" t="n">
        <v>1000578</v>
      </c>
      <c r="B580" t="n">
        <v>1</v>
      </c>
      <c r="C580" t="n">
        <v>578</v>
      </c>
      <c r="D580" t="n">
        <v>-0.5667</v>
      </c>
      <c r="E580" t="n">
        <v>16.0536</v>
      </c>
      <c r="F580" t="n">
        <v>0.07854</v>
      </c>
    </row>
    <row r="581">
      <c r="A581" t="n">
        <v>1000579</v>
      </c>
      <c r="B581" t="n">
        <v>1</v>
      </c>
      <c r="C581" t="n">
        <v>579</v>
      </c>
      <c r="D581" t="n">
        <v>-0.5673</v>
      </c>
      <c r="E581" t="n">
        <v>16.0509</v>
      </c>
      <c r="F581" t="n">
        <v>0.07853</v>
      </c>
    </row>
    <row r="582">
      <c r="A582" t="n">
        <v>1000580</v>
      </c>
      <c r="B582" t="n">
        <v>1</v>
      </c>
      <c r="C582" t="n">
        <v>580</v>
      </c>
      <c r="D582" t="n">
        <v>-0.5679</v>
      </c>
      <c r="E582" t="n">
        <v>16.0482</v>
      </c>
      <c r="F582" t="n">
        <v>0.07853</v>
      </c>
    </row>
    <row r="583">
      <c r="A583" t="n">
        <v>1000581</v>
      </c>
      <c r="B583" t="n">
        <v>1</v>
      </c>
      <c r="C583" t="n">
        <v>581</v>
      </c>
      <c r="D583" t="n">
        <v>-0.5685</v>
      </c>
      <c r="E583" t="n">
        <v>16.0455</v>
      </c>
      <c r="F583" t="n">
        <v>0.07852000000000001</v>
      </c>
    </row>
    <row r="584">
      <c r="A584" t="n">
        <v>1000582</v>
      </c>
      <c r="B584" t="n">
        <v>1</v>
      </c>
      <c r="C584" t="n">
        <v>582</v>
      </c>
      <c r="D584" t="n">
        <v>-0.5691000000000001</v>
      </c>
      <c r="E584" t="n">
        <v>16.0429</v>
      </c>
      <c r="F584" t="n">
        <v>0.07852000000000001</v>
      </c>
    </row>
    <row r="585">
      <c r="A585" t="n">
        <v>1000583</v>
      </c>
      <c r="B585" t="n">
        <v>1</v>
      </c>
      <c r="C585" t="n">
        <v>583</v>
      </c>
      <c r="D585" t="n">
        <v>-0.5697</v>
      </c>
      <c r="E585" t="n">
        <v>16.0402</v>
      </c>
      <c r="F585" t="n">
        <v>0.07851</v>
      </c>
    </row>
    <row r="586">
      <c r="A586" t="n">
        <v>1000584</v>
      </c>
      <c r="B586" t="n">
        <v>1</v>
      </c>
      <c r="C586" t="n">
        <v>584</v>
      </c>
      <c r="D586" t="n">
        <v>-0.5703</v>
      </c>
      <c r="E586" t="n">
        <v>16.0375</v>
      </c>
      <c r="F586" t="n">
        <v>0.0785</v>
      </c>
    </row>
    <row r="587">
      <c r="A587" t="n">
        <v>1000585</v>
      </c>
      <c r="B587" t="n">
        <v>1</v>
      </c>
      <c r="C587" t="n">
        <v>585</v>
      </c>
      <c r="D587" t="n">
        <v>-0.5709</v>
      </c>
      <c r="E587" t="n">
        <v>16.0349</v>
      </c>
      <c r="F587" t="n">
        <v>0.0785</v>
      </c>
    </row>
    <row r="588">
      <c r="A588" t="n">
        <v>1000586</v>
      </c>
      <c r="B588" t="n">
        <v>1</v>
      </c>
      <c r="C588" t="n">
        <v>586</v>
      </c>
      <c r="D588" t="n">
        <v>-0.5715</v>
      </c>
      <c r="E588" t="n">
        <v>16.0322</v>
      </c>
      <c r="F588" t="n">
        <v>0.07849</v>
      </c>
    </row>
    <row r="589">
      <c r="A589" t="n">
        <v>1000587</v>
      </c>
      <c r="B589" t="n">
        <v>1</v>
      </c>
      <c r="C589" t="n">
        <v>587</v>
      </c>
      <c r="D589" t="n">
        <v>-0.5721000000000001</v>
      </c>
      <c r="E589" t="n">
        <v>16.0296</v>
      </c>
      <c r="F589" t="n">
        <v>0.07849</v>
      </c>
    </row>
    <row r="590">
      <c r="A590" t="n">
        <v>1000588</v>
      </c>
      <c r="B590" t="n">
        <v>1</v>
      </c>
      <c r="C590" t="n">
        <v>588</v>
      </c>
      <c r="D590" t="n">
        <v>-0.5726</v>
      </c>
      <c r="E590" t="n">
        <v>16.0269</v>
      </c>
      <c r="F590" t="n">
        <v>0.07847999999999999</v>
      </c>
    </row>
    <row r="591">
      <c r="A591" t="n">
        <v>1000589</v>
      </c>
      <c r="B591" t="n">
        <v>1</v>
      </c>
      <c r="C591" t="n">
        <v>589</v>
      </c>
      <c r="D591" t="n">
        <v>-0.5732</v>
      </c>
      <c r="E591" t="n">
        <v>16.0243</v>
      </c>
      <c r="F591" t="n">
        <v>0.07847</v>
      </c>
    </row>
    <row r="592">
      <c r="A592" t="n">
        <v>1000590</v>
      </c>
      <c r="B592" t="n">
        <v>1</v>
      </c>
      <c r="C592" t="n">
        <v>590</v>
      </c>
      <c r="D592" t="n">
        <v>-0.5738</v>
      </c>
      <c r="E592" t="n">
        <v>16.0217</v>
      </c>
      <c r="F592" t="n">
        <v>0.07847</v>
      </c>
    </row>
    <row r="593">
      <c r="A593" t="n">
        <v>1000591</v>
      </c>
      <c r="B593" t="n">
        <v>1</v>
      </c>
      <c r="C593" t="n">
        <v>591</v>
      </c>
      <c r="D593" t="n">
        <v>-0.5744</v>
      </c>
      <c r="E593" t="n">
        <v>16.0191</v>
      </c>
      <c r="F593" t="n">
        <v>0.07846</v>
      </c>
    </row>
    <row r="594">
      <c r="A594" t="n">
        <v>1000592</v>
      </c>
      <c r="B594" t="n">
        <v>1</v>
      </c>
      <c r="C594" t="n">
        <v>592</v>
      </c>
      <c r="D594" t="n">
        <v>-0.575</v>
      </c>
      <c r="E594" t="n">
        <v>16.0165</v>
      </c>
      <c r="F594" t="n">
        <v>0.07846</v>
      </c>
    </row>
    <row r="595">
      <c r="A595" t="n">
        <v>1000593</v>
      </c>
      <c r="B595" t="n">
        <v>1</v>
      </c>
      <c r="C595" t="n">
        <v>593</v>
      </c>
      <c r="D595" t="n">
        <v>-0.5755</v>
      </c>
      <c r="E595" t="n">
        <v>16.0139</v>
      </c>
      <c r="F595" t="n">
        <v>0.07845000000000001</v>
      </c>
    </row>
    <row r="596">
      <c r="A596" t="n">
        <v>1000594</v>
      </c>
      <c r="B596" t="n">
        <v>1</v>
      </c>
      <c r="C596" t="n">
        <v>594</v>
      </c>
      <c r="D596" t="n">
        <v>-0.5760999999999999</v>
      </c>
      <c r="E596" t="n">
        <v>16.0113</v>
      </c>
      <c r="F596" t="n">
        <v>0.07844</v>
      </c>
    </row>
    <row r="597">
      <c r="A597" t="n">
        <v>1000595</v>
      </c>
      <c r="B597" t="n">
        <v>1</v>
      </c>
      <c r="C597" t="n">
        <v>595</v>
      </c>
      <c r="D597" t="n">
        <v>-0.5767</v>
      </c>
      <c r="E597" t="n">
        <v>16.0088</v>
      </c>
      <c r="F597" t="n">
        <v>0.07844</v>
      </c>
    </row>
    <row r="598">
      <c r="A598" t="n">
        <v>1000596</v>
      </c>
      <c r="B598" t="n">
        <v>1</v>
      </c>
      <c r="C598" t="n">
        <v>596</v>
      </c>
      <c r="D598" t="n">
        <v>-0.5773</v>
      </c>
      <c r="E598" t="n">
        <v>16.0062</v>
      </c>
      <c r="F598" t="n">
        <v>0.07843</v>
      </c>
    </row>
    <row r="599">
      <c r="A599" t="n">
        <v>1000597</v>
      </c>
      <c r="B599" t="n">
        <v>1</v>
      </c>
      <c r="C599" t="n">
        <v>597</v>
      </c>
      <c r="D599" t="n">
        <v>-0.5779</v>
      </c>
      <c r="E599" t="n">
        <v>16.0036</v>
      </c>
      <c r="F599" t="n">
        <v>0.07843</v>
      </c>
    </row>
    <row r="600">
      <c r="A600" t="n">
        <v>1000598</v>
      </c>
      <c r="B600" t="n">
        <v>1</v>
      </c>
      <c r="C600" t="n">
        <v>598</v>
      </c>
      <c r="D600" t="n">
        <v>-0.5784</v>
      </c>
      <c r="E600" t="n">
        <v>16.0011</v>
      </c>
      <c r="F600" t="n">
        <v>0.07842</v>
      </c>
    </row>
    <row r="601">
      <c r="A601" t="n">
        <v>1000599</v>
      </c>
      <c r="B601" t="n">
        <v>1</v>
      </c>
      <c r="C601" t="n">
        <v>599</v>
      </c>
      <c r="D601" t="n">
        <v>-0.579</v>
      </c>
      <c r="E601" t="n">
        <v>15.9986</v>
      </c>
      <c r="F601" t="n">
        <v>0.07840999999999999</v>
      </c>
    </row>
    <row r="602">
      <c r="A602" t="n">
        <v>1000600</v>
      </c>
      <c r="B602" t="n">
        <v>1</v>
      </c>
      <c r="C602" t="n">
        <v>600</v>
      </c>
      <c r="D602" t="n">
        <v>-0.5796</v>
      </c>
      <c r="E602" t="n">
        <v>15.996</v>
      </c>
      <c r="F602" t="n">
        <v>0.07840999999999999</v>
      </c>
    </row>
    <row r="603">
      <c r="A603" t="n">
        <v>1000601</v>
      </c>
      <c r="B603" t="n">
        <v>1</v>
      </c>
      <c r="C603" t="n">
        <v>601</v>
      </c>
      <c r="D603" t="n">
        <v>-0.5802</v>
      </c>
      <c r="E603" t="n">
        <v>15.9935</v>
      </c>
      <c r="F603" t="n">
        <v>0.0784</v>
      </c>
    </row>
    <row r="604">
      <c r="A604" t="n">
        <v>1000602</v>
      </c>
      <c r="B604" t="n">
        <v>1</v>
      </c>
      <c r="C604" t="n">
        <v>602</v>
      </c>
      <c r="D604" t="n">
        <v>-0.5807</v>
      </c>
      <c r="E604" t="n">
        <v>15.991</v>
      </c>
      <c r="F604" t="n">
        <v>0.0784</v>
      </c>
    </row>
    <row r="605">
      <c r="A605" t="n">
        <v>1000603</v>
      </c>
      <c r="B605" t="n">
        <v>1</v>
      </c>
      <c r="C605" t="n">
        <v>603</v>
      </c>
      <c r="D605" t="n">
        <v>-0.5813</v>
      </c>
      <c r="E605" t="n">
        <v>15.9885</v>
      </c>
      <c r="F605" t="n">
        <v>0.07839</v>
      </c>
    </row>
    <row r="606">
      <c r="A606" t="n">
        <v>1000604</v>
      </c>
      <c r="B606" t="n">
        <v>1</v>
      </c>
      <c r="C606" t="n">
        <v>604</v>
      </c>
      <c r="D606" t="n">
        <v>-0.5819</v>
      </c>
      <c r="E606" t="n">
        <v>15.986</v>
      </c>
      <c r="F606" t="n">
        <v>0.07838000000000001</v>
      </c>
    </row>
    <row r="607">
      <c r="A607" t="n">
        <v>1000605</v>
      </c>
      <c r="B607" t="n">
        <v>1</v>
      </c>
      <c r="C607" t="n">
        <v>605</v>
      </c>
      <c r="D607" t="n">
        <v>-0.5824</v>
      </c>
      <c r="E607" t="n">
        <v>15.9835</v>
      </c>
      <c r="F607" t="n">
        <v>0.07838000000000001</v>
      </c>
    </row>
    <row r="608">
      <c r="A608" t="n">
        <v>1000606</v>
      </c>
      <c r="B608" t="n">
        <v>1</v>
      </c>
      <c r="C608" t="n">
        <v>606</v>
      </c>
      <c r="D608" t="n">
        <v>-0.583</v>
      </c>
      <c r="E608" t="n">
        <v>15.9811</v>
      </c>
      <c r="F608" t="n">
        <v>0.07837</v>
      </c>
    </row>
    <row r="609">
      <c r="A609" t="n">
        <v>1000607</v>
      </c>
      <c r="B609" t="n">
        <v>1</v>
      </c>
      <c r="C609" t="n">
        <v>607</v>
      </c>
      <c r="D609" t="n">
        <v>-0.5836</v>
      </c>
      <c r="E609" t="n">
        <v>15.9786</v>
      </c>
      <c r="F609" t="n">
        <v>0.07837</v>
      </c>
    </row>
    <row r="610">
      <c r="A610" t="n">
        <v>1000608</v>
      </c>
      <c r="B610" t="n">
        <v>1</v>
      </c>
      <c r="C610" t="n">
        <v>608</v>
      </c>
      <c r="D610" t="n">
        <v>-0.5841</v>
      </c>
      <c r="E610" t="n">
        <v>15.9761</v>
      </c>
      <c r="F610" t="n">
        <v>0.07836</v>
      </c>
    </row>
    <row r="611">
      <c r="A611" t="n">
        <v>1000609</v>
      </c>
      <c r="B611" t="n">
        <v>1</v>
      </c>
      <c r="C611" t="n">
        <v>609</v>
      </c>
      <c r="D611" t="n">
        <v>-0.5847</v>
      </c>
      <c r="E611" t="n">
        <v>15.9737</v>
      </c>
      <c r="F611" t="n">
        <v>0.07836</v>
      </c>
    </row>
    <row r="612">
      <c r="A612" t="n">
        <v>1000610</v>
      </c>
      <c r="B612" t="n">
        <v>1</v>
      </c>
      <c r="C612" t="n">
        <v>610</v>
      </c>
      <c r="D612" t="n">
        <v>-0.5853</v>
      </c>
      <c r="E612" t="n">
        <v>15.9713</v>
      </c>
      <c r="F612" t="n">
        <v>0.07835</v>
      </c>
    </row>
    <row r="613">
      <c r="A613" t="n">
        <v>1000611</v>
      </c>
      <c r="B613" t="n">
        <v>1</v>
      </c>
      <c r="C613" t="n">
        <v>611</v>
      </c>
      <c r="D613" t="n">
        <v>-0.5858</v>
      </c>
      <c r="E613" t="n">
        <v>15.9688</v>
      </c>
      <c r="F613" t="n">
        <v>0.07834000000000001</v>
      </c>
    </row>
    <row r="614">
      <c r="A614" t="n">
        <v>1000612</v>
      </c>
      <c r="B614" t="n">
        <v>1</v>
      </c>
      <c r="C614" t="n">
        <v>612</v>
      </c>
      <c r="D614" t="n">
        <v>-0.5864</v>
      </c>
      <c r="E614" t="n">
        <v>15.9664</v>
      </c>
      <c r="F614" t="n">
        <v>0.07834000000000001</v>
      </c>
    </row>
    <row r="615">
      <c r="A615" t="n">
        <v>1000613</v>
      </c>
      <c r="B615" t="n">
        <v>1</v>
      </c>
      <c r="C615" t="n">
        <v>613</v>
      </c>
      <c r="D615" t="n">
        <v>-0.587</v>
      </c>
      <c r="E615" t="n">
        <v>15.964</v>
      </c>
      <c r="F615" t="n">
        <v>0.07833</v>
      </c>
    </row>
    <row r="616">
      <c r="A616" t="n">
        <v>1000614</v>
      </c>
      <c r="B616" t="n">
        <v>1</v>
      </c>
      <c r="C616" t="n">
        <v>614</v>
      </c>
      <c r="D616" t="n">
        <v>-0.5875</v>
      </c>
      <c r="E616" t="n">
        <v>15.9616</v>
      </c>
      <c r="F616" t="n">
        <v>0.07833</v>
      </c>
    </row>
    <row r="617">
      <c r="A617" t="n">
        <v>1000615</v>
      </c>
      <c r="B617" t="n">
        <v>1</v>
      </c>
      <c r="C617" t="n">
        <v>615</v>
      </c>
      <c r="D617" t="n">
        <v>-0.5881</v>
      </c>
      <c r="E617" t="n">
        <v>15.9592</v>
      </c>
      <c r="F617" t="n">
        <v>0.07832</v>
      </c>
    </row>
    <row r="618">
      <c r="A618" t="n">
        <v>1000616</v>
      </c>
      <c r="B618" t="n">
        <v>1</v>
      </c>
      <c r="C618" t="n">
        <v>616</v>
      </c>
      <c r="D618" t="n">
        <v>-0.5886</v>
      </c>
      <c r="E618" t="n">
        <v>15.9568</v>
      </c>
      <c r="F618" t="n">
        <v>0.07832</v>
      </c>
    </row>
    <row r="619">
      <c r="A619" t="n">
        <v>1000617</v>
      </c>
      <c r="B619" t="n">
        <v>1</v>
      </c>
      <c r="C619" t="n">
        <v>617</v>
      </c>
      <c r="D619" t="n">
        <v>-0.5891999999999999</v>
      </c>
      <c r="E619" t="n">
        <v>15.9544</v>
      </c>
      <c r="F619" t="n">
        <v>0.07831</v>
      </c>
    </row>
    <row r="620">
      <c r="A620" t="n">
        <v>1000618</v>
      </c>
      <c r="B620" t="n">
        <v>1</v>
      </c>
      <c r="C620" t="n">
        <v>618</v>
      </c>
      <c r="D620" t="n">
        <v>-0.5898</v>
      </c>
      <c r="E620" t="n">
        <v>15.9521</v>
      </c>
      <c r="F620" t="n">
        <v>0.07829999999999999</v>
      </c>
    </row>
    <row r="621">
      <c r="A621" t="n">
        <v>1000619</v>
      </c>
      <c r="B621" t="n">
        <v>1</v>
      </c>
      <c r="C621" t="n">
        <v>619</v>
      </c>
      <c r="D621" t="n">
        <v>-0.5903</v>
      </c>
      <c r="E621" t="n">
        <v>15.9497</v>
      </c>
      <c r="F621" t="n">
        <v>0.07829999999999999</v>
      </c>
    </row>
    <row r="622">
      <c r="A622" t="n">
        <v>1000620</v>
      </c>
      <c r="B622" t="n">
        <v>1</v>
      </c>
      <c r="C622" t="n">
        <v>620</v>
      </c>
      <c r="D622" t="n">
        <v>-0.5909</v>
      </c>
      <c r="E622" t="n">
        <v>15.9473</v>
      </c>
      <c r="F622" t="n">
        <v>0.07829</v>
      </c>
    </row>
    <row r="623">
      <c r="A623" t="n">
        <v>1000621</v>
      </c>
      <c r="B623" t="n">
        <v>1</v>
      </c>
      <c r="C623" t="n">
        <v>621</v>
      </c>
      <c r="D623" t="n">
        <v>-0.5914</v>
      </c>
      <c r="E623" t="n">
        <v>15.945</v>
      </c>
      <c r="F623" t="n">
        <v>0.07829</v>
      </c>
    </row>
    <row r="624">
      <c r="A624" t="n">
        <v>1000622</v>
      </c>
      <c r="B624" t="n">
        <v>1</v>
      </c>
      <c r="C624" t="n">
        <v>622</v>
      </c>
      <c r="D624" t="n">
        <v>-0.592</v>
      </c>
      <c r="E624" t="n">
        <v>15.9427</v>
      </c>
      <c r="F624" t="n">
        <v>0.07828</v>
      </c>
    </row>
    <row r="625">
      <c r="A625" t="n">
        <v>1000623</v>
      </c>
      <c r="B625" t="n">
        <v>1</v>
      </c>
      <c r="C625" t="n">
        <v>623</v>
      </c>
      <c r="D625" t="n">
        <v>-0.5925</v>
      </c>
      <c r="E625" t="n">
        <v>15.9403</v>
      </c>
      <c r="F625" t="n">
        <v>0.07827000000000001</v>
      </c>
    </row>
    <row r="626">
      <c r="A626" t="n">
        <v>1000624</v>
      </c>
      <c r="B626" t="n">
        <v>1</v>
      </c>
      <c r="C626" t="n">
        <v>624</v>
      </c>
      <c r="D626" t="n">
        <v>-0.5931</v>
      </c>
      <c r="E626" t="n">
        <v>15.938</v>
      </c>
      <c r="F626" t="n">
        <v>0.07827000000000001</v>
      </c>
    </row>
    <row r="627">
      <c r="A627" t="n">
        <v>1000625</v>
      </c>
      <c r="B627" t="n">
        <v>1</v>
      </c>
      <c r="C627" t="n">
        <v>625</v>
      </c>
      <c r="D627" t="n">
        <v>-0.5936</v>
      </c>
      <c r="E627" t="n">
        <v>15.9357</v>
      </c>
      <c r="F627" t="n">
        <v>0.07826</v>
      </c>
    </row>
    <row r="628">
      <c r="A628" t="n">
        <v>1000626</v>
      </c>
      <c r="B628" t="n">
        <v>1</v>
      </c>
      <c r="C628" t="n">
        <v>626</v>
      </c>
      <c r="D628" t="n">
        <v>-0.5942</v>
      </c>
      <c r="E628" t="n">
        <v>15.9334</v>
      </c>
      <c r="F628" t="n">
        <v>0.07826</v>
      </c>
    </row>
    <row r="629">
      <c r="A629" t="n">
        <v>1000627</v>
      </c>
      <c r="B629" t="n">
        <v>1</v>
      </c>
      <c r="C629" t="n">
        <v>627</v>
      </c>
      <c r="D629" t="n">
        <v>-0.5947</v>
      </c>
      <c r="E629" t="n">
        <v>15.9311</v>
      </c>
      <c r="F629" t="n">
        <v>0.07825</v>
      </c>
    </row>
    <row r="630">
      <c r="A630" t="n">
        <v>1000628</v>
      </c>
      <c r="B630" t="n">
        <v>1</v>
      </c>
      <c r="C630" t="n">
        <v>628</v>
      </c>
      <c r="D630" t="n">
        <v>-0.5953000000000001</v>
      </c>
      <c r="E630" t="n">
        <v>15.9288</v>
      </c>
      <c r="F630" t="n">
        <v>0.07825</v>
      </c>
    </row>
    <row r="631">
      <c r="A631" t="n">
        <v>1000629</v>
      </c>
      <c r="B631" t="n">
        <v>1</v>
      </c>
      <c r="C631" t="n">
        <v>629</v>
      </c>
      <c r="D631" t="n">
        <v>-0.5958</v>
      </c>
      <c r="E631" t="n">
        <v>15.9266</v>
      </c>
      <c r="F631" t="n">
        <v>0.07824</v>
      </c>
    </row>
    <row r="632">
      <c r="A632" t="n">
        <v>1000630</v>
      </c>
      <c r="B632" t="n">
        <v>1</v>
      </c>
      <c r="C632" t="n">
        <v>630</v>
      </c>
      <c r="D632" t="n">
        <v>-0.5964</v>
      </c>
      <c r="E632" t="n">
        <v>15.9243</v>
      </c>
      <c r="F632" t="n">
        <v>0.07824</v>
      </c>
    </row>
    <row r="633">
      <c r="A633" t="n">
        <v>1000631</v>
      </c>
      <c r="B633" t="n">
        <v>1</v>
      </c>
      <c r="C633" t="n">
        <v>631</v>
      </c>
      <c r="D633" t="n">
        <v>-0.5969</v>
      </c>
      <c r="E633" t="n">
        <v>15.922</v>
      </c>
      <c r="F633" t="n">
        <v>0.07822999999999999</v>
      </c>
    </row>
    <row r="634">
      <c r="A634" t="n">
        <v>1000632</v>
      </c>
      <c r="B634" t="n">
        <v>1</v>
      </c>
      <c r="C634" t="n">
        <v>632</v>
      </c>
      <c r="D634" t="n">
        <v>-0.5975</v>
      </c>
      <c r="E634" t="n">
        <v>15.9198</v>
      </c>
      <c r="F634" t="n">
        <v>0.07822</v>
      </c>
    </row>
    <row r="635">
      <c r="A635" t="n">
        <v>1000633</v>
      </c>
      <c r="B635" t="n">
        <v>1</v>
      </c>
      <c r="C635" t="n">
        <v>633</v>
      </c>
      <c r="D635" t="n">
        <v>-0.598</v>
      </c>
      <c r="E635" t="n">
        <v>15.9176</v>
      </c>
      <c r="F635" t="n">
        <v>0.07822</v>
      </c>
    </row>
    <row r="636">
      <c r="A636" t="n">
        <v>1000634</v>
      </c>
      <c r="B636" t="n">
        <v>1</v>
      </c>
      <c r="C636" t="n">
        <v>634</v>
      </c>
      <c r="D636" t="n">
        <v>-0.5986</v>
      </c>
      <c r="E636" t="n">
        <v>15.9153</v>
      </c>
      <c r="F636" t="n">
        <v>0.07821</v>
      </c>
    </row>
    <row r="637">
      <c r="A637" t="n">
        <v>1000635</v>
      </c>
      <c r="B637" t="n">
        <v>1</v>
      </c>
      <c r="C637" t="n">
        <v>635</v>
      </c>
      <c r="D637" t="n">
        <v>-0.5991</v>
      </c>
      <c r="E637" t="n">
        <v>15.9131</v>
      </c>
      <c r="F637" t="n">
        <v>0.07821</v>
      </c>
    </row>
    <row r="638">
      <c r="A638" t="n">
        <v>1000636</v>
      </c>
      <c r="B638" t="n">
        <v>1</v>
      </c>
      <c r="C638" t="n">
        <v>636</v>
      </c>
      <c r="D638" t="n">
        <v>-0.5996</v>
      </c>
      <c r="E638" t="n">
        <v>15.9109</v>
      </c>
      <c r="F638" t="n">
        <v>0.07820000000000001</v>
      </c>
    </row>
    <row r="639">
      <c r="A639" t="n">
        <v>1000637</v>
      </c>
      <c r="B639" t="n">
        <v>1</v>
      </c>
      <c r="C639" t="n">
        <v>637</v>
      </c>
      <c r="D639" t="n">
        <v>-0.6002</v>
      </c>
      <c r="E639" t="n">
        <v>15.9087</v>
      </c>
      <c r="F639" t="n">
        <v>0.07820000000000001</v>
      </c>
    </row>
    <row r="640">
      <c r="A640" t="n">
        <v>1000638</v>
      </c>
      <c r="B640" t="n">
        <v>1</v>
      </c>
      <c r="C640" t="n">
        <v>638</v>
      </c>
      <c r="D640" t="n">
        <v>-0.6007</v>
      </c>
      <c r="E640" t="n">
        <v>15.9065</v>
      </c>
      <c r="F640" t="n">
        <v>0.07819</v>
      </c>
    </row>
    <row r="641">
      <c r="A641" t="n">
        <v>1000639</v>
      </c>
      <c r="B641" t="n">
        <v>1</v>
      </c>
      <c r="C641" t="n">
        <v>639</v>
      </c>
      <c r="D641" t="n">
        <v>-0.6012999999999999</v>
      </c>
      <c r="E641" t="n">
        <v>15.9043</v>
      </c>
      <c r="F641" t="n">
        <v>0.07818</v>
      </c>
    </row>
    <row r="642">
      <c r="A642" t="n">
        <v>1000640</v>
      </c>
      <c r="B642" t="n">
        <v>1</v>
      </c>
      <c r="C642" t="n">
        <v>640</v>
      </c>
      <c r="D642" t="n">
        <v>-0.6018</v>
      </c>
      <c r="E642" t="n">
        <v>15.9021</v>
      </c>
      <c r="F642" t="n">
        <v>0.07818</v>
      </c>
    </row>
    <row r="643">
      <c r="A643" t="n">
        <v>1000641</v>
      </c>
      <c r="B643" t="n">
        <v>1</v>
      </c>
      <c r="C643" t="n">
        <v>641</v>
      </c>
      <c r="D643" t="n">
        <v>-0.6022999999999999</v>
      </c>
      <c r="E643" t="n">
        <v>15.9</v>
      </c>
      <c r="F643" t="n">
        <v>0.07817</v>
      </c>
    </row>
    <row r="644">
      <c r="A644" t="n">
        <v>1000642</v>
      </c>
      <c r="B644" t="n">
        <v>1</v>
      </c>
      <c r="C644" t="n">
        <v>642</v>
      </c>
      <c r="D644" t="n">
        <v>-0.6029</v>
      </c>
      <c r="E644" t="n">
        <v>15.8978</v>
      </c>
      <c r="F644" t="n">
        <v>0.07817</v>
      </c>
    </row>
    <row r="645">
      <c r="A645" t="n">
        <v>1000643</v>
      </c>
      <c r="B645" t="n">
        <v>1</v>
      </c>
      <c r="C645" t="n">
        <v>643</v>
      </c>
      <c r="D645" t="n">
        <v>-0.6034</v>
      </c>
      <c r="E645" t="n">
        <v>15.8956</v>
      </c>
      <c r="F645" t="n">
        <v>0.07815999999999999</v>
      </c>
    </row>
    <row r="646">
      <c r="A646" t="n">
        <v>1000644</v>
      </c>
      <c r="B646" t="n">
        <v>1</v>
      </c>
      <c r="C646" t="n">
        <v>644</v>
      </c>
      <c r="D646" t="n">
        <v>-0.604</v>
      </c>
      <c r="E646" t="n">
        <v>15.8935</v>
      </c>
      <c r="F646" t="n">
        <v>0.07815999999999999</v>
      </c>
    </row>
    <row r="647">
      <c r="A647" t="n">
        <v>1000645</v>
      </c>
      <c r="B647" t="n">
        <v>1</v>
      </c>
      <c r="C647" t="n">
        <v>645</v>
      </c>
      <c r="D647" t="n">
        <v>-0.6045</v>
      </c>
      <c r="E647" t="n">
        <v>15.8913</v>
      </c>
      <c r="F647" t="n">
        <v>0.07815</v>
      </c>
    </row>
    <row r="648">
      <c r="A648" t="n">
        <v>1000646</v>
      </c>
      <c r="B648" t="n">
        <v>1</v>
      </c>
      <c r="C648" t="n">
        <v>646</v>
      </c>
      <c r="D648" t="n">
        <v>-0.605</v>
      </c>
      <c r="E648" t="n">
        <v>15.8892</v>
      </c>
      <c r="F648" t="n">
        <v>0.07815</v>
      </c>
    </row>
    <row r="649">
      <c r="A649" t="n">
        <v>1000647</v>
      </c>
      <c r="B649" t="n">
        <v>1</v>
      </c>
      <c r="C649" t="n">
        <v>647</v>
      </c>
      <c r="D649" t="n">
        <v>-0.6056</v>
      </c>
      <c r="E649" t="n">
        <v>15.8871</v>
      </c>
      <c r="F649" t="n">
        <v>0.07814</v>
      </c>
    </row>
    <row r="650">
      <c r="A650" t="n">
        <v>1000648</v>
      </c>
      <c r="B650" t="n">
        <v>1</v>
      </c>
      <c r="C650" t="n">
        <v>648</v>
      </c>
      <c r="D650" t="n">
        <v>-0.6061</v>
      </c>
      <c r="E650" t="n">
        <v>15.885</v>
      </c>
      <c r="F650" t="n">
        <v>0.07813000000000001</v>
      </c>
    </row>
    <row r="651">
      <c r="A651" t="n">
        <v>1000649</v>
      </c>
      <c r="B651" t="n">
        <v>1</v>
      </c>
      <c r="C651" t="n">
        <v>649</v>
      </c>
      <c r="D651" t="n">
        <v>-0.6066</v>
      </c>
      <c r="E651" t="n">
        <v>15.8829</v>
      </c>
      <c r="F651" t="n">
        <v>0.07813000000000001</v>
      </c>
    </row>
    <row r="652">
      <c r="A652" t="n">
        <v>1000650</v>
      </c>
      <c r="B652" t="n">
        <v>1</v>
      </c>
      <c r="C652" t="n">
        <v>650</v>
      </c>
      <c r="D652" t="n">
        <v>-0.6072</v>
      </c>
      <c r="E652" t="n">
        <v>15.8808</v>
      </c>
      <c r="F652" t="n">
        <v>0.07811999999999999</v>
      </c>
    </row>
    <row r="653">
      <c r="A653" t="n">
        <v>1000651</v>
      </c>
      <c r="B653" t="n">
        <v>1</v>
      </c>
      <c r="C653" t="n">
        <v>651</v>
      </c>
      <c r="D653" t="n">
        <v>-0.6077</v>
      </c>
      <c r="E653" t="n">
        <v>15.8787</v>
      </c>
      <c r="F653" t="n">
        <v>0.07811999999999999</v>
      </c>
    </row>
    <row r="654">
      <c r="A654" t="n">
        <v>1000652</v>
      </c>
      <c r="B654" t="n">
        <v>1</v>
      </c>
      <c r="C654" t="n">
        <v>652</v>
      </c>
      <c r="D654" t="n">
        <v>-0.6082</v>
      </c>
      <c r="E654" t="n">
        <v>15.8766</v>
      </c>
      <c r="F654" t="n">
        <v>0.07811</v>
      </c>
    </row>
    <row r="655">
      <c r="A655" t="n">
        <v>1000653</v>
      </c>
      <c r="B655" t="n">
        <v>1</v>
      </c>
      <c r="C655" t="n">
        <v>653</v>
      </c>
      <c r="D655" t="n">
        <v>-0.6087</v>
      </c>
      <c r="E655" t="n">
        <v>15.8745</v>
      </c>
      <c r="F655" t="n">
        <v>0.07811</v>
      </c>
    </row>
    <row r="656">
      <c r="A656" t="n">
        <v>1000654</v>
      </c>
      <c r="B656" t="n">
        <v>1</v>
      </c>
      <c r="C656" t="n">
        <v>654</v>
      </c>
      <c r="D656" t="n">
        <v>-0.6093</v>
      </c>
      <c r="E656" t="n">
        <v>15.8725</v>
      </c>
      <c r="F656" t="n">
        <v>0.0781</v>
      </c>
    </row>
    <row r="657">
      <c r="A657" t="n">
        <v>1000655</v>
      </c>
      <c r="B657" t="n">
        <v>1</v>
      </c>
      <c r="C657" t="n">
        <v>655</v>
      </c>
      <c r="D657" t="n">
        <v>-0.6098</v>
      </c>
      <c r="E657" t="n">
        <v>15.8704</v>
      </c>
      <c r="F657" t="n">
        <v>0.0781</v>
      </c>
    </row>
    <row r="658">
      <c r="A658" t="n">
        <v>1000656</v>
      </c>
      <c r="B658" t="n">
        <v>1</v>
      </c>
      <c r="C658" t="n">
        <v>656</v>
      </c>
      <c r="D658" t="n">
        <v>-0.6103</v>
      </c>
      <c r="E658" t="n">
        <v>15.8684</v>
      </c>
      <c r="F658" t="n">
        <v>0.07809000000000001</v>
      </c>
    </row>
    <row r="659">
      <c r="A659" t="n">
        <v>1000657</v>
      </c>
      <c r="B659" t="n">
        <v>1</v>
      </c>
      <c r="C659" t="n">
        <v>657</v>
      </c>
      <c r="D659" t="n">
        <v>-0.6109</v>
      </c>
      <c r="E659" t="n">
        <v>15.8663</v>
      </c>
      <c r="F659" t="n">
        <v>0.07809000000000001</v>
      </c>
    </row>
    <row r="660">
      <c r="A660" t="n">
        <v>1000658</v>
      </c>
      <c r="B660" t="n">
        <v>1</v>
      </c>
      <c r="C660" t="n">
        <v>658</v>
      </c>
      <c r="D660" t="n">
        <v>-0.6114000000000001</v>
      </c>
      <c r="E660" t="n">
        <v>15.8643</v>
      </c>
      <c r="F660" t="n">
        <v>0.07808</v>
      </c>
    </row>
    <row r="661">
      <c r="A661" t="n">
        <v>1000659</v>
      </c>
      <c r="B661" t="n">
        <v>1</v>
      </c>
      <c r="C661" t="n">
        <v>659</v>
      </c>
      <c r="D661" t="n">
        <v>-0.6119</v>
      </c>
      <c r="E661" t="n">
        <v>15.8623</v>
      </c>
      <c r="F661" t="n">
        <v>0.07807</v>
      </c>
    </row>
    <row r="662">
      <c r="A662" t="n">
        <v>1000660</v>
      </c>
      <c r="B662" t="n">
        <v>1</v>
      </c>
      <c r="C662" t="n">
        <v>660</v>
      </c>
      <c r="D662" t="n">
        <v>-0.6124000000000001</v>
      </c>
      <c r="E662" t="n">
        <v>15.8602</v>
      </c>
      <c r="F662" t="n">
        <v>0.07807</v>
      </c>
    </row>
    <row r="663">
      <c r="A663" t="n">
        <v>1000661</v>
      </c>
      <c r="B663" t="n">
        <v>1</v>
      </c>
      <c r="C663" t="n">
        <v>661</v>
      </c>
      <c r="D663" t="n">
        <v>-0.613</v>
      </c>
      <c r="E663" t="n">
        <v>15.8582</v>
      </c>
      <c r="F663" t="n">
        <v>0.07806</v>
      </c>
    </row>
    <row r="664">
      <c r="A664" t="n">
        <v>1000662</v>
      </c>
      <c r="B664" t="n">
        <v>1</v>
      </c>
      <c r="C664" t="n">
        <v>662</v>
      </c>
      <c r="D664" t="n">
        <v>-0.6135</v>
      </c>
      <c r="E664" t="n">
        <v>15.8562</v>
      </c>
      <c r="F664" t="n">
        <v>0.07806</v>
      </c>
    </row>
    <row r="665">
      <c r="A665" t="n">
        <v>1000663</v>
      </c>
      <c r="B665" t="n">
        <v>1</v>
      </c>
      <c r="C665" t="n">
        <v>663</v>
      </c>
      <c r="D665" t="n">
        <v>-0.614</v>
      </c>
      <c r="E665" t="n">
        <v>15.8542</v>
      </c>
      <c r="F665" t="n">
        <v>0.07804999999999999</v>
      </c>
    </row>
    <row r="666">
      <c r="A666" t="n">
        <v>1000664</v>
      </c>
      <c r="B666" t="n">
        <v>1</v>
      </c>
      <c r="C666" t="n">
        <v>664</v>
      </c>
      <c r="D666" t="n">
        <v>-0.6145</v>
      </c>
      <c r="E666" t="n">
        <v>15.8522</v>
      </c>
      <c r="F666" t="n">
        <v>0.07804999999999999</v>
      </c>
    </row>
    <row r="667">
      <c r="A667" t="n">
        <v>1000665</v>
      </c>
      <c r="B667" t="n">
        <v>1</v>
      </c>
      <c r="C667" t="n">
        <v>665</v>
      </c>
      <c r="D667" t="n">
        <v>-0.615</v>
      </c>
      <c r="E667" t="n">
        <v>15.8503</v>
      </c>
      <c r="F667" t="n">
        <v>0.07804</v>
      </c>
    </row>
    <row r="668">
      <c r="A668" t="n">
        <v>1000666</v>
      </c>
      <c r="B668" t="n">
        <v>1</v>
      </c>
      <c r="C668" t="n">
        <v>666</v>
      </c>
      <c r="D668" t="n">
        <v>-0.6156</v>
      </c>
      <c r="E668" t="n">
        <v>15.8483</v>
      </c>
      <c r="F668" t="n">
        <v>0.07804</v>
      </c>
    </row>
    <row r="669">
      <c r="A669" t="n">
        <v>1000667</v>
      </c>
      <c r="B669" t="n">
        <v>1</v>
      </c>
      <c r="C669" t="n">
        <v>667</v>
      </c>
      <c r="D669" t="n">
        <v>-0.6161</v>
      </c>
      <c r="E669" t="n">
        <v>15.8463</v>
      </c>
      <c r="F669" t="n">
        <v>0.07803</v>
      </c>
    </row>
    <row r="670">
      <c r="A670" t="n">
        <v>1000668</v>
      </c>
      <c r="B670" t="n">
        <v>1</v>
      </c>
      <c r="C670" t="n">
        <v>668</v>
      </c>
      <c r="D670" t="n">
        <v>-0.6166</v>
      </c>
      <c r="E670" t="n">
        <v>15.8444</v>
      </c>
      <c r="F670" t="n">
        <v>0.07803</v>
      </c>
    </row>
    <row r="671">
      <c r="A671" t="n">
        <v>1000669</v>
      </c>
      <c r="B671" t="n">
        <v>1</v>
      </c>
      <c r="C671" t="n">
        <v>669</v>
      </c>
      <c r="D671" t="n">
        <v>-0.6171</v>
      </c>
      <c r="E671" t="n">
        <v>15.8424</v>
      </c>
      <c r="F671" t="n">
        <v>0.07802000000000001</v>
      </c>
    </row>
    <row r="672">
      <c r="A672" t="n">
        <v>1000670</v>
      </c>
      <c r="B672" t="n">
        <v>1</v>
      </c>
      <c r="C672" t="n">
        <v>670</v>
      </c>
      <c r="D672" t="n">
        <v>-0.6176</v>
      </c>
      <c r="E672" t="n">
        <v>15.8405</v>
      </c>
      <c r="F672" t="n">
        <v>0.07802000000000001</v>
      </c>
    </row>
    <row r="673">
      <c r="A673" t="n">
        <v>1000671</v>
      </c>
      <c r="B673" t="n">
        <v>1</v>
      </c>
      <c r="C673" t="n">
        <v>671</v>
      </c>
      <c r="D673" t="n">
        <v>-0.6181</v>
      </c>
      <c r="E673" t="n">
        <v>15.8385</v>
      </c>
      <c r="F673" t="n">
        <v>0.07801</v>
      </c>
    </row>
    <row r="674">
      <c r="A674" t="n">
        <v>1000672</v>
      </c>
      <c r="B674" t="n">
        <v>1</v>
      </c>
      <c r="C674" t="n">
        <v>672</v>
      </c>
      <c r="D674" t="n">
        <v>-0.6187</v>
      </c>
      <c r="E674" t="n">
        <v>15.8366</v>
      </c>
      <c r="F674" t="n">
        <v>0.078</v>
      </c>
    </row>
    <row r="675">
      <c r="A675" t="n">
        <v>1000673</v>
      </c>
      <c r="B675" t="n">
        <v>1</v>
      </c>
      <c r="C675" t="n">
        <v>673</v>
      </c>
      <c r="D675" t="n">
        <v>-0.6192</v>
      </c>
      <c r="E675" t="n">
        <v>15.8347</v>
      </c>
      <c r="F675" t="n">
        <v>0.078</v>
      </c>
    </row>
    <row r="676">
      <c r="A676" t="n">
        <v>1000674</v>
      </c>
      <c r="B676" t="n">
        <v>1</v>
      </c>
      <c r="C676" t="n">
        <v>674</v>
      </c>
      <c r="D676" t="n">
        <v>-0.6197</v>
      </c>
      <c r="E676" t="n">
        <v>15.8328</v>
      </c>
      <c r="F676" t="n">
        <v>0.07799</v>
      </c>
    </row>
    <row r="677">
      <c r="A677" t="n">
        <v>1000675</v>
      </c>
      <c r="B677" t="n">
        <v>1</v>
      </c>
      <c r="C677" t="n">
        <v>675</v>
      </c>
      <c r="D677" t="n">
        <v>-0.6202</v>
      </c>
      <c r="E677" t="n">
        <v>15.8309</v>
      </c>
      <c r="F677" t="n">
        <v>0.07799</v>
      </c>
    </row>
    <row r="678">
      <c r="A678" t="n">
        <v>1000676</v>
      </c>
      <c r="B678" t="n">
        <v>1</v>
      </c>
      <c r="C678" t="n">
        <v>676</v>
      </c>
      <c r="D678" t="n">
        <v>-0.6207</v>
      </c>
      <c r="E678" t="n">
        <v>15.829</v>
      </c>
      <c r="F678" t="n">
        <v>0.07797999999999999</v>
      </c>
    </row>
    <row r="679">
      <c r="A679" t="n">
        <v>1000677</v>
      </c>
      <c r="B679" t="n">
        <v>1</v>
      </c>
      <c r="C679" t="n">
        <v>677</v>
      </c>
      <c r="D679" t="n">
        <v>-0.6212</v>
      </c>
      <c r="E679" t="n">
        <v>15.8271</v>
      </c>
      <c r="F679" t="n">
        <v>0.07797999999999999</v>
      </c>
    </row>
    <row r="680">
      <c r="A680" t="n">
        <v>1000678</v>
      </c>
      <c r="B680" t="n">
        <v>1</v>
      </c>
      <c r="C680" t="n">
        <v>678</v>
      </c>
      <c r="D680" t="n">
        <v>-0.6217</v>
      </c>
      <c r="E680" t="n">
        <v>15.8252</v>
      </c>
      <c r="F680" t="n">
        <v>0.07797</v>
      </c>
    </row>
    <row r="681">
      <c r="A681" t="n">
        <v>1000679</v>
      </c>
      <c r="B681" t="n">
        <v>1</v>
      </c>
      <c r="C681" t="n">
        <v>679</v>
      </c>
      <c r="D681" t="n">
        <v>-0.6222</v>
      </c>
      <c r="E681" t="n">
        <v>15.8233</v>
      </c>
      <c r="F681" t="n">
        <v>0.07797</v>
      </c>
    </row>
    <row r="682">
      <c r="A682" t="n">
        <v>1000680</v>
      </c>
      <c r="B682" t="n">
        <v>1</v>
      </c>
      <c r="C682" t="n">
        <v>680</v>
      </c>
      <c r="D682" t="n">
        <v>-0.6227</v>
      </c>
      <c r="E682" t="n">
        <v>15.8214</v>
      </c>
      <c r="F682" t="n">
        <v>0.07796</v>
      </c>
    </row>
    <row r="683">
      <c r="A683" t="n">
        <v>1000681</v>
      </c>
      <c r="B683" t="n">
        <v>1</v>
      </c>
      <c r="C683" t="n">
        <v>681</v>
      </c>
      <c r="D683" t="n">
        <v>-0.6233</v>
      </c>
      <c r="E683" t="n">
        <v>15.8196</v>
      </c>
      <c r="F683" t="n">
        <v>0.07796</v>
      </c>
    </row>
    <row r="684">
      <c r="A684" t="n">
        <v>1000682</v>
      </c>
      <c r="B684" t="n">
        <v>1</v>
      </c>
      <c r="C684" t="n">
        <v>682</v>
      </c>
      <c r="D684" t="n">
        <v>-0.6238</v>
      </c>
      <c r="E684" t="n">
        <v>15.8177</v>
      </c>
      <c r="F684" t="n">
        <v>0.07795000000000001</v>
      </c>
    </row>
    <row r="685">
      <c r="A685" t="n">
        <v>1000683</v>
      </c>
      <c r="B685" t="n">
        <v>1</v>
      </c>
      <c r="C685" t="n">
        <v>683</v>
      </c>
      <c r="D685" t="n">
        <v>-0.6243</v>
      </c>
      <c r="E685" t="n">
        <v>15.8158</v>
      </c>
      <c r="F685" t="n">
        <v>0.07795000000000001</v>
      </c>
    </row>
    <row r="686">
      <c r="A686" t="n">
        <v>1000684</v>
      </c>
      <c r="B686" t="n">
        <v>1</v>
      </c>
      <c r="C686" t="n">
        <v>684</v>
      </c>
      <c r="D686" t="n">
        <v>-0.6248</v>
      </c>
      <c r="E686" t="n">
        <v>15.814</v>
      </c>
      <c r="F686" t="n">
        <v>0.07794</v>
      </c>
    </row>
    <row r="687">
      <c r="A687" t="n">
        <v>1000685</v>
      </c>
      <c r="B687" t="n">
        <v>1</v>
      </c>
      <c r="C687" t="n">
        <v>685</v>
      </c>
      <c r="D687" t="n">
        <v>-0.6253</v>
      </c>
      <c r="E687" t="n">
        <v>15.8122</v>
      </c>
      <c r="F687" t="n">
        <v>0.07794</v>
      </c>
    </row>
    <row r="688">
      <c r="A688" t="n">
        <v>1000686</v>
      </c>
      <c r="B688" t="n">
        <v>1</v>
      </c>
      <c r="C688" t="n">
        <v>686</v>
      </c>
      <c r="D688" t="n">
        <v>-0.6258</v>
      </c>
      <c r="E688" t="n">
        <v>15.8103</v>
      </c>
      <c r="F688" t="n">
        <v>0.07793</v>
      </c>
    </row>
    <row r="689">
      <c r="A689" t="n">
        <v>1000687</v>
      </c>
      <c r="B689" t="n">
        <v>1</v>
      </c>
      <c r="C689" t="n">
        <v>687</v>
      </c>
      <c r="D689" t="n">
        <v>-0.6263</v>
      </c>
      <c r="E689" t="n">
        <v>15.8085</v>
      </c>
      <c r="F689" t="n">
        <v>0.07792</v>
      </c>
    </row>
    <row r="690">
      <c r="A690" t="n">
        <v>1000688</v>
      </c>
      <c r="B690" t="n">
        <v>1</v>
      </c>
      <c r="C690" t="n">
        <v>688</v>
      </c>
      <c r="D690" t="n">
        <v>-0.6268</v>
      </c>
      <c r="E690" t="n">
        <v>15.8067</v>
      </c>
      <c r="F690" t="n">
        <v>0.07792</v>
      </c>
    </row>
    <row r="691">
      <c r="A691" t="n">
        <v>1000689</v>
      </c>
      <c r="B691" t="n">
        <v>1</v>
      </c>
      <c r="C691" t="n">
        <v>689</v>
      </c>
      <c r="D691" t="n">
        <v>-0.6273</v>
      </c>
      <c r="E691" t="n">
        <v>15.8049</v>
      </c>
      <c r="F691" t="n">
        <v>0.07790999999999999</v>
      </c>
    </row>
    <row r="692">
      <c r="A692" t="n">
        <v>1000690</v>
      </c>
      <c r="B692" t="n">
        <v>1</v>
      </c>
      <c r="C692" t="n">
        <v>690</v>
      </c>
      <c r="D692" t="n">
        <v>-0.6278</v>
      </c>
      <c r="E692" t="n">
        <v>15.8031</v>
      </c>
      <c r="F692" t="n">
        <v>0.07790999999999999</v>
      </c>
    </row>
    <row r="693">
      <c r="A693" t="n">
        <v>1000691</v>
      </c>
      <c r="B693" t="n">
        <v>1</v>
      </c>
      <c r="C693" t="n">
        <v>691</v>
      </c>
      <c r="D693" t="n">
        <v>-0.6283</v>
      </c>
      <c r="E693" t="n">
        <v>15.8013</v>
      </c>
      <c r="F693" t="n">
        <v>0.0779</v>
      </c>
    </row>
    <row r="694">
      <c r="A694" t="n">
        <v>1000692</v>
      </c>
      <c r="B694" t="n">
        <v>1</v>
      </c>
      <c r="C694" t="n">
        <v>692</v>
      </c>
      <c r="D694" t="n">
        <v>-0.6288</v>
      </c>
      <c r="E694" t="n">
        <v>15.7995</v>
      </c>
      <c r="F694" t="n">
        <v>0.0779</v>
      </c>
    </row>
    <row r="695">
      <c r="A695" t="n">
        <v>1000693</v>
      </c>
      <c r="B695" t="n">
        <v>1</v>
      </c>
      <c r="C695" t="n">
        <v>693</v>
      </c>
      <c r="D695" t="n">
        <v>-0.6293</v>
      </c>
      <c r="E695" t="n">
        <v>15.7977</v>
      </c>
      <c r="F695" t="n">
        <v>0.07789</v>
      </c>
    </row>
    <row r="696">
      <c r="A696" t="n">
        <v>1000694</v>
      </c>
      <c r="B696" t="n">
        <v>1</v>
      </c>
      <c r="C696" t="n">
        <v>694</v>
      </c>
      <c r="D696" t="n">
        <v>-0.6298</v>
      </c>
      <c r="E696" t="n">
        <v>15.7959</v>
      </c>
      <c r="F696" t="n">
        <v>0.07789</v>
      </c>
    </row>
    <row r="697">
      <c r="A697" t="n">
        <v>1000695</v>
      </c>
      <c r="B697" t="n">
        <v>1</v>
      </c>
      <c r="C697" t="n">
        <v>695</v>
      </c>
      <c r="D697" t="n">
        <v>-0.6303</v>
      </c>
      <c r="E697" t="n">
        <v>15.7941</v>
      </c>
      <c r="F697" t="n">
        <v>0.07788</v>
      </c>
    </row>
    <row r="698">
      <c r="A698" t="n">
        <v>1000696</v>
      </c>
      <c r="B698" t="n">
        <v>1</v>
      </c>
      <c r="C698" t="n">
        <v>696</v>
      </c>
      <c r="D698" t="n">
        <v>-0.6308</v>
      </c>
      <c r="E698" t="n">
        <v>15.7924</v>
      </c>
      <c r="F698" t="n">
        <v>0.07788</v>
      </c>
    </row>
    <row r="699">
      <c r="A699" t="n">
        <v>1000697</v>
      </c>
      <c r="B699" t="n">
        <v>1</v>
      </c>
      <c r="C699" t="n">
        <v>697</v>
      </c>
      <c r="D699" t="n">
        <v>-0.6313</v>
      </c>
      <c r="E699" t="n">
        <v>15.7906</v>
      </c>
      <c r="F699" t="n">
        <v>0.07786999999999999</v>
      </c>
    </row>
    <row r="700">
      <c r="A700" t="n">
        <v>1000698</v>
      </c>
      <c r="B700" t="n">
        <v>1</v>
      </c>
      <c r="C700" t="n">
        <v>698</v>
      </c>
      <c r="D700" t="n">
        <v>-0.6318</v>
      </c>
      <c r="E700" t="n">
        <v>15.7888</v>
      </c>
      <c r="F700" t="n">
        <v>0.07786999999999999</v>
      </c>
    </row>
    <row r="701">
      <c r="A701" t="n">
        <v>1000699</v>
      </c>
      <c r="B701" t="n">
        <v>1</v>
      </c>
      <c r="C701" t="n">
        <v>699</v>
      </c>
      <c r="D701" t="n">
        <v>-0.6323</v>
      </c>
      <c r="E701" t="n">
        <v>15.7871</v>
      </c>
      <c r="F701" t="n">
        <v>0.07786</v>
      </c>
    </row>
    <row r="702">
      <c r="A702" t="n">
        <v>1000700</v>
      </c>
      <c r="B702" t="n">
        <v>1</v>
      </c>
      <c r="C702" t="n">
        <v>700</v>
      </c>
      <c r="D702" t="n">
        <v>-0.6328</v>
      </c>
      <c r="E702" t="n">
        <v>15.7853</v>
      </c>
      <c r="F702" t="n">
        <v>0.07786</v>
      </c>
    </row>
    <row r="703">
      <c r="A703" t="n">
        <v>1000701</v>
      </c>
      <c r="B703" t="n">
        <v>1</v>
      </c>
      <c r="C703" t="n">
        <v>701</v>
      </c>
      <c r="D703" t="n">
        <v>-0.6333</v>
      </c>
      <c r="E703" t="n">
        <v>15.7836</v>
      </c>
      <c r="F703" t="n">
        <v>0.07785</v>
      </c>
    </row>
    <row r="704">
      <c r="A704" t="n">
        <v>1000702</v>
      </c>
      <c r="B704" t="n">
        <v>1</v>
      </c>
      <c r="C704" t="n">
        <v>702</v>
      </c>
      <c r="D704" t="n">
        <v>-0.6338</v>
      </c>
      <c r="E704" t="n">
        <v>15.7819</v>
      </c>
      <c r="F704" t="n">
        <v>0.07785</v>
      </c>
    </row>
    <row r="705">
      <c r="A705" t="n">
        <v>1000703</v>
      </c>
      <c r="B705" t="n">
        <v>1</v>
      </c>
      <c r="C705" t="n">
        <v>703</v>
      </c>
      <c r="D705" t="n">
        <v>-0.6343</v>
      </c>
      <c r="E705" t="n">
        <v>15.7802</v>
      </c>
      <c r="F705" t="n">
        <v>0.07784000000000001</v>
      </c>
    </row>
    <row r="706">
      <c r="A706" t="n">
        <v>1000704</v>
      </c>
      <c r="B706" t="n">
        <v>1</v>
      </c>
      <c r="C706" t="n">
        <v>704</v>
      </c>
      <c r="D706" t="n">
        <v>-0.6348</v>
      </c>
      <c r="E706" t="n">
        <v>15.7784</v>
      </c>
      <c r="F706" t="n">
        <v>0.07784000000000001</v>
      </c>
    </row>
    <row r="707">
      <c r="A707" t="n">
        <v>1000705</v>
      </c>
      <c r="B707" t="n">
        <v>1</v>
      </c>
      <c r="C707" t="n">
        <v>705</v>
      </c>
      <c r="D707" t="n">
        <v>-0.6352</v>
      </c>
      <c r="E707" t="n">
        <v>15.7767</v>
      </c>
      <c r="F707" t="n">
        <v>0.07783</v>
      </c>
    </row>
    <row r="708">
      <c r="A708" t="n">
        <v>1000706</v>
      </c>
      <c r="B708" t="n">
        <v>1</v>
      </c>
      <c r="C708" t="n">
        <v>706</v>
      </c>
      <c r="D708" t="n">
        <v>-0.6357</v>
      </c>
      <c r="E708" t="n">
        <v>15.775</v>
      </c>
      <c r="F708" t="n">
        <v>0.07783</v>
      </c>
    </row>
    <row r="709">
      <c r="A709" t="n">
        <v>1000707</v>
      </c>
      <c r="B709" t="n">
        <v>1</v>
      </c>
      <c r="C709" t="n">
        <v>707</v>
      </c>
      <c r="D709" t="n">
        <v>-0.6362</v>
      </c>
      <c r="E709" t="n">
        <v>15.7733</v>
      </c>
      <c r="F709" t="n">
        <v>0.07782</v>
      </c>
    </row>
    <row r="710">
      <c r="A710" t="n">
        <v>1000708</v>
      </c>
      <c r="B710" t="n">
        <v>1</v>
      </c>
      <c r="C710" t="n">
        <v>708</v>
      </c>
      <c r="D710" t="n">
        <v>-0.6367</v>
      </c>
      <c r="E710" t="n">
        <v>15.7716</v>
      </c>
      <c r="F710" t="n">
        <v>0.07782</v>
      </c>
    </row>
    <row r="711">
      <c r="A711" t="n">
        <v>1000709</v>
      </c>
      <c r="B711" t="n">
        <v>1</v>
      </c>
      <c r="C711" t="n">
        <v>709</v>
      </c>
      <c r="D711" t="n">
        <v>-0.6372</v>
      </c>
      <c r="E711" t="n">
        <v>15.7699</v>
      </c>
      <c r="F711" t="n">
        <v>0.07781</v>
      </c>
    </row>
    <row r="712">
      <c r="A712" t="n">
        <v>1000710</v>
      </c>
      <c r="B712" t="n">
        <v>1</v>
      </c>
      <c r="C712" t="n">
        <v>710</v>
      </c>
      <c r="D712" t="n">
        <v>-0.6377</v>
      </c>
      <c r="E712" t="n">
        <v>15.7682</v>
      </c>
      <c r="F712" t="n">
        <v>0.07781</v>
      </c>
    </row>
    <row r="713">
      <c r="A713" t="n">
        <v>1000711</v>
      </c>
      <c r="B713" t="n">
        <v>1</v>
      </c>
      <c r="C713" t="n">
        <v>711</v>
      </c>
      <c r="D713" t="n">
        <v>-0.6382</v>
      </c>
      <c r="E713" t="n">
        <v>15.7665</v>
      </c>
      <c r="F713" t="n">
        <v>0.07779999999999999</v>
      </c>
    </row>
    <row r="714">
      <c r="A714" t="n">
        <v>1000712</v>
      </c>
      <c r="B714" t="n">
        <v>1</v>
      </c>
      <c r="C714" t="n">
        <v>712</v>
      </c>
      <c r="D714" t="n">
        <v>-0.6387</v>
      </c>
      <c r="E714" t="n">
        <v>15.7649</v>
      </c>
      <c r="F714" t="n">
        <v>0.07779999999999999</v>
      </c>
    </row>
    <row r="715">
      <c r="A715" t="n">
        <v>1000713</v>
      </c>
      <c r="B715" t="n">
        <v>1</v>
      </c>
      <c r="C715" t="n">
        <v>713</v>
      </c>
      <c r="D715" t="n">
        <v>-0.6392</v>
      </c>
      <c r="E715" t="n">
        <v>15.7632</v>
      </c>
      <c r="F715" t="n">
        <v>0.07779</v>
      </c>
    </row>
    <row r="716">
      <c r="A716" t="n">
        <v>1000714</v>
      </c>
      <c r="B716" t="n">
        <v>1</v>
      </c>
      <c r="C716" t="n">
        <v>714</v>
      </c>
      <c r="D716" t="n">
        <v>-0.6395999999999999</v>
      </c>
      <c r="E716" t="n">
        <v>15.7615</v>
      </c>
      <c r="F716" t="n">
        <v>0.07779</v>
      </c>
    </row>
    <row r="717">
      <c r="A717" t="n">
        <v>1000715</v>
      </c>
      <c r="B717" t="n">
        <v>1</v>
      </c>
      <c r="C717" t="n">
        <v>715</v>
      </c>
      <c r="D717" t="n">
        <v>-0.6401</v>
      </c>
      <c r="E717" t="n">
        <v>15.7599</v>
      </c>
      <c r="F717" t="n">
        <v>0.07778</v>
      </c>
    </row>
    <row r="718">
      <c r="A718" t="n">
        <v>1000716</v>
      </c>
      <c r="B718" t="n">
        <v>1</v>
      </c>
      <c r="C718" t="n">
        <v>716</v>
      </c>
      <c r="D718" t="n">
        <v>-0.6405999999999999</v>
      </c>
      <c r="E718" t="n">
        <v>15.7582</v>
      </c>
      <c r="F718" t="n">
        <v>0.07778</v>
      </c>
    </row>
    <row r="719">
      <c r="A719" t="n">
        <v>1000717</v>
      </c>
      <c r="B719" t="n">
        <v>1</v>
      </c>
      <c r="C719" t="n">
        <v>717</v>
      </c>
      <c r="D719" t="n">
        <v>-0.6411</v>
      </c>
      <c r="E719" t="n">
        <v>15.7566</v>
      </c>
      <c r="F719" t="n">
        <v>0.07777000000000001</v>
      </c>
    </row>
    <row r="720">
      <c r="A720" t="n">
        <v>1000718</v>
      </c>
      <c r="B720" t="n">
        <v>1</v>
      </c>
      <c r="C720" t="n">
        <v>718</v>
      </c>
      <c r="D720" t="n">
        <v>-0.6415999999999999</v>
      </c>
      <c r="E720" t="n">
        <v>15.7549</v>
      </c>
      <c r="F720" t="n">
        <v>0.07777000000000001</v>
      </c>
    </row>
    <row r="721">
      <c r="A721" t="n">
        <v>1000719</v>
      </c>
      <c r="B721" t="n">
        <v>1</v>
      </c>
      <c r="C721" t="n">
        <v>719</v>
      </c>
      <c r="D721" t="n">
        <v>-0.6421</v>
      </c>
      <c r="E721" t="n">
        <v>15.7533</v>
      </c>
      <c r="F721" t="n">
        <v>0.07776</v>
      </c>
    </row>
    <row r="722">
      <c r="A722" t="n">
        <v>1000720</v>
      </c>
      <c r="B722" t="n">
        <v>1</v>
      </c>
      <c r="C722" t="n">
        <v>720</v>
      </c>
      <c r="D722" t="n">
        <v>-0.6425</v>
      </c>
      <c r="E722" t="n">
        <v>15.7517</v>
      </c>
      <c r="F722" t="n">
        <v>0.07776</v>
      </c>
    </row>
    <row r="723">
      <c r="A723" t="n">
        <v>1000721</v>
      </c>
      <c r="B723" t="n">
        <v>1</v>
      </c>
      <c r="C723" t="n">
        <v>721</v>
      </c>
      <c r="D723" t="n">
        <v>-0.643</v>
      </c>
      <c r="E723" t="n">
        <v>15.75</v>
      </c>
      <c r="F723" t="n">
        <v>0.07775</v>
      </c>
    </row>
    <row r="724">
      <c r="A724" t="n">
        <v>1000722</v>
      </c>
      <c r="B724" t="n">
        <v>1</v>
      </c>
      <c r="C724" t="n">
        <v>722</v>
      </c>
      <c r="D724" t="n">
        <v>-0.6435</v>
      </c>
      <c r="E724" t="n">
        <v>15.7484</v>
      </c>
      <c r="F724" t="n">
        <v>0.07775</v>
      </c>
    </row>
    <row r="725">
      <c r="A725" t="n">
        <v>1000723</v>
      </c>
      <c r="B725" t="n">
        <v>1</v>
      </c>
      <c r="C725" t="n">
        <v>723</v>
      </c>
      <c r="D725" t="n">
        <v>-0.644</v>
      </c>
      <c r="E725" t="n">
        <v>15.7468</v>
      </c>
      <c r="F725" t="n">
        <v>0.07774</v>
      </c>
    </row>
    <row r="726">
      <c r="A726" t="n">
        <v>1000724</v>
      </c>
      <c r="B726" t="n">
        <v>1</v>
      </c>
      <c r="C726" t="n">
        <v>724</v>
      </c>
      <c r="D726" t="n">
        <v>-0.6445</v>
      </c>
      <c r="E726" t="n">
        <v>15.7452</v>
      </c>
      <c r="F726" t="n">
        <v>0.07774</v>
      </c>
    </row>
    <row r="727">
      <c r="A727" t="n">
        <v>1000725</v>
      </c>
      <c r="B727" t="n">
        <v>1</v>
      </c>
      <c r="C727" t="n">
        <v>725</v>
      </c>
      <c r="D727" t="n">
        <v>-0.6449</v>
      </c>
      <c r="E727" t="n">
        <v>15.7436</v>
      </c>
      <c r="F727" t="n">
        <v>0.07772999999999999</v>
      </c>
    </row>
    <row r="728">
      <c r="A728" t="n">
        <v>1000726</v>
      </c>
      <c r="B728" t="n">
        <v>1</v>
      </c>
      <c r="C728" t="n">
        <v>726</v>
      </c>
      <c r="D728" t="n">
        <v>-0.6454</v>
      </c>
      <c r="E728" t="n">
        <v>15.742</v>
      </c>
      <c r="F728" t="n">
        <v>0.07772999999999999</v>
      </c>
    </row>
    <row r="729">
      <c r="A729" t="n">
        <v>1000727</v>
      </c>
      <c r="B729" t="n">
        <v>1</v>
      </c>
      <c r="C729" t="n">
        <v>727</v>
      </c>
      <c r="D729" t="n">
        <v>-0.6459</v>
      </c>
      <c r="E729" t="n">
        <v>15.7404</v>
      </c>
      <c r="F729" t="n">
        <v>0.07772</v>
      </c>
    </row>
    <row r="730">
      <c r="A730" t="n">
        <v>1000728</v>
      </c>
      <c r="B730" t="n">
        <v>1</v>
      </c>
      <c r="C730" t="n">
        <v>728</v>
      </c>
      <c r="D730" t="n">
        <v>-0.6464</v>
      </c>
      <c r="E730" t="n">
        <v>15.7388</v>
      </c>
      <c r="F730" t="n">
        <v>0.07772</v>
      </c>
    </row>
    <row r="731">
      <c r="A731" t="n">
        <v>1000729</v>
      </c>
      <c r="B731" t="n">
        <v>1</v>
      </c>
      <c r="C731" t="n">
        <v>729</v>
      </c>
      <c r="D731" t="n">
        <v>-0.6469</v>
      </c>
      <c r="E731" t="n">
        <v>15.7372</v>
      </c>
      <c r="F731" t="n">
        <v>0.07771</v>
      </c>
    </row>
    <row r="732">
      <c r="A732" t="n">
        <v>1000730</v>
      </c>
      <c r="B732" t="n">
        <v>1</v>
      </c>
      <c r="C732" t="n">
        <v>730</v>
      </c>
      <c r="D732" t="n">
        <v>-0.6473</v>
      </c>
      <c r="E732" t="n">
        <v>15.7356</v>
      </c>
      <c r="F732" t="n">
        <v>0.07771</v>
      </c>
    </row>
    <row r="733">
      <c r="A733" t="n">
        <v>1000731</v>
      </c>
      <c r="B733" t="n">
        <v>1</v>
      </c>
      <c r="C733" t="n">
        <v>731</v>
      </c>
      <c r="D733" t="n">
        <v>-0.6187</v>
      </c>
      <c r="E733" t="n">
        <v>16.0189</v>
      </c>
      <c r="F733" t="n">
        <v>0.07785</v>
      </c>
    </row>
    <row r="734">
      <c r="A734" t="n">
        <v>1000732</v>
      </c>
      <c r="B734" t="n">
        <v>1</v>
      </c>
      <c r="C734" t="n">
        <v>732</v>
      </c>
      <c r="D734" t="n">
        <v>-0.6175</v>
      </c>
      <c r="E734" t="n">
        <v>16.0176</v>
      </c>
      <c r="F734" t="n">
        <v>0.07785</v>
      </c>
    </row>
    <row r="735">
      <c r="A735" t="n">
        <v>1000733</v>
      </c>
      <c r="B735" t="n">
        <v>1</v>
      </c>
      <c r="C735" t="n">
        <v>733</v>
      </c>
      <c r="D735" t="n">
        <v>-0.6163999999999999</v>
      </c>
      <c r="E735" t="n">
        <v>16.0163</v>
      </c>
      <c r="F735" t="n">
        <v>0.07785</v>
      </c>
    </row>
    <row r="736">
      <c r="A736" t="n">
        <v>1000734</v>
      </c>
      <c r="B736" t="n">
        <v>1</v>
      </c>
      <c r="C736" t="n">
        <v>734</v>
      </c>
      <c r="D736" t="n">
        <v>-0.6152</v>
      </c>
      <c r="E736" t="n">
        <v>16.015</v>
      </c>
      <c r="F736" t="n">
        <v>0.07785</v>
      </c>
    </row>
    <row r="737">
      <c r="A737" t="n">
        <v>1000735</v>
      </c>
      <c r="B737" t="n">
        <v>1</v>
      </c>
      <c r="C737" t="n">
        <v>735</v>
      </c>
      <c r="D737" t="n">
        <v>-0.614</v>
      </c>
      <c r="E737" t="n">
        <v>16.0136</v>
      </c>
      <c r="F737" t="n">
        <v>0.07786</v>
      </c>
    </row>
    <row r="738">
      <c r="A738" t="n">
        <v>1000736</v>
      </c>
      <c r="B738" t="n">
        <v>1</v>
      </c>
      <c r="C738" t="n">
        <v>736</v>
      </c>
      <c r="D738" t="n">
        <v>-0.6129</v>
      </c>
      <c r="E738" t="n">
        <v>16.0123</v>
      </c>
      <c r="F738" t="n">
        <v>0.07786</v>
      </c>
    </row>
    <row r="739">
      <c r="A739" t="n">
        <v>1000737</v>
      </c>
      <c r="B739" t="n">
        <v>1</v>
      </c>
      <c r="C739" t="n">
        <v>737</v>
      </c>
      <c r="D739" t="n">
        <v>-0.6117</v>
      </c>
      <c r="E739" t="n">
        <v>16.011</v>
      </c>
      <c r="F739" t="n">
        <v>0.07786</v>
      </c>
    </row>
    <row r="740">
      <c r="A740" t="n">
        <v>1000738</v>
      </c>
      <c r="B740" t="n">
        <v>1</v>
      </c>
      <c r="C740" t="n">
        <v>738</v>
      </c>
      <c r="D740" t="n">
        <v>-0.6105</v>
      </c>
      <c r="E740" t="n">
        <v>16.0097</v>
      </c>
      <c r="F740" t="n">
        <v>0.07786</v>
      </c>
    </row>
    <row r="741">
      <c r="A741" t="n">
        <v>1000739</v>
      </c>
      <c r="B741" t="n">
        <v>1</v>
      </c>
      <c r="C741" t="n">
        <v>739</v>
      </c>
      <c r="D741" t="n">
        <v>-0.6094000000000001</v>
      </c>
      <c r="E741" t="n">
        <v>16.0084</v>
      </c>
      <c r="F741" t="n">
        <v>0.07786999999999999</v>
      </c>
    </row>
    <row r="742">
      <c r="A742" t="n">
        <v>1000740</v>
      </c>
      <c r="B742" t="n">
        <v>1</v>
      </c>
      <c r="C742" t="n">
        <v>740</v>
      </c>
      <c r="D742" t="n">
        <v>-0.6082</v>
      </c>
      <c r="E742" t="n">
        <v>16.0071</v>
      </c>
      <c r="F742" t="n">
        <v>0.07786999999999999</v>
      </c>
    </row>
    <row r="743">
      <c r="A743" t="n">
        <v>1000741</v>
      </c>
      <c r="B743" t="n">
        <v>1</v>
      </c>
      <c r="C743" t="n">
        <v>741</v>
      </c>
      <c r="D743" t="n">
        <v>-0.607</v>
      </c>
      <c r="E743" t="n">
        <v>16.0058</v>
      </c>
      <c r="F743" t="n">
        <v>0.07786999999999999</v>
      </c>
    </row>
    <row r="744">
      <c r="A744" t="n">
        <v>1000742</v>
      </c>
      <c r="B744" t="n">
        <v>1</v>
      </c>
      <c r="C744" t="n">
        <v>742</v>
      </c>
      <c r="D744" t="n">
        <v>-0.6059</v>
      </c>
      <c r="E744" t="n">
        <v>16.0045</v>
      </c>
      <c r="F744" t="n">
        <v>0.07786999999999999</v>
      </c>
    </row>
    <row r="745">
      <c r="A745" t="n">
        <v>1000743</v>
      </c>
      <c r="B745" t="n">
        <v>1</v>
      </c>
      <c r="C745" t="n">
        <v>743</v>
      </c>
      <c r="D745" t="n">
        <v>-0.6047</v>
      </c>
      <c r="E745" t="n">
        <v>16.0032</v>
      </c>
      <c r="F745" t="n">
        <v>0.07786999999999999</v>
      </c>
    </row>
    <row r="746">
      <c r="A746" t="n">
        <v>1000744</v>
      </c>
      <c r="B746" t="n">
        <v>1</v>
      </c>
      <c r="C746" t="n">
        <v>744</v>
      </c>
      <c r="D746" t="n">
        <v>-0.6036</v>
      </c>
      <c r="E746" t="n">
        <v>16.0019</v>
      </c>
      <c r="F746" t="n">
        <v>0.07788</v>
      </c>
    </row>
    <row r="747">
      <c r="A747" t="n">
        <v>1000745</v>
      </c>
      <c r="B747" t="n">
        <v>1</v>
      </c>
      <c r="C747" t="n">
        <v>745</v>
      </c>
      <c r="D747" t="n">
        <v>-0.6024</v>
      </c>
      <c r="E747" t="n">
        <v>16.0006</v>
      </c>
      <c r="F747" t="n">
        <v>0.07788</v>
      </c>
    </row>
    <row r="748">
      <c r="A748" t="n">
        <v>1000746</v>
      </c>
      <c r="B748" t="n">
        <v>1</v>
      </c>
      <c r="C748" t="n">
        <v>746</v>
      </c>
      <c r="D748" t="n">
        <v>-0.6012</v>
      </c>
      <c r="E748" t="n">
        <v>15.9993</v>
      </c>
      <c r="F748" t="n">
        <v>0.07788</v>
      </c>
    </row>
    <row r="749">
      <c r="A749" t="n">
        <v>1000747</v>
      </c>
      <c r="B749" t="n">
        <v>1</v>
      </c>
      <c r="C749" t="n">
        <v>747</v>
      </c>
      <c r="D749" t="n">
        <v>-0.6001</v>
      </c>
      <c r="E749" t="n">
        <v>15.998</v>
      </c>
      <c r="F749" t="n">
        <v>0.07788</v>
      </c>
    </row>
    <row r="750">
      <c r="A750" t="n">
        <v>1000748</v>
      </c>
      <c r="B750" t="n">
        <v>1</v>
      </c>
      <c r="C750" t="n">
        <v>748</v>
      </c>
      <c r="D750" t="n">
        <v>-0.5989</v>
      </c>
      <c r="E750" t="n">
        <v>15.9967</v>
      </c>
      <c r="F750" t="n">
        <v>0.07789</v>
      </c>
    </row>
    <row r="751">
      <c r="A751" t="n">
        <v>1000749</v>
      </c>
      <c r="B751" t="n">
        <v>1</v>
      </c>
      <c r="C751" t="n">
        <v>749</v>
      </c>
      <c r="D751" t="n">
        <v>-0.5978</v>
      </c>
      <c r="E751" t="n">
        <v>15.9954</v>
      </c>
      <c r="F751" t="n">
        <v>0.07789</v>
      </c>
    </row>
    <row r="752">
      <c r="A752" t="n">
        <v>1000750</v>
      </c>
      <c r="B752" t="n">
        <v>1</v>
      </c>
      <c r="C752" t="n">
        <v>750</v>
      </c>
      <c r="D752" t="n">
        <v>-0.5966</v>
      </c>
      <c r="E752" t="n">
        <v>15.9941</v>
      </c>
      <c r="F752" t="n">
        <v>0.07789</v>
      </c>
    </row>
    <row r="753">
      <c r="A753" t="n">
        <v>1000751</v>
      </c>
      <c r="B753" t="n">
        <v>1</v>
      </c>
      <c r="C753" t="n">
        <v>751</v>
      </c>
      <c r="D753" t="n">
        <v>-0.5955</v>
      </c>
      <c r="E753" t="n">
        <v>15.9928</v>
      </c>
      <c r="F753" t="n">
        <v>0.07789</v>
      </c>
    </row>
    <row r="754">
      <c r="A754" t="n">
        <v>1000752</v>
      </c>
      <c r="B754" t="n">
        <v>1</v>
      </c>
      <c r="C754" t="n">
        <v>752</v>
      </c>
      <c r="D754" t="n">
        <v>-0.5943000000000001</v>
      </c>
      <c r="E754" t="n">
        <v>15.9915</v>
      </c>
      <c r="F754" t="n">
        <v>0.07789</v>
      </c>
    </row>
    <row r="755">
      <c r="A755" t="n">
        <v>1000753</v>
      </c>
      <c r="B755" t="n">
        <v>1</v>
      </c>
      <c r="C755" t="n">
        <v>753</v>
      </c>
      <c r="D755" t="n">
        <v>-0.5931999999999999</v>
      </c>
      <c r="E755" t="n">
        <v>15.9902</v>
      </c>
      <c r="F755" t="n">
        <v>0.0779</v>
      </c>
    </row>
    <row r="756">
      <c r="A756" t="n">
        <v>1000754</v>
      </c>
      <c r="B756" t="n">
        <v>1</v>
      </c>
      <c r="C756" t="n">
        <v>754</v>
      </c>
      <c r="D756" t="n">
        <v>-0.592</v>
      </c>
      <c r="E756" t="n">
        <v>15.9889</v>
      </c>
      <c r="F756" t="n">
        <v>0.0779</v>
      </c>
    </row>
    <row r="757">
      <c r="A757" t="n">
        <v>1000755</v>
      </c>
      <c r="B757" t="n">
        <v>1</v>
      </c>
      <c r="C757" t="n">
        <v>755</v>
      </c>
      <c r="D757" t="n">
        <v>-0.5909</v>
      </c>
      <c r="E757" t="n">
        <v>15.9876</v>
      </c>
      <c r="F757" t="n">
        <v>0.0779</v>
      </c>
    </row>
    <row r="758">
      <c r="A758" t="n">
        <v>1000756</v>
      </c>
      <c r="B758" t="n">
        <v>1</v>
      </c>
      <c r="C758" t="n">
        <v>756</v>
      </c>
      <c r="D758" t="n">
        <v>-0.5897</v>
      </c>
      <c r="E758" t="n">
        <v>15.9863</v>
      </c>
      <c r="F758" t="n">
        <v>0.0779</v>
      </c>
    </row>
    <row r="759">
      <c r="A759" t="n">
        <v>1000757</v>
      </c>
      <c r="B759" t="n">
        <v>1</v>
      </c>
      <c r="C759" t="n">
        <v>757</v>
      </c>
      <c r="D759" t="n">
        <v>-0.5886</v>
      </c>
      <c r="E759" t="n">
        <v>15.985</v>
      </c>
      <c r="F759" t="n">
        <v>0.07790999999999999</v>
      </c>
    </row>
    <row r="760">
      <c r="A760" t="n">
        <v>1000758</v>
      </c>
      <c r="B760" t="n">
        <v>1</v>
      </c>
      <c r="C760" t="n">
        <v>758</v>
      </c>
      <c r="D760" t="n">
        <v>-0.5874</v>
      </c>
      <c r="E760" t="n">
        <v>15.9838</v>
      </c>
      <c r="F760" t="n">
        <v>0.07790999999999999</v>
      </c>
    </row>
    <row r="761">
      <c r="A761" t="n">
        <v>1000759</v>
      </c>
      <c r="B761" t="n">
        <v>1</v>
      </c>
      <c r="C761" t="n">
        <v>759</v>
      </c>
      <c r="D761" t="n">
        <v>-0.5863</v>
      </c>
      <c r="E761" t="n">
        <v>15.9825</v>
      </c>
      <c r="F761" t="n">
        <v>0.07790999999999999</v>
      </c>
    </row>
    <row r="762">
      <c r="A762" t="n">
        <v>1000760</v>
      </c>
      <c r="B762" t="n">
        <v>1</v>
      </c>
      <c r="C762" t="n">
        <v>760</v>
      </c>
      <c r="D762" t="n">
        <v>-0.5851</v>
      </c>
      <c r="E762" t="n">
        <v>15.9812</v>
      </c>
      <c r="F762" t="n">
        <v>0.07790999999999999</v>
      </c>
    </row>
    <row r="763">
      <c r="A763" t="n">
        <v>1000761</v>
      </c>
      <c r="B763" t="n">
        <v>1</v>
      </c>
      <c r="C763" t="n">
        <v>761</v>
      </c>
      <c r="D763" t="n">
        <v>-0.584</v>
      </c>
      <c r="E763" t="n">
        <v>15.9799</v>
      </c>
      <c r="F763" t="n">
        <v>0.07792</v>
      </c>
    </row>
    <row r="764">
      <c r="A764" t="n">
        <v>1000762</v>
      </c>
      <c r="B764" t="n">
        <v>1</v>
      </c>
      <c r="C764" t="n">
        <v>762</v>
      </c>
      <c r="D764" t="n">
        <v>-0.5828</v>
      </c>
      <c r="E764" t="n">
        <v>15.9786</v>
      </c>
      <c r="F764" t="n">
        <v>0.07792</v>
      </c>
    </row>
    <row r="765">
      <c r="A765" t="n">
        <v>1000763</v>
      </c>
      <c r="B765" t="n">
        <v>1</v>
      </c>
      <c r="C765" t="n">
        <v>763</v>
      </c>
      <c r="D765" t="n">
        <v>-0.5817</v>
      </c>
      <c r="E765" t="n">
        <v>15.9773</v>
      </c>
      <c r="F765" t="n">
        <v>0.07792</v>
      </c>
    </row>
    <row r="766">
      <c r="A766" t="n">
        <v>1000764</v>
      </c>
      <c r="B766" t="n">
        <v>1</v>
      </c>
      <c r="C766" t="n">
        <v>764</v>
      </c>
      <c r="D766" t="n">
        <v>-0.5805</v>
      </c>
      <c r="E766" t="n">
        <v>15.976</v>
      </c>
      <c r="F766" t="n">
        <v>0.07792</v>
      </c>
    </row>
    <row r="767">
      <c r="A767" t="n">
        <v>1000765</v>
      </c>
      <c r="B767" t="n">
        <v>1</v>
      </c>
      <c r="C767" t="n">
        <v>765</v>
      </c>
      <c r="D767" t="n">
        <v>-0.5794</v>
      </c>
      <c r="E767" t="n">
        <v>15.9748</v>
      </c>
      <c r="F767" t="n">
        <v>0.07793</v>
      </c>
    </row>
    <row r="768">
      <c r="A768" t="n">
        <v>1000766</v>
      </c>
      <c r="B768" t="n">
        <v>1</v>
      </c>
      <c r="C768" t="n">
        <v>766</v>
      </c>
      <c r="D768" t="n">
        <v>-0.5783</v>
      </c>
      <c r="E768" t="n">
        <v>15.9735</v>
      </c>
      <c r="F768" t="n">
        <v>0.07793</v>
      </c>
    </row>
    <row r="769">
      <c r="A769" t="n">
        <v>1000767</v>
      </c>
      <c r="B769" t="n">
        <v>1</v>
      </c>
      <c r="C769" t="n">
        <v>767</v>
      </c>
      <c r="D769" t="n">
        <v>-0.5770999999999999</v>
      </c>
      <c r="E769" t="n">
        <v>15.9722</v>
      </c>
      <c r="F769" t="n">
        <v>0.07793</v>
      </c>
    </row>
    <row r="770">
      <c r="A770" t="n">
        <v>1000768</v>
      </c>
      <c r="B770" t="n">
        <v>1</v>
      </c>
      <c r="C770" t="n">
        <v>768</v>
      </c>
      <c r="D770" t="n">
        <v>-0.576</v>
      </c>
      <c r="E770" t="n">
        <v>15.9709</v>
      </c>
      <c r="F770" t="n">
        <v>0.07793</v>
      </c>
    </row>
    <row r="771">
      <c r="A771" t="n">
        <v>1000769</v>
      </c>
      <c r="B771" t="n">
        <v>1</v>
      </c>
      <c r="C771" t="n">
        <v>769</v>
      </c>
      <c r="D771" t="n">
        <v>-0.5748</v>
      </c>
      <c r="E771" t="n">
        <v>15.9697</v>
      </c>
      <c r="F771" t="n">
        <v>0.07794</v>
      </c>
    </row>
    <row r="772">
      <c r="A772" t="n">
        <v>1000770</v>
      </c>
      <c r="B772" t="n">
        <v>1</v>
      </c>
      <c r="C772" t="n">
        <v>770</v>
      </c>
      <c r="D772" t="n">
        <v>-0.5737</v>
      </c>
      <c r="E772" t="n">
        <v>15.9684</v>
      </c>
      <c r="F772" t="n">
        <v>0.07794</v>
      </c>
    </row>
    <row r="773">
      <c r="A773" t="n">
        <v>1000771</v>
      </c>
      <c r="B773" t="n">
        <v>1</v>
      </c>
      <c r="C773" t="n">
        <v>771</v>
      </c>
      <c r="D773" t="n">
        <v>-0.5726</v>
      </c>
      <c r="E773" t="n">
        <v>15.9671</v>
      </c>
      <c r="F773" t="n">
        <v>0.07794</v>
      </c>
    </row>
    <row r="774">
      <c r="A774" t="n">
        <v>1000772</v>
      </c>
      <c r="B774" t="n">
        <v>1</v>
      </c>
      <c r="C774" t="n">
        <v>772</v>
      </c>
      <c r="D774" t="n">
        <v>-0.5714</v>
      </c>
      <c r="E774" t="n">
        <v>15.9658</v>
      </c>
      <c r="F774" t="n">
        <v>0.07794</v>
      </c>
    </row>
    <row r="775">
      <c r="A775" t="n">
        <v>1000773</v>
      </c>
      <c r="B775" t="n">
        <v>1</v>
      </c>
      <c r="C775" t="n">
        <v>773</v>
      </c>
      <c r="D775" t="n">
        <v>-0.5703</v>
      </c>
      <c r="E775" t="n">
        <v>15.9646</v>
      </c>
      <c r="F775" t="n">
        <v>0.07795000000000001</v>
      </c>
    </row>
    <row r="776">
      <c r="A776" t="n">
        <v>1000774</v>
      </c>
      <c r="B776" t="n">
        <v>1</v>
      </c>
      <c r="C776" t="n">
        <v>774</v>
      </c>
      <c r="D776" t="n">
        <v>-0.5692</v>
      </c>
      <c r="E776" t="n">
        <v>15.9633</v>
      </c>
      <c r="F776" t="n">
        <v>0.07795000000000001</v>
      </c>
    </row>
    <row r="777">
      <c r="A777" t="n">
        <v>1000775</v>
      </c>
      <c r="B777" t="n">
        <v>1</v>
      </c>
      <c r="C777" t="n">
        <v>775</v>
      </c>
      <c r="D777" t="n">
        <v>-0.5679999999999999</v>
      </c>
      <c r="E777" t="n">
        <v>15.962</v>
      </c>
      <c r="F777" t="n">
        <v>0.07795000000000001</v>
      </c>
    </row>
    <row r="778">
      <c r="A778" t="n">
        <v>1000776</v>
      </c>
      <c r="B778" t="n">
        <v>1</v>
      </c>
      <c r="C778" t="n">
        <v>776</v>
      </c>
      <c r="D778" t="n">
        <v>-0.5669</v>
      </c>
      <c r="E778" t="n">
        <v>15.9607</v>
      </c>
      <c r="F778" t="n">
        <v>0.07795000000000001</v>
      </c>
    </row>
    <row r="779">
      <c r="A779" t="n">
        <v>1000777</v>
      </c>
      <c r="B779" t="n">
        <v>1</v>
      </c>
      <c r="C779" t="n">
        <v>777</v>
      </c>
      <c r="D779" t="n">
        <v>-0.5658</v>
      </c>
      <c r="E779" t="n">
        <v>15.9595</v>
      </c>
      <c r="F779" t="n">
        <v>0.07796</v>
      </c>
    </row>
    <row r="780">
      <c r="A780" t="n">
        <v>1000778</v>
      </c>
      <c r="B780" t="n">
        <v>1</v>
      </c>
      <c r="C780" t="n">
        <v>778</v>
      </c>
      <c r="D780" t="n">
        <v>-0.5647</v>
      </c>
      <c r="E780" t="n">
        <v>15.9582</v>
      </c>
      <c r="F780" t="n">
        <v>0.07796</v>
      </c>
    </row>
    <row r="781">
      <c r="A781" t="n">
        <v>1000779</v>
      </c>
      <c r="B781" t="n">
        <v>1</v>
      </c>
      <c r="C781" t="n">
        <v>779</v>
      </c>
      <c r="D781" t="n">
        <v>-0.5635</v>
      </c>
      <c r="E781" t="n">
        <v>15.9569</v>
      </c>
      <c r="F781" t="n">
        <v>0.07796</v>
      </c>
    </row>
    <row r="782">
      <c r="A782" t="n">
        <v>1000780</v>
      </c>
      <c r="B782" t="n">
        <v>1</v>
      </c>
      <c r="C782" t="n">
        <v>780</v>
      </c>
      <c r="D782" t="n">
        <v>-0.5624</v>
      </c>
      <c r="E782" t="n">
        <v>15.9557</v>
      </c>
      <c r="F782" t="n">
        <v>0.07796</v>
      </c>
    </row>
    <row r="783">
      <c r="A783" t="n">
        <v>1000781</v>
      </c>
      <c r="B783" t="n">
        <v>1</v>
      </c>
      <c r="C783" t="n">
        <v>781</v>
      </c>
      <c r="D783" t="n">
        <v>-0.5613</v>
      </c>
      <c r="E783" t="n">
        <v>15.9544</v>
      </c>
      <c r="F783" t="n">
        <v>0.07797</v>
      </c>
    </row>
    <row r="784">
      <c r="A784" t="n">
        <v>1000782</v>
      </c>
      <c r="B784" t="n">
        <v>1</v>
      </c>
      <c r="C784" t="n">
        <v>782</v>
      </c>
      <c r="D784" t="n">
        <v>-0.5602</v>
      </c>
      <c r="E784" t="n">
        <v>15.9532</v>
      </c>
      <c r="F784" t="n">
        <v>0.07797</v>
      </c>
    </row>
    <row r="785">
      <c r="A785" t="n">
        <v>1000783</v>
      </c>
      <c r="B785" t="n">
        <v>1</v>
      </c>
      <c r="C785" t="n">
        <v>783</v>
      </c>
      <c r="D785" t="n">
        <v>-0.5590000000000001</v>
      </c>
      <c r="E785" t="n">
        <v>15.9519</v>
      </c>
      <c r="F785" t="n">
        <v>0.07797</v>
      </c>
    </row>
    <row r="786">
      <c r="A786" t="n">
        <v>1000784</v>
      </c>
      <c r="B786" t="n">
        <v>1</v>
      </c>
      <c r="C786" t="n">
        <v>784</v>
      </c>
      <c r="D786" t="n">
        <v>-0.5579</v>
      </c>
      <c r="E786" t="n">
        <v>15.9506</v>
      </c>
      <c r="F786" t="n">
        <v>0.07797999999999999</v>
      </c>
    </row>
    <row r="787">
      <c r="A787" t="n">
        <v>1000785</v>
      </c>
      <c r="B787" t="n">
        <v>1</v>
      </c>
      <c r="C787" t="n">
        <v>785</v>
      </c>
      <c r="D787" t="n">
        <v>-0.5568</v>
      </c>
      <c r="E787" t="n">
        <v>15.9494</v>
      </c>
      <c r="F787" t="n">
        <v>0.07797999999999999</v>
      </c>
    </row>
    <row r="788">
      <c r="A788" t="n">
        <v>1000786</v>
      </c>
      <c r="B788" t="n">
        <v>1</v>
      </c>
      <c r="C788" t="n">
        <v>786</v>
      </c>
      <c r="D788" t="n">
        <v>-0.5557</v>
      </c>
      <c r="E788" t="n">
        <v>15.9481</v>
      </c>
      <c r="F788" t="n">
        <v>0.07797999999999999</v>
      </c>
    </row>
    <row r="789">
      <c r="A789" t="n">
        <v>1000787</v>
      </c>
      <c r="B789" t="n">
        <v>1</v>
      </c>
      <c r="C789" t="n">
        <v>787</v>
      </c>
      <c r="D789" t="n">
        <v>-0.5546</v>
      </c>
      <c r="E789" t="n">
        <v>15.9468</v>
      </c>
      <c r="F789" t="n">
        <v>0.07797999999999999</v>
      </c>
    </row>
    <row r="790">
      <c r="A790" t="n">
        <v>1000788</v>
      </c>
      <c r="B790" t="n">
        <v>1</v>
      </c>
      <c r="C790" t="n">
        <v>788</v>
      </c>
      <c r="D790" t="n">
        <v>-0.5535</v>
      </c>
      <c r="E790" t="n">
        <v>15.9456</v>
      </c>
      <c r="F790" t="n">
        <v>0.07799</v>
      </c>
    </row>
    <row r="791">
      <c r="A791" t="n">
        <v>1000789</v>
      </c>
      <c r="B791" t="n">
        <v>1</v>
      </c>
      <c r="C791" t="n">
        <v>789</v>
      </c>
      <c r="D791" t="n">
        <v>-0.5523</v>
      </c>
      <c r="E791" t="n">
        <v>15.9443</v>
      </c>
      <c r="F791" t="n">
        <v>0.07799</v>
      </c>
    </row>
    <row r="792">
      <c r="A792" t="n">
        <v>1000790</v>
      </c>
      <c r="B792" t="n">
        <v>1</v>
      </c>
      <c r="C792" t="n">
        <v>790</v>
      </c>
      <c r="D792" t="n">
        <v>-0.5512</v>
      </c>
      <c r="E792" t="n">
        <v>15.9431</v>
      </c>
      <c r="F792" t="n">
        <v>0.07799</v>
      </c>
    </row>
    <row r="793">
      <c r="A793" t="n">
        <v>1000791</v>
      </c>
      <c r="B793" t="n">
        <v>1</v>
      </c>
      <c r="C793" t="n">
        <v>791</v>
      </c>
      <c r="D793" t="n">
        <v>-0.5501</v>
      </c>
      <c r="E793" t="n">
        <v>15.9418</v>
      </c>
      <c r="F793" t="n">
        <v>0.07799</v>
      </c>
    </row>
    <row r="794">
      <c r="A794" t="n">
        <v>1000792</v>
      </c>
      <c r="B794" t="n">
        <v>1</v>
      </c>
      <c r="C794" t="n">
        <v>792</v>
      </c>
      <c r="D794" t="n">
        <v>-0.549</v>
      </c>
      <c r="E794" t="n">
        <v>15.9406</v>
      </c>
      <c r="F794" t="n">
        <v>0.078</v>
      </c>
    </row>
    <row r="795">
      <c r="A795" t="n">
        <v>1000793</v>
      </c>
      <c r="B795" t="n">
        <v>1</v>
      </c>
      <c r="C795" t="n">
        <v>793</v>
      </c>
      <c r="D795" t="n">
        <v>-0.5479000000000001</v>
      </c>
      <c r="E795" t="n">
        <v>15.9393</v>
      </c>
      <c r="F795" t="n">
        <v>0.078</v>
      </c>
    </row>
    <row r="796">
      <c r="A796" t="n">
        <v>1000794</v>
      </c>
      <c r="B796" t="n">
        <v>1</v>
      </c>
      <c r="C796" t="n">
        <v>794</v>
      </c>
      <c r="D796" t="n">
        <v>-0.5468</v>
      </c>
      <c r="E796" t="n">
        <v>15.9381</v>
      </c>
      <c r="F796" t="n">
        <v>0.078</v>
      </c>
    </row>
    <row r="797">
      <c r="A797" t="n">
        <v>1000795</v>
      </c>
      <c r="B797" t="n">
        <v>1</v>
      </c>
      <c r="C797" t="n">
        <v>795</v>
      </c>
      <c r="D797" t="n">
        <v>-0.5457</v>
      </c>
      <c r="E797" t="n">
        <v>15.9368</v>
      </c>
      <c r="F797" t="n">
        <v>0.07801</v>
      </c>
    </row>
    <row r="798">
      <c r="A798" t="n">
        <v>1000796</v>
      </c>
      <c r="B798" t="n">
        <v>1</v>
      </c>
      <c r="C798" t="n">
        <v>796</v>
      </c>
      <c r="D798" t="n">
        <v>-0.5446</v>
      </c>
      <c r="E798" t="n">
        <v>15.9356</v>
      </c>
      <c r="F798" t="n">
        <v>0.07801</v>
      </c>
    </row>
    <row r="799">
      <c r="A799" t="n">
        <v>1000797</v>
      </c>
      <c r="B799" t="n">
        <v>1</v>
      </c>
      <c r="C799" t="n">
        <v>797</v>
      </c>
      <c r="D799" t="n">
        <v>-0.5435</v>
      </c>
      <c r="E799" t="n">
        <v>15.9343</v>
      </c>
      <c r="F799" t="n">
        <v>0.07801</v>
      </c>
    </row>
    <row r="800">
      <c r="A800" t="n">
        <v>1000798</v>
      </c>
      <c r="B800" t="n">
        <v>1</v>
      </c>
      <c r="C800" t="n">
        <v>798</v>
      </c>
      <c r="D800" t="n">
        <v>-0.5424</v>
      </c>
      <c r="E800" t="n">
        <v>15.9331</v>
      </c>
      <c r="F800" t="n">
        <v>0.07801</v>
      </c>
    </row>
    <row r="801">
      <c r="A801" t="n">
        <v>1000799</v>
      </c>
      <c r="B801" t="n">
        <v>1</v>
      </c>
      <c r="C801" t="n">
        <v>799</v>
      </c>
      <c r="D801" t="n">
        <v>-0.5413</v>
      </c>
      <c r="E801" t="n">
        <v>15.9318</v>
      </c>
      <c r="F801" t="n">
        <v>0.07802000000000001</v>
      </c>
    </row>
    <row r="802">
      <c r="A802" t="n">
        <v>1000800</v>
      </c>
      <c r="B802" t="n">
        <v>1</v>
      </c>
      <c r="C802" t="n">
        <v>800</v>
      </c>
      <c r="D802" t="n">
        <v>-0.5402</v>
      </c>
      <c r="E802" t="n">
        <v>15.9306</v>
      </c>
      <c r="F802" t="n">
        <v>0.07802000000000001</v>
      </c>
    </row>
    <row r="803">
      <c r="A803" t="n">
        <v>1000801</v>
      </c>
      <c r="B803" t="n">
        <v>1</v>
      </c>
      <c r="C803" t="n">
        <v>801</v>
      </c>
      <c r="D803" t="n">
        <v>-0.5391</v>
      </c>
      <c r="E803" t="n">
        <v>15.9293</v>
      </c>
      <c r="F803" t="n">
        <v>0.07802000000000001</v>
      </c>
    </row>
    <row r="804">
      <c r="A804" t="n">
        <v>1000802</v>
      </c>
      <c r="B804" t="n">
        <v>1</v>
      </c>
      <c r="C804" t="n">
        <v>802</v>
      </c>
      <c r="D804" t="n">
        <v>-0.538</v>
      </c>
      <c r="E804" t="n">
        <v>15.9281</v>
      </c>
      <c r="F804" t="n">
        <v>0.07803</v>
      </c>
    </row>
    <row r="805">
      <c r="A805" t="n">
        <v>1000803</v>
      </c>
      <c r="B805" t="n">
        <v>1</v>
      </c>
      <c r="C805" t="n">
        <v>803</v>
      </c>
      <c r="D805" t="n">
        <v>-0.5369</v>
      </c>
      <c r="E805" t="n">
        <v>15.9268</v>
      </c>
      <c r="F805" t="n">
        <v>0.07803</v>
      </c>
    </row>
    <row r="806">
      <c r="A806" t="n">
        <v>1000804</v>
      </c>
      <c r="B806" t="n">
        <v>1</v>
      </c>
      <c r="C806" t="n">
        <v>804</v>
      </c>
      <c r="D806" t="n">
        <v>-0.5358000000000001</v>
      </c>
      <c r="E806" t="n">
        <v>15.9256</v>
      </c>
      <c r="F806" t="n">
        <v>0.07803</v>
      </c>
    </row>
    <row r="807">
      <c r="A807" t="n">
        <v>1000805</v>
      </c>
      <c r="B807" t="n">
        <v>1</v>
      </c>
      <c r="C807" t="n">
        <v>805</v>
      </c>
      <c r="D807" t="n">
        <v>-0.5347</v>
      </c>
      <c r="E807" t="n">
        <v>15.9244</v>
      </c>
      <c r="F807" t="n">
        <v>0.07803</v>
      </c>
    </row>
    <row r="808">
      <c r="A808" t="n">
        <v>1000806</v>
      </c>
      <c r="B808" t="n">
        <v>1</v>
      </c>
      <c r="C808" t="n">
        <v>806</v>
      </c>
      <c r="D808" t="n">
        <v>-0.5336</v>
      </c>
      <c r="E808" t="n">
        <v>15.9231</v>
      </c>
      <c r="F808" t="n">
        <v>0.07804</v>
      </c>
    </row>
    <row r="809">
      <c r="A809" t="n">
        <v>1000807</v>
      </c>
      <c r="B809" t="n">
        <v>1</v>
      </c>
      <c r="C809" t="n">
        <v>807</v>
      </c>
      <c r="D809" t="n">
        <v>-0.5325</v>
      </c>
      <c r="E809" t="n">
        <v>15.9219</v>
      </c>
      <c r="F809" t="n">
        <v>0.07804</v>
      </c>
    </row>
    <row r="810">
      <c r="A810" t="n">
        <v>1000808</v>
      </c>
      <c r="B810" t="n">
        <v>1</v>
      </c>
      <c r="C810" t="n">
        <v>808</v>
      </c>
      <c r="D810" t="n">
        <v>-0.5315</v>
      </c>
      <c r="E810" t="n">
        <v>15.9206</v>
      </c>
      <c r="F810" t="n">
        <v>0.07804</v>
      </c>
    </row>
    <row r="811">
      <c r="A811" t="n">
        <v>1000809</v>
      </c>
      <c r="B811" t="n">
        <v>1</v>
      </c>
      <c r="C811" t="n">
        <v>809</v>
      </c>
      <c r="D811" t="n">
        <v>-0.5304</v>
      </c>
      <c r="E811" t="n">
        <v>15.9194</v>
      </c>
      <c r="F811" t="n">
        <v>0.07804999999999999</v>
      </c>
    </row>
    <row r="812">
      <c r="A812" t="n">
        <v>1000810</v>
      </c>
      <c r="B812" t="n">
        <v>1</v>
      </c>
      <c r="C812" t="n">
        <v>810</v>
      </c>
      <c r="D812" t="n">
        <v>-0.5293</v>
      </c>
      <c r="E812" t="n">
        <v>15.9182</v>
      </c>
      <c r="F812" t="n">
        <v>0.07804999999999999</v>
      </c>
    </row>
    <row r="813">
      <c r="A813" t="n">
        <v>1000811</v>
      </c>
      <c r="B813" t="n">
        <v>1</v>
      </c>
      <c r="C813" t="n">
        <v>811</v>
      </c>
      <c r="D813" t="n">
        <v>-0.5282</v>
      </c>
      <c r="E813" t="n">
        <v>15.9169</v>
      </c>
      <c r="F813" t="n">
        <v>0.07804999999999999</v>
      </c>
    </row>
    <row r="814">
      <c r="A814" t="n">
        <v>1000812</v>
      </c>
      <c r="B814" t="n">
        <v>1</v>
      </c>
      <c r="C814" t="n">
        <v>812</v>
      </c>
      <c r="D814" t="n">
        <v>-0.5271</v>
      </c>
      <c r="E814" t="n">
        <v>15.9157</v>
      </c>
      <c r="F814" t="n">
        <v>0.07804999999999999</v>
      </c>
    </row>
    <row r="815">
      <c r="A815" t="n">
        <v>1000813</v>
      </c>
      <c r="B815" t="n">
        <v>1</v>
      </c>
      <c r="C815" t="n">
        <v>813</v>
      </c>
      <c r="D815" t="n">
        <v>-0.526</v>
      </c>
      <c r="E815" t="n">
        <v>15.9145</v>
      </c>
      <c r="F815" t="n">
        <v>0.07806</v>
      </c>
    </row>
    <row r="816">
      <c r="A816" t="n">
        <v>1000814</v>
      </c>
      <c r="B816" t="n">
        <v>1</v>
      </c>
      <c r="C816" t="n">
        <v>814</v>
      </c>
      <c r="D816" t="n">
        <v>-0.525</v>
      </c>
      <c r="E816" t="n">
        <v>15.9132</v>
      </c>
      <c r="F816" t="n">
        <v>0.07806</v>
      </c>
    </row>
    <row r="817">
      <c r="A817" t="n">
        <v>1000815</v>
      </c>
      <c r="B817" t="n">
        <v>1</v>
      </c>
      <c r="C817" t="n">
        <v>815</v>
      </c>
      <c r="D817" t="n">
        <v>-0.5239</v>
      </c>
      <c r="E817" t="n">
        <v>15.912</v>
      </c>
      <c r="F817" t="n">
        <v>0.07806</v>
      </c>
    </row>
    <row r="818">
      <c r="A818" t="n">
        <v>1000816</v>
      </c>
      <c r="B818" t="n">
        <v>1</v>
      </c>
      <c r="C818" t="n">
        <v>816</v>
      </c>
      <c r="D818" t="n">
        <v>-0.5228</v>
      </c>
      <c r="E818" t="n">
        <v>15.9108</v>
      </c>
      <c r="F818" t="n">
        <v>0.07807</v>
      </c>
    </row>
    <row r="819">
      <c r="A819" t="n">
        <v>1000817</v>
      </c>
      <c r="B819" t="n">
        <v>1</v>
      </c>
      <c r="C819" t="n">
        <v>817</v>
      </c>
      <c r="D819" t="n">
        <v>-0.5217000000000001</v>
      </c>
      <c r="E819" t="n">
        <v>15.9095</v>
      </c>
      <c r="F819" t="n">
        <v>0.07807</v>
      </c>
    </row>
    <row r="820">
      <c r="A820" t="n">
        <v>1000818</v>
      </c>
      <c r="B820" t="n">
        <v>1</v>
      </c>
      <c r="C820" t="n">
        <v>818</v>
      </c>
      <c r="D820" t="n">
        <v>-0.5207000000000001</v>
      </c>
      <c r="E820" t="n">
        <v>15.9083</v>
      </c>
      <c r="F820" t="n">
        <v>0.07807</v>
      </c>
    </row>
    <row r="821">
      <c r="A821" t="n">
        <v>1000819</v>
      </c>
      <c r="B821" t="n">
        <v>1</v>
      </c>
      <c r="C821" t="n">
        <v>819</v>
      </c>
      <c r="D821" t="n">
        <v>-0.5196</v>
      </c>
      <c r="E821" t="n">
        <v>15.9071</v>
      </c>
      <c r="F821" t="n">
        <v>0.07808</v>
      </c>
    </row>
    <row r="822">
      <c r="A822" t="n">
        <v>1000820</v>
      </c>
      <c r="B822" t="n">
        <v>1</v>
      </c>
      <c r="C822" t="n">
        <v>820</v>
      </c>
      <c r="D822" t="n">
        <v>-0.5185</v>
      </c>
      <c r="E822" t="n">
        <v>15.9058</v>
      </c>
      <c r="F822" t="n">
        <v>0.07808</v>
      </c>
    </row>
    <row r="823">
      <c r="A823" t="n">
        <v>1000821</v>
      </c>
      <c r="B823" t="n">
        <v>1</v>
      </c>
      <c r="C823" t="n">
        <v>821</v>
      </c>
      <c r="D823" t="n">
        <v>-0.5175</v>
      </c>
      <c r="E823" t="n">
        <v>15.9046</v>
      </c>
      <c r="F823" t="n">
        <v>0.07808</v>
      </c>
    </row>
    <row r="824">
      <c r="A824" t="n">
        <v>1000822</v>
      </c>
      <c r="B824" t="n">
        <v>1</v>
      </c>
      <c r="C824" t="n">
        <v>822</v>
      </c>
      <c r="D824" t="n">
        <v>-0.5164</v>
      </c>
      <c r="E824" t="n">
        <v>15.9034</v>
      </c>
      <c r="F824" t="n">
        <v>0.07809000000000001</v>
      </c>
    </row>
    <row r="825">
      <c r="A825" t="n">
        <v>1000823</v>
      </c>
      <c r="B825" t="n">
        <v>1</v>
      </c>
      <c r="C825" t="n">
        <v>823</v>
      </c>
      <c r="D825" t="n">
        <v>-0.5153</v>
      </c>
      <c r="E825" t="n">
        <v>15.9022</v>
      </c>
      <c r="F825" t="n">
        <v>0.07809000000000001</v>
      </c>
    </row>
    <row r="826">
      <c r="A826" t="n">
        <v>1000824</v>
      </c>
      <c r="B826" t="n">
        <v>1</v>
      </c>
      <c r="C826" t="n">
        <v>824</v>
      </c>
      <c r="D826" t="n">
        <v>-0.5143</v>
      </c>
      <c r="E826" t="n">
        <v>15.9009</v>
      </c>
      <c r="F826" t="n">
        <v>0.07809000000000001</v>
      </c>
    </row>
    <row r="827">
      <c r="A827" t="n">
        <v>1000825</v>
      </c>
      <c r="B827" t="n">
        <v>1</v>
      </c>
      <c r="C827" t="n">
        <v>825</v>
      </c>
      <c r="D827" t="n">
        <v>-0.5132</v>
      </c>
      <c r="E827" t="n">
        <v>15.8997</v>
      </c>
      <c r="F827" t="n">
        <v>0.07809000000000001</v>
      </c>
    </row>
    <row r="828">
      <c r="A828" t="n">
        <v>1000826</v>
      </c>
      <c r="B828" t="n">
        <v>1</v>
      </c>
      <c r="C828" t="n">
        <v>826</v>
      </c>
      <c r="D828" t="n">
        <v>-0.5122</v>
      </c>
      <c r="E828" t="n">
        <v>15.8985</v>
      </c>
      <c r="F828" t="n">
        <v>0.0781</v>
      </c>
    </row>
    <row r="829">
      <c r="A829" t="n">
        <v>1000827</v>
      </c>
      <c r="B829" t="n">
        <v>1</v>
      </c>
      <c r="C829" t="n">
        <v>827</v>
      </c>
      <c r="D829" t="n">
        <v>-0.5111</v>
      </c>
      <c r="E829" t="n">
        <v>15.8973</v>
      </c>
      <c r="F829" t="n">
        <v>0.0781</v>
      </c>
    </row>
    <row r="830">
      <c r="A830" t="n">
        <v>1000828</v>
      </c>
      <c r="B830" t="n">
        <v>1</v>
      </c>
      <c r="C830" t="n">
        <v>828</v>
      </c>
      <c r="D830" t="n">
        <v>-0.5101</v>
      </c>
      <c r="E830" t="n">
        <v>15.8961</v>
      </c>
      <c r="F830" t="n">
        <v>0.0781</v>
      </c>
    </row>
    <row r="831">
      <c r="A831" t="n">
        <v>1000829</v>
      </c>
      <c r="B831" t="n">
        <v>1</v>
      </c>
      <c r="C831" t="n">
        <v>829</v>
      </c>
      <c r="D831" t="n">
        <v>-0.509</v>
      </c>
      <c r="E831" t="n">
        <v>15.8948</v>
      </c>
      <c r="F831" t="n">
        <v>0.07811</v>
      </c>
    </row>
    <row r="832">
      <c r="A832" t="n">
        <v>1000830</v>
      </c>
      <c r="B832" t="n">
        <v>1</v>
      </c>
      <c r="C832" t="n">
        <v>830</v>
      </c>
      <c r="D832" t="n">
        <v>-0.508</v>
      </c>
      <c r="E832" t="n">
        <v>15.8936</v>
      </c>
      <c r="F832" t="n">
        <v>0.07811</v>
      </c>
    </row>
    <row r="833">
      <c r="A833" t="n">
        <v>1000831</v>
      </c>
      <c r="B833" t="n">
        <v>1</v>
      </c>
      <c r="C833" t="n">
        <v>831</v>
      </c>
      <c r="D833" t="n">
        <v>-0.5069</v>
      </c>
      <c r="E833" t="n">
        <v>15.8924</v>
      </c>
      <c r="F833" t="n">
        <v>0.07811</v>
      </c>
    </row>
    <row r="834">
      <c r="A834" t="n">
        <v>1000832</v>
      </c>
      <c r="B834" t="n">
        <v>1</v>
      </c>
      <c r="C834" t="n">
        <v>832</v>
      </c>
      <c r="D834" t="n">
        <v>-0.5059</v>
      </c>
      <c r="E834" t="n">
        <v>15.8912</v>
      </c>
      <c r="F834" t="n">
        <v>0.07811999999999999</v>
      </c>
    </row>
    <row r="835">
      <c r="A835" t="n">
        <v>1000833</v>
      </c>
      <c r="B835" t="n">
        <v>1</v>
      </c>
      <c r="C835" t="n">
        <v>833</v>
      </c>
      <c r="D835" t="n">
        <v>-0.5048</v>
      </c>
      <c r="E835" t="n">
        <v>15.89</v>
      </c>
      <c r="F835" t="n">
        <v>0.07811999999999999</v>
      </c>
    </row>
    <row r="836">
      <c r="A836" t="n">
        <v>1000834</v>
      </c>
      <c r="B836" t="n">
        <v>1</v>
      </c>
      <c r="C836" t="n">
        <v>834</v>
      </c>
      <c r="D836" t="n">
        <v>-0.5038</v>
      </c>
      <c r="E836" t="n">
        <v>15.8888</v>
      </c>
      <c r="F836" t="n">
        <v>0.07811999999999999</v>
      </c>
    </row>
    <row r="837">
      <c r="A837" t="n">
        <v>1000835</v>
      </c>
      <c r="B837" t="n">
        <v>1</v>
      </c>
      <c r="C837" t="n">
        <v>835</v>
      </c>
      <c r="D837" t="n">
        <v>-0.5027</v>
      </c>
      <c r="E837" t="n">
        <v>15.8875</v>
      </c>
      <c r="F837" t="n">
        <v>0.07813000000000001</v>
      </c>
    </row>
    <row r="838">
      <c r="A838" t="n">
        <v>1000836</v>
      </c>
      <c r="B838" t="n">
        <v>1</v>
      </c>
      <c r="C838" t="n">
        <v>836</v>
      </c>
      <c r="D838" t="n">
        <v>-0.5017</v>
      </c>
      <c r="E838" t="n">
        <v>15.8863</v>
      </c>
      <c r="F838" t="n">
        <v>0.07813000000000001</v>
      </c>
    </row>
    <row r="839">
      <c r="A839" t="n">
        <v>1000837</v>
      </c>
      <c r="B839" t="n">
        <v>1</v>
      </c>
      <c r="C839" t="n">
        <v>837</v>
      </c>
      <c r="D839" t="n">
        <v>-0.5006</v>
      </c>
      <c r="E839" t="n">
        <v>15.8851</v>
      </c>
      <c r="F839" t="n">
        <v>0.07813000000000001</v>
      </c>
    </row>
    <row r="840">
      <c r="A840" t="n">
        <v>1000838</v>
      </c>
      <c r="B840" t="n">
        <v>1</v>
      </c>
      <c r="C840" t="n">
        <v>838</v>
      </c>
      <c r="D840" t="n">
        <v>-0.4996</v>
      </c>
      <c r="E840" t="n">
        <v>15.8839</v>
      </c>
      <c r="F840" t="n">
        <v>0.07814</v>
      </c>
    </row>
    <row r="841">
      <c r="A841" t="n">
        <v>1000839</v>
      </c>
      <c r="B841" t="n">
        <v>1</v>
      </c>
      <c r="C841" t="n">
        <v>839</v>
      </c>
      <c r="D841" t="n">
        <v>-0.4986</v>
      </c>
      <c r="E841" t="n">
        <v>15.8827</v>
      </c>
      <c r="F841" t="n">
        <v>0.07814</v>
      </c>
    </row>
    <row r="842">
      <c r="A842" t="n">
        <v>1000840</v>
      </c>
      <c r="B842" t="n">
        <v>1</v>
      </c>
      <c r="C842" t="n">
        <v>840</v>
      </c>
      <c r="D842" t="n">
        <v>-0.4975</v>
      </c>
      <c r="E842" t="n">
        <v>15.8815</v>
      </c>
      <c r="F842" t="n">
        <v>0.07814</v>
      </c>
    </row>
    <row r="843">
      <c r="A843" t="n">
        <v>1000841</v>
      </c>
      <c r="B843" t="n">
        <v>1</v>
      </c>
      <c r="C843" t="n">
        <v>841</v>
      </c>
      <c r="D843" t="n">
        <v>-0.4965</v>
      </c>
      <c r="E843" t="n">
        <v>15.8803</v>
      </c>
      <c r="F843" t="n">
        <v>0.07815</v>
      </c>
    </row>
    <row r="844">
      <c r="A844" t="n">
        <v>1000842</v>
      </c>
      <c r="B844" t="n">
        <v>1</v>
      </c>
      <c r="C844" t="n">
        <v>842</v>
      </c>
      <c r="D844" t="n">
        <v>-0.4955</v>
      </c>
      <c r="E844" t="n">
        <v>15.8791</v>
      </c>
      <c r="F844" t="n">
        <v>0.07815</v>
      </c>
    </row>
    <row r="845">
      <c r="A845" t="n">
        <v>1000843</v>
      </c>
      <c r="B845" t="n">
        <v>1</v>
      </c>
      <c r="C845" t="n">
        <v>843</v>
      </c>
      <c r="D845" t="n">
        <v>-0.4944</v>
      </c>
      <c r="E845" t="n">
        <v>15.8779</v>
      </c>
      <c r="F845" t="n">
        <v>0.07815</v>
      </c>
    </row>
    <row r="846">
      <c r="A846" t="n">
        <v>1000844</v>
      </c>
      <c r="B846" t="n">
        <v>1</v>
      </c>
      <c r="C846" t="n">
        <v>844</v>
      </c>
      <c r="D846" t="n">
        <v>-0.4934</v>
      </c>
      <c r="E846" t="n">
        <v>15.8767</v>
      </c>
      <c r="F846" t="n">
        <v>0.07815999999999999</v>
      </c>
    </row>
    <row r="847">
      <c r="A847" t="n">
        <v>1000845</v>
      </c>
      <c r="B847" t="n">
        <v>1</v>
      </c>
      <c r="C847" t="n">
        <v>845</v>
      </c>
      <c r="D847" t="n">
        <v>-0.4924</v>
      </c>
      <c r="E847" t="n">
        <v>15.8755</v>
      </c>
      <c r="F847" t="n">
        <v>0.07815999999999999</v>
      </c>
    </row>
    <row r="848">
      <c r="A848" t="n">
        <v>1000846</v>
      </c>
      <c r="B848" t="n">
        <v>1</v>
      </c>
      <c r="C848" t="n">
        <v>846</v>
      </c>
      <c r="D848" t="n">
        <v>-0.4914</v>
      </c>
      <c r="E848" t="n">
        <v>15.8742</v>
      </c>
      <c r="F848" t="n">
        <v>0.07815999999999999</v>
      </c>
    </row>
    <row r="849">
      <c r="A849" t="n">
        <v>1000847</v>
      </c>
      <c r="B849" t="n">
        <v>1</v>
      </c>
      <c r="C849" t="n">
        <v>847</v>
      </c>
      <c r="D849" t="n">
        <v>-0.4904</v>
      </c>
      <c r="E849" t="n">
        <v>15.873</v>
      </c>
      <c r="F849" t="n">
        <v>0.07817</v>
      </c>
    </row>
    <row r="850">
      <c r="A850" t="n">
        <v>1000848</v>
      </c>
      <c r="B850" t="n">
        <v>1</v>
      </c>
      <c r="C850" t="n">
        <v>848</v>
      </c>
      <c r="D850" t="n">
        <v>-0.4893</v>
      </c>
      <c r="E850" t="n">
        <v>15.8718</v>
      </c>
      <c r="F850" t="n">
        <v>0.07817</v>
      </c>
    </row>
    <row r="851">
      <c r="A851" t="n">
        <v>1000849</v>
      </c>
      <c r="B851" t="n">
        <v>1</v>
      </c>
      <c r="C851" t="n">
        <v>849</v>
      </c>
      <c r="D851" t="n">
        <v>-0.4883</v>
      </c>
      <c r="E851" t="n">
        <v>15.8706</v>
      </c>
      <c r="F851" t="n">
        <v>0.07817</v>
      </c>
    </row>
    <row r="852">
      <c r="A852" t="n">
        <v>1000850</v>
      </c>
      <c r="B852" t="n">
        <v>1</v>
      </c>
      <c r="C852" t="n">
        <v>850</v>
      </c>
      <c r="D852" t="n">
        <v>-0.4873</v>
      </c>
      <c r="E852" t="n">
        <v>15.8694</v>
      </c>
      <c r="F852" t="n">
        <v>0.07818</v>
      </c>
    </row>
    <row r="853">
      <c r="A853" t="n">
        <v>1000851</v>
      </c>
      <c r="B853" t="n">
        <v>1</v>
      </c>
      <c r="C853" t="n">
        <v>851</v>
      </c>
      <c r="D853" t="n">
        <v>-0.4863</v>
      </c>
      <c r="E853" t="n">
        <v>15.8682</v>
      </c>
      <c r="F853" t="n">
        <v>0.07818</v>
      </c>
    </row>
    <row r="854">
      <c r="A854" t="n">
        <v>1000852</v>
      </c>
      <c r="B854" t="n">
        <v>1</v>
      </c>
      <c r="C854" t="n">
        <v>852</v>
      </c>
      <c r="D854" t="n">
        <v>-0.4853</v>
      </c>
      <c r="E854" t="n">
        <v>15.867</v>
      </c>
      <c r="F854" t="n">
        <v>0.07818</v>
      </c>
    </row>
    <row r="855">
      <c r="A855" t="n">
        <v>1000853</v>
      </c>
      <c r="B855" t="n">
        <v>1</v>
      </c>
      <c r="C855" t="n">
        <v>853</v>
      </c>
      <c r="D855" t="n">
        <v>-0.4843</v>
      </c>
      <c r="E855" t="n">
        <v>15.8658</v>
      </c>
      <c r="F855" t="n">
        <v>0.07819</v>
      </c>
    </row>
    <row r="856">
      <c r="A856" t="n">
        <v>1000854</v>
      </c>
      <c r="B856" t="n">
        <v>1</v>
      </c>
      <c r="C856" t="n">
        <v>854</v>
      </c>
      <c r="D856" t="n">
        <v>-0.4833</v>
      </c>
      <c r="E856" t="n">
        <v>15.8646</v>
      </c>
      <c r="F856" t="n">
        <v>0.07819</v>
      </c>
    </row>
    <row r="857">
      <c r="A857" t="n">
        <v>1000855</v>
      </c>
      <c r="B857" t="n">
        <v>1</v>
      </c>
      <c r="C857" t="n">
        <v>855</v>
      </c>
      <c r="D857" t="n">
        <v>-0.4823</v>
      </c>
      <c r="E857" t="n">
        <v>15.8634</v>
      </c>
      <c r="F857" t="n">
        <v>0.07819</v>
      </c>
    </row>
    <row r="858">
      <c r="A858" t="n">
        <v>1000856</v>
      </c>
      <c r="B858" t="n">
        <v>1</v>
      </c>
      <c r="C858" t="n">
        <v>856</v>
      </c>
      <c r="D858" t="n">
        <v>-0.4813</v>
      </c>
      <c r="E858" t="n">
        <v>15.8622</v>
      </c>
      <c r="F858" t="n">
        <v>0.07820000000000001</v>
      </c>
    </row>
    <row r="859">
      <c r="A859" t="n">
        <v>1000857</v>
      </c>
      <c r="B859" t="n">
        <v>1</v>
      </c>
      <c r="C859" t="n">
        <v>857</v>
      </c>
      <c r="D859" t="n">
        <v>-0.4803</v>
      </c>
      <c r="E859" t="n">
        <v>15.8611</v>
      </c>
      <c r="F859" t="n">
        <v>0.07820000000000001</v>
      </c>
    </row>
    <row r="860">
      <c r="A860" t="n">
        <v>1000858</v>
      </c>
      <c r="B860" t="n">
        <v>1</v>
      </c>
      <c r="C860" t="n">
        <v>858</v>
      </c>
      <c r="D860" t="n">
        <v>-0.4793</v>
      </c>
      <c r="E860" t="n">
        <v>15.8599</v>
      </c>
      <c r="F860" t="n">
        <v>0.07820000000000001</v>
      </c>
    </row>
    <row r="861">
      <c r="A861" t="n">
        <v>1000859</v>
      </c>
      <c r="B861" t="n">
        <v>1</v>
      </c>
      <c r="C861" t="n">
        <v>859</v>
      </c>
      <c r="D861" t="n">
        <v>-0.4783</v>
      </c>
      <c r="E861" t="n">
        <v>15.8587</v>
      </c>
      <c r="F861" t="n">
        <v>0.07821</v>
      </c>
    </row>
    <row r="862">
      <c r="A862" t="n">
        <v>1000860</v>
      </c>
      <c r="B862" t="n">
        <v>1</v>
      </c>
      <c r="C862" t="n">
        <v>860</v>
      </c>
      <c r="D862" t="n">
        <v>-0.4773</v>
      </c>
      <c r="E862" t="n">
        <v>15.8575</v>
      </c>
      <c r="F862" t="n">
        <v>0.07821</v>
      </c>
    </row>
    <row r="863">
      <c r="A863" t="n">
        <v>1000861</v>
      </c>
      <c r="B863" t="n">
        <v>1</v>
      </c>
      <c r="C863" t="n">
        <v>861</v>
      </c>
      <c r="D863" t="n">
        <v>-0.4763</v>
      </c>
      <c r="E863" t="n">
        <v>15.8563</v>
      </c>
      <c r="F863" t="n">
        <v>0.07821</v>
      </c>
    </row>
    <row r="864">
      <c r="A864" t="n">
        <v>1000862</v>
      </c>
      <c r="B864" t="n">
        <v>1</v>
      </c>
      <c r="C864" t="n">
        <v>862</v>
      </c>
      <c r="D864" t="n">
        <v>-0.4753</v>
      </c>
      <c r="E864" t="n">
        <v>15.8551</v>
      </c>
      <c r="F864" t="n">
        <v>0.07822</v>
      </c>
    </row>
    <row r="865">
      <c r="A865" t="n">
        <v>1000863</v>
      </c>
      <c r="B865" t="n">
        <v>1</v>
      </c>
      <c r="C865" t="n">
        <v>863</v>
      </c>
      <c r="D865" t="n">
        <v>-0.4743</v>
      </c>
      <c r="E865" t="n">
        <v>15.8539</v>
      </c>
      <c r="F865" t="n">
        <v>0.07822</v>
      </c>
    </row>
    <row r="866">
      <c r="A866" t="n">
        <v>1000864</v>
      </c>
      <c r="B866" t="n">
        <v>1</v>
      </c>
      <c r="C866" t="n">
        <v>864</v>
      </c>
      <c r="D866" t="n">
        <v>-0.4733</v>
      </c>
      <c r="E866" t="n">
        <v>15.8527</v>
      </c>
      <c r="F866" t="n">
        <v>0.07822</v>
      </c>
    </row>
    <row r="867">
      <c r="A867" t="n">
        <v>1000865</v>
      </c>
      <c r="B867" t="n">
        <v>1</v>
      </c>
      <c r="C867" t="n">
        <v>865</v>
      </c>
      <c r="D867" t="n">
        <v>-0.4723</v>
      </c>
      <c r="E867" t="n">
        <v>15.8515</v>
      </c>
      <c r="F867" t="n">
        <v>0.07822999999999999</v>
      </c>
    </row>
    <row r="868">
      <c r="A868" t="n">
        <v>1000866</v>
      </c>
      <c r="B868" t="n">
        <v>1</v>
      </c>
      <c r="C868" t="n">
        <v>866</v>
      </c>
      <c r="D868" t="n">
        <v>-0.4713</v>
      </c>
      <c r="E868" t="n">
        <v>15.8503</v>
      </c>
      <c r="F868" t="n">
        <v>0.07822999999999999</v>
      </c>
    </row>
    <row r="869">
      <c r="A869" t="n">
        <v>1000867</v>
      </c>
      <c r="B869" t="n">
        <v>1</v>
      </c>
      <c r="C869" t="n">
        <v>867</v>
      </c>
      <c r="D869" t="n">
        <v>-0.4704</v>
      </c>
      <c r="E869" t="n">
        <v>15.8491</v>
      </c>
      <c r="F869" t="n">
        <v>0.07824</v>
      </c>
    </row>
    <row r="870">
      <c r="A870" t="n">
        <v>1000868</v>
      </c>
      <c r="B870" t="n">
        <v>1</v>
      </c>
      <c r="C870" t="n">
        <v>868</v>
      </c>
      <c r="D870" t="n">
        <v>-0.4694</v>
      </c>
      <c r="E870" t="n">
        <v>15.848</v>
      </c>
      <c r="F870" t="n">
        <v>0.07824</v>
      </c>
    </row>
    <row r="871">
      <c r="A871" t="n">
        <v>1000869</v>
      </c>
      <c r="B871" t="n">
        <v>1</v>
      </c>
      <c r="C871" t="n">
        <v>869</v>
      </c>
      <c r="D871" t="n">
        <v>-0.4684</v>
      </c>
      <c r="E871" t="n">
        <v>15.8468</v>
      </c>
      <c r="F871" t="n">
        <v>0.07824</v>
      </c>
    </row>
    <row r="872">
      <c r="A872" t="n">
        <v>1000870</v>
      </c>
      <c r="B872" t="n">
        <v>1</v>
      </c>
      <c r="C872" t="n">
        <v>870</v>
      </c>
      <c r="D872" t="n">
        <v>-0.4674</v>
      </c>
      <c r="E872" t="n">
        <v>15.8456</v>
      </c>
      <c r="F872" t="n">
        <v>0.07825</v>
      </c>
    </row>
    <row r="873">
      <c r="A873" t="n">
        <v>1000871</v>
      </c>
      <c r="B873" t="n">
        <v>1</v>
      </c>
      <c r="C873" t="n">
        <v>871</v>
      </c>
      <c r="D873" t="n">
        <v>-0.4665</v>
      </c>
      <c r="E873" t="n">
        <v>15.8444</v>
      </c>
      <c r="F873" t="n">
        <v>0.07825</v>
      </c>
    </row>
    <row r="874">
      <c r="A874" t="n">
        <v>1000872</v>
      </c>
      <c r="B874" t="n">
        <v>1</v>
      </c>
      <c r="C874" t="n">
        <v>872</v>
      </c>
      <c r="D874" t="n">
        <v>-0.4655</v>
      </c>
      <c r="E874" t="n">
        <v>15.8432</v>
      </c>
      <c r="F874" t="n">
        <v>0.07825</v>
      </c>
    </row>
    <row r="875">
      <c r="A875" t="n">
        <v>1000873</v>
      </c>
      <c r="B875" t="n">
        <v>1</v>
      </c>
      <c r="C875" t="n">
        <v>873</v>
      </c>
      <c r="D875" t="n">
        <v>-0.4645</v>
      </c>
      <c r="E875" t="n">
        <v>15.842</v>
      </c>
      <c r="F875" t="n">
        <v>0.07826</v>
      </c>
    </row>
    <row r="876">
      <c r="A876" t="n">
        <v>1000874</v>
      </c>
      <c r="B876" t="n">
        <v>1</v>
      </c>
      <c r="C876" t="n">
        <v>874</v>
      </c>
      <c r="D876" t="n">
        <v>-0.4636</v>
      </c>
      <c r="E876" t="n">
        <v>15.8409</v>
      </c>
      <c r="F876" t="n">
        <v>0.07826</v>
      </c>
    </row>
    <row r="877">
      <c r="A877" t="n">
        <v>1000875</v>
      </c>
      <c r="B877" t="n">
        <v>1</v>
      </c>
      <c r="C877" t="n">
        <v>875</v>
      </c>
      <c r="D877" t="n">
        <v>-0.4626</v>
      </c>
      <c r="E877" t="n">
        <v>15.8397</v>
      </c>
      <c r="F877" t="n">
        <v>0.07826</v>
      </c>
    </row>
    <row r="878">
      <c r="A878" t="n">
        <v>1000876</v>
      </c>
      <c r="B878" t="n">
        <v>1</v>
      </c>
      <c r="C878" t="n">
        <v>876</v>
      </c>
      <c r="D878" t="n">
        <v>-0.4616</v>
      </c>
      <c r="E878" t="n">
        <v>15.8385</v>
      </c>
      <c r="F878" t="n">
        <v>0.07827000000000001</v>
      </c>
    </row>
    <row r="879">
      <c r="A879" t="n">
        <v>1000877</v>
      </c>
      <c r="B879" t="n">
        <v>1</v>
      </c>
      <c r="C879" t="n">
        <v>877</v>
      </c>
      <c r="D879" t="n">
        <v>-0.4607</v>
      </c>
      <c r="E879" t="n">
        <v>15.8373</v>
      </c>
      <c r="F879" t="n">
        <v>0.07827000000000001</v>
      </c>
    </row>
    <row r="880">
      <c r="A880" t="n">
        <v>1000878</v>
      </c>
      <c r="B880" t="n">
        <v>1</v>
      </c>
      <c r="C880" t="n">
        <v>878</v>
      </c>
      <c r="D880" t="n">
        <v>-0.4597</v>
      </c>
      <c r="E880" t="n">
        <v>15.8361</v>
      </c>
      <c r="F880" t="n">
        <v>0.07828</v>
      </c>
    </row>
    <row r="881">
      <c r="A881" t="n">
        <v>1000879</v>
      </c>
      <c r="B881" t="n">
        <v>1</v>
      </c>
      <c r="C881" t="n">
        <v>879</v>
      </c>
      <c r="D881" t="n">
        <v>-0.4587</v>
      </c>
      <c r="E881" t="n">
        <v>15.835</v>
      </c>
      <c r="F881" t="n">
        <v>0.07828</v>
      </c>
    </row>
    <row r="882">
      <c r="A882" t="n">
        <v>1000880</v>
      </c>
      <c r="B882" t="n">
        <v>1</v>
      </c>
      <c r="C882" t="n">
        <v>880</v>
      </c>
      <c r="D882" t="n">
        <v>-0.4578</v>
      </c>
      <c r="E882" t="n">
        <v>15.8338</v>
      </c>
      <c r="F882" t="n">
        <v>0.07828</v>
      </c>
    </row>
    <row r="883">
      <c r="A883" t="n">
        <v>1000881</v>
      </c>
      <c r="B883" t="n">
        <v>1</v>
      </c>
      <c r="C883" t="n">
        <v>881</v>
      </c>
      <c r="D883" t="n">
        <v>-0.4568</v>
      </c>
      <c r="E883" t="n">
        <v>15.8326</v>
      </c>
      <c r="F883" t="n">
        <v>0.07829</v>
      </c>
    </row>
    <row r="884">
      <c r="A884" t="n">
        <v>1000882</v>
      </c>
      <c r="B884" t="n">
        <v>1</v>
      </c>
      <c r="C884" t="n">
        <v>882</v>
      </c>
      <c r="D884" t="n">
        <v>-0.4559</v>
      </c>
      <c r="E884" t="n">
        <v>15.8314</v>
      </c>
      <c r="F884" t="n">
        <v>0.07829</v>
      </c>
    </row>
    <row r="885">
      <c r="A885" t="n">
        <v>1000883</v>
      </c>
      <c r="B885" t="n">
        <v>1</v>
      </c>
      <c r="C885" t="n">
        <v>883</v>
      </c>
      <c r="D885" t="n">
        <v>-0.4549</v>
      </c>
      <c r="E885" t="n">
        <v>15.8303</v>
      </c>
      <c r="F885" t="n">
        <v>0.07829</v>
      </c>
    </row>
    <row r="886">
      <c r="A886" t="n">
        <v>1000884</v>
      </c>
      <c r="B886" t="n">
        <v>1</v>
      </c>
      <c r="C886" t="n">
        <v>884</v>
      </c>
      <c r="D886" t="n">
        <v>-0.454</v>
      </c>
      <c r="E886" t="n">
        <v>15.8291</v>
      </c>
      <c r="F886" t="n">
        <v>0.07829999999999999</v>
      </c>
    </row>
    <row r="887">
      <c r="A887" t="n">
        <v>1000885</v>
      </c>
      <c r="B887" t="n">
        <v>1</v>
      </c>
      <c r="C887" t="n">
        <v>885</v>
      </c>
      <c r="D887" t="n">
        <v>-0.4531</v>
      </c>
      <c r="E887" t="n">
        <v>15.8279</v>
      </c>
      <c r="F887" t="n">
        <v>0.07829999999999999</v>
      </c>
    </row>
    <row r="888">
      <c r="A888" t="n">
        <v>1000886</v>
      </c>
      <c r="B888" t="n">
        <v>1</v>
      </c>
      <c r="C888" t="n">
        <v>886</v>
      </c>
      <c r="D888" t="n">
        <v>-0.4521</v>
      </c>
      <c r="E888" t="n">
        <v>15.8267</v>
      </c>
      <c r="F888" t="n">
        <v>0.07831</v>
      </c>
    </row>
    <row r="889">
      <c r="A889" t="n">
        <v>1000887</v>
      </c>
      <c r="B889" t="n">
        <v>1</v>
      </c>
      <c r="C889" t="n">
        <v>887</v>
      </c>
      <c r="D889" t="n">
        <v>-0.4512</v>
      </c>
      <c r="E889" t="n">
        <v>15.8256</v>
      </c>
      <c r="F889" t="n">
        <v>0.07831</v>
      </c>
    </row>
    <row r="890">
      <c r="A890" t="n">
        <v>1000888</v>
      </c>
      <c r="B890" t="n">
        <v>1</v>
      </c>
      <c r="C890" t="n">
        <v>888</v>
      </c>
      <c r="D890" t="n">
        <v>-0.4502</v>
      </c>
      <c r="E890" t="n">
        <v>15.8244</v>
      </c>
      <c r="F890" t="n">
        <v>0.07831</v>
      </c>
    </row>
    <row r="891">
      <c r="A891" t="n">
        <v>1000889</v>
      </c>
      <c r="B891" t="n">
        <v>1</v>
      </c>
      <c r="C891" t="n">
        <v>889</v>
      </c>
      <c r="D891" t="n">
        <v>-0.4493</v>
      </c>
      <c r="E891" t="n">
        <v>15.8232</v>
      </c>
      <c r="F891" t="n">
        <v>0.07832</v>
      </c>
    </row>
    <row r="892">
      <c r="A892" t="n">
        <v>1000890</v>
      </c>
      <c r="B892" t="n">
        <v>1</v>
      </c>
      <c r="C892" t="n">
        <v>890</v>
      </c>
      <c r="D892" t="n">
        <v>-0.4484</v>
      </c>
      <c r="E892" t="n">
        <v>15.8221</v>
      </c>
      <c r="F892" t="n">
        <v>0.07832</v>
      </c>
    </row>
    <row r="893">
      <c r="A893" t="n">
        <v>1000891</v>
      </c>
      <c r="B893" t="n">
        <v>1</v>
      </c>
      <c r="C893" t="n">
        <v>891</v>
      </c>
      <c r="D893" t="n">
        <v>-0.4474</v>
      </c>
      <c r="E893" t="n">
        <v>15.8209</v>
      </c>
      <c r="F893" t="n">
        <v>0.07832</v>
      </c>
    </row>
    <row r="894">
      <c r="A894" t="n">
        <v>1000892</v>
      </c>
      <c r="B894" t="n">
        <v>1</v>
      </c>
      <c r="C894" t="n">
        <v>892</v>
      </c>
      <c r="D894" t="n">
        <v>-0.4465</v>
      </c>
      <c r="E894" t="n">
        <v>15.8197</v>
      </c>
      <c r="F894" t="n">
        <v>0.07833</v>
      </c>
    </row>
    <row r="895">
      <c r="A895" t="n">
        <v>1000893</v>
      </c>
      <c r="B895" t="n">
        <v>1</v>
      </c>
      <c r="C895" t="n">
        <v>893</v>
      </c>
      <c r="D895" t="n">
        <v>-0.4456</v>
      </c>
      <c r="E895" t="n">
        <v>15.8186</v>
      </c>
      <c r="F895" t="n">
        <v>0.07833</v>
      </c>
    </row>
    <row r="896">
      <c r="A896" t="n">
        <v>1000894</v>
      </c>
      <c r="B896" t="n">
        <v>1</v>
      </c>
      <c r="C896" t="n">
        <v>894</v>
      </c>
      <c r="D896" t="n">
        <v>-0.4446</v>
      </c>
      <c r="E896" t="n">
        <v>15.8174</v>
      </c>
      <c r="F896" t="n">
        <v>0.07834000000000001</v>
      </c>
    </row>
    <row r="897">
      <c r="A897" t="n">
        <v>1000895</v>
      </c>
      <c r="B897" t="n">
        <v>1</v>
      </c>
      <c r="C897" t="n">
        <v>895</v>
      </c>
      <c r="D897" t="n">
        <v>-0.4437</v>
      </c>
      <c r="E897" t="n">
        <v>15.8162</v>
      </c>
      <c r="F897" t="n">
        <v>0.07834000000000001</v>
      </c>
    </row>
    <row r="898">
      <c r="A898" t="n">
        <v>1000896</v>
      </c>
      <c r="B898" t="n">
        <v>1</v>
      </c>
      <c r="C898" t="n">
        <v>896</v>
      </c>
      <c r="D898" t="n">
        <v>-0.4428</v>
      </c>
      <c r="E898" t="n">
        <v>15.8151</v>
      </c>
      <c r="F898" t="n">
        <v>0.07834000000000001</v>
      </c>
    </row>
    <row r="899">
      <c r="A899" t="n">
        <v>1000897</v>
      </c>
      <c r="B899" t="n">
        <v>1</v>
      </c>
      <c r="C899" t="n">
        <v>897</v>
      </c>
      <c r="D899" t="n">
        <v>-0.4419</v>
      </c>
      <c r="E899" t="n">
        <v>15.8139</v>
      </c>
      <c r="F899" t="n">
        <v>0.07835</v>
      </c>
    </row>
    <row r="900">
      <c r="A900" t="n">
        <v>1000898</v>
      </c>
      <c r="B900" t="n">
        <v>1</v>
      </c>
      <c r="C900" t="n">
        <v>898</v>
      </c>
      <c r="D900" t="n">
        <v>-0.441</v>
      </c>
      <c r="E900" t="n">
        <v>15.8127</v>
      </c>
      <c r="F900" t="n">
        <v>0.07835</v>
      </c>
    </row>
    <row r="901">
      <c r="A901" t="n">
        <v>1000899</v>
      </c>
      <c r="B901" t="n">
        <v>1</v>
      </c>
      <c r="C901" t="n">
        <v>899</v>
      </c>
      <c r="D901" t="n">
        <v>-0.4401</v>
      </c>
      <c r="E901" t="n">
        <v>15.8116</v>
      </c>
      <c r="F901" t="n">
        <v>0.07835</v>
      </c>
    </row>
    <row r="902">
      <c r="A902" t="n">
        <v>1000900</v>
      </c>
      <c r="B902" t="n">
        <v>1</v>
      </c>
      <c r="C902" t="n">
        <v>900</v>
      </c>
      <c r="D902" t="n">
        <v>-0.4391</v>
      </c>
      <c r="E902" t="n">
        <v>15.8104</v>
      </c>
      <c r="F902" t="n">
        <v>0.07836</v>
      </c>
    </row>
    <row r="903">
      <c r="A903" t="n">
        <v>1000901</v>
      </c>
      <c r="B903" t="n">
        <v>1</v>
      </c>
      <c r="C903" t="n">
        <v>901</v>
      </c>
      <c r="D903" t="n">
        <v>-0.4382</v>
      </c>
      <c r="E903" t="n">
        <v>15.8093</v>
      </c>
      <c r="F903" t="n">
        <v>0.07836</v>
      </c>
    </row>
    <row r="904">
      <c r="A904" t="n">
        <v>1000902</v>
      </c>
      <c r="B904" t="n">
        <v>1</v>
      </c>
      <c r="C904" t="n">
        <v>902</v>
      </c>
      <c r="D904" t="n">
        <v>-0.4373</v>
      </c>
      <c r="E904" t="n">
        <v>15.8081</v>
      </c>
      <c r="F904" t="n">
        <v>0.07837</v>
      </c>
    </row>
    <row r="905">
      <c r="A905" t="n">
        <v>1000903</v>
      </c>
      <c r="B905" t="n">
        <v>1</v>
      </c>
      <c r="C905" t="n">
        <v>903</v>
      </c>
      <c r="D905" t="n">
        <v>-0.4364</v>
      </c>
      <c r="E905" t="n">
        <v>15.8069</v>
      </c>
      <c r="F905" t="n">
        <v>0.07837</v>
      </c>
    </row>
    <row r="906">
      <c r="A906" t="n">
        <v>1000904</v>
      </c>
      <c r="B906" t="n">
        <v>1</v>
      </c>
      <c r="C906" t="n">
        <v>904</v>
      </c>
      <c r="D906" t="n">
        <v>-0.4355</v>
      </c>
      <c r="E906" t="n">
        <v>15.8058</v>
      </c>
      <c r="F906" t="n">
        <v>0.07837</v>
      </c>
    </row>
    <row r="907">
      <c r="A907" t="n">
        <v>1000905</v>
      </c>
      <c r="B907" t="n">
        <v>1</v>
      </c>
      <c r="C907" t="n">
        <v>905</v>
      </c>
      <c r="D907" t="n">
        <v>-0.4346</v>
      </c>
      <c r="E907" t="n">
        <v>15.8046</v>
      </c>
      <c r="F907" t="n">
        <v>0.07838000000000001</v>
      </c>
    </row>
    <row r="908">
      <c r="A908" t="n">
        <v>1000906</v>
      </c>
      <c r="B908" t="n">
        <v>1</v>
      </c>
      <c r="C908" t="n">
        <v>906</v>
      </c>
      <c r="D908" t="n">
        <v>-0.4337</v>
      </c>
      <c r="E908" t="n">
        <v>15.8035</v>
      </c>
      <c r="F908" t="n">
        <v>0.07838000000000001</v>
      </c>
    </row>
    <row r="909">
      <c r="A909" t="n">
        <v>1000907</v>
      </c>
      <c r="B909" t="n">
        <v>1</v>
      </c>
      <c r="C909" t="n">
        <v>907</v>
      </c>
      <c r="D909" t="n">
        <v>-0.4328</v>
      </c>
      <c r="E909" t="n">
        <v>15.8023</v>
      </c>
      <c r="F909" t="n">
        <v>0.07839</v>
      </c>
    </row>
    <row r="910">
      <c r="A910" t="n">
        <v>1000908</v>
      </c>
      <c r="B910" t="n">
        <v>1</v>
      </c>
      <c r="C910" t="n">
        <v>908</v>
      </c>
      <c r="D910" t="n">
        <v>-0.4319</v>
      </c>
      <c r="E910" t="n">
        <v>15.8012</v>
      </c>
      <c r="F910" t="n">
        <v>0.07839</v>
      </c>
    </row>
    <row r="911">
      <c r="A911" t="n">
        <v>1000909</v>
      </c>
      <c r="B911" t="n">
        <v>1</v>
      </c>
      <c r="C911" t="n">
        <v>909</v>
      </c>
      <c r="D911" t="n">
        <v>-0.431</v>
      </c>
      <c r="E911" t="n">
        <v>15.8</v>
      </c>
      <c r="F911" t="n">
        <v>0.07839</v>
      </c>
    </row>
    <row r="912">
      <c r="A912" t="n">
        <v>1000910</v>
      </c>
      <c r="B912" t="n">
        <v>1</v>
      </c>
      <c r="C912" t="n">
        <v>910</v>
      </c>
      <c r="D912" t="n">
        <v>-0.4301</v>
      </c>
      <c r="E912" t="n">
        <v>15.7989</v>
      </c>
      <c r="F912" t="n">
        <v>0.0784</v>
      </c>
    </row>
    <row r="913">
      <c r="A913" t="n">
        <v>1000911</v>
      </c>
      <c r="B913" t="n">
        <v>1</v>
      </c>
      <c r="C913" t="n">
        <v>911</v>
      </c>
      <c r="D913" t="n">
        <v>-0.4293</v>
      </c>
      <c r="E913" t="n">
        <v>15.7977</v>
      </c>
      <c r="F913" t="n">
        <v>0.0784</v>
      </c>
    </row>
    <row r="914">
      <c r="A914" t="n">
        <v>1000912</v>
      </c>
      <c r="B914" t="n">
        <v>1</v>
      </c>
      <c r="C914" t="n">
        <v>912</v>
      </c>
      <c r="D914" t="n">
        <v>-0.4284</v>
      </c>
      <c r="E914" t="n">
        <v>15.7966</v>
      </c>
      <c r="F914" t="n">
        <v>0.07840999999999999</v>
      </c>
    </row>
    <row r="915">
      <c r="A915" t="n">
        <v>1000913</v>
      </c>
      <c r="B915" t="n">
        <v>1</v>
      </c>
      <c r="C915" t="n">
        <v>913</v>
      </c>
      <c r="D915" t="n">
        <v>-0.4275</v>
      </c>
      <c r="E915" t="n">
        <v>15.7954</v>
      </c>
      <c r="F915" t="n">
        <v>0.07840999999999999</v>
      </c>
    </row>
    <row r="916">
      <c r="A916" t="n">
        <v>1000914</v>
      </c>
      <c r="B916" t="n">
        <v>1</v>
      </c>
      <c r="C916" t="n">
        <v>914</v>
      </c>
      <c r="D916" t="n">
        <v>-0.4266</v>
      </c>
      <c r="E916" t="n">
        <v>15.7943</v>
      </c>
      <c r="F916" t="n">
        <v>0.07840999999999999</v>
      </c>
    </row>
    <row r="917">
      <c r="A917" t="n">
        <v>1000915</v>
      </c>
      <c r="B917" t="n">
        <v>1</v>
      </c>
      <c r="C917" t="n">
        <v>915</v>
      </c>
      <c r="D917" t="n">
        <v>-0.4257</v>
      </c>
      <c r="E917" t="n">
        <v>15.7931</v>
      </c>
      <c r="F917" t="n">
        <v>0.07842</v>
      </c>
    </row>
    <row r="918">
      <c r="A918" t="n">
        <v>1000916</v>
      </c>
      <c r="B918" t="n">
        <v>1</v>
      </c>
      <c r="C918" t="n">
        <v>916</v>
      </c>
      <c r="D918" t="n">
        <v>-0.4249</v>
      </c>
      <c r="E918" t="n">
        <v>15.792</v>
      </c>
      <c r="F918" t="n">
        <v>0.07842</v>
      </c>
    </row>
    <row r="919">
      <c r="A919" t="n">
        <v>1000917</v>
      </c>
      <c r="B919" t="n">
        <v>1</v>
      </c>
      <c r="C919" t="n">
        <v>917</v>
      </c>
      <c r="D919" t="n">
        <v>-0.424</v>
      </c>
      <c r="E919" t="n">
        <v>15.7908</v>
      </c>
      <c r="F919" t="n">
        <v>0.07843</v>
      </c>
    </row>
    <row r="920">
      <c r="A920" t="n">
        <v>1000918</v>
      </c>
      <c r="B920" t="n">
        <v>1</v>
      </c>
      <c r="C920" t="n">
        <v>918</v>
      </c>
      <c r="D920" t="n">
        <v>-0.4231</v>
      </c>
      <c r="E920" t="n">
        <v>15.7897</v>
      </c>
      <c r="F920" t="n">
        <v>0.07843</v>
      </c>
    </row>
    <row r="921">
      <c r="A921" t="n">
        <v>1000919</v>
      </c>
      <c r="B921" t="n">
        <v>1</v>
      </c>
      <c r="C921" t="n">
        <v>919</v>
      </c>
      <c r="D921" t="n">
        <v>-0.4222</v>
      </c>
      <c r="E921" t="n">
        <v>15.7885</v>
      </c>
      <c r="F921" t="n">
        <v>0.07843</v>
      </c>
    </row>
    <row r="922">
      <c r="A922" t="n">
        <v>1000920</v>
      </c>
      <c r="B922" t="n">
        <v>1</v>
      </c>
      <c r="C922" t="n">
        <v>920</v>
      </c>
      <c r="D922" t="n">
        <v>-0.4214</v>
      </c>
      <c r="E922" t="n">
        <v>15.7874</v>
      </c>
      <c r="F922" t="n">
        <v>0.07844</v>
      </c>
    </row>
    <row r="923">
      <c r="A923" t="n">
        <v>1000921</v>
      </c>
      <c r="B923" t="n">
        <v>1</v>
      </c>
      <c r="C923" t="n">
        <v>921</v>
      </c>
      <c r="D923" t="n">
        <v>-0.4205</v>
      </c>
      <c r="E923" t="n">
        <v>15.7862</v>
      </c>
      <c r="F923" t="n">
        <v>0.07844</v>
      </c>
    </row>
    <row r="924">
      <c r="A924" t="n">
        <v>1000922</v>
      </c>
      <c r="B924" t="n">
        <v>1</v>
      </c>
      <c r="C924" t="n">
        <v>922</v>
      </c>
      <c r="D924" t="n">
        <v>-0.4196</v>
      </c>
      <c r="E924" t="n">
        <v>15.7851</v>
      </c>
      <c r="F924" t="n">
        <v>0.07845000000000001</v>
      </c>
    </row>
    <row r="925">
      <c r="A925" t="n">
        <v>1000923</v>
      </c>
      <c r="B925" t="n">
        <v>1</v>
      </c>
      <c r="C925" t="n">
        <v>923</v>
      </c>
      <c r="D925" t="n">
        <v>-0.4188</v>
      </c>
      <c r="E925" t="n">
        <v>15.7839</v>
      </c>
      <c r="F925" t="n">
        <v>0.07845000000000001</v>
      </c>
    </row>
    <row r="926">
      <c r="A926" t="n">
        <v>1000924</v>
      </c>
      <c r="B926" t="n">
        <v>1</v>
      </c>
      <c r="C926" t="n">
        <v>924</v>
      </c>
      <c r="D926" t="n">
        <v>-0.4179</v>
      </c>
      <c r="E926" t="n">
        <v>15.7828</v>
      </c>
      <c r="F926" t="n">
        <v>0.07845000000000001</v>
      </c>
    </row>
    <row r="927">
      <c r="A927" t="n">
        <v>1000925</v>
      </c>
      <c r="B927" t="n">
        <v>1</v>
      </c>
      <c r="C927" t="n">
        <v>925</v>
      </c>
      <c r="D927" t="n">
        <v>-0.4171</v>
      </c>
      <c r="E927" t="n">
        <v>15.7817</v>
      </c>
      <c r="F927" t="n">
        <v>0.07846</v>
      </c>
    </row>
    <row r="928">
      <c r="A928" t="n">
        <v>1000926</v>
      </c>
      <c r="B928" t="n">
        <v>1</v>
      </c>
      <c r="C928" t="n">
        <v>926</v>
      </c>
      <c r="D928" t="n">
        <v>-0.4162</v>
      </c>
      <c r="E928" t="n">
        <v>15.7805</v>
      </c>
      <c r="F928" t="n">
        <v>0.07846</v>
      </c>
    </row>
    <row r="929">
      <c r="A929" t="n">
        <v>1000927</v>
      </c>
      <c r="B929" t="n">
        <v>1</v>
      </c>
      <c r="C929" t="n">
        <v>927</v>
      </c>
      <c r="D929" t="n">
        <v>-0.4154</v>
      </c>
      <c r="E929" t="n">
        <v>15.7794</v>
      </c>
      <c r="F929" t="n">
        <v>0.07847</v>
      </c>
    </row>
    <row r="930">
      <c r="A930" t="n">
        <v>1000928</v>
      </c>
      <c r="B930" t="n">
        <v>1</v>
      </c>
      <c r="C930" t="n">
        <v>928</v>
      </c>
      <c r="D930" t="n">
        <v>-0.4145</v>
      </c>
      <c r="E930" t="n">
        <v>15.7782</v>
      </c>
      <c r="F930" t="n">
        <v>0.07847</v>
      </c>
    </row>
    <row r="931">
      <c r="A931" t="n">
        <v>1000929</v>
      </c>
      <c r="B931" t="n">
        <v>1</v>
      </c>
      <c r="C931" t="n">
        <v>929</v>
      </c>
      <c r="D931" t="n">
        <v>-0.4137</v>
      </c>
      <c r="E931" t="n">
        <v>15.7771</v>
      </c>
      <c r="F931" t="n">
        <v>0.07847999999999999</v>
      </c>
    </row>
    <row r="932">
      <c r="A932" t="n">
        <v>1000930</v>
      </c>
      <c r="B932" t="n">
        <v>1</v>
      </c>
      <c r="C932" t="n">
        <v>930</v>
      </c>
      <c r="D932" t="n">
        <v>-0.4128</v>
      </c>
      <c r="E932" t="n">
        <v>15.776</v>
      </c>
      <c r="F932" t="n">
        <v>0.07847999999999999</v>
      </c>
    </row>
    <row r="933">
      <c r="A933" t="n">
        <v>1000931</v>
      </c>
      <c r="B933" t="n">
        <v>1</v>
      </c>
      <c r="C933" t="n">
        <v>931</v>
      </c>
      <c r="D933" t="n">
        <v>-0.412</v>
      </c>
      <c r="E933" t="n">
        <v>15.7748</v>
      </c>
      <c r="F933" t="n">
        <v>0.07847999999999999</v>
      </c>
    </row>
    <row r="934">
      <c r="A934" t="n">
        <v>1000932</v>
      </c>
      <c r="B934" t="n">
        <v>1</v>
      </c>
      <c r="C934" t="n">
        <v>932</v>
      </c>
      <c r="D934" t="n">
        <v>-0.4111</v>
      </c>
      <c r="E934" t="n">
        <v>15.7737</v>
      </c>
      <c r="F934" t="n">
        <v>0.07849</v>
      </c>
    </row>
    <row r="935">
      <c r="A935" t="n">
        <v>1000933</v>
      </c>
      <c r="B935" t="n">
        <v>1</v>
      </c>
      <c r="C935" t="n">
        <v>933</v>
      </c>
      <c r="D935" t="n">
        <v>-0.4103</v>
      </c>
      <c r="E935" t="n">
        <v>15.7726</v>
      </c>
      <c r="F935" t="n">
        <v>0.07849</v>
      </c>
    </row>
    <row r="936">
      <c r="A936" t="n">
        <v>1000934</v>
      </c>
      <c r="B936" t="n">
        <v>1</v>
      </c>
      <c r="C936" t="n">
        <v>934</v>
      </c>
      <c r="D936" t="n">
        <v>-0.4095</v>
      </c>
      <c r="E936" t="n">
        <v>15.7714</v>
      </c>
      <c r="F936" t="n">
        <v>0.0785</v>
      </c>
    </row>
    <row r="937">
      <c r="A937" t="n">
        <v>1000935</v>
      </c>
      <c r="B937" t="n">
        <v>1</v>
      </c>
      <c r="C937" t="n">
        <v>935</v>
      </c>
      <c r="D937" t="n">
        <v>-0.4086</v>
      </c>
      <c r="E937" t="n">
        <v>15.7703</v>
      </c>
      <c r="F937" t="n">
        <v>0.0785</v>
      </c>
    </row>
    <row r="938">
      <c r="A938" t="n">
        <v>1000936</v>
      </c>
      <c r="B938" t="n">
        <v>1</v>
      </c>
      <c r="C938" t="n">
        <v>936</v>
      </c>
      <c r="D938" t="n">
        <v>-0.4078</v>
      </c>
      <c r="E938" t="n">
        <v>15.7692</v>
      </c>
      <c r="F938" t="n">
        <v>0.0785</v>
      </c>
    </row>
    <row r="939">
      <c r="A939" t="n">
        <v>1000937</v>
      </c>
      <c r="B939" t="n">
        <v>1</v>
      </c>
      <c r="C939" t="n">
        <v>937</v>
      </c>
      <c r="D939" t="n">
        <v>-0.407</v>
      </c>
      <c r="E939" t="n">
        <v>15.768</v>
      </c>
      <c r="F939" t="n">
        <v>0.07851</v>
      </c>
    </row>
    <row r="940">
      <c r="A940" t="n">
        <v>1000938</v>
      </c>
      <c r="B940" t="n">
        <v>1</v>
      </c>
      <c r="C940" t="n">
        <v>938</v>
      </c>
      <c r="D940" t="n">
        <v>-0.4062</v>
      </c>
      <c r="E940" t="n">
        <v>15.7669</v>
      </c>
      <c r="F940" t="n">
        <v>0.07851</v>
      </c>
    </row>
    <row r="941">
      <c r="A941" t="n">
        <v>1000939</v>
      </c>
      <c r="B941" t="n">
        <v>1</v>
      </c>
      <c r="C941" t="n">
        <v>939</v>
      </c>
      <c r="D941" t="n">
        <v>-0.4053</v>
      </c>
      <c r="E941" t="n">
        <v>15.7658</v>
      </c>
      <c r="F941" t="n">
        <v>0.07852000000000001</v>
      </c>
    </row>
    <row r="942">
      <c r="A942" t="n">
        <v>1000940</v>
      </c>
      <c r="B942" t="n">
        <v>1</v>
      </c>
      <c r="C942" t="n">
        <v>940</v>
      </c>
      <c r="D942" t="n">
        <v>-0.4045</v>
      </c>
      <c r="E942" t="n">
        <v>15.7646</v>
      </c>
      <c r="F942" t="n">
        <v>0.07852000000000001</v>
      </c>
    </row>
    <row r="943">
      <c r="A943" t="n">
        <v>1000941</v>
      </c>
      <c r="B943" t="n">
        <v>1</v>
      </c>
      <c r="C943" t="n">
        <v>941</v>
      </c>
      <c r="D943" t="n">
        <v>-0.4037</v>
      </c>
      <c r="E943" t="n">
        <v>15.7635</v>
      </c>
      <c r="F943" t="n">
        <v>0.07853</v>
      </c>
    </row>
    <row r="944">
      <c r="A944" t="n">
        <v>1000942</v>
      </c>
      <c r="B944" t="n">
        <v>1</v>
      </c>
      <c r="C944" t="n">
        <v>942</v>
      </c>
      <c r="D944" t="n">
        <v>-0.4029</v>
      </c>
      <c r="E944" t="n">
        <v>15.7624</v>
      </c>
      <c r="F944" t="n">
        <v>0.07853</v>
      </c>
    </row>
    <row r="945">
      <c r="A945" t="n">
        <v>1000943</v>
      </c>
      <c r="B945" t="n">
        <v>1</v>
      </c>
      <c r="C945" t="n">
        <v>943</v>
      </c>
      <c r="D945" t="n">
        <v>-0.4021</v>
      </c>
      <c r="E945" t="n">
        <v>15.7612</v>
      </c>
      <c r="F945" t="n">
        <v>0.07853</v>
      </c>
    </row>
    <row r="946">
      <c r="A946" t="n">
        <v>1000944</v>
      </c>
      <c r="B946" t="n">
        <v>1</v>
      </c>
      <c r="C946" t="n">
        <v>944</v>
      </c>
      <c r="D946" t="n">
        <v>-0.4013</v>
      </c>
      <c r="E946" t="n">
        <v>15.7601</v>
      </c>
      <c r="F946" t="n">
        <v>0.07854</v>
      </c>
    </row>
    <row r="947">
      <c r="A947" t="n">
        <v>1000945</v>
      </c>
      <c r="B947" t="n">
        <v>1</v>
      </c>
      <c r="C947" t="n">
        <v>945</v>
      </c>
      <c r="D947" t="n">
        <v>-0.4005</v>
      </c>
      <c r="E947" t="n">
        <v>15.759</v>
      </c>
      <c r="F947" t="n">
        <v>0.07854</v>
      </c>
    </row>
    <row r="948">
      <c r="A948" t="n">
        <v>1000946</v>
      </c>
      <c r="B948" t="n">
        <v>1</v>
      </c>
      <c r="C948" t="n">
        <v>946</v>
      </c>
      <c r="D948" t="n">
        <v>-0.3997</v>
      </c>
      <c r="E948" t="n">
        <v>15.7579</v>
      </c>
      <c r="F948" t="n">
        <v>0.07854999999999999</v>
      </c>
    </row>
    <row r="949">
      <c r="A949" t="n">
        <v>1000947</v>
      </c>
      <c r="B949" t="n">
        <v>1</v>
      </c>
      <c r="C949" t="n">
        <v>947</v>
      </c>
      <c r="D949" t="n">
        <v>-0.3988</v>
      </c>
      <c r="E949" t="n">
        <v>15.7567</v>
      </c>
      <c r="F949" t="n">
        <v>0.07854999999999999</v>
      </c>
    </row>
    <row r="950">
      <c r="A950" t="n">
        <v>1000948</v>
      </c>
      <c r="B950" t="n">
        <v>1</v>
      </c>
      <c r="C950" t="n">
        <v>948</v>
      </c>
      <c r="D950" t="n">
        <v>-0.398</v>
      </c>
      <c r="E950" t="n">
        <v>15.7556</v>
      </c>
      <c r="F950" t="n">
        <v>0.07856</v>
      </c>
    </row>
    <row r="951">
      <c r="A951" t="n">
        <v>1000949</v>
      </c>
      <c r="B951" t="n">
        <v>1</v>
      </c>
      <c r="C951" t="n">
        <v>949</v>
      </c>
      <c r="D951" t="n">
        <v>-0.3973</v>
      </c>
      <c r="E951" t="n">
        <v>15.7545</v>
      </c>
      <c r="F951" t="n">
        <v>0.07856</v>
      </c>
    </row>
    <row r="952">
      <c r="A952" t="n">
        <v>1000950</v>
      </c>
      <c r="B952" t="n">
        <v>1</v>
      </c>
      <c r="C952" t="n">
        <v>950</v>
      </c>
      <c r="D952" t="n">
        <v>-0.3965</v>
      </c>
      <c r="E952" t="n">
        <v>15.7534</v>
      </c>
      <c r="F952" t="n">
        <v>0.07857</v>
      </c>
    </row>
    <row r="953">
      <c r="A953" t="n">
        <v>1000951</v>
      </c>
      <c r="B953" t="n">
        <v>1</v>
      </c>
      <c r="C953" t="n">
        <v>951</v>
      </c>
      <c r="D953" t="n">
        <v>-0.3957</v>
      </c>
      <c r="E953" t="n">
        <v>15.7522</v>
      </c>
      <c r="F953" t="n">
        <v>0.07857</v>
      </c>
    </row>
    <row r="954">
      <c r="A954" t="n">
        <v>1000952</v>
      </c>
      <c r="B954" t="n">
        <v>1</v>
      </c>
      <c r="C954" t="n">
        <v>952</v>
      </c>
      <c r="D954" t="n">
        <v>-0.3949</v>
      </c>
      <c r="E954" t="n">
        <v>15.7511</v>
      </c>
      <c r="F954" t="n">
        <v>0.07857</v>
      </c>
    </row>
    <row r="955">
      <c r="A955" t="n">
        <v>1000953</v>
      </c>
      <c r="B955" t="n">
        <v>1</v>
      </c>
      <c r="C955" t="n">
        <v>953</v>
      </c>
      <c r="D955" t="n">
        <v>-0.3941</v>
      </c>
      <c r="E955" t="n">
        <v>15.75</v>
      </c>
      <c r="F955" t="n">
        <v>0.07858</v>
      </c>
    </row>
    <row r="956">
      <c r="A956" t="n">
        <v>1000954</v>
      </c>
      <c r="B956" t="n">
        <v>1</v>
      </c>
      <c r="C956" t="n">
        <v>954</v>
      </c>
      <c r="D956" t="n">
        <v>-0.3933</v>
      </c>
      <c r="E956" t="n">
        <v>15.7489</v>
      </c>
      <c r="F956" t="n">
        <v>0.07858</v>
      </c>
    </row>
    <row r="957">
      <c r="A957" t="n">
        <v>1000955</v>
      </c>
      <c r="B957" t="n">
        <v>1</v>
      </c>
      <c r="C957" t="n">
        <v>955</v>
      </c>
      <c r="D957" t="n">
        <v>-0.3925</v>
      </c>
      <c r="E957" t="n">
        <v>15.7478</v>
      </c>
      <c r="F957" t="n">
        <v>0.07858999999999999</v>
      </c>
    </row>
    <row r="958">
      <c r="A958" t="n">
        <v>1000956</v>
      </c>
      <c r="B958" t="n">
        <v>1</v>
      </c>
      <c r="C958" t="n">
        <v>956</v>
      </c>
      <c r="D958" t="n">
        <v>-0.3917</v>
      </c>
      <c r="E958" t="n">
        <v>15.7466</v>
      </c>
      <c r="F958" t="n">
        <v>0.07858999999999999</v>
      </c>
    </row>
    <row r="959">
      <c r="A959" t="n">
        <v>1000957</v>
      </c>
      <c r="B959" t="n">
        <v>1</v>
      </c>
      <c r="C959" t="n">
        <v>957</v>
      </c>
      <c r="D959" t="n">
        <v>-0.391</v>
      </c>
      <c r="E959" t="n">
        <v>15.7455</v>
      </c>
      <c r="F959" t="n">
        <v>0.0786</v>
      </c>
    </row>
    <row r="960">
      <c r="A960" t="n">
        <v>1000958</v>
      </c>
      <c r="B960" t="n">
        <v>1</v>
      </c>
      <c r="C960" t="n">
        <v>958</v>
      </c>
      <c r="D960" t="n">
        <v>-0.3902</v>
      </c>
      <c r="E960" t="n">
        <v>15.7444</v>
      </c>
      <c r="F960" t="n">
        <v>0.0786</v>
      </c>
    </row>
    <row r="961">
      <c r="A961" t="n">
        <v>1000959</v>
      </c>
      <c r="B961" t="n">
        <v>1</v>
      </c>
      <c r="C961" t="n">
        <v>959</v>
      </c>
      <c r="D961" t="n">
        <v>-0.3894</v>
      </c>
      <c r="E961" t="n">
        <v>15.7433</v>
      </c>
      <c r="F961" t="n">
        <v>0.07861</v>
      </c>
    </row>
    <row r="962">
      <c r="A962" t="n">
        <v>1000960</v>
      </c>
      <c r="B962" t="n">
        <v>1</v>
      </c>
      <c r="C962" t="n">
        <v>960</v>
      </c>
      <c r="D962" t="n">
        <v>-0.3886</v>
      </c>
      <c r="E962" t="n">
        <v>15.7422</v>
      </c>
      <c r="F962" t="n">
        <v>0.07861</v>
      </c>
    </row>
    <row r="963">
      <c r="A963" t="n">
        <v>1000961</v>
      </c>
      <c r="B963" t="n">
        <v>1</v>
      </c>
      <c r="C963" t="n">
        <v>961</v>
      </c>
      <c r="D963" t="n">
        <v>-0.3879</v>
      </c>
      <c r="E963" t="n">
        <v>15.7411</v>
      </c>
      <c r="F963" t="n">
        <v>0.07861</v>
      </c>
    </row>
    <row r="964">
      <c r="A964" t="n">
        <v>1000962</v>
      </c>
      <c r="B964" t="n">
        <v>1</v>
      </c>
      <c r="C964" t="n">
        <v>962</v>
      </c>
      <c r="D964" t="n">
        <v>-0.3871</v>
      </c>
      <c r="E964" t="n">
        <v>15.74</v>
      </c>
      <c r="F964" t="n">
        <v>0.07862</v>
      </c>
    </row>
    <row r="965">
      <c r="A965" t="n">
        <v>1000963</v>
      </c>
      <c r="B965" t="n">
        <v>1</v>
      </c>
      <c r="C965" t="n">
        <v>963</v>
      </c>
      <c r="D965" t="n">
        <v>-0.3864</v>
      </c>
      <c r="E965" t="n">
        <v>15.7388</v>
      </c>
      <c r="F965" t="n">
        <v>0.07862</v>
      </c>
    </row>
    <row r="966">
      <c r="A966" t="n">
        <v>1000964</v>
      </c>
      <c r="B966" t="n">
        <v>1</v>
      </c>
      <c r="C966" t="n">
        <v>964</v>
      </c>
      <c r="D966" t="n">
        <v>-0.3856</v>
      </c>
      <c r="E966" t="n">
        <v>15.7377</v>
      </c>
      <c r="F966" t="n">
        <v>0.07863000000000001</v>
      </c>
    </row>
    <row r="967">
      <c r="A967" t="n">
        <v>1000965</v>
      </c>
      <c r="B967" t="n">
        <v>1</v>
      </c>
      <c r="C967" t="n">
        <v>965</v>
      </c>
      <c r="D967" t="n">
        <v>-0.3848</v>
      </c>
      <c r="E967" t="n">
        <v>15.7366</v>
      </c>
      <c r="F967" t="n">
        <v>0.07863000000000001</v>
      </c>
    </row>
    <row r="968">
      <c r="A968" t="n">
        <v>1000966</v>
      </c>
      <c r="B968" t="n">
        <v>1</v>
      </c>
      <c r="C968" t="n">
        <v>966</v>
      </c>
      <c r="D968" t="n">
        <v>-0.3841</v>
      </c>
      <c r="E968" t="n">
        <v>15.7355</v>
      </c>
      <c r="F968" t="n">
        <v>0.07864</v>
      </c>
    </row>
    <row r="969">
      <c r="A969" t="n">
        <v>1000967</v>
      </c>
      <c r="B969" t="n">
        <v>1</v>
      </c>
      <c r="C969" t="n">
        <v>967</v>
      </c>
      <c r="D969" t="n">
        <v>-0.3833</v>
      </c>
      <c r="E969" t="n">
        <v>15.7344</v>
      </c>
      <c r="F969" t="n">
        <v>0.07864</v>
      </c>
    </row>
    <row r="970">
      <c r="A970" t="n">
        <v>1000968</v>
      </c>
      <c r="B970" t="n">
        <v>1</v>
      </c>
      <c r="C970" t="n">
        <v>968</v>
      </c>
      <c r="D970" t="n">
        <v>-0.3826</v>
      </c>
      <c r="E970" t="n">
        <v>15.7333</v>
      </c>
      <c r="F970" t="n">
        <v>0.07865</v>
      </c>
    </row>
    <row r="971">
      <c r="A971" t="n">
        <v>1000969</v>
      </c>
      <c r="B971" t="n">
        <v>1</v>
      </c>
      <c r="C971" t="n">
        <v>969</v>
      </c>
      <c r="D971" t="n">
        <v>-0.3818</v>
      </c>
      <c r="E971" t="n">
        <v>15.7322</v>
      </c>
      <c r="F971" t="n">
        <v>0.07865</v>
      </c>
    </row>
    <row r="972">
      <c r="A972" t="n">
        <v>1000970</v>
      </c>
      <c r="B972" t="n">
        <v>1</v>
      </c>
      <c r="C972" t="n">
        <v>970</v>
      </c>
      <c r="D972" t="n">
        <v>-0.3811</v>
      </c>
      <c r="E972" t="n">
        <v>15.7311</v>
      </c>
      <c r="F972" t="n">
        <v>0.07865</v>
      </c>
    </row>
    <row r="973">
      <c r="A973" t="n">
        <v>1000971</v>
      </c>
      <c r="B973" t="n">
        <v>1</v>
      </c>
      <c r="C973" t="n">
        <v>971</v>
      </c>
      <c r="D973" t="n">
        <v>-0.3804</v>
      </c>
      <c r="E973" t="n">
        <v>15.73</v>
      </c>
      <c r="F973" t="n">
        <v>0.07865999999999999</v>
      </c>
    </row>
    <row r="974">
      <c r="A974" t="n">
        <v>1000972</v>
      </c>
      <c r="B974" t="n">
        <v>1</v>
      </c>
      <c r="C974" t="n">
        <v>972</v>
      </c>
      <c r="D974" t="n">
        <v>-0.3796</v>
      </c>
      <c r="E974" t="n">
        <v>15.7289</v>
      </c>
      <c r="F974" t="n">
        <v>0.07865999999999999</v>
      </c>
    </row>
    <row r="975">
      <c r="A975" t="n">
        <v>1000973</v>
      </c>
      <c r="B975" t="n">
        <v>1</v>
      </c>
      <c r="C975" t="n">
        <v>973</v>
      </c>
      <c r="D975" t="n">
        <v>-0.3789</v>
      </c>
      <c r="E975" t="n">
        <v>15.7278</v>
      </c>
      <c r="F975" t="n">
        <v>0.07867</v>
      </c>
    </row>
    <row r="976">
      <c r="A976" t="n">
        <v>1000974</v>
      </c>
      <c r="B976" t="n">
        <v>1</v>
      </c>
      <c r="C976" t="n">
        <v>974</v>
      </c>
      <c r="D976" t="n">
        <v>-0.3782</v>
      </c>
      <c r="E976" t="n">
        <v>15.7267</v>
      </c>
      <c r="F976" t="n">
        <v>0.07867</v>
      </c>
    </row>
    <row r="977">
      <c r="A977" t="n">
        <v>1000975</v>
      </c>
      <c r="B977" t="n">
        <v>1</v>
      </c>
      <c r="C977" t="n">
        <v>975</v>
      </c>
      <c r="D977" t="n">
        <v>-0.3774</v>
      </c>
      <c r="E977" t="n">
        <v>15.7256</v>
      </c>
      <c r="F977" t="n">
        <v>0.07868</v>
      </c>
    </row>
    <row r="978">
      <c r="A978" t="n">
        <v>1000976</v>
      </c>
      <c r="B978" t="n">
        <v>1</v>
      </c>
      <c r="C978" t="n">
        <v>976</v>
      </c>
      <c r="D978" t="n">
        <v>-0.3767</v>
      </c>
      <c r="E978" t="n">
        <v>15.7245</v>
      </c>
      <c r="F978" t="n">
        <v>0.07868</v>
      </c>
    </row>
    <row r="979">
      <c r="A979" t="n">
        <v>1000977</v>
      </c>
      <c r="B979" t="n">
        <v>1</v>
      </c>
      <c r="C979" t="n">
        <v>977</v>
      </c>
      <c r="D979" t="n">
        <v>-0.376</v>
      </c>
      <c r="E979" t="n">
        <v>15.7234</v>
      </c>
      <c r="F979" t="n">
        <v>0.07869</v>
      </c>
    </row>
    <row r="980">
      <c r="A980" t="n">
        <v>1000978</v>
      </c>
      <c r="B980" t="n">
        <v>1</v>
      </c>
      <c r="C980" t="n">
        <v>978</v>
      </c>
      <c r="D980" t="n">
        <v>-0.3753</v>
      </c>
      <c r="E980" t="n">
        <v>15.7222</v>
      </c>
      <c r="F980" t="n">
        <v>0.07869</v>
      </c>
    </row>
    <row r="981">
      <c r="A981" t="n">
        <v>1000979</v>
      </c>
      <c r="B981" t="n">
        <v>1</v>
      </c>
      <c r="C981" t="n">
        <v>979</v>
      </c>
      <c r="D981" t="n">
        <v>-0.3745</v>
      </c>
      <c r="E981" t="n">
        <v>15.7211</v>
      </c>
      <c r="F981" t="n">
        <v>0.07870000000000001</v>
      </c>
    </row>
    <row r="982">
      <c r="A982" t="n">
        <v>1000980</v>
      </c>
      <c r="B982" t="n">
        <v>1</v>
      </c>
      <c r="C982" t="n">
        <v>980</v>
      </c>
      <c r="D982" t="n">
        <v>-0.3738</v>
      </c>
      <c r="E982" t="n">
        <v>15.72</v>
      </c>
      <c r="F982" t="n">
        <v>0.07870000000000001</v>
      </c>
    </row>
    <row r="983">
      <c r="A983" t="n">
        <v>1000981</v>
      </c>
      <c r="B983" t="n">
        <v>1</v>
      </c>
      <c r="C983" t="n">
        <v>981</v>
      </c>
      <c r="D983" t="n">
        <v>-0.3731</v>
      </c>
      <c r="E983" t="n">
        <v>15.719</v>
      </c>
      <c r="F983" t="n">
        <v>0.07871</v>
      </c>
    </row>
    <row r="984">
      <c r="A984" t="n">
        <v>1000982</v>
      </c>
      <c r="B984" t="n">
        <v>1</v>
      </c>
      <c r="C984" t="n">
        <v>982</v>
      </c>
      <c r="D984" t="n">
        <v>-0.3724</v>
      </c>
      <c r="E984" t="n">
        <v>15.7179</v>
      </c>
      <c r="F984" t="n">
        <v>0.07871</v>
      </c>
    </row>
    <row r="985">
      <c r="A985" t="n">
        <v>1000983</v>
      </c>
      <c r="B985" t="n">
        <v>1</v>
      </c>
      <c r="C985" t="n">
        <v>983</v>
      </c>
      <c r="D985" t="n">
        <v>-0.3717</v>
      </c>
      <c r="E985" t="n">
        <v>15.7168</v>
      </c>
      <c r="F985" t="n">
        <v>0.07872</v>
      </c>
    </row>
    <row r="986">
      <c r="A986" t="n">
        <v>1000984</v>
      </c>
      <c r="B986" t="n">
        <v>1</v>
      </c>
      <c r="C986" t="n">
        <v>984</v>
      </c>
      <c r="D986" t="n">
        <v>-0.371</v>
      </c>
      <c r="E986" t="n">
        <v>15.7157</v>
      </c>
      <c r="F986" t="n">
        <v>0.07872</v>
      </c>
    </row>
    <row r="987">
      <c r="A987" t="n">
        <v>1000985</v>
      </c>
      <c r="B987" t="n">
        <v>1</v>
      </c>
      <c r="C987" t="n">
        <v>985</v>
      </c>
      <c r="D987" t="n">
        <v>-0.3703</v>
      </c>
      <c r="E987" t="n">
        <v>15.7146</v>
      </c>
      <c r="F987" t="n">
        <v>0.07872</v>
      </c>
    </row>
    <row r="988">
      <c r="A988" t="n">
        <v>1000986</v>
      </c>
      <c r="B988" t="n">
        <v>1</v>
      </c>
      <c r="C988" t="n">
        <v>986</v>
      </c>
      <c r="D988" t="n">
        <v>-0.3696</v>
      </c>
      <c r="E988" t="n">
        <v>15.7135</v>
      </c>
      <c r="F988" t="n">
        <v>0.07872999999999999</v>
      </c>
    </row>
    <row r="989">
      <c r="A989" t="n">
        <v>1000987</v>
      </c>
      <c r="B989" t="n">
        <v>1</v>
      </c>
      <c r="C989" t="n">
        <v>987</v>
      </c>
      <c r="D989" t="n">
        <v>-0.3689</v>
      </c>
      <c r="E989" t="n">
        <v>15.7124</v>
      </c>
      <c r="F989" t="n">
        <v>0.07872999999999999</v>
      </c>
    </row>
    <row r="990">
      <c r="A990" t="n">
        <v>1000988</v>
      </c>
      <c r="B990" t="n">
        <v>1</v>
      </c>
      <c r="C990" t="n">
        <v>988</v>
      </c>
      <c r="D990" t="n">
        <v>-0.3682</v>
      </c>
      <c r="E990" t="n">
        <v>15.7113</v>
      </c>
      <c r="F990" t="n">
        <v>0.07874</v>
      </c>
    </row>
    <row r="991">
      <c r="A991" t="n">
        <v>1000989</v>
      </c>
      <c r="B991" t="n">
        <v>1</v>
      </c>
      <c r="C991" t="n">
        <v>989</v>
      </c>
      <c r="D991" t="n">
        <v>-0.3675</v>
      </c>
      <c r="E991" t="n">
        <v>15.7102</v>
      </c>
      <c r="F991" t="n">
        <v>0.07874</v>
      </c>
    </row>
    <row r="992">
      <c r="A992" t="n">
        <v>1000990</v>
      </c>
      <c r="B992" t="n">
        <v>1</v>
      </c>
      <c r="C992" t="n">
        <v>990</v>
      </c>
      <c r="D992" t="n">
        <v>-0.3668</v>
      </c>
      <c r="E992" t="n">
        <v>15.7091</v>
      </c>
      <c r="F992" t="n">
        <v>0.07875</v>
      </c>
    </row>
    <row r="993">
      <c r="A993" t="n">
        <v>1000991</v>
      </c>
      <c r="B993" t="n">
        <v>1</v>
      </c>
      <c r="C993" t="n">
        <v>991</v>
      </c>
      <c r="D993" t="n">
        <v>-0.3661</v>
      </c>
      <c r="E993" t="n">
        <v>15.708</v>
      </c>
      <c r="F993" t="n">
        <v>0.07875</v>
      </c>
    </row>
    <row r="994">
      <c r="A994" t="n">
        <v>1000992</v>
      </c>
      <c r="B994" t="n">
        <v>1</v>
      </c>
      <c r="C994" t="n">
        <v>992</v>
      </c>
      <c r="D994" t="n">
        <v>-0.3655</v>
      </c>
      <c r="E994" t="n">
        <v>15.7069</v>
      </c>
      <c r="F994" t="n">
        <v>0.07876</v>
      </c>
    </row>
    <row r="995">
      <c r="A995" t="n">
        <v>1000993</v>
      </c>
      <c r="B995" t="n">
        <v>1</v>
      </c>
      <c r="C995" t="n">
        <v>993</v>
      </c>
      <c r="D995" t="n">
        <v>-0.3648</v>
      </c>
      <c r="E995" t="n">
        <v>15.7058</v>
      </c>
      <c r="F995" t="n">
        <v>0.07876</v>
      </c>
    </row>
    <row r="996">
      <c r="A996" t="n">
        <v>1000994</v>
      </c>
      <c r="B996" t="n">
        <v>1</v>
      </c>
      <c r="C996" t="n">
        <v>994</v>
      </c>
      <c r="D996" t="n">
        <v>-0.3641</v>
      </c>
      <c r="E996" t="n">
        <v>15.7047</v>
      </c>
      <c r="F996" t="n">
        <v>0.07877000000000001</v>
      </c>
    </row>
    <row r="997">
      <c r="A997" t="n">
        <v>1000995</v>
      </c>
      <c r="B997" t="n">
        <v>1</v>
      </c>
      <c r="C997" t="n">
        <v>995</v>
      </c>
      <c r="D997" t="n">
        <v>-0.3634</v>
      </c>
      <c r="E997" t="n">
        <v>15.7037</v>
      </c>
      <c r="F997" t="n">
        <v>0.07877000000000001</v>
      </c>
    </row>
    <row r="998">
      <c r="A998" t="n">
        <v>1000996</v>
      </c>
      <c r="B998" t="n">
        <v>1</v>
      </c>
      <c r="C998" t="n">
        <v>996</v>
      </c>
      <c r="D998" t="n">
        <v>-0.3628</v>
      </c>
      <c r="E998" t="n">
        <v>15.7026</v>
      </c>
      <c r="F998" t="n">
        <v>0.07878</v>
      </c>
    </row>
    <row r="999">
      <c r="A999" t="n">
        <v>1000997</v>
      </c>
      <c r="B999" t="n">
        <v>1</v>
      </c>
      <c r="C999" t="n">
        <v>997</v>
      </c>
      <c r="D999" t="n">
        <v>-0.3621</v>
      </c>
      <c r="E999" t="n">
        <v>15.7015</v>
      </c>
      <c r="F999" t="n">
        <v>0.07878</v>
      </c>
    </row>
    <row r="1000">
      <c r="A1000" t="n">
        <v>1000998</v>
      </c>
      <c r="B1000" t="n">
        <v>1</v>
      </c>
      <c r="C1000" t="n">
        <v>998</v>
      </c>
      <c r="D1000" t="n">
        <v>-0.3614</v>
      </c>
      <c r="E1000" t="n">
        <v>15.7004</v>
      </c>
      <c r="F1000" t="n">
        <v>0.07879</v>
      </c>
    </row>
    <row r="1001">
      <c r="A1001" t="n">
        <v>1000999</v>
      </c>
      <c r="B1001" t="n">
        <v>1</v>
      </c>
      <c r="C1001" t="n">
        <v>999</v>
      </c>
      <c r="D1001" t="n">
        <v>-0.3608</v>
      </c>
      <c r="E1001" t="n">
        <v>15.6993</v>
      </c>
      <c r="F1001" t="n">
        <v>0.07879</v>
      </c>
    </row>
    <row r="1002">
      <c r="A1002" t="n">
        <v>1001000</v>
      </c>
      <c r="B1002" t="n">
        <v>1</v>
      </c>
      <c r="C1002" t="n">
        <v>1000</v>
      </c>
      <c r="D1002" t="n">
        <v>-0.3601</v>
      </c>
      <c r="E1002" t="n">
        <v>15.6982</v>
      </c>
      <c r="F1002" t="n">
        <v>0.0788</v>
      </c>
    </row>
    <row r="1003">
      <c r="A1003" t="n">
        <v>1001001</v>
      </c>
      <c r="B1003" t="n">
        <v>1</v>
      </c>
      <c r="C1003" t="n">
        <v>1001</v>
      </c>
      <c r="D1003" t="n">
        <v>-0.3594</v>
      </c>
      <c r="E1003" t="n">
        <v>15.6971</v>
      </c>
      <c r="F1003" t="n">
        <v>0.0788</v>
      </c>
    </row>
    <row r="1004">
      <c r="A1004" t="n">
        <v>1001002</v>
      </c>
      <c r="B1004" t="n">
        <v>1</v>
      </c>
      <c r="C1004" t="n">
        <v>1002</v>
      </c>
      <c r="D1004" t="n">
        <v>-0.3588</v>
      </c>
      <c r="E1004" t="n">
        <v>15.6961</v>
      </c>
      <c r="F1004" t="n">
        <v>0.07881000000000001</v>
      </c>
    </row>
    <row r="1005">
      <c r="A1005" t="n">
        <v>1001003</v>
      </c>
      <c r="B1005" t="n">
        <v>1</v>
      </c>
      <c r="C1005" t="n">
        <v>1003</v>
      </c>
      <c r="D1005" t="n">
        <v>-0.3581</v>
      </c>
      <c r="E1005" t="n">
        <v>15.695</v>
      </c>
      <c r="F1005" t="n">
        <v>0.07881000000000001</v>
      </c>
    </row>
    <row r="1006">
      <c r="A1006" t="n">
        <v>1001004</v>
      </c>
      <c r="B1006" t="n">
        <v>1</v>
      </c>
      <c r="C1006" t="n">
        <v>1004</v>
      </c>
      <c r="D1006" t="n">
        <v>-0.3575</v>
      </c>
      <c r="E1006" t="n">
        <v>15.6939</v>
      </c>
      <c r="F1006" t="n">
        <v>0.07882</v>
      </c>
    </row>
    <row r="1007">
      <c r="A1007" t="n">
        <v>1001005</v>
      </c>
      <c r="B1007" t="n">
        <v>1</v>
      </c>
      <c r="C1007" t="n">
        <v>1005</v>
      </c>
      <c r="D1007" t="n">
        <v>-0.3568</v>
      </c>
      <c r="E1007" t="n">
        <v>15.6928</v>
      </c>
      <c r="F1007" t="n">
        <v>0.07882</v>
      </c>
    </row>
    <row r="1008">
      <c r="A1008" t="n">
        <v>1001006</v>
      </c>
      <c r="B1008" t="n">
        <v>1</v>
      </c>
      <c r="C1008" t="n">
        <v>1006</v>
      </c>
      <c r="D1008" t="n">
        <v>-0.3562</v>
      </c>
      <c r="E1008" t="n">
        <v>15.6917</v>
      </c>
      <c r="F1008" t="n">
        <v>0.07883</v>
      </c>
    </row>
    <row r="1009">
      <c r="A1009" t="n">
        <v>1001007</v>
      </c>
      <c r="B1009" t="n">
        <v>1</v>
      </c>
      <c r="C1009" t="n">
        <v>1007</v>
      </c>
      <c r="D1009" t="n">
        <v>-0.3556</v>
      </c>
      <c r="E1009" t="n">
        <v>15.6907</v>
      </c>
      <c r="F1009" t="n">
        <v>0.07883</v>
      </c>
    </row>
    <row r="1010">
      <c r="A1010" t="n">
        <v>1001008</v>
      </c>
      <c r="B1010" t="n">
        <v>1</v>
      </c>
      <c r="C1010" t="n">
        <v>1008</v>
      </c>
      <c r="D1010" t="n">
        <v>-0.3549</v>
      </c>
      <c r="E1010" t="n">
        <v>15.6896</v>
      </c>
      <c r="F1010" t="n">
        <v>0.07883999999999999</v>
      </c>
    </row>
    <row r="1011">
      <c r="A1011" t="n">
        <v>1001009</v>
      </c>
      <c r="B1011" t="n">
        <v>1</v>
      </c>
      <c r="C1011" t="n">
        <v>1009</v>
      </c>
      <c r="D1011" t="n">
        <v>-0.3543</v>
      </c>
      <c r="E1011" t="n">
        <v>15.6885</v>
      </c>
      <c r="F1011" t="n">
        <v>0.07883999999999999</v>
      </c>
    </row>
    <row r="1012">
      <c r="A1012" t="n">
        <v>1001010</v>
      </c>
      <c r="B1012" t="n">
        <v>1</v>
      </c>
      <c r="C1012" t="n">
        <v>1010</v>
      </c>
      <c r="D1012" t="n">
        <v>-0.3536</v>
      </c>
      <c r="E1012" t="n">
        <v>15.6874</v>
      </c>
      <c r="F1012" t="n">
        <v>0.07885</v>
      </c>
    </row>
    <row r="1013">
      <c r="A1013" t="n">
        <v>1001011</v>
      </c>
      <c r="B1013" t="n">
        <v>1</v>
      </c>
      <c r="C1013" t="n">
        <v>1011</v>
      </c>
      <c r="D1013" t="n">
        <v>-0.353</v>
      </c>
      <c r="E1013" t="n">
        <v>15.6864</v>
      </c>
      <c r="F1013" t="n">
        <v>0.07885</v>
      </c>
    </row>
    <row r="1014">
      <c r="A1014" t="n">
        <v>1001012</v>
      </c>
      <c r="B1014" t="n">
        <v>1</v>
      </c>
      <c r="C1014" t="n">
        <v>1012</v>
      </c>
      <c r="D1014" t="n">
        <v>-0.3524</v>
      </c>
      <c r="E1014" t="n">
        <v>15.6853</v>
      </c>
      <c r="F1014" t="n">
        <v>0.07886</v>
      </c>
    </row>
    <row r="1015">
      <c r="A1015" t="n">
        <v>1001013</v>
      </c>
      <c r="B1015" t="n">
        <v>1</v>
      </c>
      <c r="C1015" t="n">
        <v>1013</v>
      </c>
      <c r="D1015" t="n">
        <v>-0.3518</v>
      </c>
      <c r="E1015" t="n">
        <v>15.6842</v>
      </c>
      <c r="F1015" t="n">
        <v>0.07886</v>
      </c>
    </row>
    <row r="1016">
      <c r="A1016" t="n">
        <v>1001014</v>
      </c>
      <c r="B1016" t="n">
        <v>1</v>
      </c>
      <c r="C1016" t="n">
        <v>1014</v>
      </c>
      <c r="D1016" t="n">
        <v>-0.3511</v>
      </c>
      <c r="E1016" t="n">
        <v>15.6832</v>
      </c>
      <c r="F1016" t="n">
        <v>0.07887</v>
      </c>
    </row>
    <row r="1017">
      <c r="A1017" t="n">
        <v>1001015</v>
      </c>
      <c r="B1017" t="n">
        <v>1</v>
      </c>
      <c r="C1017" t="n">
        <v>1015</v>
      </c>
      <c r="D1017" t="n">
        <v>-0.3505</v>
      </c>
      <c r="E1017" t="n">
        <v>15.6821</v>
      </c>
      <c r="F1017" t="n">
        <v>0.07887</v>
      </c>
    </row>
    <row r="1018">
      <c r="A1018" t="n">
        <v>1001016</v>
      </c>
      <c r="B1018" t="n">
        <v>1</v>
      </c>
      <c r="C1018" t="n">
        <v>1016</v>
      </c>
      <c r="D1018" t="n">
        <v>-0.3499</v>
      </c>
      <c r="E1018" t="n">
        <v>15.681</v>
      </c>
      <c r="F1018" t="n">
        <v>0.07888000000000001</v>
      </c>
    </row>
    <row r="1019">
      <c r="A1019" t="n">
        <v>1001017</v>
      </c>
      <c r="B1019" t="n">
        <v>1</v>
      </c>
      <c r="C1019" t="n">
        <v>1017</v>
      </c>
      <c r="D1019" t="n">
        <v>-0.3493</v>
      </c>
      <c r="E1019" t="n">
        <v>15.6799</v>
      </c>
      <c r="F1019" t="n">
        <v>0.07888000000000001</v>
      </c>
    </row>
    <row r="1020">
      <c r="A1020" t="n">
        <v>1001018</v>
      </c>
      <c r="B1020" t="n">
        <v>1</v>
      </c>
      <c r="C1020" t="n">
        <v>1018</v>
      </c>
      <c r="D1020" t="n">
        <v>-0.3487</v>
      </c>
      <c r="E1020" t="n">
        <v>15.6789</v>
      </c>
      <c r="F1020" t="n">
        <v>0.07889</v>
      </c>
    </row>
    <row r="1021">
      <c r="A1021" t="n">
        <v>1001019</v>
      </c>
      <c r="B1021" t="n">
        <v>1</v>
      </c>
      <c r="C1021" t="n">
        <v>1019</v>
      </c>
      <c r="D1021" t="n">
        <v>-0.3481</v>
      </c>
      <c r="E1021" t="n">
        <v>15.6778</v>
      </c>
      <c r="F1021" t="n">
        <v>0.07889</v>
      </c>
    </row>
    <row r="1022">
      <c r="A1022" t="n">
        <v>1001020</v>
      </c>
      <c r="B1022" t="n">
        <v>1</v>
      </c>
      <c r="C1022" t="n">
        <v>1020</v>
      </c>
      <c r="D1022" t="n">
        <v>-0.3475</v>
      </c>
      <c r="E1022" t="n">
        <v>15.6767</v>
      </c>
      <c r="F1022" t="n">
        <v>0.0789</v>
      </c>
    </row>
    <row r="1023">
      <c r="A1023" t="n">
        <v>1001021</v>
      </c>
      <c r="B1023" t="n">
        <v>1</v>
      </c>
      <c r="C1023" t="n">
        <v>1021</v>
      </c>
      <c r="D1023" t="n">
        <v>-0.3469</v>
      </c>
      <c r="E1023" t="n">
        <v>15.6757</v>
      </c>
      <c r="F1023" t="n">
        <v>0.0789</v>
      </c>
    </row>
    <row r="1024">
      <c r="A1024" t="n">
        <v>1001022</v>
      </c>
      <c r="B1024" t="n">
        <v>1</v>
      </c>
      <c r="C1024" t="n">
        <v>1022</v>
      </c>
      <c r="D1024" t="n">
        <v>-0.3463</v>
      </c>
      <c r="E1024" t="n">
        <v>15.6746</v>
      </c>
      <c r="F1024" t="n">
        <v>0.07890999999999999</v>
      </c>
    </row>
    <row r="1025">
      <c r="A1025" t="n">
        <v>1001023</v>
      </c>
      <c r="B1025" t="n">
        <v>1</v>
      </c>
      <c r="C1025" t="n">
        <v>1023</v>
      </c>
      <c r="D1025" t="n">
        <v>-0.3457</v>
      </c>
      <c r="E1025" t="n">
        <v>15.6735</v>
      </c>
      <c r="F1025" t="n">
        <v>0.07890999999999999</v>
      </c>
    </row>
    <row r="1026">
      <c r="A1026" t="n">
        <v>1001024</v>
      </c>
      <c r="B1026" t="n">
        <v>1</v>
      </c>
      <c r="C1026" t="n">
        <v>1024</v>
      </c>
      <c r="D1026" t="n">
        <v>-0.3451</v>
      </c>
      <c r="E1026" t="n">
        <v>15.6725</v>
      </c>
      <c r="F1026" t="n">
        <v>0.07892</v>
      </c>
    </row>
    <row r="1027">
      <c r="A1027" t="n">
        <v>1001025</v>
      </c>
      <c r="B1027" t="n">
        <v>1</v>
      </c>
      <c r="C1027" t="n">
        <v>1025</v>
      </c>
      <c r="D1027" t="n">
        <v>-0.3445</v>
      </c>
      <c r="E1027" t="n">
        <v>15.6714</v>
      </c>
      <c r="F1027" t="n">
        <v>0.07892</v>
      </c>
    </row>
    <row r="1028">
      <c r="A1028" t="n">
        <v>1001026</v>
      </c>
      <c r="B1028" t="n">
        <v>1</v>
      </c>
      <c r="C1028" t="n">
        <v>1026</v>
      </c>
      <c r="D1028" t="n">
        <v>-0.3439</v>
      </c>
      <c r="E1028" t="n">
        <v>15.6704</v>
      </c>
      <c r="F1028" t="n">
        <v>0.07893</v>
      </c>
    </row>
    <row r="1029">
      <c r="A1029" t="n">
        <v>1001027</v>
      </c>
      <c r="B1029" t="n">
        <v>1</v>
      </c>
      <c r="C1029" t="n">
        <v>1027</v>
      </c>
      <c r="D1029" t="n">
        <v>-0.3433</v>
      </c>
      <c r="E1029" t="n">
        <v>15.6693</v>
      </c>
      <c r="F1029" t="n">
        <v>0.07893</v>
      </c>
    </row>
    <row r="1030">
      <c r="A1030" t="n">
        <v>1001028</v>
      </c>
      <c r="B1030" t="n">
        <v>1</v>
      </c>
      <c r="C1030" t="n">
        <v>1028</v>
      </c>
      <c r="D1030" t="n">
        <v>-0.3427</v>
      </c>
      <c r="E1030" t="n">
        <v>15.6682</v>
      </c>
      <c r="F1030" t="n">
        <v>0.07894</v>
      </c>
    </row>
    <row r="1031">
      <c r="A1031" t="n">
        <v>1001029</v>
      </c>
      <c r="B1031" t="n">
        <v>1</v>
      </c>
      <c r="C1031" t="n">
        <v>1029</v>
      </c>
      <c r="D1031" t="n">
        <v>-0.3422</v>
      </c>
      <c r="E1031" t="n">
        <v>15.6672</v>
      </c>
      <c r="F1031" t="n">
        <v>0.07894</v>
      </c>
    </row>
    <row r="1032">
      <c r="A1032" t="n">
        <v>1001030</v>
      </c>
      <c r="B1032" t="n">
        <v>1</v>
      </c>
      <c r="C1032" t="n">
        <v>1030</v>
      </c>
      <c r="D1032" t="n">
        <v>-0.3416</v>
      </c>
      <c r="E1032" t="n">
        <v>15.6661</v>
      </c>
      <c r="F1032" t="n">
        <v>0.07895000000000001</v>
      </c>
    </row>
    <row r="1033">
      <c r="A1033" t="n">
        <v>1001031</v>
      </c>
      <c r="B1033" t="n">
        <v>1</v>
      </c>
      <c r="C1033" t="n">
        <v>1031</v>
      </c>
      <c r="D1033" t="n">
        <v>-0.341</v>
      </c>
      <c r="E1033" t="n">
        <v>15.6651</v>
      </c>
      <c r="F1033" t="n">
        <v>0.07895000000000001</v>
      </c>
    </row>
    <row r="1034">
      <c r="A1034" t="n">
        <v>1001032</v>
      </c>
      <c r="B1034" t="n">
        <v>1</v>
      </c>
      <c r="C1034" t="n">
        <v>1032</v>
      </c>
      <c r="D1034" t="n">
        <v>-0.3404</v>
      </c>
      <c r="E1034" t="n">
        <v>15.664</v>
      </c>
      <c r="F1034" t="n">
        <v>0.07896</v>
      </c>
    </row>
    <row r="1035">
      <c r="A1035" t="n">
        <v>1001033</v>
      </c>
      <c r="B1035" t="n">
        <v>1</v>
      </c>
      <c r="C1035" t="n">
        <v>1033</v>
      </c>
      <c r="D1035" t="n">
        <v>-0.3399</v>
      </c>
      <c r="E1035" t="n">
        <v>15.663</v>
      </c>
      <c r="F1035" t="n">
        <v>0.07896</v>
      </c>
    </row>
    <row r="1036">
      <c r="A1036" t="n">
        <v>1001034</v>
      </c>
      <c r="B1036" t="n">
        <v>1</v>
      </c>
      <c r="C1036" t="n">
        <v>1034</v>
      </c>
      <c r="D1036" t="n">
        <v>-0.3393</v>
      </c>
      <c r="E1036" t="n">
        <v>15.6619</v>
      </c>
      <c r="F1036" t="n">
        <v>0.07897</v>
      </c>
    </row>
    <row r="1037">
      <c r="A1037" t="n">
        <v>1001035</v>
      </c>
      <c r="B1037" t="n">
        <v>1</v>
      </c>
      <c r="C1037" t="n">
        <v>1035</v>
      </c>
      <c r="D1037" t="n">
        <v>-0.3388</v>
      </c>
      <c r="E1037" t="n">
        <v>15.6609</v>
      </c>
      <c r="F1037" t="n">
        <v>0.07897</v>
      </c>
    </row>
    <row r="1038">
      <c r="A1038" t="n">
        <v>1001036</v>
      </c>
      <c r="B1038" t="n">
        <v>1</v>
      </c>
      <c r="C1038" t="n">
        <v>1036</v>
      </c>
      <c r="D1038" t="n">
        <v>-0.3382</v>
      </c>
      <c r="E1038" t="n">
        <v>15.6598</v>
      </c>
      <c r="F1038" t="n">
        <v>0.07897999999999999</v>
      </c>
    </row>
    <row r="1039">
      <c r="A1039" t="n">
        <v>1001037</v>
      </c>
      <c r="B1039" t="n">
        <v>1</v>
      </c>
      <c r="C1039" t="n">
        <v>1037</v>
      </c>
      <c r="D1039" t="n">
        <v>-0.3376</v>
      </c>
      <c r="E1039" t="n">
        <v>15.6588</v>
      </c>
      <c r="F1039" t="n">
        <v>0.07897999999999999</v>
      </c>
    </row>
    <row r="1040">
      <c r="A1040" t="n">
        <v>1001038</v>
      </c>
      <c r="B1040" t="n">
        <v>1</v>
      </c>
      <c r="C1040" t="n">
        <v>1038</v>
      </c>
      <c r="D1040" t="n">
        <v>-0.3371</v>
      </c>
      <c r="E1040" t="n">
        <v>15.6577</v>
      </c>
      <c r="F1040" t="n">
        <v>0.07899</v>
      </c>
    </row>
    <row r="1041">
      <c r="A1041" t="n">
        <v>1001039</v>
      </c>
      <c r="B1041" t="n">
        <v>1</v>
      </c>
      <c r="C1041" t="n">
        <v>1039</v>
      </c>
      <c r="D1041" t="n">
        <v>-0.3365</v>
      </c>
      <c r="E1041" t="n">
        <v>15.6567</v>
      </c>
      <c r="F1041" t="n">
        <v>0.07899</v>
      </c>
    </row>
    <row r="1042">
      <c r="A1042" t="n">
        <v>1001040</v>
      </c>
      <c r="B1042" t="n">
        <v>1</v>
      </c>
      <c r="C1042" t="n">
        <v>1040</v>
      </c>
      <c r="D1042" t="n">
        <v>-0.336</v>
      </c>
      <c r="E1042" t="n">
        <v>15.6556</v>
      </c>
      <c r="F1042" t="n">
        <v>0.079</v>
      </c>
    </row>
    <row r="1043">
      <c r="A1043" t="n">
        <v>1001041</v>
      </c>
      <c r="B1043" t="n">
        <v>1</v>
      </c>
      <c r="C1043" t="n">
        <v>1041</v>
      </c>
      <c r="D1043" t="n">
        <v>-0.3354</v>
      </c>
      <c r="E1043" t="n">
        <v>15.6546</v>
      </c>
      <c r="F1043" t="n">
        <v>0.079</v>
      </c>
    </row>
    <row r="1044">
      <c r="A1044" t="n">
        <v>1001042</v>
      </c>
      <c r="B1044" t="n">
        <v>1</v>
      </c>
      <c r="C1044" t="n">
        <v>1042</v>
      </c>
      <c r="D1044" t="n">
        <v>-0.3349</v>
      </c>
      <c r="E1044" t="n">
        <v>15.6535</v>
      </c>
      <c r="F1044" t="n">
        <v>0.07901</v>
      </c>
    </row>
    <row r="1045">
      <c r="A1045" t="n">
        <v>1001043</v>
      </c>
      <c r="B1045" t="n">
        <v>1</v>
      </c>
      <c r="C1045" t="n">
        <v>1043</v>
      </c>
      <c r="D1045" t="n">
        <v>-0.3344</v>
      </c>
      <c r="E1045" t="n">
        <v>15.6525</v>
      </c>
      <c r="F1045" t="n">
        <v>0.07901</v>
      </c>
    </row>
    <row r="1046">
      <c r="A1046" t="n">
        <v>1001044</v>
      </c>
      <c r="B1046" t="n">
        <v>1</v>
      </c>
      <c r="C1046" t="n">
        <v>1044</v>
      </c>
      <c r="D1046" t="n">
        <v>-0.3338</v>
      </c>
      <c r="E1046" t="n">
        <v>15.6514</v>
      </c>
      <c r="F1046" t="n">
        <v>0.07902000000000001</v>
      </c>
    </row>
    <row r="1047">
      <c r="A1047" t="n">
        <v>1001045</v>
      </c>
      <c r="B1047" t="n">
        <v>1</v>
      </c>
      <c r="C1047" t="n">
        <v>1045</v>
      </c>
      <c r="D1047" t="n">
        <v>-0.3333</v>
      </c>
      <c r="E1047" t="n">
        <v>15.6504</v>
      </c>
      <c r="F1047" t="n">
        <v>0.07903</v>
      </c>
    </row>
    <row r="1048">
      <c r="A1048" t="n">
        <v>1001046</v>
      </c>
      <c r="B1048" t="n">
        <v>1</v>
      </c>
      <c r="C1048" t="n">
        <v>1046</v>
      </c>
      <c r="D1048" t="n">
        <v>-0.3328</v>
      </c>
      <c r="E1048" t="n">
        <v>15.6493</v>
      </c>
      <c r="F1048" t="n">
        <v>0.07903</v>
      </c>
    </row>
    <row r="1049">
      <c r="A1049" t="n">
        <v>1001047</v>
      </c>
      <c r="B1049" t="n">
        <v>1</v>
      </c>
      <c r="C1049" t="n">
        <v>1047</v>
      </c>
      <c r="D1049" t="n">
        <v>-0.3322</v>
      </c>
      <c r="E1049" t="n">
        <v>15.6483</v>
      </c>
      <c r="F1049" t="n">
        <v>0.07904</v>
      </c>
    </row>
    <row r="1050">
      <c r="A1050" t="n">
        <v>1001048</v>
      </c>
      <c r="B1050" t="n">
        <v>1</v>
      </c>
      <c r="C1050" t="n">
        <v>1048</v>
      </c>
      <c r="D1050" t="n">
        <v>-0.3317</v>
      </c>
      <c r="E1050" t="n">
        <v>15.6473</v>
      </c>
      <c r="F1050" t="n">
        <v>0.07904</v>
      </c>
    </row>
    <row r="1051">
      <c r="A1051" t="n">
        <v>1001049</v>
      </c>
      <c r="B1051" t="n">
        <v>1</v>
      </c>
      <c r="C1051" t="n">
        <v>1049</v>
      </c>
      <c r="D1051" t="n">
        <v>-0.3312</v>
      </c>
      <c r="E1051" t="n">
        <v>15.6462</v>
      </c>
      <c r="F1051" t="n">
        <v>0.07905</v>
      </c>
    </row>
    <row r="1052">
      <c r="A1052" t="n">
        <v>1001050</v>
      </c>
      <c r="B1052" t="n">
        <v>1</v>
      </c>
      <c r="C1052" t="n">
        <v>1050</v>
      </c>
      <c r="D1052" t="n">
        <v>-0.3307</v>
      </c>
      <c r="E1052" t="n">
        <v>15.6452</v>
      </c>
      <c r="F1052" t="n">
        <v>0.07905</v>
      </c>
    </row>
    <row r="1053">
      <c r="A1053" t="n">
        <v>1001051</v>
      </c>
      <c r="B1053" t="n">
        <v>1</v>
      </c>
      <c r="C1053" t="n">
        <v>1051</v>
      </c>
      <c r="D1053" t="n">
        <v>-0.3302</v>
      </c>
      <c r="E1053" t="n">
        <v>15.6441</v>
      </c>
      <c r="F1053" t="n">
        <v>0.07906000000000001</v>
      </c>
    </row>
    <row r="1054">
      <c r="A1054" t="n">
        <v>1001052</v>
      </c>
      <c r="B1054" t="n">
        <v>1</v>
      </c>
      <c r="C1054" t="n">
        <v>1052</v>
      </c>
      <c r="D1054" t="n">
        <v>-0.3296</v>
      </c>
      <c r="E1054" t="n">
        <v>15.6431</v>
      </c>
      <c r="F1054" t="n">
        <v>0.07906000000000001</v>
      </c>
    </row>
    <row r="1055">
      <c r="A1055" t="n">
        <v>1001053</v>
      </c>
      <c r="B1055" t="n">
        <v>1</v>
      </c>
      <c r="C1055" t="n">
        <v>1053</v>
      </c>
      <c r="D1055" t="n">
        <v>-0.3291</v>
      </c>
      <c r="E1055" t="n">
        <v>15.6421</v>
      </c>
      <c r="F1055" t="n">
        <v>0.07907</v>
      </c>
    </row>
    <row r="1056">
      <c r="A1056" t="n">
        <v>1001054</v>
      </c>
      <c r="B1056" t="n">
        <v>1</v>
      </c>
      <c r="C1056" t="n">
        <v>1054</v>
      </c>
      <c r="D1056" t="n">
        <v>-0.3286</v>
      </c>
      <c r="E1056" t="n">
        <v>15.641</v>
      </c>
      <c r="F1056" t="n">
        <v>0.07907</v>
      </c>
    </row>
    <row r="1057">
      <c r="A1057" t="n">
        <v>1001055</v>
      </c>
      <c r="B1057" t="n">
        <v>1</v>
      </c>
      <c r="C1057" t="n">
        <v>1055</v>
      </c>
      <c r="D1057" t="n">
        <v>-0.3281</v>
      </c>
      <c r="E1057" t="n">
        <v>15.64</v>
      </c>
      <c r="F1057" t="n">
        <v>0.07908</v>
      </c>
    </row>
    <row r="1058">
      <c r="A1058" t="n">
        <v>1001056</v>
      </c>
      <c r="B1058" t="n">
        <v>1</v>
      </c>
      <c r="C1058" t="n">
        <v>1056</v>
      </c>
      <c r="D1058" t="n">
        <v>-0.3276</v>
      </c>
      <c r="E1058" t="n">
        <v>15.639</v>
      </c>
      <c r="F1058" t="n">
        <v>0.07908</v>
      </c>
    </row>
    <row r="1059">
      <c r="A1059" t="n">
        <v>1001057</v>
      </c>
      <c r="B1059" t="n">
        <v>1</v>
      </c>
      <c r="C1059" t="n">
        <v>1057</v>
      </c>
      <c r="D1059" t="n">
        <v>-0.3271</v>
      </c>
      <c r="E1059" t="n">
        <v>15.6379</v>
      </c>
      <c r="F1059" t="n">
        <v>0.07908999999999999</v>
      </c>
    </row>
    <row r="1060">
      <c r="A1060" t="n">
        <v>1001058</v>
      </c>
      <c r="B1060" t="n">
        <v>1</v>
      </c>
      <c r="C1060" t="n">
        <v>1058</v>
      </c>
      <c r="D1060" t="n">
        <v>-0.3266</v>
      </c>
      <c r="E1060" t="n">
        <v>15.6369</v>
      </c>
      <c r="F1060" t="n">
        <v>0.0791</v>
      </c>
    </row>
    <row r="1061">
      <c r="A1061" t="n">
        <v>1001059</v>
      </c>
      <c r="B1061" t="n">
        <v>1</v>
      </c>
      <c r="C1061" t="n">
        <v>1059</v>
      </c>
      <c r="D1061" t="n">
        <v>-0.3261</v>
      </c>
      <c r="E1061" t="n">
        <v>15.6359</v>
      </c>
      <c r="F1061" t="n">
        <v>0.0791</v>
      </c>
    </row>
    <row r="1062">
      <c r="A1062" t="n">
        <v>1001060</v>
      </c>
      <c r="B1062" t="n">
        <v>1</v>
      </c>
      <c r="C1062" t="n">
        <v>1060</v>
      </c>
      <c r="D1062" t="n">
        <v>-0.3257</v>
      </c>
      <c r="E1062" t="n">
        <v>15.6349</v>
      </c>
      <c r="F1062" t="n">
        <v>0.07911</v>
      </c>
    </row>
    <row r="1063">
      <c r="A1063" t="n">
        <v>1001061</v>
      </c>
      <c r="B1063" t="n">
        <v>1</v>
      </c>
      <c r="C1063" t="n">
        <v>1061</v>
      </c>
      <c r="D1063" t="n">
        <v>-0.3252</v>
      </c>
      <c r="E1063" t="n">
        <v>15.6338</v>
      </c>
      <c r="F1063" t="n">
        <v>0.07911</v>
      </c>
    </row>
    <row r="1064">
      <c r="A1064" t="n">
        <v>1001062</v>
      </c>
      <c r="B1064" t="n">
        <v>1</v>
      </c>
      <c r="C1064" t="n">
        <v>1062</v>
      </c>
      <c r="D1064" t="n">
        <v>-0.3247</v>
      </c>
      <c r="E1064" t="n">
        <v>15.6328</v>
      </c>
      <c r="F1064" t="n">
        <v>0.07912</v>
      </c>
    </row>
    <row r="1065">
      <c r="A1065" t="n">
        <v>1001063</v>
      </c>
      <c r="B1065" t="n">
        <v>1</v>
      </c>
      <c r="C1065" t="n">
        <v>1063</v>
      </c>
      <c r="D1065" t="n">
        <v>-0.3242</v>
      </c>
      <c r="E1065" t="n">
        <v>15.6318</v>
      </c>
      <c r="F1065" t="n">
        <v>0.07912</v>
      </c>
    </row>
    <row r="1066">
      <c r="A1066" t="n">
        <v>1001064</v>
      </c>
      <c r="B1066" t="n">
        <v>1</v>
      </c>
      <c r="C1066" t="n">
        <v>1064</v>
      </c>
      <c r="D1066" t="n">
        <v>-0.3237</v>
      </c>
      <c r="E1066" t="n">
        <v>15.6308</v>
      </c>
      <c r="F1066" t="n">
        <v>0.07913000000000001</v>
      </c>
    </row>
    <row r="1067">
      <c r="A1067" t="n">
        <v>1001065</v>
      </c>
      <c r="B1067" t="n">
        <v>1</v>
      </c>
      <c r="C1067" t="n">
        <v>1065</v>
      </c>
      <c r="D1067" t="n">
        <v>-0.3233</v>
      </c>
      <c r="E1067" t="n">
        <v>15.6297</v>
      </c>
      <c r="F1067" t="n">
        <v>0.07913000000000001</v>
      </c>
    </row>
    <row r="1068">
      <c r="A1068" t="n">
        <v>1001066</v>
      </c>
      <c r="B1068" t="n">
        <v>1</v>
      </c>
      <c r="C1068" t="n">
        <v>1066</v>
      </c>
      <c r="D1068" t="n">
        <v>-0.3228</v>
      </c>
      <c r="E1068" t="n">
        <v>15.6287</v>
      </c>
      <c r="F1068" t="n">
        <v>0.07914</v>
      </c>
    </row>
    <row r="1069">
      <c r="A1069" t="n">
        <v>1001067</v>
      </c>
      <c r="B1069" t="n">
        <v>1</v>
      </c>
      <c r="C1069" t="n">
        <v>1067</v>
      </c>
      <c r="D1069" t="n">
        <v>-0.3223</v>
      </c>
      <c r="E1069" t="n">
        <v>15.6277</v>
      </c>
      <c r="F1069" t="n">
        <v>0.07915</v>
      </c>
    </row>
    <row r="1070">
      <c r="A1070" t="n">
        <v>1001068</v>
      </c>
      <c r="B1070" t="n">
        <v>1</v>
      </c>
      <c r="C1070" t="n">
        <v>1068</v>
      </c>
      <c r="D1070" t="n">
        <v>-0.3218</v>
      </c>
      <c r="E1070" t="n">
        <v>15.6267</v>
      </c>
      <c r="F1070" t="n">
        <v>0.07915</v>
      </c>
    </row>
    <row r="1071">
      <c r="A1071" t="n">
        <v>1001069</v>
      </c>
      <c r="B1071" t="n">
        <v>1</v>
      </c>
      <c r="C1071" t="n">
        <v>1069</v>
      </c>
      <c r="D1071" t="n">
        <v>-0.3214</v>
      </c>
      <c r="E1071" t="n">
        <v>15.6256</v>
      </c>
      <c r="F1071" t="n">
        <v>0.07915999999999999</v>
      </c>
    </row>
    <row r="1072">
      <c r="A1072" t="n">
        <v>1001070</v>
      </c>
      <c r="B1072" t="n">
        <v>1</v>
      </c>
      <c r="C1072" t="n">
        <v>1070</v>
      </c>
      <c r="D1072" t="n">
        <v>-0.3209</v>
      </c>
      <c r="E1072" t="n">
        <v>15.6246</v>
      </c>
      <c r="F1072" t="n">
        <v>0.07915999999999999</v>
      </c>
    </row>
    <row r="1073">
      <c r="A1073" t="n">
        <v>1001071</v>
      </c>
      <c r="B1073" t="n">
        <v>1</v>
      </c>
      <c r="C1073" t="n">
        <v>1071</v>
      </c>
      <c r="D1073" t="n">
        <v>-0.3205</v>
      </c>
      <c r="E1073" t="n">
        <v>15.6236</v>
      </c>
      <c r="F1073" t="n">
        <v>0.07917</v>
      </c>
    </row>
    <row r="1074">
      <c r="A1074" t="n">
        <v>1001072</v>
      </c>
      <c r="B1074" t="n">
        <v>1</v>
      </c>
      <c r="C1074" t="n">
        <v>1072</v>
      </c>
      <c r="D1074" t="n">
        <v>-0.32</v>
      </c>
      <c r="E1074" t="n">
        <v>15.6226</v>
      </c>
      <c r="F1074" t="n">
        <v>0.07917</v>
      </c>
    </row>
    <row r="1075">
      <c r="A1075" t="n">
        <v>1001073</v>
      </c>
      <c r="B1075" t="n">
        <v>1</v>
      </c>
      <c r="C1075" t="n">
        <v>1073</v>
      </c>
      <c r="D1075" t="n">
        <v>-0.3196</v>
      </c>
      <c r="E1075" t="n">
        <v>15.6216</v>
      </c>
      <c r="F1075" t="n">
        <v>0.07918</v>
      </c>
    </row>
    <row r="1076">
      <c r="A1076" t="n">
        <v>1001074</v>
      </c>
      <c r="B1076" t="n">
        <v>1</v>
      </c>
      <c r="C1076" t="n">
        <v>1074</v>
      </c>
      <c r="D1076" t="n">
        <v>-0.3191</v>
      </c>
      <c r="E1076" t="n">
        <v>15.6206</v>
      </c>
      <c r="F1076" t="n">
        <v>0.07918</v>
      </c>
    </row>
    <row r="1077">
      <c r="A1077" t="n">
        <v>1001075</v>
      </c>
      <c r="B1077" t="n">
        <v>1</v>
      </c>
      <c r="C1077" t="n">
        <v>1075</v>
      </c>
      <c r="D1077" t="n">
        <v>-0.3187</v>
      </c>
      <c r="E1077" t="n">
        <v>15.6196</v>
      </c>
      <c r="F1077" t="n">
        <v>0.07919</v>
      </c>
    </row>
    <row r="1078">
      <c r="A1078" t="n">
        <v>1001076</v>
      </c>
      <c r="B1078" t="n">
        <v>1</v>
      </c>
      <c r="C1078" t="n">
        <v>1076</v>
      </c>
      <c r="D1078" t="n">
        <v>-0.3182</v>
      </c>
      <c r="E1078" t="n">
        <v>15.6185</v>
      </c>
      <c r="F1078" t="n">
        <v>0.07920000000000001</v>
      </c>
    </row>
    <row r="1079">
      <c r="A1079" t="n">
        <v>1001077</v>
      </c>
      <c r="B1079" t="n">
        <v>1</v>
      </c>
      <c r="C1079" t="n">
        <v>1077</v>
      </c>
      <c r="D1079" t="n">
        <v>-0.3178</v>
      </c>
      <c r="E1079" t="n">
        <v>15.6175</v>
      </c>
      <c r="F1079" t="n">
        <v>0.07920000000000001</v>
      </c>
    </row>
    <row r="1080">
      <c r="A1080" t="n">
        <v>1001078</v>
      </c>
      <c r="B1080" t="n">
        <v>1</v>
      </c>
      <c r="C1080" t="n">
        <v>1078</v>
      </c>
      <c r="D1080" t="n">
        <v>-0.3174</v>
      </c>
      <c r="E1080" t="n">
        <v>15.6165</v>
      </c>
      <c r="F1080" t="n">
        <v>0.07921</v>
      </c>
    </row>
    <row r="1081">
      <c r="A1081" t="n">
        <v>1001079</v>
      </c>
      <c r="B1081" t="n">
        <v>1</v>
      </c>
      <c r="C1081" t="n">
        <v>1079</v>
      </c>
      <c r="D1081" t="n">
        <v>-0.3169</v>
      </c>
      <c r="E1081" t="n">
        <v>15.6155</v>
      </c>
      <c r="F1081" t="n">
        <v>0.07921</v>
      </c>
    </row>
    <row r="1082">
      <c r="A1082" t="n">
        <v>1001080</v>
      </c>
      <c r="B1082" t="n">
        <v>1</v>
      </c>
      <c r="C1082" t="n">
        <v>1080</v>
      </c>
      <c r="D1082" t="n">
        <v>-0.3165</v>
      </c>
      <c r="E1082" t="n">
        <v>15.6145</v>
      </c>
      <c r="F1082" t="n">
        <v>0.07922</v>
      </c>
    </row>
    <row r="1083">
      <c r="A1083" t="n">
        <v>1001081</v>
      </c>
      <c r="B1083" t="n">
        <v>1</v>
      </c>
      <c r="C1083" t="n">
        <v>1081</v>
      </c>
      <c r="D1083" t="n">
        <v>-0.3161</v>
      </c>
      <c r="E1083" t="n">
        <v>15.6135</v>
      </c>
      <c r="F1083" t="n">
        <v>0.07922</v>
      </c>
    </row>
    <row r="1084">
      <c r="A1084" t="n">
        <v>1001082</v>
      </c>
      <c r="B1084" t="n">
        <v>1</v>
      </c>
      <c r="C1084" t="n">
        <v>1082</v>
      </c>
      <c r="D1084" t="n">
        <v>-0.3156</v>
      </c>
      <c r="E1084" t="n">
        <v>15.6125</v>
      </c>
      <c r="F1084" t="n">
        <v>0.07922999999999999</v>
      </c>
    </row>
    <row r="1085">
      <c r="A1085" t="n">
        <v>1001083</v>
      </c>
      <c r="B1085" t="n">
        <v>1</v>
      </c>
      <c r="C1085" t="n">
        <v>1083</v>
      </c>
      <c r="D1085" t="n">
        <v>-0.3152</v>
      </c>
      <c r="E1085" t="n">
        <v>15.6115</v>
      </c>
      <c r="F1085" t="n">
        <v>0.07924</v>
      </c>
    </row>
    <row r="1086">
      <c r="A1086" t="n">
        <v>1001084</v>
      </c>
      <c r="B1086" t="n">
        <v>1</v>
      </c>
      <c r="C1086" t="n">
        <v>1084</v>
      </c>
      <c r="D1086" t="n">
        <v>-0.3148</v>
      </c>
      <c r="E1086" t="n">
        <v>15.6105</v>
      </c>
      <c r="F1086" t="n">
        <v>0.07924</v>
      </c>
    </row>
    <row r="1087">
      <c r="A1087" t="n">
        <v>1001085</v>
      </c>
      <c r="B1087" t="n">
        <v>1</v>
      </c>
      <c r="C1087" t="n">
        <v>1085</v>
      </c>
      <c r="D1087" t="n">
        <v>-0.3144</v>
      </c>
      <c r="E1087" t="n">
        <v>15.6095</v>
      </c>
      <c r="F1087" t="n">
        <v>0.07925</v>
      </c>
    </row>
    <row r="1088">
      <c r="A1088" t="n">
        <v>1001086</v>
      </c>
      <c r="B1088" t="n">
        <v>1</v>
      </c>
      <c r="C1088" t="n">
        <v>1086</v>
      </c>
      <c r="D1088" t="n">
        <v>-0.314</v>
      </c>
      <c r="E1088" t="n">
        <v>15.6085</v>
      </c>
      <c r="F1088" t="n">
        <v>0.07925</v>
      </c>
    </row>
    <row r="1089">
      <c r="A1089" t="n">
        <v>1001087</v>
      </c>
      <c r="B1089" t="n">
        <v>1</v>
      </c>
      <c r="C1089" t="n">
        <v>1087</v>
      </c>
      <c r="D1089" t="n">
        <v>-0.3136</v>
      </c>
      <c r="E1089" t="n">
        <v>15.6075</v>
      </c>
      <c r="F1089" t="n">
        <v>0.07926</v>
      </c>
    </row>
    <row r="1090">
      <c r="A1090" t="n">
        <v>1001088</v>
      </c>
      <c r="B1090" t="n">
        <v>1</v>
      </c>
      <c r="C1090" t="n">
        <v>1088</v>
      </c>
      <c r="D1090" t="n">
        <v>-0.3132</v>
      </c>
      <c r="E1090" t="n">
        <v>15.6065</v>
      </c>
      <c r="F1090" t="n">
        <v>0.07926</v>
      </c>
    </row>
    <row r="1091">
      <c r="A1091" t="n">
        <v>1001089</v>
      </c>
      <c r="B1091" t="n">
        <v>1</v>
      </c>
      <c r="C1091" t="n">
        <v>1089</v>
      </c>
      <c r="D1091" t="n">
        <v>-0.3128</v>
      </c>
      <c r="E1091" t="n">
        <v>15.6055</v>
      </c>
      <c r="F1091" t="n">
        <v>0.07926999999999999</v>
      </c>
    </row>
    <row r="1092">
      <c r="A1092" t="n">
        <v>1001090</v>
      </c>
      <c r="B1092" t="n">
        <v>1</v>
      </c>
      <c r="C1092" t="n">
        <v>1090</v>
      </c>
      <c r="D1092" t="n">
        <v>-0.3124</v>
      </c>
      <c r="E1092" t="n">
        <v>15.6045</v>
      </c>
      <c r="F1092" t="n">
        <v>0.07928</v>
      </c>
    </row>
    <row r="1093">
      <c r="A1093" t="n">
        <v>1001091</v>
      </c>
      <c r="B1093" t="n">
        <v>1</v>
      </c>
      <c r="C1093" t="n">
        <v>1091</v>
      </c>
      <c r="D1093" t="n">
        <v>-0.312</v>
      </c>
      <c r="E1093" t="n">
        <v>15.6035</v>
      </c>
      <c r="F1093" t="n">
        <v>0.07928</v>
      </c>
    </row>
    <row r="1094">
      <c r="A1094" t="n">
        <v>1001092</v>
      </c>
      <c r="B1094" t="n">
        <v>1</v>
      </c>
      <c r="C1094" t="n">
        <v>1092</v>
      </c>
      <c r="D1094" t="n">
        <v>-0.3116</v>
      </c>
      <c r="E1094" t="n">
        <v>15.6025</v>
      </c>
      <c r="F1094" t="n">
        <v>0.07929</v>
      </c>
    </row>
    <row r="1095">
      <c r="A1095" t="n">
        <v>1001093</v>
      </c>
      <c r="B1095" t="n">
        <v>1</v>
      </c>
      <c r="C1095" t="n">
        <v>1093</v>
      </c>
      <c r="D1095" t="n">
        <v>-0.3112</v>
      </c>
      <c r="E1095" t="n">
        <v>15.6015</v>
      </c>
      <c r="F1095" t="n">
        <v>0.07929</v>
      </c>
    </row>
    <row r="1096">
      <c r="A1096" t="n">
        <v>1001094</v>
      </c>
      <c r="B1096" t="n">
        <v>1</v>
      </c>
      <c r="C1096" t="n">
        <v>1094</v>
      </c>
      <c r="D1096" t="n">
        <v>-0.3108</v>
      </c>
      <c r="E1096" t="n">
        <v>15.6005</v>
      </c>
      <c r="F1096" t="n">
        <v>0.0793</v>
      </c>
    </row>
    <row r="1097">
      <c r="A1097" t="n">
        <v>1001095</v>
      </c>
      <c r="B1097" t="n">
        <v>1</v>
      </c>
      <c r="C1097" t="n">
        <v>1095</v>
      </c>
      <c r="D1097" t="n">
        <v>-0.3104</v>
      </c>
      <c r="E1097" t="n">
        <v>15.5995</v>
      </c>
      <c r="F1097" t="n">
        <v>0.07931000000000001</v>
      </c>
    </row>
    <row r="1098">
      <c r="A1098" t="n">
        <v>1001096</v>
      </c>
      <c r="B1098" t="n">
        <v>1</v>
      </c>
      <c r="C1098" t="n">
        <v>1096</v>
      </c>
      <c r="D1098" t="n">
        <v>-0.31</v>
      </c>
      <c r="E1098" t="n">
        <v>15.5986</v>
      </c>
      <c r="F1098" t="n">
        <v>0.07931000000000001</v>
      </c>
    </row>
    <row r="1099">
      <c r="A1099" t="n">
        <v>1001097</v>
      </c>
      <c r="B1099" t="n">
        <v>1</v>
      </c>
      <c r="C1099" t="n">
        <v>1097</v>
      </c>
      <c r="D1099" t="n">
        <v>-0.3097</v>
      </c>
      <c r="E1099" t="n">
        <v>15.5976</v>
      </c>
      <c r="F1099" t="n">
        <v>0.07932</v>
      </c>
    </row>
    <row r="1100">
      <c r="A1100" t="n">
        <v>1001098</v>
      </c>
      <c r="B1100" t="n">
        <v>1</v>
      </c>
      <c r="C1100" t="n">
        <v>1098</v>
      </c>
      <c r="D1100" t="n">
        <v>-0.3093</v>
      </c>
      <c r="E1100" t="n">
        <v>15.5966</v>
      </c>
      <c r="F1100" t="n">
        <v>0.07932</v>
      </c>
    </row>
    <row r="1101">
      <c r="A1101" t="n">
        <v>1001099</v>
      </c>
      <c r="B1101" t="n">
        <v>1</v>
      </c>
      <c r="C1101" t="n">
        <v>1099</v>
      </c>
      <c r="D1101" t="n">
        <v>-0.3089</v>
      </c>
      <c r="E1101" t="n">
        <v>15.5956</v>
      </c>
      <c r="F1101" t="n">
        <v>0.07933</v>
      </c>
    </row>
    <row r="1102">
      <c r="A1102" t="n">
        <v>1001100</v>
      </c>
      <c r="B1102" t="n">
        <v>1</v>
      </c>
      <c r="C1102" t="n">
        <v>1100</v>
      </c>
      <c r="D1102" t="n">
        <v>-0.3085</v>
      </c>
      <c r="E1102" t="n">
        <v>15.5946</v>
      </c>
      <c r="F1102" t="n">
        <v>0.07933999999999999</v>
      </c>
    </row>
    <row r="1103">
      <c r="A1103" t="n">
        <v>1001101</v>
      </c>
      <c r="B1103" t="n">
        <v>1</v>
      </c>
      <c r="C1103" t="n">
        <v>1101</v>
      </c>
      <c r="D1103" t="n">
        <v>-0.3082</v>
      </c>
      <c r="E1103" t="n">
        <v>15.5936</v>
      </c>
      <c r="F1103" t="n">
        <v>0.07933999999999999</v>
      </c>
    </row>
    <row r="1104">
      <c r="A1104" t="n">
        <v>1001102</v>
      </c>
      <c r="B1104" t="n">
        <v>1</v>
      </c>
      <c r="C1104" t="n">
        <v>1102</v>
      </c>
      <c r="D1104" t="n">
        <v>-0.3078</v>
      </c>
      <c r="E1104" t="n">
        <v>15.5926</v>
      </c>
      <c r="F1104" t="n">
        <v>0.07935</v>
      </c>
    </row>
    <row r="1105">
      <c r="A1105" t="n">
        <v>1001103</v>
      </c>
      <c r="B1105" t="n">
        <v>1</v>
      </c>
      <c r="C1105" t="n">
        <v>1103</v>
      </c>
      <c r="D1105" t="n">
        <v>-0.3074</v>
      </c>
      <c r="E1105" t="n">
        <v>15.5917</v>
      </c>
      <c r="F1105" t="n">
        <v>0.07935</v>
      </c>
    </row>
    <row r="1106">
      <c r="A1106" t="n">
        <v>1001104</v>
      </c>
      <c r="B1106" t="n">
        <v>1</v>
      </c>
      <c r="C1106" t="n">
        <v>1104</v>
      </c>
      <c r="D1106" t="n">
        <v>-0.3071</v>
      </c>
      <c r="E1106" t="n">
        <v>15.5907</v>
      </c>
      <c r="F1106" t="n">
        <v>0.07936</v>
      </c>
    </row>
    <row r="1107">
      <c r="A1107" t="n">
        <v>1001105</v>
      </c>
      <c r="B1107" t="n">
        <v>1</v>
      </c>
      <c r="C1107" t="n">
        <v>1105</v>
      </c>
      <c r="D1107" t="n">
        <v>-0.3067</v>
      </c>
      <c r="E1107" t="n">
        <v>15.5897</v>
      </c>
      <c r="F1107" t="n">
        <v>0.07936</v>
      </c>
    </row>
    <row r="1108">
      <c r="A1108" t="n">
        <v>1001106</v>
      </c>
      <c r="B1108" t="n">
        <v>1</v>
      </c>
      <c r="C1108" t="n">
        <v>1106</v>
      </c>
      <c r="D1108" t="n">
        <v>-0.3064</v>
      </c>
      <c r="E1108" t="n">
        <v>15.5887</v>
      </c>
      <c r="F1108" t="n">
        <v>0.07937</v>
      </c>
    </row>
    <row r="1109">
      <c r="A1109" t="n">
        <v>1001107</v>
      </c>
      <c r="B1109" t="n">
        <v>1</v>
      </c>
      <c r="C1109" t="n">
        <v>1107</v>
      </c>
      <c r="D1109" t="n">
        <v>-0.306</v>
      </c>
      <c r="E1109" t="n">
        <v>15.5878</v>
      </c>
      <c r="F1109" t="n">
        <v>0.07938000000000001</v>
      </c>
    </row>
    <row r="1110">
      <c r="A1110" t="n">
        <v>1001108</v>
      </c>
      <c r="B1110" t="n">
        <v>1</v>
      </c>
      <c r="C1110" t="n">
        <v>1108</v>
      </c>
      <c r="D1110" t="n">
        <v>-0.3057</v>
      </c>
      <c r="E1110" t="n">
        <v>15.5868</v>
      </c>
      <c r="F1110" t="n">
        <v>0.07938000000000001</v>
      </c>
    </row>
    <row r="1111">
      <c r="A1111" t="n">
        <v>1001109</v>
      </c>
      <c r="B1111" t="n">
        <v>1</v>
      </c>
      <c r="C1111" t="n">
        <v>1109</v>
      </c>
      <c r="D1111" t="n">
        <v>-0.3054</v>
      </c>
      <c r="E1111" t="n">
        <v>15.5858</v>
      </c>
      <c r="F1111" t="n">
        <v>0.07939</v>
      </c>
    </row>
    <row r="1112">
      <c r="A1112" t="n">
        <v>1001110</v>
      </c>
      <c r="B1112" t="n">
        <v>1</v>
      </c>
      <c r="C1112" t="n">
        <v>1110</v>
      </c>
      <c r="D1112" t="n">
        <v>-0.305</v>
      </c>
      <c r="E1112" t="n">
        <v>15.5848</v>
      </c>
      <c r="F1112" t="n">
        <v>0.0794</v>
      </c>
    </row>
    <row r="1113">
      <c r="A1113" t="n">
        <v>1001111</v>
      </c>
      <c r="B1113" t="n">
        <v>1</v>
      </c>
      <c r="C1113" t="n">
        <v>1111</v>
      </c>
      <c r="D1113" t="n">
        <v>-0.3047</v>
      </c>
      <c r="E1113" t="n">
        <v>15.5839</v>
      </c>
      <c r="F1113" t="n">
        <v>0.0794</v>
      </c>
    </row>
    <row r="1114">
      <c r="A1114" t="n">
        <v>1001112</v>
      </c>
      <c r="B1114" t="n">
        <v>1</v>
      </c>
      <c r="C1114" t="n">
        <v>1112</v>
      </c>
      <c r="D1114" t="n">
        <v>-0.3043</v>
      </c>
      <c r="E1114" t="n">
        <v>15.5829</v>
      </c>
      <c r="F1114" t="n">
        <v>0.07940999999999999</v>
      </c>
    </row>
    <row r="1115">
      <c r="A1115" t="n">
        <v>1001113</v>
      </c>
      <c r="B1115" t="n">
        <v>1</v>
      </c>
      <c r="C1115" t="n">
        <v>1113</v>
      </c>
      <c r="D1115" t="n">
        <v>-0.304</v>
      </c>
      <c r="E1115" t="n">
        <v>15.5819</v>
      </c>
      <c r="F1115" t="n">
        <v>0.07940999999999999</v>
      </c>
    </row>
    <row r="1116">
      <c r="A1116" t="n">
        <v>1001114</v>
      </c>
      <c r="B1116" t="n">
        <v>1</v>
      </c>
      <c r="C1116" t="n">
        <v>1114</v>
      </c>
      <c r="D1116" t="n">
        <v>-0.3037</v>
      </c>
      <c r="E1116" t="n">
        <v>15.581</v>
      </c>
      <c r="F1116" t="n">
        <v>0.07942</v>
      </c>
    </row>
    <row r="1117">
      <c r="A1117" t="n">
        <v>1001115</v>
      </c>
      <c r="B1117" t="n">
        <v>1</v>
      </c>
      <c r="C1117" t="n">
        <v>1115</v>
      </c>
      <c r="D1117" t="n">
        <v>-0.3034</v>
      </c>
      <c r="E1117" t="n">
        <v>15.58</v>
      </c>
      <c r="F1117" t="n">
        <v>0.07943</v>
      </c>
    </row>
    <row r="1118">
      <c r="A1118" t="n">
        <v>1001116</v>
      </c>
      <c r="B1118" t="n">
        <v>1</v>
      </c>
      <c r="C1118" t="n">
        <v>1116</v>
      </c>
      <c r="D1118" t="n">
        <v>-0.3031</v>
      </c>
      <c r="E1118" t="n">
        <v>15.579</v>
      </c>
      <c r="F1118" t="n">
        <v>0.07943</v>
      </c>
    </row>
    <row r="1119">
      <c r="A1119" t="n">
        <v>1001117</v>
      </c>
      <c r="B1119" t="n">
        <v>1</v>
      </c>
      <c r="C1119" t="n">
        <v>1117</v>
      </c>
      <c r="D1119" t="n">
        <v>-0.3027</v>
      </c>
      <c r="E1119" t="n">
        <v>15.5781</v>
      </c>
      <c r="F1119" t="n">
        <v>0.07944</v>
      </c>
    </row>
    <row r="1120">
      <c r="A1120" t="n">
        <v>1001118</v>
      </c>
      <c r="B1120" t="n">
        <v>1</v>
      </c>
      <c r="C1120" t="n">
        <v>1118</v>
      </c>
      <c r="D1120" t="n">
        <v>-0.3024</v>
      </c>
      <c r="E1120" t="n">
        <v>15.5771</v>
      </c>
      <c r="F1120" t="n">
        <v>0.07944</v>
      </c>
    </row>
    <row r="1121">
      <c r="A1121" t="n">
        <v>1001119</v>
      </c>
      <c r="B1121" t="n">
        <v>1</v>
      </c>
      <c r="C1121" t="n">
        <v>1119</v>
      </c>
      <c r="D1121" t="n">
        <v>-0.3021</v>
      </c>
      <c r="E1121" t="n">
        <v>15.5761</v>
      </c>
      <c r="F1121" t="n">
        <v>0.07945000000000001</v>
      </c>
    </row>
    <row r="1122">
      <c r="A1122" t="n">
        <v>1001120</v>
      </c>
      <c r="B1122" t="n">
        <v>1</v>
      </c>
      <c r="C1122" t="n">
        <v>1120</v>
      </c>
      <c r="D1122" t="n">
        <v>-0.3018</v>
      </c>
      <c r="E1122" t="n">
        <v>15.5752</v>
      </c>
      <c r="F1122" t="n">
        <v>0.07946</v>
      </c>
    </row>
    <row r="1123">
      <c r="A1123" t="n">
        <v>1001121</v>
      </c>
      <c r="B1123" t="n">
        <v>1</v>
      </c>
      <c r="C1123" t="n">
        <v>1121</v>
      </c>
      <c r="D1123" t="n">
        <v>-0.3015</v>
      </c>
      <c r="E1123" t="n">
        <v>15.5742</v>
      </c>
      <c r="F1123" t="n">
        <v>0.07946</v>
      </c>
    </row>
    <row r="1124">
      <c r="A1124" t="n">
        <v>1001122</v>
      </c>
      <c r="B1124" t="n">
        <v>1</v>
      </c>
      <c r="C1124" t="n">
        <v>1122</v>
      </c>
      <c r="D1124" t="n">
        <v>-0.3012</v>
      </c>
      <c r="E1124" t="n">
        <v>15.5733</v>
      </c>
      <c r="F1124" t="n">
        <v>0.07947</v>
      </c>
    </row>
    <row r="1125">
      <c r="A1125" t="n">
        <v>1001123</v>
      </c>
      <c r="B1125" t="n">
        <v>1</v>
      </c>
      <c r="C1125" t="n">
        <v>1123</v>
      </c>
      <c r="D1125" t="n">
        <v>-0.3009</v>
      </c>
      <c r="E1125" t="n">
        <v>15.5723</v>
      </c>
      <c r="F1125" t="n">
        <v>0.07948</v>
      </c>
    </row>
    <row r="1126">
      <c r="A1126" t="n">
        <v>1001124</v>
      </c>
      <c r="B1126" t="n">
        <v>1</v>
      </c>
      <c r="C1126" t="n">
        <v>1124</v>
      </c>
      <c r="D1126" t="n">
        <v>-0.3006</v>
      </c>
      <c r="E1126" t="n">
        <v>15.5714</v>
      </c>
      <c r="F1126" t="n">
        <v>0.07948</v>
      </c>
    </row>
    <row r="1127">
      <c r="A1127" t="n">
        <v>1001125</v>
      </c>
      <c r="B1127" t="n">
        <v>1</v>
      </c>
      <c r="C1127" t="n">
        <v>1125</v>
      </c>
      <c r="D1127" t="n">
        <v>-0.3003</v>
      </c>
      <c r="E1127" t="n">
        <v>15.5704</v>
      </c>
      <c r="F1127" t="n">
        <v>0.07949000000000001</v>
      </c>
    </row>
    <row r="1128">
      <c r="A1128" t="n">
        <v>1001126</v>
      </c>
      <c r="B1128" t="n">
        <v>1</v>
      </c>
      <c r="C1128" t="n">
        <v>1126</v>
      </c>
      <c r="D1128" t="n">
        <v>-0.3</v>
      </c>
      <c r="E1128" t="n">
        <v>15.5695</v>
      </c>
      <c r="F1128" t="n">
        <v>0.07949000000000001</v>
      </c>
    </row>
    <row r="1129">
      <c r="A1129" t="n">
        <v>1001127</v>
      </c>
      <c r="B1129" t="n">
        <v>1</v>
      </c>
      <c r="C1129" t="n">
        <v>1127</v>
      </c>
      <c r="D1129" t="n">
        <v>-0.2997</v>
      </c>
      <c r="E1129" t="n">
        <v>15.5685</v>
      </c>
      <c r="F1129" t="n">
        <v>0.0795</v>
      </c>
    </row>
    <row r="1130">
      <c r="A1130" t="n">
        <v>1001128</v>
      </c>
      <c r="B1130" t="n">
        <v>1</v>
      </c>
      <c r="C1130" t="n">
        <v>1128</v>
      </c>
      <c r="D1130" t="n">
        <v>-0.2995</v>
      </c>
      <c r="E1130" t="n">
        <v>15.5676</v>
      </c>
      <c r="F1130" t="n">
        <v>0.07951</v>
      </c>
    </row>
    <row r="1131">
      <c r="A1131" t="n">
        <v>1001129</v>
      </c>
      <c r="B1131" t="n">
        <v>1</v>
      </c>
      <c r="C1131" t="n">
        <v>1129</v>
      </c>
      <c r="D1131" t="n">
        <v>-0.2992</v>
      </c>
      <c r="E1131" t="n">
        <v>15.5666</v>
      </c>
      <c r="F1131" t="n">
        <v>0.07951</v>
      </c>
    </row>
    <row r="1132">
      <c r="A1132" t="n">
        <v>1001130</v>
      </c>
      <c r="B1132" t="n">
        <v>1</v>
      </c>
      <c r="C1132" t="n">
        <v>1130</v>
      </c>
      <c r="D1132" t="n">
        <v>-0.2989</v>
      </c>
      <c r="E1132" t="n">
        <v>15.5657</v>
      </c>
      <c r="F1132" t="n">
        <v>0.07951999999999999</v>
      </c>
    </row>
    <row r="1133">
      <c r="A1133" t="n">
        <v>1001131</v>
      </c>
      <c r="B1133" t="n">
        <v>1</v>
      </c>
      <c r="C1133" t="n">
        <v>1131</v>
      </c>
      <c r="D1133" t="n">
        <v>-0.2986</v>
      </c>
      <c r="E1133" t="n">
        <v>15.5647</v>
      </c>
      <c r="F1133" t="n">
        <v>0.07953</v>
      </c>
    </row>
    <row r="1134">
      <c r="A1134" t="n">
        <v>1001132</v>
      </c>
      <c r="B1134" t="n">
        <v>1</v>
      </c>
      <c r="C1134" t="n">
        <v>1132</v>
      </c>
      <c r="D1134" t="n">
        <v>-0.2984</v>
      </c>
      <c r="E1134" t="n">
        <v>15.5638</v>
      </c>
      <c r="F1134" t="n">
        <v>0.07953</v>
      </c>
    </row>
    <row r="1135">
      <c r="A1135" t="n">
        <v>1001133</v>
      </c>
      <c r="B1135" t="n">
        <v>1</v>
      </c>
      <c r="C1135" t="n">
        <v>1133</v>
      </c>
      <c r="D1135" t="n">
        <v>-0.2981</v>
      </c>
      <c r="E1135" t="n">
        <v>15.5628</v>
      </c>
      <c r="F1135" t="n">
        <v>0.07954</v>
      </c>
    </row>
    <row r="1136">
      <c r="A1136" t="n">
        <v>1001134</v>
      </c>
      <c r="B1136" t="n">
        <v>1</v>
      </c>
      <c r="C1136" t="n">
        <v>1134</v>
      </c>
      <c r="D1136" t="n">
        <v>-0.2978</v>
      </c>
      <c r="E1136" t="n">
        <v>15.5619</v>
      </c>
      <c r="F1136" t="n">
        <v>0.07954</v>
      </c>
    </row>
    <row r="1137">
      <c r="A1137" t="n">
        <v>1001135</v>
      </c>
      <c r="B1137" t="n">
        <v>1</v>
      </c>
      <c r="C1137" t="n">
        <v>1135</v>
      </c>
      <c r="D1137" t="n">
        <v>-0.2976</v>
      </c>
      <c r="E1137" t="n">
        <v>15.5609</v>
      </c>
      <c r="F1137" t="n">
        <v>0.07955</v>
      </c>
    </row>
    <row r="1138">
      <c r="A1138" t="n">
        <v>1001136</v>
      </c>
      <c r="B1138" t="n">
        <v>1</v>
      </c>
      <c r="C1138" t="n">
        <v>1136</v>
      </c>
      <c r="D1138" t="n">
        <v>-0.2973</v>
      </c>
      <c r="E1138" t="n">
        <v>15.56</v>
      </c>
      <c r="F1138" t="n">
        <v>0.07956000000000001</v>
      </c>
    </row>
    <row r="1139">
      <c r="A1139" t="n">
        <v>1001137</v>
      </c>
      <c r="B1139" t="n">
        <v>1</v>
      </c>
      <c r="C1139" t="n">
        <v>1137</v>
      </c>
      <c r="D1139" t="n">
        <v>-0.2971</v>
      </c>
      <c r="E1139" t="n">
        <v>15.5591</v>
      </c>
      <c r="F1139" t="n">
        <v>0.07956000000000001</v>
      </c>
    </row>
    <row r="1140">
      <c r="A1140" t="n">
        <v>1001138</v>
      </c>
      <c r="B1140" t="n">
        <v>1</v>
      </c>
      <c r="C1140" t="n">
        <v>1138</v>
      </c>
      <c r="D1140" t="n">
        <v>-0.2968</v>
      </c>
      <c r="E1140" t="n">
        <v>15.5581</v>
      </c>
      <c r="F1140" t="n">
        <v>0.07957</v>
      </c>
    </row>
    <row r="1141">
      <c r="A1141" t="n">
        <v>1001139</v>
      </c>
      <c r="B1141" t="n">
        <v>1</v>
      </c>
      <c r="C1141" t="n">
        <v>1139</v>
      </c>
      <c r="D1141" t="n">
        <v>-0.2966</v>
      </c>
      <c r="E1141" t="n">
        <v>15.5572</v>
      </c>
      <c r="F1141" t="n">
        <v>0.07958</v>
      </c>
    </row>
    <row r="1142">
      <c r="A1142" t="n">
        <v>1001140</v>
      </c>
      <c r="B1142" t="n">
        <v>1</v>
      </c>
      <c r="C1142" t="n">
        <v>1140</v>
      </c>
      <c r="D1142" t="n">
        <v>-0.2963</v>
      </c>
      <c r="E1142" t="n">
        <v>15.5563</v>
      </c>
      <c r="F1142" t="n">
        <v>0.07958</v>
      </c>
    </row>
    <row r="1143">
      <c r="A1143" t="n">
        <v>1001141</v>
      </c>
      <c r="B1143" t="n">
        <v>1</v>
      </c>
      <c r="C1143" t="n">
        <v>1141</v>
      </c>
      <c r="D1143" t="n">
        <v>-0.2961</v>
      </c>
      <c r="E1143" t="n">
        <v>15.5553</v>
      </c>
      <c r="F1143" t="n">
        <v>0.07958999999999999</v>
      </c>
    </row>
    <row r="1144">
      <c r="A1144" t="n">
        <v>1001142</v>
      </c>
      <c r="B1144" t="n">
        <v>1</v>
      </c>
      <c r="C1144" t="n">
        <v>1142</v>
      </c>
      <c r="D1144" t="n">
        <v>-0.2959</v>
      </c>
      <c r="E1144" t="n">
        <v>15.5544</v>
      </c>
      <c r="F1144" t="n">
        <v>0.0796</v>
      </c>
    </row>
    <row r="1145">
      <c r="A1145" t="n">
        <v>1001143</v>
      </c>
      <c r="B1145" t="n">
        <v>1</v>
      </c>
      <c r="C1145" t="n">
        <v>1143</v>
      </c>
      <c r="D1145" t="n">
        <v>-0.2956</v>
      </c>
      <c r="E1145" t="n">
        <v>15.5535</v>
      </c>
      <c r="F1145" t="n">
        <v>0.0796</v>
      </c>
    </row>
    <row r="1146">
      <c r="A1146" t="n">
        <v>1001144</v>
      </c>
      <c r="B1146" t="n">
        <v>1</v>
      </c>
      <c r="C1146" t="n">
        <v>1144</v>
      </c>
      <c r="D1146" t="n">
        <v>-0.2954</v>
      </c>
      <c r="E1146" t="n">
        <v>15.5525</v>
      </c>
      <c r="F1146" t="n">
        <v>0.07961</v>
      </c>
    </row>
    <row r="1147">
      <c r="A1147" t="n">
        <v>1001145</v>
      </c>
      <c r="B1147" t="n">
        <v>1</v>
      </c>
      <c r="C1147" t="n">
        <v>1145</v>
      </c>
      <c r="D1147" t="n">
        <v>-0.2952</v>
      </c>
      <c r="E1147" t="n">
        <v>15.5516</v>
      </c>
      <c r="F1147" t="n">
        <v>0.07962</v>
      </c>
    </row>
    <row r="1148">
      <c r="A1148" t="n">
        <v>1001146</v>
      </c>
      <c r="B1148" t="n">
        <v>1</v>
      </c>
      <c r="C1148" t="n">
        <v>1146</v>
      </c>
      <c r="D1148" t="n">
        <v>-0.2949</v>
      </c>
      <c r="E1148" t="n">
        <v>15.5507</v>
      </c>
      <c r="F1148" t="n">
        <v>0.07962</v>
      </c>
    </row>
    <row r="1149">
      <c r="A1149" t="n">
        <v>1001147</v>
      </c>
      <c r="B1149" t="n">
        <v>1</v>
      </c>
      <c r="C1149" t="n">
        <v>1147</v>
      </c>
      <c r="D1149" t="n">
        <v>-0.2947</v>
      </c>
      <c r="E1149" t="n">
        <v>15.5498</v>
      </c>
      <c r="F1149" t="n">
        <v>0.07963000000000001</v>
      </c>
    </row>
    <row r="1150">
      <c r="A1150" t="n">
        <v>1001148</v>
      </c>
      <c r="B1150" t="n">
        <v>1</v>
      </c>
      <c r="C1150" t="n">
        <v>1148</v>
      </c>
      <c r="D1150" t="n">
        <v>-0.2945</v>
      </c>
      <c r="E1150" t="n">
        <v>15.5489</v>
      </c>
      <c r="F1150" t="n">
        <v>0.07964</v>
      </c>
    </row>
    <row r="1151">
      <c r="A1151" t="n">
        <v>1001149</v>
      </c>
      <c r="B1151" t="n">
        <v>1</v>
      </c>
      <c r="C1151" t="n">
        <v>1149</v>
      </c>
      <c r="D1151" t="n">
        <v>-0.2943</v>
      </c>
      <c r="E1151" t="n">
        <v>15.5479</v>
      </c>
      <c r="F1151" t="n">
        <v>0.07964</v>
      </c>
    </row>
    <row r="1152">
      <c r="A1152" t="n">
        <v>1001150</v>
      </c>
      <c r="B1152" t="n">
        <v>1</v>
      </c>
      <c r="C1152" t="n">
        <v>1150</v>
      </c>
      <c r="D1152" t="n">
        <v>-0.2941</v>
      </c>
      <c r="E1152" t="n">
        <v>15.547</v>
      </c>
      <c r="F1152" t="n">
        <v>0.07965</v>
      </c>
    </row>
    <row r="1153">
      <c r="A1153" t="n">
        <v>1001151</v>
      </c>
      <c r="B1153" t="n">
        <v>1</v>
      </c>
      <c r="C1153" t="n">
        <v>1151</v>
      </c>
      <c r="D1153" t="n">
        <v>-0.2939</v>
      </c>
      <c r="E1153" t="n">
        <v>15.5461</v>
      </c>
      <c r="F1153" t="n">
        <v>0.07965999999999999</v>
      </c>
    </row>
    <row r="1154">
      <c r="A1154" t="n">
        <v>1001152</v>
      </c>
      <c r="B1154" t="n">
        <v>1</v>
      </c>
      <c r="C1154" t="n">
        <v>1152</v>
      </c>
      <c r="D1154" t="n">
        <v>-0.2937</v>
      </c>
      <c r="E1154" t="n">
        <v>15.5452</v>
      </c>
      <c r="F1154" t="n">
        <v>0.07965999999999999</v>
      </c>
    </row>
    <row r="1155">
      <c r="A1155" t="n">
        <v>1001153</v>
      </c>
      <c r="B1155" t="n">
        <v>1</v>
      </c>
      <c r="C1155" t="n">
        <v>1153</v>
      </c>
      <c r="D1155" t="n">
        <v>-0.2934</v>
      </c>
      <c r="E1155" t="n">
        <v>15.5443</v>
      </c>
      <c r="F1155" t="n">
        <v>0.07967</v>
      </c>
    </row>
    <row r="1156">
      <c r="A1156" t="n">
        <v>1001154</v>
      </c>
      <c r="B1156" t="n">
        <v>1</v>
      </c>
      <c r="C1156" t="n">
        <v>1154</v>
      </c>
      <c r="D1156" t="n">
        <v>-0.2932</v>
      </c>
      <c r="E1156" t="n">
        <v>15.5434</v>
      </c>
      <c r="F1156" t="n">
        <v>0.07967</v>
      </c>
    </row>
    <row r="1157">
      <c r="A1157" t="n">
        <v>1001155</v>
      </c>
      <c r="B1157" t="n">
        <v>1</v>
      </c>
      <c r="C1157" t="n">
        <v>1155</v>
      </c>
      <c r="D1157" t="n">
        <v>-0.2931</v>
      </c>
      <c r="E1157" t="n">
        <v>15.5424</v>
      </c>
      <c r="F1157" t="n">
        <v>0.07968</v>
      </c>
    </row>
    <row r="1158">
      <c r="A1158" t="n">
        <v>1001156</v>
      </c>
      <c r="B1158" t="n">
        <v>1</v>
      </c>
      <c r="C1158" t="n">
        <v>1156</v>
      </c>
      <c r="D1158" t="n">
        <v>-0.2929</v>
      </c>
      <c r="E1158" t="n">
        <v>15.5415</v>
      </c>
      <c r="F1158" t="n">
        <v>0.07969</v>
      </c>
    </row>
    <row r="1159">
      <c r="A1159" t="n">
        <v>1001157</v>
      </c>
      <c r="B1159" t="n">
        <v>1</v>
      </c>
      <c r="C1159" t="n">
        <v>1157</v>
      </c>
      <c r="D1159" t="n">
        <v>-0.2927</v>
      </c>
      <c r="E1159" t="n">
        <v>15.5406</v>
      </c>
      <c r="F1159" t="n">
        <v>0.07969</v>
      </c>
    </row>
    <row r="1160">
      <c r="A1160" t="n">
        <v>1001158</v>
      </c>
      <c r="B1160" t="n">
        <v>1</v>
      </c>
      <c r="C1160" t="n">
        <v>1158</v>
      </c>
      <c r="D1160" t="n">
        <v>-0.2925</v>
      </c>
      <c r="E1160" t="n">
        <v>15.5397</v>
      </c>
      <c r="F1160" t="n">
        <v>0.07969999999999999</v>
      </c>
    </row>
    <row r="1161">
      <c r="A1161" t="n">
        <v>1001159</v>
      </c>
      <c r="B1161" t="n">
        <v>1</v>
      </c>
      <c r="C1161" t="n">
        <v>1159</v>
      </c>
      <c r="D1161" t="n">
        <v>-0.2923</v>
      </c>
      <c r="E1161" t="n">
        <v>15.5388</v>
      </c>
      <c r="F1161" t="n">
        <v>0.07971</v>
      </c>
    </row>
    <row r="1162">
      <c r="A1162" t="n">
        <v>1001160</v>
      </c>
      <c r="B1162" t="n">
        <v>1</v>
      </c>
      <c r="C1162" t="n">
        <v>1160</v>
      </c>
      <c r="D1162" t="n">
        <v>-0.2921</v>
      </c>
      <c r="E1162" t="n">
        <v>15.5379</v>
      </c>
      <c r="F1162" t="n">
        <v>0.07972</v>
      </c>
    </row>
    <row r="1163">
      <c r="A1163" t="n">
        <v>1001161</v>
      </c>
      <c r="B1163" t="n">
        <v>1</v>
      </c>
      <c r="C1163" t="n">
        <v>1161</v>
      </c>
      <c r="D1163" t="n">
        <v>-0.2919</v>
      </c>
      <c r="E1163" t="n">
        <v>15.537</v>
      </c>
      <c r="F1163" t="n">
        <v>0.07972</v>
      </c>
    </row>
    <row r="1164">
      <c r="A1164" t="n">
        <v>1001162</v>
      </c>
      <c r="B1164" t="n">
        <v>1</v>
      </c>
      <c r="C1164" t="n">
        <v>1162</v>
      </c>
      <c r="D1164" t="n">
        <v>-0.2918</v>
      </c>
      <c r="E1164" t="n">
        <v>15.5361</v>
      </c>
      <c r="F1164" t="n">
        <v>0.07973</v>
      </c>
    </row>
    <row r="1165">
      <c r="A1165" t="n">
        <v>1001163</v>
      </c>
      <c r="B1165" t="n">
        <v>1</v>
      </c>
      <c r="C1165" t="n">
        <v>1163</v>
      </c>
      <c r="D1165" t="n">
        <v>-0.2916</v>
      </c>
      <c r="E1165" t="n">
        <v>15.5352</v>
      </c>
      <c r="F1165" t="n">
        <v>0.07974000000000001</v>
      </c>
    </row>
    <row r="1166">
      <c r="A1166" t="n">
        <v>1001164</v>
      </c>
      <c r="B1166" t="n">
        <v>1</v>
      </c>
      <c r="C1166" t="n">
        <v>1164</v>
      </c>
      <c r="D1166" t="n">
        <v>-0.2914</v>
      </c>
      <c r="E1166" t="n">
        <v>15.5343</v>
      </c>
      <c r="F1166" t="n">
        <v>0.07974000000000001</v>
      </c>
    </row>
    <row r="1167">
      <c r="A1167" t="n">
        <v>1001165</v>
      </c>
      <c r="B1167" t="n">
        <v>1</v>
      </c>
      <c r="C1167" t="n">
        <v>1165</v>
      </c>
      <c r="D1167" t="n">
        <v>-0.2913</v>
      </c>
      <c r="E1167" t="n">
        <v>15.5334</v>
      </c>
      <c r="F1167" t="n">
        <v>0.07975</v>
      </c>
    </row>
    <row r="1168">
      <c r="A1168" t="n">
        <v>1001166</v>
      </c>
      <c r="B1168" t="n">
        <v>1</v>
      </c>
      <c r="C1168" t="n">
        <v>1166</v>
      </c>
      <c r="D1168" t="n">
        <v>-0.2911</v>
      </c>
      <c r="E1168" t="n">
        <v>15.5325</v>
      </c>
      <c r="F1168" t="n">
        <v>0.07976</v>
      </c>
    </row>
    <row r="1169">
      <c r="A1169" t="n">
        <v>1001167</v>
      </c>
      <c r="B1169" t="n">
        <v>1</v>
      </c>
      <c r="C1169" t="n">
        <v>1167</v>
      </c>
      <c r="D1169" t="n">
        <v>-0.2909</v>
      </c>
      <c r="E1169" t="n">
        <v>15.5316</v>
      </c>
      <c r="F1169" t="n">
        <v>0.07976</v>
      </c>
    </row>
    <row r="1170">
      <c r="A1170" t="n">
        <v>1001168</v>
      </c>
      <c r="B1170" t="n">
        <v>1</v>
      </c>
      <c r="C1170" t="n">
        <v>1168</v>
      </c>
      <c r="D1170" t="n">
        <v>-0.2908</v>
      </c>
      <c r="E1170" t="n">
        <v>15.5307</v>
      </c>
      <c r="F1170" t="n">
        <v>0.07976999999999999</v>
      </c>
    </row>
    <row r="1171">
      <c r="A1171" t="n">
        <v>1001169</v>
      </c>
      <c r="B1171" t="n">
        <v>1</v>
      </c>
      <c r="C1171" t="n">
        <v>1169</v>
      </c>
      <c r="D1171" t="n">
        <v>-0.2906</v>
      </c>
      <c r="E1171" t="n">
        <v>15.5298</v>
      </c>
      <c r="F1171" t="n">
        <v>0.07978</v>
      </c>
    </row>
    <row r="1172">
      <c r="A1172" t="n">
        <v>1001170</v>
      </c>
      <c r="B1172" t="n">
        <v>1</v>
      </c>
      <c r="C1172" t="n">
        <v>1170</v>
      </c>
      <c r="D1172" t="n">
        <v>-0.2905</v>
      </c>
      <c r="E1172" t="n">
        <v>15.5289</v>
      </c>
      <c r="F1172" t="n">
        <v>0.07978</v>
      </c>
    </row>
    <row r="1173">
      <c r="A1173" t="n">
        <v>1001171</v>
      </c>
      <c r="B1173" t="n">
        <v>1</v>
      </c>
      <c r="C1173" t="n">
        <v>1171</v>
      </c>
      <c r="D1173" t="n">
        <v>-0.2903</v>
      </c>
      <c r="E1173" t="n">
        <v>15.5281</v>
      </c>
      <c r="F1173" t="n">
        <v>0.07979</v>
      </c>
    </row>
    <row r="1174">
      <c r="A1174" t="n">
        <v>1001172</v>
      </c>
      <c r="B1174" t="n">
        <v>1</v>
      </c>
      <c r="C1174" t="n">
        <v>1172</v>
      </c>
      <c r="D1174" t="n">
        <v>-0.2902</v>
      </c>
      <c r="E1174" t="n">
        <v>15.5272</v>
      </c>
      <c r="F1174" t="n">
        <v>0.0798</v>
      </c>
    </row>
    <row r="1175">
      <c r="A1175" t="n">
        <v>1001173</v>
      </c>
      <c r="B1175" t="n">
        <v>1</v>
      </c>
      <c r="C1175" t="n">
        <v>1173</v>
      </c>
      <c r="D1175" t="n">
        <v>-0.2901</v>
      </c>
      <c r="E1175" t="n">
        <v>15.5263</v>
      </c>
      <c r="F1175" t="n">
        <v>0.0798</v>
      </c>
    </row>
    <row r="1176">
      <c r="A1176" t="n">
        <v>1001174</v>
      </c>
      <c r="B1176" t="n">
        <v>1</v>
      </c>
      <c r="C1176" t="n">
        <v>1174</v>
      </c>
      <c r="D1176" t="n">
        <v>-0.2899</v>
      </c>
      <c r="E1176" t="n">
        <v>15.5254</v>
      </c>
      <c r="F1176" t="n">
        <v>0.07981000000000001</v>
      </c>
    </row>
    <row r="1177">
      <c r="A1177" t="n">
        <v>1001175</v>
      </c>
      <c r="B1177" t="n">
        <v>1</v>
      </c>
      <c r="C1177" t="n">
        <v>1175</v>
      </c>
      <c r="D1177" t="n">
        <v>-0.2898</v>
      </c>
      <c r="E1177" t="n">
        <v>15.5245</v>
      </c>
      <c r="F1177" t="n">
        <v>0.07982</v>
      </c>
    </row>
    <row r="1178">
      <c r="A1178" t="n">
        <v>1001176</v>
      </c>
      <c r="B1178" t="n">
        <v>1</v>
      </c>
      <c r="C1178" t="n">
        <v>1176</v>
      </c>
      <c r="D1178" t="n">
        <v>-0.2897</v>
      </c>
      <c r="E1178" t="n">
        <v>15.5236</v>
      </c>
      <c r="F1178" t="n">
        <v>0.07982</v>
      </c>
    </row>
    <row r="1179">
      <c r="A1179" t="n">
        <v>1001177</v>
      </c>
      <c r="B1179" t="n">
        <v>1</v>
      </c>
      <c r="C1179" t="n">
        <v>1177</v>
      </c>
      <c r="D1179" t="n">
        <v>-0.2895</v>
      </c>
      <c r="E1179" t="n">
        <v>15.5228</v>
      </c>
      <c r="F1179" t="n">
        <v>0.07983</v>
      </c>
    </row>
    <row r="1180">
      <c r="A1180" t="n">
        <v>1001178</v>
      </c>
      <c r="B1180" t="n">
        <v>1</v>
      </c>
      <c r="C1180" t="n">
        <v>1178</v>
      </c>
      <c r="D1180" t="n">
        <v>-0.2894</v>
      </c>
      <c r="E1180" t="n">
        <v>15.5219</v>
      </c>
      <c r="F1180" t="n">
        <v>0.07983999999999999</v>
      </c>
    </row>
    <row r="1181">
      <c r="A1181" t="n">
        <v>1001179</v>
      </c>
      <c r="B1181" t="n">
        <v>1</v>
      </c>
      <c r="C1181" t="n">
        <v>1179</v>
      </c>
      <c r="D1181" t="n">
        <v>-0.2893</v>
      </c>
      <c r="E1181" t="n">
        <v>15.521</v>
      </c>
      <c r="F1181" t="n">
        <v>0.07985</v>
      </c>
    </row>
    <row r="1182">
      <c r="A1182" t="n">
        <v>1001180</v>
      </c>
      <c r="B1182" t="n">
        <v>1</v>
      </c>
      <c r="C1182" t="n">
        <v>1180</v>
      </c>
      <c r="D1182" t="n">
        <v>-0.2892</v>
      </c>
      <c r="E1182" t="n">
        <v>15.5201</v>
      </c>
      <c r="F1182" t="n">
        <v>0.07985</v>
      </c>
    </row>
    <row r="1183">
      <c r="A1183" t="n">
        <v>1001181</v>
      </c>
      <c r="B1183" t="n">
        <v>1</v>
      </c>
      <c r="C1183" t="n">
        <v>1181</v>
      </c>
      <c r="D1183" t="n">
        <v>-0.289</v>
      </c>
      <c r="E1183" t="n">
        <v>15.5193</v>
      </c>
      <c r="F1183" t="n">
        <v>0.07986</v>
      </c>
    </row>
    <row r="1184">
      <c r="A1184" t="n">
        <v>1001182</v>
      </c>
      <c r="B1184" t="n">
        <v>1</v>
      </c>
      <c r="C1184" t="n">
        <v>1182</v>
      </c>
      <c r="D1184" t="n">
        <v>-0.2889</v>
      </c>
      <c r="E1184" t="n">
        <v>15.5184</v>
      </c>
      <c r="F1184" t="n">
        <v>0.07987</v>
      </c>
    </row>
    <row r="1185">
      <c r="A1185" t="n">
        <v>1001183</v>
      </c>
      <c r="B1185" t="n">
        <v>1</v>
      </c>
      <c r="C1185" t="n">
        <v>1183</v>
      </c>
      <c r="D1185" t="n">
        <v>-0.2888</v>
      </c>
      <c r="E1185" t="n">
        <v>15.5175</v>
      </c>
      <c r="F1185" t="n">
        <v>0.07987</v>
      </c>
    </row>
    <row r="1186">
      <c r="A1186" t="n">
        <v>1001184</v>
      </c>
      <c r="B1186" t="n">
        <v>1</v>
      </c>
      <c r="C1186" t="n">
        <v>1184</v>
      </c>
      <c r="D1186" t="n">
        <v>-0.2887</v>
      </c>
      <c r="E1186" t="n">
        <v>15.5167</v>
      </c>
      <c r="F1186" t="n">
        <v>0.07988000000000001</v>
      </c>
    </row>
    <row r="1187">
      <c r="A1187" t="n">
        <v>1001185</v>
      </c>
      <c r="B1187" t="n">
        <v>1</v>
      </c>
      <c r="C1187" t="n">
        <v>1185</v>
      </c>
      <c r="D1187" t="n">
        <v>-0.2886</v>
      </c>
      <c r="E1187" t="n">
        <v>15.5158</v>
      </c>
      <c r="F1187" t="n">
        <v>0.07989</v>
      </c>
    </row>
    <row r="1188">
      <c r="A1188" t="n">
        <v>1001186</v>
      </c>
      <c r="B1188" t="n">
        <v>1</v>
      </c>
      <c r="C1188" t="n">
        <v>1186</v>
      </c>
      <c r="D1188" t="n">
        <v>-0.2885</v>
      </c>
      <c r="E1188" t="n">
        <v>15.5149</v>
      </c>
      <c r="F1188" t="n">
        <v>0.07989</v>
      </c>
    </row>
    <row r="1189">
      <c r="A1189" t="n">
        <v>1001187</v>
      </c>
      <c r="B1189" t="n">
        <v>1</v>
      </c>
      <c r="C1189" t="n">
        <v>1187</v>
      </c>
      <c r="D1189" t="n">
        <v>-0.2884</v>
      </c>
      <c r="E1189" t="n">
        <v>15.5141</v>
      </c>
      <c r="F1189" t="n">
        <v>0.0799</v>
      </c>
    </row>
    <row r="1190">
      <c r="A1190" t="n">
        <v>1001188</v>
      </c>
      <c r="B1190" t="n">
        <v>1</v>
      </c>
      <c r="C1190" t="n">
        <v>1188</v>
      </c>
      <c r="D1190" t="n">
        <v>-0.2883</v>
      </c>
      <c r="E1190" t="n">
        <v>15.5132</v>
      </c>
      <c r="F1190" t="n">
        <v>0.07990999999999999</v>
      </c>
    </row>
    <row r="1191">
      <c r="A1191" t="n">
        <v>1001189</v>
      </c>
      <c r="B1191" t="n">
        <v>1</v>
      </c>
      <c r="C1191" t="n">
        <v>1189</v>
      </c>
      <c r="D1191" t="n">
        <v>-0.2882</v>
      </c>
      <c r="E1191" t="n">
        <v>15.5123</v>
      </c>
      <c r="F1191" t="n">
        <v>0.07992</v>
      </c>
    </row>
    <row r="1192">
      <c r="A1192" t="n">
        <v>1001190</v>
      </c>
      <c r="B1192" t="n">
        <v>1</v>
      </c>
      <c r="C1192" t="n">
        <v>1190</v>
      </c>
      <c r="D1192" t="n">
        <v>-0.2881</v>
      </c>
      <c r="E1192" t="n">
        <v>15.5115</v>
      </c>
      <c r="F1192" t="n">
        <v>0.07992</v>
      </c>
    </row>
    <row r="1193">
      <c r="A1193" t="n">
        <v>1001191</v>
      </c>
      <c r="B1193" t="n">
        <v>1</v>
      </c>
      <c r="C1193" t="n">
        <v>1191</v>
      </c>
      <c r="D1193" t="n">
        <v>-0.2881</v>
      </c>
      <c r="E1193" t="n">
        <v>15.5106</v>
      </c>
      <c r="F1193" t="n">
        <v>0.07993</v>
      </c>
    </row>
    <row r="1194">
      <c r="A1194" t="n">
        <v>1001192</v>
      </c>
      <c r="B1194" t="n">
        <v>1</v>
      </c>
      <c r="C1194" t="n">
        <v>1192</v>
      </c>
      <c r="D1194" t="n">
        <v>-0.288</v>
      </c>
      <c r="E1194" t="n">
        <v>15.5098</v>
      </c>
      <c r="F1194" t="n">
        <v>0.07994</v>
      </c>
    </row>
    <row r="1195">
      <c r="A1195" t="n">
        <v>1001193</v>
      </c>
      <c r="B1195" t="n">
        <v>1</v>
      </c>
      <c r="C1195" t="n">
        <v>1193</v>
      </c>
      <c r="D1195" t="n">
        <v>-0.2879</v>
      </c>
      <c r="E1195" t="n">
        <v>15.5089</v>
      </c>
      <c r="F1195" t="n">
        <v>0.07994</v>
      </c>
    </row>
    <row r="1196">
      <c r="A1196" t="n">
        <v>1001194</v>
      </c>
      <c r="B1196" t="n">
        <v>1</v>
      </c>
      <c r="C1196" t="n">
        <v>1194</v>
      </c>
      <c r="D1196" t="n">
        <v>-0.2878</v>
      </c>
      <c r="E1196" t="n">
        <v>15.5081</v>
      </c>
      <c r="F1196" t="n">
        <v>0.07994999999999999</v>
      </c>
    </row>
    <row r="1197">
      <c r="A1197" t="n">
        <v>1001195</v>
      </c>
      <c r="B1197" t="n">
        <v>1</v>
      </c>
      <c r="C1197" t="n">
        <v>1195</v>
      </c>
      <c r="D1197" t="n">
        <v>-0.2877</v>
      </c>
      <c r="E1197" t="n">
        <v>15.5072</v>
      </c>
      <c r="F1197" t="n">
        <v>0.07996</v>
      </c>
    </row>
    <row r="1198">
      <c r="A1198" t="n">
        <v>1001196</v>
      </c>
      <c r="B1198" t="n">
        <v>1</v>
      </c>
      <c r="C1198" t="n">
        <v>1196</v>
      </c>
      <c r="D1198" t="n">
        <v>-0.2877</v>
      </c>
      <c r="E1198" t="n">
        <v>15.5064</v>
      </c>
      <c r="F1198" t="n">
        <v>0.07997</v>
      </c>
    </row>
    <row r="1199">
      <c r="A1199" t="n">
        <v>1001197</v>
      </c>
      <c r="B1199" t="n">
        <v>1</v>
      </c>
      <c r="C1199" t="n">
        <v>1197</v>
      </c>
      <c r="D1199" t="n">
        <v>-0.2876</v>
      </c>
      <c r="E1199" t="n">
        <v>15.5055</v>
      </c>
      <c r="F1199" t="n">
        <v>0.07997</v>
      </c>
    </row>
    <row r="1200">
      <c r="A1200" t="n">
        <v>1001198</v>
      </c>
      <c r="B1200" t="n">
        <v>1</v>
      </c>
      <c r="C1200" t="n">
        <v>1198</v>
      </c>
      <c r="D1200" t="n">
        <v>-0.2875</v>
      </c>
      <c r="E1200" t="n">
        <v>15.5047</v>
      </c>
      <c r="F1200" t="n">
        <v>0.07998</v>
      </c>
    </row>
    <row r="1201">
      <c r="A1201" t="n">
        <v>1001199</v>
      </c>
      <c r="B1201" t="n">
        <v>1</v>
      </c>
      <c r="C1201" t="n">
        <v>1199</v>
      </c>
      <c r="D1201" t="n">
        <v>-0.2875</v>
      </c>
      <c r="E1201" t="n">
        <v>15.5038</v>
      </c>
      <c r="F1201" t="n">
        <v>0.07999000000000001</v>
      </c>
    </row>
    <row r="1202">
      <c r="A1202" t="n">
        <v>1001200</v>
      </c>
      <c r="B1202" t="n">
        <v>1</v>
      </c>
      <c r="C1202" t="n">
        <v>1200</v>
      </c>
      <c r="D1202" t="n">
        <v>-0.2874</v>
      </c>
      <c r="E1202" t="n">
        <v>15.503</v>
      </c>
      <c r="F1202" t="n">
        <v>0.07999000000000001</v>
      </c>
    </row>
    <row r="1203">
      <c r="A1203" t="n">
        <v>1001201</v>
      </c>
      <c r="B1203" t="n">
        <v>1</v>
      </c>
      <c r="C1203" t="n">
        <v>1201</v>
      </c>
      <c r="D1203" t="n">
        <v>-0.2874</v>
      </c>
      <c r="E1203" t="n">
        <v>15.5021</v>
      </c>
      <c r="F1203" t="n">
        <v>0.08</v>
      </c>
    </row>
    <row r="1204">
      <c r="A1204" t="n">
        <v>1001202</v>
      </c>
      <c r="B1204" t="n">
        <v>1</v>
      </c>
      <c r="C1204" t="n">
        <v>1202</v>
      </c>
      <c r="D1204" t="n">
        <v>-0.2873</v>
      </c>
      <c r="E1204" t="n">
        <v>15.5013</v>
      </c>
      <c r="F1204" t="n">
        <v>0.08001</v>
      </c>
    </row>
    <row r="1205">
      <c r="A1205" t="n">
        <v>1001203</v>
      </c>
      <c r="B1205" t="n">
        <v>1</v>
      </c>
      <c r="C1205" t="n">
        <v>1203</v>
      </c>
      <c r="D1205" t="n">
        <v>-0.2873</v>
      </c>
      <c r="E1205" t="n">
        <v>15.5005</v>
      </c>
      <c r="F1205" t="n">
        <v>0.08001999999999999</v>
      </c>
    </row>
    <row r="1206">
      <c r="A1206" t="n">
        <v>1001204</v>
      </c>
      <c r="B1206" t="n">
        <v>1</v>
      </c>
      <c r="C1206" t="n">
        <v>1204</v>
      </c>
      <c r="D1206" t="n">
        <v>-0.2872</v>
      </c>
      <c r="E1206" t="n">
        <v>15.4996</v>
      </c>
      <c r="F1206" t="n">
        <v>0.08001999999999999</v>
      </c>
    </row>
    <row r="1207">
      <c r="A1207" t="n">
        <v>1001205</v>
      </c>
      <c r="B1207" t="n">
        <v>1</v>
      </c>
      <c r="C1207" t="n">
        <v>1205</v>
      </c>
      <c r="D1207" t="n">
        <v>-0.2872</v>
      </c>
      <c r="E1207" t="n">
        <v>15.4988</v>
      </c>
      <c r="F1207" t="n">
        <v>0.08003</v>
      </c>
    </row>
    <row r="1208">
      <c r="A1208" t="n">
        <v>1001206</v>
      </c>
      <c r="B1208" t="n">
        <v>1</v>
      </c>
      <c r="C1208" t="n">
        <v>1206</v>
      </c>
      <c r="D1208" t="n">
        <v>-0.2871</v>
      </c>
      <c r="E1208" t="n">
        <v>15.498</v>
      </c>
      <c r="F1208" t="n">
        <v>0.08004</v>
      </c>
    </row>
    <row r="1209">
      <c r="A1209" t="n">
        <v>1001207</v>
      </c>
      <c r="B1209" t="n">
        <v>1</v>
      </c>
      <c r="C1209" t="n">
        <v>1207</v>
      </c>
      <c r="D1209" t="n">
        <v>-0.2871</v>
      </c>
      <c r="E1209" t="n">
        <v>15.4971</v>
      </c>
      <c r="F1209" t="n">
        <v>0.08005</v>
      </c>
    </row>
    <row r="1210">
      <c r="A1210" t="n">
        <v>1001208</v>
      </c>
      <c r="B1210" t="n">
        <v>1</v>
      </c>
      <c r="C1210" t="n">
        <v>1208</v>
      </c>
      <c r="D1210" t="n">
        <v>-0.2871</v>
      </c>
      <c r="E1210" t="n">
        <v>15.4963</v>
      </c>
      <c r="F1210" t="n">
        <v>0.08005</v>
      </c>
    </row>
    <row r="1211">
      <c r="A1211" t="n">
        <v>1001209</v>
      </c>
      <c r="B1211" t="n">
        <v>1</v>
      </c>
      <c r="C1211" t="n">
        <v>1209</v>
      </c>
      <c r="D1211" t="n">
        <v>-0.287</v>
      </c>
      <c r="E1211" t="n">
        <v>15.4955</v>
      </c>
      <c r="F1211" t="n">
        <v>0.08006000000000001</v>
      </c>
    </row>
    <row r="1212">
      <c r="A1212" t="n">
        <v>1001210</v>
      </c>
      <c r="B1212" t="n">
        <v>1</v>
      </c>
      <c r="C1212" t="n">
        <v>1210</v>
      </c>
      <c r="D1212" t="n">
        <v>-0.287</v>
      </c>
      <c r="E1212" t="n">
        <v>15.4946</v>
      </c>
      <c r="F1212" t="n">
        <v>0.08007</v>
      </c>
    </row>
    <row r="1213">
      <c r="A1213" t="n">
        <v>1001211</v>
      </c>
      <c r="B1213" t="n">
        <v>1</v>
      </c>
      <c r="C1213" t="n">
        <v>1211</v>
      </c>
      <c r="D1213" t="n">
        <v>-0.287</v>
      </c>
      <c r="E1213" t="n">
        <v>15.4938</v>
      </c>
      <c r="F1213" t="n">
        <v>0.08008</v>
      </c>
    </row>
    <row r="1214">
      <c r="A1214" t="n">
        <v>1001212</v>
      </c>
      <c r="B1214" t="n">
        <v>1</v>
      </c>
      <c r="C1214" t="n">
        <v>1212</v>
      </c>
      <c r="D1214" t="n">
        <v>-0.287</v>
      </c>
      <c r="E1214" t="n">
        <v>15.493</v>
      </c>
      <c r="F1214" t="n">
        <v>0.08008</v>
      </c>
    </row>
    <row r="1215">
      <c r="A1215" t="n">
        <v>1001213</v>
      </c>
      <c r="B1215" t="n">
        <v>1</v>
      </c>
      <c r="C1215" t="n">
        <v>1213</v>
      </c>
      <c r="D1215" t="n">
        <v>-0.2869</v>
      </c>
      <c r="E1215" t="n">
        <v>15.4922</v>
      </c>
      <c r="F1215" t="n">
        <v>0.08008999999999999</v>
      </c>
    </row>
    <row r="1216">
      <c r="A1216" t="n">
        <v>1001214</v>
      </c>
      <c r="B1216" t="n">
        <v>1</v>
      </c>
      <c r="C1216" t="n">
        <v>1214</v>
      </c>
      <c r="D1216" t="n">
        <v>-0.2869</v>
      </c>
      <c r="E1216" t="n">
        <v>15.4914</v>
      </c>
      <c r="F1216" t="n">
        <v>0.0801</v>
      </c>
    </row>
    <row r="1217">
      <c r="A1217" t="n">
        <v>1001215</v>
      </c>
      <c r="B1217" t="n">
        <v>1</v>
      </c>
      <c r="C1217" t="n">
        <v>1215</v>
      </c>
      <c r="D1217" t="n">
        <v>-0.2869</v>
      </c>
      <c r="E1217" t="n">
        <v>15.4905</v>
      </c>
      <c r="F1217" t="n">
        <v>0.08011</v>
      </c>
    </row>
    <row r="1218">
      <c r="A1218" t="n">
        <v>1001216</v>
      </c>
      <c r="B1218" t="n">
        <v>1</v>
      </c>
      <c r="C1218" t="n">
        <v>1216</v>
      </c>
      <c r="D1218" t="n">
        <v>-0.2869</v>
      </c>
      <c r="E1218" t="n">
        <v>15.4897</v>
      </c>
      <c r="F1218" t="n">
        <v>0.08011</v>
      </c>
    </row>
    <row r="1219">
      <c r="A1219" t="n">
        <v>1001217</v>
      </c>
      <c r="B1219" t="n">
        <v>1</v>
      </c>
      <c r="C1219" t="n">
        <v>1217</v>
      </c>
      <c r="D1219" t="n">
        <v>-0.2869</v>
      </c>
      <c r="E1219" t="n">
        <v>15.4889</v>
      </c>
      <c r="F1219" t="n">
        <v>0.08012</v>
      </c>
    </row>
    <row r="1220">
      <c r="A1220" t="n">
        <v>1001218</v>
      </c>
      <c r="B1220" t="n">
        <v>1</v>
      </c>
      <c r="C1220" t="n">
        <v>1218</v>
      </c>
      <c r="D1220" t="n">
        <v>-0.2869</v>
      </c>
      <c r="E1220" t="n">
        <v>15.4881</v>
      </c>
      <c r="F1220" t="n">
        <v>0.08013000000000001</v>
      </c>
    </row>
    <row r="1221">
      <c r="A1221" t="n">
        <v>1001219</v>
      </c>
      <c r="B1221" t="n">
        <v>1</v>
      </c>
      <c r="C1221" t="n">
        <v>1219</v>
      </c>
      <c r="D1221" t="n">
        <v>-0.2869</v>
      </c>
      <c r="E1221" t="n">
        <v>15.4873</v>
      </c>
      <c r="F1221" t="n">
        <v>0.08014</v>
      </c>
    </row>
    <row r="1222">
      <c r="A1222" t="n">
        <v>1001220</v>
      </c>
      <c r="B1222" t="n">
        <v>1</v>
      </c>
      <c r="C1222" t="n">
        <v>1220</v>
      </c>
      <c r="D1222" t="n">
        <v>-0.2869</v>
      </c>
      <c r="E1222" t="n">
        <v>15.4865</v>
      </c>
      <c r="F1222" t="n">
        <v>0.08014</v>
      </c>
    </row>
    <row r="1223">
      <c r="A1223" t="n">
        <v>1001221</v>
      </c>
      <c r="B1223" t="n">
        <v>1</v>
      </c>
      <c r="C1223" t="n">
        <v>1221</v>
      </c>
      <c r="D1223" t="n">
        <v>-0.2869</v>
      </c>
      <c r="E1223" t="n">
        <v>15.4857</v>
      </c>
      <c r="F1223" t="n">
        <v>0.08015</v>
      </c>
    </row>
    <row r="1224">
      <c r="A1224" t="n">
        <v>1001222</v>
      </c>
      <c r="B1224" t="n">
        <v>1</v>
      </c>
      <c r="C1224" t="n">
        <v>1222</v>
      </c>
      <c r="D1224" t="n">
        <v>-0.2869</v>
      </c>
      <c r="E1224" t="n">
        <v>15.4848</v>
      </c>
      <c r="F1224" t="n">
        <v>0.08016</v>
      </c>
    </row>
    <row r="1225">
      <c r="A1225" t="n">
        <v>1001223</v>
      </c>
      <c r="B1225" t="n">
        <v>1</v>
      </c>
      <c r="C1225" t="n">
        <v>1223</v>
      </c>
      <c r="D1225" t="n">
        <v>-0.2869</v>
      </c>
      <c r="E1225" t="n">
        <v>15.484</v>
      </c>
      <c r="F1225" t="n">
        <v>0.08017000000000001</v>
      </c>
    </row>
    <row r="1226">
      <c r="A1226" t="n">
        <v>1001224</v>
      </c>
      <c r="B1226" t="n">
        <v>1</v>
      </c>
      <c r="C1226" t="n">
        <v>1224</v>
      </c>
      <c r="D1226" t="n">
        <v>-0.2869</v>
      </c>
      <c r="E1226" t="n">
        <v>15.4832</v>
      </c>
      <c r="F1226" t="n">
        <v>0.08017000000000001</v>
      </c>
    </row>
    <row r="1227">
      <c r="A1227" t="n">
        <v>1001225</v>
      </c>
      <c r="B1227" t="n">
        <v>1</v>
      </c>
      <c r="C1227" t="n">
        <v>1225</v>
      </c>
      <c r="D1227" t="n">
        <v>-0.2869</v>
      </c>
      <c r="E1227" t="n">
        <v>15.4824</v>
      </c>
      <c r="F1227" t="n">
        <v>0.08018</v>
      </c>
    </row>
    <row r="1228">
      <c r="A1228" t="n">
        <v>1001226</v>
      </c>
      <c r="B1228" t="n">
        <v>1</v>
      </c>
      <c r="C1228" t="n">
        <v>1226</v>
      </c>
      <c r="D1228" t="n">
        <v>-0.287</v>
      </c>
      <c r="E1228" t="n">
        <v>15.4816</v>
      </c>
      <c r="F1228" t="n">
        <v>0.08019</v>
      </c>
    </row>
    <row r="1229">
      <c r="A1229" t="n">
        <v>1001227</v>
      </c>
      <c r="B1229" t="n">
        <v>1</v>
      </c>
      <c r="C1229" t="n">
        <v>1227</v>
      </c>
      <c r="D1229" t="n">
        <v>-0.287</v>
      </c>
      <c r="E1229" t="n">
        <v>15.4808</v>
      </c>
      <c r="F1229" t="n">
        <v>0.08019999999999999</v>
      </c>
    </row>
    <row r="1230">
      <c r="A1230" t="n">
        <v>1001228</v>
      </c>
      <c r="B1230" t="n">
        <v>1</v>
      </c>
      <c r="C1230" t="n">
        <v>1228</v>
      </c>
      <c r="D1230" t="n">
        <v>-0.287</v>
      </c>
      <c r="E1230" t="n">
        <v>15.48</v>
      </c>
      <c r="F1230" t="n">
        <v>0.08019999999999999</v>
      </c>
    </row>
    <row r="1231">
      <c r="A1231" t="n">
        <v>1001229</v>
      </c>
      <c r="B1231" t="n">
        <v>1</v>
      </c>
      <c r="C1231" t="n">
        <v>1229</v>
      </c>
      <c r="D1231" t="n">
        <v>-0.287</v>
      </c>
      <c r="E1231" t="n">
        <v>15.4792</v>
      </c>
      <c r="F1231" t="n">
        <v>0.08021</v>
      </c>
    </row>
    <row r="1232">
      <c r="A1232" t="n">
        <v>1001230</v>
      </c>
      <c r="B1232" t="n">
        <v>1</v>
      </c>
      <c r="C1232" t="n">
        <v>1230</v>
      </c>
      <c r="D1232" t="n">
        <v>-0.2871</v>
      </c>
      <c r="E1232" t="n">
        <v>15.4785</v>
      </c>
      <c r="F1232" t="n">
        <v>0.08022</v>
      </c>
    </row>
    <row r="1233">
      <c r="A1233" t="n">
        <v>1001231</v>
      </c>
      <c r="B1233" t="n">
        <v>1</v>
      </c>
      <c r="C1233" t="n">
        <v>1231</v>
      </c>
      <c r="D1233" t="n">
        <v>-0.2871</v>
      </c>
      <c r="E1233" t="n">
        <v>15.4777</v>
      </c>
      <c r="F1233" t="n">
        <v>0.08023</v>
      </c>
    </row>
    <row r="1234">
      <c r="A1234" t="n">
        <v>1001232</v>
      </c>
      <c r="B1234" t="n">
        <v>1</v>
      </c>
      <c r="C1234" t="n">
        <v>1232</v>
      </c>
      <c r="D1234" t="n">
        <v>-0.2871</v>
      </c>
      <c r="E1234" t="n">
        <v>15.4769</v>
      </c>
      <c r="F1234" t="n">
        <v>0.08023</v>
      </c>
    </row>
    <row r="1235">
      <c r="A1235" t="n">
        <v>1001233</v>
      </c>
      <c r="B1235" t="n">
        <v>1</v>
      </c>
      <c r="C1235" t="n">
        <v>1233</v>
      </c>
      <c r="D1235" t="n">
        <v>-0.2872</v>
      </c>
      <c r="E1235" t="n">
        <v>15.4761</v>
      </c>
      <c r="F1235" t="n">
        <v>0.08024000000000001</v>
      </c>
    </row>
    <row r="1236">
      <c r="A1236" t="n">
        <v>1001234</v>
      </c>
      <c r="B1236" t="n">
        <v>1</v>
      </c>
      <c r="C1236" t="n">
        <v>1234</v>
      </c>
      <c r="D1236" t="n">
        <v>-0.2872</v>
      </c>
      <c r="E1236" t="n">
        <v>15.4753</v>
      </c>
      <c r="F1236" t="n">
        <v>0.08025</v>
      </c>
    </row>
    <row r="1237">
      <c r="A1237" t="n">
        <v>1001235</v>
      </c>
      <c r="B1237" t="n">
        <v>1</v>
      </c>
      <c r="C1237" t="n">
        <v>1235</v>
      </c>
      <c r="D1237" t="n">
        <v>-0.2873</v>
      </c>
      <c r="E1237" t="n">
        <v>15.4745</v>
      </c>
      <c r="F1237" t="n">
        <v>0.08026</v>
      </c>
    </row>
    <row r="1238">
      <c r="A1238" t="n">
        <v>1001236</v>
      </c>
      <c r="B1238" t="n">
        <v>1</v>
      </c>
      <c r="C1238" t="n">
        <v>1236</v>
      </c>
      <c r="D1238" t="n">
        <v>-0.2873</v>
      </c>
      <c r="E1238" t="n">
        <v>15.4737</v>
      </c>
      <c r="F1238" t="n">
        <v>0.08026999999999999</v>
      </c>
    </row>
    <row r="1239">
      <c r="A1239" t="n">
        <v>1001237</v>
      </c>
      <c r="B1239" t="n">
        <v>1</v>
      </c>
      <c r="C1239" t="n">
        <v>1237</v>
      </c>
      <c r="D1239" t="n">
        <v>-0.2874</v>
      </c>
      <c r="E1239" t="n">
        <v>15.4729</v>
      </c>
      <c r="F1239" t="n">
        <v>0.08026999999999999</v>
      </c>
    </row>
    <row r="1240">
      <c r="A1240" t="n">
        <v>1001238</v>
      </c>
      <c r="B1240" t="n">
        <v>1</v>
      </c>
      <c r="C1240" t="n">
        <v>1238</v>
      </c>
      <c r="D1240" t="n">
        <v>-0.2874</v>
      </c>
      <c r="E1240" t="n">
        <v>15.4722</v>
      </c>
      <c r="F1240" t="n">
        <v>0.08028</v>
      </c>
    </row>
    <row r="1241">
      <c r="A1241" t="n">
        <v>1001239</v>
      </c>
      <c r="B1241" t="n">
        <v>1</v>
      </c>
      <c r="C1241" t="n">
        <v>1239</v>
      </c>
      <c r="D1241" t="n">
        <v>-0.2875</v>
      </c>
      <c r="E1241" t="n">
        <v>15.4714</v>
      </c>
      <c r="F1241" t="n">
        <v>0.08029</v>
      </c>
    </row>
    <row r="1242">
      <c r="A1242" t="n">
        <v>1001240</v>
      </c>
      <c r="B1242" t="n">
        <v>1</v>
      </c>
      <c r="C1242" t="n">
        <v>1240</v>
      </c>
      <c r="D1242" t="n">
        <v>-0.2875</v>
      </c>
      <c r="E1242" t="n">
        <v>15.4706</v>
      </c>
      <c r="F1242" t="n">
        <v>0.0803</v>
      </c>
    </row>
    <row r="1243">
      <c r="A1243" t="n">
        <v>1001241</v>
      </c>
      <c r="B1243" t="n">
        <v>1</v>
      </c>
      <c r="C1243" t="n">
        <v>1241</v>
      </c>
      <c r="D1243" t="n">
        <v>-0.2876</v>
      </c>
      <c r="E1243" t="n">
        <v>15.4698</v>
      </c>
      <c r="F1243" t="n">
        <v>0.08031000000000001</v>
      </c>
    </row>
    <row r="1244">
      <c r="A1244" t="n">
        <v>1001242</v>
      </c>
      <c r="B1244" t="n">
        <v>1</v>
      </c>
      <c r="C1244" t="n">
        <v>1242</v>
      </c>
      <c r="D1244" t="n">
        <v>-0.2877</v>
      </c>
      <c r="E1244" t="n">
        <v>15.4691</v>
      </c>
      <c r="F1244" t="n">
        <v>0.08031000000000001</v>
      </c>
    </row>
    <row r="1245">
      <c r="A1245" t="n">
        <v>1001243</v>
      </c>
      <c r="B1245" t="n">
        <v>1</v>
      </c>
      <c r="C1245" t="n">
        <v>1243</v>
      </c>
      <c r="D1245" t="n">
        <v>-0.2877</v>
      </c>
      <c r="E1245" t="n">
        <v>15.4683</v>
      </c>
      <c r="F1245" t="n">
        <v>0.08032</v>
      </c>
    </row>
    <row r="1246">
      <c r="A1246" t="n">
        <v>1001244</v>
      </c>
      <c r="B1246" t="n">
        <v>1</v>
      </c>
      <c r="C1246" t="n">
        <v>1244</v>
      </c>
      <c r="D1246" t="n">
        <v>-0.2878</v>
      </c>
      <c r="E1246" t="n">
        <v>15.4675</v>
      </c>
      <c r="F1246" t="n">
        <v>0.08033</v>
      </c>
    </row>
    <row r="1247">
      <c r="A1247" t="n">
        <v>1001245</v>
      </c>
      <c r="B1247" t="n">
        <v>1</v>
      </c>
      <c r="C1247" t="n">
        <v>1245</v>
      </c>
      <c r="D1247" t="n">
        <v>-0.2879</v>
      </c>
      <c r="E1247" t="n">
        <v>15.4667</v>
      </c>
      <c r="F1247" t="n">
        <v>0.08033999999999999</v>
      </c>
    </row>
    <row r="1248">
      <c r="A1248" t="n">
        <v>1001246</v>
      </c>
      <c r="B1248" t="n">
        <v>1</v>
      </c>
      <c r="C1248" t="n">
        <v>1246</v>
      </c>
      <c r="D1248" t="n">
        <v>-0.288</v>
      </c>
      <c r="E1248" t="n">
        <v>15.466</v>
      </c>
      <c r="F1248" t="n">
        <v>0.08033999999999999</v>
      </c>
    </row>
    <row r="1249">
      <c r="A1249" t="n">
        <v>1001247</v>
      </c>
      <c r="B1249" t="n">
        <v>1</v>
      </c>
      <c r="C1249" t="n">
        <v>1247</v>
      </c>
      <c r="D1249" t="n">
        <v>-0.288</v>
      </c>
      <c r="E1249" t="n">
        <v>15.4652</v>
      </c>
      <c r="F1249" t="n">
        <v>0.08035</v>
      </c>
    </row>
    <row r="1250">
      <c r="A1250" t="n">
        <v>1001248</v>
      </c>
      <c r="B1250" t="n">
        <v>1</v>
      </c>
      <c r="C1250" t="n">
        <v>1248</v>
      </c>
      <c r="D1250" t="n">
        <v>-0.2881</v>
      </c>
      <c r="E1250" t="n">
        <v>15.4645</v>
      </c>
      <c r="F1250" t="n">
        <v>0.08036</v>
      </c>
    </row>
    <row r="1251">
      <c r="A1251" t="n">
        <v>1001249</v>
      </c>
      <c r="B1251" t="n">
        <v>1</v>
      </c>
      <c r="C1251" t="n">
        <v>1249</v>
      </c>
      <c r="D1251" t="n">
        <v>-0.2882</v>
      </c>
      <c r="E1251" t="n">
        <v>15.4637</v>
      </c>
      <c r="F1251" t="n">
        <v>0.08037</v>
      </c>
    </row>
    <row r="1252">
      <c r="A1252" t="n">
        <v>1001250</v>
      </c>
      <c r="B1252" t="n">
        <v>1</v>
      </c>
      <c r="C1252" t="n">
        <v>1250</v>
      </c>
      <c r="D1252" t="n">
        <v>-0.2883</v>
      </c>
      <c r="E1252" t="n">
        <v>15.4629</v>
      </c>
      <c r="F1252" t="n">
        <v>0.08037999999999999</v>
      </c>
    </row>
    <row r="1253">
      <c r="A1253" t="n">
        <v>1001251</v>
      </c>
      <c r="B1253" t="n">
        <v>1</v>
      </c>
      <c r="C1253" t="n">
        <v>1251</v>
      </c>
      <c r="D1253" t="n">
        <v>-0.2884</v>
      </c>
      <c r="E1253" t="n">
        <v>15.4622</v>
      </c>
      <c r="F1253" t="n">
        <v>0.08037999999999999</v>
      </c>
    </row>
    <row r="1254">
      <c r="A1254" t="n">
        <v>1001252</v>
      </c>
      <c r="B1254" t="n">
        <v>1</v>
      </c>
      <c r="C1254" t="n">
        <v>1252</v>
      </c>
      <c r="D1254" t="n">
        <v>-0.2885</v>
      </c>
      <c r="E1254" t="n">
        <v>15.4614</v>
      </c>
      <c r="F1254" t="n">
        <v>0.08039</v>
      </c>
    </row>
    <row r="1255">
      <c r="A1255" t="n">
        <v>1001253</v>
      </c>
      <c r="B1255" t="n">
        <v>1</v>
      </c>
      <c r="C1255" t="n">
        <v>1253</v>
      </c>
      <c r="D1255" t="n">
        <v>-0.2886</v>
      </c>
      <c r="E1255" t="n">
        <v>15.4607</v>
      </c>
      <c r="F1255" t="n">
        <v>0.0804</v>
      </c>
    </row>
    <row r="1256">
      <c r="A1256" t="n">
        <v>1001254</v>
      </c>
      <c r="B1256" t="n">
        <v>1</v>
      </c>
      <c r="C1256" t="n">
        <v>1254</v>
      </c>
      <c r="D1256" t="n">
        <v>-0.2887</v>
      </c>
      <c r="E1256" t="n">
        <v>15.4599</v>
      </c>
      <c r="F1256" t="n">
        <v>0.08041</v>
      </c>
    </row>
    <row r="1257">
      <c r="A1257" t="n">
        <v>1001255</v>
      </c>
      <c r="B1257" t="n">
        <v>1</v>
      </c>
      <c r="C1257" t="n">
        <v>1255</v>
      </c>
      <c r="D1257" t="n">
        <v>-0.2888</v>
      </c>
      <c r="E1257" t="n">
        <v>15.4592</v>
      </c>
      <c r="F1257" t="n">
        <v>0.08042000000000001</v>
      </c>
    </row>
    <row r="1258">
      <c r="A1258" t="n">
        <v>1001256</v>
      </c>
      <c r="B1258" t="n">
        <v>1</v>
      </c>
      <c r="C1258" t="n">
        <v>1256</v>
      </c>
      <c r="D1258" t="n">
        <v>-0.2889</v>
      </c>
      <c r="E1258" t="n">
        <v>15.4584</v>
      </c>
      <c r="F1258" t="n">
        <v>0.08042000000000001</v>
      </c>
    </row>
    <row r="1259">
      <c r="A1259" t="n">
        <v>1001257</v>
      </c>
      <c r="B1259" t="n">
        <v>1</v>
      </c>
      <c r="C1259" t="n">
        <v>1257</v>
      </c>
      <c r="D1259" t="n">
        <v>-0.289</v>
      </c>
      <c r="E1259" t="n">
        <v>15.4577</v>
      </c>
      <c r="F1259" t="n">
        <v>0.08043</v>
      </c>
    </row>
    <row r="1260">
      <c r="A1260" t="n">
        <v>1001258</v>
      </c>
      <c r="B1260" t="n">
        <v>1</v>
      </c>
      <c r="C1260" t="n">
        <v>1258</v>
      </c>
      <c r="D1260" t="n">
        <v>-0.2891</v>
      </c>
      <c r="E1260" t="n">
        <v>15.4569</v>
      </c>
      <c r="F1260" t="n">
        <v>0.08044</v>
      </c>
    </row>
    <row r="1261">
      <c r="A1261" t="n">
        <v>1001259</v>
      </c>
      <c r="B1261" t="n">
        <v>1</v>
      </c>
      <c r="C1261" t="n">
        <v>1259</v>
      </c>
      <c r="D1261" t="n">
        <v>-0.2892</v>
      </c>
      <c r="E1261" t="n">
        <v>15.4562</v>
      </c>
      <c r="F1261" t="n">
        <v>0.08044999999999999</v>
      </c>
    </row>
    <row r="1262">
      <c r="A1262" t="n">
        <v>1001260</v>
      </c>
      <c r="B1262" t="n">
        <v>1</v>
      </c>
      <c r="C1262" t="n">
        <v>1260</v>
      </c>
      <c r="D1262" t="n">
        <v>-0.2893</v>
      </c>
      <c r="E1262" t="n">
        <v>15.4554</v>
      </c>
      <c r="F1262" t="n">
        <v>0.08046</v>
      </c>
    </row>
    <row r="1263">
      <c r="A1263" t="n">
        <v>1001261</v>
      </c>
      <c r="B1263" t="n">
        <v>1</v>
      </c>
      <c r="C1263" t="n">
        <v>1261</v>
      </c>
      <c r="D1263" t="n">
        <v>-0.2894</v>
      </c>
      <c r="E1263" t="n">
        <v>15.4547</v>
      </c>
      <c r="F1263" t="n">
        <v>0.08046</v>
      </c>
    </row>
    <row r="1264">
      <c r="A1264" t="n">
        <v>1001262</v>
      </c>
      <c r="B1264" t="n">
        <v>1</v>
      </c>
      <c r="C1264" t="n">
        <v>1262</v>
      </c>
      <c r="D1264" t="n">
        <v>-0.2896</v>
      </c>
      <c r="E1264" t="n">
        <v>15.4539</v>
      </c>
      <c r="F1264" t="n">
        <v>0.08047</v>
      </c>
    </row>
    <row r="1265">
      <c r="A1265" t="n">
        <v>1001263</v>
      </c>
      <c r="B1265" t="n">
        <v>1</v>
      </c>
      <c r="C1265" t="n">
        <v>1263</v>
      </c>
      <c r="D1265" t="n">
        <v>-0.2897</v>
      </c>
      <c r="E1265" t="n">
        <v>15.4532</v>
      </c>
      <c r="F1265" t="n">
        <v>0.08048</v>
      </c>
    </row>
    <row r="1266">
      <c r="A1266" t="n">
        <v>1001264</v>
      </c>
      <c r="B1266" t="n">
        <v>1</v>
      </c>
      <c r="C1266" t="n">
        <v>1264</v>
      </c>
      <c r="D1266" t="n">
        <v>-0.2898</v>
      </c>
      <c r="E1266" t="n">
        <v>15.4525</v>
      </c>
      <c r="F1266" t="n">
        <v>0.08049000000000001</v>
      </c>
    </row>
    <row r="1267">
      <c r="A1267" t="n">
        <v>1001265</v>
      </c>
      <c r="B1267" t="n">
        <v>1</v>
      </c>
      <c r="C1267" t="n">
        <v>1265</v>
      </c>
      <c r="D1267" t="n">
        <v>-0.2899</v>
      </c>
      <c r="E1267" t="n">
        <v>15.4517</v>
      </c>
      <c r="F1267" t="n">
        <v>0.0805</v>
      </c>
    </row>
    <row r="1268">
      <c r="A1268" t="n">
        <v>1001266</v>
      </c>
      <c r="B1268" t="n">
        <v>1</v>
      </c>
      <c r="C1268" t="n">
        <v>1266</v>
      </c>
      <c r="D1268" t="n">
        <v>-0.2901</v>
      </c>
      <c r="E1268" t="n">
        <v>15.451</v>
      </c>
      <c r="F1268" t="n">
        <v>0.08051</v>
      </c>
    </row>
    <row r="1269">
      <c r="A1269" t="n">
        <v>1001267</v>
      </c>
      <c r="B1269" t="n">
        <v>1</v>
      </c>
      <c r="C1269" t="n">
        <v>1267</v>
      </c>
      <c r="D1269" t="n">
        <v>-0.2902</v>
      </c>
      <c r="E1269" t="n">
        <v>15.4503</v>
      </c>
      <c r="F1269" t="n">
        <v>0.08051</v>
      </c>
    </row>
    <row r="1270">
      <c r="A1270" t="n">
        <v>1001268</v>
      </c>
      <c r="B1270" t="n">
        <v>1</v>
      </c>
      <c r="C1270" t="n">
        <v>1268</v>
      </c>
      <c r="D1270" t="n">
        <v>-0.2903</v>
      </c>
      <c r="E1270" t="n">
        <v>15.4495</v>
      </c>
      <c r="F1270" t="n">
        <v>0.08051999999999999</v>
      </c>
    </row>
    <row r="1271">
      <c r="A1271" t="n">
        <v>1001269</v>
      </c>
      <c r="B1271" t="n">
        <v>1</v>
      </c>
      <c r="C1271" t="n">
        <v>1269</v>
      </c>
      <c r="D1271" t="n">
        <v>-0.2905</v>
      </c>
      <c r="E1271" t="n">
        <v>15.4488</v>
      </c>
      <c r="F1271" t="n">
        <v>0.08053</v>
      </c>
    </row>
    <row r="1272">
      <c r="A1272" t="n">
        <v>1001270</v>
      </c>
      <c r="B1272" t="n">
        <v>1</v>
      </c>
      <c r="C1272" t="n">
        <v>1270</v>
      </c>
      <c r="D1272" t="n">
        <v>-0.2906</v>
      </c>
      <c r="E1272" t="n">
        <v>15.4481</v>
      </c>
      <c r="F1272" t="n">
        <v>0.08054</v>
      </c>
    </row>
    <row r="1273">
      <c r="A1273" t="n">
        <v>1001271</v>
      </c>
      <c r="B1273" t="n">
        <v>1</v>
      </c>
      <c r="C1273" t="n">
        <v>1271</v>
      </c>
      <c r="D1273" t="n">
        <v>-0.2908</v>
      </c>
      <c r="E1273" t="n">
        <v>15.4473</v>
      </c>
      <c r="F1273" t="n">
        <v>0.08055</v>
      </c>
    </row>
    <row r="1274">
      <c r="A1274" t="n">
        <v>1001272</v>
      </c>
      <c r="B1274" t="n">
        <v>1</v>
      </c>
      <c r="C1274" t="n">
        <v>1272</v>
      </c>
      <c r="D1274" t="n">
        <v>-0.2909</v>
      </c>
      <c r="E1274" t="n">
        <v>15.4466</v>
      </c>
      <c r="F1274" t="n">
        <v>0.08056000000000001</v>
      </c>
    </row>
    <row r="1275">
      <c r="A1275" t="n">
        <v>1001273</v>
      </c>
      <c r="B1275" t="n">
        <v>1</v>
      </c>
      <c r="C1275" t="n">
        <v>1273</v>
      </c>
      <c r="D1275" t="n">
        <v>-0.2911</v>
      </c>
      <c r="E1275" t="n">
        <v>15.4459</v>
      </c>
      <c r="F1275" t="n">
        <v>0.08056000000000001</v>
      </c>
    </row>
    <row r="1276">
      <c r="A1276" t="n">
        <v>1001274</v>
      </c>
      <c r="B1276" t="n">
        <v>1</v>
      </c>
      <c r="C1276" t="n">
        <v>1274</v>
      </c>
      <c r="D1276" t="n">
        <v>-0.2912</v>
      </c>
      <c r="E1276" t="n">
        <v>15.4452</v>
      </c>
      <c r="F1276" t="n">
        <v>0.08057</v>
      </c>
    </row>
    <row r="1277">
      <c r="A1277" t="n">
        <v>1001275</v>
      </c>
      <c r="B1277" t="n">
        <v>1</v>
      </c>
      <c r="C1277" t="n">
        <v>1275</v>
      </c>
      <c r="D1277" t="n">
        <v>-0.2914</v>
      </c>
      <c r="E1277" t="n">
        <v>15.4445</v>
      </c>
      <c r="F1277" t="n">
        <v>0.08058</v>
      </c>
    </row>
    <row r="1278">
      <c r="A1278" t="n">
        <v>1001276</v>
      </c>
      <c r="B1278" t="n">
        <v>1</v>
      </c>
      <c r="C1278" t="n">
        <v>1276</v>
      </c>
      <c r="D1278" t="n">
        <v>-0.2915</v>
      </c>
      <c r="E1278" t="n">
        <v>15.4437</v>
      </c>
      <c r="F1278" t="n">
        <v>0.08058999999999999</v>
      </c>
    </row>
    <row r="1279">
      <c r="A1279" t="n">
        <v>1001277</v>
      </c>
      <c r="B1279" t="n">
        <v>1</v>
      </c>
      <c r="C1279" t="n">
        <v>1277</v>
      </c>
      <c r="D1279" t="n">
        <v>-0.2917</v>
      </c>
      <c r="E1279" t="n">
        <v>15.443</v>
      </c>
      <c r="F1279" t="n">
        <v>0.0806</v>
      </c>
    </row>
    <row r="1280">
      <c r="A1280" t="n">
        <v>1001278</v>
      </c>
      <c r="B1280" t="n">
        <v>1</v>
      </c>
      <c r="C1280" t="n">
        <v>1278</v>
      </c>
      <c r="D1280" t="n">
        <v>-0.2918</v>
      </c>
      <c r="E1280" t="n">
        <v>15.4423</v>
      </c>
      <c r="F1280" t="n">
        <v>0.08061</v>
      </c>
    </row>
    <row r="1281">
      <c r="A1281" t="n">
        <v>1001279</v>
      </c>
      <c r="B1281" t="n">
        <v>1</v>
      </c>
      <c r="C1281" t="n">
        <v>1279</v>
      </c>
      <c r="D1281" t="n">
        <v>-0.292</v>
      </c>
      <c r="E1281" t="n">
        <v>15.4416</v>
      </c>
      <c r="F1281" t="n">
        <v>0.08061</v>
      </c>
    </row>
    <row r="1282">
      <c r="A1282" t="n">
        <v>1001280</v>
      </c>
      <c r="B1282" t="n">
        <v>1</v>
      </c>
      <c r="C1282" t="n">
        <v>1280</v>
      </c>
      <c r="D1282" t="n">
        <v>-0.2922</v>
      </c>
      <c r="E1282" t="n">
        <v>15.4409</v>
      </c>
      <c r="F1282" t="n">
        <v>0.08062</v>
      </c>
    </row>
    <row r="1283">
      <c r="A1283" t="n">
        <v>1001281</v>
      </c>
      <c r="B1283" t="n">
        <v>1</v>
      </c>
      <c r="C1283" t="n">
        <v>1281</v>
      </c>
      <c r="D1283" t="n">
        <v>-0.2924</v>
      </c>
      <c r="E1283" t="n">
        <v>15.4402</v>
      </c>
      <c r="F1283" t="n">
        <v>0.08062999999999999</v>
      </c>
    </row>
    <row r="1284">
      <c r="A1284" t="n">
        <v>1001282</v>
      </c>
      <c r="B1284" t="n">
        <v>1</v>
      </c>
      <c r="C1284" t="n">
        <v>1282</v>
      </c>
      <c r="D1284" t="n">
        <v>-0.2925</v>
      </c>
      <c r="E1284" t="n">
        <v>15.4395</v>
      </c>
      <c r="F1284" t="n">
        <v>0.08064</v>
      </c>
    </row>
    <row r="1285">
      <c r="A1285" t="n">
        <v>1001283</v>
      </c>
      <c r="B1285" t="n">
        <v>1</v>
      </c>
      <c r="C1285" t="n">
        <v>1283</v>
      </c>
      <c r="D1285" t="n">
        <v>-0.2927</v>
      </c>
      <c r="E1285" t="n">
        <v>15.4388</v>
      </c>
      <c r="F1285" t="n">
        <v>0.08065</v>
      </c>
    </row>
    <row r="1286">
      <c r="A1286" t="n">
        <v>1001284</v>
      </c>
      <c r="B1286" t="n">
        <v>1</v>
      </c>
      <c r="C1286" t="n">
        <v>1284</v>
      </c>
      <c r="D1286" t="n">
        <v>-0.2929</v>
      </c>
      <c r="E1286" t="n">
        <v>15.438</v>
      </c>
      <c r="F1286" t="n">
        <v>0.08066</v>
      </c>
    </row>
    <row r="1287">
      <c r="A1287" t="n">
        <v>1001285</v>
      </c>
      <c r="B1287" t="n">
        <v>1</v>
      </c>
      <c r="C1287" t="n">
        <v>1285</v>
      </c>
      <c r="D1287" t="n">
        <v>-0.2931</v>
      </c>
      <c r="E1287" t="n">
        <v>15.4373</v>
      </c>
      <c r="F1287" t="n">
        <v>0.08066</v>
      </c>
    </row>
    <row r="1288">
      <c r="A1288" t="n">
        <v>1001286</v>
      </c>
      <c r="B1288" t="n">
        <v>1</v>
      </c>
      <c r="C1288" t="n">
        <v>1286</v>
      </c>
      <c r="D1288" t="n">
        <v>-0.2933</v>
      </c>
      <c r="E1288" t="n">
        <v>15.4366</v>
      </c>
      <c r="F1288" t="n">
        <v>0.08067000000000001</v>
      </c>
    </row>
    <row r="1289">
      <c r="A1289" t="n">
        <v>1001287</v>
      </c>
      <c r="B1289" t="n">
        <v>1</v>
      </c>
      <c r="C1289" t="n">
        <v>1287</v>
      </c>
      <c r="D1289" t="n">
        <v>-0.2934</v>
      </c>
      <c r="E1289" t="n">
        <v>15.4359</v>
      </c>
      <c r="F1289" t="n">
        <v>0.08068</v>
      </c>
    </row>
    <row r="1290">
      <c r="A1290" t="n">
        <v>1001288</v>
      </c>
      <c r="B1290" t="n">
        <v>1</v>
      </c>
      <c r="C1290" t="n">
        <v>1288</v>
      </c>
      <c r="D1290" t="n">
        <v>-0.2936</v>
      </c>
      <c r="E1290" t="n">
        <v>15.4352</v>
      </c>
      <c r="F1290" t="n">
        <v>0.08069</v>
      </c>
    </row>
    <row r="1291">
      <c r="A1291" t="n">
        <v>1001289</v>
      </c>
      <c r="B1291" t="n">
        <v>1</v>
      </c>
      <c r="C1291" t="n">
        <v>1289</v>
      </c>
      <c r="D1291" t="n">
        <v>-0.2938</v>
      </c>
      <c r="E1291" t="n">
        <v>15.4345</v>
      </c>
      <c r="F1291" t="n">
        <v>0.08069999999999999</v>
      </c>
    </row>
    <row r="1292">
      <c r="A1292" t="n">
        <v>1001290</v>
      </c>
      <c r="B1292" t="n">
        <v>1</v>
      </c>
      <c r="C1292" t="n">
        <v>1290</v>
      </c>
      <c r="D1292" t="n">
        <v>-0.294</v>
      </c>
      <c r="E1292" t="n">
        <v>15.4338</v>
      </c>
      <c r="F1292" t="n">
        <v>0.08071</v>
      </c>
    </row>
    <row r="1293">
      <c r="A1293" t="n">
        <v>1001291</v>
      </c>
      <c r="B1293" t="n">
        <v>1</v>
      </c>
      <c r="C1293" t="n">
        <v>1291</v>
      </c>
      <c r="D1293" t="n">
        <v>-0.2942</v>
      </c>
      <c r="E1293" t="n">
        <v>15.4332</v>
      </c>
      <c r="F1293" t="n">
        <v>0.08072</v>
      </c>
    </row>
    <row r="1294">
      <c r="A1294" t="n">
        <v>1001292</v>
      </c>
      <c r="B1294" t="n">
        <v>1</v>
      </c>
      <c r="C1294" t="n">
        <v>1292</v>
      </c>
      <c r="D1294" t="n">
        <v>-0.2944</v>
      </c>
      <c r="E1294" t="n">
        <v>15.4325</v>
      </c>
      <c r="F1294" t="n">
        <v>0.08072</v>
      </c>
    </row>
    <row r="1295">
      <c r="A1295" t="n">
        <v>1001293</v>
      </c>
      <c r="B1295" t="n">
        <v>1</v>
      </c>
      <c r="C1295" t="n">
        <v>1293</v>
      </c>
      <c r="D1295" t="n">
        <v>-0.2946</v>
      </c>
      <c r="E1295" t="n">
        <v>15.4318</v>
      </c>
      <c r="F1295" t="n">
        <v>0.08073</v>
      </c>
    </row>
    <row r="1296">
      <c r="A1296" t="n">
        <v>1001294</v>
      </c>
      <c r="B1296" t="n">
        <v>1</v>
      </c>
      <c r="C1296" t="n">
        <v>1294</v>
      </c>
      <c r="D1296" t="n">
        <v>-0.2948</v>
      </c>
      <c r="E1296" t="n">
        <v>15.4311</v>
      </c>
      <c r="F1296" t="n">
        <v>0.08074000000000001</v>
      </c>
    </row>
    <row r="1297">
      <c r="A1297" t="n">
        <v>1001295</v>
      </c>
      <c r="B1297" t="n">
        <v>1</v>
      </c>
      <c r="C1297" t="n">
        <v>1295</v>
      </c>
      <c r="D1297" t="n">
        <v>-0.295</v>
      </c>
      <c r="E1297" t="n">
        <v>15.4304</v>
      </c>
      <c r="F1297" t="n">
        <v>0.08075</v>
      </c>
    </row>
    <row r="1298">
      <c r="A1298" t="n">
        <v>1001296</v>
      </c>
      <c r="B1298" t="n">
        <v>1</v>
      </c>
      <c r="C1298" t="n">
        <v>1296</v>
      </c>
      <c r="D1298" t="n">
        <v>-0.2952</v>
      </c>
      <c r="E1298" t="n">
        <v>15.4297</v>
      </c>
      <c r="F1298" t="n">
        <v>0.08076</v>
      </c>
    </row>
    <row r="1299">
      <c r="A1299" t="n">
        <v>1001297</v>
      </c>
      <c r="B1299" t="n">
        <v>1</v>
      </c>
      <c r="C1299" t="n">
        <v>1297</v>
      </c>
      <c r="D1299" t="n">
        <v>-0.2954</v>
      </c>
      <c r="E1299" t="n">
        <v>15.429</v>
      </c>
      <c r="F1299" t="n">
        <v>0.08076999999999999</v>
      </c>
    </row>
    <row r="1300">
      <c r="A1300" t="n">
        <v>1001298</v>
      </c>
      <c r="B1300" t="n">
        <v>1</v>
      </c>
      <c r="C1300" t="n">
        <v>1298</v>
      </c>
      <c r="D1300" t="n">
        <v>-0.2957</v>
      </c>
      <c r="E1300" t="n">
        <v>15.4283</v>
      </c>
      <c r="F1300" t="n">
        <v>0.08078</v>
      </c>
    </row>
    <row r="1301">
      <c r="A1301" t="n">
        <v>1001299</v>
      </c>
      <c r="B1301" t="n">
        <v>1</v>
      </c>
      <c r="C1301" t="n">
        <v>1299</v>
      </c>
      <c r="D1301" t="n">
        <v>-0.2959</v>
      </c>
      <c r="E1301" t="n">
        <v>15.4276</v>
      </c>
      <c r="F1301" t="n">
        <v>0.08078</v>
      </c>
    </row>
    <row r="1302">
      <c r="A1302" t="n">
        <v>1001300</v>
      </c>
      <c r="B1302" t="n">
        <v>1</v>
      </c>
      <c r="C1302" t="n">
        <v>1300</v>
      </c>
      <c r="D1302" t="n">
        <v>-0.2961</v>
      </c>
      <c r="E1302" t="n">
        <v>15.427</v>
      </c>
      <c r="F1302" t="n">
        <v>0.08079</v>
      </c>
    </row>
    <row r="1303">
      <c r="A1303" t="n">
        <v>1001301</v>
      </c>
      <c r="B1303" t="n">
        <v>1</v>
      </c>
      <c r="C1303" t="n">
        <v>1301</v>
      </c>
      <c r="D1303" t="n">
        <v>-0.2963</v>
      </c>
      <c r="E1303" t="n">
        <v>15.4263</v>
      </c>
      <c r="F1303" t="n">
        <v>0.0808</v>
      </c>
    </row>
    <row r="1304">
      <c r="A1304" t="n">
        <v>1001302</v>
      </c>
      <c r="B1304" t="n">
        <v>1</v>
      </c>
      <c r="C1304" t="n">
        <v>1302</v>
      </c>
      <c r="D1304" t="n">
        <v>-0.2965</v>
      </c>
      <c r="E1304" t="n">
        <v>15.4256</v>
      </c>
      <c r="F1304" t="n">
        <v>0.08081000000000001</v>
      </c>
    </row>
    <row r="1305">
      <c r="A1305" t="n">
        <v>1001303</v>
      </c>
      <c r="B1305" t="n">
        <v>1</v>
      </c>
      <c r="C1305" t="n">
        <v>1303</v>
      </c>
      <c r="D1305" t="n">
        <v>-0.2968</v>
      </c>
      <c r="E1305" t="n">
        <v>15.4249</v>
      </c>
      <c r="F1305" t="n">
        <v>0.08082</v>
      </c>
    </row>
    <row r="1306">
      <c r="A1306" t="n">
        <v>1001304</v>
      </c>
      <c r="B1306" t="n">
        <v>1</v>
      </c>
      <c r="C1306" t="n">
        <v>1304</v>
      </c>
      <c r="D1306" t="n">
        <v>-0.297</v>
      </c>
      <c r="E1306" t="n">
        <v>15.4243</v>
      </c>
      <c r="F1306" t="n">
        <v>0.08083</v>
      </c>
    </row>
    <row r="1307">
      <c r="A1307" t="n">
        <v>1001305</v>
      </c>
      <c r="B1307" t="n">
        <v>1</v>
      </c>
      <c r="C1307" t="n">
        <v>1305</v>
      </c>
      <c r="D1307" t="n">
        <v>-0.2972</v>
      </c>
      <c r="E1307" t="n">
        <v>15.4236</v>
      </c>
      <c r="F1307" t="n">
        <v>0.08084</v>
      </c>
    </row>
    <row r="1308">
      <c r="A1308" t="n">
        <v>1001306</v>
      </c>
      <c r="B1308" t="n">
        <v>1</v>
      </c>
      <c r="C1308" t="n">
        <v>1306</v>
      </c>
      <c r="D1308" t="n">
        <v>-0.2975</v>
      </c>
      <c r="E1308" t="n">
        <v>15.4229</v>
      </c>
      <c r="F1308" t="n">
        <v>0.08085000000000001</v>
      </c>
    </row>
    <row r="1309">
      <c r="A1309" t="n">
        <v>1001307</v>
      </c>
      <c r="B1309" t="n">
        <v>1</v>
      </c>
      <c r="C1309" t="n">
        <v>1307</v>
      </c>
      <c r="D1309" t="n">
        <v>-0.2977</v>
      </c>
      <c r="E1309" t="n">
        <v>15.4222</v>
      </c>
      <c r="F1309" t="n">
        <v>0.08085000000000001</v>
      </c>
    </row>
    <row r="1310">
      <c r="A1310" t="n">
        <v>1001308</v>
      </c>
      <c r="B1310" t="n">
        <v>1</v>
      </c>
      <c r="C1310" t="n">
        <v>1308</v>
      </c>
      <c r="D1310" t="n">
        <v>-0.2979</v>
      </c>
      <c r="E1310" t="n">
        <v>15.4216</v>
      </c>
      <c r="F1310" t="n">
        <v>0.08086</v>
      </c>
    </row>
    <row r="1311">
      <c r="A1311" t="n">
        <v>1001309</v>
      </c>
      <c r="B1311" t="n">
        <v>1</v>
      </c>
      <c r="C1311" t="n">
        <v>1309</v>
      </c>
      <c r="D1311" t="n">
        <v>-0.2982</v>
      </c>
      <c r="E1311" t="n">
        <v>15.4209</v>
      </c>
      <c r="F1311" t="n">
        <v>0.08087</v>
      </c>
    </row>
    <row r="1312">
      <c r="A1312" t="n">
        <v>1001310</v>
      </c>
      <c r="B1312" t="n">
        <v>1</v>
      </c>
      <c r="C1312" t="n">
        <v>1310</v>
      </c>
      <c r="D1312" t="n">
        <v>-0.2984</v>
      </c>
      <c r="E1312" t="n">
        <v>15.4202</v>
      </c>
      <c r="F1312" t="n">
        <v>0.08087999999999999</v>
      </c>
    </row>
    <row r="1313">
      <c r="A1313" t="n">
        <v>1001311</v>
      </c>
      <c r="B1313" t="n">
        <v>1</v>
      </c>
      <c r="C1313" t="n">
        <v>1311</v>
      </c>
      <c r="D1313" t="n">
        <v>-0.2987</v>
      </c>
      <c r="E1313" t="n">
        <v>15.4196</v>
      </c>
      <c r="F1313" t="n">
        <v>0.08089</v>
      </c>
    </row>
    <row r="1314">
      <c r="A1314" t="n">
        <v>1001312</v>
      </c>
      <c r="B1314" t="n">
        <v>1</v>
      </c>
      <c r="C1314" t="n">
        <v>1312</v>
      </c>
      <c r="D1314" t="n">
        <v>-0.2989</v>
      </c>
      <c r="E1314" t="n">
        <v>15.4189</v>
      </c>
      <c r="F1314" t="n">
        <v>0.0809</v>
      </c>
    </row>
    <row r="1315">
      <c r="A1315" t="n">
        <v>1001313</v>
      </c>
      <c r="B1315" t="n">
        <v>1</v>
      </c>
      <c r="C1315" t="n">
        <v>1313</v>
      </c>
      <c r="D1315" t="n">
        <v>-0.2992</v>
      </c>
      <c r="E1315" t="n">
        <v>15.4182</v>
      </c>
      <c r="F1315" t="n">
        <v>0.08091</v>
      </c>
    </row>
    <row r="1316">
      <c r="A1316" t="n">
        <v>1001314</v>
      </c>
      <c r="B1316" t="n">
        <v>1</v>
      </c>
      <c r="C1316" t="n">
        <v>1314</v>
      </c>
      <c r="D1316" t="n">
        <v>-0.2994</v>
      </c>
      <c r="E1316" t="n">
        <v>15.4176</v>
      </c>
      <c r="F1316" t="n">
        <v>0.08092000000000001</v>
      </c>
    </row>
    <row r="1317">
      <c r="A1317" t="n">
        <v>1001315</v>
      </c>
      <c r="B1317" t="n">
        <v>1</v>
      </c>
      <c r="C1317" t="n">
        <v>1315</v>
      </c>
      <c r="D1317" t="n">
        <v>-0.2997</v>
      </c>
      <c r="E1317" t="n">
        <v>15.4169</v>
      </c>
      <c r="F1317" t="n">
        <v>0.08093</v>
      </c>
    </row>
    <row r="1318">
      <c r="A1318" t="n">
        <v>1001316</v>
      </c>
      <c r="B1318" t="n">
        <v>1</v>
      </c>
      <c r="C1318" t="n">
        <v>1316</v>
      </c>
      <c r="D1318" t="n">
        <v>-0.3</v>
      </c>
      <c r="E1318" t="n">
        <v>15.4162</v>
      </c>
      <c r="F1318" t="n">
        <v>0.08093</v>
      </c>
    </row>
    <row r="1319">
      <c r="A1319" t="n">
        <v>1001317</v>
      </c>
      <c r="B1319" t="n">
        <v>1</v>
      </c>
      <c r="C1319" t="n">
        <v>1317</v>
      </c>
      <c r="D1319" t="n">
        <v>-0.3002</v>
      </c>
      <c r="E1319" t="n">
        <v>15.4156</v>
      </c>
      <c r="F1319" t="n">
        <v>0.08094</v>
      </c>
    </row>
    <row r="1320">
      <c r="A1320" t="n">
        <v>1001318</v>
      </c>
      <c r="B1320" t="n">
        <v>1</v>
      </c>
      <c r="C1320" t="n">
        <v>1318</v>
      </c>
      <c r="D1320" t="n">
        <v>-0.3005</v>
      </c>
      <c r="E1320" t="n">
        <v>15.4149</v>
      </c>
      <c r="F1320" t="n">
        <v>0.08094999999999999</v>
      </c>
    </row>
    <row r="1321">
      <c r="A1321" t="n">
        <v>1001319</v>
      </c>
      <c r="B1321" t="n">
        <v>1</v>
      </c>
      <c r="C1321" t="n">
        <v>1319</v>
      </c>
      <c r="D1321" t="n">
        <v>-0.3008</v>
      </c>
      <c r="E1321" t="n">
        <v>15.4143</v>
      </c>
      <c r="F1321" t="n">
        <v>0.08096</v>
      </c>
    </row>
    <row r="1322">
      <c r="A1322" t="n">
        <v>1001320</v>
      </c>
      <c r="B1322" t="n">
        <v>1</v>
      </c>
      <c r="C1322" t="n">
        <v>1320</v>
      </c>
      <c r="D1322" t="n">
        <v>-0.301</v>
      </c>
      <c r="E1322" t="n">
        <v>15.4136</v>
      </c>
      <c r="F1322" t="n">
        <v>0.08097</v>
      </c>
    </row>
    <row r="1323">
      <c r="A1323" t="n">
        <v>1001321</v>
      </c>
      <c r="B1323" t="n">
        <v>1</v>
      </c>
      <c r="C1323" t="n">
        <v>1321</v>
      </c>
      <c r="D1323" t="n">
        <v>-0.3013</v>
      </c>
      <c r="E1323" t="n">
        <v>15.413</v>
      </c>
      <c r="F1323" t="n">
        <v>0.08098</v>
      </c>
    </row>
    <row r="1324">
      <c r="A1324" t="n">
        <v>1001322</v>
      </c>
      <c r="B1324" t="n">
        <v>1</v>
      </c>
      <c r="C1324" t="n">
        <v>1322</v>
      </c>
      <c r="D1324" t="n">
        <v>-0.3016</v>
      </c>
      <c r="E1324" t="n">
        <v>15.4123</v>
      </c>
      <c r="F1324" t="n">
        <v>0.08099000000000001</v>
      </c>
    </row>
    <row r="1325">
      <c r="A1325" t="n">
        <v>1001323</v>
      </c>
      <c r="B1325" t="n">
        <v>1</v>
      </c>
      <c r="C1325" t="n">
        <v>1323</v>
      </c>
      <c r="D1325" t="n">
        <v>-0.3018</v>
      </c>
      <c r="E1325" t="n">
        <v>15.4117</v>
      </c>
      <c r="F1325" t="n">
        <v>0.081</v>
      </c>
    </row>
    <row r="1326">
      <c r="A1326" t="n">
        <v>1001324</v>
      </c>
      <c r="B1326" t="n">
        <v>1</v>
      </c>
      <c r="C1326" t="n">
        <v>1324</v>
      </c>
      <c r="D1326" t="n">
        <v>-0.3021</v>
      </c>
      <c r="E1326" t="n">
        <v>15.411</v>
      </c>
      <c r="F1326" t="n">
        <v>0.08101</v>
      </c>
    </row>
    <row r="1327">
      <c r="A1327" t="n">
        <v>1001325</v>
      </c>
      <c r="B1327" t="n">
        <v>1</v>
      </c>
      <c r="C1327" t="n">
        <v>1325</v>
      </c>
      <c r="D1327" t="n">
        <v>-0.3024</v>
      </c>
      <c r="E1327" t="n">
        <v>15.4104</v>
      </c>
      <c r="F1327" t="n">
        <v>0.08101999999999999</v>
      </c>
    </row>
    <row r="1328">
      <c r="A1328" t="n">
        <v>1001326</v>
      </c>
      <c r="B1328" t="n">
        <v>1</v>
      </c>
      <c r="C1328" t="n">
        <v>1326</v>
      </c>
      <c r="D1328" t="n">
        <v>-0.3027</v>
      </c>
      <c r="E1328" t="n">
        <v>15.4097</v>
      </c>
      <c r="F1328" t="n">
        <v>0.08101999999999999</v>
      </c>
    </row>
    <row r="1329">
      <c r="A1329" t="n">
        <v>1001327</v>
      </c>
      <c r="B1329" t="n">
        <v>1</v>
      </c>
      <c r="C1329" t="n">
        <v>1327</v>
      </c>
      <c r="D1329" t="n">
        <v>-0.303</v>
      </c>
      <c r="E1329" t="n">
        <v>15.4091</v>
      </c>
      <c r="F1329" t="n">
        <v>0.08103</v>
      </c>
    </row>
    <row r="1330">
      <c r="A1330" t="n">
        <v>1001328</v>
      </c>
      <c r="B1330" t="n">
        <v>1</v>
      </c>
      <c r="C1330" t="n">
        <v>1328</v>
      </c>
      <c r="D1330" t="n">
        <v>-0.3033</v>
      </c>
      <c r="E1330" t="n">
        <v>15.4084</v>
      </c>
      <c r="F1330" t="n">
        <v>0.08104</v>
      </c>
    </row>
    <row r="1331">
      <c r="A1331" t="n">
        <v>1001329</v>
      </c>
      <c r="B1331" t="n">
        <v>1</v>
      </c>
      <c r="C1331" t="n">
        <v>1329</v>
      </c>
      <c r="D1331" t="n">
        <v>-0.3036</v>
      </c>
      <c r="E1331" t="n">
        <v>15.4078</v>
      </c>
      <c r="F1331" t="n">
        <v>0.08105</v>
      </c>
    </row>
    <row r="1332">
      <c r="A1332" t="n">
        <v>1001330</v>
      </c>
      <c r="B1332" t="n">
        <v>1</v>
      </c>
      <c r="C1332" t="n">
        <v>1330</v>
      </c>
      <c r="D1332" t="n">
        <v>-0.3038</v>
      </c>
      <c r="E1332" t="n">
        <v>15.4072</v>
      </c>
      <c r="F1332" t="n">
        <v>0.08105999999999999</v>
      </c>
    </row>
    <row r="1333">
      <c r="A1333" t="n">
        <v>1001331</v>
      </c>
      <c r="B1333" t="n">
        <v>1</v>
      </c>
      <c r="C1333" t="n">
        <v>1331</v>
      </c>
      <c r="D1333" t="n">
        <v>-0.3041</v>
      </c>
      <c r="E1333" t="n">
        <v>15.4065</v>
      </c>
      <c r="F1333" t="n">
        <v>0.08107</v>
      </c>
    </row>
    <row r="1334">
      <c r="A1334" t="n">
        <v>1001332</v>
      </c>
      <c r="B1334" t="n">
        <v>1</v>
      </c>
      <c r="C1334" t="n">
        <v>1332</v>
      </c>
      <c r="D1334" t="n">
        <v>-0.3044</v>
      </c>
      <c r="E1334" t="n">
        <v>15.4059</v>
      </c>
      <c r="F1334" t="n">
        <v>0.08108</v>
      </c>
    </row>
    <row r="1335">
      <c r="A1335" t="n">
        <v>1001333</v>
      </c>
      <c r="B1335" t="n">
        <v>1</v>
      </c>
      <c r="C1335" t="n">
        <v>1333</v>
      </c>
      <c r="D1335" t="n">
        <v>-0.3047</v>
      </c>
      <c r="E1335" t="n">
        <v>15.4052</v>
      </c>
      <c r="F1335" t="n">
        <v>0.08109</v>
      </c>
    </row>
    <row r="1336">
      <c r="A1336" t="n">
        <v>1001334</v>
      </c>
      <c r="B1336" t="n">
        <v>1</v>
      </c>
      <c r="C1336" t="n">
        <v>1334</v>
      </c>
      <c r="D1336" t="n">
        <v>-0.305</v>
      </c>
      <c r="E1336" t="n">
        <v>15.4046</v>
      </c>
      <c r="F1336" t="n">
        <v>0.08110000000000001</v>
      </c>
    </row>
    <row r="1337">
      <c r="A1337" t="n">
        <v>1001335</v>
      </c>
      <c r="B1337" t="n">
        <v>1</v>
      </c>
      <c r="C1337" t="n">
        <v>1335</v>
      </c>
      <c r="D1337" t="n">
        <v>-0.3054</v>
      </c>
      <c r="E1337" t="n">
        <v>15.404</v>
      </c>
      <c r="F1337" t="n">
        <v>0.08111</v>
      </c>
    </row>
    <row r="1338">
      <c r="A1338" t="n">
        <v>1001336</v>
      </c>
      <c r="B1338" t="n">
        <v>1</v>
      </c>
      <c r="C1338" t="n">
        <v>1336</v>
      </c>
      <c r="D1338" t="n">
        <v>-0.3057</v>
      </c>
      <c r="E1338" t="n">
        <v>15.4033</v>
      </c>
      <c r="F1338" t="n">
        <v>0.08112</v>
      </c>
    </row>
    <row r="1339">
      <c r="A1339" t="n">
        <v>1001337</v>
      </c>
      <c r="B1339" t="n">
        <v>1</v>
      </c>
      <c r="C1339" t="n">
        <v>1337</v>
      </c>
      <c r="D1339" t="n">
        <v>-0.306</v>
      </c>
      <c r="E1339" t="n">
        <v>15.4027</v>
      </c>
      <c r="F1339" t="n">
        <v>0.08112999999999999</v>
      </c>
    </row>
    <row r="1340">
      <c r="A1340" t="n">
        <v>1001338</v>
      </c>
      <c r="B1340" t="n">
        <v>1</v>
      </c>
      <c r="C1340" t="n">
        <v>1338</v>
      </c>
      <c r="D1340" t="n">
        <v>-0.3063</v>
      </c>
      <c r="E1340" t="n">
        <v>15.4021</v>
      </c>
      <c r="F1340" t="n">
        <v>0.08112999999999999</v>
      </c>
    </row>
    <row r="1341">
      <c r="A1341" t="n">
        <v>1001339</v>
      </c>
      <c r="B1341" t="n">
        <v>1</v>
      </c>
      <c r="C1341" t="n">
        <v>1339</v>
      </c>
      <c r="D1341" t="n">
        <v>-0.3066</v>
      </c>
      <c r="E1341" t="n">
        <v>15.4015</v>
      </c>
      <c r="F1341" t="n">
        <v>0.08114</v>
      </c>
    </row>
    <row r="1342">
      <c r="A1342" t="n">
        <v>1001340</v>
      </c>
      <c r="B1342" t="n">
        <v>1</v>
      </c>
      <c r="C1342" t="n">
        <v>1340</v>
      </c>
      <c r="D1342" t="n">
        <v>-0.3069</v>
      </c>
      <c r="E1342" t="n">
        <v>15.4008</v>
      </c>
      <c r="F1342" t="n">
        <v>0.08115</v>
      </c>
    </row>
    <row r="1343">
      <c r="A1343" t="n">
        <v>1001341</v>
      </c>
      <c r="B1343" t="n">
        <v>1</v>
      </c>
      <c r="C1343" t="n">
        <v>1341</v>
      </c>
      <c r="D1343" t="n">
        <v>-0.3072</v>
      </c>
      <c r="E1343" t="n">
        <v>15.4002</v>
      </c>
      <c r="F1343" t="n">
        <v>0.08116</v>
      </c>
    </row>
    <row r="1344">
      <c r="A1344" t="n">
        <v>1001342</v>
      </c>
      <c r="B1344" t="n">
        <v>1</v>
      </c>
      <c r="C1344" t="n">
        <v>1342</v>
      </c>
      <c r="D1344" t="n">
        <v>-0.3076</v>
      </c>
      <c r="E1344" t="n">
        <v>15.3996</v>
      </c>
      <c r="F1344" t="n">
        <v>0.08117000000000001</v>
      </c>
    </row>
    <row r="1345">
      <c r="A1345" t="n">
        <v>1001343</v>
      </c>
      <c r="B1345" t="n">
        <v>1</v>
      </c>
      <c r="C1345" t="n">
        <v>1343</v>
      </c>
      <c r="D1345" t="n">
        <v>-0.3079</v>
      </c>
      <c r="E1345" t="n">
        <v>15.399</v>
      </c>
      <c r="F1345" t="n">
        <v>0.08118</v>
      </c>
    </row>
    <row r="1346">
      <c r="A1346" t="n">
        <v>1001344</v>
      </c>
      <c r="B1346" t="n">
        <v>1</v>
      </c>
      <c r="C1346" t="n">
        <v>1344</v>
      </c>
      <c r="D1346" t="n">
        <v>-0.3082</v>
      </c>
      <c r="E1346" t="n">
        <v>15.3983</v>
      </c>
      <c r="F1346" t="n">
        <v>0.08119</v>
      </c>
    </row>
    <row r="1347">
      <c r="A1347" t="n">
        <v>1001345</v>
      </c>
      <c r="B1347" t="n">
        <v>1</v>
      </c>
      <c r="C1347" t="n">
        <v>1345</v>
      </c>
      <c r="D1347" t="n">
        <v>-0.3085</v>
      </c>
      <c r="E1347" t="n">
        <v>15.3977</v>
      </c>
      <c r="F1347" t="n">
        <v>0.08119999999999999</v>
      </c>
    </row>
    <row r="1348">
      <c r="A1348" t="n">
        <v>1001346</v>
      </c>
      <c r="B1348" t="n">
        <v>1</v>
      </c>
      <c r="C1348" t="n">
        <v>1346</v>
      </c>
      <c r="D1348" t="n">
        <v>-0.3089</v>
      </c>
      <c r="E1348" t="n">
        <v>15.3971</v>
      </c>
      <c r="F1348" t="n">
        <v>0.08121</v>
      </c>
    </row>
    <row r="1349">
      <c r="A1349" t="n">
        <v>1001347</v>
      </c>
      <c r="B1349" t="n">
        <v>1</v>
      </c>
      <c r="C1349" t="n">
        <v>1347</v>
      </c>
      <c r="D1349" t="n">
        <v>-0.3092</v>
      </c>
      <c r="E1349" t="n">
        <v>15.3965</v>
      </c>
      <c r="F1349" t="n">
        <v>0.08122</v>
      </c>
    </row>
    <row r="1350">
      <c r="A1350" t="n">
        <v>1001348</v>
      </c>
      <c r="B1350" t="n">
        <v>1</v>
      </c>
      <c r="C1350" t="n">
        <v>1348</v>
      </c>
      <c r="D1350" t="n">
        <v>-0.3095</v>
      </c>
      <c r="E1350" t="n">
        <v>15.3958</v>
      </c>
      <c r="F1350" t="n">
        <v>0.08123</v>
      </c>
    </row>
    <row r="1351">
      <c r="A1351" t="n">
        <v>1001349</v>
      </c>
      <c r="B1351" t="n">
        <v>1</v>
      </c>
      <c r="C1351" t="n">
        <v>1349</v>
      </c>
      <c r="D1351" t="n">
        <v>-0.3099</v>
      </c>
      <c r="E1351" t="n">
        <v>15.3952</v>
      </c>
      <c r="F1351" t="n">
        <v>0.08124000000000001</v>
      </c>
    </row>
    <row r="1352">
      <c r="A1352" t="n">
        <v>1001350</v>
      </c>
      <c r="B1352" t="n">
        <v>1</v>
      </c>
      <c r="C1352" t="n">
        <v>1350</v>
      </c>
      <c r="D1352" t="n">
        <v>-0.3102</v>
      </c>
      <c r="E1352" t="n">
        <v>15.3946</v>
      </c>
      <c r="F1352" t="n">
        <v>0.08125</v>
      </c>
    </row>
    <row r="1353">
      <c r="A1353" t="n">
        <v>1001351</v>
      </c>
      <c r="B1353" t="n">
        <v>1</v>
      </c>
      <c r="C1353" t="n">
        <v>1351</v>
      </c>
      <c r="D1353" t="n">
        <v>-0.3106</v>
      </c>
      <c r="E1353" t="n">
        <v>15.394</v>
      </c>
      <c r="F1353" t="n">
        <v>0.08126</v>
      </c>
    </row>
    <row r="1354">
      <c r="A1354" t="n">
        <v>1001352</v>
      </c>
      <c r="B1354" t="n">
        <v>1</v>
      </c>
      <c r="C1354" t="n">
        <v>1352</v>
      </c>
      <c r="D1354" t="n">
        <v>-0.3109</v>
      </c>
      <c r="E1354" t="n">
        <v>15.3934</v>
      </c>
      <c r="F1354" t="n">
        <v>0.08127</v>
      </c>
    </row>
    <row r="1355">
      <c r="A1355" t="n">
        <v>1001353</v>
      </c>
      <c r="B1355" t="n">
        <v>1</v>
      </c>
      <c r="C1355" t="n">
        <v>1353</v>
      </c>
      <c r="D1355" t="n">
        <v>-0.3113</v>
      </c>
      <c r="E1355" t="n">
        <v>15.3928</v>
      </c>
      <c r="F1355" t="n">
        <v>0.08128000000000001</v>
      </c>
    </row>
    <row r="1356">
      <c r="A1356" t="n">
        <v>1001354</v>
      </c>
      <c r="B1356" t="n">
        <v>1</v>
      </c>
      <c r="C1356" t="n">
        <v>1354</v>
      </c>
      <c r="D1356" t="n">
        <v>-0.3116</v>
      </c>
      <c r="E1356" t="n">
        <v>15.3922</v>
      </c>
      <c r="F1356" t="n">
        <v>0.08128000000000001</v>
      </c>
    </row>
    <row r="1357">
      <c r="A1357" t="n">
        <v>1001355</v>
      </c>
      <c r="B1357" t="n">
        <v>1</v>
      </c>
      <c r="C1357" t="n">
        <v>1355</v>
      </c>
      <c r="D1357" t="n">
        <v>-0.312</v>
      </c>
      <c r="E1357" t="n">
        <v>15.3916</v>
      </c>
      <c r="F1357" t="n">
        <v>0.08129</v>
      </c>
    </row>
    <row r="1358">
      <c r="A1358" t="n">
        <v>1001356</v>
      </c>
      <c r="B1358" t="n">
        <v>1</v>
      </c>
      <c r="C1358" t="n">
        <v>1356</v>
      </c>
      <c r="D1358" t="n">
        <v>-0.3123</v>
      </c>
      <c r="E1358" t="n">
        <v>15.3909</v>
      </c>
      <c r="F1358" t="n">
        <v>0.0813</v>
      </c>
    </row>
    <row r="1359">
      <c r="A1359" t="n">
        <v>1001357</v>
      </c>
      <c r="B1359" t="n">
        <v>1</v>
      </c>
      <c r="C1359" t="n">
        <v>1357</v>
      </c>
      <c r="D1359" t="n">
        <v>-0.3127</v>
      </c>
      <c r="E1359" t="n">
        <v>15.3903</v>
      </c>
      <c r="F1359" t="n">
        <v>0.08130999999999999</v>
      </c>
    </row>
    <row r="1360">
      <c r="A1360" t="n">
        <v>1001358</v>
      </c>
      <c r="B1360" t="n">
        <v>1</v>
      </c>
      <c r="C1360" t="n">
        <v>1358</v>
      </c>
      <c r="D1360" t="n">
        <v>-0.313</v>
      </c>
      <c r="E1360" t="n">
        <v>15.3897</v>
      </c>
      <c r="F1360" t="n">
        <v>0.08132</v>
      </c>
    </row>
    <row r="1361">
      <c r="A1361" t="n">
        <v>1001359</v>
      </c>
      <c r="B1361" t="n">
        <v>1</v>
      </c>
      <c r="C1361" t="n">
        <v>1359</v>
      </c>
      <c r="D1361" t="n">
        <v>-0.3134</v>
      </c>
      <c r="E1361" t="n">
        <v>15.3891</v>
      </c>
      <c r="F1361" t="n">
        <v>0.08133</v>
      </c>
    </row>
    <row r="1362">
      <c r="A1362" t="n">
        <v>1001360</v>
      </c>
      <c r="B1362" t="n">
        <v>1</v>
      </c>
      <c r="C1362" t="n">
        <v>1360</v>
      </c>
      <c r="D1362" t="n">
        <v>-0.3138</v>
      </c>
      <c r="E1362" t="n">
        <v>15.3885</v>
      </c>
      <c r="F1362" t="n">
        <v>0.08134</v>
      </c>
    </row>
    <row r="1363">
      <c r="A1363" t="n">
        <v>1001361</v>
      </c>
      <c r="B1363" t="n">
        <v>1</v>
      </c>
      <c r="C1363" t="n">
        <v>1361</v>
      </c>
      <c r="D1363" t="n">
        <v>-0.3141</v>
      </c>
      <c r="E1363" t="n">
        <v>15.3879</v>
      </c>
      <c r="F1363" t="n">
        <v>0.08135000000000001</v>
      </c>
    </row>
    <row r="1364">
      <c r="A1364" t="n">
        <v>1001362</v>
      </c>
      <c r="B1364" t="n">
        <v>1</v>
      </c>
      <c r="C1364" t="n">
        <v>1362</v>
      </c>
      <c r="D1364" t="n">
        <v>-0.3145</v>
      </c>
      <c r="E1364" t="n">
        <v>15.3873</v>
      </c>
      <c r="F1364" t="n">
        <v>0.08136</v>
      </c>
    </row>
    <row r="1365">
      <c r="A1365" t="n">
        <v>1001363</v>
      </c>
      <c r="B1365" t="n">
        <v>1</v>
      </c>
      <c r="C1365" t="n">
        <v>1363</v>
      </c>
      <c r="D1365" t="n">
        <v>-0.3149</v>
      </c>
      <c r="E1365" t="n">
        <v>15.3867</v>
      </c>
      <c r="F1365" t="n">
        <v>0.08137</v>
      </c>
    </row>
    <row r="1366">
      <c r="A1366" t="n">
        <v>1001364</v>
      </c>
      <c r="B1366" t="n">
        <v>1</v>
      </c>
      <c r="C1366" t="n">
        <v>1364</v>
      </c>
      <c r="D1366" t="n">
        <v>-0.3152</v>
      </c>
      <c r="E1366" t="n">
        <v>15.3861</v>
      </c>
      <c r="F1366" t="n">
        <v>0.08137999999999999</v>
      </c>
    </row>
    <row r="1367">
      <c r="A1367" t="n">
        <v>1001365</v>
      </c>
      <c r="B1367" t="n">
        <v>1</v>
      </c>
      <c r="C1367" t="n">
        <v>1365</v>
      </c>
      <c r="D1367" t="n">
        <v>-0.3156</v>
      </c>
      <c r="E1367" t="n">
        <v>15.3855</v>
      </c>
      <c r="F1367" t="n">
        <v>0.08139</v>
      </c>
    </row>
    <row r="1368">
      <c r="A1368" t="n">
        <v>1001366</v>
      </c>
      <c r="B1368" t="n">
        <v>1</v>
      </c>
      <c r="C1368" t="n">
        <v>1366</v>
      </c>
      <c r="D1368" t="n">
        <v>-0.316</v>
      </c>
      <c r="E1368" t="n">
        <v>15.3849</v>
      </c>
      <c r="F1368" t="n">
        <v>0.0814</v>
      </c>
    </row>
    <row r="1369">
      <c r="A1369" t="n">
        <v>1001367</v>
      </c>
      <c r="B1369" t="n">
        <v>1</v>
      </c>
      <c r="C1369" t="n">
        <v>1367</v>
      </c>
      <c r="D1369" t="n">
        <v>-0.3164</v>
      </c>
      <c r="E1369" t="n">
        <v>15.3843</v>
      </c>
      <c r="F1369" t="n">
        <v>0.08141</v>
      </c>
    </row>
    <row r="1370">
      <c r="A1370" t="n">
        <v>1001368</v>
      </c>
      <c r="B1370" t="n">
        <v>1</v>
      </c>
      <c r="C1370" t="n">
        <v>1368</v>
      </c>
      <c r="D1370" t="n">
        <v>-0.3168</v>
      </c>
      <c r="E1370" t="n">
        <v>15.3837</v>
      </c>
      <c r="F1370" t="n">
        <v>0.08142000000000001</v>
      </c>
    </row>
    <row r="1371">
      <c r="A1371" t="n">
        <v>1001369</v>
      </c>
      <c r="B1371" t="n">
        <v>1</v>
      </c>
      <c r="C1371" t="n">
        <v>1369</v>
      </c>
      <c r="D1371" t="n">
        <v>-0.3171</v>
      </c>
      <c r="E1371" t="n">
        <v>15.3831</v>
      </c>
      <c r="F1371" t="n">
        <v>0.08143</v>
      </c>
    </row>
    <row r="1372">
      <c r="A1372" t="n">
        <v>1001370</v>
      </c>
      <c r="B1372" t="n">
        <v>1</v>
      </c>
      <c r="C1372" t="n">
        <v>1370</v>
      </c>
      <c r="D1372" t="n">
        <v>-0.3175</v>
      </c>
      <c r="E1372" t="n">
        <v>15.3825</v>
      </c>
      <c r="F1372" t="n">
        <v>0.08144</v>
      </c>
    </row>
    <row r="1373">
      <c r="A1373" t="n">
        <v>1001371</v>
      </c>
      <c r="B1373" t="n">
        <v>1</v>
      </c>
      <c r="C1373" t="n">
        <v>1371</v>
      </c>
      <c r="D1373" t="n">
        <v>-0.3179</v>
      </c>
      <c r="E1373" t="n">
        <v>15.382</v>
      </c>
      <c r="F1373" t="n">
        <v>0.08144999999999999</v>
      </c>
    </row>
    <row r="1374">
      <c r="A1374" t="n">
        <v>1001372</v>
      </c>
      <c r="B1374" t="n">
        <v>1</v>
      </c>
      <c r="C1374" t="n">
        <v>1372</v>
      </c>
      <c r="D1374" t="n">
        <v>-0.3183</v>
      </c>
      <c r="E1374" t="n">
        <v>15.3814</v>
      </c>
      <c r="F1374" t="n">
        <v>0.08146</v>
      </c>
    </row>
    <row r="1375">
      <c r="A1375" t="n">
        <v>1001373</v>
      </c>
      <c r="B1375" t="n">
        <v>1</v>
      </c>
      <c r="C1375" t="n">
        <v>1373</v>
      </c>
      <c r="D1375" t="n">
        <v>-0.3187</v>
      </c>
      <c r="E1375" t="n">
        <v>15.3808</v>
      </c>
      <c r="F1375" t="n">
        <v>0.08147</v>
      </c>
    </row>
    <row r="1376">
      <c r="A1376" t="n">
        <v>1001374</v>
      </c>
      <c r="B1376" t="n">
        <v>1</v>
      </c>
      <c r="C1376" t="n">
        <v>1374</v>
      </c>
      <c r="D1376" t="n">
        <v>-0.3191</v>
      </c>
      <c r="E1376" t="n">
        <v>15.3802</v>
      </c>
      <c r="F1376" t="n">
        <v>0.08148</v>
      </c>
    </row>
    <row r="1377">
      <c r="A1377" t="n">
        <v>1001375</v>
      </c>
      <c r="B1377" t="n">
        <v>1</v>
      </c>
      <c r="C1377" t="n">
        <v>1375</v>
      </c>
      <c r="D1377" t="n">
        <v>-0.3195</v>
      </c>
      <c r="E1377" t="n">
        <v>15.3796</v>
      </c>
      <c r="F1377" t="n">
        <v>0.08149000000000001</v>
      </c>
    </row>
    <row r="1378">
      <c r="A1378" t="n">
        <v>1001376</v>
      </c>
      <c r="B1378" t="n">
        <v>1</v>
      </c>
      <c r="C1378" t="n">
        <v>1376</v>
      </c>
      <c r="D1378" t="n">
        <v>-0.3199</v>
      </c>
      <c r="E1378" t="n">
        <v>15.379</v>
      </c>
      <c r="F1378" t="n">
        <v>0.0815</v>
      </c>
    </row>
    <row r="1379">
      <c r="A1379" t="n">
        <v>1001377</v>
      </c>
      <c r="B1379" t="n">
        <v>1</v>
      </c>
      <c r="C1379" t="n">
        <v>1377</v>
      </c>
      <c r="D1379" t="n">
        <v>-0.3203</v>
      </c>
      <c r="E1379" t="n">
        <v>15.3784</v>
      </c>
      <c r="F1379" t="n">
        <v>0.08151</v>
      </c>
    </row>
    <row r="1380">
      <c r="A1380" t="n">
        <v>1001378</v>
      </c>
      <c r="B1380" t="n">
        <v>1</v>
      </c>
      <c r="C1380" t="n">
        <v>1378</v>
      </c>
      <c r="D1380" t="n">
        <v>-0.3207</v>
      </c>
      <c r="E1380" t="n">
        <v>15.3778</v>
      </c>
      <c r="F1380" t="n">
        <v>0.08152</v>
      </c>
    </row>
    <row r="1381">
      <c r="A1381" t="n">
        <v>1001379</v>
      </c>
      <c r="B1381" t="n">
        <v>1</v>
      </c>
      <c r="C1381" t="n">
        <v>1379</v>
      </c>
      <c r="D1381" t="n">
        <v>-0.3211</v>
      </c>
      <c r="E1381" t="n">
        <v>15.3773</v>
      </c>
      <c r="F1381" t="n">
        <v>0.08153000000000001</v>
      </c>
    </row>
    <row r="1382">
      <c r="A1382" t="n">
        <v>1001380</v>
      </c>
      <c r="B1382" t="n">
        <v>1</v>
      </c>
      <c r="C1382" t="n">
        <v>1380</v>
      </c>
      <c r="D1382" t="n">
        <v>-0.3215</v>
      </c>
      <c r="E1382" t="n">
        <v>15.3767</v>
      </c>
      <c r="F1382" t="n">
        <v>0.08154</v>
      </c>
    </row>
    <row r="1383">
      <c r="A1383" t="n">
        <v>1001381</v>
      </c>
      <c r="B1383" t="n">
        <v>1</v>
      </c>
      <c r="C1383" t="n">
        <v>1381</v>
      </c>
      <c r="D1383" t="n">
        <v>-0.322</v>
      </c>
      <c r="E1383" t="n">
        <v>15.3761</v>
      </c>
      <c r="F1383" t="n">
        <v>0.08155</v>
      </c>
    </row>
    <row r="1384">
      <c r="A1384" t="n">
        <v>1001382</v>
      </c>
      <c r="B1384" t="n">
        <v>1</v>
      </c>
      <c r="C1384" t="n">
        <v>1382</v>
      </c>
      <c r="D1384" t="n">
        <v>-0.3224</v>
      </c>
      <c r="E1384" t="n">
        <v>15.3755</v>
      </c>
      <c r="F1384" t="n">
        <v>0.08155999999999999</v>
      </c>
    </row>
    <row r="1385">
      <c r="A1385" t="n">
        <v>1001383</v>
      </c>
      <c r="B1385" t="n">
        <v>1</v>
      </c>
      <c r="C1385" t="n">
        <v>1383</v>
      </c>
      <c r="D1385" t="n">
        <v>-0.3228</v>
      </c>
      <c r="E1385" t="n">
        <v>15.3749</v>
      </c>
      <c r="F1385" t="n">
        <v>0.08157</v>
      </c>
    </row>
    <row r="1386">
      <c r="A1386" t="n">
        <v>1001384</v>
      </c>
      <c r="B1386" t="n">
        <v>1</v>
      </c>
      <c r="C1386" t="n">
        <v>1384</v>
      </c>
      <c r="D1386" t="n">
        <v>-0.3232</v>
      </c>
      <c r="E1386" t="n">
        <v>15.3744</v>
      </c>
      <c r="F1386" t="n">
        <v>0.08158</v>
      </c>
    </row>
    <row r="1387">
      <c r="A1387" t="n">
        <v>1001385</v>
      </c>
      <c r="B1387" t="n">
        <v>1</v>
      </c>
      <c r="C1387" t="n">
        <v>1385</v>
      </c>
      <c r="D1387" t="n">
        <v>-0.3236</v>
      </c>
      <c r="E1387" t="n">
        <v>15.3738</v>
      </c>
      <c r="F1387" t="n">
        <v>0.08159</v>
      </c>
    </row>
    <row r="1388">
      <c r="A1388" t="n">
        <v>1001386</v>
      </c>
      <c r="B1388" t="n">
        <v>1</v>
      </c>
      <c r="C1388" t="n">
        <v>1386</v>
      </c>
      <c r="D1388" t="n">
        <v>-0.3241</v>
      </c>
      <c r="E1388" t="n">
        <v>15.3732</v>
      </c>
      <c r="F1388" t="n">
        <v>0.08160000000000001</v>
      </c>
    </row>
    <row r="1389">
      <c r="A1389" t="n">
        <v>1001387</v>
      </c>
      <c r="B1389" t="n">
        <v>1</v>
      </c>
      <c r="C1389" t="n">
        <v>1387</v>
      </c>
      <c r="D1389" t="n">
        <v>-0.3245</v>
      </c>
      <c r="E1389" t="n">
        <v>15.3726</v>
      </c>
      <c r="F1389" t="n">
        <v>0.08161</v>
      </c>
    </row>
    <row r="1390">
      <c r="A1390" t="n">
        <v>1001388</v>
      </c>
      <c r="B1390" t="n">
        <v>1</v>
      </c>
      <c r="C1390" t="n">
        <v>1388</v>
      </c>
      <c r="D1390" t="n">
        <v>-0.3249</v>
      </c>
      <c r="E1390" t="n">
        <v>15.3721</v>
      </c>
      <c r="F1390" t="n">
        <v>0.08162</v>
      </c>
    </row>
    <row r="1391">
      <c r="A1391" t="n">
        <v>1001389</v>
      </c>
      <c r="B1391" t="n">
        <v>1</v>
      </c>
      <c r="C1391" t="n">
        <v>1389</v>
      </c>
      <c r="D1391" t="n">
        <v>-0.3253</v>
      </c>
      <c r="E1391" t="n">
        <v>15.3715</v>
      </c>
      <c r="F1391" t="n">
        <v>0.08162999999999999</v>
      </c>
    </row>
    <row r="1392">
      <c r="A1392" t="n">
        <v>1001390</v>
      </c>
      <c r="B1392" t="n">
        <v>1</v>
      </c>
      <c r="C1392" t="n">
        <v>1390</v>
      </c>
      <c r="D1392" t="n">
        <v>-0.3258</v>
      </c>
      <c r="E1392" t="n">
        <v>15.3709</v>
      </c>
      <c r="F1392" t="n">
        <v>0.08164</v>
      </c>
    </row>
    <row r="1393">
      <c r="A1393" t="n">
        <v>1001391</v>
      </c>
      <c r="B1393" t="n">
        <v>1</v>
      </c>
      <c r="C1393" t="n">
        <v>1391</v>
      </c>
      <c r="D1393" t="n">
        <v>-0.3262</v>
      </c>
      <c r="E1393" t="n">
        <v>15.3703</v>
      </c>
      <c r="F1393" t="n">
        <v>0.08165</v>
      </c>
    </row>
    <row r="1394">
      <c r="A1394" t="n">
        <v>1001392</v>
      </c>
      <c r="B1394" t="n">
        <v>1</v>
      </c>
      <c r="C1394" t="n">
        <v>1392</v>
      </c>
      <c r="D1394" t="n">
        <v>-0.3266</v>
      </c>
      <c r="E1394" t="n">
        <v>15.3698</v>
      </c>
      <c r="F1394" t="n">
        <v>0.08166</v>
      </c>
    </row>
    <row r="1395">
      <c r="A1395" t="n">
        <v>1001393</v>
      </c>
      <c r="B1395" t="n">
        <v>1</v>
      </c>
      <c r="C1395" t="n">
        <v>1393</v>
      </c>
      <c r="D1395" t="n">
        <v>-0.3271</v>
      </c>
      <c r="E1395" t="n">
        <v>15.3692</v>
      </c>
      <c r="F1395" t="n">
        <v>0.08167000000000001</v>
      </c>
    </row>
    <row r="1396">
      <c r="A1396" t="n">
        <v>1001394</v>
      </c>
      <c r="B1396" t="n">
        <v>1</v>
      </c>
      <c r="C1396" t="n">
        <v>1394</v>
      </c>
      <c r="D1396" t="n">
        <v>-0.3275</v>
      </c>
      <c r="E1396" t="n">
        <v>15.3686</v>
      </c>
      <c r="F1396" t="n">
        <v>0.08168</v>
      </c>
    </row>
    <row r="1397">
      <c r="A1397" t="n">
        <v>1001395</v>
      </c>
      <c r="B1397" t="n">
        <v>1</v>
      </c>
      <c r="C1397" t="n">
        <v>1395</v>
      </c>
      <c r="D1397" t="n">
        <v>-0.328</v>
      </c>
      <c r="E1397" t="n">
        <v>15.3681</v>
      </c>
      <c r="F1397" t="n">
        <v>0.08169</v>
      </c>
    </row>
    <row r="1398">
      <c r="A1398" t="n">
        <v>1001396</v>
      </c>
      <c r="B1398" t="n">
        <v>1</v>
      </c>
      <c r="C1398" t="n">
        <v>1396</v>
      </c>
      <c r="D1398" t="n">
        <v>-0.3284</v>
      </c>
      <c r="E1398" t="n">
        <v>15.3675</v>
      </c>
      <c r="F1398" t="n">
        <v>0.08169999999999999</v>
      </c>
    </row>
    <row r="1399">
      <c r="A1399" t="n">
        <v>1001397</v>
      </c>
      <c r="B1399" t="n">
        <v>1</v>
      </c>
      <c r="C1399" t="n">
        <v>1397</v>
      </c>
      <c r="D1399" t="n">
        <v>-0.3289</v>
      </c>
      <c r="E1399" t="n">
        <v>15.3669</v>
      </c>
      <c r="F1399" t="n">
        <v>0.08171</v>
      </c>
    </row>
    <row r="1400">
      <c r="A1400" t="n">
        <v>1001398</v>
      </c>
      <c r="B1400" t="n">
        <v>1</v>
      </c>
      <c r="C1400" t="n">
        <v>1398</v>
      </c>
      <c r="D1400" t="n">
        <v>-0.3293</v>
      </c>
      <c r="E1400" t="n">
        <v>15.3664</v>
      </c>
      <c r="F1400" t="n">
        <v>0.08172</v>
      </c>
    </row>
    <row r="1401">
      <c r="A1401" t="n">
        <v>1001399</v>
      </c>
      <c r="B1401" t="n">
        <v>1</v>
      </c>
      <c r="C1401" t="n">
        <v>1399</v>
      </c>
      <c r="D1401" t="n">
        <v>-0.3298</v>
      </c>
      <c r="E1401" t="n">
        <v>15.3658</v>
      </c>
      <c r="F1401" t="n">
        <v>0.08173</v>
      </c>
    </row>
    <row r="1402">
      <c r="A1402" t="n">
        <v>1001400</v>
      </c>
      <c r="B1402" t="n">
        <v>1</v>
      </c>
      <c r="C1402" t="n">
        <v>1400</v>
      </c>
      <c r="D1402" t="n">
        <v>-0.3302</v>
      </c>
      <c r="E1402" t="n">
        <v>15.3652</v>
      </c>
      <c r="F1402" t="n">
        <v>0.08173999999999999</v>
      </c>
    </row>
    <row r="1403">
      <c r="A1403" t="n">
        <v>1001401</v>
      </c>
      <c r="B1403" t="n">
        <v>1</v>
      </c>
      <c r="C1403" t="n">
        <v>1401</v>
      </c>
      <c r="D1403" t="n">
        <v>-0.3307</v>
      </c>
      <c r="E1403" t="n">
        <v>15.3647</v>
      </c>
      <c r="F1403" t="n">
        <v>0.08175</v>
      </c>
    </row>
    <row r="1404">
      <c r="A1404" t="n">
        <v>1001402</v>
      </c>
      <c r="B1404" t="n">
        <v>1</v>
      </c>
      <c r="C1404" t="n">
        <v>1402</v>
      </c>
      <c r="D1404" t="n">
        <v>-0.3312</v>
      </c>
      <c r="E1404" t="n">
        <v>15.3641</v>
      </c>
      <c r="F1404" t="n">
        <v>0.08176</v>
      </c>
    </row>
    <row r="1405">
      <c r="A1405" t="n">
        <v>1001403</v>
      </c>
      <c r="B1405" t="n">
        <v>1</v>
      </c>
      <c r="C1405" t="n">
        <v>1403</v>
      </c>
      <c r="D1405" t="n">
        <v>-0.3316</v>
      </c>
      <c r="E1405" t="n">
        <v>15.3636</v>
      </c>
      <c r="F1405" t="n">
        <v>0.08177</v>
      </c>
    </row>
    <row r="1406">
      <c r="A1406" t="n">
        <v>1001404</v>
      </c>
      <c r="B1406" t="n">
        <v>1</v>
      </c>
      <c r="C1406" t="n">
        <v>1404</v>
      </c>
      <c r="D1406" t="n">
        <v>-0.3321</v>
      </c>
      <c r="E1406" t="n">
        <v>15.363</v>
      </c>
      <c r="F1406" t="n">
        <v>0.08178000000000001</v>
      </c>
    </row>
    <row r="1407">
      <c r="A1407" t="n">
        <v>1001405</v>
      </c>
      <c r="B1407" t="n">
        <v>1</v>
      </c>
      <c r="C1407" t="n">
        <v>1405</v>
      </c>
      <c r="D1407" t="n">
        <v>-0.3325</v>
      </c>
      <c r="E1407" t="n">
        <v>15.3624</v>
      </c>
      <c r="F1407" t="n">
        <v>0.08179</v>
      </c>
    </row>
    <row r="1408">
      <c r="A1408" t="n">
        <v>1001406</v>
      </c>
      <c r="B1408" t="n">
        <v>1</v>
      </c>
      <c r="C1408" t="n">
        <v>1406</v>
      </c>
      <c r="D1408" t="n">
        <v>-0.333</v>
      </c>
      <c r="E1408" t="n">
        <v>15.3619</v>
      </c>
      <c r="F1408" t="n">
        <v>0.0818</v>
      </c>
    </row>
    <row r="1409">
      <c r="A1409" t="n">
        <v>1001407</v>
      </c>
      <c r="B1409" t="n">
        <v>1</v>
      </c>
      <c r="C1409" t="n">
        <v>1407</v>
      </c>
      <c r="D1409" t="n">
        <v>-0.3335</v>
      </c>
      <c r="E1409" t="n">
        <v>15.3613</v>
      </c>
      <c r="F1409" t="n">
        <v>0.08180999999999999</v>
      </c>
    </row>
    <row r="1410">
      <c r="A1410" t="n">
        <v>1001408</v>
      </c>
      <c r="B1410" t="n">
        <v>1</v>
      </c>
      <c r="C1410" t="n">
        <v>1408</v>
      </c>
      <c r="D1410" t="n">
        <v>-0.334</v>
      </c>
      <c r="E1410" t="n">
        <v>15.3608</v>
      </c>
      <c r="F1410" t="n">
        <v>0.08182</v>
      </c>
    </row>
    <row r="1411">
      <c r="A1411" t="n">
        <v>1001409</v>
      </c>
      <c r="B1411" t="n">
        <v>1</v>
      </c>
      <c r="C1411" t="n">
        <v>1409</v>
      </c>
      <c r="D1411" t="n">
        <v>-0.3344</v>
      </c>
      <c r="E1411" t="n">
        <v>15.3602</v>
      </c>
      <c r="F1411" t="n">
        <v>0.08183</v>
      </c>
    </row>
    <row r="1412">
      <c r="A1412" t="n">
        <v>1001410</v>
      </c>
      <c r="B1412" t="n">
        <v>1</v>
      </c>
      <c r="C1412" t="n">
        <v>1410</v>
      </c>
      <c r="D1412" t="n">
        <v>-0.3349</v>
      </c>
      <c r="E1412" t="n">
        <v>15.3597</v>
      </c>
      <c r="F1412" t="n">
        <v>0.08184</v>
      </c>
    </row>
    <row r="1413">
      <c r="A1413" t="n">
        <v>1001411</v>
      </c>
      <c r="B1413" t="n">
        <v>1</v>
      </c>
      <c r="C1413" t="n">
        <v>1411</v>
      </c>
      <c r="D1413" t="n">
        <v>-0.3354</v>
      </c>
      <c r="E1413" t="n">
        <v>15.3591</v>
      </c>
      <c r="F1413" t="n">
        <v>0.08185000000000001</v>
      </c>
    </row>
    <row r="1414">
      <c r="A1414" t="n">
        <v>1001412</v>
      </c>
      <c r="B1414" t="n">
        <v>1</v>
      </c>
      <c r="C1414" t="n">
        <v>1412</v>
      </c>
      <c r="D1414" t="n">
        <v>-0.3359</v>
      </c>
      <c r="E1414" t="n">
        <v>15.3586</v>
      </c>
      <c r="F1414" t="n">
        <v>0.08186</v>
      </c>
    </row>
    <row r="1415">
      <c r="A1415" t="n">
        <v>1001413</v>
      </c>
      <c r="B1415" t="n">
        <v>1</v>
      </c>
      <c r="C1415" t="n">
        <v>1413</v>
      </c>
      <c r="D1415" t="n">
        <v>-0.3364</v>
      </c>
      <c r="E1415" t="n">
        <v>15.358</v>
      </c>
      <c r="F1415" t="n">
        <v>0.08187</v>
      </c>
    </row>
    <row r="1416">
      <c r="A1416" t="n">
        <v>1001414</v>
      </c>
      <c r="B1416" t="n">
        <v>1</v>
      </c>
      <c r="C1416" t="n">
        <v>1414</v>
      </c>
      <c r="D1416" t="n">
        <v>-0.3369</v>
      </c>
      <c r="E1416" t="n">
        <v>15.3575</v>
      </c>
      <c r="F1416" t="n">
        <v>0.08187999999999999</v>
      </c>
    </row>
    <row r="1417">
      <c r="A1417" t="n">
        <v>1001415</v>
      </c>
      <c r="B1417" t="n">
        <v>1</v>
      </c>
      <c r="C1417" t="n">
        <v>1415</v>
      </c>
      <c r="D1417" t="n">
        <v>-0.3373</v>
      </c>
      <c r="E1417" t="n">
        <v>15.3569</v>
      </c>
      <c r="F1417" t="n">
        <v>0.08189</v>
      </c>
    </row>
    <row r="1418">
      <c r="A1418" t="n">
        <v>1001416</v>
      </c>
      <c r="B1418" t="n">
        <v>1</v>
      </c>
      <c r="C1418" t="n">
        <v>1416</v>
      </c>
      <c r="D1418" t="n">
        <v>-0.3378</v>
      </c>
      <c r="E1418" t="n">
        <v>15.3564</v>
      </c>
      <c r="F1418" t="n">
        <v>0.0819</v>
      </c>
    </row>
    <row r="1419">
      <c r="A1419" t="n">
        <v>1001417</v>
      </c>
      <c r="B1419" t="n">
        <v>1</v>
      </c>
      <c r="C1419" t="n">
        <v>1417</v>
      </c>
      <c r="D1419" t="n">
        <v>-0.3383</v>
      </c>
      <c r="E1419" t="n">
        <v>15.3558</v>
      </c>
      <c r="F1419" t="n">
        <v>0.08191</v>
      </c>
    </row>
    <row r="1420">
      <c r="A1420" t="n">
        <v>1001418</v>
      </c>
      <c r="B1420" t="n">
        <v>1</v>
      </c>
      <c r="C1420" t="n">
        <v>1418</v>
      </c>
      <c r="D1420" t="n">
        <v>-0.3388</v>
      </c>
      <c r="E1420" t="n">
        <v>15.3553</v>
      </c>
      <c r="F1420" t="n">
        <v>0.08192000000000001</v>
      </c>
    </row>
    <row r="1421">
      <c r="A1421" t="n">
        <v>1001419</v>
      </c>
      <c r="B1421" t="n">
        <v>1</v>
      </c>
      <c r="C1421" t="n">
        <v>1419</v>
      </c>
      <c r="D1421" t="n">
        <v>-0.3393</v>
      </c>
      <c r="E1421" t="n">
        <v>15.3547</v>
      </c>
      <c r="F1421" t="n">
        <v>0.08193</v>
      </c>
    </row>
    <row r="1422">
      <c r="A1422" t="n">
        <v>1001420</v>
      </c>
      <c r="B1422" t="n">
        <v>1</v>
      </c>
      <c r="C1422" t="n">
        <v>1420</v>
      </c>
      <c r="D1422" t="n">
        <v>-0.3398</v>
      </c>
      <c r="E1422" t="n">
        <v>15.3542</v>
      </c>
      <c r="F1422" t="n">
        <v>0.08194</v>
      </c>
    </row>
    <row r="1423">
      <c r="A1423" t="n">
        <v>1001421</v>
      </c>
      <c r="B1423" t="n">
        <v>1</v>
      </c>
      <c r="C1423" t="n">
        <v>1421</v>
      </c>
      <c r="D1423" t="n">
        <v>-0.3403</v>
      </c>
      <c r="E1423" t="n">
        <v>15.3537</v>
      </c>
      <c r="F1423" t="n">
        <v>0.08195</v>
      </c>
    </row>
    <row r="1424">
      <c r="A1424" t="n">
        <v>1001422</v>
      </c>
      <c r="B1424" t="n">
        <v>1</v>
      </c>
      <c r="C1424" t="n">
        <v>1422</v>
      </c>
      <c r="D1424" t="n">
        <v>-0.3408</v>
      </c>
      <c r="E1424" t="n">
        <v>15.3531</v>
      </c>
      <c r="F1424" t="n">
        <v>0.08196000000000001</v>
      </c>
    </row>
    <row r="1425">
      <c r="A1425" t="n">
        <v>1001423</v>
      </c>
      <c r="B1425" t="n">
        <v>1</v>
      </c>
      <c r="C1425" t="n">
        <v>1423</v>
      </c>
      <c r="D1425" t="n">
        <v>-0.3413</v>
      </c>
      <c r="E1425" t="n">
        <v>15.3526</v>
      </c>
      <c r="F1425" t="n">
        <v>0.08197</v>
      </c>
    </row>
    <row r="1426">
      <c r="A1426" t="n">
        <v>1001424</v>
      </c>
      <c r="B1426" t="n">
        <v>1</v>
      </c>
      <c r="C1426" t="n">
        <v>1424</v>
      </c>
      <c r="D1426" t="n">
        <v>-0.3418</v>
      </c>
      <c r="E1426" t="n">
        <v>15.352</v>
      </c>
      <c r="F1426" t="n">
        <v>0.08198</v>
      </c>
    </row>
    <row r="1427">
      <c r="A1427" t="n">
        <v>1001425</v>
      </c>
      <c r="B1427" t="n">
        <v>1</v>
      </c>
      <c r="C1427" t="n">
        <v>1425</v>
      </c>
      <c r="D1427" t="n">
        <v>-0.3424</v>
      </c>
      <c r="E1427" t="n">
        <v>15.3515</v>
      </c>
      <c r="F1427" t="n">
        <v>0.082</v>
      </c>
    </row>
    <row r="1428">
      <c r="A1428" t="n">
        <v>1001426</v>
      </c>
      <c r="B1428" t="n">
        <v>1</v>
      </c>
      <c r="C1428" t="n">
        <v>1426</v>
      </c>
      <c r="D1428" t="n">
        <v>-0.3429</v>
      </c>
      <c r="E1428" t="n">
        <v>15.351</v>
      </c>
      <c r="F1428" t="n">
        <v>0.08201</v>
      </c>
    </row>
    <row r="1429">
      <c r="A1429" t="n">
        <v>1001427</v>
      </c>
      <c r="B1429" t="n">
        <v>1</v>
      </c>
      <c r="C1429" t="n">
        <v>1427</v>
      </c>
      <c r="D1429" t="n">
        <v>-0.3434</v>
      </c>
      <c r="E1429" t="n">
        <v>15.3504</v>
      </c>
      <c r="F1429" t="n">
        <v>0.08202</v>
      </c>
    </row>
    <row r="1430">
      <c r="A1430" t="n">
        <v>1001428</v>
      </c>
      <c r="B1430" t="n">
        <v>1</v>
      </c>
      <c r="C1430" t="n">
        <v>1428</v>
      </c>
      <c r="D1430" t="n">
        <v>-0.3439</v>
      </c>
      <c r="E1430" t="n">
        <v>15.3499</v>
      </c>
      <c r="F1430" t="n">
        <v>0.08203000000000001</v>
      </c>
    </row>
    <row r="1431">
      <c r="A1431" t="n">
        <v>1001429</v>
      </c>
      <c r="B1431" t="n">
        <v>1</v>
      </c>
      <c r="C1431" t="n">
        <v>1429</v>
      </c>
      <c r="D1431" t="n">
        <v>-0.3444</v>
      </c>
      <c r="E1431" t="n">
        <v>15.3493</v>
      </c>
      <c r="F1431" t="n">
        <v>0.08204</v>
      </c>
    </row>
    <row r="1432">
      <c r="A1432" t="n">
        <v>1001430</v>
      </c>
      <c r="B1432" t="n">
        <v>1</v>
      </c>
      <c r="C1432" t="n">
        <v>1430</v>
      </c>
      <c r="D1432" t="n">
        <v>-0.3449</v>
      </c>
      <c r="E1432" t="n">
        <v>15.3488</v>
      </c>
      <c r="F1432" t="n">
        <v>0.08205</v>
      </c>
    </row>
    <row r="1433">
      <c r="A1433" t="n">
        <v>1001431</v>
      </c>
      <c r="B1433" t="n">
        <v>1</v>
      </c>
      <c r="C1433" t="n">
        <v>1431</v>
      </c>
      <c r="D1433" t="n">
        <v>-0.3455</v>
      </c>
      <c r="E1433" t="n">
        <v>15.3483</v>
      </c>
      <c r="F1433" t="n">
        <v>0.08205999999999999</v>
      </c>
    </row>
    <row r="1434">
      <c r="A1434" t="n">
        <v>1001432</v>
      </c>
      <c r="B1434" t="n">
        <v>1</v>
      </c>
      <c r="C1434" t="n">
        <v>1432</v>
      </c>
      <c r="D1434" t="n">
        <v>-0.346</v>
      </c>
      <c r="E1434" t="n">
        <v>15.3477</v>
      </c>
      <c r="F1434" t="n">
        <v>0.08207</v>
      </c>
    </row>
    <row r="1435">
      <c r="A1435" t="n">
        <v>1001433</v>
      </c>
      <c r="B1435" t="n">
        <v>1</v>
      </c>
      <c r="C1435" t="n">
        <v>1433</v>
      </c>
      <c r="D1435" t="n">
        <v>-0.3465</v>
      </c>
      <c r="E1435" t="n">
        <v>15.3472</v>
      </c>
      <c r="F1435" t="n">
        <v>0.08208</v>
      </c>
    </row>
    <row r="1436">
      <c r="A1436" t="n">
        <v>1001434</v>
      </c>
      <c r="B1436" t="n">
        <v>1</v>
      </c>
      <c r="C1436" t="n">
        <v>1434</v>
      </c>
      <c r="D1436" t="n">
        <v>-0.3471</v>
      </c>
      <c r="E1436" t="n">
        <v>15.3467</v>
      </c>
      <c r="F1436" t="n">
        <v>0.08209</v>
      </c>
    </row>
    <row r="1437">
      <c r="A1437" t="n">
        <v>1001435</v>
      </c>
      <c r="B1437" t="n">
        <v>1</v>
      </c>
      <c r="C1437" t="n">
        <v>1435</v>
      </c>
      <c r="D1437" t="n">
        <v>-0.3476</v>
      </c>
      <c r="E1437" t="n">
        <v>15.3461</v>
      </c>
      <c r="F1437" t="n">
        <v>0.08210000000000001</v>
      </c>
    </row>
    <row r="1438">
      <c r="A1438" t="n">
        <v>1001436</v>
      </c>
      <c r="B1438" t="n">
        <v>1</v>
      </c>
      <c r="C1438" t="n">
        <v>1436</v>
      </c>
      <c r="D1438" t="n">
        <v>-0.3481</v>
      </c>
      <c r="E1438" t="n">
        <v>15.3456</v>
      </c>
      <c r="F1438" t="n">
        <v>0.08211</v>
      </c>
    </row>
    <row r="1439">
      <c r="A1439" t="n">
        <v>1001437</v>
      </c>
      <c r="B1439" t="n">
        <v>1</v>
      </c>
      <c r="C1439" t="n">
        <v>1437</v>
      </c>
      <c r="D1439" t="n">
        <v>-0.3487</v>
      </c>
      <c r="E1439" t="n">
        <v>15.3451</v>
      </c>
      <c r="F1439" t="n">
        <v>0.08212</v>
      </c>
    </row>
    <row r="1440">
      <c r="A1440" t="n">
        <v>1001438</v>
      </c>
      <c r="B1440" t="n">
        <v>1</v>
      </c>
      <c r="C1440" t="n">
        <v>1438</v>
      </c>
      <c r="D1440" t="n">
        <v>-0.3492</v>
      </c>
      <c r="E1440" t="n">
        <v>15.3445</v>
      </c>
      <c r="F1440" t="n">
        <v>0.08212999999999999</v>
      </c>
    </row>
    <row r="1441">
      <c r="A1441" t="n">
        <v>1001439</v>
      </c>
      <c r="B1441" t="n">
        <v>1</v>
      </c>
      <c r="C1441" t="n">
        <v>1439</v>
      </c>
      <c r="D1441" t="n">
        <v>-0.3497</v>
      </c>
      <c r="E1441" t="n">
        <v>15.344</v>
      </c>
      <c r="F1441" t="n">
        <v>0.08214</v>
      </c>
    </row>
    <row r="1442">
      <c r="A1442" t="n">
        <v>1001440</v>
      </c>
      <c r="B1442" t="n">
        <v>1</v>
      </c>
      <c r="C1442" t="n">
        <v>1440</v>
      </c>
      <c r="D1442" t="n">
        <v>-0.3503</v>
      </c>
      <c r="E1442" t="n">
        <v>15.3435</v>
      </c>
      <c r="F1442" t="n">
        <v>0.08215</v>
      </c>
    </row>
    <row r="1443">
      <c r="A1443" t="n">
        <v>1001441</v>
      </c>
      <c r="B1443" t="n">
        <v>1</v>
      </c>
      <c r="C1443" t="n">
        <v>1441</v>
      </c>
      <c r="D1443" t="n">
        <v>-0.3508</v>
      </c>
      <c r="E1443" t="n">
        <v>15.343</v>
      </c>
      <c r="F1443" t="n">
        <v>0.08216</v>
      </c>
    </row>
    <row r="1444">
      <c r="A1444" t="n">
        <v>1001442</v>
      </c>
      <c r="B1444" t="n">
        <v>1</v>
      </c>
      <c r="C1444" t="n">
        <v>1442</v>
      </c>
      <c r="D1444" t="n">
        <v>-0.3514</v>
      </c>
      <c r="E1444" t="n">
        <v>15.3424</v>
      </c>
      <c r="F1444" t="n">
        <v>0.08218</v>
      </c>
    </row>
    <row r="1445">
      <c r="A1445" t="n">
        <v>1001443</v>
      </c>
      <c r="B1445" t="n">
        <v>1</v>
      </c>
      <c r="C1445" t="n">
        <v>1443</v>
      </c>
      <c r="D1445" t="n">
        <v>-0.3519</v>
      </c>
      <c r="E1445" t="n">
        <v>15.3419</v>
      </c>
      <c r="F1445" t="n">
        <v>0.08219</v>
      </c>
    </row>
    <row r="1446">
      <c r="A1446" t="n">
        <v>1001444</v>
      </c>
      <c r="B1446" t="n">
        <v>1</v>
      </c>
      <c r="C1446" t="n">
        <v>1444</v>
      </c>
      <c r="D1446" t="n">
        <v>-0.3525</v>
      </c>
      <c r="E1446" t="n">
        <v>15.3414</v>
      </c>
      <c r="F1446" t="n">
        <v>0.0822</v>
      </c>
    </row>
    <row r="1447">
      <c r="A1447" t="n">
        <v>1001445</v>
      </c>
      <c r="B1447" t="n">
        <v>1</v>
      </c>
      <c r="C1447" t="n">
        <v>1445</v>
      </c>
      <c r="D1447" t="n">
        <v>-0.353</v>
      </c>
      <c r="E1447" t="n">
        <v>15.3409</v>
      </c>
      <c r="F1447" t="n">
        <v>0.08221000000000001</v>
      </c>
    </row>
    <row r="1448">
      <c r="A1448" t="n">
        <v>1001446</v>
      </c>
      <c r="B1448" t="n">
        <v>1</v>
      </c>
      <c r="C1448" t="n">
        <v>1446</v>
      </c>
      <c r="D1448" t="n">
        <v>-0.3536</v>
      </c>
      <c r="E1448" t="n">
        <v>15.3403</v>
      </c>
      <c r="F1448" t="n">
        <v>0.08222</v>
      </c>
    </row>
    <row r="1449">
      <c r="A1449" t="n">
        <v>1001447</v>
      </c>
      <c r="B1449" t="n">
        <v>1</v>
      </c>
      <c r="C1449" t="n">
        <v>1447</v>
      </c>
      <c r="D1449" t="n">
        <v>-0.3541</v>
      </c>
      <c r="E1449" t="n">
        <v>15.3398</v>
      </c>
      <c r="F1449" t="n">
        <v>0.08223</v>
      </c>
    </row>
    <row r="1450">
      <c r="A1450" t="n">
        <v>1001448</v>
      </c>
      <c r="B1450" t="n">
        <v>1</v>
      </c>
      <c r="C1450" t="n">
        <v>1448</v>
      </c>
      <c r="D1450" t="n">
        <v>-0.3547</v>
      </c>
      <c r="E1450" t="n">
        <v>15.3393</v>
      </c>
      <c r="F1450" t="n">
        <v>0.08223999999999999</v>
      </c>
    </row>
    <row r="1451">
      <c r="A1451" t="n">
        <v>1001449</v>
      </c>
      <c r="B1451" t="n">
        <v>1</v>
      </c>
      <c r="C1451" t="n">
        <v>1449</v>
      </c>
      <c r="D1451" t="n">
        <v>-0.3553</v>
      </c>
      <c r="E1451" t="n">
        <v>15.3388</v>
      </c>
      <c r="F1451" t="n">
        <v>0.08225</v>
      </c>
    </row>
    <row r="1452">
      <c r="A1452" t="n">
        <v>1001450</v>
      </c>
      <c r="B1452" t="n">
        <v>1</v>
      </c>
      <c r="C1452" t="n">
        <v>1450</v>
      </c>
      <c r="D1452" t="n">
        <v>-0.3558</v>
      </c>
      <c r="E1452" t="n">
        <v>15.3383</v>
      </c>
      <c r="F1452" t="n">
        <v>0.08226</v>
      </c>
    </row>
    <row r="1453">
      <c r="A1453" t="n">
        <v>1001451</v>
      </c>
      <c r="B1453" t="n">
        <v>1</v>
      </c>
      <c r="C1453" t="n">
        <v>1451</v>
      </c>
      <c r="D1453" t="n">
        <v>-0.3564</v>
      </c>
      <c r="E1453" t="n">
        <v>15.3377</v>
      </c>
      <c r="F1453" t="n">
        <v>0.08227</v>
      </c>
    </row>
    <row r="1454">
      <c r="A1454" t="n">
        <v>1001452</v>
      </c>
      <c r="B1454" t="n">
        <v>1</v>
      </c>
      <c r="C1454" t="n">
        <v>1452</v>
      </c>
      <c r="D1454" t="n">
        <v>-0.357</v>
      </c>
      <c r="E1454" t="n">
        <v>15.3372</v>
      </c>
      <c r="F1454" t="n">
        <v>0.08228000000000001</v>
      </c>
    </row>
    <row r="1455">
      <c r="A1455" t="n">
        <v>1001453</v>
      </c>
      <c r="B1455" t="n">
        <v>1</v>
      </c>
      <c r="C1455" t="n">
        <v>1453</v>
      </c>
      <c r="D1455" t="n">
        <v>-0.3575</v>
      </c>
      <c r="E1455" t="n">
        <v>15.3367</v>
      </c>
      <c r="F1455" t="n">
        <v>0.08229</v>
      </c>
    </row>
    <row r="1456">
      <c r="A1456" t="n">
        <v>1001454</v>
      </c>
      <c r="B1456" t="n">
        <v>1</v>
      </c>
      <c r="C1456" t="n">
        <v>1454</v>
      </c>
      <c r="D1456" t="n">
        <v>-0.3581</v>
      </c>
      <c r="E1456" t="n">
        <v>15.3362</v>
      </c>
      <c r="F1456" t="n">
        <v>0.08230999999999999</v>
      </c>
    </row>
    <row r="1457">
      <c r="A1457" t="n">
        <v>1001455</v>
      </c>
      <c r="B1457" t="n">
        <v>1</v>
      </c>
      <c r="C1457" t="n">
        <v>1455</v>
      </c>
      <c r="D1457" t="n">
        <v>-0.3587</v>
      </c>
      <c r="E1457" t="n">
        <v>15.3357</v>
      </c>
      <c r="F1457" t="n">
        <v>0.08232</v>
      </c>
    </row>
    <row r="1458">
      <c r="A1458" t="n">
        <v>1001456</v>
      </c>
      <c r="B1458" t="n">
        <v>1</v>
      </c>
      <c r="C1458" t="n">
        <v>1456</v>
      </c>
      <c r="D1458" t="n">
        <v>-0.3593</v>
      </c>
      <c r="E1458" t="n">
        <v>15.3352</v>
      </c>
      <c r="F1458" t="n">
        <v>0.08233</v>
      </c>
    </row>
    <row r="1459">
      <c r="A1459" t="n">
        <v>1001457</v>
      </c>
      <c r="B1459" t="n">
        <v>1</v>
      </c>
      <c r="C1459" t="n">
        <v>1457</v>
      </c>
      <c r="D1459" t="n">
        <v>-0.3598</v>
      </c>
      <c r="E1459" t="n">
        <v>15.3346</v>
      </c>
      <c r="F1459" t="n">
        <v>0.08234</v>
      </c>
    </row>
    <row r="1460">
      <c r="A1460" t="n">
        <v>1001458</v>
      </c>
      <c r="B1460" t="n">
        <v>1</v>
      </c>
      <c r="C1460" t="n">
        <v>1458</v>
      </c>
      <c r="D1460" t="n">
        <v>-0.3604</v>
      </c>
      <c r="E1460" t="n">
        <v>15.3341</v>
      </c>
      <c r="F1460" t="n">
        <v>0.08235000000000001</v>
      </c>
    </row>
    <row r="1461">
      <c r="A1461" t="n">
        <v>1001459</v>
      </c>
      <c r="B1461" t="n">
        <v>1</v>
      </c>
      <c r="C1461" t="n">
        <v>1459</v>
      </c>
      <c r="D1461" t="n">
        <v>-0.361</v>
      </c>
      <c r="E1461" t="n">
        <v>15.3336</v>
      </c>
      <c r="F1461" t="n">
        <v>0.08236</v>
      </c>
    </row>
    <row r="1462">
      <c r="A1462" t="n">
        <v>1001460</v>
      </c>
      <c r="B1462" t="n">
        <v>1</v>
      </c>
      <c r="C1462" t="n">
        <v>1460</v>
      </c>
      <c r="D1462" t="n">
        <v>-0.3616</v>
      </c>
      <c r="E1462" t="n">
        <v>15.3331</v>
      </c>
      <c r="F1462" t="n">
        <v>0.08237</v>
      </c>
    </row>
    <row r="1463">
      <c r="A1463" t="n">
        <v>1001461</v>
      </c>
      <c r="B1463" t="n">
        <v>1</v>
      </c>
      <c r="C1463" t="n">
        <v>1461</v>
      </c>
      <c r="D1463" t="n">
        <v>-0.3622</v>
      </c>
      <c r="E1463" t="n">
        <v>15.3326</v>
      </c>
      <c r="F1463" t="n">
        <v>0.08237999999999999</v>
      </c>
    </row>
    <row r="1464">
      <c r="A1464" t="n">
        <v>1001462</v>
      </c>
      <c r="B1464" t="n">
        <v>1</v>
      </c>
      <c r="C1464" t="n">
        <v>1462</v>
      </c>
      <c r="D1464" t="n">
        <v>-0.3628</v>
      </c>
      <c r="E1464" t="n">
        <v>15.3321</v>
      </c>
      <c r="F1464" t="n">
        <v>0.08239</v>
      </c>
    </row>
    <row r="1465">
      <c r="A1465" t="n">
        <v>1001463</v>
      </c>
      <c r="B1465" t="n">
        <v>1</v>
      </c>
      <c r="C1465" t="n">
        <v>1463</v>
      </c>
      <c r="D1465" t="n">
        <v>-0.3634</v>
      </c>
      <c r="E1465" t="n">
        <v>15.3316</v>
      </c>
      <c r="F1465" t="n">
        <v>0.0824</v>
      </c>
    </row>
    <row r="1466">
      <c r="A1466" t="n">
        <v>1001464</v>
      </c>
      <c r="B1466" t="n">
        <v>1</v>
      </c>
      <c r="C1466" t="n">
        <v>1464</v>
      </c>
      <c r="D1466" t="n">
        <v>-0.364</v>
      </c>
      <c r="E1466" t="n">
        <v>15.3311</v>
      </c>
      <c r="F1466" t="n">
        <v>0.08241</v>
      </c>
    </row>
    <row r="1467">
      <c r="A1467" t="n">
        <v>1001465</v>
      </c>
      <c r="B1467" t="n">
        <v>1</v>
      </c>
      <c r="C1467" t="n">
        <v>1465</v>
      </c>
      <c r="D1467" t="n">
        <v>-0.3646</v>
      </c>
      <c r="E1467" t="n">
        <v>15.3306</v>
      </c>
      <c r="F1467" t="n">
        <v>0.08243</v>
      </c>
    </row>
    <row r="1468">
      <c r="A1468" t="n">
        <v>1001466</v>
      </c>
      <c r="B1468" t="n">
        <v>1</v>
      </c>
      <c r="C1468" t="n">
        <v>1466</v>
      </c>
      <c r="D1468" t="n">
        <v>-0.3652</v>
      </c>
      <c r="E1468" t="n">
        <v>15.3301</v>
      </c>
      <c r="F1468" t="n">
        <v>0.08244</v>
      </c>
    </row>
    <row r="1469">
      <c r="A1469" t="n">
        <v>1001467</v>
      </c>
      <c r="B1469" t="n">
        <v>1</v>
      </c>
      <c r="C1469" t="n">
        <v>1467</v>
      </c>
      <c r="D1469" t="n">
        <v>-0.3658</v>
      </c>
      <c r="E1469" t="n">
        <v>15.3295</v>
      </c>
      <c r="F1469" t="n">
        <v>0.08245</v>
      </c>
    </row>
    <row r="1470">
      <c r="A1470" t="n">
        <v>1001468</v>
      </c>
      <c r="B1470" t="n">
        <v>1</v>
      </c>
      <c r="C1470" t="n">
        <v>1468</v>
      </c>
      <c r="D1470" t="n">
        <v>-0.3664</v>
      </c>
      <c r="E1470" t="n">
        <v>15.329</v>
      </c>
      <c r="F1470" t="n">
        <v>0.08246000000000001</v>
      </c>
    </row>
    <row r="1471">
      <c r="A1471" t="n">
        <v>1001469</v>
      </c>
      <c r="B1471" t="n">
        <v>1</v>
      </c>
      <c r="C1471" t="n">
        <v>1469</v>
      </c>
      <c r="D1471" t="n">
        <v>-0.367</v>
      </c>
      <c r="E1471" t="n">
        <v>15.3285</v>
      </c>
      <c r="F1471" t="n">
        <v>0.08247</v>
      </c>
    </row>
    <row r="1472">
      <c r="A1472" t="n">
        <v>1001470</v>
      </c>
      <c r="B1472" t="n">
        <v>1</v>
      </c>
      <c r="C1472" t="n">
        <v>1470</v>
      </c>
      <c r="D1472" t="n">
        <v>-0.3676</v>
      </c>
      <c r="E1472" t="n">
        <v>15.328</v>
      </c>
      <c r="F1472" t="n">
        <v>0.08248</v>
      </c>
    </row>
    <row r="1473">
      <c r="A1473" t="n">
        <v>1001471</v>
      </c>
      <c r="B1473" t="n">
        <v>1</v>
      </c>
      <c r="C1473" t="n">
        <v>1471</v>
      </c>
      <c r="D1473" t="n">
        <v>-0.3682</v>
      </c>
      <c r="E1473" t="n">
        <v>15.3275</v>
      </c>
      <c r="F1473" t="n">
        <v>0.08248999999999999</v>
      </c>
    </row>
    <row r="1474">
      <c r="A1474" t="n">
        <v>1001472</v>
      </c>
      <c r="B1474" t="n">
        <v>1</v>
      </c>
      <c r="C1474" t="n">
        <v>1472</v>
      </c>
      <c r="D1474" t="n">
        <v>-0.3688</v>
      </c>
      <c r="E1474" t="n">
        <v>15.327</v>
      </c>
      <c r="F1474" t="n">
        <v>0.0825</v>
      </c>
    </row>
    <row r="1475">
      <c r="A1475" t="n">
        <v>1001473</v>
      </c>
      <c r="B1475" t="n">
        <v>1</v>
      </c>
      <c r="C1475" t="n">
        <v>1473</v>
      </c>
      <c r="D1475" t="n">
        <v>-0.3694</v>
      </c>
      <c r="E1475" t="n">
        <v>15.3265</v>
      </c>
      <c r="F1475" t="n">
        <v>0.08251</v>
      </c>
    </row>
    <row r="1476">
      <c r="A1476" t="n">
        <v>1001474</v>
      </c>
      <c r="B1476" t="n">
        <v>1</v>
      </c>
      <c r="C1476" t="n">
        <v>1474</v>
      </c>
      <c r="D1476" t="n">
        <v>-0.37</v>
      </c>
      <c r="E1476" t="n">
        <v>15.326</v>
      </c>
      <c r="F1476" t="n">
        <v>0.08253000000000001</v>
      </c>
    </row>
    <row r="1477">
      <c r="A1477" t="n">
        <v>1001475</v>
      </c>
      <c r="B1477" t="n">
        <v>1</v>
      </c>
      <c r="C1477" t="n">
        <v>1475</v>
      </c>
      <c r="D1477" t="n">
        <v>-0.3706</v>
      </c>
      <c r="E1477" t="n">
        <v>15.3255</v>
      </c>
      <c r="F1477" t="n">
        <v>0.08254</v>
      </c>
    </row>
    <row r="1478">
      <c r="A1478" t="n">
        <v>1001476</v>
      </c>
      <c r="B1478" t="n">
        <v>1</v>
      </c>
      <c r="C1478" t="n">
        <v>1476</v>
      </c>
      <c r="D1478" t="n">
        <v>-0.3713</v>
      </c>
      <c r="E1478" t="n">
        <v>15.325</v>
      </c>
      <c r="F1478" t="n">
        <v>0.08255</v>
      </c>
    </row>
    <row r="1479">
      <c r="A1479" t="n">
        <v>1001477</v>
      </c>
      <c r="B1479" t="n">
        <v>1</v>
      </c>
      <c r="C1479" t="n">
        <v>1477</v>
      </c>
      <c r="D1479" t="n">
        <v>-0.3719</v>
      </c>
      <c r="E1479" t="n">
        <v>15.3245</v>
      </c>
      <c r="F1479" t="n">
        <v>0.08255999999999999</v>
      </c>
    </row>
    <row r="1480">
      <c r="A1480" t="n">
        <v>1001478</v>
      </c>
      <c r="B1480" t="n">
        <v>1</v>
      </c>
      <c r="C1480" t="n">
        <v>1478</v>
      </c>
      <c r="D1480" t="n">
        <v>-0.3725</v>
      </c>
      <c r="E1480" t="n">
        <v>15.324</v>
      </c>
      <c r="F1480" t="n">
        <v>0.08257</v>
      </c>
    </row>
    <row r="1481">
      <c r="A1481" t="n">
        <v>1001479</v>
      </c>
      <c r="B1481" t="n">
        <v>1</v>
      </c>
      <c r="C1481" t="n">
        <v>1479</v>
      </c>
      <c r="D1481" t="n">
        <v>-0.3731</v>
      </c>
      <c r="E1481" t="n">
        <v>15.3235</v>
      </c>
      <c r="F1481" t="n">
        <v>0.08258</v>
      </c>
    </row>
    <row r="1482">
      <c r="A1482" t="n">
        <v>1001480</v>
      </c>
      <c r="B1482" t="n">
        <v>1</v>
      </c>
      <c r="C1482" t="n">
        <v>1480</v>
      </c>
      <c r="D1482" t="n">
        <v>-0.3738</v>
      </c>
      <c r="E1482" t="n">
        <v>15.323</v>
      </c>
      <c r="F1482" t="n">
        <v>0.08259</v>
      </c>
    </row>
    <row r="1483">
      <c r="A1483" t="n">
        <v>1001481</v>
      </c>
      <c r="B1483" t="n">
        <v>1</v>
      </c>
      <c r="C1483" t="n">
        <v>1481</v>
      </c>
      <c r="D1483" t="n">
        <v>-0.3744</v>
      </c>
      <c r="E1483" t="n">
        <v>15.3225</v>
      </c>
      <c r="F1483" t="n">
        <v>0.08260000000000001</v>
      </c>
    </row>
    <row r="1484">
      <c r="A1484" t="n">
        <v>1001482</v>
      </c>
      <c r="B1484" t="n">
        <v>1</v>
      </c>
      <c r="C1484" t="n">
        <v>1482</v>
      </c>
      <c r="D1484" t="n">
        <v>-0.375</v>
      </c>
      <c r="E1484" t="n">
        <v>15.322</v>
      </c>
      <c r="F1484" t="n">
        <v>0.08262</v>
      </c>
    </row>
    <row r="1485">
      <c r="A1485" t="n">
        <v>1001483</v>
      </c>
      <c r="B1485" t="n">
        <v>1</v>
      </c>
      <c r="C1485" t="n">
        <v>1483</v>
      </c>
      <c r="D1485" t="n">
        <v>-0.3756</v>
      </c>
      <c r="E1485" t="n">
        <v>15.3215</v>
      </c>
      <c r="F1485" t="n">
        <v>0.08263</v>
      </c>
    </row>
    <row r="1486">
      <c r="A1486" t="n">
        <v>1001484</v>
      </c>
      <c r="B1486" t="n">
        <v>1</v>
      </c>
      <c r="C1486" t="n">
        <v>1484</v>
      </c>
      <c r="D1486" t="n">
        <v>-0.3763</v>
      </c>
      <c r="E1486" t="n">
        <v>15.3211</v>
      </c>
      <c r="F1486" t="n">
        <v>0.08264000000000001</v>
      </c>
    </row>
    <row r="1487">
      <c r="A1487" t="n">
        <v>1001485</v>
      </c>
      <c r="B1487" t="n">
        <v>1</v>
      </c>
      <c r="C1487" t="n">
        <v>1485</v>
      </c>
      <c r="D1487" t="n">
        <v>-0.3769</v>
      </c>
      <c r="E1487" t="n">
        <v>15.3206</v>
      </c>
      <c r="F1487" t="n">
        <v>0.08265</v>
      </c>
    </row>
    <row r="1488">
      <c r="A1488" t="n">
        <v>1001486</v>
      </c>
      <c r="B1488" t="n">
        <v>1</v>
      </c>
      <c r="C1488" t="n">
        <v>1486</v>
      </c>
      <c r="D1488" t="n">
        <v>-0.3776</v>
      </c>
      <c r="E1488" t="n">
        <v>15.3201</v>
      </c>
      <c r="F1488" t="n">
        <v>0.08266</v>
      </c>
    </row>
    <row r="1489">
      <c r="A1489" t="n">
        <v>1001487</v>
      </c>
      <c r="B1489" t="n">
        <v>1</v>
      </c>
      <c r="C1489" t="n">
        <v>1487</v>
      </c>
      <c r="D1489" t="n">
        <v>-0.3782</v>
      </c>
      <c r="E1489" t="n">
        <v>15.3196</v>
      </c>
      <c r="F1489" t="n">
        <v>0.08266999999999999</v>
      </c>
    </row>
    <row r="1490">
      <c r="A1490" t="n">
        <v>1001488</v>
      </c>
      <c r="B1490" t="n">
        <v>1</v>
      </c>
      <c r="C1490" t="n">
        <v>1488</v>
      </c>
      <c r="D1490" t="n">
        <v>-0.3789</v>
      </c>
      <c r="E1490" t="n">
        <v>15.3191</v>
      </c>
      <c r="F1490" t="n">
        <v>0.08268</v>
      </c>
    </row>
    <row r="1491">
      <c r="A1491" t="n">
        <v>1001489</v>
      </c>
      <c r="B1491" t="n">
        <v>1</v>
      </c>
      <c r="C1491" t="n">
        <v>1489</v>
      </c>
      <c r="D1491" t="n">
        <v>-0.3795</v>
      </c>
      <c r="E1491" t="n">
        <v>15.3186</v>
      </c>
      <c r="F1491" t="n">
        <v>0.08269</v>
      </c>
    </row>
    <row r="1492">
      <c r="A1492" t="n">
        <v>1001490</v>
      </c>
      <c r="B1492" t="n">
        <v>1</v>
      </c>
      <c r="C1492" t="n">
        <v>1490</v>
      </c>
      <c r="D1492" t="n">
        <v>-0.3801</v>
      </c>
      <c r="E1492" t="n">
        <v>15.3181</v>
      </c>
      <c r="F1492" t="n">
        <v>0.08271000000000001</v>
      </c>
    </row>
    <row r="1493">
      <c r="A1493" t="n">
        <v>1001491</v>
      </c>
      <c r="B1493" t="n">
        <v>1</v>
      </c>
      <c r="C1493" t="n">
        <v>1491</v>
      </c>
      <c r="D1493" t="n">
        <v>-0.3808</v>
      </c>
      <c r="E1493" t="n">
        <v>15.3176</v>
      </c>
      <c r="F1493" t="n">
        <v>0.08272</v>
      </c>
    </row>
    <row r="1494">
      <c r="A1494" t="n">
        <v>1001492</v>
      </c>
      <c r="B1494" t="n">
        <v>1</v>
      </c>
      <c r="C1494" t="n">
        <v>1492</v>
      </c>
      <c r="D1494" t="n">
        <v>-0.3815</v>
      </c>
      <c r="E1494" t="n">
        <v>15.3171</v>
      </c>
      <c r="F1494" t="n">
        <v>0.08273</v>
      </c>
    </row>
    <row r="1495">
      <c r="A1495" t="n">
        <v>1001493</v>
      </c>
      <c r="B1495" t="n">
        <v>1</v>
      </c>
      <c r="C1495" t="n">
        <v>1493</v>
      </c>
      <c r="D1495" t="n">
        <v>-0.3821</v>
      </c>
      <c r="E1495" t="n">
        <v>15.3166</v>
      </c>
      <c r="F1495" t="n">
        <v>0.08273999999999999</v>
      </c>
    </row>
    <row r="1496">
      <c r="A1496" t="n">
        <v>1001494</v>
      </c>
      <c r="B1496" t="n">
        <v>1</v>
      </c>
      <c r="C1496" t="n">
        <v>1494</v>
      </c>
      <c r="D1496" t="n">
        <v>-0.3828</v>
      </c>
      <c r="E1496" t="n">
        <v>15.3162</v>
      </c>
      <c r="F1496" t="n">
        <v>0.08275</v>
      </c>
    </row>
    <row r="1497">
      <c r="A1497" t="n">
        <v>1001495</v>
      </c>
      <c r="B1497" t="n">
        <v>1</v>
      </c>
      <c r="C1497" t="n">
        <v>1495</v>
      </c>
      <c r="D1497" t="n">
        <v>-0.3834</v>
      </c>
      <c r="E1497" t="n">
        <v>15.3157</v>
      </c>
      <c r="F1497" t="n">
        <v>0.08276</v>
      </c>
    </row>
    <row r="1498">
      <c r="A1498" t="n">
        <v>1001496</v>
      </c>
      <c r="B1498" t="n">
        <v>1</v>
      </c>
      <c r="C1498" t="n">
        <v>1496</v>
      </c>
      <c r="D1498" t="n">
        <v>-0.3841</v>
      </c>
      <c r="E1498" t="n">
        <v>15.3152</v>
      </c>
      <c r="F1498" t="n">
        <v>0.08277</v>
      </c>
    </row>
    <row r="1499">
      <c r="A1499" t="n">
        <v>1001497</v>
      </c>
      <c r="B1499" t="n">
        <v>1</v>
      </c>
      <c r="C1499" t="n">
        <v>1497</v>
      </c>
      <c r="D1499" t="n">
        <v>-0.3847</v>
      </c>
      <c r="E1499" t="n">
        <v>15.3147</v>
      </c>
      <c r="F1499" t="n">
        <v>0.08279</v>
      </c>
    </row>
    <row r="1500">
      <c r="A1500" t="n">
        <v>1001498</v>
      </c>
      <c r="B1500" t="n">
        <v>1</v>
      </c>
      <c r="C1500" t="n">
        <v>1498</v>
      </c>
      <c r="D1500" t="n">
        <v>-0.3854</v>
      </c>
      <c r="E1500" t="n">
        <v>15.3142</v>
      </c>
      <c r="F1500" t="n">
        <v>0.0828</v>
      </c>
    </row>
    <row r="1501">
      <c r="A1501" t="n">
        <v>1001499</v>
      </c>
      <c r="B1501" t="n">
        <v>1</v>
      </c>
      <c r="C1501" t="n">
        <v>1499</v>
      </c>
      <c r="D1501" t="n">
        <v>-0.3861</v>
      </c>
      <c r="E1501" t="n">
        <v>15.3137</v>
      </c>
      <c r="F1501" t="n">
        <v>0.08280999999999999</v>
      </c>
    </row>
    <row r="1502">
      <c r="A1502" t="n">
        <v>1001500</v>
      </c>
      <c r="B1502" t="n">
        <v>1</v>
      </c>
      <c r="C1502" t="n">
        <v>1500</v>
      </c>
      <c r="D1502" t="n">
        <v>-0.3867</v>
      </c>
      <c r="E1502" t="n">
        <v>15.3133</v>
      </c>
      <c r="F1502" t="n">
        <v>0.08282</v>
      </c>
    </row>
    <row r="1503">
      <c r="A1503" t="n">
        <v>1001501</v>
      </c>
      <c r="B1503" t="n">
        <v>1</v>
      </c>
      <c r="C1503" t="n">
        <v>1501</v>
      </c>
      <c r="D1503" t="n">
        <v>-0.3874</v>
      </c>
      <c r="E1503" t="n">
        <v>15.3128</v>
      </c>
      <c r="F1503" t="n">
        <v>0.08283</v>
      </c>
    </row>
    <row r="1504">
      <c r="A1504" t="n">
        <v>1001502</v>
      </c>
      <c r="B1504" t="n">
        <v>1</v>
      </c>
      <c r="C1504" t="n">
        <v>1502</v>
      </c>
      <c r="D1504" t="n">
        <v>-0.3881</v>
      </c>
      <c r="E1504" t="n">
        <v>15.3123</v>
      </c>
      <c r="F1504" t="n">
        <v>0.08284</v>
      </c>
    </row>
    <row r="1505">
      <c r="A1505" t="n">
        <v>1001503</v>
      </c>
      <c r="B1505" t="n">
        <v>1</v>
      </c>
      <c r="C1505" t="n">
        <v>1503</v>
      </c>
      <c r="D1505" t="n">
        <v>-0.3888</v>
      </c>
      <c r="E1505" t="n">
        <v>15.3118</v>
      </c>
      <c r="F1505" t="n">
        <v>0.08284999999999999</v>
      </c>
    </row>
    <row r="1506">
      <c r="A1506" t="n">
        <v>1001504</v>
      </c>
      <c r="B1506" t="n">
        <v>1</v>
      </c>
      <c r="C1506" t="n">
        <v>1504</v>
      </c>
      <c r="D1506" t="n">
        <v>-0.3894</v>
      </c>
      <c r="E1506" t="n">
        <v>15.3113</v>
      </c>
      <c r="F1506" t="n">
        <v>0.08287</v>
      </c>
    </row>
    <row r="1507">
      <c r="A1507" t="n">
        <v>1001505</v>
      </c>
      <c r="B1507" t="n">
        <v>1</v>
      </c>
      <c r="C1507" t="n">
        <v>1505</v>
      </c>
      <c r="D1507" t="n">
        <v>-0.3901</v>
      </c>
      <c r="E1507" t="n">
        <v>15.3109</v>
      </c>
      <c r="F1507" t="n">
        <v>0.08288</v>
      </c>
    </row>
    <row r="1508">
      <c r="A1508" t="n">
        <v>1001506</v>
      </c>
      <c r="B1508" t="n">
        <v>1</v>
      </c>
      <c r="C1508" t="n">
        <v>1506</v>
      </c>
      <c r="D1508" t="n">
        <v>-0.3908</v>
      </c>
      <c r="E1508" t="n">
        <v>15.3104</v>
      </c>
      <c r="F1508" t="n">
        <v>0.08289000000000001</v>
      </c>
    </row>
    <row r="1509">
      <c r="A1509" t="n">
        <v>1001507</v>
      </c>
      <c r="B1509" t="n">
        <v>1</v>
      </c>
      <c r="C1509" t="n">
        <v>1507</v>
      </c>
      <c r="D1509" t="n">
        <v>-0.3915</v>
      </c>
      <c r="E1509" t="n">
        <v>15.3099</v>
      </c>
      <c r="F1509" t="n">
        <v>0.0829</v>
      </c>
    </row>
    <row r="1510">
      <c r="A1510" t="n">
        <v>1001508</v>
      </c>
      <c r="B1510" t="n">
        <v>1</v>
      </c>
      <c r="C1510" t="n">
        <v>1508</v>
      </c>
      <c r="D1510" t="n">
        <v>-0.3922</v>
      </c>
      <c r="E1510" t="n">
        <v>15.3094</v>
      </c>
      <c r="F1510" t="n">
        <v>0.08291</v>
      </c>
    </row>
    <row r="1511">
      <c r="A1511" t="n">
        <v>1001509</v>
      </c>
      <c r="B1511" t="n">
        <v>1</v>
      </c>
      <c r="C1511" t="n">
        <v>1509</v>
      </c>
      <c r="D1511" t="n">
        <v>-0.3929</v>
      </c>
      <c r="E1511" t="n">
        <v>15.309</v>
      </c>
      <c r="F1511" t="n">
        <v>0.08291999999999999</v>
      </c>
    </row>
    <row r="1512">
      <c r="A1512" t="n">
        <v>1001510</v>
      </c>
      <c r="B1512" t="n">
        <v>1</v>
      </c>
      <c r="C1512" t="n">
        <v>1510</v>
      </c>
      <c r="D1512" t="n">
        <v>-0.3936</v>
      </c>
      <c r="E1512" t="n">
        <v>15.3085</v>
      </c>
      <c r="F1512" t="n">
        <v>0.08293</v>
      </c>
    </row>
    <row r="1513">
      <c r="A1513" t="n">
        <v>1001511</v>
      </c>
      <c r="B1513" t="n">
        <v>1</v>
      </c>
      <c r="C1513" t="n">
        <v>1511</v>
      </c>
      <c r="D1513" t="n">
        <v>-0.3942</v>
      </c>
      <c r="E1513" t="n">
        <v>15.308</v>
      </c>
      <c r="F1513" t="n">
        <v>0.08295</v>
      </c>
    </row>
    <row r="1514">
      <c r="A1514" t="n">
        <v>1001512</v>
      </c>
      <c r="B1514" t="n">
        <v>1</v>
      </c>
      <c r="C1514" t="n">
        <v>1512</v>
      </c>
      <c r="D1514" t="n">
        <v>-0.3949</v>
      </c>
      <c r="E1514" t="n">
        <v>15.3075</v>
      </c>
      <c r="F1514" t="n">
        <v>0.08296000000000001</v>
      </c>
    </row>
    <row r="1515">
      <c r="A1515" t="n">
        <v>1001513</v>
      </c>
      <c r="B1515" t="n">
        <v>1</v>
      </c>
      <c r="C1515" t="n">
        <v>1513</v>
      </c>
      <c r="D1515" t="n">
        <v>-0.3956</v>
      </c>
      <c r="E1515" t="n">
        <v>15.3071</v>
      </c>
      <c r="F1515" t="n">
        <v>0.08297</v>
      </c>
    </row>
    <row r="1516">
      <c r="A1516" t="n">
        <v>1001514</v>
      </c>
      <c r="B1516" t="n">
        <v>1</v>
      </c>
      <c r="C1516" t="n">
        <v>1514</v>
      </c>
      <c r="D1516" t="n">
        <v>-0.3963</v>
      </c>
      <c r="E1516" t="n">
        <v>15.3066</v>
      </c>
      <c r="F1516" t="n">
        <v>0.08298</v>
      </c>
    </row>
    <row r="1517">
      <c r="A1517" t="n">
        <v>1001515</v>
      </c>
      <c r="B1517" t="n">
        <v>1</v>
      </c>
      <c r="C1517" t="n">
        <v>1515</v>
      </c>
      <c r="D1517" t="n">
        <v>-0.397</v>
      </c>
      <c r="E1517" t="n">
        <v>15.3061</v>
      </c>
      <c r="F1517" t="n">
        <v>0.08298999999999999</v>
      </c>
    </row>
    <row r="1518">
      <c r="A1518" t="n">
        <v>1001516</v>
      </c>
      <c r="B1518" t="n">
        <v>1</v>
      </c>
      <c r="C1518" t="n">
        <v>1516</v>
      </c>
      <c r="D1518" t="n">
        <v>-0.3977</v>
      </c>
      <c r="E1518" t="n">
        <v>15.3057</v>
      </c>
      <c r="F1518" t="n">
        <v>0.083</v>
      </c>
    </row>
    <row r="1519">
      <c r="A1519" t="n">
        <v>1001517</v>
      </c>
      <c r="B1519" t="n">
        <v>1</v>
      </c>
      <c r="C1519" t="n">
        <v>1517</v>
      </c>
      <c r="D1519" t="n">
        <v>-0.3984</v>
      </c>
      <c r="E1519" t="n">
        <v>15.3052</v>
      </c>
      <c r="F1519" t="n">
        <v>0.08302</v>
      </c>
    </row>
    <row r="1520">
      <c r="A1520" t="n">
        <v>1001518</v>
      </c>
      <c r="B1520" t="n">
        <v>1</v>
      </c>
      <c r="C1520" t="n">
        <v>1518</v>
      </c>
      <c r="D1520" t="n">
        <v>-0.3991</v>
      </c>
      <c r="E1520" t="n">
        <v>15.3047</v>
      </c>
      <c r="F1520" t="n">
        <v>0.08303000000000001</v>
      </c>
    </row>
    <row r="1521">
      <c r="A1521" t="n">
        <v>1001519</v>
      </c>
      <c r="B1521" t="n">
        <v>1</v>
      </c>
      <c r="C1521" t="n">
        <v>1519</v>
      </c>
      <c r="D1521" t="n">
        <v>-0.3998</v>
      </c>
      <c r="E1521" t="n">
        <v>15.3043</v>
      </c>
      <c r="F1521" t="n">
        <v>0.08304</v>
      </c>
    </row>
    <row r="1522">
      <c r="A1522" t="n">
        <v>1001520</v>
      </c>
      <c r="B1522" t="n">
        <v>1</v>
      </c>
      <c r="C1522" t="n">
        <v>1520</v>
      </c>
      <c r="D1522" t="n">
        <v>-0.4006</v>
      </c>
      <c r="E1522" t="n">
        <v>15.3038</v>
      </c>
      <c r="F1522" t="n">
        <v>0.08305</v>
      </c>
    </row>
    <row r="1523">
      <c r="A1523" t="n">
        <v>1001521</v>
      </c>
      <c r="B1523" t="n">
        <v>1</v>
      </c>
      <c r="C1523" t="n">
        <v>1521</v>
      </c>
      <c r="D1523" t="n">
        <v>-0.4013</v>
      </c>
      <c r="E1523" t="n">
        <v>15.3033</v>
      </c>
      <c r="F1523" t="n">
        <v>0.08305999999999999</v>
      </c>
    </row>
    <row r="1524">
      <c r="A1524" t="n">
        <v>1001522</v>
      </c>
      <c r="B1524" t="n">
        <v>1</v>
      </c>
      <c r="C1524" t="n">
        <v>1522</v>
      </c>
      <c r="D1524" t="n">
        <v>-0.402</v>
      </c>
      <c r="E1524" t="n">
        <v>15.3029</v>
      </c>
      <c r="F1524" t="n">
        <v>0.08307</v>
      </c>
    </row>
    <row r="1525">
      <c r="A1525" t="n">
        <v>1001523</v>
      </c>
      <c r="B1525" t="n">
        <v>1</v>
      </c>
      <c r="C1525" t="n">
        <v>1523</v>
      </c>
      <c r="D1525" t="n">
        <v>-0.4027</v>
      </c>
      <c r="E1525" t="n">
        <v>15.3024</v>
      </c>
      <c r="F1525" t="n">
        <v>0.08309</v>
      </c>
    </row>
    <row r="1526">
      <c r="A1526" t="n">
        <v>1001524</v>
      </c>
      <c r="B1526" t="n">
        <v>1</v>
      </c>
      <c r="C1526" t="n">
        <v>1524</v>
      </c>
      <c r="D1526" t="n">
        <v>-0.4034</v>
      </c>
      <c r="E1526" t="n">
        <v>15.3019</v>
      </c>
      <c r="F1526" t="n">
        <v>0.08309999999999999</v>
      </c>
    </row>
    <row r="1527">
      <c r="A1527" t="n">
        <v>1001525</v>
      </c>
      <c r="B1527" t="n">
        <v>1</v>
      </c>
      <c r="C1527" t="n">
        <v>1525</v>
      </c>
      <c r="D1527" t="n">
        <v>-0.4041</v>
      </c>
      <c r="E1527" t="n">
        <v>15.3015</v>
      </c>
      <c r="F1527" t="n">
        <v>0.08311</v>
      </c>
    </row>
    <row r="1528">
      <c r="A1528" t="n">
        <v>1001526</v>
      </c>
      <c r="B1528" t="n">
        <v>1</v>
      </c>
      <c r="C1528" t="n">
        <v>1526</v>
      </c>
      <c r="D1528" t="n">
        <v>-0.4049</v>
      </c>
      <c r="E1528" t="n">
        <v>15.301</v>
      </c>
      <c r="F1528" t="n">
        <v>0.08312</v>
      </c>
    </row>
    <row r="1529">
      <c r="A1529" t="n">
        <v>1001527</v>
      </c>
      <c r="B1529" t="n">
        <v>1</v>
      </c>
      <c r="C1529" t="n">
        <v>1527</v>
      </c>
      <c r="D1529" t="n">
        <v>-0.4056</v>
      </c>
      <c r="E1529" t="n">
        <v>15.3005</v>
      </c>
      <c r="F1529" t="n">
        <v>0.08313</v>
      </c>
    </row>
    <row r="1530">
      <c r="A1530" t="n">
        <v>1001528</v>
      </c>
      <c r="B1530" t="n">
        <v>1</v>
      </c>
      <c r="C1530" t="n">
        <v>1528</v>
      </c>
      <c r="D1530" t="n">
        <v>-0.4063</v>
      </c>
      <c r="E1530" t="n">
        <v>15.3001</v>
      </c>
      <c r="F1530" t="n">
        <v>0.08314000000000001</v>
      </c>
    </row>
    <row r="1531">
      <c r="A1531" t="n">
        <v>1001529</v>
      </c>
      <c r="B1531" t="n">
        <v>1</v>
      </c>
      <c r="C1531" t="n">
        <v>1529</v>
      </c>
      <c r="D1531" t="n">
        <v>-0.407</v>
      </c>
      <c r="E1531" t="n">
        <v>15.2996</v>
      </c>
      <c r="F1531" t="n">
        <v>0.08316</v>
      </c>
    </row>
    <row r="1532">
      <c r="A1532" t="n">
        <v>1001530</v>
      </c>
      <c r="B1532" t="n">
        <v>1</v>
      </c>
      <c r="C1532" t="n">
        <v>1530</v>
      </c>
      <c r="D1532" t="n">
        <v>-0.4078</v>
      </c>
      <c r="E1532" t="n">
        <v>15.2992</v>
      </c>
      <c r="F1532" t="n">
        <v>0.08316999999999999</v>
      </c>
    </row>
    <row r="1533">
      <c r="A1533" t="n">
        <v>1001531</v>
      </c>
      <c r="B1533" t="n">
        <v>1</v>
      </c>
      <c r="C1533" t="n">
        <v>1531</v>
      </c>
      <c r="D1533" t="n">
        <v>-0.4085</v>
      </c>
      <c r="E1533" t="n">
        <v>15.2987</v>
      </c>
      <c r="F1533" t="n">
        <v>0.08318</v>
      </c>
    </row>
    <row r="1534">
      <c r="A1534" t="n">
        <v>1001532</v>
      </c>
      <c r="B1534" t="n">
        <v>1</v>
      </c>
      <c r="C1534" t="n">
        <v>1532</v>
      </c>
      <c r="D1534" t="n">
        <v>-0.4092</v>
      </c>
      <c r="E1534" t="n">
        <v>15.2982</v>
      </c>
      <c r="F1534" t="n">
        <v>0.08319</v>
      </c>
    </row>
    <row r="1535">
      <c r="A1535" t="n">
        <v>1001533</v>
      </c>
      <c r="B1535" t="n">
        <v>1</v>
      </c>
      <c r="C1535" t="n">
        <v>1533</v>
      </c>
      <c r="D1535" t="n">
        <v>-0.41</v>
      </c>
      <c r="E1535" t="n">
        <v>15.2978</v>
      </c>
      <c r="F1535" t="n">
        <v>0.0832</v>
      </c>
    </row>
    <row r="1536">
      <c r="A1536" t="n">
        <v>1001534</v>
      </c>
      <c r="B1536" t="n">
        <v>1</v>
      </c>
      <c r="C1536" t="n">
        <v>1534</v>
      </c>
      <c r="D1536" t="n">
        <v>-0.4107</v>
      </c>
      <c r="E1536" t="n">
        <v>15.2973</v>
      </c>
      <c r="F1536" t="n">
        <v>0.08322</v>
      </c>
    </row>
    <row r="1537">
      <c r="A1537" t="n">
        <v>1001535</v>
      </c>
      <c r="B1537" t="n">
        <v>1</v>
      </c>
      <c r="C1537" t="n">
        <v>1535</v>
      </c>
      <c r="D1537" t="n">
        <v>-0.4114</v>
      </c>
      <c r="E1537" t="n">
        <v>15.2969</v>
      </c>
      <c r="F1537" t="n">
        <v>0.08323</v>
      </c>
    </row>
    <row r="1538">
      <c r="A1538" t="n">
        <v>1001536</v>
      </c>
      <c r="B1538" t="n">
        <v>1</v>
      </c>
      <c r="C1538" t="n">
        <v>1536</v>
      </c>
      <c r="D1538" t="n">
        <v>-0.4122</v>
      </c>
      <c r="E1538" t="n">
        <v>15.2964</v>
      </c>
      <c r="F1538" t="n">
        <v>0.08323999999999999</v>
      </c>
    </row>
    <row r="1539">
      <c r="A1539" t="n">
        <v>1001537</v>
      </c>
      <c r="B1539" t="n">
        <v>1</v>
      </c>
      <c r="C1539" t="n">
        <v>1537</v>
      </c>
      <c r="D1539" t="n">
        <v>-0.4129</v>
      </c>
      <c r="E1539" t="n">
        <v>15.2959</v>
      </c>
      <c r="F1539" t="n">
        <v>0.08325</v>
      </c>
    </row>
    <row r="1540">
      <c r="A1540" t="n">
        <v>1001538</v>
      </c>
      <c r="B1540" t="n">
        <v>1</v>
      </c>
      <c r="C1540" t="n">
        <v>1538</v>
      </c>
      <c r="D1540" t="n">
        <v>-0.4137</v>
      </c>
      <c r="E1540" t="n">
        <v>15.2955</v>
      </c>
      <c r="F1540" t="n">
        <v>0.08326</v>
      </c>
    </row>
    <row r="1541">
      <c r="A1541" t="n">
        <v>1001539</v>
      </c>
      <c r="B1541" t="n">
        <v>1</v>
      </c>
      <c r="C1541" t="n">
        <v>1539</v>
      </c>
      <c r="D1541" t="n">
        <v>-0.4144</v>
      </c>
      <c r="E1541" t="n">
        <v>15.295</v>
      </c>
      <c r="F1541" t="n">
        <v>0.08327</v>
      </c>
    </row>
    <row r="1542">
      <c r="A1542" t="n">
        <v>1001540</v>
      </c>
      <c r="B1542" t="n">
        <v>1</v>
      </c>
      <c r="C1542" t="n">
        <v>1540</v>
      </c>
      <c r="D1542" t="n">
        <v>-0.4151</v>
      </c>
      <c r="E1542" t="n">
        <v>15.2946</v>
      </c>
      <c r="F1542" t="n">
        <v>0.08329</v>
      </c>
    </row>
    <row r="1543">
      <c r="A1543" t="n">
        <v>1001541</v>
      </c>
      <c r="B1543" t="n">
        <v>1</v>
      </c>
      <c r="C1543" t="n">
        <v>1541</v>
      </c>
      <c r="D1543" t="n">
        <v>-0.4159</v>
      </c>
      <c r="E1543" t="n">
        <v>15.2941</v>
      </c>
      <c r="F1543" t="n">
        <v>0.0833</v>
      </c>
    </row>
    <row r="1544">
      <c r="A1544" t="n">
        <v>1001542</v>
      </c>
      <c r="B1544" t="n">
        <v>1</v>
      </c>
      <c r="C1544" t="n">
        <v>1542</v>
      </c>
      <c r="D1544" t="n">
        <v>-0.4166</v>
      </c>
      <c r="E1544" t="n">
        <v>15.2937</v>
      </c>
      <c r="F1544" t="n">
        <v>0.08331</v>
      </c>
    </row>
    <row r="1545">
      <c r="A1545" t="n">
        <v>1001543</v>
      </c>
      <c r="B1545" t="n">
        <v>1</v>
      </c>
      <c r="C1545" t="n">
        <v>1543</v>
      </c>
      <c r="D1545" t="n">
        <v>-0.4174</v>
      </c>
      <c r="E1545" t="n">
        <v>15.2932</v>
      </c>
      <c r="F1545" t="n">
        <v>0.08332000000000001</v>
      </c>
    </row>
    <row r="1546">
      <c r="A1546" t="n">
        <v>1001544</v>
      </c>
      <c r="B1546" t="n">
        <v>1</v>
      </c>
      <c r="C1546" t="n">
        <v>1544</v>
      </c>
      <c r="D1546" t="n">
        <v>-0.4182</v>
      </c>
      <c r="E1546" t="n">
        <v>15.2928</v>
      </c>
      <c r="F1546" t="n">
        <v>0.08333</v>
      </c>
    </row>
    <row r="1547">
      <c r="A1547" t="n">
        <v>1001545</v>
      </c>
      <c r="B1547" t="n">
        <v>1</v>
      </c>
      <c r="C1547" t="n">
        <v>1545</v>
      </c>
      <c r="D1547" t="n">
        <v>-0.4189</v>
      </c>
      <c r="E1547" t="n">
        <v>15.2923</v>
      </c>
      <c r="F1547" t="n">
        <v>0.08334999999999999</v>
      </c>
    </row>
    <row r="1548">
      <c r="A1548" t="n">
        <v>1001546</v>
      </c>
      <c r="B1548" t="n">
        <v>1</v>
      </c>
      <c r="C1548" t="n">
        <v>1546</v>
      </c>
      <c r="D1548" t="n">
        <v>-0.4197</v>
      </c>
      <c r="E1548" t="n">
        <v>15.2919</v>
      </c>
      <c r="F1548" t="n">
        <v>0.08336</v>
      </c>
    </row>
    <row r="1549">
      <c r="A1549" t="n">
        <v>1001547</v>
      </c>
      <c r="B1549" t="n">
        <v>1</v>
      </c>
      <c r="C1549" t="n">
        <v>1547</v>
      </c>
      <c r="D1549" t="n">
        <v>-0.4204</v>
      </c>
      <c r="E1549" t="n">
        <v>15.2914</v>
      </c>
      <c r="F1549" t="n">
        <v>0.08337</v>
      </c>
    </row>
    <row r="1550">
      <c r="A1550" t="n">
        <v>1001548</v>
      </c>
      <c r="B1550" t="n">
        <v>1</v>
      </c>
      <c r="C1550" t="n">
        <v>1548</v>
      </c>
      <c r="D1550" t="n">
        <v>-0.4212</v>
      </c>
      <c r="E1550" t="n">
        <v>15.291</v>
      </c>
      <c r="F1550" t="n">
        <v>0.08338</v>
      </c>
    </row>
    <row r="1551">
      <c r="A1551" t="n">
        <v>1001549</v>
      </c>
      <c r="B1551" t="n">
        <v>1</v>
      </c>
      <c r="C1551" t="n">
        <v>1549</v>
      </c>
      <c r="D1551" t="n">
        <v>-0.422</v>
      </c>
      <c r="E1551" t="n">
        <v>15.2905</v>
      </c>
      <c r="F1551" t="n">
        <v>0.08339000000000001</v>
      </c>
    </row>
    <row r="1552">
      <c r="A1552" t="n">
        <v>1001550</v>
      </c>
      <c r="B1552" t="n">
        <v>1</v>
      </c>
      <c r="C1552" t="n">
        <v>1550</v>
      </c>
      <c r="D1552" t="n">
        <v>-0.4227</v>
      </c>
      <c r="E1552" t="n">
        <v>15.2901</v>
      </c>
      <c r="F1552" t="n">
        <v>0.08341</v>
      </c>
    </row>
    <row r="1553">
      <c r="A1553" t="n">
        <v>1001551</v>
      </c>
      <c r="B1553" t="n">
        <v>1</v>
      </c>
      <c r="C1553" t="n">
        <v>1551</v>
      </c>
      <c r="D1553" t="n">
        <v>-0.4235</v>
      </c>
      <c r="E1553" t="n">
        <v>15.2896</v>
      </c>
      <c r="F1553" t="n">
        <v>0.08341999999999999</v>
      </c>
    </row>
    <row r="1554">
      <c r="A1554" t="n">
        <v>1001552</v>
      </c>
      <c r="B1554" t="n">
        <v>1</v>
      </c>
      <c r="C1554" t="n">
        <v>1552</v>
      </c>
      <c r="D1554" t="n">
        <v>-0.4243</v>
      </c>
      <c r="E1554" t="n">
        <v>15.2892</v>
      </c>
      <c r="F1554" t="n">
        <v>0.08343</v>
      </c>
    </row>
    <row r="1555">
      <c r="A1555" t="n">
        <v>1001553</v>
      </c>
      <c r="B1555" t="n">
        <v>1</v>
      </c>
      <c r="C1555" t="n">
        <v>1553</v>
      </c>
      <c r="D1555" t="n">
        <v>-0.425</v>
      </c>
      <c r="E1555" t="n">
        <v>15.2888</v>
      </c>
      <c r="F1555" t="n">
        <v>0.08344</v>
      </c>
    </row>
    <row r="1556">
      <c r="A1556" t="n">
        <v>1001554</v>
      </c>
      <c r="B1556" t="n">
        <v>1</v>
      </c>
      <c r="C1556" t="n">
        <v>1554</v>
      </c>
      <c r="D1556" t="n">
        <v>-0.4258</v>
      </c>
      <c r="E1556" t="n">
        <v>15.2883</v>
      </c>
      <c r="F1556" t="n">
        <v>0.08345</v>
      </c>
    </row>
    <row r="1557">
      <c r="A1557" t="n">
        <v>1001555</v>
      </c>
      <c r="B1557" t="n">
        <v>1</v>
      </c>
      <c r="C1557" t="n">
        <v>1555</v>
      </c>
      <c r="D1557" t="n">
        <v>-0.4266</v>
      </c>
      <c r="E1557" t="n">
        <v>15.2879</v>
      </c>
      <c r="F1557" t="n">
        <v>0.08347</v>
      </c>
    </row>
    <row r="1558">
      <c r="A1558" t="n">
        <v>1001556</v>
      </c>
      <c r="B1558" t="n">
        <v>1</v>
      </c>
      <c r="C1558" t="n">
        <v>1556</v>
      </c>
      <c r="D1558" t="n">
        <v>-0.4274</v>
      </c>
      <c r="E1558" t="n">
        <v>15.2874</v>
      </c>
      <c r="F1558" t="n">
        <v>0.08348</v>
      </c>
    </row>
    <row r="1559">
      <c r="A1559" t="n">
        <v>1001557</v>
      </c>
      <c r="B1559" t="n">
        <v>1</v>
      </c>
      <c r="C1559" t="n">
        <v>1557</v>
      </c>
      <c r="D1559" t="n">
        <v>-0.4281</v>
      </c>
      <c r="E1559" t="n">
        <v>15.287</v>
      </c>
      <c r="F1559" t="n">
        <v>0.08348999999999999</v>
      </c>
    </row>
    <row r="1560">
      <c r="A1560" t="n">
        <v>1001558</v>
      </c>
      <c r="B1560" t="n">
        <v>1</v>
      </c>
      <c r="C1560" t="n">
        <v>1558</v>
      </c>
      <c r="D1560" t="n">
        <v>-0.4289</v>
      </c>
      <c r="E1560" t="n">
        <v>15.2865</v>
      </c>
      <c r="F1560" t="n">
        <v>0.0835</v>
      </c>
    </row>
    <row r="1561">
      <c r="A1561" t="n">
        <v>1001559</v>
      </c>
      <c r="B1561" t="n">
        <v>1</v>
      </c>
      <c r="C1561" t="n">
        <v>1559</v>
      </c>
      <c r="D1561" t="n">
        <v>-0.4297</v>
      </c>
      <c r="E1561" t="n">
        <v>15.2861</v>
      </c>
      <c r="F1561" t="n">
        <v>0.08351</v>
      </c>
    </row>
    <row r="1562">
      <c r="A1562" t="n">
        <v>1001560</v>
      </c>
      <c r="B1562" t="n">
        <v>1</v>
      </c>
      <c r="C1562" t="n">
        <v>1560</v>
      </c>
      <c r="D1562" t="n">
        <v>-0.4305</v>
      </c>
      <c r="E1562" t="n">
        <v>15.2857</v>
      </c>
      <c r="F1562" t="n">
        <v>0.08352999999999999</v>
      </c>
    </row>
    <row r="1563">
      <c r="A1563" t="n">
        <v>1001561</v>
      </c>
      <c r="B1563" t="n">
        <v>1</v>
      </c>
      <c r="C1563" t="n">
        <v>1561</v>
      </c>
      <c r="D1563" t="n">
        <v>-0.4313</v>
      </c>
      <c r="E1563" t="n">
        <v>15.2852</v>
      </c>
      <c r="F1563" t="n">
        <v>0.08354</v>
      </c>
    </row>
    <row r="1564">
      <c r="A1564" t="n">
        <v>1001562</v>
      </c>
      <c r="B1564" t="n">
        <v>1</v>
      </c>
      <c r="C1564" t="n">
        <v>1562</v>
      </c>
      <c r="D1564" t="n">
        <v>-0.4321</v>
      </c>
      <c r="E1564" t="n">
        <v>15.2848</v>
      </c>
      <c r="F1564" t="n">
        <v>0.08355</v>
      </c>
    </row>
    <row r="1565">
      <c r="A1565" t="n">
        <v>1001563</v>
      </c>
      <c r="B1565" t="n">
        <v>1</v>
      </c>
      <c r="C1565" t="n">
        <v>1563</v>
      </c>
      <c r="D1565" t="n">
        <v>-0.4328</v>
      </c>
      <c r="E1565" t="n">
        <v>15.2844</v>
      </c>
      <c r="F1565" t="n">
        <v>0.08356</v>
      </c>
    </row>
    <row r="1566">
      <c r="A1566" t="n">
        <v>1001564</v>
      </c>
      <c r="B1566" t="n">
        <v>1</v>
      </c>
      <c r="C1566" t="n">
        <v>1564</v>
      </c>
      <c r="D1566" t="n">
        <v>-0.4336</v>
      </c>
      <c r="E1566" t="n">
        <v>15.2839</v>
      </c>
      <c r="F1566" t="n">
        <v>0.08357000000000001</v>
      </c>
    </row>
    <row r="1567">
      <c r="A1567" t="n">
        <v>1001565</v>
      </c>
      <c r="B1567" t="n">
        <v>1</v>
      </c>
      <c r="C1567" t="n">
        <v>1565</v>
      </c>
      <c r="D1567" t="n">
        <v>-0.4344</v>
      </c>
      <c r="E1567" t="n">
        <v>15.2835</v>
      </c>
      <c r="F1567" t="n">
        <v>0.08359</v>
      </c>
    </row>
    <row r="1568">
      <c r="A1568" t="n">
        <v>1001566</v>
      </c>
      <c r="B1568" t="n">
        <v>1</v>
      </c>
      <c r="C1568" t="n">
        <v>1566</v>
      </c>
      <c r="D1568" t="n">
        <v>-0.4352</v>
      </c>
      <c r="E1568" t="n">
        <v>15.283</v>
      </c>
      <c r="F1568" t="n">
        <v>0.08359999999999999</v>
      </c>
    </row>
    <row r="1569">
      <c r="A1569" t="n">
        <v>1001567</v>
      </c>
      <c r="B1569" t="n">
        <v>1</v>
      </c>
      <c r="C1569" t="n">
        <v>1567</v>
      </c>
      <c r="D1569" t="n">
        <v>-0.436</v>
      </c>
      <c r="E1569" t="n">
        <v>15.2826</v>
      </c>
      <c r="F1569" t="n">
        <v>0.08361</v>
      </c>
    </row>
    <row r="1570">
      <c r="A1570" t="n">
        <v>1001568</v>
      </c>
      <c r="B1570" t="n">
        <v>1</v>
      </c>
      <c r="C1570" t="n">
        <v>1568</v>
      </c>
      <c r="D1570" t="n">
        <v>-0.4368</v>
      </c>
      <c r="E1570" t="n">
        <v>15.2822</v>
      </c>
      <c r="F1570" t="n">
        <v>0.08362</v>
      </c>
    </row>
    <row r="1571">
      <c r="A1571" t="n">
        <v>1001569</v>
      </c>
      <c r="B1571" t="n">
        <v>1</v>
      </c>
      <c r="C1571" t="n">
        <v>1569</v>
      </c>
      <c r="D1571" t="n">
        <v>-0.4376</v>
      </c>
      <c r="E1571" t="n">
        <v>15.2817</v>
      </c>
      <c r="F1571" t="n">
        <v>0.08364000000000001</v>
      </c>
    </row>
    <row r="1572">
      <c r="A1572" t="n">
        <v>1001570</v>
      </c>
      <c r="B1572" t="n">
        <v>1</v>
      </c>
      <c r="C1572" t="n">
        <v>1570</v>
      </c>
      <c r="D1572" t="n">
        <v>-0.4384</v>
      </c>
      <c r="E1572" t="n">
        <v>15.2813</v>
      </c>
      <c r="F1572" t="n">
        <v>0.08365</v>
      </c>
    </row>
    <row r="1573">
      <c r="A1573" t="n">
        <v>1001571</v>
      </c>
      <c r="B1573" t="n">
        <v>1</v>
      </c>
      <c r="C1573" t="n">
        <v>1571</v>
      </c>
      <c r="D1573" t="n">
        <v>-0.4392</v>
      </c>
      <c r="E1573" t="n">
        <v>15.2809</v>
      </c>
      <c r="F1573" t="n">
        <v>0.08366</v>
      </c>
    </row>
    <row r="1574">
      <c r="A1574" t="n">
        <v>1001572</v>
      </c>
      <c r="B1574" t="n">
        <v>1</v>
      </c>
      <c r="C1574" t="n">
        <v>1572</v>
      </c>
      <c r="D1574" t="n">
        <v>-0.44</v>
      </c>
      <c r="E1574" t="n">
        <v>15.2805</v>
      </c>
      <c r="F1574" t="n">
        <v>0.08366999999999999</v>
      </c>
    </row>
    <row r="1575">
      <c r="A1575" t="n">
        <v>1001573</v>
      </c>
      <c r="B1575" t="n">
        <v>1</v>
      </c>
      <c r="C1575" t="n">
        <v>1573</v>
      </c>
      <c r="D1575" t="n">
        <v>-0.4408</v>
      </c>
      <c r="E1575" t="n">
        <v>15.28</v>
      </c>
      <c r="F1575" t="n">
        <v>0.08368</v>
      </c>
    </row>
    <row r="1576">
      <c r="A1576" t="n">
        <v>1001574</v>
      </c>
      <c r="B1576" t="n">
        <v>1</v>
      </c>
      <c r="C1576" t="n">
        <v>1574</v>
      </c>
      <c r="D1576" t="n">
        <v>-0.4417</v>
      </c>
      <c r="E1576" t="n">
        <v>15.2796</v>
      </c>
      <c r="F1576" t="n">
        <v>0.0837</v>
      </c>
    </row>
    <row r="1577">
      <c r="A1577" t="n">
        <v>1001575</v>
      </c>
      <c r="B1577" t="n">
        <v>1</v>
      </c>
      <c r="C1577" t="n">
        <v>1575</v>
      </c>
      <c r="D1577" t="n">
        <v>-0.4425</v>
      </c>
      <c r="E1577" t="n">
        <v>15.2792</v>
      </c>
      <c r="F1577" t="n">
        <v>0.08371000000000001</v>
      </c>
    </row>
    <row r="1578">
      <c r="A1578" t="n">
        <v>1001576</v>
      </c>
      <c r="B1578" t="n">
        <v>1</v>
      </c>
      <c r="C1578" t="n">
        <v>1576</v>
      </c>
      <c r="D1578" t="n">
        <v>-0.4433</v>
      </c>
      <c r="E1578" t="n">
        <v>15.2787</v>
      </c>
      <c r="F1578" t="n">
        <v>0.08372</v>
      </c>
    </row>
    <row r="1579">
      <c r="A1579" t="n">
        <v>1001577</v>
      </c>
      <c r="B1579" t="n">
        <v>1</v>
      </c>
      <c r="C1579" t="n">
        <v>1577</v>
      </c>
      <c r="D1579" t="n">
        <v>-0.4441</v>
      </c>
      <c r="E1579" t="n">
        <v>15.2783</v>
      </c>
      <c r="F1579" t="n">
        <v>0.08373</v>
      </c>
    </row>
    <row r="1580">
      <c r="A1580" t="n">
        <v>1001578</v>
      </c>
      <c r="B1580" t="n">
        <v>1</v>
      </c>
      <c r="C1580" t="n">
        <v>1578</v>
      </c>
      <c r="D1580" t="n">
        <v>-0.4449</v>
      </c>
      <c r="E1580" t="n">
        <v>15.2779</v>
      </c>
      <c r="F1580" t="n">
        <v>0.08375</v>
      </c>
    </row>
    <row r="1581">
      <c r="A1581" t="n">
        <v>1001579</v>
      </c>
      <c r="B1581" t="n">
        <v>1</v>
      </c>
      <c r="C1581" t="n">
        <v>1579</v>
      </c>
      <c r="D1581" t="n">
        <v>-0.4457</v>
      </c>
      <c r="E1581" t="n">
        <v>15.2775</v>
      </c>
      <c r="F1581" t="n">
        <v>0.08376</v>
      </c>
    </row>
    <row r="1582">
      <c r="A1582" t="n">
        <v>1001580</v>
      </c>
      <c r="B1582" t="n">
        <v>1</v>
      </c>
      <c r="C1582" t="n">
        <v>1580</v>
      </c>
      <c r="D1582" t="n">
        <v>-0.4465</v>
      </c>
      <c r="E1582" t="n">
        <v>15.277</v>
      </c>
      <c r="F1582" t="n">
        <v>0.08377</v>
      </c>
    </row>
    <row r="1583">
      <c r="A1583" t="n">
        <v>1001581</v>
      </c>
      <c r="B1583" t="n">
        <v>1</v>
      </c>
      <c r="C1583" t="n">
        <v>1581</v>
      </c>
      <c r="D1583" t="n">
        <v>-0.4474</v>
      </c>
      <c r="E1583" t="n">
        <v>15.2766</v>
      </c>
      <c r="F1583" t="n">
        <v>0.08377999999999999</v>
      </c>
    </row>
    <row r="1584">
      <c r="A1584" t="n">
        <v>1001582</v>
      </c>
      <c r="B1584" t="n">
        <v>1</v>
      </c>
      <c r="C1584" t="n">
        <v>1582</v>
      </c>
      <c r="D1584" t="n">
        <v>-0.4482</v>
      </c>
      <c r="E1584" t="n">
        <v>15.2762</v>
      </c>
      <c r="F1584" t="n">
        <v>0.08379</v>
      </c>
    </row>
    <row r="1585">
      <c r="A1585" t="n">
        <v>1001583</v>
      </c>
      <c r="B1585" t="n">
        <v>1</v>
      </c>
      <c r="C1585" t="n">
        <v>1583</v>
      </c>
      <c r="D1585" t="n">
        <v>-0.449</v>
      </c>
      <c r="E1585" t="n">
        <v>15.2758</v>
      </c>
      <c r="F1585" t="n">
        <v>0.08381</v>
      </c>
    </row>
    <row r="1586">
      <c r="A1586" t="n">
        <v>1001584</v>
      </c>
      <c r="B1586" t="n">
        <v>1</v>
      </c>
      <c r="C1586" t="n">
        <v>1584</v>
      </c>
      <c r="D1586" t="n">
        <v>-0.4498</v>
      </c>
      <c r="E1586" t="n">
        <v>15.2753</v>
      </c>
      <c r="F1586" t="n">
        <v>0.08382000000000001</v>
      </c>
    </row>
    <row r="1587">
      <c r="A1587" t="n">
        <v>1001585</v>
      </c>
      <c r="B1587" t="n">
        <v>1</v>
      </c>
      <c r="C1587" t="n">
        <v>1585</v>
      </c>
      <c r="D1587" t="n">
        <v>-0.4507</v>
      </c>
      <c r="E1587" t="n">
        <v>15.2749</v>
      </c>
      <c r="F1587" t="n">
        <v>0.08383</v>
      </c>
    </row>
    <row r="1588">
      <c r="A1588" t="n">
        <v>1001586</v>
      </c>
      <c r="B1588" t="n">
        <v>1</v>
      </c>
      <c r="C1588" t="n">
        <v>1586</v>
      </c>
      <c r="D1588" t="n">
        <v>-0.4515</v>
      </c>
      <c r="E1588" t="n">
        <v>15.2745</v>
      </c>
      <c r="F1588" t="n">
        <v>0.08384</v>
      </c>
    </row>
    <row r="1589">
      <c r="A1589" t="n">
        <v>1001587</v>
      </c>
      <c r="B1589" t="n">
        <v>1</v>
      </c>
      <c r="C1589" t="n">
        <v>1587</v>
      </c>
      <c r="D1589" t="n">
        <v>-0.4523</v>
      </c>
      <c r="E1589" t="n">
        <v>15.2741</v>
      </c>
      <c r="F1589" t="n">
        <v>0.08386</v>
      </c>
    </row>
    <row r="1590">
      <c r="A1590" t="n">
        <v>1001588</v>
      </c>
      <c r="B1590" t="n">
        <v>1</v>
      </c>
      <c r="C1590" t="n">
        <v>1588</v>
      </c>
      <c r="D1590" t="n">
        <v>-0.4532</v>
      </c>
      <c r="E1590" t="n">
        <v>15.2737</v>
      </c>
      <c r="F1590" t="n">
        <v>0.08387</v>
      </c>
    </row>
    <row r="1591">
      <c r="A1591" t="n">
        <v>1001589</v>
      </c>
      <c r="B1591" t="n">
        <v>1</v>
      </c>
      <c r="C1591" t="n">
        <v>1589</v>
      </c>
      <c r="D1591" t="n">
        <v>-0.454</v>
      </c>
      <c r="E1591" t="n">
        <v>15.2732</v>
      </c>
      <c r="F1591" t="n">
        <v>0.08388</v>
      </c>
    </row>
    <row r="1592">
      <c r="A1592" t="n">
        <v>1001590</v>
      </c>
      <c r="B1592" t="n">
        <v>1</v>
      </c>
      <c r="C1592" t="n">
        <v>1590</v>
      </c>
      <c r="D1592" t="n">
        <v>-0.4548</v>
      </c>
      <c r="E1592" t="n">
        <v>15.2728</v>
      </c>
      <c r="F1592" t="n">
        <v>0.08389000000000001</v>
      </c>
    </row>
    <row r="1593">
      <c r="A1593" t="n">
        <v>1001591</v>
      </c>
      <c r="B1593" t="n">
        <v>1</v>
      </c>
      <c r="C1593" t="n">
        <v>1591</v>
      </c>
      <c r="D1593" t="n">
        <v>-0.4557</v>
      </c>
      <c r="E1593" t="n">
        <v>15.2724</v>
      </c>
      <c r="F1593" t="n">
        <v>0.08391</v>
      </c>
    </row>
    <row r="1594">
      <c r="A1594" t="n">
        <v>1001592</v>
      </c>
      <c r="B1594" t="n">
        <v>1</v>
      </c>
      <c r="C1594" t="n">
        <v>1592</v>
      </c>
      <c r="D1594" t="n">
        <v>-0.4565</v>
      </c>
      <c r="E1594" t="n">
        <v>15.272</v>
      </c>
      <c r="F1594" t="n">
        <v>0.08391999999999999</v>
      </c>
    </row>
    <row r="1595">
      <c r="A1595" t="n">
        <v>1001593</v>
      </c>
      <c r="B1595" t="n">
        <v>1</v>
      </c>
      <c r="C1595" t="n">
        <v>1593</v>
      </c>
      <c r="D1595" t="n">
        <v>-0.4574</v>
      </c>
      <c r="E1595" t="n">
        <v>15.2716</v>
      </c>
      <c r="F1595" t="n">
        <v>0.08393</v>
      </c>
    </row>
    <row r="1596">
      <c r="A1596" t="n">
        <v>1001594</v>
      </c>
      <c r="B1596" t="n">
        <v>1</v>
      </c>
      <c r="C1596" t="n">
        <v>1594</v>
      </c>
      <c r="D1596" t="n">
        <v>-0.4582</v>
      </c>
      <c r="E1596" t="n">
        <v>15.2712</v>
      </c>
      <c r="F1596" t="n">
        <v>0.08394</v>
      </c>
    </row>
    <row r="1597">
      <c r="A1597" t="n">
        <v>1001595</v>
      </c>
      <c r="B1597" t="n">
        <v>1</v>
      </c>
      <c r="C1597" t="n">
        <v>1595</v>
      </c>
      <c r="D1597" t="n">
        <v>-0.459</v>
      </c>
      <c r="E1597" t="n">
        <v>15.2708</v>
      </c>
      <c r="F1597" t="n">
        <v>0.08395</v>
      </c>
    </row>
    <row r="1598">
      <c r="A1598" t="n">
        <v>1001596</v>
      </c>
      <c r="B1598" t="n">
        <v>1</v>
      </c>
      <c r="C1598" t="n">
        <v>1596</v>
      </c>
      <c r="D1598" t="n">
        <v>-0.4599</v>
      </c>
      <c r="E1598" t="n">
        <v>15.2703</v>
      </c>
      <c r="F1598" t="n">
        <v>0.08397</v>
      </c>
    </row>
    <row r="1599">
      <c r="A1599" t="n">
        <v>1001597</v>
      </c>
      <c r="B1599" t="n">
        <v>1</v>
      </c>
      <c r="C1599" t="n">
        <v>1597</v>
      </c>
      <c r="D1599" t="n">
        <v>-0.4607</v>
      </c>
      <c r="E1599" t="n">
        <v>15.2699</v>
      </c>
      <c r="F1599" t="n">
        <v>0.08398</v>
      </c>
    </row>
    <row r="1600">
      <c r="A1600" t="n">
        <v>1001598</v>
      </c>
      <c r="B1600" t="n">
        <v>1</v>
      </c>
      <c r="C1600" t="n">
        <v>1598</v>
      </c>
      <c r="D1600" t="n">
        <v>-0.4616</v>
      </c>
      <c r="E1600" t="n">
        <v>15.2695</v>
      </c>
      <c r="F1600" t="n">
        <v>0.08399</v>
      </c>
    </row>
    <row r="1601">
      <c r="A1601" t="n">
        <v>1001599</v>
      </c>
      <c r="B1601" t="n">
        <v>1</v>
      </c>
      <c r="C1601" t="n">
        <v>1599</v>
      </c>
      <c r="D1601" t="n">
        <v>-0.4624</v>
      </c>
      <c r="E1601" t="n">
        <v>15.2691</v>
      </c>
      <c r="F1601" t="n">
        <v>0.08400000000000001</v>
      </c>
    </row>
    <row r="1602">
      <c r="A1602" t="n">
        <v>1001600</v>
      </c>
      <c r="B1602" t="n">
        <v>1</v>
      </c>
      <c r="C1602" t="n">
        <v>1600</v>
      </c>
      <c r="D1602" t="n">
        <v>-0.4633</v>
      </c>
      <c r="E1602" t="n">
        <v>15.2687</v>
      </c>
      <c r="F1602" t="n">
        <v>0.08402</v>
      </c>
    </row>
    <row r="1603">
      <c r="A1603" t="n">
        <v>1001601</v>
      </c>
      <c r="B1603" t="n">
        <v>1</v>
      </c>
      <c r="C1603" t="n">
        <v>1601</v>
      </c>
      <c r="D1603" t="n">
        <v>-0.4641</v>
      </c>
      <c r="E1603" t="n">
        <v>15.2683</v>
      </c>
      <c r="F1603" t="n">
        <v>0.08402999999999999</v>
      </c>
    </row>
    <row r="1604">
      <c r="A1604" t="n">
        <v>1001602</v>
      </c>
      <c r="B1604" t="n">
        <v>1</v>
      </c>
      <c r="C1604" t="n">
        <v>1602</v>
      </c>
      <c r="D1604" t="n">
        <v>-0.465</v>
      </c>
      <c r="E1604" t="n">
        <v>15.2679</v>
      </c>
      <c r="F1604" t="n">
        <v>0.08404</v>
      </c>
    </row>
    <row r="1605">
      <c r="A1605" t="n">
        <v>1001603</v>
      </c>
      <c r="B1605" t="n">
        <v>1</v>
      </c>
      <c r="C1605" t="n">
        <v>1603</v>
      </c>
      <c r="D1605" t="n">
        <v>-0.4659</v>
      </c>
      <c r="E1605" t="n">
        <v>15.2675</v>
      </c>
      <c r="F1605" t="n">
        <v>0.08405</v>
      </c>
    </row>
    <row r="1606">
      <c r="A1606" t="n">
        <v>1001604</v>
      </c>
      <c r="B1606" t="n">
        <v>1</v>
      </c>
      <c r="C1606" t="n">
        <v>1604</v>
      </c>
      <c r="D1606" t="n">
        <v>-0.4667</v>
      </c>
      <c r="E1606" t="n">
        <v>15.2671</v>
      </c>
      <c r="F1606" t="n">
        <v>0.08407000000000001</v>
      </c>
    </row>
    <row r="1607">
      <c r="A1607" t="n">
        <v>1001605</v>
      </c>
      <c r="B1607" t="n">
        <v>1</v>
      </c>
      <c r="C1607" t="n">
        <v>1605</v>
      </c>
      <c r="D1607" t="n">
        <v>-0.4676</v>
      </c>
      <c r="E1607" t="n">
        <v>15.2667</v>
      </c>
      <c r="F1607" t="n">
        <v>0.08408</v>
      </c>
    </row>
    <row r="1608">
      <c r="A1608" t="n">
        <v>1001606</v>
      </c>
      <c r="B1608" t="n">
        <v>1</v>
      </c>
      <c r="C1608" t="n">
        <v>1606</v>
      </c>
      <c r="D1608" t="n">
        <v>-0.4684</v>
      </c>
      <c r="E1608" t="n">
        <v>15.2662</v>
      </c>
      <c r="F1608" t="n">
        <v>0.08409</v>
      </c>
    </row>
    <row r="1609">
      <c r="A1609" t="n">
        <v>1001607</v>
      </c>
      <c r="B1609" t="n">
        <v>1</v>
      </c>
      <c r="C1609" t="n">
        <v>1607</v>
      </c>
      <c r="D1609" t="n">
        <v>-0.4693</v>
      </c>
      <c r="E1609" t="n">
        <v>15.2658</v>
      </c>
      <c r="F1609" t="n">
        <v>0.08409999999999999</v>
      </c>
    </row>
    <row r="1610">
      <c r="A1610" t="n">
        <v>1001608</v>
      </c>
      <c r="B1610" t="n">
        <v>1</v>
      </c>
      <c r="C1610" t="n">
        <v>1608</v>
      </c>
      <c r="D1610" t="n">
        <v>-0.4702</v>
      </c>
      <c r="E1610" t="n">
        <v>15.2654</v>
      </c>
      <c r="F1610" t="n">
        <v>0.08412</v>
      </c>
    </row>
    <row r="1611">
      <c r="A1611" t="n">
        <v>1001609</v>
      </c>
      <c r="B1611" t="n">
        <v>1</v>
      </c>
      <c r="C1611" t="n">
        <v>1609</v>
      </c>
      <c r="D1611" t="n">
        <v>-0.471</v>
      </c>
      <c r="E1611" t="n">
        <v>15.265</v>
      </c>
      <c r="F1611" t="n">
        <v>0.08413</v>
      </c>
    </row>
    <row r="1612">
      <c r="A1612" t="n">
        <v>1001610</v>
      </c>
      <c r="B1612" t="n">
        <v>1</v>
      </c>
      <c r="C1612" t="n">
        <v>1610</v>
      </c>
      <c r="D1612" t="n">
        <v>-0.4719</v>
      </c>
      <c r="E1612" t="n">
        <v>15.2646</v>
      </c>
      <c r="F1612" t="n">
        <v>0.08414000000000001</v>
      </c>
    </row>
    <row r="1613">
      <c r="A1613" t="n">
        <v>1001611</v>
      </c>
      <c r="B1613" t="n">
        <v>1</v>
      </c>
      <c r="C1613" t="n">
        <v>1611</v>
      </c>
      <c r="D1613" t="n">
        <v>-0.4728</v>
      </c>
      <c r="E1613" t="n">
        <v>15.2642</v>
      </c>
      <c r="F1613" t="n">
        <v>0.08415</v>
      </c>
    </row>
    <row r="1614">
      <c r="A1614" t="n">
        <v>1001612</v>
      </c>
      <c r="B1614" t="n">
        <v>1</v>
      </c>
      <c r="C1614" t="n">
        <v>1612</v>
      </c>
      <c r="D1614" t="n">
        <v>-0.4736</v>
      </c>
      <c r="E1614" t="n">
        <v>15.2638</v>
      </c>
      <c r="F1614" t="n">
        <v>0.08416999999999999</v>
      </c>
    </row>
    <row r="1615">
      <c r="A1615" t="n">
        <v>1001613</v>
      </c>
      <c r="B1615" t="n">
        <v>1</v>
      </c>
      <c r="C1615" t="n">
        <v>1613</v>
      </c>
      <c r="D1615" t="n">
        <v>-0.4745</v>
      </c>
      <c r="E1615" t="n">
        <v>15.2634</v>
      </c>
      <c r="F1615" t="n">
        <v>0.08418</v>
      </c>
    </row>
    <row r="1616">
      <c r="A1616" t="n">
        <v>1001614</v>
      </c>
      <c r="B1616" t="n">
        <v>1</v>
      </c>
      <c r="C1616" t="n">
        <v>1614</v>
      </c>
      <c r="D1616" t="n">
        <v>-0.4754</v>
      </c>
      <c r="E1616" t="n">
        <v>15.263</v>
      </c>
      <c r="F1616" t="n">
        <v>0.08419</v>
      </c>
    </row>
    <row r="1617">
      <c r="A1617" t="n">
        <v>1001615</v>
      </c>
      <c r="B1617" t="n">
        <v>1</v>
      </c>
      <c r="C1617" t="n">
        <v>1615</v>
      </c>
      <c r="D1617" t="n">
        <v>-0.4762</v>
      </c>
      <c r="E1617" t="n">
        <v>15.2626</v>
      </c>
      <c r="F1617" t="n">
        <v>0.0842</v>
      </c>
    </row>
    <row r="1618">
      <c r="A1618" t="n">
        <v>1001616</v>
      </c>
      <c r="B1618" t="n">
        <v>1</v>
      </c>
      <c r="C1618" t="n">
        <v>1616</v>
      </c>
      <c r="D1618" t="n">
        <v>-0.4771</v>
      </c>
      <c r="E1618" t="n">
        <v>15.2622</v>
      </c>
      <c r="F1618" t="n">
        <v>0.08422</v>
      </c>
    </row>
    <row r="1619">
      <c r="A1619" t="n">
        <v>1001617</v>
      </c>
      <c r="B1619" t="n">
        <v>1</v>
      </c>
      <c r="C1619" t="n">
        <v>1617</v>
      </c>
      <c r="D1619" t="n">
        <v>-0.478</v>
      </c>
      <c r="E1619" t="n">
        <v>15.2618</v>
      </c>
      <c r="F1619" t="n">
        <v>0.08423</v>
      </c>
    </row>
    <row r="1620">
      <c r="A1620" t="n">
        <v>1001618</v>
      </c>
      <c r="B1620" t="n">
        <v>1</v>
      </c>
      <c r="C1620" t="n">
        <v>1618</v>
      </c>
      <c r="D1620" t="n">
        <v>-0.4789</v>
      </c>
      <c r="E1620" t="n">
        <v>15.2614</v>
      </c>
      <c r="F1620" t="n">
        <v>0.08424</v>
      </c>
    </row>
    <row r="1621">
      <c r="A1621" t="n">
        <v>1001619</v>
      </c>
      <c r="B1621" t="n">
        <v>1</v>
      </c>
      <c r="C1621" t="n">
        <v>1619</v>
      </c>
      <c r="D1621" t="n">
        <v>-0.4798</v>
      </c>
      <c r="E1621" t="n">
        <v>15.261</v>
      </c>
      <c r="F1621" t="n">
        <v>0.08425000000000001</v>
      </c>
    </row>
    <row r="1622">
      <c r="A1622" t="n">
        <v>1001620</v>
      </c>
      <c r="B1622" t="n">
        <v>1</v>
      </c>
      <c r="C1622" t="n">
        <v>1620</v>
      </c>
      <c r="D1622" t="n">
        <v>-0.4806</v>
      </c>
      <c r="E1622" t="n">
        <v>15.2606</v>
      </c>
      <c r="F1622" t="n">
        <v>0.08427</v>
      </c>
    </row>
    <row r="1623">
      <c r="A1623" t="n">
        <v>1001621</v>
      </c>
      <c r="B1623" t="n">
        <v>1</v>
      </c>
      <c r="C1623" t="n">
        <v>1621</v>
      </c>
      <c r="D1623" t="n">
        <v>-0.4815</v>
      </c>
      <c r="E1623" t="n">
        <v>15.2602</v>
      </c>
      <c r="F1623" t="n">
        <v>0.08427999999999999</v>
      </c>
    </row>
    <row r="1624">
      <c r="A1624" t="n">
        <v>1001622</v>
      </c>
      <c r="B1624" t="n">
        <v>1</v>
      </c>
      <c r="C1624" t="n">
        <v>1622</v>
      </c>
      <c r="D1624" t="n">
        <v>-0.4824</v>
      </c>
      <c r="E1624" t="n">
        <v>15.2598</v>
      </c>
      <c r="F1624" t="n">
        <v>0.08429</v>
      </c>
    </row>
    <row r="1625">
      <c r="A1625" t="n">
        <v>1001623</v>
      </c>
      <c r="B1625" t="n">
        <v>1</v>
      </c>
      <c r="C1625" t="n">
        <v>1623</v>
      </c>
      <c r="D1625" t="n">
        <v>-0.4833</v>
      </c>
      <c r="E1625" t="n">
        <v>15.2594</v>
      </c>
      <c r="F1625" t="n">
        <v>0.08431</v>
      </c>
    </row>
    <row r="1626">
      <c r="A1626" t="n">
        <v>1001624</v>
      </c>
      <c r="B1626" t="n">
        <v>1</v>
      </c>
      <c r="C1626" t="n">
        <v>1624</v>
      </c>
      <c r="D1626" t="n">
        <v>-0.4842</v>
      </c>
      <c r="E1626" t="n">
        <v>15.259</v>
      </c>
      <c r="F1626" t="n">
        <v>0.08432000000000001</v>
      </c>
    </row>
    <row r="1627">
      <c r="A1627" t="n">
        <v>1001625</v>
      </c>
      <c r="B1627" t="n">
        <v>1</v>
      </c>
      <c r="C1627" t="n">
        <v>1625</v>
      </c>
      <c r="D1627" t="n">
        <v>-0.4851</v>
      </c>
      <c r="E1627" t="n">
        <v>15.2586</v>
      </c>
      <c r="F1627" t="n">
        <v>0.08433</v>
      </c>
    </row>
    <row r="1628">
      <c r="A1628" t="n">
        <v>1001626</v>
      </c>
      <c r="B1628" t="n">
        <v>1</v>
      </c>
      <c r="C1628" t="n">
        <v>1626</v>
      </c>
      <c r="D1628" t="n">
        <v>-0.486</v>
      </c>
      <c r="E1628" t="n">
        <v>15.2582</v>
      </c>
      <c r="F1628" t="n">
        <v>0.08434</v>
      </c>
    </row>
    <row r="1629">
      <c r="A1629" t="n">
        <v>1001627</v>
      </c>
      <c r="B1629" t="n">
        <v>1</v>
      </c>
      <c r="C1629" t="n">
        <v>1627</v>
      </c>
      <c r="D1629" t="n">
        <v>-0.4869</v>
      </c>
      <c r="E1629" t="n">
        <v>15.2579</v>
      </c>
      <c r="F1629" t="n">
        <v>0.08436</v>
      </c>
    </row>
    <row r="1630">
      <c r="A1630" t="n">
        <v>1001628</v>
      </c>
      <c r="B1630" t="n">
        <v>1</v>
      </c>
      <c r="C1630" t="n">
        <v>1628</v>
      </c>
      <c r="D1630" t="n">
        <v>-0.4877</v>
      </c>
      <c r="E1630" t="n">
        <v>15.2575</v>
      </c>
      <c r="F1630" t="n">
        <v>0.08437</v>
      </c>
    </row>
    <row r="1631">
      <c r="A1631" t="n">
        <v>1001629</v>
      </c>
      <c r="B1631" t="n">
        <v>1</v>
      </c>
      <c r="C1631" t="n">
        <v>1629</v>
      </c>
      <c r="D1631" t="n">
        <v>-0.4886</v>
      </c>
      <c r="E1631" t="n">
        <v>15.2571</v>
      </c>
      <c r="F1631" t="n">
        <v>0.08438</v>
      </c>
    </row>
    <row r="1632">
      <c r="A1632" t="n">
        <v>1001630</v>
      </c>
      <c r="B1632" t="n">
        <v>1</v>
      </c>
      <c r="C1632" t="n">
        <v>1630</v>
      </c>
      <c r="D1632" t="n">
        <v>-0.4895</v>
      </c>
      <c r="E1632" t="n">
        <v>15.2567</v>
      </c>
      <c r="F1632" t="n">
        <v>0.08439000000000001</v>
      </c>
    </row>
    <row r="1633">
      <c r="A1633" t="n">
        <v>1001631</v>
      </c>
      <c r="B1633" t="n">
        <v>1</v>
      </c>
      <c r="C1633" t="n">
        <v>1631</v>
      </c>
      <c r="D1633" t="n">
        <v>-0.4904</v>
      </c>
      <c r="E1633" t="n">
        <v>15.2563</v>
      </c>
      <c r="F1633" t="n">
        <v>0.08441</v>
      </c>
    </row>
    <row r="1634">
      <c r="A1634" t="n">
        <v>1001632</v>
      </c>
      <c r="B1634" t="n">
        <v>1</v>
      </c>
      <c r="C1634" t="n">
        <v>1632</v>
      </c>
      <c r="D1634" t="n">
        <v>-0.4913</v>
      </c>
      <c r="E1634" t="n">
        <v>15.2559</v>
      </c>
      <c r="F1634" t="n">
        <v>0.08442</v>
      </c>
    </row>
    <row r="1635">
      <c r="A1635" t="n">
        <v>1001633</v>
      </c>
      <c r="B1635" t="n">
        <v>1</v>
      </c>
      <c r="C1635" t="n">
        <v>1633</v>
      </c>
      <c r="D1635" t="n">
        <v>-0.4922</v>
      </c>
      <c r="E1635" t="n">
        <v>15.2555</v>
      </c>
      <c r="F1635" t="n">
        <v>0.08443000000000001</v>
      </c>
    </row>
    <row r="1636">
      <c r="A1636" t="n">
        <v>1001634</v>
      </c>
      <c r="B1636" t="n">
        <v>1</v>
      </c>
      <c r="C1636" t="n">
        <v>1634</v>
      </c>
      <c r="D1636" t="n">
        <v>-0.4931</v>
      </c>
      <c r="E1636" t="n">
        <v>15.2551</v>
      </c>
      <c r="F1636" t="n">
        <v>0.08444</v>
      </c>
    </row>
    <row r="1637">
      <c r="A1637" t="n">
        <v>1001635</v>
      </c>
      <c r="B1637" t="n">
        <v>1</v>
      </c>
      <c r="C1637" t="n">
        <v>1635</v>
      </c>
      <c r="D1637" t="n">
        <v>-0.494</v>
      </c>
      <c r="E1637" t="n">
        <v>15.2547</v>
      </c>
      <c r="F1637" t="n">
        <v>0.08445999999999999</v>
      </c>
    </row>
    <row r="1638">
      <c r="A1638" t="n">
        <v>1001636</v>
      </c>
      <c r="B1638" t="n">
        <v>1</v>
      </c>
      <c r="C1638" t="n">
        <v>1636</v>
      </c>
      <c r="D1638" t="n">
        <v>-0.4949</v>
      </c>
      <c r="E1638" t="n">
        <v>15.2543</v>
      </c>
      <c r="F1638" t="n">
        <v>0.08447</v>
      </c>
    </row>
    <row r="1639">
      <c r="A1639" t="n">
        <v>1001637</v>
      </c>
      <c r="B1639" t="n">
        <v>1</v>
      </c>
      <c r="C1639" t="n">
        <v>1637</v>
      </c>
      <c r="D1639" t="n">
        <v>-0.4958</v>
      </c>
      <c r="E1639" t="n">
        <v>15.254</v>
      </c>
      <c r="F1639" t="n">
        <v>0.08448</v>
      </c>
    </row>
    <row r="1640">
      <c r="A1640" t="n">
        <v>1001638</v>
      </c>
      <c r="B1640" t="n">
        <v>1</v>
      </c>
      <c r="C1640" t="n">
        <v>1638</v>
      </c>
      <c r="D1640" t="n">
        <v>-0.4968</v>
      </c>
      <c r="E1640" t="n">
        <v>15.2536</v>
      </c>
      <c r="F1640" t="n">
        <v>0.08450000000000001</v>
      </c>
    </row>
    <row r="1641">
      <c r="A1641" t="n">
        <v>1001639</v>
      </c>
      <c r="B1641" t="n">
        <v>1</v>
      </c>
      <c r="C1641" t="n">
        <v>1639</v>
      </c>
      <c r="D1641" t="n">
        <v>-0.4977</v>
      </c>
      <c r="E1641" t="n">
        <v>15.2532</v>
      </c>
      <c r="F1641" t="n">
        <v>0.08451</v>
      </c>
    </row>
    <row r="1642">
      <c r="A1642" t="n">
        <v>1001640</v>
      </c>
      <c r="B1642" t="n">
        <v>1</v>
      </c>
      <c r="C1642" t="n">
        <v>1640</v>
      </c>
      <c r="D1642" t="n">
        <v>-0.4986</v>
      </c>
      <c r="E1642" t="n">
        <v>15.2528</v>
      </c>
      <c r="F1642" t="n">
        <v>0.08452</v>
      </c>
    </row>
    <row r="1643">
      <c r="A1643" t="n">
        <v>1001641</v>
      </c>
      <c r="B1643" t="n">
        <v>1</v>
      </c>
      <c r="C1643" t="n">
        <v>1641</v>
      </c>
      <c r="D1643" t="n">
        <v>-0.4995</v>
      </c>
      <c r="E1643" t="n">
        <v>15.2524</v>
      </c>
      <c r="F1643" t="n">
        <v>0.08452999999999999</v>
      </c>
    </row>
    <row r="1644">
      <c r="A1644" t="n">
        <v>1001642</v>
      </c>
      <c r="B1644" t="n">
        <v>1</v>
      </c>
      <c r="C1644" t="n">
        <v>1642</v>
      </c>
      <c r="D1644" t="n">
        <v>-0.5004</v>
      </c>
      <c r="E1644" t="n">
        <v>15.252</v>
      </c>
      <c r="F1644" t="n">
        <v>0.08455</v>
      </c>
    </row>
    <row r="1645">
      <c r="A1645" t="n">
        <v>1001643</v>
      </c>
      <c r="B1645" t="n">
        <v>1</v>
      </c>
      <c r="C1645" t="n">
        <v>1643</v>
      </c>
      <c r="D1645" t="n">
        <v>-0.5013</v>
      </c>
      <c r="E1645" t="n">
        <v>15.2516</v>
      </c>
      <c r="F1645" t="n">
        <v>0.08456</v>
      </c>
    </row>
    <row r="1646">
      <c r="A1646" t="n">
        <v>1001644</v>
      </c>
      <c r="B1646" t="n">
        <v>1</v>
      </c>
      <c r="C1646" t="n">
        <v>1644</v>
      </c>
      <c r="D1646" t="n">
        <v>-0.5022</v>
      </c>
      <c r="E1646" t="n">
        <v>15.2513</v>
      </c>
      <c r="F1646" t="n">
        <v>0.08457000000000001</v>
      </c>
    </row>
    <row r="1647">
      <c r="A1647" t="n">
        <v>1001645</v>
      </c>
      <c r="B1647" t="n">
        <v>1</v>
      </c>
      <c r="C1647" t="n">
        <v>1645</v>
      </c>
      <c r="D1647" t="n">
        <v>-0.5031</v>
      </c>
      <c r="E1647" t="n">
        <v>15.2509</v>
      </c>
      <c r="F1647" t="n">
        <v>0.08459</v>
      </c>
    </row>
    <row r="1648">
      <c r="A1648" t="n">
        <v>1001646</v>
      </c>
      <c r="B1648" t="n">
        <v>1</v>
      </c>
      <c r="C1648" t="n">
        <v>1646</v>
      </c>
      <c r="D1648" t="n">
        <v>-0.504</v>
      </c>
      <c r="E1648" t="n">
        <v>15.2505</v>
      </c>
      <c r="F1648" t="n">
        <v>0.08459999999999999</v>
      </c>
    </row>
    <row r="1649">
      <c r="A1649" t="n">
        <v>1001647</v>
      </c>
      <c r="B1649" t="n">
        <v>1</v>
      </c>
      <c r="C1649" t="n">
        <v>1647</v>
      </c>
      <c r="D1649" t="n">
        <v>-0.505</v>
      </c>
      <c r="E1649" t="n">
        <v>15.2501</v>
      </c>
      <c r="F1649" t="n">
        <v>0.08461</v>
      </c>
    </row>
    <row r="1650">
      <c r="A1650" t="n">
        <v>1001648</v>
      </c>
      <c r="B1650" t="n">
        <v>1</v>
      </c>
      <c r="C1650" t="n">
        <v>1648</v>
      </c>
      <c r="D1650" t="n">
        <v>-0.5059</v>
      </c>
      <c r="E1650" t="n">
        <v>15.2497</v>
      </c>
      <c r="F1650" t="n">
        <v>0.08462</v>
      </c>
    </row>
    <row r="1651">
      <c r="A1651" t="n">
        <v>1001649</v>
      </c>
      <c r="B1651" t="n">
        <v>1</v>
      </c>
      <c r="C1651" t="n">
        <v>1649</v>
      </c>
      <c r="D1651" t="n">
        <v>-0.5068</v>
      </c>
      <c r="E1651" t="n">
        <v>15.2494</v>
      </c>
      <c r="F1651" t="n">
        <v>0.08464000000000001</v>
      </c>
    </row>
    <row r="1652">
      <c r="A1652" t="n">
        <v>1001650</v>
      </c>
      <c r="B1652" t="n">
        <v>1</v>
      </c>
      <c r="C1652" t="n">
        <v>1650</v>
      </c>
      <c r="D1652" t="n">
        <v>-0.5077</v>
      </c>
      <c r="E1652" t="n">
        <v>15.249</v>
      </c>
      <c r="F1652" t="n">
        <v>0.08465</v>
      </c>
    </row>
    <row r="1653">
      <c r="A1653" t="n">
        <v>1001651</v>
      </c>
      <c r="B1653" t="n">
        <v>1</v>
      </c>
      <c r="C1653" t="n">
        <v>1651</v>
      </c>
      <c r="D1653" t="n">
        <v>-0.5087</v>
      </c>
      <c r="E1653" t="n">
        <v>15.2486</v>
      </c>
      <c r="F1653" t="n">
        <v>0.08466</v>
      </c>
    </row>
    <row r="1654">
      <c r="A1654" t="n">
        <v>1001652</v>
      </c>
      <c r="B1654" t="n">
        <v>1</v>
      </c>
      <c r="C1654" t="n">
        <v>1652</v>
      </c>
      <c r="D1654" t="n">
        <v>-0.5096000000000001</v>
      </c>
      <c r="E1654" t="n">
        <v>15.2482</v>
      </c>
      <c r="F1654" t="n">
        <v>0.08468000000000001</v>
      </c>
    </row>
    <row r="1655">
      <c r="A1655" t="n">
        <v>1001653</v>
      </c>
      <c r="B1655" t="n">
        <v>1</v>
      </c>
      <c r="C1655" t="n">
        <v>1653</v>
      </c>
      <c r="D1655" t="n">
        <v>-0.5105</v>
      </c>
      <c r="E1655" t="n">
        <v>15.2478</v>
      </c>
      <c r="F1655" t="n">
        <v>0.08469</v>
      </c>
    </row>
    <row r="1656">
      <c r="A1656" t="n">
        <v>1001654</v>
      </c>
      <c r="B1656" t="n">
        <v>1</v>
      </c>
      <c r="C1656" t="n">
        <v>1654</v>
      </c>
      <c r="D1656" t="n">
        <v>-0.5114</v>
      </c>
      <c r="E1656" t="n">
        <v>15.2475</v>
      </c>
      <c r="F1656" t="n">
        <v>0.0847</v>
      </c>
    </row>
    <row r="1657">
      <c r="A1657" t="n">
        <v>1001655</v>
      </c>
      <c r="B1657" t="n">
        <v>1</v>
      </c>
      <c r="C1657" t="n">
        <v>1655</v>
      </c>
      <c r="D1657" t="n">
        <v>-0.5124</v>
      </c>
      <c r="E1657" t="n">
        <v>15.2471</v>
      </c>
      <c r="F1657" t="n">
        <v>0.08470999999999999</v>
      </c>
    </row>
    <row r="1658">
      <c r="A1658" t="n">
        <v>1001656</v>
      </c>
      <c r="B1658" t="n">
        <v>1</v>
      </c>
      <c r="C1658" t="n">
        <v>1656</v>
      </c>
      <c r="D1658" t="n">
        <v>-0.5133</v>
      </c>
      <c r="E1658" t="n">
        <v>15.2467</v>
      </c>
      <c r="F1658" t="n">
        <v>0.08473</v>
      </c>
    </row>
    <row r="1659">
      <c r="A1659" t="n">
        <v>1001657</v>
      </c>
      <c r="B1659" t="n">
        <v>1</v>
      </c>
      <c r="C1659" t="n">
        <v>1657</v>
      </c>
      <c r="D1659" t="n">
        <v>-0.5142</v>
      </c>
      <c r="E1659" t="n">
        <v>15.2463</v>
      </c>
      <c r="F1659" t="n">
        <v>0.08474</v>
      </c>
    </row>
    <row r="1660">
      <c r="A1660" t="n">
        <v>1001658</v>
      </c>
      <c r="B1660" t="n">
        <v>1</v>
      </c>
      <c r="C1660" t="n">
        <v>1658</v>
      </c>
      <c r="D1660" t="n">
        <v>-0.5151</v>
      </c>
      <c r="E1660" t="n">
        <v>15.246</v>
      </c>
      <c r="F1660" t="n">
        <v>0.08475000000000001</v>
      </c>
    </row>
    <row r="1661">
      <c r="A1661" t="n">
        <v>1001659</v>
      </c>
      <c r="B1661" t="n">
        <v>1</v>
      </c>
      <c r="C1661" t="n">
        <v>1659</v>
      </c>
      <c r="D1661" t="n">
        <v>-0.5161</v>
      </c>
      <c r="E1661" t="n">
        <v>15.2456</v>
      </c>
      <c r="F1661" t="n">
        <v>0.08477</v>
      </c>
    </row>
    <row r="1662">
      <c r="A1662" t="n">
        <v>1001660</v>
      </c>
      <c r="B1662" t="n">
        <v>1</v>
      </c>
      <c r="C1662" t="n">
        <v>1660</v>
      </c>
      <c r="D1662" t="n">
        <v>-0.517</v>
      </c>
      <c r="E1662" t="n">
        <v>15.2452</v>
      </c>
      <c r="F1662" t="n">
        <v>0.08477999999999999</v>
      </c>
    </row>
    <row r="1663">
      <c r="A1663" t="n">
        <v>1001661</v>
      </c>
      <c r="B1663" t="n">
        <v>1</v>
      </c>
      <c r="C1663" t="n">
        <v>1661</v>
      </c>
      <c r="D1663" t="n">
        <v>-0.518</v>
      </c>
      <c r="E1663" t="n">
        <v>15.2448</v>
      </c>
      <c r="F1663" t="n">
        <v>0.08479</v>
      </c>
    </row>
    <row r="1664">
      <c r="A1664" t="n">
        <v>1001662</v>
      </c>
      <c r="B1664" t="n">
        <v>1</v>
      </c>
      <c r="C1664" t="n">
        <v>1662</v>
      </c>
      <c r="D1664" t="n">
        <v>-0.5189</v>
      </c>
      <c r="E1664" t="n">
        <v>15.2445</v>
      </c>
      <c r="F1664" t="n">
        <v>0.0848</v>
      </c>
    </row>
    <row r="1665">
      <c r="A1665" t="n">
        <v>1001663</v>
      </c>
      <c r="B1665" t="n">
        <v>1</v>
      </c>
      <c r="C1665" t="n">
        <v>1663</v>
      </c>
      <c r="D1665" t="n">
        <v>-0.5198</v>
      </c>
      <c r="E1665" t="n">
        <v>15.2441</v>
      </c>
      <c r="F1665" t="n">
        <v>0.08482000000000001</v>
      </c>
    </row>
    <row r="1666">
      <c r="A1666" t="n">
        <v>1001664</v>
      </c>
      <c r="B1666" t="n">
        <v>1</v>
      </c>
      <c r="C1666" t="n">
        <v>1664</v>
      </c>
      <c r="D1666" t="n">
        <v>-0.5208</v>
      </c>
      <c r="E1666" t="n">
        <v>15.2437</v>
      </c>
      <c r="F1666" t="n">
        <v>0.08483</v>
      </c>
    </row>
    <row r="1667">
      <c r="A1667" t="n">
        <v>1001665</v>
      </c>
      <c r="B1667" t="n">
        <v>1</v>
      </c>
      <c r="C1667" t="n">
        <v>1665</v>
      </c>
      <c r="D1667" t="n">
        <v>-0.5217000000000001</v>
      </c>
      <c r="E1667" t="n">
        <v>15.2433</v>
      </c>
      <c r="F1667" t="n">
        <v>0.08484</v>
      </c>
    </row>
    <row r="1668">
      <c r="A1668" t="n">
        <v>1001666</v>
      </c>
      <c r="B1668" t="n">
        <v>1</v>
      </c>
      <c r="C1668" t="n">
        <v>1666</v>
      </c>
      <c r="D1668" t="n">
        <v>-0.5227000000000001</v>
      </c>
      <c r="E1668" t="n">
        <v>15.243</v>
      </c>
      <c r="F1668" t="n">
        <v>0.08486</v>
      </c>
    </row>
    <row r="1669">
      <c r="A1669" t="n">
        <v>1001667</v>
      </c>
      <c r="B1669" t="n">
        <v>1</v>
      </c>
      <c r="C1669" t="n">
        <v>1667</v>
      </c>
      <c r="D1669" t="n">
        <v>-0.5236</v>
      </c>
      <c r="E1669" t="n">
        <v>15.2426</v>
      </c>
      <c r="F1669" t="n">
        <v>0.08487</v>
      </c>
    </row>
    <row r="1670">
      <c r="A1670" t="n">
        <v>1001668</v>
      </c>
      <c r="B1670" t="n">
        <v>1</v>
      </c>
      <c r="C1670" t="n">
        <v>1668</v>
      </c>
      <c r="D1670" t="n">
        <v>-0.5245</v>
      </c>
      <c r="E1670" t="n">
        <v>15.2422</v>
      </c>
      <c r="F1670" t="n">
        <v>0.08488</v>
      </c>
    </row>
    <row r="1671">
      <c r="A1671" t="n">
        <v>1001669</v>
      </c>
      <c r="B1671" t="n">
        <v>1</v>
      </c>
      <c r="C1671" t="n">
        <v>1669</v>
      </c>
      <c r="D1671" t="n">
        <v>-0.5255</v>
      </c>
      <c r="E1671" t="n">
        <v>15.2419</v>
      </c>
      <c r="F1671" t="n">
        <v>0.0849</v>
      </c>
    </row>
    <row r="1672">
      <c r="A1672" t="n">
        <v>1001670</v>
      </c>
      <c r="B1672" t="n">
        <v>1</v>
      </c>
      <c r="C1672" t="n">
        <v>1670</v>
      </c>
      <c r="D1672" t="n">
        <v>-0.5264</v>
      </c>
      <c r="E1672" t="n">
        <v>15.2415</v>
      </c>
      <c r="F1672" t="n">
        <v>0.08491</v>
      </c>
    </row>
    <row r="1673">
      <c r="A1673" t="n">
        <v>1001671</v>
      </c>
      <c r="B1673" t="n">
        <v>1</v>
      </c>
      <c r="C1673" t="n">
        <v>1671</v>
      </c>
      <c r="D1673" t="n">
        <v>-0.5274</v>
      </c>
      <c r="E1673" t="n">
        <v>15.2411</v>
      </c>
      <c r="F1673" t="n">
        <v>0.08492</v>
      </c>
    </row>
    <row r="1674">
      <c r="A1674" t="n">
        <v>1001672</v>
      </c>
      <c r="B1674" t="n">
        <v>1</v>
      </c>
      <c r="C1674" t="n">
        <v>1672</v>
      </c>
      <c r="D1674" t="n">
        <v>-0.5283</v>
      </c>
      <c r="E1674" t="n">
        <v>15.2408</v>
      </c>
      <c r="F1674" t="n">
        <v>0.08493000000000001</v>
      </c>
    </row>
    <row r="1675">
      <c r="A1675" t="n">
        <v>1001673</v>
      </c>
      <c r="B1675" t="n">
        <v>1</v>
      </c>
      <c r="C1675" t="n">
        <v>1673</v>
      </c>
      <c r="D1675" t="n">
        <v>-0.5293</v>
      </c>
      <c r="E1675" t="n">
        <v>15.2404</v>
      </c>
      <c r="F1675" t="n">
        <v>0.08495</v>
      </c>
    </row>
    <row r="1676">
      <c r="A1676" t="n">
        <v>1001674</v>
      </c>
      <c r="B1676" t="n">
        <v>1</v>
      </c>
      <c r="C1676" t="n">
        <v>1674</v>
      </c>
      <c r="D1676" t="n">
        <v>-0.5302</v>
      </c>
      <c r="E1676" t="n">
        <v>15.24</v>
      </c>
      <c r="F1676" t="n">
        <v>0.08495999999999999</v>
      </c>
    </row>
    <row r="1677">
      <c r="A1677" t="n">
        <v>1001675</v>
      </c>
      <c r="B1677" t="n">
        <v>1</v>
      </c>
      <c r="C1677" t="n">
        <v>1675</v>
      </c>
      <c r="D1677" t="n">
        <v>-0.5312</v>
      </c>
      <c r="E1677" t="n">
        <v>15.2397</v>
      </c>
      <c r="F1677" t="n">
        <v>0.08497</v>
      </c>
    </row>
    <row r="1678">
      <c r="A1678" t="n">
        <v>1001676</v>
      </c>
      <c r="B1678" t="n">
        <v>1</v>
      </c>
      <c r="C1678" t="n">
        <v>1676</v>
      </c>
      <c r="D1678" t="n">
        <v>-0.5321</v>
      </c>
      <c r="E1678" t="n">
        <v>15.2393</v>
      </c>
      <c r="F1678" t="n">
        <v>0.08499</v>
      </c>
    </row>
    <row r="1679">
      <c r="A1679" t="n">
        <v>1001677</v>
      </c>
      <c r="B1679" t="n">
        <v>1</v>
      </c>
      <c r="C1679" t="n">
        <v>1677</v>
      </c>
      <c r="D1679" t="n">
        <v>-0.5331</v>
      </c>
      <c r="E1679" t="n">
        <v>15.2389</v>
      </c>
      <c r="F1679" t="n">
        <v>0.08500000000000001</v>
      </c>
    </row>
    <row r="1680">
      <c r="A1680" t="n">
        <v>1001678</v>
      </c>
      <c r="B1680" t="n">
        <v>1</v>
      </c>
      <c r="C1680" t="n">
        <v>1678</v>
      </c>
      <c r="D1680" t="n">
        <v>-0.5341</v>
      </c>
      <c r="E1680" t="n">
        <v>15.2386</v>
      </c>
      <c r="F1680" t="n">
        <v>0.08501</v>
      </c>
    </row>
    <row r="1681">
      <c r="A1681" t="n">
        <v>1001679</v>
      </c>
      <c r="B1681" t="n">
        <v>1</v>
      </c>
      <c r="C1681" t="n">
        <v>1679</v>
      </c>
      <c r="D1681" t="n">
        <v>-0.535</v>
      </c>
      <c r="E1681" t="n">
        <v>15.2382</v>
      </c>
      <c r="F1681" t="n">
        <v>0.08502999999999999</v>
      </c>
    </row>
    <row r="1682">
      <c r="A1682" t="n">
        <v>1001680</v>
      </c>
      <c r="B1682" t="n">
        <v>1</v>
      </c>
      <c r="C1682" t="n">
        <v>1680</v>
      </c>
      <c r="D1682" t="n">
        <v>-0.536</v>
      </c>
      <c r="E1682" t="n">
        <v>15.2378</v>
      </c>
      <c r="F1682" t="n">
        <v>0.08504</v>
      </c>
    </row>
    <row r="1683">
      <c r="A1683" t="n">
        <v>1001681</v>
      </c>
      <c r="B1683" t="n">
        <v>1</v>
      </c>
      <c r="C1683" t="n">
        <v>1681</v>
      </c>
      <c r="D1683" t="n">
        <v>-0.5369</v>
      </c>
      <c r="E1683" t="n">
        <v>15.2375</v>
      </c>
      <c r="F1683" t="n">
        <v>0.08505</v>
      </c>
    </row>
    <row r="1684">
      <c r="A1684" t="n">
        <v>1001682</v>
      </c>
      <c r="B1684" t="n">
        <v>1</v>
      </c>
      <c r="C1684" t="n">
        <v>1682</v>
      </c>
      <c r="D1684" t="n">
        <v>-0.5379</v>
      </c>
      <c r="E1684" t="n">
        <v>15.2371</v>
      </c>
      <c r="F1684" t="n">
        <v>0.08506</v>
      </c>
    </row>
    <row r="1685">
      <c r="A1685" t="n">
        <v>1001683</v>
      </c>
      <c r="B1685" t="n">
        <v>1</v>
      </c>
      <c r="C1685" t="n">
        <v>1683</v>
      </c>
      <c r="D1685" t="n">
        <v>-0.5389</v>
      </c>
      <c r="E1685" t="n">
        <v>15.2368</v>
      </c>
      <c r="F1685" t="n">
        <v>0.08508</v>
      </c>
    </row>
    <row r="1686">
      <c r="A1686" t="n">
        <v>1001684</v>
      </c>
      <c r="B1686" t="n">
        <v>1</v>
      </c>
      <c r="C1686" t="n">
        <v>1684</v>
      </c>
      <c r="D1686" t="n">
        <v>-0.5397999999999999</v>
      </c>
      <c r="E1686" t="n">
        <v>15.2364</v>
      </c>
      <c r="F1686" t="n">
        <v>0.08509</v>
      </c>
    </row>
    <row r="1687">
      <c r="A1687" t="n">
        <v>1001685</v>
      </c>
      <c r="B1687" t="n">
        <v>1</v>
      </c>
      <c r="C1687" t="n">
        <v>1685</v>
      </c>
      <c r="D1687" t="n">
        <v>-0.5407999999999999</v>
      </c>
      <c r="E1687" t="n">
        <v>15.236</v>
      </c>
      <c r="F1687" t="n">
        <v>0.0851</v>
      </c>
    </row>
    <row r="1688">
      <c r="A1688" t="n">
        <v>1001686</v>
      </c>
      <c r="B1688" t="n">
        <v>1</v>
      </c>
      <c r="C1688" t="n">
        <v>1686</v>
      </c>
      <c r="D1688" t="n">
        <v>-0.5417999999999999</v>
      </c>
      <c r="E1688" t="n">
        <v>15.2357</v>
      </c>
      <c r="F1688" t="n">
        <v>0.08512</v>
      </c>
    </row>
    <row r="1689">
      <c r="A1689" t="n">
        <v>1001687</v>
      </c>
      <c r="B1689" t="n">
        <v>1</v>
      </c>
      <c r="C1689" t="n">
        <v>1687</v>
      </c>
      <c r="D1689" t="n">
        <v>-0.5427</v>
      </c>
      <c r="E1689" t="n">
        <v>15.2353</v>
      </c>
      <c r="F1689" t="n">
        <v>0.08513</v>
      </c>
    </row>
    <row r="1690">
      <c r="A1690" t="n">
        <v>1001688</v>
      </c>
      <c r="B1690" t="n">
        <v>1</v>
      </c>
      <c r="C1690" t="n">
        <v>1688</v>
      </c>
      <c r="D1690" t="n">
        <v>-0.5437</v>
      </c>
      <c r="E1690" t="n">
        <v>15.235</v>
      </c>
      <c r="F1690" t="n">
        <v>0.08513999999999999</v>
      </c>
    </row>
    <row r="1691">
      <c r="A1691" t="n">
        <v>1001689</v>
      </c>
      <c r="B1691" t="n">
        <v>1</v>
      </c>
      <c r="C1691" t="n">
        <v>1689</v>
      </c>
      <c r="D1691" t="n">
        <v>-0.5447</v>
      </c>
      <c r="E1691" t="n">
        <v>15.2346</v>
      </c>
      <c r="F1691" t="n">
        <v>0.08516</v>
      </c>
    </row>
    <row r="1692">
      <c r="A1692" t="n">
        <v>1001690</v>
      </c>
      <c r="B1692" t="n">
        <v>1</v>
      </c>
      <c r="C1692" t="n">
        <v>1690</v>
      </c>
      <c r="D1692" t="n">
        <v>-0.5456</v>
      </c>
      <c r="E1692" t="n">
        <v>15.2342</v>
      </c>
      <c r="F1692" t="n">
        <v>0.08517</v>
      </c>
    </row>
    <row r="1693">
      <c r="A1693" t="n">
        <v>1001691</v>
      </c>
      <c r="B1693" t="n">
        <v>1</v>
      </c>
      <c r="C1693" t="n">
        <v>1691</v>
      </c>
      <c r="D1693" t="n">
        <v>-0.5466</v>
      </c>
      <c r="E1693" t="n">
        <v>15.2339</v>
      </c>
      <c r="F1693" t="n">
        <v>0.08518000000000001</v>
      </c>
    </row>
    <row r="1694">
      <c r="A1694" t="n">
        <v>1001692</v>
      </c>
      <c r="B1694" t="n">
        <v>1</v>
      </c>
      <c r="C1694" t="n">
        <v>1692</v>
      </c>
      <c r="D1694" t="n">
        <v>-0.5476</v>
      </c>
      <c r="E1694" t="n">
        <v>15.2335</v>
      </c>
      <c r="F1694" t="n">
        <v>0.0852</v>
      </c>
    </row>
    <row r="1695">
      <c r="A1695" t="n">
        <v>1001693</v>
      </c>
      <c r="B1695" t="n">
        <v>1</v>
      </c>
      <c r="C1695" t="n">
        <v>1693</v>
      </c>
      <c r="D1695" t="n">
        <v>-0.5486</v>
      </c>
      <c r="E1695" t="n">
        <v>15.2332</v>
      </c>
      <c r="F1695" t="n">
        <v>0.08520999999999999</v>
      </c>
    </row>
    <row r="1696">
      <c r="A1696" t="n">
        <v>1001694</v>
      </c>
      <c r="B1696" t="n">
        <v>1</v>
      </c>
      <c r="C1696" t="n">
        <v>1694</v>
      </c>
      <c r="D1696" t="n">
        <v>-0.5495</v>
      </c>
      <c r="E1696" t="n">
        <v>15.2328</v>
      </c>
      <c r="F1696" t="n">
        <v>0.08522</v>
      </c>
    </row>
    <row r="1697">
      <c r="A1697" t="n">
        <v>1001695</v>
      </c>
      <c r="B1697" t="n">
        <v>1</v>
      </c>
      <c r="C1697" t="n">
        <v>1695</v>
      </c>
      <c r="D1697" t="n">
        <v>-0.5505</v>
      </c>
      <c r="E1697" t="n">
        <v>15.2325</v>
      </c>
      <c r="F1697" t="n">
        <v>0.08524</v>
      </c>
    </row>
    <row r="1698">
      <c r="A1698" t="n">
        <v>1001696</v>
      </c>
      <c r="B1698" t="n">
        <v>1</v>
      </c>
      <c r="C1698" t="n">
        <v>1696</v>
      </c>
      <c r="D1698" t="n">
        <v>-0.5515</v>
      </c>
      <c r="E1698" t="n">
        <v>15.2321</v>
      </c>
      <c r="F1698" t="n">
        <v>0.08525000000000001</v>
      </c>
    </row>
    <row r="1699">
      <c r="A1699" t="n">
        <v>1001697</v>
      </c>
      <c r="B1699" t="n">
        <v>1</v>
      </c>
      <c r="C1699" t="n">
        <v>1697</v>
      </c>
      <c r="D1699" t="n">
        <v>-0.5525</v>
      </c>
      <c r="E1699" t="n">
        <v>15.2318</v>
      </c>
      <c r="F1699" t="n">
        <v>0.08526</v>
      </c>
    </row>
    <row r="1700">
      <c r="A1700" t="n">
        <v>1001698</v>
      </c>
      <c r="B1700" t="n">
        <v>1</v>
      </c>
      <c r="C1700" t="n">
        <v>1698</v>
      </c>
      <c r="D1700" t="n">
        <v>-0.5535</v>
      </c>
      <c r="E1700" t="n">
        <v>15.2314</v>
      </c>
      <c r="F1700" t="n">
        <v>0.08527</v>
      </c>
    </row>
    <row r="1701">
      <c r="A1701" t="n">
        <v>1001699</v>
      </c>
      <c r="B1701" t="n">
        <v>1</v>
      </c>
      <c r="C1701" t="n">
        <v>1699</v>
      </c>
      <c r="D1701" t="n">
        <v>-0.5544</v>
      </c>
      <c r="E1701" t="n">
        <v>15.2311</v>
      </c>
      <c r="F1701" t="n">
        <v>0.08529</v>
      </c>
    </row>
    <row r="1702">
      <c r="A1702" t="n">
        <v>1001700</v>
      </c>
      <c r="B1702" t="n">
        <v>1</v>
      </c>
      <c r="C1702" t="n">
        <v>1700</v>
      </c>
      <c r="D1702" t="n">
        <v>-0.5554</v>
      </c>
      <c r="E1702" t="n">
        <v>15.2307</v>
      </c>
      <c r="F1702" t="n">
        <v>0.0853</v>
      </c>
    </row>
    <row r="1703">
      <c r="A1703" t="n">
        <v>1001701</v>
      </c>
      <c r="B1703" t="n">
        <v>1</v>
      </c>
      <c r="C1703" t="n">
        <v>1701</v>
      </c>
      <c r="D1703" t="n">
        <v>-0.5564</v>
      </c>
      <c r="E1703" t="n">
        <v>15.2304</v>
      </c>
      <c r="F1703" t="n">
        <v>0.08531</v>
      </c>
    </row>
    <row r="1704">
      <c r="A1704" t="n">
        <v>1001702</v>
      </c>
      <c r="B1704" t="n">
        <v>1</v>
      </c>
      <c r="C1704" t="n">
        <v>1702</v>
      </c>
      <c r="D1704" t="n">
        <v>-0.5574</v>
      </c>
      <c r="E1704" t="n">
        <v>15.23</v>
      </c>
      <c r="F1704" t="n">
        <v>0.08533</v>
      </c>
    </row>
    <row r="1705">
      <c r="A1705" t="n">
        <v>1001703</v>
      </c>
      <c r="B1705" t="n">
        <v>1</v>
      </c>
      <c r="C1705" t="n">
        <v>1703</v>
      </c>
      <c r="D1705" t="n">
        <v>-0.5584</v>
      </c>
      <c r="E1705" t="n">
        <v>15.2297</v>
      </c>
      <c r="F1705" t="n">
        <v>0.08534</v>
      </c>
    </row>
    <row r="1706">
      <c r="A1706" t="n">
        <v>1001704</v>
      </c>
      <c r="B1706" t="n">
        <v>1</v>
      </c>
      <c r="C1706" t="n">
        <v>1704</v>
      </c>
      <c r="D1706" t="n">
        <v>-0.5594</v>
      </c>
      <c r="E1706" t="n">
        <v>15.2293</v>
      </c>
      <c r="F1706" t="n">
        <v>0.08535</v>
      </c>
    </row>
    <row r="1707">
      <c r="A1707" t="n">
        <v>1001705</v>
      </c>
      <c r="B1707" t="n">
        <v>1</v>
      </c>
      <c r="C1707" t="n">
        <v>1705</v>
      </c>
      <c r="D1707" t="n">
        <v>-0.5604</v>
      </c>
      <c r="E1707" t="n">
        <v>15.229</v>
      </c>
      <c r="F1707" t="n">
        <v>0.08537</v>
      </c>
    </row>
    <row r="1708">
      <c r="A1708" t="n">
        <v>1001706</v>
      </c>
      <c r="B1708" t="n">
        <v>1</v>
      </c>
      <c r="C1708" t="n">
        <v>1706</v>
      </c>
      <c r="D1708" t="n">
        <v>-0.5614</v>
      </c>
      <c r="E1708" t="n">
        <v>15.2286</v>
      </c>
      <c r="F1708" t="n">
        <v>0.08538</v>
      </c>
    </row>
    <row r="1709">
      <c r="A1709" t="n">
        <v>1001707</v>
      </c>
      <c r="B1709" t="n">
        <v>1</v>
      </c>
      <c r="C1709" t="n">
        <v>1707</v>
      </c>
      <c r="D1709" t="n">
        <v>-0.5623</v>
      </c>
      <c r="E1709" t="n">
        <v>15.2283</v>
      </c>
      <c r="F1709" t="n">
        <v>0.08538999999999999</v>
      </c>
    </row>
    <row r="1710">
      <c r="A1710" t="n">
        <v>1001708</v>
      </c>
      <c r="B1710" t="n">
        <v>1</v>
      </c>
      <c r="C1710" t="n">
        <v>1708</v>
      </c>
      <c r="D1710" t="n">
        <v>-0.5633</v>
      </c>
      <c r="E1710" t="n">
        <v>15.2279</v>
      </c>
      <c r="F1710" t="n">
        <v>0.08541</v>
      </c>
    </row>
    <row r="1711">
      <c r="A1711" t="n">
        <v>1001709</v>
      </c>
      <c r="B1711" t="n">
        <v>1</v>
      </c>
      <c r="C1711" t="n">
        <v>1709</v>
      </c>
      <c r="D1711" t="n">
        <v>-0.5643</v>
      </c>
      <c r="E1711" t="n">
        <v>15.2276</v>
      </c>
      <c r="F1711" t="n">
        <v>0.08542</v>
      </c>
    </row>
    <row r="1712">
      <c r="A1712" t="n">
        <v>1001710</v>
      </c>
      <c r="B1712" t="n">
        <v>1</v>
      </c>
      <c r="C1712" t="n">
        <v>1710</v>
      </c>
      <c r="D1712" t="n">
        <v>-0.5653</v>
      </c>
      <c r="E1712" t="n">
        <v>15.2272</v>
      </c>
      <c r="F1712" t="n">
        <v>0.08543000000000001</v>
      </c>
    </row>
    <row r="1713">
      <c r="A1713" t="n">
        <v>1001711</v>
      </c>
      <c r="B1713" t="n">
        <v>1</v>
      </c>
      <c r="C1713" t="n">
        <v>1711</v>
      </c>
      <c r="D1713" t="n">
        <v>-0.5663</v>
      </c>
      <c r="E1713" t="n">
        <v>15.2269</v>
      </c>
      <c r="F1713" t="n">
        <v>0.08545</v>
      </c>
    </row>
    <row r="1714">
      <c r="A1714" t="n">
        <v>1001712</v>
      </c>
      <c r="B1714" t="n">
        <v>1</v>
      </c>
      <c r="C1714" t="n">
        <v>1712</v>
      </c>
      <c r="D1714" t="n">
        <v>-0.5673</v>
      </c>
      <c r="E1714" t="n">
        <v>15.2265</v>
      </c>
      <c r="F1714" t="n">
        <v>0.08545999999999999</v>
      </c>
    </row>
    <row r="1715">
      <c r="A1715" t="n">
        <v>1001713</v>
      </c>
      <c r="B1715" t="n">
        <v>1</v>
      </c>
      <c r="C1715" t="n">
        <v>1713</v>
      </c>
      <c r="D1715" t="n">
        <v>-0.5683</v>
      </c>
      <c r="E1715" t="n">
        <v>15.2262</v>
      </c>
      <c r="F1715" t="n">
        <v>0.08547</v>
      </c>
    </row>
    <row r="1716">
      <c r="A1716" t="n">
        <v>1001714</v>
      </c>
      <c r="B1716" t="n">
        <v>1</v>
      </c>
      <c r="C1716" t="n">
        <v>1714</v>
      </c>
      <c r="D1716" t="n">
        <v>-0.5693</v>
      </c>
      <c r="E1716" t="n">
        <v>15.2258</v>
      </c>
      <c r="F1716" t="n">
        <v>0.08549</v>
      </c>
    </row>
    <row r="1717">
      <c r="A1717" t="n">
        <v>1001715</v>
      </c>
      <c r="B1717" t="n">
        <v>1</v>
      </c>
      <c r="C1717" t="n">
        <v>1715</v>
      </c>
      <c r="D1717" t="n">
        <v>-0.5703</v>
      </c>
      <c r="E1717" t="n">
        <v>15.2255</v>
      </c>
      <c r="F1717" t="n">
        <v>0.08550000000000001</v>
      </c>
    </row>
    <row r="1718">
      <c r="A1718" t="n">
        <v>1001716</v>
      </c>
      <c r="B1718" t="n">
        <v>1</v>
      </c>
      <c r="C1718" t="n">
        <v>1716</v>
      </c>
      <c r="D1718" t="n">
        <v>-0.5713</v>
      </c>
      <c r="E1718" t="n">
        <v>15.2252</v>
      </c>
      <c r="F1718" t="n">
        <v>0.08551</v>
      </c>
    </row>
    <row r="1719">
      <c r="A1719" t="n">
        <v>1001717</v>
      </c>
      <c r="B1719" t="n">
        <v>1</v>
      </c>
      <c r="C1719" t="n">
        <v>1717</v>
      </c>
      <c r="D1719" t="n">
        <v>-0.5723</v>
      </c>
      <c r="E1719" t="n">
        <v>15.2248</v>
      </c>
      <c r="F1719" t="n">
        <v>0.08552999999999999</v>
      </c>
    </row>
    <row r="1720">
      <c r="A1720" t="n">
        <v>1001718</v>
      </c>
      <c r="B1720" t="n">
        <v>1</v>
      </c>
      <c r="C1720" t="n">
        <v>1718</v>
      </c>
      <c r="D1720" t="n">
        <v>-0.5733</v>
      </c>
      <c r="E1720" t="n">
        <v>15.2245</v>
      </c>
      <c r="F1720" t="n">
        <v>0.08554</v>
      </c>
    </row>
    <row r="1721">
      <c r="A1721" t="n">
        <v>1001719</v>
      </c>
      <c r="B1721" t="n">
        <v>1</v>
      </c>
      <c r="C1721" t="n">
        <v>1719</v>
      </c>
      <c r="D1721" t="n">
        <v>-0.5743</v>
      </c>
      <c r="E1721" t="n">
        <v>15.2241</v>
      </c>
      <c r="F1721" t="n">
        <v>0.08555</v>
      </c>
    </row>
    <row r="1722">
      <c r="A1722" t="n">
        <v>1001720</v>
      </c>
      <c r="B1722" t="n">
        <v>1</v>
      </c>
      <c r="C1722" t="n">
        <v>1720</v>
      </c>
      <c r="D1722" t="n">
        <v>-0.5754</v>
      </c>
      <c r="E1722" t="n">
        <v>15.2238</v>
      </c>
      <c r="F1722" t="n">
        <v>0.08556999999999999</v>
      </c>
    </row>
    <row r="1723">
      <c r="A1723" t="n">
        <v>1001721</v>
      </c>
      <c r="B1723" t="n">
        <v>1</v>
      </c>
      <c r="C1723" t="n">
        <v>1721</v>
      </c>
      <c r="D1723" t="n">
        <v>-0.5764</v>
      </c>
      <c r="E1723" t="n">
        <v>15.2235</v>
      </c>
      <c r="F1723" t="n">
        <v>0.08558</v>
      </c>
    </row>
    <row r="1724">
      <c r="A1724" t="n">
        <v>1001722</v>
      </c>
      <c r="B1724" t="n">
        <v>1</v>
      </c>
      <c r="C1724" t="n">
        <v>1722</v>
      </c>
      <c r="D1724" t="n">
        <v>-0.5774</v>
      </c>
      <c r="E1724" t="n">
        <v>15.2231</v>
      </c>
      <c r="F1724" t="n">
        <v>0.08559</v>
      </c>
    </row>
    <row r="1725">
      <c r="A1725" t="n">
        <v>1001723</v>
      </c>
      <c r="B1725" t="n">
        <v>1</v>
      </c>
      <c r="C1725" t="n">
        <v>1723</v>
      </c>
      <c r="D1725" t="n">
        <v>-0.5784</v>
      </c>
      <c r="E1725" t="n">
        <v>15.2228</v>
      </c>
      <c r="F1725" t="n">
        <v>0.08561000000000001</v>
      </c>
    </row>
    <row r="1726">
      <c r="A1726" t="n">
        <v>1001724</v>
      </c>
      <c r="B1726" t="n">
        <v>1</v>
      </c>
      <c r="C1726" t="n">
        <v>1724</v>
      </c>
      <c r="D1726" t="n">
        <v>-0.5794</v>
      </c>
      <c r="E1726" t="n">
        <v>15.2224</v>
      </c>
      <c r="F1726" t="n">
        <v>0.08562</v>
      </c>
    </row>
    <row r="1727">
      <c r="A1727" t="n">
        <v>1001725</v>
      </c>
      <c r="B1727" t="n">
        <v>1</v>
      </c>
      <c r="C1727" t="n">
        <v>1725</v>
      </c>
      <c r="D1727" t="n">
        <v>-0.5804</v>
      </c>
      <c r="E1727" t="n">
        <v>15.2221</v>
      </c>
      <c r="F1727" t="n">
        <v>0.08563</v>
      </c>
    </row>
    <row r="1728">
      <c r="A1728" t="n">
        <v>1001726</v>
      </c>
      <c r="B1728" t="n">
        <v>1</v>
      </c>
      <c r="C1728" t="n">
        <v>1726</v>
      </c>
      <c r="D1728" t="n">
        <v>-0.5814</v>
      </c>
      <c r="E1728" t="n">
        <v>15.2218</v>
      </c>
      <c r="F1728" t="n">
        <v>0.08565</v>
      </c>
    </row>
    <row r="1729">
      <c r="A1729" t="n">
        <v>1001727</v>
      </c>
      <c r="B1729" t="n">
        <v>1</v>
      </c>
      <c r="C1729" t="n">
        <v>1727</v>
      </c>
      <c r="D1729" t="n">
        <v>-0.5824</v>
      </c>
      <c r="E1729" t="n">
        <v>15.2214</v>
      </c>
      <c r="F1729" t="n">
        <v>0.08566</v>
      </c>
    </row>
    <row r="1730">
      <c r="A1730" t="n">
        <v>1001728</v>
      </c>
      <c r="B1730" t="n">
        <v>1</v>
      </c>
      <c r="C1730" t="n">
        <v>1728</v>
      </c>
      <c r="D1730" t="n">
        <v>-0.5835</v>
      </c>
      <c r="E1730" t="n">
        <v>15.2211</v>
      </c>
      <c r="F1730" t="n">
        <v>0.08567</v>
      </c>
    </row>
    <row r="1731">
      <c r="A1731" t="n">
        <v>1001729</v>
      </c>
      <c r="B1731" t="n">
        <v>1</v>
      </c>
      <c r="C1731" t="n">
        <v>1729</v>
      </c>
      <c r="D1731" t="n">
        <v>-0.5845</v>
      </c>
      <c r="E1731" t="n">
        <v>15.2208</v>
      </c>
      <c r="F1731" t="n">
        <v>0.08569</v>
      </c>
    </row>
    <row r="1732">
      <c r="A1732" t="n">
        <v>1001730</v>
      </c>
      <c r="B1732" t="n">
        <v>1</v>
      </c>
      <c r="C1732" t="n">
        <v>1730</v>
      </c>
      <c r="D1732" t="n">
        <v>-0.5855</v>
      </c>
      <c r="E1732" t="n">
        <v>15.2204</v>
      </c>
      <c r="F1732" t="n">
        <v>0.0857</v>
      </c>
    </row>
    <row r="1733">
      <c r="A1733" t="n">
        <v>1001731</v>
      </c>
      <c r="B1733" t="n">
        <v>1</v>
      </c>
      <c r="C1733" t="n">
        <v>1731</v>
      </c>
      <c r="D1733" t="n">
        <v>-0.5865</v>
      </c>
      <c r="E1733" t="n">
        <v>15.2201</v>
      </c>
      <c r="F1733" t="n">
        <v>0.08570999999999999</v>
      </c>
    </row>
    <row r="1734">
      <c r="A1734" t="n">
        <v>1001732</v>
      </c>
      <c r="B1734" t="n">
        <v>1</v>
      </c>
      <c r="C1734" t="n">
        <v>1732</v>
      </c>
      <c r="D1734" t="n">
        <v>-0.5875</v>
      </c>
      <c r="E1734" t="n">
        <v>15.2198</v>
      </c>
      <c r="F1734" t="n">
        <v>0.08573</v>
      </c>
    </row>
    <row r="1735">
      <c r="A1735" t="n">
        <v>1001733</v>
      </c>
      <c r="B1735" t="n">
        <v>1</v>
      </c>
      <c r="C1735" t="n">
        <v>1733</v>
      </c>
      <c r="D1735" t="n">
        <v>-0.5886</v>
      </c>
      <c r="E1735" t="n">
        <v>15.2194</v>
      </c>
      <c r="F1735" t="n">
        <v>0.08574</v>
      </c>
    </row>
    <row r="1736">
      <c r="A1736" t="n">
        <v>1001734</v>
      </c>
      <c r="B1736" t="n">
        <v>1</v>
      </c>
      <c r="C1736" t="n">
        <v>1734</v>
      </c>
      <c r="D1736" t="n">
        <v>-0.5896</v>
      </c>
      <c r="E1736" t="n">
        <v>15.2191</v>
      </c>
      <c r="F1736" t="n">
        <v>0.08575000000000001</v>
      </c>
    </row>
    <row r="1737">
      <c r="A1737" t="n">
        <v>1001735</v>
      </c>
      <c r="B1737" t="n">
        <v>1</v>
      </c>
      <c r="C1737" t="n">
        <v>1735</v>
      </c>
      <c r="D1737" t="n">
        <v>-0.5906</v>
      </c>
      <c r="E1737" t="n">
        <v>15.2188</v>
      </c>
      <c r="F1737" t="n">
        <v>0.08577</v>
      </c>
    </row>
    <row r="1738">
      <c r="A1738" t="n">
        <v>1001736</v>
      </c>
      <c r="B1738" t="n">
        <v>1</v>
      </c>
      <c r="C1738" t="n">
        <v>1736</v>
      </c>
      <c r="D1738" t="n">
        <v>-0.5916</v>
      </c>
      <c r="E1738" t="n">
        <v>15.2184</v>
      </c>
      <c r="F1738" t="n">
        <v>0.08578</v>
      </c>
    </row>
    <row r="1739">
      <c r="A1739" t="n">
        <v>1001737</v>
      </c>
      <c r="B1739" t="n">
        <v>1</v>
      </c>
      <c r="C1739" t="n">
        <v>1737</v>
      </c>
      <c r="D1739" t="n">
        <v>-0.5927</v>
      </c>
      <c r="E1739" t="n">
        <v>15.2181</v>
      </c>
      <c r="F1739" t="n">
        <v>0.08579000000000001</v>
      </c>
    </row>
    <row r="1740">
      <c r="A1740" t="n">
        <v>1001738</v>
      </c>
      <c r="B1740" t="n">
        <v>1</v>
      </c>
      <c r="C1740" t="n">
        <v>1738</v>
      </c>
      <c r="D1740" t="n">
        <v>-0.5937</v>
      </c>
      <c r="E1740" t="n">
        <v>15.2178</v>
      </c>
      <c r="F1740" t="n">
        <v>0.08581</v>
      </c>
    </row>
    <row r="1741">
      <c r="A1741" t="n">
        <v>1001739</v>
      </c>
      <c r="B1741" t="n">
        <v>1</v>
      </c>
      <c r="C1741" t="n">
        <v>1739</v>
      </c>
      <c r="D1741" t="n">
        <v>-0.5947</v>
      </c>
      <c r="E1741" t="n">
        <v>15.2175</v>
      </c>
      <c r="F1741" t="n">
        <v>0.08581999999999999</v>
      </c>
    </row>
    <row r="1742">
      <c r="A1742" t="n">
        <v>1001740</v>
      </c>
      <c r="B1742" t="n">
        <v>1</v>
      </c>
      <c r="C1742" t="n">
        <v>1740</v>
      </c>
      <c r="D1742" t="n">
        <v>-0.5958</v>
      </c>
      <c r="E1742" t="n">
        <v>15.2171</v>
      </c>
      <c r="F1742" t="n">
        <v>0.08583</v>
      </c>
    </row>
    <row r="1743">
      <c r="A1743" t="n">
        <v>1001741</v>
      </c>
      <c r="B1743" t="n">
        <v>1</v>
      </c>
      <c r="C1743" t="n">
        <v>1741</v>
      </c>
      <c r="D1743" t="n">
        <v>-0.5968</v>
      </c>
      <c r="E1743" t="n">
        <v>15.2168</v>
      </c>
      <c r="F1743" t="n">
        <v>0.08585</v>
      </c>
    </row>
    <row r="1744">
      <c r="A1744" t="n">
        <v>1001742</v>
      </c>
      <c r="B1744" t="n">
        <v>1</v>
      </c>
      <c r="C1744" t="n">
        <v>1742</v>
      </c>
      <c r="D1744" t="n">
        <v>-0.5978</v>
      </c>
      <c r="E1744" t="n">
        <v>15.2165</v>
      </c>
      <c r="F1744" t="n">
        <v>0.08586000000000001</v>
      </c>
    </row>
    <row r="1745">
      <c r="A1745" t="n">
        <v>1001743</v>
      </c>
      <c r="B1745" t="n">
        <v>1</v>
      </c>
      <c r="C1745" t="n">
        <v>1743</v>
      </c>
      <c r="D1745" t="n">
        <v>-0.5989</v>
      </c>
      <c r="E1745" t="n">
        <v>15.2162</v>
      </c>
      <c r="F1745" t="n">
        <v>0.08587</v>
      </c>
    </row>
    <row r="1746">
      <c r="A1746" t="n">
        <v>1001744</v>
      </c>
      <c r="B1746" t="n">
        <v>1</v>
      </c>
      <c r="C1746" t="n">
        <v>1744</v>
      </c>
      <c r="D1746" t="n">
        <v>-0.5999</v>
      </c>
      <c r="E1746" t="n">
        <v>15.2158</v>
      </c>
      <c r="F1746" t="n">
        <v>0.08588999999999999</v>
      </c>
    </row>
    <row r="1747">
      <c r="A1747" t="n">
        <v>1001745</v>
      </c>
      <c r="B1747" t="n">
        <v>1</v>
      </c>
      <c r="C1747" t="n">
        <v>1745</v>
      </c>
      <c r="D1747" t="n">
        <v>-0.6009</v>
      </c>
      <c r="E1747" t="n">
        <v>15.2155</v>
      </c>
      <c r="F1747" t="n">
        <v>0.0859</v>
      </c>
    </row>
    <row r="1748">
      <c r="A1748" t="n">
        <v>1001746</v>
      </c>
      <c r="B1748" t="n">
        <v>1</v>
      </c>
      <c r="C1748" t="n">
        <v>1746</v>
      </c>
      <c r="D1748" t="n">
        <v>-0.602</v>
      </c>
      <c r="E1748" t="n">
        <v>15.2152</v>
      </c>
      <c r="F1748" t="n">
        <v>0.08591</v>
      </c>
    </row>
    <row r="1749">
      <c r="A1749" t="n">
        <v>1001747</v>
      </c>
      <c r="B1749" t="n">
        <v>1</v>
      </c>
      <c r="C1749" t="n">
        <v>1747</v>
      </c>
      <c r="D1749" t="n">
        <v>-0.603</v>
      </c>
      <c r="E1749" t="n">
        <v>15.2149</v>
      </c>
      <c r="F1749" t="n">
        <v>0.08593000000000001</v>
      </c>
    </row>
    <row r="1750">
      <c r="A1750" t="n">
        <v>1001748</v>
      </c>
      <c r="B1750" t="n">
        <v>1</v>
      </c>
      <c r="C1750" t="n">
        <v>1748</v>
      </c>
      <c r="D1750" t="n">
        <v>-0.604</v>
      </c>
      <c r="E1750" t="n">
        <v>15.2145</v>
      </c>
      <c r="F1750" t="n">
        <v>0.08594</v>
      </c>
    </row>
    <row r="1751">
      <c r="A1751" t="n">
        <v>1001749</v>
      </c>
      <c r="B1751" t="n">
        <v>1</v>
      </c>
      <c r="C1751" t="n">
        <v>1749</v>
      </c>
      <c r="D1751" t="n">
        <v>-0.6051</v>
      </c>
      <c r="E1751" t="n">
        <v>15.2142</v>
      </c>
      <c r="F1751" t="n">
        <v>0.08595</v>
      </c>
    </row>
    <row r="1752">
      <c r="A1752" t="n">
        <v>1001750</v>
      </c>
      <c r="B1752" t="n">
        <v>1</v>
      </c>
      <c r="C1752" t="n">
        <v>1750</v>
      </c>
      <c r="D1752" t="n">
        <v>-0.6061</v>
      </c>
      <c r="E1752" t="n">
        <v>15.2139</v>
      </c>
      <c r="F1752" t="n">
        <v>0.08597</v>
      </c>
    </row>
    <row r="1753">
      <c r="A1753" t="n">
        <v>1001751</v>
      </c>
      <c r="B1753" t="n">
        <v>1</v>
      </c>
      <c r="C1753" t="n">
        <v>1751</v>
      </c>
      <c r="D1753" t="n">
        <v>-0.6072</v>
      </c>
      <c r="E1753" t="n">
        <v>15.2136</v>
      </c>
      <c r="F1753" t="n">
        <v>0.08598</v>
      </c>
    </row>
    <row r="1754">
      <c r="A1754" t="n">
        <v>1001752</v>
      </c>
      <c r="B1754" t="n">
        <v>1</v>
      </c>
      <c r="C1754" t="n">
        <v>1752</v>
      </c>
      <c r="D1754" t="n">
        <v>-0.6082</v>
      </c>
      <c r="E1754" t="n">
        <v>15.2133</v>
      </c>
      <c r="F1754" t="n">
        <v>0.08599</v>
      </c>
    </row>
    <row r="1755">
      <c r="A1755" t="n">
        <v>1001753</v>
      </c>
      <c r="B1755" t="n">
        <v>1</v>
      </c>
      <c r="C1755" t="n">
        <v>1753</v>
      </c>
      <c r="D1755" t="n">
        <v>-0.6093</v>
      </c>
      <c r="E1755" t="n">
        <v>15.213</v>
      </c>
      <c r="F1755" t="n">
        <v>0.08601</v>
      </c>
    </row>
    <row r="1756">
      <c r="A1756" t="n">
        <v>1001754</v>
      </c>
      <c r="B1756" t="n">
        <v>1</v>
      </c>
      <c r="C1756" t="n">
        <v>1754</v>
      </c>
      <c r="D1756" t="n">
        <v>-0.6103</v>
      </c>
      <c r="E1756" t="n">
        <v>15.2126</v>
      </c>
      <c r="F1756" t="n">
        <v>0.08602</v>
      </c>
    </row>
    <row r="1757">
      <c r="A1757" t="n">
        <v>1001755</v>
      </c>
      <c r="B1757" t="n">
        <v>1</v>
      </c>
      <c r="C1757" t="n">
        <v>1755</v>
      </c>
      <c r="D1757" t="n">
        <v>-0.6114000000000001</v>
      </c>
      <c r="E1757" t="n">
        <v>15.2123</v>
      </c>
      <c r="F1757" t="n">
        <v>0.08603</v>
      </c>
    </row>
    <row r="1758">
      <c r="A1758" t="n">
        <v>1001756</v>
      </c>
      <c r="B1758" t="n">
        <v>1</v>
      </c>
      <c r="C1758" t="n">
        <v>1756</v>
      </c>
      <c r="D1758" t="n">
        <v>-0.6124000000000001</v>
      </c>
      <c r="E1758" t="n">
        <v>15.212</v>
      </c>
      <c r="F1758" t="n">
        <v>0.08605</v>
      </c>
    </row>
    <row r="1759">
      <c r="A1759" t="n">
        <v>1001757</v>
      </c>
      <c r="B1759" t="n">
        <v>1</v>
      </c>
      <c r="C1759" t="n">
        <v>1757</v>
      </c>
      <c r="D1759" t="n">
        <v>-0.6135</v>
      </c>
      <c r="E1759" t="n">
        <v>15.2117</v>
      </c>
      <c r="F1759" t="n">
        <v>0.08606</v>
      </c>
    </row>
    <row r="1760">
      <c r="A1760" t="n">
        <v>1001758</v>
      </c>
      <c r="B1760" t="n">
        <v>1</v>
      </c>
      <c r="C1760" t="n">
        <v>1758</v>
      </c>
      <c r="D1760" t="n">
        <v>-0.6145</v>
      </c>
      <c r="E1760" t="n">
        <v>15.2114</v>
      </c>
      <c r="F1760" t="n">
        <v>0.08608</v>
      </c>
    </row>
    <row r="1761">
      <c r="A1761" t="n">
        <v>1001759</v>
      </c>
      <c r="B1761" t="n">
        <v>1</v>
      </c>
      <c r="C1761" t="n">
        <v>1759</v>
      </c>
      <c r="D1761" t="n">
        <v>-0.6156</v>
      </c>
      <c r="E1761" t="n">
        <v>15.2111</v>
      </c>
      <c r="F1761" t="n">
        <v>0.08609</v>
      </c>
    </row>
    <row r="1762">
      <c r="A1762" t="n">
        <v>1001760</v>
      </c>
      <c r="B1762" t="n">
        <v>1</v>
      </c>
      <c r="C1762" t="n">
        <v>1760</v>
      </c>
      <c r="D1762" t="n">
        <v>-0.6166</v>
      </c>
      <c r="E1762" t="n">
        <v>15.2108</v>
      </c>
      <c r="F1762" t="n">
        <v>0.0861</v>
      </c>
    </row>
    <row r="1763">
      <c r="A1763" t="n">
        <v>1001761</v>
      </c>
      <c r="B1763" t="n">
        <v>1</v>
      </c>
      <c r="C1763" t="n">
        <v>1761</v>
      </c>
      <c r="D1763" t="n">
        <v>-0.6177</v>
      </c>
      <c r="E1763" t="n">
        <v>15.2104</v>
      </c>
      <c r="F1763" t="n">
        <v>0.08612</v>
      </c>
    </row>
    <row r="1764">
      <c r="A1764" t="n">
        <v>1001762</v>
      </c>
      <c r="B1764" t="n">
        <v>1</v>
      </c>
      <c r="C1764" t="n">
        <v>1762</v>
      </c>
      <c r="D1764" t="n">
        <v>-0.6187</v>
      </c>
      <c r="E1764" t="n">
        <v>15.2101</v>
      </c>
      <c r="F1764" t="n">
        <v>0.08613</v>
      </c>
    </row>
    <row r="1765">
      <c r="A1765" t="n">
        <v>1001763</v>
      </c>
      <c r="B1765" t="n">
        <v>1</v>
      </c>
      <c r="C1765" t="n">
        <v>1763</v>
      </c>
      <c r="D1765" t="n">
        <v>-0.6198</v>
      </c>
      <c r="E1765" t="n">
        <v>15.2098</v>
      </c>
      <c r="F1765" t="n">
        <v>0.08613999999999999</v>
      </c>
    </row>
    <row r="1766">
      <c r="A1766" t="n">
        <v>1001764</v>
      </c>
      <c r="B1766" t="n">
        <v>1</v>
      </c>
      <c r="C1766" t="n">
        <v>1764</v>
      </c>
      <c r="D1766" t="n">
        <v>-0.6209</v>
      </c>
      <c r="E1766" t="n">
        <v>15.2095</v>
      </c>
      <c r="F1766" t="n">
        <v>0.08616</v>
      </c>
    </row>
    <row r="1767">
      <c r="A1767" t="n">
        <v>1001765</v>
      </c>
      <c r="B1767" t="n">
        <v>1</v>
      </c>
      <c r="C1767" t="n">
        <v>1765</v>
      </c>
      <c r="D1767" t="n">
        <v>-0.6219</v>
      </c>
      <c r="E1767" t="n">
        <v>15.2092</v>
      </c>
      <c r="F1767" t="n">
        <v>0.08617</v>
      </c>
    </row>
    <row r="1768">
      <c r="A1768" t="n">
        <v>1001766</v>
      </c>
      <c r="B1768" t="n">
        <v>1</v>
      </c>
      <c r="C1768" t="n">
        <v>1766</v>
      </c>
      <c r="D1768" t="n">
        <v>-0.623</v>
      </c>
      <c r="E1768" t="n">
        <v>15.2089</v>
      </c>
      <c r="F1768" t="n">
        <v>0.08618000000000001</v>
      </c>
    </row>
    <row r="1769">
      <c r="A1769" t="n">
        <v>1001767</v>
      </c>
      <c r="B1769" t="n">
        <v>1</v>
      </c>
      <c r="C1769" t="n">
        <v>1767</v>
      </c>
      <c r="D1769" t="n">
        <v>-0.6241</v>
      </c>
      <c r="E1769" t="n">
        <v>15.2086</v>
      </c>
      <c r="F1769" t="n">
        <v>0.0862</v>
      </c>
    </row>
    <row r="1770">
      <c r="A1770" t="n">
        <v>1001768</v>
      </c>
      <c r="B1770" t="n">
        <v>1</v>
      </c>
      <c r="C1770" t="n">
        <v>1768</v>
      </c>
      <c r="D1770" t="n">
        <v>-0.6251</v>
      </c>
      <c r="E1770" t="n">
        <v>15.2083</v>
      </c>
      <c r="F1770" t="n">
        <v>0.08620999999999999</v>
      </c>
    </row>
    <row r="1771">
      <c r="A1771" t="n">
        <v>1001769</v>
      </c>
      <c r="B1771" t="n">
        <v>1</v>
      </c>
      <c r="C1771" t="n">
        <v>1769</v>
      </c>
      <c r="D1771" t="n">
        <v>-0.6262</v>
      </c>
      <c r="E1771" t="n">
        <v>15.208</v>
      </c>
      <c r="F1771" t="n">
        <v>0.08622</v>
      </c>
    </row>
    <row r="1772">
      <c r="A1772" t="n">
        <v>1001770</v>
      </c>
      <c r="B1772" t="n">
        <v>1</v>
      </c>
      <c r="C1772" t="n">
        <v>1770</v>
      </c>
      <c r="D1772" t="n">
        <v>-0.6273</v>
      </c>
      <c r="E1772" t="n">
        <v>15.2077</v>
      </c>
      <c r="F1772" t="n">
        <v>0.08624</v>
      </c>
    </row>
    <row r="1773">
      <c r="A1773" t="n">
        <v>1001771</v>
      </c>
      <c r="B1773" t="n">
        <v>1</v>
      </c>
      <c r="C1773" t="n">
        <v>1771</v>
      </c>
      <c r="D1773" t="n">
        <v>-0.6283</v>
      </c>
      <c r="E1773" t="n">
        <v>15.2074</v>
      </c>
      <c r="F1773" t="n">
        <v>0.08624999999999999</v>
      </c>
    </row>
    <row r="1774">
      <c r="A1774" t="n">
        <v>1001772</v>
      </c>
      <c r="B1774" t="n">
        <v>1</v>
      </c>
      <c r="C1774" t="n">
        <v>1772</v>
      </c>
      <c r="D1774" t="n">
        <v>-0.6294</v>
      </c>
      <c r="E1774" t="n">
        <v>15.2071</v>
      </c>
      <c r="F1774" t="n">
        <v>0.08626</v>
      </c>
    </row>
    <row r="1775">
      <c r="A1775" t="n">
        <v>1001773</v>
      </c>
      <c r="B1775" t="n">
        <v>1</v>
      </c>
      <c r="C1775" t="n">
        <v>1773</v>
      </c>
      <c r="D1775" t="n">
        <v>-0.6304999999999999</v>
      </c>
      <c r="E1775" t="n">
        <v>15.2068</v>
      </c>
      <c r="F1775" t="n">
        <v>0.08628</v>
      </c>
    </row>
    <row r="1776">
      <c r="A1776" t="n">
        <v>1001774</v>
      </c>
      <c r="B1776" t="n">
        <v>1</v>
      </c>
      <c r="C1776" t="n">
        <v>1774</v>
      </c>
      <c r="D1776" t="n">
        <v>-0.6315</v>
      </c>
      <c r="E1776" t="n">
        <v>15.2065</v>
      </c>
      <c r="F1776" t="n">
        <v>0.08629000000000001</v>
      </c>
    </row>
    <row r="1777">
      <c r="A1777" t="n">
        <v>1001775</v>
      </c>
      <c r="B1777" t="n">
        <v>1</v>
      </c>
      <c r="C1777" t="n">
        <v>1775</v>
      </c>
      <c r="D1777" t="n">
        <v>-0.6326000000000001</v>
      </c>
      <c r="E1777" t="n">
        <v>15.2061</v>
      </c>
      <c r="F1777" t="n">
        <v>0.0863</v>
      </c>
    </row>
    <row r="1778">
      <c r="A1778" t="n">
        <v>1001776</v>
      </c>
      <c r="B1778" t="n">
        <v>1</v>
      </c>
      <c r="C1778" t="n">
        <v>1776</v>
      </c>
      <c r="D1778" t="n">
        <v>-0.6337</v>
      </c>
      <c r="E1778" t="n">
        <v>15.2058</v>
      </c>
      <c r="F1778" t="n">
        <v>0.08631999999999999</v>
      </c>
    </row>
    <row r="1779">
      <c r="A1779" t="n">
        <v>1001777</v>
      </c>
      <c r="B1779" t="n">
        <v>1</v>
      </c>
      <c r="C1779" t="n">
        <v>1777</v>
      </c>
      <c r="D1779" t="n">
        <v>-0.6348</v>
      </c>
      <c r="E1779" t="n">
        <v>15.2055</v>
      </c>
      <c r="F1779" t="n">
        <v>0.08633</v>
      </c>
    </row>
    <row r="1780">
      <c r="A1780" t="n">
        <v>1001778</v>
      </c>
      <c r="B1780" t="n">
        <v>1</v>
      </c>
      <c r="C1780" t="n">
        <v>1778</v>
      </c>
      <c r="D1780" t="n">
        <v>-0.6358</v>
      </c>
      <c r="E1780" t="n">
        <v>15.2052</v>
      </c>
      <c r="F1780" t="n">
        <v>0.08634</v>
      </c>
    </row>
    <row r="1781">
      <c r="A1781" t="n">
        <v>1001779</v>
      </c>
      <c r="B1781" t="n">
        <v>1</v>
      </c>
      <c r="C1781" t="n">
        <v>1779</v>
      </c>
      <c r="D1781" t="n">
        <v>-0.6369</v>
      </c>
      <c r="E1781" t="n">
        <v>15.2049</v>
      </c>
      <c r="F1781" t="n">
        <v>0.08636000000000001</v>
      </c>
    </row>
    <row r="1782">
      <c r="A1782" t="n">
        <v>1001780</v>
      </c>
      <c r="B1782" t="n">
        <v>1</v>
      </c>
      <c r="C1782" t="n">
        <v>1780</v>
      </c>
      <c r="D1782" t="n">
        <v>-0.638</v>
      </c>
      <c r="E1782" t="n">
        <v>15.2047</v>
      </c>
      <c r="F1782" t="n">
        <v>0.08637</v>
      </c>
    </row>
    <row r="1783">
      <c r="A1783" t="n">
        <v>1001781</v>
      </c>
      <c r="B1783" t="n">
        <v>1</v>
      </c>
      <c r="C1783" t="n">
        <v>1781</v>
      </c>
      <c r="D1783" t="n">
        <v>-0.6391</v>
      </c>
      <c r="E1783" t="n">
        <v>15.2044</v>
      </c>
      <c r="F1783" t="n">
        <v>0.08638999999999999</v>
      </c>
    </row>
    <row r="1784">
      <c r="A1784" t="n">
        <v>1001782</v>
      </c>
      <c r="B1784" t="n">
        <v>1</v>
      </c>
      <c r="C1784" t="n">
        <v>1782</v>
      </c>
      <c r="D1784" t="n">
        <v>-0.6402</v>
      </c>
      <c r="E1784" t="n">
        <v>15.2041</v>
      </c>
      <c r="F1784" t="n">
        <v>0.0864</v>
      </c>
    </row>
    <row r="1785">
      <c r="A1785" t="n">
        <v>1001783</v>
      </c>
      <c r="B1785" t="n">
        <v>1</v>
      </c>
      <c r="C1785" t="n">
        <v>1783</v>
      </c>
      <c r="D1785" t="n">
        <v>-0.6412</v>
      </c>
      <c r="E1785" t="n">
        <v>15.2038</v>
      </c>
      <c r="F1785" t="n">
        <v>0.08641</v>
      </c>
    </row>
    <row r="1786">
      <c r="A1786" t="n">
        <v>1001784</v>
      </c>
      <c r="B1786" t="n">
        <v>1</v>
      </c>
      <c r="C1786" t="n">
        <v>1784</v>
      </c>
      <c r="D1786" t="n">
        <v>-0.6423</v>
      </c>
      <c r="E1786" t="n">
        <v>15.2035</v>
      </c>
      <c r="F1786" t="n">
        <v>0.08643000000000001</v>
      </c>
    </row>
    <row r="1787">
      <c r="A1787" t="n">
        <v>1001785</v>
      </c>
      <c r="B1787" t="n">
        <v>1</v>
      </c>
      <c r="C1787" t="n">
        <v>1785</v>
      </c>
      <c r="D1787" t="n">
        <v>-0.6434</v>
      </c>
      <c r="E1787" t="n">
        <v>15.2032</v>
      </c>
      <c r="F1787" t="n">
        <v>0.08644</v>
      </c>
    </row>
    <row r="1788">
      <c r="A1788" t="n">
        <v>1001786</v>
      </c>
      <c r="B1788" t="n">
        <v>1</v>
      </c>
      <c r="C1788" t="n">
        <v>1786</v>
      </c>
      <c r="D1788" t="n">
        <v>-0.6445</v>
      </c>
      <c r="E1788" t="n">
        <v>15.2029</v>
      </c>
      <c r="F1788" t="n">
        <v>0.08645</v>
      </c>
    </row>
    <row r="1789">
      <c r="A1789" t="n">
        <v>1001787</v>
      </c>
      <c r="B1789" t="n">
        <v>1</v>
      </c>
      <c r="C1789" t="n">
        <v>1787</v>
      </c>
      <c r="D1789" t="n">
        <v>-0.6456</v>
      </c>
      <c r="E1789" t="n">
        <v>15.2026</v>
      </c>
      <c r="F1789" t="n">
        <v>0.08647000000000001</v>
      </c>
    </row>
    <row r="1790">
      <c r="A1790" t="n">
        <v>1001788</v>
      </c>
      <c r="B1790" t="n">
        <v>1</v>
      </c>
      <c r="C1790" t="n">
        <v>1788</v>
      </c>
      <c r="D1790" t="n">
        <v>-0.6467000000000001</v>
      </c>
      <c r="E1790" t="n">
        <v>15.2023</v>
      </c>
      <c r="F1790" t="n">
        <v>0.08648</v>
      </c>
    </row>
    <row r="1791">
      <c r="A1791" t="n">
        <v>1001789</v>
      </c>
      <c r="B1791" t="n">
        <v>1</v>
      </c>
      <c r="C1791" t="n">
        <v>1789</v>
      </c>
      <c r="D1791" t="n">
        <v>-0.6478</v>
      </c>
      <c r="E1791" t="n">
        <v>15.202</v>
      </c>
      <c r="F1791" t="n">
        <v>0.08649</v>
      </c>
    </row>
    <row r="1792">
      <c r="A1792" t="n">
        <v>1001790</v>
      </c>
      <c r="B1792" t="n">
        <v>1</v>
      </c>
      <c r="C1792" t="n">
        <v>1790</v>
      </c>
      <c r="D1792" t="n">
        <v>-0.6488</v>
      </c>
      <c r="E1792" t="n">
        <v>15.2017</v>
      </c>
      <c r="F1792" t="n">
        <v>0.08651</v>
      </c>
    </row>
    <row r="1793">
      <c r="A1793" t="n">
        <v>1001791</v>
      </c>
      <c r="B1793" t="n">
        <v>1</v>
      </c>
      <c r="C1793" t="n">
        <v>1791</v>
      </c>
      <c r="D1793" t="n">
        <v>-0.6499</v>
      </c>
      <c r="E1793" t="n">
        <v>15.2014</v>
      </c>
      <c r="F1793" t="n">
        <v>0.08652</v>
      </c>
    </row>
    <row r="1794">
      <c r="A1794" t="n">
        <v>1001792</v>
      </c>
      <c r="B1794" t="n">
        <v>1</v>
      </c>
      <c r="C1794" t="n">
        <v>1792</v>
      </c>
      <c r="D1794" t="n">
        <v>-0.651</v>
      </c>
      <c r="E1794" t="n">
        <v>15.2011</v>
      </c>
      <c r="F1794" t="n">
        <v>0.08653</v>
      </c>
    </row>
    <row r="1795">
      <c r="A1795" t="n">
        <v>1001793</v>
      </c>
      <c r="B1795" t="n">
        <v>1</v>
      </c>
      <c r="C1795" t="n">
        <v>1793</v>
      </c>
      <c r="D1795" t="n">
        <v>-0.6521</v>
      </c>
      <c r="E1795" t="n">
        <v>15.2008</v>
      </c>
      <c r="F1795" t="n">
        <v>0.08655</v>
      </c>
    </row>
    <row r="1796">
      <c r="A1796" t="n">
        <v>1001794</v>
      </c>
      <c r="B1796" t="n">
        <v>1</v>
      </c>
      <c r="C1796" t="n">
        <v>1794</v>
      </c>
      <c r="D1796" t="n">
        <v>-0.6532</v>
      </c>
      <c r="E1796" t="n">
        <v>15.2005</v>
      </c>
      <c r="F1796" t="n">
        <v>0.08656</v>
      </c>
    </row>
    <row r="1797">
      <c r="A1797" t="n">
        <v>1001795</v>
      </c>
      <c r="B1797" t="n">
        <v>1</v>
      </c>
      <c r="C1797" t="n">
        <v>1795</v>
      </c>
      <c r="D1797" t="n">
        <v>-0.6543</v>
      </c>
      <c r="E1797" t="n">
        <v>15.2003</v>
      </c>
      <c r="F1797" t="n">
        <v>0.08656999999999999</v>
      </c>
    </row>
    <row r="1798">
      <c r="A1798" t="n">
        <v>1001796</v>
      </c>
      <c r="B1798" t="n">
        <v>1</v>
      </c>
      <c r="C1798" t="n">
        <v>1796</v>
      </c>
      <c r="D1798" t="n">
        <v>-0.6554</v>
      </c>
      <c r="E1798" t="n">
        <v>15.2</v>
      </c>
      <c r="F1798" t="n">
        <v>0.08659</v>
      </c>
    </row>
    <row r="1799">
      <c r="A1799" t="n">
        <v>1001797</v>
      </c>
      <c r="B1799" t="n">
        <v>1</v>
      </c>
      <c r="C1799" t="n">
        <v>1797</v>
      </c>
      <c r="D1799" t="n">
        <v>-0.6565</v>
      </c>
      <c r="E1799" t="n">
        <v>15.1997</v>
      </c>
      <c r="F1799" t="n">
        <v>0.0866</v>
      </c>
    </row>
    <row r="1800">
      <c r="A1800" t="n">
        <v>1001798</v>
      </c>
      <c r="B1800" t="n">
        <v>1</v>
      </c>
      <c r="C1800" t="n">
        <v>1798</v>
      </c>
      <c r="D1800" t="n">
        <v>-0.6576</v>
      </c>
      <c r="E1800" t="n">
        <v>15.1994</v>
      </c>
      <c r="F1800" t="n">
        <v>0.08662</v>
      </c>
    </row>
    <row r="1801">
      <c r="A1801" t="n">
        <v>1001799</v>
      </c>
      <c r="B1801" t="n">
        <v>1</v>
      </c>
      <c r="C1801" t="n">
        <v>1799</v>
      </c>
      <c r="D1801" t="n">
        <v>-0.6587</v>
      </c>
      <c r="E1801" t="n">
        <v>15.1991</v>
      </c>
      <c r="F1801" t="n">
        <v>0.08663</v>
      </c>
    </row>
    <row r="1802">
      <c r="A1802" t="n">
        <v>1001800</v>
      </c>
      <c r="B1802" t="n">
        <v>1</v>
      </c>
      <c r="C1802" t="n">
        <v>1800</v>
      </c>
      <c r="D1802" t="n">
        <v>-0.6598000000000001</v>
      </c>
      <c r="E1802" t="n">
        <v>15.1988</v>
      </c>
      <c r="F1802" t="n">
        <v>0.08663999999999999</v>
      </c>
    </row>
    <row r="1803">
      <c r="A1803" t="n">
        <v>1001801</v>
      </c>
      <c r="B1803" t="n">
        <v>1</v>
      </c>
      <c r="C1803" t="n">
        <v>1801</v>
      </c>
      <c r="D1803" t="n">
        <v>-0.6609</v>
      </c>
      <c r="E1803" t="n">
        <v>15.1985</v>
      </c>
      <c r="F1803" t="n">
        <v>0.08666</v>
      </c>
    </row>
    <row r="1804">
      <c r="A1804" t="n">
        <v>1001802</v>
      </c>
      <c r="B1804" t="n">
        <v>1</v>
      </c>
      <c r="C1804" t="n">
        <v>1802</v>
      </c>
      <c r="D1804" t="n">
        <v>-0.662</v>
      </c>
      <c r="E1804" t="n">
        <v>15.1983</v>
      </c>
      <c r="F1804" t="n">
        <v>0.08667</v>
      </c>
    </row>
    <row r="1805">
      <c r="A1805" t="n">
        <v>1001803</v>
      </c>
      <c r="B1805" t="n">
        <v>1</v>
      </c>
      <c r="C1805" t="n">
        <v>1803</v>
      </c>
      <c r="D1805" t="n">
        <v>-0.6631</v>
      </c>
      <c r="E1805" t="n">
        <v>15.198</v>
      </c>
      <c r="F1805" t="n">
        <v>0.08667999999999999</v>
      </c>
    </row>
    <row r="1806">
      <c r="A1806" t="n">
        <v>1001804</v>
      </c>
      <c r="B1806" t="n">
        <v>1</v>
      </c>
      <c r="C1806" t="n">
        <v>1804</v>
      </c>
      <c r="D1806" t="n">
        <v>-0.6642</v>
      </c>
      <c r="E1806" t="n">
        <v>15.1977</v>
      </c>
      <c r="F1806" t="n">
        <v>0.0867</v>
      </c>
    </row>
    <row r="1807">
      <c r="A1807" t="n">
        <v>1001805</v>
      </c>
      <c r="B1807" t="n">
        <v>1</v>
      </c>
      <c r="C1807" t="n">
        <v>1805</v>
      </c>
      <c r="D1807" t="n">
        <v>-0.6653</v>
      </c>
      <c r="E1807" t="n">
        <v>15.1974</v>
      </c>
      <c r="F1807" t="n">
        <v>0.08671</v>
      </c>
    </row>
    <row r="1808">
      <c r="A1808" t="n">
        <v>1001806</v>
      </c>
      <c r="B1808" t="n">
        <v>1</v>
      </c>
      <c r="C1808" t="n">
        <v>1806</v>
      </c>
      <c r="D1808" t="n">
        <v>-0.6665</v>
      </c>
      <c r="E1808" t="n">
        <v>15.1971</v>
      </c>
      <c r="F1808" t="n">
        <v>0.08672000000000001</v>
      </c>
    </row>
    <row r="1809">
      <c r="A1809" t="n">
        <v>1001807</v>
      </c>
      <c r="B1809" t="n">
        <v>1</v>
      </c>
      <c r="C1809" t="n">
        <v>1807</v>
      </c>
      <c r="D1809" t="n">
        <v>-0.6676</v>
      </c>
      <c r="E1809" t="n">
        <v>15.1969</v>
      </c>
      <c r="F1809" t="n">
        <v>0.08674</v>
      </c>
    </row>
    <row r="1810">
      <c r="A1810" t="n">
        <v>1001808</v>
      </c>
      <c r="B1810" t="n">
        <v>1</v>
      </c>
      <c r="C1810" t="n">
        <v>1808</v>
      </c>
      <c r="D1810" t="n">
        <v>-0.6687</v>
      </c>
      <c r="E1810" t="n">
        <v>15.1966</v>
      </c>
      <c r="F1810" t="n">
        <v>0.08674999999999999</v>
      </c>
    </row>
    <row r="1811">
      <c r="A1811" t="n">
        <v>1001809</v>
      </c>
      <c r="B1811" t="n">
        <v>1</v>
      </c>
      <c r="C1811" t="n">
        <v>1809</v>
      </c>
      <c r="D1811" t="n">
        <v>-0.6698</v>
      </c>
      <c r="E1811" t="n">
        <v>15.1963</v>
      </c>
      <c r="F1811" t="n">
        <v>0.08676</v>
      </c>
    </row>
    <row r="1812">
      <c r="A1812" t="n">
        <v>1001810</v>
      </c>
      <c r="B1812" t="n">
        <v>1</v>
      </c>
      <c r="C1812" t="n">
        <v>1810</v>
      </c>
      <c r="D1812" t="n">
        <v>-0.6709000000000001</v>
      </c>
      <c r="E1812" t="n">
        <v>15.196</v>
      </c>
      <c r="F1812" t="n">
        <v>0.08678</v>
      </c>
    </row>
    <row r="1813">
      <c r="A1813" t="n">
        <v>1001811</v>
      </c>
      <c r="B1813" t="n">
        <v>1</v>
      </c>
      <c r="C1813" t="n">
        <v>1811</v>
      </c>
      <c r="D1813" t="n">
        <v>-0.672</v>
      </c>
      <c r="E1813" t="n">
        <v>15.1958</v>
      </c>
      <c r="F1813" t="n">
        <v>0.08679000000000001</v>
      </c>
    </row>
    <row r="1814">
      <c r="A1814" t="n">
        <v>1001812</v>
      </c>
      <c r="B1814" t="n">
        <v>1</v>
      </c>
      <c r="C1814" t="n">
        <v>1812</v>
      </c>
      <c r="D1814" t="n">
        <v>-0.6731</v>
      </c>
      <c r="E1814" t="n">
        <v>15.1955</v>
      </c>
      <c r="F1814" t="n">
        <v>0.0868</v>
      </c>
    </row>
    <row r="1815">
      <c r="A1815" t="n">
        <v>1001813</v>
      </c>
      <c r="B1815" t="n">
        <v>1</v>
      </c>
      <c r="C1815" t="n">
        <v>1813</v>
      </c>
      <c r="D1815" t="n">
        <v>-0.6743</v>
      </c>
      <c r="E1815" t="n">
        <v>15.1952</v>
      </c>
      <c r="F1815" t="n">
        <v>0.08681999999999999</v>
      </c>
    </row>
    <row r="1816">
      <c r="A1816" t="n">
        <v>1001814</v>
      </c>
      <c r="B1816" t="n">
        <v>1</v>
      </c>
      <c r="C1816" t="n">
        <v>1814</v>
      </c>
      <c r="D1816" t="n">
        <v>-0.6754</v>
      </c>
      <c r="E1816" t="n">
        <v>15.1949</v>
      </c>
      <c r="F1816" t="n">
        <v>0.08683</v>
      </c>
    </row>
    <row r="1817">
      <c r="A1817" t="n">
        <v>1001815</v>
      </c>
      <c r="B1817" t="n">
        <v>1</v>
      </c>
      <c r="C1817" t="n">
        <v>1815</v>
      </c>
      <c r="D1817" t="n">
        <v>-0.6765</v>
      </c>
      <c r="E1817" t="n">
        <v>15.1947</v>
      </c>
      <c r="F1817" t="n">
        <v>0.08685</v>
      </c>
    </row>
    <row r="1818">
      <c r="A1818" t="n">
        <v>1001816</v>
      </c>
      <c r="B1818" t="n">
        <v>1</v>
      </c>
      <c r="C1818" t="n">
        <v>1816</v>
      </c>
      <c r="D1818" t="n">
        <v>-0.6776</v>
      </c>
      <c r="E1818" t="n">
        <v>15.1944</v>
      </c>
      <c r="F1818" t="n">
        <v>0.08686000000000001</v>
      </c>
    </row>
    <row r="1819">
      <c r="A1819" t="n">
        <v>1001817</v>
      </c>
      <c r="B1819" t="n">
        <v>1</v>
      </c>
      <c r="C1819" t="n">
        <v>1817</v>
      </c>
      <c r="D1819" t="n">
        <v>-0.6787</v>
      </c>
      <c r="E1819" t="n">
        <v>15.1941</v>
      </c>
      <c r="F1819" t="n">
        <v>0.08687</v>
      </c>
    </row>
    <row r="1820">
      <c r="A1820" t="n">
        <v>1001818</v>
      </c>
      <c r="B1820" t="n">
        <v>1</v>
      </c>
      <c r="C1820" t="n">
        <v>1818</v>
      </c>
      <c r="D1820" t="n">
        <v>-0.6798999999999999</v>
      </c>
      <c r="E1820" t="n">
        <v>15.1938</v>
      </c>
      <c r="F1820" t="n">
        <v>0.08689</v>
      </c>
    </row>
    <row r="1821">
      <c r="A1821" t="n">
        <v>1001819</v>
      </c>
      <c r="B1821" t="n">
        <v>1</v>
      </c>
      <c r="C1821" t="n">
        <v>1819</v>
      </c>
      <c r="D1821" t="n">
        <v>-0.681</v>
      </c>
      <c r="E1821" t="n">
        <v>15.1936</v>
      </c>
      <c r="F1821" t="n">
        <v>0.08690000000000001</v>
      </c>
    </row>
    <row r="1822">
      <c r="A1822" t="n">
        <v>1001820</v>
      </c>
      <c r="B1822" t="n">
        <v>1</v>
      </c>
      <c r="C1822" t="n">
        <v>1820</v>
      </c>
      <c r="D1822" t="n">
        <v>-0.6821</v>
      </c>
      <c r="E1822" t="n">
        <v>15.1933</v>
      </c>
      <c r="F1822" t="n">
        <v>0.08691</v>
      </c>
    </row>
    <row r="1823">
      <c r="A1823" t="n">
        <v>1001821</v>
      </c>
      <c r="B1823" t="n">
        <v>1</v>
      </c>
      <c r="C1823" t="n">
        <v>1821</v>
      </c>
      <c r="D1823" t="n">
        <v>-0.6833</v>
      </c>
      <c r="E1823" t="n">
        <v>15.193</v>
      </c>
      <c r="F1823" t="n">
        <v>0.08692999999999999</v>
      </c>
    </row>
    <row r="1824">
      <c r="A1824" t="n">
        <v>1001822</v>
      </c>
      <c r="B1824" t="n">
        <v>1</v>
      </c>
      <c r="C1824" t="n">
        <v>1822</v>
      </c>
      <c r="D1824" t="n">
        <v>-0.6844</v>
      </c>
      <c r="E1824" t="n">
        <v>15.1928</v>
      </c>
      <c r="F1824" t="n">
        <v>0.08694</v>
      </c>
    </row>
    <row r="1825">
      <c r="A1825" t="n">
        <v>1001823</v>
      </c>
      <c r="B1825" t="n">
        <v>1</v>
      </c>
      <c r="C1825" t="n">
        <v>1823</v>
      </c>
      <c r="D1825" t="n">
        <v>-0.6855</v>
      </c>
      <c r="E1825" t="n">
        <v>15.1925</v>
      </c>
      <c r="F1825" t="n">
        <v>0.08695</v>
      </c>
    </row>
    <row r="1826">
      <c r="A1826" t="n">
        <v>1001824</v>
      </c>
      <c r="B1826" t="n">
        <v>1</v>
      </c>
      <c r="C1826" t="n">
        <v>1824</v>
      </c>
      <c r="D1826" t="n">
        <v>-0.6866</v>
      </c>
      <c r="E1826" t="n">
        <v>15.1922</v>
      </c>
      <c r="F1826" t="n">
        <v>0.08697000000000001</v>
      </c>
    </row>
    <row r="1827">
      <c r="A1827" t="n">
        <v>1001825</v>
      </c>
      <c r="B1827" t="n">
        <v>1</v>
      </c>
      <c r="C1827" t="n">
        <v>1825</v>
      </c>
      <c r="D1827" t="n">
        <v>-0.6878</v>
      </c>
      <c r="E1827" t="n">
        <v>15.192</v>
      </c>
      <c r="F1827" t="n">
        <v>0.08698</v>
      </c>
    </row>
    <row r="1828">
      <c r="A1828" t="n">
        <v>1001826</v>
      </c>
      <c r="B1828" t="n">
        <v>1</v>
      </c>
      <c r="C1828" t="n">
        <v>1826</v>
      </c>
      <c r="D1828" t="n">
        <v>-0.6889</v>
      </c>
      <c r="E1828" t="n">
        <v>15.1917</v>
      </c>
      <c r="F1828" t="n">
        <v>0.08699</v>
      </c>
    </row>
    <row r="1829">
      <c r="A1829" t="n">
        <v>2000000</v>
      </c>
      <c r="B1829" t="n">
        <v>2</v>
      </c>
      <c r="C1829" t="n">
        <v>0</v>
      </c>
      <c r="D1829" t="n">
        <v>-0.0631</v>
      </c>
      <c r="E1829" t="n">
        <v>13.3363</v>
      </c>
      <c r="F1829" t="n">
        <v>0.09272</v>
      </c>
    </row>
    <row r="1830">
      <c r="A1830" t="n">
        <v>2000001</v>
      </c>
      <c r="B1830" t="n">
        <v>2</v>
      </c>
      <c r="C1830" t="n">
        <v>1</v>
      </c>
      <c r="D1830" t="n">
        <v>0.0362</v>
      </c>
      <c r="E1830" t="n">
        <v>13.3185</v>
      </c>
      <c r="F1830" t="n">
        <v>0.0936</v>
      </c>
    </row>
    <row r="1831">
      <c r="A1831" t="n">
        <v>2000002</v>
      </c>
      <c r="B1831" t="n">
        <v>2</v>
      </c>
      <c r="C1831" t="n">
        <v>2</v>
      </c>
      <c r="D1831" t="n">
        <v>0.1355</v>
      </c>
      <c r="E1831" t="n">
        <v>13.3006</v>
      </c>
      <c r="F1831" t="n">
        <v>0.09447999999999999</v>
      </c>
    </row>
    <row r="1832">
      <c r="A1832" t="n">
        <v>2000003</v>
      </c>
      <c r="B1832" t="n">
        <v>2</v>
      </c>
      <c r="C1832" t="n">
        <v>3</v>
      </c>
      <c r="D1832" t="n">
        <v>0.2347</v>
      </c>
      <c r="E1832" t="n">
        <v>13.2828</v>
      </c>
      <c r="F1832" t="n">
        <v>0.09535</v>
      </c>
    </row>
    <row r="1833">
      <c r="A1833" t="n">
        <v>2000004</v>
      </c>
      <c r="B1833" t="n">
        <v>2</v>
      </c>
      <c r="C1833" t="n">
        <v>4</v>
      </c>
      <c r="D1833" t="n">
        <v>0.334</v>
      </c>
      <c r="E1833" t="n">
        <v>13.2649</v>
      </c>
      <c r="F1833" t="n">
        <v>0.09623</v>
      </c>
    </row>
    <row r="1834">
      <c r="A1834" t="n">
        <v>2000005</v>
      </c>
      <c r="B1834" t="n">
        <v>2</v>
      </c>
      <c r="C1834" t="n">
        <v>5</v>
      </c>
      <c r="D1834" t="n">
        <v>0.4333</v>
      </c>
      <c r="E1834" t="n">
        <v>13.247</v>
      </c>
      <c r="F1834" t="n">
        <v>0.09711</v>
      </c>
    </row>
    <row r="1835">
      <c r="A1835" t="n">
        <v>2000006</v>
      </c>
      <c r="B1835" t="n">
        <v>2</v>
      </c>
      <c r="C1835" t="n">
        <v>6</v>
      </c>
      <c r="D1835" t="n">
        <v>0.5326</v>
      </c>
      <c r="E1835" t="n">
        <v>13.2292</v>
      </c>
      <c r="F1835" t="n">
        <v>0.09798999999999999</v>
      </c>
    </row>
    <row r="1836">
      <c r="A1836" t="n">
        <v>2000007</v>
      </c>
      <c r="B1836" t="n">
        <v>2</v>
      </c>
      <c r="C1836" t="n">
        <v>7</v>
      </c>
      <c r="D1836" t="n">
        <v>0.6319</v>
      </c>
      <c r="E1836" t="n">
        <v>13.2113</v>
      </c>
      <c r="F1836" t="n">
        <v>0.09887</v>
      </c>
    </row>
    <row r="1837">
      <c r="A1837" t="n">
        <v>2000008</v>
      </c>
      <c r="B1837" t="n">
        <v>2</v>
      </c>
      <c r="C1837" t="n">
        <v>8</v>
      </c>
      <c r="D1837" t="n">
        <v>0.6142</v>
      </c>
      <c r="E1837" t="n">
        <v>13.2455</v>
      </c>
      <c r="F1837" t="n">
        <v>0.09866</v>
      </c>
    </row>
    <row r="1838">
      <c r="A1838" t="n">
        <v>2000009</v>
      </c>
      <c r="B1838" t="n">
        <v>2</v>
      </c>
      <c r="C1838" t="n">
        <v>9</v>
      </c>
      <c r="D1838" t="n">
        <v>0.5965</v>
      </c>
      <c r="E1838" t="n">
        <v>13.2796</v>
      </c>
      <c r="F1838" t="n">
        <v>0.09845</v>
      </c>
    </row>
    <row r="1839">
      <c r="A1839" t="n">
        <v>2000010</v>
      </c>
      <c r="B1839" t="n">
        <v>2</v>
      </c>
      <c r="C1839" t="n">
        <v>10</v>
      </c>
      <c r="D1839" t="n">
        <v>0.5789</v>
      </c>
      <c r="E1839" t="n">
        <v>13.3137</v>
      </c>
      <c r="F1839" t="n">
        <v>0.09823999999999999</v>
      </c>
    </row>
    <row r="1840">
      <c r="A1840" t="n">
        <v>2000011</v>
      </c>
      <c r="B1840" t="n">
        <v>2</v>
      </c>
      <c r="C1840" t="n">
        <v>11</v>
      </c>
      <c r="D1840" t="n">
        <v>0.5612</v>
      </c>
      <c r="E1840" t="n">
        <v>13.3478</v>
      </c>
      <c r="F1840" t="n">
        <v>0.09804</v>
      </c>
    </row>
    <row r="1841">
      <c r="A1841" t="n">
        <v>2000012</v>
      </c>
      <c r="B1841" t="n">
        <v>2</v>
      </c>
      <c r="C1841" t="n">
        <v>12</v>
      </c>
      <c r="D1841" t="n">
        <v>0.5435</v>
      </c>
      <c r="E1841" t="n">
        <v>13.3819</v>
      </c>
      <c r="F1841" t="n">
        <v>0.09783</v>
      </c>
    </row>
    <row r="1842">
      <c r="A1842" t="n">
        <v>2000013</v>
      </c>
      <c r="B1842" t="n">
        <v>2</v>
      </c>
      <c r="C1842" t="n">
        <v>13</v>
      </c>
      <c r="D1842" t="n">
        <v>0.5258</v>
      </c>
      <c r="E1842" t="n">
        <v>13.416</v>
      </c>
      <c r="F1842" t="n">
        <v>0.09762</v>
      </c>
    </row>
    <row r="1843">
      <c r="A1843" t="n">
        <v>2000014</v>
      </c>
      <c r="B1843" t="n">
        <v>2</v>
      </c>
      <c r="C1843" t="n">
        <v>14</v>
      </c>
      <c r="D1843" t="n">
        <v>0.5082</v>
      </c>
      <c r="E1843" t="n">
        <v>13.4501</v>
      </c>
      <c r="F1843" t="n">
        <v>0.09741</v>
      </c>
    </row>
    <row r="1844">
      <c r="A1844" t="n">
        <v>2000015</v>
      </c>
      <c r="B1844" t="n">
        <v>2</v>
      </c>
      <c r="C1844" t="n">
        <v>15</v>
      </c>
      <c r="D1844" t="n">
        <v>0.4947</v>
      </c>
      <c r="E1844" t="n">
        <v>13.5169</v>
      </c>
      <c r="F1844" t="n">
        <v>0.09726</v>
      </c>
    </row>
    <row r="1845">
      <c r="A1845" t="n">
        <v>2000016</v>
      </c>
      <c r="B1845" t="n">
        <v>2</v>
      </c>
      <c r="C1845" t="n">
        <v>16</v>
      </c>
      <c r="D1845" t="n">
        <v>0.482</v>
      </c>
      <c r="E1845" t="n">
        <v>13.5873</v>
      </c>
      <c r="F1845" t="n">
        <v>0.09711</v>
      </c>
    </row>
    <row r="1846">
      <c r="A1846" t="n">
        <v>2000017</v>
      </c>
      <c r="B1846" t="n">
        <v>2</v>
      </c>
      <c r="C1846" t="n">
        <v>17</v>
      </c>
      <c r="D1846" t="n">
        <v>0.4699</v>
      </c>
      <c r="E1846" t="n">
        <v>13.6595</v>
      </c>
      <c r="F1846" t="n">
        <v>0.09697</v>
      </c>
    </row>
    <row r="1847">
      <c r="A1847" t="n">
        <v>2000018</v>
      </c>
      <c r="B1847" t="n">
        <v>2</v>
      </c>
      <c r="C1847" t="n">
        <v>18</v>
      </c>
      <c r="D1847" t="n">
        <v>0.4583</v>
      </c>
      <c r="E1847" t="n">
        <v>13.7325</v>
      </c>
      <c r="F1847" t="n">
        <v>0.09684</v>
      </c>
    </row>
    <row r="1848">
      <c r="A1848" t="n">
        <v>2000019</v>
      </c>
      <c r="B1848" t="n">
        <v>2</v>
      </c>
      <c r="C1848" t="n">
        <v>19</v>
      </c>
      <c r="D1848" t="n">
        <v>0.4472</v>
      </c>
      <c r="E1848" t="n">
        <v>13.8056</v>
      </c>
      <c r="F1848" t="n">
        <v>0.09671</v>
      </c>
    </row>
    <row r="1849">
      <c r="A1849" t="n">
        <v>2000020</v>
      </c>
      <c r="B1849" t="n">
        <v>2</v>
      </c>
      <c r="C1849" t="n">
        <v>20</v>
      </c>
      <c r="D1849" t="n">
        <v>0.4365</v>
      </c>
      <c r="E1849" t="n">
        <v>13.8784</v>
      </c>
      <c r="F1849" t="n">
        <v>0.09659</v>
      </c>
    </row>
    <row r="1850">
      <c r="A1850" t="n">
        <v>2000021</v>
      </c>
      <c r="B1850" t="n">
        <v>2</v>
      </c>
      <c r="C1850" t="n">
        <v>21</v>
      </c>
      <c r="D1850" t="n">
        <v>0.4263</v>
      </c>
      <c r="E1850" t="n">
        <v>13.9505</v>
      </c>
      <c r="F1850" t="n">
        <v>0.09647</v>
      </c>
    </row>
    <row r="1851">
      <c r="A1851" t="n">
        <v>2000022</v>
      </c>
      <c r="B1851" t="n">
        <v>2</v>
      </c>
      <c r="C1851" t="n">
        <v>22</v>
      </c>
      <c r="D1851" t="n">
        <v>0.4164</v>
      </c>
      <c r="E1851" t="n">
        <v>14.0216</v>
      </c>
      <c r="F1851" t="n">
        <v>0.09636</v>
      </c>
    </row>
    <row r="1852">
      <c r="A1852" t="n">
        <v>2000023</v>
      </c>
      <c r="B1852" t="n">
        <v>2</v>
      </c>
      <c r="C1852" t="n">
        <v>23</v>
      </c>
      <c r="D1852" t="n">
        <v>0.4069</v>
      </c>
      <c r="E1852" t="n">
        <v>14.0916</v>
      </c>
      <c r="F1852" t="n">
        <v>0.09625</v>
      </c>
    </row>
    <row r="1853">
      <c r="A1853" t="n">
        <v>2000024</v>
      </c>
      <c r="B1853" t="n">
        <v>2</v>
      </c>
      <c r="C1853" t="n">
        <v>24</v>
      </c>
      <c r="D1853" t="n">
        <v>0.3977</v>
      </c>
      <c r="E1853" t="n">
        <v>14.1603</v>
      </c>
      <c r="F1853" t="n">
        <v>0.09615</v>
      </c>
    </row>
    <row r="1854">
      <c r="A1854" t="n">
        <v>2000025</v>
      </c>
      <c r="B1854" t="n">
        <v>2</v>
      </c>
      <c r="C1854" t="n">
        <v>25</v>
      </c>
      <c r="D1854" t="n">
        <v>0.3888</v>
      </c>
      <c r="E1854" t="n">
        <v>14.2276</v>
      </c>
      <c r="F1854" t="n">
        <v>0.09605</v>
      </c>
    </row>
    <row r="1855">
      <c r="A1855" t="n">
        <v>2000026</v>
      </c>
      <c r="B1855" t="n">
        <v>2</v>
      </c>
      <c r="C1855" t="n">
        <v>26</v>
      </c>
      <c r="D1855" t="n">
        <v>0.3802</v>
      </c>
      <c r="E1855" t="n">
        <v>14.2935</v>
      </c>
      <c r="F1855" t="n">
        <v>0.09594999999999999</v>
      </c>
    </row>
    <row r="1856">
      <c r="A1856" t="n">
        <v>2000027</v>
      </c>
      <c r="B1856" t="n">
        <v>2</v>
      </c>
      <c r="C1856" t="n">
        <v>27</v>
      </c>
      <c r="D1856" t="n">
        <v>0.3718</v>
      </c>
      <c r="E1856" t="n">
        <v>14.3579</v>
      </c>
      <c r="F1856" t="n">
        <v>0.09586</v>
      </c>
    </row>
    <row r="1857">
      <c r="A1857" t="n">
        <v>2000028</v>
      </c>
      <c r="B1857" t="n">
        <v>2</v>
      </c>
      <c r="C1857" t="n">
        <v>28</v>
      </c>
      <c r="D1857" t="n">
        <v>0.3637</v>
      </c>
      <c r="E1857" t="n">
        <v>14.4208</v>
      </c>
      <c r="F1857" t="n">
        <v>0.09576999999999999</v>
      </c>
    </row>
    <row r="1858">
      <c r="A1858" t="n">
        <v>2000029</v>
      </c>
      <c r="B1858" t="n">
        <v>2</v>
      </c>
      <c r="C1858" t="n">
        <v>29</v>
      </c>
      <c r="D1858" t="n">
        <v>0.3558</v>
      </c>
      <c r="E1858" t="n">
        <v>14.4824</v>
      </c>
      <c r="F1858" t="n">
        <v>0.09568</v>
      </c>
    </row>
    <row r="1859">
      <c r="A1859" t="n">
        <v>2000030</v>
      </c>
      <c r="B1859" t="n">
        <v>2</v>
      </c>
      <c r="C1859" t="n">
        <v>30</v>
      </c>
      <c r="D1859" t="n">
        <v>0.3481</v>
      </c>
      <c r="E1859" t="n">
        <v>14.5422</v>
      </c>
      <c r="F1859" t="n">
        <v>0.09558999999999999</v>
      </c>
    </row>
    <row r="1860">
      <c r="A1860" t="n">
        <v>2000031</v>
      </c>
      <c r="B1860" t="n">
        <v>2</v>
      </c>
      <c r="C1860" t="n">
        <v>31</v>
      </c>
      <c r="D1860" t="n">
        <v>0.3406</v>
      </c>
      <c r="E1860" t="n">
        <v>14.6003</v>
      </c>
      <c r="F1860" t="n">
        <v>0.09551</v>
      </c>
    </row>
    <row r="1861">
      <c r="A1861" t="n">
        <v>2000032</v>
      </c>
      <c r="B1861" t="n">
        <v>2</v>
      </c>
      <c r="C1861" t="n">
        <v>32</v>
      </c>
      <c r="D1861" t="n">
        <v>0.3333</v>
      </c>
      <c r="E1861" t="n">
        <v>14.6566</v>
      </c>
      <c r="F1861" t="n">
        <v>0.09543</v>
      </c>
    </row>
    <row r="1862">
      <c r="A1862" t="n">
        <v>2000033</v>
      </c>
      <c r="B1862" t="n">
        <v>2</v>
      </c>
      <c r="C1862" t="n">
        <v>33</v>
      </c>
      <c r="D1862" t="n">
        <v>0.3262</v>
      </c>
      <c r="E1862" t="n">
        <v>14.7112</v>
      </c>
      <c r="F1862" t="n">
        <v>0.09535</v>
      </c>
    </row>
    <row r="1863">
      <c r="A1863" t="n">
        <v>2000034</v>
      </c>
      <c r="B1863" t="n">
        <v>2</v>
      </c>
      <c r="C1863" t="n">
        <v>34</v>
      </c>
      <c r="D1863" t="n">
        <v>0.3192</v>
      </c>
      <c r="E1863" t="n">
        <v>14.7642</v>
      </c>
      <c r="F1863" t="n">
        <v>0.09526999999999999</v>
      </c>
    </row>
    <row r="1864">
      <c r="A1864" t="n">
        <v>2000035</v>
      </c>
      <c r="B1864" t="n">
        <v>2</v>
      </c>
      <c r="C1864" t="n">
        <v>35</v>
      </c>
      <c r="D1864" t="n">
        <v>0.3124</v>
      </c>
      <c r="E1864" t="n">
        <v>14.8157</v>
      </c>
      <c r="F1864" t="n">
        <v>0.09520000000000001</v>
      </c>
    </row>
    <row r="1865">
      <c r="A1865" t="n">
        <v>2000036</v>
      </c>
      <c r="B1865" t="n">
        <v>2</v>
      </c>
      <c r="C1865" t="n">
        <v>36</v>
      </c>
      <c r="D1865" t="n">
        <v>0.3058</v>
      </c>
      <c r="E1865" t="n">
        <v>14.8657</v>
      </c>
      <c r="F1865" t="n">
        <v>0.09513000000000001</v>
      </c>
    </row>
    <row r="1866">
      <c r="A1866" t="n">
        <v>2000037</v>
      </c>
      <c r="B1866" t="n">
        <v>2</v>
      </c>
      <c r="C1866" t="n">
        <v>37</v>
      </c>
      <c r="D1866" t="n">
        <v>0.2993</v>
      </c>
      <c r="E1866" t="n">
        <v>14.9142</v>
      </c>
      <c r="F1866" t="n">
        <v>0.09506000000000001</v>
      </c>
    </row>
    <row r="1867">
      <c r="A1867" t="n">
        <v>2000038</v>
      </c>
      <c r="B1867" t="n">
        <v>2</v>
      </c>
      <c r="C1867" t="n">
        <v>38</v>
      </c>
      <c r="D1867" t="n">
        <v>0.2929</v>
      </c>
      <c r="E1867" t="n">
        <v>14.9614</v>
      </c>
      <c r="F1867" t="n">
        <v>0.09499</v>
      </c>
    </row>
    <row r="1868">
      <c r="A1868" t="n">
        <v>2000039</v>
      </c>
      <c r="B1868" t="n">
        <v>2</v>
      </c>
      <c r="C1868" t="n">
        <v>39</v>
      </c>
      <c r="D1868" t="n">
        <v>0.2867</v>
      </c>
      <c r="E1868" t="n">
        <v>15.0073</v>
      </c>
      <c r="F1868" t="n">
        <v>0.09492</v>
      </c>
    </row>
    <row r="1869">
      <c r="A1869" t="n">
        <v>2000040</v>
      </c>
      <c r="B1869" t="n">
        <v>2</v>
      </c>
      <c r="C1869" t="n">
        <v>40</v>
      </c>
      <c r="D1869" t="n">
        <v>0.2806</v>
      </c>
      <c r="E1869" t="n">
        <v>15.052</v>
      </c>
      <c r="F1869" t="n">
        <v>0.09485</v>
      </c>
    </row>
    <row r="1870">
      <c r="A1870" t="n">
        <v>2000041</v>
      </c>
      <c r="B1870" t="n">
        <v>2</v>
      </c>
      <c r="C1870" t="n">
        <v>41</v>
      </c>
      <c r="D1870" t="n">
        <v>0.2747</v>
      </c>
      <c r="E1870" t="n">
        <v>15.0955</v>
      </c>
      <c r="F1870" t="n">
        <v>0.09479</v>
      </c>
    </row>
    <row r="1871">
      <c r="A1871" t="n">
        <v>2000042</v>
      </c>
      <c r="B1871" t="n">
        <v>2</v>
      </c>
      <c r="C1871" t="n">
        <v>42</v>
      </c>
      <c r="D1871" t="n">
        <v>0.2688</v>
      </c>
      <c r="E1871" t="n">
        <v>15.138</v>
      </c>
      <c r="F1871" t="n">
        <v>0.09472</v>
      </c>
    </row>
    <row r="1872">
      <c r="A1872" t="n">
        <v>2000043</v>
      </c>
      <c r="B1872" t="n">
        <v>2</v>
      </c>
      <c r="C1872" t="n">
        <v>43</v>
      </c>
      <c r="D1872" t="n">
        <v>0.263</v>
      </c>
      <c r="E1872" t="n">
        <v>15.1794</v>
      </c>
      <c r="F1872" t="n">
        <v>0.09465999999999999</v>
      </c>
    </row>
    <row r="1873">
      <c r="A1873" t="n">
        <v>2000044</v>
      </c>
      <c r="B1873" t="n">
        <v>2</v>
      </c>
      <c r="C1873" t="n">
        <v>44</v>
      </c>
      <c r="D1873" t="n">
        <v>0.2574</v>
      </c>
      <c r="E1873" t="n">
        <v>15.2198</v>
      </c>
      <c r="F1873" t="n">
        <v>0.0946</v>
      </c>
    </row>
    <row r="1874">
      <c r="A1874" t="n">
        <v>2000045</v>
      </c>
      <c r="B1874" t="n">
        <v>2</v>
      </c>
      <c r="C1874" t="n">
        <v>45</v>
      </c>
      <c r="D1874" t="n">
        <v>0.2519</v>
      </c>
      <c r="E1874" t="n">
        <v>15.2591</v>
      </c>
      <c r="F1874" t="n">
        <v>0.09454</v>
      </c>
    </row>
    <row r="1875">
      <c r="A1875" t="n">
        <v>2000046</v>
      </c>
      <c r="B1875" t="n">
        <v>2</v>
      </c>
      <c r="C1875" t="n">
        <v>46</v>
      </c>
      <c r="D1875" t="n">
        <v>0.2464</v>
      </c>
      <c r="E1875" t="n">
        <v>15.2974</v>
      </c>
      <c r="F1875" t="n">
        <v>0.09447999999999999</v>
      </c>
    </row>
    <row r="1876">
      <c r="A1876" t="n">
        <v>2000047</v>
      </c>
      <c r="B1876" t="n">
        <v>2</v>
      </c>
      <c r="C1876" t="n">
        <v>47</v>
      </c>
      <c r="D1876" t="n">
        <v>0.2411</v>
      </c>
      <c r="E1876" t="n">
        <v>15.3347</v>
      </c>
      <c r="F1876" t="n">
        <v>0.09442</v>
      </c>
    </row>
    <row r="1877">
      <c r="A1877" t="n">
        <v>2000048</v>
      </c>
      <c r="B1877" t="n">
        <v>2</v>
      </c>
      <c r="C1877" t="n">
        <v>48</v>
      </c>
      <c r="D1877" t="n">
        <v>0.2358</v>
      </c>
      <c r="E1877" t="n">
        <v>15.3709</v>
      </c>
      <c r="F1877" t="n">
        <v>0.09436</v>
      </c>
    </row>
    <row r="1878">
      <c r="A1878" t="n">
        <v>2000049</v>
      </c>
      <c r="B1878" t="n">
        <v>2</v>
      </c>
      <c r="C1878" t="n">
        <v>49</v>
      </c>
      <c r="D1878" t="n">
        <v>0.2306</v>
      </c>
      <c r="E1878" t="n">
        <v>15.4063</v>
      </c>
      <c r="F1878" t="n">
        <v>0.09431</v>
      </c>
    </row>
    <row r="1879">
      <c r="A1879" t="n">
        <v>2000050</v>
      </c>
      <c r="B1879" t="n">
        <v>2</v>
      </c>
      <c r="C1879" t="n">
        <v>50</v>
      </c>
      <c r="D1879" t="n">
        <v>0.2255</v>
      </c>
      <c r="E1879" t="n">
        <v>15.4408</v>
      </c>
      <c r="F1879" t="n">
        <v>0.09425</v>
      </c>
    </row>
    <row r="1880">
      <c r="A1880" t="n">
        <v>2000051</v>
      </c>
      <c r="B1880" t="n">
        <v>2</v>
      </c>
      <c r="C1880" t="n">
        <v>51</v>
      </c>
      <c r="D1880" t="n">
        <v>0.2205</v>
      </c>
      <c r="E1880" t="n">
        <v>15.4744</v>
      </c>
      <c r="F1880" t="n">
        <v>0.09420000000000001</v>
      </c>
    </row>
    <row r="1881">
      <c r="A1881" t="n">
        <v>2000052</v>
      </c>
      <c r="B1881" t="n">
        <v>2</v>
      </c>
      <c r="C1881" t="n">
        <v>52</v>
      </c>
      <c r="D1881" t="n">
        <v>0.2156</v>
      </c>
      <c r="E1881" t="n">
        <v>15.5072</v>
      </c>
      <c r="F1881" t="n">
        <v>0.09415</v>
      </c>
    </row>
    <row r="1882">
      <c r="A1882" t="n">
        <v>2000053</v>
      </c>
      <c r="B1882" t="n">
        <v>2</v>
      </c>
      <c r="C1882" t="n">
        <v>53</v>
      </c>
      <c r="D1882" t="n">
        <v>0.2107</v>
      </c>
      <c r="E1882" t="n">
        <v>15.5393</v>
      </c>
      <c r="F1882" t="n">
        <v>0.0941</v>
      </c>
    </row>
    <row r="1883">
      <c r="A1883" t="n">
        <v>2000054</v>
      </c>
      <c r="B1883" t="n">
        <v>2</v>
      </c>
      <c r="C1883" t="n">
        <v>54</v>
      </c>
      <c r="D1883" t="n">
        <v>0.2059</v>
      </c>
      <c r="E1883" t="n">
        <v>15.5706</v>
      </c>
      <c r="F1883" t="n">
        <v>0.09404</v>
      </c>
    </row>
    <row r="1884">
      <c r="A1884" t="n">
        <v>2000055</v>
      </c>
      <c r="B1884" t="n">
        <v>2</v>
      </c>
      <c r="C1884" t="n">
        <v>55</v>
      </c>
      <c r="D1884" t="n">
        <v>0.2012</v>
      </c>
      <c r="E1884" t="n">
        <v>15.6012</v>
      </c>
      <c r="F1884" t="n">
        <v>0.09399</v>
      </c>
    </row>
    <row r="1885">
      <c r="A1885" t="n">
        <v>2000056</v>
      </c>
      <c r="B1885" t="n">
        <v>2</v>
      </c>
      <c r="C1885" t="n">
        <v>56</v>
      </c>
      <c r="D1885" t="n">
        <v>0.1966</v>
      </c>
      <c r="E1885" t="n">
        <v>15.6311</v>
      </c>
      <c r="F1885" t="n">
        <v>0.09394</v>
      </c>
    </row>
    <row r="1886">
      <c r="A1886" t="n">
        <v>2000057</v>
      </c>
      <c r="B1886" t="n">
        <v>2</v>
      </c>
      <c r="C1886" t="n">
        <v>57</v>
      </c>
      <c r="D1886" t="n">
        <v>0.192</v>
      </c>
      <c r="E1886" t="n">
        <v>15.6604</v>
      </c>
      <c r="F1886" t="n">
        <v>0.09389</v>
      </c>
    </row>
    <row r="1887">
      <c r="A1887" t="n">
        <v>2000058</v>
      </c>
      <c r="B1887" t="n">
        <v>2</v>
      </c>
      <c r="C1887" t="n">
        <v>58</v>
      </c>
      <c r="D1887" t="n">
        <v>0.1875</v>
      </c>
      <c r="E1887" t="n">
        <v>15.689</v>
      </c>
      <c r="F1887" t="n">
        <v>0.09385</v>
      </c>
    </row>
    <row r="1888">
      <c r="A1888" t="n">
        <v>2000059</v>
      </c>
      <c r="B1888" t="n">
        <v>2</v>
      </c>
      <c r="C1888" t="n">
        <v>59</v>
      </c>
      <c r="D1888" t="n">
        <v>0.183</v>
      </c>
      <c r="E1888" t="n">
        <v>15.717</v>
      </c>
      <c r="F1888" t="n">
        <v>0.09379999999999999</v>
      </c>
    </row>
    <row r="1889">
      <c r="A1889" t="n">
        <v>2000060</v>
      </c>
      <c r="B1889" t="n">
        <v>2</v>
      </c>
      <c r="C1889" t="n">
        <v>60</v>
      </c>
      <c r="D1889" t="n">
        <v>0.1787</v>
      </c>
      <c r="E1889" t="n">
        <v>15.7444</v>
      </c>
      <c r="F1889" t="n">
        <v>0.09375</v>
      </c>
    </row>
    <row r="1890">
      <c r="A1890" t="n">
        <v>2000061</v>
      </c>
      <c r="B1890" t="n">
        <v>2</v>
      </c>
      <c r="C1890" t="n">
        <v>61</v>
      </c>
      <c r="D1890" t="n">
        <v>0.1743</v>
      </c>
      <c r="E1890" t="n">
        <v>15.7713</v>
      </c>
      <c r="F1890" t="n">
        <v>0.09371</v>
      </c>
    </row>
    <row r="1891">
      <c r="A1891" t="n">
        <v>2000062</v>
      </c>
      <c r="B1891" t="n">
        <v>2</v>
      </c>
      <c r="C1891" t="n">
        <v>62</v>
      </c>
      <c r="D1891" t="n">
        <v>0.17</v>
      </c>
      <c r="E1891" t="n">
        <v>15.7975</v>
      </c>
      <c r="F1891" t="n">
        <v>0.09365999999999999</v>
      </c>
    </row>
    <row r="1892">
      <c r="A1892" t="n">
        <v>2000063</v>
      </c>
      <c r="B1892" t="n">
        <v>2</v>
      </c>
      <c r="C1892" t="n">
        <v>63</v>
      </c>
      <c r="D1892" t="n">
        <v>0.1658</v>
      </c>
      <c r="E1892" t="n">
        <v>15.8232</v>
      </c>
      <c r="F1892" t="n">
        <v>0.09361</v>
      </c>
    </row>
    <row r="1893">
      <c r="A1893" t="n">
        <v>2000064</v>
      </c>
      <c r="B1893" t="n">
        <v>2</v>
      </c>
      <c r="C1893" t="n">
        <v>64</v>
      </c>
      <c r="D1893" t="n">
        <v>0.1617</v>
      </c>
      <c r="E1893" t="n">
        <v>15.8483</v>
      </c>
      <c r="F1893" t="n">
        <v>0.09357</v>
      </c>
    </row>
    <row r="1894">
      <c r="A1894" t="n">
        <v>2000065</v>
      </c>
      <c r="B1894" t="n">
        <v>2</v>
      </c>
      <c r="C1894" t="n">
        <v>65</v>
      </c>
      <c r="D1894" t="n">
        <v>0.1575</v>
      </c>
      <c r="E1894" t="n">
        <v>15.8729</v>
      </c>
      <c r="F1894" t="n">
        <v>0.09353</v>
      </c>
    </row>
    <row r="1895">
      <c r="A1895" t="n">
        <v>2000066</v>
      </c>
      <c r="B1895" t="n">
        <v>2</v>
      </c>
      <c r="C1895" t="n">
        <v>66</v>
      </c>
      <c r="D1895" t="n">
        <v>0.1535</v>
      </c>
      <c r="E1895" t="n">
        <v>15.8968</v>
      </c>
      <c r="F1895" t="n">
        <v>0.09347999999999999</v>
      </c>
    </row>
    <row r="1896">
      <c r="A1896" t="n">
        <v>2000067</v>
      </c>
      <c r="B1896" t="n">
        <v>2</v>
      </c>
      <c r="C1896" t="n">
        <v>67</v>
      </c>
      <c r="D1896" t="n">
        <v>0.1495</v>
      </c>
      <c r="E1896" t="n">
        <v>15.9202</v>
      </c>
      <c r="F1896" t="n">
        <v>0.09344</v>
      </c>
    </row>
    <row r="1897">
      <c r="A1897" t="n">
        <v>2000068</v>
      </c>
      <c r="B1897" t="n">
        <v>2</v>
      </c>
      <c r="C1897" t="n">
        <v>68</v>
      </c>
      <c r="D1897" t="n">
        <v>0.1455</v>
      </c>
      <c r="E1897" t="n">
        <v>15.9431</v>
      </c>
      <c r="F1897" t="n">
        <v>0.0934</v>
      </c>
    </row>
    <row r="1898">
      <c r="A1898" t="n">
        <v>2000069</v>
      </c>
      <c r="B1898" t="n">
        <v>2</v>
      </c>
      <c r="C1898" t="n">
        <v>69</v>
      </c>
      <c r="D1898" t="n">
        <v>0.1416</v>
      </c>
      <c r="E1898" t="n">
        <v>15.9655</v>
      </c>
      <c r="F1898" t="n">
        <v>0.09336</v>
      </c>
    </row>
    <row r="1899">
      <c r="A1899" t="n">
        <v>2000070</v>
      </c>
      <c r="B1899" t="n">
        <v>2</v>
      </c>
      <c r="C1899" t="n">
        <v>70</v>
      </c>
      <c r="D1899" t="n">
        <v>0.1377</v>
      </c>
      <c r="E1899" t="n">
        <v>15.9874</v>
      </c>
      <c r="F1899" t="n">
        <v>0.09332</v>
      </c>
    </row>
    <row r="1900">
      <c r="A1900" t="n">
        <v>2000071</v>
      </c>
      <c r="B1900" t="n">
        <v>2</v>
      </c>
      <c r="C1900" t="n">
        <v>71</v>
      </c>
      <c r="D1900" t="n">
        <v>0.1339</v>
      </c>
      <c r="E1900" t="n">
        <v>16.0087</v>
      </c>
      <c r="F1900" t="n">
        <v>0.09328</v>
      </c>
    </row>
    <row r="1901">
      <c r="A1901" t="n">
        <v>2000072</v>
      </c>
      <c r="B1901" t="n">
        <v>2</v>
      </c>
      <c r="C1901" t="n">
        <v>72</v>
      </c>
      <c r="D1901" t="n">
        <v>0.1301</v>
      </c>
      <c r="E1901" t="n">
        <v>16.0297</v>
      </c>
      <c r="F1901" t="n">
        <v>0.09324</v>
      </c>
    </row>
    <row r="1902">
      <c r="A1902" t="n">
        <v>2000073</v>
      </c>
      <c r="B1902" t="n">
        <v>2</v>
      </c>
      <c r="C1902" t="n">
        <v>73</v>
      </c>
      <c r="D1902" t="n">
        <v>0.1263</v>
      </c>
      <c r="E1902" t="n">
        <v>16.0501</v>
      </c>
      <c r="F1902" t="n">
        <v>0.09320000000000001</v>
      </c>
    </row>
    <row r="1903">
      <c r="A1903" t="n">
        <v>2000074</v>
      </c>
      <c r="B1903" t="n">
        <v>2</v>
      </c>
      <c r="C1903" t="n">
        <v>74</v>
      </c>
      <c r="D1903" t="n">
        <v>0.1226</v>
      </c>
      <c r="E1903" t="n">
        <v>16.0702</v>
      </c>
      <c r="F1903" t="n">
        <v>0.09316000000000001</v>
      </c>
    </row>
    <row r="1904">
      <c r="A1904" t="n">
        <v>2000075</v>
      </c>
      <c r="B1904" t="n">
        <v>2</v>
      </c>
      <c r="C1904" t="n">
        <v>75</v>
      </c>
      <c r="D1904" t="n">
        <v>0.119</v>
      </c>
      <c r="E1904" t="n">
        <v>16.0897</v>
      </c>
      <c r="F1904" t="n">
        <v>0.09311999999999999</v>
      </c>
    </row>
    <row r="1905">
      <c r="A1905" t="n">
        <v>2000076</v>
      </c>
      <c r="B1905" t="n">
        <v>2</v>
      </c>
      <c r="C1905" t="n">
        <v>76</v>
      </c>
      <c r="D1905" t="n">
        <v>0.1154</v>
      </c>
      <c r="E1905" t="n">
        <v>16.1089</v>
      </c>
      <c r="F1905" t="n">
        <v>0.09308</v>
      </c>
    </row>
    <row r="1906">
      <c r="A1906" t="n">
        <v>2000077</v>
      </c>
      <c r="B1906" t="n">
        <v>2</v>
      </c>
      <c r="C1906" t="n">
        <v>77</v>
      </c>
      <c r="D1906" t="n">
        <v>0.1118</v>
      </c>
      <c r="E1906" t="n">
        <v>16.1277</v>
      </c>
      <c r="F1906" t="n">
        <v>0.09304</v>
      </c>
    </row>
    <row r="1907">
      <c r="A1907" t="n">
        <v>2000078</v>
      </c>
      <c r="B1907" t="n">
        <v>2</v>
      </c>
      <c r="C1907" t="n">
        <v>78</v>
      </c>
      <c r="D1907" t="n">
        <v>0.1082</v>
      </c>
      <c r="E1907" t="n">
        <v>16.1461</v>
      </c>
      <c r="F1907" t="n">
        <v>0.093</v>
      </c>
    </row>
    <row r="1908">
      <c r="A1908" t="n">
        <v>2000079</v>
      </c>
      <c r="B1908" t="n">
        <v>2</v>
      </c>
      <c r="C1908" t="n">
        <v>79</v>
      </c>
      <c r="D1908" t="n">
        <v>0.1047</v>
      </c>
      <c r="E1908" t="n">
        <v>16.164</v>
      </c>
      <c r="F1908" t="n">
        <v>0.09297</v>
      </c>
    </row>
    <row r="1909">
      <c r="A1909" t="n">
        <v>2000080</v>
      </c>
      <c r="B1909" t="n">
        <v>2</v>
      </c>
      <c r="C1909" t="n">
        <v>80</v>
      </c>
      <c r="D1909" t="n">
        <v>0.1013</v>
      </c>
      <c r="E1909" t="n">
        <v>16.1817</v>
      </c>
      <c r="F1909" t="n">
        <v>0.09293</v>
      </c>
    </row>
    <row r="1910">
      <c r="A1910" t="n">
        <v>2000081</v>
      </c>
      <c r="B1910" t="n">
        <v>2</v>
      </c>
      <c r="C1910" t="n">
        <v>81</v>
      </c>
      <c r="D1910" t="n">
        <v>0.0978</v>
      </c>
      <c r="E1910" t="n">
        <v>16.1989</v>
      </c>
      <c r="F1910" t="n">
        <v>0.09289</v>
      </c>
    </row>
    <row r="1911">
      <c r="A1911" t="n">
        <v>2000082</v>
      </c>
      <c r="B1911" t="n">
        <v>2</v>
      </c>
      <c r="C1911" t="n">
        <v>82</v>
      </c>
      <c r="D1911" t="n">
        <v>0.0944</v>
      </c>
      <c r="E1911" t="n">
        <v>16.2158</v>
      </c>
      <c r="F1911" t="n">
        <v>0.09286</v>
      </c>
    </row>
    <row r="1912">
      <c r="A1912" t="n">
        <v>2000083</v>
      </c>
      <c r="B1912" t="n">
        <v>2</v>
      </c>
      <c r="C1912" t="n">
        <v>83</v>
      </c>
      <c r="D1912" t="n">
        <v>0.0911</v>
      </c>
      <c r="E1912" t="n">
        <v>16.2323</v>
      </c>
      <c r="F1912" t="n">
        <v>0.09282</v>
      </c>
    </row>
    <row r="1913">
      <c r="A1913" t="n">
        <v>2000084</v>
      </c>
      <c r="B1913" t="n">
        <v>2</v>
      </c>
      <c r="C1913" t="n">
        <v>84</v>
      </c>
      <c r="D1913" t="n">
        <v>0.0877</v>
      </c>
      <c r="E1913" t="n">
        <v>16.2485</v>
      </c>
      <c r="F1913" t="n">
        <v>0.09279</v>
      </c>
    </row>
    <row r="1914">
      <c r="A1914" t="n">
        <v>2000085</v>
      </c>
      <c r="B1914" t="n">
        <v>2</v>
      </c>
      <c r="C1914" t="n">
        <v>85</v>
      </c>
      <c r="D1914" t="n">
        <v>0.0844</v>
      </c>
      <c r="E1914" t="n">
        <v>16.2644</v>
      </c>
      <c r="F1914" t="n">
        <v>0.09275</v>
      </c>
    </row>
    <row r="1915">
      <c r="A1915" t="n">
        <v>2000086</v>
      </c>
      <c r="B1915" t="n">
        <v>2</v>
      </c>
      <c r="C1915" t="n">
        <v>86</v>
      </c>
      <c r="D1915" t="n">
        <v>0.08110000000000001</v>
      </c>
      <c r="E1915" t="n">
        <v>16.28</v>
      </c>
      <c r="F1915" t="n">
        <v>0.09272</v>
      </c>
    </row>
    <row r="1916">
      <c r="A1916" t="n">
        <v>2000087</v>
      </c>
      <c r="B1916" t="n">
        <v>2</v>
      </c>
      <c r="C1916" t="n">
        <v>87</v>
      </c>
      <c r="D1916" t="n">
        <v>0.0779</v>
      </c>
      <c r="E1916" t="n">
        <v>16.2952</v>
      </c>
      <c r="F1916" t="n">
        <v>0.09268</v>
      </c>
    </row>
    <row r="1917">
      <c r="A1917" t="n">
        <v>2000088</v>
      </c>
      <c r="B1917" t="n">
        <v>2</v>
      </c>
      <c r="C1917" t="n">
        <v>88</v>
      </c>
      <c r="D1917" t="n">
        <v>0.0747</v>
      </c>
      <c r="E1917" t="n">
        <v>16.3101</v>
      </c>
      <c r="F1917" t="n">
        <v>0.09265</v>
      </c>
    </row>
    <row r="1918">
      <c r="A1918" t="n">
        <v>2000089</v>
      </c>
      <c r="B1918" t="n">
        <v>2</v>
      </c>
      <c r="C1918" t="n">
        <v>89</v>
      </c>
      <c r="D1918" t="n">
        <v>0.07149999999999999</v>
      </c>
      <c r="E1918" t="n">
        <v>16.3247</v>
      </c>
      <c r="F1918" t="n">
        <v>0.09261999999999999</v>
      </c>
    </row>
    <row r="1919">
      <c r="A1919" t="n">
        <v>2000090</v>
      </c>
      <c r="B1919" t="n">
        <v>2</v>
      </c>
      <c r="C1919" t="n">
        <v>90</v>
      </c>
      <c r="D1919" t="n">
        <v>0.0684</v>
      </c>
      <c r="E1919" t="n">
        <v>16.339</v>
      </c>
      <c r="F1919" t="n">
        <v>0.09258</v>
      </c>
    </row>
    <row r="1920">
      <c r="A1920" t="n">
        <v>2000091</v>
      </c>
      <c r="B1920" t="n">
        <v>2</v>
      </c>
      <c r="C1920" t="n">
        <v>91</v>
      </c>
      <c r="D1920" t="n">
        <v>0.06519999999999999</v>
      </c>
      <c r="E1920" t="n">
        <v>16.3531</v>
      </c>
      <c r="F1920" t="n">
        <v>0.09254999999999999</v>
      </c>
    </row>
    <row r="1921">
      <c r="A1921" t="n">
        <v>2000092</v>
      </c>
      <c r="B1921" t="n">
        <v>2</v>
      </c>
      <c r="C1921" t="n">
        <v>92</v>
      </c>
      <c r="D1921" t="n">
        <v>0.0621</v>
      </c>
      <c r="E1921" t="n">
        <v>16.3668</v>
      </c>
      <c r="F1921" t="n">
        <v>0.09252000000000001</v>
      </c>
    </row>
    <row r="1922">
      <c r="A1922" t="n">
        <v>2000093</v>
      </c>
      <c r="B1922" t="n">
        <v>2</v>
      </c>
      <c r="C1922" t="n">
        <v>93</v>
      </c>
      <c r="D1922" t="n">
        <v>0.0591</v>
      </c>
      <c r="E1922" t="n">
        <v>16.3803</v>
      </c>
      <c r="F1922" t="n">
        <v>0.09249</v>
      </c>
    </row>
    <row r="1923">
      <c r="A1923" t="n">
        <v>2000094</v>
      </c>
      <c r="B1923" t="n">
        <v>2</v>
      </c>
      <c r="C1923" t="n">
        <v>94</v>
      </c>
      <c r="D1923" t="n">
        <v>0.056</v>
      </c>
      <c r="E1923" t="n">
        <v>16.3935</v>
      </c>
      <c r="F1923" t="n">
        <v>0.09245</v>
      </c>
    </row>
    <row r="1924">
      <c r="A1924" t="n">
        <v>2000095</v>
      </c>
      <c r="B1924" t="n">
        <v>2</v>
      </c>
      <c r="C1924" t="n">
        <v>95</v>
      </c>
      <c r="D1924" t="n">
        <v>0.053</v>
      </c>
      <c r="E1924" t="n">
        <v>16.4065</v>
      </c>
      <c r="F1924" t="n">
        <v>0.09242</v>
      </c>
    </row>
    <row r="1925">
      <c r="A1925" t="n">
        <v>2000096</v>
      </c>
      <c r="B1925" t="n">
        <v>2</v>
      </c>
      <c r="C1925" t="n">
        <v>96</v>
      </c>
      <c r="D1925" t="n">
        <v>0.05</v>
      </c>
      <c r="E1925" t="n">
        <v>16.4192</v>
      </c>
      <c r="F1925" t="n">
        <v>0.09239</v>
      </c>
    </row>
    <row r="1926">
      <c r="A1926" t="n">
        <v>2000097</v>
      </c>
      <c r="B1926" t="n">
        <v>2</v>
      </c>
      <c r="C1926" t="n">
        <v>97</v>
      </c>
      <c r="D1926" t="n">
        <v>0.0471</v>
      </c>
      <c r="E1926" t="n">
        <v>16.4316</v>
      </c>
      <c r="F1926" t="n">
        <v>0.09236</v>
      </c>
    </row>
    <row r="1927">
      <c r="A1927" t="n">
        <v>2000098</v>
      </c>
      <c r="B1927" t="n">
        <v>2</v>
      </c>
      <c r="C1927" t="n">
        <v>98</v>
      </c>
      <c r="D1927" t="n">
        <v>0.0442</v>
      </c>
      <c r="E1927" t="n">
        <v>16.4438</v>
      </c>
      <c r="F1927" t="n">
        <v>0.09233</v>
      </c>
    </row>
    <row r="1928">
      <c r="A1928" t="n">
        <v>2000099</v>
      </c>
      <c r="B1928" t="n">
        <v>2</v>
      </c>
      <c r="C1928" t="n">
        <v>99</v>
      </c>
      <c r="D1928" t="n">
        <v>0.0412</v>
      </c>
      <c r="E1928" t="n">
        <v>16.4557</v>
      </c>
      <c r="F1928" t="n">
        <v>0.09229999999999999</v>
      </c>
    </row>
    <row r="1929">
      <c r="A1929" t="n">
        <v>2000100</v>
      </c>
      <c r="B1929" t="n">
        <v>2</v>
      </c>
      <c r="C1929" t="n">
        <v>100</v>
      </c>
      <c r="D1929" t="n">
        <v>0.0384</v>
      </c>
      <c r="E1929" t="n">
        <v>16.4673</v>
      </c>
      <c r="F1929" t="n">
        <v>0.09227</v>
      </c>
    </row>
    <row r="1930">
      <c r="A1930" t="n">
        <v>2000101</v>
      </c>
      <c r="B1930" t="n">
        <v>2</v>
      </c>
      <c r="C1930" t="n">
        <v>101</v>
      </c>
      <c r="D1930" t="n">
        <v>0.0355</v>
      </c>
      <c r="E1930" t="n">
        <v>16.4788</v>
      </c>
      <c r="F1930" t="n">
        <v>0.09224</v>
      </c>
    </row>
    <row r="1931">
      <c r="A1931" t="n">
        <v>2000102</v>
      </c>
      <c r="B1931" t="n">
        <v>2</v>
      </c>
      <c r="C1931" t="n">
        <v>102</v>
      </c>
      <c r="D1931" t="n">
        <v>0.0327</v>
      </c>
      <c r="E1931" t="n">
        <v>16.49</v>
      </c>
      <c r="F1931" t="n">
        <v>0.09221</v>
      </c>
    </row>
    <row r="1932">
      <c r="A1932" t="n">
        <v>2000103</v>
      </c>
      <c r="B1932" t="n">
        <v>2</v>
      </c>
      <c r="C1932" t="n">
        <v>103</v>
      </c>
      <c r="D1932" t="n">
        <v>0.0298</v>
      </c>
      <c r="E1932" t="n">
        <v>16.5009</v>
      </c>
      <c r="F1932" t="n">
        <v>0.09218</v>
      </c>
    </row>
    <row r="1933">
      <c r="A1933" t="n">
        <v>2000104</v>
      </c>
      <c r="B1933" t="n">
        <v>2</v>
      </c>
      <c r="C1933" t="n">
        <v>104</v>
      </c>
      <c r="D1933" t="n">
        <v>0.027</v>
      </c>
      <c r="E1933" t="n">
        <v>16.5117</v>
      </c>
      <c r="F1933" t="n">
        <v>0.09215</v>
      </c>
    </row>
    <row r="1934">
      <c r="A1934" t="n">
        <v>2000105</v>
      </c>
      <c r="B1934" t="n">
        <v>2</v>
      </c>
      <c r="C1934" t="n">
        <v>105</v>
      </c>
      <c r="D1934" t="n">
        <v>0.0243</v>
      </c>
      <c r="E1934" t="n">
        <v>16.5222</v>
      </c>
      <c r="F1934" t="n">
        <v>0.09211999999999999</v>
      </c>
    </row>
    <row r="1935">
      <c r="A1935" t="n">
        <v>2000106</v>
      </c>
      <c r="B1935" t="n">
        <v>2</v>
      </c>
      <c r="C1935" t="n">
        <v>106</v>
      </c>
      <c r="D1935" t="n">
        <v>0.0215</v>
      </c>
      <c r="E1935" t="n">
        <v>16.5325</v>
      </c>
      <c r="F1935" t="n">
        <v>0.09209000000000001</v>
      </c>
    </row>
    <row r="1936">
      <c r="A1936" t="n">
        <v>2000107</v>
      </c>
      <c r="B1936" t="n">
        <v>2</v>
      </c>
      <c r="C1936" t="n">
        <v>107</v>
      </c>
      <c r="D1936" t="n">
        <v>0.0188</v>
      </c>
      <c r="E1936" t="n">
        <v>16.5426</v>
      </c>
      <c r="F1936" t="n">
        <v>0.09206</v>
      </c>
    </row>
    <row r="1937">
      <c r="A1937" t="n">
        <v>2000108</v>
      </c>
      <c r="B1937" t="n">
        <v>2</v>
      </c>
      <c r="C1937" t="n">
        <v>108</v>
      </c>
      <c r="D1937" t="n">
        <v>0.0161</v>
      </c>
      <c r="E1937" t="n">
        <v>16.5525</v>
      </c>
      <c r="F1937" t="n">
        <v>0.09203</v>
      </c>
    </row>
    <row r="1938">
      <c r="A1938" t="n">
        <v>2000109</v>
      </c>
      <c r="B1938" t="n">
        <v>2</v>
      </c>
      <c r="C1938" t="n">
        <v>109</v>
      </c>
      <c r="D1938" t="n">
        <v>0.0134</v>
      </c>
      <c r="E1938" t="n">
        <v>16.5622</v>
      </c>
      <c r="F1938" t="n">
        <v>0.09200999999999999</v>
      </c>
    </row>
    <row r="1939">
      <c r="A1939" t="n">
        <v>2000110</v>
      </c>
      <c r="B1939" t="n">
        <v>2</v>
      </c>
      <c r="C1939" t="n">
        <v>110</v>
      </c>
      <c r="D1939" t="n">
        <v>0.0107</v>
      </c>
      <c r="E1939" t="n">
        <v>16.5717</v>
      </c>
      <c r="F1939" t="n">
        <v>0.09198000000000001</v>
      </c>
    </row>
    <row r="1940">
      <c r="A1940" t="n">
        <v>2000111</v>
      </c>
      <c r="B1940" t="n">
        <v>2</v>
      </c>
      <c r="C1940" t="n">
        <v>111</v>
      </c>
      <c r="D1940" t="n">
        <v>0.0081</v>
      </c>
      <c r="E1940" t="n">
        <v>16.581</v>
      </c>
      <c r="F1940" t="n">
        <v>0.09195</v>
      </c>
    </row>
    <row r="1941">
      <c r="A1941" t="n">
        <v>2000112</v>
      </c>
      <c r="B1941" t="n">
        <v>2</v>
      </c>
      <c r="C1941" t="n">
        <v>112</v>
      </c>
      <c r="D1941" t="n">
        <v>0.0055</v>
      </c>
      <c r="E1941" t="n">
        <v>16.5901</v>
      </c>
      <c r="F1941" t="n">
        <v>0.09192</v>
      </c>
    </row>
    <row r="1942">
      <c r="A1942" t="n">
        <v>2000113</v>
      </c>
      <c r="B1942" t="n">
        <v>2</v>
      </c>
      <c r="C1942" t="n">
        <v>113</v>
      </c>
      <c r="D1942" t="n">
        <v>0.0029</v>
      </c>
      <c r="E1942" t="n">
        <v>16.5991</v>
      </c>
      <c r="F1942" t="n">
        <v>0.09189</v>
      </c>
    </row>
    <row r="1943">
      <c r="A1943" t="n">
        <v>2000114</v>
      </c>
      <c r="B1943" t="n">
        <v>2</v>
      </c>
      <c r="C1943" t="n">
        <v>114</v>
      </c>
      <c r="D1943" t="n">
        <v>0.0003</v>
      </c>
      <c r="E1943" t="n">
        <v>16.6078</v>
      </c>
      <c r="F1943" t="n">
        <v>0.09186999999999999</v>
      </c>
    </row>
    <row r="1944">
      <c r="A1944" t="n">
        <v>2000115</v>
      </c>
      <c r="B1944" t="n">
        <v>2</v>
      </c>
      <c r="C1944" t="n">
        <v>115</v>
      </c>
      <c r="D1944" t="n">
        <v>-0.0023</v>
      </c>
      <c r="E1944" t="n">
        <v>16.6164</v>
      </c>
      <c r="F1944" t="n">
        <v>0.09184</v>
      </c>
    </row>
    <row r="1945">
      <c r="A1945" t="n">
        <v>2000116</v>
      </c>
      <c r="B1945" t="n">
        <v>2</v>
      </c>
      <c r="C1945" t="n">
        <v>116</v>
      </c>
      <c r="D1945" t="n">
        <v>-0.0048</v>
      </c>
      <c r="E1945" t="n">
        <v>16.6249</v>
      </c>
      <c r="F1945" t="n">
        <v>0.09181</v>
      </c>
    </row>
    <row r="1946">
      <c r="A1946" t="n">
        <v>2000117</v>
      </c>
      <c r="B1946" t="n">
        <v>2</v>
      </c>
      <c r="C1946" t="n">
        <v>117</v>
      </c>
      <c r="D1946" t="n">
        <v>-0.0074</v>
      </c>
      <c r="E1946" t="n">
        <v>16.6331</v>
      </c>
      <c r="F1946" t="n">
        <v>0.09179</v>
      </c>
    </row>
    <row r="1947">
      <c r="A1947" t="n">
        <v>2000118</v>
      </c>
      <c r="B1947" t="n">
        <v>2</v>
      </c>
      <c r="C1947" t="n">
        <v>118</v>
      </c>
      <c r="D1947" t="n">
        <v>-0.009900000000000001</v>
      </c>
      <c r="E1947" t="n">
        <v>16.6412</v>
      </c>
      <c r="F1947" t="n">
        <v>0.09175999999999999</v>
      </c>
    </row>
    <row r="1948">
      <c r="A1948" t="n">
        <v>2000119</v>
      </c>
      <c r="B1948" t="n">
        <v>2</v>
      </c>
      <c r="C1948" t="n">
        <v>119</v>
      </c>
      <c r="D1948" t="n">
        <v>-0.0124</v>
      </c>
      <c r="E1948" t="n">
        <v>16.6492</v>
      </c>
      <c r="F1948" t="n">
        <v>0.09173000000000001</v>
      </c>
    </row>
    <row r="1949">
      <c r="A1949" t="n">
        <v>2000120</v>
      </c>
      <c r="B1949" t="n">
        <v>2</v>
      </c>
      <c r="C1949" t="n">
        <v>120</v>
      </c>
      <c r="D1949" t="n">
        <v>-0.0148</v>
      </c>
      <c r="E1949" t="n">
        <v>16.657</v>
      </c>
      <c r="F1949" t="n">
        <v>0.09171</v>
      </c>
    </row>
    <row r="1950">
      <c r="A1950" t="n">
        <v>2000121</v>
      </c>
      <c r="B1950" t="n">
        <v>2</v>
      </c>
      <c r="C1950" t="n">
        <v>121</v>
      </c>
      <c r="D1950" t="n">
        <v>-0.0173</v>
      </c>
      <c r="E1950" t="n">
        <v>16.6647</v>
      </c>
      <c r="F1950" t="n">
        <v>0.09168</v>
      </c>
    </row>
    <row r="1951">
      <c r="A1951" t="n">
        <v>2000122</v>
      </c>
      <c r="B1951" t="n">
        <v>2</v>
      </c>
      <c r="C1951" t="n">
        <v>122</v>
      </c>
      <c r="D1951" t="n">
        <v>-0.0197</v>
      </c>
      <c r="E1951" t="n">
        <v>16.6722</v>
      </c>
      <c r="F1951" t="n">
        <v>0.09166000000000001</v>
      </c>
    </row>
    <row r="1952">
      <c r="A1952" t="n">
        <v>2000123</v>
      </c>
      <c r="B1952" t="n">
        <v>2</v>
      </c>
      <c r="C1952" t="n">
        <v>123</v>
      </c>
      <c r="D1952" t="n">
        <v>-0.0222</v>
      </c>
      <c r="E1952" t="n">
        <v>16.6795</v>
      </c>
      <c r="F1952" t="n">
        <v>0.09163</v>
      </c>
    </row>
    <row r="1953">
      <c r="A1953" t="n">
        <v>2000124</v>
      </c>
      <c r="B1953" t="n">
        <v>2</v>
      </c>
      <c r="C1953" t="n">
        <v>124</v>
      </c>
      <c r="D1953" t="n">
        <v>-0.0246</v>
      </c>
      <c r="E1953" t="n">
        <v>16.6868</v>
      </c>
      <c r="F1953" t="n">
        <v>0.09161</v>
      </c>
    </row>
    <row r="1954">
      <c r="A1954" t="n">
        <v>2000125</v>
      </c>
      <c r="B1954" t="n">
        <v>2</v>
      </c>
      <c r="C1954" t="n">
        <v>125</v>
      </c>
      <c r="D1954" t="n">
        <v>-0.027</v>
      </c>
      <c r="E1954" t="n">
        <v>16.6939</v>
      </c>
      <c r="F1954" t="n">
        <v>0.09157999999999999</v>
      </c>
    </row>
    <row r="1955">
      <c r="A1955" t="n">
        <v>2000126</v>
      </c>
      <c r="B1955" t="n">
        <v>2</v>
      </c>
      <c r="C1955" t="n">
        <v>126</v>
      </c>
      <c r="D1955" t="n">
        <v>-0.0293</v>
      </c>
      <c r="E1955" t="n">
        <v>16.7009</v>
      </c>
      <c r="F1955" t="n">
        <v>0.09156</v>
      </c>
    </row>
    <row r="1956">
      <c r="A1956" t="n">
        <v>2000127</v>
      </c>
      <c r="B1956" t="n">
        <v>2</v>
      </c>
      <c r="C1956" t="n">
        <v>127</v>
      </c>
      <c r="D1956" t="n">
        <v>-0.0317</v>
      </c>
      <c r="E1956" t="n">
        <v>16.7077</v>
      </c>
      <c r="F1956" t="n">
        <v>0.09153</v>
      </c>
    </row>
    <row r="1957">
      <c r="A1957" t="n">
        <v>2000128</v>
      </c>
      <c r="B1957" t="n">
        <v>2</v>
      </c>
      <c r="C1957" t="n">
        <v>128</v>
      </c>
      <c r="D1957" t="n">
        <v>-0.034</v>
      </c>
      <c r="E1957" t="n">
        <v>16.7144</v>
      </c>
      <c r="F1957" t="n">
        <v>0.09150999999999999</v>
      </c>
    </row>
    <row r="1958">
      <c r="A1958" t="n">
        <v>2000129</v>
      </c>
      <c r="B1958" t="n">
        <v>2</v>
      </c>
      <c r="C1958" t="n">
        <v>129</v>
      </c>
      <c r="D1958" t="n">
        <v>-0.0364</v>
      </c>
      <c r="E1958" t="n">
        <v>16.721</v>
      </c>
      <c r="F1958" t="n">
        <v>0.09148000000000001</v>
      </c>
    </row>
    <row r="1959">
      <c r="A1959" t="n">
        <v>2000130</v>
      </c>
      <c r="B1959" t="n">
        <v>2</v>
      </c>
      <c r="C1959" t="n">
        <v>130</v>
      </c>
      <c r="D1959" t="n">
        <v>-0.0387</v>
      </c>
      <c r="E1959" t="n">
        <v>16.7274</v>
      </c>
      <c r="F1959" t="n">
        <v>0.09146</v>
      </c>
    </row>
    <row r="1960">
      <c r="A1960" t="n">
        <v>2000131</v>
      </c>
      <c r="B1960" t="n">
        <v>2</v>
      </c>
      <c r="C1960" t="n">
        <v>131</v>
      </c>
      <c r="D1960" t="n">
        <v>-0.041</v>
      </c>
      <c r="E1960" t="n">
        <v>16.7337</v>
      </c>
      <c r="F1960" t="n">
        <v>0.09143</v>
      </c>
    </row>
    <row r="1961">
      <c r="A1961" t="n">
        <v>2000132</v>
      </c>
      <c r="B1961" t="n">
        <v>2</v>
      </c>
      <c r="C1961" t="n">
        <v>132</v>
      </c>
      <c r="D1961" t="n">
        <v>-0.0433</v>
      </c>
      <c r="E1961" t="n">
        <v>16.7399</v>
      </c>
      <c r="F1961" t="n">
        <v>0.09141000000000001</v>
      </c>
    </row>
    <row r="1962">
      <c r="A1962" t="n">
        <v>2000133</v>
      </c>
      <c r="B1962" t="n">
        <v>2</v>
      </c>
      <c r="C1962" t="n">
        <v>133</v>
      </c>
      <c r="D1962" t="n">
        <v>-0.0455</v>
      </c>
      <c r="E1962" t="n">
        <v>16.746</v>
      </c>
      <c r="F1962" t="n">
        <v>0.09139</v>
      </c>
    </row>
    <row r="1963">
      <c r="A1963" t="n">
        <v>2000134</v>
      </c>
      <c r="B1963" t="n">
        <v>2</v>
      </c>
      <c r="C1963" t="n">
        <v>134</v>
      </c>
      <c r="D1963" t="n">
        <v>-0.0478</v>
      </c>
      <c r="E1963" t="n">
        <v>16.7519</v>
      </c>
      <c r="F1963" t="n">
        <v>0.09136</v>
      </c>
    </row>
    <row r="1964">
      <c r="A1964" t="n">
        <v>2000135</v>
      </c>
      <c r="B1964" t="n">
        <v>2</v>
      </c>
      <c r="C1964" t="n">
        <v>135</v>
      </c>
      <c r="D1964" t="n">
        <v>-0.05</v>
      </c>
      <c r="E1964" t="n">
        <v>16.7577</v>
      </c>
      <c r="F1964" t="n">
        <v>0.09134</v>
      </c>
    </row>
    <row r="1965">
      <c r="A1965" t="n">
        <v>2000136</v>
      </c>
      <c r="B1965" t="n">
        <v>2</v>
      </c>
      <c r="C1965" t="n">
        <v>136</v>
      </c>
      <c r="D1965" t="n">
        <v>-0.0522</v>
      </c>
      <c r="E1965" t="n">
        <v>16.7634</v>
      </c>
      <c r="F1965" t="n">
        <v>0.09131</v>
      </c>
    </row>
    <row r="1966">
      <c r="A1966" t="n">
        <v>2000137</v>
      </c>
      <c r="B1966" t="n">
        <v>2</v>
      </c>
      <c r="C1966" t="n">
        <v>137</v>
      </c>
      <c r="D1966" t="n">
        <v>-0.0545</v>
      </c>
      <c r="E1966" t="n">
        <v>16.7689</v>
      </c>
      <c r="F1966" t="n">
        <v>0.09129</v>
      </c>
    </row>
    <row r="1967">
      <c r="A1967" t="n">
        <v>2000138</v>
      </c>
      <c r="B1967" t="n">
        <v>2</v>
      </c>
      <c r="C1967" t="n">
        <v>138</v>
      </c>
      <c r="D1967" t="n">
        <v>-0.0566</v>
      </c>
      <c r="E1967" t="n">
        <v>16.7743</v>
      </c>
      <c r="F1967" t="n">
        <v>0.09127</v>
      </c>
    </row>
    <row r="1968">
      <c r="A1968" t="n">
        <v>2000139</v>
      </c>
      <c r="B1968" t="n">
        <v>2</v>
      </c>
      <c r="C1968" t="n">
        <v>139</v>
      </c>
      <c r="D1968" t="n">
        <v>-0.0588</v>
      </c>
      <c r="E1968" t="n">
        <v>16.7797</v>
      </c>
      <c r="F1968" t="n">
        <v>0.09125</v>
      </c>
    </row>
    <row r="1969">
      <c r="A1969" t="n">
        <v>2000140</v>
      </c>
      <c r="B1969" t="n">
        <v>2</v>
      </c>
      <c r="C1969" t="n">
        <v>140</v>
      </c>
      <c r="D1969" t="n">
        <v>-0.061</v>
      </c>
      <c r="E1969" t="n">
        <v>16.7848</v>
      </c>
      <c r="F1969" t="n">
        <v>0.09122</v>
      </c>
    </row>
    <row r="1970">
      <c r="A1970" t="n">
        <v>2000141</v>
      </c>
      <c r="B1970" t="n">
        <v>2</v>
      </c>
      <c r="C1970" t="n">
        <v>141</v>
      </c>
      <c r="D1970" t="n">
        <v>-0.06320000000000001</v>
      </c>
      <c r="E1970" t="n">
        <v>16.7899</v>
      </c>
      <c r="F1970" t="n">
        <v>0.0912</v>
      </c>
    </row>
    <row r="1971">
      <c r="A1971" t="n">
        <v>2000142</v>
      </c>
      <c r="B1971" t="n">
        <v>2</v>
      </c>
      <c r="C1971" t="n">
        <v>142</v>
      </c>
      <c r="D1971" t="n">
        <v>-0.0653</v>
      </c>
      <c r="E1971" t="n">
        <v>16.7948</v>
      </c>
      <c r="F1971" t="n">
        <v>0.09118</v>
      </c>
    </row>
    <row r="1972">
      <c r="A1972" t="n">
        <v>2000143</v>
      </c>
      <c r="B1972" t="n">
        <v>2</v>
      </c>
      <c r="C1972" t="n">
        <v>143</v>
      </c>
      <c r="D1972" t="n">
        <v>-0.0674</v>
      </c>
      <c r="E1972" t="n">
        <v>16.7997</v>
      </c>
      <c r="F1972" t="n">
        <v>0.09116</v>
      </c>
    </row>
    <row r="1973">
      <c r="A1973" t="n">
        <v>2000144</v>
      </c>
      <c r="B1973" t="n">
        <v>2</v>
      </c>
      <c r="C1973" t="n">
        <v>144</v>
      </c>
      <c r="D1973" t="n">
        <v>-0.0696</v>
      </c>
      <c r="E1973" t="n">
        <v>16.8044</v>
      </c>
      <c r="F1973" t="n">
        <v>0.09113</v>
      </c>
    </row>
    <row r="1974">
      <c r="A1974" t="n">
        <v>2000145</v>
      </c>
      <c r="B1974" t="n">
        <v>2</v>
      </c>
      <c r="C1974" t="n">
        <v>145</v>
      </c>
      <c r="D1974" t="n">
        <v>-0.0717</v>
      </c>
      <c r="E1974" t="n">
        <v>16.809</v>
      </c>
      <c r="F1974" t="n">
        <v>0.09111</v>
      </c>
    </row>
    <row r="1975">
      <c r="A1975" t="n">
        <v>2000146</v>
      </c>
      <c r="B1975" t="n">
        <v>2</v>
      </c>
      <c r="C1975" t="n">
        <v>146</v>
      </c>
      <c r="D1975" t="n">
        <v>-0.0737</v>
      </c>
      <c r="E1975" t="n">
        <v>16.8134</v>
      </c>
      <c r="F1975" t="n">
        <v>0.09109</v>
      </c>
    </row>
    <row r="1976">
      <c r="A1976" t="n">
        <v>2000147</v>
      </c>
      <c r="B1976" t="n">
        <v>2</v>
      </c>
      <c r="C1976" t="n">
        <v>147</v>
      </c>
      <c r="D1976" t="n">
        <v>-0.07580000000000001</v>
      </c>
      <c r="E1976" t="n">
        <v>16.8178</v>
      </c>
      <c r="F1976" t="n">
        <v>0.09107</v>
      </c>
    </row>
    <row r="1977">
      <c r="A1977" t="n">
        <v>2000148</v>
      </c>
      <c r="B1977" t="n">
        <v>2</v>
      </c>
      <c r="C1977" t="n">
        <v>148</v>
      </c>
      <c r="D1977" t="n">
        <v>-0.0779</v>
      </c>
      <c r="E1977" t="n">
        <v>16.822</v>
      </c>
      <c r="F1977" t="n">
        <v>0.09104</v>
      </c>
    </row>
    <row r="1978">
      <c r="A1978" t="n">
        <v>2000149</v>
      </c>
      <c r="B1978" t="n">
        <v>2</v>
      </c>
      <c r="C1978" t="n">
        <v>149</v>
      </c>
      <c r="D1978" t="n">
        <v>-0.08</v>
      </c>
      <c r="E1978" t="n">
        <v>16.8262</v>
      </c>
      <c r="F1978" t="n">
        <v>0.09102</v>
      </c>
    </row>
    <row r="1979">
      <c r="A1979" t="n">
        <v>2000150</v>
      </c>
      <c r="B1979" t="n">
        <v>2</v>
      </c>
      <c r="C1979" t="n">
        <v>150</v>
      </c>
      <c r="D1979" t="n">
        <v>-0.082</v>
      </c>
      <c r="E1979" t="n">
        <v>16.8302</v>
      </c>
      <c r="F1979" t="n">
        <v>0.091</v>
      </c>
    </row>
    <row r="1980">
      <c r="A1980" t="n">
        <v>2000151</v>
      </c>
      <c r="B1980" t="n">
        <v>2</v>
      </c>
      <c r="C1980" t="n">
        <v>151</v>
      </c>
      <c r="D1980" t="n">
        <v>-0.08400000000000001</v>
      </c>
      <c r="E1980" t="n">
        <v>16.8341</v>
      </c>
      <c r="F1980" t="n">
        <v>0.09098000000000001</v>
      </c>
    </row>
    <row r="1981">
      <c r="A1981" t="n">
        <v>2000152</v>
      </c>
      <c r="B1981" t="n">
        <v>2</v>
      </c>
      <c r="C1981" t="n">
        <v>152</v>
      </c>
      <c r="D1981" t="n">
        <v>-0.08599999999999999</v>
      </c>
      <c r="E1981" t="n">
        <v>16.8379</v>
      </c>
      <c r="F1981" t="n">
        <v>0.09096</v>
      </c>
    </row>
    <row r="1982">
      <c r="A1982" t="n">
        <v>2000153</v>
      </c>
      <c r="B1982" t="n">
        <v>2</v>
      </c>
      <c r="C1982" t="n">
        <v>153</v>
      </c>
      <c r="D1982" t="n">
        <v>-0.0881</v>
      </c>
      <c r="E1982" t="n">
        <v>16.8416</v>
      </c>
      <c r="F1982" t="n">
        <v>0.09093999999999999</v>
      </c>
    </row>
    <row r="1983">
      <c r="A1983" t="n">
        <v>2000154</v>
      </c>
      <c r="B1983" t="n">
        <v>2</v>
      </c>
      <c r="C1983" t="n">
        <v>154</v>
      </c>
      <c r="D1983" t="n">
        <v>-0.0901</v>
      </c>
      <c r="E1983" t="n">
        <v>16.8452</v>
      </c>
      <c r="F1983" t="n">
        <v>0.09092</v>
      </c>
    </row>
    <row r="1984">
      <c r="A1984" t="n">
        <v>2000155</v>
      </c>
      <c r="B1984" t="n">
        <v>2</v>
      </c>
      <c r="C1984" t="n">
        <v>155</v>
      </c>
      <c r="D1984" t="n">
        <v>-0.092</v>
      </c>
      <c r="E1984" t="n">
        <v>16.8487</v>
      </c>
      <c r="F1984" t="n">
        <v>0.09089999999999999</v>
      </c>
    </row>
    <row r="1985">
      <c r="A1985" t="n">
        <v>2000156</v>
      </c>
      <c r="B1985" t="n">
        <v>2</v>
      </c>
      <c r="C1985" t="n">
        <v>156</v>
      </c>
      <c r="D1985" t="n">
        <v>-0.094</v>
      </c>
      <c r="E1985" t="n">
        <v>16.8521</v>
      </c>
      <c r="F1985" t="n">
        <v>0.09088</v>
      </c>
    </row>
    <row r="1986">
      <c r="A1986" t="n">
        <v>2000157</v>
      </c>
      <c r="B1986" t="n">
        <v>2</v>
      </c>
      <c r="C1986" t="n">
        <v>157</v>
      </c>
      <c r="D1986" t="n">
        <v>-0.096</v>
      </c>
      <c r="E1986" t="n">
        <v>16.8554</v>
      </c>
      <c r="F1986" t="n">
        <v>0.09085</v>
      </c>
    </row>
    <row r="1987">
      <c r="A1987" t="n">
        <v>2000158</v>
      </c>
      <c r="B1987" t="n">
        <v>2</v>
      </c>
      <c r="C1987" t="n">
        <v>158</v>
      </c>
      <c r="D1987" t="n">
        <v>-0.0979</v>
      </c>
      <c r="E1987" t="n">
        <v>16.8586</v>
      </c>
      <c r="F1987" t="n">
        <v>0.09082999999999999</v>
      </c>
    </row>
    <row r="1988">
      <c r="A1988" t="n">
        <v>2000159</v>
      </c>
      <c r="B1988" t="n">
        <v>2</v>
      </c>
      <c r="C1988" t="n">
        <v>159</v>
      </c>
      <c r="D1988" t="n">
        <v>-0.0999</v>
      </c>
      <c r="E1988" t="n">
        <v>16.8617</v>
      </c>
      <c r="F1988" t="n">
        <v>0.09081</v>
      </c>
    </row>
    <row r="1989">
      <c r="A1989" t="n">
        <v>2000160</v>
      </c>
      <c r="B1989" t="n">
        <v>2</v>
      </c>
      <c r="C1989" t="n">
        <v>160</v>
      </c>
      <c r="D1989" t="n">
        <v>-0.1018</v>
      </c>
      <c r="E1989" t="n">
        <v>16.8648</v>
      </c>
      <c r="F1989" t="n">
        <v>0.09079</v>
      </c>
    </row>
    <row r="1990">
      <c r="A1990" t="n">
        <v>2000161</v>
      </c>
      <c r="B1990" t="n">
        <v>2</v>
      </c>
      <c r="C1990" t="n">
        <v>161</v>
      </c>
      <c r="D1990" t="n">
        <v>-0.1037</v>
      </c>
      <c r="E1990" t="n">
        <v>16.8677</v>
      </c>
      <c r="F1990" t="n">
        <v>0.09077</v>
      </c>
    </row>
    <row r="1991">
      <c r="A1991" t="n">
        <v>2000162</v>
      </c>
      <c r="B1991" t="n">
        <v>2</v>
      </c>
      <c r="C1991" t="n">
        <v>162</v>
      </c>
      <c r="D1991" t="n">
        <v>-0.1056</v>
      </c>
      <c r="E1991" t="n">
        <v>16.8705</v>
      </c>
      <c r="F1991" t="n">
        <v>0.09075</v>
      </c>
    </row>
    <row r="1992">
      <c r="A1992" t="n">
        <v>2000163</v>
      </c>
      <c r="B1992" t="n">
        <v>2</v>
      </c>
      <c r="C1992" t="n">
        <v>163</v>
      </c>
      <c r="D1992" t="n">
        <v>-0.1075</v>
      </c>
      <c r="E1992" t="n">
        <v>16.8732</v>
      </c>
      <c r="F1992" t="n">
        <v>0.09073000000000001</v>
      </c>
    </row>
    <row r="1993">
      <c r="A1993" t="n">
        <v>2000164</v>
      </c>
      <c r="B1993" t="n">
        <v>2</v>
      </c>
      <c r="C1993" t="n">
        <v>164</v>
      </c>
      <c r="D1993" t="n">
        <v>-0.1094</v>
      </c>
      <c r="E1993" t="n">
        <v>16.8759</v>
      </c>
      <c r="F1993" t="n">
        <v>0.09071</v>
      </c>
    </row>
    <row r="1994">
      <c r="A1994" t="n">
        <v>2000165</v>
      </c>
      <c r="B1994" t="n">
        <v>2</v>
      </c>
      <c r="C1994" t="n">
        <v>165</v>
      </c>
      <c r="D1994" t="n">
        <v>-0.1113</v>
      </c>
      <c r="E1994" t="n">
        <v>16.8784</v>
      </c>
      <c r="F1994" t="n">
        <v>0.09069000000000001</v>
      </c>
    </row>
    <row r="1995">
      <c r="A1995" t="n">
        <v>2000166</v>
      </c>
      <c r="B1995" t="n">
        <v>2</v>
      </c>
      <c r="C1995" t="n">
        <v>166</v>
      </c>
      <c r="D1995" t="n">
        <v>-0.1132</v>
      </c>
      <c r="E1995" t="n">
        <v>16.8808</v>
      </c>
      <c r="F1995" t="n">
        <v>0.09067</v>
      </c>
    </row>
    <row r="1996">
      <c r="A1996" t="n">
        <v>2000167</v>
      </c>
      <c r="B1996" t="n">
        <v>2</v>
      </c>
      <c r="C1996" t="n">
        <v>167</v>
      </c>
      <c r="D1996" t="n">
        <v>-0.115</v>
      </c>
      <c r="E1996" t="n">
        <v>16.8832</v>
      </c>
      <c r="F1996" t="n">
        <v>0.09064999999999999</v>
      </c>
    </row>
    <row r="1997">
      <c r="A1997" t="n">
        <v>2000168</v>
      </c>
      <c r="B1997" t="n">
        <v>2</v>
      </c>
      <c r="C1997" t="n">
        <v>168</v>
      </c>
      <c r="D1997" t="n">
        <v>-0.1169</v>
      </c>
      <c r="E1997" t="n">
        <v>16.8854</v>
      </c>
      <c r="F1997" t="n">
        <v>0.09063</v>
      </c>
    </row>
    <row r="1998">
      <c r="A1998" t="n">
        <v>2000169</v>
      </c>
      <c r="B1998" t="n">
        <v>2</v>
      </c>
      <c r="C1998" t="n">
        <v>169</v>
      </c>
      <c r="D1998" t="n">
        <v>-0.1187</v>
      </c>
      <c r="E1998" t="n">
        <v>16.8876</v>
      </c>
      <c r="F1998" t="n">
        <v>0.09061</v>
      </c>
    </row>
    <row r="1999">
      <c r="A1999" t="n">
        <v>2000170</v>
      </c>
      <c r="B1999" t="n">
        <v>2</v>
      </c>
      <c r="C1999" t="n">
        <v>170</v>
      </c>
      <c r="D1999" t="n">
        <v>-0.1206</v>
      </c>
      <c r="E1999" t="n">
        <v>16.8897</v>
      </c>
      <c r="F1999" t="n">
        <v>0.09059</v>
      </c>
    </row>
    <row r="2000">
      <c r="A2000" t="n">
        <v>2000171</v>
      </c>
      <c r="B2000" t="n">
        <v>2</v>
      </c>
      <c r="C2000" t="n">
        <v>171</v>
      </c>
      <c r="D2000" t="n">
        <v>-0.1224</v>
      </c>
      <c r="E2000" t="n">
        <v>16.8917</v>
      </c>
      <c r="F2000" t="n">
        <v>0.09057999999999999</v>
      </c>
    </row>
    <row r="2001">
      <c r="A2001" t="n">
        <v>2000172</v>
      </c>
      <c r="B2001" t="n">
        <v>2</v>
      </c>
      <c r="C2001" t="n">
        <v>172</v>
      </c>
      <c r="D2001" t="n">
        <v>-0.1242</v>
      </c>
      <c r="E2001" t="n">
        <v>16.8936</v>
      </c>
      <c r="F2001" t="n">
        <v>0.09056</v>
      </c>
    </row>
    <row r="2002">
      <c r="A2002" t="n">
        <v>2000173</v>
      </c>
      <c r="B2002" t="n">
        <v>2</v>
      </c>
      <c r="C2002" t="n">
        <v>173</v>
      </c>
      <c r="D2002" t="n">
        <v>-0.126</v>
      </c>
      <c r="E2002" t="n">
        <v>16.8954</v>
      </c>
      <c r="F2002" t="n">
        <v>0.09054</v>
      </c>
    </row>
    <row r="2003">
      <c r="A2003" t="n">
        <v>2000174</v>
      </c>
      <c r="B2003" t="n">
        <v>2</v>
      </c>
      <c r="C2003" t="n">
        <v>174</v>
      </c>
      <c r="D2003" t="n">
        <v>-0.1278</v>
      </c>
      <c r="E2003" t="n">
        <v>16.8971</v>
      </c>
      <c r="F2003" t="n">
        <v>0.09052</v>
      </c>
    </row>
    <row r="2004">
      <c r="A2004" t="n">
        <v>2000175</v>
      </c>
      <c r="B2004" t="n">
        <v>2</v>
      </c>
      <c r="C2004" t="n">
        <v>175</v>
      </c>
      <c r="D2004" t="n">
        <v>-0.1296</v>
      </c>
      <c r="E2004" t="n">
        <v>16.8987</v>
      </c>
      <c r="F2004" t="n">
        <v>0.0905</v>
      </c>
    </row>
    <row r="2005">
      <c r="A2005" t="n">
        <v>2000176</v>
      </c>
      <c r="B2005" t="n">
        <v>2</v>
      </c>
      <c r="C2005" t="n">
        <v>176</v>
      </c>
      <c r="D2005" t="n">
        <v>-0.1314</v>
      </c>
      <c r="E2005" t="n">
        <v>16.9002</v>
      </c>
      <c r="F2005" t="n">
        <v>0.09048</v>
      </c>
    </row>
    <row r="2006">
      <c r="A2006" t="n">
        <v>2000177</v>
      </c>
      <c r="B2006" t="n">
        <v>2</v>
      </c>
      <c r="C2006" t="n">
        <v>177</v>
      </c>
      <c r="D2006" t="n">
        <v>-0.1331</v>
      </c>
      <c r="E2006" t="n">
        <v>16.9017</v>
      </c>
      <c r="F2006" t="n">
        <v>0.09046</v>
      </c>
    </row>
    <row r="2007">
      <c r="A2007" t="n">
        <v>2000178</v>
      </c>
      <c r="B2007" t="n">
        <v>2</v>
      </c>
      <c r="C2007" t="n">
        <v>178</v>
      </c>
      <c r="D2007" t="n">
        <v>-0.1349</v>
      </c>
      <c r="E2007" t="n">
        <v>16.9031</v>
      </c>
      <c r="F2007" t="n">
        <v>0.09044000000000001</v>
      </c>
    </row>
    <row r="2008">
      <c r="A2008" t="n">
        <v>2000179</v>
      </c>
      <c r="B2008" t="n">
        <v>2</v>
      </c>
      <c r="C2008" t="n">
        <v>179</v>
      </c>
      <c r="D2008" t="n">
        <v>-0.1366</v>
      </c>
      <c r="E2008" t="n">
        <v>16.9043</v>
      </c>
      <c r="F2008" t="n">
        <v>0.09043</v>
      </c>
    </row>
    <row r="2009">
      <c r="A2009" t="n">
        <v>2000180</v>
      </c>
      <c r="B2009" t="n">
        <v>2</v>
      </c>
      <c r="C2009" t="n">
        <v>180</v>
      </c>
      <c r="D2009" t="n">
        <v>-0.1384</v>
      </c>
      <c r="E2009" t="n">
        <v>16.9055</v>
      </c>
      <c r="F2009" t="n">
        <v>0.09041</v>
      </c>
    </row>
    <row r="2010">
      <c r="A2010" t="n">
        <v>2000181</v>
      </c>
      <c r="B2010" t="n">
        <v>2</v>
      </c>
      <c r="C2010" t="n">
        <v>181</v>
      </c>
      <c r="D2010" t="n">
        <v>-0.1401</v>
      </c>
      <c r="E2010" t="n">
        <v>16.9066</v>
      </c>
      <c r="F2010" t="n">
        <v>0.09039</v>
      </c>
    </row>
    <row r="2011">
      <c r="A2011" t="n">
        <v>2000182</v>
      </c>
      <c r="B2011" t="n">
        <v>2</v>
      </c>
      <c r="C2011" t="n">
        <v>182</v>
      </c>
      <c r="D2011" t="n">
        <v>-0.1418</v>
      </c>
      <c r="E2011" t="n">
        <v>16.9077</v>
      </c>
      <c r="F2011" t="n">
        <v>0.09037000000000001</v>
      </c>
    </row>
    <row r="2012">
      <c r="A2012" t="n">
        <v>2000183</v>
      </c>
      <c r="B2012" t="n">
        <v>2</v>
      </c>
      <c r="C2012" t="n">
        <v>183</v>
      </c>
      <c r="D2012" t="n">
        <v>-0.1436</v>
      </c>
      <c r="E2012" t="n">
        <v>16.9086</v>
      </c>
      <c r="F2012" t="n">
        <v>0.09035</v>
      </c>
    </row>
    <row r="2013">
      <c r="A2013" t="n">
        <v>2000184</v>
      </c>
      <c r="B2013" t="n">
        <v>2</v>
      </c>
      <c r="C2013" t="n">
        <v>184</v>
      </c>
      <c r="D2013" t="n">
        <v>-0.1453</v>
      </c>
      <c r="E2013" t="n">
        <v>16.9095</v>
      </c>
      <c r="F2013" t="n">
        <v>0.09032999999999999</v>
      </c>
    </row>
    <row r="2014">
      <c r="A2014" t="n">
        <v>2000185</v>
      </c>
      <c r="B2014" t="n">
        <v>2</v>
      </c>
      <c r="C2014" t="n">
        <v>185</v>
      </c>
      <c r="D2014" t="n">
        <v>-0.147</v>
      </c>
      <c r="E2014" t="n">
        <v>16.9102</v>
      </c>
      <c r="F2014" t="n">
        <v>0.09032</v>
      </c>
    </row>
    <row r="2015">
      <c r="A2015" t="n">
        <v>2000186</v>
      </c>
      <c r="B2015" t="n">
        <v>2</v>
      </c>
      <c r="C2015" t="n">
        <v>186</v>
      </c>
      <c r="D2015" t="n">
        <v>-0.1487</v>
      </c>
      <c r="E2015" t="n">
        <v>16.9109</v>
      </c>
      <c r="F2015" t="n">
        <v>0.09030000000000001</v>
      </c>
    </row>
    <row r="2016">
      <c r="A2016" t="n">
        <v>2000187</v>
      </c>
      <c r="B2016" t="n">
        <v>2</v>
      </c>
      <c r="C2016" t="n">
        <v>187</v>
      </c>
      <c r="D2016" t="n">
        <v>-0.1503</v>
      </c>
      <c r="E2016" t="n">
        <v>16.9116</v>
      </c>
      <c r="F2016" t="n">
        <v>0.09028</v>
      </c>
    </row>
    <row r="2017">
      <c r="A2017" t="n">
        <v>2000188</v>
      </c>
      <c r="B2017" t="n">
        <v>2</v>
      </c>
      <c r="C2017" t="n">
        <v>188</v>
      </c>
      <c r="D2017" t="n">
        <v>-0.152</v>
      </c>
      <c r="E2017" t="n">
        <v>16.9121</v>
      </c>
      <c r="F2017" t="n">
        <v>0.09026000000000001</v>
      </c>
    </row>
    <row r="2018">
      <c r="A2018" t="n">
        <v>2000189</v>
      </c>
      <c r="B2018" t="n">
        <v>2</v>
      </c>
      <c r="C2018" t="n">
        <v>189</v>
      </c>
      <c r="D2018" t="n">
        <v>-0.1537</v>
      </c>
      <c r="E2018" t="n">
        <v>16.9125</v>
      </c>
      <c r="F2018" t="n">
        <v>0.09024</v>
      </c>
    </row>
    <row r="2019">
      <c r="A2019" t="n">
        <v>2000190</v>
      </c>
      <c r="B2019" t="n">
        <v>2</v>
      </c>
      <c r="C2019" t="n">
        <v>190</v>
      </c>
      <c r="D2019" t="n">
        <v>-0.1554</v>
      </c>
      <c r="E2019" t="n">
        <v>16.9129</v>
      </c>
      <c r="F2019" t="n">
        <v>0.09023</v>
      </c>
    </row>
    <row r="2020">
      <c r="A2020" t="n">
        <v>2000191</v>
      </c>
      <c r="B2020" t="n">
        <v>2</v>
      </c>
      <c r="C2020" t="n">
        <v>191</v>
      </c>
      <c r="D2020" t="n">
        <v>-0.157</v>
      </c>
      <c r="E2020" t="n">
        <v>16.9132</v>
      </c>
      <c r="F2020" t="n">
        <v>0.09021</v>
      </c>
    </row>
    <row r="2021">
      <c r="A2021" t="n">
        <v>2000192</v>
      </c>
      <c r="B2021" t="n">
        <v>2</v>
      </c>
      <c r="C2021" t="n">
        <v>192</v>
      </c>
      <c r="D2021" t="n">
        <v>-0.1587</v>
      </c>
      <c r="E2021" t="n">
        <v>16.9135</v>
      </c>
      <c r="F2021" t="n">
        <v>0.09019000000000001</v>
      </c>
    </row>
    <row r="2022">
      <c r="A2022" t="n">
        <v>2000193</v>
      </c>
      <c r="B2022" t="n">
        <v>2</v>
      </c>
      <c r="C2022" t="n">
        <v>193</v>
      </c>
      <c r="D2022" t="n">
        <v>-0.1603</v>
      </c>
      <c r="E2022" t="n">
        <v>16.9136</v>
      </c>
      <c r="F2022" t="n">
        <v>0.09017</v>
      </c>
    </row>
    <row r="2023">
      <c r="A2023" t="n">
        <v>2000194</v>
      </c>
      <c r="B2023" t="n">
        <v>2</v>
      </c>
      <c r="C2023" t="n">
        <v>194</v>
      </c>
      <c r="D2023" t="n">
        <v>-0.1619</v>
      </c>
      <c r="E2023" t="n">
        <v>16.9137</v>
      </c>
      <c r="F2023" t="n">
        <v>0.09016</v>
      </c>
    </row>
    <row r="2024">
      <c r="A2024" t="n">
        <v>2000195</v>
      </c>
      <c r="B2024" t="n">
        <v>2</v>
      </c>
      <c r="C2024" t="n">
        <v>195</v>
      </c>
      <c r="D2024" t="n">
        <v>-0.1635</v>
      </c>
      <c r="E2024" t="n">
        <v>16.9137</v>
      </c>
      <c r="F2024" t="n">
        <v>0.09014</v>
      </c>
    </row>
    <row r="2025">
      <c r="A2025" t="n">
        <v>2000196</v>
      </c>
      <c r="B2025" t="n">
        <v>2</v>
      </c>
      <c r="C2025" t="n">
        <v>196</v>
      </c>
      <c r="D2025" t="n">
        <v>-0.1652</v>
      </c>
      <c r="E2025" t="n">
        <v>16.9136</v>
      </c>
      <c r="F2025" t="n">
        <v>0.09012000000000001</v>
      </c>
    </row>
    <row r="2026">
      <c r="A2026" t="n">
        <v>2000197</v>
      </c>
      <c r="B2026" t="n">
        <v>2</v>
      </c>
      <c r="C2026" t="n">
        <v>197</v>
      </c>
      <c r="D2026" t="n">
        <v>-0.1668</v>
      </c>
      <c r="E2026" t="n">
        <v>16.9135</v>
      </c>
      <c r="F2026" t="n">
        <v>0.09011</v>
      </c>
    </row>
    <row r="2027">
      <c r="A2027" t="n">
        <v>2000198</v>
      </c>
      <c r="B2027" t="n">
        <v>2</v>
      </c>
      <c r="C2027" t="n">
        <v>198</v>
      </c>
      <c r="D2027" t="n">
        <v>-0.1684</v>
      </c>
      <c r="E2027" t="n">
        <v>16.9133</v>
      </c>
      <c r="F2027" t="n">
        <v>0.09009</v>
      </c>
    </row>
    <row r="2028">
      <c r="A2028" t="n">
        <v>2000199</v>
      </c>
      <c r="B2028" t="n">
        <v>2</v>
      </c>
      <c r="C2028" t="n">
        <v>199</v>
      </c>
      <c r="D2028" t="n">
        <v>-0.17</v>
      </c>
      <c r="E2028" t="n">
        <v>16.913</v>
      </c>
      <c r="F2028" t="n">
        <v>0.09007</v>
      </c>
    </row>
    <row r="2029">
      <c r="A2029" t="n">
        <v>2000200</v>
      </c>
      <c r="B2029" t="n">
        <v>2</v>
      </c>
      <c r="C2029" t="n">
        <v>200</v>
      </c>
      <c r="D2029" t="n">
        <v>-0.1715</v>
      </c>
      <c r="E2029" t="n">
        <v>16.9127</v>
      </c>
      <c r="F2029" t="n">
        <v>0.09006</v>
      </c>
    </row>
    <row r="2030">
      <c r="A2030" t="n">
        <v>2000201</v>
      </c>
      <c r="B2030" t="n">
        <v>2</v>
      </c>
      <c r="C2030" t="n">
        <v>201</v>
      </c>
      <c r="D2030" t="n">
        <v>-0.1731</v>
      </c>
      <c r="E2030" t="n">
        <v>16.9122</v>
      </c>
      <c r="F2030" t="n">
        <v>0.09004</v>
      </c>
    </row>
    <row r="2031">
      <c r="A2031" t="n">
        <v>2000202</v>
      </c>
      <c r="B2031" t="n">
        <v>2</v>
      </c>
      <c r="C2031" t="n">
        <v>202</v>
      </c>
      <c r="D2031" t="n">
        <v>-0.1747</v>
      </c>
      <c r="E2031" t="n">
        <v>16.9118</v>
      </c>
      <c r="F2031" t="n">
        <v>0.09002</v>
      </c>
    </row>
    <row r="2032">
      <c r="A2032" t="n">
        <v>2000203</v>
      </c>
      <c r="B2032" t="n">
        <v>2</v>
      </c>
      <c r="C2032" t="n">
        <v>203</v>
      </c>
      <c r="D2032" t="n">
        <v>-0.1763</v>
      </c>
      <c r="E2032" t="n">
        <v>16.9112</v>
      </c>
      <c r="F2032" t="n">
        <v>0.09001000000000001</v>
      </c>
    </row>
    <row r="2033">
      <c r="A2033" t="n">
        <v>2000204</v>
      </c>
      <c r="B2033" t="n">
        <v>2</v>
      </c>
      <c r="C2033" t="n">
        <v>204</v>
      </c>
      <c r="D2033" t="n">
        <v>-0.1778</v>
      </c>
      <c r="E2033" t="n">
        <v>16.9106</v>
      </c>
      <c r="F2033" t="n">
        <v>0.08999</v>
      </c>
    </row>
    <row r="2034">
      <c r="A2034" t="n">
        <v>2000205</v>
      </c>
      <c r="B2034" t="n">
        <v>2</v>
      </c>
      <c r="C2034" t="n">
        <v>205</v>
      </c>
      <c r="D2034" t="n">
        <v>-0.1794</v>
      </c>
      <c r="E2034" t="n">
        <v>16.9099</v>
      </c>
      <c r="F2034" t="n">
        <v>0.08996999999999999</v>
      </c>
    </row>
    <row r="2035">
      <c r="A2035" t="n">
        <v>2000206</v>
      </c>
      <c r="B2035" t="n">
        <v>2</v>
      </c>
      <c r="C2035" t="n">
        <v>206</v>
      </c>
      <c r="D2035" t="n">
        <v>-0.1809</v>
      </c>
      <c r="E2035" t="n">
        <v>16.9091</v>
      </c>
      <c r="F2035" t="n">
        <v>0.08996</v>
      </c>
    </row>
    <row r="2036">
      <c r="A2036" t="n">
        <v>2000207</v>
      </c>
      <c r="B2036" t="n">
        <v>2</v>
      </c>
      <c r="C2036" t="n">
        <v>207</v>
      </c>
      <c r="D2036" t="n">
        <v>-0.1824</v>
      </c>
      <c r="E2036" t="n">
        <v>16.9083</v>
      </c>
      <c r="F2036" t="n">
        <v>0.08994000000000001</v>
      </c>
    </row>
    <row r="2037">
      <c r="A2037" t="n">
        <v>2000208</v>
      </c>
      <c r="B2037" t="n">
        <v>2</v>
      </c>
      <c r="C2037" t="n">
        <v>208</v>
      </c>
      <c r="D2037" t="n">
        <v>-0.184</v>
      </c>
      <c r="E2037" t="n">
        <v>16.9074</v>
      </c>
      <c r="F2037" t="n">
        <v>0.08992</v>
      </c>
    </row>
    <row r="2038">
      <c r="A2038" t="n">
        <v>2000209</v>
      </c>
      <c r="B2038" t="n">
        <v>2</v>
      </c>
      <c r="C2038" t="n">
        <v>209</v>
      </c>
      <c r="D2038" t="n">
        <v>-0.1855</v>
      </c>
      <c r="E2038" t="n">
        <v>16.9065</v>
      </c>
      <c r="F2038" t="n">
        <v>0.08991</v>
      </c>
    </row>
    <row r="2039">
      <c r="A2039" t="n">
        <v>2000210</v>
      </c>
      <c r="B2039" t="n">
        <v>2</v>
      </c>
      <c r="C2039" t="n">
        <v>210</v>
      </c>
      <c r="D2039" t="n">
        <v>-0.187</v>
      </c>
      <c r="E2039" t="n">
        <v>16.9055</v>
      </c>
      <c r="F2039" t="n">
        <v>0.08989</v>
      </c>
    </row>
    <row r="2040">
      <c r="A2040" t="n">
        <v>2000211</v>
      </c>
      <c r="B2040" t="n">
        <v>2</v>
      </c>
      <c r="C2040" t="n">
        <v>211</v>
      </c>
      <c r="D2040" t="n">
        <v>-0.1885</v>
      </c>
      <c r="E2040" t="n">
        <v>16.9044</v>
      </c>
      <c r="F2040" t="n">
        <v>0.08988</v>
      </c>
    </row>
    <row r="2041">
      <c r="A2041" t="n">
        <v>2000212</v>
      </c>
      <c r="B2041" t="n">
        <v>2</v>
      </c>
      <c r="C2041" t="n">
        <v>212</v>
      </c>
      <c r="D2041" t="n">
        <v>-0.19</v>
      </c>
      <c r="E2041" t="n">
        <v>16.9033</v>
      </c>
      <c r="F2041" t="n">
        <v>0.08986</v>
      </c>
    </row>
    <row r="2042">
      <c r="A2042" t="n">
        <v>2000213</v>
      </c>
      <c r="B2042" t="n">
        <v>2</v>
      </c>
      <c r="C2042" t="n">
        <v>213</v>
      </c>
      <c r="D2042" t="n">
        <v>-0.1915</v>
      </c>
      <c r="E2042" t="n">
        <v>16.9021</v>
      </c>
      <c r="F2042" t="n">
        <v>0.08984</v>
      </c>
    </row>
    <row r="2043">
      <c r="A2043" t="n">
        <v>2000214</v>
      </c>
      <c r="B2043" t="n">
        <v>2</v>
      </c>
      <c r="C2043" t="n">
        <v>214</v>
      </c>
      <c r="D2043" t="n">
        <v>-0.193</v>
      </c>
      <c r="E2043" t="n">
        <v>16.9008</v>
      </c>
      <c r="F2043" t="n">
        <v>0.08982999999999999</v>
      </c>
    </row>
    <row r="2044">
      <c r="A2044" t="n">
        <v>2000215</v>
      </c>
      <c r="B2044" t="n">
        <v>2</v>
      </c>
      <c r="C2044" t="n">
        <v>215</v>
      </c>
      <c r="D2044" t="n">
        <v>-0.1945</v>
      </c>
      <c r="E2044" t="n">
        <v>16.8995</v>
      </c>
      <c r="F2044" t="n">
        <v>0.08981</v>
      </c>
    </row>
    <row r="2045">
      <c r="A2045" t="n">
        <v>2000216</v>
      </c>
      <c r="B2045" t="n">
        <v>2</v>
      </c>
      <c r="C2045" t="n">
        <v>216</v>
      </c>
      <c r="D2045" t="n">
        <v>-0.196</v>
      </c>
      <c r="E2045" t="n">
        <v>16.8981</v>
      </c>
      <c r="F2045" t="n">
        <v>0.0898</v>
      </c>
    </row>
    <row r="2046">
      <c r="A2046" t="n">
        <v>2000217</v>
      </c>
      <c r="B2046" t="n">
        <v>2</v>
      </c>
      <c r="C2046" t="n">
        <v>217</v>
      </c>
      <c r="D2046" t="n">
        <v>-0.1975</v>
      </c>
      <c r="E2046" t="n">
        <v>16.8967</v>
      </c>
      <c r="F2046" t="n">
        <v>0.08978</v>
      </c>
    </row>
    <row r="2047">
      <c r="A2047" t="n">
        <v>2000218</v>
      </c>
      <c r="B2047" t="n">
        <v>2</v>
      </c>
      <c r="C2047" t="n">
        <v>218</v>
      </c>
      <c r="D2047" t="n">
        <v>-0.1989</v>
      </c>
      <c r="E2047" t="n">
        <v>16.8952</v>
      </c>
      <c r="F2047" t="n">
        <v>0.08976000000000001</v>
      </c>
    </row>
    <row r="2048">
      <c r="A2048" t="n">
        <v>2000219</v>
      </c>
      <c r="B2048" t="n">
        <v>2</v>
      </c>
      <c r="C2048" t="n">
        <v>219</v>
      </c>
      <c r="D2048" t="n">
        <v>-0.2004</v>
      </c>
      <c r="E2048" t="n">
        <v>16.8937</v>
      </c>
      <c r="F2048" t="n">
        <v>0.08975</v>
      </c>
    </row>
    <row r="2049">
      <c r="A2049" t="n">
        <v>2000220</v>
      </c>
      <c r="B2049" t="n">
        <v>2</v>
      </c>
      <c r="C2049" t="n">
        <v>220</v>
      </c>
      <c r="D2049" t="n">
        <v>-0.2018</v>
      </c>
      <c r="E2049" t="n">
        <v>16.8921</v>
      </c>
      <c r="F2049" t="n">
        <v>0.08973</v>
      </c>
    </row>
    <row r="2050">
      <c r="A2050" t="n">
        <v>2000221</v>
      </c>
      <c r="B2050" t="n">
        <v>2</v>
      </c>
      <c r="C2050" t="n">
        <v>221</v>
      </c>
      <c r="D2050" t="n">
        <v>-0.2033</v>
      </c>
      <c r="E2050" t="n">
        <v>16.8905</v>
      </c>
      <c r="F2050" t="n">
        <v>0.08971999999999999</v>
      </c>
    </row>
    <row r="2051">
      <c r="A2051" t="n">
        <v>2000222</v>
      </c>
      <c r="B2051" t="n">
        <v>2</v>
      </c>
      <c r="C2051" t="n">
        <v>222</v>
      </c>
      <c r="D2051" t="n">
        <v>-0.2047</v>
      </c>
      <c r="E2051" t="n">
        <v>16.8888</v>
      </c>
      <c r="F2051" t="n">
        <v>0.0897</v>
      </c>
    </row>
    <row r="2052">
      <c r="A2052" t="n">
        <v>2000223</v>
      </c>
      <c r="B2052" t="n">
        <v>2</v>
      </c>
      <c r="C2052" t="n">
        <v>223</v>
      </c>
      <c r="D2052" t="n">
        <v>-0.2062</v>
      </c>
      <c r="E2052" t="n">
        <v>16.887</v>
      </c>
      <c r="F2052" t="n">
        <v>0.08969000000000001</v>
      </c>
    </row>
    <row r="2053">
      <c r="A2053" t="n">
        <v>2000224</v>
      </c>
      <c r="B2053" t="n">
        <v>2</v>
      </c>
      <c r="C2053" t="n">
        <v>224</v>
      </c>
      <c r="D2053" t="n">
        <v>-0.2076</v>
      </c>
      <c r="E2053" t="n">
        <v>16.8852</v>
      </c>
      <c r="F2053" t="n">
        <v>0.08967</v>
      </c>
    </row>
    <row r="2054">
      <c r="A2054" t="n">
        <v>2000225</v>
      </c>
      <c r="B2054" t="n">
        <v>2</v>
      </c>
      <c r="C2054" t="n">
        <v>225</v>
      </c>
      <c r="D2054" t="n">
        <v>-0.209</v>
      </c>
      <c r="E2054" t="n">
        <v>16.8834</v>
      </c>
      <c r="F2054" t="n">
        <v>0.08966</v>
      </c>
    </row>
    <row r="2055">
      <c r="A2055" t="n">
        <v>2000226</v>
      </c>
      <c r="B2055" t="n">
        <v>2</v>
      </c>
      <c r="C2055" t="n">
        <v>226</v>
      </c>
      <c r="D2055" t="n">
        <v>-0.2104</v>
      </c>
      <c r="E2055" t="n">
        <v>16.8814</v>
      </c>
      <c r="F2055" t="n">
        <v>0.08964</v>
      </c>
    </row>
    <row r="2056">
      <c r="A2056" t="n">
        <v>2000227</v>
      </c>
      <c r="B2056" t="n">
        <v>2</v>
      </c>
      <c r="C2056" t="n">
        <v>227</v>
      </c>
      <c r="D2056" t="n">
        <v>-0.2119</v>
      </c>
      <c r="E2056" t="n">
        <v>16.8795</v>
      </c>
      <c r="F2056" t="n">
        <v>0.08963</v>
      </c>
    </row>
    <row r="2057">
      <c r="A2057" t="n">
        <v>2000228</v>
      </c>
      <c r="B2057" t="n">
        <v>2</v>
      </c>
      <c r="C2057" t="n">
        <v>228</v>
      </c>
      <c r="D2057" t="n">
        <v>-0.2133</v>
      </c>
      <c r="E2057" t="n">
        <v>16.8775</v>
      </c>
      <c r="F2057" t="n">
        <v>0.08961</v>
      </c>
    </row>
    <row r="2058">
      <c r="A2058" t="n">
        <v>2000229</v>
      </c>
      <c r="B2058" t="n">
        <v>2</v>
      </c>
      <c r="C2058" t="n">
        <v>229</v>
      </c>
      <c r="D2058" t="n">
        <v>-0.2147</v>
      </c>
      <c r="E2058" t="n">
        <v>16.8754</v>
      </c>
      <c r="F2058" t="n">
        <v>0.0896</v>
      </c>
    </row>
    <row r="2059">
      <c r="A2059" t="n">
        <v>2000230</v>
      </c>
      <c r="B2059" t="n">
        <v>2</v>
      </c>
      <c r="C2059" t="n">
        <v>230</v>
      </c>
      <c r="D2059" t="n">
        <v>-0.2161</v>
      </c>
      <c r="E2059" t="n">
        <v>16.8733</v>
      </c>
      <c r="F2059" t="n">
        <v>0.08958000000000001</v>
      </c>
    </row>
    <row r="2060">
      <c r="A2060" t="n">
        <v>2000231</v>
      </c>
      <c r="B2060" t="n">
        <v>2</v>
      </c>
      <c r="C2060" t="n">
        <v>231</v>
      </c>
      <c r="D2060" t="n">
        <v>-0.2175</v>
      </c>
      <c r="E2060" t="n">
        <v>16.8712</v>
      </c>
      <c r="F2060" t="n">
        <v>0.08957</v>
      </c>
    </row>
    <row r="2061">
      <c r="A2061" t="n">
        <v>2000232</v>
      </c>
      <c r="B2061" t="n">
        <v>2</v>
      </c>
      <c r="C2061" t="n">
        <v>232</v>
      </c>
      <c r="D2061" t="n">
        <v>-0.2188</v>
      </c>
      <c r="E2061" t="n">
        <v>16.869</v>
      </c>
      <c r="F2061" t="n">
        <v>0.08955</v>
      </c>
    </row>
    <row r="2062">
      <c r="A2062" t="n">
        <v>2000233</v>
      </c>
      <c r="B2062" t="n">
        <v>2</v>
      </c>
      <c r="C2062" t="n">
        <v>233</v>
      </c>
      <c r="D2062" t="n">
        <v>-0.2202</v>
      </c>
      <c r="E2062" t="n">
        <v>16.8667</v>
      </c>
      <c r="F2062" t="n">
        <v>0.08953999999999999</v>
      </c>
    </row>
    <row r="2063">
      <c r="A2063" t="n">
        <v>2000234</v>
      </c>
      <c r="B2063" t="n">
        <v>2</v>
      </c>
      <c r="C2063" t="n">
        <v>234</v>
      </c>
      <c r="D2063" t="n">
        <v>-0.2216</v>
      </c>
      <c r="E2063" t="n">
        <v>16.8644</v>
      </c>
      <c r="F2063" t="n">
        <v>0.08952</v>
      </c>
    </row>
    <row r="2064">
      <c r="A2064" t="n">
        <v>2000235</v>
      </c>
      <c r="B2064" t="n">
        <v>2</v>
      </c>
      <c r="C2064" t="n">
        <v>235</v>
      </c>
      <c r="D2064" t="n">
        <v>-0.223</v>
      </c>
      <c r="E2064" t="n">
        <v>16.8621</v>
      </c>
      <c r="F2064" t="n">
        <v>0.08951000000000001</v>
      </c>
    </row>
    <row r="2065">
      <c r="A2065" t="n">
        <v>2000236</v>
      </c>
      <c r="B2065" t="n">
        <v>2</v>
      </c>
      <c r="C2065" t="n">
        <v>236</v>
      </c>
      <c r="D2065" t="n">
        <v>-0.2243</v>
      </c>
      <c r="E2065" t="n">
        <v>16.8597</v>
      </c>
      <c r="F2065" t="n">
        <v>0.08949</v>
      </c>
    </row>
    <row r="2066">
      <c r="A2066" t="n">
        <v>2000237</v>
      </c>
      <c r="B2066" t="n">
        <v>2</v>
      </c>
      <c r="C2066" t="n">
        <v>237</v>
      </c>
      <c r="D2066" t="n">
        <v>-0.2257</v>
      </c>
      <c r="E2066" t="n">
        <v>16.8572</v>
      </c>
      <c r="F2066" t="n">
        <v>0.08948</v>
      </c>
    </row>
    <row r="2067">
      <c r="A2067" t="n">
        <v>2000238</v>
      </c>
      <c r="B2067" t="n">
        <v>2</v>
      </c>
      <c r="C2067" t="n">
        <v>238</v>
      </c>
      <c r="D2067" t="n">
        <v>-0.227</v>
      </c>
      <c r="E2067" t="n">
        <v>16.8548</v>
      </c>
      <c r="F2067" t="n">
        <v>0.08946999999999999</v>
      </c>
    </row>
    <row r="2068">
      <c r="A2068" t="n">
        <v>2000239</v>
      </c>
      <c r="B2068" t="n">
        <v>2</v>
      </c>
      <c r="C2068" t="n">
        <v>239</v>
      </c>
      <c r="D2068" t="n">
        <v>-0.2284</v>
      </c>
      <c r="E2068" t="n">
        <v>16.8522</v>
      </c>
      <c r="F2068" t="n">
        <v>0.08945</v>
      </c>
    </row>
    <row r="2069">
      <c r="A2069" t="n">
        <v>2000240</v>
      </c>
      <c r="B2069" t="n">
        <v>2</v>
      </c>
      <c r="C2069" t="n">
        <v>240</v>
      </c>
      <c r="D2069" t="n">
        <v>-0.2297</v>
      </c>
      <c r="E2069" t="n">
        <v>16.8497</v>
      </c>
      <c r="F2069" t="n">
        <v>0.08944000000000001</v>
      </c>
    </row>
    <row r="2070">
      <c r="A2070" t="n">
        <v>2000241</v>
      </c>
      <c r="B2070" t="n">
        <v>2</v>
      </c>
      <c r="C2070" t="n">
        <v>241</v>
      </c>
      <c r="D2070" t="n">
        <v>-0.2311</v>
      </c>
      <c r="E2070" t="n">
        <v>16.8471</v>
      </c>
      <c r="F2070" t="n">
        <v>0.08942</v>
      </c>
    </row>
    <row r="2071">
      <c r="A2071" t="n">
        <v>2000242</v>
      </c>
      <c r="B2071" t="n">
        <v>2</v>
      </c>
      <c r="C2071" t="n">
        <v>242</v>
      </c>
      <c r="D2071" t="n">
        <v>-0.2324</v>
      </c>
      <c r="E2071" t="n">
        <v>16.8444</v>
      </c>
      <c r="F2071" t="n">
        <v>0.08941</v>
      </c>
    </row>
    <row r="2072">
      <c r="A2072" t="n">
        <v>2000243</v>
      </c>
      <c r="B2072" t="n">
        <v>2</v>
      </c>
      <c r="C2072" t="n">
        <v>243</v>
      </c>
      <c r="D2072" t="n">
        <v>-0.2337</v>
      </c>
      <c r="E2072" t="n">
        <v>16.8417</v>
      </c>
      <c r="F2072" t="n">
        <v>0.08939</v>
      </c>
    </row>
    <row r="2073">
      <c r="A2073" t="n">
        <v>2000244</v>
      </c>
      <c r="B2073" t="n">
        <v>2</v>
      </c>
      <c r="C2073" t="n">
        <v>244</v>
      </c>
      <c r="D2073" t="n">
        <v>-0.2351</v>
      </c>
      <c r="E2073" t="n">
        <v>16.839</v>
      </c>
      <c r="F2073" t="n">
        <v>0.08938</v>
      </c>
    </row>
    <row r="2074">
      <c r="A2074" t="n">
        <v>2000245</v>
      </c>
      <c r="B2074" t="n">
        <v>2</v>
      </c>
      <c r="C2074" t="n">
        <v>245</v>
      </c>
      <c r="D2074" t="n">
        <v>-0.2364</v>
      </c>
      <c r="E2074" t="n">
        <v>16.8362</v>
      </c>
      <c r="F2074" t="n">
        <v>0.08937</v>
      </c>
    </row>
    <row r="2075">
      <c r="A2075" t="n">
        <v>2000246</v>
      </c>
      <c r="B2075" t="n">
        <v>2</v>
      </c>
      <c r="C2075" t="n">
        <v>246</v>
      </c>
      <c r="D2075" t="n">
        <v>-0.2377</v>
      </c>
      <c r="E2075" t="n">
        <v>16.8334</v>
      </c>
      <c r="F2075" t="n">
        <v>0.08935</v>
      </c>
    </row>
    <row r="2076">
      <c r="A2076" t="n">
        <v>2000247</v>
      </c>
      <c r="B2076" t="n">
        <v>2</v>
      </c>
      <c r="C2076" t="n">
        <v>247</v>
      </c>
      <c r="D2076" t="n">
        <v>-0.239</v>
      </c>
      <c r="E2076" t="n">
        <v>16.8305</v>
      </c>
      <c r="F2076" t="n">
        <v>0.08934</v>
      </c>
    </row>
    <row r="2077">
      <c r="A2077" t="n">
        <v>2000248</v>
      </c>
      <c r="B2077" t="n">
        <v>2</v>
      </c>
      <c r="C2077" t="n">
        <v>248</v>
      </c>
      <c r="D2077" t="n">
        <v>-0.2403</v>
      </c>
      <c r="E2077" t="n">
        <v>16.8276</v>
      </c>
      <c r="F2077" t="n">
        <v>0.08932</v>
      </c>
    </row>
    <row r="2078">
      <c r="A2078" t="n">
        <v>2000249</v>
      </c>
      <c r="B2078" t="n">
        <v>2</v>
      </c>
      <c r="C2078" t="n">
        <v>249</v>
      </c>
      <c r="D2078" t="n">
        <v>-0.2416</v>
      </c>
      <c r="E2078" t="n">
        <v>16.8247</v>
      </c>
      <c r="F2078" t="n">
        <v>0.08931</v>
      </c>
    </row>
    <row r="2079">
      <c r="A2079" t="n">
        <v>2000250</v>
      </c>
      <c r="B2079" t="n">
        <v>2</v>
      </c>
      <c r="C2079" t="n">
        <v>250</v>
      </c>
      <c r="D2079" t="n">
        <v>-0.2429</v>
      </c>
      <c r="E2079" t="n">
        <v>16.8217</v>
      </c>
      <c r="F2079" t="n">
        <v>0.0893</v>
      </c>
    </row>
    <row r="2080">
      <c r="A2080" t="n">
        <v>2000251</v>
      </c>
      <c r="B2080" t="n">
        <v>2</v>
      </c>
      <c r="C2080" t="n">
        <v>251</v>
      </c>
      <c r="D2080" t="n">
        <v>-0.2442</v>
      </c>
      <c r="E2080" t="n">
        <v>16.8187</v>
      </c>
      <c r="F2080" t="n">
        <v>0.08928</v>
      </c>
    </row>
    <row r="2081">
      <c r="A2081" t="n">
        <v>2000252</v>
      </c>
      <c r="B2081" t="n">
        <v>2</v>
      </c>
      <c r="C2081" t="n">
        <v>252</v>
      </c>
      <c r="D2081" t="n">
        <v>-0.2455</v>
      </c>
      <c r="E2081" t="n">
        <v>16.8157</v>
      </c>
      <c r="F2081" t="n">
        <v>0.08927</v>
      </c>
    </row>
    <row r="2082">
      <c r="A2082" t="n">
        <v>2000253</v>
      </c>
      <c r="B2082" t="n">
        <v>2</v>
      </c>
      <c r="C2082" t="n">
        <v>253</v>
      </c>
      <c r="D2082" t="n">
        <v>-0.2467</v>
      </c>
      <c r="E2082" t="n">
        <v>16.8126</v>
      </c>
      <c r="F2082" t="n">
        <v>0.08926000000000001</v>
      </c>
    </row>
    <row r="2083">
      <c r="A2083" t="n">
        <v>2000254</v>
      </c>
      <c r="B2083" t="n">
        <v>2</v>
      </c>
      <c r="C2083" t="n">
        <v>254</v>
      </c>
      <c r="D2083" t="n">
        <v>-0.248</v>
      </c>
      <c r="E2083" t="n">
        <v>16.8095</v>
      </c>
      <c r="F2083" t="n">
        <v>0.08924</v>
      </c>
    </row>
    <row r="2084">
      <c r="A2084" t="n">
        <v>2000255</v>
      </c>
      <c r="B2084" t="n">
        <v>2</v>
      </c>
      <c r="C2084" t="n">
        <v>255</v>
      </c>
      <c r="D2084" t="n">
        <v>-0.2493</v>
      </c>
      <c r="E2084" t="n">
        <v>16.8063</v>
      </c>
      <c r="F2084" t="n">
        <v>0.08923</v>
      </c>
    </row>
    <row r="2085">
      <c r="A2085" t="n">
        <v>2000256</v>
      </c>
      <c r="B2085" t="n">
        <v>2</v>
      </c>
      <c r="C2085" t="n">
        <v>256</v>
      </c>
      <c r="D2085" t="n">
        <v>-0.2505</v>
      </c>
      <c r="E2085" t="n">
        <v>16.8031</v>
      </c>
      <c r="F2085" t="n">
        <v>0.08921</v>
      </c>
    </row>
    <row r="2086">
      <c r="A2086" t="n">
        <v>2000257</v>
      </c>
      <c r="B2086" t="n">
        <v>2</v>
      </c>
      <c r="C2086" t="n">
        <v>257</v>
      </c>
      <c r="D2086" t="n">
        <v>-0.2518</v>
      </c>
      <c r="E2086" t="n">
        <v>16.7999</v>
      </c>
      <c r="F2086" t="n">
        <v>0.0892</v>
      </c>
    </row>
    <row r="2087">
      <c r="A2087" t="n">
        <v>2000258</v>
      </c>
      <c r="B2087" t="n">
        <v>2</v>
      </c>
      <c r="C2087" t="n">
        <v>258</v>
      </c>
      <c r="D2087" t="n">
        <v>-0.2531</v>
      </c>
      <c r="E2087" t="n">
        <v>16.7967</v>
      </c>
      <c r="F2087" t="n">
        <v>0.08919000000000001</v>
      </c>
    </row>
    <row r="2088">
      <c r="A2088" t="n">
        <v>2000259</v>
      </c>
      <c r="B2088" t="n">
        <v>2</v>
      </c>
      <c r="C2088" t="n">
        <v>259</v>
      </c>
      <c r="D2088" t="n">
        <v>-0.2543</v>
      </c>
      <c r="E2088" t="n">
        <v>16.7934</v>
      </c>
      <c r="F2088" t="n">
        <v>0.08917</v>
      </c>
    </row>
    <row r="2089">
      <c r="A2089" t="n">
        <v>2000260</v>
      </c>
      <c r="B2089" t="n">
        <v>2</v>
      </c>
      <c r="C2089" t="n">
        <v>260</v>
      </c>
      <c r="D2089" t="n">
        <v>-0.2556</v>
      </c>
      <c r="E2089" t="n">
        <v>16.79</v>
      </c>
      <c r="F2089" t="n">
        <v>0.08916</v>
      </c>
    </row>
    <row r="2090">
      <c r="A2090" t="n">
        <v>2000261</v>
      </c>
      <c r="B2090" t="n">
        <v>2</v>
      </c>
      <c r="C2090" t="n">
        <v>261</v>
      </c>
      <c r="D2090" t="n">
        <v>-0.2568</v>
      </c>
      <c r="E2090" t="n">
        <v>16.7867</v>
      </c>
      <c r="F2090" t="n">
        <v>0.08914999999999999</v>
      </c>
    </row>
    <row r="2091">
      <c r="A2091" t="n">
        <v>2000262</v>
      </c>
      <c r="B2091" t="n">
        <v>2</v>
      </c>
      <c r="C2091" t="n">
        <v>262</v>
      </c>
      <c r="D2091" t="n">
        <v>-0.258</v>
      </c>
      <c r="E2091" t="n">
        <v>16.7833</v>
      </c>
      <c r="F2091" t="n">
        <v>0.08913</v>
      </c>
    </row>
    <row r="2092">
      <c r="A2092" t="n">
        <v>2000263</v>
      </c>
      <c r="B2092" t="n">
        <v>2</v>
      </c>
      <c r="C2092" t="n">
        <v>263</v>
      </c>
      <c r="D2092" t="n">
        <v>-0.2593</v>
      </c>
      <c r="E2092" t="n">
        <v>16.7799</v>
      </c>
      <c r="F2092" t="n">
        <v>0.08912</v>
      </c>
    </row>
    <row r="2093">
      <c r="A2093" t="n">
        <v>2000264</v>
      </c>
      <c r="B2093" t="n">
        <v>2</v>
      </c>
      <c r="C2093" t="n">
        <v>264</v>
      </c>
      <c r="D2093" t="n">
        <v>-0.2605</v>
      </c>
      <c r="E2093" t="n">
        <v>16.7764</v>
      </c>
      <c r="F2093" t="n">
        <v>0.08910999999999999</v>
      </c>
    </row>
    <row r="2094">
      <c r="A2094" t="n">
        <v>2000265</v>
      </c>
      <c r="B2094" t="n">
        <v>2</v>
      </c>
      <c r="C2094" t="n">
        <v>265</v>
      </c>
      <c r="D2094" t="n">
        <v>-0.2617</v>
      </c>
      <c r="E2094" t="n">
        <v>16.773</v>
      </c>
      <c r="F2094" t="n">
        <v>0.08909</v>
      </c>
    </row>
    <row r="2095">
      <c r="A2095" t="n">
        <v>2000266</v>
      </c>
      <c r="B2095" t="n">
        <v>2</v>
      </c>
      <c r="C2095" t="n">
        <v>266</v>
      </c>
      <c r="D2095" t="n">
        <v>-0.263</v>
      </c>
      <c r="E2095" t="n">
        <v>16.7695</v>
      </c>
      <c r="F2095" t="n">
        <v>0.08908000000000001</v>
      </c>
    </row>
    <row r="2096">
      <c r="A2096" t="n">
        <v>2000267</v>
      </c>
      <c r="B2096" t="n">
        <v>2</v>
      </c>
      <c r="C2096" t="n">
        <v>267</v>
      </c>
      <c r="D2096" t="n">
        <v>-0.2642</v>
      </c>
      <c r="E2096" t="n">
        <v>16.7659</v>
      </c>
      <c r="F2096" t="n">
        <v>0.08907</v>
      </c>
    </row>
    <row r="2097">
      <c r="A2097" t="n">
        <v>2000268</v>
      </c>
      <c r="B2097" t="n">
        <v>2</v>
      </c>
      <c r="C2097" t="n">
        <v>268</v>
      </c>
      <c r="D2097" t="n">
        <v>-0.2654</v>
      </c>
      <c r="E2097" t="n">
        <v>16.7624</v>
      </c>
      <c r="F2097" t="n">
        <v>0.08906</v>
      </c>
    </row>
    <row r="2098">
      <c r="A2098" t="n">
        <v>2000269</v>
      </c>
      <c r="B2098" t="n">
        <v>2</v>
      </c>
      <c r="C2098" t="n">
        <v>269</v>
      </c>
      <c r="D2098" t="n">
        <v>-0.2666</v>
      </c>
      <c r="E2098" t="n">
        <v>16.7588</v>
      </c>
      <c r="F2098" t="n">
        <v>0.08903999999999999</v>
      </c>
    </row>
    <row r="2099">
      <c r="A2099" t="n">
        <v>2000270</v>
      </c>
      <c r="B2099" t="n">
        <v>2</v>
      </c>
      <c r="C2099" t="n">
        <v>270</v>
      </c>
      <c r="D2099" t="n">
        <v>-0.2678</v>
      </c>
      <c r="E2099" t="n">
        <v>16.7551</v>
      </c>
      <c r="F2099" t="n">
        <v>0.08903</v>
      </c>
    </row>
    <row r="2100">
      <c r="A2100" t="n">
        <v>2000271</v>
      </c>
      <c r="B2100" t="n">
        <v>2</v>
      </c>
      <c r="C2100" t="n">
        <v>271</v>
      </c>
      <c r="D2100" t="n">
        <v>-0.269</v>
      </c>
      <c r="E2100" t="n">
        <v>16.7515</v>
      </c>
      <c r="F2100" t="n">
        <v>0.08902</v>
      </c>
    </row>
    <row r="2101">
      <c r="A2101" t="n">
        <v>2000272</v>
      </c>
      <c r="B2101" t="n">
        <v>2</v>
      </c>
      <c r="C2101" t="n">
        <v>272</v>
      </c>
      <c r="D2101" t="n">
        <v>-0.2702</v>
      </c>
      <c r="E2101" t="n">
        <v>16.7478</v>
      </c>
      <c r="F2101" t="n">
        <v>0.089</v>
      </c>
    </row>
    <row r="2102">
      <c r="A2102" t="n">
        <v>2000273</v>
      </c>
      <c r="B2102" t="n">
        <v>2</v>
      </c>
      <c r="C2102" t="n">
        <v>273</v>
      </c>
      <c r="D2102" t="n">
        <v>-0.2714</v>
      </c>
      <c r="E2102" t="n">
        <v>16.7441</v>
      </c>
      <c r="F2102" t="n">
        <v>0.08899</v>
      </c>
    </row>
    <row r="2103">
      <c r="A2103" t="n">
        <v>2000274</v>
      </c>
      <c r="B2103" t="n">
        <v>2</v>
      </c>
      <c r="C2103" t="n">
        <v>274</v>
      </c>
      <c r="D2103" t="n">
        <v>-0.2726</v>
      </c>
      <c r="E2103" t="n">
        <v>16.7404</v>
      </c>
      <c r="F2103" t="n">
        <v>0.08898</v>
      </c>
    </row>
    <row r="2104">
      <c r="A2104" t="n">
        <v>2000275</v>
      </c>
      <c r="B2104" t="n">
        <v>2</v>
      </c>
      <c r="C2104" t="n">
        <v>275</v>
      </c>
      <c r="D2104" t="n">
        <v>-0.2737</v>
      </c>
      <c r="E2104" t="n">
        <v>16.7367</v>
      </c>
      <c r="F2104" t="n">
        <v>0.08896999999999999</v>
      </c>
    </row>
    <row r="2105">
      <c r="A2105" t="n">
        <v>2000276</v>
      </c>
      <c r="B2105" t="n">
        <v>2</v>
      </c>
      <c r="C2105" t="n">
        <v>276</v>
      </c>
      <c r="D2105" t="n">
        <v>-0.2749</v>
      </c>
      <c r="E2105" t="n">
        <v>16.7329</v>
      </c>
      <c r="F2105" t="n">
        <v>0.08895</v>
      </c>
    </row>
    <row r="2106">
      <c r="A2106" t="n">
        <v>2000277</v>
      </c>
      <c r="B2106" t="n">
        <v>2</v>
      </c>
      <c r="C2106" t="n">
        <v>277</v>
      </c>
      <c r="D2106" t="n">
        <v>-0.2761</v>
      </c>
      <c r="E2106" t="n">
        <v>16.7291</v>
      </c>
      <c r="F2106" t="n">
        <v>0.08894000000000001</v>
      </c>
    </row>
    <row r="2107">
      <c r="A2107" t="n">
        <v>2000278</v>
      </c>
      <c r="B2107" t="n">
        <v>2</v>
      </c>
      <c r="C2107" t="n">
        <v>278</v>
      </c>
      <c r="D2107" t="n">
        <v>-0.2773</v>
      </c>
      <c r="E2107" t="n">
        <v>16.7253</v>
      </c>
      <c r="F2107" t="n">
        <v>0.08893</v>
      </c>
    </row>
    <row r="2108">
      <c r="A2108" t="n">
        <v>2000279</v>
      </c>
      <c r="B2108" t="n">
        <v>2</v>
      </c>
      <c r="C2108" t="n">
        <v>279</v>
      </c>
      <c r="D2108" t="n">
        <v>-0.2784</v>
      </c>
      <c r="E2108" t="n">
        <v>16.7214</v>
      </c>
      <c r="F2108" t="n">
        <v>0.08892</v>
      </c>
    </row>
    <row r="2109">
      <c r="A2109" t="n">
        <v>2000280</v>
      </c>
      <c r="B2109" t="n">
        <v>2</v>
      </c>
      <c r="C2109" t="n">
        <v>280</v>
      </c>
      <c r="D2109" t="n">
        <v>-0.2796</v>
      </c>
      <c r="E2109" t="n">
        <v>16.7176</v>
      </c>
      <c r="F2109" t="n">
        <v>0.08890000000000001</v>
      </c>
    </row>
    <row r="2110">
      <c r="A2110" t="n">
        <v>2000281</v>
      </c>
      <c r="B2110" t="n">
        <v>2</v>
      </c>
      <c r="C2110" t="n">
        <v>281</v>
      </c>
      <c r="D2110" t="n">
        <v>-0.2808</v>
      </c>
      <c r="E2110" t="n">
        <v>16.7137</v>
      </c>
      <c r="F2110" t="n">
        <v>0.08889</v>
      </c>
    </row>
    <row r="2111">
      <c r="A2111" t="n">
        <v>2000282</v>
      </c>
      <c r="B2111" t="n">
        <v>2</v>
      </c>
      <c r="C2111" t="n">
        <v>282</v>
      </c>
      <c r="D2111" t="n">
        <v>-0.2819</v>
      </c>
      <c r="E2111" t="n">
        <v>16.7098</v>
      </c>
      <c r="F2111" t="n">
        <v>0.08888</v>
      </c>
    </row>
    <row r="2112">
      <c r="A2112" t="n">
        <v>2000283</v>
      </c>
      <c r="B2112" t="n">
        <v>2</v>
      </c>
      <c r="C2112" t="n">
        <v>283</v>
      </c>
      <c r="D2112" t="n">
        <v>-0.2831</v>
      </c>
      <c r="E2112" t="n">
        <v>16.7059</v>
      </c>
      <c r="F2112" t="n">
        <v>0.08887</v>
      </c>
    </row>
    <row r="2113">
      <c r="A2113" t="n">
        <v>2000284</v>
      </c>
      <c r="B2113" t="n">
        <v>2</v>
      </c>
      <c r="C2113" t="n">
        <v>284</v>
      </c>
      <c r="D2113" t="n">
        <v>-0.2842</v>
      </c>
      <c r="E2113" t="n">
        <v>16.7019</v>
      </c>
      <c r="F2113" t="n">
        <v>0.08885</v>
      </c>
    </row>
    <row r="2114">
      <c r="A2114" t="n">
        <v>2000285</v>
      </c>
      <c r="B2114" t="n">
        <v>2</v>
      </c>
      <c r="C2114" t="n">
        <v>285</v>
      </c>
      <c r="D2114" t="n">
        <v>-0.2854</v>
      </c>
      <c r="E2114" t="n">
        <v>16.698</v>
      </c>
      <c r="F2114" t="n">
        <v>0.08884</v>
      </c>
    </row>
    <row r="2115">
      <c r="A2115" t="n">
        <v>2000286</v>
      </c>
      <c r="B2115" t="n">
        <v>2</v>
      </c>
      <c r="C2115" t="n">
        <v>286</v>
      </c>
      <c r="D2115" t="n">
        <v>-0.2865</v>
      </c>
      <c r="E2115" t="n">
        <v>16.694</v>
      </c>
      <c r="F2115" t="n">
        <v>0.08883000000000001</v>
      </c>
    </row>
    <row r="2116">
      <c r="A2116" t="n">
        <v>2000287</v>
      </c>
      <c r="B2116" t="n">
        <v>2</v>
      </c>
      <c r="C2116" t="n">
        <v>287</v>
      </c>
      <c r="D2116" t="n">
        <v>-0.2876</v>
      </c>
      <c r="E2116" t="n">
        <v>16.69</v>
      </c>
      <c r="F2116" t="n">
        <v>0.08882</v>
      </c>
    </row>
    <row r="2117">
      <c r="A2117" t="n">
        <v>2000288</v>
      </c>
      <c r="B2117" t="n">
        <v>2</v>
      </c>
      <c r="C2117" t="n">
        <v>288</v>
      </c>
      <c r="D2117" t="n">
        <v>-0.2888</v>
      </c>
      <c r="E2117" t="n">
        <v>16.686</v>
      </c>
      <c r="F2117" t="n">
        <v>0.08881</v>
      </c>
    </row>
    <row r="2118">
      <c r="A2118" t="n">
        <v>2000289</v>
      </c>
      <c r="B2118" t="n">
        <v>2</v>
      </c>
      <c r="C2118" t="n">
        <v>289</v>
      </c>
      <c r="D2118" t="n">
        <v>-0.2899</v>
      </c>
      <c r="E2118" t="n">
        <v>16.682</v>
      </c>
      <c r="F2118" t="n">
        <v>0.08878999999999999</v>
      </c>
    </row>
    <row r="2119">
      <c r="A2119" t="n">
        <v>2000290</v>
      </c>
      <c r="B2119" t="n">
        <v>2</v>
      </c>
      <c r="C2119" t="n">
        <v>290</v>
      </c>
      <c r="D2119" t="n">
        <v>-0.291</v>
      </c>
      <c r="E2119" t="n">
        <v>16.6779</v>
      </c>
      <c r="F2119" t="n">
        <v>0.08878</v>
      </c>
    </row>
    <row r="2120">
      <c r="A2120" t="n">
        <v>2000291</v>
      </c>
      <c r="B2120" t="n">
        <v>2</v>
      </c>
      <c r="C2120" t="n">
        <v>291</v>
      </c>
      <c r="D2120" t="n">
        <v>-0.2922</v>
      </c>
      <c r="E2120" t="n">
        <v>16.6739</v>
      </c>
      <c r="F2120" t="n">
        <v>0.08877</v>
      </c>
    </row>
    <row r="2121">
      <c r="A2121" t="n">
        <v>2000292</v>
      </c>
      <c r="B2121" t="n">
        <v>2</v>
      </c>
      <c r="C2121" t="n">
        <v>292</v>
      </c>
      <c r="D2121" t="n">
        <v>-0.2933</v>
      </c>
      <c r="E2121" t="n">
        <v>16.6698</v>
      </c>
      <c r="F2121" t="n">
        <v>0.08876000000000001</v>
      </c>
    </row>
    <row r="2122">
      <c r="A2122" t="n">
        <v>2000293</v>
      </c>
      <c r="B2122" t="n">
        <v>2</v>
      </c>
      <c r="C2122" t="n">
        <v>293</v>
      </c>
      <c r="D2122" t="n">
        <v>-0.2944</v>
      </c>
      <c r="E2122" t="n">
        <v>16.6657</v>
      </c>
      <c r="F2122" t="n">
        <v>0.08874</v>
      </c>
    </row>
    <row r="2123">
      <c r="A2123" t="n">
        <v>2000294</v>
      </c>
      <c r="B2123" t="n">
        <v>2</v>
      </c>
      <c r="C2123" t="n">
        <v>294</v>
      </c>
      <c r="D2123" t="n">
        <v>-0.2955</v>
      </c>
      <c r="E2123" t="n">
        <v>16.6616</v>
      </c>
      <c r="F2123" t="n">
        <v>0.08873</v>
      </c>
    </row>
    <row r="2124">
      <c r="A2124" t="n">
        <v>2000295</v>
      </c>
      <c r="B2124" t="n">
        <v>2</v>
      </c>
      <c r="C2124" t="n">
        <v>295</v>
      </c>
      <c r="D2124" t="n">
        <v>-0.2966</v>
      </c>
      <c r="E2124" t="n">
        <v>16.6575</v>
      </c>
      <c r="F2124" t="n">
        <v>0.08871999999999999</v>
      </c>
    </row>
    <row r="2125">
      <c r="A2125" t="n">
        <v>2000296</v>
      </c>
      <c r="B2125" t="n">
        <v>2</v>
      </c>
      <c r="C2125" t="n">
        <v>296</v>
      </c>
      <c r="D2125" t="n">
        <v>-0.2977</v>
      </c>
      <c r="E2125" t="n">
        <v>16.6534</v>
      </c>
      <c r="F2125" t="n">
        <v>0.08871</v>
      </c>
    </row>
    <row r="2126">
      <c r="A2126" t="n">
        <v>2000297</v>
      </c>
      <c r="B2126" t="n">
        <v>2</v>
      </c>
      <c r="C2126" t="n">
        <v>297</v>
      </c>
      <c r="D2126" t="n">
        <v>-0.2988</v>
      </c>
      <c r="E2126" t="n">
        <v>16.6492</v>
      </c>
      <c r="F2126" t="n">
        <v>0.0887</v>
      </c>
    </row>
    <row r="2127">
      <c r="A2127" t="n">
        <v>2000298</v>
      </c>
      <c r="B2127" t="n">
        <v>2</v>
      </c>
      <c r="C2127" t="n">
        <v>298</v>
      </c>
      <c r="D2127" t="n">
        <v>-0.2999</v>
      </c>
      <c r="E2127" t="n">
        <v>16.6451</v>
      </c>
      <c r="F2127" t="n">
        <v>0.08869</v>
      </c>
    </row>
    <row r="2128">
      <c r="A2128" t="n">
        <v>2000299</v>
      </c>
      <c r="B2128" t="n">
        <v>2</v>
      </c>
      <c r="C2128" t="n">
        <v>299</v>
      </c>
      <c r="D2128" t="n">
        <v>-0.301</v>
      </c>
      <c r="E2128" t="n">
        <v>16.6409</v>
      </c>
      <c r="F2128" t="n">
        <v>0.08867</v>
      </c>
    </row>
    <row r="2129">
      <c r="A2129" t="n">
        <v>2000300</v>
      </c>
      <c r="B2129" t="n">
        <v>2</v>
      </c>
      <c r="C2129" t="n">
        <v>300</v>
      </c>
      <c r="D2129" t="n">
        <v>-0.3021</v>
      </c>
      <c r="E2129" t="n">
        <v>16.6367</v>
      </c>
      <c r="F2129" t="n">
        <v>0.08866</v>
      </c>
    </row>
    <row r="2130">
      <c r="A2130" t="n">
        <v>2000301</v>
      </c>
      <c r="B2130" t="n">
        <v>2</v>
      </c>
      <c r="C2130" t="n">
        <v>301</v>
      </c>
      <c r="D2130" t="n">
        <v>-0.3032</v>
      </c>
      <c r="E2130" t="n">
        <v>16.6326</v>
      </c>
      <c r="F2130" t="n">
        <v>0.08865000000000001</v>
      </c>
    </row>
    <row r="2131">
      <c r="A2131" t="n">
        <v>2000302</v>
      </c>
      <c r="B2131" t="n">
        <v>2</v>
      </c>
      <c r="C2131" t="n">
        <v>302</v>
      </c>
      <c r="D2131" t="n">
        <v>-0.3043</v>
      </c>
      <c r="E2131" t="n">
        <v>16.6284</v>
      </c>
      <c r="F2131" t="n">
        <v>0.08864</v>
      </c>
    </row>
    <row r="2132">
      <c r="A2132" t="n">
        <v>2000303</v>
      </c>
      <c r="B2132" t="n">
        <v>2</v>
      </c>
      <c r="C2132" t="n">
        <v>303</v>
      </c>
      <c r="D2132" t="n">
        <v>-0.3053</v>
      </c>
      <c r="E2132" t="n">
        <v>16.6242</v>
      </c>
      <c r="F2132" t="n">
        <v>0.08863</v>
      </c>
    </row>
    <row r="2133">
      <c r="A2133" t="n">
        <v>2000304</v>
      </c>
      <c r="B2133" t="n">
        <v>2</v>
      </c>
      <c r="C2133" t="n">
        <v>304</v>
      </c>
      <c r="D2133" t="n">
        <v>-0.3064</v>
      </c>
      <c r="E2133" t="n">
        <v>16.62</v>
      </c>
      <c r="F2133" t="n">
        <v>0.08862</v>
      </c>
    </row>
    <row r="2134">
      <c r="A2134" t="n">
        <v>2000305</v>
      </c>
      <c r="B2134" t="n">
        <v>2</v>
      </c>
      <c r="C2134" t="n">
        <v>305</v>
      </c>
      <c r="D2134" t="n">
        <v>-0.3075</v>
      </c>
      <c r="E2134" t="n">
        <v>16.6157</v>
      </c>
      <c r="F2134" t="n">
        <v>0.0886</v>
      </c>
    </row>
    <row r="2135">
      <c r="A2135" t="n">
        <v>2000306</v>
      </c>
      <c r="B2135" t="n">
        <v>2</v>
      </c>
      <c r="C2135" t="n">
        <v>306</v>
      </c>
      <c r="D2135" t="n">
        <v>-0.3086</v>
      </c>
      <c r="E2135" t="n">
        <v>16.6115</v>
      </c>
      <c r="F2135" t="n">
        <v>0.08859</v>
      </c>
    </row>
    <row r="2136">
      <c r="A2136" t="n">
        <v>2000307</v>
      </c>
      <c r="B2136" t="n">
        <v>2</v>
      </c>
      <c r="C2136" t="n">
        <v>307</v>
      </c>
      <c r="D2136" t="n">
        <v>-0.3096</v>
      </c>
      <c r="E2136" t="n">
        <v>16.6073</v>
      </c>
      <c r="F2136" t="n">
        <v>0.08858000000000001</v>
      </c>
    </row>
    <row r="2137">
      <c r="A2137" t="n">
        <v>2000308</v>
      </c>
      <c r="B2137" t="n">
        <v>2</v>
      </c>
      <c r="C2137" t="n">
        <v>308</v>
      </c>
      <c r="D2137" t="n">
        <v>-0.3107</v>
      </c>
      <c r="E2137" t="n">
        <v>16.603</v>
      </c>
      <c r="F2137" t="n">
        <v>0.08857</v>
      </c>
    </row>
    <row r="2138">
      <c r="A2138" t="n">
        <v>2000309</v>
      </c>
      <c r="B2138" t="n">
        <v>2</v>
      </c>
      <c r="C2138" t="n">
        <v>309</v>
      </c>
      <c r="D2138" t="n">
        <v>-0.3118</v>
      </c>
      <c r="E2138" t="n">
        <v>16.5988</v>
      </c>
      <c r="F2138" t="n">
        <v>0.08856</v>
      </c>
    </row>
    <row r="2139">
      <c r="A2139" t="n">
        <v>2000310</v>
      </c>
      <c r="B2139" t="n">
        <v>2</v>
      </c>
      <c r="C2139" t="n">
        <v>310</v>
      </c>
      <c r="D2139" t="n">
        <v>-0.3128</v>
      </c>
      <c r="E2139" t="n">
        <v>16.5945</v>
      </c>
      <c r="F2139" t="n">
        <v>0.08855</v>
      </c>
    </row>
    <row r="2140">
      <c r="A2140" t="n">
        <v>2000311</v>
      </c>
      <c r="B2140" t="n">
        <v>2</v>
      </c>
      <c r="C2140" t="n">
        <v>311</v>
      </c>
      <c r="D2140" t="n">
        <v>-0.3139</v>
      </c>
      <c r="E2140" t="n">
        <v>16.5903</v>
      </c>
      <c r="F2140" t="n">
        <v>0.08853999999999999</v>
      </c>
    </row>
    <row r="2141">
      <c r="A2141" t="n">
        <v>2000312</v>
      </c>
      <c r="B2141" t="n">
        <v>2</v>
      </c>
      <c r="C2141" t="n">
        <v>312</v>
      </c>
      <c r="D2141" t="n">
        <v>-0.3149</v>
      </c>
      <c r="E2141" t="n">
        <v>16.586</v>
      </c>
      <c r="F2141" t="n">
        <v>0.08852</v>
      </c>
    </row>
    <row r="2142">
      <c r="A2142" t="n">
        <v>2000313</v>
      </c>
      <c r="B2142" t="n">
        <v>2</v>
      </c>
      <c r="C2142" t="n">
        <v>313</v>
      </c>
      <c r="D2142" t="n">
        <v>-0.316</v>
      </c>
      <c r="E2142" t="n">
        <v>16.5817</v>
      </c>
      <c r="F2142" t="n">
        <v>0.08851000000000001</v>
      </c>
    </row>
    <row r="2143">
      <c r="A2143" t="n">
        <v>2000314</v>
      </c>
      <c r="B2143" t="n">
        <v>2</v>
      </c>
      <c r="C2143" t="n">
        <v>314</v>
      </c>
      <c r="D2143" t="n">
        <v>-0.317</v>
      </c>
      <c r="E2143" t="n">
        <v>16.5774</v>
      </c>
      <c r="F2143" t="n">
        <v>0.0885</v>
      </c>
    </row>
    <row r="2144">
      <c r="A2144" t="n">
        <v>2000315</v>
      </c>
      <c r="B2144" t="n">
        <v>2</v>
      </c>
      <c r="C2144" t="n">
        <v>315</v>
      </c>
      <c r="D2144" t="n">
        <v>-0.3181</v>
      </c>
      <c r="E2144" t="n">
        <v>16.5731</v>
      </c>
      <c r="F2144" t="n">
        <v>0.08849</v>
      </c>
    </row>
    <row r="2145">
      <c r="A2145" t="n">
        <v>2000316</v>
      </c>
      <c r="B2145" t="n">
        <v>2</v>
      </c>
      <c r="C2145" t="n">
        <v>316</v>
      </c>
      <c r="D2145" t="n">
        <v>-0.3191</v>
      </c>
      <c r="E2145" t="n">
        <v>16.5688</v>
      </c>
      <c r="F2145" t="n">
        <v>0.08848</v>
      </c>
    </row>
    <row r="2146">
      <c r="A2146" t="n">
        <v>2000317</v>
      </c>
      <c r="B2146" t="n">
        <v>2</v>
      </c>
      <c r="C2146" t="n">
        <v>317</v>
      </c>
      <c r="D2146" t="n">
        <v>-0.3201</v>
      </c>
      <c r="E2146" t="n">
        <v>16.5645</v>
      </c>
      <c r="F2146" t="n">
        <v>0.08846999999999999</v>
      </c>
    </row>
    <row r="2147">
      <c r="A2147" t="n">
        <v>2000318</v>
      </c>
      <c r="B2147" t="n">
        <v>2</v>
      </c>
      <c r="C2147" t="n">
        <v>318</v>
      </c>
      <c r="D2147" t="n">
        <v>-0.3212</v>
      </c>
      <c r="E2147" t="n">
        <v>16.5602</v>
      </c>
      <c r="F2147" t="n">
        <v>0.08846</v>
      </c>
    </row>
    <row r="2148">
      <c r="A2148" t="n">
        <v>2000319</v>
      </c>
      <c r="B2148" t="n">
        <v>2</v>
      </c>
      <c r="C2148" t="n">
        <v>319</v>
      </c>
      <c r="D2148" t="n">
        <v>-0.3222</v>
      </c>
      <c r="E2148" t="n">
        <v>16.5559</v>
      </c>
      <c r="F2148" t="n">
        <v>0.08845</v>
      </c>
    </row>
    <row r="2149">
      <c r="A2149" t="n">
        <v>2000320</v>
      </c>
      <c r="B2149" t="n">
        <v>2</v>
      </c>
      <c r="C2149" t="n">
        <v>320</v>
      </c>
      <c r="D2149" t="n">
        <v>-0.3232</v>
      </c>
      <c r="E2149" t="n">
        <v>16.5516</v>
      </c>
      <c r="F2149" t="n">
        <v>0.08842999999999999</v>
      </c>
    </row>
    <row r="2150">
      <c r="A2150" t="n">
        <v>2000321</v>
      </c>
      <c r="B2150" t="n">
        <v>2</v>
      </c>
      <c r="C2150" t="n">
        <v>321</v>
      </c>
      <c r="D2150" t="n">
        <v>-0.3242</v>
      </c>
      <c r="E2150" t="n">
        <v>16.5473</v>
      </c>
      <c r="F2150" t="n">
        <v>0.08842</v>
      </c>
    </row>
    <row r="2151">
      <c r="A2151" t="n">
        <v>2000322</v>
      </c>
      <c r="B2151" t="n">
        <v>2</v>
      </c>
      <c r="C2151" t="n">
        <v>322</v>
      </c>
      <c r="D2151" t="n">
        <v>-0.3253</v>
      </c>
      <c r="E2151" t="n">
        <v>16.543</v>
      </c>
      <c r="F2151" t="n">
        <v>0.08841</v>
      </c>
    </row>
    <row r="2152">
      <c r="A2152" t="n">
        <v>2000323</v>
      </c>
      <c r="B2152" t="n">
        <v>2</v>
      </c>
      <c r="C2152" t="n">
        <v>323</v>
      </c>
      <c r="D2152" t="n">
        <v>-0.3263</v>
      </c>
      <c r="E2152" t="n">
        <v>16.5387</v>
      </c>
      <c r="F2152" t="n">
        <v>0.08840000000000001</v>
      </c>
    </row>
    <row r="2153">
      <c r="A2153" t="n">
        <v>2000324</v>
      </c>
      <c r="B2153" t="n">
        <v>2</v>
      </c>
      <c r="C2153" t="n">
        <v>324</v>
      </c>
      <c r="D2153" t="n">
        <v>-0.3273</v>
      </c>
      <c r="E2153" t="n">
        <v>16.5343</v>
      </c>
      <c r="F2153" t="n">
        <v>0.08839</v>
      </c>
    </row>
    <row r="2154">
      <c r="A2154" t="n">
        <v>2000325</v>
      </c>
      <c r="B2154" t="n">
        <v>2</v>
      </c>
      <c r="C2154" t="n">
        <v>325</v>
      </c>
      <c r="D2154" t="n">
        <v>-0.3283</v>
      </c>
      <c r="E2154" t="n">
        <v>16.53</v>
      </c>
      <c r="F2154" t="n">
        <v>0.08838</v>
      </c>
    </row>
    <row r="2155">
      <c r="A2155" t="n">
        <v>2000326</v>
      </c>
      <c r="B2155" t="n">
        <v>2</v>
      </c>
      <c r="C2155" t="n">
        <v>326</v>
      </c>
      <c r="D2155" t="n">
        <v>-0.3293</v>
      </c>
      <c r="E2155" t="n">
        <v>16.5257</v>
      </c>
      <c r="F2155" t="n">
        <v>0.08837</v>
      </c>
    </row>
    <row r="2156">
      <c r="A2156" t="n">
        <v>2000327</v>
      </c>
      <c r="B2156" t="n">
        <v>2</v>
      </c>
      <c r="C2156" t="n">
        <v>327</v>
      </c>
      <c r="D2156" t="n">
        <v>-0.3303</v>
      </c>
      <c r="E2156" t="n">
        <v>16.5213</v>
      </c>
      <c r="F2156" t="n">
        <v>0.08835999999999999</v>
      </c>
    </row>
    <row r="2157">
      <c r="A2157" t="n">
        <v>2000328</v>
      </c>
      <c r="B2157" t="n">
        <v>2</v>
      </c>
      <c r="C2157" t="n">
        <v>328</v>
      </c>
      <c r="D2157" t="n">
        <v>-0.3313</v>
      </c>
      <c r="E2157" t="n">
        <v>16.517</v>
      </c>
      <c r="F2157" t="n">
        <v>0.08835</v>
      </c>
    </row>
    <row r="2158">
      <c r="A2158" t="n">
        <v>2000329</v>
      </c>
      <c r="B2158" t="n">
        <v>2</v>
      </c>
      <c r="C2158" t="n">
        <v>329</v>
      </c>
      <c r="D2158" t="n">
        <v>-0.3323</v>
      </c>
      <c r="E2158" t="n">
        <v>16.5127</v>
      </c>
      <c r="F2158" t="n">
        <v>0.08834</v>
      </c>
    </row>
    <row r="2159">
      <c r="A2159" t="n">
        <v>2000330</v>
      </c>
      <c r="B2159" t="n">
        <v>2</v>
      </c>
      <c r="C2159" t="n">
        <v>330</v>
      </c>
      <c r="D2159" t="n">
        <v>-0.3333</v>
      </c>
      <c r="E2159" t="n">
        <v>16.5083</v>
      </c>
      <c r="F2159" t="n">
        <v>0.08833000000000001</v>
      </c>
    </row>
    <row r="2160">
      <c r="A2160" t="n">
        <v>2000331</v>
      </c>
      <c r="B2160" t="n">
        <v>2</v>
      </c>
      <c r="C2160" t="n">
        <v>331</v>
      </c>
      <c r="D2160" t="n">
        <v>-0.3343</v>
      </c>
      <c r="E2160" t="n">
        <v>16.504</v>
      </c>
      <c r="F2160" t="n">
        <v>0.08832</v>
      </c>
    </row>
    <row r="2161">
      <c r="A2161" t="n">
        <v>2000332</v>
      </c>
      <c r="B2161" t="n">
        <v>2</v>
      </c>
      <c r="C2161" t="n">
        <v>332</v>
      </c>
      <c r="D2161" t="n">
        <v>-0.3353</v>
      </c>
      <c r="E2161" t="n">
        <v>16.4997</v>
      </c>
      <c r="F2161" t="n">
        <v>0.0883</v>
      </c>
    </row>
    <row r="2162">
      <c r="A2162" t="n">
        <v>2000333</v>
      </c>
      <c r="B2162" t="n">
        <v>2</v>
      </c>
      <c r="C2162" t="n">
        <v>333</v>
      </c>
      <c r="D2162" t="n">
        <v>-0.3363</v>
      </c>
      <c r="E2162" t="n">
        <v>16.4953</v>
      </c>
      <c r="F2162" t="n">
        <v>0.08828999999999999</v>
      </c>
    </row>
    <row r="2163">
      <c r="A2163" t="n">
        <v>2000334</v>
      </c>
      <c r="B2163" t="n">
        <v>2</v>
      </c>
      <c r="C2163" t="n">
        <v>334</v>
      </c>
      <c r="D2163" t="n">
        <v>-0.3373</v>
      </c>
      <c r="E2163" t="n">
        <v>16.491</v>
      </c>
      <c r="F2163" t="n">
        <v>0.08828</v>
      </c>
    </row>
    <row r="2164">
      <c r="A2164" t="n">
        <v>2000335</v>
      </c>
      <c r="B2164" t="n">
        <v>2</v>
      </c>
      <c r="C2164" t="n">
        <v>335</v>
      </c>
      <c r="D2164" t="n">
        <v>-0.3382</v>
      </c>
      <c r="E2164" t="n">
        <v>16.4867</v>
      </c>
      <c r="F2164" t="n">
        <v>0.08827</v>
      </c>
    </row>
    <row r="2165">
      <c r="A2165" t="n">
        <v>2000336</v>
      </c>
      <c r="B2165" t="n">
        <v>2</v>
      </c>
      <c r="C2165" t="n">
        <v>336</v>
      </c>
      <c r="D2165" t="n">
        <v>-0.3392</v>
      </c>
      <c r="E2165" t="n">
        <v>16.4823</v>
      </c>
      <c r="F2165" t="n">
        <v>0.08826000000000001</v>
      </c>
    </row>
    <row r="2166">
      <c r="A2166" t="n">
        <v>2000337</v>
      </c>
      <c r="B2166" t="n">
        <v>2</v>
      </c>
      <c r="C2166" t="n">
        <v>337</v>
      </c>
      <c r="D2166" t="n">
        <v>-0.3402</v>
      </c>
      <c r="E2166" t="n">
        <v>16.478</v>
      </c>
      <c r="F2166" t="n">
        <v>0.08825</v>
      </c>
    </row>
    <row r="2167">
      <c r="A2167" t="n">
        <v>2000338</v>
      </c>
      <c r="B2167" t="n">
        <v>2</v>
      </c>
      <c r="C2167" t="n">
        <v>338</v>
      </c>
      <c r="D2167" t="n">
        <v>-0.3412</v>
      </c>
      <c r="E2167" t="n">
        <v>16.4737</v>
      </c>
      <c r="F2167" t="n">
        <v>0.08824</v>
      </c>
    </row>
    <row r="2168">
      <c r="A2168" t="n">
        <v>2000339</v>
      </c>
      <c r="B2168" t="n">
        <v>2</v>
      </c>
      <c r="C2168" t="n">
        <v>339</v>
      </c>
      <c r="D2168" t="n">
        <v>-0.3421</v>
      </c>
      <c r="E2168" t="n">
        <v>16.4693</v>
      </c>
      <c r="F2168" t="n">
        <v>0.08823</v>
      </c>
    </row>
    <row r="2169">
      <c r="A2169" t="n">
        <v>2000340</v>
      </c>
      <c r="B2169" t="n">
        <v>2</v>
      </c>
      <c r="C2169" t="n">
        <v>340</v>
      </c>
      <c r="D2169" t="n">
        <v>-0.3431</v>
      </c>
      <c r="E2169" t="n">
        <v>16.465</v>
      </c>
      <c r="F2169" t="n">
        <v>0.08822000000000001</v>
      </c>
    </row>
    <row r="2170">
      <c r="A2170" t="n">
        <v>2000341</v>
      </c>
      <c r="B2170" t="n">
        <v>2</v>
      </c>
      <c r="C2170" t="n">
        <v>341</v>
      </c>
      <c r="D2170" t="n">
        <v>-0.3441</v>
      </c>
      <c r="E2170" t="n">
        <v>16.4607</v>
      </c>
      <c r="F2170" t="n">
        <v>0.08821</v>
      </c>
    </row>
    <row r="2171">
      <c r="A2171" t="n">
        <v>2000342</v>
      </c>
      <c r="B2171" t="n">
        <v>2</v>
      </c>
      <c r="C2171" t="n">
        <v>342</v>
      </c>
      <c r="D2171" t="n">
        <v>-0.345</v>
      </c>
      <c r="E2171" t="n">
        <v>16.4563</v>
      </c>
      <c r="F2171" t="n">
        <v>0.0882</v>
      </c>
    </row>
    <row r="2172">
      <c r="A2172" t="n">
        <v>2000343</v>
      </c>
      <c r="B2172" t="n">
        <v>2</v>
      </c>
      <c r="C2172" t="n">
        <v>343</v>
      </c>
      <c r="D2172" t="n">
        <v>-0.346</v>
      </c>
      <c r="E2172" t="n">
        <v>16.452</v>
      </c>
      <c r="F2172" t="n">
        <v>0.08819</v>
      </c>
    </row>
    <row r="2173">
      <c r="A2173" t="n">
        <v>2000344</v>
      </c>
      <c r="B2173" t="n">
        <v>2</v>
      </c>
      <c r="C2173" t="n">
        <v>344</v>
      </c>
      <c r="D2173" t="n">
        <v>-0.347</v>
      </c>
      <c r="E2173" t="n">
        <v>16.4477</v>
      </c>
      <c r="F2173" t="n">
        <v>0.08817999999999999</v>
      </c>
    </row>
    <row r="2174">
      <c r="A2174" t="n">
        <v>2000345</v>
      </c>
      <c r="B2174" t="n">
        <v>2</v>
      </c>
      <c r="C2174" t="n">
        <v>345</v>
      </c>
      <c r="D2174" t="n">
        <v>-0.3479</v>
      </c>
      <c r="E2174" t="n">
        <v>16.4434</v>
      </c>
      <c r="F2174" t="n">
        <v>0.08817</v>
      </c>
    </row>
    <row r="2175">
      <c r="A2175" t="n">
        <v>2000346</v>
      </c>
      <c r="B2175" t="n">
        <v>2</v>
      </c>
      <c r="C2175" t="n">
        <v>346</v>
      </c>
      <c r="D2175" t="n">
        <v>-0.3489</v>
      </c>
      <c r="E2175" t="n">
        <v>16.4391</v>
      </c>
      <c r="F2175" t="n">
        <v>0.08816</v>
      </c>
    </row>
    <row r="2176">
      <c r="A2176" t="n">
        <v>2000347</v>
      </c>
      <c r="B2176" t="n">
        <v>2</v>
      </c>
      <c r="C2176" t="n">
        <v>347</v>
      </c>
      <c r="D2176" t="n">
        <v>-0.3498</v>
      </c>
      <c r="E2176" t="n">
        <v>16.4347</v>
      </c>
      <c r="F2176" t="n">
        <v>0.08815000000000001</v>
      </c>
    </row>
    <row r="2177">
      <c r="A2177" t="n">
        <v>2000348</v>
      </c>
      <c r="B2177" t="n">
        <v>2</v>
      </c>
      <c r="C2177" t="n">
        <v>348</v>
      </c>
      <c r="D2177" t="n">
        <v>-0.3508</v>
      </c>
      <c r="E2177" t="n">
        <v>16.4304</v>
      </c>
      <c r="F2177" t="n">
        <v>0.08814</v>
      </c>
    </row>
    <row r="2178">
      <c r="A2178" t="n">
        <v>2000349</v>
      </c>
      <c r="B2178" t="n">
        <v>2</v>
      </c>
      <c r="C2178" t="n">
        <v>349</v>
      </c>
      <c r="D2178" t="n">
        <v>-0.3517</v>
      </c>
      <c r="E2178" t="n">
        <v>16.4261</v>
      </c>
      <c r="F2178" t="n">
        <v>0.08813</v>
      </c>
    </row>
    <row r="2179">
      <c r="A2179" t="n">
        <v>2000350</v>
      </c>
      <c r="B2179" t="n">
        <v>2</v>
      </c>
      <c r="C2179" t="n">
        <v>350</v>
      </c>
      <c r="D2179" t="n">
        <v>-0.3526</v>
      </c>
      <c r="E2179" t="n">
        <v>16.4218</v>
      </c>
      <c r="F2179" t="n">
        <v>0.08812</v>
      </c>
    </row>
    <row r="2180">
      <c r="A2180" t="n">
        <v>2000351</v>
      </c>
      <c r="B2180" t="n">
        <v>2</v>
      </c>
      <c r="C2180" t="n">
        <v>351</v>
      </c>
      <c r="D2180" t="n">
        <v>-0.3536</v>
      </c>
      <c r="E2180" t="n">
        <v>16.4175</v>
      </c>
      <c r="F2180" t="n">
        <v>0.08810999999999999</v>
      </c>
    </row>
    <row r="2181">
      <c r="A2181" t="n">
        <v>2000352</v>
      </c>
      <c r="B2181" t="n">
        <v>2</v>
      </c>
      <c r="C2181" t="n">
        <v>352</v>
      </c>
      <c r="D2181" t="n">
        <v>-0.3545</v>
      </c>
      <c r="E2181" t="n">
        <v>16.4132</v>
      </c>
      <c r="F2181" t="n">
        <v>0.0881</v>
      </c>
    </row>
    <row r="2182">
      <c r="A2182" t="n">
        <v>2000353</v>
      </c>
      <c r="B2182" t="n">
        <v>2</v>
      </c>
      <c r="C2182" t="n">
        <v>353</v>
      </c>
      <c r="D2182" t="n">
        <v>-0.3555</v>
      </c>
      <c r="E2182" t="n">
        <v>16.4089</v>
      </c>
      <c r="F2182" t="n">
        <v>0.08809</v>
      </c>
    </row>
    <row r="2183">
      <c r="A2183" t="n">
        <v>2000354</v>
      </c>
      <c r="B2183" t="n">
        <v>2</v>
      </c>
      <c r="C2183" t="n">
        <v>354</v>
      </c>
      <c r="D2183" t="n">
        <v>-0.3564</v>
      </c>
      <c r="E2183" t="n">
        <v>16.4046</v>
      </c>
      <c r="F2183" t="n">
        <v>0.08808000000000001</v>
      </c>
    </row>
    <row r="2184">
      <c r="A2184" t="n">
        <v>2000355</v>
      </c>
      <c r="B2184" t="n">
        <v>2</v>
      </c>
      <c r="C2184" t="n">
        <v>355</v>
      </c>
      <c r="D2184" t="n">
        <v>-0.3573</v>
      </c>
      <c r="E2184" t="n">
        <v>16.4004</v>
      </c>
      <c r="F2184" t="n">
        <v>0.08807</v>
      </c>
    </row>
    <row r="2185">
      <c r="A2185" t="n">
        <v>2000356</v>
      </c>
      <c r="B2185" t="n">
        <v>2</v>
      </c>
      <c r="C2185" t="n">
        <v>356</v>
      </c>
      <c r="D2185" t="n">
        <v>-0.3582</v>
      </c>
      <c r="E2185" t="n">
        <v>16.3961</v>
      </c>
      <c r="F2185" t="n">
        <v>0.08806</v>
      </c>
    </row>
    <row r="2186">
      <c r="A2186" t="n">
        <v>2000357</v>
      </c>
      <c r="B2186" t="n">
        <v>2</v>
      </c>
      <c r="C2186" t="n">
        <v>357</v>
      </c>
      <c r="D2186" t="n">
        <v>-0.3592</v>
      </c>
      <c r="E2186" t="n">
        <v>16.3918</v>
      </c>
      <c r="F2186" t="n">
        <v>0.08805</v>
      </c>
    </row>
    <row r="2187">
      <c r="A2187" t="n">
        <v>2000358</v>
      </c>
      <c r="B2187" t="n">
        <v>2</v>
      </c>
      <c r="C2187" t="n">
        <v>358</v>
      </c>
      <c r="D2187" t="n">
        <v>-0.3601</v>
      </c>
      <c r="E2187" t="n">
        <v>16.3875</v>
      </c>
      <c r="F2187" t="n">
        <v>0.08803999999999999</v>
      </c>
    </row>
    <row r="2188">
      <c r="A2188" t="n">
        <v>2000359</v>
      </c>
      <c r="B2188" t="n">
        <v>2</v>
      </c>
      <c r="C2188" t="n">
        <v>359</v>
      </c>
      <c r="D2188" t="n">
        <v>-0.361</v>
      </c>
      <c r="E2188" t="n">
        <v>16.3833</v>
      </c>
      <c r="F2188" t="n">
        <v>0.08803</v>
      </c>
    </row>
    <row r="2189">
      <c r="A2189" t="n">
        <v>2000360</v>
      </c>
      <c r="B2189" t="n">
        <v>2</v>
      </c>
      <c r="C2189" t="n">
        <v>360</v>
      </c>
      <c r="D2189" t="n">
        <v>-0.3619</v>
      </c>
      <c r="E2189" t="n">
        <v>16.379</v>
      </c>
      <c r="F2189" t="n">
        <v>0.08802</v>
      </c>
    </row>
    <row r="2190">
      <c r="A2190" t="n">
        <v>2000361</v>
      </c>
      <c r="B2190" t="n">
        <v>2</v>
      </c>
      <c r="C2190" t="n">
        <v>361</v>
      </c>
      <c r="D2190" t="n">
        <v>-0.3628</v>
      </c>
      <c r="E2190" t="n">
        <v>16.3748</v>
      </c>
      <c r="F2190" t="n">
        <v>0.08801</v>
      </c>
    </row>
    <row r="2191">
      <c r="A2191" t="n">
        <v>2000362</v>
      </c>
      <c r="B2191" t="n">
        <v>2</v>
      </c>
      <c r="C2191" t="n">
        <v>362</v>
      </c>
      <c r="D2191" t="n">
        <v>-0.3638</v>
      </c>
      <c r="E2191" t="n">
        <v>16.3705</v>
      </c>
      <c r="F2191" t="n">
        <v>0.08799999999999999</v>
      </c>
    </row>
    <row r="2192">
      <c r="A2192" t="n">
        <v>2000363</v>
      </c>
      <c r="B2192" t="n">
        <v>2</v>
      </c>
      <c r="C2192" t="n">
        <v>363</v>
      </c>
      <c r="D2192" t="n">
        <v>-0.3647</v>
      </c>
      <c r="E2192" t="n">
        <v>16.3663</v>
      </c>
      <c r="F2192" t="n">
        <v>0.08799</v>
      </c>
    </row>
    <row r="2193">
      <c r="A2193" t="n">
        <v>2000364</v>
      </c>
      <c r="B2193" t="n">
        <v>2</v>
      </c>
      <c r="C2193" t="n">
        <v>364</v>
      </c>
      <c r="D2193" t="n">
        <v>-0.3656</v>
      </c>
      <c r="E2193" t="n">
        <v>16.3621</v>
      </c>
      <c r="F2193" t="n">
        <v>0.08798</v>
      </c>
    </row>
    <row r="2194">
      <c r="A2194" t="n">
        <v>2000365</v>
      </c>
      <c r="B2194" t="n">
        <v>2</v>
      </c>
      <c r="C2194" t="n">
        <v>365</v>
      </c>
      <c r="D2194" t="n">
        <v>-0.3665</v>
      </c>
      <c r="E2194" t="n">
        <v>16.3578</v>
      </c>
      <c r="F2194" t="n">
        <v>0.08797000000000001</v>
      </c>
    </row>
    <row r="2195">
      <c r="A2195" t="n">
        <v>2000366</v>
      </c>
      <c r="B2195" t="n">
        <v>2</v>
      </c>
      <c r="C2195" t="n">
        <v>366</v>
      </c>
      <c r="D2195" t="n">
        <v>-0.3674</v>
      </c>
      <c r="E2195" t="n">
        <v>16.3536</v>
      </c>
      <c r="F2195" t="n">
        <v>0.08796</v>
      </c>
    </row>
    <row r="2196">
      <c r="A2196" t="n">
        <v>2000367</v>
      </c>
      <c r="B2196" t="n">
        <v>2</v>
      </c>
      <c r="C2196" t="n">
        <v>367</v>
      </c>
      <c r="D2196" t="n">
        <v>-0.3683</v>
      </c>
      <c r="E2196" t="n">
        <v>16.3494</v>
      </c>
      <c r="F2196" t="n">
        <v>0.08795</v>
      </c>
    </row>
    <row r="2197">
      <c r="A2197" t="n">
        <v>2000368</v>
      </c>
      <c r="B2197" t="n">
        <v>2</v>
      </c>
      <c r="C2197" t="n">
        <v>368</v>
      </c>
      <c r="D2197" t="n">
        <v>-0.3692</v>
      </c>
      <c r="E2197" t="n">
        <v>16.3452</v>
      </c>
      <c r="F2197" t="n">
        <v>0.08794</v>
      </c>
    </row>
    <row r="2198">
      <c r="A2198" t="n">
        <v>2000369</v>
      </c>
      <c r="B2198" t="n">
        <v>2</v>
      </c>
      <c r="C2198" t="n">
        <v>369</v>
      </c>
      <c r="D2198" t="n">
        <v>-0.3701</v>
      </c>
      <c r="E2198" t="n">
        <v>16.341</v>
      </c>
      <c r="F2198" t="n">
        <v>0.08792999999999999</v>
      </c>
    </row>
    <row r="2199">
      <c r="A2199" t="n">
        <v>2000370</v>
      </c>
      <c r="B2199" t="n">
        <v>2</v>
      </c>
      <c r="C2199" t="n">
        <v>370</v>
      </c>
      <c r="D2199" t="n">
        <v>-0.371</v>
      </c>
      <c r="E2199" t="n">
        <v>16.3368</v>
      </c>
      <c r="F2199" t="n">
        <v>0.08792</v>
      </c>
    </row>
    <row r="2200">
      <c r="A2200" t="n">
        <v>2000371</v>
      </c>
      <c r="B2200" t="n">
        <v>2</v>
      </c>
      <c r="C2200" t="n">
        <v>371</v>
      </c>
      <c r="D2200" t="n">
        <v>-0.3719</v>
      </c>
      <c r="E2200" t="n">
        <v>16.3326</v>
      </c>
      <c r="F2200" t="n">
        <v>0.08791</v>
      </c>
    </row>
    <row r="2201">
      <c r="A2201" t="n">
        <v>2000372</v>
      </c>
      <c r="B2201" t="n">
        <v>2</v>
      </c>
      <c r="C2201" t="n">
        <v>372</v>
      </c>
      <c r="D2201" t="n">
        <v>-0.3727</v>
      </c>
      <c r="E2201" t="n">
        <v>16.3284</v>
      </c>
      <c r="F2201" t="n">
        <v>0.08790000000000001</v>
      </c>
    </row>
    <row r="2202">
      <c r="A2202" t="n">
        <v>2000373</v>
      </c>
      <c r="B2202" t="n">
        <v>2</v>
      </c>
      <c r="C2202" t="n">
        <v>373</v>
      </c>
      <c r="D2202" t="n">
        <v>-0.3736</v>
      </c>
      <c r="E2202" t="n">
        <v>16.3242</v>
      </c>
      <c r="F2202" t="n">
        <v>0.08789</v>
      </c>
    </row>
    <row r="2203">
      <c r="A2203" t="n">
        <v>2000374</v>
      </c>
      <c r="B2203" t="n">
        <v>2</v>
      </c>
      <c r="C2203" t="n">
        <v>374</v>
      </c>
      <c r="D2203" t="n">
        <v>-0.3745</v>
      </c>
      <c r="E2203" t="n">
        <v>16.32</v>
      </c>
      <c r="F2203" t="n">
        <v>0.08788</v>
      </c>
    </row>
    <row r="2204">
      <c r="A2204" t="n">
        <v>2000375</v>
      </c>
      <c r="B2204" t="n">
        <v>2</v>
      </c>
      <c r="C2204" t="n">
        <v>375</v>
      </c>
      <c r="D2204" t="n">
        <v>-0.3754</v>
      </c>
      <c r="E2204" t="n">
        <v>16.3158</v>
      </c>
      <c r="F2204" t="n">
        <v>0.08787</v>
      </c>
    </row>
    <row r="2205">
      <c r="A2205" t="n">
        <v>2000376</v>
      </c>
      <c r="B2205" t="n">
        <v>2</v>
      </c>
      <c r="C2205" t="n">
        <v>376</v>
      </c>
      <c r="D2205" t="n">
        <v>-0.3763</v>
      </c>
      <c r="E2205" t="n">
        <v>16.3117</v>
      </c>
      <c r="F2205" t="n">
        <v>0.08785999999999999</v>
      </c>
    </row>
    <row r="2206">
      <c r="A2206" t="n">
        <v>2000377</v>
      </c>
      <c r="B2206" t="n">
        <v>2</v>
      </c>
      <c r="C2206" t="n">
        <v>377</v>
      </c>
      <c r="D2206" t="n">
        <v>-0.3772</v>
      </c>
      <c r="E2206" t="n">
        <v>16.3075</v>
      </c>
      <c r="F2206" t="n">
        <v>0.08785</v>
      </c>
    </row>
    <row r="2207">
      <c r="A2207" t="n">
        <v>2000378</v>
      </c>
      <c r="B2207" t="n">
        <v>2</v>
      </c>
      <c r="C2207" t="n">
        <v>378</v>
      </c>
      <c r="D2207" t="n">
        <v>-0.378</v>
      </c>
      <c r="E2207" t="n">
        <v>16.3034</v>
      </c>
      <c r="F2207" t="n">
        <v>0.08784</v>
      </c>
    </row>
    <row r="2208">
      <c r="A2208" t="n">
        <v>2000379</v>
      </c>
      <c r="B2208" t="n">
        <v>2</v>
      </c>
      <c r="C2208" t="n">
        <v>379</v>
      </c>
      <c r="D2208" t="n">
        <v>-0.3789</v>
      </c>
      <c r="E2208" t="n">
        <v>16.2992</v>
      </c>
      <c r="F2208" t="n">
        <v>0.08783000000000001</v>
      </c>
    </row>
    <row r="2209">
      <c r="A2209" t="n">
        <v>2000380</v>
      </c>
      <c r="B2209" t="n">
        <v>2</v>
      </c>
      <c r="C2209" t="n">
        <v>380</v>
      </c>
      <c r="D2209" t="n">
        <v>-0.3798</v>
      </c>
      <c r="E2209" t="n">
        <v>16.2951</v>
      </c>
      <c r="F2209" t="n">
        <v>0.08782</v>
      </c>
    </row>
    <row r="2210">
      <c r="A2210" t="n">
        <v>2000381</v>
      </c>
      <c r="B2210" t="n">
        <v>2</v>
      </c>
      <c r="C2210" t="n">
        <v>381</v>
      </c>
      <c r="D2210" t="n">
        <v>-0.3806</v>
      </c>
      <c r="E2210" t="n">
        <v>16.291</v>
      </c>
      <c r="F2210" t="n">
        <v>0.08782</v>
      </c>
    </row>
    <row r="2211">
      <c r="A2211" t="n">
        <v>2000382</v>
      </c>
      <c r="B2211" t="n">
        <v>2</v>
      </c>
      <c r="C2211" t="n">
        <v>382</v>
      </c>
      <c r="D2211" t="n">
        <v>-0.3815</v>
      </c>
      <c r="E2211" t="n">
        <v>16.2868</v>
      </c>
      <c r="F2211" t="n">
        <v>0.08781</v>
      </c>
    </row>
    <row r="2212">
      <c r="A2212" t="n">
        <v>2000383</v>
      </c>
      <c r="B2212" t="n">
        <v>2</v>
      </c>
      <c r="C2212" t="n">
        <v>383</v>
      </c>
      <c r="D2212" t="n">
        <v>-0.3824</v>
      </c>
      <c r="E2212" t="n">
        <v>16.2827</v>
      </c>
      <c r="F2212" t="n">
        <v>0.0878</v>
      </c>
    </row>
    <row r="2213">
      <c r="A2213" t="n">
        <v>2000384</v>
      </c>
      <c r="B2213" t="n">
        <v>2</v>
      </c>
      <c r="C2213" t="n">
        <v>384</v>
      </c>
      <c r="D2213" t="n">
        <v>-0.3832</v>
      </c>
      <c r="E2213" t="n">
        <v>16.2786</v>
      </c>
      <c r="F2213" t="n">
        <v>0.08779000000000001</v>
      </c>
    </row>
    <row r="2214">
      <c r="A2214" t="n">
        <v>2000385</v>
      </c>
      <c r="B2214" t="n">
        <v>2</v>
      </c>
      <c r="C2214" t="n">
        <v>385</v>
      </c>
      <c r="D2214" t="n">
        <v>-0.3841</v>
      </c>
      <c r="E2214" t="n">
        <v>16.2745</v>
      </c>
      <c r="F2214" t="n">
        <v>0.08778</v>
      </c>
    </row>
    <row r="2215">
      <c r="A2215" t="n">
        <v>2000386</v>
      </c>
      <c r="B2215" t="n">
        <v>2</v>
      </c>
      <c r="C2215" t="n">
        <v>386</v>
      </c>
      <c r="D2215" t="n">
        <v>-0.385</v>
      </c>
      <c r="E2215" t="n">
        <v>16.2704</v>
      </c>
      <c r="F2215" t="n">
        <v>0.08777</v>
      </c>
    </row>
    <row r="2216">
      <c r="A2216" t="n">
        <v>2000387</v>
      </c>
      <c r="B2216" t="n">
        <v>2</v>
      </c>
      <c r="C2216" t="n">
        <v>387</v>
      </c>
      <c r="D2216" t="n">
        <v>-0.3858</v>
      </c>
      <c r="E2216" t="n">
        <v>16.2663</v>
      </c>
      <c r="F2216" t="n">
        <v>0.08776</v>
      </c>
    </row>
    <row r="2217">
      <c r="A2217" t="n">
        <v>2000388</v>
      </c>
      <c r="B2217" t="n">
        <v>2</v>
      </c>
      <c r="C2217" t="n">
        <v>388</v>
      </c>
      <c r="D2217" t="n">
        <v>-0.3867</v>
      </c>
      <c r="E2217" t="n">
        <v>16.2622</v>
      </c>
      <c r="F2217" t="n">
        <v>0.08774999999999999</v>
      </c>
    </row>
    <row r="2218">
      <c r="A2218" t="n">
        <v>2000389</v>
      </c>
      <c r="B2218" t="n">
        <v>2</v>
      </c>
      <c r="C2218" t="n">
        <v>389</v>
      </c>
      <c r="D2218" t="n">
        <v>-0.3875</v>
      </c>
      <c r="E2218" t="n">
        <v>16.2582</v>
      </c>
      <c r="F2218" t="n">
        <v>0.08774</v>
      </c>
    </row>
    <row r="2219">
      <c r="A2219" t="n">
        <v>2000390</v>
      </c>
      <c r="B2219" t="n">
        <v>2</v>
      </c>
      <c r="C2219" t="n">
        <v>390</v>
      </c>
      <c r="D2219" t="n">
        <v>-0.3884</v>
      </c>
      <c r="E2219" t="n">
        <v>16.2541</v>
      </c>
      <c r="F2219" t="n">
        <v>0.08773</v>
      </c>
    </row>
    <row r="2220">
      <c r="A2220" t="n">
        <v>2000391</v>
      </c>
      <c r="B2220" t="n">
        <v>2</v>
      </c>
      <c r="C2220" t="n">
        <v>391</v>
      </c>
      <c r="D2220" t="n">
        <v>-0.3892</v>
      </c>
      <c r="E2220" t="n">
        <v>16.25</v>
      </c>
      <c r="F2220" t="n">
        <v>0.08772000000000001</v>
      </c>
    </row>
    <row r="2221">
      <c r="A2221" t="n">
        <v>2000392</v>
      </c>
      <c r="B2221" t="n">
        <v>2</v>
      </c>
      <c r="C2221" t="n">
        <v>392</v>
      </c>
      <c r="D2221" t="n">
        <v>-0.3901</v>
      </c>
      <c r="E2221" t="n">
        <v>16.246</v>
      </c>
      <c r="F2221" t="n">
        <v>0.08771</v>
      </c>
    </row>
    <row r="2222">
      <c r="A2222" t="n">
        <v>2000393</v>
      </c>
      <c r="B2222" t="n">
        <v>2</v>
      </c>
      <c r="C2222" t="n">
        <v>393</v>
      </c>
      <c r="D2222" t="n">
        <v>-0.3909</v>
      </c>
      <c r="E2222" t="n">
        <v>16.2419</v>
      </c>
      <c r="F2222" t="n">
        <v>0.0877</v>
      </c>
    </row>
    <row r="2223">
      <c r="A2223" t="n">
        <v>2000394</v>
      </c>
      <c r="B2223" t="n">
        <v>2</v>
      </c>
      <c r="C2223" t="n">
        <v>394</v>
      </c>
      <c r="D2223" t="n">
        <v>-0.3917</v>
      </c>
      <c r="E2223" t="n">
        <v>16.2379</v>
      </c>
      <c r="F2223" t="n">
        <v>0.08769</v>
      </c>
    </row>
    <row r="2224">
      <c r="A2224" t="n">
        <v>2000395</v>
      </c>
      <c r="B2224" t="n">
        <v>2</v>
      </c>
      <c r="C2224" t="n">
        <v>395</v>
      </c>
      <c r="D2224" t="n">
        <v>-0.3926</v>
      </c>
      <c r="E2224" t="n">
        <v>16.2339</v>
      </c>
      <c r="F2224" t="n">
        <v>0.08769</v>
      </c>
    </row>
    <row r="2225">
      <c r="A2225" t="n">
        <v>2000396</v>
      </c>
      <c r="B2225" t="n">
        <v>2</v>
      </c>
      <c r="C2225" t="n">
        <v>396</v>
      </c>
      <c r="D2225" t="n">
        <v>-0.3934</v>
      </c>
      <c r="E2225" t="n">
        <v>16.2298</v>
      </c>
      <c r="F2225" t="n">
        <v>0.08767999999999999</v>
      </c>
    </row>
    <row r="2226">
      <c r="A2226" t="n">
        <v>2000397</v>
      </c>
      <c r="B2226" t="n">
        <v>2</v>
      </c>
      <c r="C2226" t="n">
        <v>397</v>
      </c>
      <c r="D2226" t="n">
        <v>-0.3943</v>
      </c>
      <c r="E2226" t="n">
        <v>16.2258</v>
      </c>
      <c r="F2226" t="n">
        <v>0.08767</v>
      </c>
    </row>
    <row r="2227">
      <c r="A2227" t="n">
        <v>2000398</v>
      </c>
      <c r="B2227" t="n">
        <v>2</v>
      </c>
      <c r="C2227" t="n">
        <v>398</v>
      </c>
      <c r="D2227" t="n">
        <v>-0.3951</v>
      </c>
      <c r="E2227" t="n">
        <v>16.2218</v>
      </c>
      <c r="F2227" t="n">
        <v>0.08766</v>
      </c>
    </row>
    <row r="2228">
      <c r="A2228" t="n">
        <v>2000399</v>
      </c>
      <c r="B2228" t="n">
        <v>2</v>
      </c>
      <c r="C2228" t="n">
        <v>399</v>
      </c>
      <c r="D2228" t="n">
        <v>-0.3959</v>
      </c>
      <c r="E2228" t="n">
        <v>16.2178</v>
      </c>
      <c r="F2228" t="n">
        <v>0.08765000000000001</v>
      </c>
    </row>
    <row r="2229">
      <c r="A2229" t="n">
        <v>2000400</v>
      </c>
      <c r="B2229" t="n">
        <v>2</v>
      </c>
      <c r="C2229" t="n">
        <v>400</v>
      </c>
      <c r="D2229" t="n">
        <v>-0.3968</v>
      </c>
      <c r="E2229" t="n">
        <v>16.2138</v>
      </c>
      <c r="F2229" t="n">
        <v>0.08764</v>
      </c>
    </row>
    <row r="2230">
      <c r="A2230" t="n">
        <v>2000401</v>
      </c>
      <c r="B2230" t="n">
        <v>2</v>
      </c>
      <c r="C2230" t="n">
        <v>401</v>
      </c>
      <c r="D2230" t="n">
        <v>-0.3976</v>
      </c>
      <c r="E2230" t="n">
        <v>16.2099</v>
      </c>
      <c r="F2230" t="n">
        <v>0.08763</v>
      </c>
    </row>
    <row r="2231">
      <c r="A2231" t="n">
        <v>2000402</v>
      </c>
      <c r="B2231" t="n">
        <v>2</v>
      </c>
      <c r="C2231" t="n">
        <v>402</v>
      </c>
      <c r="D2231" t="n">
        <v>-0.3984</v>
      </c>
      <c r="E2231" t="n">
        <v>16.2059</v>
      </c>
      <c r="F2231" t="n">
        <v>0.08762</v>
      </c>
    </row>
    <row r="2232">
      <c r="A2232" t="n">
        <v>2000403</v>
      </c>
      <c r="B2232" t="n">
        <v>2</v>
      </c>
      <c r="C2232" t="n">
        <v>403</v>
      </c>
      <c r="D2232" t="n">
        <v>-0.3992</v>
      </c>
      <c r="E2232" t="n">
        <v>16.2019</v>
      </c>
      <c r="F2232" t="n">
        <v>0.08760999999999999</v>
      </c>
    </row>
    <row r="2233">
      <c r="A2233" t="n">
        <v>2000404</v>
      </c>
      <c r="B2233" t="n">
        <v>2</v>
      </c>
      <c r="C2233" t="n">
        <v>404</v>
      </c>
      <c r="D2233" t="n">
        <v>-0.4001</v>
      </c>
      <c r="E2233" t="n">
        <v>16.198</v>
      </c>
      <c r="F2233" t="n">
        <v>0.08760999999999999</v>
      </c>
    </row>
    <row r="2234">
      <c r="A2234" t="n">
        <v>2000405</v>
      </c>
      <c r="B2234" t="n">
        <v>2</v>
      </c>
      <c r="C2234" t="n">
        <v>405</v>
      </c>
      <c r="D2234" t="n">
        <v>-0.4009</v>
      </c>
      <c r="E2234" t="n">
        <v>16.194</v>
      </c>
      <c r="F2234" t="n">
        <v>0.0876</v>
      </c>
    </row>
    <row r="2235">
      <c r="A2235" t="n">
        <v>2000406</v>
      </c>
      <c r="B2235" t="n">
        <v>2</v>
      </c>
      <c r="C2235" t="n">
        <v>406</v>
      </c>
      <c r="D2235" t="n">
        <v>-0.4017</v>
      </c>
      <c r="E2235" t="n">
        <v>16.1901</v>
      </c>
      <c r="F2235" t="n">
        <v>0.08759</v>
      </c>
    </row>
    <row r="2236">
      <c r="A2236" t="n">
        <v>2000407</v>
      </c>
      <c r="B2236" t="n">
        <v>2</v>
      </c>
      <c r="C2236" t="n">
        <v>407</v>
      </c>
      <c r="D2236" t="n">
        <v>-0.4025</v>
      </c>
      <c r="E2236" t="n">
        <v>16.1862</v>
      </c>
      <c r="F2236" t="n">
        <v>0.08758000000000001</v>
      </c>
    </row>
    <row r="2237">
      <c r="A2237" t="n">
        <v>2000408</v>
      </c>
      <c r="B2237" t="n">
        <v>2</v>
      </c>
      <c r="C2237" t="n">
        <v>408</v>
      </c>
      <c r="D2237" t="n">
        <v>-0.4033</v>
      </c>
      <c r="E2237" t="n">
        <v>16.1822</v>
      </c>
      <c r="F2237" t="n">
        <v>0.08757</v>
      </c>
    </row>
    <row r="2238">
      <c r="A2238" t="n">
        <v>2000409</v>
      </c>
      <c r="B2238" t="n">
        <v>2</v>
      </c>
      <c r="C2238" t="n">
        <v>409</v>
      </c>
      <c r="D2238" t="n">
        <v>-0.4041</v>
      </c>
      <c r="E2238" t="n">
        <v>16.1783</v>
      </c>
      <c r="F2238" t="n">
        <v>0.08756</v>
      </c>
    </row>
    <row r="2239">
      <c r="A2239" t="n">
        <v>2000410</v>
      </c>
      <c r="B2239" t="n">
        <v>2</v>
      </c>
      <c r="C2239" t="n">
        <v>410</v>
      </c>
      <c r="D2239" t="n">
        <v>-0.4049</v>
      </c>
      <c r="E2239" t="n">
        <v>16.1744</v>
      </c>
      <c r="F2239" t="n">
        <v>0.08755</v>
      </c>
    </row>
    <row r="2240">
      <c r="A2240" t="n">
        <v>2000411</v>
      </c>
      <c r="B2240" t="n">
        <v>2</v>
      </c>
      <c r="C2240" t="n">
        <v>411</v>
      </c>
      <c r="D2240" t="n">
        <v>-0.4057</v>
      </c>
      <c r="E2240" t="n">
        <v>16.1705</v>
      </c>
      <c r="F2240" t="n">
        <v>0.08754000000000001</v>
      </c>
    </row>
    <row r="2241">
      <c r="A2241" t="n">
        <v>2000412</v>
      </c>
      <c r="B2241" t="n">
        <v>2</v>
      </c>
      <c r="C2241" t="n">
        <v>412</v>
      </c>
      <c r="D2241" t="n">
        <v>-0.4066</v>
      </c>
      <c r="E2241" t="n">
        <v>16.1667</v>
      </c>
      <c r="F2241" t="n">
        <v>0.08753</v>
      </c>
    </row>
    <row r="2242">
      <c r="A2242" t="n">
        <v>2000413</v>
      </c>
      <c r="B2242" t="n">
        <v>2</v>
      </c>
      <c r="C2242" t="n">
        <v>413</v>
      </c>
      <c r="D2242" t="n">
        <v>-0.4074</v>
      </c>
      <c r="E2242" t="n">
        <v>16.1628</v>
      </c>
      <c r="F2242" t="n">
        <v>0.08753</v>
      </c>
    </row>
    <row r="2243">
      <c r="A2243" t="n">
        <v>2000414</v>
      </c>
      <c r="B2243" t="n">
        <v>2</v>
      </c>
      <c r="C2243" t="n">
        <v>414</v>
      </c>
      <c r="D2243" t="n">
        <v>-0.4082</v>
      </c>
      <c r="E2243" t="n">
        <v>16.1589</v>
      </c>
      <c r="F2243" t="n">
        <v>0.08752</v>
      </c>
    </row>
    <row r="2244">
      <c r="A2244" t="n">
        <v>2000415</v>
      </c>
      <c r="B2244" t="n">
        <v>2</v>
      </c>
      <c r="C2244" t="n">
        <v>415</v>
      </c>
      <c r="D2244" t="n">
        <v>-0.409</v>
      </c>
      <c r="E2244" t="n">
        <v>16.1551</v>
      </c>
      <c r="F2244" t="n">
        <v>0.08751</v>
      </c>
    </row>
    <row r="2245">
      <c r="A2245" t="n">
        <v>2000416</v>
      </c>
      <c r="B2245" t="n">
        <v>2</v>
      </c>
      <c r="C2245" t="n">
        <v>416</v>
      </c>
      <c r="D2245" t="n">
        <v>-0.4098</v>
      </c>
      <c r="E2245" t="n">
        <v>16.1512</v>
      </c>
      <c r="F2245" t="n">
        <v>0.08749999999999999</v>
      </c>
    </row>
    <row r="2246">
      <c r="A2246" t="n">
        <v>2000417</v>
      </c>
      <c r="B2246" t="n">
        <v>2</v>
      </c>
      <c r="C2246" t="n">
        <v>417</v>
      </c>
      <c r="D2246" t="n">
        <v>-0.4106</v>
      </c>
      <c r="E2246" t="n">
        <v>16.1474</v>
      </c>
      <c r="F2246" t="n">
        <v>0.08749</v>
      </c>
    </row>
    <row r="2247">
      <c r="A2247" t="n">
        <v>2000418</v>
      </c>
      <c r="B2247" t="n">
        <v>2</v>
      </c>
      <c r="C2247" t="n">
        <v>418</v>
      </c>
      <c r="D2247" t="n">
        <v>-0.4114</v>
      </c>
      <c r="E2247" t="n">
        <v>16.1435</v>
      </c>
      <c r="F2247" t="n">
        <v>0.08748</v>
      </c>
    </row>
    <row r="2248">
      <c r="A2248" t="n">
        <v>2000419</v>
      </c>
      <c r="B2248" t="n">
        <v>2</v>
      </c>
      <c r="C2248" t="n">
        <v>419</v>
      </c>
      <c r="D2248" t="n">
        <v>-0.4121</v>
      </c>
      <c r="E2248" t="n">
        <v>16.1397</v>
      </c>
      <c r="F2248" t="n">
        <v>0.08747000000000001</v>
      </c>
    </row>
    <row r="2249">
      <c r="A2249" t="n">
        <v>2000420</v>
      </c>
      <c r="B2249" t="n">
        <v>2</v>
      </c>
      <c r="C2249" t="n">
        <v>420</v>
      </c>
      <c r="D2249" t="n">
        <v>-0.4129</v>
      </c>
      <c r="E2249" t="n">
        <v>16.1359</v>
      </c>
      <c r="F2249" t="n">
        <v>0.08747000000000001</v>
      </c>
    </row>
    <row r="2250">
      <c r="A2250" t="n">
        <v>2000421</v>
      </c>
      <c r="B2250" t="n">
        <v>2</v>
      </c>
      <c r="C2250" t="n">
        <v>421</v>
      </c>
      <c r="D2250" t="n">
        <v>-0.4137</v>
      </c>
      <c r="E2250" t="n">
        <v>16.1321</v>
      </c>
      <c r="F2250" t="n">
        <v>0.08746</v>
      </c>
    </row>
    <row r="2251">
      <c r="A2251" t="n">
        <v>2000422</v>
      </c>
      <c r="B2251" t="n">
        <v>2</v>
      </c>
      <c r="C2251" t="n">
        <v>422</v>
      </c>
      <c r="D2251" t="n">
        <v>-0.4145</v>
      </c>
      <c r="E2251" t="n">
        <v>16.1283</v>
      </c>
      <c r="F2251" t="n">
        <v>0.08745</v>
      </c>
    </row>
    <row r="2252">
      <c r="A2252" t="n">
        <v>2000423</v>
      </c>
      <c r="B2252" t="n">
        <v>2</v>
      </c>
      <c r="C2252" t="n">
        <v>423</v>
      </c>
      <c r="D2252" t="n">
        <v>-0.4153</v>
      </c>
      <c r="E2252" t="n">
        <v>16.1245</v>
      </c>
      <c r="F2252" t="n">
        <v>0.08744</v>
      </c>
    </row>
    <row r="2253">
      <c r="A2253" t="n">
        <v>2000424</v>
      </c>
      <c r="B2253" t="n">
        <v>2</v>
      </c>
      <c r="C2253" t="n">
        <v>424</v>
      </c>
      <c r="D2253" t="n">
        <v>-0.4161</v>
      </c>
      <c r="E2253" t="n">
        <v>16.1207</v>
      </c>
      <c r="F2253" t="n">
        <v>0.08742999999999999</v>
      </c>
    </row>
    <row r="2254">
      <c r="A2254" t="n">
        <v>2000425</v>
      </c>
      <c r="B2254" t="n">
        <v>2</v>
      </c>
      <c r="C2254" t="n">
        <v>425</v>
      </c>
      <c r="D2254" t="n">
        <v>-0.4169</v>
      </c>
      <c r="E2254" t="n">
        <v>16.117</v>
      </c>
      <c r="F2254" t="n">
        <v>0.08742</v>
      </c>
    </row>
    <row r="2255">
      <c r="A2255" t="n">
        <v>2000426</v>
      </c>
      <c r="B2255" t="n">
        <v>2</v>
      </c>
      <c r="C2255" t="n">
        <v>426</v>
      </c>
      <c r="D2255" t="n">
        <v>-0.4176</v>
      </c>
      <c r="E2255" t="n">
        <v>16.1132</v>
      </c>
      <c r="F2255" t="n">
        <v>0.08741</v>
      </c>
    </row>
    <row r="2256">
      <c r="A2256" t="n">
        <v>2000427</v>
      </c>
      <c r="B2256" t="n">
        <v>2</v>
      </c>
      <c r="C2256" t="n">
        <v>427</v>
      </c>
      <c r="D2256" t="n">
        <v>-0.4184</v>
      </c>
      <c r="E2256" t="n">
        <v>16.1095</v>
      </c>
      <c r="F2256" t="n">
        <v>0.08741</v>
      </c>
    </row>
    <row r="2257">
      <c r="A2257" t="n">
        <v>2000428</v>
      </c>
      <c r="B2257" t="n">
        <v>2</v>
      </c>
      <c r="C2257" t="n">
        <v>428</v>
      </c>
      <c r="D2257" t="n">
        <v>-0.4192</v>
      </c>
      <c r="E2257" t="n">
        <v>16.1057</v>
      </c>
      <c r="F2257" t="n">
        <v>0.08740000000000001</v>
      </c>
    </row>
    <row r="2258">
      <c r="A2258" t="n">
        <v>2000429</v>
      </c>
      <c r="B2258" t="n">
        <v>2</v>
      </c>
      <c r="C2258" t="n">
        <v>429</v>
      </c>
      <c r="D2258" t="n">
        <v>-0.42</v>
      </c>
      <c r="E2258" t="n">
        <v>16.102</v>
      </c>
      <c r="F2258" t="n">
        <v>0.08739</v>
      </c>
    </row>
    <row r="2259">
      <c r="A2259" t="n">
        <v>2000430</v>
      </c>
      <c r="B2259" t="n">
        <v>2</v>
      </c>
      <c r="C2259" t="n">
        <v>430</v>
      </c>
      <c r="D2259" t="n">
        <v>-0.4208</v>
      </c>
      <c r="E2259" t="n">
        <v>16.0983</v>
      </c>
      <c r="F2259" t="n">
        <v>0.08738</v>
      </c>
    </row>
    <row r="2260">
      <c r="A2260" t="n">
        <v>2000431</v>
      </c>
      <c r="B2260" t="n">
        <v>2</v>
      </c>
      <c r="C2260" t="n">
        <v>431</v>
      </c>
      <c r="D2260" t="n">
        <v>-0.4215</v>
      </c>
      <c r="E2260" t="n">
        <v>16.0946</v>
      </c>
      <c r="F2260" t="n">
        <v>0.08737</v>
      </c>
    </row>
    <row r="2261">
      <c r="A2261" t="n">
        <v>2000432</v>
      </c>
      <c r="B2261" t="n">
        <v>2</v>
      </c>
      <c r="C2261" t="n">
        <v>432</v>
      </c>
      <c r="D2261" t="n">
        <v>-0.4223</v>
      </c>
      <c r="E2261" t="n">
        <v>16.0909</v>
      </c>
      <c r="F2261" t="n">
        <v>0.08735999999999999</v>
      </c>
    </row>
    <row r="2262">
      <c r="A2262" t="n">
        <v>2000433</v>
      </c>
      <c r="B2262" t="n">
        <v>2</v>
      </c>
      <c r="C2262" t="n">
        <v>433</v>
      </c>
      <c r="D2262" t="n">
        <v>-0.4231</v>
      </c>
      <c r="E2262" t="n">
        <v>16.0872</v>
      </c>
      <c r="F2262" t="n">
        <v>0.08735999999999999</v>
      </c>
    </row>
    <row r="2263">
      <c r="A2263" t="n">
        <v>2000434</v>
      </c>
      <c r="B2263" t="n">
        <v>2</v>
      </c>
      <c r="C2263" t="n">
        <v>434</v>
      </c>
      <c r="D2263" t="n">
        <v>-0.4238</v>
      </c>
      <c r="E2263" t="n">
        <v>16.0835</v>
      </c>
      <c r="F2263" t="n">
        <v>0.08735</v>
      </c>
    </row>
    <row r="2264">
      <c r="A2264" t="n">
        <v>2000435</v>
      </c>
      <c r="B2264" t="n">
        <v>2</v>
      </c>
      <c r="C2264" t="n">
        <v>435</v>
      </c>
      <c r="D2264" t="n">
        <v>-0.4246</v>
      </c>
      <c r="E2264" t="n">
        <v>16.0798</v>
      </c>
      <c r="F2264" t="n">
        <v>0.08734</v>
      </c>
    </row>
    <row r="2265">
      <c r="A2265" t="n">
        <v>2000436</v>
      </c>
      <c r="B2265" t="n">
        <v>2</v>
      </c>
      <c r="C2265" t="n">
        <v>436</v>
      </c>
      <c r="D2265" t="n">
        <v>-0.4254</v>
      </c>
      <c r="E2265" t="n">
        <v>16.0762</v>
      </c>
      <c r="F2265" t="n">
        <v>0.08733</v>
      </c>
    </row>
    <row r="2266">
      <c r="A2266" t="n">
        <v>2000437</v>
      </c>
      <c r="B2266" t="n">
        <v>2</v>
      </c>
      <c r="C2266" t="n">
        <v>437</v>
      </c>
      <c r="D2266" t="n">
        <v>-0.4261</v>
      </c>
      <c r="E2266" t="n">
        <v>16.0725</v>
      </c>
      <c r="F2266" t="n">
        <v>0.08731999999999999</v>
      </c>
    </row>
    <row r="2267">
      <c r="A2267" t="n">
        <v>2000438</v>
      </c>
      <c r="B2267" t="n">
        <v>2</v>
      </c>
      <c r="C2267" t="n">
        <v>438</v>
      </c>
      <c r="D2267" t="n">
        <v>-0.4269</v>
      </c>
      <c r="E2267" t="n">
        <v>16.0689</v>
      </c>
      <c r="F2267" t="n">
        <v>0.08731</v>
      </c>
    </row>
    <row r="2268">
      <c r="A2268" t="n">
        <v>2000439</v>
      </c>
      <c r="B2268" t="n">
        <v>2</v>
      </c>
      <c r="C2268" t="n">
        <v>439</v>
      </c>
      <c r="D2268" t="n">
        <v>-0.4276</v>
      </c>
      <c r="E2268" t="n">
        <v>16.0652</v>
      </c>
      <c r="F2268" t="n">
        <v>0.08731</v>
      </c>
    </row>
    <row r="2269">
      <c r="A2269" t="n">
        <v>2000440</v>
      </c>
      <c r="B2269" t="n">
        <v>2</v>
      </c>
      <c r="C2269" t="n">
        <v>440</v>
      </c>
      <c r="D2269" t="n">
        <v>-0.4284</v>
      </c>
      <c r="E2269" t="n">
        <v>16.0616</v>
      </c>
      <c r="F2269" t="n">
        <v>0.0873</v>
      </c>
    </row>
    <row r="2270">
      <c r="A2270" t="n">
        <v>2000441</v>
      </c>
      <c r="B2270" t="n">
        <v>2</v>
      </c>
      <c r="C2270" t="n">
        <v>441</v>
      </c>
      <c r="D2270" t="n">
        <v>-0.4292</v>
      </c>
      <c r="E2270" t="n">
        <v>16.058</v>
      </c>
      <c r="F2270" t="n">
        <v>0.08729000000000001</v>
      </c>
    </row>
    <row r="2271">
      <c r="A2271" t="n">
        <v>2000442</v>
      </c>
      <c r="B2271" t="n">
        <v>2</v>
      </c>
      <c r="C2271" t="n">
        <v>442</v>
      </c>
      <c r="D2271" t="n">
        <v>-0.4299</v>
      </c>
      <c r="E2271" t="n">
        <v>16.0544</v>
      </c>
      <c r="F2271" t="n">
        <v>0.08728</v>
      </c>
    </row>
    <row r="2272">
      <c r="A2272" t="n">
        <v>2000443</v>
      </c>
      <c r="B2272" t="n">
        <v>2</v>
      </c>
      <c r="C2272" t="n">
        <v>443</v>
      </c>
      <c r="D2272" t="n">
        <v>-0.4307</v>
      </c>
      <c r="E2272" t="n">
        <v>16.0508</v>
      </c>
      <c r="F2272" t="n">
        <v>0.08727</v>
      </c>
    </row>
    <row r="2273">
      <c r="A2273" t="n">
        <v>2000444</v>
      </c>
      <c r="B2273" t="n">
        <v>2</v>
      </c>
      <c r="C2273" t="n">
        <v>444</v>
      </c>
      <c r="D2273" t="n">
        <v>-0.4314</v>
      </c>
      <c r="E2273" t="n">
        <v>16.0472</v>
      </c>
      <c r="F2273" t="n">
        <v>0.08727</v>
      </c>
    </row>
    <row r="2274">
      <c r="A2274" t="n">
        <v>2000445</v>
      </c>
      <c r="B2274" t="n">
        <v>2</v>
      </c>
      <c r="C2274" t="n">
        <v>445</v>
      </c>
      <c r="D2274" t="n">
        <v>-0.4322</v>
      </c>
      <c r="E2274" t="n">
        <v>16.0436</v>
      </c>
      <c r="F2274" t="n">
        <v>0.08726</v>
      </c>
    </row>
    <row r="2275">
      <c r="A2275" t="n">
        <v>2000446</v>
      </c>
      <c r="B2275" t="n">
        <v>2</v>
      </c>
      <c r="C2275" t="n">
        <v>446</v>
      </c>
      <c r="D2275" t="n">
        <v>-0.4329</v>
      </c>
      <c r="E2275" t="n">
        <v>16.04</v>
      </c>
      <c r="F2275" t="n">
        <v>0.08724999999999999</v>
      </c>
    </row>
    <row r="2276">
      <c r="A2276" t="n">
        <v>2000447</v>
      </c>
      <c r="B2276" t="n">
        <v>2</v>
      </c>
      <c r="C2276" t="n">
        <v>447</v>
      </c>
      <c r="D2276" t="n">
        <v>-0.4337</v>
      </c>
      <c r="E2276" t="n">
        <v>16.0365</v>
      </c>
      <c r="F2276" t="n">
        <v>0.08724</v>
      </c>
    </row>
    <row r="2277">
      <c r="A2277" t="n">
        <v>2000448</v>
      </c>
      <c r="B2277" t="n">
        <v>2</v>
      </c>
      <c r="C2277" t="n">
        <v>448</v>
      </c>
      <c r="D2277" t="n">
        <v>-0.4344</v>
      </c>
      <c r="E2277" t="n">
        <v>16.0329</v>
      </c>
      <c r="F2277" t="n">
        <v>0.08723</v>
      </c>
    </row>
    <row r="2278">
      <c r="A2278" t="n">
        <v>2000449</v>
      </c>
      <c r="B2278" t="n">
        <v>2</v>
      </c>
      <c r="C2278" t="n">
        <v>449</v>
      </c>
      <c r="D2278" t="n">
        <v>-0.4351</v>
      </c>
      <c r="E2278" t="n">
        <v>16.0294</v>
      </c>
      <c r="F2278" t="n">
        <v>0.08722000000000001</v>
      </c>
    </row>
    <row r="2279">
      <c r="A2279" t="n">
        <v>2000450</v>
      </c>
      <c r="B2279" t="n">
        <v>2</v>
      </c>
      <c r="C2279" t="n">
        <v>450</v>
      </c>
      <c r="D2279" t="n">
        <v>-0.4359</v>
      </c>
      <c r="E2279" t="n">
        <v>16.0258</v>
      </c>
      <c r="F2279" t="n">
        <v>0.08722000000000001</v>
      </c>
    </row>
    <row r="2280">
      <c r="A2280" t="n">
        <v>2000451</v>
      </c>
      <c r="B2280" t="n">
        <v>2</v>
      </c>
      <c r="C2280" t="n">
        <v>451</v>
      </c>
      <c r="D2280" t="n">
        <v>-0.4366</v>
      </c>
      <c r="E2280" t="n">
        <v>16.0223</v>
      </c>
      <c r="F2280" t="n">
        <v>0.08721</v>
      </c>
    </row>
    <row r="2281">
      <c r="A2281" t="n">
        <v>2000452</v>
      </c>
      <c r="B2281" t="n">
        <v>2</v>
      </c>
      <c r="C2281" t="n">
        <v>452</v>
      </c>
      <c r="D2281" t="n">
        <v>-0.4374</v>
      </c>
      <c r="E2281" t="n">
        <v>16.0188</v>
      </c>
      <c r="F2281" t="n">
        <v>0.0872</v>
      </c>
    </row>
    <row r="2282">
      <c r="A2282" t="n">
        <v>2000453</v>
      </c>
      <c r="B2282" t="n">
        <v>2</v>
      </c>
      <c r="C2282" t="n">
        <v>453</v>
      </c>
      <c r="D2282" t="n">
        <v>-0.4381</v>
      </c>
      <c r="E2282" t="n">
        <v>16.0153</v>
      </c>
      <c r="F2282" t="n">
        <v>0.08719</v>
      </c>
    </row>
    <row r="2283">
      <c r="A2283" t="n">
        <v>2000454</v>
      </c>
      <c r="B2283" t="n">
        <v>2</v>
      </c>
      <c r="C2283" t="n">
        <v>454</v>
      </c>
      <c r="D2283" t="n">
        <v>-0.4388</v>
      </c>
      <c r="E2283" t="n">
        <v>16.0118</v>
      </c>
      <c r="F2283" t="n">
        <v>0.08717999999999999</v>
      </c>
    </row>
    <row r="2284">
      <c r="A2284" t="n">
        <v>2000455</v>
      </c>
      <c r="B2284" t="n">
        <v>2</v>
      </c>
      <c r="C2284" t="n">
        <v>455</v>
      </c>
      <c r="D2284" t="n">
        <v>-0.4396</v>
      </c>
      <c r="E2284" t="n">
        <v>16.0083</v>
      </c>
      <c r="F2284" t="n">
        <v>0.08717999999999999</v>
      </c>
    </row>
    <row r="2285">
      <c r="A2285" t="n">
        <v>2000456</v>
      </c>
      <c r="B2285" t="n">
        <v>2</v>
      </c>
      <c r="C2285" t="n">
        <v>456</v>
      </c>
      <c r="D2285" t="n">
        <v>-0.4403</v>
      </c>
      <c r="E2285" t="n">
        <v>16.0048</v>
      </c>
      <c r="F2285" t="n">
        <v>0.08717</v>
      </c>
    </row>
    <row r="2286">
      <c r="A2286" t="n">
        <v>2000457</v>
      </c>
      <c r="B2286" t="n">
        <v>2</v>
      </c>
      <c r="C2286" t="n">
        <v>457</v>
      </c>
      <c r="D2286" t="n">
        <v>-0.441</v>
      </c>
      <c r="E2286" t="n">
        <v>16.0013</v>
      </c>
      <c r="F2286" t="n">
        <v>0.08716</v>
      </c>
    </row>
    <row r="2287">
      <c r="A2287" t="n">
        <v>2000458</v>
      </c>
      <c r="B2287" t="n">
        <v>2</v>
      </c>
      <c r="C2287" t="n">
        <v>458</v>
      </c>
      <c r="D2287" t="n">
        <v>-0.4418</v>
      </c>
      <c r="E2287" t="n">
        <v>15.9979</v>
      </c>
      <c r="F2287" t="n">
        <v>0.08715000000000001</v>
      </c>
    </row>
    <row r="2288">
      <c r="A2288" t="n">
        <v>2000459</v>
      </c>
      <c r="B2288" t="n">
        <v>2</v>
      </c>
      <c r="C2288" t="n">
        <v>459</v>
      </c>
      <c r="D2288" t="n">
        <v>-0.4425</v>
      </c>
      <c r="E2288" t="n">
        <v>15.9944</v>
      </c>
      <c r="F2288" t="n">
        <v>0.08714</v>
      </c>
    </row>
    <row r="2289">
      <c r="A2289" t="n">
        <v>2000460</v>
      </c>
      <c r="B2289" t="n">
        <v>2</v>
      </c>
      <c r="C2289" t="n">
        <v>460</v>
      </c>
      <c r="D2289" t="n">
        <v>-0.4432</v>
      </c>
      <c r="E2289" t="n">
        <v>15.991</v>
      </c>
      <c r="F2289" t="n">
        <v>0.08714</v>
      </c>
    </row>
    <row r="2290">
      <c r="A2290" t="n">
        <v>2000461</v>
      </c>
      <c r="B2290" t="n">
        <v>2</v>
      </c>
      <c r="C2290" t="n">
        <v>461</v>
      </c>
      <c r="D2290" t="n">
        <v>-0.4439</v>
      </c>
      <c r="E2290" t="n">
        <v>15.9875</v>
      </c>
      <c r="F2290" t="n">
        <v>0.08713</v>
      </c>
    </row>
    <row r="2291">
      <c r="A2291" t="n">
        <v>2000462</v>
      </c>
      <c r="B2291" t="n">
        <v>2</v>
      </c>
      <c r="C2291" t="n">
        <v>462</v>
      </c>
      <c r="D2291" t="n">
        <v>-0.4447</v>
      </c>
      <c r="E2291" t="n">
        <v>15.9841</v>
      </c>
      <c r="F2291" t="n">
        <v>0.08712</v>
      </c>
    </row>
    <row r="2292">
      <c r="A2292" t="n">
        <v>2000463</v>
      </c>
      <c r="B2292" t="n">
        <v>2</v>
      </c>
      <c r="C2292" t="n">
        <v>463</v>
      </c>
      <c r="D2292" t="n">
        <v>-0.4454</v>
      </c>
      <c r="E2292" t="n">
        <v>15.9807</v>
      </c>
      <c r="F2292" t="n">
        <v>0.08711000000000001</v>
      </c>
    </row>
    <row r="2293">
      <c r="A2293" t="n">
        <v>2000464</v>
      </c>
      <c r="B2293" t="n">
        <v>2</v>
      </c>
      <c r="C2293" t="n">
        <v>464</v>
      </c>
      <c r="D2293" t="n">
        <v>-0.4461</v>
      </c>
      <c r="E2293" t="n">
        <v>15.9773</v>
      </c>
      <c r="F2293" t="n">
        <v>0.08711000000000001</v>
      </c>
    </row>
    <row r="2294">
      <c r="A2294" t="n">
        <v>2000465</v>
      </c>
      <c r="B2294" t="n">
        <v>2</v>
      </c>
      <c r="C2294" t="n">
        <v>465</v>
      </c>
      <c r="D2294" t="n">
        <v>-0.4468</v>
      </c>
      <c r="E2294" t="n">
        <v>15.9739</v>
      </c>
      <c r="F2294" t="n">
        <v>0.0871</v>
      </c>
    </row>
    <row r="2295">
      <c r="A2295" t="n">
        <v>2000466</v>
      </c>
      <c r="B2295" t="n">
        <v>2</v>
      </c>
      <c r="C2295" t="n">
        <v>466</v>
      </c>
      <c r="D2295" t="n">
        <v>-0.4475</v>
      </c>
      <c r="E2295" t="n">
        <v>15.9705</v>
      </c>
      <c r="F2295" t="n">
        <v>0.08709</v>
      </c>
    </row>
    <row r="2296">
      <c r="A2296" t="n">
        <v>2000467</v>
      </c>
      <c r="B2296" t="n">
        <v>2</v>
      </c>
      <c r="C2296" t="n">
        <v>467</v>
      </c>
      <c r="D2296" t="n">
        <v>-0.4482</v>
      </c>
      <c r="E2296" t="n">
        <v>15.9671</v>
      </c>
      <c r="F2296" t="n">
        <v>0.08708</v>
      </c>
    </row>
    <row r="2297">
      <c r="A2297" t="n">
        <v>2000468</v>
      </c>
      <c r="B2297" t="n">
        <v>2</v>
      </c>
      <c r="C2297" t="n">
        <v>468</v>
      </c>
      <c r="D2297" t="n">
        <v>-0.449</v>
      </c>
      <c r="E2297" t="n">
        <v>15.9638</v>
      </c>
      <c r="F2297" t="n">
        <v>0.08706999999999999</v>
      </c>
    </row>
    <row r="2298">
      <c r="A2298" t="n">
        <v>2000469</v>
      </c>
      <c r="B2298" t="n">
        <v>2</v>
      </c>
      <c r="C2298" t="n">
        <v>469</v>
      </c>
      <c r="D2298" t="n">
        <v>-0.4497</v>
      </c>
      <c r="E2298" t="n">
        <v>15.9604</v>
      </c>
      <c r="F2298" t="n">
        <v>0.08706999999999999</v>
      </c>
    </row>
    <row r="2299">
      <c r="A2299" t="n">
        <v>2000470</v>
      </c>
      <c r="B2299" t="n">
        <v>2</v>
      </c>
      <c r="C2299" t="n">
        <v>470</v>
      </c>
      <c r="D2299" t="n">
        <v>-0.4504</v>
      </c>
      <c r="E2299" t="n">
        <v>15.9571</v>
      </c>
      <c r="F2299" t="n">
        <v>0.08706</v>
      </c>
    </row>
    <row r="2300">
      <c r="A2300" t="n">
        <v>2000471</v>
      </c>
      <c r="B2300" t="n">
        <v>2</v>
      </c>
      <c r="C2300" t="n">
        <v>471</v>
      </c>
      <c r="D2300" t="n">
        <v>-0.4511</v>
      </c>
      <c r="E2300" t="n">
        <v>15.9537</v>
      </c>
      <c r="F2300" t="n">
        <v>0.08705</v>
      </c>
    </row>
    <row r="2301">
      <c r="A2301" t="n">
        <v>2000472</v>
      </c>
      <c r="B2301" t="n">
        <v>2</v>
      </c>
      <c r="C2301" t="n">
        <v>472</v>
      </c>
      <c r="D2301" t="n">
        <v>-0.4518</v>
      </c>
      <c r="E2301" t="n">
        <v>15.9504</v>
      </c>
      <c r="F2301" t="n">
        <v>0.08704000000000001</v>
      </c>
    </row>
    <row r="2302">
      <c r="A2302" t="n">
        <v>2000473</v>
      </c>
      <c r="B2302" t="n">
        <v>2</v>
      </c>
      <c r="C2302" t="n">
        <v>473</v>
      </c>
      <c r="D2302" t="n">
        <v>-0.4525</v>
      </c>
      <c r="E2302" t="n">
        <v>15.9471</v>
      </c>
      <c r="F2302" t="n">
        <v>0.08704000000000001</v>
      </c>
    </row>
    <row r="2303">
      <c r="A2303" t="n">
        <v>2000474</v>
      </c>
      <c r="B2303" t="n">
        <v>2</v>
      </c>
      <c r="C2303" t="n">
        <v>474</v>
      </c>
      <c r="D2303" t="n">
        <v>-0.4532</v>
      </c>
      <c r="E2303" t="n">
        <v>15.9438</v>
      </c>
      <c r="F2303" t="n">
        <v>0.08703</v>
      </c>
    </row>
    <row r="2304">
      <c r="A2304" t="n">
        <v>2000475</v>
      </c>
      <c r="B2304" t="n">
        <v>2</v>
      </c>
      <c r="C2304" t="n">
        <v>475</v>
      </c>
      <c r="D2304" t="n">
        <v>-0.4539</v>
      </c>
      <c r="E2304" t="n">
        <v>15.9405</v>
      </c>
      <c r="F2304" t="n">
        <v>0.08702</v>
      </c>
    </row>
    <row r="2305">
      <c r="A2305" t="n">
        <v>2000476</v>
      </c>
      <c r="B2305" t="n">
        <v>2</v>
      </c>
      <c r="C2305" t="n">
        <v>476</v>
      </c>
      <c r="D2305" t="n">
        <v>-0.4546</v>
      </c>
      <c r="E2305" t="n">
        <v>15.9372</v>
      </c>
      <c r="F2305" t="n">
        <v>0.08701</v>
      </c>
    </row>
    <row r="2306">
      <c r="A2306" t="n">
        <v>2000477</v>
      </c>
      <c r="B2306" t="n">
        <v>2</v>
      </c>
      <c r="C2306" t="n">
        <v>477</v>
      </c>
      <c r="D2306" t="n">
        <v>-0.4553</v>
      </c>
      <c r="E2306" t="n">
        <v>15.9339</v>
      </c>
      <c r="F2306" t="n">
        <v>0.08701</v>
      </c>
    </row>
    <row r="2307">
      <c r="A2307" t="n">
        <v>2000478</v>
      </c>
      <c r="B2307" t="n">
        <v>2</v>
      </c>
      <c r="C2307" t="n">
        <v>478</v>
      </c>
      <c r="D2307" t="n">
        <v>-0.456</v>
      </c>
      <c r="E2307" t="n">
        <v>15.9307</v>
      </c>
      <c r="F2307" t="n">
        <v>0.08699999999999999</v>
      </c>
    </row>
    <row r="2308">
      <c r="A2308" t="n">
        <v>2000479</v>
      </c>
      <c r="B2308" t="n">
        <v>2</v>
      </c>
      <c r="C2308" t="n">
        <v>479</v>
      </c>
      <c r="D2308" t="n">
        <v>-0.4567</v>
      </c>
      <c r="E2308" t="n">
        <v>15.9274</v>
      </c>
      <c r="F2308" t="n">
        <v>0.08699</v>
      </c>
    </row>
    <row r="2309">
      <c r="A2309" t="n">
        <v>2000480</v>
      </c>
      <c r="B2309" t="n">
        <v>2</v>
      </c>
      <c r="C2309" t="n">
        <v>480</v>
      </c>
      <c r="D2309" t="n">
        <v>-0.4574</v>
      </c>
      <c r="E2309" t="n">
        <v>15.9241</v>
      </c>
      <c r="F2309" t="n">
        <v>0.08698</v>
      </c>
    </row>
    <row r="2310">
      <c r="A2310" t="n">
        <v>2000481</v>
      </c>
      <c r="B2310" t="n">
        <v>2</v>
      </c>
      <c r="C2310" t="n">
        <v>481</v>
      </c>
      <c r="D2310" t="n">
        <v>-0.4581</v>
      </c>
      <c r="E2310" t="n">
        <v>15.9209</v>
      </c>
      <c r="F2310" t="n">
        <v>0.08698</v>
      </c>
    </row>
    <row r="2311">
      <c r="A2311" t="n">
        <v>2000482</v>
      </c>
      <c r="B2311" t="n">
        <v>2</v>
      </c>
      <c r="C2311" t="n">
        <v>482</v>
      </c>
      <c r="D2311" t="n">
        <v>-0.4588</v>
      </c>
      <c r="E2311" t="n">
        <v>15.9177</v>
      </c>
      <c r="F2311" t="n">
        <v>0.08697000000000001</v>
      </c>
    </row>
    <row r="2312">
      <c r="A2312" t="n">
        <v>2000483</v>
      </c>
      <c r="B2312" t="n">
        <v>2</v>
      </c>
      <c r="C2312" t="n">
        <v>483</v>
      </c>
      <c r="D2312" t="n">
        <v>-0.4595</v>
      </c>
      <c r="E2312" t="n">
        <v>15.9145</v>
      </c>
      <c r="F2312" t="n">
        <v>0.08696</v>
      </c>
    </row>
    <row r="2313">
      <c r="A2313" t="n">
        <v>2000484</v>
      </c>
      <c r="B2313" t="n">
        <v>2</v>
      </c>
      <c r="C2313" t="n">
        <v>484</v>
      </c>
      <c r="D2313" t="n">
        <v>-0.4602</v>
      </c>
      <c r="E2313" t="n">
        <v>15.9112</v>
      </c>
      <c r="F2313" t="n">
        <v>0.08695</v>
      </c>
    </row>
    <row r="2314">
      <c r="A2314" t="n">
        <v>2000485</v>
      </c>
      <c r="B2314" t="n">
        <v>2</v>
      </c>
      <c r="C2314" t="n">
        <v>485</v>
      </c>
      <c r="D2314" t="n">
        <v>-0.4609</v>
      </c>
      <c r="E2314" t="n">
        <v>15.908</v>
      </c>
      <c r="F2314" t="n">
        <v>0.08695</v>
      </c>
    </row>
    <row r="2315">
      <c r="A2315" t="n">
        <v>2000486</v>
      </c>
      <c r="B2315" t="n">
        <v>2</v>
      </c>
      <c r="C2315" t="n">
        <v>486</v>
      </c>
      <c r="D2315" t="n">
        <v>-0.4616</v>
      </c>
      <c r="E2315" t="n">
        <v>15.9049</v>
      </c>
      <c r="F2315" t="n">
        <v>0.08694</v>
      </c>
    </row>
    <row r="2316">
      <c r="A2316" t="n">
        <v>2000487</v>
      </c>
      <c r="B2316" t="n">
        <v>2</v>
      </c>
      <c r="C2316" t="n">
        <v>487</v>
      </c>
      <c r="D2316" t="n">
        <v>-0.4623</v>
      </c>
      <c r="E2316" t="n">
        <v>15.9017</v>
      </c>
      <c r="F2316" t="n">
        <v>0.08692999999999999</v>
      </c>
    </row>
    <row r="2317">
      <c r="A2317" t="n">
        <v>2000488</v>
      </c>
      <c r="B2317" t="n">
        <v>2</v>
      </c>
      <c r="C2317" t="n">
        <v>488</v>
      </c>
      <c r="D2317" t="n">
        <v>-0.4629</v>
      </c>
      <c r="E2317" t="n">
        <v>15.8985</v>
      </c>
      <c r="F2317" t="n">
        <v>0.08692</v>
      </c>
    </row>
    <row r="2318">
      <c r="A2318" t="n">
        <v>2000489</v>
      </c>
      <c r="B2318" t="n">
        <v>2</v>
      </c>
      <c r="C2318" t="n">
        <v>489</v>
      </c>
      <c r="D2318" t="n">
        <v>-0.4636</v>
      </c>
      <c r="E2318" t="n">
        <v>15.8953</v>
      </c>
      <c r="F2318" t="n">
        <v>0.08692</v>
      </c>
    </row>
    <row r="2319">
      <c r="A2319" t="n">
        <v>2000490</v>
      </c>
      <c r="B2319" t="n">
        <v>2</v>
      </c>
      <c r="C2319" t="n">
        <v>490</v>
      </c>
      <c r="D2319" t="n">
        <v>-0.4643</v>
      </c>
      <c r="E2319" t="n">
        <v>15.8922</v>
      </c>
      <c r="F2319" t="n">
        <v>0.08691</v>
      </c>
    </row>
    <row r="2320">
      <c r="A2320" t="n">
        <v>2000491</v>
      </c>
      <c r="B2320" t="n">
        <v>2</v>
      </c>
      <c r="C2320" t="n">
        <v>491</v>
      </c>
      <c r="D2320" t="n">
        <v>-0.465</v>
      </c>
      <c r="E2320" t="n">
        <v>15.8891</v>
      </c>
      <c r="F2320" t="n">
        <v>0.08690000000000001</v>
      </c>
    </row>
    <row r="2321">
      <c r="A2321" t="n">
        <v>2000492</v>
      </c>
      <c r="B2321" t="n">
        <v>2</v>
      </c>
      <c r="C2321" t="n">
        <v>492</v>
      </c>
      <c r="D2321" t="n">
        <v>-0.4657</v>
      </c>
      <c r="E2321" t="n">
        <v>15.8859</v>
      </c>
      <c r="F2321" t="n">
        <v>0.08689</v>
      </c>
    </row>
    <row r="2322">
      <c r="A2322" t="n">
        <v>2000493</v>
      </c>
      <c r="B2322" t="n">
        <v>2</v>
      </c>
      <c r="C2322" t="n">
        <v>493</v>
      </c>
      <c r="D2322" t="n">
        <v>-0.4663</v>
      </c>
      <c r="E2322" t="n">
        <v>15.8828</v>
      </c>
      <c r="F2322" t="n">
        <v>0.08689</v>
      </c>
    </row>
    <row r="2323">
      <c r="A2323" t="n">
        <v>2000494</v>
      </c>
      <c r="B2323" t="n">
        <v>2</v>
      </c>
      <c r="C2323" t="n">
        <v>494</v>
      </c>
      <c r="D2323" t="n">
        <v>-0.467</v>
      </c>
      <c r="E2323" t="n">
        <v>15.8797</v>
      </c>
      <c r="F2323" t="n">
        <v>0.08688</v>
      </c>
    </row>
    <row r="2324">
      <c r="A2324" t="n">
        <v>2000495</v>
      </c>
      <c r="B2324" t="n">
        <v>2</v>
      </c>
      <c r="C2324" t="n">
        <v>495</v>
      </c>
      <c r="D2324" t="n">
        <v>-0.4677</v>
      </c>
      <c r="E2324" t="n">
        <v>15.8766</v>
      </c>
      <c r="F2324" t="n">
        <v>0.08687</v>
      </c>
    </row>
    <row r="2325">
      <c r="A2325" t="n">
        <v>2000496</v>
      </c>
      <c r="B2325" t="n">
        <v>2</v>
      </c>
      <c r="C2325" t="n">
        <v>496</v>
      </c>
      <c r="D2325" t="n">
        <v>-0.4684</v>
      </c>
      <c r="E2325" t="n">
        <v>15.8735</v>
      </c>
      <c r="F2325" t="n">
        <v>0.08686000000000001</v>
      </c>
    </row>
    <row r="2326">
      <c r="A2326" t="n">
        <v>2000497</v>
      </c>
      <c r="B2326" t="n">
        <v>2</v>
      </c>
      <c r="C2326" t="n">
        <v>497</v>
      </c>
      <c r="D2326" t="n">
        <v>-0.469</v>
      </c>
      <c r="E2326" t="n">
        <v>15.8704</v>
      </c>
      <c r="F2326" t="n">
        <v>0.08686000000000001</v>
      </c>
    </row>
    <row r="2327">
      <c r="A2327" t="n">
        <v>2000498</v>
      </c>
      <c r="B2327" t="n">
        <v>2</v>
      </c>
      <c r="C2327" t="n">
        <v>498</v>
      </c>
      <c r="D2327" t="n">
        <v>-0.4697</v>
      </c>
      <c r="E2327" t="n">
        <v>15.8673</v>
      </c>
      <c r="F2327" t="n">
        <v>0.08685</v>
      </c>
    </row>
    <row r="2328">
      <c r="A2328" t="n">
        <v>2000499</v>
      </c>
      <c r="B2328" t="n">
        <v>2</v>
      </c>
      <c r="C2328" t="n">
        <v>499</v>
      </c>
      <c r="D2328" t="n">
        <v>-0.4704</v>
      </c>
      <c r="E2328" t="n">
        <v>15.8643</v>
      </c>
      <c r="F2328" t="n">
        <v>0.08684</v>
      </c>
    </row>
    <row r="2329">
      <c r="A2329" t="n">
        <v>2000500</v>
      </c>
      <c r="B2329" t="n">
        <v>2</v>
      </c>
      <c r="C2329" t="n">
        <v>500</v>
      </c>
      <c r="D2329" t="n">
        <v>-0.4711</v>
      </c>
      <c r="E2329" t="n">
        <v>15.8612</v>
      </c>
      <c r="F2329" t="n">
        <v>0.08683</v>
      </c>
    </row>
    <row r="2330">
      <c r="A2330" t="n">
        <v>2000501</v>
      </c>
      <c r="B2330" t="n">
        <v>2</v>
      </c>
      <c r="C2330" t="n">
        <v>501</v>
      </c>
      <c r="D2330" t="n">
        <v>-0.4717</v>
      </c>
      <c r="E2330" t="n">
        <v>15.8582</v>
      </c>
      <c r="F2330" t="n">
        <v>0.08683</v>
      </c>
    </row>
    <row r="2331">
      <c r="A2331" t="n">
        <v>2000502</v>
      </c>
      <c r="B2331" t="n">
        <v>2</v>
      </c>
      <c r="C2331" t="n">
        <v>502</v>
      </c>
      <c r="D2331" t="n">
        <v>-0.4724</v>
      </c>
      <c r="E2331" t="n">
        <v>15.8552</v>
      </c>
      <c r="F2331" t="n">
        <v>0.08681999999999999</v>
      </c>
    </row>
    <row r="2332">
      <c r="A2332" t="n">
        <v>2000503</v>
      </c>
      <c r="B2332" t="n">
        <v>2</v>
      </c>
      <c r="C2332" t="n">
        <v>503</v>
      </c>
      <c r="D2332" t="n">
        <v>-0.4731</v>
      </c>
      <c r="E2332" t="n">
        <v>15.8521</v>
      </c>
      <c r="F2332" t="n">
        <v>0.08681</v>
      </c>
    </row>
    <row r="2333">
      <c r="A2333" t="n">
        <v>2000504</v>
      </c>
      <c r="B2333" t="n">
        <v>2</v>
      </c>
      <c r="C2333" t="n">
        <v>504</v>
      </c>
      <c r="D2333" t="n">
        <v>-0.4737</v>
      </c>
      <c r="E2333" t="n">
        <v>15.8491</v>
      </c>
      <c r="F2333" t="n">
        <v>0.08681</v>
      </c>
    </row>
    <row r="2334">
      <c r="A2334" t="n">
        <v>2000505</v>
      </c>
      <c r="B2334" t="n">
        <v>2</v>
      </c>
      <c r="C2334" t="n">
        <v>505</v>
      </c>
      <c r="D2334" t="n">
        <v>-0.4744</v>
      </c>
      <c r="E2334" t="n">
        <v>15.8461</v>
      </c>
      <c r="F2334" t="n">
        <v>0.0868</v>
      </c>
    </row>
    <row r="2335">
      <c r="A2335" t="n">
        <v>2000506</v>
      </c>
      <c r="B2335" t="n">
        <v>2</v>
      </c>
      <c r="C2335" t="n">
        <v>506</v>
      </c>
      <c r="D2335" t="n">
        <v>-0.4751</v>
      </c>
      <c r="E2335" t="n">
        <v>15.8431</v>
      </c>
      <c r="F2335" t="n">
        <v>0.08679000000000001</v>
      </c>
    </row>
    <row r="2336">
      <c r="A2336" t="n">
        <v>2000507</v>
      </c>
      <c r="B2336" t="n">
        <v>2</v>
      </c>
      <c r="C2336" t="n">
        <v>507</v>
      </c>
      <c r="D2336" t="n">
        <v>-0.4757</v>
      </c>
      <c r="E2336" t="n">
        <v>15.8401</v>
      </c>
      <c r="F2336" t="n">
        <v>0.08678</v>
      </c>
    </row>
    <row r="2337">
      <c r="A2337" t="n">
        <v>2000508</v>
      </c>
      <c r="B2337" t="n">
        <v>2</v>
      </c>
      <c r="C2337" t="n">
        <v>508</v>
      </c>
      <c r="D2337" t="n">
        <v>-0.4764</v>
      </c>
      <c r="E2337" t="n">
        <v>15.8372</v>
      </c>
      <c r="F2337" t="n">
        <v>0.08678</v>
      </c>
    </row>
    <row r="2338">
      <c r="A2338" t="n">
        <v>2000509</v>
      </c>
      <c r="B2338" t="n">
        <v>2</v>
      </c>
      <c r="C2338" t="n">
        <v>509</v>
      </c>
      <c r="D2338" t="n">
        <v>-0.477</v>
      </c>
      <c r="E2338" t="n">
        <v>15.8342</v>
      </c>
      <c r="F2338" t="n">
        <v>0.08677</v>
      </c>
    </row>
    <row r="2339">
      <c r="A2339" t="n">
        <v>2000510</v>
      </c>
      <c r="B2339" t="n">
        <v>2</v>
      </c>
      <c r="C2339" t="n">
        <v>510</v>
      </c>
      <c r="D2339" t="n">
        <v>-0.4777</v>
      </c>
      <c r="E2339" t="n">
        <v>15.8313</v>
      </c>
      <c r="F2339" t="n">
        <v>0.08676</v>
      </c>
    </row>
    <row r="2340">
      <c r="A2340" t="n">
        <v>2000511</v>
      </c>
      <c r="B2340" t="n">
        <v>2</v>
      </c>
      <c r="C2340" t="n">
        <v>511</v>
      </c>
      <c r="D2340" t="n">
        <v>-0.4783</v>
      </c>
      <c r="E2340" t="n">
        <v>15.8283</v>
      </c>
      <c r="F2340" t="n">
        <v>0.08676</v>
      </c>
    </row>
    <row r="2341">
      <c r="A2341" t="n">
        <v>2000512</v>
      </c>
      <c r="B2341" t="n">
        <v>2</v>
      </c>
      <c r="C2341" t="n">
        <v>512</v>
      </c>
      <c r="D2341" t="n">
        <v>-0.479</v>
      </c>
      <c r="E2341" t="n">
        <v>15.8254</v>
      </c>
      <c r="F2341" t="n">
        <v>0.08674999999999999</v>
      </c>
    </row>
    <row r="2342">
      <c r="A2342" t="n">
        <v>2000513</v>
      </c>
      <c r="B2342" t="n">
        <v>2</v>
      </c>
      <c r="C2342" t="n">
        <v>513</v>
      </c>
      <c r="D2342" t="n">
        <v>-0.4797</v>
      </c>
      <c r="E2342" t="n">
        <v>15.8224</v>
      </c>
      <c r="F2342" t="n">
        <v>0.08674</v>
      </c>
    </row>
    <row r="2343">
      <c r="A2343" t="n">
        <v>2000514</v>
      </c>
      <c r="B2343" t="n">
        <v>2</v>
      </c>
      <c r="C2343" t="n">
        <v>514</v>
      </c>
      <c r="D2343" t="n">
        <v>-0.4803</v>
      </c>
      <c r="E2343" t="n">
        <v>15.8195</v>
      </c>
      <c r="F2343" t="n">
        <v>0.08673</v>
      </c>
    </row>
    <row r="2344">
      <c r="A2344" t="n">
        <v>2000515</v>
      </c>
      <c r="B2344" t="n">
        <v>2</v>
      </c>
      <c r="C2344" t="n">
        <v>515</v>
      </c>
      <c r="D2344" t="n">
        <v>-0.481</v>
      </c>
      <c r="E2344" t="n">
        <v>15.8166</v>
      </c>
      <c r="F2344" t="n">
        <v>0.08673</v>
      </c>
    </row>
    <row r="2345">
      <c r="A2345" t="n">
        <v>2000516</v>
      </c>
      <c r="B2345" t="n">
        <v>2</v>
      </c>
      <c r="C2345" t="n">
        <v>516</v>
      </c>
      <c r="D2345" t="n">
        <v>-0.4816</v>
      </c>
      <c r="E2345" t="n">
        <v>15.8137</v>
      </c>
      <c r="F2345" t="n">
        <v>0.08672000000000001</v>
      </c>
    </row>
    <row r="2346">
      <c r="A2346" t="n">
        <v>2000517</v>
      </c>
      <c r="B2346" t="n">
        <v>2</v>
      </c>
      <c r="C2346" t="n">
        <v>517</v>
      </c>
      <c r="D2346" t="n">
        <v>-0.4823</v>
      </c>
      <c r="E2346" t="n">
        <v>15.8108</v>
      </c>
      <c r="F2346" t="n">
        <v>0.08671</v>
      </c>
    </row>
    <row r="2347">
      <c r="A2347" t="n">
        <v>2000518</v>
      </c>
      <c r="B2347" t="n">
        <v>2</v>
      </c>
      <c r="C2347" t="n">
        <v>518</v>
      </c>
      <c r="D2347" t="n">
        <v>-0.4829</v>
      </c>
      <c r="E2347" t="n">
        <v>15.808</v>
      </c>
      <c r="F2347" t="n">
        <v>0.08671</v>
      </c>
    </row>
    <row r="2348">
      <c r="A2348" t="n">
        <v>2000519</v>
      </c>
      <c r="B2348" t="n">
        <v>2</v>
      </c>
      <c r="C2348" t="n">
        <v>519</v>
      </c>
      <c r="D2348" t="n">
        <v>-0.4836</v>
      </c>
      <c r="E2348" t="n">
        <v>15.8051</v>
      </c>
      <c r="F2348" t="n">
        <v>0.0867</v>
      </c>
    </row>
    <row r="2349">
      <c r="A2349" t="n">
        <v>2000520</v>
      </c>
      <c r="B2349" t="n">
        <v>2</v>
      </c>
      <c r="C2349" t="n">
        <v>520</v>
      </c>
      <c r="D2349" t="n">
        <v>-0.4842</v>
      </c>
      <c r="E2349" t="n">
        <v>15.8022</v>
      </c>
      <c r="F2349" t="n">
        <v>0.08669</v>
      </c>
    </row>
    <row r="2350">
      <c r="A2350" t="n">
        <v>2000521</v>
      </c>
      <c r="B2350" t="n">
        <v>2</v>
      </c>
      <c r="C2350" t="n">
        <v>521</v>
      </c>
      <c r="D2350" t="n">
        <v>-0.4848</v>
      </c>
      <c r="E2350" t="n">
        <v>15.7994</v>
      </c>
      <c r="F2350" t="n">
        <v>0.08667999999999999</v>
      </c>
    </row>
    <row r="2351">
      <c r="A2351" t="n">
        <v>2000522</v>
      </c>
      <c r="B2351" t="n">
        <v>2</v>
      </c>
      <c r="C2351" t="n">
        <v>522</v>
      </c>
      <c r="D2351" t="n">
        <v>-0.4855</v>
      </c>
      <c r="E2351" t="n">
        <v>15.7965</v>
      </c>
      <c r="F2351" t="n">
        <v>0.08667999999999999</v>
      </c>
    </row>
    <row r="2352">
      <c r="A2352" t="n">
        <v>2000523</v>
      </c>
      <c r="B2352" t="n">
        <v>2</v>
      </c>
      <c r="C2352" t="n">
        <v>523</v>
      </c>
      <c r="D2352" t="n">
        <v>-0.4861</v>
      </c>
      <c r="E2352" t="n">
        <v>15.7937</v>
      </c>
      <c r="F2352" t="n">
        <v>0.08667</v>
      </c>
    </row>
    <row r="2353">
      <c r="A2353" t="n">
        <v>2000524</v>
      </c>
      <c r="B2353" t="n">
        <v>2</v>
      </c>
      <c r="C2353" t="n">
        <v>524</v>
      </c>
      <c r="D2353" t="n">
        <v>-0.4868</v>
      </c>
      <c r="E2353" t="n">
        <v>15.7909</v>
      </c>
      <c r="F2353" t="n">
        <v>0.08666</v>
      </c>
    </row>
    <row r="2354">
      <c r="A2354" t="n">
        <v>2000525</v>
      </c>
      <c r="B2354" t="n">
        <v>2</v>
      </c>
      <c r="C2354" t="n">
        <v>525</v>
      </c>
      <c r="D2354" t="n">
        <v>-0.4874</v>
      </c>
      <c r="E2354" t="n">
        <v>15.7881</v>
      </c>
      <c r="F2354" t="n">
        <v>0.08666</v>
      </c>
    </row>
    <row r="2355">
      <c r="A2355" t="n">
        <v>2000526</v>
      </c>
      <c r="B2355" t="n">
        <v>2</v>
      </c>
      <c r="C2355" t="n">
        <v>526</v>
      </c>
      <c r="D2355" t="n">
        <v>-0.488</v>
      </c>
      <c r="E2355" t="n">
        <v>15.7853</v>
      </c>
      <c r="F2355" t="n">
        <v>0.08665</v>
      </c>
    </row>
    <row r="2356">
      <c r="A2356" t="n">
        <v>2000527</v>
      </c>
      <c r="B2356" t="n">
        <v>2</v>
      </c>
      <c r="C2356" t="n">
        <v>527</v>
      </c>
      <c r="D2356" t="n">
        <v>-0.4887</v>
      </c>
      <c r="E2356" t="n">
        <v>15.7825</v>
      </c>
      <c r="F2356" t="n">
        <v>0.08663999999999999</v>
      </c>
    </row>
    <row r="2357">
      <c r="A2357" t="n">
        <v>2000528</v>
      </c>
      <c r="B2357" t="n">
        <v>2</v>
      </c>
      <c r="C2357" t="n">
        <v>528</v>
      </c>
      <c r="D2357" t="n">
        <v>-0.4893</v>
      </c>
      <c r="E2357" t="n">
        <v>15.7797</v>
      </c>
      <c r="F2357" t="n">
        <v>0.08663999999999999</v>
      </c>
    </row>
    <row r="2358">
      <c r="A2358" t="n">
        <v>2000529</v>
      </c>
      <c r="B2358" t="n">
        <v>2</v>
      </c>
      <c r="C2358" t="n">
        <v>529</v>
      </c>
      <c r="D2358" t="n">
        <v>-0.49</v>
      </c>
      <c r="E2358" t="n">
        <v>15.7769</v>
      </c>
      <c r="F2358" t="n">
        <v>0.08663</v>
      </c>
    </row>
    <row r="2359">
      <c r="A2359" t="n">
        <v>2000530</v>
      </c>
      <c r="B2359" t="n">
        <v>2</v>
      </c>
      <c r="C2359" t="n">
        <v>530</v>
      </c>
      <c r="D2359" t="n">
        <v>-0.4906</v>
      </c>
      <c r="E2359" t="n">
        <v>15.7742</v>
      </c>
      <c r="F2359" t="n">
        <v>0.08662</v>
      </c>
    </row>
    <row r="2360">
      <c r="A2360" t="n">
        <v>2000531</v>
      </c>
      <c r="B2360" t="n">
        <v>2</v>
      </c>
      <c r="C2360" t="n">
        <v>531</v>
      </c>
      <c r="D2360" t="n">
        <v>-0.4912</v>
      </c>
      <c r="E2360" t="n">
        <v>15.7714</v>
      </c>
      <c r="F2360" t="n">
        <v>0.08662</v>
      </c>
    </row>
    <row r="2361">
      <c r="A2361" t="n">
        <v>2000532</v>
      </c>
      <c r="B2361" t="n">
        <v>2</v>
      </c>
      <c r="C2361" t="n">
        <v>532</v>
      </c>
      <c r="D2361" t="n">
        <v>-0.4919</v>
      </c>
      <c r="E2361" t="n">
        <v>15.7687</v>
      </c>
      <c r="F2361" t="n">
        <v>0.08661000000000001</v>
      </c>
    </row>
    <row r="2362">
      <c r="A2362" t="n">
        <v>2000533</v>
      </c>
      <c r="B2362" t="n">
        <v>2</v>
      </c>
      <c r="C2362" t="n">
        <v>533</v>
      </c>
      <c r="D2362" t="n">
        <v>-0.4925</v>
      </c>
      <c r="E2362" t="n">
        <v>15.7659</v>
      </c>
      <c r="F2362" t="n">
        <v>0.0866</v>
      </c>
    </row>
    <row r="2363">
      <c r="A2363" t="n">
        <v>2000534</v>
      </c>
      <c r="B2363" t="n">
        <v>2</v>
      </c>
      <c r="C2363" t="n">
        <v>534</v>
      </c>
      <c r="D2363" t="n">
        <v>-0.4931</v>
      </c>
      <c r="E2363" t="n">
        <v>15.7632</v>
      </c>
      <c r="F2363" t="n">
        <v>0.0866</v>
      </c>
    </row>
    <row r="2364">
      <c r="A2364" t="n">
        <v>2000535</v>
      </c>
      <c r="B2364" t="n">
        <v>2</v>
      </c>
      <c r="C2364" t="n">
        <v>535</v>
      </c>
      <c r="D2364" t="n">
        <v>-0.4937</v>
      </c>
      <c r="E2364" t="n">
        <v>15.7605</v>
      </c>
      <c r="F2364" t="n">
        <v>0.08659</v>
      </c>
    </row>
    <row r="2365">
      <c r="A2365" t="n">
        <v>2000536</v>
      </c>
      <c r="B2365" t="n">
        <v>2</v>
      </c>
      <c r="C2365" t="n">
        <v>536</v>
      </c>
      <c r="D2365" t="n">
        <v>-0.4944</v>
      </c>
      <c r="E2365" t="n">
        <v>15.7578</v>
      </c>
      <c r="F2365" t="n">
        <v>0.08658</v>
      </c>
    </row>
    <row r="2366">
      <c r="A2366" t="n">
        <v>2000537</v>
      </c>
      <c r="B2366" t="n">
        <v>2</v>
      </c>
      <c r="C2366" t="n">
        <v>537</v>
      </c>
      <c r="D2366" t="n">
        <v>-0.495</v>
      </c>
      <c r="E2366" t="n">
        <v>15.7551</v>
      </c>
      <c r="F2366" t="n">
        <v>0.08656999999999999</v>
      </c>
    </row>
    <row r="2367">
      <c r="A2367" t="n">
        <v>2000538</v>
      </c>
      <c r="B2367" t="n">
        <v>2</v>
      </c>
      <c r="C2367" t="n">
        <v>538</v>
      </c>
      <c r="D2367" t="n">
        <v>-0.4956</v>
      </c>
      <c r="E2367" t="n">
        <v>15.7524</v>
      </c>
      <c r="F2367" t="n">
        <v>0.08656999999999999</v>
      </c>
    </row>
    <row r="2368">
      <c r="A2368" t="n">
        <v>2000539</v>
      </c>
      <c r="B2368" t="n">
        <v>2</v>
      </c>
      <c r="C2368" t="n">
        <v>539</v>
      </c>
      <c r="D2368" t="n">
        <v>-0.4962</v>
      </c>
      <c r="E2368" t="n">
        <v>15.7497</v>
      </c>
      <c r="F2368" t="n">
        <v>0.08656</v>
      </c>
    </row>
    <row r="2369">
      <c r="A2369" t="n">
        <v>2000540</v>
      </c>
      <c r="B2369" t="n">
        <v>2</v>
      </c>
      <c r="C2369" t="n">
        <v>540</v>
      </c>
      <c r="D2369" t="n">
        <v>-0.4969</v>
      </c>
      <c r="E2369" t="n">
        <v>15.747</v>
      </c>
      <c r="F2369" t="n">
        <v>0.08655</v>
      </c>
    </row>
    <row r="2370">
      <c r="A2370" t="n">
        <v>2000541</v>
      </c>
      <c r="B2370" t="n">
        <v>2</v>
      </c>
      <c r="C2370" t="n">
        <v>541</v>
      </c>
      <c r="D2370" t="n">
        <v>-0.4975</v>
      </c>
      <c r="E2370" t="n">
        <v>15.7444</v>
      </c>
      <c r="F2370" t="n">
        <v>0.08655</v>
      </c>
    </row>
    <row r="2371">
      <c r="A2371" t="n">
        <v>2000542</v>
      </c>
      <c r="B2371" t="n">
        <v>2</v>
      </c>
      <c r="C2371" t="n">
        <v>542</v>
      </c>
      <c r="D2371" t="n">
        <v>-0.4981</v>
      </c>
      <c r="E2371" t="n">
        <v>15.7417</v>
      </c>
      <c r="F2371" t="n">
        <v>0.08654000000000001</v>
      </c>
    </row>
    <row r="2372">
      <c r="A2372" t="n">
        <v>2000543</v>
      </c>
      <c r="B2372" t="n">
        <v>2</v>
      </c>
      <c r="C2372" t="n">
        <v>543</v>
      </c>
      <c r="D2372" t="n">
        <v>-0.4987</v>
      </c>
      <c r="E2372" t="n">
        <v>15.7391</v>
      </c>
      <c r="F2372" t="n">
        <v>0.08653</v>
      </c>
    </row>
    <row r="2373">
      <c r="A2373" t="n">
        <v>2000544</v>
      </c>
      <c r="B2373" t="n">
        <v>2</v>
      </c>
      <c r="C2373" t="n">
        <v>544</v>
      </c>
      <c r="D2373" t="n">
        <v>-0.4993</v>
      </c>
      <c r="E2373" t="n">
        <v>15.7364</v>
      </c>
      <c r="F2373" t="n">
        <v>0.08653</v>
      </c>
    </row>
    <row r="2374">
      <c r="A2374" t="n">
        <v>2000545</v>
      </c>
      <c r="B2374" t="n">
        <v>2</v>
      </c>
      <c r="C2374" t="n">
        <v>545</v>
      </c>
      <c r="D2374" t="n">
        <v>-0.5</v>
      </c>
      <c r="E2374" t="n">
        <v>15.7338</v>
      </c>
      <c r="F2374" t="n">
        <v>0.08652</v>
      </c>
    </row>
    <row r="2375">
      <c r="A2375" t="n">
        <v>2000546</v>
      </c>
      <c r="B2375" t="n">
        <v>2</v>
      </c>
      <c r="C2375" t="n">
        <v>546</v>
      </c>
      <c r="D2375" t="n">
        <v>-0.5006</v>
      </c>
      <c r="E2375" t="n">
        <v>15.7312</v>
      </c>
      <c r="F2375" t="n">
        <v>0.08651</v>
      </c>
    </row>
    <row r="2376">
      <c r="A2376" t="n">
        <v>2000547</v>
      </c>
      <c r="B2376" t="n">
        <v>2</v>
      </c>
      <c r="C2376" t="n">
        <v>547</v>
      </c>
      <c r="D2376" t="n">
        <v>-0.5012</v>
      </c>
      <c r="E2376" t="n">
        <v>15.7286</v>
      </c>
      <c r="F2376" t="n">
        <v>0.08651</v>
      </c>
    </row>
    <row r="2377">
      <c r="A2377" t="n">
        <v>2000548</v>
      </c>
      <c r="B2377" t="n">
        <v>2</v>
      </c>
      <c r="C2377" t="n">
        <v>548</v>
      </c>
      <c r="D2377" t="n">
        <v>-0.5018</v>
      </c>
      <c r="E2377" t="n">
        <v>15.726</v>
      </c>
      <c r="F2377" t="n">
        <v>0.08649999999999999</v>
      </c>
    </row>
    <row r="2378">
      <c r="A2378" t="n">
        <v>2000549</v>
      </c>
      <c r="B2378" t="n">
        <v>2</v>
      </c>
      <c r="C2378" t="n">
        <v>549</v>
      </c>
      <c r="D2378" t="n">
        <v>-0.5024</v>
      </c>
      <c r="E2378" t="n">
        <v>15.7234</v>
      </c>
      <c r="F2378" t="n">
        <v>0.08649</v>
      </c>
    </row>
    <row r="2379">
      <c r="A2379" t="n">
        <v>2000550</v>
      </c>
      <c r="B2379" t="n">
        <v>2</v>
      </c>
      <c r="C2379" t="n">
        <v>550</v>
      </c>
      <c r="D2379" t="n">
        <v>-0.503</v>
      </c>
      <c r="E2379" t="n">
        <v>15.7208</v>
      </c>
      <c r="F2379" t="n">
        <v>0.08649</v>
      </c>
    </row>
    <row r="2380">
      <c r="A2380" t="n">
        <v>2000551</v>
      </c>
      <c r="B2380" t="n">
        <v>2</v>
      </c>
      <c r="C2380" t="n">
        <v>551</v>
      </c>
      <c r="D2380" t="n">
        <v>-0.5036</v>
      </c>
      <c r="E2380" t="n">
        <v>15.7183</v>
      </c>
      <c r="F2380" t="n">
        <v>0.08648</v>
      </c>
    </row>
    <row r="2381">
      <c r="A2381" t="n">
        <v>2000552</v>
      </c>
      <c r="B2381" t="n">
        <v>2</v>
      </c>
      <c r="C2381" t="n">
        <v>552</v>
      </c>
      <c r="D2381" t="n">
        <v>-0.5043</v>
      </c>
      <c r="E2381" t="n">
        <v>15.7157</v>
      </c>
      <c r="F2381" t="n">
        <v>0.08647000000000001</v>
      </c>
    </row>
    <row r="2382">
      <c r="A2382" t="n">
        <v>2000553</v>
      </c>
      <c r="B2382" t="n">
        <v>2</v>
      </c>
      <c r="C2382" t="n">
        <v>553</v>
      </c>
      <c r="D2382" t="n">
        <v>-0.5049</v>
      </c>
      <c r="E2382" t="n">
        <v>15.7132</v>
      </c>
      <c r="F2382" t="n">
        <v>0.08647000000000001</v>
      </c>
    </row>
    <row r="2383">
      <c r="A2383" t="n">
        <v>2000554</v>
      </c>
      <c r="B2383" t="n">
        <v>2</v>
      </c>
      <c r="C2383" t="n">
        <v>554</v>
      </c>
      <c r="D2383" t="n">
        <v>-0.5054999999999999</v>
      </c>
      <c r="E2383" t="n">
        <v>15.7106</v>
      </c>
      <c r="F2383" t="n">
        <v>0.08646</v>
      </c>
    </row>
    <row r="2384">
      <c r="A2384" t="n">
        <v>2000555</v>
      </c>
      <c r="B2384" t="n">
        <v>2</v>
      </c>
      <c r="C2384" t="n">
        <v>555</v>
      </c>
      <c r="D2384" t="n">
        <v>-0.5061</v>
      </c>
      <c r="E2384" t="n">
        <v>15.7081</v>
      </c>
      <c r="F2384" t="n">
        <v>0.08645</v>
      </c>
    </row>
    <row r="2385">
      <c r="A2385" t="n">
        <v>2000556</v>
      </c>
      <c r="B2385" t="n">
        <v>2</v>
      </c>
      <c r="C2385" t="n">
        <v>556</v>
      </c>
      <c r="D2385" t="n">
        <v>-0.5067</v>
      </c>
      <c r="E2385" t="n">
        <v>15.7056</v>
      </c>
      <c r="F2385" t="n">
        <v>0.08645</v>
      </c>
    </row>
    <row r="2386">
      <c r="A2386" t="n">
        <v>2000557</v>
      </c>
      <c r="B2386" t="n">
        <v>2</v>
      </c>
      <c r="C2386" t="n">
        <v>557</v>
      </c>
      <c r="D2386" t="n">
        <v>-0.5073</v>
      </c>
      <c r="E2386" t="n">
        <v>15.703</v>
      </c>
      <c r="F2386" t="n">
        <v>0.08644</v>
      </c>
    </row>
    <row r="2387">
      <c r="A2387" t="n">
        <v>2000558</v>
      </c>
      <c r="B2387" t="n">
        <v>2</v>
      </c>
      <c r="C2387" t="n">
        <v>558</v>
      </c>
      <c r="D2387" t="n">
        <v>-0.5079</v>
      </c>
      <c r="E2387" t="n">
        <v>15.7005</v>
      </c>
      <c r="F2387" t="n">
        <v>0.08643000000000001</v>
      </c>
    </row>
    <row r="2388">
      <c r="A2388" t="n">
        <v>2000559</v>
      </c>
      <c r="B2388" t="n">
        <v>2</v>
      </c>
      <c r="C2388" t="n">
        <v>559</v>
      </c>
      <c r="D2388" t="n">
        <v>-0.5085</v>
      </c>
      <c r="E2388" t="n">
        <v>15.698</v>
      </c>
      <c r="F2388" t="n">
        <v>0.08643000000000001</v>
      </c>
    </row>
    <row r="2389">
      <c r="A2389" t="n">
        <v>2000560</v>
      </c>
      <c r="B2389" t="n">
        <v>2</v>
      </c>
      <c r="C2389" t="n">
        <v>560</v>
      </c>
      <c r="D2389" t="n">
        <v>-0.5091</v>
      </c>
      <c r="E2389" t="n">
        <v>15.6956</v>
      </c>
      <c r="F2389" t="n">
        <v>0.08642</v>
      </c>
    </row>
    <row r="2390">
      <c r="A2390" t="n">
        <v>2000561</v>
      </c>
      <c r="B2390" t="n">
        <v>2</v>
      </c>
      <c r="C2390" t="n">
        <v>561</v>
      </c>
      <c r="D2390" t="n">
        <v>-0.5097</v>
      </c>
      <c r="E2390" t="n">
        <v>15.6931</v>
      </c>
      <c r="F2390" t="n">
        <v>0.08642</v>
      </c>
    </row>
    <row r="2391">
      <c r="A2391" t="n">
        <v>2000562</v>
      </c>
      <c r="B2391" t="n">
        <v>2</v>
      </c>
      <c r="C2391" t="n">
        <v>562</v>
      </c>
      <c r="D2391" t="n">
        <v>-0.5103</v>
      </c>
      <c r="E2391" t="n">
        <v>15.6906</v>
      </c>
      <c r="F2391" t="n">
        <v>0.08641</v>
      </c>
    </row>
    <row r="2392">
      <c r="A2392" t="n">
        <v>2000563</v>
      </c>
      <c r="B2392" t="n">
        <v>2</v>
      </c>
      <c r="C2392" t="n">
        <v>563</v>
      </c>
      <c r="D2392" t="n">
        <v>-0.5109</v>
      </c>
      <c r="E2392" t="n">
        <v>15.6882</v>
      </c>
      <c r="F2392" t="n">
        <v>0.0864</v>
      </c>
    </row>
    <row r="2393">
      <c r="A2393" t="n">
        <v>2000564</v>
      </c>
      <c r="B2393" t="n">
        <v>2</v>
      </c>
      <c r="C2393" t="n">
        <v>564</v>
      </c>
      <c r="D2393" t="n">
        <v>-0.5115</v>
      </c>
      <c r="E2393" t="n">
        <v>15.6857</v>
      </c>
      <c r="F2393" t="n">
        <v>0.0864</v>
      </c>
    </row>
    <row r="2394">
      <c r="A2394" t="n">
        <v>2000565</v>
      </c>
      <c r="B2394" t="n">
        <v>2</v>
      </c>
      <c r="C2394" t="n">
        <v>565</v>
      </c>
      <c r="D2394" t="n">
        <v>-0.5121</v>
      </c>
      <c r="E2394" t="n">
        <v>15.6833</v>
      </c>
      <c r="F2394" t="n">
        <v>0.08638999999999999</v>
      </c>
    </row>
    <row r="2395">
      <c r="A2395" t="n">
        <v>2000566</v>
      </c>
      <c r="B2395" t="n">
        <v>2</v>
      </c>
      <c r="C2395" t="n">
        <v>566</v>
      </c>
      <c r="D2395" t="n">
        <v>-0.5127</v>
      </c>
      <c r="E2395" t="n">
        <v>15.6808</v>
      </c>
      <c r="F2395" t="n">
        <v>0.08638</v>
      </c>
    </row>
    <row r="2396">
      <c r="A2396" t="n">
        <v>2000567</v>
      </c>
      <c r="B2396" t="n">
        <v>2</v>
      </c>
      <c r="C2396" t="n">
        <v>567</v>
      </c>
      <c r="D2396" t="n">
        <v>-0.5133</v>
      </c>
      <c r="E2396" t="n">
        <v>15.6784</v>
      </c>
      <c r="F2396" t="n">
        <v>0.08638</v>
      </c>
    </row>
    <row r="2397">
      <c r="A2397" t="n">
        <v>2000568</v>
      </c>
      <c r="B2397" t="n">
        <v>2</v>
      </c>
      <c r="C2397" t="n">
        <v>568</v>
      </c>
      <c r="D2397" t="n">
        <v>-0.5139</v>
      </c>
      <c r="E2397" t="n">
        <v>15.676</v>
      </c>
      <c r="F2397" t="n">
        <v>0.08637</v>
      </c>
    </row>
    <row r="2398">
      <c r="A2398" t="n">
        <v>2000569</v>
      </c>
      <c r="B2398" t="n">
        <v>2</v>
      </c>
      <c r="C2398" t="n">
        <v>569</v>
      </c>
      <c r="D2398" t="n">
        <v>-0.5145</v>
      </c>
      <c r="E2398" t="n">
        <v>15.6736</v>
      </c>
      <c r="F2398" t="n">
        <v>0.08636000000000001</v>
      </c>
    </row>
    <row r="2399">
      <c r="A2399" t="n">
        <v>2000570</v>
      </c>
      <c r="B2399" t="n">
        <v>2</v>
      </c>
      <c r="C2399" t="n">
        <v>570</v>
      </c>
      <c r="D2399" t="n">
        <v>-0.5151</v>
      </c>
      <c r="E2399" t="n">
        <v>15.6712</v>
      </c>
      <c r="F2399" t="n">
        <v>0.08636000000000001</v>
      </c>
    </row>
    <row r="2400">
      <c r="A2400" t="n">
        <v>2000571</v>
      </c>
      <c r="B2400" t="n">
        <v>2</v>
      </c>
      <c r="C2400" t="n">
        <v>571</v>
      </c>
      <c r="D2400" t="n">
        <v>-0.5155999999999999</v>
      </c>
      <c r="E2400" t="n">
        <v>15.6688</v>
      </c>
      <c r="F2400" t="n">
        <v>0.08635</v>
      </c>
    </row>
    <row r="2401">
      <c r="A2401" t="n">
        <v>2000572</v>
      </c>
      <c r="B2401" t="n">
        <v>2</v>
      </c>
      <c r="C2401" t="n">
        <v>572</v>
      </c>
      <c r="D2401" t="n">
        <v>-0.5162</v>
      </c>
      <c r="E2401" t="n">
        <v>15.6665</v>
      </c>
      <c r="F2401" t="n">
        <v>0.08634</v>
      </c>
    </row>
    <row r="2402">
      <c r="A2402" t="n">
        <v>2000573</v>
      </c>
      <c r="B2402" t="n">
        <v>2</v>
      </c>
      <c r="C2402" t="n">
        <v>573</v>
      </c>
      <c r="D2402" t="n">
        <v>-0.5168</v>
      </c>
      <c r="E2402" t="n">
        <v>15.6641</v>
      </c>
      <c r="F2402" t="n">
        <v>0.08634</v>
      </c>
    </row>
    <row r="2403">
      <c r="A2403" t="n">
        <v>2000574</v>
      </c>
      <c r="B2403" t="n">
        <v>2</v>
      </c>
      <c r="C2403" t="n">
        <v>574</v>
      </c>
      <c r="D2403" t="n">
        <v>-0.5174</v>
      </c>
      <c r="E2403" t="n">
        <v>15.6617</v>
      </c>
      <c r="F2403" t="n">
        <v>0.08633</v>
      </c>
    </row>
    <row r="2404">
      <c r="A2404" t="n">
        <v>2000575</v>
      </c>
      <c r="B2404" t="n">
        <v>2</v>
      </c>
      <c r="C2404" t="n">
        <v>575</v>
      </c>
      <c r="D2404" t="n">
        <v>-0.518</v>
      </c>
      <c r="E2404" t="n">
        <v>15.6594</v>
      </c>
      <c r="F2404" t="n">
        <v>0.08631999999999999</v>
      </c>
    </row>
    <row r="2405">
      <c r="A2405" t="n">
        <v>2000576</v>
      </c>
      <c r="B2405" t="n">
        <v>2</v>
      </c>
      <c r="C2405" t="n">
        <v>576</v>
      </c>
      <c r="D2405" t="n">
        <v>-0.5185999999999999</v>
      </c>
      <c r="E2405" t="n">
        <v>15.6571</v>
      </c>
      <c r="F2405" t="n">
        <v>0.08631999999999999</v>
      </c>
    </row>
    <row r="2406">
      <c r="A2406" t="n">
        <v>2000577</v>
      </c>
      <c r="B2406" t="n">
        <v>2</v>
      </c>
      <c r="C2406" t="n">
        <v>577</v>
      </c>
      <c r="D2406" t="n">
        <v>-0.5192</v>
      </c>
      <c r="E2406" t="n">
        <v>15.6547</v>
      </c>
      <c r="F2406" t="n">
        <v>0.08631</v>
      </c>
    </row>
    <row r="2407">
      <c r="A2407" t="n">
        <v>2000578</v>
      </c>
      <c r="B2407" t="n">
        <v>2</v>
      </c>
      <c r="C2407" t="n">
        <v>578</v>
      </c>
      <c r="D2407" t="n">
        <v>-0.5197000000000001</v>
      </c>
      <c r="E2407" t="n">
        <v>15.6524</v>
      </c>
      <c r="F2407" t="n">
        <v>0.08631</v>
      </c>
    </row>
    <row r="2408">
      <c r="A2408" t="n">
        <v>2000579</v>
      </c>
      <c r="B2408" t="n">
        <v>2</v>
      </c>
      <c r="C2408" t="n">
        <v>579</v>
      </c>
      <c r="D2408" t="n">
        <v>-0.5203</v>
      </c>
      <c r="E2408" t="n">
        <v>15.6501</v>
      </c>
      <c r="F2408" t="n">
        <v>0.0863</v>
      </c>
    </row>
    <row r="2409">
      <c r="A2409" t="n">
        <v>2000580</v>
      </c>
      <c r="B2409" t="n">
        <v>2</v>
      </c>
      <c r="C2409" t="n">
        <v>580</v>
      </c>
      <c r="D2409" t="n">
        <v>-0.5209</v>
      </c>
      <c r="E2409" t="n">
        <v>15.6478</v>
      </c>
      <c r="F2409" t="n">
        <v>0.08629000000000001</v>
      </c>
    </row>
    <row r="2410">
      <c r="A2410" t="n">
        <v>2000581</v>
      </c>
      <c r="B2410" t="n">
        <v>2</v>
      </c>
      <c r="C2410" t="n">
        <v>581</v>
      </c>
      <c r="D2410" t="n">
        <v>-0.5215</v>
      </c>
      <c r="E2410" t="n">
        <v>15.6455</v>
      </c>
      <c r="F2410" t="n">
        <v>0.08629000000000001</v>
      </c>
    </row>
    <row r="2411">
      <c r="A2411" t="n">
        <v>2000582</v>
      </c>
      <c r="B2411" t="n">
        <v>2</v>
      </c>
      <c r="C2411" t="n">
        <v>582</v>
      </c>
      <c r="D2411" t="n">
        <v>-0.5221</v>
      </c>
      <c r="E2411" t="n">
        <v>15.6432</v>
      </c>
      <c r="F2411" t="n">
        <v>0.08628</v>
      </c>
    </row>
    <row r="2412">
      <c r="A2412" t="n">
        <v>2000583</v>
      </c>
      <c r="B2412" t="n">
        <v>2</v>
      </c>
      <c r="C2412" t="n">
        <v>583</v>
      </c>
      <c r="D2412" t="n">
        <v>-0.5226</v>
      </c>
      <c r="E2412" t="n">
        <v>15.6409</v>
      </c>
      <c r="F2412" t="n">
        <v>0.08627</v>
      </c>
    </row>
    <row r="2413">
      <c r="A2413" t="n">
        <v>2000584</v>
      </c>
      <c r="B2413" t="n">
        <v>2</v>
      </c>
      <c r="C2413" t="n">
        <v>584</v>
      </c>
      <c r="D2413" t="n">
        <v>-0.5232</v>
      </c>
      <c r="E2413" t="n">
        <v>15.6387</v>
      </c>
      <c r="F2413" t="n">
        <v>0.08627</v>
      </c>
    </row>
    <row r="2414">
      <c r="A2414" t="n">
        <v>2000585</v>
      </c>
      <c r="B2414" t="n">
        <v>2</v>
      </c>
      <c r="C2414" t="n">
        <v>585</v>
      </c>
      <c r="D2414" t="n">
        <v>-0.5238</v>
      </c>
      <c r="E2414" t="n">
        <v>15.6364</v>
      </c>
      <c r="F2414" t="n">
        <v>0.08626</v>
      </c>
    </row>
    <row r="2415">
      <c r="A2415" t="n">
        <v>2000586</v>
      </c>
      <c r="B2415" t="n">
        <v>2</v>
      </c>
      <c r="C2415" t="n">
        <v>586</v>
      </c>
      <c r="D2415" t="n">
        <v>-0.5244</v>
      </c>
      <c r="E2415" t="n">
        <v>15.6342</v>
      </c>
      <c r="F2415" t="n">
        <v>0.08626</v>
      </c>
    </row>
    <row r="2416">
      <c r="A2416" t="n">
        <v>2000587</v>
      </c>
      <c r="B2416" t="n">
        <v>2</v>
      </c>
      <c r="C2416" t="n">
        <v>587</v>
      </c>
      <c r="D2416" t="n">
        <v>-0.525</v>
      </c>
      <c r="E2416" t="n">
        <v>15.6319</v>
      </c>
      <c r="F2416" t="n">
        <v>0.08624999999999999</v>
      </c>
    </row>
    <row r="2417">
      <c r="A2417" t="n">
        <v>2000588</v>
      </c>
      <c r="B2417" t="n">
        <v>2</v>
      </c>
      <c r="C2417" t="n">
        <v>588</v>
      </c>
      <c r="D2417" t="n">
        <v>-0.5255</v>
      </c>
      <c r="E2417" t="n">
        <v>15.6297</v>
      </c>
      <c r="F2417" t="n">
        <v>0.08624</v>
      </c>
    </row>
    <row r="2418">
      <c r="A2418" t="n">
        <v>2000589</v>
      </c>
      <c r="B2418" t="n">
        <v>2</v>
      </c>
      <c r="C2418" t="n">
        <v>589</v>
      </c>
      <c r="D2418" t="n">
        <v>-0.5261</v>
      </c>
      <c r="E2418" t="n">
        <v>15.6275</v>
      </c>
      <c r="F2418" t="n">
        <v>0.08624</v>
      </c>
    </row>
    <row r="2419">
      <c r="A2419" t="n">
        <v>2000590</v>
      </c>
      <c r="B2419" t="n">
        <v>2</v>
      </c>
      <c r="C2419" t="n">
        <v>590</v>
      </c>
      <c r="D2419" t="n">
        <v>-0.5266999999999999</v>
      </c>
      <c r="E2419" t="n">
        <v>15.6253</v>
      </c>
      <c r="F2419" t="n">
        <v>0.08623</v>
      </c>
    </row>
    <row r="2420">
      <c r="A2420" t="n">
        <v>2000591</v>
      </c>
      <c r="B2420" t="n">
        <v>2</v>
      </c>
      <c r="C2420" t="n">
        <v>591</v>
      </c>
      <c r="D2420" t="n">
        <v>-0.5272</v>
      </c>
      <c r="E2420" t="n">
        <v>15.6231</v>
      </c>
      <c r="F2420" t="n">
        <v>0.08622</v>
      </c>
    </row>
    <row r="2421">
      <c r="A2421" t="n">
        <v>2000592</v>
      </c>
      <c r="B2421" t="n">
        <v>2</v>
      </c>
      <c r="C2421" t="n">
        <v>592</v>
      </c>
      <c r="D2421" t="n">
        <v>-0.5278</v>
      </c>
      <c r="E2421" t="n">
        <v>15.6209</v>
      </c>
      <c r="F2421" t="n">
        <v>0.08622</v>
      </c>
    </row>
    <row r="2422">
      <c r="A2422" t="n">
        <v>2000593</v>
      </c>
      <c r="B2422" t="n">
        <v>2</v>
      </c>
      <c r="C2422" t="n">
        <v>593</v>
      </c>
      <c r="D2422" t="n">
        <v>-0.5284</v>
      </c>
      <c r="E2422" t="n">
        <v>15.6187</v>
      </c>
      <c r="F2422" t="n">
        <v>0.08620999999999999</v>
      </c>
    </row>
    <row r="2423">
      <c r="A2423" t="n">
        <v>2000594</v>
      </c>
      <c r="B2423" t="n">
        <v>2</v>
      </c>
      <c r="C2423" t="n">
        <v>594</v>
      </c>
      <c r="D2423" t="n">
        <v>-0.529</v>
      </c>
      <c r="E2423" t="n">
        <v>15.6165</v>
      </c>
      <c r="F2423" t="n">
        <v>0.08620999999999999</v>
      </c>
    </row>
    <row r="2424">
      <c r="A2424" t="n">
        <v>2000595</v>
      </c>
      <c r="B2424" t="n">
        <v>2</v>
      </c>
      <c r="C2424" t="n">
        <v>595</v>
      </c>
      <c r="D2424" t="n">
        <v>-0.5295</v>
      </c>
      <c r="E2424" t="n">
        <v>15.6144</v>
      </c>
      <c r="F2424" t="n">
        <v>0.0862</v>
      </c>
    </row>
    <row r="2425">
      <c r="A2425" t="n">
        <v>2000596</v>
      </c>
      <c r="B2425" t="n">
        <v>2</v>
      </c>
      <c r="C2425" t="n">
        <v>596</v>
      </c>
      <c r="D2425" t="n">
        <v>-0.5301</v>
      </c>
      <c r="E2425" t="n">
        <v>15.6122</v>
      </c>
      <c r="F2425" t="n">
        <v>0.08619</v>
      </c>
    </row>
    <row r="2426">
      <c r="A2426" t="n">
        <v>2000597</v>
      </c>
      <c r="B2426" t="n">
        <v>2</v>
      </c>
      <c r="C2426" t="n">
        <v>597</v>
      </c>
      <c r="D2426" t="n">
        <v>-0.5306999999999999</v>
      </c>
      <c r="E2426" t="n">
        <v>15.61</v>
      </c>
      <c r="F2426" t="n">
        <v>0.08619</v>
      </c>
    </row>
    <row r="2427">
      <c r="A2427" t="n">
        <v>2000598</v>
      </c>
      <c r="B2427" t="n">
        <v>2</v>
      </c>
      <c r="C2427" t="n">
        <v>598</v>
      </c>
      <c r="D2427" t="n">
        <v>-0.5312</v>
      </c>
      <c r="E2427" t="n">
        <v>15.6079</v>
      </c>
      <c r="F2427" t="n">
        <v>0.08618000000000001</v>
      </c>
    </row>
    <row r="2428">
      <c r="A2428" t="n">
        <v>2000599</v>
      </c>
      <c r="B2428" t="n">
        <v>2</v>
      </c>
      <c r="C2428" t="n">
        <v>599</v>
      </c>
      <c r="D2428" t="n">
        <v>-0.5318000000000001</v>
      </c>
      <c r="E2428" t="n">
        <v>15.6058</v>
      </c>
      <c r="F2428" t="n">
        <v>0.08618000000000001</v>
      </c>
    </row>
    <row r="2429">
      <c r="A2429" t="n">
        <v>2000600</v>
      </c>
      <c r="B2429" t="n">
        <v>2</v>
      </c>
      <c r="C2429" t="n">
        <v>600</v>
      </c>
      <c r="D2429" t="n">
        <v>-0.5323</v>
      </c>
      <c r="E2429" t="n">
        <v>15.6037</v>
      </c>
      <c r="F2429" t="n">
        <v>0.08617</v>
      </c>
    </row>
    <row r="2430">
      <c r="A2430" t="n">
        <v>2000601</v>
      </c>
      <c r="B2430" t="n">
        <v>2</v>
      </c>
      <c r="C2430" t="n">
        <v>601</v>
      </c>
      <c r="D2430" t="n">
        <v>-0.5329</v>
      </c>
      <c r="E2430" t="n">
        <v>15.6015</v>
      </c>
      <c r="F2430" t="n">
        <v>0.08616</v>
      </c>
    </row>
    <row r="2431">
      <c r="A2431" t="n">
        <v>2000602</v>
      </c>
      <c r="B2431" t="n">
        <v>2</v>
      </c>
      <c r="C2431" t="n">
        <v>602</v>
      </c>
      <c r="D2431" t="n">
        <v>-0.5335</v>
      </c>
      <c r="E2431" t="n">
        <v>15.5994</v>
      </c>
      <c r="F2431" t="n">
        <v>0.08616</v>
      </c>
    </row>
    <row r="2432">
      <c r="A2432" t="n">
        <v>2000603</v>
      </c>
      <c r="B2432" t="n">
        <v>2</v>
      </c>
      <c r="C2432" t="n">
        <v>603</v>
      </c>
      <c r="D2432" t="n">
        <v>-0.534</v>
      </c>
      <c r="E2432" t="n">
        <v>15.5973</v>
      </c>
      <c r="F2432" t="n">
        <v>0.08615</v>
      </c>
    </row>
    <row r="2433">
      <c r="A2433" t="n">
        <v>2000604</v>
      </c>
      <c r="B2433" t="n">
        <v>2</v>
      </c>
      <c r="C2433" t="n">
        <v>604</v>
      </c>
      <c r="D2433" t="n">
        <v>-0.5346</v>
      </c>
      <c r="E2433" t="n">
        <v>15.5953</v>
      </c>
      <c r="F2433" t="n">
        <v>0.08613999999999999</v>
      </c>
    </row>
    <row r="2434">
      <c r="A2434" t="n">
        <v>2000605</v>
      </c>
      <c r="B2434" t="n">
        <v>2</v>
      </c>
      <c r="C2434" t="n">
        <v>605</v>
      </c>
      <c r="D2434" t="n">
        <v>-0.5351</v>
      </c>
      <c r="E2434" t="n">
        <v>15.5932</v>
      </c>
      <c r="F2434" t="n">
        <v>0.08613999999999999</v>
      </c>
    </row>
    <row r="2435">
      <c r="A2435" t="n">
        <v>2000606</v>
      </c>
      <c r="B2435" t="n">
        <v>2</v>
      </c>
      <c r="C2435" t="n">
        <v>606</v>
      </c>
      <c r="D2435" t="n">
        <v>-0.5357</v>
      </c>
      <c r="E2435" t="n">
        <v>15.5911</v>
      </c>
      <c r="F2435" t="n">
        <v>0.08613</v>
      </c>
    </row>
    <row r="2436">
      <c r="A2436" t="n">
        <v>2000607</v>
      </c>
      <c r="B2436" t="n">
        <v>2</v>
      </c>
      <c r="C2436" t="n">
        <v>607</v>
      </c>
      <c r="D2436" t="n">
        <v>-0.5363</v>
      </c>
      <c r="E2436" t="n">
        <v>15.589</v>
      </c>
      <c r="F2436" t="n">
        <v>0.08613</v>
      </c>
    </row>
    <row r="2437">
      <c r="A2437" t="n">
        <v>2000608</v>
      </c>
      <c r="B2437" t="n">
        <v>2</v>
      </c>
      <c r="C2437" t="n">
        <v>608</v>
      </c>
      <c r="D2437" t="n">
        <v>-0.5368000000000001</v>
      </c>
      <c r="E2437" t="n">
        <v>15.587</v>
      </c>
      <c r="F2437" t="n">
        <v>0.08612</v>
      </c>
    </row>
    <row r="2438">
      <c r="A2438" t="n">
        <v>2000609</v>
      </c>
      <c r="B2438" t="n">
        <v>2</v>
      </c>
      <c r="C2438" t="n">
        <v>609</v>
      </c>
      <c r="D2438" t="n">
        <v>-0.5374</v>
      </c>
      <c r="E2438" t="n">
        <v>15.585</v>
      </c>
      <c r="F2438" t="n">
        <v>0.08611000000000001</v>
      </c>
    </row>
    <row r="2439">
      <c r="A2439" t="n">
        <v>2000610</v>
      </c>
      <c r="B2439" t="n">
        <v>2</v>
      </c>
      <c r="C2439" t="n">
        <v>610</v>
      </c>
      <c r="D2439" t="n">
        <v>-0.5379</v>
      </c>
      <c r="E2439" t="n">
        <v>15.5829</v>
      </c>
      <c r="F2439" t="n">
        <v>0.08611000000000001</v>
      </c>
    </row>
    <row r="2440">
      <c r="A2440" t="n">
        <v>2000611</v>
      </c>
      <c r="B2440" t="n">
        <v>2</v>
      </c>
      <c r="C2440" t="n">
        <v>611</v>
      </c>
      <c r="D2440" t="n">
        <v>-0.5385</v>
      </c>
      <c r="E2440" t="n">
        <v>15.5809</v>
      </c>
      <c r="F2440" t="n">
        <v>0.0861</v>
      </c>
    </row>
    <row r="2441">
      <c r="A2441" t="n">
        <v>2000612</v>
      </c>
      <c r="B2441" t="n">
        <v>2</v>
      </c>
      <c r="C2441" t="n">
        <v>612</v>
      </c>
      <c r="D2441" t="n">
        <v>-0.539</v>
      </c>
      <c r="E2441" t="n">
        <v>15.5789</v>
      </c>
      <c r="F2441" t="n">
        <v>0.0861</v>
      </c>
    </row>
    <row r="2442">
      <c r="A2442" t="n">
        <v>2000613</v>
      </c>
      <c r="B2442" t="n">
        <v>2</v>
      </c>
      <c r="C2442" t="n">
        <v>613</v>
      </c>
      <c r="D2442" t="n">
        <v>-0.5396</v>
      </c>
      <c r="E2442" t="n">
        <v>15.5769</v>
      </c>
      <c r="F2442" t="n">
        <v>0.08609</v>
      </c>
    </row>
    <row r="2443">
      <c r="A2443" t="n">
        <v>2000614</v>
      </c>
      <c r="B2443" t="n">
        <v>2</v>
      </c>
      <c r="C2443" t="n">
        <v>614</v>
      </c>
      <c r="D2443" t="n">
        <v>-0.5401</v>
      </c>
      <c r="E2443" t="n">
        <v>15.5749</v>
      </c>
      <c r="F2443" t="n">
        <v>0.08608</v>
      </c>
    </row>
    <row r="2444">
      <c r="A2444" t="n">
        <v>2000615</v>
      </c>
      <c r="B2444" t="n">
        <v>2</v>
      </c>
      <c r="C2444" t="n">
        <v>615</v>
      </c>
      <c r="D2444" t="n">
        <v>-0.5407</v>
      </c>
      <c r="E2444" t="n">
        <v>15.5729</v>
      </c>
      <c r="F2444" t="n">
        <v>0.08608</v>
      </c>
    </row>
    <row r="2445">
      <c r="A2445" t="n">
        <v>2000616</v>
      </c>
      <c r="B2445" t="n">
        <v>2</v>
      </c>
      <c r="C2445" t="n">
        <v>616</v>
      </c>
      <c r="D2445" t="n">
        <v>-0.5412</v>
      </c>
      <c r="E2445" t="n">
        <v>15.5709</v>
      </c>
      <c r="F2445" t="n">
        <v>0.08606999999999999</v>
      </c>
    </row>
    <row r="2446">
      <c r="A2446" t="n">
        <v>2000617</v>
      </c>
      <c r="B2446" t="n">
        <v>2</v>
      </c>
      <c r="C2446" t="n">
        <v>617</v>
      </c>
      <c r="D2446" t="n">
        <v>-0.5417999999999999</v>
      </c>
      <c r="E2446" t="n">
        <v>15.569</v>
      </c>
      <c r="F2446" t="n">
        <v>0.08606999999999999</v>
      </c>
    </row>
    <row r="2447">
      <c r="A2447" t="n">
        <v>2000618</v>
      </c>
      <c r="B2447" t="n">
        <v>2</v>
      </c>
      <c r="C2447" t="n">
        <v>618</v>
      </c>
      <c r="D2447" t="n">
        <v>-0.5423</v>
      </c>
      <c r="E2447" t="n">
        <v>15.567</v>
      </c>
      <c r="F2447" t="n">
        <v>0.08606</v>
      </c>
    </row>
    <row r="2448">
      <c r="A2448" t="n">
        <v>2000619</v>
      </c>
      <c r="B2448" t="n">
        <v>2</v>
      </c>
      <c r="C2448" t="n">
        <v>619</v>
      </c>
      <c r="D2448" t="n">
        <v>-0.5429</v>
      </c>
      <c r="E2448" t="n">
        <v>15.5651</v>
      </c>
      <c r="F2448" t="n">
        <v>0.08605</v>
      </c>
    </row>
    <row r="2449">
      <c r="A2449" t="n">
        <v>2000620</v>
      </c>
      <c r="B2449" t="n">
        <v>2</v>
      </c>
      <c r="C2449" t="n">
        <v>620</v>
      </c>
      <c r="D2449" t="n">
        <v>-0.5434</v>
      </c>
      <c r="E2449" t="n">
        <v>15.5631</v>
      </c>
      <c r="F2449" t="n">
        <v>0.08605</v>
      </c>
    </row>
    <row r="2450">
      <c r="A2450" t="n">
        <v>2000621</v>
      </c>
      <c r="B2450" t="n">
        <v>2</v>
      </c>
      <c r="C2450" t="n">
        <v>621</v>
      </c>
      <c r="D2450" t="n">
        <v>-0.544</v>
      </c>
      <c r="E2450" t="n">
        <v>15.5612</v>
      </c>
      <c r="F2450" t="n">
        <v>0.08604000000000001</v>
      </c>
    </row>
    <row r="2451">
      <c r="A2451" t="n">
        <v>2000622</v>
      </c>
      <c r="B2451" t="n">
        <v>2</v>
      </c>
      <c r="C2451" t="n">
        <v>622</v>
      </c>
      <c r="D2451" t="n">
        <v>-0.5445</v>
      </c>
      <c r="E2451" t="n">
        <v>15.5593</v>
      </c>
      <c r="F2451" t="n">
        <v>0.08604000000000001</v>
      </c>
    </row>
    <row r="2452">
      <c r="A2452" t="n">
        <v>2000623</v>
      </c>
      <c r="B2452" t="n">
        <v>2</v>
      </c>
      <c r="C2452" t="n">
        <v>623</v>
      </c>
      <c r="D2452" t="n">
        <v>-0.5451</v>
      </c>
      <c r="E2452" t="n">
        <v>15.5574</v>
      </c>
      <c r="F2452" t="n">
        <v>0.08603</v>
      </c>
    </row>
    <row r="2453">
      <c r="A2453" t="n">
        <v>2000624</v>
      </c>
      <c r="B2453" t="n">
        <v>2</v>
      </c>
      <c r="C2453" t="n">
        <v>624</v>
      </c>
      <c r="D2453" t="n">
        <v>-0.5456</v>
      </c>
      <c r="E2453" t="n">
        <v>15.5555</v>
      </c>
      <c r="F2453" t="n">
        <v>0.08603</v>
      </c>
    </row>
    <row r="2454">
      <c r="A2454" t="n">
        <v>2000625</v>
      </c>
      <c r="B2454" t="n">
        <v>2</v>
      </c>
      <c r="C2454" t="n">
        <v>625</v>
      </c>
      <c r="D2454" t="n">
        <v>-0.5461</v>
      </c>
      <c r="E2454" t="n">
        <v>15.5536</v>
      </c>
      <c r="F2454" t="n">
        <v>0.08602</v>
      </c>
    </row>
    <row r="2455">
      <c r="A2455" t="n">
        <v>2000626</v>
      </c>
      <c r="B2455" t="n">
        <v>2</v>
      </c>
      <c r="C2455" t="n">
        <v>626</v>
      </c>
      <c r="D2455" t="n">
        <v>-0.5467</v>
      </c>
      <c r="E2455" t="n">
        <v>15.5517</v>
      </c>
      <c r="F2455" t="n">
        <v>0.08601</v>
      </c>
    </row>
    <row r="2456">
      <c r="A2456" t="n">
        <v>2000627</v>
      </c>
      <c r="B2456" t="n">
        <v>2</v>
      </c>
      <c r="C2456" t="n">
        <v>627</v>
      </c>
      <c r="D2456" t="n">
        <v>-0.5472</v>
      </c>
      <c r="E2456" t="n">
        <v>15.5498</v>
      </c>
      <c r="F2456" t="n">
        <v>0.08601</v>
      </c>
    </row>
    <row r="2457">
      <c r="A2457" t="n">
        <v>2000628</v>
      </c>
      <c r="B2457" t="n">
        <v>2</v>
      </c>
      <c r="C2457" t="n">
        <v>628</v>
      </c>
      <c r="D2457" t="n">
        <v>-0.5478</v>
      </c>
      <c r="E2457" t="n">
        <v>15.548</v>
      </c>
      <c r="F2457" t="n">
        <v>0.08599999999999999</v>
      </c>
    </row>
    <row r="2458">
      <c r="A2458" t="n">
        <v>2000629</v>
      </c>
      <c r="B2458" t="n">
        <v>2</v>
      </c>
      <c r="C2458" t="n">
        <v>629</v>
      </c>
      <c r="D2458" t="n">
        <v>-0.5483</v>
      </c>
      <c r="E2458" t="n">
        <v>15.5461</v>
      </c>
      <c r="F2458" t="n">
        <v>0.08599999999999999</v>
      </c>
    </row>
    <row r="2459">
      <c r="A2459" t="n">
        <v>2000630</v>
      </c>
      <c r="B2459" t="n">
        <v>2</v>
      </c>
      <c r="C2459" t="n">
        <v>630</v>
      </c>
      <c r="D2459" t="n">
        <v>-0.5488</v>
      </c>
      <c r="E2459" t="n">
        <v>15.5443</v>
      </c>
      <c r="F2459" t="n">
        <v>0.08599</v>
      </c>
    </row>
    <row r="2460">
      <c r="A2460" t="n">
        <v>2000631</v>
      </c>
      <c r="B2460" t="n">
        <v>2</v>
      </c>
      <c r="C2460" t="n">
        <v>631</v>
      </c>
      <c r="D2460" t="n">
        <v>-0.5494</v>
      </c>
      <c r="E2460" t="n">
        <v>15.5424</v>
      </c>
      <c r="F2460" t="n">
        <v>0.08598</v>
      </c>
    </row>
    <row r="2461">
      <c r="A2461" t="n">
        <v>2000632</v>
      </c>
      <c r="B2461" t="n">
        <v>2</v>
      </c>
      <c r="C2461" t="n">
        <v>632</v>
      </c>
      <c r="D2461" t="n">
        <v>-0.5499000000000001</v>
      </c>
      <c r="E2461" t="n">
        <v>15.5406</v>
      </c>
      <c r="F2461" t="n">
        <v>0.08598</v>
      </c>
    </row>
    <row r="2462">
      <c r="A2462" t="n">
        <v>2000633</v>
      </c>
      <c r="B2462" t="n">
        <v>2</v>
      </c>
      <c r="C2462" t="n">
        <v>633</v>
      </c>
      <c r="D2462" t="n">
        <v>-0.5504</v>
      </c>
      <c r="E2462" t="n">
        <v>15.5388</v>
      </c>
      <c r="F2462" t="n">
        <v>0.08597</v>
      </c>
    </row>
    <row r="2463">
      <c r="A2463" t="n">
        <v>2000634</v>
      </c>
      <c r="B2463" t="n">
        <v>2</v>
      </c>
      <c r="C2463" t="n">
        <v>634</v>
      </c>
      <c r="D2463" t="n">
        <v>-0.551</v>
      </c>
      <c r="E2463" t="n">
        <v>15.537</v>
      </c>
      <c r="F2463" t="n">
        <v>0.08597</v>
      </c>
    </row>
    <row r="2464">
      <c r="A2464" t="n">
        <v>2000635</v>
      </c>
      <c r="B2464" t="n">
        <v>2</v>
      </c>
      <c r="C2464" t="n">
        <v>635</v>
      </c>
      <c r="D2464" t="n">
        <v>-0.5515</v>
      </c>
      <c r="E2464" t="n">
        <v>15.5352</v>
      </c>
      <c r="F2464" t="n">
        <v>0.08595999999999999</v>
      </c>
    </row>
    <row r="2465">
      <c r="A2465" t="n">
        <v>2000636</v>
      </c>
      <c r="B2465" t="n">
        <v>2</v>
      </c>
      <c r="C2465" t="n">
        <v>636</v>
      </c>
      <c r="D2465" t="n">
        <v>-0.552</v>
      </c>
      <c r="E2465" t="n">
        <v>15.5334</v>
      </c>
      <c r="F2465" t="n">
        <v>0.08595999999999999</v>
      </c>
    </row>
    <row r="2466">
      <c r="A2466" t="n">
        <v>2000637</v>
      </c>
      <c r="B2466" t="n">
        <v>2</v>
      </c>
      <c r="C2466" t="n">
        <v>637</v>
      </c>
      <c r="D2466" t="n">
        <v>-0.5526</v>
      </c>
      <c r="E2466" t="n">
        <v>15.5316</v>
      </c>
      <c r="F2466" t="n">
        <v>0.08595</v>
      </c>
    </row>
    <row r="2467">
      <c r="A2467" t="n">
        <v>2000638</v>
      </c>
      <c r="B2467" t="n">
        <v>2</v>
      </c>
      <c r="C2467" t="n">
        <v>638</v>
      </c>
      <c r="D2467" t="n">
        <v>-0.5531</v>
      </c>
      <c r="E2467" t="n">
        <v>15.5299</v>
      </c>
      <c r="F2467" t="n">
        <v>0.08594</v>
      </c>
    </row>
    <row r="2468">
      <c r="A2468" t="n">
        <v>2000639</v>
      </c>
      <c r="B2468" t="n">
        <v>2</v>
      </c>
      <c r="C2468" t="n">
        <v>639</v>
      </c>
      <c r="D2468" t="n">
        <v>-0.5536</v>
      </c>
      <c r="E2468" t="n">
        <v>15.5281</v>
      </c>
      <c r="F2468" t="n">
        <v>0.08594</v>
      </c>
    </row>
    <row r="2469">
      <c r="A2469" t="n">
        <v>2000640</v>
      </c>
      <c r="B2469" t="n">
        <v>2</v>
      </c>
      <c r="C2469" t="n">
        <v>640</v>
      </c>
      <c r="D2469" t="n">
        <v>-0.5542</v>
      </c>
      <c r="E2469" t="n">
        <v>15.5263</v>
      </c>
      <c r="F2469" t="n">
        <v>0.08593000000000001</v>
      </c>
    </row>
    <row r="2470">
      <c r="A2470" t="n">
        <v>2000641</v>
      </c>
      <c r="B2470" t="n">
        <v>2</v>
      </c>
      <c r="C2470" t="n">
        <v>641</v>
      </c>
      <c r="D2470" t="n">
        <v>-0.5547</v>
      </c>
      <c r="E2470" t="n">
        <v>15.5246</v>
      </c>
      <c r="F2470" t="n">
        <v>0.08593000000000001</v>
      </c>
    </row>
    <row r="2471">
      <c r="A2471" t="n">
        <v>2000642</v>
      </c>
      <c r="B2471" t="n">
        <v>2</v>
      </c>
      <c r="C2471" t="n">
        <v>642</v>
      </c>
      <c r="D2471" t="n">
        <v>-0.5552</v>
      </c>
      <c r="E2471" t="n">
        <v>15.5229</v>
      </c>
      <c r="F2471" t="n">
        <v>0.08592</v>
      </c>
    </row>
    <row r="2472">
      <c r="A2472" t="n">
        <v>2000643</v>
      </c>
      <c r="B2472" t="n">
        <v>2</v>
      </c>
      <c r="C2472" t="n">
        <v>643</v>
      </c>
      <c r="D2472" t="n">
        <v>-0.5557</v>
      </c>
      <c r="E2472" t="n">
        <v>15.5212</v>
      </c>
      <c r="F2472" t="n">
        <v>0.08591</v>
      </c>
    </row>
    <row r="2473">
      <c r="A2473" t="n">
        <v>2000644</v>
      </c>
      <c r="B2473" t="n">
        <v>2</v>
      </c>
      <c r="C2473" t="n">
        <v>644</v>
      </c>
      <c r="D2473" t="n">
        <v>-0.5563</v>
      </c>
      <c r="E2473" t="n">
        <v>15.5194</v>
      </c>
      <c r="F2473" t="n">
        <v>0.08591</v>
      </c>
    </row>
    <row r="2474">
      <c r="A2474" t="n">
        <v>2000645</v>
      </c>
      <c r="B2474" t="n">
        <v>2</v>
      </c>
      <c r="C2474" t="n">
        <v>645</v>
      </c>
      <c r="D2474" t="n">
        <v>-0.5568</v>
      </c>
      <c r="E2474" t="n">
        <v>15.5177</v>
      </c>
      <c r="F2474" t="n">
        <v>0.0859</v>
      </c>
    </row>
    <row r="2475">
      <c r="A2475" t="n">
        <v>2000646</v>
      </c>
      <c r="B2475" t="n">
        <v>2</v>
      </c>
      <c r="C2475" t="n">
        <v>646</v>
      </c>
      <c r="D2475" t="n">
        <v>-0.5573</v>
      </c>
      <c r="E2475" t="n">
        <v>15.5161</v>
      </c>
      <c r="F2475" t="n">
        <v>0.0859</v>
      </c>
    </row>
    <row r="2476">
      <c r="A2476" t="n">
        <v>2000647</v>
      </c>
      <c r="B2476" t="n">
        <v>2</v>
      </c>
      <c r="C2476" t="n">
        <v>647</v>
      </c>
      <c r="D2476" t="n">
        <v>-0.5578</v>
      </c>
      <c r="E2476" t="n">
        <v>15.5144</v>
      </c>
      <c r="F2476" t="n">
        <v>0.08588999999999999</v>
      </c>
    </row>
    <row r="2477">
      <c r="A2477" t="n">
        <v>2000648</v>
      </c>
      <c r="B2477" t="n">
        <v>2</v>
      </c>
      <c r="C2477" t="n">
        <v>648</v>
      </c>
      <c r="D2477" t="n">
        <v>-0.5584</v>
      </c>
      <c r="E2477" t="n">
        <v>15.5127</v>
      </c>
      <c r="F2477" t="n">
        <v>0.08588999999999999</v>
      </c>
    </row>
    <row r="2478">
      <c r="A2478" t="n">
        <v>2000649</v>
      </c>
      <c r="B2478" t="n">
        <v>2</v>
      </c>
      <c r="C2478" t="n">
        <v>649</v>
      </c>
      <c r="D2478" t="n">
        <v>-0.5589</v>
      </c>
      <c r="E2478" t="n">
        <v>15.511</v>
      </c>
      <c r="F2478" t="n">
        <v>0.08588</v>
      </c>
    </row>
    <row r="2479">
      <c r="A2479" t="n">
        <v>2000650</v>
      </c>
      <c r="B2479" t="n">
        <v>2</v>
      </c>
      <c r="C2479" t="n">
        <v>650</v>
      </c>
      <c r="D2479" t="n">
        <v>-0.5594</v>
      </c>
      <c r="E2479" t="n">
        <v>15.5094</v>
      </c>
      <c r="F2479" t="n">
        <v>0.08587</v>
      </c>
    </row>
    <row r="2480">
      <c r="A2480" t="n">
        <v>2000651</v>
      </c>
      <c r="B2480" t="n">
        <v>2</v>
      </c>
      <c r="C2480" t="n">
        <v>651</v>
      </c>
      <c r="D2480" t="n">
        <v>-0.5599</v>
      </c>
      <c r="E2480" t="n">
        <v>15.5077</v>
      </c>
      <c r="F2480" t="n">
        <v>0.08587</v>
      </c>
    </row>
    <row r="2481">
      <c r="A2481" t="n">
        <v>2000652</v>
      </c>
      <c r="B2481" t="n">
        <v>2</v>
      </c>
      <c r="C2481" t="n">
        <v>652</v>
      </c>
      <c r="D2481" t="n">
        <v>-0.5605</v>
      </c>
      <c r="E2481" t="n">
        <v>15.5061</v>
      </c>
      <c r="F2481" t="n">
        <v>0.08586000000000001</v>
      </c>
    </row>
    <row r="2482">
      <c r="A2482" t="n">
        <v>2000653</v>
      </c>
      <c r="B2482" t="n">
        <v>2</v>
      </c>
      <c r="C2482" t="n">
        <v>653</v>
      </c>
      <c r="D2482" t="n">
        <v>-0.5610000000000001</v>
      </c>
      <c r="E2482" t="n">
        <v>15.5045</v>
      </c>
      <c r="F2482" t="n">
        <v>0.08586000000000001</v>
      </c>
    </row>
    <row r="2483">
      <c r="A2483" t="n">
        <v>2000654</v>
      </c>
      <c r="B2483" t="n">
        <v>2</v>
      </c>
      <c r="C2483" t="n">
        <v>654</v>
      </c>
      <c r="D2483" t="n">
        <v>-0.5615</v>
      </c>
      <c r="E2483" t="n">
        <v>15.5028</v>
      </c>
      <c r="F2483" t="n">
        <v>0.08585</v>
      </c>
    </row>
    <row r="2484">
      <c r="A2484" t="n">
        <v>2000655</v>
      </c>
      <c r="B2484" t="n">
        <v>2</v>
      </c>
      <c r="C2484" t="n">
        <v>655</v>
      </c>
      <c r="D2484" t="n">
        <v>-0.5620000000000001</v>
      </c>
      <c r="E2484" t="n">
        <v>15.5012</v>
      </c>
      <c r="F2484" t="n">
        <v>0.08585</v>
      </c>
    </row>
    <row r="2485">
      <c r="A2485" t="n">
        <v>2000656</v>
      </c>
      <c r="B2485" t="n">
        <v>2</v>
      </c>
      <c r="C2485" t="n">
        <v>656</v>
      </c>
      <c r="D2485" t="n">
        <v>-0.5625</v>
      </c>
      <c r="E2485" t="n">
        <v>15.4996</v>
      </c>
      <c r="F2485" t="n">
        <v>0.08584</v>
      </c>
    </row>
    <row r="2486">
      <c r="A2486" t="n">
        <v>2000657</v>
      </c>
      <c r="B2486" t="n">
        <v>2</v>
      </c>
      <c r="C2486" t="n">
        <v>657</v>
      </c>
      <c r="D2486" t="n">
        <v>-0.5629999999999999</v>
      </c>
      <c r="E2486" t="n">
        <v>15.498</v>
      </c>
      <c r="F2486" t="n">
        <v>0.08584</v>
      </c>
    </row>
    <row r="2487">
      <c r="A2487" t="n">
        <v>2000658</v>
      </c>
      <c r="B2487" t="n">
        <v>2</v>
      </c>
      <c r="C2487" t="n">
        <v>658</v>
      </c>
      <c r="D2487" t="n">
        <v>-0.5636</v>
      </c>
      <c r="E2487" t="n">
        <v>15.4965</v>
      </c>
      <c r="F2487" t="n">
        <v>0.08583</v>
      </c>
    </row>
    <row r="2488">
      <c r="A2488" t="n">
        <v>2000659</v>
      </c>
      <c r="B2488" t="n">
        <v>2</v>
      </c>
      <c r="C2488" t="n">
        <v>659</v>
      </c>
      <c r="D2488" t="n">
        <v>-0.5641</v>
      </c>
      <c r="E2488" t="n">
        <v>15.4949</v>
      </c>
      <c r="F2488" t="n">
        <v>0.08581999999999999</v>
      </c>
    </row>
    <row r="2489">
      <c r="A2489" t="n">
        <v>2000660</v>
      </c>
      <c r="B2489" t="n">
        <v>2</v>
      </c>
      <c r="C2489" t="n">
        <v>660</v>
      </c>
      <c r="D2489" t="n">
        <v>-0.5646</v>
      </c>
      <c r="E2489" t="n">
        <v>15.4933</v>
      </c>
      <c r="F2489" t="n">
        <v>0.08581999999999999</v>
      </c>
    </row>
    <row r="2490">
      <c r="A2490" t="n">
        <v>2000661</v>
      </c>
      <c r="B2490" t="n">
        <v>2</v>
      </c>
      <c r="C2490" t="n">
        <v>661</v>
      </c>
      <c r="D2490" t="n">
        <v>-0.5651</v>
      </c>
      <c r="E2490" t="n">
        <v>15.4918</v>
      </c>
      <c r="F2490" t="n">
        <v>0.08581</v>
      </c>
    </row>
    <row r="2491">
      <c r="A2491" t="n">
        <v>2000662</v>
      </c>
      <c r="B2491" t="n">
        <v>2</v>
      </c>
      <c r="C2491" t="n">
        <v>662</v>
      </c>
      <c r="D2491" t="n">
        <v>-0.5656</v>
      </c>
      <c r="E2491" t="n">
        <v>15.4902</v>
      </c>
      <c r="F2491" t="n">
        <v>0.08581</v>
      </c>
    </row>
    <row r="2492">
      <c r="A2492" t="n">
        <v>2000663</v>
      </c>
      <c r="B2492" t="n">
        <v>2</v>
      </c>
      <c r="C2492" t="n">
        <v>663</v>
      </c>
      <c r="D2492" t="n">
        <v>-0.5661</v>
      </c>
      <c r="E2492" t="n">
        <v>15.4887</v>
      </c>
      <c r="F2492" t="n">
        <v>0.0858</v>
      </c>
    </row>
    <row r="2493">
      <c r="A2493" t="n">
        <v>2000664</v>
      </c>
      <c r="B2493" t="n">
        <v>2</v>
      </c>
      <c r="C2493" t="n">
        <v>664</v>
      </c>
      <c r="D2493" t="n">
        <v>-0.5666</v>
      </c>
      <c r="E2493" t="n">
        <v>15.4872</v>
      </c>
      <c r="F2493" t="n">
        <v>0.0858</v>
      </c>
    </row>
    <row r="2494">
      <c r="A2494" t="n">
        <v>2000665</v>
      </c>
      <c r="B2494" t="n">
        <v>2</v>
      </c>
      <c r="C2494" t="n">
        <v>665</v>
      </c>
      <c r="D2494" t="n">
        <v>-0.5672</v>
      </c>
      <c r="E2494" t="n">
        <v>15.4856</v>
      </c>
      <c r="F2494" t="n">
        <v>0.08579000000000001</v>
      </c>
    </row>
    <row r="2495">
      <c r="A2495" t="n">
        <v>2000666</v>
      </c>
      <c r="B2495" t="n">
        <v>2</v>
      </c>
      <c r="C2495" t="n">
        <v>666</v>
      </c>
      <c r="D2495" t="n">
        <v>-0.5677</v>
      </c>
      <c r="E2495" t="n">
        <v>15.4841</v>
      </c>
      <c r="F2495" t="n">
        <v>0.08579000000000001</v>
      </c>
    </row>
    <row r="2496">
      <c r="A2496" t="n">
        <v>2000667</v>
      </c>
      <c r="B2496" t="n">
        <v>2</v>
      </c>
      <c r="C2496" t="n">
        <v>667</v>
      </c>
      <c r="D2496" t="n">
        <v>-0.5682</v>
      </c>
      <c r="E2496" t="n">
        <v>15.4826</v>
      </c>
      <c r="F2496" t="n">
        <v>0.08578</v>
      </c>
    </row>
    <row r="2497">
      <c r="A2497" t="n">
        <v>2000668</v>
      </c>
      <c r="B2497" t="n">
        <v>2</v>
      </c>
      <c r="C2497" t="n">
        <v>668</v>
      </c>
      <c r="D2497" t="n">
        <v>-0.5687</v>
      </c>
      <c r="E2497" t="n">
        <v>15.4811</v>
      </c>
      <c r="F2497" t="n">
        <v>0.08577</v>
      </c>
    </row>
    <row r="2498">
      <c r="A2498" t="n">
        <v>2000669</v>
      </c>
      <c r="B2498" t="n">
        <v>2</v>
      </c>
      <c r="C2498" t="n">
        <v>669</v>
      </c>
      <c r="D2498" t="n">
        <v>-0.5692</v>
      </c>
      <c r="E2498" t="n">
        <v>15.4797</v>
      </c>
      <c r="F2498" t="n">
        <v>0.08577</v>
      </c>
    </row>
    <row r="2499">
      <c r="A2499" t="n">
        <v>2000670</v>
      </c>
      <c r="B2499" t="n">
        <v>2</v>
      </c>
      <c r="C2499" t="n">
        <v>670</v>
      </c>
      <c r="D2499" t="n">
        <v>-0.5697</v>
      </c>
      <c r="E2499" t="n">
        <v>15.4782</v>
      </c>
      <c r="F2499" t="n">
        <v>0.08576</v>
      </c>
    </row>
    <row r="2500">
      <c r="A2500" t="n">
        <v>2000671</v>
      </c>
      <c r="B2500" t="n">
        <v>2</v>
      </c>
      <c r="C2500" t="n">
        <v>671</v>
      </c>
      <c r="D2500" t="n">
        <v>-0.5702</v>
      </c>
      <c r="E2500" t="n">
        <v>15.4767</v>
      </c>
      <c r="F2500" t="n">
        <v>0.08576</v>
      </c>
    </row>
    <row r="2501">
      <c r="A2501" t="n">
        <v>2000672</v>
      </c>
      <c r="B2501" t="n">
        <v>2</v>
      </c>
      <c r="C2501" t="n">
        <v>672</v>
      </c>
      <c r="D2501" t="n">
        <v>-0.5707</v>
      </c>
      <c r="E2501" t="n">
        <v>15.4753</v>
      </c>
      <c r="F2501" t="n">
        <v>0.08575000000000001</v>
      </c>
    </row>
    <row r="2502">
      <c r="A2502" t="n">
        <v>2000673</v>
      </c>
      <c r="B2502" t="n">
        <v>2</v>
      </c>
      <c r="C2502" t="n">
        <v>673</v>
      </c>
      <c r="D2502" t="n">
        <v>-0.5712</v>
      </c>
      <c r="E2502" t="n">
        <v>15.4738</v>
      </c>
      <c r="F2502" t="n">
        <v>0.08575000000000001</v>
      </c>
    </row>
    <row r="2503">
      <c r="A2503" t="n">
        <v>2000674</v>
      </c>
      <c r="B2503" t="n">
        <v>2</v>
      </c>
      <c r="C2503" t="n">
        <v>674</v>
      </c>
      <c r="D2503" t="n">
        <v>-0.5717</v>
      </c>
      <c r="E2503" t="n">
        <v>15.4724</v>
      </c>
      <c r="F2503" t="n">
        <v>0.08574</v>
      </c>
    </row>
    <row r="2504">
      <c r="A2504" t="n">
        <v>2000675</v>
      </c>
      <c r="B2504" t="n">
        <v>2</v>
      </c>
      <c r="C2504" t="n">
        <v>675</v>
      </c>
      <c r="D2504" t="n">
        <v>-0.5722</v>
      </c>
      <c r="E2504" t="n">
        <v>15.471</v>
      </c>
      <c r="F2504" t="n">
        <v>0.08574</v>
      </c>
    </row>
    <row r="2505">
      <c r="A2505" t="n">
        <v>2000676</v>
      </c>
      <c r="B2505" t="n">
        <v>2</v>
      </c>
      <c r="C2505" t="n">
        <v>676</v>
      </c>
      <c r="D2505" t="n">
        <v>-0.5727</v>
      </c>
      <c r="E2505" t="n">
        <v>15.4695</v>
      </c>
      <c r="F2505" t="n">
        <v>0.08573</v>
      </c>
    </row>
    <row r="2506">
      <c r="A2506" t="n">
        <v>2000677</v>
      </c>
      <c r="B2506" t="n">
        <v>2</v>
      </c>
      <c r="C2506" t="n">
        <v>677</v>
      </c>
      <c r="D2506" t="n">
        <v>-0.5732</v>
      </c>
      <c r="E2506" t="n">
        <v>15.4681</v>
      </c>
      <c r="F2506" t="n">
        <v>0.08573</v>
      </c>
    </row>
    <row r="2507">
      <c r="A2507" t="n">
        <v>2000678</v>
      </c>
      <c r="B2507" t="n">
        <v>2</v>
      </c>
      <c r="C2507" t="n">
        <v>678</v>
      </c>
      <c r="D2507" t="n">
        <v>-0.5737</v>
      </c>
      <c r="E2507" t="n">
        <v>15.4667</v>
      </c>
      <c r="F2507" t="n">
        <v>0.08572</v>
      </c>
    </row>
    <row r="2508">
      <c r="A2508" t="n">
        <v>2000679</v>
      </c>
      <c r="B2508" t="n">
        <v>2</v>
      </c>
      <c r="C2508" t="n">
        <v>679</v>
      </c>
      <c r="D2508" t="n">
        <v>-0.5742</v>
      </c>
      <c r="E2508" t="n">
        <v>15.4653</v>
      </c>
      <c r="F2508" t="n">
        <v>0.08570999999999999</v>
      </c>
    </row>
    <row r="2509">
      <c r="A2509" t="n">
        <v>2000680</v>
      </c>
      <c r="B2509" t="n">
        <v>2</v>
      </c>
      <c r="C2509" t="n">
        <v>680</v>
      </c>
      <c r="D2509" t="n">
        <v>-0.5747</v>
      </c>
      <c r="E2509" t="n">
        <v>15.4639</v>
      </c>
      <c r="F2509" t="n">
        <v>0.08570999999999999</v>
      </c>
    </row>
    <row r="2510">
      <c r="A2510" t="n">
        <v>2000681</v>
      </c>
      <c r="B2510" t="n">
        <v>2</v>
      </c>
      <c r="C2510" t="n">
        <v>681</v>
      </c>
      <c r="D2510" t="n">
        <v>-0.5752</v>
      </c>
      <c r="E2510" t="n">
        <v>15.4626</v>
      </c>
      <c r="F2510" t="n">
        <v>0.0857</v>
      </c>
    </row>
    <row r="2511">
      <c r="A2511" t="n">
        <v>2000682</v>
      </c>
      <c r="B2511" t="n">
        <v>2</v>
      </c>
      <c r="C2511" t="n">
        <v>682</v>
      </c>
      <c r="D2511" t="n">
        <v>-0.5757</v>
      </c>
      <c r="E2511" t="n">
        <v>15.4612</v>
      </c>
      <c r="F2511" t="n">
        <v>0.0857</v>
      </c>
    </row>
    <row r="2512">
      <c r="A2512" t="n">
        <v>2000683</v>
      </c>
      <c r="B2512" t="n">
        <v>2</v>
      </c>
      <c r="C2512" t="n">
        <v>683</v>
      </c>
      <c r="D2512" t="n">
        <v>-0.5762</v>
      </c>
      <c r="E2512" t="n">
        <v>15.4598</v>
      </c>
      <c r="F2512" t="n">
        <v>0.08569</v>
      </c>
    </row>
    <row r="2513">
      <c r="A2513" t="n">
        <v>2000684</v>
      </c>
      <c r="B2513" t="n">
        <v>2</v>
      </c>
      <c r="C2513" t="n">
        <v>684</v>
      </c>
      <c r="D2513" t="n">
        <v>-0.5767</v>
      </c>
      <c r="E2513" t="n">
        <v>15.4585</v>
      </c>
      <c r="F2513" t="n">
        <v>0.08569</v>
      </c>
    </row>
    <row r="2514">
      <c r="A2514" t="n">
        <v>2000685</v>
      </c>
      <c r="B2514" t="n">
        <v>2</v>
      </c>
      <c r="C2514" t="n">
        <v>685</v>
      </c>
      <c r="D2514" t="n">
        <v>-0.5772</v>
      </c>
      <c r="E2514" t="n">
        <v>15.4572</v>
      </c>
      <c r="F2514" t="n">
        <v>0.08568000000000001</v>
      </c>
    </row>
    <row r="2515">
      <c r="A2515" t="n">
        <v>2000686</v>
      </c>
      <c r="B2515" t="n">
        <v>2</v>
      </c>
      <c r="C2515" t="n">
        <v>686</v>
      </c>
      <c r="D2515" t="n">
        <v>-0.5777</v>
      </c>
      <c r="E2515" t="n">
        <v>15.4558</v>
      </c>
      <c r="F2515" t="n">
        <v>0.08568000000000001</v>
      </c>
    </row>
    <row r="2516">
      <c r="A2516" t="n">
        <v>2000687</v>
      </c>
      <c r="B2516" t="n">
        <v>2</v>
      </c>
      <c r="C2516" t="n">
        <v>687</v>
      </c>
      <c r="D2516" t="n">
        <v>-0.5782</v>
      </c>
      <c r="E2516" t="n">
        <v>15.4545</v>
      </c>
      <c r="F2516" t="n">
        <v>0.08567</v>
      </c>
    </row>
    <row r="2517">
      <c r="A2517" t="n">
        <v>2000688</v>
      </c>
      <c r="B2517" t="n">
        <v>2</v>
      </c>
      <c r="C2517" t="n">
        <v>688</v>
      </c>
      <c r="D2517" t="n">
        <v>-0.5787</v>
      </c>
      <c r="E2517" t="n">
        <v>15.4532</v>
      </c>
      <c r="F2517" t="n">
        <v>0.08567</v>
      </c>
    </row>
    <row r="2518">
      <c r="A2518" t="n">
        <v>2000689</v>
      </c>
      <c r="B2518" t="n">
        <v>2</v>
      </c>
      <c r="C2518" t="n">
        <v>689</v>
      </c>
      <c r="D2518" t="n">
        <v>-0.5792</v>
      </c>
      <c r="E2518" t="n">
        <v>15.4519</v>
      </c>
      <c r="F2518" t="n">
        <v>0.08566</v>
      </c>
    </row>
    <row r="2519">
      <c r="A2519" t="n">
        <v>2000690</v>
      </c>
      <c r="B2519" t="n">
        <v>2</v>
      </c>
      <c r="C2519" t="n">
        <v>690</v>
      </c>
      <c r="D2519" t="n">
        <v>-0.5797</v>
      </c>
      <c r="E2519" t="n">
        <v>15.4506</v>
      </c>
      <c r="F2519" t="n">
        <v>0.08565</v>
      </c>
    </row>
    <row r="2520">
      <c r="A2520" t="n">
        <v>2000691</v>
      </c>
      <c r="B2520" t="n">
        <v>2</v>
      </c>
      <c r="C2520" t="n">
        <v>691</v>
      </c>
      <c r="D2520" t="n">
        <v>-0.5802</v>
      </c>
      <c r="E2520" t="n">
        <v>15.4493</v>
      </c>
      <c r="F2520" t="n">
        <v>0.08565</v>
      </c>
    </row>
    <row r="2521">
      <c r="A2521" t="n">
        <v>2000692</v>
      </c>
      <c r="B2521" t="n">
        <v>2</v>
      </c>
      <c r="C2521" t="n">
        <v>692</v>
      </c>
      <c r="D2521" t="n">
        <v>-0.5807</v>
      </c>
      <c r="E2521" t="n">
        <v>15.448</v>
      </c>
      <c r="F2521" t="n">
        <v>0.08563999999999999</v>
      </c>
    </row>
    <row r="2522">
      <c r="A2522" t="n">
        <v>2000693</v>
      </c>
      <c r="B2522" t="n">
        <v>2</v>
      </c>
      <c r="C2522" t="n">
        <v>693</v>
      </c>
      <c r="D2522" t="n">
        <v>-0.5812</v>
      </c>
      <c r="E2522" t="n">
        <v>15.4467</v>
      </c>
      <c r="F2522" t="n">
        <v>0.08563999999999999</v>
      </c>
    </row>
    <row r="2523">
      <c r="A2523" t="n">
        <v>2000694</v>
      </c>
      <c r="B2523" t="n">
        <v>2</v>
      </c>
      <c r="C2523" t="n">
        <v>694</v>
      </c>
      <c r="D2523" t="n">
        <v>-0.5817</v>
      </c>
      <c r="E2523" t="n">
        <v>15.4455</v>
      </c>
      <c r="F2523" t="n">
        <v>0.08563</v>
      </c>
    </row>
    <row r="2524">
      <c r="A2524" t="n">
        <v>2000695</v>
      </c>
      <c r="B2524" t="n">
        <v>2</v>
      </c>
      <c r="C2524" t="n">
        <v>695</v>
      </c>
      <c r="D2524" t="n">
        <v>-0.5821</v>
      </c>
      <c r="E2524" t="n">
        <v>15.4442</v>
      </c>
      <c r="F2524" t="n">
        <v>0.08563</v>
      </c>
    </row>
    <row r="2525">
      <c r="A2525" t="n">
        <v>2000696</v>
      </c>
      <c r="B2525" t="n">
        <v>2</v>
      </c>
      <c r="C2525" t="n">
        <v>696</v>
      </c>
      <c r="D2525" t="n">
        <v>-0.5826</v>
      </c>
      <c r="E2525" t="n">
        <v>15.443</v>
      </c>
      <c r="F2525" t="n">
        <v>0.08562</v>
      </c>
    </row>
    <row r="2526">
      <c r="A2526" t="n">
        <v>2000697</v>
      </c>
      <c r="B2526" t="n">
        <v>2</v>
      </c>
      <c r="C2526" t="n">
        <v>697</v>
      </c>
      <c r="D2526" t="n">
        <v>-0.5831</v>
      </c>
      <c r="E2526" t="n">
        <v>15.4417</v>
      </c>
      <c r="F2526" t="n">
        <v>0.08562</v>
      </c>
    </row>
    <row r="2527">
      <c r="A2527" t="n">
        <v>2000698</v>
      </c>
      <c r="B2527" t="n">
        <v>2</v>
      </c>
      <c r="C2527" t="n">
        <v>698</v>
      </c>
      <c r="D2527" t="n">
        <v>-0.5836</v>
      </c>
      <c r="E2527" t="n">
        <v>15.4405</v>
      </c>
      <c r="F2527" t="n">
        <v>0.08561000000000001</v>
      </c>
    </row>
    <row r="2528">
      <c r="A2528" t="n">
        <v>2000699</v>
      </c>
      <c r="B2528" t="n">
        <v>2</v>
      </c>
      <c r="C2528" t="n">
        <v>699</v>
      </c>
      <c r="D2528" t="n">
        <v>-0.5841</v>
      </c>
      <c r="E2528" t="n">
        <v>15.4393</v>
      </c>
      <c r="F2528" t="n">
        <v>0.08561000000000001</v>
      </c>
    </row>
    <row r="2529">
      <c r="A2529" t="n">
        <v>2000700</v>
      </c>
      <c r="B2529" t="n">
        <v>2</v>
      </c>
      <c r="C2529" t="n">
        <v>700</v>
      </c>
      <c r="D2529" t="n">
        <v>-0.5846</v>
      </c>
      <c r="E2529" t="n">
        <v>15.4381</v>
      </c>
      <c r="F2529" t="n">
        <v>0.0856</v>
      </c>
    </row>
    <row r="2530">
      <c r="A2530" t="n">
        <v>2000701</v>
      </c>
      <c r="B2530" t="n">
        <v>2</v>
      </c>
      <c r="C2530" t="n">
        <v>701</v>
      </c>
      <c r="D2530" t="n">
        <v>-0.5851</v>
      </c>
      <c r="E2530" t="n">
        <v>15.4368</v>
      </c>
      <c r="F2530" t="n">
        <v>0.0856</v>
      </c>
    </row>
    <row r="2531">
      <c r="A2531" t="n">
        <v>2000702</v>
      </c>
      <c r="B2531" t="n">
        <v>2</v>
      </c>
      <c r="C2531" t="n">
        <v>702</v>
      </c>
      <c r="D2531" t="n">
        <v>-0.5855</v>
      </c>
      <c r="E2531" t="n">
        <v>15.4356</v>
      </c>
      <c r="F2531" t="n">
        <v>0.08559</v>
      </c>
    </row>
    <row r="2532">
      <c r="A2532" t="n">
        <v>2000703</v>
      </c>
      <c r="B2532" t="n">
        <v>2</v>
      </c>
      <c r="C2532" t="n">
        <v>703</v>
      </c>
      <c r="D2532" t="n">
        <v>-0.586</v>
      </c>
      <c r="E2532" t="n">
        <v>15.4345</v>
      </c>
      <c r="F2532" t="n">
        <v>0.08559</v>
      </c>
    </row>
    <row r="2533">
      <c r="A2533" t="n">
        <v>2000704</v>
      </c>
      <c r="B2533" t="n">
        <v>2</v>
      </c>
      <c r="C2533" t="n">
        <v>704</v>
      </c>
      <c r="D2533" t="n">
        <v>-0.5865</v>
      </c>
      <c r="E2533" t="n">
        <v>15.4333</v>
      </c>
      <c r="F2533" t="n">
        <v>0.08558</v>
      </c>
    </row>
    <row r="2534">
      <c r="A2534" t="n">
        <v>2000705</v>
      </c>
      <c r="B2534" t="n">
        <v>2</v>
      </c>
      <c r="C2534" t="n">
        <v>705</v>
      </c>
      <c r="D2534" t="n">
        <v>-0.587</v>
      </c>
      <c r="E2534" t="n">
        <v>15.4321</v>
      </c>
      <c r="F2534" t="n">
        <v>0.08558</v>
      </c>
    </row>
    <row r="2535">
      <c r="A2535" t="n">
        <v>2000706</v>
      </c>
      <c r="B2535" t="n">
        <v>2</v>
      </c>
      <c r="C2535" t="n">
        <v>706</v>
      </c>
      <c r="D2535" t="n">
        <v>-0.5875</v>
      </c>
      <c r="E2535" t="n">
        <v>15.4309</v>
      </c>
      <c r="F2535" t="n">
        <v>0.08556999999999999</v>
      </c>
    </row>
    <row r="2536">
      <c r="A2536" t="n">
        <v>2000707</v>
      </c>
      <c r="B2536" t="n">
        <v>2</v>
      </c>
      <c r="C2536" t="n">
        <v>707</v>
      </c>
      <c r="D2536" t="n">
        <v>-0.588</v>
      </c>
      <c r="E2536" t="n">
        <v>15.4298</v>
      </c>
      <c r="F2536" t="n">
        <v>0.08556</v>
      </c>
    </row>
    <row r="2537">
      <c r="A2537" t="n">
        <v>2000708</v>
      </c>
      <c r="B2537" t="n">
        <v>2</v>
      </c>
      <c r="C2537" t="n">
        <v>708</v>
      </c>
      <c r="D2537" t="n">
        <v>-0.5884</v>
      </c>
      <c r="E2537" t="n">
        <v>15.4286</v>
      </c>
      <c r="F2537" t="n">
        <v>0.08556</v>
      </c>
    </row>
    <row r="2538">
      <c r="A2538" t="n">
        <v>2000709</v>
      </c>
      <c r="B2538" t="n">
        <v>2</v>
      </c>
      <c r="C2538" t="n">
        <v>709</v>
      </c>
      <c r="D2538" t="n">
        <v>-0.5889</v>
      </c>
      <c r="E2538" t="n">
        <v>15.4275</v>
      </c>
      <c r="F2538" t="n">
        <v>0.08555</v>
      </c>
    </row>
    <row r="2539">
      <c r="A2539" t="n">
        <v>2000710</v>
      </c>
      <c r="B2539" t="n">
        <v>2</v>
      </c>
      <c r="C2539" t="n">
        <v>710</v>
      </c>
      <c r="D2539" t="n">
        <v>-0.5894</v>
      </c>
      <c r="E2539" t="n">
        <v>15.4263</v>
      </c>
      <c r="F2539" t="n">
        <v>0.08555</v>
      </c>
    </row>
    <row r="2540">
      <c r="A2540" t="n">
        <v>2000711</v>
      </c>
      <c r="B2540" t="n">
        <v>2</v>
      </c>
      <c r="C2540" t="n">
        <v>711</v>
      </c>
      <c r="D2540" t="n">
        <v>-0.5899</v>
      </c>
      <c r="E2540" t="n">
        <v>15.4252</v>
      </c>
      <c r="F2540" t="n">
        <v>0.08554</v>
      </c>
    </row>
    <row r="2541">
      <c r="A2541" t="n">
        <v>2000712</v>
      </c>
      <c r="B2541" t="n">
        <v>2</v>
      </c>
      <c r="C2541" t="n">
        <v>712</v>
      </c>
      <c r="D2541" t="n">
        <v>-0.5904</v>
      </c>
      <c r="E2541" t="n">
        <v>15.4241</v>
      </c>
      <c r="F2541" t="n">
        <v>0.08554</v>
      </c>
    </row>
    <row r="2542">
      <c r="A2542" t="n">
        <v>2000713</v>
      </c>
      <c r="B2542" t="n">
        <v>2</v>
      </c>
      <c r="C2542" t="n">
        <v>713</v>
      </c>
      <c r="D2542" t="n">
        <v>-0.5908</v>
      </c>
      <c r="E2542" t="n">
        <v>15.423</v>
      </c>
      <c r="F2542" t="n">
        <v>0.08552999999999999</v>
      </c>
    </row>
    <row r="2543">
      <c r="A2543" t="n">
        <v>2000714</v>
      </c>
      <c r="B2543" t="n">
        <v>2</v>
      </c>
      <c r="C2543" t="n">
        <v>714</v>
      </c>
      <c r="D2543" t="n">
        <v>-0.5913</v>
      </c>
      <c r="E2543" t="n">
        <v>15.4219</v>
      </c>
      <c r="F2543" t="n">
        <v>0.08552999999999999</v>
      </c>
    </row>
    <row r="2544">
      <c r="A2544" t="n">
        <v>2000715</v>
      </c>
      <c r="B2544" t="n">
        <v>2</v>
      </c>
      <c r="C2544" t="n">
        <v>715</v>
      </c>
      <c r="D2544" t="n">
        <v>-0.5918</v>
      </c>
      <c r="E2544" t="n">
        <v>15.4208</v>
      </c>
      <c r="F2544" t="n">
        <v>0.08552</v>
      </c>
    </row>
    <row r="2545">
      <c r="A2545" t="n">
        <v>2000716</v>
      </c>
      <c r="B2545" t="n">
        <v>2</v>
      </c>
      <c r="C2545" t="n">
        <v>716</v>
      </c>
      <c r="D2545" t="n">
        <v>-0.5923</v>
      </c>
      <c r="E2545" t="n">
        <v>15.4197</v>
      </c>
      <c r="F2545" t="n">
        <v>0.08552</v>
      </c>
    </row>
    <row r="2546">
      <c r="A2546" t="n">
        <v>2000717</v>
      </c>
      <c r="B2546" t="n">
        <v>2</v>
      </c>
      <c r="C2546" t="n">
        <v>717</v>
      </c>
      <c r="D2546" t="n">
        <v>-0.5927</v>
      </c>
      <c r="E2546" t="n">
        <v>15.4186</v>
      </c>
      <c r="F2546" t="n">
        <v>0.08551</v>
      </c>
    </row>
    <row r="2547">
      <c r="A2547" t="n">
        <v>2000718</v>
      </c>
      <c r="B2547" t="n">
        <v>2</v>
      </c>
      <c r="C2547" t="n">
        <v>718</v>
      </c>
      <c r="D2547" t="n">
        <v>-0.5931999999999999</v>
      </c>
      <c r="E2547" t="n">
        <v>15.4175</v>
      </c>
      <c r="F2547" t="n">
        <v>0.08551</v>
      </c>
    </row>
    <row r="2548">
      <c r="A2548" t="n">
        <v>2000719</v>
      </c>
      <c r="B2548" t="n">
        <v>2</v>
      </c>
      <c r="C2548" t="n">
        <v>719</v>
      </c>
      <c r="D2548" t="n">
        <v>-0.5937</v>
      </c>
      <c r="E2548" t="n">
        <v>15.4164</v>
      </c>
      <c r="F2548" t="n">
        <v>0.08550000000000001</v>
      </c>
    </row>
    <row r="2549">
      <c r="A2549" t="n">
        <v>2000720</v>
      </c>
      <c r="B2549" t="n">
        <v>2</v>
      </c>
      <c r="C2549" t="n">
        <v>720</v>
      </c>
      <c r="D2549" t="n">
        <v>-0.5942</v>
      </c>
      <c r="E2549" t="n">
        <v>15.4154</v>
      </c>
      <c r="F2549" t="n">
        <v>0.08550000000000001</v>
      </c>
    </row>
    <row r="2550">
      <c r="A2550" t="n">
        <v>2000721</v>
      </c>
      <c r="B2550" t="n">
        <v>2</v>
      </c>
      <c r="C2550" t="n">
        <v>721</v>
      </c>
      <c r="D2550" t="n">
        <v>-0.5946</v>
      </c>
      <c r="E2550" t="n">
        <v>15.4143</v>
      </c>
      <c r="F2550" t="n">
        <v>0.08549</v>
      </c>
    </row>
    <row r="2551">
      <c r="A2551" t="n">
        <v>2000722</v>
      </c>
      <c r="B2551" t="n">
        <v>2</v>
      </c>
      <c r="C2551" t="n">
        <v>722</v>
      </c>
      <c r="D2551" t="n">
        <v>-0.5951</v>
      </c>
      <c r="E2551" t="n">
        <v>15.4133</v>
      </c>
      <c r="F2551" t="n">
        <v>0.08549</v>
      </c>
    </row>
    <row r="2552">
      <c r="A2552" t="n">
        <v>2000723</v>
      </c>
      <c r="B2552" t="n">
        <v>2</v>
      </c>
      <c r="C2552" t="n">
        <v>723</v>
      </c>
      <c r="D2552" t="n">
        <v>-0.5956</v>
      </c>
      <c r="E2552" t="n">
        <v>15.4122</v>
      </c>
      <c r="F2552" t="n">
        <v>0.08548</v>
      </c>
    </row>
    <row r="2553">
      <c r="A2553" t="n">
        <v>2000724</v>
      </c>
      <c r="B2553" t="n">
        <v>2</v>
      </c>
      <c r="C2553" t="n">
        <v>724</v>
      </c>
      <c r="D2553" t="n">
        <v>-0.5961</v>
      </c>
      <c r="E2553" t="n">
        <v>15.4112</v>
      </c>
      <c r="F2553" t="n">
        <v>0.08548</v>
      </c>
    </row>
    <row r="2554">
      <c r="A2554" t="n">
        <v>2000725</v>
      </c>
      <c r="B2554" t="n">
        <v>2</v>
      </c>
      <c r="C2554" t="n">
        <v>725</v>
      </c>
      <c r="D2554" t="n">
        <v>-0.5965</v>
      </c>
      <c r="E2554" t="n">
        <v>15.4102</v>
      </c>
      <c r="F2554" t="n">
        <v>0.08547</v>
      </c>
    </row>
    <row r="2555">
      <c r="A2555" t="n">
        <v>2000726</v>
      </c>
      <c r="B2555" t="n">
        <v>2</v>
      </c>
      <c r="C2555" t="n">
        <v>726</v>
      </c>
      <c r="D2555" t="n">
        <v>-0.597</v>
      </c>
      <c r="E2555" t="n">
        <v>15.4092</v>
      </c>
      <c r="F2555" t="n">
        <v>0.08547</v>
      </c>
    </row>
    <row r="2556">
      <c r="A2556" t="n">
        <v>2000727</v>
      </c>
      <c r="B2556" t="n">
        <v>2</v>
      </c>
      <c r="C2556" t="n">
        <v>727</v>
      </c>
      <c r="D2556" t="n">
        <v>-0.5975</v>
      </c>
      <c r="E2556" t="n">
        <v>15.4082</v>
      </c>
      <c r="F2556" t="n">
        <v>0.08545999999999999</v>
      </c>
    </row>
    <row r="2557">
      <c r="A2557" t="n">
        <v>2000728</v>
      </c>
      <c r="B2557" t="n">
        <v>2</v>
      </c>
      <c r="C2557" t="n">
        <v>728</v>
      </c>
      <c r="D2557" t="n">
        <v>-0.5979</v>
      </c>
      <c r="E2557" t="n">
        <v>15.4072</v>
      </c>
      <c r="F2557" t="n">
        <v>0.08545999999999999</v>
      </c>
    </row>
    <row r="2558">
      <c r="A2558" t="n">
        <v>2000729</v>
      </c>
      <c r="B2558" t="n">
        <v>2</v>
      </c>
      <c r="C2558" t="n">
        <v>729</v>
      </c>
      <c r="D2558" t="n">
        <v>-0.5984</v>
      </c>
      <c r="E2558" t="n">
        <v>15.4062</v>
      </c>
      <c r="F2558" t="n">
        <v>0.08545</v>
      </c>
    </row>
    <row r="2559">
      <c r="A2559" t="n">
        <v>2000730</v>
      </c>
      <c r="B2559" t="n">
        <v>2</v>
      </c>
      <c r="C2559" t="n">
        <v>730</v>
      </c>
      <c r="D2559" t="n">
        <v>-0.5989</v>
      </c>
      <c r="E2559" t="n">
        <v>15.4052</v>
      </c>
      <c r="F2559" t="n">
        <v>0.08545</v>
      </c>
    </row>
    <row r="2560">
      <c r="A2560" t="n">
        <v>2000731</v>
      </c>
      <c r="B2560" t="n">
        <v>2</v>
      </c>
      <c r="C2560" t="n">
        <v>731</v>
      </c>
      <c r="D2560" t="n">
        <v>-0.5684</v>
      </c>
      <c r="E2560" t="n">
        <v>15.6881</v>
      </c>
      <c r="F2560" t="n">
        <v>0.08454</v>
      </c>
    </row>
    <row r="2561">
      <c r="A2561" t="n">
        <v>2000732</v>
      </c>
      <c r="B2561" t="n">
        <v>2</v>
      </c>
      <c r="C2561" t="n">
        <v>732</v>
      </c>
      <c r="D2561" t="n">
        <v>-0.5684</v>
      </c>
      <c r="E2561" t="n">
        <v>15.6871</v>
      </c>
      <c r="F2561" t="n">
        <v>0.08454</v>
      </c>
    </row>
    <row r="2562">
      <c r="A2562" t="n">
        <v>2000733</v>
      </c>
      <c r="B2562" t="n">
        <v>2</v>
      </c>
      <c r="C2562" t="n">
        <v>733</v>
      </c>
      <c r="D2562" t="n">
        <v>-0.5684</v>
      </c>
      <c r="E2562" t="n">
        <v>15.6861</v>
      </c>
      <c r="F2562" t="n">
        <v>0.08454</v>
      </c>
    </row>
    <row r="2563">
      <c r="A2563" t="n">
        <v>2000734</v>
      </c>
      <c r="B2563" t="n">
        <v>2</v>
      </c>
      <c r="C2563" t="n">
        <v>734</v>
      </c>
      <c r="D2563" t="n">
        <v>-0.5684</v>
      </c>
      <c r="E2563" t="n">
        <v>15.6851</v>
      </c>
      <c r="F2563" t="n">
        <v>0.08454</v>
      </c>
    </row>
    <row r="2564">
      <c r="A2564" t="n">
        <v>2000735</v>
      </c>
      <c r="B2564" t="n">
        <v>2</v>
      </c>
      <c r="C2564" t="n">
        <v>735</v>
      </c>
      <c r="D2564" t="n">
        <v>-0.5684</v>
      </c>
      <c r="E2564" t="n">
        <v>15.6841</v>
      </c>
      <c r="F2564" t="n">
        <v>0.08454</v>
      </c>
    </row>
    <row r="2565">
      <c r="A2565" t="n">
        <v>2000736</v>
      </c>
      <c r="B2565" t="n">
        <v>2</v>
      </c>
      <c r="C2565" t="n">
        <v>736</v>
      </c>
      <c r="D2565" t="n">
        <v>-0.5684</v>
      </c>
      <c r="E2565" t="n">
        <v>15.6831</v>
      </c>
      <c r="F2565" t="n">
        <v>0.08454</v>
      </c>
    </row>
    <row r="2566">
      <c r="A2566" t="n">
        <v>2000737</v>
      </c>
      <c r="B2566" t="n">
        <v>2</v>
      </c>
      <c r="C2566" t="n">
        <v>737</v>
      </c>
      <c r="D2566" t="n">
        <v>-0.5684</v>
      </c>
      <c r="E2566" t="n">
        <v>15.6822</v>
      </c>
      <c r="F2566" t="n">
        <v>0.08454</v>
      </c>
    </row>
    <row r="2567">
      <c r="A2567" t="n">
        <v>2000738</v>
      </c>
      <c r="B2567" t="n">
        <v>2</v>
      </c>
      <c r="C2567" t="n">
        <v>738</v>
      </c>
      <c r="D2567" t="n">
        <v>-0.5684</v>
      </c>
      <c r="E2567" t="n">
        <v>15.6812</v>
      </c>
      <c r="F2567" t="n">
        <v>0.08454</v>
      </c>
    </row>
    <row r="2568">
      <c r="A2568" t="n">
        <v>2000739</v>
      </c>
      <c r="B2568" t="n">
        <v>2</v>
      </c>
      <c r="C2568" t="n">
        <v>739</v>
      </c>
      <c r="D2568" t="n">
        <v>-0.5684</v>
      </c>
      <c r="E2568" t="n">
        <v>15.6802</v>
      </c>
      <c r="F2568" t="n">
        <v>0.08454</v>
      </c>
    </row>
    <row r="2569">
      <c r="A2569" t="n">
        <v>2000740</v>
      </c>
      <c r="B2569" t="n">
        <v>2</v>
      </c>
      <c r="C2569" t="n">
        <v>740</v>
      </c>
      <c r="D2569" t="n">
        <v>-0.5684</v>
      </c>
      <c r="E2569" t="n">
        <v>15.6792</v>
      </c>
      <c r="F2569" t="n">
        <v>0.08454</v>
      </c>
    </row>
    <row r="2570">
      <c r="A2570" t="n">
        <v>2000741</v>
      </c>
      <c r="B2570" t="n">
        <v>2</v>
      </c>
      <c r="C2570" t="n">
        <v>741</v>
      </c>
      <c r="D2570" t="n">
        <v>-0.5684</v>
      </c>
      <c r="E2570" t="n">
        <v>15.6782</v>
      </c>
      <c r="F2570" t="n">
        <v>0.08454</v>
      </c>
    </row>
    <row r="2571">
      <c r="A2571" t="n">
        <v>2000742</v>
      </c>
      <c r="B2571" t="n">
        <v>2</v>
      </c>
      <c r="C2571" t="n">
        <v>742</v>
      </c>
      <c r="D2571" t="n">
        <v>-0.5684</v>
      </c>
      <c r="E2571" t="n">
        <v>15.6772</v>
      </c>
      <c r="F2571" t="n">
        <v>0.08454</v>
      </c>
    </row>
    <row r="2572">
      <c r="A2572" t="n">
        <v>2000743</v>
      </c>
      <c r="B2572" t="n">
        <v>2</v>
      </c>
      <c r="C2572" t="n">
        <v>743</v>
      </c>
      <c r="D2572" t="n">
        <v>-0.5684</v>
      </c>
      <c r="E2572" t="n">
        <v>15.6763</v>
      </c>
      <c r="F2572" t="n">
        <v>0.08454</v>
      </c>
    </row>
    <row r="2573">
      <c r="A2573" t="n">
        <v>2000744</v>
      </c>
      <c r="B2573" t="n">
        <v>2</v>
      </c>
      <c r="C2573" t="n">
        <v>744</v>
      </c>
      <c r="D2573" t="n">
        <v>-0.5684</v>
      </c>
      <c r="E2573" t="n">
        <v>15.6753</v>
      </c>
      <c r="F2573" t="n">
        <v>0.08454</v>
      </c>
    </row>
    <row r="2574">
      <c r="A2574" t="n">
        <v>2000745</v>
      </c>
      <c r="B2574" t="n">
        <v>2</v>
      </c>
      <c r="C2574" t="n">
        <v>745</v>
      </c>
      <c r="D2574" t="n">
        <v>-0.5684</v>
      </c>
      <c r="E2574" t="n">
        <v>15.6743</v>
      </c>
      <c r="F2574" t="n">
        <v>0.08452999999999999</v>
      </c>
    </row>
    <row r="2575">
      <c r="A2575" t="n">
        <v>2000746</v>
      </c>
      <c r="B2575" t="n">
        <v>2</v>
      </c>
      <c r="C2575" t="n">
        <v>746</v>
      </c>
      <c r="D2575" t="n">
        <v>-0.5684</v>
      </c>
      <c r="E2575" t="n">
        <v>15.6733</v>
      </c>
      <c r="F2575" t="n">
        <v>0.08452999999999999</v>
      </c>
    </row>
    <row r="2576">
      <c r="A2576" t="n">
        <v>2000747</v>
      </c>
      <c r="B2576" t="n">
        <v>2</v>
      </c>
      <c r="C2576" t="n">
        <v>747</v>
      </c>
      <c r="D2576" t="n">
        <v>-0.5684</v>
      </c>
      <c r="E2576" t="n">
        <v>15.6724</v>
      </c>
      <c r="F2576" t="n">
        <v>0.08452999999999999</v>
      </c>
    </row>
    <row r="2577">
      <c r="A2577" t="n">
        <v>2000748</v>
      </c>
      <c r="B2577" t="n">
        <v>2</v>
      </c>
      <c r="C2577" t="n">
        <v>748</v>
      </c>
      <c r="D2577" t="n">
        <v>-0.5684</v>
      </c>
      <c r="E2577" t="n">
        <v>15.6714</v>
      </c>
      <c r="F2577" t="n">
        <v>0.08452999999999999</v>
      </c>
    </row>
    <row r="2578">
      <c r="A2578" t="n">
        <v>2000749</v>
      </c>
      <c r="B2578" t="n">
        <v>2</v>
      </c>
      <c r="C2578" t="n">
        <v>749</v>
      </c>
      <c r="D2578" t="n">
        <v>-0.5684</v>
      </c>
      <c r="E2578" t="n">
        <v>15.6704</v>
      </c>
      <c r="F2578" t="n">
        <v>0.08452999999999999</v>
      </c>
    </row>
    <row r="2579">
      <c r="A2579" t="n">
        <v>2000750</v>
      </c>
      <c r="B2579" t="n">
        <v>2</v>
      </c>
      <c r="C2579" t="n">
        <v>750</v>
      </c>
      <c r="D2579" t="n">
        <v>-0.5684</v>
      </c>
      <c r="E2579" t="n">
        <v>15.6695</v>
      </c>
      <c r="F2579" t="n">
        <v>0.08452999999999999</v>
      </c>
    </row>
    <row r="2580">
      <c r="A2580" t="n">
        <v>2000751</v>
      </c>
      <c r="B2580" t="n">
        <v>2</v>
      </c>
      <c r="C2580" t="n">
        <v>751</v>
      </c>
      <c r="D2580" t="n">
        <v>-0.5684</v>
      </c>
      <c r="E2580" t="n">
        <v>15.6685</v>
      </c>
      <c r="F2580" t="n">
        <v>0.08452999999999999</v>
      </c>
    </row>
    <row r="2581">
      <c r="A2581" t="n">
        <v>2000752</v>
      </c>
      <c r="B2581" t="n">
        <v>2</v>
      </c>
      <c r="C2581" t="n">
        <v>752</v>
      </c>
      <c r="D2581" t="n">
        <v>-0.5684</v>
      </c>
      <c r="E2581" t="n">
        <v>15.6675</v>
      </c>
      <c r="F2581" t="n">
        <v>0.08452999999999999</v>
      </c>
    </row>
    <row r="2582">
      <c r="A2582" t="n">
        <v>2000753</v>
      </c>
      <c r="B2582" t="n">
        <v>2</v>
      </c>
      <c r="C2582" t="n">
        <v>753</v>
      </c>
      <c r="D2582" t="n">
        <v>-0.5684</v>
      </c>
      <c r="E2582" t="n">
        <v>15.6666</v>
      </c>
      <c r="F2582" t="n">
        <v>0.08452999999999999</v>
      </c>
    </row>
    <row r="2583">
      <c r="A2583" t="n">
        <v>2000754</v>
      </c>
      <c r="B2583" t="n">
        <v>2</v>
      </c>
      <c r="C2583" t="n">
        <v>754</v>
      </c>
      <c r="D2583" t="n">
        <v>-0.5684</v>
      </c>
      <c r="E2583" t="n">
        <v>15.6656</v>
      </c>
      <c r="F2583" t="n">
        <v>0.08452999999999999</v>
      </c>
    </row>
    <row r="2584">
      <c r="A2584" t="n">
        <v>2000755</v>
      </c>
      <c r="B2584" t="n">
        <v>2</v>
      </c>
      <c r="C2584" t="n">
        <v>755</v>
      </c>
      <c r="D2584" t="n">
        <v>-0.5684</v>
      </c>
      <c r="E2584" t="n">
        <v>15.6646</v>
      </c>
      <c r="F2584" t="n">
        <v>0.08452999999999999</v>
      </c>
    </row>
    <row r="2585">
      <c r="A2585" t="n">
        <v>2000756</v>
      </c>
      <c r="B2585" t="n">
        <v>2</v>
      </c>
      <c r="C2585" t="n">
        <v>756</v>
      </c>
      <c r="D2585" t="n">
        <v>-0.5684</v>
      </c>
      <c r="E2585" t="n">
        <v>15.6637</v>
      </c>
      <c r="F2585" t="n">
        <v>0.08452999999999999</v>
      </c>
    </row>
    <row r="2586">
      <c r="A2586" t="n">
        <v>2000757</v>
      </c>
      <c r="B2586" t="n">
        <v>2</v>
      </c>
      <c r="C2586" t="n">
        <v>757</v>
      </c>
      <c r="D2586" t="n">
        <v>-0.5684</v>
      </c>
      <c r="E2586" t="n">
        <v>15.6627</v>
      </c>
      <c r="F2586" t="n">
        <v>0.08452</v>
      </c>
    </row>
    <row r="2587">
      <c r="A2587" t="n">
        <v>2000758</v>
      </c>
      <c r="B2587" t="n">
        <v>2</v>
      </c>
      <c r="C2587" t="n">
        <v>758</v>
      </c>
      <c r="D2587" t="n">
        <v>-0.5684</v>
      </c>
      <c r="E2587" t="n">
        <v>15.6618</v>
      </c>
      <c r="F2587" t="n">
        <v>0.08452</v>
      </c>
    </row>
    <row r="2588">
      <c r="A2588" t="n">
        <v>2000759</v>
      </c>
      <c r="B2588" t="n">
        <v>2</v>
      </c>
      <c r="C2588" t="n">
        <v>759</v>
      </c>
      <c r="D2588" t="n">
        <v>-0.5684</v>
      </c>
      <c r="E2588" t="n">
        <v>15.6608</v>
      </c>
      <c r="F2588" t="n">
        <v>0.08452</v>
      </c>
    </row>
    <row r="2589">
      <c r="A2589" t="n">
        <v>2000760</v>
      </c>
      <c r="B2589" t="n">
        <v>2</v>
      </c>
      <c r="C2589" t="n">
        <v>760</v>
      </c>
      <c r="D2589" t="n">
        <v>-0.5684</v>
      </c>
      <c r="E2589" t="n">
        <v>15.6599</v>
      </c>
      <c r="F2589" t="n">
        <v>0.08452</v>
      </c>
    </row>
    <row r="2590">
      <c r="A2590" t="n">
        <v>2000761</v>
      </c>
      <c r="B2590" t="n">
        <v>2</v>
      </c>
      <c r="C2590" t="n">
        <v>761</v>
      </c>
      <c r="D2590" t="n">
        <v>-0.5684</v>
      </c>
      <c r="E2590" t="n">
        <v>15.6589</v>
      </c>
      <c r="F2590" t="n">
        <v>0.08452</v>
      </c>
    </row>
    <row r="2591">
      <c r="A2591" t="n">
        <v>2000762</v>
      </c>
      <c r="B2591" t="n">
        <v>2</v>
      </c>
      <c r="C2591" t="n">
        <v>762</v>
      </c>
      <c r="D2591" t="n">
        <v>-0.5684</v>
      </c>
      <c r="E2591" t="n">
        <v>15.658</v>
      </c>
      <c r="F2591" t="n">
        <v>0.08452</v>
      </c>
    </row>
    <row r="2592">
      <c r="A2592" t="n">
        <v>2000763</v>
      </c>
      <c r="B2592" t="n">
        <v>2</v>
      </c>
      <c r="C2592" t="n">
        <v>763</v>
      </c>
      <c r="D2592" t="n">
        <v>-0.5684</v>
      </c>
      <c r="E2592" t="n">
        <v>15.657</v>
      </c>
      <c r="F2592" t="n">
        <v>0.08452</v>
      </c>
    </row>
    <row r="2593">
      <c r="A2593" t="n">
        <v>2000764</v>
      </c>
      <c r="B2593" t="n">
        <v>2</v>
      </c>
      <c r="C2593" t="n">
        <v>764</v>
      </c>
      <c r="D2593" t="n">
        <v>-0.5684</v>
      </c>
      <c r="E2593" t="n">
        <v>15.6561</v>
      </c>
      <c r="F2593" t="n">
        <v>0.08452</v>
      </c>
    </row>
    <row r="2594">
      <c r="A2594" t="n">
        <v>2000765</v>
      </c>
      <c r="B2594" t="n">
        <v>2</v>
      </c>
      <c r="C2594" t="n">
        <v>765</v>
      </c>
      <c r="D2594" t="n">
        <v>-0.5684</v>
      </c>
      <c r="E2594" t="n">
        <v>15.6551</v>
      </c>
      <c r="F2594" t="n">
        <v>0.08452</v>
      </c>
    </row>
    <row r="2595">
      <c r="A2595" t="n">
        <v>2000766</v>
      </c>
      <c r="B2595" t="n">
        <v>2</v>
      </c>
      <c r="C2595" t="n">
        <v>766</v>
      </c>
      <c r="D2595" t="n">
        <v>-0.5684</v>
      </c>
      <c r="E2595" t="n">
        <v>15.6542</v>
      </c>
      <c r="F2595" t="n">
        <v>0.08452</v>
      </c>
    </row>
    <row r="2596">
      <c r="A2596" t="n">
        <v>2000767</v>
      </c>
      <c r="B2596" t="n">
        <v>2</v>
      </c>
      <c r="C2596" t="n">
        <v>767</v>
      </c>
      <c r="D2596" t="n">
        <v>-0.5684</v>
      </c>
      <c r="E2596" t="n">
        <v>15.6532</v>
      </c>
      <c r="F2596" t="n">
        <v>0.08451</v>
      </c>
    </row>
    <row r="2597">
      <c r="A2597" t="n">
        <v>2000768</v>
      </c>
      <c r="B2597" t="n">
        <v>2</v>
      </c>
      <c r="C2597" t="n">
        <v>768</v>
      </c>
      <c r="D2597" t="n">
        <v>-0.5684</v>
      </c>
      <c r="E2597" t="n">
        <v>15.6523</v>
      </c>
      <c r="F2597" t="n">
        <v>0.08451</v>
      </c>
    </row>
    <row r="2598">
      <c r="A2598" t="n">
        <v>2000769</v>
      </c>
      <c r="B2598" t="n">
        <v>2</v>
      </c>
      <c r="C2598" t="n">
        <v>769</v>
      </c>
      <c r="D2598" t="n">
        <v>-0.5684</v>
      </c>
      <c r="E2598" t="n">
        <v>15.6514</v>
      </c>
      <c r="F2598" t="n">
        <v>0.08451</v>
      </c>
    </row>
    <row r="2599">
      <c r="A2599" t="n">
        <v>2000770</v>
      </c>
      <c r="B2599" t="n">
        <v>2</v>
      </c>
      <c r="C2599" t="n">
        <v>770</v>
      </c>
      <c r="D2599" t="n">
        <v>-0.5684</v>
      </c>
      <c r="E2599" t="n">
        <v>15.6504</v>
      </c>
      <c r="F2599" t="n">
        <v>0.08451</v>
      </c>
    </row>
    <row r="2600">
      <c r="A2600" t="n">
        <v>2000771</v>
      </c>
      <c r="B2600" t="n">
        <v>2</v>
      </c>
      <c r="C2600" t="n">
        <v>771</v>
      </c>
      <c r="D2600" t="n">
        <v>-0.5684</v>
      </c>
      <c r="E2600" t="n">
        <v>15.6495</v>
      </c>
      <c r="F2600" t="n">
        <v>0.08451</v>
      </c>
    </row>
    <row r="2601">
      <c r="A2601" t="n">
        <v>2000772</v>
      </c>
      <c r="B2601" t="n">
        <v>2</v>
      </c>
      <c r="C2601" t="n">
        <v>772</v>
      </c>
      <c r="D2601" t="n">
        <v>-0.5684</v>
      </c>
      <c r="E2601" t="n">
        <v>15.6486</v>
      </c>
      <c r="F2601" t="n">
        <v>0.08451</v>
      </c>
    </row>
    <row r="2602">
      <c r="A2602" t="n">
        <v>2000773</v>
      </c>
      <c r="B2602" t="n">
        <v>2</v>
      </c>
      <c r="C2602" t="n">
        <v>773</v>
      </c>
      <c r="D2602" t="n">
        <v>-0.5684</v>
      </c>
      <c r="E2602" t="n">
        <v>15.6476</v>
      </c>
      <c r="F2602" t="n">
        <v>0.08451</v>
      </c>
    </row>
    <row r="2603">
      <c r="A2603" t="n">
        <v>2000774</v>
      </c>
      <c r="B2603" t="n">
        <v>2</v>
      </c>
      <c r="C2603" t="n">
        <v>774</v>
      </c>
      <c r="D2603" t="n">
        <v>-0.5684</v>
      </c>
      <c r="E2603" t="n">
        <v>15.6467</v>
      </c>
      <c r="F2603" t="n">
        <v>0.08451</v>
      </c>
    </row>
    <row r="2604">
      <c r="A2604" t="n">
        <v>2000775</v>
      </c>
      <c r="B2604" t="n">
        <v>2</v>
      </c>
      <c r="C2604" t="n">
        <v>775</v>
      </c>
      <c r="D2604" t="n">
        <v>-0.5684</v>
      </c>
      <c r="E2604" t="n">
        <v>15.6458</v>
      </c>
      <c r="F2604" t="n">
        <v>0.08451</v>
      </c>
    </row>
    <row r="2605">
      <c r="A2605" t="n">
        <v>2000776</v>
      </c>
      <c r="B2605" t="n">
        <v>2</v>
      </c>
      <c r="C2605" t="n">
        <v>776</v>
      </c>
      <c r="D2605" t="n">
        <v>-0.5684</v>
      </c>
      <c r="E2605" t="n">
        <v>15.6448</v>
      </c>
      <c r="F2605" t="n">
        <v>0.08451</v>
      </c>
    </row>
    <row r="2606">
      <c r="A2606" t="n">
        <v>2000777</v>
      </c>
      <c r="B2606" t="n">
        <v>2</v>
      </c>
      <c r="C2606" t="n">
        <v>777</v>
      </c>
      <c r="D2606" t="n">
        <v>-0.5684</v>
      </c>
      <c r="E2606" t="n">
        <v>15.6439</v>
      </c>
      <c r="F2606" t="n">
        <v>0.08451</v>
      </c>
    </row>
    <row r="2607">
      <c r="A2607" t="n">
        <v>2000778</v>
      </c>
      <c r="B2607" t="n">
        <v>2</v>
      </c>
      <c r="C2607" t="n">
        <v>778</v>
      </c>
      <c r="D2607" t="n">
        <v>-0.5684</v>
      </c>
      <c r="E2607" t="n">
        <v>15.643</v>
      </c>
      <c r="F2607" t="n">
        <v>0.08450000000000001</v>
      </c>
    </row>
    <row r="2608">
      <c r="A2608" t="n">
        <v>2000779</v>
      </c>
      <c r="B2608" t="n">
        <v>2</v>
      </c>
      <c r="C2608" t="n">
        <v>779</v>
      </c>
      <c r="D2608" t="n">
        <v>-0.5684</v>
      </c>
      <c r="E2608" t="n">
        <v>15.6421</v>
      </c>
      <c r="F2608" t="n">
        <v>0.08450000000000001</v>
      </c>
    </row>
    <row r="2609">
      <c r="A2609" t="n">
        <v>2000780</v>
      </c>
      <c r="B2609" t="n">
        <v>2</v>
      </c>
      <c r="C2609" t="n">
        <v>780</v>
      </c>
      <c r="D2609" t="n">
        <v>-0.5684</v>
      </c>
      <c r="E2609" t="n">
        <v>15.6411</v>
      </c>
      <c r="F2609" t="n">
        <v>0.08450000000000001</v>
      </c>
    </row>
    <row r="2610">
      <c r="A2610" t="n">
        <v>2000781</v>
      </c>
      <c r="B2610" t="n">
        <v>2</v>
      </c>
      <c r="C2610" t="n">
        <v>781</v>
      </c>
      <c r="D2610" t="n">
        <v>-0.5684</v>
      </c>
      <c r="E2610" t="n">
        <v>15.6402</v>
      </c>
      <c r="F2610" t="n">
        <v>0.08450000000000001</v>
      </c>
    </row>
    <row r="2611">
      <c r="A2611" t="n">
        <v>2000782</v>
      </c>
      <c r="B2611" t="n">
        <v>2</v>
      </c>
      <c r="C2611" t="n">
        <v>782</v>
      </c>
      <c r="D2611" t="n">
        <v>-0.5684</v>
      </c>
      <c r="E2611" t="n">
        <v>15.6393</v>
      </c>
      <c r="F2611" t="n">
        <v>0.08450000000000001</v>
      </c>
    </row>
    <row r="2612">
      <c r="A2612" t="n">
        <v>2000783</v>
      </c>
      <c r="B2612" t="n">
        <v>2</v>
      </c>
      <c r="C2612" t="n">
        <v>783</v>
      </c>
      <c r="D2612" t="n">
        <v>-0.5684</v>
      </c>
      <c r="E2612" t="n">
        <v>15.6384</v>
      </c>
      <c r="F2612" t="n">
        <v>0.08450000000000001</v>
      </c>
    </row>
    <row r="2613">
      <c r="A2613" t="n">
        <v>2000784</v>
      </c>
      <c r="B2613" t="n">
        <v>2</v>
      </c>
      <c r="C2613" t="n">
        <v>784</v>
      </c>
      <c r="D2613" t="n">
        <v>-0.5684</v>
      </c>
      <c r="E2613" t="n">
        <v>15.6375</v>
      </c>
      <c r="F2613" t="n">
        <v>0.08450000000000001</v>
      </c>
    </row>
    <row r="2614">
      <c r="A2614" t="n">
        <v>2000785</v>
      </c>
      <c r="B2614" t="n">
        <v>2</v>
      </c>
      <c r="C2614" t="n">
        <v>785</v>
      </c>
      <c r="D2614" t="n">
        <v>-0.5684</v>
      </c>
      <c r="E2614" t="n">
        <v>15.6366</v>
      </c>
      <c r="F2614" t="n">
        <v>0.08450000000000001</v>
      </c>
    </row>
    <row r="2615">
      <c r="A2615" t="n">
        <v>2000786</v>
      </c>
      <c r="B2615" t="n">
        <v>2</v>
      </c>
      <c r="C2615" t="n">
        <v>786</v>
      </c>
      <c r="D2615" t="n">
        <v>-0.5684</v>
      </c>
      <c r="E2615" t="n">
        <v>15.6356</v>
      </c>
      <c r="F2615" t="n">
        <v>0.08450000000000001</v>
      </c>
    </row>
    <row r="2616">
      <c r="A2616" t="n">
        <v>2000787</v>
      </c>
      <c r="B2616" t="n">
        <v>2</v>
      </c>
      <c r="C2616" t="n">
        <v>787</v>
      </c>
      <c r="D2616" t="n">
        <v>-0.5684</v>
      </c>
      <c r="E2616" t="n">
        <v>15.6347</v>
      </c>
      <c r="F2616" t="n">
        <v>0.08450000000000001</v>
      </c>
    </row>
    <row r="2617">
      <c r="A2617" t="n">
        <v>2000788</v>
      </c>
      <c r="B2617" t="n">
        <v>2</v>
      </c>
      <c r="C2617" t="n">
        <v>788</v>
      </c>
      <c r="D2617" t="n">
        <v>-0.5684</v>
      </c>
      <c r="E2617" t="n">
        <v>15.6338</v>
      </c>
      <c r="F2617" t="n">
        <v>0.08449</v>
      </c>
    </row>
    <row r="2618">
      <c r="A2618" t="n">
        <v>2000789</v>
      </c>
      <c r="B2618" t="n">
        <v>2</v>
      </c>
      <c r="C2618" t="n">
        <v>789</v>
      </c>
      <c r="D2618" t="n">
        <v>-0.5684</v>
      </c>
      <c r="E2618" t="n">
        <v>15.6329</v>
      </c>
      <c r="F2618" t="n">
        <v>0.08449</v>
      </c>
    </row>
    <row r="2619">
      <c r="A2619" t="n">
        <v>2000790</v>
      </c>
      <c r="B2619" t="n">
        <v>2</v>
      </c>
      <c r="C2619" t="n">
        <v>790</v>
      </c>
      <c r="D2619" t="n">
        <v>-0.5684</v>
      </c>
      <c r="E2619" t="n">
        <v>15.632</v>
      </c>
      <c r="F2619" t="n">
        <v>0.08449</v>
      </c>
    </row>
    <row r="2620">
      <c r="A2620" t="n">
        <v>2000791</v>
      </c>
      <c r="B2620" t="n">
        <v>2</v>
      </c>
      <c r="C2620" t="n">
        <v>791</v>
      </c>
      <c r="D2620" t="n">
        <v>-0.5684</v>
      </c>
      <c r="E2620" t="n">
        <v>15.6311</v>
      </c>
      <c r="F2620" t="n">
        <v>0.08449</v>
      </c>
    </row>
    <row r="2621">
      <c r="A2621" t="n">
        <v>2000792</v>
      </c>
      <c r="B2621" t="n">
        <v>2</v>
      </c>
      <c r="C2621" t="n">
        <v>792</v>
      </c>
      <c r="D2621" t="n">
        <v>-0.5684</v>
      </c>
      <c r="E2621" t="n">
        <v>15.6302</v>
      </c>
      <c r="F2621" t="n">
        <v>0.08449</v>
      </c>
    </row>
    <row r="2622">
      <c r="A2622" t="n">
        <v>2000793</v>
      </c>
      <c r="B2622" t="n">
        <v>2</v>
      </c>
      <c r="C2622" t="n">
        <v>793</v>
      </c>
      <c r="D2622" t="n">
        <v>-0.5684</v>
      </c>
      <c r="E2622" t="n">
        <v>15.6293</v>
      </c>
      <c r="F2622" t="n">
        <v>0.08449</v>
      </c>
    </row>
    <row r="2623">
      <c r="A2623" t="n">
        <v>2000794</v>
      </c>
      <c r="B2623" t="n">
        <v>2</v>
      </c>
      <c r="C2623" t="n">
        <v>794</v>
      </c>
      <c r="D2623" t="n">
        <v>-0.5684</v>
      </c>
      <c r="E2623" t="n">
        <v>15.6284</v>
      </c>
      <c r="F2623" t="n">
        <v>0.08449</v>
      </c>
    </row>
    <row r="2624">
      <c r="A2624" t="n">
        <v>2000795</v>
      </c>
      <c r="B2624" t="n">
        <v>2</v>
      </c>
      <c r="C2624" t="n">
        <v>795</v>
      </c>
      <c r="D2624" t="n">
        <v>-0.5684</v>
      </c>
      <c r="E2624" t="n">
        <v>15.6275</v>
      </c>
      <c r="F2624" t="n">
        <v>0.08449</v>
      </c>
    </row>
    <row r="2625">
      <c r="A2625" t="n">
        <v>2000796</v>
      </c>
      <c r="B2625" t="n">
        <v>2</v>
      </c>
      <c r="C2625" t="n">
        <v>796</v>
      </c>
      <c r="D2625" t="n">
        <v>-0.5684</v>
      </c>
      <c r="E2625" t="n">
        <v>15.6266</v>
      </c>
      <c r="F2625" t="n">
        <v>0.08449</v>
      </c>
    </row>
    <row r="2626">
      <c r="A2626" t="n">
        <v>2000797</v>
      </c>
      <c r="B2626" t="n">
        <v>2</v>
      </c>
      <c r="C2626" t="n">
        <v>797</v>
      </c>
      <c r="D2626" t="n">
        <v>-0.5684</v>
      </c>
      <c r="E2626" t="n">
        <v>15.6257</v>
      </c>
      <c r="F2626" t="n">
        <v>0.08449</v>
      </c>
    </row>
    <row r="2627">
      <c r="A2627" t="n">
        <v>2000798</v>
      </c>
      <c r="B2627" t="n">
        <v>2</v>
      </c>
      <c r="C2627" t="n">
        <v>798</v>
      </c>
      <c r="D2627" t="n">
        <v>-0.5684</v>
      </c>
      <c r="E2627" t="n">
        <v>15.6248</v>
      </c>
      <c r="F2627" t="n">
        <v>0.08448</v>
      </c>
    </row>
    <row r="2628">
      <c r="A2628" t="n">
        <v>2000799</v>
      </c>
      <c r="B2628" t="n">
        <v>2</v>
      </c>
      <c r="C2628" t="n">
        <v>799</v>
      </c>
      <c r="D2628" t="n">
        <v>-0.5684</v>
      </c>
      <c r="E2628" t="n">
        <v>15.6239</v>
      </c>
      <c r="F2628" t="n">
        <v>0.08448</v>
      </c>
    </row>
    <row r="2629">
      <c r="A2629" t="n">
        <v>2000800</v>
      </c>
      <c r="B2629" t="n">
        <v>2</v>
      </c>
      <c r="C2629" t="n">
        <v>800</v>
      </c>
      <c r="D2629" t="n">
        <v>-0.5684</v>
      </c>
      <c r="E2629" t="n">
        <v>15.623</v>
      </c>
      <c r="F2629" t="n">
        <v>0.08448</v>
      </c>
    </row>
    <row r="2630">
      <c r="A2630" t="n">
        <v>2000801</v>
      </c>
      <c r="B2630" t="n">
        <v>2</v>
      </c>
      <c r="C2630" t="n">
        <v>801</v>
      </c>
      <c r="D2630" t="n">
        <v>-0.5684</v>
      </c>
      <c r="E2630" t="n">
        <v>15.6221</v>
      </c>
      <c r="F2630" t="n">
        <v>0.08448</v>
      </c>
    </row>
    <row r="2631">
      <c r="A2631" t="n">
        <v>2000802</v>
      </c>
      <c r="B2631" t="n">
        <v>2</v>
      </c>
      <c r="C2631" t="n">
        <v>802</v>
      </c>
      <c r="D2631" t="n">
        <v>-0.5684</v>
      </c>
      <c r="E2631" t="n">
        <v>15.6212</v>
      </c>
      <c r="F2631" t="n">
        <v>0.08448</v>
      </c>
    </row>
    <row r="2632">
      <c r="A2632" t="n">
        <v>2000803</v>
      </c>
      <c r="B2632" t="n">
        <v>2</v>
      </c>
      <c r="C2632" t="n">
        <v>803</v>
      </c>
      <c r="D2632" t="n">
        <v>-0.5684</v>
      </c>
      <c r="E2632" t="n">
        <v>15.6203</v>
      </c>
      <c r="F2632" t="n">
        <v>0.08448</v>
      </c>
    </row>
    <row r="2633">
      <c r="A2633" t="n">
        <v>2000804</v>
      </c>
      <c r="B2633" t="n">
        <v>2</v>
      </c>
      <c r="C2633" t="n">
        <v>804</v>
      </c>
      <c r="D2633" t="n">
        <v>-0.5684</v>
      </c>
      <c r="E2633" t="n">
        <v>15.6194</v>
      </c>
      <c r="F2633" t="n">
        <v>0.08448</v>
      </c>
    </row>
    <row r="2634">
      <c r="A2634" t="n">
        <v>2000805</v>
      </c>
      <c r="B2634" t="n">
        <v>2</v>
      </c>
      <c r="C2634" t="n">
        <v>805</v>
      </c>
      <c r="D2634" t="n">
        <v>-0.5684</v>
      </c>
      <c r="E2634" t="n">
        <v>15.6185</v>
      </c>
      <c r="F2634" t="n">
        <v>0.08448</v>
      </c>
    </row>
    <row r="2635">
      <c r="A2635" t="n">
        <v>2000806</v>
      </c>
      <c r="B2635" t="n">
        <v>2</v>
      </c>
      <c r="C2635" t="n">
        <v>806</v>
      </c>
      <c r="D2635" t="n">
        <v>-0.5684</v>
      </c>
      <c r="E2635" t="n">
        <v>15.6176</v>
      </c>
      <c r="F2635" t="n">
        <v>0.08448</v>
      </c>
    </row>
    <row r="2636">
      <c r="A2636" t="n">
        <v>2000807</v>
      </c>
      <c r="B2636" t="n">
        <v>2</v>
      </c>
      <c r="C2636" t="n">
        <v>807</v>
      </c>
      <c r="D2636" t="n">
        <v>-0.5684</v>
      </c>
      <c r="E2636" t="n">
        <v>15.6168</v>
      </c>
      <c r="F2636" t="n">
        <v>0.08448</v>
      </c>
    </row>
    <row r="2637">
      <c r="A2637" t="n">
        <v>2000808</v>
      </c>
      <c r="B2637" t="n">
        <v>2</v>
      </c>
      <c r="C2637" t="n">
        <v>808</v>
      </c>
      <c r="D2637" t="n">
        <v>-0.5684</v>
      </c>
      <c r="E2637" t="n">
        <v>15.6159</v>
      </c>
      <c r="F2637" t="n">
        <v>0.08447</v>
      </c>
    </row>
    <row r="2638">
      <c r="A2638" t="n">
        <v>2000809</v>
      </c>
      <c r="B2638" t="n">
        <v>2</v>
      </c>
      <c r="C2638" t="n">
        <v>809</v>
      </c>
      <c r="D2638" t="n">
        <v>-0.5684</v>
      </c>
      <c r="E2638" t="n">
        <v>15.615</v>
      </c>
      <c r="F2638" t="n">
        <v>0.08447</v>
      </c>
    </row>
    <row r="2639">
      <c r="A2639" t="n">
        <v>2000810</v>
      </c>
      <c r="B2639" t="n">
        <v>2</v>
      </c>
      <c r="C2639" t="n">
        <v>810</v>
      </c>
      <c r="D2639" t="n">
        <v>-0.5684</v>
      </c>
      <c r="E2639" t="n">
        <v>15.6141</v>
      </c>
      <c r="F2639" t="n">
        <v>0.08447</v>
      </c>
    </row>
    <row r="2640">
      <c r="A2640" t="n">
        <v>2000811</v>
      </c>
      <c r="B2640" t="n">
        <v>2</v>
      </c>
      <c r="C2640" t="n">
        <v>811</v>
      </c>
      <c r="D2640" t="n">
        <v>-0.5684</v>
      </c>
      <c r="E2640" t="n">
        <v>15.6132</v>
      </c>
      <c r="F2640" t="n">
        <v>0.08447</v>
      </c>
    </row>
    <row r="2641">
      <c r="A2641" t="n">
        <v>2000812</v>
      </c>
      <c r="B2641" t="n">
        <v>2</v>
      </c>
      <c r="C2641" t="n">
        <v>812</v>
      </c>
      <c r="D2641" t="n">
        <v>-0.5684</v>
      </c>
      <c r="E2641" t="n">
        <v>15.6123</v>
      </c>
      <c r="F2641" t="n">
        <v>0.08447</v>
      </c>
    </row>
    <row r="2642">
      <c r="A2642" t="n">
        <v>2000813</v>
      </c>
      <c r="B2642" t="n">
        <v>2</v>
      </c>
      <c r="C2642" t="n">
        <v>813</v>
      </c>
      <c r="D2642" t="n">
        <v>-0.5684</v>
      </c>
      <c r="E2642" t="n">
        <v>15.6115</v>
      </c>
      <c r="F2642" t="n">
        <v>0.08447</v>
      </c>
    </row>
    <row r="2643">
      <c r="A2643" t="n">
        <v>2000814</v>
      </c>
      <c r="B2643" t="n">
        <v>2</v>
      </c>
      <c r="C2643" t="n">
        <v>814</v>
      </c>
      <c r="D2643" t="n">
        <v>-0.5684</v>
      </c>
      <c r="E2643" t="n">
        <v>15.6106</v>
      </c>
      <c r="F2643" t="n">
        <v>0.08447</v>
      </c>
    </row>
    <row r="2644">
      <c r="A2644" t="n">
        <v>2000815</v>
      </c>
      <c r="B2644" t="n">
        <v>2</v>
      </c>
      <c r="C2644" t="n">
        <v>815</v>
      </c>
      <c r="D2644" t="n">
        <v>-0.5684</v>
      </c>
      <c r="E2644" t="n">
        <v>15.6097</v>
      </c>
      <c r="F2644" t="n">
        <v>0.08447</v>
      </c>
    </row>
    <row r="2645">
      <c r="A2645" t="n">
        <v>2000816</v>
      </c>
      <c r="B2645" t="n">
        <v>2</v>
      </c>
      <c r="C2645" t="n">
        <v>816</v>
      </c>
      <c r="D2645" t="n">
        <v>-0.5684</v>
      </c>
      <c r="E2645" t="n">
        <v>15.6088</v>
      </c>
      <c r="F2645" t="n">
        <v>0.08447</v>
      </c>
    </row>
    <row r="2646">
      <c r="A2646" t="n">
        <v>2000817</v>
      </c>
      <c r="B2646" t="n">
        <v>2</v>
      </c>
      <c r="C2646" t="n">
        <v>817</v>
      </c>
      <c r="D2646" t="n">
        <v>-0.5684</v>
      </c>
      <c r="E2646" t="n">
        <v>15.6079</v>
      </c>
      <c r="F2646" t="n">
        <v>0.08447</v>
      </c>
    </row>
    <row r="2647">
      <c r="A2647" t="n">
        <v>2000818</v>
      </c>
      <c r="B2647" t="n">
        <v>2</v>
      </c>
      <c r="C2647" t="n">
        <v>818</v>
      </c>
      <c r="D2647" t="n">
        <v>-0.5684</v>
      </c>
      <c r="E2647" t="n">
        <v>15.6071</v>
      </c>
      <c r="F2647" t="n">
        <v>0.08447</v>
      </c>
    </row>
    <row r="2648">
      <c r="A2648" t="n">
        <v>2000819</v>
      </c>
      <c r="B2648" t="n">
        <v>2</v>
      </c>
      <c r="C2648" t="n">
        <v>819</v>
      </c>
      <c r="D2648" t="n">
        <v>-0.5684</v>
      </c>
      <c r="E2648" t="n">
        <v>15.6062</v>
      </c>
      <c r="F2648" t="n">
        <v>0.08447</v>
      </c>
    </row>
    <row r="2649">
      <c r="A2649" t="n">
        <v>2000820</v>
      </c>
      <c r="B2649" t="n">
        <v>2</v>
      </c>
      <c r="C2649" t="n">
        <v>820</v>
      </c>
      <c r="D2649" t="n">
        <v>-0.5684</v>
      </c>
      <c r="E2649" t="n">
        <v>15.6053</v>
      </c>
      <c r="F2649" t="n">
        <v>0.08445999999999999</v>
      </c>
    </row>
    <row r="2650">
      <c r="A2650" t="n">
        <v>2000821</v>
      </c>
      <c r="B2650" t="n">
        <v>2</v>
      </c>
      <c r="C2650" t="n">
        <v>821</v>
      </c>
      <c r="D2650" t="n">
        <v>-0.5684</v>
      </c>
      <c r="E2650" t="n">
        <v>15.6044</v>
      </c>
      <c r="F2650" t="n">
        <v>0.08445999999999999</v>
      </c>
    </row>
    <row r="2651">
      <c r="A2651" t="n">
        <v>2000822</v>
      </c>
      <c r="B2651" t="n">
        <v>2</v>
      </c>
      <c r="C2651" t="n">
        <v>822</v>
      </c>
      <c r="D2651" t="n">
        <v>-0.5684</v>
      </c>
      <c r="E2651" t="n">
        <v>15.6036</v>
      </c>
      <c r="F2651" t="n">
        <v>0.08445999999999999</v>
      </c>
    </row>
    <row r="2652">
      <c r="A2652" t="n">
        <v>2000823</v>
      </c>
      <c r="B2652" t="n">
        <v>2</v>
      </c>
      <c r="C2652" t="n">
        <v>823</v>
      </c>
      <c r="D2652" t="n">
        <v>-0.5684</v>
      </c>
      <c r="E2652" t="n">
        <v>15.6027</v>
      </c>
      <c r="F2652" t="n">
        <v>0.08445999999999999</v>
      </c>
    </row>
    <row r="2653">
      <c r="A2653" t="n">
        <v>2000824</v>
      </c>
      <c r="B2653" t="n">
        <v>2</v>
      </c>
      <c r="C2653" t="n">
        <v>824</v>
      </c>
      <c r="D2653" t="n">
        <v>-0.5684</v>
      </c>
      <c r="E2653" t="n">
        <v>15.6018</v>
      </c>
      <c r="F2653" t="n">
        <v>0.08445999999999999</v>
      </c>
    </row>
    <row r="2654">
      <c r="A2654" t="n">
        <v>2000825</v>
      </c>
      <c r="B2654" t="n">
        <v>2</v>
      </c>
      <c r="C2654" t="n">
        <v>825</v>
      </c>
      <c r="D2654" t="n">
        <v>-0.5684</v>
      </c>
      <c r="E2654" t="n">
        <v>15.601</v>
      </c>
      <c r="F2654" t="n">
        <v>0.08445999999999999</v>
      </c>
    </row>
    <row r="2655">
      <c r="A2655" t="n">
        <v>2000826</v>
      </c>
      <c r="B2655" t="n">
        <v>2</v>
      </c>
      <c r="C2655" t="n">
        <v>826</v>
      </c>
      <c r="D2655" t="n">
        <v>-0.5684</v>
      </c>
      <c r="E2655" t="n">
        <v>15.6001</v>
      </c>
      <c r="F2655" t="n">
        <v>0.08445999999999999</v>
      </c>
    </row>
    <row r="2656">
      <c r="A2656" t="n">
        <v>2000827</v>
      </c>
      <c r="B2656" t="n">
        <v>2</v>
      </c>
      <c r="C2656" t="n">
        <v>827</v>
      </c>
      <c r="D2656" t="n">
        <v>-0.5684</v>
      </c>
      <c r="E2656" t="n">
        <v>15.5992</v>
      </c>
      <c r="F2656" t="n">
        <v>0.08445999999999999</v>
      </c>
    </row>
    <row r="2657">
      <c r="A2657" t="n">
        <v>2000828</v>
      </c>
      <c r="B2657" t="n">
        <v>2</v>
      </c>
      <c r="C2657" t="n">
        <v>828</v>
      </c>
      <c r="D2657" t="n">
        <v>-0.5684</v>
      </c>
      <c r="E2657" t="n">
        <v>15.5984</v>
      </c>
      <c r="F2657" t="n">
        <v>0.08445999999999999</v>
      </c>
    </row>
    <row r="2658">
      <c r="A2658" t="n">
        <v>2000829</v>
      </c>
      <c r="B2658" t="n">
        <v>2</v>
      </c>
      <c r="C2658" t="n">
        <v>829</v>
      </c>
      <c r="D2658" t="n">
        <v>-0.5684</v>
      </c>
      <c r="E2658" t="n">
        <v>15.5975</v>
      </c>
      <c r="F2658" t="n">
        <v>0.08445999999999999</v>
      </c>
    </row>
    <row r="2659">
      <c r="A2659" t="n">
        <v>2000830</v>
      </c>
      <c r="B2659" t="n">
        <v>2</v>
      </c>
      <c r="C2659" t="n">
        <v>830</v>
      </c>
      <c r="D2659" t="n">
        <v>-0.5684</v>
      </c>
      <c r="E2659" t="n">
        <v>15.5966</v>
      </c>
      <c r="F2659" t="n">
        <v>0.08445999999999999</v>
      </c>
    </row>
    <row r="2660">
      <c r="A2660" t="n">
        <v>2000831</v>
      </c>
      <c r="B2660" t="n">
        <v>2</v>
      </c>
      <c r="C2660" t="n">
        <v>831</v>
      </c>
      <c r="D2660" t="n">
        <v>-0.5684</v>
      </c>
      <c r="E2660" t="n">
        <v>15.5958</v>
      </c>
      <c r="F2660" t="n">
        <v>0.08445999999999999</v>
      </c>
    </row>
    <row r="2661">
      <c r="A2661" t="n">
        <v>2000832</v>
      </c>
      <c r="B2661" t="n">
        <v>2</v>
      </c>
      <c r="C2661" t="n">
        <v>832</v>
      </c>
      <c r="D2661" t="n">
        <v>-0.5684</v>
      </c>
      <c r="E2661" t="n">
        <v>15.5949</v>
      </c>
      <c r="F2661" t="n">
        <v>0.08445</v>
      </c>
    </row>
    <row r="2662">
      <c r="A2662" t="n">
        <v>2000833</v>
      </c>
      <c r="B2662" t="n">
        <v>2</v>
      </c>
      <c r="C2662" t="n">
        <v>833</v>
      </c>
      <c r="D2662" t="n">
        <v>-0.5684</v>
      </c>
      <c r="E2662" t="n">
        <v>15.5941</v>
      </c>
      <c r="F2662" t="n">
        <v>0.08445</v>
      </c>
    </row>
    <row r="2663">
      <c r="A2663" t="n">
        <v>2000834</v>
      </c>
      <c r="B2663" t="n">
        <v>2</v>
      </c>
      <c r="C2663" t="n">
        <v>834</v>
      </c>
      <c r="D2663" t="n">
        <v>-0.5684</v>
      </c>
      <c r="E2663" t="n">
        <v>15.5932</v>
      </c>
      <c r="F2663" t="n">
        <v>0.08445</v>
      </c>
    </row>
    <row r="2664">
      <c r="A2664" t="n">
        <v>2000835</v>
      </c>
      <c r="B2664" t="n">
        <v>2</v>
      </c>
      <c r="C2664" t="n">
        <v>835</v>
      </c>
      <c r="D2664" t="n">
        <v>-0.5684</v>
      </c>
      <c r="E2664" t="n">
        <v>15.5923</v>
      </c>
      <c r="F2664" t="n">
        <v>0.08445</v>
      </c>
    </row>
    <row r="2665">
      <c r="A2665" t="n">
        <v>2000836</v>
      </c>
      <c r="B2665" t="n">
        <v>2</v>
      </c>
      <c r="C2665" t="n">
        <v>836</v>
      </c>
      <c r="D2665" t="n">
        <v>-0.5684</v>
      </c>
      <c r="E2665" t="n">
        <v>15.5915</v>
      </c>
      <c r="F2665" t="n">
        <v>0.08445</v>
      </c>
    </row>
    <row r="2666">
      <c r="A2666" t="n">
        <v>2000837</v>
      </c>
      <c r="B2666" t="n">
        <v>2</v>
      </c>
      <c r="C2666" t="n">
        <v>837</v>
      </c>
      <c r="D2666" t="n">
        <v>-0.5684</v>
      </c>
      <c r="E2666" t="n">
        <v>15.5906</v>
      </c>
      <c r="F2666" t="n">
        <v>0.08445</v>
      </c>
    </row>
    <row r="2667">
      <c r="A2667" t="n">
        <v>2000838</v>
      </c>
      <c r="B2667" t="n">
        <v>2</v>
      </c>
      <c r="C2667" t="n">
        <v>838</v>
      </c>
      <c r="D2667" t="n">
        <v>-0.5684</v>
      </c>
      <c r="E2667" t="n">
        <v>15.5898</v>
      </c>
      <c r="F2667" t="n">
        <v>0.08445</v>
      </c>
    </row>
    <row r="2668">
      <c r="A2668" t="n">
        <v>2000839</v>
      </c>
      <c r="B2668" t="n">
        <v>2</v>
      </c>
      <c r="C2668" t="n">
        <v>839</v>
      </c>
      <c r="D2668" t="n">
        <v>-0.5684</v>
      </c>
      <c r="E2668" t="n">
        <v>15.5889</v>
      </c>
      <c r="F2668" t="n">
        <v>0.08445</v>
      </c>
    </row>
    <row r="2669">
      <c r="A2669" t="n">
        <v>2000840</v>
      </c>
      <c r="B2669" t="n">
        <v>2</v>
      </c>
      <c r="C2669" t="n">
        <v>840</v>
      </c>
      <c r="D2669" t="n">
        <v>-0.5684</v>
      </c>
      <c r="E2669" t="n">
        <v>15.5881</v>
      </c>
      <c r="F2669" t="n">
        <v>0.08445</v>
      </c>
    </row>
    <row r="2670">
      <c r="A2670" t="n">
        <v>2000841</v>
      </c>
      <c r="B2670" t="n">
        <v>2</v>
      </c>
      <c r="C2670" t="n">
        <v>841</v>
      </c>
      <c r="D2670" t="n">
        <v>-0.5684</v>
      </c>
      <c r="E2670" t="n">
        <v>15.5872</v>
      </c>
      <c r="F2670" t="n">
        <v>0.08445</v>
      </c>
    </row>
    <row r="2671">
      <c r="A2671" t="n">
        <v>2000842</v>
      </c>
      <c r="B2671" t="n">
        <v>2</v>
      </c>
      <c r="C2671" t="n">
        <v>842</v>
      </c>
      <c r="D2671" t="n">
        <v>-0.5684</v>
      </c>
      <c r="E2671" t="n">
        <v>15.5863</v>
      </c>
      <c r="F2671" t="n">
        <v>0.08445</v>
      </c>
    </row>
    <row r="2672">
      <c r="A2672" t="n">
        <v>2000843</v>
      </c>
      <c r="B2672" t="n">
        <v>2</v>
      </c>
      <c r="C2672" t="n">
        <v>843</v>
      </c>
      <c r="D2672" t="n">
        <v>-0.5684</v>
      </c>
      <c r="E2672" t="n">
        <v>15.5855</v>
      </c>
      <c r="F2672" t="n">
        <v>0.08445</v>
      </c>
    </row>
    <row r="2673">
      <c r="A2673" t="n">
        <v>2000844</v>
      </c>
      <c r="B2673" t="n">
        <v>2</v>
      </c>
      <c r="C2673" t="n">
        <v>844</v>
      </c>
      <c r="D2673" t="n">
        <v>-0.5684</v>
      </c>
      <c r="E2673" t="n">
        <v>15.5846</v>
      </c>
      <c r="F2673" t="n">
        <v>0.08445</v>
      </c>
    </row>
    <row r="2674">
      <c r="A2674" t="n">
        <v>2000845</v>
      </c>
      <c r="B2674" t="n">
        <v>2</v>
      </c>
      <c r="C2674" t="n">
        <v>845</v>
      </c>
      <c r="D2674" t="n">
        <v>-0.5684</v>
      </c>
      <c r="E2674" t="n">
        <v>15.5838</v>
      </c>
      <c r="F2674" t="n">
        <v>0.08445</v>
      </c>
    </row>
    <row r="2675">
      <c r="A2675" t="n">
        <v>2000846</v>
      </c>
      <c r="B2675" t="n">
        <v>2</v>
      </c>
      <c r="C2675" t="n">
        <v>846</v>
      </c>
      <c r="D2675" t="n">
        <v>-0.5684</v>
      </c>
      <c r="E2675" t="n">
        <v>15.5829</v>
      </c>
      <c r="F2675" t="n">
        <v>0.08444</v>
      </c>
    </row>
    <row r="2676">
      <c r="A2676" t="n">
        <v>2000847</v>
      </c>
      <c r="B2676" t="n">
        <v>2</v>
      </c>
      <c r="C2676" t="n">
        <v>847</v>
      </c>
      <c r="D2676" t="n">
        <v>-0.5684</v>
      </c>
      <c r="E2676" t="n">
        <v>15.5821</v>
      </c>
      <c r="F2676" t="n">
        <v>0.08444</v>
      </c>
    </row>
    <row r="2677">
      <c r="A2677" t="n">
        <v>2000848</v>
      </c>
      <c r="B2677" t="n">
        <v>2</v>
      </c>
      <c r="C2677" t="n">
        <v>848</v>
      </c>
      <c r="D2677" t="n">
        <v>-0.5684</v>
      </c>
      <c r="E2677" t="n">
        <v>15.5812</v>
      </c>
      <c r="F2677" t="n">
        <v>0.08444</v>
      </c>
    </row>
    <row r="2678">
      <c r="A2678" t="n">
        <v>2000849</v>
      </c>
      <c r="B2678" t="n">
        <v>2</v>
      </c>
      <c r="C2678" t="n">
        <v>849</v>
      </c>
      <c r="D2678" t="n">
        <v>-0.5684</v>
      </c>
      <c r="E2678" t="n">
        <v>15.5804</v>
      </c>
      <c r="F2678" t="n">
        <v>0.08444</v>
      </c>
    </row>
    <row r="2679">
      <c r="A2679" t="n">
        <v>2000850</v>
      </c>
      <c r="B2679" t="n">
        <v>2</v>
      </c>
      <c r="C2679" t="n">
        <v>850</v>
      </c>
      <c r="D2679" t="n">
        <v>-0.5684</v>
      </c>
      <c r="E2679" t="n">
        <v>15.5796</v>
      </c>
      <c r="F2679" t="n">
        <v>0.08444</v>
      </c>
    </row>
    <row r="2680">
      <c r="A2680" t="n">
        <v>2000851</v>
      </c>
      <c r="B2680" t="n">
        <v>2</v>
      </c>
      <c r="C2680" t="n">
        <v>851</v>
      </c>
      <c r="D2680" t="n">
        <v>-0.5684</v>
      </c>
      <c r="E2680" t="n">
        <v>15.5787</v>
      </c>
      <c r="F2680" t="n">
        <v>0.08444</v>
      </c>
    </row>
    <row r="2681">
      <c r="A2681" t="n">
        <v>2000852</v>
      </c>
      <c r="B2681" t="n">
        <v>2</v>
      </c>
      <c r="C2681" t="n">
        <v>852</v>
      </c>
      <c r="D2681" t="n">
        <v>-0.5684</v>
      </c>
      <c r="E2681" t="n">
        <v>15.5779</v>
      </c>
      <c r="F2681" t="n">
        <v>0.08444</v>
      </c>
    </row>
    <row r="2682">
      <c r="A2682" t="n">
        <v>2000853</v>
      </c>
      <c r="B2682" t="n">
        <v>2</v>
      </c>
      <c r="C2682" t="n">
        <v>853</v>
      </c>
      <c r="D2682" t="n">
        <v>-0.5684</v>
      </c>
      <c r="E2682" t="n">
        <v>15.577</v>
      </c>
      <c r="F2682" t="n">
        <v>0.08444</v>
      </c>
    </row>
    <row r="2683">
      <c r="A2683" t="n">
        <v>2000854</v>
      </c>
      <c r="B2683" t="n">
        <v>2</v>
      </c>
      <c r="C2683" t="n">
        <v>854</v>
      </c>
      <c r="D2683" t="n">
        <v>-0.5684</v>
      </c>
      <c r="E2683" t="n">
        <v>15.5762</v>
      </c>
      <c r="F2683" t="n">
        <v>0.08444</v>
      </c>
    </row>
    <row r="2684">
      <c r="A2684" t="n">
        <v>2000855</v>
      </c>
      <c r="B2684" t="n">
        <v>2</v>
      </c>
      <c r="C2684" t="n">
        <v>855</v>
      </c>
      <c r="D2684" t="n">
        <v>-0.5684</v>
      </c>
      <c r="E2684" t="n">
        <v>15.5753</v>
      </c>
      <c r="F2684" t="n">
        <v>0.08444</v>
      </c>
    </row>
    <row r="2685">
      <c r="A2685" t="n">
        <v>2000856</v>
      </c>
      <c r="B2685" t="n">
        <v>2</v>
      </c>
      <c r="C2685" t="n">
        <v>856</v>
      </c>
      <c r="D2685" t="n">
        <v>-0.5684</v>
      </c>
      <c r="E2685" t="n">
        <v>15.5745</v>
      </c>
      <c r="F2685" t="n">
        <v>0.08444</v>
      </c>
    </row>
    <row r="2686">
      <c r="A2686" t="n">
        <v>2000857</v>
      </c>
      <c r="B2686" t="n">
        <v>2</v>
      </c>
      <c r="C2686" t="n">
        <v>857</v>
      </c>
      <c r="D2686" t="n">
        <v>-0.5684</v>
      </c>
      <c r="E2686" t="n">
        <v>15.5737</v>
      </c>
      <c r="F2686" t="n">
        <v>0.08444</v>
      </c>
    </row>
    <row r="2687">
      <c r="A2687" t="n">
        <v>2000858</v>
      </c>
      <c r="B2687" t="n">
        <v>2</v>
      </c>
      <c r="C2687" t="n">
        <v>858</v>
      </c>
      <c r="D2687" t="n">
        <v>-0.5684</v>
      </c>
      <c r="E2687" t="n">
        <v>15.5728</v>
      </c>
      <c r="F2687" t="n">
        <v>0.08444</v>
      </c>
    </row>
    <row r="2688">
      <c r="A2688" t="n">
        <v>2000859</v>
      </c>
      <c r="B2688" t="n">
        <v>2</v>
      </c>
      <c r="C2688" t="n">
        <v>859</v>
      </c>
      <c r="D2688" t="n">
        <v>-0.5684</v>
      </c>
      <c r="E2688" t="n">
        <v>15.572</v>
      </c>
      <c r="F2688" t="n">
        <v>0.08444</v>
      </c>
    </row>
    <row r="2689">
      <c r="A2689" t="n">
        <v>2000860</v>
      </c>
      <c r="B2689" t="n">
        <v>2</v>
      </c>
      <c r="C2689" t="n">
        <v>860</v>
      </c>
      <c r="D2689" t="n">
        <v>-0.5684</v>
      </c>
      <c r="E2689" t="n">
        <v>15.5711</v>
      </c>
      <c r="F2689" t="n">
        <v>0.08444</v>
      </c>
    </row>
    <row r="2690">
      <c r="A2690" t="n">
        <v>2000861</v>
      </c>
      <c r="B2690" t="n">
        <v>2</v>
      </c>
      <c r="C2690" t="n">
        <v>861</v>
      </c>
      <c r="D2690" t="n">
        <v>-0.5684</v>
      </c>
      <c r="E2690" t="n">
        <v>15.5703</v>
      </c>
      <c r="F2690" t="n">
        <v>0.08444</v>
      </c>
    </row>
    <row r="2691">
      <c r="A2691" t="n">
        <v>2000862</v>
      </c>
      <c r="B2691" t="n">
        <v>2</v>
      </c>
      <c r="C2691" t="n">
        <v>862</v>
      </c>
      <c r="D2691" t="n">
        <v>-0.5684</v>
      </c>
      <c r="E2691" t="n">
        <v>15.5695</v>
      </c>
      <c r="F2691" t="n">
        <v>0.08444</v>
      </c>
    </row>
    <row r="2692">
      <c r="A2692" t="n">
        <v>2000863</v>
      </c>
      <c r="B2692" t="n">
        <v>2</v>
      </c>
      <c r="C2692" t="n">
        <v>863</v>
      </c>
      <c r="D2692" t="n">
        <v>-0.5684</v>
      </c>
      <c r="E2692" t="n">
        <v>15.5686</v>
      </c>
      <c r="F2692" t="n">
        <v>0.08444</v>
      </c>
    </row>
    <row r="2693">
      <c r="A2693" t="n">
        <v>2000864</v>
      </c>
      <c r="B2693" t="n">
        <v>2</v>
      </c>
      <c r="C2693" t="n">
        <v>864</v>
      </c>
      <c r="D2693" t="n">
        <v>-0.5684</v>
      </c>
      <c r="E2693" t="n">
        <v>15.5678</v>
      </c>
      <c r="F2693" t="n">
        <v>0.08443000000000001</v>
      </c>
    </row>
    <row r="2694">
      <c r="A2694" t="n">
        <v>2000865</v>
      </c>
      <c r="B2694" t="n">
        <v>2</v>
      </c>
      <c r="C2694" t="n">
        <v>865</v>
      </c>
      <c r="D2694" t="n">
        <v>-0.5684</v>
      </c>
      <c r="E2694" t="n">
        <v>15.567</v>
      </c>
      <c r="F2694" t="n">
        <v>0.08443000000000001</v>
      </c>
    </row>
    <row r="2695">
      <c r="A2695" t="n">
        <v>2000866</v>
      </c>
      <c r="B2695" t="n">
        <v>2</v>
      </c>
      <c r="C2695" t="n">
        <v>866</v>
      </c>
      <c r="D2695" t="n">
        <v>-0.5684</v>
      </c>
      <c r="E2695" t="n">
        <v>15.5661</v>
      </c>
      <c r="F2695" t="n">
        <v>0.08443000000000001</v>
      </c>
    </row>
    <row r="2696">
      <c r="A2696" t="n">
        <v>2000867</v>
      </c>
      <c r="B2696" t="n">
        <v>2</v>
      </c>
      <c r="C2696" t="n">
        <v>867</v>
      </c>
      <c r="D2696" t="n">
        <v>-0.5684</v>
      </c>
      <c r="E2696" t="n">
        <v>15.5653</v>
      </c>
      <c r="F2696" t="n">
        <v>0.08443000000000001</v>
      </c>
    </row>
    <row r="2697">
      <c r="A2697" t="n">
        <v>2000868</v>
      </c>
      <c r="B2697" t="n">
        <v>2</v>
      </c>
      <c r="C2697" t="n">
        <v>868</v>
      </c>
      <c r="D2697" t="n">
        <v>-0.5684</v>
      </c>
      <c r="E2697" t="n">
        <v>15.5645</v>
      </c>
      <c r="F2697" t="n">
        <v>0.08443000000000001</v>
      </c>
    </row>
    <row r="2698">
      <c r="A2698" t="n">
        <v>2000869</v>
      </c>
      <c r="B2698" t="n">
        <v>2</v>
      </c>
      <c r="C2698" t="n">
        <v>869</v>
      </c>
      <c r="D2698" t="n">
        <v>-0.5684</v>
      </c>
      <c r="E2698" t="n">
        <v>15.5636</v>
      </c>
      <c r="F2698" t="n">
        <v>0.08443000000000001</v>
      </c>
    </row>
    <row r="2699">
      <c r="A2699" t="n">
        <v>2000870</v>
      </c>
      <c r="B2699" t="n">
        <v>2</v>
      </c>
      <c r="C2699" t="n">
        <v>870</v>
      </c>
      <c r="D2699" t="n">
        <v>-0.5684</v>
      </c>
      <c r="E2699" t="n">
        <v>15.5628</v>
      </c>
      <c r="F2699" t="n">
        <v>0.08443000000000001</v>
      </c>
    </row>
    <row r="2700">
      <c r="A2700" t="n">
        <v>2000871</v>
      </c>
      <c r="B2700" t="n">
        <v>2</v>
      </c>
      <c r="C2700" t="n">
        <v>871</v>
      </c>
      <c r="D2700" t="n">
        <v>-0.5684</v>
      </c>
      <c r="E2700" t="n">
        <v>15.562</v>
      </c>
      <c r="F2700" t="n">
        <v>0.08443000000000001</v>
      </c>
    </row>
    <row r="2701">
      <c r="A2701" t="n">
        <v>2000872</v>
      </c>
      <c r="B2701" t="n">
        <v>2</v>
      </c>
      <c r="C2701" t="n">
        <v>872</v>
      </c>
      <c r="D2701" t="n">
        <v>-0.5684</v>
      </c>
      <c r="E2701" t="n">
        <v>15.5611</v>
      </c>
      <c r="F2701" t="n">
        <v>0.08443000000000001</v>
      </c>
    </row>
    <row r="2702">
      <c r="A2702" t="n">
        <v>2000873</v>
      </c>
      <c r="B2702" t="n">
        <v>2</v>
      </c>
      <c r="C2702" t="n">
        <v>873</v>
      </c>
      <c r="D2702" t="n">
        <v>-0.5684</v>
      </c>
      <c r="E2702" t="n">
        <v>15.5603</v>
      </c>
      <c r="F2702" t="n">
        <v>0.08443000000000001</v>
      </c>
    </row>
    <row r="2703">
      <c r="A2703" t="n">
        <v>2000874</v>
      </c>
      <c r="B2703" t="n">
        <v>2</v>
      </c>
      <c r="C2703" t="n">
        <v>874</v>
      </c>
      <c r="D2703" t="n">
        <v>-0.5684</v>
      </c>
      <c r="E2703" t="n">
        <v>15.5595</v>
      </c>
      <c r="F2703" t="n">
        <v>0.08443000000000001</v>
      </c>
    </row>
    <row r="2704">
      <c r="A2704" t="n">
        <v>2000875</v>
      </c>
      <c r="B2704" t="n">
        <v>2</v>
      </c>
      <c r="C2704" t="n">
        <v>875</v>
      </c>
      <c r="D2704" t="n">
        <v>-0.5684</v>
      </c>
      <c r="E2704" t="n">
        <v>15.5587</v>
      </c>
      <c r="F2704" t="n">
        <v>0.08443000000000001</v>
      </c>
    </row>
    <row r="2705">
      <c r="A2705" t="n">
        <v>2000876</v>
      </c>
      <c r="B2705" t="n">
        <v>2</v>
      </c>
      <c r="C2705" t="n">
        <v>876</v>
      </c>
      <c r="D2705" t="n">
        <v>-0.5684</v>
      </c>
      <c r="E2705" t="n">
        <v>15.5578</v>
      </c>
      <c r="F2705" t="n">
        <v>0.08443000000000001</v>
      </c>
    </row>
    <row r="2706">
      <c r="A2706" t="n">
        <v>2000877</v>
      </c>
      <c r="B2706" t="n">
        <v>2</v>
      </c>
      <c r="C2706" t="n">
        <v>877</v>
      </c>
      <c r="D2706" t="n">
        <v>-0.5684</v>
      </c>
      <c r="E2706" t="n">
        <v>15.557</v>
      </c>
      <c r="F2706" t="n">
        <v>0.08443000000000001</v>
      </c>
    </row>
    <row r="2707">
      <c r="A2707" t="n">
        <v>2000878</v>
      </c>
      <c r="B2707" t="n">
        <v>2</v>
      </c>
      <c r="C2707" t="n">
        <v>878</v>
      </c>
      <c r="D2707" t="n">
        <v>-0.5684</v>
      </c>
      <c r="E2707" t="n">
        <v>15.5562</v>
      </c>
      <c r="F2707" t="n">
        <v>0.08443000000000001</v>
      </c>
    </row>
    <row r="2708">
      <c r="A2708" t="n">
        <v>2000879</v>
      </c>
      <c r="B2708" t="n">
        <v>2</v>
      </c>
      <c r="C2708" t="n">
        <v>879</v>
      </c>
      <c r="D2708" t="n">
        <v>-0.5684</v>
      </c>
      <c r="E2708" t="n">
        <v>15.5554</v>
      </c>
      <c r="F2708" t="n">
        <v>0.08443000000000001</v>
      </c>
    </row>
    <row r="2709">
      <c r="A2709" t="n">
        <v>2000880</v>
      </c>
      <c r="B2709" t="n">
        <v>2</v>
      </c>
      <c r="C2709" t="n">
        <v>880</v>
      </c>
      <c r="D2709" t="n">
        <v>-0.5684</v>
      </c>
      <c r="E2709" t="n">
        <v>15.5545</v>
      </c>
      <c r="F2709" t="n">
        <v>0.08443000000000001</v>
      </c>
    </row>
    <row r="2710">
      <c r="A2710" t="n">
        <v>2000881</v>
      </c>
      <c r="B2710" t="n">
        <v>2</v>
      </c>
      <c r="C2710" t="n">
        <v>881</v>
      </c>
      <c r="D2710" t="n">
        <v>-0.5684</v>
      </c>
      <c r="E2710" t="n">
        <v>15.5537</v>
      </c>
      <c r="F2710" t="n">
        <v>0.08443000000000001</v>
      </c>
    </row>
    <row r="2711">
      <c r="A2711" t="n">
        <v>2000882</v>
      </c>
      <c r="B2711" t="n">
        <v>2</v>
      </c>
      <c r="C2711" t="n">
        <v>882</v>
      </c>
      <c r="D2711" t="n">
        <v>-0.5684</v>
      </c>
      <c r="E2711" t="n">
        <v>15.5529</v>
      </c>
      <c r="F2711" t="n">
        <v>0.08443000000000001</v>
      </c>
    </row>
    <row r="2712">
      <c r="A2712" t="n">
        <v>2000883</v>
      </c>
      <c r="B2712" t="n">
        <v>2</v>
      </c>
      <c r="C2712" t="n">
        <v>883</v>
      </c>
      <c r="D2712" t="n">
        <v>-0.5684</v>
      </c>
      <c r="E2712" t="n">
        <v>15.5521</v>
      </c>
      <c r="F2712" t="n">
        <v>0.08443000000000001</v>
      </c>
    </row>
    <row r="2713">
      <c r="A2713" t="n">
        <v>2000884</v>
      </c>
      <c r="B2713" t="n">
        <v>2</v>
      </c>
      <c r="C2713" t="n">
        <v>884</v>
      </c>
      <c r="D2713" t="n">
        <v>-0.5684</v>
      </c>
      <c r="E2713" t="n">
        <v>15.5513</v>
      </c>
      <c r="F2713" t="n">
        <v>0.08443000000000001</v>
      </c>
    </row>
    <row r="2714">
      <c r="A2714" t="n">
        <v>2000885</v>
      </c>
      <c r="B2714" t="n">
        <v>2</v>
      </c>
      <c r="C2714" t="n">
        <v>885</v>
      </c>
      <c r="D2714" t="n">
        <v>-0.5684</v>
      </c>
      <c r="E2714" t="n">
        <v>15.5504</v>
      </c>
      <c r="F2714" t="n">
        <v>0.08443000000000001</v>
      </c>
    </row>
    <row r="2715">
      <c r="A2715" t="n">
        <v>2000886</v>
      </c>
      <c r="B2715" t="n">
        <v>2</v>
      </c>
      <c r="C2715" t="n">
        <v>886</v>
      </c>
      <c r="D2715" t="n">
        <v>-0.5684</v>
      </c>
      <c r="E2715" t="n">
        <v>15.5496</v>
      </c>
      <c r="F2715" t="n">
        <v>0.08443000000000001</v>
      </c>
    </row>
    <row r="2716">
      <c r="A2716" t="n">
        <v>2000887</v>
      </c>
      <c r="B2716" t="n">
        <v>2</v>
      </c>
      <c r="C2716" t="n">
        <v>887</v>
      </c>
      <c r="D2716" t="n">
        <v>-0.5684</v>
      </c>
      <c r="E2716" t="n">
        <v>15.5488</v>
      </c>
      <c r="F2716" t="n">
        <v>0.08443000000000001</v>
      </c>
    </row>
    <row r="2717">
      <c r="A2717" t="n">
        <v>2000888</v>
      </c>
      <c r="B2717" t="n">
        <v>2</v>
      </c>
      <c r="C2717" t="n">
        <v>888</v>
      </c>
      <c r="D2717" t="n">
        <v>-0.5684</v>
      </c>
      <c r="E2717" t="n">
        <v>15.548</v>
      </c>
      <c r="F2717" t="n">
        <v>0.08443000000000001</v>
      </c>
    </row>
    <row r="2718">
      <c r="A2718" t="n">
        <v>2000889</v>
      </c>
      <c r="B2718" t="n">
        <v>2</v>
      </c>
      <c r="C2718" t="n">
        <v>889</v>
      </c>
      <c r="D2718" t="n">
        <v>-0.5684</v>
      </c>
      <c r="E2718" t="n">
        <v>15.5472</v>
      </c>
      <c r="F2718" t="n">
        <v>0.08443000000000001</v>
      </c>
    </row>
    <row r="2719">
      <c r="A2719" t="n">
        <v>2000890</v>
      </c>
      <c r="B2719" t="n">
        <v>2</v>
      </c>
      <c r="C2719" t="n">
        <v>890</v>
      </c>
      <c r="D2719" t="n">
        <v>-0.5684</v>
      </c>
      <c r="E2719" t="n">
        <v>15.5463</v>
      </c>
      <c r="F2719" t="n">
        <v>0.08443000000000001</v>
      </c>
    </row>
    <row r="2720">
      <c r="A2720" t="n">
        <v>2000891</v>
      </c>
      <c r="B2720" t="n">
        <v>2</v>
      </c>
      <c r="C2720" t="n">
        <v>891</v>
      </c>
      <c r="D2720" t="n">
        <v>-0.5684</v>
      </c>
      <c r="E2720" t="n">
        <v>15.5455</v>
      </c>
      <c r="F2720" t="n">
        <v>0.08443000000000001</v>
      </c>
    </row>
    <row r="2721">
      <c r="A2721" t="n">
        <v>2000892</v>
      </c>
      <c r="B2721" t="n">
        <v>2</v>
      </c>
      <c r="C2721" t="n">
        <v>892</v>
      </c>
      <c r="D2721" t="n">
        <v>-0.5684</v>
      </c>
      <c r="E2721" t="n">
        <v>15.5447</v>
      </c>
      <c r="F2721" t="n">
        <v>0.08443000000000001</v>
      </c>
    </row>
    <row r="2722">
      <c r="A2722" t="n">
        <v>2000893</v>
      </c>
      <c r="B2722" t="n">
        <v>2</v>
      </c>
      <c r="C2722" t="n">
        <v>893</v>
      </c>
      <c r="D2722" t="n">
        <v>-0.5684</v>
      </c>
      <c r="E2722" t="n">
        <v>15.5439</v>
      </c>
      <c r="F2722" t="n">
        <v>0.08443000000000001</v>
      </c>
    </row>
    <row r="2723">
      <c r="A2723" t="n">
        <v>2000894</v>
      </c>
      <c r="B2723" t="n">
        <v>2</v>
      </c>
      <c r="C2723" t="n">
        <v>894</v>
      </c>
      <c r="D2723" t="n">
        <v>-0.5684</v>
      </c>
      <c r="E2723" t="n">
        <v>15.5431</v>
      </c>
      <c r="F2723" t="n">
        <v>0.08443000000000001</v>
      </c>
    </row>
    <row r="2724">
      <c r="A2724" t="n">
        <v>2000895</v>
      </c>
      <c r="B2724" t="n">
        <v>2</v>
      </c>
      <c r="C2724" t="n">
        <v>895</v>
      </c>
      <c r="D2724" t="n">
        <v>-0.5684</v>
      </c>
      <c r="E2724" t="n">
        <v>15.5423</v>
      </c>
      <c r="F2724" t="n">
        <v>0.08443000000000001</v>
      </c>
    </row>
    <row r="2725">
      <c r="A2725" t="n">
        <v>2000896</v>
      </c>
      <c r="B2725" t="n">
        <v>2</v>
      </c>
      <c r="C2725" t="n">
        <v>896</v>
      </c>
      <c r="D2725" t="n">
        <v>-0.5684</v>
      </c>
      <c r="E2725" t="n">
        <v>15.5414</v>
      </c>
      <c r="F2725" t="n">
        <v>0.08443000000000001</v>
      </c>
    </row>
    <row r="2726">
      <c r="A2726" t="n">
        <v>2000897</v>
      </c>
      <c r="B2726" t="n">
        <v>2</v>
      </c>
      <c r="C2726" t="n">
        <v>897</v>
      </c>
      <c r="D2726" t="n">
        <v>-0.5684</v>
      </c>
      <c r="E2726" t="n">
        <v>15.5406</v>
      </c>
      <c r="F2726" t="n">
        <v>0.08443000000000001</v>
      </c>
    </row>
    <row r="2727">
      <c r="A2727" t="n">
        <v>2000898</v>
      </c>
      <c r="B2727" t="n">
        <v>2</v>
      </c>
      <c r="C2727" t="n">
        <v>898</v>
      </c>
      <c r="D2727" t="n">
        <v>-0.5684</v>
      </c>
      <c r="E2727" t="n">
        <v>15.5398</v>
      </c>
      <c r="F2727" t="n">
        <v>0.08443000000000001</v>
      </c>
    </row>
    <row r="2728">
      <c r="A2728" t="n">
        <v>2000899</v>
      </c>
      <c r="B2728" t="n">
        <v>2</v>
      </c>
      <c r="C2728" t="n">
        <v>899</v>
      </c>
      <c r="D2728" t="n">
        <v>-0.5684</v>
      </c>
      <c r="E2728" t="n">
        <v>15.539</v>
      </c>
      <c r="F2728" t="n">
        <v>0.08443000000000001</v>
      </c>
    </row>
    <row r="2729">
      <c r="A2729" t="n">
        <v>2000900</v>
      </c>
      <c r="B2729" t="n">
        <v>2</v>
      </c>
      <c r="C2729" t="n">
        <v>900</v>
      </c>
      <c r="D2729" t="n">
        <v>-0.5684</v>
      </c>
      <c r="E2729" t="n">
        <v>15.5382</v>
      </c>
      <c r="F2729" t="n">
        <v>0.08443000000000001</v>
      </c>
    </row>
    <row r="2730">
      <c r="A2730" t="n">
        <v>2000901</v>
      </c>
      <c r="B2730" t="n">
        <v>2</v>
      </c>
      <c r="C2730" t="n">
        <v>901</v>
      </c>
      <c r="D2730" t="n">
        <v>-0.5684</v>
      </c>
      <c r="E2730" t="n">
        <v>15.5374</v>
      </c>
      <c r="F2730" t="n">
        <v>0.08443000000000001</v>
      </c>
    </row>
    <row r="2731">
      <c r="A2731" t="n">
        <v>2000902</v>
      </c>
      <c r="B2731" t="n">
        <v>2</v>
      </c>
      <c r="C2731" t="n">
        <v>902</v>
      </c>
      <c r="D2731" t="n">
        <v>-0.5684</v>
      </c>
      <c r="E2731" t="n">
        <v>15.5366</v>
      </c>
      <c r="F2731" t="n">
        <v>0.08443000000000001</v>
      </c>
    </row>
    <row r="2732">
      <c r="A2732" t="n">
        <v>2000903</v>
      </c>
      <c r="B2732" t="n">
        <v>2</v>
      </c>
      <c r="C2732" t="n">
        <v>903</v>
      </c>
      <c r="D2732" t="n">
        <v>-0.5684</v>
      </c>
      <c r="E2732" t="n">
        <v>15.5358</v>
      </c>
      <c r="F2732" t="n">
        <v>0.08443000000000001</v>
      </c>
    </row>
    <row r="2733">
      <c r="A2733" t="n">
        <v>2000904</v>
      </c>
      <c r="B2733" t="n">
        <v>2</v>
      </c>
      <c r="C2733" t="n">
        <v>904</v>
      </c>
      <c r="D2733" t="n">
        <v>-0.5684</v>
      </c>
      <c r="E2733" t="n">
        <v>15.535</v>
      </c>
      <c r="F2733" t="n">
        <v>0.08443000000000001</v>
      </c>
    </row>
    <row r="2734">
      <c r="A2734" t="n">
        <v>2000905</v>
      </c>
      <c r="B2734" t="n">
        <v>2</v>
      </c>
      <c r="C2734" t="n">
        <v>905</v>
      </c>
      <c r="D2734" t="n">
        <v>-0.5684</v>
      </c>
      <c r="E2734" t="n">
        <v>15.5341</v>
      </c>
      <c r="F2734" t="n">
        <v>0.08443000000000001</v>
      </c>
    </row>
    <row r="2735">
      <c r="A2735" t="n">
        <v>2000906</v>
      </c>
      <c r="B2735" t="n">
        <v>2</v>
      </c>
      <c r="C2735" t="n">
        <v>906</v>
      </c>
      <c r="D2735" t="n">
        <v>-0.5684</v>
      </c>
      <c r="E2735" t="n">
        <v>15.5333</v>
      </c>
      <c r="F2735" t="n">
        <v>0.08443000000000001</v>
      </c>
    </row>
    <row r="2736">
      <c r="A2736" t="n">
        <v>2000907</v>
      </c>
      <c r="B2736" t="n">
        <v>2</v>
      </c>
      <c r="C2736" t="n">
        <v>907</v>
      </c>
      <c r="D2736" t="n">
        <v>-0.5684</v>
      </c>
      <c r="E2736" t="n">
        <v>15.5325</v>
      </c>
      <c r="F2736" t="n">
        <v>0.08443000000000001</v>
      </c>
    </row>
    <row r="2737">
      <c r="A2737" t="n">
        <v>2000908</v>
      </c>
      <c r="B2737" t="n">
        <v>2</v>
      </c>
      <c r="C2737" t="n">
        <v>908</v>
      </c>
      <c r="D2737" t="n">
        <v>-0.5684</v>
      </c>
      <c r="E2737" t="n">
        <v>15.5317</v>
      </c>
      <c r="F2737" t="n">
        <v>0.08444</v>
      </c>
    </row>
    <row r="2738">
      <c r="A2738" t="n">
        <v>2000909</v>
      </c>
      <c r="B2738" t="n">
        <v>2</v>
      </c>
      <c r="C2738" t="n">
        <v>909</v>
      </c>
      <c r="D2738" t="n">
        <v>-0.5684</v>
      </c>
      <c r="E2738" t="n">
        <v>15.5309</v>
      </c>
      <c r="F2738" t="n">
        <v>0.08444</v>
      </c>
    </row>
    <row r="2739">
      <c r="A2739" t="n">
        <v>2000910</v>
      </c>
      <c r="B2739" t="n">
        <v>2</v>
      </c>
      <c r="C2739" t="n">
        <v>910</v>
      </c>
      <c r="D2739" t="n">
        <v>-0.5684</v>
      </c>
      <c r="E2739" t="n">
        <v>15.5301</v>
      </c>
      <c r="F2739" t="n">
        <v>0.08444</v>
      </c>
    </row>
    <row r="2740">
      <c r="A2740" t="n">
        <v>2000911</v>
      </c>
      <c r="B2740" t="n">
        <v>2</v>
      </c>
      <c r="C2740" t="n">
        <v>911</v>
      </c>
      <c r="D2740" t="n">
        <v>-0.5684</v>
      </c>
      <c r="E2740" t="n">
        <v>15.5293</v>
      </c>
      <c r="F2740" t="n">
        <v>0.08444</v>
      </c>
    </row>
    <row r="2741">
      <c r="A2741" t="n">
        <v>2000912</v>
      </c>
      <c r="B2741" t="n">
        <v>2</v>
      </c>
      <c r="C2741" t="n">
        <v>912</v>
      </c>
      <c r="D2741" t="n">
        <v>-0.5684</v>
      </c>
      <c r="E2741" t="n">
        <v>15.5285</v>
      </c>
      <c r="F2741" t="n">
        <v>0.08444</v>
      </c>
    </row>
    <row r="2742">
      <c r="A2742" t="n">
        <v>2000913</v>
      </c>
      <c r="B2742" t="n">
        <v>2</v>
      </c>
      <c r="C2742" t="n">
        <v>913</v>
      </c>
      <c r="D2742" t="n">
        <v>-0.5684</v>
      </c>
      <c r="E2742" t="n">
        <v>15.5277</v>
      </c>
      <c r="F2742" t="n">
        <v>0.08444</v>
      </c>
    </row>
    <row r="2743">
      <c r="A2743" t="n">
        <v>2000914</v>
      </c>
      <c r="B2743" t="n">
        <v>2</v>
      </c>
      <c r="C2743" t="n">
        <v>914</v>
      </c>
      <c r="D2743" t="n">
        <v>-0.5684</v>
      </c>
      <c r="E2743" t="n">
        <v>15.5269</v>
      </c>
      <c r="F2743" t="n">
        <v>0.08444</v>
      </c>
    </row>
    <row r="2744">
      <c r="A2744" t="n">
        <v>2000915</v>
      </c>
      <c r="B2744" t="n">
        <v>2</v>
      </c>
      <c r="C2744" t="n">
        <v>915</v>
      </c>
      <c r="D2744" t="n">
        <v>-0.5684</v>
      </c>
      <c r="E2744" t="n">
        <v>15.5261</v>
      </c>
      <c r="F2744" t="n">
        <v>0.08444</v>
      </c>
    </row>
    <row r="2745">
      <c r="A2745" t="n">
        <v>2000916</v>
      </c>
      <c r="B2745" t="n">
        <v>2</v>
      </c>
      <c r="C2745" t="n">
        <v>916</v>
      </c>
      <c r="D2745" t="n">
        <v>-0.5684</v>
      </c>
      <c r="E2745" t="n">
        <v>15.5253</v>
      </c>
      <c r="F2745" t="n">
        <v>0.08444</v>
      </c>
    </row>
    <row r="2746">
      <c r="A2746" t="n">
        <v>2000917</v>
      </c>
      <c r="B2746" t="n">
        <v>2</v>
      </c>
      <c r="C2746" t="n">
        <v>917</v>
      </c>
      <c r="D2746" t="n">
        <v>-0.5684</v>
      </c>
      <c r="E2746" t="n">
        <v>15.5245</v>
      </c>
      <c r="F2746" t="n">
        <v>0.08444</v>
      </c>
    </row>
    <row r="2747">
      <c r="A2747" t="n">
        <v>2000918</v>
      </c>
      <c r="B2747" t="n">
        <v>2</v>
      </c>
      <c r="C2747" t="n">
        <v>918</v>
      </c>
      <c r="D2747" t="n">
        <v>-0.5684</v>
      </c>
      <c r="E2747" t="n">
        <v>15.5237</v>
      </c>
      <c r="F2747" t="n">
        <v>0.08444</v>
      </c>
    </row>
    <row r="2748">
      <c r="A2748" t="n">
        <v>2000919</v>
      </c>
      <c r="B2748" t="n">
        <v>2</v>
      </c>
      <c r="C2748" t="n">
        <v>919</v>
      </c>
      <c r="D2748" t="n">
        <v>-0.5684</v>
      </c>
      <c r="E2748" t="n">
        <v>15.5229</v>
      </c>
      <c r="F2748" t="n">
        <v>0.08444</v>
      </c>
    </row>
    <row r="2749">
      <c r="A2749" t="n">
        <v>2000920</v>
      </c>
      <c r="B2749" t="n">
        <v>2</v>
      </c>
      <c r="C2749" t="n">
        <v>920</v>
      </c>
      <c r="D2749" t="n">
        <v>-0.5684</v>
      </c>
      <c r="E2749" t="n">
        <v>15.5221</v>
      </c>
      <c r="F2749" t="n">
        <v>0.08444</v>
      </c>
    </row>
    <row r="2750">
      <c r="A2750" t="n">
        <v>2000921</v>
      </c>
      <c r="B2750" t="n">
        <v>2</v>
      </c>
      <c r="C2750" t="n">
        <v>921</v>
      </c>
      <c r="D2750" t="n">
        <v>-0.5684</v>
      </c>
      <c r="E2750" t="n">
        <v>15.5213</v>
      </c>
      <c r="F2750" t="n">
        <v>0.08445</v>
      </c>
    </row>
    <row r="2751">
      <c r="A2751" t="n">
        <v>2000922</v>
      </c>
      <c r="B2751" t="n">
        <v>2</v>
      </c>
      <c r="C2751" t="n">
        <v>922</v>
      </c>
      <c r="D2751" t="n">
        <v>-0.5684</v>
      </c>
      <c r="E2751" t="n">
        <v>15.5205</v>
      </c>
      <c r="F2751" t="n">
        <v>0.08445</v>
      </c>
    </row>
    <row r="2752">
      <c r="A2752" t="n">
        <v>2000923</v>
      </c>
      <c r="B2752" t="n">
        <v>2</v>
      </c>
      <c r="C2752" t="n">
        <v>923</v>
      </c>
      <c r="D2752" t="n">
        <v>-0.5684</v>
      </c>
      <c r="E2752" t="n">
        <v>15.5197</v>
      </c>
      <c r="F2752" t="n">
        <v>0.08445</v>
      </c>
    </row>
    <row r="2753">
      <c r="A2753" t="n">
        <v>2000924</v>
      </c>
      <c r="B2753" t="n">
        <v>2</v>
      </c>
      <c r="C2753" t="n">
        <v>924</v>
      </c>
      <c r="D2753" t="n">
        <v>-0.5684</v>
      </c>
      <c r="E2753" t="n">
        <v>15.5189</v>
      </c>
      <c r="F2753" t="n">
        <v>0.08445</v>
      </c>
    </row>
    <row r="2754">
      <c r="A2754" t="n">
        <v>2000925</v>
      </c>
      <c r="B2754" t="n">
        <v>2</v>
      </c>
      <c r="C2754" t="n">
        <v>925</v>
      </c>
      <c r="D2754" t="n">
        <v>-0.5684</v>
      </c>
      <c r="E2754" t="n">
        <v>15.5181</v>
      </c>
      <c r="F2754" t="n">
        <v>0.08445</v>
      </c>
    </row>
    <row r="2755">
      <c r="A2755" t="n">
        <v>2000926</v>
      </c>
      <c r="B2755" t="n">
        <v>2</v>
      </c>
      <c r="C2755" t="n">
        <v>926</v>
      </c>
      <c r="D2755" t="n">
        <v>-0.5684</v>
      </c>
      <c r="E2755" t="n">
        <v>15.5173</v>
      </c>
      <c r="F2755" t="n">
        <v>0.08445</v>
      </c>
    </row>
    <row r="2756">
      <c r="A2756" t="n">
        <v>2000927</v>
      </c>
      <c r="B2756" t="n">
        <v>2</v>
      </c>
      <c r="C2756" t="n">
        <v>927</v>
      </c>
      <c r="D2756" t="n">
        <v>-0.5684</v>
      </c>
      <c r="E2756" t="n">
        <v>15.5165</v>
      </c>
      <c r="F2756" t="n">
        <v>0.08445</v>
      </c>
    </row>
    <row r="2757">
      <c r="A2757" t="n">
        <v>2000928</v>
      </c>
      <c r="B2757" t="n">
        <v>2</v>
      </c>
      <c r="C2757" t="n">
        <v>928</v>
      </c>
      <c r="D2757" t="n">
        <v>-0.5684</v>
      </c>
      <c r="E2757" t="n">
        <v>15.5157</v>
      </c>
      <c r="F2757" t="n">
        <v>0.08445</v>
      </c>
    </row>
    <row r="2758">
      <c r="A2758" t="n">
        <v>2000929</v>
      </c>
      <c r="B2758" t="n">
        <v>2</v>
      </c>
      <c r="C2758" t="n">
        <v>929</v>
      </c>
      <c r="D2758" t="n">
        <v>-0.5684</v>
      </c>
      <c r="E2758" t="n">
        <v>15.5149</v>
      </c>
      <c r="F2758" t="n">
        <v>0.08445</v>
      </c>
    </row>
    <row r="2759">
      <c r="A2759" t="n">
        <v>2000930</v>
      </c>
      <c r="B2759" t="n">
        <v>2</v>
      </c>
      <c r="C2759" t="n">
        <v>930</v>
      </c>
      <c r="D2759" t="n">
        <v>-0.5684</v>
      </c>
      <c r="E2759" t="n">
        <v>15.5141</v>
      </c>
      <c r="F2759" t="n">
        <v>0.08445999999999999</v>
      </c>
    </row>
    <row r="2760">
      <c r="A2760" t="n">
        <v>2000931</v>
      </c>
      <c r="B2760" t="n">
        <v>2</v>
      </c>
      <c r="C2760" t="n">
        <v>931</v>
      </c>
      <c r="D2760" t="n">
        <v>-0.5684</v>
      </c>
      <c r="E2760" t="n">
        <v>15.5133</v>
      </c>
      <c r="F2760" t="n">
        <v>0.08445999999999999</v>
      </c>
    </row>
    <row r="2761">
      <c r="A2761" t="n">
        <v>2000932</v>
      </c>
      <c r="B2761" t="n">
        <v>2</v>
      </c>
      <c r="C2761" t="n">
        <v>932</v>
      </c>
      <c r="D2761" t="n">
        <v>-0.5684</v>
      </c>
      <c r="E2761" t="n">
        <v>15.5125</v>
      </c>
      <c r="F2761" t="n">
        <v>0.08445999999999999</v>
      </c>
    </row>
    <row r="2762">
      <c r="A2762" t="n">
        <v>2000933</v>
      </c>
      <c r="B2762" t="n">
        <v>2</v>
      </c>
      <c r="C2762" t="n">
        <v>933</v>
      </c>
      <c r="D2762" t="n">
        <v>-0.5684</v>
      </c>
      <c r="E2762" t="n">
        <v>15.5117</v>
      </c>
      <c r="F2762" t="n">
        <v>0.08445999999999999</v>
      </c>
    </row>
    <row r="2763">
      <c r="A2763" t="n">
        <v>2000934</v>
      </c>
      <c r="B2763" t="n">
        <v>2</v>
      </c>
      <c r="C2763" t="n">
        <v>934</v>
      </c>
      <c r="D2763" t="n">
        <v>-0.5684</v>
      </c>
      <c r="E2763" t="n">
        <v>15.5109</v>
      </c>
      <c r="F2763" t="n">
        <v>0.08445999999999999</v>
      </c>
    </row>
    <row r="2764">
      <c r="A2764" t="n">
        <v>2000935</v>
      </c>
      <c r="B2764" t="n">
        <v>2</v>
      </c>
      <c r="C2764" t="n">
        <v>935</v>
      </c>
      <c r="D2764" t="n">
        <v>-0.5684</v>
      </c>
      <c r="E2764" t="n">
        <v>15.5101</v>
      </c>
      <c r="F2764" t="n">
        <v>0.08445999999999999</v>
      </c>
    </row>
    <row r="2765">
      <c r="A2765" t="n">
        <v>2000936</v>
      </c>
      <c r="B2765" t="n">
        <v>2</v>
      </c>
      <c r="C2765" t="n">
        <v>936</v>
      </c>
      <c r="D2765" t="n">
        <v>-0.5684</v>
      </c>
      <c r="E2765" t="n">
        <v>15.5093</v>
      </c>
      <c r="F2765" t="n">
        <v>0.08445999999999999</v>
      </c>
    </row>
    <row r="2766">
      <c r="A2766" t="n">
        <v>2000937</v>
      </c>
      <c r="B2766" t="n">
        <v>2</v>
      </c>
      <c r="C2766" t="n">
        <v>937</v>
      </c>
      <c r="D2766" t="n">
        <v>-0.5684</v>
      </c>
      <c r="E2766" t="n">
        <v>15.5086</v>
      </c>
      <c r="F2766" t="n">
        <v>0.08447</v>
      </c>
    </row>
    <row r="2767">
      <c r="A2767" t="n">
        <v>2000938</v>
      </c>
      <c r="B2767" t="n">
        <v>2</v>
      </c>
      <c r="C2767" t="n">
        <v>938</v>
      </c>
      <c r="D2767" t="n">
        <v>-0.5684</v>
      </c>
      <c r="E2767" t="n">
        <v>15.5078</v>
      </c>
      <c r="F2767" t="n">
        <v>0.08447</v>
      </c>
    </row>
    <row r="2768">
      <c r="A2768" t="n">
        <v>2000939</v>
      </c>
      <c r="B2768" t="n">
        <v>2</v>
      </c>
      <c r="C2768" t="n">
        <v>939</v>
      </c>
      <c r="D2768" t="n">
        <v>-0.5684</v>
      </c>
      <c r="E2768" t="n">
        <v>15.507</v>
      </c>
      <c r="F2768" t="n">
        <v>0.08447</v>
      </c>
    </row>
    <row r="2769">
      <c r="A2769" t="n">
        <v>2000940</v>
      </c>
      <c r="B2769" t="n">
        <v>2</v>
      </c>
      <c r="C2769" t="n">
        <v>940</v>
      </c>
      <c r="D2769" t="n">
        <v>-0.5684</v>
      </c>
      <c r="E2769" t="n">
        <v>15.5062</v>
      </c>
      <c r="F2769" t="n">
        <v>0.08447</v>
      </c>
    </row>
    <row r="2770">
      <c r="A2770" t="n">
        <v>2000941</v>
      </c>
      <c r="B2770" t="n">
        <v>2</v>
      </c>
      <c r="C2770" t="n">
        <v>941</v>
      </c>
      <c r="D2770" t="n">
        <v>-0.5684</v>
      </c>
      <c r="E2770" t="n">
        <v>15.5054</v>
      </c>
      <c r="F2770" t="n">
        <v>0.08447</v>
      </c>
    </row>
    <row r="2771">
      <c r="A2771" t="n">
        <v>2000942</v>
      </c>
      <c r="B2771" t="n">
        <v>2</v>
      </c>
      <c r="C2771" t="n">
        <v>942</v>
      </c>
      <c r="D2771" t="n">
        <v>-0.5684</v>
      </c>
      <c r="E2771" t="n">
        <v>15.5046</v>
      </c>
      <c r="F2771" t="n">
        <v>0.08447</v>
      </c>
    </row>
    <row r="2772">
      <c r="A2772" t="n">
        <v>2000943</v>
      </c>
      <c r="B2772" t="n">
        <v>2</v>
      </c>
      <c r="C2772" t="n">
        <v>943</v>
      </c>
      <c r="D2772" t="n">
        <v>-0.5684</v>
      </c>
      <c r="E2772" t="n">
        <v>15.5038</v>
      </c>
      <c r="F2772" t="n">
        <v>0.08448</v>
      </c>
    </row>
    <row r="2773">
      <c r="A2773" t="n">
        <v>2000944</v>
      </c>
      <c r="B2773" t="n">
        <v>2</v>
      </c>
      <c r="C2773" t="n">
        <v>944</v>
      </c>
      <c r="D2773" t="n">
        <v>-0.5684</v>
      </c>
      <c r="E2773" t="n">
        <v>15.503</v>
      </c>
      <c r="F2773" t="n">
        <v>0.08448</v>
      </c>
    </row>
    <row r="2774">
      <c r="A2774" t="n">
        <v>2000945</v>
      </c>
      <c r="B2774" t="n">
        <v>2</v>
      </c>
      <c r="C2774" t="n">
        <v>945</v>
      </c>
      <c r="D2774" t="n">
        <v>-0.5684</v>
      </c>
      <c r="E2774" t="n">
        <v>15.5023</v>
      </c>
      <c r="F2774" t="n">
        <v>0.08448</v>
      </c>
    </row>
    <row r="2775">
      <c r="A2775" t="n">
        <v>2000946</v>
      </c>
      <c r="B2775" t="n">
        <v>2</v>
      </c>
      <c r="C2775" t="n">
        <v>946</v>
      </c>
      <c r="D2775" t="n">
        <v>-0.5684</v>
      </c>
      <c r="E2775" t="n">
        <v>15.5015</v>
      </c>
      <c r="F2775" t="n">
        <v>0.08448</v>
      </c>
    </row>
    <row r="2776">
      <c r="A2776" t="n">
        <v>2000947</v>
      </c>
      <c r="B2776" t="n">
        <v>2</v>
      </c>
      <c r="C2776" t="n">
        <v>947</v>
      </c>
      <c r="D2776" t="n">
        <v>-0.5684</v>
      </c>
      <c r="E2776" t="n">
        <v>15.5007</v>
      </c>
      <c r="F2776" t="n">
        <v>0.08448</v>
      </c>
    </row>
    <row r="2777">
      <c r="A2777" t="n">
        <v>2000948</v>
      </c>
      <c r="B2777" t="n">
        <v>2</v>
      </c>
      <c r="C2777" t="n">
        <v>948</v>
      </c>
      <c r="D2777" t="n">
        <v>-0.5684</v>
      </c>
      <c r="E2777" t="n">
        <v>15.4999</v>
      </c>
      <c r="F2777" t="n">
        <v>0.08448</v>
      </c>
    </row>
    <row r="2778">
      <c r="A2778" t="n">
        <v>2000949</v>
      </c>
      <c r="B2778" t="n">
        <v>2</v>
      </c>
      <c r="C2778" t="n">
        <v>949</v>
      </c>
      <c r="D2778" t="n">
        <v>-0.5684</v>
      </c>
      <c r="E2778" t="n">
        <v>15.4991</v>
      </c>
      <c r="F2778" t="n">
        <v>0.08449</v>
      </c>
    </row>
    <row r="2779">
      <c r="A2779" t="n">
        <v>2000950</v>
      </c>
      <c r="B2779" t="n">
        <v>2</v>
      </c>
      <c r="C2779" t="n">
        <v>950</v>
      </c>
      <c r="D2779" t="n">
        <v>-0.5684</v>
      </c>
      <c r="E2779" t="n">
        <v>15.4983</v>
      </c>
      <c r="F2779" t="n">
        <v>0.08449</v>
      </c>
    </row>
    <row r="2780">
      <c r="A2780" t="n">
        <v>2000951</v>
      </c>
      <c r="B2780" t="n">
        <v>2</v>
      </c>
      <c r="C2780" t="n">
        <v>951</v>
      </c>
      <c r="D2780" t="n">
        <v>-0.5684</v>
      </c>
      <c r="E2780" t="n">
        <v>15.4976</v>
      </c>
      <c r="F2780" t="n">
        <v>0.08449</v>
      </c>
    </row>
    <row r="2781">
      <c r="A2781" t="n">
        <v>2000952</v>
      </c>
      <c r="B2781" t="n">
        <v>2</v>
      </c>
      <c r="C2781" t="n">
        <v>952</v>
      </c>
      <c r="D2781" t="n">
        <v>-0.5684</v>
      </c>
      <c r="E2781" t="n">
        <v>15.4968</v>
      </c>
      <c r="F2781" t="n">
        <v>0.08449</v>
      </c>
    </row>
    <row r="2782">
      <c r="A2782" t="n">
        <v>2000953</v>
      </c>
      <c r="B2782" t="n">
        <v>2</v>
      </c>
      <c r="C2782" t="n">
        <v>953</v>
      </c>
      <c r="D2782" t="n">
        <v>-0.5684</v>
      </c>
      <c r="E2782" t="n">
        <v>15.496</v>
      </c>
      <c r="F2782" t="n">
        <v>0.08450000000000001</v>
      </c>
    </row>
    <row r="2783">
      <c r="A2783" t="n">
        <v>2000954</v>
      </c>
      <c r="B2783" t="n">
        <v>2</v>
      </c>
      <c r="C2783" t="n">
        <v>954</v>
      </c>
      <c r="D2783" t="n">
        <v>-0.5684</v>
      </c>
      <c r="E2783" t="n">
        <v>15.4952</v>
      </c>
      <c r="F2783" t="n">
        <v>0.08450000000000001</v>
      </c>
    </row>
    <row r="2784">
      <c r="A2784" t="n">
        <v>2000955</v>
      </c>
      <c r="B2784" t="n">
        <v>2</v>
      </c>
      <c r="C2784" t="n">
        <v>955</v>
      </c>
      <c r="D2784" t="n">
        <v>-0.5684</v>
      </c>
      <c r="E2784" t="n">
        <v>15.4944</v>
      </c>
      <c r="F2784" t="n">
        <v>0.08450000000000001</v>
      </c>
    </row>
    <row r="2785">
      <c r="A2785" t="n">
        <v>2000956</v>
      </c>
      <c r="B2785" t="n">
        <v>2</v>
      </c>
      <c r="C2785" t="n">
        <v>956</v>
      </c>
      <c r="D2785" t="n">
        <v>-0.5684</v>
      </c>
      <c r="E2785" t="n">
        <v>15.4937</v>
      </c>
      <c r="F2785" t="n">
        <v>0.08450000000000001</v>
      </c>
    </row>
    <row r="2786">
      <c r="A2786" t="n">
        <v>2000957</v>
      </c>
      <c r="B2786" t="n">
        <v>2</v>
      </c>
      <c r="C2786" t="n">
        <v>957</v>
      </c>
      <c r="D2786" t="n">
        <v>-0.5684</v>
      </c>
      <c r="E2786" t="n">
        <v>15.4929</v>
      </c>
      <c r="F2786" t="n">
        <v>0.08450000000000001</v>
      </c>
    </row>
    <row r="2787">
      <c r="A2787" t="n">
        <v>2000958</v>
      </c>
      <c r="B2787" t="n">
        <v>2</v>
      </c>
      <c r="C2787" t="n">
        <v>958</v>
      </c>
      <c r="D2787" t="n">
        <v>-0.5684</v>
      </c>
      <c r="E2787" t="n">
        <v>15.4921</v>
      </c>
      <c r="F2787" t="n">
        <v>0.08451</v>
      </c>
    </row>
    <row r="2788">
      <c r="A2788" t="n">
        <v>2000959</v>
      </c>
      <c r="B2788" t="n">
        <v>2</v>
      </c>
      <c r="C2788" t="n">
        <v>959</v>
      </c>
      <c r="D2788" t="n">
        <v>-0.5684</v>
      </c>
      <c r="E2788" t="n">
        <v>15.4913</v>
      </c>
      <c r="F2788" t="n">
        <v>0.08451</v>
      </c>
    </row>
    <row r="2789">
      <c r="A2789" t="n">
        <v>2000960</v>
      </c>
      <c r="B2789" t="n">
        <v>2</v>
      </c>
      <c r="C2789" t="n">
        <v>960</v>
      </c>
      <c r="D2789" t="n">
        <v>-0.5684</v>
      </c>
      <c r="E2789" t="n">
        <v>15.4906</v>
      </c>
      <c r="F2789" t="n">
        <v>0.08451</v>
      </c>
    </row>
    <row r="2790">
      <c r="A2790" t="n">
        <v>2000961</v>
      </c>
      <c r="B2790" t="n">
        <v>2</v>
      </c>
      <c r="C2790" t="n">
        <v>961</v>
      </c>
      <c r="D2790" t="n">
        <v>-0.5684</v>
      </c>
      <c r="E2790" t="n">
        <v>15.4898</v>
      </c>
      <c r="F2790" t="n">
        <v>0.08451</v>
      </c>
    </row>
    <row r="2791">
      <c r="A2791" t="n">
        <v>2000962</v>
      </c>
      <c r="B2791" t="n">
        <v>2</v>
      </c>
      <c r="C2791" t="n">
        <v>962</v>
      </c>
      <c r="D2791" t="n">
        <v>-0.5684</v>
      </c>
      <c r="E2791" t="n">
        <v>15.489</v>
      </c>
      <c r="F2791" t="n">
        <v>0.08452</v>
      </c>
    </row>
    <row r="2792">
      <c r="A2792" t="n">
        <v>2000963</v>
      </c>
      <c r="B2792" t="n">
        <v>2</v>
      </c>
      <c r="C2792" t="n">
        <v>963</v>
      </c>
      <c r="D2792" t="n">
        <v>-0.5684</v>
      </c>
      <c r="E2792" t="n">
        <v>15.4883</v>
      </c>
      <c r="F2792" t="n">
        <v>0.08452</v>
      </c>
    </row>
    <row r="2793">
      <c r="A2793" t="n">
        <v>2000964</v>
      </c>
      <c r="B2793" t="n">
        <v>2</v>
      </c>
      <c r="C2793" t="n">
        <v>964</v>
      </c>
      <c r="D2793" t="n">
        <v>-0.5684</v>
      </c>
      <c r="E2793" t="n">
        <v>15.4875</v>
      </c>
      <c r="F2793" t="n">
        <v>0.08452</v>
      </c>
    </row>
    <row r="2794">
      <c r="A2794" t="n">
        <v>2000965</v>
      </c>
      <c r="B2794" t="n">
        <v>2</v>
      </c>
      <c r="C2794" t="n">
        <v>965</v>
      </c>
      <c r="D2794" t="n">
        <v>-0.5684</v>
      </c>
      <c r="E2794" t="n">
        <v>15.4867</v>
      </c>
      <c r="F2794" t="n">
        <v>0.08452</v>
      </c>
    </row>
    <row r="2795">
      <c r="A2795" t="n">
        <v>2000966</v>
      </c>
      <c r="B2795" t="n">
        <v>2</v>
      </c>
      <c r="C2795" t="n">
        <v>966</v>
      </c>
      <c r="D2795" t="n">
        <v>-0.5684</v>
      </c>
      <c r="E2795" t="n">
        <v>15.4859</v>
      </c>
      <c r="F2795" t="n">
        <v>0.08452999999999999</v>
      </c>
    </row>
    <row r="2796">
      <c r="A2796" t="n">
        <v>2000967</v>
      </c>
      <c r="B2796" t="n">
        <v>2</v>
      </c>
      <c r="C2796" t="n">
        <v>967</v>
      </c>
      <c r="D2796" t="n">
        <v>-0.5684</v>
      </c>
      <c r="E2796" t="n">
        <v>15.4852</v>
      </c>
      <c r="F2796" t="n">
        <v>0.08452999999999999</v>
      </c>
    </row>
    <row r="2797">
      <c r="A2797" t="n">
        <v>2000968</v>
      </c>
      <c r="B2797" t="n">
        <v>2</v>
      </c>
      <c r="C2797" t="n">
        <v>968</v>
      </c>
      <c r="D2797" t="n">
        <v>-0.5684</v>
      </c>
      <c r="E2797" t="n">
        <v>15.4844</v>
      </c>
      <c r="F2797" t="n">
        <v>0.08452999999999999</v>
      </c>
    </row>
    <row r="2798">
      <c r="A2798" t="n">
        <v>2000969</v>
      </c>
      <c r="B2798" t="n">
        <v>2</v>
      </c>
      <c r="C2798" t="n">
        <v>969</v>
      </c>
      <c r="D2798" t="n">
        <v>-0.5684</v>
      </c>
      <c r="E2798" t="n">
        <v>15.4836</v>
      </c>
      <c r="F2798" t="n">
        <v>0.08454</v>
      </c>
    </row>
    <row r="2799">
      <c r="A2799" t="n">
        <v>2000970</v>
      </c>
      <c r="B2799" t="n">
        <v>2</v>
      </c>
      <c r="C2799" t="n">
        <v>970</v>
      </c>
      <c r="D2799" t="n">
        <v>-0.5684</v>
      </c>
      <c r="E2799" t="n">
        <v>15.4829</v>
      </c>
      <c r="F2799" t="n">
        <v>0.08454</v>
      </c>
    </row>
    <row r="2800">
      <c r="A2800" t="n">
        <v>2000971</v>
      </c>
      <c r="B2800" t="n">
        <v>2</v>
      </c>
      <c r="C2800" t="n">
        <v>971</v>
      </c>
      <c r="D2800" t="n">
        <v>-0.5684</v>
      </c>
      <c r="E2800" t="n">
        <v>15.4821</v>
      </c>
      <c r="F2800" t="n">
        <v>0.08454</v>
      </c>
    </row>
    <row r="2801">
      <c r="A2801" t="n">
        <v>2000972</v>
      </c>
      <c r="B2801" t="n">
        <v>2</v>
      </c>
      <c r="C2801" t="n">
        <v>972</v>
      </c>
      <c r="D2801" t="n">
        <v>-0.5684</v>
      </c>
      <c r="E2801" t="n">
        <v>15.4814</v>
      </c>
      <c r="F2801" t="n">
        <v>0.08455</v>
      </c>
    </row>
    <row r="2802">
      <c r="A2802" t="n">
        <v>2000973</v>
      </c>
      <c r="B2802" t="n">
        <v>2</v>
      </c>
      <c r="C2802" t="n">
        <v>973</v>
      </c>
      <c r="D2802" t="n">
        <v>-0.5684</v>
      </c>
      <c r="E2802" t="n">
        <v>15.4806</v>
      </c>
      <c r="F2802" t="n">
        <v>0.08455</v>
      </c>
    </row>
    <row r="2803">
      <c r="A2803" t="n">
        <v>2000974</v>
      </c>
      <c r="B2803" t="n">
        <v>2</v>
      </c>
      <c r="C2803" t="n">
        <v>974</v>
      </c>
      <c r="D2803" t="n">
        <v>-0.5684</v>
      </c>
      <c r="E2803" t="n">
        <v>15.4798</v>
      </c>
      <c r="F2803" t="n">
        <v>0.08455</v>
      </c>
    </row>
    <row r="2804">
      <c r="A2804" t="n">
        <v>2000975</v>
      </c>
      <c r="B2804" t="n">
        <v>2</v>
      </c>
      <c r="C2804" t="n">
        <v>975</v>
      </c>
      <c r="D2804" t="n">
        <v>-0.5684</v>
      </c>
      <c r="E2804" t="n">
        <v>15.4791</v>
      </c>
      <c r="F2804" t="n">
        <v>0.08455</v>
      </c>
    </row>
    <row r="2805">
      <c r="A2805" t="n">
        <v>2000976</v>
      </c>
      <c r="B2805" t="n">
        <v>2</v>
      </c>
      <c r="C2805" t="n">
        <v>976</v>
      </c>
      <c r="D2805" t="n">
        <v>-0.5684</v>
      </c>
      <c r="E2805" t="n">
        <v>15.4783</v>
      </c>
      <c r="F2805" t="n">
        <v>0.08456</v>
      </c>
    </row>
    <row r="2806">
      <c r="A2806" t="n">
        <v>2000977</v>
      </c>
      <c r="B2806" t="n">
        <v>2</v>
      </c>
      <c r="C2806" t="n">
        <v>977</v>
      </c>
      <c r="D2806" t="n">
        <v>-0.5684</v>
      </c>
      <c r="E2806" t="n">
        <v>15.4776</v>
      </c>
      <c r="F2806" t="n">
        <v>0.08456</v>
      </c>
    </row>
    <row r="2807">
      <c r="A2807" t="n">
        <v>2000978</v>
      </c>
      <c r="B2807" t="n">
        <v>2</v>
      </c>
      <c r="C2807" t="n">
        <v>978</v>
      </c>
      <c r="D2807" t="n">
        <v>-0.5684</v>
      </c>
      <c r="E2807" t="n">
        <v>15.4768</v>
      </c>
      <c r="F2807" t="n">
        <v>0.08456</v>
      </c>
    </row>
    <row r="2808">
      <c r="A2808" t="n">
        <v>2000979</v>
      </c>
      <c r="B2808" t="n">
        <v>2</v>
      </c>
      <c r="C2808" t="n">
        <v>979</v>
      </c>
      <c r="D2808" t="n">
        <v>-0.5684</v>
      </c>
      <c r="E2808" t="n">
        <v>15.476</v>
      </c>
      <c r="F2808" t="n">
        <v>0.08457000000000001</v>
      </c>
    </row>
    <row r="2809">
      <c r="A2809" t="n">
        <v>2000980</v>
      </c>
      <c r="B2809" t="n">
        <v>2</v>
      </c>
      <c r="C2809" t="n">
        <v>980</v>
      </c>
      <c r="D2809" t="n">
        <v>-0.5684</v>
      </c>
      <c r="E2809" t="n">
        <v>15.4753</v>
      </c>
      <c r="F2809" t="n">
        <v>0.08457000000000001</v>
      </c>
    </row>
    <row r="2810">
      <c r="A2810" t="n">
        <v>2000981</v>
      </c>
      <c r="B2810" t="n">
        <v>2</v>
      </c>
      <c r="C2810" t="n">
        <v>981</v>
      </c>
      <c r="D2810" t="n">
        <v>-0.5684</v>
      </c>
      <c r="E2810" t="n">
        <v>15.4745</v>
      </c>
      <c r="F2810" t="n">
        <v>0.08457000000000001</v>
      </c>
    </row>
    <row r="2811">
      <c r="A2811" t="n">
        <v>2000982</v>
      </c>
      <c r="B2811" t="n">
        <v>2</v>
      </c>
      <c r="C2811" t="n">
        <v>982</v>
      </c>
      <c r="D2811" t="n">
        <v>-0.5684</v>
      </c>
      <c r="E2811" t="n">
        <v>15.4738</v>
      </c>
      <c r="F2811" t="n">
        <v>0.08458</v>
      </c>
    </row>
    <row r="2812">
      <c r="A2812" t="n">
        <v>2000983</v>
      </c>
      <c r="B2812" t="n">
        <v>2</v>
      </c>
      <c r="C2812" t="n">
        <v>983</v>
      </c>
      <c r="D2812" t="n">
        <v>-0.5684</v>
      </c>
      <c r="E2812" t="n">
        <v>15.473</v>
      </c>
      <c r="F2812" t="n">
        <v>0.08458</v>
      </c>
    </row>
    <row r="2813">
      <c r="A2813" t="n">
        <v>2000984</v>
      </c>
      <c r="B2813" t="n">
        <v>2</v>
      </c>
      <c r="C2813" t="n">
        <v>984</v>
      </c>
      <c r="D2813" t="n">
        <v>-0.5684</v>
      </c>
      <c r="E2813" t="n">
        <v>15.4723</v>
      </c>
      <c r="F2813" t="n">
        <v>0.08459</v>
      </c>
    </row>
    <row r="2814">
      <c r="A2814" t="n">
        <v>2000985</v>
      </c>
      <c r="B2814" t="n">
        <v>2</v>
      </c>
      <c r="C2814" t="n">
        <v>985</v>
      </c>
      <c r="D2814" t="n">
        <v>-0.5684</v>
      </c>
      <c r="E2814" t="n">
        <v>15.4715</v>
      </c>
      <c r="F2814" t="n">
        <v>0.08459</v>
      </c>
    </row>
    <row r="2815">
      <c r="A2815" t="n">
        <v>2000986</v>
      </c>
      <c r="B2815" t="n">
        <v>2</v>
      </c>
      <c r="C2815" t="n">
        <v>986</v>
      </c>
      <c r="D2815" t="n">
        <v>-0.5684</v>
      </c>
      <c r="E2815" t="n">
        <v>15.4708</v>
      </c>
      <c r="F2815" t="n">
        <v>0.08459</v>
      </c>
    </row>
    <row r="2816">
      <c r="A2816" t="n">
        <v>2000987</v>
      </c>
      <c r="B2816" t="n">
        <v>2</v>
      </c>
      <c r="C2816" t="n">
        <v>987</v>
      </c>
      <c r="D2816" t="n">
        <v>-0.5684</v>
      </c>
      <c r="E2816" t="n">
        <v>15.47</v>
      </c>
      <c r="F2816" t="n">
        <v>0.08459999999999999</v>
      </c>
    </row>
    <row r="2817">
      <c r="A2817" t="n">
        <v>2000988</v>
      </c>
      <c r="B2817" t="n">
        <v>2</v>
      </c>
      <c r="C2817" t="n">
        <v>988</v>
      </c>
      <c r="D2817" t="n">
        <v>-0.5684</v>
      </c>
      <c r="E2817" t="n">
        <v>15.4693</v>
      </c>
      <c r="F2817" t="n">
        <v>0.08459999999999999</v>
      </c>
    </row>
    <row r="2818">
      <c r="A2818" t="n">
        <v>2000989</v>
      </c>
      <c r="B2818" t="n">
        <v>2</v>
      </c>
      <c r="C2818" t="n">
        <v>989</v>
      </c>
      <c r="D2818" t="n">
        <v>-0.5684</v>
      </c>
      <c r="E2818" t="n">
        <v>15.4685</v>
      </c>
      <c r="F2818" t="n">
        <v>0.08459999999999999</v>
      </c>
    </row>
    <row r="2819">
      <c r="A2819" t="n">
        <v>2000990</v>
      </c>
      <c r="B2819" t="n">
        <v>2</v>
      </c>
      <c r="C2819" t="n">
        <v>990</v>
      </c>
      <c r="D2819" t="n">
        <v>-0.5684</v>
      </c>
      <c r="E2819" t="n">
        <v>15.4678</v>
      </c>
      <c r="F2819" t="n">
        <v>0.08461</v>
      </c>
    </row>
    <row r="2820">
      <c r="A2820" t="n">
        <v>2000991</v>
      </c>
      <c r="B2820" t="n">
        <v>2</v>
      </c>
      <c r="C2820" t="n">
        <v>991</v>
      </c>
      <c r="D2820" t="n">
        <v>-0.5684</v>
      </c>
      <c r="E2820" t="n">
        <v>15.467</v>
      </c>
      <c r="F2820" t="n">
        <v>0.08461</v>
      </c>
    </row>
    <row r="2821">
      <c r="A2821" t="n">
        <v>2000992</v>
      </c>
      <c r="B2821" t="n">
        <v>2</v>
      </c>
      <c r="C2821" t="n">
        <v>992</v>
      </c>
      <c r="D2821" t="n">
        <v>-0.5684</v>
      </c>
      <c r="E2821" t="n">
        <v>15.4663</v>
      </c>
      <c r="F2821" t="n">
        <v>0.08462</v>
      </c>
    </row>
    <row r="2822">
      <c r="A2822" t="n">
        <v>2000993</v>
      </c>
      <c r="B2822" t="n">
        <v>2</v>
      </c>
      <c r="C2822" t="n">
        <v>993</v>
      </c>
      <c r="D2822" t="n">
        <v>-0.5684</v>
      </c>
      <c r="E2822" t="n">
        <v>15.4656</v>
      </c>
      <c r="F2822" t="n">
        <v>0.08462</v>
      </c>
    </row>
    <row r="2823">
      <c r="A2823" t="n">
        <v>2000994</v>
      </c>
      <c r="B2823" t="n">
        <v>2</v>
      </c>
      <c r="C2823" t="n">
        <v>994</v>
      </c>
      <c r="D2823" t="n">
        <v>-0.5684</v>
      </c>
      <c r="E2823" t="n">
        <v>15.4648</v>
      </c>
      <c r="F2823" t="n">
        <v>0.08462</v>
      </c>
    </row>
    <row r="2824">
      <c r="A2824" t="n">
        <v>2000995</v>
      </c>
      <c r="B2824" t="n">
        <v>2</v>
      </c>
      <c r="C2824" t="n">
        <v>995</v>
      </c>
      <c r="D2824" t="n">
        <v>-0.5684</v>
      </c>
      <c r="E2824" t="n">
        <v>15.4641</v>
      </c>
      <c r="F2824" t="n">
        <v>0.08463</v>
      </c>
    </row>
    <row r="2825">
      <c r="A2825" t="n">
        <v>2000996</v>
      </c>
      <c r="B2825" t="n">
        <v>2</v>
      </c>
      <c r="C2825" t="n">
        <v>996</v>
      </c>
      <c r="D2825" t="n">
        <v>-0.5684</v>
      </c>
      <c r="E2825" t="n">
        <v>15.4633</v>
      </c>
      <c r="F2825" t="n">
        <v>0.08463</v>
      </c>
    </row>
    <row r="2826">
      <c r="A2826" t="n">
        <v>2000997</v>
      </c>
      <c r="B2826" t="n">
        <v>2</v>
      </c>
      <c r="C2826" t="n">
        <v>997</v>
      </c>
      <c r="D2826" t="n">
        <v>-0.5684</v>
      </c>
      <c r="E2826" t="n">
        <v>15.4626</v>
      </c>
      <c r="F2826" t="n">
        <v>0.08464000000000001</v>
      </c>
    </row>
    <row r="2827">
      <c r="A2827" t="n">
        <v>2000998</v>
      </c>
      <c r="B2827" t="n">
        <v>2</v>
      </c>
      <c r="C2827" t="n">
        <v>998</v>
      </c>
      <c r="D2827" t="n">
        <v>-0.5684</v>
      </c>
      <c r="E2827" t="n">
        <v>15.4619</v>
      </c>
      <c r="F2827" t="n">
        <v>0.08464000000000001</v>
      </c>
    </row>
    <row r="2828">
      <c r="A2828" t="n">
        <v>2000999</v>
      </c>
      <c r="B2828" t="n">
        <v>2</v>
      </c>
      <c r="C2828" t="n">
        <v>999</v>
      </c>
      <c r="D2828" t="n">
        <v>-0.5684</v>
      </c>
      <c r="E2828" t="n">
        <v>15.4611</v>
      </c>
      <c r="F2828" t="n">
        <v>0.08465</v>
      </c>
    </row>
    <row r="2829">
      <c r="A2829" t="n">
        <v>2001000</v>
      </c>
      <c r="B2829" t="n">
        <v>2</v>
      </c>
      <c r="C2829" t="n">
        <v>1000</v>
      </c>
      <c r="D2829" t="n">
        <v>-0.5684</v>
      </c>
      <c r="E2829" t="n">
        <v>15.4604</v>
      </c>
      <c r="F2829" t="n">
        <v>0.08465</v>
      </c>
    </row>
    <row r="2830">
      <c r="A2830" t="n">
        <v>2001001</v>
      </c>
      <c r="B2830" t="n">
        <v>2</v>
      </c>
      <c r="C2830" t="n">
        <v>1001</v>
      </c>
      <c r="D2830" t="n">
        <v>-0.5684</v>
      </c>
      <c r="E2830" t="n">
        <v>15.4597</v>
      </c>
      <c r="F2830" t="n">
        <v>0.08465</v>
      </c>
    </row>
    <row r="2831">
      <c r="A2831" t="n">
        <v>2001002</v>
      </c>
      <c r="B2831" t="n">
        <v>2</v>
      </c>
      <c r="C2831" t="n">
        <v>1002</v>
      </c>
      <c r="D2831" t="n">
        <v>-0.5684</v>
      </c>
      <c r="E2831" t="n">
        <v>15.4589</v>
      </c>
      <c r="F2831" t="n">
        <v>0.08466</v>
      </c>
    </row>
    <row r="2832">
      <c r="A2832" t="n">
        <v>2001003</v>
      </c>
      <c r="B2832" t="n">
        <v>2</v>
      </c>
      <c r="C2832" t="n">
        <v>1003</v>
      </c>
      <c r="D2832" t="n">
        <v>-0.5684</v>
      </c>
      <c r="E2832" t="n">
        <v>15.4582</v>
      </c>
      <c r="F2832" t="n">
        <v>0.08466</v>
      </c>
    </row>
    <row r="2833">
      <c r="A2833" t="n">
        <v>2001004</v>
      </c>
      <c r="B2833" t="n">
        <v>2</v>
      </c>
      <c r="C2833" t="n">
        <v>1004</v>
      </c>
      <c r="D2833" t="n">
        <v>-0.5684</v>
      </c>
      <c r="E2833" t="n">
        <v>15.4575</v>
      </c>
      <c r="F2833" t="n">
        <v>0.08467</v>
      </c>
    </row>
    <row r="2834">
      <c r="A2834" t="n">
        <v>2001005</v>
      </c>
      <c r="B2834" t="n">
        <v>2</v>
      </c>
      <c r="C2834" t="n">
        <v>1005</v>
      </c>
      <c r="D2834" t="n">
        <v>-0.5684</v>
      </c>
      <c r="E2834" t="n">
        <v>15.4568</v>
      </c>
      <c r="F2834" t="n">
        <v>0.08467</v>
      </c>
    </row>
    <row r="2835">
      <c r="A2835" t="n">
        <v>2001006</v>
      </c>
      <c r="B2835" t="n">
        <v>2</v>
      </c>
      <c r="C2835" t="n">
        <v>1006</v>
      </c>
      <c r="D2835" t="n">
        <v>-0.5684</v>
      </c>
      <c r="E2835" t="n">
        <v>15.456</v>
      </c>
      <c r="F2835" t="n">
        <v>0.08468000000000001</v>
      </c>
    </row>
    <row r="2836">
      <c r="A2836" t="n">
        <v>2001007</v>
      </c>
      <c r="B2836" t="n">
        <v>2</v>
      </c>
      <c r="C2836" t="n">
        <v>1007</v>
      </c>
      <c r="D2836" t="n">
        <v>-0.5684</v>
      </c>
      <c r="E2836" t="n">
        <v>15.4553</v>
      </c>
      <c r="F2836" t="n">
        <v>0.08468000000000001</v>
      </c>
    </row>
    <row r="2837">
      <c r="A2837" t="n">
        <v>2001008</v>
      </c>
      <c r="B2837" t="n">
        <v>2</v>
      </c>
      <c r="C2837" t="n">
        <v>1008</v>
      </c>
      <c r="D2837" t="n">
        <v>-0.5684</v>
      </c>
      <c r="E2837" t="n">
        <v>15.4546</v>
      </c>
      <c r="F2837" t="n">
        <v>0.08469</v>
      </c>
    </row>
    <row r="2838">
      <c r="A2838" t="n">
        <v>2001009</v>
      </c>
      <c r="B2838" t="n">
        <v>2</v>
      </c>
      <c r="C2838" t="n">
        <v>1009</v>
      </c>
      <c r="D2838" t="n">
        <v>-0.5684</v>
      </c>
      <c r="E2838" t="n">
        <v>15.4539</v>
      </c>
      <c r="F2838" t="n">
        <v>0.08469</v>
      </c>
    </row>
    <row r="2839">
      <c r="A2839" t="n">
        <v>2001010</v>
      </c>
      <c r="B2839" t="n">
        <v>2</v>
      </c>
      <c r="C2839" t="n">
        <v>1010</v>
      </c>
      <c r="D2839" t="n">
        <v>-0.5684</v>
      </c>
      <c r="E2839" t="n">
        <v>15.4531</v>
      </c>
      <c r="F2839" t="n">
        <v>0.0847</v>
      </c>
    </row>
    <row r="2840">
      <c r="A2840" t="n">
        <v>2001011</v>
      </c>
      <c r="B2840" t="n">
        <v>2</v>
      </c>
      <c r="C2840" t="n">
        <v>1011</v>
      </c>
      <c r="D2840" t="n">
        <v>-0.5684</v>
      </c>
      <c r="E2840" t="n">
        <v>15.4524</v>
      </c>
      <c r="F2840" t="n">
        <v>0.0847</v>
      </c>
    </row>
    <row r="2841">
      <c r="A2841" t="n">
        <v>2001012</v>
      </c>
      <c r="B2841" t="n">
        <v>2</v>
      </c>
      <c r="C2841" t="n">
        <v>1012</v>
      </c>
      <c r="D2841" t="n">
        <v>-0.5684</v>
      </c>
      <c r="E2841" t="n">
        <v>15.4517</v>
      </c>
      <c r="F2841" t="n">
        <v>0.08470999999999999</v>
      </c>
    </row>
    <row r="2842">
      <c r="A2842" t="n">
        <v>2001013</v>
      </c>
      <c r="B2842" t="n">
        <v>2</v>
      </c>
      <c r="C2842" t="n">
        <v>1013</v>
      </c>
      <c r="D2842" t="n">
        <v>-0.5684</v>
      </c>
      <c r="E2842" t="n">
        <v>15.451</v>
      </c>
      <c r="F2842" t="n">
        <v>0.08470999999999999</v>
      </c>
    </row>
    <row r="2843">
      <c r="A2843" t="n">
        <v>2001014</v>
      </c>
      <c r="B2843" t="n">
        <v>2</v>
      </c>
      <c r="C2843" t="n">
        <v>1014</v>
      </c>
      <c r="D2843" t="n">
        <v>-0.5684</v>
      </c>
      <c r="E2843" t="n">
        <v>15.4503</v>
      </c>
      <c r="F2843" t="n">
        <v>0.08472</v>
      </c>
    </row>
    <row r="2844">
      <c r="A2844" t="n">
        <v>2001015</v>
      </c>
      <c r="B2844" t="n">
        <v>2</v>
      </c>
      <c r="C2844" t="n">
        <v>1015</v>
      </c>
      <c r="D2844" t="n">
        <v>-0.5684</v>
      </c>
      <c r="E2844" t="n">
        <v>15.4495</v>
      </c>
      <c r="F2844" t="n">
        <v>0.08472</v>
      </c>
    </row>
    <row r="2845">
      <c r="A2845" t="n">
        <v>2001016</v>
      </c>
      <c r="B2845" t="n">
        <v>2</v>
      </c>
      <c r="C2845" t="n">
        <v>1016</v>
      </c>
      <c r="D2845" t="n">
        <v>-0.5684</v>
      </c>
      <c r="E2845" t="n">
        <v>15.4488</v>
      </c>
      <c r="F2845" t="n">
        <v>0.08473</v>
      </c>
    </row>
    <row r="2846">
      <c r="A2846" t="n">
        <v>2001017</v>
      </c>
      <c r="B2846" t="n">
        <v>2</v>
      </c>
      <c r="C2846" t="n">
        <v>1017</v>
      </c>
      <c r="D2846" t="n">
        <v>-0.5684</v>
      </c>
      <c r="E2846" t="n">
        <v>15.4481</v>
      </c>
      <c r="F2846" t="n">
        <v>0.08473</v>
      </c>
    </row>
    <row r="2847">
      <c r="A2847" t="n">
        <v>2001018</v>
      </c>
      <c r="B2847" t="n">
        <v>2</v>
      </c>
      <c r="C2847" t="n">
        <v>1018</v>
      </c>
      <c r="D2847" t="n">
        <v>-0.5684</v>
      </c>
      <c r="E2847" t="n">
        <v>15.4474</v>
      </c>
      <c r="F2847" t="n">
        <v>0.08474</v>
      </c>
    </row>
    <row r="2848">
      <c r="A2848" t="n">
        <v>2001019</v>
      </c>
      <c r="B2848" t="n">
        <v>2</v>
      </c>
      <c r="C2848" t="n">
        <v>1019</v>
      </c>
      <c r="D2848" t="n">
        <v>-0.5684</v>
      </c>
      <c r="E2848" t="n">
        <v>15.4467</v>
      </c>
      <c r="F2848" t="n">
        <v>0.08474</v>
      </c>
    </row>
    <row r="2849">
      <c r="A2849" t="n">
        <v>2001020</v>
      </c>
      <c r="B2849" t="n">
        <v>2</v>
      </c>
      <c r="C2849" t="n">
        <v>1020</v>
      </c>
      <c r="D2849" t="n">
        <v>-0.5684</v>
      </c>
      <c r="E2849" t="n">
        <v>15.446</v>
      </c>
      <c r="F2849" t="n">
        <v>0.08475000000000001</v>
      </c>
    </row>
    <row r="2850">
      <c r="A2850" t="n">
        <v>2001021</v>
      </c>
      <c r="B2850" t="n">
        <v>2</v>
      </c>
      <c r="C2850" t="n">
        <v>1021</v>
      </c>
      <c r="D2850" t="n">
        <v>-0.5684</v>
      </c>
      <c r="E2850" t="n">
        <v>15.4453</v>
      </c>
      <c r="F2850" t="n">
        <v>0.08476</v>
      </c>
    </row>
    <row r="2851">
      <c r="A2851" t="n">
        <v>2001022</v>
      </c>
      <c r="B2851" t="n">
        <v>2</v>
      </c>
      <c r="C2851" t="n">
        <v>1022</v>
      </c>
      <c r="D2851" t="n">
        <v>-0.5684</v>
      </c>
      <c r="E2851" t="n">
        <v>15.4446</v>
      </c>
      <c r="F2851" t="n">
        <v>0.08476</v>
      </c>
    </row>
    <row r="2852">
      <c r="A2852" t="n">
        <v>2001023</v>
      </c>
      <c r="B2852" t="n">
        <v>2</v>
      </c>
      <c r="C2852" t="n">
        <v>1023</v>
      </c>
      <c r="D2852" t="n">
        <v>-0.5684</v>
      </c>
      <c r="E2852" t="n">
        <v>15.4439</v>
      </c>
      <c r="F2852" t="n">
        <v>0.08477</v>
      </c>
    </row>
    <row r="2853">
      <c r="A2853" t="n">
        <v>2001024</v>
      </c>
      <c r="B2853" t="n">
        <v>2</v>
      </c>
      <c r="C2853" t="n">
        <v>1024</v>
      </c>
      <c r="D2853" t="n">
        <v>-0.5684</v>
      </c>
      <c r="E2853" t="n">
        <v>15.4432</v>
      </c>
      <c r="F2853" t="n">
        <v>0.08477</v>
      </c>
    </row>
    <row r="2854">
      <c r="A2854" t="n">
        <v>2001025</v>
      </c>
      <c r="B2854" t="n">
        <v>2</v>
      </c>
      <c r="C2854" t="n">
        <v>1025</v>
      </c>
      <c r="D2854" t="n">
        <v>-0.5684</v>
      </c>
      <c r="E2854" t="n">
        <v>15.4425</v>
      </c>
      <c r="F2854" t="n">
        <v>0.08477999999999999</v>
      </c>
    </row>
    <row r="2855">
      <c r="A2855" t="n">
        <v>2001026</v>
      </c>
      <c r="B2855" t="n">
        <v>2</v>
      </c>
      <c r="C2855" t="n">
        <v>1026</v>
      </c>
      <c r="D2855" t="n">
        <v>-0.5684</v>
      </c>
      <c r="E2855" t="n">
        <v>15.4418</v>
      </c>
      <c r="F2855" t="n">
        <v>0.08477999999999999</v>
      </c>
    </row>
    <row r="2856">
      <c r="A2856" t="n">
        <v>2001027</v>
      </c>
      <c r="B2856" t="n">
        <v>2</v>
      </c>
      <c r="C2856" t="n">
        <v>1027</v>
      </c>
      <c r="D2856" t="n">
        <v>-0.5684</v>
      </c>
      <c r="E2856" t="n">
        <v>15.4411</v>
      </c>
      <c r="F2856" t="n">
        <v>0.08479</v>
      </c>
    </row>
    <row r="2857">
      <c r="A2857" t="n">
        <v>2001028</v>
      </c>
      <c r="B2857" t="n">
        <v>2</v>
      </c>
      <c r="C2857" t="n">
        <v>1028</v>
      </c>
      <c r="D2857" t="n">
        <v>-0.5684</v>
      </c>
      <c r="E2857" t="n">
        <v>15.4404</v>
      </c>
      <c r="F2857" t="n">
        <v>0.0848</v>
      </c>
    </row>
    <row r="2858">
      <c r="A2858" t="n">
        <v>2001029</v>
      </c>
      <c r="B2858" t="n">
        <v>2</v>
      </c>
      <c r="C2858" t="n">
        <v>1029</v>
      </c>
      <c r="D2858" t="n">
        <v>-0.5684</v>
      </c>
      <c r="E2858" t="n">
        <v>15.4397</v>
      </c>
      <c r="F2858" t="n">
        <v>0.0848</v>
      </c>
    </row>
    <row r="2859">
      <c r="A2859" t="n">
        <v>2001030</v>
      </c>
      <c r="B2859" t="n">
        <v>2</v>
      </c>
      <c r="C2859" t="n">
        <v>1030</v>
      </c>
      <c r="D2859" t="n">
        <v>-0.5684</v>
      </c>
      <c r="E2859" t="n">
        <v>15.439</v>
      </c>
      <c r="F2859" t="n">
        <v>0.08481</v>
      </c>
    </row>
    <row r="2860">
      <c r="A2860" t="n">
        <v>2001031</v>
      </c>
      <c r="B2860" t="n">
        <v>2</v>
      </c>
      <c r="C2860" t="n">
        <v>1031</v>
      </c>
      <c r="D2860" t="n">
        <v>-0.5684</v>
      </c>
      <c r="E2860" t="n">
        <v>15.4383</v>
      </c>
      <c r="F2860" t="n">
        <v>0.08482000000000001</v>
      </c>
    </row>
    <row r="2861">
      <c r="A2861" t="n">
        <v>2001032</v>
      </c>
      <c r="B2861" t="n">
        <v>2</v>
      </c>
      <c r="C2861" t="n">
        <v>1032</v>
      </c>
      <c r="D2861" t="n">
        <v>-0.5684</v>
      </c>
      <c r="E2861" t="n">
        <v>15.4376</v>
      </c>
      <c r="F2861" t="n">
        <v>0.08482000000000001</v>
      </c>
    </row>
    <row r="2862">
      <c r="A2862" t="n">
        <v>2001033</v>
      </c>
      <c r="B2862" t="n">
        <v>2</v>
      </c>
      <c r="C2862" t="n">
        <v>1033</v>
      </c>
      <c r="D2862" t="n">
        <v>-0.5684</v>
      </c>
      <c r="E2862" t="n">
        <v>15.4369</v>
      </c>
      <c r="F2862" t="n">
        <v>0.08483</v>
      </c>
    </row>
    <row r="2863">
      <c r="A2863" t="n">
        <v>2001034</v>
      </c>
      <c r="B2863" t="n">
        <v>2</v>
      </c>
      <c r="C2863" t="n">
        <v>1034</v>
      </c>
      <c r="D2863" t="n">
        <v>-0.5684</v>
      </c>
      <c r="E2863" t="n">
        <v>15.4362</v>
      </c>
      <c r="F2863" t="n">
        <v>0.08483</v>
      </c>
    </row>
    <row r="2864">
      <c r="A2864" t="n">
        <v>2001035</v>
      </c>
      <c r="B2864" t="n">
        <v>2</v>
      </c>
      <c r="C2864" t="n">
        <v>1035</v>
      </c>
      <c r="D2864" t="n">
        <v>-0.5684</v>
      </c>
      <c r="E2864" t="n">
        <v>15.4355</v>
      </c>
      <c r="F2864" t="n">
        <v>0.08484</v>
      </c>
    </row>
    <row r="2865">
      <c r="A2865" t="n">
        <v>2001036</v>
      </c>
      <c r="B2865" t="n">
        <v>2</v>
      </c>
      <c r="C2865" t="n">
        <v>1036</v>
      </c>
      <c r="D2865" t="n">
        <v>-0.5684</v>
      </c>
      <c r="E2865" t="n">
        <v>15.4349</v>
      </c>
      <c r="F2865" t="n">
        <v>0.08484999999999999</v>
      </c>
    </row>
    <row r="2866">
      <c r="A2866" t="n">
        <v>2001037</v>
      </c>
      <c r="B2866" t="n">
        <v>2</v>
      </c>
      <c r="C2866" t="n">
        <v>1037</v>
      </c>
      <c r="D2866" t="n">
        <v>-0.5684</v>
      </c>
      <c r="E2866" t="n">
        <v>15.4342</v>
      </c>
      <c r="F2866" t="n">
        <v>0.08484999999999999</v>
      </c>
    </row>
    <row r="2867">
      <c r="A2867" t="n">
        <v>2001038</v>
      </c>
      <c r="B2867" t="n">
        <v>2</v>
      </c>
      <c r="C2867" t="n">
        <v>1038</v>
      </c>
      <c r="D2867" t="n">
        <v>-0.5684</v>
      </c>
      <c r="E2867" t="n">
        <v>15.4335</v>
      </c>
      <c r="F2867" t="n">
        <v>0.08486</v>
      </c>
    </row>
    <row r="2868">
      <c r="A2868" t="n">
        <v>2001039</v>
      </c>
      <c r="B2868" t="n">
        <v>2</v>
      </c>
      <c r="C2868" t="n">
        <v>1039</v>
      </c>
      <c r="D2868" t="n">
        <v>-0.5684</v>
      </c>
      <c r="E2868" t="n">
        <v>15.4328</v>
      </c>
      <c r="F2868" t="n">
        <v>0.08487</v>
      </c>
    </row>
    <row r="2869">
      <c r="A2869" t="n">
        <v>2001040</v>
      </c>
      <c r="B2869" t="n">
        <v>2</v>
      </c>
      <c r="C2869" t="n">
        <v>1040</v>
      </c>
      <c r="D2869" t="n">
        <v>-0.5684</v>
      </c>
      <c r="E2869" t="n">
        <v>15.4321</v>
      </c>
      <c r="F2869" t="n">
        <v>0.08487</v>
      </c>
    </row>
    <row r="2870">
      <c r="A2870" t="n">
        <v>2001041</v>
      </c>
      <c r="B2870" t="n">
        <v>2</v>
      </c>
      <c r="C2870" t="n">
        <v>1041</v>
      </c>
      <c r="D2870" t="n">
        <v>-0.5684</v>
      </c>
      <c r="E2870" t="n">
        <v>15.4315</v>
      </c>
      <c r="F2870" t="n">
        <v>0.08488</v>
      </c>
    </row>
    <row r="2871">
      <c r="A2871" t="n">
        <v>2001042</v>
      </c>
      <c r="B2871" t="n">
        <v>2</v>
      </c>
      <c r="C2871" t="n">
        <v>1042</v>
      </c>
      <c r="D2871" t="n">
        <v>-0.5684</v>
      </c>
      <c r="E2871" t="n">
        <v>15.4308</v>
      </c>
      <c r="F2871" t="n">
        <v>0.08488999999999999</v>
      </c>
    </row>
    <row r="2872">
      <c r="A2872" t="n">
        <v>2001043</v>
      </c>
      <c r="B2872" t="n">
        <v>2</v>
      </c>
      <c r="C2872" t="n">
        <v>1043</v>
      </c>
      <c r="D2872" t="n">
        <v>-0.5684</v>
      </c>
      <c r="E2872" t="n">
        <v>15.4301</v>
      </c>
      <c r="F2872" t="n">
        <v>0.08488999999999999</v>
      </c>
    </row>
    <row r="2873">
      <c r="A2873" t="n">
        <v>2001044</v>
      </c>
      <c r="B2873" t="n">
        <v>2</v>
      </c>
      <c r="C2873" t="n">
        <v>1044</v>
      </c>
      <c r="D2873" t="n">
        <v>-0.5684</v>
      </c>
      <c r="E2873" t="n">
        <v>15.4294</v>
      </c>
      <c r="F2873" t="n">
        <v>0.0849</v>
      </c>
    </row>
    <row r="2874">
      <c r="A2874" t="n">
        <v>2001045</v>
      </c>
      <c r="B2874" t="n">
        <v>2</v>
      </c>
      <c r="C2874" t="n">
        <v>1045</v>
      </c>
      <c r="D2874" t="n">
        <v>-0.5684</v>
      </c>
      <c r="E2874" t="n">
        <v>15.4288</v>
      </c>
      <c r="F2874" t="n">
        <v>0.08491</v>
      </c>
    </row>
    <row r="2875">
      <c r="A2875" t="n">
        <v>2001046</v>
      </c>
      <c r="B2875" t="n">
        <v>2</v>
      </c>
      <c r="C2875" t="n">
        <v>1046</v>
      </c>
      <c r="D2875" t="n">
        <v>-0.5684</v>
      </c>
      <c r="E2875" t="n">
        <v>15.4281</v>
      </c>
      <c r="F2875" t="n">
        <v>0.08492</v>
      </c>
    </row>
    <row r="2876">
      <c r="A2876" t="n">
        <v>2001047</v>
      </c>
      <c r="B2876" t="n">
        <v>2</v>
      </c>
      <c r="C2876" t="n">
        <v>1047</v>
      </c>
      <c r="D2876" t="n">
        <v>-0.5684</v>
      </c>
      <c r="E2876" t="n">
        <v>15.4274</v>
      </c>
      <c r="F2876" t="n">
        <v>0.08492</v>
      </c>
    </row>
    <row r="2877">
      <c r="A2877" t="n">
        <v>2001048</v>
      </c>
      <c r="B2877" t="n">
        <v>2</v>
      </c>
      <c r="C2877" t="n">
        <v>1048</v>
      </c>
      <c r="D2877" t="n">
        <v>-0.5684</v>
      </c>
      <c r="E2877" t="n">
        <v>15.4268</v>
      </c>
      <c r="F2877" t="n">
        <v>0.08493000000000001</v>
      </c>
    </row>
    <row r="2878">
      <c r="A2878" t="n">
        <v>2001049</v>
      </c>
      <c r="B2878" t="n">
        <v>2</v>
      </c>
      <c r="C2878" t="n">
        <v>1049</v>
      </c>
      <c r="D2878" t="n">
        <v>-0.5684</v>
      </c>
      <c r="E2878" t="n">
        <v>15.4261</v>
      </c>
      <c r="F2878" t="n">
        <v>0.08494</v>
      </c>
    </row>
    <row r="2879">
      <c r="A2879" t="n">
        <v>2001050</v>
      </c>
      <c r="B2879" t="n">
        <v>2</v>
      </c>
      <c r="C2879" t="n">
        <v>1050</v>
      </c>
      <c r="D2879" t="n">
        <v>-0.5684</v>
      </c>
      <c r="E2879" t="n">
        <v>15.4254</v>
      </c>
      <c r="F2879" t="n">
        <v>0.08494</v>
      </c>
    </row>
    <row r="2880">
      <c r="A2880" t="n">
        <v>2001051</v>
      </c>
      <c r="B2880" t="n">
        <v>2</v>
      </c>
      <c r="C2880" t="n">
        <v>1051</v>
      </c>
      <c r="D2880" t="n">
        <v>-0.5684</v>
      </c>
      <c r="E2880" t="n">
        <v>15.4248</v>
      </c>
      <c r="F2880" t="n">
        <v>0.08495</v>
      </c>
    </row>
    <row r="2881">
      <c r="A2881" t="n">
        <v>2001052</v>
      </c>
      <c r="B2881" t="n">
        <v>2</v>
      </c>
      <c r="C2881" t="n">
        <v>1052</v>
      </c>
      <c r="D2881" t="n">
        <v>-0.5684</v>
      </c>
      <c r="E2881" t="n">
        <v>15.4241</v>
      </c>
      <c r="F2881" t="n">
        <v>0.08495999999999999</v>
      </c>
    </row>
    <row r="2882">
      <c r="A2882" t="n">
        <v>2001053</v>
      </c>
      <c r="B2882" t="n">
        <v>2</v>
      </c>
      <c r="C2882" t="n">
        <v>1053</v>
      </c>
      <c r="D2882" t="n">
        <v>-0.5684</v>
      </c>
      <c r="E2882" t="n">
        <v>15.4234</v>
      </c>
      <c r="F2882" t="n">
        <v>0.08497</v>
      </c>
    </row>
    <row r="2883">
      <c r="A2883" t="n">
        <v>2001054</v>
      </c>
      <c r="B2883" t="n">
        <v>2</v>
      </c>
      <c r="C2883" t="n">
        <v>1054</v>
      </c>
      <c r="D2883" t="n">
        <v>-0.5684</v>
      </c>
      <c r="E2883" t="n">
        <v>15.4228</v>
      </c>
      <c r="F2883" t="n">
        <v>0.08497</v>
      </c>
    </row>
    <row r="2884">
      <c r="A2884" t="n">
        <v>2001055</v>
      </c>
      <c r="B2884" t="n">
        <v>2</v>
      </c>
      <c r="C2884" t="n">
        <v>1055</v>
      </c>
      <c r="D2884" t="n">
        <v>-0.5684</v>
      </c>
      <c r="E2884" t="n">
        <v>15.4221</v>
      </c>
      <c r="F2884" t="n">
        <v>0.08498</v>
      </c>
    </row>
    <row r="2885">
      <c r="A2885" t="n">
        <v>2001056</v>
      </c>
      <c r="B2885" t="n">
        <v>2</v>
      </c>
      <c r="C2885" t="n">
        <v>1056</v>
      </c>
      <c r="D2885" t="n">
        <v>-0.5684</v>
      </c>
      <c r="E2885" t="n">
        <v>15.4215</v>
      </c>
      <c r="F2885" t="n">
        <v>0.08499</v>
      </c>
    </row>
    <row r="2886">
      <c r="A2886" t="n">
        <v>2001057</v>
      </c>
      <c r="B2886" t="n">
        <v>2</v>
      </c>
      <c r="C2886" t="n">
        <v>1057</v>
      </c>
      <c r="D2886" t="n">
        <v>-0.5684</v>
      </c>
      <c r="E2886" t="n">
        <v>15.4208</v>
      </c>
      <c r="F2886" t="n">
        <v>0.08500000000000001</v>
      </c>
    </row>
    <row r="2887">
      <c r="A2887" t="n">
        <v>2001058</v>
      </c>
      <c r="B2887" t="n">
        <v>2</v>
      </c>
      <c r="C2887" t="n">
        <v>1058</v>
      </c>
      <c r="D2887" t="n">
        <v>-0.5684</v>
      </c>
      <c r="E2887" t="n">
        <v>15.4202</v>
      </c>
      <c r="F2887" t="n">
        <v>0.08501</v>
      </c>
    </row>
    <row r="2888">
      <c r="A2888" t="n">
        <v>2001059</v>
      </c>
      <c r="B2888" t="n">
        <v>2</v>
      </c>
      <c r="C2888" t="n">
        <v>1059</v>
      </c>
      <c r="D2888" t="n">
        <v>-0.5684</v>
      </c>
      <c r="E2888" t="n">
        <v>15.4195</v>
      </c>
      <c r="F2888" t="n">
        <v>0.08501</v>
      </c>
    </row>
    <row r="2889">
      <c r="A2889" t="n">
        <v>2001060</v>
      </c>
      <c r="B2889" t="n">
        <v>2</v>
      </c>
      <c r="C2889" t="n">
        <v>1060</v>
      </c>
      <c r="D2889" t="n">
        <v>-0.5684</v>
      </c>
      <c r="E2889" t="n">
        <v>15.4189</v>
      </c>
      <c r="F2889" t="n">
        <v>0.08502</v>
      </c>
    </row>
    <row r="2890">
      <c r="A2890" t="n">
        <v>2001061</v>
      </c>
      <c r="B2890" t="n">
        <v>2</v>
      </c>
      <c r="C2890" t="n">
        <v>1061</v>
      </c>
      <c r="D2890" t="n">
        <v>-0.5684</v>
      </c>
      <c r="E2890" t="n">
        <v>15.4182</v>
      </c>
      <c r="F2890" t="n">
        <v>0.08502999999999999</v>
      </c>
    </row>
    <row r="2891">
      <c r="A2891" t="n">
        <v>2001062</v>
      </c>
      <c r="B2891" t="n">
        <v>2</v>
      </c>
      <c r="C2891" t="n">
        <v>1062</v>
      </c>
      <c r="D2891" t="n">
        <v>-0.5684</v>
      </c>
      <c r="E2891" t="n">
        <v>15.4176</v>
      </c>
      <c r="F2891" t="n">
        <v>0.08504</v>
      </c>
    </row>
    <row r="2892">
      <c r="A2892" t="n">
        <v>2001063</v>
      </c>
      <c r="B2892" t="n">
        <v>2</v>
      </c>
      <c r="C2892" t="n">
        <v>1063</v>
      </c>
      <c r="D2892" t="n">
        <v>-0.5684</v>
      </c>
      <c r="E2892" t="n">
        <v>15.4169</v>
      </c>
      <c r="F2892" t="n">
        <v>0.08505</v>
      </c>
    </row>
    <row r="2893">
      <c r="A2893" t="n">
        <v>2001064</v>
      </c>
      <c r="B2893" t="n">
        <v>2</v>
      </c>
      <c r="C2893" t="n">
        <v>1064</v>
      </c>
      <c r="D2893" t="n">
        <v>-0.5684</v>
      </c>
      <c r="E2893" t="n">
        <v>15.4163</v>
      </c>
      <c r="F2893" t="n">
        <v>0.08505</v>
      </c>
    </row>
    <row r="2894">
      <c r="A2894" t="n">
        <v>2001065</v>
      </c>
      <c r="B2894" t="n">
        <v>2</v>
      </c>
      <c r="C2894" t="n">
        <v>1065</v>
      </c>
      <c r="D2894" t="n">
        <v>-0.5684</v>
      </c>
      <c r="E2894" t="n">
        <v>15.4157</v>
      </c>
      <c r="F2894" t="n">
        <v>0.08506</v>
      </c>
    </row>
    <row r="2895">
      <c r="A2895" t="n">
        <v>2001066</v>
      </c>
      <c r="B2895" t="n">
        <v>2</v>
      </c>
      <c r="C2895" t="n">
        <v>1066</v>
      </c>
      <c r="D2895" t="n">
        <v>-0.5684</v>
      </c>
      <c r="E2895" t="n">
        <v>15.415</v>
      </c>
      <c r="F2895" t="n">
        <v>0.08507000000000001</v>
      </c>
    </row>
    <row r="2896">
      <c r="A2896" t="n">
        <v>2001067</v>
      </c>
      <c r="B2896" t="n">
        <v>2</v>
      </c>
      <c r="C2896" t="n">
        <v>1067</v>
      </c>
      <c r="D2896" t="n">
        <v>-0.5684</v>
      </c>
      <c r="E2896" t="n">
        <v>15.4144</v>
      </c>
      <c r="F2896" t="n">
        <v>0.08508</v>
      </c>
    </row>
    <row r="2897">
      <c r="A2897" t="n">
        <v>2001068</v>
      </c>
      <c r="B2897" t="n">
        <v>2</v>
      </c>
      <c r="C2897" t="n">
        <v>1068</v>
      </c>
      <c r="D2897" t="n">
        <v>-0.5684</v>
      </c>
      <c r="E2897" t="n">
        <v>15.4137</v>
      </c>
      <c r="F2897" t="n">
        <v>0.08509</v>
      </c>
    </row>
    <row r="2898">
      <c r="A2898" t="n">
        <v>2001069</v>
      </c>
      <c r="B2898" t="n">
        <v>2</v>
      </c>
      <c r="C2898" t="n">
        <v>1069</v>
      </c>
      <c r="D2898" t="n">
        <v>-0.5684</v>
      </c>
      <c r="E2898" t="n">
        <v>15.4131</v>
      </c>
      <c r="F2898" t="n">
        <v>0.0851</v>
      </c>
    </row>
    <row r="2899">
      <c r="A2899" t="n">
        <v>2001070</v>
      </c>
      <c r="B2899" t="n">
        <v>2</v>
      </c>
      <c r="C2899" t="n">
        <v>1070</v>
      </c>
      <c r="D2899" t="n">
        <v>-0.5684</v>
      </c>
      <c r="E2899" t="n">
        <v>15.4125</v>
      </c>
      <c r="F2899" t="n">
        <v>0.0851</v>
      </c>
    </row>
    <row r="2900">
      <c r="A2900" t="n">
        <v>2001071</v>
      </c>
      <c r="B2900" t="n">
        <v>2</v>
      </c>
      <c r="C2900" t="n">
        <v>1071</v>
      </c>
      <c r="D2900" t="n">
        <v>-0.5684</v>
      </c>
      <c r="E2900" t="n">
        <v>15.4119</v>
      </c>
      <c r="F2900" t="n">
        <v>0.08511000000000001</v>
      </c>
    </row>
    <row r="2901">
      <c r="A2901" t="n">
        <v>2001072</v>
      </c>
      <c r="B2901" t="n">
        <v>2</v>
      </c>
      <c r="C2901" t="n">
        <v>1072</v>
      </c>
      <c r="D2901" t="n">
        <v>-0.5684</v>
      </c>
      <c r="E2901" t="n">
        <v>15.4112</v>
      </c>
      <c r="F2901" t="n">
        <v>0.08512</v>
      </c>
    </row>
    <row r="2902">
      <c r="A2902" t="n">
        <v>2001073</v>
      </c>
      <c r="B2902" t="n">
        <v>2</v>
      </c>
      <c r="C2902" t="n">
        <v>1073</v>
      </c>
      <c r="D2902" t="n">
        <v>-0.5684</v>
      </c>
      <c r="E2902" t="n">
        <v>15.4106</v>
      </c>
      <c r="F2902" t="n">
        <v>0.08513</v>
      </c>
    </row>
    <row r="2903">
      <c r="A2903" t="n">
        <v>2001074</v>
      </c>
      <c r="B2903" t="n">
        <v>2</v>
      </c>
      <c r="C2903" t="n">
        <v>1074</v>
      </c>
      <c r="D2903" t="n">
        <v>-0.5684</v>
      </c>
      <c r="E2903" t="n">
        <v>15.41</v>
      </c>
      <c r="F2903" t="n">
        <v>0.08513999999999999</v>
      </c>
    </row>
    <row r="2904">
      <c r="A2904" t="n">
        <v>2001075</v>
      </c>
      <c r="B2904" t="n">
        <v>2</v>
      </c>
      <c r="C2904" t="n">
        <v>1075</v>
      </c>
      <c r="D2904" t="n">
        <v>-0.5684</v>
      </c>
      <c r="E2904" t="n">
        <v>15.4093</v>
      </c>
      <c r="F2904" t="n">
        <v>0.08515</v>
      </c>
    </row>
    <row r="2905">
      <c r="A2905" t="n">
        <v>2001076</v>
      </c>
      <c r="B2905" t="n">
        <v>2</v>
      </c>
      <c r="C2905" t="n">
        <v>1076</v>
      </c>
      <c r="D2905" t="n">
        <v>-0.5684</v>
      </c>
      <c r="E2905" t="n">
        <v>15.4087</v>
      </c>
      <c r="F2905" t="n">
        <v>0.08516</v>
      </c>
    </row>
    <row r="2906">
      <c r="A2906" t="n">
        <v>2001077</v>
      </c>
      <c r="B2906" t="n">
        <v>2</v>
      </c>
      <c r="C2906" t="n">
        <v>1077</v>
      </c>
      <c r="D2906" t="n">
        <v>-0.5684</v>
      </c>
      <c r="E2906" t="n">
        <v>15.4081</v>
      </c>
      <c r="F2906" t="n">
        <v>0.08517</v>
      </c>
    </row>
    <row r="2907">
      <c r="A2907" t="n">
        <v>2001078</v>
      </c>
      <c r="B2907" t="n">
        <v>2</v>
      </c>
      <c r="C2907" t="n">
        <v>1078</v>
      </c>
      <c r="D2907" t="n">
        <v>-0.5684</v>
      </c>
      <c r="E2907" t="n">
        <v>15.4075</v>
      </c>
      <c r="F2907" t="n">
        <v>0.08517</v>
      </c>
    </row>
    <row r="2908">
      <c r="A2908" t="n">
        <v>2001079</v>
      </c>
      <c r="B2908" t="n">
        <v>2</v>
      </c>
      <c r="C2908" t="n">
        <v>1079</v>
      </c>
      <c r="D2908" t="n">
        <v>-0.5684</v>
      </c>
      <c r="E2908" t="n">
        <v>15.4069</v>
      </c>
      <c r="F2908" t="n">
        <v>0.08518000000000001</v>
      </c>
    </row>
    <row r="2909">
      <c r="A2909" t="n">
        <v>2001080</v>
      </c>
      <c r="B2909" t="n">
        <v>2</v>
      </c>
      <c r="C2909" t="n">
        <v>1080</v>
      </c>
      <c r="D2909" t="n">
        <v>-0.5684</v>
      </c>
      <c r="E2909" t="n">
        <v>15.4063</v>
      </c>
      <c r="F2909" t="n">
        <v>0.08519</v>
      </c>
    </row>
    <row r="2910">
      <c r="A2910" t="n">
        <v>2001081</v>
      </c>
      <c r="B2910" t="n">
        <v>2</v>
      </c>
      <c r="C2910" t="n">
        <v>1081</v>
      </c>
      <c r="D2910" t="n">
        <v>-0.5684</v>
      </c>
      <c r="E2910" t="n">
        <v>15.4056</v>
      </c>
      <c r="F2910" t="n">
        <v>0.0852</v>
      </c>
    </row>
    <row r="2911">
      <c r="A2911" t="n">
        <v>2001082</v>
      </c>
      <c r="B2911" t="n">
        <v>2</v>
      </c>
      <c r="C2911" t="n">
        <v>1082</v>
      </c>
      <c r="D2911" t="n">
        <v>-0.5684</v>
      </c>
      <c r="E2911" t="n">
        <v>15.405</v>
      </c>
      <c r="F2911" t="n">
        <v>0.08520999999999999</v>
      </c>
    </row>
    <row r="2912">
      <c r="A2912" t="n">
        <v>2001083</v>
      </c>
      <c r="B2912" t="n">
        <v>2</v>
      </c>
      <c r="C2912" t="n">
        <v>1083</v>
      </c>
      <c r="D2912" t="n">
        <v>-0.5684</v>
      </c>
      <c r="E2912" t="n">
        <v>15.4044</v>
      </c>
      <c r="F2912" t="n">
        <v>0.08522</v>
      </c>
    </row>
    <row r="2913">
      <c r="A2913" t="n">
        <v>2001084</v>
      </c>
      <c r="B2913" t="n">
        <v>2</v>
      </c>
      <c r="C2913" t="n">
        <v>1084</v>
      </c>
      <c r="D2913" t="n">
        <v>-0.5684</v>
      </c>
      <c r="E2913" t="n">
        <v>15.4038</v>
      </c>
      <c r="F2913" t="n">
        <v>0.08523</v>
      </c>
    </row>
    <row r="2914">
      <c r="A2914" t="n">
        <v>2001085</v>
      </c>
      <c r="B2914" t="n">
        <v>2</v>
      </c>
      <c r="C2914" t="n">
        <v>1085</v>
      </c>
      <c r="D2914" t="n">
        <v>-0.5684</v>
      </c>
      <c r="E2914" t="n">
        <v>15.4032</v>
      </c>
      <c r="F2914" t="n">
        <v>0.08524</v>
      </c>
    </row>
    <row r="2915">
      <c r="A2915" t="n">
        <v>2001086</v>
      </c>
      <c r="B2915" t="n">
        <v>2</v>
      </c>
      <c r="C2915" t="n">
        <v>1086</v>
      </c>
      <c r="D2915" t="n">
        <v>-0.5684</v>
      </c>
      <c r="E2915" t="n">
        <v>15.4026</v>
      </c>
      <c r="F2915" t="n">
        <v>0.08525000000000001</v>
      </c>
    </row>
    <row r="2916">
      <c r="A2916" t="n">
        <v>2001087</v>
      </c>
      <c r="B2916" t="n">
        <v>2</v>
      </c>
      <c r="C2916" t="n">
        <v>1087</v>
      </c>
      <c r="D2916" t="n">
        <v>-0.5684</v>
      </c>
      <c r="E2916" t="n">
        <v>15.402</v>
      </c>
      <c r="F2916" t="n">
        <v>0.08526</v>
      </c>
    </row>
    <row r="2917">
      <c r="A2917" t="n">
        <v>2001088</v>
      </c>
      <c r="B2917" t="n">
        <v>2</v>
      </c>
      <c r="C2917" t="n">
        <v>1088</v>
      </c>
      <c r="D2917" t="n">
        <v>-0.5684</v>
      </c>
      <c r="E2917" t="n">
        <v>15.4014</v>
      </c>
      <c r="F2917" t="n">
        <v>0.08527</v>
      </c>
    </row>
    <row r="2918">
      <c r="A2918" t="n">
        <v>2001089</v>
      </c>
      <c r="B2918" t="n">
        <v>2</v>
      </c>
      <c r="C2918" t="n">
        <v>1089</v>
      </c>
      <c r="D2918" t="n">
        <v>-0.5684</v>
      </c>
      <c r="E2918" t="n">
        <v>15.4008</v>
      </c>
      <c r="F2918" t="n">
        <v>0.08527999999999999</v>
      </c>
    </row>
    <row r="2919">
      <c r="A2919" t="n">
        <v>2001090</v>
      </c>
      <c r="B2919" t="n">
        <v>2</v>
      </c>
      <c r="C2919" t="n">
        <v>1090</v>
      </c>
      <c r="D2919" t="n">
        <v>-0.5684</v>
      </c>
      <c r="E2919" t="n">
        <v>15.4002</v>
      </c>
      <c r="F2919" t="n">
        <v>0.08529</v>
      </c>
    </row>
    <row r="2920">
      <c r="A2920" t="n">
        <v>2001091</v>
      </c>
      <c r="B2920" t="n">
        <v>2</v>
      </c>
      <c r="C2920" t="n">
        <v>1091</v>
      </c>
      <c r="D2920" t="n">
        <v>-0.5684</v>
      </c>
      <c r="E2920" t="n">
        <v>15.3996</v>
      </c>
      <c r="F2920" t="n">
        <v>0.0853</v>
      </c>
    </row>
    <row r="2921">
      <c r="A2921" t="n">
        <v>2001092</v>
      </c>
      <c r="B2921" t="n">
        <v>2</v>
      </c>
      <c r="C2921" t="n">
        <v>1092</v>
      </c>
      <c r="D2921" t="n">
        <v>-0.5684</v>
      </c>
      <c r="E2921" t="n">
        <v>15.399</v>
      </c>
      <c r="F2921" t="n">
        <v>0.08531</v>
      </c>
    </row>
    <row r="2922">
      <c r="A2922" t="n">
        <v>2001093</v>
      </c>
      <c r="B2922" t="n">
        <v>2</v>
      </c>
      <c r="C2922" t="n">
        <v>1093</v>
      </c>
      <c r="D2922" t="n">
        <v>-0.5684</v>
      </c>
      <c r="E2922" t="n">
        <v>15.3984</v>
      </c>
      <c r="F2922" t="n">
        <v>0.08531999999999999</v>
      </c>
    </row>
    <row r="2923">
      <c r="A2923" t="n">
        <v>2001094</v>
      </c>
      <c r="B2923" t="n">
        <v>2</v>
      </c>
      <c r="C2923" t="n">
        <v>1094</v>
      </c>
      <c r="D2923" t="n">
        <v>-0.5684</v>
      </c>
      <c r="E2923" t="n">
        <v>15.3978</v>
      </c>
      <c r="F2923" t="n">
        <v>0.08533</v>
      </c>
    </row>
    <row r="2924">
      <c r="A2924" t="n">
        <v>2001095</v>
      </c>
      <c r="B2924" t="n">
        <v>2</v>
      </c>
      <c r="C2924" t="n">
        <v>1095</v>
      </c>
      <c r="D2924" t="n">
        <v>-0.5684</v>
      </c>
      <c r="E2924" t="n">
        <v>15.3972</v>
      </c>
      <c r="F2924" t="n">
        <v>0.08534</v>
      </c>
    </row>
    <row r="2925">
      <c r="A2925" t="n">
        <v>2001096</v>
      </c>
      <c r="B2925" t="n">
        <v>2</v>
      </c>
      <c r="C2925" t="n">
        <v>1096</v>
      </c>
      <c r="D2925" t="n">
        <v>-0.5684</v>
      </c>
      <c r="E2925" t="n">
        <v>15.3966</v>
      </c>
      <c r="F2925" t="n">
        <v>0.08535</v>
      </c>
    </row>
    <row r="2926">
      <c r="A2926" t="n">
        <v>2001097</v>
      </c>
      <c r="B2926" t="n">
        <v>2</v>
      </c>
      <c r="C2926" t="n">
        <v>1097</v>
      </c>
      <c r="D2926" t="n">
        <v>-0.5684</v>
      </c>
      <c r="E2926" t="n">
        <v>15.396</v>
      </c>
      <c r="F2926" t="n">
        <v>0.08536000000000001</v>
      </c>
    </row>
    <row r="2927">
      <c r="A2927" t="n">
        <v>2001098</v>
      </c>
      <c r="B2927" t="n">
        <v>2</v>
      </c>
      <c r="C2927" t="n">
        <v>1098</v>
      </c>
      <c r="D2927" t="n">
        <v>-0.5684</v>
      </c>
      <c r="E2927" t="n">
        <v>15.3954</v>
      </c>
      <c r="F2927" t="n">
        <v>0.08537</v>
      </c>
    </row>
    <row r="2928">
      <c r="A2928" t="n">
        <v>2001099</v>
      </c>
      <c r="B2928" t="n">
        <v>2</v>
      </c>
      <c r="C2928" t="n">
        <v>1099</v>
      </c>
      <c r="D2928" t="n">
        <v>-0.5684</v>
      </c>
      <c r="E2928" t="n">
        <v>15.3949</v>
      </c>
      <c r="F2928" t="n">
        <v>0.08538</v>
      </c>
    </row>
    <row r="2929">
      <c r="A2929" t="n">
        <v>2001100</v>
      </c>
      <c r="B2929" t="n">
        <v>2</v>
      </c>
      <c r="C2929" t="n">
        <v>1100</v>
      </c>
      <c r="D2929" t="n">
        <v>-0.5684</v>
      </c>
      <c r="E2929" t="n">
        <v>15.3943</v>
      </c>
      <c r="F2929" t="n">
        <v>0.08538999999999999</v>
      </c>
    </row>
    <row r="2930">
      <c r="A2930" t="n">
        <v>2001101</v>
      </c>
      <c r="B2930" t="n">
        <v>2</v>
      </c>
      <c r="C2930" t="n">
        <v>1101</v>
      </c>
      <c r="D2930" t="n">
        <v>-0.5684</v>
      </c>
      <c r="E2930" t="n">
        <v>15.3937</v>
      </c>
      <c r="F2930" t="n">
        <v>0.0854</v>
      </c>
    </row>
    <row r="2931">
      <c r="A2931" t="n">
        <v>2001102</v>
      </c>
      <c r="B2931" t="n">
        <v>2</v>
      </c>
      <c r="C2931" t="n">
        <v>1102</v>
      </c>
      <c r="D2931" t="n">
        <v>-0.5684</v>
      </c>
      <c r="E2931" t="n">
        <v>15.3931</v>
      </c>
      <c r="F2931" t="n">
        <v>0.08541</v>
      </c>
    </row>
    <row r="2932">
      <c r="A2932" t="n">
        <v>2001103</v>
      </c>
      <c r="B2932" t="n">
        <v>2</v>
      </c>
      <c r="C2932" t="n">
        <v>1103</v>
      </c>
      <c r="D2932" t="n">
        <v>-0.5684</v>
      </c>
      <c r="E2932" t="n">
        <v>15.3925</v>
      </c>
      <c r="F2932" t="n">
        <v>0.08542</v>
      </c>
    </row>
    <row r="2933">
      <c r="A2933" t="n">
        <v>2001104</v>
      </c>
      <c r="B2933" t="n">
        <v>2</v>
      </c>
      <c r="C2933" t="n">
        <v>1104</v>
      </c>
      <c r="D2933" t="n">
        <v>-0.5684</v>
      </c>
      <c r="E2933" t="n">
        <v>15.392</v>
      </c>
      <c r="F2933" t="n">
        <v>0.08543000000000001</v>
      </c>
    </row>
    <row r="2934">
      <c r="A2934" t="n">
        <v>2001105</v>
      </c>
      <c r="B2934" t="n">
        <v>2</v>
      </c>
      <c r="C2934" t="n">
        <v>1105</v>
      </c>
      <c r="D2934" t="n">
        <v>-0.5684</v>
      </c>
      <c r="E2934" t="n">
        <v>15.3914</v>
      </c>
      <c r="F2934" t="n">
        <v>0.08544</v>
      </c>
    </row>
    <row r="2935">
      <c r="A2935" t="n">
        <v>2001106</v>
      </c>
      <c r="B2935" t="n">
        <v>2</v>
      </c>
      <c r="C2935" t="n">
        <v>1106</v>
      </c>
      <c r="D2935" t="n">
        <v>-0.5684</v>
      </c>
      <c r="E2935" t="n">
        <v>15.3908</v>
      </c>
      <c r="F2935" t="n">
        <v>0.08545</v>
      </c>
    </row>
    <row r="2936">
      <c r="A2936" t="n">
        <v>2001107</v>
      </c>
      <c r="B2936" t="n">
        <v>2</v>
      </c>
      <c r="C2936" t="n">
        <v>1107</v>
      </c>
      <c r="D2936" t="n">
        <v>-0.5684</v>
      </c>
      <c r="E2936" t="n">
        <v>15.3902</v>
      </c>
      <c r="F2936" t="n">
        <v>0.08547</v>
      </c>
    </row>
    <row r="2937">
      <c r="A2937" t="n">
        <v>2001108</v>
      </c>
      <c r="B2937" t="n">
        <v>2</v>
      </c>
      <c r="C2937" t="n">
        <v>1108</v>
      </c>
      <c r="D2937" t="n">
        <v>-0.5684</v>
      </c>
      <c r="E2937" t="n">
        <v>15.3897</v>
      </c>
      <c r="F2937" t="n">
        <v>0.08548</v>
      </c>
    </row>
    <row r="2938">
      <c r="A2938" t="n">
        <v>2001109</v>
      </c>
      <c r="B2938" t="n">
        <v>2</v>
      </c>
      <c r="C2938" t="n">
        <v>1109</v>
      </c>
      <c r="D2938" t="n">
        <v>-0.5684</v>
      </c>
      <c r="E2938" t="n">
        <v>15.3891</v>
      </c>
      <c r="F2938" t="n">
        <v>0.08549</v>
      </c>
    </row>
    <row r="2939">
      <c r="A2939" t="n">
        <v>2001110</v>
      </c>
      <c r="B2939" t="n">
        <v>2</v>
      </c>
      <c r="C2939" t="n">
        <v>1110</v>
      </c>
      <c r="D2939" t="n">
        <v>-0.5684</v>
      </c>
      <c r="E2939" t="n">
        <v>15.3885</v>
      </c>
      <c r="F2939" t="n">
        <v>0.08550000000000001</v>
      </c>
    </row>
    <row r="2940">
      <c r="A2940" t="n">
        <v>2001111</v>
      </c>
      <c r="B2940" t="n">
        <v>2</v>
      </c>
      <c r="C2940" t="n">
        <v>1111</v>
      </c>
      <c r="D2940" t="n">
        <v>-0.5684</v>
      </c>
      <c r="E2940" t="n">
        <v>15.388</v>
      </c>
      <c r="F2940" t="n">
        <v>0.08551</v>
      </c>
    </row>
    <row r="2941">
      <c r="A2941" t="n">
        <v>2001112</v>
      </c>
      <c r="B2941" t="n">
        <v>2</v>
      </c>
      <c r="C2941" t="n">
        <v>1112</v>
      </c>
      <c r="D2941" t="n">
        <v>-0.5684</v>
      </c>
      <c r="E2941" t="n">
        <v>15.3874</v>
      </c>
      <c r="F2941" t="n">
        <v>0.08552</v>
      </c>
    </row>
    <row r="2942">
      <c r="A2942" t="n">
        <v>2001113</v>
      </c>
      <c r="B2942" t="n">
        <v>2</v>
      </c>
      <c r="C2942" t="n">
        <v>1113</v>
      </c>
      <c r="D2942" t="n">
        <v>-0.5684</v>
      </c>
      <c r="E2942" t="n">
        <v>15.3868</v>
      </c>
      <c r="F2942" t="n">
        <v>0.08552999999999999</v>
      </c>
    </row>
    <row r="2943">
      <c r="A2943" t="n">
        <v>2001114</v>
      </c>
      <c r="B2943" t="n">
        <v>2</v>
      </c>
      <c r="C2943" t="n">
        <v>1114</v>
      </c>
      <c r="D2943" t="n">
        <v>-0.5684</v>
      </c>
      <c r="E2943" t="n">
        <v>15.3863</v>
      </c>
      <c r="F2943" t="n">
        <v>0.08554</v>
      </c>
    </row>
    <row r="2944">
      <c r="A2944" t="n">
        <v>2001115</v>
      </c>
      <c r="B2944" t="n">
        <v>2</v>
      </c>
      <c r="C2944" t="n">
        <v>1115</v>
      </c>
      <c r="D2944" t="n">
        <v>-0.5684</v>
      </c>
      <c r="E2944" t="n">
        <v>15.3857</v>
      </c>
      <c r="F2944" t="n">
        <v>0.08556</v>
      </c>
    </row>
    <row r="2945">
      <c r="A2945" t="n">
        <v>2001116</v>
      </c>
      <c r="B2945" t="n">
        <v>2</v>
      </c>
      <c r="C2945" t="n">
        <v>1116</v>
      </c>
      <c r="D2945" t="n">
        <v>-0.5684</v>
      </c>
      <c r="E2945" t="n">
        <v>15.3852</v>
      </c>
      <c r="F2945" t="n">
        <v>0.08556999999999999</v>
      </c>
    </row>
    <row r="2946">
      <c r="A2946" t="n">
        <v>2001117</v>
      </c>
      <c r="B2946" t="n">
        <v>2</v>
      </c>
      <c r="C2946" t="n">
        <v>1117</v>
      </c>
      <c r="D2946" t="n">
        <v>-0.5684</v>
      </c>
      <c r="E2946" t="n">
        <v>15.3846</v>
      </c>
      <c r="F2946" t="n">
        <v>0.08558</v>
      </c>
    </row>
    <row r="2947">
      <c r="A2947" t="n">
        <v>2001118</v>
      </c>
      <c r="B2947" t="n">
        <v>2</v>
      </c>
      <c r="C2947" t="n">
        <v>1118</v>
      </c>
      <c r="D2947" t="n">
        <v>-0.5684</v>
      </c>
      <c r="E2947" t="n">
        <v>15.384</v>
      </c>
      <c r="F2947" t="n">
        <v>0.08559</v>
      </c>
    </row>
    <row r="2948">
      <c r="A2948" t="n">
        <v>2001119</v>
      </c>
      <c r="B2948" t="n">
        <v>2</v>
      </c>
      <c r="C2948" t="n">
        <v>1119</v>
      </c>
      <c r="D2948" t="n">
        <v>-0.5684</v>
      </c>
      <c r="E2948" t="n">
        <v>15.3835</v>
      </c>
      <c r="F2948" t="n">
        <v>0.0856</v>
      </c>
    </row>
    <row r="2949">
      <c r="A2949" t="n">
        <v>2001120</v>
      </c>
      <c r="B2949" t="n">
        <v>2</v>
      </c>
      <c r="C2949" t="n">
        <v>1120</v>
      </c>
      <c r="D2949" t="n">
        <v>-0.5684</v>
      </c>
      <c r="E2949" t="n">
        <v>15.3829</v>
      </c>
      <c r="F2949" t="n">
        <v>0.08561000000000001</v>
      </c>
    </row>
    <row r="2950">
      <c r="A2950" t="n">
        <v>2001121</v>
      </c>
      <c r="B2950" t="n">
        <v>2</v>
      </c>
      <c r="C2950" t="n">
        <v>1121</v>
      </c>
      <c r="D2950" t="n">
        <v>-0.5684</v>
      </c>
      <c r="E2950" t="n">
        <v>15.3824</v>
      </c>
      <c r="F2950" t="n">
        <v>0.08563</v>
      </c>
    </row>
    <row r="2951">
      <c r="A2951" t="n">
        <v>2001122</v>
      </c>
      <c r="B2951" t="n">
        <v>2</v>
      </c>
      <c r="C2951" t="n">
        <v>1122</v>
      </c>
      <c r="D2951" t="n">
        <v>-0.5684</v>
      </c>
      <c r="E2951" t="n">
        <v>15.3818</v>
      </c>
      <c r="F2951" t="n">
        <v>0.08563999999999999</v>
      </c>
    </row>
    <row r="2952">
      <c r="A2952" t="n">
        <v>2001123</v>
      </c>
      <c r="B2952" t="n">
        <v>2</v>
      </c>
      <c r="C2952" t="n">
        <v>1123</v>
      </c>
      <c r="D2952" t="n">
        <v>-0.5684</v>
      </c>
      <c r="E2952" t="n">
        <v>15.3813</v>
      </c>
      <c r="F2952" t="n">
        <v>0.08565</v>
      </c>
    </row>
    <row r="2953">
      <c r="A2953" t="n">
        <v>2001124</v>
      </c>
      <c r="B2953" t="n">
        <v>2</v>
      </c>
      <c r="C2953" t="n">
        <v>1124</v>
      </c>
      <c r="D2953" t="n">
        <v>-0.5684</v>
      </c>
      <c r="E2953" t="n">
        <v>15.3808</v>
      </c>
      <c r="F2953" t="n">
        <v>0.08566</v>
      </c>
    </row>
    <row r="2954">
      <c r="A2954" t="n">
        <v>2001125</v>
      </c>
      <c r="B2954" t="n">
        <v>2</v>
      </c>
      <c r="C2954" t="n">
        <v>1125</v>
      </c>
      <c r="D2954" t="n">
        <v>-0.5684</v>
      </c>
      <c r="E2954" t="n">
        <v>15.3802</v>
      </c>
      <c r="F2954" t="n">
        <v>0.08567</v>
      </c>
    </row>
    <row r="2955">
      <c r="A2955" t="n">
        <v>2001126</v>
      </c>
      <c r="B2955" t="n">
        <v>2</v>
      </c>
      <c r="C2955" t="n">
        <v>1126</v>
      </c>
      <c r="D2955" t="n">
        <v>-0.5684</v>
      </c>
      <c r="E2955" t="n">
        <v>15.3797</v>
      </c>
      <c r="F2955" t="n">
        <v>0.08569</v>
      </c>
    </row>
    <row r="2956">
      <c r="A2956" t="n">
        <v>2001127</v>
      </c>
      <c r="B2956" t="n">
        <v>2</v>
      </c>
      <c r="C2956" t="n">
        <v>1127</v>
      </c>
      <c r="D2956" t="n">
        <v>-0.5684</v>
      </c>
      <c r="E2956" t="n">
        <v>15.3791</v>
      </c>
      <c r="F2956" t="n">
        <v>0.0857</v>
      </c>
    </row>
    <row r="2957">
      <c r="A2957" t="n">
        <v>2001128</v>
      </c>
      <c r="B2957" t="n">
        <v>2</v>
      </c>
      <c r="C2957" t="n">
        <v>1128</v>
      </c>
      <c r="D2957" t="n">
        <v>-0.5684</v>
      </c>
      <c r="E2957" t="n">
        <v>15.3786</v>
      </c>
      <c r="F2957" t="n">
        <v>0.08570999999999999</v>
      </c>
    </row>
    <row r="2958">
      <c r="A2958" t="n">
        <v>2001129</v>
      </c>
      <c r="B2958" t="n">
        <v>2</v>
      </c>
      <c r="C2958" t="n">
        <v>1129</v>
      </c>
      <c r="D2958" t="n">
        <v>-0.5684</v>
      </c>
      <c r="E2958" t="n">
        <v>15.378</v>
      </c>
      <c r="F2958" t="n">
        <v>0.08572</v>
      </c>
    </row>
    <row r="2959">
      <c r="A2959" t="n">
        <v>2001130</v>
      </c>
      <c r="B2959" t="n">
        <v>2</v>
      </c>
      <c r="C2959" t="n">
        <v>1130</v>
      </c>
      <c r="D2959" t="n">
        <v>-0.5684</v>
      </c>
      <c r="E2959" t="n">
        <v>15.3775</v>
      </c>
      <c r="F2959" t="n">
        <v>0.08574</v>
      </c>
    </row>
    <row r="2960">
      <c r="A2960" t="n">
        <v>2001131</v>
      </c>
      <c r="B2960" t="n">
        <v>2</v>
      </c>
      <c r="C2960" t="n">
        <v>1131</v>
      </c>
      <c r="D2960" t="n">
        <v>-0.5684</v>
      </c>
      <c r="E2960" t="n">
        <v>15.377</v>
      </c>
      <c r="F2960" t="n">
        <v>0.08575000000000001</v>
      </c>
    </row>
    <row r="2961">
      <c r="A2961" t="n">
        <v>2001132</v>
      </c>
      <c r="B2961" t="n">
        <v>2</v>
      </c>
      <c r="C2961" t="n">
        <v>1132</v>
      </c>
      <c r="D2961" t="n">
        <v>-0.5684</v>
      </c>
      <c r="E2961" t="n">
        <v>15.3764</v>
      </c>
      <c r="F2961" t="n">
        <v>0.08576</v>
      </c>
    </row>
    <row r="2962">
      <c r="A2962" t="n">
        <v>2001133</v>
      </c>
      <c r="B2962" t="n">
        <v>2</v>
      </c>
      <c r="C2962" t="n">
        <v>1133</v>
      </c>
      <c r="D2962" t="n">
        <v>-0.5684</v>
      </c>
      <c r="E2962" t="n">
        <v>15.3759</v>
      </c>
      <c r="F2962" t="n">
        <v>0.08577</v>
      </c>
    </row>
    <row r="2963">
      <c r="A2963" t="n">
        <v>2001134</v>
      </c>
      <c r="B2963" t="n">
        <v>2</v>
      </c>
      <c r="C2963" t="n">
        <v>1134</v>
      </c>
      <c r="D2963" t="n">
        <v>-0.5684</v>
      </c>
      <c r="E2963" t="n">
        <v>15.3754</v>
      </c>
      <c r="F2963" t="n">
        <v>0.08579000000000001</v>
      </c>
    </row>
    <row r="2964">
      <c r="A2964" t="n">
        <v>2001135</v>
      </c>
      <c r="B2964" t="n">
        <v>2</v>
      </c>
      <c r="C2964" t="n">
        <v>1135</v>
      </c>
      <c r="D2964" t="n">
        <v>-0.5684</v>
      </c>
      <c r="E2964" t="n">
        <v>15.3748</v>
      </c>
      <c r="F2964" t="n">
        <v>0.0858</v>
      </c>
    </row>
    <row r="2965">
      <c r="A2965" t="n">
        <v>2001136</v>
      </c>
      <c r="B2965" t="n">
        <v>2</v>
      </c>
      <c r="C2965" t="n">
        <v>1136</v>
      </c>
      <c r="D2965" t="n">
        <v>-0.5684</v>
      </c>
      <c r="E2965" t="n">
        <v>15.3743</v>
      </c>
      <c r="F2965" t="n">
        <v>0.08581</v>
      </c>
    </row>
    <row r="2966">
      <c r="A2966" t="n">
        <v>2001137</v>
      </c>
      <c r="B2966" t="n">
        <v>2</v>
      </c>
      <c r="C2966" t="n">
        <v>1137</v>
      </c>
      <c r="D2966" t="n">
        <v>-0.5684</v>
      </c>
      <c r="E2966" t="n">
        <v>15.3738</v>
      </c>
      <c r="F2966" t="n">
        <v>0.08581999999999999</v>
      </c>
    </row>
    <row r="2967">
      <c r="A2967" t="n">
        <v>2001138</v>
      </c>
      <c r="B2967" t="n">
        <v>2</v>
      </c>
      <c r="C2967" t="n">
        <v>1138</v>
      </c>
      <c r="D2967" t="n">
        <v>-0.5684</v>
      </c>
      <c r="E2967" t="n">
        <v>15.3733</v>
      </c>
      <c r="F2967" t="n">
        <v>0.08584</v>
      </c>
    </row>
    <row r="2968">
      <c r="A2968" t="n">
        <v>2001139</v>
      </c>
      <c r="B2968" t="n">
        <v>2</v>
      </c>
      <c r="C2968" t="n">
        <v>1139</v>
      </c>
      <c r="D2968" t="n">
        <v>-0.5684</v>
      </c>
      <c r="E2968" t="n">
        <v>15.3727</v>
      </c>
      <c r="F2968" t="n">
        <v>0.08585</v>
      </c>
    </row>
    <row r="2969">
      <c r="A2969" t="n">
        <v>2001140</v>
      </c>
      <c r="B2969" t="n">
        <v>2</v>
      </c>
      <c r="C2969" t="n">
        <v>1140</v>
      </c>
      <c r="D2969" t="n">
        <v>-0.5684</v>
      </c>
      <c r="E2969" t="n">
        <v>15.3722</v>
      </c>
      <c r="F2969" t="n">
        <v>0.08586000000000001</v>
      </c>
    </row>
    <row r="2970">
      <c r="A2970" t="n">
        <v>2001141</v>
      </c>
      <c r="B2970" t="n">
        <v>2</v>
      </c>
      <c r="C2970" t="n">
        <v>1141</v>
      </c>
      <c r="D2970" t="n">
        <v>-0.5684</v>
      </c>
      <c r="E2970" t="n">
        <v>15.3717</v>
      </c>
      <c r="F2970" t="n">
        <v>0.08588</v>
      </c>
    </row>
    <row r="2971">
      <c r="A2971" t="n">
        <v>2001142</v>
      </c>
      <c r="B2971" t="n">
        <v>2</v>
      </c>
      <c r="C2971" t="n">
        <v>1142</v>
      </c>
      <c r="D2971" t="n">
        <v>-0.5684</v>
      </c>
      <c r="E2971" t="n">
        <v>15.3712</v>
      </c>
      <c r="F2971" t="n">
        <v>0.08588999999999999</v>
      </c>
    </row>
    <row r="2972">
      <c r="A2972" t="n">
        <v>2001143</v>
      </c>
      <c r="B2972" t="n">
        <v>2</v>
      </c>
      <c r="C2972" t="n">
        <v>1143</v>
      </c>
      <c r="D2972" t="n">
        <v>-0.5684</v>
      </c>
      <c r="E2972" t="n">
        <v>15.3707</v>
      </c>
      <c r="F2972" t="n">
        <v>0.0859</v>
      </c>
    </row>
    <row r="2973">
      <c r="A2973" t="n">
        <v>2001144</v>
      </c>
      <c r="B2973" t="n">
        <v>2</v>
      </c>
      <c r="C2973" t="n">
        <v>1144</v>
      </c>
      <c r="D2973" t="n">
        <v>-0.5684</v>
      </c>
      <c r="E2973" t="n">
        <v>15.3702</v>
      </c>
      <c r="F2973" t="n">
        <v>0.08592</v>
      </c>
    </row>
    <row r="2974">
      <c r="A2974" t="n">
        <v>2001145</v>
      </c>
      <c r="B2974" t="n">
        <v>2</v>
      </c>
      <c r="C2974" t="n">
        <v>1145</v>
      </c>
      <c r="D2974" t="n">
        <v>-0.5684</v>
      </c>
      <c r="E2974" t="n">
        <v>15.3696</v>
      </c>
      <c r="F2974" t="n">
        <v>0.08593000000000001</v>
      </c>
    </row>
    <row r="2975">
      <c r="A2975" t="n">
        <v>2001146</v>
      </c>
      <c r="B2975" t="n">
        <v>2</v>
      </c>
      <c r="C2975" t="n">
        <v>1146</v>
      </c>
      <c r="D2975" t="n">
        <v>-0.5684</v>
      </c>
      <c r="E2975" t="n">
        <v>15.3691</v>
      </c>
      <c r="F2975" t="n">
        <v>0.08594</v>
      </c>
    </row>
    <row r="2976">
      <c r="A2976" t="n">
        <v>2001147</v>
      </c>
      <c r="B2976" t="n">
        <v>2</v>
      </c>
      <c r="C2976" t="n">
        <v>1147</v>
      </c>
      <c r="D2976" t="n">
        <v>-0.5684</v>
      </c>
      <c r="E2976" t="n">
        <v>15.3686</v>
      </c>
      <c r="F2976" t="n">
        <v>0.08595999999999999</v>
      </c>
    </row>
    <row r="2977">
      <c r="A2977" t="n">
        <v>2001148</v>
      </c>
      <c r="B2977" t="n">
        <v>2</v>
      </c>
      <c r="C2977" t="n">
        <v>1148</v>
      </c>
      <c r="D2977" t="n">
        <v>-0.5684</v>
      </c>
      <c r="E2977" t="n">
        <v>15.3681</v>
      </c>
      <c r="F2977" t="n">
        <v>0.08597</v>
      </c>
    </row>
    <row r="2978">
      <c r="A2978" t="n">
        <v>2001149</v>
      </c>
      <c r="B2978" t="n">
        <v>2</v>
      </c>
      <c r="C2978" t="n">
        <v>1149</v>
      </c>
      <c r="D2978" t="n">
        <v>-0.5684</v>
      </c>
      <c r="E2978" t="n">
        <v>15.3676</v>
      </c>
      <c r="F2978" t="n">
        <v>0.08598</v>
      </c>
    </row>
    <row r="2979">
      <c r="A2979" t="n">
        <v>2001150</v>
      </c>
      <c r="B2979" t="n">
        <v>2</v>
      </c>
      <c r="C2979" t="n">
        <v>1150</v>
      </c>
      <c r="D2979" t="n">
        <v>-0.5684</v>
      </c>
      <c r="E2979" t="n">
        <v>15.3671</v>
      </c>
      <c r="F2979" t="n">
        <v>0.08599999999999999</v>
      </c>
    </row>
    <row r="2980">
      <c r="A2980" t="n">
        <v>2001151</v>
      </c>
      <c r="B2980" t="n">
        <v>2</v>
      </c>
      <c r="C2980" t="n">
        <v>1151</v>
      </c>
      <c r="D2980" t="n">
        <v>-0.5684</v>
      </c>
      <c r="E2980" t="n">
        <v>15.3666</v>
      </c>
      <c r="F2980" t="n">
        <v>0.08601</v>
      </c>
    </row>
    <row r="2981">
      <c r="A2981" t="n">
        <v>2001152</v>
      </c>
      <c r="B2981" t="n">
        <v>2</v>
      </c>
      <c r="C2981" t="n">
        <v>1152</v>
      </c>
      <c r="D2981" t="n">
        <v>-0.5684</v>
      </c>
      <c r="E2981" t="n">
        <v>15.3661</v>
      </c>
      <c r="F2981" t="n">
        <v>0.08602</v>
      </c>
    </row>
    <row r="2982">
      <c r="A2982" t="n">
        <v>2001153</v>
      </c>
      <c r="B2982" t="n">
        <v>2</v>
      </c>
      <c r="C2982" t="n">
        <v>1153</v>
      </c>
      <c r="D2982" t="n">
        <v>-0.5684</v>
      </c>
      <c r="E2982" t="n">
        <v>15.3656</v>
      </c>
      <c r="F2982" t="n">
        <v>0.08604000000000001</v>
      </c>
    </row>
    <row r="2983">
      <c r="A2983" t="n">
        <v>2001154</v>
      </c>
      <c r="B2983" t="n">
        <v>2</v>
      </c>
      <c r="C2983" t="n">
        <v>1154</v>
      </c>
      <c r="D2983" t="n">
        <v>-0.5684</v>
      </c>
      <c r="E2983" t="n">
        <v>15.3651</v>
      </c>
      <c r="F2983" t="n">
        <v>0.08605</v>
      </c>
    </row>
    <row r="2984">
      <c r="A2984" t="n">
        <v>2001155</v>
      </c>
      <c r="B2984" t="n">
        <v>2</v>
      </c>
      <c r="C2984" t="n">
        <v>1155</v>
      </c>
      <c r="D2984" t="n">
        <v>-0.5684</v>
      </c>
      <c r="E2984" t="n">
        <v>15.3646</v>
      </c>
      <c r="F2984" t="n">
        <v>0.08606</v>
      </c>
    </row>
    <row r="2985">
      <c r="A2985" t="n">
        <v>2001156</v>
      </c>
      <c r="B2985" t="n">
        <v>2</v>
      </c>
      <c r="C2985" t="n">
        <v>1156</v>
      </c>
      <c r="D2985" t="n">
        <v>-0.5684</v>
      </c>
      <c r="E2985" t="n">
        <v>15.3641</v>
      </c>
      <c r="F2985" t="n">
        <v>0.08608</v>
      </c>
    </row>
    <row r="2986">
      <c r="A2986" t="n">
        <v>2001157</v>
      </c>
      <c r="B2986" t="n">
        <v>2</v>
      </c>
      <c r="C2986" t="n">
        <v>1157</v>
      </c>
      <c r="D2986" t="n">
        <v>-0.5684</v>
      </c>
      <c r="E2986" t="n">
        <v>15.3636</v>
      </c>
      <c r="F2986" t="n">
        <v>0.08609</v>
      </c>
    </row>
    <row r="2987">
      <c r="A2987" t="n">
        <v>2001158</v>
      </c>
      <c r="B2987" t="n">
        <v>2</v>
      </c>
      <c r="C2987" t="n">
        <v>1158</v>
      </c>
      <c r="D2987" t="n">
        <v>-0.5684</v>
      </c>
      <c r="E2987" t="n">
        <v>15.3631</v>
      </c>
      <c r="F2987" t="n">
        <v>0.08611000000000001</v>
      </c>
    </row>
    <row r="2988">
      <c r="A2988" t="n">
        <v>2001159</v>
      </c>
      <c r="B2988" t="n">
        <v>2</v>
      </c>
      <c r="C2988" t="n">
        <v>1159</v>
      </c>
      <c r="D2988" t="n">
        <v>-0.5684</v>
      </c>
      <c r="E2988" t="n">
        <v>15.3626</v>
      </c>
      <c r="F2988" t="n">
        <v>0.08612</v>
      </c>
    </row>
    <row r="2989">
      <c r="A2989" t="n">
        <v>2001160</v>
      </c>
      <c r="B2989" t="n">
        <v>2</v>
      </c>
      <c r="C2989" t="n">
        <v>1160</v>
      </c>
      <c r="D2989" t="n">
        <v>-0.5684</v>
      </c>
      <c r="E2989" t="n">
        <v>15.3621</v>
      </c>
      <c r="F2989" t="n">
        <v>0.08613999999999999</v>
      </c>
    </row>
    <row r="2990">
      <c r="A2990" t="n">
        <v>2001161</v>
      </c>
      <c r="B2990" t="n">
        <v>2</v>
      </c>
      <c r="C2990" t="n">
        <v>1161</v>
      </c>
      <c r="D2990" t="n">
        <v>-0.5684</v>
      </c>
      <c r="E2990" t="n">
        <v>15.3616</v>
      </c>
      <c r="F2990" t="n">
        <v>0.08615</v>
      </c>
    </row>
    <row r="2991">
      <c r="A2991" t="n">
        <v>2001162</v>
      </c>
      <c r="B2991" t="n">
        <v>2</v>
      </c>
      <c r="C2991" t="n">
        <v>1162</v>
      </c>
      <c r="D2991" t="n">
        <v>-0.5684</v>
      </c>
      <c r="E2991" t="n">
        <v>15.3611</v>
      </c>
      <c r="F2991" t="n">
        <v>0.08616</v>
      </c>
    </row>
    <row r="2992">
      <c r="A2992" t="n">
        <v>2001163</v>
      </c>
      <c r="B2992" t="n">
        <v>2</v>
      </c>
      <c r="C2992" t="n">
        <v>1163</v>
      </c>
      <c r="D2992" t="n">
        <v>-0.5684</v>
      </c>
      <c r="E2992" t="n">
        <v>15.3606</v>
      </c>
      <c r="F2992" t="n">
        <v>0.08618000000000001</v>
      </c>
    </row>
    <row r="2993">
      <c r="A2993" t="n">
        <v>2001164</v>
      </c>
      <c r="B2993" t="n">
        <v>2</v>
      </c>
      <c r="C2993" t="n">
        <v>1164</v>
      </c>
      <c r="D2993" t="n">
        <v>-0.5684</v>
      </c>
      <c r="E2993" t="n">
        <v>15.3601</v>
      </c>
      <c r="F2993" t="n">
        <v>0.08619</v>
      </c>
    </row>
    <row r="2994">
      <c r="A2994" t="n">
        <v>2001165</v>
      </c>
      <c r="B2994" t="n">
        <v>2</v>
      </c>
      <c r="C2994" t="n">
        <v>1165</v>
      </c>
      <c r="D2994" t="n">
        <v>-0.5684</v>
      </c>
      <c r="E2994" t="n">
        <v>15.3597</v>
      </c>
      <c r="F2994" t="n">
        <v>0.08620999999999999</v>
      </c>
    </row>
    <row r="2995">
      <c r="A2995" t="n">
        <v>2001166</v>
      </c>
      <c r="B2995" t="n">
        <v>2</v>
      </c>
      <c r="C2995" t="n">
        <v>1166</v>
      </c>
      <c r="D2995" t="n">
        <v>-0.5684</v>
      </c>
      <c r="E2995" t="n">
        <v>15.3592</v>
      </c>
      <c r="F2995" t="n">
        <v>0.08622</v>
      </c>
    </row>
    <row r="2996">
      <c r="A2996" t="n">
        <v>2001167</v>
      </c>
      <c r="B2996" t="n">
        <v>2</v>
      </c>
      <c r="C2996" t="n">
        <v>1167</v>
      </c>
      <c r="D2996" t="n">
        <v>-0.5684</v>
      </c>
      <c r="E2996" t="n">
        <v>15.3587</v>
      </c>
      <c r="F2996" t="n">
        <v>0.08624</v>
      </c>
    </row>
    <row r="2997">
      <c r="A2997" t="n">
        <v>2001168</v>
      </c>
      <c r="B2997" t="n">
        <v>2</v>
      </c>
      <c r="C2997" t="n">
        <v>1168</v>
      </c>
      <c r="D2997" t="n">
        <v>-0.5684</v>
      </c>
      <c r="E2997" t="n">
        <v>15.3582</v>
      </c>
      <c r="F2997" t="n">
        <v>0.08624999999999999</v>
      </c>
    </row>
    <row r="2998">
      <c r="A2998" t="n">
        <v>2001169</v>
      </c>
      <c r="B2998" t="n">
        <v>2</v>
      </c>
      <c r="C2998" t="n">
        <v>1169</v>
      </c>
      <c r="D2998" t="n">
        <v>-0.5684</v>
      </c>
      <c r="E2998" t="n">
        <v>15.3577</v>
      </c>
      <c r="F2998" t="n">
        <v>0.08627</v>
      </c>
    </row>
    <row r="2999">
      <c r="A2999" t="n">
        <v>2001170</v>
      </c>
      <c r="B2999" t="n">
        <v>2</v>
      </c>
      <c r="C2999" t="n">
        <v>1170</v>
      </c>
      <c r="D2999" t="n">
        <v>-0.5684</v>
      </c>
      <c r="E2999" t="n">
        <v>15.3572</v>
      </c>
      <c r="F2999" t="n">
        <v>0.08628</v>
      </c>
    </row>
    <row r="3000">
      <c r="A3000" t="n">
        <v>2001171</v>
      </c>
      <c r="B3000" t="n">
        <v>2</v>
      </c>
      <c r="C3000" t="n">
        <v>1171</v>
      </c>
      <c r="D3000" t="n">
        <v>-0.5684</v>
      </c>
      <c r="E3000" t="n">
        <v>15.3568</v>
      </c>
      <c r="F3000" t="n">
        <v>0.08629000000000001</v>
      </c>
    </row>
    <row r="3001">
      <c r="A3001" t="n">
        <v>2001172</v>
      </c>
      <c r="B3001" t="n">
        <v>2</v>
      </c>
      <c r="C3001" t="n">
        <v>1172</v>
      </c>
      <c r="D3001" t="n">
        <v>-0.5684</v>
      </c>
      <c r="E3001" t="n">
        <v>15.3563</v>
      </c>
      <c r="F3001" t="n">
        <v>0.08631</v>
      </c>
    </row>
    <row r="3002">
      <c r="A3002" t="n">
        <v>2001173</v>
      </c>
      <c r="B3002" t="n">
        <v>2</v>
      </c>
      <c r="C3002" t="n">
        <v>1173</v>
      </c>
      <c r="D3002" t="n">
        <v>-0.5684</v>
      </c>
      <c r="E3002" t="n">
        <v>15.3558</v>
      </c>
      <c r="F3002" t="n">
        <v>0.08631999999999999</v>
      </c>
    </row>
    <row r="3003">
      <c r="A3003" t="n">
        <v>2001174</v>
      </c>
      <c r="B3003" t="n">
        <v>2</v>
      </c>
      <c r="C3003" t="n">
        <v>1174</v>
      </c>
      <c r="D3003" t="n">
        <v>-0.5684</v>
      </c>
      <c r="E3003" t="n">
        <v>15.3553</v>
      </c>
      <c r="F3003" t="n">
        <v>0.08634</v>
      </c>
    </row>
    <row r="3004">
      <c r="A3004" t="n">
        <v>2001175</v>
      </c>
      <c r="B3004" t="n">
        <v>2</v>
      </c>
      <c r="C3004" t="n">
        <v>1175</v>
      </c>
      <c r="D3004" t="n">
        <v>-0.5684</v>
      </c>
      <c r="E3004" t="n">
        <v>15.3549</v>
      </c>
      <c r="F3004" t="n">
        <v>0.08635</v>
      </c>
    </row>
    <row r="3005">
      <c r="A3005" t="n">
        <v>2001176</v>
      </c>
      <c r="B3005" t="n">
        <v>2</v>
      </c>
      <c r="C3005" t="n">
        <v>1176</v>
      </c>
      <c r="D3005" t="n">
        <v>-0.5684</v>
      </c>
      <c r="E3005" t="n">
        <v>15.3544</v>
      </c>
      <c r="F3005" t="n">
        <v>0.08637</v>
      </c>
    </row>
    <row r="3006">
      <c r="A3006" t="n">
        <v>2001177</v>
      </c>
      <c r="B3006" t="n">
        <v>2</v>
      </c>
      <c r="C3006" t="n">
        <v>1177</v>
      </c>
      <c r="D3006" t="n">
        <v>-0.5684</v>
      </c>
      <c r="E3006" t="n">
        <v>15.3539</v>
      </c>
      <c r="F3006" t="n">
        <v>0.08638</v>
      </c>
    </row>
    <row r="3007">
      <c r="A3007" t="n">
        <v>2001178</v>
      </c>
      <c r="B3007" t="n">
        <v>2</v>
      </c>
      <c r="C3007" t="n">
        <v>1178</v>
      </c>
      <c r="D3007" t="n">
        <v>-0.5684</v>
      </c>
      <c r="E3007" t="n">
        <v>15.3535</v>
      </c>
      <c r="F3007" t="n">
        <v>0.0864</v>
      </c>
    </row>
    <row r="3008">
      <c r="A3008" t="n">
        <v>2001179</v>
      </c>
      <c r="B3008" t="n">
        <v>2</v>
      </c>
      <c r="C3008" t="n">
        <v>1179</v>
      </c>
      <c r="D3008" t="n">
        <v>-0.5684</v>
      </c>
      <c r="E3008" t="n">
        <v>15.353</v>
      </c>
      <c r="F3008" t="n">
        <v>0.08641</v>
      </c>
    </row>
    <row r="3009">
      <c r="A3009" t="n">
        <v>2001180</v>
      </c>
      <c r="B3009" t="n">
        <v>2</v>
      </c>
      <c r="C3009" t="n">
        <v>1180</v>
      </c>
      <c r="D3009" t="n">
        <v>-0.5684</v>
      </c>
      <c r="E3009" t="n">
        <v>15.3525</v>
      </c>
      <c r="F3009" t="n">
        <v>0.08643000000000001</v>
      </c>
    </row>
    <row r="3010">
      <c r="A3010" t="n">
        <v>2001181</v>
      </c>
      <c r="B3010" t="n">
        <v>2</v>
      </c>
      <c r="C3010" t="n">
        <v>1181</v>
      </c>
      <c r="D3010" t="n">
        <v>-0.5684</v>
      </c>
      <c r="E3010" t="n">
        <v>15.3521</v>
      </c>
      <c r="F3010" t="n">
        <v>0.08645</v>
      </c>
    </row>
    <row r="3011">
      <c r="A3011" t="n">
        <v>2001182</v>
      </c>
      <c r="B3011" t="n">
        <v>2</v>
      </c>
      <c r="C3011" t="n">
        <v>1182</v>
      </c>
      <c r="D3011" t="n">
        <v>-0.5684</v>
      </c>
      <c r="E3011" t="n">
        <v>15.3516</v>
      </c>
      <c r="F3011" t="n">
        <v>0.08646</v>
      </c>
    </row>
    <row r="3012">
      <c r="A3012" t="n">
        <v>2001183</v>
      </c>
      <c r="B3012" t="n">
        <v>2</v>
      </c>
      <c r="C3012" t="n">
        <v>1183</v>
      </c>
      <c r="D3012" t="n">
        <v>-0.5684</v>
      </c>
      <c r="E3012" t="n">
        <v>15.3511</v>
      </c>
      <c r="F3012" t="n">
        <v>0.08648</v>
      </c>
    </row>
    <row r="3013">
      <c r="A3013" t="n">
        <v>2001184</v>
      </c>
      <c r="B3013" t="n">
        <v>2</v>
      </c>
      <c r="C3013" t="n">
        <v>1184</v>
      </c>
      <c r="D3013" t="n">
        <v>-0.5684</v>
      </c>
      <c r="E3013" t="n">
        <v>15.3507</v>
      </c>
      <c r="F3013" t="n">
        <v>0.08649</v>
      </c>
    </row>
    <row r="3014">
      <c r="A3014" t="n">
        <v>2001185</v>
      </c>
      <c r="B3014" t="n">
        <v>2</v>
      </c>
      <c r="C3014" t="n">
        <v>1185</v>
      </c>
      <c r="D3014" t="n">
        <v>-0.5684</v>
      </c>
      <c r="E3014" t="n">
        <v>15.3502</v>
      </c>
      <c r="F3014" t="n">
        <v>0.08651</v>
      </c>
    </row>
    <row r="3015">
      <c r="A3015" t="n">
        <v>2001186</v>
      </c>
      <c r="B3015" t="n">
        <v>2</v>
      </c>
      <c r="C3015" t="n">
        <v>1186</v>
      </c>
      <c r="D3015" t="n">
        <v>-0.5684</v>
      </c>
      <c r="E3015" t="n">
        <v>15.3497</v>
      </c>
      <c r="F3015" t="n">
        <v>0.08652</v>
      </c>
    </row>
    <row r="3016">
      <c r="A3016" t="n">
        <v>2001187</v>
      </c>
      <c r="B3016" t="n">
        <v>2</v>
      </c>
      <c r="C3016" t="n">
        <v>1187</v>
      </c>
      <c r="D3016" t="n">
        <v>-0.5684</v>
      </c>
      <c r="E3016" t="n">
        <v>15.3493</v>
      </c>
      <c r="F3016" t="n">
        <v>0.08654000000000001</v>
      </c>
    </row>
    <row r="3017">
      <c r="A3017" t="n">
        <v>2001188</v>
      </c>
      <c r="B3017" t="n">
        <v>2</v>
      </c>
      <c r="C3017" t="n">
        <v>1188</v>
      </c>
      <c r="D3017" t="n">
        <v>-0.5684</v>
      </c>
      <c r="E3017" t="n">
        <v>15.3488</v>
      </c>
      <c r="F3017" t="n">
        <v>0.08655</v>
      </c>
    </row>
    <row r="3018">
      <c r="A3018" t="n">
        <v>2001189</v>
      </c>
      <c r="B3018" t="n">
        <v>2</v>
      </c>
      <c r="C3018" t="n">
        <v>1189</v>
      </c>
      <c r="D3018" t="n">
        <v>-0.5684</v>
      </c>
      <c r="E3018" t="n">
        <v>15.3484</v>
      </c>
      <c r="F3018" t="n">
        <v>0.08656999999999999</v>
      </c>
    </row>
    <row r="3019">
      <c r="A3019" t="n">
        <v>2001190</v>
      </c>
      <c r="B3019" t="n">
        <v>2</v>
      </c>
      <c r="C3019" t="n">
        <v>1190</v>
      </c>
      <c r="D3019" t="n">
        <v>-0.5684</v>
      </c>
      <c r="E3019" t="n">
        <v>15.3479</v>
      </c>
      <c r="F3019" t="n">
        <v>0.08659</v>
      </c>
    </row>
    <row r="3020">
      <c r="A3020" t="n">
        <v>2001191</v>
      </c>
      <c r="B3020" t="n">
        <v>2</v>
      </c>
      <c r="C3020" t="n">
        <v>1191</v>
      </c>
      <c r="D3020" t="n">
        <v>-0.5684</v>
      </c>
      <c r="E3020" t="n">
        <v>15.3475</v>
      </c>
      <c r="F3020" t="n">
        <v>0.0866</v>
      </c>
    </row>
    <row r="3021">
      <c r="A3021" t="n">
        <v>2001192</v>
      </c>
      <c r="B3021" t="n">
        <v>2</v>
      </c>
      <c r="C3021" t="n">
        <v>1192</v>
      </c>
      <c r="D3021" t="n">
        <v>-0.5684</v>
      </c>
      <c r="E3021" t="n">
        <v>15.347</v>
      </c>
      <c r="F3021" t="n">
        <v>0.08662</v>
      </c>
    </row>
    <row r="3022">
      <c r="A3022" t="n">
        <v>2001193</v>
      </c>
      <c r="B3022" t="n">
        <v>2</v>
      </c>
      <c r="C3022" t="n">
        <v>1193</v>
      </c>
      <c r="D3022" t="n">
        <v>-0.5684</v>
      </c>
      <c r="E3022" t="n">
        <v>15.3465</v>
      </c>
      <c r="F3022" t="n">
        <v>0.08663</v>
      </c>
    </row>
    <row r="3023">
      <c r="A3023" t="n">
        <v>2001194</v>
      </c>
      <c r="B3023" t="n">
        <v>2</v>
      </c>
      <c r="C3023" t="n">
        <v>1194</v>
      </c>
      <c r="D3023" t="n">
        <v>-0.5684</v>
      </c>
      <c r="E3023" t="n">
        <v>15.3461</v>
      </c>
      <c r="F3023" t="n">
        <v>0.08665</v>
      </c>
    </row>
    <row r="3024">
      <c r="A3024" t="n">
        <v>2001195</v>
      </c>
      <c r="B3024" t="n">
        <v>2</v>
      </c>
      <c r="C3024" t="n">
        <v>1195</v>
      </c>
      <c r="D3024" t="n">
        <v>-0.5684</v>
      </c>
      <c r="E3024" t="n">
        <v>15.3456</v>
      </c>
      <c r="F3024" t="n">
        <v>0.08666</v>
      </c>
    </row>
    <row r="3025">
      <c r="A3025" t="n">
        <v>2001196</v>
      </c>
      <c r="B3025" t="n">
        <v>2</v>
      </c>
      <c r="C3025" t="n">
        <v>1196</v>
      </c>
      <c r="D3025" t="n">
        <v>-0.5684</v>
      </c>
      <c r="E3025" t="n">
        <v>15.3452</v>
      </c>
      <c r="F3025" t="n">
        <v>0.08667999999999999</v>
      </c>
    </row>
    <row r="3026">
      <c r="A3026" t="n">
        <v>2001197</v>
      </c>
      <c r="B3026" t="n">
        <v>2</v>
      </c>
      <c r="C3026" t="n">
        <v>1197</v>
      </c>
      <c r="D3026" t="n">
        <v>-0.5684</v>
      </c>
      <c r="E3026" t="n">
        <v>15.3448</v>
      </c>
      <c r="F3026" t="n">
        <v>0.0867</v>
      </c>
    </row>
    <row r="3027">
      <c r="A3027" t="n">
        <v>2001198</v>
      </c>
      <c r="B3027" t="n">
        <v>2</v>
      </c>
      <c r="C3027" t="n">
        <v>1198</v>
      </c>
      <c r="D3027" t="n">
        <v>-0.5684</v>
      </c>
      <c r="E3027" t="n">
        <v>15.3443</v>
      </c>
      <c r="F3027" t="n">
        <v>0.08671</v>
      </c>
    </row>
    <row r="3028">
      <c r="A3028" t="n">
        <v>2001199</v>
      </c>
      <c r="B3028" t="n">
        <v>2</v>
      </c>
      <c r="C3028" t="n">
        <v>1199</v>
      </c>
      <c r="D3028" t="n">
        <v>-0.5684</v>
      </c>
      <c r="E3028" t="n">
        <v>15.3439</v>
      </c>
      <c r="F3028" t="n">
        <v>0.08673</v>
      </c>
    </row>
    <row r="3029">
      <c r="A3029" t="n">
        <v>2001200</v>
      </c>
      <c r="B3029" t="n">
        <v>2</v>
      </c>
      <c r="C3029" t="n">
        <v>1200</v>
      </c>
      <c r="D3029" t="n">
        <v>-0.5684</v>
      </c>
      <c r="E3029" t="n">
        <v>15.3434</v>
      </c>
      <c r="F3029" t="n">
        <v>0.08674999999999999</v>
      </c>
    </row>
    <row r="3030">
      <c r="A3030" t="n">
        <v>2001201</v>
      </c>
      <c r="B3030" t="n">
        <v>2</v>
      </c>
      <c r="C3030" t="n">
        <v>1201</v>
      </c>
      <c r="D3030" t="n">
        <v>-0.5684</v>
      </c>
      <c r="E3030" t="n">
        <v>15.343</v>
      </c>
      <c r="F3030" t="n">
        <v>0.08676</v>
      </c>
    </row>
    <row r="3031">
      <c r="A3031" t="n">
        <v>2001202</v>
      </c>
      <c r="B3031" t="n">
        <v>2</v>
      </c>
      <c r="C3031" t="n">
        <v>1202</v>
      </c>
      <c r="D3031" t="n">
        <v>-0.5684</v>
      </c>
      <c r="E3031" t="n">
        <v>15.3425</v>
      </c>
      <c r="F3031" t="n">
        <v>0.08678</v>
      </c>
    </row>
    <row r="3032">
      <c r="A3032" t="n">
        <v>2001203</v>
      </c>
      <c r="B3032" t="n">
        <v>2</v>
      </c>
      <c r="C3032" t="n">
        <v>1203</v>
      </c>
      <c r="D3032" t="n">
        <v>-0.5684</v>
      </c>
      <c r="E3032" t="n">
        <v>15.3421</v>
      </c>
      <c r="F3032" t="n">
        <v>0.08679000000000001</v>
      </c>
    </row>
    <row r="3033">
      <c r="A3033" t="n">
        <v>2001204</v>
      </c>
      <c r="B3033" t="n">
        <v>2</v>
      </c>
      <c r="C3033" t="n">
        <v>1204</v>
      </c>
      <c r="D3033" t="n">
        <v>-0.5684</v>
      </c>
      <c r="E3033" t="n">
        <v>15.3416</v>
      </c>
      <c r="F3033" t="n">
        <v>0.08681</v>
      </c>
    </row>
    <row r="3034">
      <c r="A3034" t="n">
        <v>2001205</v>
      </c>
      <c r="B3034" t="n">
        <v>2</v>
      </c>
      <c r="C3034" t="n">
        <v>1205</v>
      </c>
      <c r="D3034" t="n">
        <v>-0.5684</v>
      </c>
      <c r="E3034" t="n">
        <v>15.3412</v>
      </c>
      <c r="F3034" t="n">
        <v>0.08683</v>
      </c>
    </row>
    <row r="3035">
      <c r="A3035" t="n">
        <v>2001206</v>
      </c>
      <c r="B3035" t="n">
        <v>2</v>
      </c>
      <c r="C3035" t="n">
        <v>1206</v>
      </c>
      <c r="D3035" t="n">
        <v>-0.5684</v>
      </c>
      <c r="E3035" t="n">
        <v>15.3408</v>
      </c>
      <c r="F3035" t="n">
        <v>0.08684</v>
      </c>
    </row>
    <row r="3036">
      <c r="A3036" t="n">
        <v>2001207</v>
      </c>
      <c r="B3036" t="n">
        <v>2</v>
      </c>
      <c r="C3036" t="n">
        <v>1207</v>
      </c>
      <c r="D3036" t="n">
        <v>-0.5684</v>
      </c>
      <c r="E3036" t="n">
        <v>15.3403</v>
      </c>
      <c r="F3036" t="n">
        <v>0.08686000000000001</v>
      </c>
    </row>
    <row r="3037">
      <c r="A3037" t="n">
        <v>2001208</v>
      </c>
      <c r="B3037" t="n">
        <v>2</v>
      </c>
      <c r="C3037" t="n">
        <v>1208</v>
      </c>
      <c r="D3037" t="n">
        <v>-0.5684</v>
      </c>
      <c r="E3037" t="n">
        <v>15.3399</v>
      </c>
      <c r="F3037" t="n">
        <v>0.08688</v>
      </c>
    </row>
    <row r="3038">
      <c r="A3038" t="n">
        <v>2001209</v>
      </c>
      <c r="B3038" t="n">
        <v>2</v>
      </c>
      <c r="C3038" t="n">
        <v>1209</v>
      </c>
      <c r="D3038" t="n">
        <v>-0.5684</v>
      </c>
      <c r="E3038" t="n">
        <v>15.3395</v>
      </c>
      <c r="F3038" t="n">
        <v>0.08689</v>
      </c>
    </row>
    <row r="3039">
      <c r="A3039" t="n">
        <v>2001210</v>
      </c>
      <c r="B3039" t="n">
        <v>2</v>
      </c>
      <c r="C3039" t="n">
        <v>1210</v>
      </c>
      <c r="D3039" t="n">
        <v>-0.5684</v>
      </c>
      <c r="E3039" t="n">
        <v>15.339</v>
      </c>
      <c r="F3039" t="n">
        <v>0.08691</v>
      </c>
    </row>
    <row r="3040">
      <c r="A3040" t="n">
        <v>2001211</v>
      </c>
      <c r="B3040" t="n">
        <v>2</v>
      </c>
      <c r="C3040" t="n">
        <v>1211</v>
      </c>
      <c r="D3040" t="n">
        <v>-0.5684</v>
      </c>
      <c r="E3040" t="n">
        <v>15.3386</v>
      </c>
      <c r="F3040" t="n">
        <v>0.08692999999999999</v>
      </c>
    </row>
    <row r="3041">
      <c r="A3041" t="n">
        <v>2001212</v>
      </c>
      <c r="B3041" t="n">
        <v>2</v>
      </c>
      <c r="C3041" t="n">
        <v>1212</v>
      </c>
      <c r="D3041" t="n">
        <v>-0.5684</v>
      </c>
      <c r="E3041" t="n">
        <v>15.3382</v>
      </c>
      <c r="F3041" t="n">
        <v>0.08694</v>
      </c>
    </row>
    <row r="3042">
      <c r="A3042" t="n">
        <v>2001213</v>
      </c>
      <c r="B3042" t="n">
        <v>2</v>
      </c>
      <c r="C3042" t="n">
        <v>1213</v>
      </c>
      <c r="D3042" t="n">
        <v>-0.5684</v>
      </c>
      <c r="E3042" t="n">
        <v>15.3377</v>
      </c>
      <c r="F3042" t="n">
        <v>0.08696</v>
      </c>
    </row>
    <row r="3043">
      <c r="A3043" t="n">
        <v>2001214</v>
      </c>
      <c r="B3043" t="n">
        <v>2</v>
      </c>
      <c r="C3043" t="n">
        <v>1214</v>
      </c>
      <c r="D3043" t="n">
        <v>-0.5684</v>
      </c>
      <c r="E3043" t="n">
        <v>15.3373</v>
      </c>
      <c r="F3043" t="n">
        <v>0.08698</v>
      </c>
    </row>
    <row r="3044">
      <c r="A3044" t="n">
        <v>2001215</v>
      </c>
      <c r="B3044" t="n">
        <v>2</v>
      </c>
      <c r="C3044" t="n">
        <v>1215</v>
      </c>
      <c r="D3044" t="n">
        <v>-0.5684</v>
      </c>
      <c r="E3044" t="n">
        <v>15.3369</v>
      </c>
      <c r="F3044" t="n">
        <v>0.08699</v>
      </c>
    </row>
    <row r="3045">
      <c r="A3045" t="n">
        <v>2001216</v>
      </c>
      <c r="B3045" t="n">
        <v>2</v>
      </c>
      <c r="C3045" t="n">
        <v>1216</v>
      </c>
      <c r="D3045" t="n">
        <v>-0.5684</v>
      </c>
      <c r="E3045" t="n">
        <v>15.3364</v>
      </c>
      <c r="F3045" t="n">
        <v>0.08701</v>
      </c>
    </row>
    <row r="3046">
      <c r="A3046" t="n">
        <v>2001217</v>
      </c>
      <c r="B3046" t="n">
        <v>2</v>
      </c>
      <c r="C3046" t="n">
        <v>1217</v>
      </c>
      <c r="D3046" t="n">
        <v>-0.5684</v>
      </c>
      <c r="E3046" t="n">
        <v>15.336</v>
      </c>
      <c r="F3046" t="n">
        <v>0.08703</v>
      </c>
    </row>
    <row r="3047">
      <c r="A3047" t="n">
        <v>2001218</v>
      </c>
      <c r="B3047" t="n">
        <v>2</v>
      </c>
      <c r="C3047" t="n">
        <v>1218</v>
      </c>
      <c r="D3047" t="n">
        <v>-0.5684</v>
      </c>
      <c r="E3047" t="n">
        <v>15.3356</v>
      </c>
      <c r="F3047" t="n">
        <v>0.08704000000000001</v>
      </c>
    </row>
    <row r="3048">
      <c r="A3048" t="n">
        <v>2001219</v>
      </c>
      <c r="B3048" t="n">
        <v>2</v>
      </c>
      <c r="C3048" t="n">
        <v>1219</v>
      </c>
      <c r="D3048" t="n">
        <v>-0.5684</v>
      </c>
      <c r="E3048" t="n">
        <v>15.3352</v>
      </c>
      <c r="F3048" t="n">
        <v>0.08706</v>
      </c>
    </row>
    <row r="3049">
      <c r="A3049" t="n">
        <v>2001220</v>
      </c>
      <c r="B3049" t="n">
        <v>2</v>
      </c>
      <c r="C3049" t="n">
        <v>1220</v>
      </c>
      <c r="D3049" t="n">
        <v>-0.5684</v>
      </c>
      <c r="E3049" t="n">
        <v>15.3347</v>
      </c>
      <c r="F3049" t="n">
        <v>0.08708</v>
      </c>
    </row>
    <row r="3050">
      <c r="A3050" t="n">
        <v>2001221</v>
      </c>
      <c r="B3050" t="n">
        <v>2</v>
      </c>
      <c r="C3050" t="n">
        <v>1221</v>
      </c>
      <c r="D3050" t="n">
        <v>-0.5684</v>
      </c>
      <c r="E3050" t="n">
        <v>15.3343</v>
      </c>
      <c r="F3050" t="n">
        <v>0.0871</v>
      </c>
    </row>
    <row r="3051">
      <c r="A3051" t="n">
        <v>2001222</v>
      </c>
      <c r="B3051" t="n">
        <v>2</v>
      </c>
      <c r="C3051" t="n">
        <v>1222</v>
      </c>
      <c r="D3051" t="n">
        <v>-0.5684</v>
      </c>
      <c r="E3051" t="n">
        <v>15.3339</v>
      </c>
      <c r="F3051" t="n">
        <v>0.08711000000000001</v>
      </c>
    </row>
    <row r="3052">
      <c r="A3052" t="n">
        <v>2001223</v>
      </c>
      <c r="B3052" t="n">
        <v>2</v>
      </c>
      <c r="C3052" t="n">
        <v>1223</v>
      </c>
      <c r="D3052" t="n">
        <v>-0.5684</v>
      </c>
      <c r="E3052" t="n">
        <v>15.3335</v>
      </c>
      <c r="F3052" t="n">
        <v>0.08713</v>
      </c>
    </row>
    <row r="3053">
      <c r="A3053" t="n">
        <v>2001224</v>
      </c>
      <c r="B3053" t="n">
        <v>2</v>
      </c>
      <c r="C3053" t="n">
        <v>1224</v>
      </c>
      <c r="D3053" t="n">
        <v>-0.5684</v>
      </c>
      <c r="E3053" t="n">
        <v>15.3331</v>
      </c>
      <c r="F3053" t="n">
        <v>0.08715000000000001</v>
      </c>
    </row>
    <row r="3054">
      <c r="A3054" t="n">
        <v>2001225</v>
      </c>
      <c r="B3054" t="n">
        <v>2</v>
      </c>
      <c r="C3054" t="n">
        <v>1225</v>
      </c>
      <c r="D3054" t="n">
        <v>-0.5684</v>
      </c>
      <c r="E3054" t="n">
        <v>15.3326</v>
      </c>
      <c r="F3054" t="n">
        <v>0.08716</v>
      </c>
    </row>
    <row r="3055">
      <c r="A3055" t="n">
        <v>2001226</v>
      </c>
      <c r="B3055" t="n">
        <v>2</v>
      </c>
      <c r="C3055" t="n">
        <v>1226</v>
      </c>
      <c r="D3055" t="n">
        <v>-0.5684</v>
      </c>
      <c r="E3055" t="n">
        <v>15.3322</v>
      </c>
      <c r="F3055" t="n">
        <v>0.08717999999999999</v>
      </c>
    </row>
    <row r="3056">
      <c r="A3056" t="n">
        <v>2001227</v>
      </c>
      <c r="B3056" t="n">
        <v>2</v>
      </c>
      <c r="C3056" t="n">
        <v>1227</v>
      </c>
      <c r="D3056" t="n">
        <v>-0.5684</v>
      </c>
      <c r="E3056" t="n">
        <v>15.3318</v>
      </c>
      <c r="F3056" t="n">
        <v>0.0872</v>
      </c>
    </row>
    <row r="3057">
      <c r="A3057" t="n">
        <v>2001228</v>
      </c>
      <c r="B3057" t="n">
        <v>2</v>
      </c>
      <c r="C3057" t="n">
        <v>1228</v>
      </c>
      <c r="D3057" t="n">
        <v>-0.5684</v>
      </c>
      <c r="E3057" t="n">
        <v>15.3314</v>
      </c>
      <c r="F3057" t="n">
        <v>0.08722000000000001</v>
      </c>
    </row>
    <row r="3058">
      <c r="A3058" t="n">
        <v>2001229</v>
      </c>
      <c r="B3058" t="n">
        <v>2</v>
      </c>
      <c r="C3058" t="n">
        <v>1229</v>
      </c>
      <c r="D3058" t="n">
        <v>-0.5684</v>
      </c>
      <c r="E3058" t="n">
        <v>15.331</v>
      </c>
      <c r="F3058" t="n">
        <v>0.08723</v>
      </c>
    </row>
    <row r="3059">
      <c r="A3059" t="n">
        <v>2001230</v>
      </c>
      <c r="B3059" t="n">
        <v>2</v>
      </c>
      <c r="C3059" t="n">
        <v>1230</v>
      </c>
      <c r="D3059" t="n">
        <v>-0.5684</v>
      </c>
      <c r="E3059" t="n">
        <v>15.3306</v>
      </c>
      <c r="F3059" t="n">
        <v>0.08724999999999999</v>
      </c>
    </row>
    <row r="3060">
      <c r="A3060" t="n">
        <v>2001231</v>
      </c>
      <c r="B3060" t="n">
        <v>2</v>
      </c>
      <c r="C3060" t="n">
        <v>1231</v>
      </c>
      <c r="D3060" t="n">
        <v>-0.5684</v>
      </c>
      <c r="E3060" t="n">
        <v>15.3301</v>
      </c>
      <c r="F3060" t="n">
        <v>0.08727</v>
      </c>
    </row>
    <row r="3061">
      <c r="A3061" t="n">
        <v>2001232</v>
      </c>
      <c r="B3061" t="n">
        <v>2</v>
      </c>
      <c r="C3061" t="n">
        <v>1232</v>
      </c>
      <c r="D3061" t="n">
        <v>-0.5684</v>
      </c>
      <c r="E3061" t="n">
        <v>15.3297</v>
      </c>
      <c r="F3061" t="n">
        <v>0.08729000000000001</v>
      </c>
    </row>
    <row r="3062">
      <c r="A3062" t="n">
        <v>2001233</v>
      </c>
      <c r="B3062" t="n">
        <v>2</v>
      </c>
      <c r="C3062" t="n">
        <v>1233</v>
      </c>
      <c r="D3062" t="n">
        <v>-0.5684</v>
      </c>
      <c r="E3062" t="n">
        <v>15.3293</v>
      </c>
      <c r="F3062" t="n">
        <v>0.0873</v>
      </c>
    </row>
    <row r="3063">
      <c r="A3063" t="n">
        <v>2001234</v>
      </c>
      <c r="B3063" t="n">
        <v>2</v>
      </c>
      <c r="C3063" t="n">
        <v>1234</v>
      </c>
      <c r="D3063" t="n">
        <v>-0.5684</v>
      </c>
      <c r="E3063" t="n">
        <v>15.3289</v>
      </c>
      <c r="F3063" t="n">
        <v>0.08731999999999999</v>
      </c>
    </row>
    <row r="3064">
      <c r="A3064" t="n">
        <v>2001235</v>
      </c>
      <c r="B3064" t="n">
        <v>2</v>
      </c>
      <c r="C3064" t="n">
        <v>1235</v>
      </c>
      <c r="D3064" t="n">
        <v>-0.5684</v>
      </c>
      <c r="E3064" t="n">
        <v>15.3285</v>
      </c>
      <c r="F3064" t="n">
        <v>0.08734</v>
      </c>
    </row>
    <row r="3065">
      <c r="A3065" t="n">
        <v>2001236</v>
      </c>
      <c r="B3065" t="n">
        <v>2</v>
      </c>
      <c r="C3065" t="n">
        <v>1236</v>
      </c>
      <c r="D3065" t="n">
        <v>-0.5684</v>
      </c>
      <c r="E3065" t="n">
        <v>15.3281</v>
      </c>
      <c r="F3065" t="n">
        <v>0.08735999999999999</v>
      </c>
    </row>
    <row r="3066">
      <c r="A3066" t="n">
        <v>2001237</v>
      </c>
      <c r="B3066" t="n">
        <v>2</v>
      </c>
      <c r="C3066" t="n">
        <v>1237</v>
      </c>
      <c r="D3066" t="n">
        <v>-0.5684</v>
      </c>
      <c r="E3066" t="n">
        <v>15.3277</v>
      </c>
      <c r="F3066" t="n">
        <v>0.08737</v>
      </c>
    </row>
    <row r="3067">
      <c r="A3067" t="n">
        <v>2001238</v>
      </c>
      <c r="B3067" t="n">
        <v>2</v>
      </c>
      <c r="C3067" t="n">
        <v>1238</v>
      </c>
      <c r="D3067" t="n">
        <v>-0.5684</v>
      </c>
      <c r="E3067" t="n">
        <v>15.3273</v>
      </c>
      <c r="F3067" t="n">
        <v>0.08739</v>
      </c>
    </row>
    <row r="3068">
      <c r="A3068" t="n">
        <v>2001239</v>
      </c>
      <c r="B3068" t="n">
        <v>2</v>
      </c>
      <c r="C3068" t="n">
        <v>1239</v>
      </c>
      <c r="D3068" t="n">
        <v>-0.5684</v>
      </c>
      <c r="E3068" t="n">
        <v>15.3269</v>
      </c>
      <c r="F3068" t="n">
        <v>0.08741</v>
      </c>
    </row>
    <row r="3069">
      <c r="A3069" t="n">
        <v>2001240</v>
      </c>
      <c r="B3069" t="n">
        <v>2</v>
      </c>
      <c r="C3069" t="n">
        <v>1240</v>
      </c>
      <c r="D3069" t="n">
        <v>-0.5684</v>
      </c>
      <c r="E3069" t="n">
        <v>15.3265</v>
      </c>
      <c r="F3069" t="n">
        <v>0.08742999999999999</v>
      </c>
    </row>
    <row r="3070">
      <c r="A3070" t="n">
        <v>2001241</v>
      </c>
      <c r="B3070" t="n">
        <v>2</v>
      </c>
      <c r="C3070" t="n">
        <v>1241</v>
      </c>
      <c r="D3070" t="n">
        <v>-0.5684</v>
      </c>
      <c r="E3070" t="n">
        <v>15.3261</v>
      </c>
      <c r="F3070" t="n">
        <v>0.08745</v>
      </c>
    </row>
    <row r="3071">
      <c r="A3071" t="n">
        <v>2001242</v>
      </c>
      <c r="B3071" t="n">
        <v>2</v>
      </c>
      <c r="C3071" t="n">
        <v>1242</v>
      </c>
      <c r="D3071" t="n">
        <v>-0.5684</v>
      </c>
      <c r="E3071" t="n">
        <v>15.3257</v>
      </c>
      <c r="F3071" t="n">
        <v>0.08746</v>
      </c>
    </row>
    <row r="3072">
      <c r="A3072" t="n">
        <v>2001243</v>
      </c>
      <c r="B3072" t="n">
        <v>2</v>
      </c>
      <c r="C3072" t="n">
        <v>1243</v>
      </c>
      <c r="D3072" t="n">
        <v>-0.5684</v>
      </c>
      <c r="E3072" t="n">
        <v>15.3252</v>
      </c>
      <c r="F3072" t="n">
        <v>0.08748</v>
      </c>
    </row>
    <row r="3073">
      <c r="A3073" t="n">
        <v>2001244</v>
      </c>
      <c r="B3073" t="n">
        <v>2</v>
      </c>
      <c r="C3073" t="n">
        <v>1244</v>
      </c>
      <c r="D3073" t="n">
        <v>-0.5684</v>
      </c>
      <c r="E3073" t="n">
        <v>15.3248</v>
      </c>
      <c r="F3073" t="n">
        <v>0.08749999999999999</v>
      </c>
    </row>
    <row r="3074">
      <c r="A3074" t="n">
        <v>2001245</v>
      </c>
      <c r="B3074" t="n">
        <v>2</v>
      </c>
      <c r="C3074" t="n">
        <v>1245</v>
      </c>
      <c r="D3074" t="n">
        <v>-0.5684</v>
      </c>
      <c r="E3074" t="n">
        <v>15.3244</v>
      </c>
      <c r="F3074" t="n">
        <v>0.08752</v>
      </c>
    </row>
    <row r="3075">
      <c r="A3075" t="n">
        <v>2001246</v>
      </c>
      <c r="B3075" t="n">
        <v>2</v>
      </c>
      <c r="C3075" t="n">
        <v>1246</v>
      </c>
      <c r="D3075" t="n">
        <v>-0.5684</v>
      </c>
      <c r="E3075" t="n">
        <v>15.324</v>
      </c>
      <c r="F3075" t="n">
        <v>0.08753</v>
      </c>
    </row>
    <row r="3076">
      <c r="A3076" t="n">
        <v>2001247</v>
      </c>
      <c r="B3076" t="n">
        <v>2</v>
      </c>
      <c r="C3076" t="n">
        <v>1247</v>
      </c>
      <c r="D3076" t="n">
        <v>-0.5684</v>
      </c>
      <c r="E3076" t="n">
        <v>15.3236</v>
      </c>
      <c r="F3076" t="n">
        <v>0.08755</v>
      </c>
    </row>
    <row r="3077">
      <c r="A3077" t="n">
        <v>2001248</v>
      </c>
      <c r="B3077" t="n">
        <v>2</v>
      </c>
      <c r="C3077" t="n">
        <v>1248</v>
      </c>
      <c r="D3077" t="n">
        <v>-0.5684</v>
      </c>
      <c r="E3077" t="n">
        <v>15.3233</v>
      </c>
      <c r="F3077" t="n">
        <v>0.08757</v>
      </c>
    </row>
    <row r="3078">
      <c r="A3078" t="n">
        <v>2001249</v>
      </c>
      <c r="B3078" t="n">
        <v>2</v>
      </c>
      <c r="C3078" t="n">
        <v>1249</v>
      </c>
      <c r="D3078" t="n">
        <v>-0.5684</v>
      </c>
      <c r="E3078" t="n">
        <v>15.3229</v>
      </c>
      <c r="F3078" t="n">
        <v>0.08759</v>
      </c>
    </row>
    <row r="3079">
      <c r="A3079" t="n">
        <v>2001250</v>
      </c>
      <c r="B3079" t="n">
        <v>2</v>
      </c>
      <c r="C3079" t="n">
        <v>1250</v>
      </c>
      <c r="D3079" t="n">
        <v>-0.5684</v>
      </c>
      <c r="E3079" t="n">
        <v>15.3225</v>
      </c>
      <c r="F3079" t="n">
        <v>0.08760999999999999</v>
      </c>
    </row>
    <row r="3080">
      <c r="A3080" t="n">
        <v>2001251</v>
      </c>
      <c r="B3080" t="n">
        <v>2</v>
      </c>
      <c r="C3080" t="n">
        <v>1251</v>
      </c>
      <c r="D3080" t="n">
        <v>-0.5684</v>
      </c>
      <c r="E3080" t="n">
        <v>15.3221</v>
      </c>
      <c r="F3080" t="n">
        <v>0.08763</v>
      </c>
    </row>
    <row r="3081">
      <c r="A3081" t="n">
        <v>2001252</v>
      </c>
      <c r="B3081" t="n">
        <v>2</v>
      </c>
      <c r="C3081" t="n">
        <v>1252</v>
      </c>
      <c r="D3081" t="n">
        <v>-0.5684</v>
      </c>
      <c r="E3081" t="n">
        <v>15.3217</v>
      </c>
      <c r="F3081" t="n">
        <v>0.08764</v>
      </c>
    </row>
    <row r="3082">
      <c r="A3082" t="n">
        <v>2001253</v>
      </c>
      <c r="B3082" t="n">
        <v>2</v>
      </c>
      <c r="C3082" t="n">
        <v>1253</v>
      </c>
      <c r="D3082" t="n">
        <v>-0.5684</v>
      </c>
      <c r="E3082" t="n">
        <v>15.3213</v>
      </c>
      <c r="F3082" t="n">
        <v>0.08766</v>
      </c>
    </row>
    <row r="3083">
      <c r="A3083" t="n">
        <v>2001254</v>
      </c>
      <c r="B3083" t="n">
        <v>2</v>
      </c>
      <c r="C3083" t="n">
        <v>1254</v>
      </c>
      <c r="D3083" t="n">
        <v>-0.5684</v>
      </c>
      <c r="E3083" t="n">
        <v>15.3209</v>
      </c>
      <c r="F3083" t="n">
        <v>0.08767999999999999</v>
      </c>
    </row>
    <row r="3084">
      <c r="A3084" t="n">
        <v>2001255</v>
      </c>
      <c r="B3084" t="n">
        <v>2</v>
      </c>
      <c r="C3084" t="n">
        <v>1255</v>
      </c>
      <c r="D3084" t="n">
        <v>-0.5684</v>
      </c>
      <c r="E3084" t="n">
        <v>15.3205</v>
      </c>
      <c r="F3084" t="n">
        <v>0.0877</v>
      </c>
    </row>
    <row r="3085">
      <c r="A3085" t="n">
        <v>2001256</v>
      </c>
      <c r="B3085" t="n">
        <v>2</v>
      </c>
      <c r="C3085" t="n">
        <v>1256</v>
      </c>
      <c r="D3085" t="n">
        <v>-0.5684</v>
      </c>
      <c r="E3085" t="n">
        <v>15.3201</v>
      </c>
      <c r="F3085" t="n">
        <v>0.08772000000000001</v>
      </c>
    </row>
    <row r="3086">
      <c r="A3086" t="n">
        <v>2001257</v>
      </c>
      <c r="B3086" t="n">
        <v>2</v>
      </c>
      <c r="C3086" t="n">
        <v>1257</v>
      </c>
      <c r="D3086" t="n">
        <v>-0.5684</v>
      </c>
      <c r="E3086" t="n">
        <v>15.3197</v>
      </c>
      <c r="F3086" t="n">
        <v>0.08773</v>
      </c>
    </row>
    <row r="3087">
      <c r="A3087" t="n">
        <v>2001258</v>
      </c>
      <c r="B3087" t="n">
        <v>2</v>
      </c>
      <c r="C3087" t="n">
        <v>1258</v>
      </c>
      <c r="D3087" t="n">
        <v>-0.5684</v>
      </c>
      <c r="E3087" t="n">
        <v>15.3193</v>
      </c>
      <c r="F3087" t="n">
        <v>0.08774999999999999</v>
      </c>
    </row>
    <row r="3088">
      <c r="A3088" t="n">
        <v>2001259</v>
      </c>
      <c r="B3088" t="n">
        <v>2</v>
      </c>
      <c r="C3088" t="n">
        <v>1259</v>
      </c>
      <c r="D3088" t="n">
        <v>-0.5684</v>
      </c>
      <c r="E3088" t="n">
        <v>15.3189</v>
      </c>
      <c r="F3088" t="n">
        <v>0.08777</v>
      </c>
    </row>
    <row r="3089">
      <c r="A3089" t="n">
        <v>2001260</v>
      </c>
      <c r="B3089" t="n">
        <v>2</v>
      </c>
      <c r="C3089" t="n">
        <v>1260</v>
      </c>
      <c r="D3089" t="n">
        <v>-0.5684</v>
      </c>
      <c r="E3089" t="n">
        <v>15.3185</v>
      </c>
      <c r="F3089" t="n">
        <v>0.08779000000000001</v>
      </c>
    </row>
    <row r="3090">
      <c r="A3090" t="n">
        <v>2001261</v>
      </c>
      <c r="B3090" t="n">
        <v>2</v>
      </c>
      <c r="C3090" t="n">
        <v>1261</v>
      </c>
      <c r="D3090" t="n">
        <v>-0.5684</v>
      </c>
      <c r="E3090" t="n">
        <v>15.3182</v>
      </c>
      <c r="F3090" t="n">
        <v>0.08781</v>
      </c>
    </row>
    <row r="3091">
      <c r="A3091" t="n">
        <v>2001262</v>
      </c>
      <c r="B3091" t="n">
        <v>2</v>
      </c>
      <c r="C3091" t="n">
        <v>1262</v>
      </c>
      <c r="D3091" t="n">
        <v>-0.5684</v>
      </c>
      <c r="E3091" t="n">
        <v>15.3178</v>
      </c>
      <c r="F3091" t="n">
        <v>0.08783000000000001</v>
      </c>
    </row>
    <row r="3092">
      <c r="A3092" t="n">
        <v>2001263</v>
      </c>
      <c r="B3092" t="n">
        <v>2</v>
      </c>
      <c r="C3092" t="n">
        <v>1263</v>
      </c>
      <c r="D3092" t="n">
        <v>-0.5684</v>
      </c>
      <c r="E3092" t="n">
        <v>15.3174</v>
      </c>
      <c r="F3092" t="n">
        <v>0.08785</v>
      </c>
    </row>
    <row r="3093">
      <c r="A3093" t="n">
        <v>2001264</v>
      </c>
      <c r="B3093" t="n">
        <v>2</v>
      </c>
      <c r="C3093" t="n">
        <v>1264</v>
      </c>
      <c r="D3093" t="n">
        <v>-0.5684</v>
      </c>
      <c r="E3093" t="n">
        <v>15.317</v>
      </c>
      <c r="F3093" t="n">
        <v>0.08785999999999999</v>
      </c>
    </row>
    <row r="3094">
      <c r="A3094" t="n">
        <v>2001265</v>
      </c>
      <c r="B3094" t="n">
        <v>2</v>
      </c>
      <c r="C3094" t="n">
        <v>1265</v>
      </c>
      <c r="D3094" t="n">
        <v>-0.5684</v>
      </c>
      <c r="E3094" t="n">
        <v>15.3166</v>
      </c>
      <c r="F3094" t="n">
        <v>0.08788</v>
      </c>
    </row>
    <row r="3095">
      <c r="A3095" t="n">
        <v>2001266</v>
      </c>
      <c r="B3095" t="n">
        <v>2</v>
      </c>
      <c r="C3095" t="n">
        <v>1266</v>
      </c>
      <c r="D3095" t="n">
        <v>-0.5684</v>
      </c>
      <c r="E3095" t="n">
        <v>15.3162</v>
      </c>
      <c r="F3095" t="n">
        <v>0.08790000000000001</v>
      </c>
    </row>
    <row r="3096">
      <c r="A3096" t="n">
        <v>2001267</v>
      </c>
      <c r="B3096" t="n">
        <v>2</v>
      </c>
      <c r="C3096" t="n">
        <v>1267</v>
      </c>
      <c r="D3096" t="n">
        <v>-0.5684</v>
      </c>
      <c r="E3096" t="n">
        <v>15.3159</v>
      </c>
      <c r="F3096" t="n">
        <v>0.08792</v>
      </c>
    </row>
    <row r="3097">
      <c r="A3097" t="n">
        <v>2001268</v>
      </c>
      <c r="B3097" t="n">
        <v>2</v>
      </c>
      <c r="C3097" t="n">
        <v>1268</v>
      </c>
      <c r="D3097" t="n">
        <v>-0.5684</v>
      </c>
      <c r="E3097" t="n">
        <v>15.3155</v>
      </c>
      <c r="F3097" t="n">
        <v>0.08794</v>
      </c>
    </row>
    <row r="3098">
      <c r="A3098" t="n">
        <v>2001269</v>
      </c>
      <c r="B3098" t="n">
        <v>2</v>
      </c>
      <c r="C3098" t="n">
        <v>1269</v>
      </c>
      <c r="D3098" t="n">
        <v>-0.5684</v>
      </c>
      <c r="E3098" t="n">
        <v>15.3151</v>
      </c>
      <c r="F3098" t="n">
        <v>0.08796</v>
      </c>
    </row>
    <row r="3099">
      <c r="A3099" t="n">
        <v>2001270</v>
      </c>
      <c r="B3099" t="n">
        <v>2</v>
      </c>
      <c r="C3099" t="n">
        <v>1270</v>
      </c>
      <c r="D3099" t="n">
        <v>-0.5684</v>
      </c>
      <c r="E3099" t="n">
        <v>15.3147</v>
      </c>
      <c r="F3099" t="n">
        <v>0.08798</v>
      </c>
    </row>
    <row r="3100">
      <c r="A3100" t="n">
        <v>2001271</v>
      </c>
      <c r="B3100" t="n">
        <v>2</v>
      </c>
      <c r="C3100" t="n">
        <v>1271</v>
      </c>
      <c r="D3100" t="n">
        <v>-0.5684</v>
      </c>
      <c r="E3100" t="n">
        <v>15.3143</v>
      </c>
      <c r="F3100" t="n">
        <v>0.08799</v>
      </c>
    </row>
    <row r="3101">
      <c r="A3101" t="n">
        <v>2001272</v>
      </c>
      <c r="B3101" t="n">
        <v>2</v>
      </c>
      <c r="C3101" t="n">
        <v>1272</v>
      </c>
      <c r="D3101" t="n">
        <v>-0.5684</v>
      </c>
      <c r="E3101" t="n">
        <v>15.314</v>
      </c>
      <c r="F3101" t="n">
        <v>0.08801</v>
      </c>
    </row>
    <row r="3102">
      <c r="A3102" t="n">
        <v>2001273</v>
      </c>
      <c r="B3102" t="n">
        <v>2</v>
      </c>
      <c r="C3102" t="n">
        <v>1273</v>
      </c>
      <c r="D3102" t="n">
        <v>-0.5684</v>
      </c>
      <c r="E3102" t="n">
        <v>15.3136</v>
      </c>
      <c r="F3102" t="n">
        <v>0.08803</v>
      </c>
    </row>
    <row r="3103">
      <c r="A3103" t="n">
        <v>2001274</v>
      </c>
      <c r="B3103" t="n">
        <v>2</v>
      </c>
      <c r="C3103" t="n">
        <v>1274</v>
      </c>
      <c r="D3103" t="n">
        <v>-0.5684</v>
      </c>
      <c r="E3103" t="n">
        <v>15.3132</v>
      </c>
      <c r="F3103" t="n">
        <v>0.08805</v>
      </c>
    </row>
    <row r="3104">
      <c r="A3104" t="n">
        <v>2001275</v>
      </c>
      <c r="B3104" t="n">
        <v>2</v>
      </c>
      <c r="C3104" t="n">
        <v>1275</v>
      </c>
      <c r="D3104" t="n">
        <v>-0.5684</v>
      </c>
      <c r="E3104" t="n">
        <v>15.3128</v>
      </c>
      <c r="F3104" t="n">
        <v>0.08807</v>
      </c>
    </row>
    <row r="3105">
      <c r="A3105" t="n">
        <v>2001276</v>
      </c>
      <c r="B3105" t="n">
        <v>2</v>
      </c>
      <c r="C3105" t="n">
        <v>1276</v>
      </c>
      <c r="D3105" t="n">
        <v>-0.5684</v>
      </c>
      <c r="E3105" t="n">
        <v>15.3125</v>
      </c>
      <c r="F3105" t="n">
        <v>0.08809</v>
      </c>
    </row>
    <row r="3106">
      <c r="A3106" t="n">
        <v>2001277</v>
      </c>
      <c r="B3106" t="n">
        <v>2</v>
      </c>
      <c r="C3106" t="n">
        <v>1277</v>
      </c>
      <c r="D3106" t="n">
        <v>-0.5684</v>
      </c>
      <c r="E3106" t="n">
        <v>15.3121</v>
      </c>
      <c r="F3106" t="n">
        <v>0.08810999999999999</v>
      </c>
    </row>
    <row r="3107">
      <c r="A3107" t="n">
        <v>2001278</v>
      </c>
      <c r="B3107" t="n">
        <v>2</v>
      </c>
      <c r="C3107" t="n">
        <v>1278</v>
      </c>
      <c r="D3107" t="n">
        <v>-0.5684</v>
      </c>
      <c r="E3107" t="n">
        <v>15.3117</v>
      </c>
      <c r="F3107" t="n">
        <v>0.08813</v>
      </c>
    </row>
    <row r="3108">
      <c r="A3108" t="n">
        <v>2001279</v>
      </c>
      <c r="B3108" t="n">
        <v>2</v>
      </c>
      <c r="C3108" t="n">
        <v>1279</v>
      </c>
      <c r="D3108" t="n">
        <v>-0.5684</v>
      </c>
      <c r="E3108" t="n">
        <v>15.3114</v>
      </c>
      <c r="F3108" t="n">
        <v>0.08814</v>
      </c>
    </row>
    <row r="3109">
      <c r="A3109" t="n">
        <v>2001280</v>
      </c>
      <c r="B3109" t="n">
        <v>2</v>
      </c>
      <c r="C3109" t="n">
        <v>1280</v>
      </c>
      <c r="D3109" t="n">
        <v>-0.5684</v>
      </c>
      <c r="E3109" t="n">
        <v>15.311</v>
      </c>
      <c r="F3109" t="n">
        <v>0.08816</v>
      </c>
    </row>
    <row r="3110">
      <c r="A3110" t="n">
        <v>2001281</v>
      </c>
      <c r="B3110" t="n">
        <v>2</v>
      </c>
      <c r="C3110" t="n">
        <v>1281</v>
      </c>
      <c r="D3110" t="n">
        <v>-0.5684</v>
      </c>
      <c r="E3110" t="n">
        <v>15.3106</v>
      </c>
      <c r="F3110" t="n">
        <v>0.08817999999999999</v>
      </c>
    </row>
    <row r="3111">
      <c r="A3111" t="n">
        <v>2001282</v>
      </c>
      <c r="B3111" t="n">
        <v>2</v>
      </c>
      <c r="C3111" t="n">
        <v>1282</v>
      </c>
      <c r="D3111" t="n">
        <v>-0.5684</v>
      </c>
      <c r="E3111" t="n">
        <v>15.3102</v>
      </c>
      <c r="F3111" t="n">
        <v>0.0882</v>
      </c>
    </row>
    <row r="3112">
      <c r="A3112" t="n">
        <v>2001283</v>
      </c>
      <c r="B3112" t="n">
        <v>2</v>
      </c>
      <c r="C3112" t="n">
        <v>1283</v>
      </c>
      <c r="D3112" t="n">
        <v>-0.5684</v>
      </c>
      <c r="E3112" t="n">
        <v>15.3099</v>
      </c>
      <c r="F3112" t="n">
        <v>0.08822000000000001</v>
      </c>
    </row>
    <row r="3113">
      <c r="A3113" t="n">
        <v>2001284</v>
      </c>
      <c r="B3113" t="n">
        <v>2</v>
      </c>
      <c r="C3113" t="n">
        <v>1284</v>
      </c>
      <c r="D3113" t="n">
        <v>-0.5684</v>
      </c>
      <c r="E3113" t="n">
        <v>15.3095</v>
      </c>
      <c r="F3113" t="n">
        <v>0.08824</v>
      </c>
    </row>
    <row r="3114">
      <c r="A3114" t="n">
        <v>2001285</v>
      </c>
      <c r="B3114" t="n">
        <v>2</v>
      </c>
      <c r="C3114" t="n">
        <v>1285</v>
      </c>
      <c r="D3114" t="n">
        <v>-0.5684</v>
      </c>
      <c r="E3114" t="n">
        <v>15.3091</v>
      </c>
      <c r="F3114" t="n">
        <v>0.08826000000000001</v>
      </c>
    </row>
    <row r="3115">
      <c r="A3115" t="n">
        <v>2001286</v>
      </c>
      <c r="B3115" t="n">
        <v>2</v>
      </c>
      <c r="C3115" t="n">
        <v>1286</v>
      </c>
      <c r="D3115" t="n">
        <v>-0.5684</v>
      </c>
      <c r="E3115" t="n">
        <v>15.3088</v>
      </c>
      <c r="F3115" t="n">
        <v>0.08828</v>
      </c>
    </row>
    <row r="3116">
      <c r="A3116" t="n">
        <v>2001287</v>
      </c>
      <c r="B3116" t="n">
        <v>2</v>
      </c>
      <c r="C3116" t="n">
        <v>1287</v>
      </c>
      <c r="D3116" t="n">
        <v>-0.5684</v>
      </c>
      <c r="E3116" t="n">
        <v>15.3084</v>
      </c>
      <c r="F3116" t="n">
        <v>0.0883</v>
      </c>
    </row>
    <row r="3117">
      <c r="A3117" t="n">
        <v>2001288</v>
      </c>
      <c r="B3117" t="n">
        <v>2</v>
      </c>
      <c r="C3117" t="n">
        <v>1288</v>
      </c>
      <c r="D3117" t="n">
        <v>-0.5684</v>
      </c>
      <c r="E3117" t="n">
        <v>15.308</v>
      </c>
      <c r="F3117" t="n">
        <v>0.08832</v>
      </c>
    </row>
    <row r="3118">
      <c r="A3118" t="n">
        <v>2001289</v>
      </c>
      <c r="B3118" t="n">
        <v>2</v>
      </c>
      <c r="C3118" t="n">
        <v>1289</v>
      </c>
      <c r="D3118" t="n">
        <v>-0.5684</v>
      </c>
      <c r="E3118" t="n">
        <v>15.3077</v>
      </c>
      <c r="F3118" t="n">
        <v>0.08833000000000001</v>
      </c>
    </row>
    <row r="3119">
      <c r="A3119" t="n">
        <v>2001290</v>
      </c>
      <c r="B3119" t="n">
        <v>2</v>
      </c>
      <c r="C3119" t="n">
        <v>1290</v>
      </c>
      <c r="D3119" t="n">
        <v>-0.5684</v>
      </c>
      <c r="E3119" t="n">
        <v>15.3073</v>
      </c>
      <c r="F3119" t="n">
        <v>0.08835</v>
      </c>
    </row>
    <row r="3120">
      <c r="A3120" t="n">
        <v>2001291</v>
      </c>
      <c r="B3120" t="n">
        <v>2</v>
      </c>
      <c r="C3120" t="n">
        <v>1291</v>
      </c>
      <c r="D3120" t="n">
        <v>-0.5684</v>
      </c>
      <c r="E3120" t="n">
        <v>15.307</v>
      </c>
      <c r="F3120" t="n">
        <v>0.08837</v>
      </c>
    </row>
    <row r="3121">
      <c r="A3121" t="n">
        <v>2001292</v>
      </c>
      <c r="B3121" t="n">
        <v>2</v>
      </c>
      <c r="C3121" t="n">
        <v>1292</v>
      </c>
      <c r="D3121" t="n">
        <v>-0.5684</v>
      </c>
      <c r="E3121" t="n">
        <v>15.3066</v>
      </c>
      <c r="F3121" t="n">
        <v>0.08839</v>
      </c>
    </row>
    <row r="3122">
      <c r="A3122" t="n">
        <v>2001293</v>
      </c>
      <c r="B3122" t="n">
        <v>2</v>
      </c>
      <c r="C3122" t="n">
        <v>1293</v>
      </c>
      <c r="D3122" t="n">
        <v>-0.5684</v>
      </c>
      <c r="E3122" t="n">
        <v>15.3062</v>
      </c>
      <c r="F3122" t="n">
        <v>0.08841</v>
      </c>
    </row>
    <row r="3123">
      <c r="A3123" t="n">
        <v>2001294</v>
      </c>
      <c r="B3123" t="n">
        <v>2</v>
      </c>
      <c r="C3123" t="n">
        <v>1294</v>
      </c>
      <c r="D3123" t="n">
        <v>-0.5684</v>
      </c>
      <c r="E3123" t="n">
        <v>15.3059</v>
      </c>
      <c r="F3123" t="n">
        <v>0.08842999999999999</v>
      </c>
    </row>
    <row r="3124">
      <c r="A3124" t="n">
        <v>2001295</v>
      </c>
      <c r="B3124" t="n">
        <v>2</v>
      </c>
      <c r="C3124" t="n">
        <v>1295</v>
      </c>
      <c r="D3124" t="n">
        <v>-0.5684</v>
      </c>
      <c r="E3124" t="n">
        <v>15.3055</v>
      </c>
      <c r="F3124" t="n">
        <v>0.08845</v>
      </c>
    </row>
    <row r="3125">
      <c r="A3125" t="n">
        <v>2001296</v>
      </c>
      <c r="B3125" t="n">
        <v>2</v>
      </c>
      <c r="C3125" t="n">
        <v>1296</v>
      </c>
      <c r="D3125" t="n">
        <v>-0.5684</v>
      </c>
      <c r="E3125" t="n">
        <v>15.3052</v>
      </c>
      <c r="F3125" t="n">
        <v>0.08846999999999999</v>
      </c>
    </row>
    <row r="3126">
      <c r="A3126" t="n">
        <v>2001297</v>
      </c>
      <c r="B3126" t="n">
        <v>2</v>
      </c>
      <c r="C3126" t="n">
        <v>1297</v>
      </c>
      <c r="D3126" t="n">
        <v>-0.5684</v>
      </c>
      <c r="E3126" t="n">
        <v>15.3048</v>
      </c>
      <c r="F3126" t="n">
        <v>0.08849</v>
      </c>
    </row>
    <row r="3127">
      <c r="A3127" t="n">
        <v>2001298</v>
      </c>
      <c r="B3127" t="n">
        <v>2</v>
      </c>
      <c r="C3127" t="n">
        <v>1298</v>
      </c>
      <c r="D3127" t="n">
        <v>-0.5684</v>
      </c>
      <c r="E3127" t="n">
        <v>15.3044</v>
      </c>
      <c r="F3127" t="n">
        <v>0.08851000000000001</v>
      </c>
    </row>
    <row r="3128">
      <c r="A3128" t="n">
        <v>2001299</v>
      </c>
      <c r="B3128" t="n">
        <v>2</v>
      </c>
      <c r="C3128" t="n">
        <v>1299</v>
      </c>
      <c r="D3128" t="n">
        <v>-0.5684</v>
      </c>
      <c r="E3128" t="n">
        <v>15.3041</v>
      </c>
      <c r="F3128" t="n">
        <v>0.08853</v>
      </c>
    </row>
    <row r="3129">
      <c r="A3129" t="n">
        <v>2001300</v>
      </c>
      <c r="B3129" t="n">
        <v>2</v>
      </c>
      <c r="C3129" t="n">
        <v>1300</v>
      </c>
      <c r="D3129" t="n">
        <v>-0.5684</v>
      </c>
      <c r="E3129" t="n">
        <v>15.3037</v>
      </c>
      <c r="F3129" t="n">
        <v>0.08855</v>
      </c>
    </row>
    <row r="3130">
      <c r="A3130" t="n">
        <v>2001301</v>
      </c>
      <c r="B3130" t="n">
        <v>2</v>
      </c>
      <c r="C3130" t="n">
        <v>1301</v>
      </c>
      <c r="D3130" t="n">
        <v>-0.5684</v>
      </c>
      <c r="E3130" t="n">
        <v>15.3034</v>
      </c>
      <c r="F3130" t="n">
        <v>0.08857</v>
      </c>
    </row>
    <row r="3131">
      <c r="A3131" t="n">
        <v>2001302</v>
      </c>
      <c r="B3131" t="n">
        <v>2</v>
      </c>
      <c r="C3131" t="n">
        <v>1302</v>
      </c>
      <c r="D3131" t="n">
        <v>-0.5684</v>
      </c>
      <c r="E3131" t="n">
        <v>15.303</v>
      </c>
      <c r="F3131" t="n">
        <v>0.08859</v>
      </c>
    </row>
    <row r="3132">
      <c r="A3132" t="n">
        <v>2001303</v>
      </c>
      <c r="B3132" t="n">
        <v>2</v>
      </c>
      <c r="C3132" t="n">
        <v>1303</v>
      </c>
      <c r="D3132" t="n">
        <v>-0.5684</v>
      </c>
      <c r="E3132" t="n">
        <v>15.3027</v>
      </c>
      <c r="F3132" t="n">
        <v>0.0886</v>
      </c>
    </row>
    <row r="3133">
      <c r="A3133" t="n">
        <v>2001304</v>
      </c>
      <c r="B3133" t="n">
        <v>2</v>
      </c>
      <c r="C3133" t="n">
        <v>1304</v>
      </c>
      <c r="D3133" t="n">
        <v>-0.5684</v>
      </c>
      <c r="E3133" t="n">
        <v>15.3023</v>
      </c>
      <c r="F3133" t="n">
        <v>0.08862</v>
      </c>
    </row>
    <row r="3134">
      <c r="A3134" t="n">
        <v>2001305</v>
      </c>
      <c r="B3134" t="n">
        <v>2</v>
      </c>
      <c r="C3134" t="n">
        <v>1305</v>
      </c>
      <c r="D3134" t="n">
        <v>-0.5684</v>
      </c>
      <c r="E3134" t="n">
        <v>15.302</v>
      </c>
      <c r="F3134" t="n">
        <v>0.08864</v>
      </c>
    </row>
    <row r="3135">
      <c r="A3135" t="n">
        <v>2001306</v>
      </c>
      <c r="B3135" t="n">
        <v>2</v>
      </c>
      <c r="C3135" t="n">
        <v>1306</v>
      </c>
      <c r="D3135" t="n">
        <v>-0.5684</v>
      </c>
      <c r="E3135" t="n">
        <v>15.3016</v>
      </c>
      <c r="F3135" t="n">
        <v>0.08866</v>
      </c>
    </row>
    <row r="3136">
      <c r="A3136" t="n">
        <v>2001307</v>
      </c>
      <c r="B3136" t="n">
        <v>2</v>
      </c>
      <c r="C3136" t="n">
        <v>1307</v>
      </c>
      <c r="D3136" t="n">
        <v>-0.5684</v>
      </c>
      <c r="E3136" t="n">
        <v>15.3013</v>
      </c>
      <c r="F3136" t="n">
        <v>0.08867999999999999</v>
      </c>
    </row>
    <row r="3137">
      <c r="A3137" t="n">
        <v>2001308</v>
      </c>
      <c r="B3137" t="n">
        <v>2</v>
      </c>
      <c r="C3137" t="n">
        <v>1308</v>
      </c>
      <c r="D3137" t="n">
        <v>-0.5684</v>
      </c>
      <c r="E3137" t="n">
        <v>15.3009</v>
      </c>
      <c r="F3137" t="n">
        <v>0.0887</v>
      </c>
    </row>
    <row r="3138">
      <c r="A3138" t="n">
        <v>2001309</v>
      </c>
      <c r="B3138" t="n">
        <v>2</v>
      </c>
      <c r="C3138" t="n">
        <v>1309</v>
      </c>
      <c r="D3138" t="n">
        <v>-0.5684</v>
      </c>
      <c r="E3138" t="n">
        <v>15.3006</v>
      </c>
      <c r="F3138" t="n">
        <v>0.08871999999999999</v>
      </c>
    </row>
    <row r="3139">
      <c r="A3139" t="n">
        <v>2001310</v>
      </c>
      <c r="B3139" t="n">
        <v>2</v>
      </c>
      <c r="C3139" t="n">
        <v>1310</v>
      </c>
      <c r="D3139" t="n">
        <v>-0.5684</v>
      </c>
      <c r="E3139" t="n">
        <v>15.3002</v>
      </c>
      <c r="F3139" t="n">
        <v>0.08874</v>
      </c>
    </row>
    <row r="3140">
      <c r="A3140" t="n">
        <v>2001311</v>
      </c>
      <c r="B3140" t="n">
        <v>2</v>
      </c>
      <c r="C3140" t="n">
        <v>1311</v>
      </c>
      <c r="D3140" t="n">
        <v>-0.5684</v>
      </c>
      <c r="E3140" t="n">
        <v>15.2999</v>
      </c>
      <c r="F3140" t="n">
        <v>0.08876000000000001</v>
      </c>
    </row>
    <row r="3141">
      <c r="A3141" t="n">
        <v>2001312</v>
      </c>
      <c r="B3141" t="n">
        <v>2</v>
      </c>
      <c r="C3141" t="n">
        <v>1312</v>
      </c>
      <c r="D3141" t="n">
        <v>-0.5684</v>
      </c>
      <c r="E3141" t="n">
        <v>15.2996</v>
      </c>
      <c r="F3141" t="n">
        <v>0.08878</v>
      </c>
    </row>
    <row r="3142">
      <c r="A3142" t="n">
        <v>2001313</v>
      </c>
      <c r="B3142" t="n">
        <v>2</v>
      </c>
      <c r="C3142" t="n">
        <v>1313</v>
      </c>
      <c r="D3142" t="n">
        <v>-0.5684</v>
      </c>
      <c r="E3142" t="n">
        <v>15.2992</v>
      </c>
      <c r="F3142" t="n">
        <v>0.0888</v>
      </c>
    </row>
    <row r="3143">
      <c r="A3143" t="n">
        <v>2001314</v>
      </c>
      <c r="B3143" t="n">
        <v>2</v>
      </c>
      <c r="C3143" t="n">
        <v>1314</v>
      </c>
      <c r="D3143" t="n">
        <v>-0.5684</v>
      </c>
      <c r="E3143" t="n">
        <v>15.2989</v>
      </c>
      <c r="F3143" t="n">
        <v>0.08882</v>
      </c>
    </row>
    <row r="3144">
      <c r="A3144" t="n">
        <v>2001315</v>
      </c>
      <c r="B3144" t="n">
        <v>2</v>
      </c>
      <c r="C3144" t="n">
        <v>1315</v>
      </c>
      <c r="D3144" t="n">
        <v>-0.5684</v>
      </c>
      <c r="E3144" t="n">
        <v>15.2985</v>
      </c>
      <c r="F3144" t="n">
        <v>0.08884</v>
      </c>
    </row>
    <row r="3145">
      <c r="A3145" t="n">
        <v>2001316</v>
      </c>
      <c r="B3145" t="n">
        <v>2</v>
      </c>
      <c r="C3145" t="n">
        <v>1316</v>
      </c>
      <c r="D3145" t="n">
        <v>-0.5684</v>
      </c>
      <c r="E3145" t="n">
        <v>15.2982</v>
      </c>
      <c r="F3145" t="n">
        <v>0.08885999999999999</v>
      </c>
    </row>
    <row r="3146">
      <c r="A3146" t="n">
        <v>2001317</v>
      </c>
      <c r="B3146" t="n">
        <v>2</v>
      </c>
      <c r="C3146" t="n">
        <v>1317</v>
      </c>
      <c r="D3146" t="n">
        <v>-0.5684</v>
      </c>
      <c r="E3146" t="n">
        <v>15.2978</v>
      </c>
      <c r="F3146" t="n">
        <v>0.08888</v>
      </c>
    </row>
    <row r="3147">
      <c r="A3147" t="n">
        <v>2001318</v>
      </c>
      <c r="B3147" t="n">
        <v>2</v>
      </c>
      <c r="C3147" t="n">
        <v>1318</v>
      </c>
      <c r="D3147" t="n">
        <v>-0.5684</v>
      </c>
      <c r="E3147" t="n">
        <v>15.2975</v>
      </c>
      <c r="F3147" t="n">
        <v>0.08890000000000001</v>
      </c>
    </row>
    <row r="3148">
      <c r="A3148" t="n">
        <v>2001319</v>
      </c>
      <c r="B3148" t="n">
        <v>2</v>
      </c>
      <c r="C3148" t="n">
        <v>1319</v>
      </c>
      <c r="D3148" t="n">
        <v>-0.5684</v>
      </c>
      <c r="E3148" t="n">
        <v>15.2972</v>
      </c>
      <c r="F3148" t="n">
        <v>0.08892</v>
      </c>
    </row>
    <row r="3149">
      <c r="A3149" t="n">
        <v>2001320</v>
      </c>
      <c r="B3149" t="n">
        <v>2</v>
      </c>
      <c r="C3149" t="n">
        <v>1320</v>
      </c>
      <c r="D3149" t="n">
        <v>-0.5684</v>
      </c>
      <c r="E3149" t="n">
        <v>15.2968</v>
      </c>
      <c r="F3149" t="n">
        <v>0.08894000000000001</v>
      </c>
    </row>
    <row r="3150">
      <c r="A3150" t="n">
        <v>2001321</v>
      </c>
      <c r="B3150" t="n">
        <v>2</v>
      </c>
      <c r="C3150" t="n">
        <v>1321</v>
      </c>
      <c r="D3150" t="n">
        <v>-0.5684</v>
      </c>
      <c r="E3150" t="n">
        <v>15.2965</v>
      </c>
      <c r="F3150" t="n">
        <v>0.08896</v>
      </c>
    </row>
    <row r="3151">
      <c r="A3151" t="n">
        <v>2001322</v>
      </c>
      <c r="B3151" t="n">
        <v>2</v>
      </c>
      <c r="C3151" t="n">
        <v>1322</v>
      </c>
      <c r="D3151" t="n">
        <v>-0.5684</v>
      </c>
      <c r="E3151" t="n">
        <v>15.2962</v>
      </c>
      <c r="F3151" t="n">
        <v>0.08898</v>
      </c>
    </row>
    <row r="3152">
      <c r="A3152" t="n">
        <v>2001323</v>
      </c>
      <c r="B3152" t="n">
        <v>2</v>
      </c>
      <c r="C3152" t="n">
        <v>1323</v>
      </c>
      <c r="D3152" t="n">
        <v>-0.5684</v>
      </c>
      <c r="E3152" t="n">
        <v>15.2958</v>
      </c>
      <c r="F3152" t="n">
        <v>0.089</v>
      </c>
    </row>
    <row r="3153">
      <c r="A3153" t="n">
        <v>2001324</v>
      </c>
      <c r="B3153" t="n">
        <v>2</v>
      </c>
      <c r="C3153" t="n">
        <v>1324</v>
      </c>
      <c r="D3153" t="n">
        <v>-0.5684</v>
      </c>
      <c r="E3153" t="n">
        <v>15.2955</v>
      </c>
      <c r="F3153" t="n">
        <v>0.08901000000000001</v>
      </c>
    </row>
    <row r="3154">
      <c r="A3154" t="n">
        <v>2001325</v>
      </c>
      <c r="B3154" t="n">
        <v>2</v>
      </c>
      <c r="C3154" t="n">
        <v>1325</v>
      </c>
      <c r="D3154" t="n">
        <v>-0.5684</v>
      </c>
      <c r="E3154" t="n">
        <v>15.2952</v>
      </c>
      <c r="F3154" t="n">
        <v>0.08903</v>
      </c>
    </row>
    <row r="3155">
      <c r="A3155" t="n">
        <v>2001326</v>
      </c>
      <c r="B3155" t="n">
        <v>2</v>
      </c>
      <c r="C3155" t="n">
        <v>1326</v>
      </c>
      <c r="D3155" t="n">
        <v>-0.5684</v>
      </c>
      <c r="E3155" t="n">
        <v>15.2948</v>
      </c>
      <c r="F3155" t="n">
        <v>0.08905</v>
      </c>
    </row>
    <row r="3156">
      <c r="A3156" t="n">
        <v>2001327</v>
      </c>
      <c r="B3156" t="n">
        <v>2</v>
      </c>
      <c r="C3156" t="n">
        <v>1327</v>
      </c>
      <c r="D3156" t="n">
        <v>-0.5684</v>
      </c>
      <c r="E3156" t="n">
        <v>15.2945</v>
      </c>
      <c r="F3156" t="n">
        <v>0.08907</v>
      </c>
    </row>
    <row r="3157">
      <c r="A3157" t="n">
        <v>2001328</v>
      </c>
      <c r="B3157" t="n">
        <v>2</v>
      </c>
      <c r="C3157" t="n">
        <v>1328</v>
      </c>
      <c r="D3157" t="n">
        <v>-0.5684</v>
      </c>
      <c r="E3157" t="n">
        <v>15.2942</v>
      </c>
      <c r="F3157" t="n">
        <v>0.08909</v>
      </c>
    </row>
    <row r="3158">
      <c r="A3158" t="n">
        <v>2001329</v>
      </c>
      <c r="B3158" t="n">
        <v>2</v>
      </c>
      <c r="C3158" t="n">
        <v>1329</v>
      </c>
      <c r="D3158" t="n">
        <v>-0.5684</v>
      </c>
      <c r="E3158" t="n">
        <v>15.2938</v>
      </c>
      <c r="F3158" t="n">
        <v>0.08910999999999999</v>
      </c>
    </row>
    <row r="3159">
      <c r="A3159" t="n">
        <v>2001330</v>
      </c>
      <c r="B3159" t="n">
        <v>2</v>
      </c>
      <c r="C3159" t="n">
        <v>1330</v>
      </c>
      <c r="D3159" t="n">
        <v>-0.5684</v>
      </c>
      <c r="E3159" t="n">
        <v>15.2935</v>
      </c>
      <c r="F3159" t="n">
        <v>0.08913</v>
      </c>
    </row>
    <row r="3160">
      <c r="A3160" t="n">
        <v>2001331</v>
      </c>
      <c r="B3160" t="n">
        <v>2</v>
      </c>
      <c r="C3160" t="n">
        <v>1331</v>
      </c>
      <c r="D3160" t="n">
        <v>-0.5684</v>
      </c>
      <c r="E3160" t="n">
        <v>15.2932</v>
      </c>
      <c r="F3160" t="n">
        <v>0.08914999999999999</v>
      </c>
    </row>
    <row r="3161">
      <c r="A3161" t="n">
        <v>2001332</v>
      </c>
      <c r="B3161" t="n">
        <v>2</v>
      </c>
      <c r="C3161" t="n">
        <v>1332</v>
      </c>
      <c r="D3161" t="n">
        <v>-0.5684</v>
      </c>
      <c r="E3161" t="n">
        <v>15.2929</v>
      </c>
      <c r="F3161" t="n">
        <v>0.08917</v>
      </c>
    </row>
    <row r="3162">
      <c r="A3162" t="n">
        <v>2001333</v>
      </c>
      <c r="B3162" t="n">
        <v>2</v>
      </c>
      <c r="C3162" t="n">
        <v>1333</v>
      </c>
      <c r="D3162" t="n">
        <v>-0.5684</v>
      </c>
      <c r="E3162" t="n">
        <v>15.2925</v>
      </c>
      <c r="F3162" t="n">
        <v>0.08919000000000001</v>
      </c>
    </row>
    <row r="3163">
      <c r="A3163" t="n">
        <v>2001334</v>
      </c>
      <c r="B3163" t="n">
        <v>2</v>
      </c>
      <c r="C3163" t="n">
        <v>1334</v>
      </c>
      <c r="D3163" t="n">
        <v>-0.5684</v>
      </c>
      <c r="E3163" t="n">
        <v>15.2922</v>
      </c>
      <c r="F3163" t="n">
        <v>0.08921</v>
      </c>
    </row>
    <row r="3164">
      <c r="A3164" t="n">
        <v>2001335</v>
      </c>
      <c r="B3164" t="n">
        <v>2</v>
      </c>
      <c r="C3164" t="n">
        <v>1335</v>
      </c>
      <c r="D3164" t="n">
        <v>-0.5684</v>
      </c>
      <c r="E3164" t="n">
        <v>15.2919</v>
      </c>
      <c r="F3164" t="n">
        <v>0.08923</v>
      </c>
    </row>
    <row r="3165">
      <c r="A3165" t="n">
        <v>2001336</v>
      </c>
      <c r="B3165" t="n">
        <v>2</v>
      </c>
      <c r="C3165" t="n">
        <v>1336</v>
      </c>
      <c r="D3165" t="n">
        <v>-0.5684</v>
      </c>
      <c r="E3165" t="n">
        <v>15.2916</v>
      </c>
      <c r="F3165" t="n">
        <v>0.08925</v>
      </c>
    </row>
    <row r="3166">
      <c r="A3166" t="n">
        <v>2001337</v>
      </c>
      <c r="B3166" t="n">
        <v>2</v>
      </c>
      <c r="C3166" t="n">
        <v>1337</v>
      </c>
      <c r="D3166" t="n">
        <v>-0.5684</v>
      </c>
      <c r="E3166" t="n">
        <v>15.2913</v>
      </c>
      <c r="F3166" t="n">
        <v>0.08927</v>
      </c>
    </row>
    <row r="3167">
      <c r="A3167" t="n">
        <v>2001338</v>
      </c>
      <c r="B3167" t="n">
        <v>2</v>
      </c>
      <c r="C3167" t="n">
        <v>1338</v>
      </c>
      <c r="D3167" t="n">
        <v>-0.5684</v>
      </c>
      <c r="E3167" t="n">
        <v>15.2909</v>
      </c>
      <c r="F3167" t="n">
        <v>0.08928999999999999</v>
      </c>
    </row>
    <row r="3168">
      <c r="A3168" t="n">
        <v>2001339</v>
      </c>
      <c r="B3168" t="n">
        <v>2</v>
      </c>
      <c r="C3168" t="n">
        <v>1339</v>
      </c>
      <c r="D3168" t="n">
        <v>-0.5684</v>
      </c>
      <c r="E3168" t="n">
        <v>15.2906</v>
      </c>
      <c r="F3168" t="n">
        <v>0.08931</v>
      </c>
    </row>
    <row r="3169">
      <c r="A3169" t="n">
        <v>2001340</v>
      </c>
      <c r="B3169" t="n">
        <v>2</v>
      </c>
      <c r="C3169" t="n">
        <v>1340</v>
      </c>
      <c r="D3169" t="n">
        <v>-0.5684</v>
      </c>
      <c r="E3169" t="n">
        <v>15.2903</v>
      </c>
      <c r="F3169" t="n">
        <v>0.08933000000000001</v>
      </c>
    </row>
    <row r="3170">
      <c r="A3170" t="n">
        <v>2001341</v>
      </c>
      <c r="B3170" t="n">
        <v>2</v>
      </c>
      <c r="C3170" t="n">
        <v>1341</v>
      </c>
      <c r="D3170" t="n">
        <v>-0.5684</v>
      </c>
      <c r="E3170" t="n">
        <v>15.29</v>
      </c>
      <c r="F3170" t="n">
        <v>0.08935</v>
      </c>
    </row>
    <row r="3171">
      <c r="A3171" t="n">
        <v>2001342</v>
      </c>
      <c r="B3171" t="n">
        <v>2</v>
      </c>
      <c r="C3171" t="n">
        <v>1342</v>
      </c>
      <c r="D3171" t="n">
        <v>-0.5684</v>
      </c>
      <c r="E3171" t="n">
        <v>15.2897</v>
      </c>
      <c r="F3171" t="n">
        <v>0.08937</v>
      </c>
    </row>
    <row r="3172">
      <c r="A3172" t="n">
        <v>2001343</v>
      </c>
      <c r="B3172" t="n">
        <v>2</v>
      </c>
      <c r="C3172" t="n">
        <v>1343</v>
      </c>
      <c r="D3172" t="n">
        <v>-0.5684</v>
      </c>
      <c r="E3172" t="n">
        <v>15.2894</v>
      </c>
      <c r="F3172" t="n">
        <v>0.08939</v>
      </c>
    </row>
    <row r="3173">
      <c r="A3173" t="n">
        <v>2001344</v>
      </c>
      <c r="B3173" t="n">
        <v>2</v>
      </c>
      <c r="C3173" t="n">
        <v>1344</v>
      </c>
      <c r="D3173" t="n">
        <v>-0.5684</v>
      </c>
      <c r="E3173" t="n">
        <v>15.289</v>
      </c>
      <c r="F3173" t="n">
        <v>0.08941</v>
      </c>
    </row>
    <row r="3174">
      <c r="A3174" t="n">
        <v>2001345</v>
      </c>
      <c r="B3174" t="n">
        <v>2</v>
      </c>
      <c r="C3174" t="n">
        <v>1345</v>
      </c>
      <c r="D3174" t="n">
        <v>-0.5684</v>
      </c>
      <c r="E3174" t="n">
        <v>15.2887</v>
      </c>
      <c r="F3174" t="n">
        <v>0.08943</v>
      </c>
    </row>
    <row r="3175">
      <c r="A3175" t="n">
        <v>2001346</v>
      </c>
      <c r="B3175" t="n">
        <v>2</v>
      </c>
      <c r="C3175" t="n">
        <v>1346</v>
      </c>
      <c r="D3175" t="n">
        <v>-0.5684</v>
      </c>
      <c r="E3175" t="n">
        <v>15.2884</v>
      </c>
      <c r="F3175" t="n">
        <v>0.08945</v>
      </c>
    </row>
    <row r="3176">
      <c r="A3176" t="n">
        <v>2001347</v>
      </c>
      <c r="B3176" t="n">
        <v>2</v>
      </c>
      <c r="C3176" t="n">
        <v>1347</v>
      </c>
      <c r="D3176" t="n">
        <v>-0.5684</v>
      </c>
      <c r="E3176" t="n">
        <v>15.2881</v>
      </c>
      <c r="F3176" t="n">
        <v>0.08946999999999999</v>
      </c>
    </row>
    <row r="3177">
      <c r="A3177" t="n">
        <v>2001348</v>
      </c>
      <c r="B3177" t="n">
        <v>2</v>
      </c>
      <c r="C3177" t="n">
        <v>1348</v>
      </c>
      <c r="D3177" t="n">
        <v>-0.5684</v>
      </c>
      <c r="E3177" t="n">
        <v>15.2878</v>
      </c>
      <c r="F3177" t="n">
        <v>0.08949</v>
      </c>
    </row>
    <row r="3178">
      <c r="A3178" t="n">
        <v>2001349</v>
      </c>
      <c r="B3178" t="n">
        <v>2</v>
      </c>
      <c r="C3178" t="n">
        <v>1349</v>
      </c>
      <c r="D3178" t="n">
        <v>-0.5684</v>
      </c>
      <c r="E3178" t="n">
        <v>15.2875</v>
      </c>
      <c r="F3178" t="n">
        <v>0.08951000000000001</v>
      </c>
    </row>
    <row r="3179">
      <c r="A3179" t="n">
        <v>2001350</v>
      </c>
      <c r="B3179" t="n">
        <v>2</v>
      </c>
      <c r="C3179" t="n">
        <v>1350</v>
      </c>
      <c r="D3179" t="n">
        <v>-0.5684</v>
      </c>
      <c r="E3179" t="n">
        <v>15.2872</v>
      </c>
      <c r="F3179" t="n">
        <v>0.08953</v>
      </c>
    </row>
    <row r="3180">
      <c r="A3180" t="n">
        <v>2001351</v>
      </c>
      <c r="B3180" t="n">
        <v>2</v>
      </c>
      <c r="C3180" t="n">
        <v>1351</v>
      </c>
      <c r="D3180" t="n">
        <v>-0.5684</v>
      </c>
      <c r="E3180" t="n">
        <v>15.2869</v>
      </c>
      <c r="F3180" t="n">
        <v>0.08955</v>
      </c>
    </row>
    <row r="3181">
      <c r="A3181" t="n">
        <v>2001352</v>
      </c>
      <c r="B3181" t="n">
        <v>2</v>
      </c>
      <c r="C3181" t="n">
        <v>1352</v>
      </c>
      <c r="D3181" t="n">
        <v>-0.5684</v>
      </c>
      <c r="E3181" t="n">
        <v>15.2866</v>
      </c>
      <c r="F3181" t="n">
        <v>0.08957</v>
      </c>
    </row>
    <row r="3182">
      <c r="A3182" t="n">
        <v>2001353</v>
      </c>
      <c r="B3182" t="n">
        <v>2</v>
      </c>
      <c r="C3182" t="n">
        <v>1353</v>
      </c>
      <c r="D3182" t="n">
        <v>-0.5684</v>
      </c>
      <c r="E3182" t="n">
        <v>15.2863</v>
      </c>
      <c r="F3182" t="n">
        <v>0.08959</v>
      </c>
    </row>
    <row r="3183">
      <c r="A3183" t="n">
        <v>2001354</v>
      </c>
      <c r="B3183" t="n">
        <v>2</v>
      </c>
      <c r="C3183" t="n">
        <v>1354</v>
      </c>
      <c r="D3183" t="n">
        <v>-0.5684</v>
      </c>
      <c r="E3183" t="n">
        <v>15.286</v>
      </c>
      <c r="F3183" t="n">
        <v>0.08961</v>
      </c>
    </row>
    <row r="3184">
      <c r="A3184" t="n">
        <v>2001355</v>
      </c>
      <c r="B3184" t="n">
        <v>2</v>
      </c>
      <c r="C3184" t="n">
        <v>1355</v>
      </c>
      <c r="D3184" t="n">
        <v>-0.5684</v>
      </c>
      <c r="E3184" t="n">
        <v>15.2857</v>
      </c>
      <c r="F3184" t="n">
        <v>0.08963</v>
      </c>
    </row>
    <row r="3185">
      <c r="A3185" t="n">
        <v>2001356</v>
      </c>
      <c r="B3185" t="n">
        <v>2</v>
      </c>
      <c r="C3185" t="n">
        <v>1356</v>
      </c>
      <c r="D3185" t="n">
        <v>-0.5684</v>
      </c>
      <c r="E3185" t="n">
        <v>15.2854</v>
      </c>
      <c r="F3185" t="n">
        <v>0.08964</v>
      </c>
    </row>
    <row r="3186">
      <c r="A3186" t="n">
        <v>2001357</v>
      </c>
      <c r="B3186" t="n">
        <v>2</v>
      </c>
      <c r="C3186" t="n">
        <v>1357</v>
      </c>
      <c r="D3186" t="n">
        <v>-0.5684</v>
      </c>
      <c r="E3186" t="n">
        <v>15.2851</v>
      </c>
      <c r="F3186" t="n">
        <v>0.08966</v>
      </c>
    </row>
    <row r="3187">
      <c r="A3187" t="n">
        <v>2001358</v>
      </c>
      <c r="B3187" t="n">
        <v>2</v>
      </c>
      <c r="C3187" t="n">
        <v>1358</v>
      </c>
      <c r="D3187" t="n">
        <v>-0.5684</v>
      </c>
      <c r="E3187" t="n">
        <v>15.2848</v>
      </c>
      <c r="F3187" t="n">
        <v>0.08968</v>
      </c>
    </row>
    <row r="3188">
      <c r="A3188" t="n">
        <v>2001359</v>
      </c>
      <c r="B3188" t="n">
        <v>2</v>
      </c>
      <c r="C3188" t="n">
        <v>1359</v>
      </c>
      <c r="D3188" t="n">
        <v>-0.5684</v>
      </c>
      <c r="E3188" t="n">
        <v>15.2845</v>
      </c>
      <c r="F3188" t="n">
        <v>0.0897</v>
      </c>
    </row>
    <row r="3189">
      <c r="A3189" t="n">
        <v>2001360</v>
      </c>
      <c r="B3189" t="n">
        <v>2</v>
      </c>
      <c r="C3189" t="n">
        <v>1360</v>
      </c>
      <c r="D3189" t="n">
        <v>-0.5684</v>
      </c>
      <c r="E3189" t="n">
        <v>15.2842</v>
      </c>
      <c r="F3189" t="n">
        <v>0.08971999999999999</v>
      </c>
    </row>
    <row r="3190">
      <c r="A3190" t="n">
        <v>2001361</v>
      </c>
      <c r="B3190" t="n">
        <v>2</v>
      </c>
      <c r="C3190" t="n">
        <v>1361</v>
      </c>
      <c r="D3190" t="n">
        <v>-0.5684</v>
      </c>
      <c r="E3190" t="n">
        <v>15.2839</v>
      </c>
      <c r="F3190" t="n">
        <v>0.08974</v>
      </c>
    </row>
    <row r="3191">
      <c r="A3191" t="n">
        <v>2001362</v>
      </c>
      <c r="B3191" t="n">
        <v>2</v>
      </c>
      <c r="C3191" t="n">
        <v>1362</v>
      </c>
      <c r="D3191" t="n">
        <v>-0.5684</v>
      </c>
      <c r="E3191" t="n">
        <v>15.2836</v>
      </c>
      <c r="F3191" t="n">
        <v>0.08976000000000001</v>
      </c>
    </row>
    <row r="3192">
      <c r="A3192" t="n">
        <v>2001363</v>
      </c>
      <c r="B3192" t="n">
        <v>2</v>
      </c>
      <c r="C3192" t="n">
        <v>1363</v>
      </c>
      <c r="D3192" t="n">
        <v>-0.5684</v>
      </c>
      <c r="E3192" t="n">
        <v>15.2833</v>
      </c>
      <c r="F3192" t="n">
        <v>0.08978</v>
      </c>
    </row>
    <row r="3193">
      <c r="A3193" t="n">
        <v>2001364</v>
      </c>
      <c r="B3193" t="n">
        <v>2</v>
      </c>
      <c r="C3193" t="n">
        <v>1364</v>
      </c>
      <c r="D3193" t="n">
        <v>-0.5684</v>
      </c>
      <c r="E3193" t="n">
        <v>15.283</v>
      </c>
      <c r="F3193" t="n">
        <v>0.0898</v>
      </c>
    </row>
    <row r="3194">
      <c r="A3194" t="n">
        <v>2001365</v>
      </c>
      <c r="B3194" t="n">
        <v>2</v>
      </c>
      <c r="C3194" t="n">
        <v>1365</v>
      </c>
      <c r="D3194" t="n">
        <v>-0.5684</v>
      </c>
      <c r="E3194" t="n">
        <v>15.2827</v>
      </c>
      <c r="F3194" t="n">
        <v>0.08982</v>
      </c>
    </row>
    <row r="3195">
      <c r="A3195" t="n">
        <v>2001366</v>
      </c>
      <c r="B3195" t="n">
        <v>2</v>
      </c>
      <c r="C3195" t="n">
        <v>1366</v>
      </c>
      <c r="D3195" t="n">
        <v>-0.5684</v>
      </c>
      <c r="E3195" t="n">
        <v>15.2824</v>
      </c>
      <c r="F3195" t="n">
        <v>0.08984</v>
      </c>
    </row>
    <row r="3196">
      <c r="A3196" t="n">
        <v>2001367</v>
      </c>
      <c r="B3196" t="n">
        <v>2</v>
      </c>
      <c r="C3196" t="n">
        <v>1367</v>
      </c>
      <c r="D3196" t="n">
        <v>-0.5684</v>
      </c>
      <c r="E3196" t="n">
        <v>15.2821</v>
      </c>
      <c r="F3196" t="n">
        <v>0.08986</v>
      </c>
    </row>
    <row r="3197">
      <c r="A3197" t="n">
        <v>2001368</v>
      </c>
      <c r="B3197" t="n">
        <v>2</v>
      </c>
      <c r="C3197" t="n">
        <v>1368</v>
      </c>
      <c r="D3197" t="n">
        <v>-0.5684</v>
      </c>
      <c r="E3197" t="n">
        <v>15.2818</v>
      </c>
      <c r="F3197" t="n">
        <v>0.08988</v>
      </c>
    </row>
    <row r="3198">
      <c r="A3198" t="n">
        <v>2001369</v>
      </c>
      <c r="B3198" t="n">
        <v>2</v>
      </c>
      <c r="C3198" t="n">
        <v>1369</v>
      </c>
      <c r="D3198" t="n">
        <v>-0.5684</v>
      </c>
      <c r="E3198" t="n">
        <v>15.2816</v>
      </c>
      <c r="F3198" t="n">
        <v>0.08989999999999999</v>
      </c>
    </row>
    <row r="3199">
      <c r="A3199" t="n">
        <v>2001370</v>
      </c>
      <c r="B3199" t="n">
        <v>2</v>
      </c>
      <c r="C3199" t="n">
        <v>1370</v>
      </c>
      <c r="D3199" t="n">
        <v>-0.5684</v>
      </c>
      <c r="E3199" t="n">
        <v>15.2813</v>
      </c>
      <c r="F3199" t="n">
        <v>0.08992</v>
      </c>
    </row>
    <row r="3200">
      <c r="A3200" t="n">
        <v>2001371</v>
      </c>
      <c r="B3200" t="n">
        <v>2</v>
      </c>
      <c r="C3200" t="n">
        <v>1371</v>
      </c>
      <c r="D3200" t="n">
        <v>-0.5684</v>
      </c>
      <c r="E3200" t="n">
        <v>15.281</v>
      </c>
      <c r="F3200" t="n">
        <v>0.08994000000000001</v>
      </c>
    </row>
    <row r="3201">
      <c r="A3201" t="n">
        <v>2001372</v>
      </c>
      <c r="B3201" t="n">
        <v>2</v>
      </c>
      <c r="C3201" t="n">
        <v>1372</v>
      </c>
      <c r="D3201" t="n">
        <v>-0.5684</v>
      </c>
      <c r="E3201" t="n">
        <v>15.2807</v>
      </c>
      <c r="F3201" t="n">
        <v>0.08996</v>
      </c>
    </row>
    <row r="3202">
      <c r="A3202" t="n">
        <v>2001373</v>
      </c>
      <c r="B3202" t="n">
        <v>2</v>
      </c>
      <c r="C3202" t="n">
        <v>1373</v>
      </c>
      <c r="D3202" t="n">
        <v>-0.5684</v>
      </c>
      <c r="E3202" t="n">
        <v>15.2804</v>
      </c>
      <c r="F3202" t="n">
        <v>0.08998</v>
      </c>
    </row>
    <row r="3203">
      <c r="A3203" t="n">
        <v>2001374</v>
      </c>
      <c r="B3203" t="n">
        <v>2</v>
      </c>
      <c r="C3203" t="n">
        <v>1374</v>
      </c>
      <c r="D3203" t="n">
        <v>-0.5684</v>
      </c>
      <c r="E3203" t="n">
        <v>15.2801</v>
      </c>
      <c r="F3203" t="n">
        <v>0.09</v>
      </c>
    </row>
    <row r="3204">
      <c r="A3204" t="n">
        <v>2001375</v>
      </c>
      <c r="B3204" t="n">
        <v>2</v>
      </c>
      <c r="C3204" t="n">
        <v>1375</v>
      </c>
      <c r="D3204" t="n">
        <v>-0.5684</v>
      </c>
      <c r="E3204" t="n">
        <v>15.2799</v>
      </c>
      <c r="F3204" t="n">
        <v>0.09002</v>
      </c>
    </row>
    <row r="3205">
      <c r="A3205" t="n">
        <v>2001376</v>
      </c>
      <c r="B3205" t="n">
        <v>2</v>
      </c>
      <c r="C3205" t="n">
        <v>1376</v>
      </c>
      <c r="D3205" t="n">
        <v>-0.5684</v>
      </c>
      <c r="E3205" t="n">
        <v>15.2796</v>
      </c>
      <c r="F3205" t="n">
        <v>0.09004</v>
      </c>
    </row>
    <row r="3206">
      <c r="A3206" t="n">
        <v>2001377</v>
      </c>
      <c r="B3206" t="n">
        <v>2</v>
      </c>
      <c r="C3206" t="n">
        <v>1377</v>
      </c>
      <c r="D3206" t="n">
        <v>-0.5684</v>
      </c>
      <c r="E3206" t="n">
        <v>15.2793</v>
      </c>
      <c r="F3206" t="n">
        <v>0.09006</v>
      </c>
    </row>
    <row r="3207">
      <c r="A3207" t="n">
        <v>2001378</v>
      </c>
      <c r="B3207" t="n">
        <v>2</v>
      </c>
      <c r="C3207" t="n">
        <v>1378</v>
      </c>
      <c r="D3207" t="n">
        <v>-0.5684</v>
      </c>
      <c r="E3207" t="n">
        <v>15.279</v>
      </c>
      <c r="F3207" t="n">
        <v>0.09007999999999999</v>
      </c>
    </row>
    <row r="3208">
      <c r="A3208" t="n">
        <v>2001379</v>
      </c>
      <c r="B3208" t="n">
        <v>2</v>
      </c>
      <c r="C3208" t="n">
        <v>1379</v>
      </c>
      <c r="D3208" t="n">
        <v>-0.5684</v>
      </c>
      <c r="E3208" t="n">
        <v>15.2788</v>
      </c>
      <c r="F3208" t="n">
        <v>0.0901</v>
      </c>
    </row>
    <row r="3209">
      <c r="A3209" t="n">
        <v>2001380</v>
      </c>
      <c r="B3209" t="n">
        <v>2</v>
      </c>
      <c r="C3209" t="n">
        <v>1380</v>
      </c>
      <c r="D3209" t="n">
        <v>-0.5684</v>
      </c>
      <c r="E3209" t="n">
        <v>15.2785</v>
      </c>
      <c r="F3209" t="n">
        <v>0.09012000000000001</v>
      </c>
    </row>
    <row r="3210">
      <c r="A3210" t="n">
        <v>2001381</v>
      </c>
      <c r="B3210" t="n">
        <v>2</v>
      </c>
      <c r="C3210" t="n">
        <v>1381</v>
      </c>
      <c r="D3210" t="n">
        <v>-0.5684</v>
      </c>
      <c r="E3210" t="n">
        <v>15.2782</v>
      </c>
      <c r="F3210" t="n">
        <v>0.09013</v>
      </c>
    </row>
    <row r="3211">
      <c r="A3211" t="n">
        <v>2001382</v>
      </c>
      <c r="B3211" t="n">
        <v>2</v>
      </c>
      <c r="C3211" t="n">
        <v>1382</v>
      </c>
      <c r="D3211" t="n">
        <v>-0.5684</v>
      </c>
      <c r="E3211" t="n">
        <v>15.2779</v>
      </c>
      <c r="F3211" t="n">
        <v>0.09014999999999999</v>
      </c>
    </row>
    <row r="3212">
      <c r="A3212" t="n">
        <v>2001383</v>
      </c>
      <c r="B3212" t="n">
        <v>2</v>
      </c>
      <c r="C3212" t="n">
        <v>1383</v>
      </c>
      <c r="D3212" t="n">
        <v>-0.5684</v>
      </c>
      <c r="E3212" t="n">
        <v>15.2777</v>
      </c>
      <c r="F3212" t="n">
        <v>0.09017</v>
      </c>
    </row>
    <row r="3213">
      <c r="A3213" t="n">
        <v>2001384</v>
      </c>
      <c r="B3213" t="n">
        <v>2</v>
      </c>
      <c r="C3213" t="n">
        <v>1384</v>
      </c>
      <c r="D3213" t="n">
        <v>-0.5684</v>
      </c>
      <c r="E3213" t="n">
        <v>15.2774</v>
      </c>
      <c r="F3213" t="n">
        <v>0.09019000000000001</v>
      </c>
    </row>
    <row r="3214">
      <c r="A3214" t="n">
        <v>2001385</v>
      </c>
      <c r="B3214" t="n">
        <v>2</v>
      </c>
      <c r="C3214" t="n">
        <v>1385</v>
      </c>
      <c r="D3214" t="n">
        <v>-0.5684</v>
      </c>
      <c r="E3214" t="n">
        <v>15.2771</v>
      </c>
      <c r="F3214" t="n">
        <v>0.09021</v>
      </c>
    </row>
    <row r="3215">
      <c r="A3215" t="n">
        <v>2001386</v>
      </c>
      <c r="B3215" t="n">
        <v>2</v>
      </c>
      <c r="C3215" t="n">
        <v>1386</v>
      </c>
      <c r="D3215" t="n">
        <v>-0.5684</v>
      </c>
      <c r="E3215" t="n">
        <v>15.2769</v>
      </c>
      <c r="F3215" t="n">
        <v>0.09023</v>
      </c>
    </row>
    <row r="3216">
      <c r="A3216" t="n">
        <v>2001387</v>
      </c>
      <c r="B3216" t="n">
        <v>2</v>
      </c>
      <c r="C3216" t="n">
        <v>1387</v>
      </c>
      <c r="D3216" t="n">
        <v>-0.5684</v>
      </c>
      <c r="E3216" t="n">
        <v>15.2766</v>
      </c>
      <c r="F3216" t="n">
        <v>0.09025</v>
      </c>
    </row>
    <row r="3217">
      <c r="A3217" t="n">
        <v>2001388</v>
      </c>
      <c r="B3217" t="n">
        <v>2</v>
      </c>
      <c r="C3217" t="n">
        <v>1388</v>
      </c>
      <c r="D3217" t="n">
        <v>-0.5684</v>
      </c>
      <c r="E3217" t="n">
        <v>15.2763</v>
      </c>
      <c r="F3217" t="n">
        <v>0.09027</v>
      </c>
    </row>
    <row r="3218">
      <c r="A3218" t="n">
        <v>2001389</v>
      </c>
      <c r="B3218" t="n">
        <v>2</v>
      </c>
      <c r="C3218" t="n">
        <v>1389</v>
      </c>
      <c r="D3218" t="n">
        <v>-0.5684</v>
      </c>
      <c r="E3218" t="n">
        <v>15.2761</v>
      </c>
      <c r="F3218" t="n">
        <v>0.09029</v>
      </c>
    </row>
    <row r="3219">
      <c r="A3219" t="n">
        <v>2001390</v>
      </c>
      <c r="B3219" t="n">
        <v>2</v>
      </c>
      <c r="C3219" t="n">
        <v>1390</v>
      </c>
      <c r="D3219" t="n">
        <v>-0.5684</v>
      </c>
      <c r="E3219" t="n">
        <v>15.2758</v>
      </c>
      <c r="F3219" t="n">
        <v>0.09031</v>
      </c>
    </row>
    <row r="3220">
      <c r="A3220" t="n">
        <v>2001391</v>
      </c>
      <c r="B3220" t="n">
        <v>2</v>
      </c>
      <c r="C3220" t="n">
        <v>1391</v>
      </c>
      <c r="D3220" t="n">
        <v>-0.5684</v>
      </c>
      <c r="E3220" t="n">
        <v>15.2755</v>
      </c>
      <c r="F3220" t="n">
        <v>0.09032999999999999</v>
      </c>
    </row>
    <row r="3221">
      <c r="A3221" t="n">
        <v>2001392</v>
      </c>
      <c r="B3221" t="n">
        <v>2</v>
      </c>
      <c r="C3221" t="n">
        <v>1392</v>
      </c>
      <c r="D3221" t="n">
        <v>-0.5684</v>
      </c>
      <c r="E3221" t="n">
        <v>15.2753</v>
      </c>
      <c r="F3221" t="n">
        <v>0.09035</v>
      </c>
    </row>
    <row r="3222">
      <c r="A3222" t="n">
        <v>2001393</v>
      </c>
      <c r="B3222" t="n">
        <v>2</v>
      </c>
      <c r="C3222" t="n">
        <v>1393</v>
      </c>
      <c r="D3222" t="n">
        <v>-0.5684</v>
      </c>
      <c r="E3222" t="n">
        <v>15.275</v>
      </c>
      <c r="F3222" t="n">
        <v>0.09037000000000001</v>
      </c>
    </row>
    <row r="3223">
      <c r="A3223" t="n">
        <v>2001394</v>
      </c>
      <c r="B3223" t="n">
        <v>2</v>
      </c>
      <c r="C3223" t="n">
        <v>1394</v>
      </c>
      <c r="D3223" t="n">
        <v>-0.5684</v>
      </c>
      <c r="E3223" t="n">
        <v>15.2748</v>
      </c>
      <c r="F3223" t="n">
        <v>0.09039</v>
      </c>
    </row>
    <row r="3224">
      <c r="A3224" t="n">
        <v>2001395</v>
      </c>
      <c r="B3224" t="n">
        <v>2</v>
      </c>
      <c r="C3224" t="n">
        <v>1395</v>
      </c>
      <c r="D3224" t="n">
        <v>-0.5684</v>
      </c>
      <c r="E3224" t="n">
        <v>15.2745</v>
      </c>
      <c r="F3224" t="n">
        <v>0.09041</v>
      </c>
    </row>
    <row r="3225">
      <c r="A3225" t="n">
        <v>2001396</v>
      </c>
      <c r="B3225" t="n">
        <v>2</v>
      </c>
      <c r="C3225" t="n">
        <v>1396</v>
      </c>
      <c r="D3225" t="n">
        <v>-0.5684</v>
      </c>
      <c r="E3225" t="n">
        <v>15.2742</v>
      </c>
      <c r="F3225" t="n">
        <v>0.09043</v>
      </c>
    </row>
    <row r="3226">
      <c r="A3226" t="n">
        <v>2001397</v>
      </c>
      <c r="B3226" t="n">
        <v>2</v>
      </c>
      <c r="C3226" t="n">
        <v>1397</v>
      </c>
      <c r="D3226" t="n">
        <v>-0.5684</v>
      </c>
      <c r="E3226" t="n">
        <v>15.274</v>
      </c>
      <c r="F3226" t="n">
        <v>0.09045</v>
      </c>
    </row>
    <row r="3227">
      <c r="A3227" t="n">
        <v>2001398</v>
      </c>
      <c r="B3227" t="n">
        <v>2</v>
      </c>
      <c r="C3227" t="n">
        <v>1398</v>
      </c>
      <c r="D3227" t="n">
        <v>-0.5684</v>
      </c>
      <c r="E3227" t="n">
        <v>15.2737</v>
      </c>
      <c r="F3227" t="n">
        <v>0.09046999999999999</v>
      </c>
    </row>
    <row r="3228">
      <c r="A3228" t="n">
        <v>2001399</v>
      </c>
      <c r="B3228" t="n">
        <v>2</v>
      </c>
      <c r="C3228" t="n">
        <v>1399</v>
      </c>
      <c r="D3228" t="n">
        <v>-0.5684</v>
      </c>
      <c r="E3228" t="n">
        <v>15.2735</v>
      </c>
      <c r="F3228" t="n">
        <v>0.09049</v>
      </c>
    </row>
    <row r="3229">
      <c r="A3229" t="n">
        <v>2001400</v>
      </c>
      <c r="B3229" t="n">
        <v>2</v>
      </c>
      <c r="C3229" t="n">
        <v>1400</v>
      </c>
      <c r="D3229" t="n">
        <v>-0.5684</v>
      </c>
      <c r="E3229" t="n">
        <v>15.2732</v>
      </c>
      <c r="F3229" t="n">
        <v>0.0905</v>
      </c>
    </row>
    <row r="3230">
      <c r="A3230" t="n">
        <v>2001401</v>
      </c>
      <c r="B3230" t="n">
        <v>2</v>
      </c>
      <c r="C3230" t="n">
        <v>1401</v>
      </c>
      <c r="D3230" t="n">
        <v>-0.5684</v>
      </c>
      <c r="E3230" t="n">
        <v>15.273</v>
      </c>
      <c r="F3230" t="n">
        <v>0.09052</v>
      </c>
    </row>
    <row r="3231">
      <c r="A3231" t="n">
        <v>2001402</v>
      </c>
      <c r="B3231" t="n">
        <v>2</v>
      </c>
      <c r="C3231" t="n">
        <v>1402</v>
      </c>
      <c r="D3231" t="n">
        <v>-0.5684</v>
      </c>
      <c r="E3231" t="n">
        <v>15.2727</v>
      </c>
      <c r="F3231" t="n">
        <v>0.09054</v>
      </c>
    </row>
    <row r="3232">
      <c r="A3232" t="n">
        <v>2001403</v>
      </c>
      <c r="B3232" t="n">
        <v>2</v>
      </c>
      <c r="C3232" t="n">
        <v>1403</v>
      </c>
      <c r="D3232" t="n">
        <v>-0.5684</v>
      </c>
      <c r="E3232" t="n">
        <v>15.2725</v>
      </c>
      <c r="F3232" t="n">
        <v>0.09056</v>
      </c>
    </row>
    <row r="3233">
      <c r="A3233" t="n">
        <v>2001404</v>
      </c>
      <c r="B3233" t="n">
        <v>2</v>
      </c>
      <c r="C3233" t="n">
        <v>1404</v>
      </c>
      <c r="D3233" t="n">
        <v>-0.5684</v>
      </c>
      <c r="E3233" t="n">
        <v>15.2722</v>
      </c>
      <c r="F3233" t="n">
        <v>0.09057999999999999</v>
      </c>
    </row>
    <row r="3234">
      <c r="A3234" t="n">
        <v>2001405</v>
      </c>
      <c r="B3234" t="n">
        <v>2</v>
      </c>
      <c r="C3234" t="n">
        <v>1405</v>
      </c>
      <c r="D3234" t="n">
        <v>-0.5684</v>
      </c>
      <c r="E3234" t="n">
        <v>15.272</v>
      </c>
      <c r="F3234" t="n">
        <v>0.0906</v>
      </c>
    </row>
    <row r="3235">
      <c r="A3235" t="n">
        <v>2001406</v>
      </c>
      <c r="B3235" t="n">
        <v>2</v>
      </c>
      <c r="C3235" t="n">
        <v>1406</v>
      </c>
      <c r="D3235" t="n">
        <v>-0.5684</v>
      </c>
      <c r="E3235" t="n">
        <v>15.2717</v>
      </c>
      <c r="F3235" t="n">
        <v>0.09062000000000001</v>
      </c>
    </row>
    <row r="3236">
      <c r="A3236" t="n">
        <v>2001407</v>
      </c>
      <c r="B3236" t="n">
        <v>2</v>
      </c>
      <c r="C3236" t="n">
        <v>1407</v>
      </c>
      <c r="D3236" t="n">
        <v>-0.5684</v>
      </c>
      <c r="E3236" t="n">
        <v>15.2715</v>
      </c>
      <c r="F3236" t="n">
        <v>0.09064</v>
      </c>
    </row>
    <row r="3237">
      <c r="A3237" t="n">
        <v>2001408</v>
      </c>
      <c r="B3237" t="n">
        <v>2</v>
      </c>
      <c r="C3237" t="n">
        <v>1408</v>
      </c>
      <c r="D3237" t="n">
        <v>-0.5684</v>
      </c>
      <c r="E3237" t="n">
        <v>15.2713</v>
      </c>
      <c r="F3237" t="n">
        <v>0.09066</v>
      </c>
    </row>
    <row r="3238">
      <c r="A3238" t="n">
        <v>2001409</v>
      </c>
      <c r="B3238" t="n">
        <v>2</v>
      </c>
      <c r="C3238" t="n">
        <v>1409</v>
      </c>
      <c r="D3238" t="n">
        <v>-0.5684</v>
      </c>
      <c r="E3238" t="n">
        <v>15.271</v>
      </c>
      <c r="F3238" t="n">
        <v>0.09068</v>
      </c>
    </row>
    <row r="3239">
      <c r="A3239" t="n">
        <v>2001410</v>
      </c>
      <c r="B3239" t="n">
        <v>2</v>
      </c>
      <c r="C3239" t="n">
        <v>1410</v>
      </c>
      <c r="D3239" t="n">
        <v>-0.5684</v>
      </c>
      <c r="E3239" t="n">
        <v>15.2708</v>
      </c>
      <c r="F3239" t="n">
        <v>0.0907</v>
      </c>
    </row>
    <row r="3240">
      <c r="A3240" t="n">
        <v>2001411</v>
      </c>
      <c r="B3240" t="n">
        <v>2</v>
      </c>
      <c r="C3240" t="n">
        <v>1411</v>
      </c>
      <c r="D3240" t="n">
        <v>-0.5684</v>
      </c>
      <c r="E3240" t="n">
        <v>15.2705</v>
      </c>
      <c r="F3240" t="n">
        <v>0.09072</v>
      </c>
    </row>
    <row r="3241">
      <c r="A3241" t="n">
        <v>2001412</v>
      </c>
      <c r="B3241" t="n">
        <v>2</v>
      </c>
      <c r="C3241" t="n">
        <v>1412</v>
      </c>
      <c r="D3241" t="n">
        <v>-0.5684</v>
      </c>
      <c r="E3241" t="n">
        <v>15.2703</v>
      </c>
      <c r="F3241" t="n">
        <v>0.09074</v>
      </c>
    </row>
    <row r="3242">
      <c r="A3242" t="n">
        <v>2001413</v>
      </c>
      <c r="B3242" t="n">
        <v>2</v>
      </c>
      <c r="C3242" t="n">
        <v>1413</v>
      </c>
      <c r="D3242" t="n">
        <v>-0.5684</v>
      </c>
      <c r="E3242" t="n">
        <v>15.2701</v>
      </c>
      <c r="F3242" t="n">
        <v>0.09075999999999999</v>
      </c>
    </row>
    <row r="3243">
      <c r="A3243" t="n">
        <v>2001414</v>
      </c>
      <c r="B3243" t="n">
        <v>2</v>
      </c>
      <c r="C3243" t="n">
        <v>1414</v>
      </c>
      <c r="D3243" t="n">
        <v>-0.5684</v>
      </c>
      <c r="E3243" t="n">
        <v>15.2698</v>
      </c>
      <c r="F3243" t="n">
        <v>0.09078</v>
      </c>
    </row>
    <row r="3244">
      <c r="A3244" t="n">
        <v>2001415</v>
      </c>
      <c r="B3244" t="n">
        <v>2</v>
      </c>
      <c r="C3244" t="n">
        <v>1415</v>
      </c>
      <c r="D3244" t="n">
        <v>-0.5684</v>
      </c>
      <c r="E3244" t="n">
        <v>15.2696</v>
      </c>
      <c r="F3244" t="n">
        <v>0.09080000000000001</v>
      </c>
    </row>
    <row r="3245">
      <c r="A3245" t="n">
        <v>2001416</v>
      </c>
      <c r="B3245" t="n">
        <v>2</v>
      </c>
      <c r="C3245" t="n">
        <v>1416</v>
      </c>
      <c r="D3245" t="n">
        <v>-0.5684</v>
      </c>
      <c r="E3245" t="n">
        <v>15.2694</v>
      </c>
      <c r="F3245" t="n">
        <v>0.09081</v>
      </c>
    </row>
    <row r="3246">
      <c r="A3246" t="n">
        <v>2001417</v>
      </c>
      <c r="B3246" t="n">
        <v>2</v>
      </c>
      <c r="C3246" t="n">
        <v>1417</v>
      </c>
      <c r="D3246" t="n">
        <v>-0.5684</v>
      </c>
      <c r="E3246" t="n">
        <v>15.2691</v>
      </c>
      <c r="F3246" t="n">
        <v>0.09082999999999999</v>
      </c>
    </row>
    <row r="3247">
      <c r="A3247" t="n">
        <v>2001418</v>
      </c>
      <c r="B3247" t="n">
        <v>2</v>
      </c>
      <c r="C3247" t="n">
        <v>1418</v>
      </c>
      <c r="D3247" t="n">
        <v>-0.5684</v>
      </c>
      <c r="E3247" t="n">
        <v>15.2689</v>
      </c>
      <c r="F3247" t="n">
        <v>0.09085</v>
      </c>
    </row>
    <row r="3248">
      <c r="A3248" t="n">
        <v>2001419</v>
      </c>
      <c r="B3248" t="n">
        <v>2</v>
      </c>
      <c r="C3248" t="n">
        <v>1419</v>
      </c>
      <c r="D3248" t="n">
        <v>-0.5684</v>
      </c>
      <c r="E3248" t="n">
        <v>15.2687</v>
      </c>
      <c r="F3248" t="n">
        <v>0.09087000000000001</v>
      </c>
    </row>
    <row r="3249">
      <c r="A3249" t="n">
        <v>2001420</v>
      </c>
      <c r="B3249" t="n">
        <v>2</v>
      </c>
      <c r="C3249" t="n">
        <v>1420</v>
      </c>
      <c r="D3249" t="n">
        <v>-0.5684</v>
      </c>
      <c r="E3249" t="n">
        <v>15.2685</v>
      </c>
      <c r="F3249" t="n">
        <v>0.09089</v>
      </c>
    </row>
    <row r="3250">
      <c r="A3250" t="n">
        <v>2001421</v>
      </c>
      <c r="B3250" t="n">
        <v>2</v>
      </c>
      <c r="C3250" t="n">
        <v>1421</v>
      </c>
      <c r="D3250" t="n">
        <v>-0.5684</v>
      </c>
      <c r="E3250" t="n">
        <v>15.2682</v>
      </c>
      <c r="F3250" t="n">
        <v>0.09091</v>
      </c>
    </row>
    <row r="3251">
      <c r="A3251" t="n">
        <v>2001422</v>
      </c>
      <c r="B3251" t="n">
        <v>2</v>
      </c>
      <c r="C3251" t="n">
        <v>1422</v>
      </c>
      <c r="D3251" t="n">
        <v>-0.5684</v>
      </c>
      <c r="E3251" t="n">
        <v>15.268</v>
      </c>
      <c r="F3251" t="n">
        <v>0.09093</v>
      </c>
    </row>
    <row r="3252">
      <c r="A3252" t="n">
        <v>2001423</v>
      </c>
      <c r="B3252" t="n">
        <v>2</v>
      </c>
      <c r="C3252" t="n">
        <v>1423</v>
      </c>
      <c r="D3252" t="n">
        <v>-0.5684</v>
      </c>
      <c r="E3252" t="n">
        <v>15.2678</v>
      </c>
      <c r="F3252" t="n">
        <v>0.09095</v>
      </c>
    </row>
    <row r="3253">
      <c r="A3253" t="n">
        <v>2001424</v>
      </c>
      <c r="B3253" t="n">
        <v>2</v>
      </c>
      <c r="C3253" t="n">
        <v>1424</v>
      </c>
      <c r="D3253" t="n">
        <v>-0.5684</v>
      </c>
      <c r="E3253" t="n">
        <v>15.2676</v>
      </c>
      <c r="F3253" t="n">
        <v>0.09097</v>
      </c>
    </row>
    <row r="3254">
      <c r="A3254" t="n">
        <v>2001425</v>
      </c>
      <c r="B3254" t="n">
        <v>2</v>
      </c>
      <c r="C3254" t="n">
        <v>1425</v>
      </c>
      <c r="D3254" t="n">
        <v>-0.5684</v>
      </c>
      <c r="E3254" t="n">
        <v>15.2673</v>
      </c>
      <c r="F3254" t="n">
        <v>0.09099</v>
      </c>
    </row>
    <row r="3255">
      <c r="A3255" t="n">
        <v>2001426</v>
      </c>
      <c r="B3255" t="n">
        <v>2</v>
      </c>
      <c r="C3255" t="n">
        <v>1426</v>
      </c>
      <c r="D3255" t="n">
        <v>-0.5684</v>
      </c>
      <c r="E3255" t="n">
        <v>15.2671</v>
      </c>
      <c r="F3255" t="n">
        <v>0.09100999999999999</v>
      </c>
    </row>
    <row r="3256">
      <c r="A3256" t="n">
        <v>2001427</v>
      </c>
      <c r="B3256" t="n">
        <v>2</v>
      </c>
      <c r="C3256" t="n">
        <v>1427</v>
      </c>
      <c r="D3256" t="n">
        <v>-0.5684</v>
      </c>
      <c r="E3256" t="n">
        <v>15.2669</v>
      </c>
      <c r="F3256" t="n">
        <v>0.09103</v>
      </c>
    </row>
    <row r="3257">
      <c r="A3257" t="n">
        <v>2001428</v>
      </c>
      <c r="B3257" t="n">
        <v>2</v>
      </c>
      <c r="C3257" t="n">
        <v>1428</v>
      </c>
      <c r="D3257" t="n">
        <v>-0.5684</v>
      </c>
      <c r="E3257" t="n">
        <v>15.2667</v>
      </c>
      <c r="F3257" t="n">
        <v>0.09105000000000001</v>
      </c>
    </row>
    <row r="3258">
      <c r="A3258" t="n">
        <v>2001429</v>
      </c>
      <c r="B3258" t="n">
        <v>2</v>
      </c>
      <c r="C3258" t="n">
        <v>1429</v>
      </c>
      <c r="D3258" t="n">
        <v>-0.5684</v>
      </c>
      <c r="E3258" t="n">
        <v>15.2665</v>
      </c>
      <c r="F3258" t="n">
        <v>0.09107</v>
      </c>
    </row>
    <row r="3259">
      <c r="A3259" t="n">
        <v>2001430</v>
      </c>
      <c r="B3259" t="n">
        <v>2</v>
      </c>
      <c r="C3259" t="n">
        <v>1430</v>
      </c>
      <c r="D3259" t="n">
        <v>-0.5684</v>
      </c>
      <c r="E3259" t="n">
        <v>15.2662</v>
      </c>
      <c r="F3259" t="n">
        <v>0.09109</v>
      </c>
    </row>
    <row r="3260">
      <c r="A3260" t="n">
        <v>2001431</v>
      </c>
      <c r="B3260" t="n">
        <v>2</v>
      </c>
      <c r="C3260" t="n">
        <v>1431</v>
      </c>
      <c r="D3260" t="n">
        <v>-0.5684</v>
      </c>
      <c r="E3260" t="n">
        <v>15.266</v>
      </c>
      <c r="F3260" t="n">
        <v>0.0911</v>
      </c>
    </row>
    <row r="3261">
      <c r="A3261" t="n">
        <v>2001432</v>
      </c>
      <c r="B3261" t="n">
        <v>2</v>
      </c>
      <c r="C3261" t="n">
        <v>1432</v>
      </c>
      <c r="D3261" t="n">
        <v>-0.5684</v>
      </c>
      <c r="E3261" t="n">
        <v>15.2658</v>
      </c>
      <c r="F3261" t="n">
        <v>0.09112000000000001</v>
      </c>
    </row>
    <row r="3262">
      <c r="A3262" t="n">
        <v>2001433</v>
      </c>
      <c r="B3262" t="n">
        <v>2</v>
      </c>
      <c r="C3262" t="n">
        <v>1433</v>
      </c>
      <c r="D3262" t="n">
        <v>-0.5684</v>
      </c>
      <c r="E3262" t="n">
        <v>15.2656</v>
      </c>
      <c r="F3262" t="n">
        <v>0.09114</v>
      </c>
    </row>
    <row r="3263">
      <c r="A3263" t="n">
        <v>2001434</v>
      </c>
      <c r="B3263" t="n">
        <v>2</v>
      </c>
      <c r="C3263" t="n">
        <v>1434</v>
      </c>
      <c r="D3263" t="n">
        <v>-0.5684</v>
      </c>
      <c r="E3263" t="n">
        <v>15.2654</v>
      </c>
      <c r="F3263" t="n">
        <v>0.09116</v>
      </c>
    </row>
    <row r="3264">
      <c r="A3264" t="n">
        <v>2001435</v>
      </c>
      <c r="B3264" t="n">
        <v>2</v>
      </c>
      <c r="C3264" t="n">
        <v>1435</v>
      </c>
      <c r="D3264" t="n">
        <v>-0.5684</v>
      </c>
      <c r="E3264" t="n">
        <v>15.2652</v>
      </c>
      <c r="F3264" t="n">
        <v>0.09118</v>
      </c>
    </row>
    <row r="3265">
      <c r="A3265" t="n">
        <v>2001436</v>
      </c>
      <c r="B3265" t="n">
        <v>2</v>
      </c>
      <c r="C3265" t="n">
        <v>1436</v>
      </c>
      <c r="D3265" t="n">
        <v>-0.5684</v>
      </c>
      <c r="E3265" t="n">
        <v>15.265</v>
      </c>
      <c r="F3265" t="n">
        <v>0.0912</v>
      </c>
    </row>
    <row r="3266">
      <c r="A3266" t="n">
        <v>2001437</v>
      </c>
      <c r="B3266" t="n">
        <v>2</v>
      </c>
      <c r="C3266" t="n">
        <v>1437</v>
      </c>
      <c r="D3266" t="n">
        <v>-0.5684</v>
      </c>
      <c r="E3266" t="n">
        <v>15.2648</v>
      </c>
      <c r="F3266" t="n">
        <v>0.09122</v>
      </c>
    </row>
    <row r="3267">
      <c r="A3267" t="n">
        <v>2001438</v>
      </c>
      <c r="B3267" t="n">
        <v>2</v>
      </c>
      <c r="C3267" t="n">
        <v>1438</v>
      </c>
      <c r="D3267" t="n">
        <v>-0.5684</v>
      </c>
      <c r="E3267" t="n">
        <v>15.2646</v>
      </c>
      <c r="F3267" t="n">
        <v>0.09124</v>
      </c>
    </row>
    <row r="3268">
      <c r="A3268" t="n">
        <v>2001439</v>
      </c>
      <c r="B3268" t="n">
        <v>2</v>
      </c>
      <c r="C3268" t="n">
        <v>1439</v>
      </c>
      <c r="D3268" t="n">
        <v>-0.5684</v>
      </c>
      <c r="E3268" t="n">
        <v>15.2644</v>
      </c>
      <c r="F3268" t="n">
        <v>0.09125999999999999</v>
      </c>
    </row>
    <row r="3269">
      <c r="A3269" t="n">
        <v>2001440</v>
      </c>
      <c r="B3269" t="n">
        <v>2</v>
      </c>
      <c r="C3269" t="n">
        <v>1440</v>
      </c>
      <c r="D3269" t="n">
        <v>-0.5684</v>
      </c>
      <c r="E3269" t="n">
        <v>15.2642</v>
      </c>
      <c r="F3269" t="n">
        <v>0.09128</v>
      </c>
    </row>
    <row r="3270">
      <c r="A3270" t="n">
        <v>2001441</v>
      </c>
      <c r="B3270" t="n">
        <v>2</v>
      </c>
      <c r="C3270" t="n">
        <v>1441</v>
      </c>
      <c r="D3270" t="n">
        <v>-0.5684</v>
      </c>
      <c r="E3270" t="n">
        <v>15.264</v>
      </c>
      <c r="F3270" t="n">
        <v>0.09130000000000001</v>
      </c>
    </row>
    <row r="3271">
      <c r="A3271" t="n">
        <v>2001442</v>
      </c>
      <c r="B3271" t="n">
        <v>2</v>
      </c>
      <c r="C3271" t="n">
        <v>1442</v>
      </c>
      <c r="D3271" t="n">
        <v>-0.5684</v>
      </c>
      <c r="E3271" t="n">
        <v>15.2638</v>
      </c>
      <c r="F3271" t="n">
        <v>0.09132</v>
      </c>
    </row>
    <row r="3272">
      <c r="A3272" t="n">
        <v>2001443</v>
      </c>
      <c r="B3272" t="n">
        <v>2</v>
      </c>
      <c r="C3272" t="n">
        <v>1443</v>
      </c>
      <c r="D3272" t="n">
        <v>-0.5684</v>
      </c>
      <c r="E3272" t="n">
        <v>15.2636</v>
      </c>
      <c r="F3272" t="n">
        <v>0.09134</v>
      </c>
    </row>
    <row r="3273">
      <c r="A3273" t="n">
        <v>2001444</v>
      </c>
      <c r="B3273" t="n">
        <v>2</v>
      </c>
      <c r="C3273" t="n">
        <v>1444</v>
      </c>
      <c r="D3273" t="n">
        <v>-0.5684</v>
      </c>
      <c r="E3273" t="n">
        <v>15.2634</v>
      </c>
      <c r="F3273" t="n">
        <v>0.09136</v>
      </c>
    </row>
    <row r="3274">
      <c r="A3274" t="n">
        <v>2001445</v>
      </c>
      <c r="B3274" t="n">
        <v>2</v>
      </c>
      <c r="C3274" t="n">
        <v>1445</v>
      </c>
      <c r="D3274" t="n">
        <v>-0.5684</v>
      </c>
      <c r="E3274" t="n">
        <v>15.2632</v>
      </c>
      <c r="F3274" t="n">
        <v>0.09138</v>
      </c>
    </row>
    <row r="3275">
      <c r="A3275" t="n">
        <v>2001446</v>
      </c>
      <c r="B3275" t="n">
        <v>2</v>
      </c>
      <c r="C3275" t="n">
        <v>1446</v>
      </c>
      <c r="D3275" t="n">
        <v>-0.5684</v>
      </c>
      <c r="E3275" t="n">
        <v>15.263</v>
      </c>
      <c r="F3275" t="n">
        <v>0.09139</v>
      </c>
    </row>
    <row r="3276">
      <c r="A3276" t="n">
        <v>2001447</v>
      </c>
      <c r="B3276" t="n">
        <v>2</v>
      </c>
      <c r="C3276" t="n">
        <v>1447</v>
      </c>
      <c r="D3276" t="n">
        <v>-0.5684</v>
      </c>
      <c r="E3276" t="n">
        <v>15.2628</v>
      </c>
      <c r="F3276" t="n">
        <v>0.09141000000000001</v>
      </c>
    </row>
    <row r="3277">
      <c r="A3277" t="n">
        <v>2001448</v>
      </c>
      <c r="B3277" t="n">
        <v>2</v>
      </c>
      <c r="C3277" t="n">
        <v>1448</v>
      </c>
      <c r="D3277" t="n">
        <v>-0.5684</v>
      </c>
      <c r="E3277" t="n">
        <v>15.2626</v>
      </c>
      <c r="F3277" t="n">
        <v>0.09143</v>
      </c>
    </row>
    <row r="3278">
      <c r="A3278" t="n">
        <v>2001449</v>
      </c>
      <c r="B3278" t="n">
        <v>2</v>
      </c>
      <c r="C3278" t="n">
        <v>1449</v>
      </c>
      <c r="D3278" t="n">
        <v>-0.5684</v>
      </c>
      <c r="E3278" t="n">
        <v>15.2624</v>
      </c>
      <c r="F3278" t="n">
        <v>0.09145</v>
      </c>
    </row>
    <row r="3279">
      <c r="A3279" t="n">
        <v>2001450</v>
      </c>
      <c r="B3279" t="n">
        <v>2</v>
      </c>
      <c r="C3279" t="n">
        <v>1450</v>
      </c>
      <c r="D3279" t="n">
        <v>-0.5684</v>
      </c>
      <c r="E3279" t="n">
        <v>15.2622</v>
      </c>
      <c r="F3279" t="n">
        <v>0.09147</v>
      </c>
    </row>
    <row r="3280">
      <c r="A3280" t="n">
        <v>2001451</v>
      </c>
      <c r="B3280" t="n">
        <v>2</v>
      </c>
      <c r="C3280" t="n">
        <v>1451</v>
      </c>
      <c r="D3280" t="n">
        <v>-0.5684</v>
      </c>
      <c r="E3280" t="n">
        <v>15.262</v>
      </c>
      <c r="F3280" t="n">
        <v>0.09149</v>
      </c>
    </row>
    <row r="3281">
      <c r="A3281" t="n">
        <v>2001452</v>
      </c>
      <c r="B3281" t="n">
        <v>2</v>
      </c>
      <c r="C3281" t="n">
        <v>1452</v>
      </c>
      <c r="D3281" t="n">
        <v>-0.5684</v>
      </c>
      <c r="E3281" t="n">
        <v>15.2619</v>
      </c>
      <c r="F3281" t="n">
        <v>0.09150999999999999</v>
      </c>
    </row>
    <row r="3282">
      <c r="A3282" t="n">
        <v>2001453</v>
      </c>
      <c r="B3282" t="n">
        <v>2</v>
      </c>
      <c r="C3282" t="n">
        <v>1453</v>
      </c>
      <c r="D3282" t="n">
        <v>-0.5684</v>
      </c>
      <c r="E3282" t="n">
        <v>15.2617</v>
      </c>
      <c r="F3282" t="n">
        <v>0.09153</v>
      </c>
    </row>
    <row r="3283">
      <c r="A3283" t="n">
        <v>2001454</v>
      </c>
      <c r="B3283" t="n">
        <v>2</v>
      </c>
      <c r="C3283" t="n">
        <v>1454</v>
      </c>
      <c r="D3283" t="n">
        <v>-0.5684</v>
      </c>
      <c r="E3283" t="n">
        <v>15.2615</v>
      </c>
      <c r="F3283" t="n">
        <v>0.09155000000000001</v>
      </c>
    </row>
    <row r="3284">
      <c r="A3284" t="n">
        <v>2001455</v>
      </c>
      <c r="B3284" t="n">
        <v>2</v>
      </c>
      <c r="C3284" t="n">
        <v>1455</v>
      </c>
      <c r="D3284" t="n">
        <v>-0.5684</v>
      </c>
      <c r="E3284" t="n">
        <v>15.2613</v>
      </c>
      <c r="F3284" t="n">
        <v>0.09157</v>
      </c>
    </row>
    <row r="3285">
      <c r="A3285" t="n">
        <v>2001456</v>
      </c>
      <c r="B3285" t="n">
        <v>2</v>
      </c>
      <c r="C3285" t="n">
        <v>1456</v>
      </c>
      <c r="D3285" t="n">
        <v>-0.5684</v>
      </c>
      <c r="E3285" t="n">
        <v>15.2611</v>
      </c>
      <c r="F3285" t="n">
        <v>0.09159</v>
      </c>
    </row>
    <row r="3286">
      <c r="A3286" t="n">
        <v>2001457</v>
      </c>
      <c r="B3286" t="n">
        <v>2</v>
      </c>
      <c r="C3286" t="n">
        <v>1457</v>
      </c>
      <c r="D3286" t="n">
        <v>-0.5684</v>
      </c>
      <c r="E3286" t="n">
        <v>15.2609</v>
      </c>
      <c r="F3286" t="n">
        <v>0.09161</v>
      </c>
    </row>
    <row r="3287">
      <c r="A3287" t="n">
        <v>2001458</v>
      </c>
      <c r="B3287" t="n">
        <v>2</v>
      </c>
      <c r="C3287" t="n">
        <v>1458</v>
      </c>
      <c r="D3287" t="n">
        <v>-0.5684</v>
      </c>
      <c r="E3287" t="n">
        <v>15.2608</v>
      </c>
      <c r="F3287" t="n">
        <v>0.09163</v>
      </c>
    </row>
    <row r="3288">
      <c r="A3288" t="n">
        <v>2001459</v>
      </c>
      <c r="B3288" t="n">
        <v>2</v>
      </c>
      <c r="C3288" t="n">
        <v>1459</v>
      </c>
      <c r="D3288" t="n">
        <v>-0.5684</v>
      </c>
      <c r="E3288" t="n">
        <v>15.2606</v>
      </c>
      <c r="F3288" t="n">
        <v>0.09165</v>
      </c>
    </row>
    <row r="3289">
      <c r="A3289" t="n">
        <v>2001460</v>
      </c>
      <c r="B3289" t="n">
        <v>2</v>
      </c>
      <c r="C3289" t="n">
        <v>1460</v>
      </c>
      <c r="D3289" t="n">
        <v>-0.5684</v>
      </c>
      <c r="E3289" t="n">
        <v>15.2604</v>
      </c>
      <c r="F3289" t="n">
        <v>0.09167</v>
      </c>
    </row>
    <row r="3290">
      <c r="A3290" t="n">
        <v>2001461</v>
      </c>
      <c r="B3290" t="n">
        <v>2</v>
      </c>
      <c r="C3290" t="n">
        <v>1461</v>
      </c>
      <c r="D3290" t="n">
        <v>-0.5684</v>
      </c>
      <c r="E3290" t="n">
        <v>15.2602</v>
      </c>
      <c r="F3290" t="n">
        <v>0.09168</v>
      </c>
    </row>
    <row r="3291">
      <c r="A3291" t="n">
        <v>2001462</v>
      </c>
      <c r="B3291" t="n">
        <v>2</v>
      </c>
      <c r="C3291" t="n">
        <v>1462</v>
      </c>
      <c r="D3291" t="n">
        <v>-0.5684</v>
      </c>
      <c r="E3291" t="n">
        <v>15.2601</v>
      </c>
      <c r="F3291" t="n">
        <v>0.0917</v>
      </c>
    </row>
    <row r="3292">
      <c r="A3292" t="n">
        <v>2001463</v>
      </c>
      <c r="B3292" t="n">
        <v>2</v>
      </c>
      <c r="C3292" t="n">
        <v>1463</v>
      </c>
      <c r="D3292" t="n">
        <v>-0.5684</v>
      </c>
      <c r="E3292" t="n">
        <v>15.2599</v>
      </c>
      <c r="F3292" t="n">
        <v>0.09172</v>
      </c>
    </row>
    <row r="3293">
      <c r="A3293" t="n">
        <v>2001464</v>
      </c>
      <c r="B3293" t="n">
        <v>2</v>
      </c>
      <c r="C3293" t="n">
        <v>1464</v>
      </c>
      <c r="D3293" t="n">
        <v>-0.5684</v>
      </c>
      <c r="E3293" t="n">
        <v>15.2597</v>
      </c>
      <c r="F3293" t="n">
        <v>0.09174</v>
      </c>
    </row>
    <row r="3294">
      <c r="A3294" t="n">
        <v>2001465</v>
      </c>
      <c r="B3294" t="n">
        <v>2</v>
      </c>
      <c r="C3294" t="n">
        <v>1465</v>
      </c>
      <c r="D3294" t="n">
        <v>-0.5684</v>
      </c>
      <c r="E3294" t="n">
        <v>15.2596</v>
      </c>
      <c r="F3294" t="n">
        <v>0.09175999999999999</v>
      </c>
    </row>
    <row r="3295">
      <c r="A3295" t="n">
        <v>2001466</v>
      </c>
      <c r="B3295" t="n">
        <v>2</v>
      </c>
      <c r="C3295" t="n">
        <v>1466</v>
      </c>
      <c r="D3295" t="n">
        <v>-0.5684</v>
      </c>
      <c r="E3295" t="n">
        <v>15.2594</v>
      </c>
      <c r="F3295" t="n">
        <v>0.09178</v>
      </c>
    </row>
    <row r="3296">
      <c r="A3296" t="n">
        <v>2001467</v>
      </c>
      <c r="B3296" t="n">
        <v>2</v>
      </c>
      <c r="C3296" t="n">
        <v>1467</v>
      </c>
      <c r="D3296" t="n">
        <v>-0.5684</v>
      </c>
      <c r="E3296" t="n">
        <v>15.2592</v>
      </c>
      <c r="F3296" t="n">
        <v>0.09180000000000001</v>
      </c>
    </row>
    <row r="3297">
      <c r="A3297" t="n">
        <v>2001468</v>
      </c>
      <c r="B3297" t="n">
        <v>2</v>
      </c>
      <c r="C3297" t="n">
        <v>1468</v>
      </c>
      <c r="D3297" t="n">
        <v>-0.5684</v>
      </c>
      <c r="E3297" t="n">
        <v>15.2591</v>
      </c>
      <c r="F3297" t="n">
        <v>0.09182</v>
      </c>
    </row>
    <row r="3298">
      <c r="A3298" t="n">
        <v>2001469</v>
      </c>
      <c r="B3298" t="n">
        <v>2</v>
      </c>
      <c r="C3298" t="n">
        <v>1469</v>
      </c>
      <c r="D3298" t="n">
        <v>-0.5684</v>
      </c>
      <c r="E3298" t="n">
        <v>15.2589</v>
      </c>
      <c r="F3298" t="n">
        <v>0.09184</v>
      </c>
    </row>
    <row r="3299">
      <c r="A3299" t="n">
        <v>2001470</v>
      </c>
      <c r="B3299" t="n">
        <v>2</v>
      </c>
      <c r="C3299" t="n">
        <v>1470</v>
      </c>
      <c r="D3299" t="n">
        <v>-0.5684</v>
      </c>
      <c r="E3299" t="n">
        <v>15.2587</v>
      </c>
      <c r="F3299" t="n">
        <v>0.09186</v>
      </c>
    </row>
    <row r="3300">
      <c r="A3300" t="n">
        <v>2001471</v>
      </c>
      <c r="B3300" t="n">
        <v>2</v>
      </c>
      <c r="C3300" t="n">
        <v>1471</v>
      </c>
      <c r="D3300" t="n">
        <v>-0.5684</v>
      </c>
      <c r="E3300" t="n">
        <v>15.2586</v>
      </c>
      <c r="F3300" t="n">
        <v>0.09188</v>
      </c>
    </row>
    <row r="3301">
      <c r="A3301" t="n">
        <v>2001472</v>
      </c>
      <c r="B3301" t="n">
        <v>2</v>
      </c>
      <c r="C3301" t="n">
        <v>1472</v>
      </c>
      <c r="D3301" t="n">
        <v>-0.5684</v>
      </c>
      <c r="E3301" t="n">
        <v>15.2584</v>
      </c>
      <c r="F3301" t="n">
        <v>0.0919</v>
      </c>
    </row>
    <row r="3302">
      <c r="A3302" t="n">
        <v>2001473</v>
      </c>
      <c r="B3302" t="n">
        <v>2</v>
      </c>
      <c r="C3302" t="n">
        <v>1473</v>
      </c>
      <c r="D3302" t="n">
        <v>-0.5684</v>
      </c>
      <c r="E3302" t="n">
        <v>15.2583</v>
      </c>
      <c r="F3302" t="n">
        <v>0.09192</v>
      </c>
    </row>
    <row r="3303">
      <c r="A3303" t="n">
        <v>2001474</v>
      </c>
      <c r="B3303" t="n">
        <v>2</v>
      </c>
      <c r="C3303" t="n">
        <v>1474</v>
      </c>
      <c r="D3303" t="n">
        <v>-0.5684</v>
      </c>
      <c r="E3303" t="n">
        <v>15.2581</v>
      </c>
      <c r="F3303" t="n">
        <v>0.09193999999999999</v>
      </c>
    </row>
    <row r="3304">
      <c r="A3304" t="n">
        <v>2001475</v>
      </c>
      <c r="B3304" t="n">
        <v>2</v>
      </c>
      <c r="C3304" t="n">
        <v>1475</v>
      </c>
      <c r="D3304" t="n">
        <v>-0.5684</v>
      </c>
      <c r="E3304" t="n">
        <v>15.2579</v>
      </c>
      <c r="F3304" t="n">
        <v>0.09196</v>
      </c>
    </row>
    <row r="3305">
      <c r="A3305" t="n">
        <v>2001476</v>
      </c>
      <c r="B3305" t="n">
        <v>2</v>
      </c>
      <c r="C3305" t="n">
        <v>1476</v>
      </c>
      <c r="D3305" t="n">
        <v>-0.5684</v>
      </c>
      <c r="E3305" t="n">
        <v>15.2578</v>
      </c>
      <c r="F3305" t="n">
        <v>0.09198000000000001</v>
      </c>
    </row>
    <row r="3306">
      <c r="A3306" t="n">
        <v>2001477</v>
      </c>
      <c r="B3306" t="n">
        <v>2</v>
      </c>
      <c r="C3306" t="n">
        <v>1477</v>
      </c>
      <c r="D3306" t="n">
        <v>-0.5684</v>
      </c>
      <c r="E3306" t="n">
        <v>15.2576</v>
      </c>
      <c r="F3306" t="n">
        <v>0.092</v>
      </c>
    </row>
    <row r="3307">
      <c r="A3307" t="n">
        <v>2001478</v>
      </c>
      <c r="B3307" t="n">
        <v>2</v>
      </c>
      <c r="C3307" t="n">
        <v>1478</v>
      </c>
      <c r="D3307" t="n">
        <v>-0.5684</v>
      </c>
      <c r="E3307" t="n">
        <v>15.2575</v>
      </c>
      <c r="F3307" t="n">
        <v>0.09200999999999999</v>
      </c>
    </row>
    <row r="3308">
      <c r="A3308" t="n">
        <v>2001479</v>
      </c>
      <c r="B3308" t="n">
        <v>2</v>
      </c>
      <c r="C3308" t="n">
        <v>1479</v>
      </c>
      <c r="D3308" t="n">
        <v>-0.5684</v>
      </c>
      <c r="E3308" t="n">
        <v>15.2573</v>
      </c>
      <c r="F3308" t="n">
        <v>0.09203</v>
      </c>
    </row>
    <row r="3309">
      <c r="A3309" t="n">
        <v>2001480</v>
      </c>
      <c r="B3309" t="n">
        <v>2</v>
      </c>
      <c r="C3309" t="n">
        <v>1480</v>
      </c>
      <c r="D3309" t="n">
        <v>-0.5684</v>
      </c>
      <c r="E3309" t="n">
        <v>15.2572</v>
      </c>
      <c r="F3309" t="n">
        <v>0.09205000000000001</v>
      </c>
    </row>
    <row r="3310">
      <c r="A3310" t="n">
        <v>2001481</v>
      </c>
      <c r="B3310" t="n">
        <v>2</v>
      </c>
      <c r="C3310" t="n">
        <v>1481</v>
      </c>
      <c r="D3310" t="n">
        <v>-0.5684</v>
      </c>
      <c r="E3310" t="n">
        <v>15.257</v>
      </c>
      <c r="F3310" t="n">
        <v>0.09207</v>
      </c>
    </row>
    <row r="3311">
      <c r="A3311" t="n">
        <v>2001482</v>
      </c>
      <c r="B3311" t="n">
        <v>2</v>
      </c>
      <c r="C3311" t="n">
        <v>1482</v>
      </c>
      <c r="D3311" t="n">
        <v>-0.5684</v>
      </c>
      <c r="E3311" t="n">
        <v>15.2569</v>
      </c>
      <c r="F3311" t="n">
        <v>0.09209000000000001</v>
      </c>
    </row>
    <row r="3312">
      <c r="A3312" t="n">
        <v>2001483</v>
      </c>
      <c r="B3312" t="n">
        <v>2</v>
      </c>
      <c r="C3312" t="n">
        <v>1483</v>
      </c>
      <c r="D3312" t="n">
        <v>-0.5684</v>
      </c>
      <c r="E3312" t="n">
        <v>15.2568</v>
      </c>
      <c r="F3312" t="n">
        <v>0.09211</v>
      </c>
    </row>
    <row r="3313">
      <c r="A3313" t="n">
        <v>2001484</v>
      </c>
      <c r="B3313" t="n">
        <v>2</v>
      </c>
      <c r="C3313" t="n">
        <v>1484</v>
      </c>
      <c r="D3313" t="n">
        <v>-0.5684</v>
      </c>
      <c r="E3313" t="n">
        <v>15.2566</v>
      </c>
      <c r="F3313" t="n">
        <v>0.09213</v>
      </c>
    </row>
    <row r="3314">
      <c r="A3314" t="n">
        <v>2001485</v>
      </c>
      <c r="B3314" t="n">
        <v>2</v>
      </c>
      <c r="C3314" t="n">
        <v>1485</v>
      </c>
      <c r="D3314" t="n">
        <v>-0.5684</v>
      </c>
      <c r="E3314" t="n">
        <v>15.2565</v>
      </c>
      <c r="F3314" t="n">
        <v>0.09215</v>
      </c>
    </row>
    <row r="3315">
      <c r="A3315" t="n">
        <v>2001486</v>
      </c>
      <c r="B3315" t="n">
        <v>2</v>
      </c>
      <c r="C3315" t="n">
        <v>1486</v>
      </c>
      <c r="D3315" t="n">
        <v>-0.5684</v>
      </c>
      <c r="E3315" t="n">
        <v>15.2563</v>
      </c>
      <c r="F3315" t="n">
        <v>0.09217</v>
      </c>
    </row>
    <row r="3316">
      <c r="A3316" t="n">
        <v>2001487</v>
      </c>
      <c r="B3316" t="n">
        <v>2</v>
      </c>
      <c r="C3316" t="n">
        <v>1487</v>
      </c>
      <c r="D3316" t="n">
        <v>-0.5684</v>
      </c>
      <c r="E3316" t="n">
        <v>15.2562</v>
      </c>
      <c r="F3316" t="n">
        <v>0.09218999999999999</v>
      </c>
    </row>
    <row r="3317">
      <c r="A3317" t="n">
        <v>2001488</v>
      </c>
      <c r="B3317" t="n">
        <v>2</v>
      </c>
      <c r="C3317" t="n">
        <v>1488</v>
      </c>
      <c r="D3317" t="n">
        <v>-0.5684</v>
      </c>
      <c r="E3317" t="n">
        <v>15.2561</v>
      </c>
      <c r="F3317" t="n">
        <v>0.09221</v>
      </c>
    </row>
    <row r="3318">
      <c r="A3318" t="n">
        <v>2001489</v>
      </c>
      <c r="B3318" t="n">
        <v>2</v>
      </c>
      <c r="C3318" t="n">
        <v>1489</v>
      </c>
      <c r="D3318" t="n">
        <v>-0.5684</v>
      </c>
      <c r="E3318" t="n">
        <v>15.2559</v>
      </c>
      <c r="F3318" t="n">
        <v>0.09223000000000001</v>
      </c>
    </row>
    <row r="3319">
      <c r="A3319" t="n">
        <v>2001490</v>
      </c>
      <c r="B3319" t="n">
        <v>2</v>
      </c>
      <c r="C3319" t="n">
        <v>1490</v>
      </c>
      <c r="D3319" t="n">
        <v>-0.5684</v>
      </c>
      <c r="E3319" t="n">
        <v>15.2558</v>
      </c>
      <c r="F3319" t="n">
        <v>0.09225</v>
      </c>
    </row>
    <row r="3320">
      <c r="A3320" t="n">
        <v>2001491</v>
      </c>
      <c r="B3320" t="n">
        <v>2</v>
      </c>
      <c r="C3320" t="n">
        <v>1491</v>
      </c>
      <c r="D3320" t="n">
        <v>-0.5684</v>
      </c>
      <c r="E3320" t="n">
        <v>15.2557</v>
      </c>
      <c r="F3320" t="n">
        <v>0.09227</v>
      </c>
    </row>
    <row r="3321">
      <c r="A3321" t="n">
        <v>2001492</v>
      </c>
      <c r="B3321" t="n">
        <v>2</v>
      </c>
      <c r="C3321" t="n">
        <v>1492</v>
      </c>
      <c r="D3321" t="n">
        <v>-0.5684</v>
      </c>
      <c r="E3321" t="n">
        <v>15.2555</v>
      </c>
      <c r="F3321" t="n">
        <v>0.09229</v>
      </c>
    </row>
    <row r="3322">
      <c r="A3322" t="n">
        <v>2001493</v>
      </c>
      <c r="B3322" t="n">
        <v>2</v>
      </c>
      <c r="C3322" t="n">
        <v>1493</v>
      </c>
      <c r="D3322" t="n">
        <v>-0.5684</v>
      </c>
      <c r="E3322" t="n">
        <v>15.2554</v>
      </c>
      <c r="F3322" t="n">
        <v>0.09231</v>
      </c>
    </row>
    <row r="3323">
      <c r="A3323" t="n">
        <v>2001494</v>
      </c>
      <c r="B3323" t="n">
        <v>2</v>
      </c>
      <c r="C3323" t="n">
        <v>1494</v>
      </c>
      <c r="D3323" t="n">
        <v>-0.5684</v>
      </c>
      <c r="E3323" t="n">
        <v>15.2553</v>
      </c>
      <c r="F3323" t="n">
        <v>0.09232</v>
      </c>
    </row>
    <row r="3324">
      <c r="A3324" t="n">
        <v>2001495</v>
      </c>
      <c r="B3324" t="n">
        <v>2</v>
      </c>
      <c r="C3324" t="n">
        <v>1495</v>
      </c>
      <c r="D3324" t="n">
        <v>-0.5684</v>
      </c>
      <c r="E3324" t="n">
        <v>15.2551</v>
      </c>
      <c r="F3324" t="n">
        <v>0.09234000000000001</v>
      </c>
    </row>
    <row r="3325">
      <c r="A3325" t="n">
        <v>2001496</v>
      </c>
      <c r="B3325" t="n">
        <v>2</v>
      </c>
      <c r="C3325" t="n">
        <v>1496</v>
      </c>
      <c r="D3325" t="n">
        <v>-0.5684</v>
      </c>
      <c r="E3325" t="n">
        <v>15.255</v>
      </c>
      <c r="F3325" t="n">
        <v>0.09236</v>
      </c>
    </row>
    <row r="3326">
      <c r="A3326" t="n">
        <v>2001497</v>
      </c>
      <c r="B3326" t="n">
        <v>2</v>
      </c>
      <c r="C3326" t="n">
        <v>1497</v>
      </c>
      <c r="D3326" t="n">
        <v>-0.5684</v>
      </c>
      <c r="E3326" t="n">
        <v>15.2549</v>
      </c>
      <c r="F3326" t="n">
        <v>0.09238</v>
      </c>
    </row>
    <row r="3327">
      <c r="A3327" t="n">
        <v>2001498</v>
      </c>
      <c r="B3327" t="n">
        <v>2</v>
      </c>
      <c r="C3327" t="n">
        <v>1498</v>
      </c>
      <c r="D3327" t="n">
        <v>-0.5684</v>
      </c>
      <c r="E3327" t="n">
        <v>15.2548</v>
      </c>
      <c r="F3327" t="n">
        <v>0.0924</v>
      </c>
    </row>
    <row r="3328">
      <c r="A3328" t="n">
        <v>2001499</v>
      </c>
      <c r="B3328" t="n">
        <v>2</v>
      </c>
      <c r="C3328" t="n">
        <v>1499</v>
      </c>
      <c r="D3328" t="n">
        <v>-0.5684</v>
      </c>
      <c r="E3328" t="n">
        <v>15.2547</v>
      </c>
      <c r="F3328" t="n">
        <v>0.09242</v>
      </c>
    </row>
    <row r="3329">
      <c r="A3329" t="n">
        <v>2001500</v>
      </c>
      <c r="B3329" t="n">
        <v>2</v>
      </c>
      <c r="C3329" t="n">
        <v>1500</v>
      </c>
      <c r="D3329" t="n">
        <v>-0.5684</v>
      </c>
      <c r="E3329" t="n">
        <v>15.2545</v>
      </c>
      <c r="F3329" t="n">
        <v>0.09243999999999999</v>
      </c>
    </row>
    <row r="3330">
      <c r="A3330" t="n">
        <v>2001501</v>
      </c>
      <c r="B3330" t="n">
        <v>2</v>
      </c>
      <c r="C3330" t="n">
        <v>1501</v>
      </c>
      <c r="D3330" t="n">
        <v>-0.5684</v>
      </c>
      <c r="E3330" t="n">
        <v>15.2544</v>
      </c>
      <c r="F3330" t="n">
        <v>0.09246</v>
      </c>
    </row>
    <row r="3331">
      <c r="A3331" t="n">
        <v>2001502</v>
      </c>
      <c r="B3331" t="n">
        <v>2</v>
      </c>
      <c r="C3331" t="n">
        <v>1502</v>
      </c>
      <c r="D3331" t="n">
        <v>-0.5684</v>
      </c>
      <c r="E3331" t="n">
        <v>15.2543</v>
      </c>
      <c r="F3331" t="n">
        <v>0.09248000000000001</v>
      </c>
    </row>
    <row r="3332">
      <c r="A3332" t="n">
        <v>2001503</v>
      </c>
      <c r="B3332" t="n">
        <v>2</v>
      </c>
      <c r="C3332" t="n">
        <v>1503</v>
      </c>
      <c r="D3332" t="n">
        <v>-0.5684</v>
      </c>
      <c r="E3332" t="n">
        <v>15.2542</v>
      </c>
      <c r="F3332" t="n">
        <v>0.0925</v>
      </c>
    </row>
    <row r="3333">
      <c r="A3333" t="n">
        <v>2001504</v>
      </c>
      <c r="B3333" t="n">
        <v>2</v>
      </c>
      <c r="C3333" t="n">
        <v>1504</v>
      </c>
      <c r="D3333" t="n">
        <v>-0.5684</v>
      </c>
      <c r="E3333" t="n">
        <v>15.2541</v>
      </c>
      <c r="F3333" t="n">
        <v>0.09252000000000001</v>
      </c>
    </row>
    <row r="3334">
      <c r="A3334" t="n">
        <v>2001505</v>
      </c>
      <c r="B3334" t="n">
        <v>2</v>
      </c>
      <c r="C3334" t="n">
        <v>1505</v>
      </c>
      <c r="D3334" t="n">
        <v>-0.5684</v>
      </c>
      <c r="E3334" t="n">
        <v>15.254</v>
      </c>
      <c r="F3334" t="n">
        <v>0.09254</v>
      </c>
    </row>
    <row r="3335">
      <c r="A3335" t="n">
        <v>2001506</v>
      </c>
      <c r="B3335" t="n">
        <v>2</v>
      </c>
      <c r="C3335" t="n">
        <v>1506</v>
      </c>
      <c r="D3335" t="n">
        <v>-0.5684</v>
      </c>
      <c r="E3335" t="n">
        <v>15.2538</v>
      </c>
      <c r="F3335" t="n">
        <v>0.09256</v>
      </c>
    </row>
    <row r="3336">
      <c r="A3336" t="n">
        <v>2001507</v>
      </c>
      <c r="B3336" t="n">
        <v>2</v>
      </c>
      <c r="C3336" t="n">
        <v>1507</v>
      </c>
      <c r="D3336" t="n">
        <v>-0.5684</v>
      </c>
      <c r="E3336" t="n">
        <v>15.2537</v>
      </c>
      <c r="F3336" t="n">
        <v>0.09258</v>
      </c>
    </row>
    <row r="3337">
      <c r="A3337" t="n">
        <v>2001508</v>
      </c>
      <c r="B3337" t="n">
        <v>2</v>
      </c>
      <c r="C3337" t="n">
        <v>1508</v>
      </c>
      <c r="D3337" t="n">
        <v>-0.5684</v>
      </c>
      <c r="E3337" t="n">
        <v>15.2536</v>
      </c>
      <c r="F3337" t="n">
        <v>0.0926</v>
      </c>
    </row>
    <row r="3338">
      <c r="A3338" t="n">
        <v>2001509</v>
      </c>
      <c r="B3338" t="n">
        <v>2</v>
      </c>
      <c r="C3338" t="n">
        <v>1509</v>
      </c>
      <c r="D3338" t="n">
        <v>-0.5684</v>
      </c>
      <c r="E3338" t="n">
        <v>15.2535</v>
      </c>
      <c r="F3338" t="n">
        <v>0.09261999999999999</v>
      </c>
    </row>
    <row r="3339">
      <c r="A3339" t="n">
        <v>2001510</v>
      </c>
      <c r="B3339" t="n">
        <v>2</v>
      </c>
      <c r="C3339" t="n">
        <v>1510</v>
      </c>
      <c r="D3339" t="n">
        <v>-0.5684</v>
      </c>
      <c r="E3339" t="n">
        <v>15.2534</v>
      </c>
      <c r="F3339" t="n">
        <v>0.09263</v>
      </c>
    </row>
    <row r="3340">
      <c r="A3340" t="n">
        <v>2001511</v>
      </c>
      <c r="B3340" t="n">
        <v>2</v>
      </c>
      <c r="C3340" t="n">
        <v>1511</v>
      </c>
      <c r="D3340" t="n">
        <v>-0.5684</v>
      </c>
      <c r="E3340" t="n">
        <v>15.2533</v>
      </c>
      <c r="F3340" t="n">
        <v>0.09265</v>
      </c>
    </row>
    <row r="3341">
      <c r="A3341" t="n">
        <v>2001512</v>
      </c>
      <c r="B3341" t="n">
        <v>2</v>
      </c>
      <c r="C3341" t="n">
        <v>1512</v>
      </c>
      <c r="D3341" t="n">
        <v>-0.5684</v>
      </c>
      <c r="E3341" t="n">
        <v>15.2532</v>
      </c>
      <c r="F3341" t="n">
        <v>0.09267</v>
      </c>
    </row>
    <row r="3342">
      <c r="A3342" t="n">
        <v>2001513</v>
      </c>
      <c r="B3342" t="n">
        <v>2</v>
      </c>
      <c r="C3342" t="n">
        <v>1513</v>
      </c>
      <c r="D3342" t="n">
        <v>-0.5684</v>
      </c>
      <c r="E3342" t="n">
        <v>15.2531</v>
      </c>
      <c r="F3342" t="n">
        <v>0.09268999999999999</v>
      </c>
    </row>
    <row r="3343">
      <c r="A3343" t="n">
        <v>2001514</v>
      </c>
      <c r="B3343" t="n">
        <v>2</v>
      </c>
      <c r="C3343" t="n">
        <v>1514</v>
      </c>
      <c r="D3343" t="n">
        <v>-0.5684</v>
      </c>
      <c r="E3343" t="n">
        <v>15.253</v>
      </c>
      <c r="F3343" t="n">
        <v>0.09271</v>
      </c>
    </row>
    <row r="3344">
      <c r="A3344" t="n">
        <v>2001515</v>
      </c>
      <c r="B3344" t="n">
        <v>2</v>
      </c>
      <c r="C3344" t="n">
        <v>1515</v>
      </c>
      <c r="D3344" t="n">
        <v>-0.5684</v>
      </c>
      <c r="E3344" t="n">
        <v>15.2529</v>
      </c>
      <c r="F3344" t="n">
        <v>0.09273000000000001</v>
      </c>
    </row>
    <row r="3345">
      <c r="A3345" t="n">
        <v>2001516</v>
      </c>
      <c r="B3345" t="n">
        <v>2</v>
      </c>
      <c r="C3345" t="n">
        <v>1516</v>
      </c>
      <c r="D3345" t="n">
        <v>-0.5684</v>
      </c>
      <c r="E3345" t="n">
        <v>15.2528</v>
      </c>
      <c r="F3345" t="n">
        <v>0.09275</v>
      </c>
    </row>
    <row r="3346">
      <c r="A3346" t="n">
        <v>2001517</v>
      </c>
      <c r="B3346" t="n">
        <v>2</v>
      </c>
      <c r="C3346" t="n">
        <v>1517</v>
      </c>
      <c r="D3346" t="n">
        <v>-0.5684</v>
      </c>
      <c r="E3346" t="n">
        <v>15.2527</v>
      </c>
      <c r="F3346" t="n">
        <v>0.09277000000000001</v>
      </c>
    </row>
    <row r="3347">
      <c r="A3347" t="n">
        <v>2001518</v>
      </c>
      <c r="B3347" t="n">
        <v>2</v>
      </c>
      <c r="C3347" t="n">
        <v>1518</v>
      </c>
      <c r="D3347" t="n">
        <v>-0.5684</v>
      </c>
      <c r="E3347" t="n">
        <v>15.2526</v>
      </c>
      <c r="F3347" t="n">
        <v>0.09279</v>
      </c>
    </row>
    <row r="3348">
      <c r="A3348" t="n">
        <v>2001519</v>
      </c>
      <c r="B3348" t="n">
        <v>2</v>
      </c>
      <c r="C3348" t="n">
        <v>1519</v>
      </c>
      <c r="D3348" t="n">
        <v>-0.5684</v>
      </c>
      <c r="E3348" t="n">
        <v>15.2525</v>
      </c>
      <c r="F3348" t="n">
        <v>0.09281</v>
      </c>
    </row>
    <row r="3349">
      <c r="A3349" t="n">
        <v>2001520</v>
      </c>
      <c r="B3349" t="n">
        <v>2</v>
      </c>
      <c r="C3349" t="n">
        <v>1520</v>
      </c>
      <c r="D3349" t="n">
        <v>-0.5684</v>
      </c>
      <c r="E3349" t="n">
        <v>15.2525</v>
      </c>
      <c r="F3349" t="n">
        <v>0.09283</v>
      </c>
    </row>
    <row r="3350">
      <c r="A3350" t="n">
        <v>2001521</v>
      </c>
      <c r="B3350" t="n">
        <v>2</v>
      </c>
      <c r="C3350" t="n">
        <v>1521</v>
      </c>
      <c r="D3350" t="n">
        <v>-0.5684</v>
      </c>
      <c r="E3350" t="n">
        <v>15.2524</v>
      </c>
      <c r="F3350" t="n">
        <v>0.09285</v>
      </c>
    </row>
    <row r="3351">
      <c r="A3351" t="n">
        <v>2001522</v>
      </c>
      <c r="B3351" t="n">
        <v>2</v>
      </c>
      <c r="C3351" t="n">
        <v>1522</v>
      </c>
      <c r="D3351" t="n">
        <v>-0.5684</v>
      </c>
      <c r="E3351" t="n">
        <v>15.2523</v>
      </c>
      <c r="F3351" t="n">
        <v>0.09286999999999999</v>
      </c>
    </row>
    <row r="3352">
      <c r="A3352" t="n">
        <v>2001523</v>
      </c>
      <c r="B3352" t="n">
        <v>2</v>
      </c>
      <c r="C3352" t="n">
        <v>1523</v>
      </c>
      <c r="D3352" t="n">
        <v>-0.5684</v>
      </c>
      <c r="E3352" t="n">
        <v>15.2522</v>
      </c>
      <c r="F3352" t="n">
        <v>0.09289</v>
      </c>
    </row>
    <row r="3353">
      <c r="A3353" t="n">
        <v>2001524</v>
      </c>
      <c r="B3353" t="n">
        <v>2</v>
      </c>
      <c r="C3353" t="n">
        <v>1524</v>
      </c>
      <c r="D3353" t="n">
        <v>-0.5684</v>
      </c>
      <c r="E3353" t="n">
        <v>15.2521</v>
      </c>
      <c r="F3353" t="n">
        <v>0.09291000000000001</v>
      </c>
    </row>
    <row r="3354">
      <c r="A3354" t="n">
        <v>2001525</v>
      </c>
      <c r="B3354" t="n">
        <v>2</v>
      </c>
      <c r="C3354" t="n">
        <v>1525</v>
      </c>
      <c r="D3354" t="n">
        <v>-0.5684</v>
      </c>
      <c r="E3354" t="n">
        <v>15.252</v>
      </c>
      <c r="F3354" t="n">
        <v>0.09292</v>
      </c>
    </row>
    <row r="3355">
      <c r="A3355" t="n">
        <v>2001526</v>
      </c>
      <c r="B3355" t="n">
        <v>2</v>
      </c>
      <c r="C3355" t="n">
        <v>1526</v>
      </c>
      <c r="D3355" t="n">
        <v>-0.5684</v>
      </c>
      <c r="E3355" t="n">
        <v>15.2519</v>
      </c>
      <c r="F3355" t="n">
        <v>0.09293999999999999</v>
      </c>
    </row>
    <row r="3356">
      <c r="A3356" t="n">
        <v>2001527</v>
      </c>
      <c r="B3356" t="n">
        <v>2</v>
      </c>
      <c r="C3356" t="n">
        <v>1527</v>
      </c>
      <c r="D3356" t="n">
        <v>-0.5684</v>
      </c>
      <c r="E3356" t="n">
        <v>15.2519</v>
      </c>
      <c r="F3356" t="n">
        <v>0.09296</v>
      </c>
    </row>
    <row r="3357">
      <c r="A3357" t="n">
        <v>2001528</v>
      </c>
      <c r="B3357" t="n">
        <v>2</v>
      </c>
      <c r="C3357" t="n">
        <v>1528</v>
      </c>
      <c r="D3357" t="n">
        <v>-0.5684</v>
      </c>
      <c r="E3357" t="n">
        <v>15.2518</v>
      </c>
      <c r="F3357" t="n">
        <v>0.09297999999999999</v>
      </c>
    </row>
    <row r="3358">
      <c r="A3358" t="n">
        <v>2001529</v>
      </c>
      <c r="B3358" t="n">
        <v>2</v>
      </c>
      <c r="C3358" t="n">
        <v>1529</v>
      </c>
      <c r="D3358" t="n">
        <v>-0.5684</v>
      </c>
      <c r="E3358" t="n">
        <v>15.2517</v>
      </c>
      <c r="F3358" t="n">
        <v>0.093</v>
      </c>
    </row>
    <row r="3359">
      <c r="A3359" t="n">
        <v>2001530</v>
      </c>
      <c r="B3359" t="n">
        <v>2</v>
      </c>
      <c r="C3359" t="n">
        <v>1530</v>
      </c>
      <c r="D3359" t="n">
        <v>-0.5684</v>
      </c>
      <c r="E3359" t="n">
        <v>15.2516</v>
      </c>
      <c r="F3359" t="n">
        <v>0.09302000000000001</v>
      </c>
    </row>
    <row r="3360">
      <c r="A3360" t="n">
        <v>2001531</v>
      </c>
      <c r="B3360" t="n">
        <v>2</v>
      </c>
      <c r="C3360" t="n">
        <v>1531</v>
      </c>
      <c r="D3360" t="n">
        <v>-0.5684</v>
      </c>
      <c r="E3360" t="n">
        <v>15.2515</v>
      </c>
      <c r="F3360" t="n">
        <v>0.09304</v>
      </c>
    </row>
    <row r="3361">
      <c r="A3361" t="n">
        <v>2001532</v>
      </c>
      <c r="B3361" t="n">
        <v>2</v>
      </c>
      <c r="C3361" t="n">
        <v>1532</v>
      </c>
      <c r="D3361" t="n">
        <v>-0.5684</v>
      </c>
      <c r="E3361" t="n">
        <v>15.2515</v>
      </c>
      <c r="F3361" t="n">
        <v>0.09306</v>
      </c>
    </row>
    <row r="3362">
      <c r="A3362" t="n">
        <v>2001533</v>
      </c>
      <c r="B3362" t="n">
        <v>2</v>
      </c>
      <c r="C3362" t="n">
        <v>1533</v>
      </c>
      <c r="D3362" t="n">
        <v>-0.5684</v>
      </c>
      <c r="E3362" t="n">
        <v>15.2514</v>
      </c>
      <c r="F3362" t="n">
        <v>0.09308</v>
      </c>
    </row>
    <row r="3363">
      <c r="A3363" t="n">
        <v>2001534</v>
      </c>
      <c r="B3363" t="n">
        <v>2</v>
      </c>
      <c r="C3363" t="n">
        <v>1534</v>
      </c>
      <c r="D3363" t="n">
        <v>-0.5684</v>
      </c>
      <c r="E3363" t="n">
        <v>15.2513</v>
      </c>
      <c r="F3363" t="n">
        <v>0.0931</v>
      </c>
    </row>
    <row r="3364">
      <c r="A3364" t="n">
        <v>2001535</v>
      </c>
      <c r="B3364" t="n">
        <v>2</v>
      </c>
      <c r="C3364" t="n">
        <v>1535</v>
      </c>
      <c r="D3364" t="n">
        <v>-0.5684</v>
      </c>
      <c r="E3364" t="n">
        <v>15.2513</v>
      </c>
      <c r="F3364" t="n">
        <v>0.09311999999999999</v>
      </c>
    </row>
    <row r="3365">
      <c r="A3365" t="n">
        <v>2001536</v>
      </c>
      <c r="B3365" t="n">
        <v>2</v>
      </c>
      <c r="C3365" t="n">
        <v>1536</v>
      </c>
      <c r="D3365" t="n">
        <v>-0.5684</v>
      </c>
      <c r="E3365" t="n">
        <v>15.2512</v>
      </c>
      <c r="F3365" t="n">
        <v>0.09314</v>
      </c>
    </row>
    <row r="3366">
      <c r="A3366" t="n">
        <v>2001537</v>
      </c>
      <c r="B3366" t="n">
        <v>2</v>
      </c>
      <c r="C3366" t="n">
        <v>1537</v>
      </c>
      <c r="D3366" t="n">
        <v>-0.5684</v>
      </c>
      <c r="E3366" t="n">
        <v>15.2511</v>
      </c>
      <c r="F3366" t="n">
        <v>0.09316000000000001</v>
      </c>
    </row>
    <row r="3367">
      <c r="A3367" t="n">
        <v>2001538</v>
      </c>
      <c r="B3367" t="n">
        <v>2</v>
      </c>
      <c r="C3367" t="n">
        <v>1538</v>
      </c>
      <c r="D3367" t="n">
        <v>-0.5684</v>
      </c>
      <c r="E3367" t="n">
        <v>15.2511</v>
      </c>
      <c r="F3367" t="n">
        <v>0.09318</v>
      </c>
    </row>
    <row r="3368">
      <c r="A3368" t="n">
        <v>2001539</v>
      </c>
      <c r="B3368" t="n">
        <v>2</v>
      </c>
      <c r="C3368" t="n">
        <v>1539</v>
      </c>
      <c r="D3368" t="n">
        <v>-0.5684</v>
      </c>
      <c r="E3368" t="n">
        <v>15.251</v>
      </c>
      <c r="F3368" t="n">
        <v>0.09320000000000001</v>
      </c>
    </row>
    <row r="3369">
      <c r="A3369" t="n">
        <v>2001540</v>
      </c>
      <c r="B3369" t="n">
        <v>2</v>
      </c>
      <c r="C3369" t="n">
        <v>1540</v>
      </c>
      <c r="D3369" t="n">
        <v>-0.5684</v>
      </c>
      <c r="E3369" t="n">
        <v>15.2509</v>
      </c>
      <c r="F3369" t="n">
        <v>0.09321</v>
      </c>
    </row>
    <row r="3370">
      <c r="A3370" t="n">
        <v>2001541</v>
      </c>
      <c r="B3370" t="n">
        <v>2</v>
      </c>
      <c r="C3370" t="n">
        <v>1541</v>
      </c>
      <c r="D3370" t="n">
        <v>-0.5684</v>
      </c>
      <c r="E3370" t="n">
        <v>15.2509</v>
      </c>
      <c r="F3370" t="n">
        <v>0.09322999999999999</v>
      </c>
    </row>
    <row r="3371">
      <c r="A3371" t="n">
        <v>2001542</v>
      </c>
      <c r="B3371" t="n">
        <v>2</v>
      </c>
      <c r="C3371" t="n">
        <v>1542</v>
      </c>
      <c r="D3371" t="n">
        <v>-0.5684</v>
      </c>
      <c r="E3371" t="n">
        <v>15.2508</v>
      </c>
      <c r="F3371" t="n">
        <v>0.09325</v>
      </c>
    </row>
    <row r="3372">
      <c r="A3372" t="n">
        <v>2001543</v>
      </c>
      <c r="B3372" t="n">
        <v>2</v>
      </c>
      <c r="C3372" t="n">
        <v>1543</v>
      </c>
      <c r="D3372" t="n">
        <v>-0.5684</v>
      </c>
      <c r="E3372" t="n">
        <v>15.2508</v>
      </c>
      <c r="F3372" t="n">
        <v>0.09327000000000001</v>
      </c>
    </row>
    <row r="3373">
      <c r="A3373" t="n">
        <v>2001544</v>
      </c>
      <c r="B3373" t="n">
        <v>2</v>
      </c>
      <c r="C3373" t="n">
        <v>1544</v>
      </c>
      <c r="D3373" t="n">
        <v>-0.5684</v>
      </c>
      <c r="E3373" t="n">
        <v>15.2507</v>
      </c>
      <c r="F3373" t="n">
        <v>0.09329</v>
      </c>
    </row>
    <row r="3374">
      <c r="A3374" t="n">
        <v>2001545</v>
      </c>
      <c r="B3374" t="n">
        <v>2</v>
      </c>
      <c r="C3374" t="n">
        <v>1545</v>
      </c>
      <c r="D3374" t="n">
        <v>-0.5684</v>
      </c>
      <c r="E3374" t="n">
        <v>15.2507</v>
      </c>
      <c r="F3374" t="n">
        <v>0.09331</v>
      </c>
    </row>
    <row r="3375">
      <c r="A3375" t="n">
        <v>2001546</v>
      </c>
      <c r="B3375" t="n">
        <v>2</v>
      </c>
      <c r="C3375" t="n">
        <v>1546</v>
      </c>
      <c r="D3375" t="n">
        <v>-0.5684</v>
      </c>
      <c r="E3375" t="n">
        <v>15.2506</v>
      </c>
      <c r="F3375" t="n">
        <v>0.09333</v>
      </c>
    </row>
    <row r="3376">
      <c r="A3376" t="n">
        <v>2001547</v>
      </c>
      <c r="B3376" t="n">
        <v>2</v>
      </c>
      <c r="C3376" t="n">
        <v>1547</v>
      </c>
      <c r="D3376" t="n">
        <v>-0.5684</v>
      </c>
      <c r="E3376" t="n">
        <v>15.2506</v>
      </c>
      <c r="F3376" t="n">
        <v>0.09335</v>
      </c>
    </row>
    <row r="3377">
      <c r="A3377" t="n">
        <v>2001548</v>
      </c>
      <c r="B3377" t="n">
        <v>2</v>
      </c>
      <c r="C3377" t="n">
        <v>1548</v>
      </c>
      <c r="D3377" t="n">
        <v>-0.5684</v>
      </c>
      <c r="E3377" t="n">
        <v>15.2505</v>
      </c>
      <c r="F3377" t="n">
        <v>0.09336999999999999</v>
      </c>
    </row>
    <row r="3378">
      <c r="A3378" t="n">
        <v>2001549</v>
      </c>
      <c r="B3378" t="n">
        <v>2</v>
      </c>
      <c r="C3378" t="n">
        <v>1549</v>
      </c>
      <c r="D3378" t="n">
        <v>-0.5684</v>
      </c>
      <c r="E3378" t="n">
        <v>15.2505</v>
      </c>
      <c r="F3378" t="n">
        <v>0.09339</v>
      </c>
    </row>
    <row r="3379">
      <c r="A3379" t="n">
        <v>2001550</v>
      </c>
      <c r="B3379" t="n">
        <v>2</v>
      </c>
      <c r="C3379" t="n">
        <v>1550</v>
      </c>
      <c r="D3379" t="n">
        <v>-0.5684</v>
      </c>
      <c r="E3379" t="n">
        <v>15.2504</v>
      </c>
      <c r="F3379" t="n">
        <v>0.09341000000000001</v>
      </c>
    </row>
    <row r="3380">
      <c r="A3380" t="n">
        <v>2001551</v>
      </c>
      <c r="B3380" t="n">
        <v>2</v>
      </c>
      <c r="C3380" t="n">
        <v>1551</v>
      </c>
      <c r="D3380" t="n">
        <v>-0.5684</v>
      </c>
      <c r="E3380" t="n">
        <v>15.2504</v>
      </c>
      <c r="F3380" t="n">
        <v>0.09343</v>
      </c>
    </row>
    <row r="3381">
      <c r="A3381" t="n">
        <v>2001552</v>
      </c>
      <c r="B3381" t="n">
        <v>2</v>
      </c>
      <c r="C3381" t="n">
        <v>1552</v>
      </c>
      <c r="D3381" t="n">
        <v>-0.5684</v>
      </c>
      <c r="E3381" t="n">
        <v>15.2503</v>
      </c>
      <c r="F3381" t="n">
        <v>0.09345000000000001</v>
      </c>
    </row>
    <row r="3382">
      <c r="A3382" t="n">
        <v>2001553</v>
      </c>
      <c r="B3382" t="n">
        <v>2</v>
      </c>
      <c r="C3382" t="n">
        <v>1553</v>
      </c>
      <c r="D3382" t="n">
        <v>-0.5684</v>
      </c>
      <c r="E3382" t="n">
        <v>15.2503</v>
      </c>
      <c r="F3382" t="n">
        <v>0.09346</v>
      </c>
    </row>
    <row r="3383">
      <c r="A3383" t="n">
        <v>2001554</v>
      </c>
      <c r="B3383" t="n">
        <v>2</v>
      </c>
      <c r="C3383" t="n">
        <v>1554</v>
      </c>
      <c r="D3383" t="n">
        <v>-0.5684</v>
      </c>
      <c r="E3383" t="n">
        <v>15.2502</v>
      </c>
      <c r="F3383" t="n">
        <v>0.09347999999999999</v>
      </c>
    </row>
    <row r="3384">
      <c r="A3384" t="n">
        <v>2001555</v>
      </c>
      <c r="B3384" t="n">
        <v>2</v>
      </c>
      <c r="C3384" t="n">
        <v>1555</v>
      </c>
      <c r="D3384" t="n">
        <v>-0.5684</v>
      </c>
      <c r="E3384" t="n">
        <v>15.2502</v>
      </c>
      <c r="F3384" t="n">
        <v>0.0935</v>
      </c>
    </row>
    <row r="3385">
      <c r="A3385" t="n">
        <v>2001556</v>
      </c>
      <c r="B3385" t="n">
        <v>2</v>
      </c>
      <c r="C3385" t="n">
        <v>1556</v>
      </c>
      <c r="D3385" t="n">
        <v>-0.5684</v>
      </c>
      <c r="E3385" t="n">
        <v>15.2502</v>
      </c>
      <c r="F3385" t="n">
        <v>0.09352000000000001</v>
      </c>
    </row>
    <row r="3386">
      <c r="A3386" t="n">
        <v>2001557</v>
      </c>
      <c r="B3386" t="n">
        <v>2</v>
      </c>
      <c r="C3386" t="n">
        <v>1557</v>
      </c>
      <c r="D3386" t="n">
        <v>-0.5684</v>
      </c>
      <c r="E3386" t="n">
        <v>15.2501</v>
      </c>
      <c r="F3386" t="n">
        <v>0.09354</v>
      </c>
    </row>
    <row r="3387">
      <c r="A3387" t="n">
        <v>2001558</v>
      </c>
      <c r="B3387" t="n">
        <v>2</v>
      </c>
      <c r="C3387" t="n">
        <v>1558</v>
      </c>
      <c r="D3387" t="n">
        <v>-0.5684</v>
      </c>
      <c r="E3387" t="n">
        <v>15.2501</v>
      </c>
      <c r="F3387" t="n">
        <v>0.09356</v>
      </c>
    </row>
    <row r="3388">
      <c r="A3388" t="n">
        <v>2001559</v>
      </c>
      <c r="B3388" t="n">
        <v>2</v>
      </c>
      <c r="C3388" t="n">
        <v>1559</v>
      </c>
      <c r="D3388" t="n">
        <v>-0.5684</v>
      </c>
      <c r="E3388" t="n">
        <v>15.25</v>
      </c>
      <c r="F3388" t="n">
        <v>0.09358</v>
      </c>
    </row>
    <row r="3389">
      <c r="A3389" t="n">
        <v>2001560</v>
      </c>
      <c r="B3389" t="n">
        <v>2</v>
      </c>
      <c r="C3389" t="n">
        <v>1560</v>
      </c>
      <c r="D3389" t="n">
        <v>-0.5684</v>
      </c>
      <c r="E3389" t="n">
        <v>15.25</v>
      </c>
      <c r="F3389" t="n">
        <v>0.0936</v>
      </c>
    </row>
    <row r="3390">
      <c r="A3390" t="n">
        <v>2001561</v>
      </c>
      <c r="B3390" t="n">
        <v>2</v>
      </c>
      <c r="C3390" t="n">
        <v>1561</v>
      </c>
      <c r="D3390" t="n">
        <v>-0.5684</v>
      </c>
      <c r="E3390" t="n">
        <v>15.25</v>
      </c>
      <c r="F3390" t="n">
        <v>0.09361999999999999</v>
      </c>
    </row>
    <row r="3391">
      <c r="A3391" t="n">
        <v>2001562</v>
      </c>
      <c r="B3391" t="n">
        <v>2</v>
      </c>
      <c r="C3391" t="n">
        <v>1562</v>
      </c>
      <c r="D3391" t="n">
        <v>-0.5684</v>
      </c>
      <c r="E3391" t="n">
        <v>15.25</v>
      </c>
      <c r="F3391" t="n">
        <v>0.09364</v>
      </c>
    </row>
    <row r="3392">
      <c r="A3392" t="n">
        <v>2001563</v>
      </c>
      <c r="B3392" t="n">
        <v>2</v>
      </c>
      <c r="C3392" t="n">
        <v>1563</v>
      </c>
      <c r="D3392" t="n">
        <v>-0.5684</v>
      </c>
      <c r="E3392" t="n">
        <v>15.2499</v>
      </c>
      <c r="F3392" t="n">
        <v>0.09365999999999999</v>
      </c>
    </row>
    <row r="3393">
      <c r="A3393" t="n">
        <v>2001564</v>
      </c>
      <c r="B3393" t="n">
        <v>2</v>
      </c>
      <c r="C3393" t="n">
        <v>1564</v>
      </c>
      <c r="D3393" t="n">
        <v>-0.5684</v>
      </c>
      <c r="E3393" t="n">
        <v>15.2499</v>
      </c>
      <c r="F3393" t="n">
        <v>0.09368</v>
      </c>
    </row>
    <row r="3394">
      <c r="A3394" t="n">
        <v>2001565</v>
      </c>
      <c r="B3394" t="n">
        <v>2</v>
      </c>
      <c r="C3394" t="n">
        <v>1565</v>
      </c>
      <c r="D3394" t="n">
        <v>-0.5684</v>
      </c>
      <c r="E3394" t="n">
        <v>15.2499</v>
      </c>
      <c r="F3394" t="n">
        <v>0.09369</v>
      </c>
    </row>
    <row r="3395">
      <c r="A3395" t="n">
        <v>2001566</v>
      </c>
      <c r="B3395" t="n">
        <v>2</v>
      </c>
      <c r="C3395" t="n">
        <v>1566</v>
      </c>
      <c r="D3395" t="n">
        <v>-0.5684</v>
      </c>
      <c r="E3395" t="n">
        <v>15.2498</v>
      </c>
      <c r="F3395" t="n">
        <v>0.09371</v>
      </c>
    </row>
    <row r="3396">
      <c r="A3396" t="n">
        <v>2001567</v>
      </c>
      <c r="B3396" t="n">
        <v>2</v>
      </c>
      <c r="C3396" t="n">
        <v>1567</v>
      </c>
      <c r="D3396" t="n">
        <v>-0.5684</v>
      </c>
      <c r="E3396" t="n">
        <v>15.2498</v>
      </c>
      <c r="F3396" t="n">
        <v>0.09372999999999999</v>
      </c>
    </row>
    <row r="3397">
      <c r="A3397" t="n">
        <v>2001568</v>
      </c>
      <c r="B3397" t="n">
        <v>2</v>
      </c>
      <c r="C3397" t="n">
        <v>1568</v>
      </c>
      <c r="D3397" t="n">
        <v>-0.5684</v>
      </c>
      <c r="E3397" t="n">
        <v>15.2498</v>
      </c>
      <c r="F3397" t="n">
        <v>0.09375</v>
      </c>
    </row>
    <row r="3398">
      <c r="A3398" t="n">
        <v>2001569</v>
      </c>
      <c r="B3398" t="n">
        <v>2</v>
      </c>
      <c r="C3398" t="n">
        <v>1569</v>
      </c>
      <c r="D3398" t="n">
        <v>-0.5684</v>
      </c>
      <c r="E3398" t="n">
        <v>15.2498</v>
      </c>
      <c r="F3398" t="n">
        <v>0.09377000000000001</v>
      </c>
    </row>
    <row r="3399">
      <c r="A3399" t="n">
        <v>2001570</v>
      </c>
      <c r="B3399" t="n">
        <v>2</v>
      </c>
      <c r="C3399" t="n">
        <v>1570</v>
      </c>
      <c r="D3399" t="n">
        <v>-0.5684</v>
      </c>
      <c r="E3399" t="n">
        <v>15.2498</v>
      </c>
      <c r="F3399" t="n">
        <v>0.09379</v>
      </c>
    </row>
    <row r="3400">
      <c r="A3400" t="n">
        <v>2001571</v>
      </c>
      <c r="B3400" t="n">
        <v>2</v>
      </c>
      <c r="C3400" t="n">
        <v>1571</v>
      </c>
      <c r="D3400" t="n">
        <v>-0.5684</v>
      </c>
      <c r="E3400" t="n">
        <v>15.2497</v>
      </c>
      <c r="F3400" t="n">
        <v>0.09381</v>
      </c>
    </row>
    <row r="3401">
      <c r="A3401" t="n">
        <v>2001572</v>
      </c>
      <c r="B3401" t="n">
        <v>2</v>
      </c>
      <c r="C3401" t="n">
        <v>1572</v>
      </c>
      <c r="D3401" t="n">
        <v>-0.5684</v>
      </c>
      <c r="E3401" t="n">
        <v>15.2497</v>
      </c>
      <c r="F3401" t="n">
        <v>0.09383</v>
      </c>
    </row>
    <row r="3402">
      <c r="A3402" t="n">
        <v>2001573</v>
      </c>
      <c r="B3402" t="n">
        <v>2</v>
      </c>
      <c r="C3402" t="n">
        <v>1573</v>
      </c>
      <c r="D3402" t="n">
        <v>-0.5684</v>
      </c>
      <c r="E3402" t="n">
        <v>15.2497</v>
      </c>
      <c r="F3402" t="n">
        <v>0.09385</v>
      </c>
    </row>
    <row r="3403">
      <c r="A3403" t="n">
        <v>2001574</v>
      </c>
      <c r="B3403" t="n">
        <v>2</v>
      </c>
      <c r="C3403" t="n">
        <v>1574</v>
      </c>
      <c r="D3403" t="n">
        <v>-0.5684</v>
      </c>
      <c r="E3403" t="n">
        <v>15.2497</v>
      </c>
      <c r="F3403" t="n">
        <v>0.09387</v>
      </c>
    </row>
    <row r="3404">
      <c r="A3404" t="n">
        <v>2001575</v>
      </c>
      <c r="B3404" t="n">
        <v>2</v>
      </c>
      <c r="C3404" t="n">
        <v>1575</v>
      </c>
      <c r="D3404" t="n">
        <v>-0.5684</v>
      </c>
      <c r="E3404" t="n">
        <v>15.2497</v>
      </c>
      <c r="F3404" t="n">
        <v>0.09388000000000001</v>
      </c>
    </row>
    <row r="3405">
      <c r="A3405" t="n">
        <v>2001576</v>
      </c>
      <c r="B3405" t="n">
        <v>2</v>
      </c>
      <c r="C3405" t="n">
        <v>1576</v>
      </c>
      <c r="D3405" t="n">
        <v>-0.5684</v>
      </c>
      <c r="E3405" t="n">
        <v>15.2497</v>
      </c>
      <c r="F3405" t="n">
        <v>0.0939</v>
      </c>
    </row>
    <row r="3406">
      <c r="A3406" t="n">
        <v>2001577</v>
      </c>
      <c r="B3406" t="n">
        <v>2</v>
      </c>
      <c r="C3406" t="n">
        <v>1577</v>
      </c>
      <c r="D3406" t="n">
        <v>-0.5684</v>
      </c>
      <c r="E3406" t="n">
        <v>15.2497</v>
      </c>
      <c r="F3406" t="n">
        <v>0.09392</v>
      </c>
    </row>
    <row r="3407">
      <c r="A3407" t="n">
        <v>2001578</v>
      </c>
      <c r="B3407" t="n">
        <v>2</v>
      </c>
      <c r="C3407" t="n">
        <v>1578</v>
      </c>
      <c r="D3407" t="n">
        <v>-0.5684</v>
      </c>
      <c r="E3407" t="n">
        <v>15.2497</v>
      </c>
      <c r="F3407" t="n">
        <v>0.09394</v>
      </c>
    </row>
    <row r="3408">
      <c r="A3408" t="n">
        <v>2001579</v>
      </c>
      <c r="B3408" t="n">
        <v>2</v>
      </c>
      <c r="C3408" t="n">
        <v>1579</v>
      </c>
      <c r="D3408" t="n">
        <v>-0.5684</v>
      </c>
      <c r="E3408" t="n">
        <v>15.2497</v>
      </c>
      <c r="F3408" t="n">
        <v>0.09396</v>
      </c>
    </row>
    <row r="3409">
      <c r="A3409" t="n">
        <v>2001580</v>
      </c>
      <c r="B3409" t="n">
        <v>2</v>
      </c>
      <c r="C3409" t="n">
        <v>1580</v>
      </c>
      <c r="D3409" t="n">
        <v>-0.5684</v>
      </c>
      <c r="E3409" t="n">
        <v>15.2497</v>
      </c>
      <c r="F3409" t="n">
        <v>0.09397999999999999</v>
      </c>
    </row>
    <row r="3410">
      <c r="A3410" t="n">
        <v>2001581</v>
      </c>
      <c r="B3410" t="n">
        <v>2</v>
      </c>
      <c r="C3410" t="n">
        <v>1581</v>
      </c>
      <c r="D3410" t="n">
        <v>-0.5684</v>
      </c>
      <c r="E3410" t="n">
        <v>15.2496</v>
      </c>
      <c r="F3410" t="n">
        <v>0.094</v>
      </c>
    </row>
    <row r="3411">
      <c r="A3411" t="n">
        <v>2001582</v>
      </c>
      <c r="B3411" t="n">
        <v>2</v>
      </c>
      <c r="C3411" t="n">
        <v>1582</v>
      </c>
      <c r="D3411" t="n">
        <v>-0.5684</v>
      </c>
      <c r="E3411" t="n">
        <v>15.2496</v>
      </c>
      <c r="F3411" t="n">
        <v>0.09402000000000001</v>
      </c>
    </row>
    <row r="3412">
      <c r="A3412" t="n">
        <v>2001583</v>
      </c>
      <c r="B3412" t="n">
        <v>2</v>
      </c>
      <c r="C3412" t="n">
        <v>1583</v>
      </c>
      <c r="D3412" t="n">
        <v>-0.5684</v>
      </c>
      <c r="E3412" t="n">
        <v>15.2496</v>
      </c>
      <c r="F3412" t="n">
        <v>0.09404</v>
      </c>
    </row>
    <row r="3413">
      <c r="A3413" t="n">
        <v>2001584</v>
      </c>
      <c r="B3413" t="n">
        <v>2</v>
      </c>
      <c r="C3413" t="n">
        <v>1584</v>
      </c>
      <c r="D3413" t="n">
        <v>-0.5684</v>
      </c>
      <c r="E3413" t="n">
        <v>15.2496</v>
      </c>
      <c r="F3413" t="n">
        <v>0.09406</v>
      </c>
    </row>
    <row r="3414">
      <c r="A3414" t="n">
        <v>2001585</v>
      </c>
      <c r="B3414" t="n">
        <v>2</v>
      </c>
      <c r="C3414" t="n">
        <v>1585</v>
      </c>
      <c r="D3414" t="n">
        <v>-0.5684</v>
      </c>
      <c r="E3414" t="n">
        <v>15.2496</v>
      </c>
      <c r="F3414" t="n">
        <v>0.09407</v>
      </c>
    </row>
    <row r="3415">
      <c r="A3415" t="n">
        <v>2001586</v>
      </c>
      <c r="B3415" t="n">
        <v>2</v>
      </c>
      <c r="C3415" t="n">
        <v>1586</v>
      </c>
      <c r="D3415" t="n">
        <v>-0.5684</v>
      </c>
      <c r="E3415" t="n">
        <v>15.2497</v>
      </c>
      <c r="F3415" t="n">
        <v>0.09408999999999999</v>
      </c>
    </row>
    <row r="3416">
      <c r="A3416" t="n">
        <v>2001587</v>
      </c>
      <c r="B3416" t="n">
        <v>2</v>
      </c>
      <c r="C3416" t="n">
        <v>1587</v>
      </c>
      <c r="D3416" t="n">
        <v>-0.5684</v>
      </c>
      <c r="E3416" t="n">
        <v>15.2497</v>
      </c>
      <c r="F3416" t="n">
        <v>0.09411</v>
      </c>
    </row>
    <row r="3417">
      <c r="A3417" t="n">
        <v>2001588</v>
      </c>
      <c r="B3417" t="n">
        <v>2</v>
      </c>
      <c r="C3417" t="n">
        <v>1588</v>
      </c>
      <c r="D3417" t="n">
        <v>-0.5684</v>
      </c>
      <c r="E3417" t="n">
        <v>15.2497</v>
      </c>
      <c r="F3417" t="n">
        <v>0.09413000000000001</v>
      </c>
    </row>
    <row r="3418">
      <c r="A3418" t="n">
        <v>2001589</v>
      </c>
      <c r="B3418" t="n">
        <v>2</v>
      </c>
      <c r="C3418" t="n">
        <v>1589</v>
      </c>
      <c r="D3418" t="n">
        <v>-0.5684</v>
      </c>
      <c r="E3418" t="n">
        <v>15.2497</v>
      </c>
      <c r="F3418" t="n">
        <v>0.09415</v>
      </c>
    </row>
    <row r="3419">
      <c r="A3419" t="n">
        <v>2001590</v>
      </c>
      <c r="B3419" t="n">
        <v>2</v>
      </c>
      <c r="C3419" t="n">
        <v>1590</v>
      </c>
      <c r="D3419" t="n">
        <v>-0.5684</v>
      </c>
      <c r="E3419" t="n">
        <v>15.2497</v>
      </c>
      <c r="F3419" t="n">
        <v>0.09417</v>
      </c>
    </row>
    <row r="3420">
      <c r="A3420" t="n">
        <v>2001591</v>
      </c>
      <c r="B3420" t="n">
        <v>2</v>
      </c>
      <c r="C3420" t="n">
        <v>1591</v>
      </c>
      <c r="D3420" t="n">
        <v>-0.5684</v>
      </c>
      <c r="E3420" t="n">
        <v>15.2497</v>
      </c>
      <c r="F3420" t="n">
        <v>0.09419</v>
      </c>
    </row>
    <row r="3421">
      <c r="A3421" t="n">
        <v>2001592</v>
      </c>
      <c r="B3421" t="n">
        <v>2</v>
      </c>
      <c r="C3421" t="n">
        <v>1592</v>
      </c>
      <c r="D3421" t="n">
        <v>-0.5684</v>
      </c>
      <c r="E3421" t="n">
        <v>15.2497</v>
      </c>
      <c r="F3421" t="n">
        <v>0.09421</v>
      </c>
    </row>
    <row r="3422">
      <c r="A3422" t="n">
        <v>2001593</v>
      </c>
      <c r="B3422" t="n">
        <v>2</v>
      </c>
      <c r="C3422" t="n">
        <v>1593</v>
      </c>
      <c r="D3422" t="n">
        <v>-0.5684</v>
      </c>
      <c r="E3422" t="n">
        <v>15.2497</v>
      </c>
      <c r="F3422" t="n">
        <v>0.09422</v>
      </c>
    </row>
    <row r="3423">
      <c r="A3423" t="n">
        <v>2001594</v>
      </c>
      <c r="B3423" t="n">
        <v>2</v>
      </c>
      <c r="C3423" t="n">
        <v>1594</v>
      </c>
      <c r="D3423" t="n">
        <v>-0.5684</v>
      </c>
      <c r="E3423" t="n">
        <v>15.2497</v>
      </c>
      <c r="F3423" t="n">
        <v>0.09424</v>
      </c>
    </row>
    <row r="3424">
      <c r="A3424" t="n">
        <v>2001595</v>
      </c>
      <c r="B3424" t="n">
        <v>2</v>
      </c>
      <c r="C3424" t="n">
        <v>1595</v>
      </c>
      <c r="D3424" t="n">
        <v>-0.5684</v>
      </c>
      <c r="E3424" t="n">
        <v>15.2497</v>
      </c>
      <c r="F3424" t="n">
        <v>0.09426</v>
      </c>
    </row>
    <row r="3425">
      <c r="A3425" t="n">
        <v>2001596</v>
      </c>
      <c r="B3425" t="n">
        <v>2</v>
      </c>
      <c r="C3425" t="n">
        <v>1596</v>
      </c>
      <c r="D3425" t="n">
        <v>-0.5684</v>
      </c>
      <c r="E3425" t="n">
        <v>15.2498</v>
      </c>
      <c r="F3425" t="n">
        <v>0.09428</v>
      </c>
    </row>
    <row r="3426">
      <c r="A3426" t="n">
        <v>2001597</v>
      </c>
      <c r="B3426" t="n">
        <v>2</v>
      </c>
      <c r="C3426" t="n">
        <v>1597</v>
      </c>
      <c r="D3426" t="n">
        <v>-0.5684</v>
      </c>
      <c r="E3426" t="n">
        <v>15.2498</v>
      </c>
      <c r="F3426" t="n">
        <v>0.09429999999999999</v>
      </c>
    </row>
    <row r="3427">
      <c r="A3427" t="n">
        <v>2001598</v>
      </c>
      <c r="B3427" t="n">
        <v>2</v>
      </c>
      <c r="C3427" t="n">
        <v>1598</v>
      </c>
      <c r="D3427" t="n">
        <v>-0.5684</v>
      </c>
      <c r="E3427" t="n">
        <v>15.2498</v>
      </c>
      <c r="F3427" t="n">
        <v>0.09432</v>
      </c>
    </row>
    <row r="3428">
      <c r="A3428" t="n">
        <v>2001599</v>
      </c>
      <c r="B3428" t="n">
        <v>2</v>
      </c>
      <c r="C3428" t="n">
        <v>1599</v>
      </c>
      <c r="D3428" t="n">
        <v>-0.5684</v>
      </c>
      <c r="E3428" t="n">
        <v>15.2498</v>
      </c>
      <c r="F3428" t="n">
        <v>0.09433999999999999</v>
      </c>
    </row>
    <row r="3429">
      <c r="A3429" t="n">
        <v>2001600</v>
      </c>
      <c r="B3429" t="n">
        <v>2</v>
      </c>
      <c r="C3429" t="n">
        <v>1600</v>
      </c>
      <c r="D3429" t="n">
        <v>-0.5684</v>
      </c>
      <c r="E3429" t="n">
        <v>15.2498</v>
      </c>
      <c r="F3429" t="n">
        <v>0.09436</v>
      </c>
    </row>
    <row r="3430">
      <c r="A3430" t="n">
        <v>2001601</v>
      </c>
      <c r="B3430" t="n">
        <v>2</v>
      </c>
      <c r="C3430" t="n">
        <v>1601</v>
      </c>
      <c r="D3430" t="n">
        <v>-0.5684</v>
      </c>
      <c r="E3430" t="n">
        <v>15.2499</v>
      </c>
      <c r="F3430" t="n">
        <v>0.09437</v>
      </c>
    </row>
    <row r="3431">
      <c r="A3431" t="n">
        <v>2001602</v>
      </c>
      <c r="B3431" t="n">
        <v>2</v>
      </c>
      <c r="C3431" t="n">
        <v>1602</v>
      </c>
      <c r="D3431" t="n">
        <v>-0.5684</v>
      </c>
      <c r="E3431" t="n">
        <v>15.2499</v>
      </c>
      <c r="F3431" t="n">
        <v>0.09439</v>
      </c>
    </row>
    <row r="3432">
      <c r="A3432" t="n">
        <v>2001603</v>
      </c>
      <c r="B3432" t="n">
        <v>2</v>
      </c>
      <c r="C3432" t="n">
        <v>1603</v>
      </c>
      <c r="D3432" t="n">
        <v>-0.5684</v>
      </c>
      <c r="E3432" t="n">
        <v>15.2499</v>
      </c>
      <c r="F3432" t="n">
        <v>0.09440999999999999</v>
      </c>
    </row>
    <row r="3433">
      <c r="A3433" t="n">
        <v>2001604</v>
      </c>
      <c r="B3433" t="n">
        <v>2</v>
      </c>
      <c r="C3433" t="n">
        <v>1604</v>
      </c>
      <c r="D3433" t="n">
        <v>-0.5684</v>
      </c>
      <c r="E3433" t="n">
        <v>15.2499</v>
      </c>
      <c r="F3433" t="n">
        <v>0.09443</v>
      </c>
    </row>
    <row r="3434">
      <c r="A3434" t="n">
        <v>2001605</v>
      </c>
      <c r="B3434" t="n">
        <v>2</v>
      </c>
      <c r="C3434" t="n">
        <v>1605</v>
      </c>
      <c r="D3434" t="n">
        <v>-0.5684</v>
      </c>
      <c r="E3434" t="n">
        <v>15.25</v>
      </c>
      <c r="F3434" t="n">
        <v>0.09445000000000001</v>
      </c>
    </row>
    <row r="3435">
      <c r="A3435" t="n">
        <v>2001606</v>
      </c>
      <c r="B3435" t="n">
        <v>2</v>
      </c>
      <c r="C3435" t="n">
        <v>1606</v>
      </c>
      <c r="D3435" t="n">
        <v>-0.5684</v>
      </c>
      <c r="E3435" t="n">
        <v>15.25</v>
      </c>
      <c r="F3435" t="n">
        <v>0.09447</v>
      </c>
    </row>
    <row r="3436">
      <c r="A3436" t="n">
        <v>2001607</v>
      </c>
      <c r="B3436" t="n">
        <v>2</v>
      </c>
      <c r="C3436" t="n">
        <v>1607</v>
      </c>
      <c r="D3436" t="n">
        <v>-0.5684</v>
      </c>
      <c r="E3436" t="n">
        <v>15.25</v>
      </c>
      <c r="F3436" t="n">
        <v>0.09449</v>
      </c>
    </row>
    <row r="3437">
      <c r="A3437" t="n">
        <v>2001608</v>
      </c>
      <c r="B3437" t="n">
        <v>2</v>
      </c>
      <c r="C3437" t="n">
        <v>1608</v>
      </c>
      <c r="D3437" t="n">
        <v>-0.5684</v>
      </c>
      <c r="E3437" t="n">
        <v>15.25</v>
      </c>
      <c r="F3437" t="n">
        <v>0.0945</v>
      </c>
    </row>
    <row r="3438">
      <c r="A3438" t="n">
        <v>2001609</v>
      </c>
      <c r="B3438" t="n">
        <v>2</v>
      </c>
      <c r="C3438" t="n">
        <v>1609</v>
      </c>
      <c r="D3438" t="n">
        <v>-0.5684</v>
      </c>
      <c r="E3438" t="n">
        <v>15.2501</v>
      </c>
      <c r="F3438" t="n">
        <v>0.09452000000000001</v>
      </c>
    </row>
    <row r="3439">
      <c r="A3439" t="n">
        <v>2001610</v>
      </c>
      <c r="B3439" t="n">
        <v>2</v>
      </c>
      <c r="C3439" t="n">
        <v>1610</v>
      </c>
      <c r="D3439" t="n">
        <v>-0.5684</v>
      </c>
      <c r="E3439" t="n">
        <v>15.2501</v>
      </c>
      <c r="F3439" t="n">
        <v>0.09454</v>
      </c>
    </row>
    <row r="3440">
      <c r="A3440" t="n">
        <v>2001611</v>
      </c>
      <c r="B3440" t="n">
        <v>2</v>
      </c>
      <c r="C3440" t="n">
        <v>1611</v>
      </c>
      <c r="D3440" t="n">
        <v>-0.5684</v>
      </c>
      <c r="E3440" t="n">
        <v>15.2501</v>
      </c>
      <c r="F3440" t="n">
        <v>0.09456000000000001</v>
      </c>
    </row>
    <row r="3441">
      <c r="A3441" t="n">
        <v>2001612</v>
      </c>
      <c r="B3441" t="n">
        <v>2</v>
      </c>
      <c r="C3441" t="n">
        <v>1612</v>
      </c>
      <c r="D3441" t="n">
        <v>-0.5684</v>
      </c>
      <c r="E3441" t="n">
        <v>15.2502</v>
      </c>
      <c r="F3441" t="n">
        <v>0.09458</v>
      </c>
    </row>
    <row r="3442">
      <c r="A3442" t="n">
        <v>2001613</v>
      </c>
      <c r="B3442" t="n">
        <v>2</v>
      </c>
      <c r="C3442" t="n">
        <v>1613</v>
      </c>
      <c r="D3442" t="n">
        <v>-0.5684</v>
      </c>
      <c r="E3442" t="n">
        <v>15.2502</v>
      </c>
      <c r="F3442" t="n">
        <v>0.0946</v>
      </c>
    </row>
    <row r="3443">
      <c r="A3443" t="n">
        <v>2001614</v>
      </c>
      <c r="B3443" t="n">
        <v>2</v>
      </c>
      <c r="C3443" t="n">
        <v>1614</v>
      </c>
      <c r="D3443" t="n">
        <v>-0.5684</v>
      </c>
      <c r="E3443" t="n">
        <v>15.2502</v>
      </c>
      <c r="F3443" t="n">
        <v>0.09461</v>
      </c>
    </row>
    <row r="3444">
      <c r="A3444" t="n">
        <v>2001615</v>
      </c>
      <c r="B3444" t="n">
        <v>2</v>
      </c>
      <c r="C3444" t="n">
        <v>1615</v>
      </c>
      <c r="D3444" t="n">
        <v>-0.5684</v>
      </c>
      <c r="E3444" t="n">
        <v>15.2503</v>
      </c>
      <c r="F3444" t="n">
        <v>0.09463000000000001</v>
      </c>
    </row>
    <row r="3445">
      <c r="A3445" t="n">
        <v>2001616</v>
      </c>
      <c r="B3445" t="n">
        <v>2</v>
      </c>
      <c r="C3445" t="n">
        <v>1616</v>
      </c>
      <c r="D3445" t="n">
        <v>-0.5684</v>
      </c>
      <c r="E3445" t="n">
        <v>15.2503</v>
      </c>
      <c r="F3445" t="n">
        <v>0.09465</v>
      </c>
    </row>
    <row r="3446">
      <c r="A3446" t="n">
        <v>2001617</v>
      </c>
      <c r="B3446" t="n">
        <v>2</v>
      </c>
      <c r="C3446" t="n">
        <v>1617</v>
      </c>
      <c r="D3446" t="n">
        <v>-0.5684</v>
      </c>
      <c r="E3446" t="n">
        <v>15.2504</v>
      </c>
      <c r="F3446" t="n">
        <v>0.09467</v>
      </c>
    </row>
    <row r="3447">
      <c r="A3447" t="n">
        <v>2001618</v>
      </c>
      <c r="B3447" t="n">
        <v>2</v>
      </c>
      <c r="C3447" t="n">
        <v>1618</v>
      </c>
      <c r="D3447" t="n">
        <v>-0.5684</v>
      </c>
      <c r="E3447" t="n">
        <v>15.2504</v>
      </c>
      <c r="F3447" t="n">
        <v>0.09469</v>
      </c>
    </row>
    <row r="3448">
      <c r="A3448" t="n">
        <v>2001619</v>
      </c>
      <c r="B3448" t="n">
        <v>2</v>
      </c>
      <c r="C3448" t="n">
        <v>1619</v>
      </c>
      <c r="D3448" t="n">
        <v>-0.5684</v>
      </c>
      <c r="E3448" t="n">
        <v>15.2505</v>
      </c>
      <c r="F3448" t="n">
        <v>0.09471</v>
      </c>
    </row>
    <row r="3449">
      <c r="A3449" t="n">
        <v>2001620</v>
      </c>
      <c r="B3449" t="n">
        <v>2</v>
      </c>
      <c r="C3449" t="n">
        <v>1620</v>
      </c>
      <c r="D3449" t="n">
        <v>-0.5684</v>
      </c>
      <c r="E3449" t="n">
        <v>15.2505</v>
      </c>
      <c r="F3449" t="n">
        <v>0.09472</v>
      </c>
    </row>
    <row r="3450">
      <c r="A3450" t="n">
        <v>2001621</v>
      </c>
      <c r="B3450" t="n">
        <v>2</v>
      </c>
      <c r="C3450" t="n">
        <v>1621</v>
      </c>
      <c r="D3450" t="n">
        <v>-0.5684</v>
      </c>
      <c r="E3450" t="n">
        <v>15.2505</v>
      </c>
      <c r="F3450" t="n">
        <v>0.09474</v>
      </c>
    </row>
    <row r="3451">
      <c r="A3451" t="n">
        <v>2001622</v>
      </c>
      <c r="B3451" t="n">
        <v>2</v>
      </c>
      <c r="C3451" t="n">
        <v>1622</v>
      </c>
      <c r="D3451" t="n">
        <v>-0.5684</v>
      </c>
      <c r="E3451" t="n">
        <v>15.2506</v>
      </c>
      <c r="F3451" t="n">
        <v>0.09476</v>
      </c>
    </row>
    <row r="3452">
      <c r="A3452" t="n">
        <v>2001623</v>
      </c>
      <c r="B3452" t="n">
        <v>2</v>
      </c>
      <c r="C3452" t="n">
        <v>1623</v>
      </c>
      <c r="D3452" t="n">
        <v>-0.5684</v>
      </c>
      <c r="E3452" t="n">
        <v>15.2506</v>
      </c>
      <c r="F3452" t="n">
        <v>0.09478</v>
      </c>
    </row>
    <row r="3453">
      <c r="A3453" t="n">
        <v>2001624</v>
      </c>
      <c r="B3453" t="n">
        <v>2</v>
      </c>
      <c r="C3453" t="n">
        <v>1624</v>
      </c>
      <c r="D3453" t="n">
        <v>-0.5684</v>
      </c>
      <c r="E3453" t="n">
        <v>15.2507</v>
      </c>
      <c r="F3453" t="n">
        <v>0.0948</v>
      </c>
    </row>
    <row r="3454">
      <c r="A3454" t="n">
        <v>2001625</v>
      </c>
      <c r="B3454" t="n">
        <v>2</v>
      </c>
      <c r="C3454" t="n">
        <v>1625</v>
      </c>
      <c r="D3454" t="n">
        <v>-0.5684</v>
      </c>
      <c r="E3454" t="n">
        <v>15.2507</v>
      </c>
      <c r="F3454" t="n">
        <v>0.09481000000000001</v>
      </c>
    </row>
    <row r="3455">
      <c r="A3455" t="n">
        <v>2001626</v>
      </c>
      <c r="B3455" t="n">
        <v>2</v>
      </c>
      <c r="C3455" t="n">
        <v>1626</v>
      </c>
      <c r="D3455" t="n">
        <v>-0.5684</v>
      </c>
      <c r="E3455" t="n">
        <v>15.2508</v>
      </c>
      <c r="F3455" t="n">
        <v>0.09483</v>
      </c>
    </row>
    <row r="3456">
      <c r="A3456" t="n">
        <v>2001627</v>
      </c>
      <c r="B3456" t="n">
        <v>2</v>
      </c>
      <c r="C3456" t="n">
        <v>1627</v>
      </c>
      <c r="D3456" t="n">
        <v>-0.5684</v>
      </c>
      <c r="E3456" t="n">
        <v>15.2508</v>
      </c>
      <c r="F3456" t="n">
        <v>0.09485</v>
      </c>
    </row>
    <row r="3457">
      <c r="A3457" t="n">
        <v>2001628</v>
      </c>
      <c r="B3457" t="n">
        <v>2</v>
      </c>
      <c r="C3457" t="n">
        <v>1628</v>
      </c>
      <c r="D3457" t="n">
        <v>-0.5684</v>
      </c>
      <c r="E3457" t="n">
        <v>15.2509</v>
      </c>
      <c r="F3457" t="n">
        <v>0.09487</v>
      </c>
    </row>
    <row r="3458">
      <c r="A3458" t="n">
        <v>2001629</v>
      </c>
      <c r="B3458" t="n">
        <v>2</v>
      </c>
      <c r="C3458" t="n">
        <v>1629</v>
      </c>
      <c r="D3458" t="n">
        <v>-0.5684</v>
      </c>
      <c r="E3458" t="n">
        <v>15.2509</v>
      </c>
      <c r="F3458" t="n">
        <v>0.09489</v>
      </c>
    </row>
    <row r="3459">
      <c r="A3459" t="n">
        <v>2001630</v>
      </c>
      <c r="B3459" t="n">
        <v>2</v>
      </c>
      <c r="C3459" t="n">
        <v>1630</v>
      </c>
      <c r="D3459" t="n">
        <v>-0.5684</v>
      </c>
      <c r="E3459" t="n">
        <v>15.251</v>
      </c>
      <c r="F3459" t="n">
        <v>0.09490999999999999</v>
      </c>
    </row>
    <row r="3460">
      <c r="A3460" t="n">
        <v>2001631</v>
      </c>
      <c r="B3460" t="n">
        <v>2</v>
      </c>
      <c r="C3460" t="n">
        <v>1631</v>
      </c>
      <c r="D3460" t="n">
        <v>-0.5684</v>
      </c>
      <c r="E3460" t="n">
        <v>15.2511</v>
      </c>
      <c r="F3460" t="n">
        <v>0.09492</v>
      </c>
    </row>
    <row r="3461">
      <c r="A3461" t="n">
        <v>2001632</v>
      </c>
      <c r="B3461" t="n">
        <v>2</v>
      </c>
      <c r="C3461" t="n">
        <v>1632</v>
      </c>
      <c r="D3461" t="n">
        <v>-0.5684</v>
      </c>
      <c r="E3461" t="n">
        <v>15.2511</v>
      </c>
      <c r="F3461" t="n">
        <v>0.09494</v>
      </c>
    </row>
    <row r="3462">
      <c r="A3462" t="n">
        <v>2001633</v>
      </c>
      <c r="B3462" t="n">
        <v>2</v>
      </c>
      <c r="C3462" t="n">
        <v>1633</v>
      </c>
      <c r="D3462" t="n">
        <v>-0.5684</v>
      </c>
      <c r="E3462" t="n">
        <v>15.2512</v>
      </c>
      <c r="F3462" t="n">
        <v>0.09496</v>
      </c>
    </row>
    <row r="3463">
      <c r="A3463" t="n">
        <v>2001634</v>
      </c>
      <c r="B3463" t="n">
        <v>2</v>
      </c>
      <c r="C3463" t="n">
        <v>1634</v>
      </c>
      <c r="D3463" t="n">
        <v>-0.5684</v>
      </c>
      <c r="E3463" t="n">
        <v>15.2512</v>
      </c>
      <c r="F3463" t="n">
        <v>0.09497999999999999</v>
      </c>
    </row>
    <row r="3464">
      <c r="A3464" t="n">
        <v>2001635</v>
      </c>
      <c r="B3464" t="n">
        <v>2</v>
      </c>
      <c r="C3464" t="n">
        <v>1635</v>
      </c>
      <c r="D3464" t="n">
        <v>-0.5684</v>
      </c>
      <c r="E3464" t="n">
        <v>15.2513</v>
      </c>
      <c r="F3464" t="n">
        <v>0.095</v>
      </c>
    </row>
    <row r="3465">
      <c r="A3465" t="n">
        <v>2001636</v>
      </c>
      <c r="B3465" t="n">
        <v>2</v>
      </c>
      <c r="C3465" t="n">
        <v>1636</v>
      </c>
      <c r="D3465" t="n">
        <v>-0.5684</v>
      </c>
      <c r="E3465" t="n">
        <v>15.2514</v>
      </c>
      <c r="F3465" t="n">
        <v>0.09501</v>
      </c>
    </row>
    <row r="3466">
      <c r="A3466" t="n">
        <v>2001637</v>
      </c>
      <c r="B3466" t="n">
        <v>2</v>
      </c>
      <c r="C3466" t="n">
        <v>1637</v>
      </c>
      <c r="D3466" t="n">
        <v>-0.5684</v>
      </c>
      <c r="E3466" t="n">
        <v>15.2514</v>
      </c>
      <c r="F3466" t="n">
        <v>0.09503</v>
      </c>
    </row>
    <row r="3467">
      <c r="A3467" t="n">
        <v>2001638</v>
      </c>
      <c r="B3467" t="n">
        <v>2</v>
      </c>
      <c r="C3467" t="n">
        <v>1638</v>
      </c>
      <c r="D3467" t="n">
        <v>-0.5684</v>
      </c>
      <c r="E3467" t="n">
        <v>15.2515</v>
      </c>
      <c r="F3467" t="n">
        <v>0.09505</v>
      </c>
    </row>
    <row r="3468">
      <c r="A3468" t="n">
        <v>2001639</v>
      </c>
      <c r="B3468" t="n">
        <v>2</v>
      </c>
      <c r="C3468" t="n">
        <v>1639</v>
      </c>
      <c r="D3468" t="n">
        <v>-0.5684</v>
      </c>
      <c r="E3468" t="n">
        <v>15.2515</v>
      </c>
      <c r="F3468" t="n">
        <v>0.09507</v>
      </c>
    </row>
    <row r="3469">
      <c r="A3469" t="n">
        <v>2001640</v>
      </c>
      <c r="B3469" t="n">
        <v>2</v>
      </c>
      <c r="C3469" t="n">
        <v>1640</v>
      </c>
      <c r="D3469" t="n">
        <v>-0.5684</v>
      </c>
      <c r="E3469" t="n">
        <v>15.2516</v>
      </c>
      <c r="F3469" t="n">
        <v>0.09508</v>
      </c>
    </row>
    <row r="3470">
      <c r="A3470" t="n">
        <v>2001641</v>
      </c>
      <c r="B3470" t="n">
        <v>2</v>
      </c>
      <c r="C3470" t="n">
        <v>1641</v>
      </c>
      <c r="D3470" t="n">
        <v>-0.5684</v>
      </c>
      <c r="E3470" t="n">
        <v>15.2517</v>
      </c>
      <c r="F3470" t="n">
        <v>0.0951</v>
      </c>
    </row>
    <row r="3471">
      <c r="A3471" t="n">
        <v>2001642</v>
      </c>
      <c r="B3471" t="n">
        <v>2</v>
      </c>
      <c r="C3471" t="n">
        <v>1642</v>
      </c>
      <c r="D3471" t="n">
        <v>-0.5684</v>
      </c>
      <c r="E3471" t="n">
        <v>15.2517</v>
      </c>
      <c r="F3471" t="n">
        <v>0.09512</v>
      </c>
    </row>
    <row r="3472">
      <c r="A3472" t="n">
        <v>2001643</v>
      </c>
      <c r="B3472" t="n">
        <v>2</v>
      </c>
      <c r="C3472" t="n">
        <v>1643</v>
      </c>
      <c r="D3472" t="n">
        <v>-0.5684</v>
      </c>
      <c r="E3472" t="n">
        <v>15.2518</v>
      </c>
      <c r="F3472" t="n">
        <v>0.09514</v>
      </c>
    </row>
    <row r="3473">
      <c r="A3473" t="n">
        <v>2001644</v>
      </c>
      <c r="B3473" t="n">
        <v>2</v>
      </c>
      <c r="C3473" t="n">
        <v>1644</v>
      </c>
      <c r="D3473" t="n">
        <v>-0.5684</v>
      </c>
      <c r="E3473" t="n">
        <v>15.2519</v>
      </c>
      <c r="F3473" t="n">
        <v>0.09515999999999999</v>
      </c>
    </row>
    <row r="3474">
      <c r="A3474" t="n">
        <v>2001645</v>
      </c>
      <c r="B3474" t="n">
        <v>2</v>
      </c>
      <c r="C3474" t="n">
        <v>1645</v>
      </c>
      <c r="D3474" t="n">
        <v>-0.5684</v>
      </c>
      <c r="E3474" t="n">
        <v>15.2519</v>
      </c>
      <c r="F3474" t="n">
        <v>0.09517</v>
      </c>
    </row>
    <row r="3475">
      <c r="A3475" t="n">
        <v>2001646</v>
      </c>
      <c r="B3475" t="n">
        <v>2</v>
      </c>
      <c r="C3475" t="n">
        <v>1646</v>
      </c>
      <c r="D3475" t="n">
        <v>-0.5684</v>
      </c>
      <c r="E3475" t="n">
        <v>15.252</v>
      </c>
      <c r="F3475" t="n">
        <v>0.09519</v>
      </c>
    </row>
    <row r="3476">
      <c r="A3476" t="n">
        <v>2001647</v>
      </c>
      <c r="B3476" t="n">
        <v>2</v>
      </c>
      <c r="C3476" t="n">
        <v>1647</v>
      </c>
      <c r="D3476" t="n">
        <v>-0.5684</v>
      </c>
      <c r="E3476" t="n">
        <v>15.2521</v>
      </c>
      <c r="F3476" t="n">
        <v>0.09521</v>
      </c>
    </row>
    <row r="3477">
      <c r="A3477" t="n">
        <v>2001648</v>
      </c>
      <c r="B3477" t="n">
        <v>2</v>
      </c>
      <c r="C3477" t="n">
        <v>1648</v>
      </c>
      <c r="D3477" t="n">
        <v>-0.5684</v>
      </c>
      <c r="E3477" t="n">
        <v>15.2522</v>
      </c>
      <c r="F3477" t="n">
        <v>0.09523</v>
      </c>
    </row>
    <row r="3478">
      <c r="A3478" t="n">
        <v>2001649</v>
      </c>
      <c r="B3478" t="n">
        <v>2</v>
      </c>
      <c r="C3478" t="n">
        <v>1649</v>
      </c>
      <c r="D3478" t="n">
        <v>-0.5684</v>
      </c>
      <c r="E3478" t="n">
        <v>15.2522</v>
      </c>
      <c r="F3478" t="n">
        <v>0.09524000000000001</v>
      </c>
    </row>
    <row r="3479">
      <c r="A3479" t="n">
        <v>2001650</v>
      </c>
      <c r="B3479" t="n">
        <v>2</v>
      </c>
      <c r="C3479" t="n">
        <v>1650</v>
      </c>
      <c r="D3479" t="n">
        <v>-0.5684</v>
      </c>
      <c r="E3479" t="n">
        <v>15.2523</v>
      </c>
      <c r="F3479" t="n">
        <v>0.09526</v>
      </c>
    </row>
    <row r="3480">
      <c r="A3480" t="n">
        <v>2001651</v>
      </c>
      <c r="B3480" t="n">
        <v>2</v>
      </c>
      <c r="C3480" t="n">
        <v>1651</v>
      </c>
      <c r="D3480" t="n">
        <v>-0.5684</v>
      </c>
      <c r="E3480" t="n">
        <v>15.2524</v>
      </c>
      <c r="F3480" t="n">
        <v>0.09528</v>
      </c>
    </row>
    <row r="3481">
      <c r="A3481" t="n">
        <v>2001652</v>
      </c>
      <c r="B3481" t="n">
        <v>2</v>
      </c>
      <c r="C3481" t="n">
        <v>1652</v>
      </c>
      <c r="D3481" t="n">
        <v>-0.5684</v>
      </c>
      <c r="E3481" t="n">
        <v>15.2525</v>
      </c>
      <c r="F3481" t="n">
        <v>0.0953</v>
      </c>
    </row>
    <row r="3482">
      <c r="A3482" t="n">
        <v>2001653</v>
      </c>
      <c r="B3482" t="n">
        <v>2</v>
      </c>
      <c r="C3482" t="n">
        <v>1653</v>
      </c>
      <c r="D3482" t="n">
        <v>-0.5684</v>
      </c>
      <c r="E3482" t="n">
        <v>15.2525</v>
      </c>
      <c r="F3482" t="n">
        <v>0.09531000000000001</v>
      </c>
    </row>
    <row r="3483">
      <c r="A3483" t="n">
        <v>2001654</v>
      </c>
      <c r="B3483" t="n">
        <v>2</v>
      </c>
      <c r="C3483" t="n">
        <v>1654</v>
      </c>
      <c r="D3483" t="n">
        <v>-0.5684</v>
      </c>
      <c r="E3483" t="n">
        <v>15.2526</v>
      </c>
      <c r="F3483" t="n">
        <v>0.09533</v>
      </c>
    </row>
    <row r="3484">
      <c r="A3484" t="n">
        <v>2001655</v>
      </c>
      <c r="B3484" t="n">
        <v>2</v>
      </c>
      <c r="C3484" t="n">
        <v>1655</v>
      </c>
      <c r="D3484" t="n">
        <v>-0.5684</v>
      </c>
      <c r="E3484" t="n">
        <v>15.2527</v>
      </c>
      <c r="F3484" t="n">
        <v>0.09535</v>
      </c>
    </row>
    <row r="3485">
      <c r="A3485" t="n">
        <v>2001656</v>
      </c>
      <c r="B3485" t="n">
        <v>2</v>
      </c>
      <c r="C3485" t="n">
        <v>1656</v>
      </c>
      <c r="D3485" t="n">
        <v>-0.5684</v>
      </c>
      <c r="E3485" t="n">
        <v>15.2528</v>
      </c>
      <c r="F3485" t="n">
        <v>0.09537</v>
      </c>
    </row>
    <row r="3486">
      <c r="A3486" t="n">
        <v>2001657</v>
      </c>
      <c r="B3486" t="n">
        <v>2</v>
      </c>
      <c r="C3486" t="n">
        <v>1657</v>
      </c>
      <c r="D3486" t="n">
        <v>-0.5684</v>
      </c>
      <c r="E3486" t="n">
        <v>15.2529</v>
      </c>
      <c r="F3486" t="n">
        <v>0.09538000000000001</v>
      </c>
    </row>
    <row r="3487">
      <c r="A3487" t="n">
        <v>2001658</v>
      </c>
      <c r="B3487" t="n">
        <v>2</v>
      </c>
      <c r="C3487" t="n">
        <v>1658</v>
      </c>
      <c r="D3487" t="n">
        <v>-0.5684</v>
      </c>
      <c r="E3487" t="n">
        <v>15.2529</v>
      </c>
      <c r="F3487" t="n">
        <v>0.0954</v>
      </c>
    </row>
    <row r="3488">
      <c r="A3488" t="n">
        <v>2001659</v>
      </c>
      <c r="B3488" t="n">
        <v>2</v>
      </c>
      <c r="C3488" t="n">
        <v>1659</v>
      </c>
      <c r="D3488" t="n">
        <v>-0.5684</v>
      </c>
      <c r="E3488" t="n">
        <v>15.253</v>
      </c>
      <c r="F3488" t="n">
        <v>0.09542</v>
      </c>
    </row>
    <row r="3489">
      <c r="A3489" t="n">
        <v>2001660</v>
      </c>
      <c r="B3489" t="n">
        <v>2</v>
      </c>
      <c r="C3489" t="n">
        <v>1660</v>
      </c>
      <c r="D3489" t="n">
        <v>-0.5684</v>
      </c>
      <c r="E3489" t="n">
        <v>15.2531</v>
      </c>
      <c r="F3489" t="n">
        <v>0.09544</v>
      </c>
    </row>
    <row r="3490">
      <c r="A3490" t="n">
        <v>2001661</v>
      </c>
      <c r="B3490" t="n">
        <v>2</v>
      </c>
      <c r="C3490" t="n">
        <v>1661</v>
      </c>
      <c r="D3490" t="n">
        <v>-0.5684</v>
      </c>
      <c r="E3490" t="n">
        <v>15.2532</v>
      </c>
      <c r="F3490" t="n">
        <v>0.09544999999999999</v>
      </c>
    </row>
    <row r="3491">
      <c r="A3491" t="n">
        <v>2001662</v>
      </c>
      <c r="B3491" t="n">
        <v>2</v>
      </c>
      <c r="C3491" t="n">
        <v>1662</v>
      </c>
      <c r="D3491" t="n">
        <v>-0.5684</v>
      </c>
      <c r="E3491" t="n">
        <v>15.2533</v>
      </c>
      <c r="F3491" t="n">
        <v>0.09547</v>
      </c>
    </row>
    <row r="3492">
      <c r="A3492" t="n">
        <v>2001663</v>
      </c>
      <c r="B3492" t="n">
        <v>2</v>
      </c>
      <c r="C3492" t="n">
        <v>1663</v>
      </c>
      <c r="D3492" t="n">
        <v>-0.5684</v>
      </c>
      <c r="E3492" t="n">
        <v>15.2534</v>
      </c>
      <c r="F3492" t="n">
        <v>0.09549000000000001</v>
      </c>
    </row>
    <row r="3493">
      <c r="A3493" t="n">
        <v>2001664</v>
      </c>
      <c r="B3493" t="n">
        <v>2</v>
      </c>
      <c r="C3493" t="n">
        <v>1664</v>
      </c>
      <c r="D3493" t="n">
        <v>-0.5684</v>
      </c>
      <c r="E3493" t="n">
        <v>15.2534</v>
      </c>
      <c r="F3493" t="n">
        <v>0.0955</v>
      </c>
    </row>
    <row r="3494">
      <c r="A3494" t="n">
        <v>2001665</v>
      </c>
      <c r="B3494" t="n">
        <v>2</v>
      </c>
      <c r="C3494" t="n">
        <v>1665</v>
      </c>
      <c r="D3494" t="n">
        <v>-0.5684</v>
      </c>
      <c r="E3494" t="n">
        <v>15.2535</v>
      </c>
      <c r="F3494" t="n">
        <v>0.09551999999999999</v>
      </c>
    </row>
    <row r="3495">
      <c r="A3495" t="n">
        <v>2001666</v>
      </c>
      <c r="B3495" t="n">
        <v>2</v>
      </c>
      <c r="C3495" t="n">
        <v>1666</v>
      </c>
      <c r="D3495" t="n">
        <v>-0.5684</v>
      </c>
      <c r="E3495" t="n">
        <v>15.2536</v>
      </c>
      <c r="F3495" t="n">
        <v>0.09554</v>
      </c>
    </row>
    <row r="3496">
      <c r="A3496" t="n">
        <v>2001667</v>
      </c>
      <c r="B3496" t="n">
        <v>2</v>
      </c>
      <c r="C3496" t="n">
        <v>1667</v>
      </c>
      <c r="D3496" t="n">
        <v>-0.5684</v>
      </c>
      <c r="E3496" t="n">
        <v>15.2537</v>
      </c>
      <c r="F3496" t="n">
        <v>0.09556000000000001</v>
      </c>
    </row>
    <row r="3497">
      <c r="A3497" t="n">
        <v>2001668</v>
      </c>
      <c r="B3497" t="n">
        <v>2</v>
      </c>
      <c r="C3497" t="n">
        <v>1668</v>
      </c>
      <c r="D3497" t="n">
        <v>-0.5684</v>
      </c>
      <c r="E3497" t="n">
        <v>15.2538</v>
      </c>
      <c r="F3497" t="n">
        <v>0.09557</v>
      </c>
    </row>
    <row r="3498">
      <c r="A3498" t="n">
        <v>2001669</v>
      </c>
      <c r="B3498" t="n">
        <v>2</v>
      </c>
      <c r="C3498" t="n">
        <v>1669</v>
      </c>
      <c r="D3498" t="n">
        <v>-0.5684</v>
      </c>
      <c r="E3498" t="n">
        <v>15.2539</v>
      </c>
      <c r="F3498" t="n">
        <v>0.09558999999999999</v>
      </c>
    </row>
    <row r="3499">
      <c r="A3499" t="n">
        <v>2001670</v>
      </c>
      <c r="B3499" t="n">
        <v>2</v>
      </c>
      <c r="C3499" t="n">
        <v>1670</v>
      </c>
      <c r="D3499" t="n">
        <v>-0.5684</v>
      </c>
      <c r="E3499" t="n">
        <v>15.254</v>
      </c>
      <c r="F3499" t="n">
        <v>0.09561</v>
      </c>
    </row>
    <row r="3500">
      <c r="A3500" t="n">
        <v>2001671</v>
      </c>
      <c r="B3500" t="n">
        <v>2</v>
      </c>
      <c r="C3500" t="n">
        <v>1671</v>
      </c>
      <c r="D3500" t="n">
        <v>-0.5684</v>
      </c>
      <c r="E3500" t="n">
        <v>15.2541</v>
      </c>
      <c r="F3500" t="n">
        <v>0.09562</v>
      </c>
    </row>
    <row r="3501">
      <c r="A3501" t="n">
        <v>2001672</v>
      </c>
      <c r="B3501" t="n">
        <v>2</v>
      </c>
      <c r="C3501" t="n">
        <v>1672</v>
      </c>
      <c r="D3501" t="n">
        <v>-0.5684</v>
      </c>
      <c r="E3501" t="n">
        <v>15.2542</v>
      </c>
      <c r="F3501" t="n">
        <v>0.09564</v>
      </c>
    </row>
    <row r="3502">
      <c r="A3502" t="n">
        <v>2001673</v>
      </c>
      <c r="B3502" t="n">
        <v>2</v>
      </c>
      <c r="C3502" t="n">
        <v>1673</v>
      </c>
      <c r="D3502" t="n">
        <v>-0.5684</v>
      </c>
      <c r="E3502" t="n">
        <v>15.2543</v>
      </c>
      <c r="F3502" t="n">
        <v>0.09566</v>
      </c>
    </row>
    <row r="3503">
      <c r="A3503" t="n">
        <v>2001674</v>
      </c>
      <c r="B3503" t="n">
        <v>2</v>
      </c>
      <c r="C3503" t="n">
        <v>1674</v>
      </c>
      <c r="D3503" t="n">
        <v>-0.5684</v>
      </c>
      <c r="E3503" t="n">
        <v>15.2543</v>
      </c>
      <c r="F3503" t="n">
        <v>0.09567000000000001</v>
      </c>
    </row>
    <row r="3504">
      <c r="A3504" t="n">
        <v>2001675</v>
      </c>
      <c r="B3504" t="n">
        <v>2</v>
      </c>
      <c r="C3504" t="n">
        <v>1675</v>
      </c>
      <c r="D3504" t="n">
        <v>-0.5684</v>
      </c>
      <c r="E3504" t="n">
        <v>15.2544</v>
      </c>
      <c r="F3504" t="n">
        <v>0.09569</v>
      </c>
    </row>
    <row r="3505">
      <c r="A3505" t="n">
        <v>2001676</v>
      </c>
      <c r="B3505" t="n">
        <v>2</v>
      </c>
      <c r="C3505" t="n">
        <v>1676</v>
      </c>
      <c r="D3505" t="n">
        <v>-0.5684</v>
      </c>
      <c r="E3505" t="n">
        <v>15.2545</v>
      </c>
      <c r="F3505" t="n">
        <v>0.09571</v>
      </c>
    </row>
    <row r="3506">
      <c r="A3506" t="n">
        <v>2001677</v>
      </c>
      <c r="B3506" t="n">
        <v>2</v>
      </c>
      <c r="C3506" t="n">
        <v>1677</v>
      </c>
      <c r="D3506" t="n">
        <v>-0.5684</v>
      </c>
      <c r="E3506" t="n">
        <v>15.2546</v>
      </c>
      <c r="F3506" t="n">
        <v>0.09573</v>
      </c>
    </row>
    <row r="3507">
      <c r="A3507" t="n">
        <v>2001678</v>
      </c>
      <c r="B3507" t="n">
        <v>2</v>
      </c>
      <c r="C3507" t="n">
        <v>1678</v>
      </c>
      <c r="D3507" t="n">
        <v>-0.5684</v>
      </c>
      <c r="E3507" t="n">
        <v>15.2547</v>
      </c>
      <c r="F3507" t="n">
        <v>0.09574000000000001</v>
      </c>
    </row>
    <row r="3508">
      <c r="A3508" t="n">
        <v>2001679</v>
      </c>
      <c r="B3508" t="n">
        <v>2</v>
      </c>
      <c r="C3508" t="n">
        <v>1679</v>
      </c>
      <c r="D3508" t="n">
        <v>-0.5684</v>
      </c>
      <c r="E3508" t="n">
        <v>15.2548</v>
      </c>
      <c r="F3508" t="n">
        <v>0.09576</v>
      </c>
    </row>
    <row r="3509">
      <c r="A3509" t="n">
        <v>2001680</v>
      </c>
      <c r="B3509" t="n">
        <v>2</v>
      </c>
      <c r="C3509" t="n">
        <v>1680</v>
      </c>
      <c r="D3509" t="n">
        <v>-0.5684</v>
      </c>
      <c r="E3509" t="n">
        <v>15.2549</v>
      </c>
      <c r="F3509" t="n">
        <v>0.09578</v>
      </c>
    </row>
    <row r="3510">
      <c r="A3510" t="n">
        <v>2001681</v>
      </c>
      <c r="B3510" t="n">
        <v>2</v>
      </c>
      <c r="C3510" t="n">
        <v>1681</v>
      </c>
      <c r="D3510" t="n">
        <v>-0.5684</v>
      </c>
      <c r="E3510" t="n">
        <v>15.255</v>
      </c>
      <c r="F3510" t="n">
        <v>0.09579</v>
      </c>
    </row>
    <row r="3511">
      <c r="A3511" t="n">
        <v>2001682</v>
      </c>
      <c r="B3511" t="n">
        <v>2</v>
      </c>
      <c r="C3511" t="n">
        <v>1682</v>
      </c>
      <c r="D3511" t="n">
        <v>-0.5684</v>
      </c>
      <c r="E3511" t="n">
        <v>15.2551</v>
      </c>
      <c r="F3511" t="n">
        <v>0.09581000000000001</v>
      </c>
    </row>
    <row r="3512">
      <c r="A3512" t="n">
        <v>2001683</v>
      </c>
      <c r="B3512" t="n">
        <v>2</v>
      </c>
      <c r="C3512" t="n">
        <v>1683</v>
      </c>
      <c r="D3512" t="n">
        <v>-0.5684</v>
      </c>
      <c r="E3512" t="n">
        <v>15.2552</v>
      </c>
      <c r="F3512" t="n">
        <v>0.09583</v>
      </c>
    </row>
    <row r="3513">
      <c r="A3513" t="n">
        <v>2001684</v>
      </c>
      <c r="B3513" t="n">
        <v>2</v>
      </c>
      <c r="C3513" t="n">
        <v>1684</v>
      </c>
      <c r="D3513" t="n">
        <v>-0.5684</v>
      </c>
      <c r="E3513" t="n">
        <v>15.2553</v>
      </c>
      <c r="F3513" t="n">
        <v>0.09583999999999999</v>
      </c>
    </row>
    <row r="3514">
      <c r="A3514" t="n">
        <v>2001685</v>
      </c>
      <c r="B3514" t="n">
        <v>2</v>
      </c>
      <c r="C3514" t="n">
        <v>1685</v>
      </c>
      <c r="D3514" t="n">
        <v>-0.5684</v>
      </c>
      <c r="E3514" t="n">
        <v>15.2554</v>
      </c>
      <c r="F3514" t="n">
        <v>0.09586</v>
      </c>
    </row>
    <row r="3515">
      <c r="A3515" t="n">
        <v>2001686</v>
      </c>
      <c r="B3515" t="n">
        <v>2</v>
      </c>
      <c r="C3515" t="n">
        <v>1686</v>
      </c>
      <c r="D3515" t="n">
        <v>-0.5684</v>
      </c>
      <c r="E3515" t="n">
        <v>15.2555</v>
      </c>
      <c r="F3515" t="n">
        <v>0.09588000000000001</v>
      </c>
    </row>
    <row r="3516">
      <c r="A3516" t="n">
        <v>2001687</v>
      </c>
      <c r="B3516" t="n">
        <v>2</v>
      </c>
      <c r="C3516" t="n">
        <v>1687</v>
      </c>
      <c r="D3516" t="n">
        <v>-0.5684</v>
      </c>
      <c r="E3516" t="n">
        <v>15.2556</v>
      </c>
      <c r="F3516" t="n">
        <v>0.09589</v>
      </c>
    </row>
    <row r="3517">
      <c r="A3517" t="n">
        <v>2001688</v>
      </c>
      <c r="B3517" t="n">
        <v>2</v>
      </c>
      <c r="C3517" t="n">
        <v>1688</v>
      </c>
      <c r="D3517" t="n">
        <v>-0.5684</v>
      </c>
      <c r="E3517" t="n">
        <v>15.2557</v>
      </c>
      <c r="F3517" t="n">
        <v>0.09591</v>
      </c>
    </row>
    <row r="3518">
      <c r="A3518" t="n">
        <v>2001689</v>
      </c>
      <c r="B3518" t="n">
        <v>2</v>
      </c>
      <c r="C3518" t="n">
        <v>1689</v>
      </c>
      <c r="D3518" t="n">
        <v>-0.5684</v>
      </c>
      <c r="E3518" t="n">
        <v>15.2558</v>
      </c>
      <c r="F3518" t="n">
        <v>0.09593</v>
      </c>
    </row>
    <row r="3519">
      <c r="A3519" t="n">
        <v>2001690</v>
      </c>
      <c r="B3519" t="n">
        <v>2</v>
      </c>
      <c r="C3519" t="n">
        <v>1690</v>
      </c>
      <c r="D3519" t="n">
        <v>-0.5684</v>
      </c>
      <c r="E3519" t="n">
        <v>15.2559</v>
      </c>
      <c r="F3519" t="n">
        <v>0.09594</v>
      </c>
    </row>
    <row r="3520">
      <c r="A3520" t="n">
        <v>2001691</v>
      </c>
      <c r="B3520" t="n">
        <v>2</v>
      </c>
      <c r="C3520" t="n">
        <v>1691</v>
      </c>
      <c r="D3520" t="n">
        <v>-0.5684</v>
      </c>
      <c r="E3520" t="n">
        <v>15.256</v>
      </c>
      <c r="F3520" t="n">
        <v>0.09596</v>
      </c>
    </row>
    <row r="3521">
      <c r="A3521" t="n">
        <v>2001692</v>
      </c>
      <c r="B3521" t="n">
        <v>2</v>
      </c>
      <c r="C3521" t="n">
        <v>1692</v>
      </c>
      <c r="D3521" t="n">
        <v>-0.5684</v>
      </c>
      <c r="E3521" t="n">
        <v>15.2561</v>
      </c>
      <c r="F3521" t="n">
        <v>0.09597</v>
      </c>
    </row>
    <row r="3522">
      <c r="A3522" t="n">
        <v>2001693</v>
      </c>
      <c r="B3522" t="n">
        <v>2</v>
      </c>
      <c r="C3522" t="n">
        <v>1693</v>
      </c>
      <c r="D3522" t="n">
        <v>-0.5684</v>
      </c>
      <c r="E3522" t="n">
        <v>15.2563</v>
      </c>
      <c r="F3522" t="n">
        <v>0.09599000000000001</v>
      </c>
    </row>
    <row r="3523">
      <c r="A3523" t="n">
        <v>2001694</v>
      </c>
      <c r="B3523" t="n">
        <v>2</v>
      </c>
      <c r="C3523" t="n">
        <v>1694</v>
      </c>
      <c r="D3523" t="n">
        <v>-0.5684</v>
      </c>
      <c r="E3523" t="n">
        <v>15.2564</v>
      </c>
      <c r="F3523" t="n">
        <v>0.09601</v>
      </c>
    </row>
    <row r="3524">
      <c r="A3524" t="n">
        <v>2001695</v>
      </c>
      <c r="B3524" t="n">
        <v>2</v>
      </c>
      <c r="C3524" t="n">
        <v>1695</v>
      </c>
      <c r="D3524" t="n">
        <v>-0.5684</v>
      </c>
      <c r="E3524" t="n">
        <v>15.2565</v>
      </c>
      <c r="F3524" t="n">
        <v>0.09601999999999999</v>
      </c>
    </row>
    <row r="3525">
      <c r="A3525" t="n">
        <v>2001696</v>
      </c>
      <c r="B3525" t="n">
        <v>2</v>
      </c>
      <c r="C3525" t="n">
        <v>1696</v>
      </c>
      <c r="D3525" t="n">
        <v>-0.5684</v>
      </c>
      <c r="E3525" t="n">
        <v>15.2566</v>
      </c>
      <c r="F3525" t="n">
        <v>0.09604</v>
      </c>
    </row>
    <row r="3526">
      <c r="A3526" t="n">
        <v>2001697</v>
      </c>
      <c r="B3526" t="n">
        <v>2</v>
      </c>
      <c r="C3526" t="n">
        <v>1697</v>
      </c>
      <c r="D3526" t="n">
        <v>-0.5684</v>
      </c>
      <c r="E3526" t="n">
        <v>15.2567</v>
      </c>
      <c r="F3526" t="n">
        <v>0.09606000000000001</v>
      </c>
    </row>
    <row r="3527">
      <c r="A3527" t="n">
        <v>2001698</v>
      </c>
      <c r="B3527" t="n">
        <v>2</v>
      </c>
      <c r="C3527" t="n">
        <v>1698</v>
      </c>
      <c r="D3527" t="n">
        <v>-0.5684</v>
      </c>
      <c r="E3527" t="n">
        <v>15.2568</v>
      </c>
      <c r="F3527" t="n">
        <v>0.09607</v>
      </c>
    </row>
    <row r="3528">
      <c r="A3528" t="n">
        <v>2001699</v>
      </c>
      <c r="B3528" t="n">
        <v>2</v>
      </c>
      <c r="C3528" t="n">
        <v>1699</v>
      </c>
      <c r="D3528" t="n">
        <v>-0.5684</v>
      </c>
      <c r="E3528" t="n">
        <v>15.2569</v>
      </c>
      <c r="F3528" t="n">
        <v>0.09608999999999999</v>
      </c>
    </row>
    <row r="3529">
      <c r="A3529" t="n">
        <v>2001700</v>
      </c>
      <c r="B3529" t="n">
        <v>2</v>
      </c>
      <c r="C3529" t="n">
        <v>1700</v>
      </c>
      <c r="D3529" t="n">
        <v>-0.5684</v>
      </c>
      <c r="E3529" t="n">
        <v>15.257</v>
      </c>
      <c r="F3529" t="n">
        <v>0.0961</v>
      </c>
    </row>
    <row r="3530">
      <c r="A3530" t="n">
        <v>2001701</v>
      </c>
      <c r="B3530" t="n">
        <v>2</v>
      </c>
      <c r="C3530" t="n">
        <v>1701</v>
      </c>
      <c r="D3530" t="n">
        <v>-0.5684</v>
      </c>
      <c r="E3530" t="n">
        <v>15.2571</v>
      </c>
      <c r="F3530" t="n">
        <v>0.09612</v>
      </c>
    </row>
    <row r="3531">
      <c r="A3531" t="n">
        <v>2001702</v>
      </c>
      <c r="B3531" t="n">
        <v>2</v>
      </c>
      <c r="C3531" t="n">
        <v>1702</v>
      </c>
      <c r="D3531" t="n">
        <v>-0.5684</v>
      </c>
      <c r="E3531" t="n">
        <v>15.2572</v>
      </c>
      <c r="F3531" t="n">
        <v>0.09614</v>
      </c>
    </row>
    <row r="3532">
      <c r="A3532" t="n">
        <v>2001703</v>
      </c>
      <c r="B3532" t="n">
        <v>2</v>
      </c>
      <c r="C3532" t="n">
        <v>1703</v>
      </c>
      <c r="D3532" t="n">
        <v>-0.5684</v>
      </c>
      <c r="E3532" t="n">
        <v>15.2574</v>
      </c>
      <c r="F3532" t="n">
        <v>0.09615</v>
      </c>
    </row>
    <row r="3533">
      <c r="A3533" t="n">
        <v>2001704</v>
      </c>
      <c r="B3533" t="n">
        <v>2</v>
      </c>
      <c r="C3533" t="n">
        <v>1704</v>
      </c>
      <c r="D3533" t="n">
        <v>-0.5684</v>
      </c>
      <c r="E3533" t="n">
        <v>15.2575</v>
      </c>
      <c r="F3533" t="n">
        <v>0.09617000000000001</v>
      </c>
    </row>
    <row r="3534">
      <c r="A3534" t="n">
        <v>2001705</v>
      </c>
      <c r="B3534" t="n">
        <v>2</v>
      </c>
      <c r="C3534" t="n">
        <v>1705</v>
      </c>
      <c r="D3534" t="n">
        <v>-0.5684</v>
      </c>
      <c r="E3534" t="n">
        <v>15.2576</v>
      </c>
      <c r="F3534" t="n">
        <v>0.09618</v>
      </c>
    </row>
    <row r="3535">
      <c r="A3535" t="n">
        <v>2001706</v>
      </c>
      <c r="B3535" t="n">
        <v>2</v>
      </c>
      <c r="C3535" t="n">
        <v>1706</v>
      </c>
      <c r="D3535" t="n">
        <v>-0.5684</v>
      </c>
      <c r="E3535" t="n">
        <v>15.2577</v>
      </c>
      <c r="F3535" t="n">
        <v>0.09619999999999999</v>
      </c>
    </row>
    <row r="3536">
      <c r="A3536" t="n">
        <v>2001707</v>
      </c>
      <c r="B3536" t="n">
        <v>2</v>
      </c>
      <c r="C3536" t="n">
        <v>1707</v>
      </c>
      <c r="D3536" t="n">
        <v>-0.5684</v>
      </c>
      <c r="E3536" t="n">
        <v>15.2578</v>
      </c>
      <c r="F3536" t="n">
        <v>0.09622</v>
      </c>
    </row>
    <row r="3537">
      <c r="A3537" t="n">
        <v>2001708</v>
      </c>
      <c r="B3537" t="n">
        <v>2</v>
      </c>
      <c r="C3537" t="n">
        <v>1708</v>
      </c>
      <c r="D3537" t="n">
        <v>-0.5684</v>
      </c>
      <c r="E3537" t="n">
        <v>15.2579</v>
      </c>
      <c r="F3537" t="n">
        <v>0.09623</v>
      </c>
    </row>
    <row r="3538">
      <c r="A3538" t="n">
        <v>2001709</v>
      </c>
      <c r="B3538" t="n">
        <v>2</v>
      </c>
      <c r="C3538" t="n">
        <v>1709</v>
      </c>
      <c r="D3538" t="n">
        <v>-0.5684</v>
      </c>
      <c r="E3538" t="n">
        <v>15.258</v>
      </c>
      <c r="F3538" t="n">
        <v>0.09625</v>
      </c>
    </row>
    <row r="3539">
      <c r="A3539" t="n">
        <v>2001710</v>
      </c>
      <c r="B3539" t="n">
        <v>2</v>
      </c>
      <c r="C3539" t="n">
        <v>1710</v>
      </c>
      <c r="D3539" t="n">
        <v>-0.5684</v>
      </c>
      <c r="E3539" t="n">
        <v>15.2582</v>
      </c>
      <c r="F3539" t="n">
        <v>0.09626</v>
      </c>
    </row>
    <row r="3540">
      <c r="A3540" t="n">
        <v>2001711</v>
      </c>
      <c r="B3540" t="n">
        <v>2</v>
      </c>
      <c r="C3540" t="n">
        <v>1711</v>
      </c>
      <c r="D3540" t="n">
        <v>-0.5684</v>
      </c>
      <c r="E3540" t="n">
        <v>15.2583</v>
      </c>
      <c r="F3540" t="n">
        <v>0.09628</v>
      </c>
    </row>
    <row r="3541">
      <c r="A3541" t="n">
        <v>2001712</v>
      </c>
      <c r="B3541" t="n">
        <v>2</v>
      </c>
      <c r="C3541" t="n">
        <v>1712</v>
      </c>
      <c r="D3541" t="n">
        <v>-0.5684</v>
      </c>
      <c r="E3541" t="n">
        <v>15.2584</v>
      </c>
      <c r="F3541" t="n">
        <v>0.0963</v>
      </c>
    </row>
    <row r="3542">
      <c r="A3542" t="n">
        <v>2001713</v>
      </c>
      <c r="B3542" t="n">
        <v>2</v>
      </c>
      <c r="C3542" t="n">
        <v>1713</v>
      </c>
      <c r="D3542" t="n">
        <v>-0.5684</v>
      </c>
      <c r="E3542" t="n">
        <v>15.2585</v>
      </c>
      <c r="F3542" t="n">
        <v>0.09631000000000001</v>
      </c>
    </row>
    <row r="3543">
      <c r="A3543" t="n">
        <v>2001714</v>
      </c>
      <c r="B3543" t="n">
        <v>2</v>
      </c>
      <c r="C3543" t="n">
        <v>1714</v>
      </c>
      <c r="D3543" t="n">
        <v>-0.5684</v>
      </c>
      <c r="E3543" t="n">
        <v>15.2586</v>
      </c>
      <c r="F3543" t="n">
        <v>0.09633</v>
      </c>
    </row>
    <row r="3544">
      <c r="A3544" t="n">
        <v>2001715</v>
      </c>
      <c r="B3544" t="n">
        <v>2</v>
      </c>
      <c r="C3544" t="n">
        <v>1715</v>
      </c>
      <c r="D3544" t="n">
        <v>-0.5684</v>
      </c>
      <c r="E3544" t="n">
        <v>15.2587</v>
      </c>
      <c r="F3544" t="n">
        <v>0.09634</v>
      </c>
    </row>
    <row r="3545">
      <c r="A3545" t="n">
        <v>2001716</v>
      </c>
      <c r="B3545" t="n">
        <v>2</v>
      </c>
      <c r="C3545" t="n">
        <v>1716</v>
      </c>
      <c r="D3545" t="n">
        <v>-0.5684</v>
      </c>
      <c r="E3545" t="n">
        <v>15.2589</v>
      </c>
      <c r="F3545" t="n">
        <v>0.09636</v>
      </c>
    </row>
    <row r="3546">
      <c r="A3546" t="n">
        <v>2001717</v>
      </c>
      <c r="B3546" t="n">
        <v>2</v>
      </c>
      <c r="C3546" t="n">
        <v>1717</v>
      </c>
      <c r="D3546" t="n">
        <v>-0.5684</v>
      </c>
      <c r="E3546" t="n">
        <v>15.259</v>
      </c>
      <c r="F3546" t="n">
        <v>0.09637</v>
      </c>
    </row>
    <row r="3547">
      <c r="A3547" t="n">
        <v>2001718</v>
      </c>
      <c r="B3547" t="n">
        <v>2</v>
      </c>
      <c r="C3547" t="n">
        <v>1718</v>
      </c>
      <c r="D3547" t="n">
        <v>-0.5684</v>
      </c>
      <c r="E3547" t="n">
        <v>15.2591</v>
      </c>
      <c r="F3547" t="n">
        <v>0.09639</v>
      </c>
    </row>
    <row r="3548">
      <c r="A3548" t="n">
        <v>2001719</v>
      </c>
      <c r="B3548" t="n">
        <v>2</v>
      </c>
      <c r="C3548" t="n">
        <v>1719</v>
      </c>
      <c r="D3548" t="n">
        <v>-0.5684</v>
      </c>
      <c r="E3548" t="n">
        <v>15.2592</v>
      </c>
      <c r="F3548" t="n">
        <v>0.09641</v>
      </c>
    </row>
    <row r="3549">
      <c r="A3549" t="n">
        <v>2001720</v>
      </c>
      <c r="B3549" t="n">
        <v>2</v>
      </c>
      <c r="C3549" t="n">
        <v>1720</v>
      </c>
      <c r="D3549" t="n">
        <v>-0.5684</v>
      </c>
      <c r="E3549" t="n">
        <v>15.2593</v>
      </c>
      <c r="F3549" t="n">
        <v>0.09642000000000001</v>
      </c>
    </row>
    <row r="3550">
      <c r="A3550" t="n">
        <v>2001721</v>
      </c>
      <c r="B3550" t="n">
        <v>2</v>
      </c>
      <c r="C3550" t="n">
        <v>1721</v>
      </c>
      <c r="D3550" t="n">
        <v>-0.5684</v>
      </c>
      <c r="E3550" t="n">
        <v>15.2595</v>
      </c>
      <c r="F3550" t="n">
        <v>0.09644</v>
      </c>
    </row>
    <row r="3551">
      <c r="A3551" t="n">
        <v>2001722</v>
      </c>
      <c r="B3551" t="n">
        <v>2</v>
      </c>
      <c r="C3551" t="n">
        <v>1722</v>
      </c>
      <c r="D3551" t="n">
        <v>-0.5684</v>
      </c>
      <c r="E3551" t="n">
        <v>15.2596</v>
      </c>
      <c r="F3551" t="n">
        <v>0.09644999999999999</v>
      </c>
    </row>
    <row r="3552">
      <c r="A3552" t="n">
        <v>2001723</v>
      </c>
      <c r="B3552" t="n">
        <v>2</v>
      </c>
      <c r="C3552" t="n">
        <v>1723</v>
      </c>
      <c r="D3552" t="n">
        <v>-0.5684</v>
      </c>
      <c r="E3552" t="n">
        <v>15.2597</v>
      </c>
      <c r="F3552" t="n">
        <v>0.09647</v>
      </c>
    </row>
    <row r="3553">
      <c r="A3553" t="n">
        <v>2001724</v>
      </c>
      <c r="B3553" t="n">
        <v>2</v>
      </c>
      <c r="C3553" t="n">
        <v>1724</v>
      </c>
      <c r="D3553" t="n">
        <v>-0.5684</v>
      </c>
      <c r="E3553" t="n">
        <v>15.2598</v>
      </c>
      <c r="F3553" t="n">
        <v>0.09648</v>
      </c>
    </row>
    <row r="3554">
      <c r="A3554" t="n">
        <v>2001725</v>
      </c>
      <c r="B3554" t="n">
        <v>2</v>
      </c>
      <c r="C3554" t="n">
        <v>1725</v>
      </c>
      <c r="D3554" t="n">
        <v>-0.5684</v>
      </c>
      <c r="E3554" t="n">
        <v>15.2599</v>
      </c>
      <c r="F3554" t="n">
        <v>0.0965</v>
      </c>
    </row>
    <row r="3555">
      <c r="A3555" t="n">
        <v>2001726</v>
      </c>
      <c r="B3555" t="n">
        <v>2</v>
      </c>
      <c r="C3555" t="n">
        <v>1726</v>
      </c>
      <c r="D3555" t="n">
        <v>-0.5684</v>
      </c>
      <c r="E3555" t="n">
        <v>15.2601</v>
      </c>
      <c r="F3555" t="n">
        <v>0.09651</v>
      </c>
    </row>
    <row r="3556">
      <c r="A3556" t="n">
        <v>2001727</v>
      </c>
      <c r="B3556" t="n">
        <v>2</v>
      </c>
      <c r="C3556" t="n">
        <v>1727</v>
      </c>
      <c r="D3556" t="n">
        <v>-0.5684</v>
      </c>
      <c r="E3556" t="n">
        <v>15.2602</v>
      </c>
      <c r="F3556" t="n">
        <v>0.09653</v>
      </c>
    </row>
    <row r="3557">
      <c r="A3557" t="n">
        <v>2001728</v>
      </c>
      <c r="B3557" t="n">
        <v>2</v>
      </c>
      <c r="C3557" t="n">
        <v>1728</v>
      </c>
      <c r="D3557" t="n">
        <v>-0.5684</v>
      </c>
      <c r="E3557" t="n">
        <v>15.2603</v>
      </c>
      <c r="F3557" t="n">
        <v>0.09654</v>
      </c>
    </row>
    <row r="3558">
      <c r="A3558" t="n">
        <v>2001729</v>
      </c>
      <c r="B3558" t="n">
        <v>2</v>
      </c>
      <c r="C3558" t="n">
        <v>1729</v>
      </c>
      <c r="D3558" t="n">
        <v>-0.5684</v>
      </c>
      <c r="E3558" t="n">
        <v>15.2604</v>
      </c>
      <c r="F3558" t="n">
        <v>0.09656000000000001</v>
      </c>
    </row>
    <row r="3559">
      <c r="A3559" t="n">
        <v>2001730</v>
      </c>
      <c r="B3559" t="n">
        <v>2</v>
      </c>
      <c r="C3559" t="n">
        <v>1730</v>
      </c>
      <c r="D3559" t="n">
        <v>-0.5684</v>
      </c>
      <c r="E3559" t="n">
        <v>15.2606</v>
      </c>
      <c r="F3559" t="n">
        <v>0.09657</v>
      </c>
    </row>
    <row r="3560">
      <c r="A3560" t="n">
        <v>2001731</v>
      </c>
      <c r="B3560" t="n">
        <v>2</v>
      </c>
      <c r="C3560" t="n">
        <v>1731</v>
      </c>
      <c r="D3560" t="n">
        <v>-0.5684</v>
      </c>
      <c r="E3560" t="n">
        <v>15.2607</v>
      </c>
      <c r="F3560" t="n">
        <v>0.09659</v>
      </c>
    </row>
    <row r="3561">
      <c r="A3561" t="n">
        <v>2001732</v>
      </c>
      <c r="B3561" t="n">
        <v>2</v>
      </c>
      <c r="C3561" t="n">
        <v>1732</v>
      </c>
      <c r="D3561" t="n">
        <v>-0.5684</v>
      </c>
      <c r="E3561" t="n">
        <v>15.2608</v>
      </c>
      <c r="F3561" t="n">
        <v>0.09660000000000001</v>
      </c>
    </row>
    <row r="3562">
      <c r="A3562" t="n">
        <v>2001733</v>
      </c>
      <c r="B3562" t="n">
        <v>2</v>
      </c>
      <c r="C3562" t="n">
        <v>1733</v>
      </c>
      <c r="D3562" t="n">
        <v>-0.5684</v>
      </c>
      <c r="E3562" t="n">
        <v>15.261</v>
      </c>
      <c r="F3562" t="n">
        <v>0.09662</v>
      </c>
    </row>
    <row r="3563">
      <c r="A3563" t="n">
        <v>2001734</v>
      </c>
      <c r="B3563" t="n">
        <v>2</v>
      </c>
      <c r="C3563" t="n">
        <v>1734</v>
      </c>
      <c r="D3563" t="n">
        <v>-0.5684</v>
      </c>
      <c r="E3563" t="n">
        <v>15.2611</v>
      </c>
      <c r="F3563" t="n">
        <v>0.09662999999999999</v>
      </c>
    </row>
    <row r="3564">
      <c r="A3564" t="n">
        <v>2001735</v>
      </c>
      <c r="B3564" t="n">
        <v>2</v>
      </c>
      <c r="C3564" t="n">
        <v>1735</v>
      </c>
      <c r="D3564" t="n">
        <v>-0.5684</v>
      </c>
      <c r="E3564" t="n">
        <v>15.2612</v>
      </c>
      <c r="F3564" t="n">
        <v>0.09665</v>
      </c>
    </row>
    <row r="3565">
      <c r="A3565" t="n">
        <v>2001736</v>
      </c>
      <c r="B3565" t="n">
        <v>2</v>
      </c>
      <c r="C3565" t="n">
        <v>1736</v>
      </c>
      <c r="D3565" t="n">
        <v>-0.5684</v>
      </c>
      <c r="E3565" t="n">
        <v>15.2613</v>
      </c>
      <c r="F3565" t="n">
        <v>0.09666</v>
      </c>
    </row>
    <row r="3566">
      <c r="A3566" t="n">
        <v>2001737</v>
      </c>
      <c r="B3566" t="n">
        <v>2</v>
      </c>
      <c r="C3566" t="n">
        <v>1737</v>
      </c>
      <c r="D3566" t="n">
        <v>-0.5684</v>
      </c>
      <c r="E3566" t="n">
        <v>15.2615</v>
      </c>
      <c r="F3566" t="n">
        <v>0.09668</v>
      </c>
    </row>
    <row r="3567">
      <c r="A3567" t="n">
        <v>2001738</v>
      </c>
      <c r="B3567" t="n">
        <v>2</v>
      </c>
      <c r="C3567" t="n">
        <v>1738</v>
      </c>
      <c r="D3567" t="n">
        <v>-0.5684</v>
      </c>
      <c r="E3567" t="n">
        <v>15.2616</v>
      </c>
      <c r="F3567" t="n">
        <v>0.09669</v>
      </c>
    </row>
    <row r="3568">
      <c r="A3568" t="n">
        <v>2001739</v>
      </c>
      <c r="B3568" t="n">
        <v>2</v>
      </c>
      <c r="C3568" t="n">
        <v>1739</v>
      </c>
      <c r="D3568" t="n">
        <v>-0.5684</v>
      </c>
      <c r="E3568" t="n">
        <v>15.2617</v>
      </c>
      <c r="F3568" t="n">
        <v>0.09671</v>
      </c>
    </row>
    <row r="3569">
      <c r="A3569" t="n">
        <v>2001740</v>
      </c>
      <c r="B3569" t="n">
        <v>2</v>
      </c>
      <c r="C3569" t="n">
        <v>1740</v>
      </c>
      <c r="D3569" t="n">
        <v>-0.5684</v>
      </c>
      <c r="E3569" t="n">
        <v>15.2619</v>
      </c>
      <c r="F3569" t="n">
        <v>0.09672</v>
      </c>
    </row>
    <row r="3570">
      <c r="A3570" t="n">
        <v>2001741</v>
      </c>
      <c r="B3570" t="n">
        <v>2</v>
      </c>
      <c r="C3570" t="n">
        <v>1741</v>
      </c>
      <c r="D3570" t="n">
        <v>-0.5684</v>
      </c>
      <c r="E3570" t="n">
        <v>15.262</v>
      </c>
      <c r="F3570" t="n">
        <v>0.09674000000000001</v>
      </c>
    </row>
    <row r="3571">
      <c r="A3571" t="n">
        <v>2001742</v>
      </c>
      <c r="B3571" t="n">
        <v>2</v>
      </c>
      <c r="C3571" t="n">
        <v>1742</v>
      </c>
      <c r="D3571" t="n">
        <v>-0.5684</v>
      </c>
      <c r="E3571" t="n">
        <v>15.2621</v>
      </c>
      <c r="F3571" t="n">
        <v>0.09675</v>
      </c>
    </row>
    <row r="3572">
      <c r="A3572" t="n">
        <v>2001743</v>
      </c>
      <c r="B3572" t="n">
        <v>2</v>
      </c>
      <c r="C3572" t="n">
        <v>1743</v>
      </c>
      <c r="D3572" t="n">
        <v>-0.5684</v>
      </c>
      <c r="E3572" t="n">
        <v>15.2622</v>
      </c>
      <c r="F3572" t="n">
        <v>0.09676999999999999</v>
      </c>
    </row>
    <row r="3573">
      <c r="A3573" t="n">
        <v>2001744</v>
      </c>
      <c r="B3573" t="n">
        <v>2</v>
      </c>
      <c r="C3573" t="n">
        <v>1744</v>
      </c>
      <c r="D3573" t="n">
        <v>-0.5684</v>
      </c>
      <c r="E3573" t="n">
        <v>15.2624</v>
      </c>
      <c r="F3573" t="n">
        <v>0.09678</v>
      </c>
    </row>
    <row r="3574">
      <c r="A3574" t="n">
        <v>2001745</v>
      </c>
      <c r="B3574" t="n">
        <v>2</v>
      </c>
      <c r="C3574" t="n">
        <v>1745</v>
      </c>
      <c r="D3574" t="n">
        <v>-0.5684</v>
      </c>
      <c r="E3574" t="n">
        <v>15.2625</v>
      </c>
      <c r="F3574" t="n">
        <v>0.0968</v>
      </c>
    </row>
    <row r="3575">
      <c r="A3575" t="n">
        <v>2001746</v>
      </c>
      <c r="B3575" t="n">
        <v>2</v>
      </c>
      <c r="C3575" t="n">
        <v>1746</v>
      </c>
      <c r="D3575" t="n">
        <v>-0.5684</v>
      </c>
      <c r="E3575" t="n">
        <v>15.2626</v>
      </c>
      <c r="F3575" t="n">
        <v>0.09680999999999999</v>
      </c>
    </row>
    <row r="3576">
      <c r="A3576" t="n">
        <v>2001747</v>
      </c>
      <c r="B3576" t="n">
        <v>2</v>
      </c>
      <c r="C3576" t="n">
        <v>1747</v>
      </c>
      <c r="D3576" t="n">
        <v>-0.5684</v>
      </c>
      <c r="E3576" t="n">
        <v>15.2628</v>
      </c>
      <c r="F3576" t="n">
        <v>0.09683</v>
      </c>
    </row>
    <row r="3577">
      <c r="A3577" t="n">
        <v>2001748</v>
      </c>
      <c r="B3577" t="n">
        <v>2</v>
      </c>
      <c r="C3577" t="n">
        <v>1748</v>
      </c>
      <c r="D3577" t="n">
        <v>-0.5684</v>
      </c>
      <c r="E3577" t="n">
        <v>15.2629</v>
      </c>
      <c r="F3577" t="n">
        <v>0.09684</v>
      </c>
    </row>
    <row r="3578">
      <c r="A3578" t="n">
        <v>2001749</v>
      </c>
      <c r="B3578" t="n">
        <v>2</v>
      </c>
      <c r="C3578" t="n">
        <v>1749</v>
      </c>
      <c r="D3578" t="n">
        <v>-0.5684</v>
      </c>
      <c r="E3578" t="n">
        <v>15.263</v>
      </c>
      <c r="F3578" t="n">
        <v>0.09686</v>
      </c>
    </row>
    <row r="3579">
      <c r="A3579" t="n">
        <v>2001750</v>
      </c>
      <c r="B3579" t="n">
        <v>2</v>
      </c>
      <c r="C3579" t="n">
        <v>1750</v>
      </c>
      <c r="D3579" t="n">
        <v>-0.5684</v>
      </c>
      <c r="E3579" t="n">
        <v>15.2632</v>
      </c>
      <c r="F3579" t="n">
        <v>0.09687</v>
      </c>
    </row>
    <row r="3580">
      <c r="A3580" t="n">
        <v>2001751</v>
      </c>
      <c r="B3580" t="n">
        <v>2</v>
      </c>
      <c r="C3580" t="n">
        <v>1751</v>
      </c>
      <c r="D3580" t="n">
        <v>-0.5684</v>
      </c>
      <c r="E3580" t="n">
        <v>15.2633</v>
      </c>
      <c r="F3580" t="n">
        <v>0.09687999999999999</v>
      </c>
    </row>
    <row r="3581">
      <c r="A3581" t="n">
        <v>2001752</v>
      </c>
      <c r="B3581" t="n">
        <v>2</v>
      </c>
      <c r="C3581" t="n">
        <v>1752</v>
      </c>
      <c r="D3581" t="n">
        <v>-0.5684</v>
      </c>
      <c r="E3581" t="n">
        <v>15.2635</v>
      </c>
      <c r="F3581" t="n">
        <v>0.0969</v>
      </c>
    </row>
    <row r="3582">
      <c r="A3582" t="n">
        <v>2001753</v>
      </c>
      <c r="B3582" t="n">
        <v>2</v>
      </c>
      <c r="C3582" t="n">
        <v>1753</v>
      </c>
      <c r="D3582" t="n">
        <v>-0.5684</v>
      </c>
      <c r="E3582" t="n">
        <v>15.2636</v>
      </c>
      <c r="F3582" t="n">
        <v>0.09691</v>
      </c>
    </row>
    <row r="3583">
      <c r="A3583" t="n">
        <v>2001754</v>
      </c>
      <c r="B3583" t="n">
        <v>2</v>
      </c>
      <c r="C3583" t="n">
        <v>1754</v>
      </c>
      <c r="D3583" t="n">
        <v>-0.5684</v>
      </c>
      <c r="E3583" t="n">
        <v>15.2637</v>
      </c>
      <c r="F3583" t="n">
        <v>0.09693</v>
      </c>
    </row>
    <row r="3584">
      <c r="A3584" t="n">
        <v>2001755</v>
      </c>
      <c r="B3584" t="n">
        <v>2</v>
      </c>
      <c r="C3584" t="n">
        <v>1755</v>
      </c>
      <c r="D3584" t="n">
        <v>-0.5684</v>
      </c>
      <c r="E3584" t="n">
        <v>15.2639</v>
      </c>
      <c r="F3584" t="n">
        <v>0.09694</v>
      </c>
    </row>
    <row r="3585">
      <c r="A3585" t="n">
        <v>2001756</v>
      </c>
      <c r="B3585" t="n">
        <v>2</v>
      </c>
      <c r="C3585" t="n">
        <v>1756</v>
      </c>
      <c r="D3585" t="n">
        <v>-0.5684</v>
      </c>
      <c r="E3585" t="n">
        <v>15.264</v>
      </c>
      <c r="F3585" t="n">
        <v>0.09696</v>
      </c>
    </row>
    <row r="3586">
      <c r="A3586" t="n">
        <v>2001757</v>
      </c>
      <c r="B3586" t="n">
        <v>2</v>
      </c>
      <c r="C3586" t="n">
        <v>1757</v>
      </c>
      <c r="D3586" t="n">
        <v>-0.5684</v>
      </c>
      <c r="E3586" t="n">
        <v>15.2641</v>
      </c>
      <c r="F3586" t="n">
        <v>0.09697</v>
      </c>
    </row>
    <row r="3587">
      <c r="A3587" t="n">
        <v>2001758</v>
      </c>
      <c r="B3587" t="n">
        <v>2</v>
      </c>
      <c r="C3587" t="n">
        <v>1758</v>
      </c>
      <c r="D3587" t="n">
        <v>-0.5684</v>
      </c>
      <c r="E3587" t="n">
        <v>15.2643</v>
      </c>
      <c r="F3587" t="n">
        <v>0.09699000000000001</v>
      </c>
    </row>
    <row r="3588">
      <c r="A3588" t="n">
        <v>2001759</v>
      </c>
      <c r="B3588" t="n">
        <v>2</v>
      </c>
      <c r="C3588" t="n">
        <v>1759</v>
      </c>
      <c r="D3588" t="n">
        <v>-0.5684</v>
      </c>
      <c r="E3588" t="n">
        <v>15.2644</v>
      </c>
      <c r="F3588" t="n">
        <v>0.097</v>
      </c>
    </row>
    <row r="3589">
      <c r="A3589" t="n">
        <v>2001760</v>
      </c>
      <c r="B3589" t="n">
        <v>2</v>
      </c>
      <c r="C3589" t="n">
        <v>1760</v>
      </c>
      <c r="D3589" t="n">
        <v>-0.5684</v>
      </c>
      <c r="E3589" t="n">
        <v>15.2646</v>
      </c>
      <c r="F3589" t="n">
        <v>0.09701</v>
      </c>
    </row>
    <row r="3590">
      <c r="A3590" t="n">
        <v>2001761</v>
      </c>
      <c r="B3590" t="n">
        <v>2</v>
      </c>
      <c r="C3590" t="n">
        <v>1761</v>
      </c>
      <c r="D3590" t="n">
        <v>-0.5684</v>
      </c>
      <c r="E3590" t="n">
        <v>15.2647</v>
      </c>
      <c r="F3590" t="n">
        <v>0.09703000000000001</v>
      </c>
    </row>
    <row r="3591">
      <c r="A3591" t="n">
        <v>2001762</v>
      </c>
      <c r="B3591" t="n">
        <v>2</v>
      </c>
      <c r="C3591" t="n">
        <v>1762</v>
      </c>
      <c r="D3591" t="n">
        <v>-0.5684</v>
      </c>
      <c r="E3591" t="n">
        <v>15.2648</v>
      </c>
      <c r="F3591" t="n">
        <v>0.09704</v>
      </c>
    </row>
    <row r="3592">
      <c r="A3592" t="n">
        <v>2001763</v>
      </c>
      <c r="B3592" t="n">
        <v>2</v>
      </c>
      <c r="C3592" t="n">
        <v>1763</v>
      </c>
      <c r="D3592" t="n">
        <v>-0.5684</v>
      </c>
      <c r="E3592" t="n">
        <v>15.265</v>
      </c>
      <c r="F3592" t="n">
        <v>0.09705999999999999</v>
      </c>
    </row>
    <row r="3593">
      <c r="A3593" t="n">
        <v>2001764</v>
      </c>
      <c r="B3593" t="n">
        <v>2</v>
      </c>
      <c r="C3593" t="n">
        <v>1764</v>
      </c>
      <c r="D3593" t="n">
        <v>-0.5684</v>
      </c>
      <c r="E3593" t="n">
        <v>15.2651</v>
      </c>
      <c r="F3593" t="n">
        <v>0.09707</v>
      </c>
    </row>
    <row r="3594">
      <c r="A3594" t="n">
        <v>2001765</v>
      </c>
      <c r="B3594" t="n">
        <v>2</v>
      </c>
      <c r="C3594" t="n">
        <v>1765</v>
      </c>
      <c r="D3594" t="n">
        <v>-0.5684</v>
      </c>
      <c r="E3594" t="n">
        <v>15.2653</v>
      </c>
      <c r="F3594" t="n">
        <v>0.09708</v>
      </c>
    </row>
    <row r="3595">
      <c r="A3595" t="n">
        <v>2001766</v>
      </c>
      <c r="B3595" t="n">
        <v>2</v>
      </c>
      <c r="C3595" t="n">
        <v>1766</v>
      </c>
      <c r="D3595" t="n">
        <v>-0.5684</v>
      </c>
      <c r="E3595" t="n">
        <v>15.2654</v>
      </c>
      <c r="F3595" t="n">
        <v>0.09710000000000001</v>
      </c>
    </row>
    <row r="3596">
      <c r="A3596" t="n">
        <v>2001767</v>
      </c>
      <c r="B3596" t="n">
        <v>2</v>
      </c>
      <c r="C3596" t="n">
        <v>1767</v>
      </c>
      <c r="D3596" t="n">
        <v>-0.5684</v>
      </c>
      <c r="E3596" t="n">
        <v>15.2655</v>
      </c>
      <c r="F3596" t="n">
        <v>0.09711</v>
      </c>
    </row>
    <row r="3597">
      <c r="A3597" t="n">
        <v>2001768</v>
      </c>
      <c r="B3597" t="n">
        <v>2</v>
      </c>
      <c r="C3597" t="n">
        <v>1768</v>
      </c>
      <c r="D3597" t="n">
        <v>-0.5684</v>
      </c>
      <c r="E3597" t="n">
        <v>15.2657</v>
      </c>
      <c r="F3597" t="n">
        <v>0.09712999999999999</v>
      </c>
    </row>
    <row r="3598">
      <c r="A3598" t="n">
        <v>2001769</v>
      </c>
      <c r="B3598" t="n">
        <v>2</v>
      </c>
      <c r="C3598" t="n">
        <v>1769</v>
      </c>
      <c r="D3598" t="n">
        <v>-0.5684</v>
      </c>
      <c r="E3598" t="n">
        <v>15.2658</v>
      </c>
      <c r="F3598" t="n">
        <v>0.09714</v>
      </c>
    </row>
    <row r="3599">
      <c r="A3599" t="n">
        <v>2001770</v>
      </c>
      <c r="B3599" t="n">
        <v>2</v>
      </c>
      <c r="C3599" t="n">
        <v>1770</v>
      </c>
      <c r="D3599" t="n">
        <v>-0.5684</v>
      </c>
      <c r="E3599" t="n">
        <v>15.266</v>
      </c>
      <c r="F3599" t="n">
        <v>0.09715</v>
      </c>
    </row>
    <row r="3600">
      <c r="A3600" t="n">
        <v>2001771</v>
      </c>
      <c r="B3600" t="n">
        <v>2</v>
      </c>
      <c r="C3600" t="n">
        <v>1771</v>
      </c>
      <c r="D3600" t="n">
        <v>-0.5684</v>
      </c>
      <c r="E3600" t="n">
        <v>15.2661</v>
      </c>
      <c r="F3600" t="n">
        <v>0.09717000000000001</v>
      </c>
    </row>
    <row r="3601">
      <c r="A3601" t="n">
        <v>2001772</v>
      </c>
      <c r="B3601" t="n">
        <v>2</v>
      </c>
      <c r="C3601" t="n">
        <v>1772</v>
      </c>
      <c r="D3601" t="n">
        <v>-0.5684</v>
      </c>
      <c r="E3601" t="n">
        <v>15.2663</v>
      </c>
      <c r="F3601" t="n">
        <v>0.09718</v>
      </c>
    </row>
    <row r="3602">
      <c r="A3602" t="n">
        <v>2001773</v>
      </c>
      <c r="B3602" t="n">
        <v>2</v>
      </c>
      <c r="C3602" t="n">
        <v>1773</v>
      </c>
      <c r="D3602" t="n">
        <v>-0.5684</v>
      </c>
      <c r="E3602" t="n">
        <v>15.2664</v>
      </c>
      <c r="F3602" t="n">
        <v>0.09719999999999999</v>
      </c>
    </row>
    <row r="3603">
      <c r="A3603" t="n">
        <v>2001774</v>
      </c>
      <c r="B3603" t="n">
        <v>2</v>
      </c>
      <c r="C3603" t="n">
        <v>1774</v>
      </c>
      <c r="D3603" t="n">
        <v>-0.5684</v>
      </c>
      <c r="E3603" t="n">
        <v>15.2665</v>
      </c>
      <c r="F3603" t="n">
        <v>0.09721</v>
      </c>
    </row>
    <row r="3604">
      <c r="A3604" t="n">
        <v>2001775</v>
      </c>
      <c r="B3604" t="n">
        <v>2</v>
      </c>
      <c r="C3604" t="n">
        <v>1775</v>
      </c>
      <c r="D3604" t="n">
        <v>-0.5684</v>
      </c>
      <c r="E3604" t="n">
        <v>15.2667</v>
      </c>
      <c r="F3604" t="n">
        <v>0.09722</v>
      </c>
    </row>
    <row r="3605">
      <c r="A3605" t="n">
        <v>2001776</v>
      </c>
      <c r="B3605" t="n">
        <v>2</v>
      </c>
      <c r="C3605" t="n">
        <v>1776</v>
      </c>
      <c r="D3605" t="n">
        <v>-0.5684</v>
      </c>
      <c r="E3605" t="n">
        <v>15.2668</v>
      </c>
      <c r="F3605" t="n">
        <v>0.09723999999999999</v>
      </c>
    </row>
    <row r="3606">
      <c r="A3606" t="n">
        <v>2001777</v>
      </c>
      <c r="B3606" t="n">
        <v>2</v>
      </c>
      <c r="C3606" t="n">
        <v>1777</v>
      </c>
      <c r="D3606" t="n">
        <v>-0.5684</v>
      </c>
      <c r="E3606" t="n">
        <v>15.267</v>
      </c>
      <c r="F3606" t="n">
        <v>0.09725</v>
      </c>
    </row>
    <row r="3607">
      <c r="A3607" t="n">
        <v>2001778</v>
      </c>
      <c r="B3607" t="n">
        <v>2</v>
      </c>
      <c r="C3607" t="n">
        <v>1778</v>
      </c>
      <c r="D3607" t="n">
        <v>-0.5684</v>
      </c>
      <c r="E3607" t="n">
        <v>15.2671</v>
      </c>
      <c r="F3607" t="n">
        <v>0.09726</v>
      </c>
    </row>
    <row r="3608">
      <c r="A3608" t="n">
        <v>2001779</v>
      </c>
      <c r="B3608" t="n">
        <v>2</v>
      </c>
      <c r="C3608" t="n">
        <v>1779</v>
      </c>
      <c r="D3608" t="n">
        <v>-0.5684</v>
      </c>
      <c r="E3608" t="n">
        <v>15.2673</v>
      </c>
      <c r="F3608" t="n">
        <v>0.09728000000000001</v>
      </c>
    </row>
    <row r="3609">
      <c r="A3609" t="n">
        <v>2001780</v>
      </c>
      <c r="B3609" t="n">
        <v>2</v>
      </c>
      <c r="C3609" t="n">
        <v>1780</v>
      </c>
      <c r="D3609" t="n">
        <v>-0.5684</v>
      </c>
      <c r="E3609" t="n">
        <v>15.2674</v>
      </c>
      <c r="F3609" t="n">
        <v>0.09729</v>
      </c>
    </row>
    <row r="3610">
      <c r="A3610" t="n">
        <v>2001781</v>
      </c>
      <c r="B3610" t="n">
        <v>2</v>
      </c>
      <c r="C3610" t="n">
        <v>1781</v>
      </c>
      <c r="D3610" t="n">
        <v>-0.5684</v>
      </c>
      <c r="E3610" t="n">
        <v>15.2676</v>
      </c>
      <c r="F3610" t="n">
        <v>0.0973</v>
      </c>
    </row>
    <row r="3611">
      <c r="A3611" t="n">
        <v>2001782</v>
      </c>
      <c r="B3611" t="n">
        <v>2</v>
      </c>
      <c r="C3611" t="n">
        <v>1782</v>
      </c>
      <c r="D3611" t="n">
        <v>-0.5684</v>
      </c>
      <c r="E3611" t="n">
        <v>15.2677</v>
      </c>
      <c r="F3611" t="n">
        <v>0.09732</v>
      </c>
    </row>
    <row r="3612">
      <c r="A3612" t="n">
        <v>2001783</v>
      </c>
      <c r="B3612" t="n">
        <v>2</v>
      </c>
      <c r="C3612" t="n">
        <v>1783</v>
      </c>
      <c r="D3612" t="n">
        <v>-0.5684</v>
      </c>
      <c r="E3612" t="n">
        <v>15.2679</v>
      </c>
      <c r="F3612" t="n">
        <v>0.09733</v>
      </c>
    </row>
    <row r="3613">
      <c r="A3613" t="n">
        <v>2001784</v>
      </c>
      <c r="B3613" t="n">
        <v>2</v>
      </c>
      <c r="C3613" t="n">
        <v>1784</v>
      </c>
      <c r="D3613" t="n">
        <v>-0.5684</v>
      </c>
      <c r="E3613" t="n">
        <v>15.268</v>
      </c>
      <c r="F3613" t="n">
        <v>0.09734</v>
      </c>
    </row>
    <row r="3614">
      <c r="A3614" t="n">
        <v>2001785</v>
      </c>
      <c r="B3614" t="n">
        <v>2</v>
      </c>
      <c r="C3614" t="n">
        <v>1785</v>
      </c>
      <c r="D3614" t="n">
        <v>-0.5684</v>
      </c>
      <c r="E3614" t="n">
        <v>15.2682</v>
      </c>
      <c r="F3614" t="n">
        <v>0.09736</v>
      </c>
    </row>
    <row r="3615">
      <c r="A3615" t="n">
        <v>2001786</v>
      </c>
      <c r="B3615" t="n">
        <v>2</v>
      </c>
      <c r="C3615" t="n">
        <v>1786</v>
      </c>
      <c r="D3615" t="n">
        <v>-0.5684</v>
      </c>
      <c r="E3615" t="n">
        <v>15.2683</v>
      </c>
      <c r="F3615" t="n">
        <v>0.09737</v>
      </c>
    </row>
    <row r="3616">
      <c r="A3616" t="n">
        <v>2001787</v>
      </c>
      <c r="B3616" t="n">
        <v>2</v>
      </c>
      <c r="C3616" t="n">
        <v>1787</v>
      </c>
      <c r="D3616" t="n">
        <v>-0.5684</v>
      </c>
      <c r="E3616" t="n">
        <v>15.2685</v>
      </c>
      <c r="F3616" t="n">
        <v>0.09739</v>
      </c>
    </row>
    <row r="3617">
      <c r="A3617" t="n">
        <v>2001788</v>
      </c>
      <c r="B3617" t="n">
        <v>2</v>
      </c>
      <c r="C3617" t="n">
        <v>1788</v>
      </c>
      <c r="D3617" t="n">
        <v>-0.5684</v>
      </c>
      <c r="E3617" t="n">
        <v>15.2686</v>
      </c>
      <c r="F3617" t="n">
        <v>0.0974</v>
      </c>
    </row>
    <row r="3618">
      <c r="A3618" t="n">
        <v>2001789</v>
      </c>
      <c r="B3618" t="n">
        <v>2</v>
      </c>
      <c r="C3618" t="n">
        <v>1789</v>
      </c>
      <c r="D3618" t="n">
        <v>-0.5684</v>
      </c>
      <c r="E3618" t="n">
        <v>15.2688</v>
      </c>
      <c r="F3618" t="n">
        <v>0.09741</v>
      </c>
    </row>
    <row r="3619">
      <c r="A3619" t="n">
        <v>2001790</v>
      </c>
      <c r="B3619" t="n">
        <v>2</v>
      </c>
      <c r="C3619" t="n">
        <v>1790</v>
      </c>
      <c r="D3619" t="n">
        <v>-0.5684</v>
      </c>
      <c r="E3619" t="n">
        <v>15.2689</v>
      </c>
      <c r="F3619" t="n">
        <v>0.09743</v>
      </c>
    </row>
    <row r="3620">
      <c r="A3620" t="n">
        <v>2001791</v>
      </c>
      <c r="B3620" t="n">
        <v>2</v>
      </c>
      <c r="C3620" t="n">
        <v>1791</v>
      </c>
      <c r="D3620" t="n">
        <v>-0.5684</v>
      </c>
      <c r="E3620" t="n">
        <v>15.2691</v>
      </c>
      <c r="F3620" t="n">
        <v>0.09744</v>
      </c>
    </row>
    <row r="3621">
      <c r="A3621" t="n">
        <v>2001792</v>
      </c>
      <c r="B3621" t="n">
        <v>2</v>
      </c>
      <c r="C3621" t="n">
        <v>1792</v>
      </c>
      <c r="D3621" t="n">
        <v>-0.5684</v>
      </c>
      <c r="E3621" t="n">
        <v>15.2692</v>
      </c>
      <c r="F3621" t="n">
        <v>0.09744999999999999</v>
      </c>
    </row>
    <row r="3622">
      <c r="A3622" t="n">
        <v>2001793</v>
      </c>
      <c r="B3622" t="n">
        <v>2</v>
      </c>
      <c r="C3622" t="n">
        <v>1793</v>
      </c>
      <c r="D3622" t="n">
        <v>-0.5684</v>
      </c>
      <c r="E3622" t="n">
        <v>15.2694</v>
      </c>
      <c r="F3622" t="n">
        <v>0.09746</v>
      </c>
    </row>
    <row r="3623">
      <c r="A3623" t="n">
        <v>2001794</v>
      </c>
      <c r="B3623" t="n">
        <v>2</v>
      </c>
      <c r="C3623" t="n">
        <v>1794</v>
      </c>
      <c r="D3623" t="n">
        <v>-0.5684</v>
      </c>
      <c r="E3623" t="n">
        <v>15.2695</v>
      </c>
      <c r="F3623" t="n">
        <v>0.09748</v>
      </c>
    </row>
    <row r="3624">
      <c r="A3624" t="n">
        <v>2001795</v>
      </c>
      <c r="B3624" t="n">
        <v>2</v>
      </c>
      <c r="C3624" t="n">
        <v>1795</v>
      </c>
      <c r="D3624" t="n">
        <v>-0.5684</v>
      </c>
      <c r="E3624" t="n">
        <v>15.2697</v>
      </c>
      <c r="F3624" t="n">
        <v>0.09748999999999999</v>
      </c>
    </row>
    <row r="3625">
      <c r="A3625" t="n">
        <v>2001796</v>
      </c>
      <c r="B3625" t="n">
        <v>2</v>
      </c>
      <c r="C3625" t="n">
        <v>1796</v>
      </c>
      <c r="D3625" t="n">
        <v>-0.5684</v>
      </c>
      <c r="E3625" t="n">
        <v>15.2698</v>
      </c>
      <c r="F3625" t="n">
        <v>0.0975</v>
      </c>
    </row>
    <row r="3626">
      <c r="A3626" t="n">
        <v>2001797</v>
      </c>
      <c r="B3626" t="n">
        <v>2</v>
      </c>
      <c r="C3626" t="n">
        <v>1797</v>
      </c>
      <c r="D3626" t="n">
        <v>-0.5684</v>
      </c>
      <c r="E3626" t="n">
        <v>15.27</v>
      </c>
      <c r="F3626" t="n">
        <v>0.09752</v>
      </c>
    </row>
    <row r="3627">
      <c r="A3627" t="n">
        <v>2001798</v>
      </c>
      <c r="B3627" t="n">
        <v>2</v>
      </c>
      <c r="C3627" t="n">
        <v>1798</v>
      </c>
      <c r="D3627" t="n">
        <v>-0.5684</v>
      </c>
      <c r="E3627" t="n">
        <v>15.2702</v>
      </c>
      <c r="F3627" t="n">
        <v>0.09753000000000001</v>
      </c>
    </row>
    <row r="3628">
      <c r="A3628" t="n">
        <v>2001799</v>
      </c>
      <c r="B3628" t="n">
        <v>2</v>
      </c>
      <c r="C3628" t="n">
        <v>1799</v>
      </c>
      <c r="D3628" t="n">
        <v>-0.5684</v>
      </c>
      <c r="E3628" t="n">
        <v>15.2703</v>
      </c>
      <c r="F3628" t="n">
        <v>0.09754</v>
      </c>
    </row>
    <row r="3629">
      <c r="A3629" t="n">
        <v>2001800</v>
      </c>
      <c r="B3629" t="n">
        <v>2</v>
      </c>
      <c r="C3629" t="n">
        <v>1800</v>
      </c>
      <c r="D3629" t="n">
        <v>-0.5684</v>
      </c>
      <c r="E3629" t="n">
        <v>15.2705</v>
      </c>
      <c r="F3629" t="n">
        <v>0.09755999999999999</v>
      </c>
    </row>
    <row r="3630">
      <c r="A3630" t="n">
        <v>2001801</v>
      </c>
      <c r="B3630" t="n">
        <v>2</v>
      </c>
      <c r="C3630" t="n">
        <v>1801</v>
      </c>
      <c r="D3630" t="n">
        <v>-0.5684</v>
      </c>
      <c r="E3630" t="n">
        <v>15.2706</v>
      </c>
      <c r="F3630" t="n">
        <v>0.09757</v>
      </c>
    </row>
    <row r="3631">
      <c r="A3631" t="n">
        <v>2001802</v>
      </c>
      <c r="B3631" t="n">
        <v>2</v>
      </c>
      <c r="C3631" t="n">
        <v>1802</v>
      </c>
      <c r="D3631" t="n">
        <v>-0.5684</v>
      </c>
      <c r="E3631" t="n">
        <v>15.2708</v>
      </c>
      <c r="F3631" t="n">
        <v>0.09758</v>
      </c>
    </row>
    <row r="3632">
      <c r="A3632" t="n">
        <v>2001803</v>
      </c>
      <c r="B3632" t="n">
        <v>2</v>
      </c>
      <c r="C3632" t="n">
        <v>1803</v>
      </c>
      <c r="D3632" t="n">
        <v>-0.5684</v>
      </c>
      <c r="E3632" t="n">
        <v>15.2709</v>
      </c>
      <c r="F3632" t="n">
        <v>0.09760000000000001</v>
      </c>
    </row>
    <row r="3633">
      <c r="A3633" t="n">
        <v>2001804</v>
      </c>
      <c r="B3633" t="n">
        <v>2</v>
      </c>
      <c r="C3633" t="n">
        <v>1804</v>
      </c>
      <c r="D3633" t="n">
        <v>-0.5684</v>
      </c>
      <c r="E3633" t="n">
        <v>15.2711</v>
      </c>
      <c r="F3633" t="n">
        <v>0.09761</v>
      </c>
    </row>
    <row r="3634">
      <c r="A3634" t="n">
        <v>2001805</v>
      </c>
      <c r="B3634" t="n">
        <v>2</v>
      </c>
      <c r="C3634" t="n">
        <v>1805</v>
      </c>
      <c r="D3634" t="n">
        <v>-0.5684</v>
      </c>
      <c r="E3634" t="n">
        <v>15.2713</v>
      </c>
      <c r="F3634" t="n">
        <v>0.09762</v>
      </c>
    </row>
    <row r="3635">
      <c r="A3635" t="n">
        <v>2001806</v>
      </c>
      <c r="B3635" t="n">
        <v>2</v>
      </c>
      <c r="C3635" t="n">
        <v>1806</v>
      </c>
      <c r="D3635" t="n">
        <v>-0.5684</v>
      </c>
      <c r="E3635" t="n">
        <v>15.2714</v>
      </c>
      <c r="F3635" t="n">
        <v>0.09762999999999999</v>
      </c>
    </row>
    <row r="3636">
      <c r="A3636" t="n">
        <v>2001807</v>
      </c>
      <c r="B3636" t="n">
        <v>2</v>
      </c>
      <c r="C3636" t="n">
        <v>1807</v>
      </c>
      <c r="D3636" t="n">
        <v>-0.5684</v>
      </c>
      <c r="E3636" t="n">
        <v>15.2716</v>
      </c>
      <c r="F3636" t="n">
        <v>0.09765</v>
      </c>
    </row>
    <row r="3637">
      <c r="A3637" t="n">
        <v>2001808</v>
      </c>
      <c r="B3637" t="n">
        <v>2</v>
      </c>
      <c r="C3637" t="n">
        <v>1808</v>
      </c>
      <c r="D3637" t="n">
        <v>-0.5684</v>
      </c>
      <c r="E3637" t="n">
        <v>15.2717</v>
      </c>
      <c r="F3637" t="n">
        <v>0.09766</v>
      </c>
    </row>
    <row r="3638">
      <c r="A3638" t="n">
        <v>2001809</v>
      </c>
      <c r="B3638" t="n">
        <v>2</v>
      </c>
      <c r="C3638" t="n">
        <v>1809</v>
      </c>
      <c r="D3638" t="n">
        <v>-0.5684</v>
      </c>
      <c r="E3638" t="n">
        <v>15.2719</v>
      </c>
      <c r="F3638" t="n">
        <v>0.09767000000000001</v>
      </c>
    </row>
    <row r="3639">
      <c r="A3639" t="n">
        <v>2001810</v>
      </c>
      <c r="B3639" t="n">
        <v>2</v>
      </c>
      <c r="C3639" t="n">
        <v>1810</v>
      </c>
      <c r="D3639" t="n">
        <v>-0.5684</v>
      </c>
      <c r="E3639" t="n">
        <v>15.272</v>
      </c>
      <c r="F3639" t="n">
        <v>0.09769</v>
      </c>
    </row>
    <row r="3640">
      <c r="A3640" t="n">
        <v>2001811</v>
      </c>
      <c r="B3640" t="n">
        <v>2</v>
      </c>
      <c r="C3640" t="n">
        <v>1811</v>
      </c>
      <c r="D3640" t="n">
        <v>-0.5684</v>
      </c>
      <c r="E3640" t="n">
        <v>15.2722</v>
      </c>
      <c r="F3640" t="n">
        <v>0.0977</v>
      </c>
    </row>
    <row r="3641">
      <c r="A3641" t="n">
        <v>2001812</v>
      </c>
      <c r="B3641" t="n">
        <v>2</v>
      </c>
      <c r="C3641" t="n">
        <v>1812</v>
      </c>
      <c r="D3641" t="n">
        <v>-0.5684</v>
      </c>
      <c r="E3641" t="n">
        <v>15.2724</v>
      </c>
      <c r="F3641" t="n">
        <v>0.09771000000000001</v>
      </c>
    </row>
    <row r="3642">
      <c r="A3642" t="n">
        <v>2001813</v>
      </c>
      <c r="B3642" t="n">
        <v>2</v>
      </c>
      <c r="C3642" t="n">
        <v>1813</v>
      </c>
      <c r="D3642" t="n">
        <v>-0.5684</v>
      </c>
      <c r="E3642" t="n">
        <v>15.2725</v>
      </c>
      <c r="F3642" t="n">
        <v>0.09772</v>
      </c>
    </row>
    <row r="3643">
      <c r="A3643" t="n">
        <v>2001814</v>
      </c>
      <c r="B3643" t="n">
        <v>2</v>
      </c>
      <c r="C3643" t="n">
        <v>1814</v>
      </c>
      <c r="D3643" t="n">
        <v>-0.5684</v>
      </c>
      <c r="E3643" t="n">
        <v>15.2727</v>
      </c>
      <c r="F3643" t="n">
        <v>0.09773999999999999</v>
      </c>
    </row>
    <row r="3644">
      <c r="A3644" t="n">
        <v>2001815</v>
      </c>
      <c r="B3644" t="n">
        <v>2</v>
      </c>
      <c r="C3644" t="n">
        <v>1815</v>
      </c>
      <c r="D3644" t="n">
        <v>-0.5684</v>
      </c>
      <c r="E3644" t="n">
        <v>15.2729</v>
      </c>
      <c r="F3644" t="n">
        <v>0.09775</v>
      </c>
    </row>
    <row r="3645">
      <c r="A3645" t="n">
        <v>2001816</v>
      </c>
      <c r="B3645" t="n">
        <v>2</v>
      </c>
      <c r="C3645" t="n">
        <v>1816</v>
      </c>
      <c r="D3645" t="n">
        <v>-0.5684</v>
      </c>
      <c r="E3645" t="n">
        <v>15.273</v>
      </c>
      <c r="F3645" t="n">
        <v>0.09776</v>
      </c>
    </row>
    <row r="3646">
      <c r="A3646" t="n">
        <v>2001817</v>
      </c>
      <c r="B3646" t="n">
        <v>2</v>
      </c>
      <c r="C3646" t="n">
        <v>1817</v>
      </c>
      <c r="D3646" t="n">
        <v>-0.5684</v>
      </c>
      <c r="E3646" t="n">
        <v>15.2732</v>
      </c>
      <c r="F3646" t="n">
        <v>0.09777</v>
      </c>
    </row>
    <row r="3647">
      <c r="A3647" t="n">
        <v>2001818</v>
      </c>
      <c r="B3647" t="n">
        <v>2</v>
      </c>
      <c r="C3647" t="n">
        <v>1818</v>
      </c>
      <c r="D3647" t="n">
        <v>-0.5684</v>
      </c>
      <c r="E3647" t="n">
        <v>15.2733</v>
      </c>
      <c r="F3647" t="n">
        <v>0.09779</v>
      </c>
    </row>
    <row r="3648">
      <c r="A3648" t="n">
        <v>2001819</v>
      </c>
      <c r="B3648" t="n">
        <v>2</v>
      </c>
      <c r="C3648" t="n">
        <v>1819</v>
      </c>
      <c r="D3648" t="n">
        <v>-0.5684</v>
      </c>
      <c r="E3648" t="n">
        <v>15.2735</v>
      </c>
      <c r="F3648" t="n">
        <v>0.0978</v>
      </c>
    </row>
    <row r="3649">
      <c r="A3649" t="n">
        <v>2001820</v>
      </c>
      <c r="B3649" t="n">
        <v>2</v>
      </c>
      <c r="C3649" t="n">
        <v>1820</v>
      </c>
      <c r="D3649" t="n">
        <v>-0.5684</v>
      </c>
      <c r="E3649" t="n">
        <v>15.2737</v>
      </c>
      <c r="F3649" t="n">
        <v>0.09780999999999999</v>
      </c>
    </row>
    <row r="3650">
      <c r="A3650" t="n">
        <v>2001821</v>
      </c>
      <c r="B3650" t="n">
        <v>2</v>
      </c>
      <c r="C3650" t="n">
        <v>1821</v>
      </c>
      <c r="D3650" t="n">
        <v>-0.5684</v>
      </c>
      <c r="E3650" t="n">
        <v>15.2738</v>
      </c>
      <c r="F3650" t="n">
        <v>0.09782</v>
      </c>
    </row>
    <row r="3651">
      <c r="A3651" t="n">
        <v>2001822</v>
      </c>
      <c r="B3651" t="n">
        <v>2</v>
      </c>
      <c r="C3651" t="n">
        <v>1822</v>
      </c>
      <c r="D3651" t="n">
        <v>-0.5684</v>
      </c>
      <c r="E3651" t="n">
        <v>15.274</v>
      </c>
      <c r="F3651" t="n">
        <v>0.09784</v>
      </c>
    </row>
    <row r="3652">
      <c r="A3652" t="n">
        <v>2001823</v>
      </c>
      <c r="B3652" t="n">
        <v>2</v>
      </c>
      <c r="C3652" t="n">
        <v>1823</v>
      </c>
      <c r="D3652" t="n">
        <v>-0.5684</v>
      </c>
      <c r="E3652" t="n">
        <v>15.2742</v>
      </c>
      <c r="F3652" t="n">
        <v>0.09785000000000001</v>
      </c>
    </row>
    <row r="3653">
      <c r="A3653" t="n">
        <v>2001824</v>
      </c>
      <c r="B3653" t="n">
        <v>2</v>
      </c>
      <c r="C3653" t="n">
        <v>1824</v>
      </c>
      <c r="D3653" t="n">
        <v>-0.5684</v>
      </c>
      <c r="E3653" t="n">
        <v>15.2743</v>
      </c>
      <c r="F3653" t="n">
        <v>0.09786</v>
      </c>
    </row>
    <row r="3654">
      <c r="A3654" t="n">
        <v>2001825</v>
      </c>
      <c r="B3654" t="n">
        <v>2</v>
      </c>
      <c r="C3654" t="n">
        <v>1825</v>
      </c>
      <c r="D3654" t="n">
        <v>-0.5684</v>
      </c>
      <c r="E3654" t="n">
        <v>15.2745</v>
      </c>
      <c r="F3654" t="n">
        <v>0.09787</v>
      </c>
    </row>
    <row r="3655">
      <c r="A3655" t="n">
        <v>2001826</v>
      </c>
      <c r="B3655" t="n">
        <v>2</v>
      </c>
      <c r="C3655" t="n">
        <v>1826</v>
      </c>
      <c r="D3655" t="n">
        <v>-0.5684</v>
      </c>
      <c r="E3655" t="n">
        <v>15.2747</v>
      </c>
      <c r="F3655" t="n">
        <v>0.09789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k</t>
        </is>
      </c>
      <c r="B1" t="inlineStr">
        <is>
          <t>sexo</t>
        </is>
      </c>
      <c r="C1" t="inlineStr">
        <is>
          <t>chave</t>
        </is>
      </c>
      <c r="D1" t="inlineStr">
        <is>
          <t>l</t>
        </is>
      </c>
      <c r="E1" t="inlineStr">
        <is>
          <t>m</t>
        </is>
      </c>
      <c r="F1" t="inlineStr">
        <is>
          <t>s</t>
        </is>
      </c>
    </row>
    <row r="2">
      <c r="A2" t="n">
        <v>1000061</v>
      </c>
      <c r="B2" t="n">
        <v>1</v>
      </c>
      <c r="C2" t="n">
        <v>61</v>
      </c>
      <c r="D2" t="n">
        <v>-0.7387</v>
      </c>
      <c r="E2" t="n">
        <v>15.2641</v>
      </c>
      <c r="F2" t="n">
        <v>0.0839</v>
      </c>
    </row>
    <row r="3">
      <c r="A3" t="n">
        <v>1000062</v>
      </c>
      <c r="B3" t="n">
        <v>1</v>
      </c>
      <c r="C3" t="n">
        <v>62</v>
      </c>
      <c r="D3" t="n">
        <v>-0.7621</v>
      </c>
      <c r="E3" t="n">
        <v>15.2616</v>
      </c>
      <c r="F3" t="n">
        <v>0.08414000000000001</v>
      </c>
    </row>
    <row r="4">
      <c r="A4" t="n">
        <v>1000063</v>
      </c>
      <c r="B4" t="n">
        <v>1</v>
      </c>
      <c r="C4" t="n">
        <v>63</v>
      </c>
      <c r="D4" t="n">
        <v>-0.7856</v>
      </c>
      <c r="E4" t="n">
        <v>15.2604</v>
      </c>
      <c r="F4" t="n">
        <v>0.08439000000000001</v>
      </c>
    </row>
    <row r="5">
      <c r="A5" t="n">
        <v>1000064</v>
      </c>
      <c r="B5" t="n">
        <v>1</v>
      </c>
      <c r="C5" t="n">
        <v>64</v>
      </c>
      <c r="D5" t="n">
        <v>-0.8089</v>
      </c>
      <c r="E5" t="n">
        <v>15.2605</v>
      </c>
      <c r="F5" t="n">
        <v>0.08464000000000001</v>
      </c>
    </row>
    <row r="6">
      <c r="A6" t="n">
        <v>1000065</v>
      </c>
      <c r="B6" t="n">
        <v>1</v>
      </c>
      <c r="C6" t="n">
        <v>65</v>
      </c>
      <c r="D6" t="n">
        <v>-0.8322000000000001</v>
      </c>
      <c r="E6" t="n">
        <v>15.2619</v>
      </c>
      <c r="F6" t="n">
        <v>0.0849</v>
      </c>
    </row>
    <row r="7">
      <c r="A7" t="n">
        <v>1000066</v>
      </c>
      <c r="B7" t="n">
        <v>1</v>
      </c>
      <c r="C7" t="n">
        <v>66</v>
      </c>
      <c r="D7" t="n">
        <v>-0.8554</v>
      </c>
      <c r="E7" t="n">
        <v>15.2645</v>
      </c>
      <c r="F7" t="n">
        <v>0.08516</v>
      </c>
    </row>
    <row r="8">
      <c r="A8" t="n">
        <v>1000067</v>
      </c>
      <c r="B8" t="n">
        <v>1</v>
      </c>
      <c r="C8" t="n">
        <v>67</v>
      </c>
      <c r="D8" t="n">
        <v>-0.8784999999999999</v>
      </c>
      <c r="E8" t="n">
        <v>15.2684</v>
      </c>
      <c r="F8" t="n">
        <v>0.08543000000000001</v>
      </c>
    </row>
    <row r="9">
      <c r="A9" t="n">
        <v>1000068</v>
      </c>
      <c r="B9" t="n">
        <v>1</v>
      </c>
      <c r="C9" t="n">
        <v>68</v>
      </c>
      <c r="D9" t="n">
        <v>-0.9015</v>
      </c>
      <c r="E9" t="n">
        <v>15.2737</v>
      </c>
      <c r="F9" t="n">
        <v>0.0857</v>
      </c>
    </row>
    <row r="10">
      <c r="A10" t="n">
        <v>1000069</v>
      </c>
      <c r="B10" t="n">
        <v>1</v>
      </c>
      <c r="C10" t="n">
        <v>69</v>
      </c>
      <c r="D10" t="n">
        <v>-0.9243</v>
      </c>
      <c r="E10" t="n">
        <v>15.2801</v>
      </c>
      <c r="F10" t="n">
        <v>0.08597</v>
      </c>
    </row>
    <row r="11">
      <c r="A11" t="n">
        <v>1000070</v>
      </c>
      <c r="B11" t="n">
        <v>1</v>
      </c>
      <c r="C11" t="n">
        <v>70</v>
      </c>
      <c r="D11" t="n">
        <v>-0.9471000000000001</v>
      </c>
      <c r="E11" t="n">
        <v>15.2877</v>
      </c>
      <c r="F11" t="n">
        <v>0.08624999999999999</v>
      </c>
    </row>
    <row r="12">
      <c r="A12" t="n">
        <v>1000071</v>
      </c>
      <c r="B12" t="n">
        <v>1</v>
      </c>
      <c r="C12" t="n">
        <v>71</v>
      </c>
      <c r="D12" t="n">
        <v>-0.9697</v>
      </c>
      <c r="E12" t="n">
        <v>15.2965</v>
      </c>
      <c r="F12" t="n">
        <v>0.08653</v>
      </c>
    </row>
    <row r="13">
      <c r="A13" t="n">
        <v>1000072</v>
      </c>
      <c r="B13" t="n">
        <v>1</v>
      </c>
      <c r="C13" t="n">
        <v>72</v>
      </c>
      <c r="D13" t="n">
        <v>-0.9921</v>
      </c>
      <c r="E13" t="n">
        <v>15.3062</v>
      </c>
      <c r="F13" t="n">
        <v>0.08681999999999999</v>
      </c>
    </row>
    <row r="14">
      <c r="A14" t="n">
        <v>1000073</v>
      </c>
      <c r="B14" t="n">
        <v>1</v>
      </c>
      <c r="C14" t="n">
        <v>73</v>
      </c>
      <c r="D14" t="n">
        <v>-1.0144</v>
      </c>
      <c r="E14" t="n">
        <v>15.3169</v>
      </c>
      <c r="F14" t="n">
        <v>0.08711000000000001</v>
      </c>
    </row>
    <row r="15">
      <c r="A15" t="n">
        <v>1000074</v>
      </c>
      <c r="B15" t="n">
        <v>1</v>
      </c>
      <c r="C15" t="n">
        <v>74</v>
      </c>
      <c r="D15" t="n">
        <v>-1.0365</v>
      </c>
      <c r="E15" t="n">
        <v>15.3285</v>
      </c>
      <c r="F15" t="n">
        <v>0.08741</v>
      </c>
    </row>
    <row r="16">
      <c r="A16" t="n">
        <v>1000075</v>
      </c>
      <c r="B16" t="n">
        <v>1</v>
      </c>
      <c r="C16" t="n">
        <v>75</v>
      </c>
      <c r="D16" t="n">
        <v>-1.0584</v>
      </c>
      <c r="E16" t="n">
        <v>15.3408</v>
      </c>
      <c r="F16" t="n">
        <v>0.08771</v>
      </c>
    </row>
    <row r="17">
      <c r="A17" t="n">
        <v>1000076</v>
      </c>
      <c r="B17" t="n">
        <v>1</v>
      </c>
      <c r="C17" t="n">
        <v>76</v>
      </c>
      <c r="D17" t="n">
        <v>-1.0801</v>
      </c>
      <c r="E17" t="n">
        <v>15.354</v>
      </c>
      <c r="F17" t="n">
        <v>0.08802</v>
      </c>
    </row>
    <row r="18">
      <c r="A18" t="n">
        <v>1000077</v>
      </c>
      <c r="B18" t="n">
        <v>1</v>
      </c>
      <c r="C18" t="n">
        <v>77</v>
      </c>
      <c r="D18" t="n">
        <v>-1.1017</v>
      </c>
      <c r="E18" t="n">
        <v>15.3679</v>
      </c>
      <c r="F18" t="n">
        <v>0.08833000000000001</v>
      </c>
    </row>
    <row r="19">
      <c r="A19" t="n">
        <v>1000078</v>
      </c>
      <c r="B19" t="n">
        <v>1</v>
      </c>
      <c r="C19" t="n">
        <v>78</v>
      </c>
      <c r="D19" t="n">
        <v>-1.123</v>
      </c>
      <c r="E19" t="n">
        <v>15.3825</v>
      </c>
      <c r="F19" t="n">
        <v>0.08865000000000001</v>
      </c>
    </row>
    <row r="20">
      <c r="A20" t="n">
        <v>1000079</v>
      </c>
      <c r="B20" t="n">
        <v>1</v>
      </c>
      <c r="C20" t="n">
        <v>79</v>
      </c>
      <c r="D20" t="n">
        <v>-1.1441</v>
      </c>
      <c r="E20" t="n">
        <v>15.3978</v>
      </c>
      <c r="F20" t="n">
        <v>0.08898</v>
      </c>
    </row>
    <row r="21">
      <c r="A21" t="n">
        <v>1000080</v>
      </c>
      <c r="B21" t="n">
        <v>1</v>
      </c>
      <c r="C21" t="n">
        <v>80</v>
      </c>
      <c r="D21" t="n">
        <v>-1.1649</v>
      </c>
      <c r="E21" t="n">
        <v>15.4137</v>
      </c>
      <c r="F21" t="n">
        <v>0.08931</v>
      </c>
    </row>
    <row r="22">
      <c r="A22" t="n">
        <v>1000081</v>
      </c>
      <c r="B22" t="n">
        <v>1</v>
      </c>
      <c r="C22" t="n">
        <v>81</v>
      </c>
      <c r="D22" t="n">
        <v>-1.1856</v>
      </c>
      <c r="E22" t="n">
        <v>15.4302</v>
      </c>
      <c r="F22" t="n">
        <v>0.08964</v>
      </c>
    </row>
    <row r="23">
      <c r="A23" t="n">
        <v>1000082</v>
      </c>
      <c r="B23" t="n">
        <v>1</v>
      </c>
      <c r="C23" t="n">
        <v>82</v>
      </c>
      <c r="D23" t="n">
        <v>-1.206</v>
      </c>
      <c r="E23" t="n">
        <v>15.4473</v>
      </c>
      <c r="F23" t="n">
        <v>0.08998</v>
      </c>
    </row>
    <row r="24">
      <c r="A24" t="n">
        <v>1000083</v>
      </c>
      <c r="B24" t="n">
        <v>1</v>
      </c>
      <c r="C24" t="n">
        <v>83</v>
      </c>
      <c r="D24" t="n">
        <v>-1.2261</v>
      </c>
      <c r="E24" t="n">
        <v>15.465</v>
      </c>
      <c r="F24" t="n">
        <v>0.09032999999999999</v>
      </c>
    </row>
    <row r="25">
      <c r="A25" t="n">
        <v>1000084</v>
      </c>
      <c r="B25" t="n">
        <v>1</v>
      </c>
      <c r="C25" t="n">
        <v>84</v>
      </c>
      <c r="D25" t="n">
        <v>-1.246</v>
      </c>
      <c r="E25" t="n">
        <v>15.4832</v>
      </c>
      <c r="F25" t="n">
        <v>0.09068</v>
      </c>
    </row>
    <row r="26">
      <c r="A26" t="n">
        <v>1000085</v>
      </c>
      <c r="B26" t="n">
        <v>1</v>
      </c>
      <c r="C26" t="n">
        <v>85</v>
      </c>
      <c r="D26" t="n">
        <v>-1.2656</v>
      </c>
      <c r="E26" t="n">
        <v>15.5019</v>
      </c>
      <c r="F26" t="n">
        <v>0.09103</v>
      </c>
    </row>
    <row r="27">
      <c r="A27" t="n">
        <v>1000086</v>
      </c>
      <c r="B27" t="n">
        <v>1</v>
      </c>
      <c r="C27" t="n">
        <v>86</v>
      </c>
      <c r="D27" t="n">
        <v>-1.2849</v>
      </c>
      <c r="E27" t="n">
        <v>15.521</v>
      </c>
      <c r="F27" t="n">
        <v>0.09139</v>
      </c>
    </row>
    <row r="28">
      <c r="A28" t="n">
        <v>1000087</v>
      </c>
      <c r="B28" t="n">
        <v>1</v>
      </c>
      <c r="C28" t="n">
        <v>87</v>
      </c>
      <c r="D28" t="n">
        <v>-1.304</v>
      </c>
      <c r="E28" t="n">
        <v>15.5407</v>
      </c>
      <c r="F28" t="n">
        <v>0.09175999999999999</v>
      </c>
    </row>
    <row r="29">
      <c r="A29" t="n">
        <v>1000088</v>
      </c>
      <c r="B29" t="n">
        <v>1</v>
      </c>
      <c r="C29" t="n">
        <v>88</v>
      </c>
      <c r="D29" t="n">
        <v>-1.3228</v>
      </c>
      <c r="E29" t="n">
        <v>15.5608</v>
      </c>
      <c r="F29" t="n">
        <v>0.09213</v>
      </c>
    </row>
    <row r="30">
      <c r="A30" t="n">
        <v>1000089</v>
      </c>
      <c r="B30" t="n">
        <v>1</v>
      </c>
      <c r="C30" t="n">
        <v>89</v>
      </c>
      <c r="D30" t="n">
        <v>-1.3414</v>
      </c>
      <c r="E30" t="n">
        <v>15.5814</v>
      </c>
      <c r="F30" t="n">
        <v>0.09251</v>
      </c>
    </row>
    <row r="31">
      <c r="A31" t="n">
        <v>1000090</v>
      </c>
      <c r="B31" t="n">
        <v>1</v>
      </c>
      <c r="C31" t="n">
        <v>90</v>
      </c>
      <c r="D31" t="n">
        <v>-1.3596</v>
      </c>
      <c r="E31" t="n">
        <v>15.6023</v>
      </c>
      <c r="F31" t="n">
        <v>0.09289</v>
      </c>
    </row>
    <row r="32">
      <c r="A32" t="n">
        <v>1000091</v>
      </c>
      <c r="B32" t="n">
        <v>1</v>
      </c>
      <c r="C32" t="n">
        <v>91</v>
      </c>
      <c r="D32" t="n">
        <v>-1.3776</v>
      </c>
      <c r="E32" t="n">
        <v>15.6237</v>
      </c>
      <c r="F32" t="n">
        <v>0.09327000000000001</v>
      </c>
    </row>
    <row r="33">
      <c r="A33" t="n">
        <v>1000092</v>
      </c>
      <c r="B33" t="n">
        <v>1</v>
      </c>
      <c r="C33" t="n">
        <v>92</v>
      </c>
      <c r="D33" t="n">
        <v>-1.3953</v>
      </c>
      <c r="E33" t="n">
        <v>15.6455</v>
      </c>
      <c r="F33" t="n">
        <v>0.09365999999999999</v>
      </c>
    </row>
    <row r="34">
      <c r="A34" t="n">
        <v>1000093</v>
      </c>
      <c r="B34" t="n">
        <v>1</v>
      </c>
      <c r="C34" t="n">
        <v>93</v>
      </c>
      <c r="D34" t="n">
        <v>-1.4126</v>
      </c>
      <c r="E34" t="n">
        <v>15.6677</v>
      </c>
      <c r="F34" t="n">
        <v>0.09406</v>
      </c>
    </row>
    <row r="35">
      <c r="A35" t="n">
        <v>1000094</v>
      </c>
      <c r="B35" t="n">
        <v>1</v>
      </c>
      <c r="C35" t="n">
        <v>94</v>
      </c>
      <c r="D35" t="n">
        <v>-1.4297</v>
      </c>
      <c r="E35" t="n">
        <v>15.6903</v>
      </c>
      <c r="F35" t="n">
        <v>0.09445000000000001</v>
      </c>
    </row>
    <row r="36">
      <c r="A36" t="n">
        <v>1000095</v>
      </c>
      <c r="B36" t="n">
        <v>1</v>
      </c>
      <c r="C36" t="n">
        <v>95</v>
      </c>
      <c r="D36" t="n">
        <v>-1.4464</v>
      </c>
      <c r="E36" t="n">
        <v>15.7133</v>
      </c>
      <c r="F36" t="n">
        <v>0.09486</v>
      </c>
    </row>
    <row r="37">
      <c r="A37" t="n">
        <v>1000096</v>
      </c>
      <c r="B37" t="n">
        <v>1</v>
      </c>
      <c r="C37" t="n">
        <v>96</v>
      </c>
      <c r="D37" t="n">
        <v>-1.4629</v>
      </c>
      <c r="E37" t="n">
        <v>15.7368</v>
      </c>
      <c r="F37" t="n">
        <v>0.09526</v>
      </c>
    </row>
    <row r="38">
      <c r="A38" t="n">
        <v>1000097</v>
      </c>
      <c r="B38" t="n">
        <v>1</v>
      </c>
      <c r="C38" t="n">
        <v>97</v>
      </c>
      <c r="D38" t="n">
        <v>-1.479</v>
      </c>
      <c r="E38" t="n">
        <v>15.7606</v>
      </c>
      <c r="F38" t="n">
        <v>0.09567000000000001</v>
      </c>
    </row>
    <row r="39">
      <c r="A39" t="n">
        <v>1000098</v>
      </c>
      <c r="B39" t="n">
        <v>1</v>
      </c>
      <c r="C39" t="n">
        <v>98</v>
      </c>
      <c r="D39" t="n">
        <v>-1.4947</v>
      </c>
      <c r="E39" t="n">
        <v>15.7848</v>
      </c>
      <c r="F39" t="n">
        <v>0.09608999999999999</v>
      </c>
    </row>
    <row r="40">
      <c r="A40" t="n">
        <v>1000099</v>
      </c>
      <c r="B40" t="n">
        <v>1</v>
      </c>
      <c r="C40" t="n">
        <v>99</v>
      </c>
      <c r="D40" t="n">
        <v>-1.5101</v>
      </c>
      <c r="E40" t="n">
        <v>15.8094</v>
      </c>
      <c r="F40" t="n">
        <v>0.09651</v>
      </c>
    </row>
    <row r="41">
      <c r="A41" t="n">
        <v>1000100</v>
      </c>
      <c r="B41" t="n">
        <v>1</v>
      </c>
      <c r="C41" t="n">
        <v>100</v>
      </c>
      <c r="D41" t="n">
        <v>-1.5252</v>
      </c>
      <c r="E41" t="n">
        <v>15.8344</v>
      </c>
      <c r="F41" t="n">
        <v>0.09693</v>
      </c>
    </row>
    <row r="42">
      <c r="A42" t="n">
        <v>1000101</v>
      </c>
      <c r="B42" t="n">
        <v>1</v>
      </c>
      <c r="C42" t="n">
        <v>101</v>
      </c>
      <c r="D42" t="n">
        <v>-1.5399</v>
      </c>
      <c r="E42" t="n">
        <v>15.8597</v>
      </c>
      <c r="F42" t="n">
        <v>0.09735000000000001</v>
      </c>
    </row>
    <row r="43">
      <c r="A43" t="n">
        <v>1000102</v>
      </c>
      <c r="B43" t="n">
        <v>1</v>
      </c>
      <c r="C43" t="n">
        <v>102</v>
      </c>
      <c r="D43" t="n">
        <v>-1.5542</v>
      </c>
      <c r="E43" t="n">
        <v>15.8855</v>
      </c>
      <c r="F43" t="n">
        <v>0.09778000000000001</v>
      </c>
    </row>
    <row r="44">
      <c r="A44" t="n">
        <v>1000103</v>
      </c>
      <c r="B44" t="n">
        <v>1</v>
      </c>
      <c r="C44" t="n">
        <v>103</v>
      </c>
      <c r="D44" t="n">
        <v>-1.5681</v>
      </c>
      <c r="E44" t="n">
        <v>15.9116</v>
      </c>
      <c r="F44" t="n">
        <v>0.09821000000000001</v>
      </c>
    </row>
    <row r="45">
      <c r="A45" t="n">
        <v>1000104</v>
      </c>
      <c r="B45" t="n">
        <v>1</v>
      </c>
      <c r="C45" t="n">
        <v>104</v>
      </c>
      <c r="D45" t="n">
        <v>-1.5817</v>
      </c>
      <c r="E45" t="n">
        <v>15.9381</v>
      </c>
      <c r="F45" t="n">
        <v>0.09864000000000001</v>
      </c>
    </row>
    <row r="46">
      <c r="A46" t="n">
        <v>1000105</v>
      </c>
      <c r="B46" t="n">
        <v>1</v>
      </c>
      <c r="C46" t="n">
        <v>105</v>
      </c>
      <c r="D46" t="n">
        <v>-1.5948</v>
      </c>
      <c r="E46" t="n">
        <v>15.9651</v>
      </c>
      <c r="F46" t="n">
        <v>0.09907000000000001</v>
      </c>
    </row>
    <row r="47">
      <c r="A47" t="n">
        <v>1000106</v>
      </c>
      <c r="B47" t="n">
        <v>1</v>
      </c>
      <c r="C47" t="n">
        <v>106</v>
      </c>
      <c r="D47" t="n">
        <v>-1.6076</v>
      </c>
      <c r="E47" t="n">
        <v>15.9925</v>
      </c>
      <c r="F47" t="n">
        <v>0.09951</v>
      </c>
    </row>
    <row r="48">
      <c r="A48" t="n">
        <v>1000107</v>
      </c>
      <c r="B48" t="n">
        <v>1</v>
      </c>
      <c r="C48" t="n">
        <v>107</v>
      </c>
      <c r="D48" t="n">
        <v>-1.6199</v>
      </c>
      <c r="E48" t="n">
        <v>16.0205</v>
      </c>
      <c r="F48" t="n">
        <v>0.09994</v>
      </c>
    </row>
    <row r="49">
      <c r="A49" t="n">
        <v>1000108</v>
      </c>
      <c r="B49" t="n">
        <v>1</v>
      </c>
      <c r="C49" t="n">
        <v>108</v>
      </c>
      <c r="D49" t="n">
        <v>-1.6318</v>
      </c>
      <c r="E49" t="n">
        <v>16.049</v>
      </c>
      <c r="F49" t="n">
        <v>0.10038</v>
      </c>
    </row>
    <row r="50">
      <c r="A50" t="n">
        <v>1000109</v>
      </c>
      <c r="B50" t="n">
        <v>1</v>
      </c>
      <c r="C50" t="n">
        <v>109</v>
      </c>
      <c r="D50" t="n">
        <v>-1.6433</v>
      </c>
      <c r="E50" t="n">
        <v>16.0781</v>
      </c>
      <c r="F50" t="n">
        <v>0.10082</v>
      </c>
    </row>
    <row r="51">
      <c r="A51" t="n">
        <v>1000110</v>
      </c>
      <c r="B51" t="n">
        <v>1</v>
      </c>
      <c r="C51" t="n">
        <v>110</v>
      </c>
      <c r="D51" t="n">
        <v>-1.6544</v>
      </c>
      <c r="E51" t="n">
        <v>16.1078</v>
      </c>
      <c r="F51" t="n">
        <v>0.10126</v>
      </c>
    </row>
    <row r="52">
      <c r="A52" t="n">
        <v>1000111</v>
      </c>
      <c r="B52" t="n">
        <v>1</v>
      </c>
      <c r="C52" t="n">
        <v>111</v>
      </c>
      <c r="D52" t="n">
        <v>-1.6651</v>
      </c>
      <c r="E52" t="n">
        <v>16.1381</v>
      </c>
      <c r="F52" t="n">
        <v>0.1017</v>
      </c>
    </row>
    <row r="53">
      <c r="A53" t="n">
        <v>1000112</v>
      </c>
      <c r="B53" t="n">
        <v>1</v>
      </c>
      <c r="C53" t="n">
        <v>112</v>
      </c>
      <c r="D53" t="n">
        <v>-1.6753</v>
      </c>
      <c r="E53" t="n">
        <v>16.1692</v>
      </c>
      <c r="F53" t="n">
        <v>0.10214</v>
      </c>
    </row>
    <row r="54">
      <c r="A54" t="n">
        <v>1000113</v>
      </c>
      <c r="B54" t="n">
        <v>1</v>
      </c>
      <c r="C54" t="n">
        <v>113</v>
      </c>
      <c r="D54" t="n">
        <v>-1.6851</v>
      </c>
      <c r="E54" t="n">
        <v>16.2009</v>
      </c>
      <c r="F54" t="n">
        <v>0.10259</v>
      </c>
    </row>
    <row r="55">
      <c r="A55" t="n">
        <v>1000114</v>
      </c>
      <c r="B55" t="n">
        <v>1</v>
      </c>
      <c r="C55" t="n">
        <v>114</v>
      </c>
      <c r="D55" t="n">
        <v>-1.6944</v>
      </c>
      <c r="E55" t="n">
        <v>16.2333</v>
      </c>
      <c r="F55" t="n">
        <v>0.10303</v>
      </c>
    </row>
    <row r="56">
      <c r="A56" t="n">
        <v>1000115</v>
      </c>
      <c r="B56" t="n">
        <v>1</v>
      </c>
      <c r="C56" t="n">
        <v>115</v>
      </c>
      <c r="D56" t="n">
        <v>-1.7032</v>
      </c>
      <c r="E56" t="n">
        <v>16.2665</v>
      </c>
      <c r="F56" t="n">
        <v>0.10347</v>
      </c>
    </row>
    <row r="57">
      <c r="A57" t="n">
        <v>1000116</v>
      </c>
      <c r="B57" t="n">
        <v>1</v>
      </c>
      <c r="C57" t="n">
        <v>116</v>
      </c>
      <c r="D57" t="n">
        <v>-1.7116</v>
      </c>
      <c r="E57" t="n">
        <v>16.3004</v>
      </c>
      <c r="F57" t="n">
        <v>0.10391</v>
      </c>
    </row>
    <row r="58">
      <c r="A58" t="n">
        <v>1000117</v>
      </c>
      <c r="B58" t="n">
        <v>1</v>
      </c>
      <c r="C58" t="n">
        <v>117</v>
      </c>
      <c r="D58" t="n">
        <v>-1.7196</v>
      </c>
      <c r="E58" t="n">
        <v>16.3351</v>
      </c>
      <c r="F58" t="n">
        <v>0.10435</v>
      </c>
    </row>
    <row r="59">
      <c r="A59" t="n">
        <v>1000118</v>
      </c>
      <c r="B59" t="n">
        <v>1</v>
      </c>
      <c r="C59" t="n">
        <v>118</v>
      </c>
      <c r="D59" t="n">
        <v>-1.7271</v>
      </c>
      <c r="E59" t="n">
        <v>16.3704</v>
      </c>
      <c r="F59" t="n">
        <v>0.10478</v>
      </c>
    </row>
    <row r="60">
      <c r="A60" t="n">
        <v>1000119</v>
      </c>
      <c r="B60" t="n">
        <v>1</v>
      </c>
      <c r="C60" t="n">
        <v>119</v>
      </c>
      <c r="D60" t="n">
        <v>-1.7341</v>
      </c>
      <c r="E60" t="n">
        <v>16.4065</v>
      </c>
      <c r="F60" t="n">
        <v>0.10522</v>
      </c>
    </row>
    <row r="61">
      <c r="A61" t="n">
        <v>1000120</v>
      </c>
      <c r="B61" t="n">
        <v>1</v>
      </c>
      <c r="C61" t="n">
        <v>120</v>
      </c>
      <c r="D61" t="n">
        <v>-1.7407</v>
      </c>
      <c r="E61" t="n">
        <v>16.4433</v>
      </c>
      <c r="F61" t="n">
        <v>0.10566</v>
      </c>
    </row>
    <row r="62">
      <c r="A62" t="n">
        <v>1000121</v>
      </c>
      <c r="B62" t="n">
        <v>1</v>
      </c>
      <c r="C62" t="n">
        <v>121</v>
      </c>
      <c r="D62" t="n">
        <v>-1.7468</v>
      </c>
      <c r="E62" t="n">
        <v>16.4807</v>
      </c>
      <c r="F62" t="n">
        <v>0.10609</v>
      </c>
    </row>
    <row r="63">
      <c r="A63" t="n">
        <v>1000122</v>
      </c>
      <c r="B63" t="n">
        <v>1</v>
      </c>
      <c r="C63" t="n">
        <v>122</v>
      </c>
      <c r="D63" t="n">
        <v>-1.7525</v>
      </c>
      <c r="E63" t="n">
        <v>16.5189</v>
      </c>
      <c r="F63" t="n">
        <v>0.10652</v>
      </c>
    </row>
    <row r="64">
      <c r="A64" t="n">
        <v>1000123</v>
      </c>
      <c r="B64" t="n">
        <v>1</v>
      </c>
      <c r="C64" t="n">
        <v>123</v>
      </c>
      <c r="D64" t="n">
        <v>-1.7578</v>
      </c>
      <c r="E64" t="n">
        <v>16.5578</v>
      </c>
      <c r="F64" t="n">
        <v>0.10695</v>
      </c>
    </row>
    <row r="65">
      <c r="A65" t="n">
        <v>1000124</v>
      </c>
      <c r="B65" t="n">
        <v>1</v>
      </c>
      <c r="C65" t="n">
        <v>124</v>
      </c>
      <c r="D65" t="n">
        <v>-1.7626</v>
      </c>
      <c r="E65" t="n">
        <v>16.5974</v>
      </c>
      <c r="F65" t="n">
        <v>0.10738</v>
      </c>
    </row>
    <row r="66">
      <c r="A66" t="n">
        <v>1000125</v>
      </c>
      <c r="B66" t="n">
        <v>1</v>
      </c>
      <c r="C66" t="n">
        <v>125</v>
      </c>
      <c r="D66" t="n">
        <v>-1.767</v>
      </c>
      <c r="E66" t="n">
        <v>16.6376</v>
      </c>
      <c r="F66" t="n">
        <v>0.1078</v>
      </c>
    </row>
    <row r="67">
      <c r="A67" t="n">
        <v>1000126</v>
      </c>
      <c r="B67" t="n">
        <v>1</v>
      </c>
      <c r="C67" t="n">
        <v>126</v>
      </c>
      <c r="D67" t="n">
        <v>-1.771</v>
      </c>
      <c r="E67" t="n">
        <v>16.6786</v>
      </c>
      <c r="F67" t="n">
        <v>0.10823</v>
      </c>
    </row>
    <row r="68">
      <c r="A68" t="n">
        <v>1000127</v>
      </c>
      <c r="B68" t="n">
        <v>1</v>
      </c>
      <c r="C68" t="n">
        <v>127</v>
      </c>
      <c r="D68" t="n">
        <v>-1.7745</v>
      </c>
      <c r="E68" t="n">
        <v>16.7203</v>
      </c>
      <c r="F68" t="n">
        <v>0.10865</v>
      </c>
    </row>
    <row r="69">
      <c r="A69" t="n">
        <v>1000128</v>
      </c>
      <c r="B69" t="n">
        <v>1</v>
      </c>
      <c r="C69" t="n">
        <v>128</v>
      </c>
      <c r="D69" t="n">
        <v>-1.7777</v>
      </c>
      <c r="E69" t="n">
        <v>16.7628</v>
      </c>
      <c r="F69" t="n">
        <v>0.10906</v>
      </c>
    </row>
    <row r="70">
      <c r="A70" t="n">
        <v>1000129</v>
      </c>
      <c r="B70" t="n">
        <v>1</v>
      </c>
      <c r="C70" t="n">
        <v>129</v>
      </c>
      <c r="D70" t="n">
        <v>-1.7804</v>
      </c>
      <c r="E70" t="n">
        <v>16.8059</v>
      </c>
      <c r="F70" t="n">
        <v>0.10948</v>
      </c>
    </row>
    <row r="71">
      <c r="A71" t="n">
        <v>1000130</v>
      </c>
      <c r="B71" t="n">
        <v>1</v>
      </c>
      <c r="C71" t="n">
        <v>130</v>
      </c>
      <c r="D71" t="n">
        <v>-1.7828</v>
      </c>
      <c r="E71" t="n">
        <v>16.8497</v>
      </c>
      <c r="F71" t="n">
        <v>0.10989</v>
      </c>
    </row>
    <row r="72">
      <c r="A72" t="n">
        <v>1000131</v>
      </c>
      <c r="B72" t="n">
        <v>1</v>
      </c>
      <c r="C72" t="n">
        <v>131</v>
      </c>
      <c r="D72" t="n">
        <v>-1.7847</v>
      </c>
      <c r="E72" t="n">
        <v>16.8941</v>
      </c>
      <c r="F72" t="n">
        <v>0.1103</v>
      </c>
    </row>
    <row r="73">
      <c r="A73" t="n">
        <v>1000132</v>
      </c>
      <c r="B73" t="n">
        <v>1</v>
      </c>
      <c r="C73" t="n">
        <v>132</v>
      </c>
      <c r="D73" t="n">
        <v>-1.7862</v>
      </c>
      <c r="E73" t="n">
        <v>16.9392</v>
      </c>
      <c r="F73" t="n">
        <v>0.1107</v>
      </c>
    </row>
    <row r="74">
      <c r="A74" t="n">
        <v>1000133</v>
      </c>
      <c r="B74" t="n">
        <v>1</v>
      </c>
      <c r="C74" t="n">
        <v>133</v>
      </c>
      <c r="D74" t="n">
        <v>-1.7873</v>
      </c>
      <c r="E74" t="n">
        <v>16.985</v>
      </c>
      <c r="F74" t="n">
        <v>0.1111</v>
      </c>
    </row>
    <row r="75">
      <c r="A75" t="n">
        <v>1000134</v>
      </c>
      <c r="B75" t="n">
        <v>1</v>
      </c>
      <c r="C75" t="n">
        <v>134</v>
      </c>
      <c r="D75" t="n">
        <v>-1.7881</v>
      </c>
      <c r="E75" t="n">
        <v>17.0314</v>
      </c>
      <c r="F75" t="n">
        <v>0.1115</v>
      </c>
    </row>
    <row r="76">
      <c r="A76" t="n">
        <v>1000135</v>
      </c>
      <c r="B76" t="n">
        <v>1</v>
      </c>
      <c r="C76" t="n">
        <v>135</v>
      </c>
      <c r="D76" t="n">
        <v>-1.7884</v>
      </c>
      <c r="E76" t="n">
        <v>17.0784</v>
      </c>
      <c r="F76" t="n">
        <v>0.11189</v>
      </c>
    </row>
    <row r="77">
      <c r="A77" t="n">
        <v>1000136</v>
      </c>
      <c r="B77" t="n">
        <v>1</v>
      </c>
      <c r="C77" t="n">
        <v>136</v>
      </c>
      <c r="D77" t="n">
        <v>-1.7884</v>
      </c>
      <c r="E77" t="n">
        <v>17.1262</v>
      </c>
      <c r="F77" t="n">
        <v>0.11228</v>
      </c>
    </row>
    <row r="78">
      <c r="A78" t="n">
        <v>1000137</v>
      </c>
      <c r="B78" t="n">
        <v>1</v>
      </c>
      <c r="C78" t="n">
        <v>137</v>
      </c>
      <c r="D78" t="n">
        <v>-1.788</v>
      </c>
      <c r="E78" t="n">
        <v>17.1746</v>
      </c>
      <c r="F78" t="n">
        <v>0.11266</v>
      </c>
    </row>
    <row r="79">
      <c r="A79" t="n">
        <v>1000138</v>
      </c>
      <c r="B79" t="n">
        <v>1</v>
      </c>
      <c r="C79" t="n">
        <v>138</v>
      </c>
      <c r="D79" t="n">
        <v>-1.7873</v>
      </c>
      <c r="E79" t="n">
        <v>17.2236</v>
      </c>
      <c r="F79" t="n">
        <v>0.11304</v>
      </c>
    </row>
    <row r="80">
      <c r="A80" t="n">
        <v>1000139</v>
      </c>
      <c r="B80" t="n">
        <v>1</v>
      </c>
      <c r="C80" t="n">
        <v>139</v>
      </c>
      <c r="D80" t="n">
        <v>-1.7861</v>
      </c>
      <c r="E80" t="n">
        <v>17.2734</v>
      </c>
      <c r="F80" t="n">
        <v>0.11342</v>
      </c>
    </row>
    <row r="81">
      <c r="A81" t="n">
        <v>1000140</v>
      </c>
      <c r="B81" t="n">
        <v>1</v>
      </c>
      <c r="C81" t="n">
        <v>140</v>
      </c>
      <c r="D81" t="n">
        <v>-1.7846</v>
      </c>
      <c r="E81" t="n">
        <v>17.324</v>
      </c>
      <c r="F81" t="n">
        <v>0.11379</v>
      </c>
    </row>
    <row r="82">
      <c r="A82" t="n">
        <v>1000141</v>
      </c>
      <c r="B82" t="n">
        <v>1</v>
      </c>
      <c r="C82" t="n">
        <v>141</v>
      </c>
      <c r="D82" t="n">
        <v>-1.7828</v>
      </c>
      <c r="E82" t="n">
        <v>17.3752</v>
      </c>
      <c r="F82" t="n">
        <v>0.11415</v>
      </c>
    </row>
    <row r="83">
      <c r="A83" t="n">
        <v>1000142</v>
      </c>
      <c r="B83" t="n">
        <v>1</v>
      </c>
      <c r="C83" t="n">
        <v>142</v>
      </c>
      <c r="D83" t="n">
        <v>-1.7806</v>
      </c>
      <c r="E83" t="n">
        <v>17.4272</v>
      </c>
      <c r="F83" t="n">
        <v>0.11451</v>
      </c>
    </row>
    <row r="84">
      <c r="A84" t="n">
        <v>1000143</v>
      </c>
      <c r="B84" t="n">
        <v>1</v>
      </c>
      <c r="C84" t="n">
        <v>143</v>
      </c>
      <c r="D84" t="n">
        <v>-1.778</v>
      </c>
      <c r="E84" t="n">
        <v>17.4799</v>
      </c>
      <c r="F84" t="n">
        <v>0.11487</v>
      </c>
    </row>
    <row r="85">
      <c r="A85" t="n">
        <v>1000144</v>
      </c>
      <c r="B85" t="n">
        <v>1</v>
      </c>
      <c r="C85" t="n">
        <v>144</v>
      </c>
      <c r="D85" t="n">
        <v>-1.7751</v>
      </c>
      <c r="E85" t="n">
        <v>17.5334</v>
      </c>
      <c r="F85" t="n">
        <v>0.11522</v>
      </c>
    </row>
    <row r="86">
      <c r="A86" t="n">
        <v>1000145</v>
      </c>
      <c r="B86" t="n">
        <v>1</v>
      </c>
      <c r="C86" t="n">
        <v>145</v>
      </c>
      <c r="D86" t="n">
        <v>-1.7719</v>
      </c>
      <c r="E86" t="n">
        <v>17.5877</v>
      </c>
      <c r="F86" t="n">
        <v>0.11556</v>
      </c>
    </row>
    <row r="87">
      <c r="A87" t="n">
        <v>1000146</v>
      </c>
      <c r="B87" t="n">
        <v>1</v>
      </c>
      <c r="C87" t="n">
        <v>146</v>
      </c>
      <c r="D87" t="n">
        <v>-1.7684</v>
      </c>
      <c r="E87" t="n">
        <v>17.6427</v>
      </c>
      <c r="F87" t="n">
        <v>0.1159</v>
      </c>
    </row>
    <row r="88">
      <c r="A88" t="n">
        <v>1000147</v>
      </c>
      <c r="B88" t="n">
        <v>1</v>
      </c>
      <c r="C88" t="n">
        <v>147</v>
      </c>
      <c r="D88" t="n">
        <v>-1.7645</v>
      </c>
      <c r="E88" t="n">
        <v>17.6985</v>
      </c>
      <c r="F88" t="n">
        <v>0.11623</v>
      </c>
    </row>
    <row r="89">
      <c r="A89" t="n">
        <v>1000148</v>
      </c>
      <c r="B89" t="n">
        <v>1</v>
      </c>
      <c r="C89" t="n">
        <v>148</v>
      </c>
      <c r="D89" t="n">
        <v>-1.7604</v>
      </c>
      <c r="E89" t="n">
        <v>17.7551</v>
      </c>
      <c r="F89" t="n">
        <v>0.11656</v>
      </c>
    </row>
    <row r="90">
      <c r="A90" t="n">
        <v>1000149</v>
      </c>
      <c r="B90" t="n">
        <v>1</v>
      </c>
      <c r="C90" t="n">
        <v>149</v>
      </c>
      <c r="D90" t="n">
        <v>-1.7559</v>
      </c>
      <c r="E90" t="n">
        <v>17.8124</v>
      </c>
      <c r="F90" t="n">
        <v>0.11688</v>
      </c>
    </row>
    <row r="91">
      <c r="A91" t="n">
        <v>1000150</v>
      </c>
      <c r="B91" t="n">
        <v>1</v>
      </c>
      <c r="C91" t="n">
        <v>150</v>
      </c>
      <c r="D91" t="n">
        <v>-1.7511</v>
      </c>
      <c r="E91" t="n">
        <v>17.8704</v>
      </c>
      <c r="F91" t="n">
        <v>0.1172</v>
      </c>
    </row>
    <row r="92">
      <c r="A92" t="n">
        <v>1000151</v>
      </c>
      <c r="B92" t="n">
        <v>1</v>
      </c>
      <c r="C92" t="n">
        <v>151</v>
      </c>
      <c r="D92" t="n">
        <v>-1.7461</v>
      </c>
      <c r="E92" t="n">
        <v>17.9292</v>
      </c>
      <c r="F92" t="n">
        <v>0.11751</v>
      </c>
    </row>
    <row r="93">
      <c r="A93" t="n">
        <v>1000152</v>
      </c>
      <c r="B93" t="n">
        <v>1</v>
      </c>
      <c r="C93" t="n">
        <v>152</v>
      </c>
      <c r="D93" t="n">
        <v>-1.7408</v>
      </c>
      <c r="E93" t="n">
        <v>17.9887</v>
      </c>
      <c r="F93" t="n">
        <v>0.11781</v>
      </c>
    </row>
    <row r="94">
      <c r="A94" t="n">
        <v>1000153</v>
      </c>
      <c r="B94" t="n">
        <v>1</v>
      </c>
      <c r="C94" t="n">
        <v>153</v>
      </c>
      <c r="D94" t="n">
        <v>-1.7352</v>
      </c>
      <c r="E94" t="n">
        <v>18.0488</v>
      </c>
      <c r="F94" t="n">
        <v>0.11811</v>
      </c>
    </row>
    <row r="95">
      <c r="A95" t="n">
        <v>1000154</v>
      </c>
      <c r="B95" t="n">
        <v>1</v>
      </c>
      <c r="C95" t="n">
        <v>154</v>
      </c>
      <c r="D95" t="n">
        <v>-1.7293</v>
      </c>
      <c r="E95" t="n">
        <v>18.1096</v>
      </c>
      <c r="F95" t="n">
        <v>0.11841</v>
      </c>
    </row>
    <row r="96">
      <c r="A96" t="n">
        <v>1000155</v>
      </c>
      <c r="B96" t="n">
        <v>1</v>
      </c>
      <c r="C96" t="n">
        <v>155</v>
      </c>
      <c r="D96" t="n">
        <v>-1.7232</v>
      </c>
      <c r="E96" t="n">
        <v>18.171</v>
      </c>
      <c r="F96" t="n">
        <v>0.11869</v>
      </c>
    </row>
    <row r="97">
      <c r="A97" t="n">
        <v>1000156</v>
      </c>
      <c r="B97" t="n">
        <v>1</v>
      </c>
      <c r="C97" t="n">
        <v>156</v>
      </c>
      <c r="D97" t="n">
        <v>-1.7168</v>
      </c>
      <c r="E97" t="n">
        <v>18.233</v>
      </c>
      <c r="F97" t="n">
        <v>0.11898</v>
      </c>
    </row>
    <row r="98">
      <c r="A98" t="n">
        <v>1000157</v>
      </c>
      <c r="B98" t="n">
        <v>1</v>
      </c>
      <c r="C98" t="n">
        <v>157</v>
      </c>
      <c r="D98" t="n">
        <v>-1.7102</v>
      </c>
      <c r="E98" t="n">
        <v>18.2955</v>
      </c>
      <c r="F98" t="n">
        <v>0.11925</v>
      </c>
    </row>
    <row r="99">
      <c r="A99" t="n">
        <v>1000158</v>
      </c>
      <c r="B99" t="n">
        <v>1</v>
      </c>
      <c r="C99" t="n">
        <v>158</v>
      </c>
      <c r="D99" t="n">
        <v>-1.7033</v>
      </c>
      <c r="E99" t="n">
        <v>18.3586</v>
      </c>
      <c r="F99" t="n">
        <v>0.11952</v>
      </c>
    </row>
    <row r="100">
      <c r="A100" t="n">
        <v>1000159</v>
      </c>
      <c r="B100" t="n">
        <v>1</v>
      </c>
      <c r="C100" t="n">
        <v>159</v>
      </c>
      <c r="D100" t="n">
        <v>-1.6962</v>
      </c>
      <c r="E100" t="n">
        <v>18.4221</v>
      </c>
      <c r="F100" t="n">
        <v>0.11979</v>
      </c>
    </row>
    <row r="101">
      <c r="A101" t="n">
        <v>1000160</v>
      </c>
      <c r="B101" t="n">
        <v>1</v>
      </c>
      <c r="C101" t="n">
        <v>160</v>
      </c>
      <c r="D101" t="n">
        <v>-1.6888</v>
      </c>
      <c r="E101" t="n">
        <v>18.486</v>
      </c>
      <c r="F101" t="n">
        <v>0.12005</v>
      </c>
    </row>
    <row r="102">
      <c r="A102" t="n">
        <v>1000161</v>
      </c>
      <c r="B102" t="n">
        <v>1</v>
      </c>
      <c r="C102" t="n">
        <v>161</v>
      </c>
      <c r="D102" t="n">
        <v>-1.6811</v>
      </c>
      <c r="E102" t="n">
        <v>18.5502</v>
      </c>
      <c r="F102" t="n">
        <v>0.1203</v>
      </c>
    </row>
    <row r="103">
      <c r="A103" t="n">
        <v>1000162</v>
      </c>
      <c r="B103" t="n">
        <v>1</v>
      </c>
      <c r="C103" t="n">
        <v>162</v>
      </c>
      <c r="D103" t="n">
        <v>-1.6732</v>
      </c>
      <c r="E103" t="n">
        <v>18.6148</v>
      </c>
      <c r="F103" t="n">
        <v>0.12055</v>
      </c>
    </row>
    <row r="104">
      <c r="A104" t="n">
        <v>1000163</v>
      </c>
      <c r="B104" t="n">
        <v>1</v>
      </c>
      <c r="C104" t="n">
        <v>163</v>
      </c>
      <c r="D104" t="n">
        <v>-1.6651</v>
      </c>
      <c r="E104" t="n">
        <v>18.6795</v>
      </c>
      <c r="F104" t="n">
        <v>0.12079</v>
      </c>
    </row>
    <row r="105">
      <c r="A105" t="n">
        <v>1000164</v>
      </c>
      <c r="B105" t="n">
        <v>1</v>
      </c>
      <c r="C105" t="n">
        <v>164</v>
      </c>
      <c r="D105" t="n">
        <v>-1.6568</v>
      </c>
      <c r="E105" t="n">
        <v>18.7445</v>
      </c>
      <c r="F105" t="n">
        <v>0.12102</v>
      </c>
    </row>
    <row r="106">
      <c r="A106" t="n">
        <v>1000165</v>
      </c>
      <c r="B106" t="n">
        <v>1</v>
      </c>
      <c r="C106" t="n">
        <v>165</v>
      </c>
      <c r="D106" t="n">
        <v>-1.6482</v>
      </c>
      <c r="E106" t="n">
        <v>18.8095</v>
      </c>
      <c r="F106" t="n">
        <v>0.12125</v>
      </c>
    </row>
    <row r="107">
      <c r="A107" t="n">
        <v>1000166</v>
      </c>
      <c r="B107" t="n">
        <v>1</v>
      </c>
      <c r="C107" t="n">
        <v>166</v>
      </c>
      <c r="D107" t="n">
        <v>-1.6394</v>
      </c>
      <c r="E107" t="n">
        <v>18.8746</v>
      </c>
      <c r="F107" t="n">
        <v>0.12148</v>
      </c>
    </row>
    <row r="108">
      <c r="A108" t="n">
        <v>1000167</v>
      </c>
      <c r="B108" t="n">
        <v>1</v>
      </c>
      <c r="C108" t="n">
        <v>167</v>
      </c>
      <c r="D108" t="n">
        <v>-1.6304</v>
      </c>
      <c r="E108" t="n">
        <v>18.9398</v>
      </c>
      <c r="F108" t="n">
        <v>0.1217</v>
      </c>
    </row>
    <row r="109">
      <c r="A109" t="n">
        <v>1000168</v>
      </c>
      <c r="B109" t="n">
        <v>1</v>
      </c>
      <c r="C109" t="n">
        <v>168</v>
      </c>
      <c r="D109" t="n">
        <v>-1.6211</v>
      </c>
      <c r="E109" t="n">
        <v>19.005</v>
      </c>
      <c r="F109" t="n">
        <v>0.12191</v>
      </c>
    </row>
    <row r="110">
      <c r="A110" t="n">
        <v>1000169</v>
      </c>
      <c r="B110" t="n">
        <v>1</v>
      </c>
      <c r="C110" t="n">
        <v>169</v>
      </c>
      <c r="D110" t="n">
        <v>-1.6116</v>
      </c>
      <c r="E110" t="n">
        <v>19.0701</v>
      </c>
      <c r="F110" t="n">
        <v>0.12212</v>
      </c>
    </row>
    <row r="111">
      <c r="A111" t="n">
        <v>1000170</v>
      </c>
      <c r="B111" t="n">
        <v>1</v>
      </c>
      <c r="C111" t="n">
        <v>170</v>
      </c>
      <c r="D111" t="n">
        <v>-1.602</v>
      </c>
      <c r="E111" t="n">
        <v>19.1351</v>
      </c>
      <c r="F111" t="n">
        <v>0.12233</v>
      </c>
    </row>
    <row r="112">
      <c r="A112" t="n">
        <v>1000171</v>
      </c>
      <c r="B112" t="n">
        <v>1</v>
      </c>
      <c r="C112" t="n">
        <v>171</v>
      </c>
      <c r="D112" t="n">
        <v>-1.5921</v>
      </c>
      <c r="E112" t="n">
        <v>19.2</v>
      </c>
      <c r="F112" t="n">
        <v>0.12253</v>
      </c>
    </row>
    <row r="113">
      <c r="A113" t="n">
        <v>1000172</v>
      </c>
      <c r="B113" t="n">
        <v>1</v>
      </c>
      <c r="C113" t="n">
        <v>172</v>
      </c>
      <c r="D113" t="n">
        <v>-1.5821</v>
      </c>
      <c r="E113" t="n">
        <v>19.2648</v>
      </c>
      <c r="F113" t="n">
        <v>0.12272</v>
      </c>
    </row>
    <row r="114">
      <c r="A114" t="n">
        <v>1000173</v>
      </c>
      <c r="B114" t="n">
        <v>1</v>
      </c>
      <c r="C114" t="n">
        <v>173</v>
      </c>
      <c r="D114" t="n">
        <v>-1.5719</v>
      </c>
      <c r="E114" t="n">
        <v>19.3294</v>
      </c>
      <c r="F114" t="n">
        <v>0.12291</v>
      </c>
    </row>
    <row r="115">
      <c r="A115" t="n">
        <v>1000174</v>
      </c>
      <c r="B115" t="n">
        <v>1</v>
      </c>
      <c r="C115" t="n">
        <v>174</v>
      </c>
      <c r="D115" t="n">
        <v>-1.5615</v>
      </c>
      <c r="E115" t="n">
        <v>19.3937</v>
      </c>
      <c r="F115" t="n">
        <v>0.1231</v>
      </c>
    </row>
    <row r="116">
      <c r="A116" t="n">
        <v>1000175</v>
      </c>
      <c r="B116" t="n">
        <v>1</v>
      </c>
      <c r="C116" t="n">
        <v>175</v>
      </c>
      <c r="D116" t="n">
        <v>-1.551</v>
      </c>
      <c r="E116" t="n">
        <v>19.4578</v>
      </c>
      <c r="F116" t="n">
        <v>0.12328</v>
      </c>
    </row>
    <row r="117">
      <c r="A117" t="n">
        <v>1000176</v>
      </c>
      <c r="B117" t="n">
        <v>1</v>
      </c>
      <c r="C117" t="n">
        <v>176</v>
      </c>
      <c r="D117" t="n">
        <v>-1.5403</v>
      </c>
      <c r="E117" t="n">
        <v>19.5217</v>
      </c>
      <c r="F117" t="n">
        <v>0.12346</v>
      </c>
    </row>
    <row r="118">
      <c r="A118" t="n">
        <v>1000177</v>
      </c>
      <c r="B118" t="n">
        <v>1</v>
      </c>
      <c r="C118" t="n">
        <v>177</v>
      </c>
      <c r="D118" t="n">
        <v>-1.5294</v>
      </c>
      <c r="E118" t="n">
        <v>19.5853</v>
      </c>
      <c r="F118" t="n">
        <v>0.12363</v>
      </c>
    </row>
    <row r="119">
      <c r="A119" t="n">
        <v>1000178</v>
      </c>
      <c r="B119" t="n">
        <v>1</v>
      </c>
      <c r="C119" t="n">
        <v>178</v>
      </c>
      <c r="D119" t="n">
        <v>-1.5185</v>
      </c>
      <c r="E119" t="n">
        <v>19.6486</v>
      </c>
      <c r="F119" t="n">
        <v>0.1238</v>
      </c>
    </row>
    <row r="120">
      <c r="A120" t="n">
        <v>1000179</v>
      </c>
      <c r="B120" t="n">
        <v>1</v>
      </c>
      <c r="C120" t="n">
        <v>179</v>
      </c>
      <c r="D120" t="n">
        <v>-1.5074</v>
      </c>
      <c r="E120" t="n">
        <v>19.7117</v>
      </c>
      <c r="F120" t="n">
        <v>0.12396</v>
      </c>
    </row>
    <row r="121">
      <c r="A121" t="n">
        <v>1000180</v>
      </c>
      <c r="B121" t="n">
        <v>1</v>
      </c>
      <c r="C121" t="n">
        <v>180</v>
      </c>
      <c r="D121" t="n">
        <v>-1.4961</v>
      </c>
      <c r="E121" t="n">
        <v>19.7744</v>
      </c>
      <c r="F121" t="n">
        <v>0.12412</v>
      </c>
    </row>
    <row r="122">
      <c r="A122" t="n">
        <v>1000181</v>
      </c>
      <c r="B122" t="n">
        <v>1</v>
      </c>
      <c r="C122" t="n">
        <v>181</v>
      </c>
      <c r="D122" t="n">
        <v>-1.4848</v>
      </c>
      <c r="E122" t="n">
        <v>19.8367</v>
      </c>
      <c r="F122" t="n">
        <v>0.12428</v>
      </c>
    </row>
    <row r="123">
      <c r="A123" t="n">
        <v>1000182</v>
      </c>
      <c r="B123" t="n">
        <v>1</v>
      </c>
      <c r="C123" t="n">
        <v>182</v>
      </c>
      <c r="D123" t="n">
        <v>-1.4733</v>
      </c>
      <c r="E123" t="n">
        <v>19.8987</v>
      </c>
      <c r="F123" t="n">
        <v>0.12443</v>
      </c>
    </row>
    <row r="124">
      <c r="A124" t="n">
        <v>1000183</v>
      </c>
      <c r="B124" t="n">
        <v>1</v>
      </c>
      <c r="C124" t="n">
        <v>183</v>
      </c>
      <c r="D124" t="n">
        <v>-1.4617</v>
      </c>
      <c r="E124" t="n">
        <v>19.9603</v>
      </c>
      <c r="F124" t="n">
        <v>0.12458</v>
      </c>
    </row>
    <row r="125">
      <c r="A125" t="n">
        <v>1000184</v>
      </c>
      <c r="B125" t="n">
        <v>1</v>
      </c>
      <c r="C125" t="n">
        <v>184</v>
      </c>
      <c r="D125" t="n">
        <v>-1.45</v>
      </c>
      <c r="E125" t="n">
        <v>20.0215</v>
      </c>
      <c r="F125" t="n">
        <v>0.12473</v>
      </c>
    </row>
    <row r="126">
      <c r="A126" t="n">
        <v>1000185</v>
      </c>
      <c r="B126" t="n">
        <v>1</v>
      </c>
      <c r="C126" t="n">
        <v>185</v>
      </c>
      <c r="D126" t="n">
        <v>-1.4382</v>
      </c>
      <c r="E126" t="n">
        <v>20.0823</v>
      </c>
      <c r="F126" t="n">
        <v>0.12487</v>
      </c>
    </row>
    <row r="127">
      <c r="A127" t="n">
        <v>1000186</v>
      </c>
      <c r="B127" t="n">
        <v>1</v>
      </c>
      <c r="C127" t="n">
        <v>186</v>
      </c>
      <c r="D127" t="n">
        <v>-1.4263</v>
      </c>
      <c r="E127" t="n">
        <v>20.1427</v>
      </c>
      <c r="F127" t="n">
        <v>0.12501</v>
      </c>
    </row>
    <row r="128">
      <c r="A128" t="n">
        <v>1000187</v>
      </c>
      <c r="B128" t="n">
        <v>1</v>
      </c>
      <c r="C128" t="n">
        <v>187</v>
      </c>
      <c r="D128" t="n">
        <v>-1.4143</v>
      </c>
      <c r="E128" t="n">
        <v>20.2026</v>
      </c>
      <c r="F128" t="n">
        <v>0.12514</v>
      </c>
    </row>
    <row r="129">
      <c r="A129" t="n">
        <v>1000188</v>
      </c>
      <c r="B129" t="n">
        <v>1</v>
      </c>
      <c r="C129" t="n">
        <v>188</v>
      </c>
      <c r="D129" t="n">
        <v>-1.4022</v>
      </c>
      <c r="E129" t="n">
        <v>20.2621</v>
      </c>
      <c r="F129" t="n">
        <v>0.12528</v>
      </c>
    </row>
    <row r="130">
      <c r="A130" t="n">
        <v>1000189</v>
      </c>
      <c r="B130" t="n">
        <v>1</v>
      </c>
      <c r="C130" t="n">
        <v>189</v>
      </c>
      <c r="D130" t="n">
        <v>-1.39</v>
      </c>
      <c r="E130" t="n">
        <v>20.3211</v>
      </c>
      <c r="F130" t="n">
        <v>0.12541</v>
      </c>
    </row>
    <row r="131">
      <c r="A131" t="n">
        <v>1000190</v>
      </c>
      <c r="B131" t="n">
        <v>1</v>
      </c>
      <c r="C131" t="n">
        <v>190</v>
      </c>
      <c r="D131" t="n">
        <v>-1.3777</v>
      </c>
      <c r="E131" t="n">
        <v>20.3796</v>
      </c>
      <c r="F131" t="n">
        <v>0.12554</v>
      </c>
    </row>
    <row r="132">
      <c r="A132" t="n">
        <v>1000191</v>
      </c>
      <c r="B132" t="n">
        <v>1</v>
      </c>
      <c r="C132" t="n">
        <v>191</v>
      </c>
      <c r="D132" t="n">
        <v>-1.3653</v>
      </c>
      <c r="E132" t="n">
        <v>20.4376</v>
      </c>
      <c r="F132" t="n">
        <v>0.12567</v>
      </c>
    </row>
    <row r="133">
      <c r="A133" t="n">
        <v>1000192</v>
      </c>
      <c r="B133" t="n">
        <v>1</v>
      </c>
      <c r="C133" t="n">
        <v>192</v>
      </c>
      <c r="D133" t="n">
        <v>-1.3529</v>
      </c>
      <c r="E133" t="n">
        <v>20.4951</v>
      </c>
      <c r="F133" t="n">
        <v>0.12579</v>
      </c>
    </row>
    <row r="134">
      <c r="A134" t="n">
        <v>1000193</v>
      </c>
      <c r="B134" t="n">
        <v>1</v>
      </c>
      <c r="C134" t="n">
        <v>193</v>
      </c>
      <c r="D134" t="n">
        <v>-1.3403</v>
      </c>
      <c r="E134" t="n">
        <v>20.5521</v>
      </c>
      <c r="F134" t="n">
        <v>0.12591</v>
      </c>
    </row>
    <row r="135">
      <c r="A135" t="n">
        <v>1000194</v>
      </c>
      <c r="B135" t="n">
        <v>1</v>
      </c>
      <c r="C135" t="n">
        <v>194</v>
      </c>
      <c r="D135" t="n">
        <v>-1.3277</v>
      </c>
      <c r="E135" t="n">
        <v>20.6085</v>
      </c>
      <c r="F135" t="n">
        <v>0.12603</v>
      </c>
    </row>
    <row r="136">
      <c r="A136" t="n">
        <v>1000195</v>
      </c>
      <c r="B136" t="n">
        <v>1</v>
      </c>
      <c r="C136" t="n">
        <v>195</v>
      </c>
      <c r="D136" t="n">
        <v>-1.3149</v>
      </c>
      <c r="E136" t="n">
        <v>20.6644</v>
      </c>
      <c r="F136" t="n">
        <v>0.12615</v>
      </c>
    </row>
    <row r="137">
      <c r="A137" t="n">
        <v>1000196</v>
      </c>
      <c r="B137" t="n">
        <v>1</v>
      </c>
      <c r="C137" t="n">
        <v>196</v>
      </c>
      <c r="D137" t="n">
        <v>-1.3021</v>
      </c>
      <c r="E137" t="n">
        <v>20.7197</v>
      </c>
      <c r="F137" t="n">
        <v>0.12627</v>
      </c>
    </row>
    <row r="138">
      <c r="A138" t="n">
        <v>1000197</v>
      </c>
      <c r="B138" t="n">
        <v>1</v>
      </c>
      <c r="C138" t="n">
        <v>197</v>
      </c>
      <c r="D138" t="n">
        <v>-1.2892</v>
      </c>
      <c r="E138" t="n">
        <v>20.7745</v>
      </c>
      <c r="F138" t="n">
        <v>0.12638</v>
      </c>
    </row>
    <row r="139">
      <c r="A139" t="n">
        <v>1000198</v>
      </c>
      <c r="B139" t="n">
        <v>1</v>
      </c>
      <c r="C139" t="n">
        <v>198</v>
      </c>
      <c r="D139" t="n">
        <v>-1.2762</v>
      </c>
      <c r="E139" t="n">
        <v>20.8287</v>
      </c>
      <c r="F139" t="n">
        <v>0.1265</v>
      </c>
    </row>
    <row r="140">
      <c r="A140" t="n">
        <v>1000199</v>
      </c>
      <c r="B140" t="n">
        <v>1</v>
      </c>
      <c r="C140" t="n">
        <v>199</v>
      </c>
      <c r="D140" t="n">
        <v>-1.2631</v>
      </c>
      <c r="E140" t="n">
        <v>20.8824</v>
      </c>
      <c r="F140" t="n">
        <v>0.12661</v>
      </c>
    </row>
    <row r="141">
      <c r="A141" t="n">
        <v>1000200</v>
      </c>
      <c r="B141" t="n">
        <v>1</v>
      </c>
      <c r="C141" t="n">
        <v>200</v>
      </c>
      <c r="D141" t="n">
        <v>-1.2499</v>
      </c>
      <c r="E141" t="n">
        <v>20.9355</v>
      </c>
      <c r="F141" t="n">
        <v>0.12672</v>
      </c>
    </row>
    <row r="142">
      <c r="A142" t="n">
        <v>1000201</v>
      </c>
      <c r="B142" t="n">
        <v>1</v>
      </c>
      <c r="C142" t="n">
        <v>201</v>
      </c>
      <c r="D142" t="n">
        <v>-1.2366</v>
      </c>
      <c r="E142" t="n">
        <v>20.9881</v>
      </c>
      <c r="F142" t="n">
        <v>0.12683</v>
      </c>
    </row>
    <row r="143">
      <c r="A143" t="n">
        <v>1000202</v>
      </c>
      <c r="B143" t="n">
        <v>1</v>
      </c>
      <c r="C143" t="n">
        <v>202</v>
      </c>
      <c r="D143" t="n">
        <v>-1.2233</v>
      </c>
      <c r="E143" t="n">
        <v>21.04</v>
      </c>
      <c r="F143" t="n">
        <v>0.12694</v>
      </c>
    </row>
    <row r="144">
      <c r="A144" t="n">
        <v>1000203</v>
      </c>
      <c r="B144" t="n">
        <v>1</v>
      </c>
      <c r="C144" t="n">
        <v>203</v>
      </c>
      <c r="D144" t="n">
        <v>-1.2098</v>
      </c>
      <c r="E144" t="n">
        <v>21.0914</v>
      </c>
      <c r="F144" t="n">
        <v>0.12704</v>
      </c>
    </row>
    <row r="145">
      <c r="A145" t="n">
        <v>1000204</v>
      </c>
      <c r="B145" t="n">
        <v>1</v>
      </c>
      <c r="C145" t="n">
        <v>204</v>
      </c>
      <c r="D145" t="n">
        <v>-1.1962</v>
      </c>
      <c r="E145" t="n">
        <v>21.1423</v>
      </c>
      <c r="F145" t="n">
        <v>0.12715</v>
      </c>
    </row>
    <row r="146">
      <c r="A146" t="n">
        <v>1000205</v>
      </c>
      <c r="B146" t="n">
        <v>1</v>
      </c>
      <c r="C146" t="n">
        <v>205</v>
      </c>
      <c r="D146" t="n">
        <v>-1.1826</v>
      </c>
      <c r="E146" t="n">
        <v>21.1925</v>
      </c>
      <c r="F146" t="n">
        <v>0.12726</v>
      </c>
    </row>
    <row r="147">
      <c r="A147" t="n">
        <v>1000206</v>
      </c>
      <c r="B147" t="n">
        <v>1</v>
      </c>
      <c r="C147" t="n">
        <v>206</v>
      </c>
      <c r="D147" t="n">
        <v>-1.1688</v>
      </c>
      <c r="E147" t="n">
        <v>21.2423</v>
      </c>
      <c r="F147" t="n">
        <v>0.12736</v>
      </c>
    </row>
    <row r="148">
      <c r="A148" t="n">
        <v>1000207</v>
      </c>
      <c r="B148" t="n">
        <v>1</v>
      </c>
      <c r="C148" t="n">
        <v>207</v>
      </c>
      <c r="D148" t="n">
        <v>-1.155</v>
      </c>
      <c r="E148" t="n">
        <v>21.2914</v>
      </c>
      <c r="F148" t="n">
        <v>0.12746</v>
      </c>
    </row>
    <row r="149">
      <c r="A149" t="n">
        <v>1000208</v>
      </c>
      <c r="B149" t="n">
        <v>1</v>
      </c>
      <c r="C149" t="n">
        <v>208</v>
      </c>
      <c r="D149" t="n">
        <v>-1.141</v>
      </c>
      <c r="E149" t="n">
        <v>21.34</v>
      </c>
      <c r="F149" t="n">
        <v>0.12756</v>
      </c>
    </row>
    <row r="150">
      <c r="A150" t="n">
        <v>1000209</v>
      </c>
      <c r="B150" t="n">
        <v>1</v>
      </c>
      <c r="C150" t="n">
        <v>209</v>
      </c>
      <c r="D150" t="n">
        <v>-1.127</v>
      </c>
      <c r="E150" t="n">
        <v>21.388</v>
      </c>
      <c r="F150" t="n">
        <v>0.12767</v>
      </c>
    </row>
    <row r="151">
      <c r="A151" t="n">
        <v>1000210</v>
      </c>
      <c r="B151" t="n">
        <v>1</v>
      </c>
      <c r="C151" t="n">
        <v>210</v>
      </c>
      <c r="D151" t="n">
        <v>-1.1129</v>
      </c>
      <c r="E151" t="n">
        <v>21.4354</v>
      </c>
      <c r="F151" t="n">
        <v>0.12777</v>
      </c>
    </row>
    <row r="152">
      <c r="A152" t="n">
        <v>1000211</v>
      </c>
      <c r="B152" t="n">
        <v>1</v>
      </c>
      <c r="C152" t="n">
        <v>211</v>
      </c>
      <c r="D152" t="n">
        <v>-1.0986</v>
      </c>
      <c r="E152" t="n">
        <v>21.4822</v>
      </c>
      <c r="F152" t="n">
        <v>0.12787</v>
      </c>
    </row>
    <row r="153">
      <c r="A153" t="n">
        <v>1000212</v>
      </c>
      <c r="B153" t="n">
        <v>1</v>
      </c>
      <c r="C153" t="n">
        <v>212</v>
      </c>
      <c r="D153" t="n">
        <v>-1.0843</v>
      </c>
      <c r="E153" t="n">
        <v>21.5285</v>
      </c>
      <c r="F153" t="n">
        <v>0.12797</v>
      </c>
    </row>
    <row r="154">
      <c r="A154" t="n">
        <v>1000213</v>
      </c>
      <c r="B154" t="n">
        <v>1</v>
      </c>
      <c r="C154" t="n">
        <v>213</v>
      </c>
      <c r="D154" t="n">
        <v>-1.0699</v>
      </c>
      <c r="E154" t="n">
        <v>21.5742</v>
      </c>
      <c r="F154" t="n">
        <v>0.12807</v>
      </c>
    </row>
    <row r="155">
      <c r="A155" t="n">
        <v>1000214</v>
      </c>
      <c r="B155" t="n">
        <v>1</v>
      </c>
      <c r="C155" t="n">
        <v>214</v>
      </c>
      <c r="D155" t="n">
        <v>-1.0553</v>
      </c>
      <c r="E155" t="n">
        <v>21.6193</v>
      </c>
      <c r="F155" t="n">
        <v>0.12816</v>
      </c>
    </row>
    <row r="156">
      <c r="A156" t="n">
        <v>1000215</v>
      </c>
      <c r="B156" t="n">
        <v>1</v>
      </c>
      <c r="C156" t="n">
        <v>215</v>
      </c>
      <c r="D156" t="n">
        <v>-1.0407</v>
      </c>
      <c r="E156" t="n">
        <v>21.6638</v>
      </c>
      <c r="F156" t="n">
        <v>0.12826</v>
      </c>
    </row>
    <row r="157">
      <c r="A157" t="n">
        <v>1000216</v>
      </c>
      <c r="B157" t="n">
        <v>1</v>
      </c>
      <c r="C157" t="n">
        <v>216</v>
      </c>
      <c r="D157" t="n">
        <v>-1.026</v>
      </c>
      <c r="E157" t="n">
        <v>21.7077</v>
      </c>
      <c r="F157" t="n">
        <v>0.12836</v>
      </c>
    </row>
    <row r="158">
      <c r="A158" t="n">
        <v>1000217</v>
      </c>
      <c r="B158" t="n">
        <v>1</v>
      </c>
      <c r="C158" t="n">
        <v>217</v>
      </c>
      <c r="D158" t="n">
        <v>-1.0112</v>
      </c>
      <c r="E158" t="n">
        <v>21.751</v>
      </c>
      <c r="F158" t="n">
        <v>0.12845</v>
      </c>
    </row>
    <row r="159">
      <c r="A159" t="n">
        <v>1000218</v>
      </c>
      <c r="B159" t="n">
        <v>1</v>
      </c>
      <c r="C159" t="n">
        <v>218</v>
      </c>
      <c r="D159" t="n">
        <v>-0.9962</v>
      </c>
      <c r="E159" t="n">
        <v>21.7937</v>
      </c>
      <c r="F159" t="n">
        <v>0.12855</v>
      </c>
    </row>
    <row r="160">
      <c r="A160" t="n">
        <v>1000219</v>
      </c>
      <c r="B160" t="n">
        <v>1</v>
      </c>
      <c r="C160" t="n">
        <v>219</v>
      </c>
      <c r="D160" t="n">
        <v>-0.9812</v>
      </c>
      <c r="E160" t="n">
        <v>21.8358</v>
      </c>
      <c r="F160" t="n">
        <v>0.12864</v>
      </c>
    </row>
    <row r="161">
      <c r="A161" t="n">
        <v>1000220</v>
      </c>
      <c r="B161" t="n">
        <v>1</v>
      </c>
      <c r="C161" t="n">
        <v>220</v>
      </c>
      <c r="D161" t="n">
        <v>-0.9661</v>
      </c>
      <c r="E161" t="n">
        <v>21.8773</v>
      </c>
      <c r="F161" t="n">
        <v>0.12874</v>
      </c>
    </row>
    <row r="162">
      <c r="A162" t="n">
        <v>1000221</v>
      </c>
      <c r="B162" t="n">
        <v>1</v>
      </c>
      <c r="C162" t="n">
        <v>221</v>
      </c>
      <c r="D162" t="n">
        <v>-0.9509</v>
      </c>
      <c r="E162" t="n">
        <v>21.9182</v>
      </c>
      <c r="F162" t="n">
        <v>0.12883</v>
      </c>
    </row>
    <row r="163">
      <c r="A163" t="n">
        <v>1000222</v>
      </c>
      <c r="B163" t="n">
        <v>1</v>
      </c>
      <c r="C163" t="n">
        <v>222</v>
      </c>
      <c r="D163" t="n">
        <v>-0.9356</v>
      </c>
      <c r="E163" t="n">
        <v>21.9585</v>
      </c>
      <c r="F163" t="n">
        <v>0.12893</v>
      </c>
    </row>
    <row r="164">
      <c r="A164" t="n">
        <v>1000223</v>
      </c>
      <c r="B164" t="n">
        <v>1</v>
      </c>
      <c r="C164" t="n">
        <v>223</v>
      </c>
      <c r="D164" t="n">
        <v>-0.9202</v>
      </c>
      <c r="E164" t="n">
        <v>21.9982</v>
      </c>
      <c r="F164" t="n">
        <v>0.12902</v>
      </c>
    </row>
    <row r="165">
      <c r="A165" t="n">
        <v>1000224</v>
      </c>
      <c r="B165" t="n">
        <v>1</v>
      </c>
      <c r="C165" t="n">
        <v>224</v>
      </c>
      <c r="D165" t="n">
        <v>-0.9048</v>
      </c>
      <c r="E165" t="n">
        <v>22.0374</v>
      </c>
      <c r="F165" t="n">
        <v>0.12911</v>
      </c>
    </row>
    <row r="166">
      <c r="A166" t="n">
        <v>1000225</v>
      </c>
      <c r="B166" t="n">
        <v>1</v>
      </c>
      <c r="C166" t="n">
        <v>225</v>
      </c>
      <c r="D166" t="n">
        <v>-0.8892</v>
      </c>
      <c r="E166" t="n">
        <v>22.076</v>
      </c>
      <c r="F166" t="n">
        <v>0.1292</v>
      </c>
    </row>
    <row r="167">
      <c r="A167" t="n">
        <v>1000226</v>
      </c>
      <c r="B167" t="n">
        <v>1</v>
      </c>
      <c r="C167" t="n">
        <v>226</v>
      </c>
      <c r="D167" t="n">
        <v>-0.8735000000000001</v>
      </c>
      <c r="E167" t="n">
        <v>22.114</v>
      </c>
      <c r="F167" t="n">
        <v>0.1293</v>
      </c>
    </row>
    <row r="168">
      <c r="A168" t="n">
        <v>1000227</v>
      </c>
      <c r="B168" t="n">
        <v>1</v>
      </c>
      <c r="C168" t="n">
        <v>227</v>
      </c>
      <c r="D168" t="n">
        <v>-0.8578</v>
      </c>
      <c r="E168" t="n">
        <v>22.1514</v>
      </c>
      <c r="F168" t="n">
        <v>0.12939</v>
      </c>
    </row>
    <row r="169">
      <c r="A169" t="n">
        <v>1000228</v>
      </c>
      <c r="B169" t="n">
        <v>1</v>
      </c>
      <c r="C169" t="n">
        <v>228</v>
      </c>
      <c r="D169" t="n">
        <v>-0.8419</v>
      </c>
      <c r="E169" t="n">
        <v>22.1883</v>
      </c>
      <c r="F169" t="n">
        <v>0.12948</v>
      </c>
    </row>
    <row r="170">
      <c r="A170" t="n">
        <v>2000061</v>
      </c>
      <c r="B170" t="n">
        <v>2</v>
      </c>
      <c r="C170" t="n">
        <v>61</v>
      </c>
      <c r="D170" t="n">
        <v>-0.8885999999999999</v>
      </c>
      <c r="E170" t="n">
        <v>15.2441</v>
      </c>
      <c r="F170" t="n">
        <v>0.09692000000000001</v>
      </c>
    </row>
    <row r="171">
      <c r="A171" t="n">
        <v>2000062</v>
      </c>
      <c r="B171" t="n">
        <v>2</v>
      </c>
      <c r="C171" t="n">
        <v>62</v>
      </c>
      <c r="D171" t="n">
        <v>-0.9068000000000001</v>
      </c>
      <c r="E171" t="n">
        <v>15.2434</v>
      </c>
      <c r="F171" t="n">
        <v>0.09737999999999999</v>
      </c>
    </row>
    <row r="172">
      <c r="A172" t="n">
        <v>2000063</v>
      </c>
      <c r="B172" t="n">
        <v>2</v>
      </c>
      <c r="C172" t="n">
        <v>63</v>
      </c>
      <c r="D172" t="n">
        <v>-0.9248</v>
      </c>
      <c r="E172" t="n">
        <v>15.2433</v>
      </c>
      <c r="F172" t="n">
        <v>0.09783</v>
      </c>
    </row>
    <row r="173">
      <c r="A173" t="n">
        <v>2000064</v>
      </c>
      <c r="B173" t="n">
        <v>2</v>
      </c>
      <c r="C173" t="n">
        <v>64</v>
      </c>
      <c r="D173" t="n">
        <v>-0.9427</v>
      </c>
      <c r="E173" t="n">
        <v>15.2438</v>
      </c>
      <c r="F173" t="n">
        <v>0.09829</v>
      </c>
    </row>
    <row r="174">
      <c r="A174" t="n">
        <v>2000065</v>
      </c>
      <c r="B174" t="n">
        <v>2</v>
      </c>
      <c r="C174" t="n">
        <v>65</v>
      </c>
      <c r="D174" t="n">
        <v>-0.9605</v>
      </c>
      <c r="E174" t="n">
        <v>15.2448</v>
      </c>
      <c r="F174" t="n">
        <v>0.09875</v>
      </c>
    </row>
    <row r="175">
      <c r="A175" t="n">
        <v>2000066</v>
      </c>
      <c r="B175" t="n">
        <v>2</v>
      </c>
      <c r="C175" t="n">
        <v>66</v>
      </c>
      <c r="D175" t="n">
        <v>-0.978</v>
      </c>
      <c r="E175" t="n">
        <v>15.2464</v>
      </c>
      <c r="F175" t="n">
        <v>0.0992</v>
      </c>
    </row>
    <row r="176">
      <c r="A176" t="n">
        <v>2000067</v>
      </c>
      <c r="B176" t="n">
        <v>2</v>
      </c>
      <c r="C176" t="n">
        <v>67</v>
      </c>
      <c r="D176" t="n">
        <v>-0.9954</v>
      </c>
      <c r="E176" t="n">
        <v>15.2487</v>
      </c>
      <c r="F176" t="n">
        <v>0.09966</v>
      </c>
    </row>
    <row r="177">
      <c r="A177" t="n">
        <v>2000068</v>
      </c>
      <c r="B177" t="n">
        <v>2</v>
      </c>
      <c r="C177" t="n">
        <v>68</v>
      </c>
      <c r="D177" t="n">
        <v>-1.0126</v>
      </c>
      <c r="E177" t="n">
        <v>15.2516</v>
      </c>
      <c r="F177" t="n">
        <v>0.10012</v>
      </c>
    </row>
    <row r="178">
      <c r="A178" t="n">
        <v>2000069</v>
      </c>
      <c r="B178" t="n">
        <v>2</v>
      </c>
      <c r="C178" t="n">
        <v>69</v>
      </c>
      <c r="D178" t="n">
        <v>-1.0296</v>
      </c>
      <c r="E178" t="n">
        <v>15.2551</v>
      </c>
      <c r="F178" t="n">
        <v>0.10058</v>
      </c>
    </row>
    <row r="179">
      <c r="A179" t="n">
        <v>2000070</v>
      </c>
      <c r="B179" t="n">
        <v>2</v>
      </c>
      <c r="C179" t="n">
        <v>70</v>
      </c>
      <c r="D179" t="n">
        <v>-1.0464</v>
      </c>
      <c r="E179" t="n">
        <v>15.2592</v>
      </c>
      <c r="F179" t="n">
        <v>0.10104</v>
      </c>
    </row>
    <row r="180">
      <c r="A180" t="n">
        <v>2000071</v>
      </c>
      <c r="B180" t="n">
        <v>2</v>
      </c>
      <c r="C180" t="n">
        <v>71</v>
      </c>
      <c r="D180" t="n">
        <v>-1.063</v>
      </c>
      <c r="E180" t="n">
        <v>15.2641</v>
      </c>
      <c r="F180" t="n">
        <v>0.10149</v>
      </c>
    </row>
    <row r="181">
      <c r="A181" t="n">
        <v>2000072</v>
      </c>
      <c r="B181" t="n">
        <v>2</v>
      </c>
      <c r="C181" t="n">
        <v>72</v>
      </c>
      <c r="D181" t="n">
        <v>-1.0794</v>
      </c>
      <c r="E181" t="n">
        <v>15.2697</v>
      </c>
      <c r="F181" t="n">
        <v>0.10195</v>
      </c>
    </row>
    <row r="182">
      <c r="A182" t="n">
        <v>2000073</v>
      </c>
      <c r="B182" t="n">
        <v>2</v>
      </c>
      <c r="C182" t="n">
        <v>73</v>
      </c>
      <c r="D182" t="n">
        <v>-1.0956</v>
      </c>
      <c r="E182" t="n">
        <v>15.276</v>
      </c>
      <c r="F182" t="n">
        <v>0.10241</v>
      </c>
    </row>
    <row r="183">
      <c r="A183" t="n">
        <v>2000074</v>
      </c>
      <c r="B183" t="n">
        <v>2</v>
      </c>
      <c r="C183" t="n">
        <v>74</v>
      </c>
      <c r="D183" t="n">
        <v>-1.1115</v>
      </c>
      <c r="E183" t="n">
        <v>15.2831</v>
      </c>
      <c r="F183" t="n">
        <v>0.10287</v>
      </c>
    </row>
    <row r="184">
      <c r="A184" t="n">
        <v>2000075</v>
      </c>
      <c r="B184" t="n">
        <v>2</v>
      </c>
      <c r="C184" t="n">
        <v>75</v>
      </c>
      <c r="D184" t="n">
        <v>-1.1272</v>
      </c>
      <c r="E184" t="n">
        <v>15.2911</v>
      </c>
      <c r="F184" t="n">
        <v>0.10333</v>
      </c>
    </row>
    <row r="185">
      <c r="A185" t="n">
        <v>2000076</v>
      </c>
      <c r="B185" t="n">
        <v>2</v>
      </c>
      <c r="C185" t="n">
        <v>76</v>
      </c>
      <c r="D185" t="n">
        <v>-1.1427</v>
      </c>
      <c r="E185" t="n">
        <v>15.2998</v>
      </c>
      <c r="F185" t="n">
        <v>0.10379</v>
      </c>
    </row>
    <row r="186">
      <c r="A186" t="n">
        <v>2000077</v>
      </c>
      <c r="B186" t="n">
        <v>2</v>
      </c>
      <c r="C186" t="n">
        <v>77</v>
      </c>
      <c r="D186" t="n">
        <v>-1.1579</v>
      </c>
      <c r="E186" t="n">
        <v>15.3095</v>
      </c>
      <c r="F186" t="n">
        <v>0.10425</v>
      </c>
    </row>
    <row r="187">
      <c r="A187" t="n">
        <v>2000078</v>
      </c>
      <c r="B187" t="n">
        <v>2</v>
      </c>
      <c r="C187" t="n">
        <v>78</v>
      </c>
      <c r="D187" t="n">
        <v>-1.1728</v>
      </c>
      <c r="E187" t="n">
        <v>15.32</v>
      </c>
      <c r="F187" t="n">
        <v>0.10471</v>
      </c>
    </row>
    <row r="188">
      <c r="A188" t="n">
        <v>2000079</v>
      </c>
      <c r="B188" t="n">
        <v>2</v>
      </c>
      <c r="C188" t="n">
        <v>79</v>
      </c>
      <c r="D188" t="n">
        <v>-1.1875</v>
      </c>
      <c r="E188" t="n">
        <v>15.3314</v>
      </c>
      <c r="F188" t="n">
        <v>0.10517</v>
      </c>
    </row>
    <row r="189">
      <c r="A189" t="n">
        <v>2000080</v>
      </c>
      <c r="B189" t="n">
        <v>2</v>
      </c>
      <c r="C189" t="n">
        <v>80</v>
      </c>
      <c r="D189" t="n">
        <v>-1.2019</v>
      </c>
      <c r="E189" t="n">
        <v>15.3439</v>
      </c>
      <c r="F189" t="n">
        <v>0.10562</v>
      </c>
    </row>
    <row r="190">
      <c r="A190" t="n">
        <v>2000081</v>
      </c>
      <c r="B190" t="n">
        <v>2</v>
      </c>
      <c r="C190" t="n">
        <v>81</v>
      </c>
      <c r="D190" t="n">
        <v>-1.216</v>
      </c>
      <c r="E190" t="n">
        <v>15.3572</v>
      </c>
      <c r="F190" t="n">
        <v>0.10608</v>
      </c>
    </row>
    <row r="191">
      <c r="A191" t="n">
        <v>2000082</v>
      </c>
      <c r="B191" t="n">
        <v>2</v>
      </c>
      <c r="C191" t="n">
        <v>82</v>
      </c>
      <c r="D191" t="n">
        <v>-1.2298</v>
      </c>
      <c r="E191" t="n">
        <v>15.3717</v>
      </c>
      <c r="F191" t="n">
        <v>0.10654</v>
      </c>
    </row>
    <row r="192">
      <c r="A192" t="n">
        <v>2000083</v>
      </c>
      <c r="B192" t="n">
        <v>2</v>
      </c>
      <c r="C192" t="n">
        <v>83</v>
      </c>
      <c r="D192" t="n">
        <v>-1.2433</v>
      </c>
      <c r="E192" t="n">
        <v>15.3871</v>
      </c>
      <c r="F192" t="n">
        <v>0.107</v>
      </c>
    </row>
    <row r="193">
      <c r="A193" t="n">
        <v>2000084</v>
      </c>
      <c r="B193" t="n">
        <v>2</v>
      </c>
      <c r="C193" t="n">
        <v>84</v>
      </c>
      <c r="D193" t="n">
        <v>-1.2565</v>
      </c>
      <c r="E193" t="n">
        <v>15.4036</v>
      </c>
      <c r="F193" t="n">
        <v>0.10746</v>
      </c>
    </row>
    <row r="194">
      <c r="A194" t="n">
        <v>2000085</v>
      </c>
      <c r="B194" t="n">
        <v>2</v>
      </c>
      <c r="C194" t="n">
        <v>85</v>
      </c>
      <c r="D194" t="n">
        <v>-1.2693</v>
      </c>
      <c r="E194" t="n">
        <v>15.4211</v>
      </c>
      <c r="F194" t="n">
        <v>0.10792</v>
      </c>
    </row>
    <row r="195">
      <c r="A195" t="n">
        <v>2000086</v>
      </c>
      <c r="B195" t="n">
        <v>2</v>
      </c>
      <c r="C195" t="n">
        <v>86</v>
      </c>
      <c r="D195" t="n">
        <v>-1.2819</v>
      </c>
      <c r="E195" t="n">
        <v>15.4397</v>
      </c>
      <c r="F195" t="n">
        <v>0.10837</v>
      </c>
    </row>
    <row r="196">
      <c r="A196" t="n">
        <v>2000087</v>
      </c>
      <c r="B196" t="n">
        <v>2</v>
      </c>
      <c r="C196" t="n">
        <v>87</v>
      </c>
      <c r="D196" t="n">
        <v>-1.2941</v>
      </c>
      <c r="E196" t="n">
        <v>15.4593</v>
      </c>
      <c r="F196" t="n">
        <v>0.10883</v>
      </c>
    </row>
    <row r="197">
      <c r="A197" t="n">
        <v>2000088</v>
      </c>
      <c r="B197" t="n">
        <v>2</v>
      </c>
      <c r="C197" t="n">
        <v>88</v>
      </c>
      <c r="D197" t="n">
        <v>-1.306</v>
      </c>
      <c r="E197" t="n">
        <v>15.4798</v>
      </c>
      <c r="F197" t="n">
        <v>0.10929</v>
      </c>
    </row>
    <row r="198">
      <c r="A198" t="n">
        <v>2000089</v>
      </c>
      <c r="B198" t="n">
        <v>2</v>
      </c>
      <c r="C198" t="n">
        <v>89</v>
      </c>
      <c r="D198" t="n">
        <v>-1.3175</v>
      </c>
      <c r="E198" t="n">
        <v>15.5014</v>
      </c>
      <c r="F198" t="n">
        <v>0.10974</v>
      </c>
    </row>
    <row r="199">
      <c r="A199" t="n">
        <v>2000090</v>
      </c>
      <c r="B199" t="n">
        <v>2</v>
      </c>
      <c r="C199" t="n">
        <v>90</v>
      </c>
      <c r="D199" t="n">
        <v>-1.3287</v>
      </c>
      <c r="E199" t="n">
        <v>15.524</v>
      </c>
      <c r="F199" t="n">
        <v>0.1102</v>
      </c>
    </row>
    <row r="200">
      <c r="A200" t="n">
        <v>2000091</v>
      </c>
      <c r="B200" t="n">
        <v>2</v>
      </c>
      <c r="C200" t="n">
        <v>91</v>
      </c>
      <c r="D200" t="n">
        <v>-1.3395</v>
      </c>
      <c r="E200" t="n">
        <v>15.5476</v>
      </c>
      <c r="F200" t="n">
        <v>0.11065</v>
      </c>
    </row>
    <row r="201">
      <c r="A201" t="n">
        <v>2000092</v>
      </c>
      <c r="B201" t="n">
        <v>2</v>
      </c>
      <c r="C201" t="n">
        <v>92</v>
      </c>
      <c r="D201" t="n">
        <v>-1.3499</v>
      </c>
      <c r="E201" t="n">
        <v>15.5723</v>
      </c>
      <c r="F201" t="n">
        <v>0.1111</v>
      </c>
    </row>
    <row r="202">
      <c r="A202" t="n">
        <v>2000093</v>
      </c>
      <c r="B202" t="n">
        <v>2</v>
      </c>
      <c r="C202" t="n">
        <v>93</v>
      </c>
      <c r="D202" t="n">
        <v>-1.36</v>
      </c>
      <c r="E202" t="n">
        <v>15.5979</v>
      </c>
      <c r="F202" t="n">
        <v>0.11156</v>
      </c>
    </row>
    <row r="203">
      <c r="A203" t="n">
        <v>2000094</v>
      </c>
      <c r="B203" t="n">
        <v>2</v>
      </c>
      <c r="C203" t="n">
        <v>94</v>
      </c>
      <c r="D203" t="n">
        <v>-1.3697</v>
      </c>
      <c r="E203" t="n">
        <v>15.6246</v>
      </c>
      <c r="F203" t="n">
        <v>0.11201</v>
      </c>
    </row>
    <row r="204">
      <c r="A204" t="n">
        <v>2000095</v>
      </c>
      <c r="B204" t="n">
        <v>2</v>
      </c>
      <c r="C204" t="n">
        <v>95</v>
      </c>
      <c r="D204" t="n">
        <v>-1.379</v>
      </c>
      <c r="E204" t="n">
        <v>15.6523</v>
      </c>
      <c r="F204" t="n">
        <v>0.11246</v>
      </c>
    </row>
    <row r="205">
      <c r="A205" t="n">
        <v>2000096</v>
      </c>
      <c r="B205" t="n">
        <v>2</v>
      </c>
      <c r="C205" t="n">
        <v>96</v>
      </c>
      <c r="D205" t="n">
        <v>-1.388</v>
      </c>
      <c r="E205" t="n">
        <v>15.681</v>
      </c>
      <c r="F205" t="n">
        <v>0.11291</v>
      </c>
    </row>
    <row r="206">
      <c r="A206" t="n">
        <v>2000097</v>
      </c>
      <c r="B206" t="n">
        <v>2</v>
      </c>
      <c r="C206" t="n">
        <v>97</v>
      </c>
      <c r="D206" t="n">
        <v>-1.3966</v>
      </c>
      <c r="E206" t="n">
        <v>15.7107</v>
      </c>
      <c r="F206" t="n">
        <v>0.11335</v>
      </c>
    </row>
    <row r="207">
      <c r="A207" t="n">
        <v>2000098</v>
      </c>
      <c r="B207" t="n">
        <v>2</v>
      </c>
      <c r="C207" t="n">
        <v>98</v>
      </c>
      <c r="D207" t="n">
        <v>-1.4047</v>
      </c>
      <c r="E207" t="n">
        <v>15.7415</v>
      </c>
      <c r="F207" t="n">
        <v>0.1138</v>
      </c>
    </row>
    <row r="208">
      <c r="A208" t="n">
        <v>2000099</v>
      </c>
      <c r="B208" t="n">
        <v>2</v>
      </c>
      <c r="C208" t="n">
        <v>99</v>
      </c>
      <c r="D208" t="n">
        <v>-1.4125</v>
      </c>
      <c r="E208" t="n">
        <v>15.7732</v>
      </c>
      <c r="F208" t="n">
        <v>0.11424</v>
      </c>
    </row>
    <row r="209">
      <c r="A209" t="n">
        <v>2000100</v>
      </c>
      <c r="B209" t="n">
        <v>2</v>
      </c>
      <c r="C209" t="n">
        <v>100</v>
      </c>
      <c r="D209" t="n">
        <v>-1.4199</v>
      </c>
      <c r="E209" t="n">
        <v>15.8058</v>
      </c>
      <c r="F209" t="n">
        <v>0.11469</v>
      </c>
    </row>
    <row r="210">
      <c r="A210" t="n">
        <v>2000101</v>
      </c>
      <c r="B210" t="n">
        <v>2</v>
      </c>
      <c r="C210" t="n">
        <v>101</v>
      </c>
      <c r="D210" t="n">
        <v>-1.427</v>
      </c>
      <c r="E210" t="n">
        <v>15.8394</v>
      </c>
      <c r="F210" t="n">
        <v>0.11513</v>
      </c>
    </row>
    <row r="211">
      <c r="A211" t="n">
        <v>2000102</v>
      </c>
      <c r="B211" t="n">
        <v>2</v>
      </c>
      <c r="C211" t="n">
        <v>102</v>
      </c>
      <c r="D211" t="n">
        <v>-1.4336</v>
      </c>
      <c r="E211" t="n">
        <v>15.8738</v>
      </c>
      <c r="F211" t="n">
        <v>0.11557</v>
      </c>
    </row>
    <row r="212">
      <c r="A212" t="n">
        <v>2000103</v>
      </c>
      <c r="B212" t="n">
        <v>2</v>
      </c>
      <c r="C212" t="n">
        <v>103</v>
      </c>
      <c r="D212" t="n">
        <v>-1.4398</v>
      </c>
      <c r="E212" t="n">
        <v>15.909</v>
      </c>
      <c r="F212" t="n">
        <v>0.11601</v>
      </c>
    </row>
    <row r="213">
      <c r="A213" t="n">
        <v>2000104</v>
      </c>
      <c r="B213" t="n">
        <v>2</v>
      </c>
      <c r="C213" t="n">
        <v>104</v>
      </c>
      <c r="D213" t="n">
        <v>-1.4456</v>
      </c>
      <c r="E213" t="n">
        <v>15.9451</v>
      </c>
      <c r="F213" t="n">
        <v>0.11644</v>
      </c>
    </row>
    <row r="214">
      <c r="A214" t="n">
        <v>2000105</v>
      </c>
      <c r="B214" t="n">
        <v>2</v>
      </c>
      <c r="C214" t="n">
        <v>105</v>
      </c>
      <c r="D214" t="n">
        <v>-1.4511</v>
      </c>
      <c r="E214" t="n">
        <v>15.9818</v>
      </c>
      <c r="F214" t="n">
        <v>0.11688</v>
      </c>
    </row>
    <row r="215">
      <c r="A215" t="n">
        <v>2000106</v>
      </c>
      <c r="B215" t="n">
        <v>2</v>
      </c>
      <c r="C215" t="n">
        <v>106</v>
      </c>
      <c r="D215" t="n">
        <v>-1.4561</v>
      </c>
      <c r="E215" t="n">
        <v>16.0194</v>
      </c>
      <c r="F215" t="n">
        <v>0.11731</v>
      </c>
    </row>
    <row r="216">
      <c r="A216" t="n">
        <v>2000107</v>
      </c>
      <c r="B216" t="n">
        <v>2</v>
      </c>
      <c r="C216" t="n">
        <v>107</v>
      </c>
      <c r="D216" t="n">
        <v>-1.4607</v>
      </c>
      <c r="E216" t="n">
        <v>16.0575</v>
      </c>
      <c r="F216" t="n">
        <v>0.11774</v>
      </c>
    </row>
    <row r="217">
      <c r="A217" t="n">
        <v>2000108</v>
      </c>
      <c r="B217" t="n">
        <v>2</v>
      </c>
      <c r="C217" t="n">
        <v>108</v>
      </c>
      <c r="D217" t="n">
        <v>-1.465</v>
      </c>
      <c r="E217" t="n">
        <v>16.0964</v>
      </c>
      <c r="F217" t="n">
        <v>0.11816</v>
      </c>
    </row>
    <row r="218">
      <c r="A218" t="n">
        <v>2000109</v>
      </c>
      <c r="B218" t="n">
        <v>2</v>
      </c>
      <c r="C218" t="n">
        <v>109</v>
      </c>
      <c r="D218" t="n">
        <v>-1.4688</v>
      </c>
      <c r="E218" t="n">
        <v>16.1358</v>
      </c>
      <c r="F218" t="n">
        <v>0.11859</v>
      </c>
    </row>
    <row r="219">
      <c r="A219" t="n">
        <v>2000110</v>
      </c>
      <c r="B219" t="n">
        <v>2</v>
      </c>
      <c r="C219" t="n">
        <v>110</v>
      </c>
      <c r="D219" t="n">
        <v>-1.4723</v>
      </c>
      <c r="E219" t="n">
        <v>16.1759</v>
      </c>
      <c r="F219" t="n">
        <v>0.11901</v>
      </c>
    </row>
    <row r="220">
      <c r="A220" t="n">
        <v>2000111</v>
      </c>
      <c r="B220" t="n">
        <v>2</v>
      </c>
      <c r="C220" t="n">
        <v>111</v>
      </c>
      <c r="D220" t="n">
        <v>-1.4753</v>
      </c>
      <c r="E220" t="n">
        <v>16.2166</v>
      </c>
      <c r="F220" t="n">
        <v>0.11943</v>
      </c>
    </row>
    <row r="221">
      <c r="A221" t="n">
        <v>2000112</v>
      </c>
      <c r="B221" t="n">
        <v>2</v>
      </c>
      <c r="C221" t="n">
        <v>112</v>
      </c>
      <c r="D221" t="n">
        <v>-1.478</v>
      </c>
      <c r="E221" t="n">
        <v>16.258</v>
      </c>
      <c r="F221" t="n">
        <v>0.11985</v>
      </c>
    </row>
    <row r="222">
      <c r="A222" t="n">
        <v>2000113</v>
      </c>
      <c r="B222" t="n">
        <v>2</v>
      </c>
      <c r="C222" t="n">
        <v>113</v>
      </c>
      <c r="D222" t="n">
        <v>-1.4803</v>
      </c>
      <c r="E222" t="n">
        <v>16.2999</v>
      </c>
      <c r="F222" t="n">
        <v>0.12026</v>
      </c>
    </row>
    <row r="223">
      <c r="A223" t="n">
        <v>2000114</v>
      </c>
      <c r="B223" t="n">
        <v>2</v>
      </c>
      <c r="C223" t="n">
        <v>114</v>
      </c>
      <c r="D223" t="n">
        <v>-1.4823</v>
      </c>
      <c r="E223" t="n">
        <v>16.3425</v>
      </c>
      <c r="F223" t="n">
        <v>0.12067</v>
      </c>
    </row>
    <row r="224">
      <c r="A224" t="n">
        <v>2000115</v>
      </c>
      <c r="B224" t="n">
        <v>2</v>
      </c>
      <c r="C224" t="n">
        <v>115</v>
      </c>
      <c r="D224" t="n">
        <v>-1.4838</v>
      </c>
      <c r="E224" t="n">
        <v>16.3858</v>
      </c>
      <c r="F224" t="n">
        <v>0.12108</v>
      </c>
    </row>
    <row r="225">
      <c r="A225" t="n">
        <v>2000116</v>
      </c>
      <c r="B225" t="n">
        <v>2</v>
      </c>
      <c r="C225" t="n">
        <v>116</v>
      </c>
      <c r="D225" t="n">
        <v>-1.485</v>
      </c>
      <c r="E225" t="n">
        <v>16.4298</v>
      </c>
      <c r="F225" t="n">
        <v>0.12148</v>
      </c>
    </row>
    <row r="226">
      <c r="A226" t="n">
        <v>2000117</v>
      </c>
      <c r="B226" t="n">
        <v>2</v>
      </c>
      <c r="C226" t="n">
        <v>117</v>
      </c>
      <c r="D226" t="n">
        <v>-1.4859</v>
      </c>
      <c r="E226" t="n">
        <v>16.4746</v>
      </c>
      <c r="F226" t="n">
        <v>0.12188</v>
      </c>
    </row>
    <row r="227">
      <c r="A227" t="n">
        <v>2000118</v>
      </c>
      <c r="B227" t="n">
        <v>2</v>
      </c>
      <c r="C227" t="n">
        <v>118</v>
      </c>
      <c r="D227" t="n">
        <v>-1.4864</v>
      </c>
      <c r="E227" t="n">
        <v>16.52</v>
      </c>
      <c r="F227" t="n">
        <v>0.12228</v>
      </c>
    </row>
    <row r="228">
      <c r="A228" t="n">
        <v>2000119</v>
      </c>
      <c r="B228" t="n">
        <v>2</v>
      </c>
      <c r="C228" t="n">
        <v>119</v>
      </c>
      <c r="D228" t="n">
        <v>-1.4866</v>
      </c>
      <c r="E228" t="n">
        <v>16.5663</v>
      </c>
      <c r="F228" t="n">
        <v>0.12268</v>
      </c>
    </row>
    <row r="229">
      <c r="A229" t="n">
        <v>2000120</v>
      </c>
      <c r="B229" t="n">
        <v>2</v>
      </c>
      <c r="C229" t="n">
        <v>120</v>
      </c>
      <c r="D229" t="n">
        <v>-1.4864</v>
      </c>
      <c r="E229" t="n">
        <v>16.6133</v>
      </c>
      <c r="F229" t="n">
        <v>0.12307</v>
      </c>
    </row>
    <row r="230">
      <c r="A230" t="n">
        <v>2000121</v>
      </c>
      <c r="B230" t="n">
        <v>2</v>
      </c>
      <c r="C230" t="n">
        <v>121</v>
      </c>
      <c r="D230" t="n">
        <v>-1.4859</v>
      </c>
      <c r="E230" t="n">
        <v>16.6612</v>
      </c>
      <c r="F230" t="n">
        <v>0.12346</v>
      </c>
    </row>
    <row r="231">
      <c r="A231" t="n">
        <v>2000122</v>
      </c>
      <c r="B231" t="n">
        <v>2</v>
      </c>
      <c r="C231" t="n">
        <v>122</v>
      </c>
      <c r="D231" t="n">
        <v>-1.4851</v>
      </c>
      <c r="E231" t="n">
        <v>16.71</v>
      </c>
      <c r="F231" t="n">
        <v>0.12384</v>
      </c>
    </row>
    <row r="232">
      <c r="A232" t="n">
        <v>2000123</v>
      </c>
      <c r="B232" t="n">
        <v>2</v>
      </c>
      <c r="C232" t="n">
        <v>123</v>
      </c>
      <c r="D232" t="n">
        <v>-1.4839</v>
      </c>
      <c r="E232" t="n">
        <v>16.7595</v>
      </c>
      <c r="F232" t="n">
        <v>0.12422</v>
      </c>
    </row>
    <row r="233">
      <c r="A233" t="n">
        <v>2000124</v>
      </c>
      <c r="B233" t="n">
        <v>2</v>
      </c>
      <c r="C233" t="n">
        <v>124</v>
      </c>
      <c r="D233" t="n">
        <v>-1.4825</v>
      </c>
      <c r="E233" t="n">
        <v>16.81</v>
      </c>
      <c r="F233" t="n">
        <v>0.1246</v>
      </c>
    </row>
    <row r="234">
      <c r="A234" t="n">
        <v>2000125</v>
      </c>
      <c r="B234" t="n">
        <v>2</v>
      </c>
      <c r="C234" t="n">
        <v>125</v>
      </c>
      <c r="D234" t="n">
        <v>-1.4807</v>
      </c>
      <c r="E234" t="n">
        <v>16.8614</v>
      </c>
      <c r="F234" t="n">
        <v>0.12497</v>
      </c>
    </row>
    <row r="235">
      <c r="A235" t="n">
        <v>2000126</v>
      </c>
      <c r="B235" t="n">
        <v>2</v>
      </c>
      <c r="C235" t="n">
        <v>126</v>
      </c>
      <c r="D235" t="n">
        <v>-1.4787</v>
      </c>
      <c r="E235" t="n">
        <v>16.9136</v>
      </c>
      <c r="F235" t="n">
        <v>0.12534</v>
      </c>
    </row>
    <row r="236">
      <c r="A236" t="n">
        <v>2000127</v>
      </c>
      <c r="B236" t="n">
        <v>2</v>
      </c>
      <c r="C236" t="n">
        <v>127</v>
      </c>
      <c r="D236" t="n">
        <v>-1.4763</v>
      </c>
      <c r="E236" t="n">
        <v>16.9667</v>
      </c>
      <c r="F236" t="n">
        <v>0.12571</v>
      </c>
    </row>
    <row r="237">
      <c r="A237" t="n">
        <v>2000128</v>
      </c>
      <c r="B237" t="n">
        <v>2</v>
      </c>
      <c r="C237" t="n">
        <v>128</v>
      </c>
      <c r="D237" t="n">
        <v>-1.4737</v>
      </c>
      <c r="E237" t="n">
        <v>17.0208</v>
      </c>
      <c r="F237" t="n">
        <v>0.12607</v>
      </c>
    </row>
    <row r="238">
      <c r="A238" t="n">
        <v>2000129</v>
      </c>
      <c r="B238" t="n">
        <v>2</v>
      </c>
      <c r="C238" t="n">
        <v>129</v>
      </c>
      <c r="D238" t="n">
        <v>-1.4708</v>
      </c>
      <c r="E238" t="n">
        <v>17.0757</v>
      </c>
      <c r="F238" t="n">
        <v>0.12643</v>
      </c>
    </row>
    <row r="239">
      <c r="A239" t="n">
        <v>2000130</v>
      </c>
      <c r="B239" t="n">
        <v>2</v>
      </c>
      <c r="C239" t="n">
        <v>130</v>
      </c>
      <c r="D239" t="n">
        <v>-1.4677</v>
      </c>
      <c r="E239" t="n">
        <v>17.1316</v>
      </c>
      <c r="F239" t="n">
        <v>0.12678</v>
      </c>
    </row>
    <row r="240">
      <c r="A240" t="n">
        <v>2000131</v>
      </c>
      <c r="B240" t="n">
        <v>2</v>
      </c>
      <c r="C240" t="n">
        <v>131</v>
      </c>
      <c r="D240" t="n">
        <v>-1.4642</v>
      </c>
      <c r="E240" t="n">
        <v>17.1883</v>
      </c>
      <c r="F240" t="n">
        <v>0.12713</v>
      </c>
    </row>
    <row r="241">
      <c r="A241" t="n">
        <v>2000132</v>
      </c>
      <c r="B241" t="n">
        <v>2</v>
      </c>
      <c r="C241" t="n">
        <v>132</v>
      </c>
      <c r="D241" t="n">
        <v>-1.4606</v>
      </c>
      <c r="E241" t="n">
        <v>17.2459</v>
      </c>
      <c r="F241" t="n">
        <v>0.12748</v>
      </c>
    </row>
    <row r="242">
      <c r="A242" t="n">
        <v>2000133</v>
      </c>
      <c r="B242" t="n">
        <v>2</v>
      </c>
      <c r="C242" t="n">
        <v>133</v>
      </c>
      <c r="D242" t="n">
        <v>-1.4567</v>
      </c>
      <c r="E242" t="n">
        <v>17.3044</v>
      </c>
      <c r="F242" t="n">
        <v>0.12782</v>
      </c>
    </row>
    <row r="243">
      <c r="A243" t="n">
        <v>2000134</v>
      </c>
      <c r="B243" t="n">
        <v>2</v>
      </c>
      <c r="C243" t="n">
        <v>134</v>
      </c>
      <c r="D243" t="n">
        <v>-1.4526</v>
      </c>
      <c r="E243" t="n">
        <v>17.3637</v>
      </c>
      <c r="F243" t="n">
        <v>0.12816</v>
      </c>
    </row>
    <row r="244">
      <c r="A244" t="n">
        <v>2000135</v>
      </c>
      <c r="B244" t="n">
        <v>2</v>
      </c>
      <c r="C244" t="n">
        <v>135</v>
      </c>
      <c r="D244" t="n">
        <v>-1.4482</v>
      </c>
      <c r="E244" t="n">
        <v>17.4238</v>
      </c>
      <c r="F244" t="n">
        <v>0.12849</v>
      </c>
    </row>
    <row r="245">
      <c r="A245" t="n">
        <v>2000136</v>
      </c>
      <c r="B245" t="n">
        <v>2</v>
      </c>
      <c r="C245" t="n">
        <v>136</v>
      </c>
      <c r="D245" t="n">
        <v>-1.4436</v>
      </c>
      <c r="E245" t="n">
        <v>17.4847</v>
      </c>
      <c r="F245" t="n">
        <v>0.12882</v>
      </c>
    </row>
    <row r="246">
      <c r="A246" t="n">
        <v>2000137</v>
      </c>
      <c r="B246" t="n">
        <v>2</v>
      </c>
      <c r="C246" t="n">
        <v>137</v>
      </c>
      <c r="D246" t="n">
        <v>-1.4389</v>
      </c>
      <c r="E246" t="n">
        <v>17.5464</v>
      </c>
      <c r="F246" t="n">
        <v>0.12914</v>
      </c>
    </row>
    <row r="247">
      <c r="A247" t="n">
        <v>2000138</v>
      </c>
      <c r="B247" t="n">
        <v>2</v>
      </c>
      <c r="C247" t="n">
        <v>138</v>
      </c>
      <c r="D247" t="n">
        <v>-1.4339</v>
      </c>
      <c r="E247" t="n">
        <v>17.6088</v>
      </c>
      <c r="F247" t="n">
        <v>0.12946</v>
      </c>
    </row>
    <row r="248">
      <c r="A248" t="n">
        <v>2000139</v>
      </c>
      <c r="B248" t="n">
        <v>2</v>
      </c>
      <c r="C248" t="n">
        <v>139</v>
      </c>
      <c r="D248" t="n">
        <v>-1.4288</v>
      </c>
      <c r="E248" t="n">
        <v>17.6719</v>
      </c>
      <c r="F248" t="n">
        <v>0.12978</v>
      </c>
    </row>
    <row r="249">
      <c r="A249" t="n">
        <v>2000140</v>
      </c>
      <c r="B249" t="n">
        <v>2</v>
      </c>
      <c r="C249" t="n">
        <v>140</v>
      </c>
      <c r="D249" t="n">
        <v>-1.4235</v>
      </c>
      <c r="E249" t="n">
        <v>17.7357</v>
      </c>
      <c r="F249" t="n">
        <v>0.13009</v>
      </c>
    </row>
    <row r="250">
      <c r="A250" t="n">
        <v>2000141</v>
      </c>
      <c r="B250" t="n">
        <v>2</v>
      </c>
      <c r="C250" t="n">
        <v>141</v>
      </c>
      <c r="D250" t="n">
        <v>-1.418</v>
      </c>
      <c r="E250" t="n">
        <v>17.8001</v>
      </c>
      <c r="F250" t="n">
        <v>0.1304</v>
      </c>
    </row>
    <row r="251">
      <c r="A251" t="n">
        <v>2000142</v>
      </c>
      <c r="B251" t="n">
        <v>2</v>
      </c>
      <c r="C251" t="n">
        <v>142</v>
      </c>
      <c r="D251" t="n">
        <v>-1.4123</v>
      </c>
      <c r="E251" t="n">
        <v>17.8651</v>
      </c>
      <c r="F251" t="n">
        <v>0.1307</v>
      </c>
    </row>
    <row r="252">
      <c r="A252" t="n">
        <v>2000143</v>
      </c>
      <c r="B252" t="n">
        <v>2</v>
      </c>
      <c r="C252" t="n">
        <v>143</v>
      </c>
      <c r="D252" t="n">
        <v>-1.4065</v>
      </c>
      <c r="E252" t="n">
        <v>17.9306</v>
      </c>
      <c r="F252" t="n">
        <v>0.13099</v>
      </c>
    </row>
    <row r="253">
      <c r="A253" t="n">
        <v>2000144</v>
      </c>
      <c r="B253" t="n">
        <v>2</v>
      </c>
      <c r="C253" t="n">
        <v>144</v>
      </c>
      <c r="D253" t="n">
        <v>-1.4006</v>
      </c>
      <c r="E253" t="n">
        <v>17.9966</v>
      </c>
      <c r="F253" t="n">
        <v>0.13129</v>
      </c>
    </row>
    <row r="254">
      <c r="A254" t="n">
        <v>2000145</v>
      </c>
      <c r="B254" t="n">
        <v>2</v>
      </c>
      <c r="C254" t="n">
        <v>145</v>
      </c>
      <c r="D254" t="n">
        <v>-1.3945</v>
      </c>
      <c r="E254" t="n">
        <v>18.063</v>
      </c>
      <c r="F254" t="n">
        <v>0.13158</v>
      </c>
    </row>
    <row r="255">
      <c r="A255" t="n">
        <v>2000146</v>
      </c>
      <c r="B255" t="n">
        <v>2</v>
      </c>
      <c r="C255" t="n">
        <v>146</v>
      </c>
      <c r="D255" t="n">
        <v>-1.3883</v>
      </c>
      <c r="E255" t="n">
        <v>18.1297</v>
      </c>
      <c r="F255" t="n">
        <v>0.13186</v>
      </c>
    </row>
    <row r="256">
      <c r="A256" t="n">
        <v>2000147</v>
      </c>
      <c r="B256" t="n">
        <v>2</v>
      </c>
      <c r="C256" t="n">
        <v>147</v>
      </c>
      <c r="D256" t="n">
        <v>-1.3819</v>
      </c>
      <c r="E256" t="n">
        <v>18.1967</v>
      </c>
      <c r="F256" t="n">
        <v>0.13214</v>
      </c>
    </row>
    <row r="257">
      <c r="A257" t="n">
        <v>2000148</v>
      </c>
      <c r="B257" t="n">
        <v>2</v>
      </c>
      <c r="C257" t="n">
        <v>148</v>
      </c>
      <c r="D257" t="n">
        <v>-1.3755</v>
      </c>
      <c r="E257" t="n">
        <v>18.2639</v>
      </c>
      <c r="F257" t="n">
        <v>0.13241</v>
      </c>
    </row>
    <row r="258">
      <c r="A258" t="n">
        <v>2000149</v>
      </c>
      <c r="B258" t="n">
        <v>2</v>
      </c>
      <c r="C258" t="n">
        <v>149</v>
      </c>
      <c r="D258" t="n">
        <v>-1.3689</v>
      </c>
      <c r="E258" t="n">
        <v>18.3312</v>
      </c>
      <c r="F258" t="n">
        <v>0.13268</v>
      </c>
    </row>
    <row r="259">
      <c r="A259" t="n">
        <v>2000150</v>
      </c>
      <c r="B259" t="n">
        <v>2</v>
      </c>
      <c r="C259" t="n">
        <v>150</v>
      </c>
      <c r="D259" t="n">
        <v>-1.3621</v>
      </c>
      <c r="E259" t="n">
        <v>18.3986</v>
      </c>
      <c r="F259" t="n">
        <v>0.13295</v>
      </c>
    </row>
    <row r="260">
      <c r="A260" t="n">
        <v>2000151</v>
      </c>
      <c r="B260" t="n">
        <v>2</v>
      </c>
      <c r="C260" t="n">
        <v>151</v>
      </c>
      <c r="D260" t="n">
        <v>-1.3553</v>
      </c>
      <c r="E260" t="n">
        <v>18.466</v>
      </c>
      <c r="F260" t="n">
        <v>0.13321</v>
      </c>
    </row>
    <row r="261">
      <c r="A261" t="n">
        <v>2000152</v>
      </c>
      <c r="B261" t="n">
        <v>2</v>
      </c>
      <c r="C261" t="n">
        <v>152</v>
      </c>
      <c r="D261" t="n">
        <v>-1.3483</v>
      </c>
      <c r="E261" t="n">
        <v>18.5333</v>
      </c>
      <c r="F261" t="n">
        <v>0.13347</v>
      </c>
    </row>
    <row r="262">
      <c r="A262" t="n">
        <v>2000153</v>
      </c>
      <c r="B262" t="n">
        <v>2</v>
      </c>
      <c r="C262" t="n">
        <v>153</v>
      </c>
      <c r="D262" t="n">
        <v>-1.3413</v>
      </c>
      <c r="E262" t="n">
        <v>18.6006</v>
      </c>
      <c r="F262" t="n">
        <v>0.13372</v>
      </c>
    </row>
    <row r="263">
      <c r="A263" t="n">
        <v>2000154</v>
      </c>
      <c r="B263" t="n">
        <v>2</v>
      </c>
      <c r="C263" t="n">
        <v>154</v>
      </c>
      <c r="D263" t="n">
        <v>-1.3341</v>
      </c>
      <c r="E263" t="n">
        <v>18.6677</v>
      </c>
      <c r="F263" t="n">
        <v>0.13397</v>
      </c>
    </row>
    <row r="264">
      <c r="A264" t="n">
        <v>2000155</v>
      </c>
      <c r="B264" t="n">
        <v>2</v>
      </c>
      <c r="C264" t="n">
        <v>155</v>
      </c>
      <c r="D264" t="n">
        <v>-1.3269</v>
      </c>
      <c r="E264" t="n">
        <v>18.7346</v>
      </c>
      <c r="F264" t="n">
        <v>0.13421</v>
      </c>
    </row>
    <row r="265">
      <c r="A265" t="n">
        <v>2000156</v>
      </c>
      <c r="B265" t="n">
        <v>2</v>
      </c>
      <c r="C265" t="n">
        <v>156</v>
      </c>
      <c r="D265" t="n">
        <v>-1.3195</v>
      </c>
      <c r="E265" t="n">
        <v>18.8012</v>
      </c>
      <c r="F265" t="n">
        <v>0.13445</v>
      </c>
    </row>
    <row r="266">
      <c r="A266" t="n">
        <v>2000157</v>
      </c>
      <c r="B266" t="n">
        <v>2</v>
      </c>
      <c r="C266" t="n">
        <v>157</v>
      </c>
      <c r="D266" t="n">
        <v>-1.3121</v>
      </c>
      <c r="E266" t="n">
        <v>18.8675</v>
      </c>
      <c r="F266" t="n">
        <v>0.13469</v>
      </c>
    </row>
    <row r="267">
      <c r="A267" t="n">
        <v>2000158</v>
      </c>
      <c r="B267" t="n">
        <v>2</v>
      </c>
      <c r="C267" t="n">
        <v>158</v>
      </c>
      <c r="D267" t="n">
        <v>-1.3046</v>
      </c>
      <c r="E267" t="n">
        <v>18.9335</v>
      </c>
      <c r="F267" t="n">
        <v>0.13492</v>
      </c>
    </row>
    <row r="268">
      <c r="A268" t="n">
        <v>2000159</v>
      </c>
      <c r="B268" t="n">
        <v>2</v>
      </c>
      <c r="C268" t="n">
        <v>159</v>
      </c>
      <c r="D268" t="n">
        <v>-1.297</v>
      </c>
      <c r="E268" t="n">
        <v>18.9991</v>
      </c>
      <c r="F268" t="n">
        <v>0.13514</v>
      </c>
    </row>
    <row r="269">
      <c r="A269" t="n">
        <v>2000160</v>
      </c>
      <c r="B269" t="n">
        <v>2</v>
      </c>
      <c r="C269" t="n">
        <v>160</v>
      </c>
      <c r="D269" t="n">
        <v>-1.2894</v>
      </c>
      <c r="E269" t="n">
        <v>19.0642</v>
      </c>
      <c r="F269" t="n">
        <v>0.13537</v>
      </c>
    </row>
    <row r="270">
      <c r="A270" t="n">
        <v>2000161</v>
      </c>
      <c r="B270" t="n">
        <v>2</v>
      </c>
      <c r="C270" t="n">
        <v>161</v>
      </c>
      <c r="D270" t="n">
        <v>-1.2816</v>
      </c>
      <c r="E270" t="n">
        <v>19.1289</v>
      </c>
      <c r="F270" t="n">
        <v>0.13559</v>
      </c>
    </row>
    <row r="271">
      <c r="A271" t="n">
        <v>2000162</v>
      </c>
      <c r="B271" t="n">
        <v>2</v>
      </c>
      <c r="C271" t="n">
        <v>162</v>
      </c>
      <c r="D271" t="n">
        <v>-1.2739</v>
      </c>
      <c r="E271" t="n">
        <v>19.1931</v>
      </c>
      <c r="F271" t="n">
        <v>0.1358</v>
      </c>
    </row>
    <row r="272">
      <c r="A272" t="n">
        <v>2000163</v>
      </c>
      <c r="B272" t="n">
        <v>2</v>
      </c>
      <c r="C272" t="n">
        <v>163</v>
      </c>
      <c r="D272" t="n">
        <v>-1.2661</v>
      </c>
      <c r="E272" t="n">
        <v>19.2567</v>
      </c>
      <c r="F272" t="n">
        <v>0.13601</v>
      </c>
    </row>
    <row r="273">
      <c r="A273" t="n">
        <v>2000164</v>
      </c>
      <c r="B273" t="n">
        <v>2</v>
      </c>
      <c r="C273" t="n">
        <v>164</v>
      </c>
      <c r="D273" t="n">
        <v>-1.2583</v>
      </c>
      <c r="E273" t="n">
        <v>19.3197</v>
      </c>
      <c r="F273" t="n">
        <v>0.13622</v>
      </c>
    </row>
    <row r="274">
      <c r="A274" t="n">
        <v>2000165</v>
      </c>
      <c r="B274" t="n">
        <v>2</v>
      </c>
      <c r="C274" t="n">
        <v>165</v>
      </c>
      <c r="D274" t="n">
        <v>-1.2504</v>
      </c>
      <c r="E274" t="n">
        <v>19.382</v>
      </c>
      <c r="F274" t="n">
        <v>0.13642</v>
      </c>
    </row>
    <row r="275">
      <c r="A275" t="n">
        <v>2000166</v>
      </c>
      <c r="B275" t="n">
        <v>2</v>
      </c>
      <c r="C275" t="n">
        <v>166</v>
      </c>
      <c r="D275" t="n">
        <v>-1.2425</v>
      </c>
      <c r="E275" t="n">
        <v>19.4437</v>
      </c>
      <c r="F275" t="n">
        <v>0.13662</v>
      </c>
    </row>
    <row r="276">
      <c r="A276" t="n">
        <v>2000167</v>
      </c>
      <c r="B276" t="n">
        <v>2</v>
      </c>
      <c r="C276" t="n">
        <v>167</v>
      </c>
      <c r="D276" t="n">
        <v>-1.2345</v>
      </c>
      <c r="E276" t="n">
        <v>19.5045</v>
      </c>
      <c r="F276" t="n">
        <v>0.13681</v>
      </c>
    </row>
    <row r="277">
      <c r="A277" t="n">
        <v>2000168</v>
      </c>
      <c r="B277" t="n">
        <v>2</v>
      </c>
      <c r="C277" t="n">
        <v>168</v>
      </c>
      <c r="D277" t="n">
        <v>-1.2266</v>
      </c>
      <c r="E277" t="n">
        <v>19.5647</v>
      </c>
      <c r="F277" t="n">
        <v>0.137</v>
      </c>
    </row>
    <row r="278">
      <c r="A278" t="n">
        <v>2000169</v>
      </c>
      <c r="B278" t="n">
        <v>2</v>
      </c>
      <c r="C278" t="n">
        <v>169</v>
      </c>
      <c r="D278" t="n">
        <v>-1.2186</v>
      </c>
      <c r="E278" t="n">
        <v>19.624</v>
      </c>
      <c r="F278" t="n">
        <v>0.13719</v>
      </c>
    </row>
    <row r="279">
      <c r="A279" t="n">
        <v>2000170</v>
      </c>
      <c r="B279" t="n">
        <v>2</v>
      </c>
      <c r="C279" t="n">
        <v>170</v>
      </c>
      <c r="D279" t="n">
        <v>-1.2107</v>
      </c>
      <c r="E279" t="n">
        <v>19.6824</v>
      </c>
      <c r="F279" t="n">
        <v>0.13738</v>
      </c>
    </row>
    <row r="280">
      <c r="A280" t="n">
        <v>2000171</v>
      </c>
      <c r="B280" t="n">
        <v>2</v>
      </c>
      <c r="C280" t="n">
        <v>171</v>
      </c>
      <c r="D280" t="n">
        <v>-1.2027</v>
      </c>
      <c r="E280" t="n">
        <v>19.74</v>
      </c>
      <c r="F280" t="n">
        <v>0.13756</v>
      </c>
    </row>
    <row r="281">
      <c r="A281" t="n">
        <v>2000172</v>
      </c>
      <c r="B281" t="n">
        <v>2</v>
      </c>
      <c r="C281" t="n">
        <v>172</v>
      </c>
      <c r="D281" t="n">
        <v>-1.1947</v>
      </c>
      <c r="E281" t="n">
        <v>19.7966</v>
      </c>
      <c r="F281" t="n">
        <v>0.13774</v>
      </c>
    </row>
    <row r="282">
      <c r="A282" t="n">
        <v>2000173</v>
      </c>
      <c r="B282" t="n">
        <v>2</v>
      </c>
      <c r="C282" t="n">
        <v>173</v>
      </c>
      <c r="D282" t="n">
        <v>-1.1867</v>
      </c>
      <c r="E282" t="n">
        <v>19.8523</v>
      </c>
      <c r="F282" t="n">
        <v>0.13791</v>
      </c>
    </row>
    <row r="283">
      <c r="A283" t="n">
        <v>2000174</v>
      </c>
      <c r="B283" t="n">
        <v>2</v>
      </c>
      <c r="C283" t="n">
        <v>174</v>
      </c>
      <c r="D283" t="n">
        <v>-1.1788</v>
      </c>
      <c r="E283" t="n">
        <v>19.907</v>
      </c>
      <c r="F283" t="n">
        <v>0.13808</v>
      </c>
    </row>
    <row r="284">
      <c r="A284" t="n">
        <v>2000175</v>
      </c>
      <c r="B284" t="n">
        <v>2</v>
      </c>
      <c r="C284" t="n">
        <v>175</v>
      </c>
      <c r="D284" t="n">
        <v>-1.1708</v>
      </c>
      <c r="E284" t="n">
        <v>19.9607</v>
      </c>
      <c r="F284" t="n">
        <v>0.13825</v>
      </c>
    </row>
    <row r="285">
      <c r="A285" t="n">
        <v>2000176</v>
      </c>
      <c r="B285" t="n">
        <v>2</v>
      </c>
      <c r="C285" t="n">
        <v>176</v>
      </c>
      <c r="D285" t="n">
        <v>-1.1629</v>
      </c>
      <c r="E285" t="n">
        <v>20.0133</v>
      </c>
      <c r="F285" t="n">
        <v>0.13841</v>
      </c>
    </row>
    <row r="286">
      <c r="A286" t="n">
        <v>2000177</v>
      </c>
      <c r="B286" t="n">
        <v>2</v>
      </c>
      <c r="C286" t="n">
        <v>177</v>
      </c>
      <c r="D286" t="n">
        <v>-1.1549</v>
      </c>
      <c r="E286" t="n">
        <v>20.0648</v>
      </c>
      <c r="F286" t="n">
        <v>0.13858</v>
      </c>
    </row>
    <row r="287">
      <c r="A287" t="n">
        <v>2000178</v>
      </c>
      <c r="B287" t="n">
        <v>2</v>
      </c>
      <c r="C287" t="n">
        <v>178</v>
      </c>
      <c r="D287" t="n">
        <v>-1.147</v>
      </c>
      <c r="E287" t="n">
        <v>20.1152</v>
      </c>
      <c r="F287" t="n">
        <v>0.13873</v>
      </c>
    </row>
    <row r="288">
      <c r="A288" t="n">
        <v>2000179</v>
      </c>
      <c r="B288" t="n">
        <v>2</v>
      </c>
      <c r="C288" t="n">
        <v>179</v>
      </c>
      <c r="D288" t="n">
        <v>-1.139</v>
      </c>
      <c r="E288" t="n">
        <v>20.1644</v>
      </c>
      <c r="F288" t="n">
        <v>0.13889</v>
      </c>
    </row>
    <row r="289">
      <c r="A289" t="n">
        <v>2000180</v>
      </c>
      <c r="B289" t="n">
        <v>2</v>
      </c>
      <c r="C289" t="n">
        <v>180</v>
      </c>
      <c r="D289" t="n">
        <v>-1.1311</v>
      </c>
      <c r="E289" t="n">
        <v>20.2125</v>
      </c>
      <c r="F289" t="n">
        <v>0.13904</v>
      </c>
    </row>
    <row r="290">
      <c r="A290" t="n">
        <v>2000181</v>
      </c>
      <c r="B290" t="n">
        <v>2</v>
      </c>
      <c r="C290" t="n">
        <v>181</v>
      </c>
      <c r="D290" t="n">
        <v>-1.1232</v>
      </c>
      <c r="E290" t="n">
        <v>20.2595</v>
      </c>
      <c r="F290" t="n">
        <v>0.1392</v>
      </c>
    </row>
    <row r="291">
      <c r="A291" t="n">
        <v>2000182</v>
      </c>
      <c r="B291" t="n">
        <v>2</v>
      </c>
      <c r="C291" t="n">
        <v>182</v>
      </c>
      <c r="D291" t="n">
        <v>-1.1153</v>
      </c>
      <c r="E291" t="n">
        <v>20.3053</v>
      </c>
      <c r="F291" t="n">
        <v>0.13934</v>
      </c>
    </row>
    <row r="292">
      <c r="A292" t="n">
        <v>2000183</v>
      </c>
      <c r="B292" t="n">
        <v>2</v>
      </c>
      <c r="C292" t="n">
        <v>183</v>
      </c>
      <c r="D292" t="n">
        <v>-1.1074</v>
      </c>
      <c r="E292" t="n">
        <v>20.3499</v>
      </c>
      <c r="F292" t="n">
        <v>0.13949</v>
      </c>
    </row>
    <row r="293">
      <c r="A293" t="n">
        <v>2000184</v>
      </c>
      <c r="B293" t="n">
        <v>2</v>
      </c>
      <c r="C293" t="n">
        <v>184</v>
      </c>
      <c r="D293" t="n">
        <v>-1.0996</v>
      </c>
      <c r="E293" t="n">
        <v>20.3934</v>
      </c>
      <c r="F293" t="n">
        <v>0.13963</v>
      </c>
    </row>
    <row r="294">
      <c r="A294" t="n">
        <v>2000185</v>
      </c>
      <c r="B294" t="n">
        <v>2</v>
      </c>
      <c r="C294" t="n">
        <v>185</v>
      </c>
      <c r="D294" t="n">
        <v>-1.0917</v>
      </c>
      <c r="E294" t="n">
        <v>20.4357</v>
      </c>
      <c r="F294" t="n">
        <v>0.13977</v>
      </c>
    </row>
    <row r="295">
      <c r="A295" t="n">
        <v>2000186</v>
      </c>
      <c r="B295" t="n">
        <v>2</v>
      </c>
      <c r="C295" t="n">
        <v>186</v>
      </c>
      <c r="D295" t="n">
        <v>-1.0838</v>
      </c>
      <c r="E295" t="n">
        <v>20.4769</v>
      </c>
      <c r="F295" t="n">
        <v>0.13991</v>
      </c>
    </row>
    <row r="296">
      <c r="A296" t="n">
        <v>2000187</v>
      </c>
      <c r="B296" t="n">
        <v>2</v>
      </c>
      <c r="C296" t="n">
        <v>187</v>
      </c>
      <c r="D296" t="n">
        <v>-1.076</v>
      </c>
      <c r="E296" t="n">
        <v>20.517</v>
      </c>
      <c r="F296" t="n">
        <v>0.14005</v>
      </c>
    </row>
    <row r="297">
      <c r="A297" t="n">
        <v>2000188</v>
      </c>
      <c r="B297" t="n">
        <v>2</v>
      </c>
      <c r="C297" t="n">
        <v>188</v>
      </c>
      <c r="D297" t="n">
        <v>-1.0681</v>
      </c>
      <c r="E297" t="n">
        <v>20.556</v>
      </c>
      <c r="F297" t="n">
        <v>0.14018</v>
      </c>
    </row>
    <row r="298">
      <c r="A298" t="n">
        <v>2000189</v>
      </c>
      <c r="B298" t="n">
        <v>2</v>
      </c>
      <c r="C298" t="n">
        <v>189</v>
      </c>
      <c r="D298" t="n">
        <v>-1.0603</v>
      </c>
      <c r="E298" t="n">
        <v>20.5938</v>
      </c>
      <c r="F298" t="n">
        <v>0.14031</v>
      </c>
    </row>
    <row r="299">
      <c r="A299" t="n">
        <v>2000190</v>
      </c>
      <c r="B299" t="n">
        <v>2</v>
      </c>
      <c r="C299" t="n">
        <v>190</v>
      </c>
      <c r="D299" t="n">
        <v>-1.0525</v>
      </c>
      <c r="E299" t="n">
        <v>20.6306</v>
      </c>
      <c r="F299" t="n">
        <v>0.14044</v>
      </c>
    </row>
    <row r="300">
      <c r="A300" t="n">
        <v>2000191</v>
      </c>
      <c r="B300" t="n">
        <v>2</v>
      </c>
      <c r="C300" t="n">
        <v>191</v>
      </c>
      <c r="D300" t="n">
        <v>-1.0447</v>
      </c>
      <c r="E300" t="n">
        <v>20.6663</v>
      </c>
      <c r="F300" t="n">
        <v>0.14057</v>
      </c>
    </row>
    <row r="301">
      <c r="A301" t="n">
        <v>2000192</v>
      </c>
      <c r="B301" t="n">
        <v>2</v>
      </c>
      <c r="C301" t="n">
        <v>192</v>
      </c>
      <c r="D301" t="n">
        <v>-1.0368</v>
      </c>
      <c r="E301" t="n">
        <v>20.7008</v>
      </c>
      <c r="F301" t="n">
        <v>0.1407</v>
      </c>
    </row>
    <row r="302">
      <c r="A302" t="n">
        <v>2000193</v>
      </c>
      <c r="B302" t="n">
        <v>2</v>
      </c>
      <c r="C302" t="n">
        <v>193</v>
      </c>
      <c r="D302" t="n">
        <v>-1.029</v>
      </c>
      <c r="E302" t="n">
        <v>20.7344</v>
      </c>
      <c r="F302" t="n">
        <v>0.14082</v>
      </c>
    </row>
    <row r="303">
      <c r="A303" t="n">
        <v>2000194</v>
      </c>
      <c r="B303" t="n">
        <v>2</v>
      </c>
      <c r="C303" t="n">
        <v>194</v>
      </c>
      <c r="D303" t="n">
        <v>-1.0212</v>
      </c>
      <c r="E303" t="n">
        <v>20.7668</v>
      </c>
      <c r="F303" t="n">
        <v>0.14094</v>
      </c>
    </row>
    <row r="304">
      <c r="A304" t="n">
        <v>2000195</v>
      </c>
      <c r="B304" t="n">
        <v>2</v>
      </c>
      <c r="C304" t="n">
        <v>195</v>
      </c>
      <c r="D304" t="n">
        <v>-1.0134</v>
      </c>
      <c r="E304" t="n">
        <v>20.7982</v>
      </c>
      <c r="F304" t="n">
        <v>0.14106</v>
      </c>
    </row>
    <row r="305">
      <c r="A305" t="n">
        <v>2000196</v>
      </c>
      <c r="B305" t="n">
        <v>2</v>
      </c>
      <c r="C305" t="n">
        <v>196</v>
      </c>
      <c r="D305" t="n">
        <v>-1.0055</v>
      </c>
      <c r="E305" t="n">
        <v>20.8286</v>
      </c>
      <c r="F305" t="n">
        <v>0.14118</v>
      </c>
    </row>
    <row r="306">
      <c r="A306" t="n">
        <v>2000197</v>
      </c>
      <c r="B306" t="n">
        <v>2</v>
      </c>
      <c r="C306" t="n">
        <v>197</v>
      </c>
      <c r="D306" t="n">
        <v>-0.9977</v>
      </c>
      <c r="E306" t="n">
        <v>20.858</v>
      </c>
      <c r="F306" t="n">
        <v>0.1413</v>
      </c>
    </row>
    <row r="307">
      <c r="A307" t="n">
        <v>2000198</v>
      </c>
      <c r="B307" t="n">
        <v>2</v>
      </c>
      <c r="C307" t="n">
        <v>198</v>
      </c>
      <c r="D307" t="n">
        <v>-0.9898</v>
      </c>
      <c r="E307" t="n">
        <v>20.8863</v>
      </c>
      <c r="F307" t="n">
        <v>0.14142</v>
      </c>
    </row>
    <row r="308">
      <c r="A308" t="n">
        <v>2000199</v>
      </c>
      <c r="B308" t="n">
        <v>2</v>
      </c>
      <c r="C308" t="n">
        <v>199</v>
      </c>
      <c r="D308" t="n">
        <v>-0.9819</v>
      </c>
      <c r="E308" t="n">
        <v>20.9137</v>
      </c>
      <c r="F308" t="n">
        <v>0.14153</v>
      </c>
    </row>
    <row r="309">
      <c r="A309" t="n">
        <v>2000200</v>
      </c>
      <c r="B309" t="n">
        <v>2</v>
      </c>
      <c r="C309" t="n">
        <v>200</v>
      </c>
      <c r="D309" t="n">
        <v>-0.974</v>
      </c>
      <c r="E309" t="n">
        <v>20.9401</v>
      </c>
      <c r="F309" t="n">
        <v>0.14164</v>
      </c>
    </row>
    <row r="310">
      <c r="A310" t="n">
        <v>2000201</v>
      </c>
      <c r="B310" t="n">
        <v>2</v>
      </c>
      <c r="C310" t="n">
        <v>201</v>
      </c>
      <c r="D310" t="n">
        <v>-0.9661</v>
      </c>
      <c r="E310" t="n">
        <v>20.9656</v>
      </c>
      <c r="F310" t="n">
        <v>0.14176</v>
      </c>
    </row>
    <row r="311">
      <c r="A311" t="n">
        <v>2000202</v>
      </c>
      <c r="B311" t="n">
        <v>2</v>
      </c>
      <c r="C311" t="n">
        <v>202</v>
      </c>
      <c r="D311" t="n">
        <v>-0.9582000000000001</v>
      </c>
      <c r="E311" t="n">
        <v>20.9901</v>
      </c>
      <c r="F311" t="n">
        <v>0.14187</v>
      </c>
    </row>
    <row r="312">
      <c r="A312" t="n">
        <v>2000203</v>
      </c>
      <c r="B312" t="n">
        <v>2</v>
      </c>
      <c r="C312" t="n">
        <v>203</v>
      </c>
      <c r="D312" t="n">
        <v>-0.9503</v>
      </c>
      <c r="E312" t="n">
        <v>21.0138</v>
      </c>
      <c r="F312" t="n">
        <v>0.14198</v>
      </c>
    </row>
    <row r="313">
      <c r="A313" t="n">
        <v>2000204</v>
      </c>
      <c r="B313" t="n">
        <v>2</v>
      </c>
      <c r="C313" t="n">
        <v>204</v>
      </c>
      <c r="D313" t="n">
        <v>-0.9423</v>
      </c>
      <c r="E313" t="n">
        <v>21.0367</v>
      </c>
      <c r="F313" t="n">
        <v>0.14208</v>
      </c>
    </row>
    <row r="314">
      <c r="A314" t="n">
        <v>2000205</v>
      </c>
      <c r="B314" t="n">
        <v>2</v>
      </c>
      <c r="C314" t="n">
        <v>205</v>
      </c>
      <c r="D314" t="n">
        <v>-0.9344</v>
      </c>
      <c r="E314" t="n">
        <v>21.0587</v>
      </c>
      <c r="F314" t="n">
        <v>0.14219</v>
      </c>
    </row>
    <row r="315">
      <c r="A315" t="n">
        <v>2000206</v>
      </c>
      <c r="B315" t="n">
        <v>2</v>
      </c>
      <c r="C315" t="n">
        <v>206</v>
      </c>
      <c r="D315" t="n">
        <v>-0.9264</v>
      </c>
      <c r="E315" t="n">
        <v>21.0801</v>
      </c>
      <c r="F315" t="n">
        <v>0.1423</v>
      </c>
    </row>
    <row r="316">
      <c r="A316" t="n">
        <v>2000207</v>
      </c>
      <c r="B316" t="n">
        <v>2</v>
      </c>
      <c r="C316" t="n">
        <v>207</v>
      </c>
      <c r="D316" t="n">
        <v>-0.9184</v>
      </c>
      <c r="E316" t="n">
        <v>21.1007</v>
      </c>
      <c r="F316" t="n">
        <v>0.1424</v>
      </c>
    </row>
    <row r="317">
      <c r="A317" t="n">
        <v>2000208</v>
      </c>
      <c r="B317" t="n">
        <v>2</v>
      </c>
      <c r="C317" t="n">
        <v>208</v>
      </c>
      <c r="D317" t="n">
        <v>-0.9104</v>
      </c>
      <c r="E317" t="n">
        <v>21.1206</v>
      </c>
      <c r="F317" t="n">
        <v>0.1425</v>
      </c>
    </row>
    <row r="318">
      <c r="A318" t="n">
        <v>2000209</v>
      </c>
      <c r="B318" t="n">
        <v>2</v>
      </c>
      <c r="C318" t="n">
        <v>209</v>
      </c>
      <c r="D318" t="n">
        <v>-0.9024</v>
      </c>
      <c r="E318" t="n">
        <v>21.1399</v>
      </c>
      <c r="F318" t="n">
        <v>0.14261</v>
      </c>
    </row>
    <row r="319">
      <c r="A319" t="n">
        <v>2000210</v>
      </c>
      <c r="B319" t="n">
        <v>2</v>
      </c>
      <c r="C319" t="n">
        <v>210</v>
      </c>
      <c r="D319" t="n">
        <v>-0.8944</v>
      </c>
      <c r="E319" t="n">
        <v>21.1586</v>
      </c>
      <c r="F319" t="n">
        <v>0.14271</v>
      </c>
    </row>
    <row r="320">
      <c r="A320" t="n">
        <v>2000211</v>
      </c>
      <c r="B320" t="n">
        <v>2</v>
      </c>
      <c r="C320" t="n">
        <v>211</v>
      </c>
      <c r="D320" t="n">
        <v>-0.8863</v>
      </c>
      <c r="E320" t="n">
        <v>21.1768</v>
      </c>
      <c r="F320" t="n">
        <v>0.14281</v>
      </c>
    </row>
    <row r="321">
      <c r="A321" t="n">
        <v>2000212</v>
      </c>
      <c r="B321" t="n">
        <v>2</v>
      </c>
      <c r="C321" t="n">
        <v>212</v>
      </c>
      <c r="D321" t="n">
        <v>-0.8783</v>
      </c>
      <c r="E321" t="n">
        <v>21.1944</v>
      </c>
      <c r="F321" t="n">
        <v>0.14291</v>
      </c>
    </row>
    <row r="322">
      <c r="A322" t="n">
        <v>2000213</v>
      </c>
      <c r="B322" t="n">
        <v>2</v>
      </c>
      <c r="C322" t="n">
        <v>213</v>
      </c>
      <c r="D322" t="n">
        <v>-0.8703</v>
      </c>
      <c r="E322" t="n">
        <v>21.2116</v>
      </c>
      <c r="F322" t="n">
        <v>0.14301</v>
      </c>
    </row>
    <row r="323">
      <c r="A323" t="n">
        <v>2000214</v>
      </c>
      <c r="B323" t="n">
        <v>2</v>
      </c>
      <c r="C323" t="n">
        <v>214</v>
      </c>
      <c r="D323" t="n">
        <v>-0.8623</v>
      </c>
      <c r="E323" t="n">
        <v>21.2282</v>
      </c>
      <c r="F323" t="n">
        <v>0.14311</v>
      </c>
    </row>
    <row r="324">
      <c r="A324" t="n">
        <v>2000215</v>
      </c>
      <c r="B324" t="n">
        <v>2</v>
      </c>
      <c r="C324" t="n">
        <v>215</v>
      </c>
      <c r="D324" t="n">
        <v>-0.8542</v>
      </c>
      <c r="E324" t="n">
        <v>21.2444</v>
      </c>
      <c r="F324" t="n">
        <v>0.1432</v>
      </c>
    </row>
    <row r="325">
      <c r="A325" t="n">
        <v>2000216</v>
      </c>
      <c r="B325" t="n">
        <v>2</v>
      </c>
      <c r="C325" t="n">
        <v>216</v>
      </c>
      <c r="D325" t="n">
        <v>-0.8462</v>
      </c>
      <c r="E325" t="n">
        <v>21.2603</v>
      </c>
      <c r="F325" t="n">
        <v>0.1433</v>
      </c>
    </row>
    <row r="326">
      <c r="A326" t="n">
        <v>2000217</v>
      </c>
      <c r="B326" t="n">
        <v>2</v>
      </c>
      <c r="C326" t="n">
        <v>217</v>
      </c>
      <c r="D326" t="n">
        <v>-0.8381999999999999</v>
      </c>
      <c r="E326" t="n">
        <v>21.2757</v>
      </c>
      <c r="F326" t="n">
        <v>0.1434</v>
      </c>
    </row>
    <row r="327">
      <c r="A327" t="n">
        <v>2000218</v>
      </c>
      <c r="B327" t="n">
        <v>2</v>
      </c>
      <c r="C327" t="n">
        <v>218</v>
      </c>
      <c r="D327" t="n">
        <v>-0.8300999999999999</v>
      </c>
      <c r="E327" t="n">
        <v>21.2908</v>
      </c>
      <c r="F327" t="n">
        <v>0.14349</v>
      </c>
    </row>
    <row r="328">
      <c r="A328" t="n">
        <v>2000219</v>
      </c>
      <c r="B328" t="n">
        <v>2</v>
      </c>
      <c r="C328" t="n">
        <v>219</v>
      </c>
      <c r="D328" t="n">
        <v>-0.8221000000000001</v>
      </c>
      <c r="E328" t="n">
        <v>21.3055</v>
      </c>
      <c r="F328" t="n">
        <v>0.14359</v>
      </c>
    </row>
    <row r="329">
      <c r="A329" t="n">
        <v>2000220</v>
      </c>
      <c r="B329" t="n">
        <v>2</v>
      </c>
      <c r="C329" t="n">
        <v>220</v>
      </c>
      <c r="D329" t="n">
        <v>-0.8139999999999999</v>
      </c>
      <c r="E329" t="n">
        <v>21.32</v>
      </c>
      <c r="F329" t="n">
        <v>0.14368</v>
      </c>
    </row>
    <row r="330">
      <c r="A330" t="n">
        <v>2000221</v>
      </c>
      <c r="B330" t="n">
        <v>2</v>
      </c>
      <c r="C330" t="n">
        <v>221</v>
      </c>
      <c r="D330" t="n">
        <v>-0.806</v>
      </c>
      <c r="E330" t="n">
        <v>21.3341</v>
      </c>
      <c r="F330" t="n">
        <v>0.14377</v>
      </c>
    </row>
    <row r="331">
      <c r="A331" t="n">
        <v>2000222</v>
      </c>
      <c r="B331" t="n">
        <v>2</v>
      </c>
      <c r="C331" t="n">
        <v>222</v>
      </c>
      <c r="D331" t="n">
        <v>-0.798</v>
      </c>
      <c r="E331" t="n">
        <v>21.348</v>
      </c>
      <c r="F331" t="n">
        <v>0.14386</v>
      </c>
    </row>
    <row r="332">
      <c r="A332" t="n">
        <v>2000223</v>
      </c>
      <c r="B332" t="n">
        <v>2</v>
      </c>
      <c r="C332" t="n">
        <v>223</v>
      </c>
      <c r="D332" t="n">
        <v>-0.7899</v>
      </c>
      <c r="E332" t="n">
        <v>21.3617</v>
      </c>
      <c r="F332" t="n">
        <v>0.14396</v>
      </c>
    </row>
    <row r="333">
      <c r="A333" t="n">
        <v>2000224</v>
      </c>
      <c r="B333" t="n">
        <v>2</v>
      </c>
      <c r="C333" t="n">
        <v>224</v>
      </c>
      <c r="D333" t="n">
        <v>-0.7819</v>
      </c>
      <c r="E333" t="n">
        <v>21.3752</v>
      </c>
      <c r="F333" t="n">
        <v>0.14405</v>
      </c>
    </row>
    <row r="334">
      <c r="A334" t="n">
        <v>2000225</v>
      </c>
      <c r="B334" t="n">
        <v>2</v>
      </c>
      <c r="C334" t="n">
        <v>225</v>
      </c>
      <c r="D334" t="n">
        <v>-0.7738</v>
      </c>
      <c r="E334" t="n">
        <v>21.3884</v>
      </c>
      <c r="F334" t="n">
        <v>0.14414</v>
      </c>
    </row>
    <row r="335">
      <c r="A335" t="n">
        <v>2000226</v>
      </c>
      <c r="B335" t="n">
        <v>2</v>
      </c>
      <c r="C335" t="n">
        <v>226</v>
      </c>
      <c r="D335" t="n">
        <v>-0.7658</v>
      </c>
      <c r="E335" t="n">
        <v>21.4014</v>
      </c>
      <c r="F335" t="n">
        <v>0.14423</v>
      </c>
    </row>
    <row r="336">
      <c r="A336" t="n">
        <v>2000227</v>
      </c>
      <c r="B336" t="n">
        <v>2</v>
      </c>
      <c r="C336" t="n">
        <v>227</v>
      </c>
      <c r="D336" t="n">
        <v>-0.7577</v>
      </c>
      <c r="E336" t="n">
        <v>21.4143</v>
      </c>
      <c r="F336" t="n">
        <v>0.14432</v>
      </c>
    </row>
    <row r="337">
      <c r="A337" t="n">
        <v>2000228</v>
      </c>
      <c r="B337" t="n">
        <v>2</v>
      </c>
      <c r="C337" t="n">
        <v>228</v>
      </c>
      <c r="D337" t="n">
        <v>-0.7496</v>
      </c>
      <c r="E337" t="n">
        <v>21.4269</v>
      </c>
      <c r="F337" t="n">
        <v>0.14441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</t>
        </is>
      </c>
      <c r="B1" t="inlineStr">
        <is>
          <t>sexo</t>
        </is>
      </c>
      <c r="C1" t="inlineStr">
        <is>
          <t>chave</t>
        </is>
      </c>
      <c r="D1" t="inlineStr">
        <is>
          <t>l</t>
        </is>
      </c>
      <c r="E1" t="inlineStr">
        <is>
          <t>m</t>
        </is>
      </c>
      <c r="F1" t="inlineStr">
        <is>
          <t>s</t>
        </is>
      </c>
    </row>
    <row r="2">
      <c r="A2" t="n">
        <v>1000000</v>
      </c>
      <c r="B2" t="n">
        <v>1</v>
      </c>
      <c r="C2" t="n">
        <v>0</v>
      </c>
      <c r="D2" t="n">
        <v>1</v>
      </c>
      <c r="E2" t="n">
        <v>49.8842</v>
      </c>
      <c r="F2" t="n">
        <v>0.03795</v>
      </c>
    </row>
    <row r="3">
      <c r="A3" t="n">
        <v>1000001</v>
      </c>
      <c r="B3" t="n">
        <v>1</v>
      </c>
      <c r="C3" t="n">
        <v>1</v>
      </c>
      <c r="D3" t="n">
        <v>1</v>
      </c>
      <c r="E3" t="n">
        <v>50.0601</v>
      </c>
      <c r="F3" t="n">
        <v>0.03785</v>
      </c>
    </row>
    <row r="4">
      <c r="A4" t="n">
        <v>1000002</v>
      </c>
      <c r="B4" t="n">
        <v>1</v>
      </c>
      <c r="C4" t="n">
        <v>2</v>
      </c>
      <c r="D4" t="n">
        <v>1</v>
      </c>
      <c r="E4" t="n">
        <v>50.2359</v>
      </c>
      <c r="F4" t="n">
        <v>0.03775</v>
      </c>
    </row>
    <row r="5">
      <c r="A5" t="n">
        <v>1000003</v>
      </c>
      <c r="B5" t="n">
        <v>1</v>
      </c>
      <c r="C5" t="n">
        <v>3</v>
      </c>
      <c r="D5" t="n">
        <v>1</v>
      </c>
      <c r="E5" t="n">
        <v>50.4118</v>
      </c>
      <c r="F5" t="n">
        <v>0.03764</v>
      </c>
    </row>
    <row r="6">
      <c r="A6" t="n">
        <v>1000004</v>
      </c>
      <c r="B6" t="n">
        <v>1</v>
      </c>
      <c r="C6" t="n">
        <v>4</v>
      </c>
      <c r="D6" t="n">
        <v>1</v>
      </c>
      <c r="E6" t="n">
        <v>50.5876</v>
      </c>
      <c r="F6" t="n">
        <v>0.03754</v>
      </c>
    </row>
    <row r="7">
      <c r="A7" t="n">
        <v>1000005</v>
      </c>
      <c r="B7" t="n">
        <v>1</v>
      </c>
      <c r="C7" t="n">
        <v>5</v>
      </c>
      <c r="D7" t="n">
        <v>1</v>
      </c>
      <c r="E7" t="n">
        <v>50.7635</v>
      </c>
      <c r="F7" t="n">
        <v>0.03744</v>
      </c>
    </row>
    <row r="8">
      <c r="A8" t="n">
        <v>1000006</v>
      </c>
      <c r="B8" t="n">
        <v>1</v>
      </c>
      <c r="C8" t="n">
        <v>6</v>
      </c>
      <c r="D8" t="n">
        <v>1</v>
      </c>
      <c r="E8" t="n">
        <v>50.9393</v>
      </c>
      <c r="F8" t="n">
        <v>0.03734</v>
      </c>
    </row>
    <row r="9">
      <c r="A9" t="n">
        <v>1000007</v>
      </c>
      <c r="B9" t="n">
        <v>1</v>
      </c>
      <c r="C9" t="n">
        <v>7</v>
      </c>
      <c r="D9" t="n">
        <v>1</v>
      </c>
      <c r="E9" t="n">
        <v>51.1152</v>
      </c>
      <c r="F9" t="n">
        <v>0.03723</v>
      </c>
    </row>
    <row r="10">
      <c r="A10" t="n">
        <v>1000008</v>
      </c>
      <c r="B10" t="n">
        <v>1</v>
      </c>
      <c r="C10" t="n">
        <v>8</v>
      </c>
      <c r="D10" t="n">
        <v>1</v>
      </c>
      <c r="E10" t="n">
        <v>51.291</v>
      </c>
      <c r="F10" t="n">
        <v>0.03713</v>
      </c>
    </row>
    <row r="11">
      <c r="A11" t="n">
        <v>1000009</v>
      </c>
      <c r="B11" t="n">
        <v>1</v>
      </c>
      <c r="C11" t="n">
        <v>9</v>
      </c>
      <c r="D11" t="n">
        <v>1</v>
      </c>
      <c r="E11" t="n">
        <v>51.4669</v>
      </c>
      <c r="F11" t="n">
        <v>0.03703</v>
      </c>
    </row>
    <row r="12">
      <c r="A12" t="n">
        <v>1000010</v>
      </c>
      <c r="B12" t="n">
        <v>1</v>
      </c>
      <c r="C12" t="n">
        <v>10</v>
      </c>
      <c r="D12" t="n">
        <v>1</v>
      </c>
      <c r="E12" t="n">
        <v>51.6427</v>
      </c>
      <c r="F12" t="n">
        <v>0.03693</v>
      </c>
    </row>
    <row r="13">
      <c r="A13" t="n">
        <v>1000011</v>
      </c>
      <c r="B13" t="n">
        <v>1</v>
      </c>
      <c r="C13" t="n">
        <v>11</v>
      </c>
      <c r="D13" t="n">
        <v>1</v>
      </c>
      <c r="E13" t="n">
        <v>51.8186</v>
      </c>
      <c r="F13" t="n">
        <v>0.03682</v>
      </c>
    </row>
    <row r="14">
      <c r="A14" t="n">
        <v>1000012</v>
      </c>
      <c r="B14" t="n">
        <v>1</v>
      </c>
      <c r="C14" t="n">
        <v>12</v>
      </c>
      <c r="D14" t="n">
        <v>1</v>
      </c>
      <c r="E14" t="n">
        <v>51.9944</v>
      </c>
      <c r="F14" t="n">
        <v>0.03672</v>
      </c>
    </row>
    <row r="15">
      <c r="A15" t="n">
        <v>1000013</v>
      </c>
      <c r="B15" t="n">
        <v>1</v>
      </c>
      <c r="C15" t="n">
        <v>13</v>
      </c>
      <c r="D15" t="n">
        <v>1</v>
      </c>
      <c r="E15" t="n">
        <v>52.1702</v>
      </c>
      <c r="F15" t="n">
        <v>0.03662</v>
      </c>
    </row>
    <row r="16">
      <c r="A16" t="n">
        <v>1000014</v>
      </c>
      <c r="B16" t="n">
        <v>1</v>
      </c>
      <c r="C16" t="n">
        <v>14</v>
      </c>
      <c r="D16" t="n">
        <v>1</v>
      </c>
      <c r="E16" t="n">
        <v>52.3461</v>
      </c>
      <c r="F16" t="n">
        <v>0.03652</v>
      </c>
    </row>
    <row r="17">
      <c r="A17" t="n">
        <v>1000015</v>
      </c>
      <c r="B17" t="n">
        <v>1</v>
      </c>
      <c r="C17" t="n">
        <v>15</v>
      </c>
      <c r="D17" t="n">
        <v>1</v>
      </c>
      <c r="E17" t="n">
        <v>52.4978</v>
      </c>
      <c r="F17" t="n">
        <v>0.03645</v>
      </c>
    </row>
    <row r="18">
      <c r="A18" t="n">
        <v>1000016</v>
      </c>
      <c r="B18" t="n">
        <v>1</v>
      </c>
      <c r="C18" t="n">
        <v>16</v>
      </c>
      <c r="D18" t="n">
        <v>1</v>
      </c>
      <c r="E18" t="n">
        <v>52.6488</v>
      </c>
      <c r="F18" t="n">
        <v>0.03639</v>
      </c>
    </row>
    <row r="19">
      <c r="A19" t="n">
        <v>1000017</v>
      </c>
      <c r="B19" t="n">
        <v>1</v>
      </c>
      <c r="C19" t="n">
        <v>17</v>
      </c>
      <c r="D19" t="n">
        <v>1</v>
      </c>
      <c r="E19" t="n">
        <v>52.799</v>
      </c>
      <c r="F19" t="n">
        <v>0.03633</v>
      </c>
    </row>
    <row r="20">
      <c r="A20" t="n">
        <v>1000018</v>
      </c>
      <c r="B20" t="n">
        <v>1</v>
      </c>
      <c r="C20" t="n">
        <v>18</v>
      </c>
      <c r="D20" t="n">
        <v>1</v>
      </c>
      <c r="E20" t="n">
        <v>52.9483</v>
      </c>
      <c r="F20" t="n">
        <v>0.03627</v>
      </c>
    </row>
    <row r="21">
      <c r="A21" t="n">
        <v>1000019</v>
      </c>
      <c r="B21" t="n">
        <v>1</v>
      </c>
      <c r="C21" t="n">
        <v>19</v>
      </c>
      <c r="D21" t="n">
        <v>1</v>
      </c>
      <c r="E21" t="n">
        <v>53.0967</v>
      </c>
      <c r="F21" t="n">
        <v>0.03621</v>
      </c>
    </row>
    <row r="22">
      <c r="A22" t="n">
        <v>1000020</v>
      </c>
      <c r="B22" t="n">
        <v>1</v>
      </c>
      <c r="C22" t="n">
        <v>20</v>
      </c>
      <c r="D22" t="n">
        <v>1</v>
      </c>
      <c r="E22" t="n">
        <v>53.2441</v>
      </c>
      <c r="F22" t="n">
        <v>0.03615</v>
      </c>
    </row>
    <row r="23">
      <c r="A23" t="n">
        <v>1000021</v>
      </c>
      <c r="B23" t="n">
        <v>1</v>
      </c>
      <c r="C23" t="n">
        <v>21</v>
      </c>
      <c r="D23" t="n">
        <v>1</v>
      </c>
      <c r="E23" t="n">
        <v>53.3905</v>
      </c>
      <c r="F23" t="n">
        <v>0.03609</v>
      </c>
    </row>
    <row r="24">
      <c r="A24" t="n">
        <v>1000022</v>
      </c>
      <c r="B24" t="n">
        <v>1</v>
      </c>
      <c r="C24" t="n">
        <v>22</v>
      </c>
      <c r="D24" t="n">
        <v>1</v>
      </c>
      <c r="E24" t="n">
        <v>53.536</v>
      </c>
      <c r="F24" t="n">
        <v>0.03603</v>
      </c>
    </row>
    <row r="25">
      <c r="A25" t="n">
        <v>1000023</v>
      </c>
      <c r="B25" t="n">
        <v>1</v>
      </c>
      <c r="C25" t="n">
        <v>23</v>
      </c>
      <c r="D25" t="n">
        <v>1</v>
      </c>
      <c r="E25" t="n">
        <v>53.6805</v>
      </c>
      <c r="F25" t="n">
        <v>0.03597</v>
      </c>
    </row>
    <row r="26">
      <c r="A26" t="n">
        <v>1000024</v>
      </c>
      <c r="B26" t="n">
        <v>1</v>
      </c>
      <c r="C26" t="n">
        <v>24</v>
      </c>
      <c r="D26" t="n">
        <v>1</v>
      </c>
      <c r="E26" t="n">
        <v>53.8239</v>
      </c>
      <c r="F26" t="n">
        <v>0.03592</v>
      </c>
    </row>
    <row r="27">
      <c r="A27" t="n">
        <v>1000025</v>
      </c>
      <c r="B27" t="n">
        <v>1</v>
      </c>
      <c r="C27" t="n">
        <v>25</v>
      </c>
      <c r="D27" t="n">
        <v>1</v>
      </c>
      <c r="E27" t="n">
        <v>53.9664</v>
      </c>
      <c r="F27" t="n">
        <v>0.03586</v>
      </c>
    </row>
    <row r="28">
      <c r="A28" t="n">
        <v>1000026</v>
      </c>
      <c r="B28" t="n">
        <v>1</v>
      </c>
      <c r="C28" t="n">
        <v>26</v>
      </c>
      <c r="D28" t="n">
        <v>1</v>
      </c>
      <c r="E28" t="n">
        <v>54.1079</v>
      </c>
      <c r="F28" t="n">
        <v>0.03581</v>
      </c>
    </row>
    <row r="29">
      <c r="A29" t="n">
        <v>1000027</v>
      </c>
      <c r="B29" t="n">
        <v>1</v>
      </c>
      <c r="C29" t="n">
        <v>27</v>
      </c>
      <c r="D29" t="n">
        <v>1</v>
      </c>
      <c r="E29" t="n">
        <v>54.2485</v>
      </c>
      <c r="F29" t="n">
        <v>0.03575</v>
      </c>
    </row>
    <row r="30">
      <c r="A30" t="n">
        <v>1000028</v>
      </c>
      <c r="B30" t="n">
        <v>1</v>
      </c>
      <c r="C30" t="n">
        <v>28</v>
      </c>
      <c r="D30" t="n">
        <v>1</v>
      </c>
      <c r="E30" t="n">
        <v>54.3881</v>
      </c>
      <c r="F30" t="n">
        <v>0.0357</v>
      </c>
    </row>
    <row r="31">
      <c r="A31" t="n">
        <v>1000029</v>
      </c>
      <c r="B31" t="n">
        <v>1</v>
      </c>
      <c r="C31" t="n">
        <v>29</v>
      </c>
      <c r="D31" t="n">
        <v>1</v>
      </c>
      <c r="E31" t="n">
        <v>54.5268</v>
      </c>
      <c r="F31" t="n">
        <v>0.03565</v>
      </c>
    </row>
    <row r="32">
      <c r="A32" t="n">
        <v>1000030</v>
      </c>
      <c r="B32" t="n">
        <v>1</v>
      </c>
      <c r="C32" t="n">
        <v>30</v>
      </c>
      <c r="D32" t="n">
        <v>1</v>
      </c>
      <c r="E32" t="n">
        <v>54.6645</v>
      </c>
      <c r="F32" t="n">
        <v>0.03559</v>
      </c>
    </row>
    <row r="33">
      <c r="A33" t="n">
        <v>1000031</v>
      </c>
      <c r="B33" t="n">
        <v>1</v>
      </c>
      <c r="C33" t="n">
        <v>31</v>
      </c>
      <c r="D33" t="n">
        <v>1</v>
      </c>
      <c r="E33" t="n">
        <v>54.8012</v>
      </c>
      <c r="F33" t="n">
        <v>0.03554</v>
      </c>
    </row>
    <row r="34">
      <c r="A34" t="n">
        <v>1000032</v>
      </c>
      <c r="B34" t="n">
        <v>1</v>
      </c>
      <c r="C34" t="n">
        <v>32</v>
      </c>
      <c r="D34" t="n">
        <v>1</v>
      </c>
      <c r="E34" t="n">
        <v>54.9368</v>
      </c>
      <c r="F34" t="n">
        <v>0.03549</v>
      </c>
    </row>
    <row r="35">
      <c r="A35" t="n">
        <v>1000033</v>
      </c>
      <c r="B35" t="n">
        <v>1</v>
      </c>
      <c r="C35" t="n">
        <v>33</v>
      </c>
      <c r="D35" t="n">
        <v>1</v>
      </c>
      <c r="E35" t="n">
        <v>55.0714</v>
      </c>
      <c r="F35" t="n">
        <v>0.03544</v>
      </c>
    </row>
    <row r="36">
      <c r="A36" t="n">
        <v>1000034</v>
      </c>
      <c r="B36" t="n">
        <v>1</v>
      </c>
      <c r="C36" t="n">
        <v>34</v>
      </c>
      <c r="D36" t="n">
        <v>1</v>
      </c>
      <c r="E36" t="n">
        <v>55.2049</v>
      </c>
      <c r="F36" t="n">
        <v>0.03539</v>
      </c>
    </row>
    <row r="37">
      <c r="A37" t="n">
        <v>1000035</v>
      </c>
      <c r="B37" t="n">
        <v>1</v>
      </c>
      <c r="C37" t="n">
        <v>35</v>
      </c>
      <c r="D37" t="n">
        <v>1</v>
      </c>
      <c r="E37" t="n">
        <v>55.3374</v>
      </c>
      <c r="F37" t="n">
        <v>0.03534</v>
      </c>
    </row>
    <row r="38">
      <c r="A38" t="n">
        <v>1000036</v>
      </c>
      <c r="B38" t="n">
        <v>1</v>
      </c>
      <c r="C38" t="n">
        <v>36</v>
      </c>
      <c r="D38" t="n">
        <v>1</v>
      </c>
      <c r="E38" t="n">
        <v>55.4688</v>
      </c>
      <c r="F38" t="n">
        <v>0.03529</v>
      </c>
    </row>
    <row r="39">
      <c r="A39" t="n">
        <v>1000037</v>
      </c>
      <c r="B39" t="n">
        <v>1</v>
      </c>
      <c r="C39" t="n">
        <v>37</v>
      </c>
      <c r="D39" t="n">
        <v>1</v>
      </c>
      <c r="E39" t="n">
        <v>55.5992</v>
      </c>
      <c r="F39" t="n">
        <v>0.03524</v>
      </c>
    </row>
    <row r="40">
      <c r="A40" t="n">
        <v>1000038</v>
      </c>
      <c r="B40" t="n">
        <v>1</v>
      </c>
      <c r="C40" t="n">
        <v>38</v>
      </c>
      <c r="D40" t="n">
        <v>1</v>
      </c>
      <c r="E40" t="n">
        <v>55.7285</v>
      </c>
      <c r="F40" t="n">
        <v>0.0352</v>
      </c>
    </row>
    <row r="41">
      <c r="A41" t="n">
        <v>1000039</v>
      </c>
      <c r="B41" t="n">
        <v>1</v>
      </c>
      <c r="C41" t="n">
        <v>39</v>
      </c>
      <c r="D41" t="n">
        <v>1</v>
      </c>
      <c r="E41" t="n">
        <v>55.8568</v>
      </c>
      <c r="F41" t="n">
        <v>0.03515</v>
      </c>
    </row>
    <row r="42">
      <c r="A42" t="n">
        <v>1000040</v>
      </c>
      <c r="B42" t="n">
        <v>1</v>
      </c>
      <c r="C42" t="n">
        <v>40</v>
      </c>
      <c r="D42" t="n">
        <v>1</v>
      </c>
      <c r="E42" t="n">
        <v>55.9841</v>
      </c>
      <c r="F42" t="n">
        <v>0.0351</v>
      </c>
    </row>
    <row r="43">
      <c r="A43" t="n">
        <v>1000041</v>
      </c>
      <c r="B43" t="n">
        <v>1</v>
      </c>
      <c r="C43" t="n">
        <v>41</v>
      </c>
      <c r="D43" t="n">
        <v>1</v>
      </c>
      <c r="E43" t="n">
        <v>56.1104</v>
      </c>
      <c r="F43" t="n">
        <v>0.03506</v>
      </c>
    </row>
    <row r="44">
      <c r="A44" t="n">
        <v>1000042</v>
      </c>
      <c r="B44" t="n">
        <v>1</v>
      </c>
      <c r="C44" t="n">
        <v>42</v>
      </c>
      <c r="D44" t="n">
        <v>1</v>
      </c>
      <c r="E44" t="n">
        <v>56.2357</v>
      </c>
      <c r="F44" t="n">
        <v>0.03501</v>
      </c>
    </row>
    <row r="45">
      <c r="A45" t="n">
        <v>1000043</v>
      </c>
      <c r="B45" t="n">
        <v>1</v>
      </c>
      <c r="C45" t="n">
        <v>43</v>
      </c>
      <c r="D45" t="n">
        <v>1</v>
      </c>
      <c r="E45" t="n">
        <v>56.3599</v>
      </c>
      <c r="F45" t="n">
        <v>0.03496</v>
      </c>
    </row>
    <row r="46">
      <c r="A46" t="n">
        <v>1000044</v>
      </c>
      <c r="B46" t="n">
        <v>1</v>
      </c>
      <c r="C46" t="n">
        <v>44</v>
      </c>
      <c r="D46" t="n">
        <v>1</v>
      </c>
      <c r="E46" t="n">
        <v>56.4833</v>
      </c>
      <c r="F46" t="n">
        <v>0.03492</v>
      </c>
    </row>
    <row r="47">
      <c r="A47" t="n">
        <v>1000045</v>
      </c>
      <c r="B47" t="n">
        <v>1</v>
      </c>
      <c r="C47" t="n">
        <v>45</v>
      </c>
      <c r="D47" t="n">
        <v>1</v>
      </c>
      <c r="E47" t="n">
        <v>56.6056</v>
      </c>
      <c r="F47" t="n">
        <v>0.03488</v>
      </c>
    </row>
    <row r="48">
      <c r="A48" t="n">
        <v>1000046</v>
      </c>
      <c r="B48" t="n">
        <v>1</v>
      </c>
      <c r="C48" t="n">
        <v>46</v>
      </c>
      <c r="D48" t="n">
        <v>1</v>
      </c>
      <c r="E48" t="n">
        <v>56.7269</v>
      </c>
      <c r="F48" t="n">
        <v>0.03483</v>
      </c>
    </row>
    <row r="49">
      <c r="A49" t="n">
        <v>1000047</v>
      </c>
      <c r="B49" t="n">
        <v>1</v>
      </c>
      <c r="C49" t="n">
        <v>47</v>
      </c>
      <c r="D49" t="n">
        <v>1</v>
      </c>
      <c r="E49" t="n">
        <v>56.8472</v>
      </c>
      <c r="F49" t="n">
        <v>0.03479</v>
      </c>
    </row>
    <row r="50">
      <c r="A50" t="n">
        <v>1000048</v>
      </c>
      <c r="B50" t="n">
        <v>1</v>
      </c>
      <c r="C50" t="n">
        <v>48</v>
      </c>
      <c r="D50" t="n">
        <v>1</v>
      </c>
      <c r="E50" t="n">
        <v>56.9666</v>
      </c>
      <c r="F50" t="n">
        <v>0.03475</v>
      </c>
    </row>
    <row r="51">
      <c r="A51" t="n">
        <v>1000049</v>
      </c>
      <c r="B51" t="n">
        <v>1</v>
      </c>
      <c r="C51" t="n">
        <v>49</v>
      </c>
      <c r="D51" t="n">
        <v>1</v>
      </c>
      <c r="E51" t="n">
        <v>57.0851</v>
      </c>
      <c r="F51" t="n">
        <v>0.0347</v>
      </c>
    </row>
    <row r="52">
      <c r="A52" t="n">
        <v>1000050</v>
      </c>
      <c r="B52" t="n">
        <v>1</v>
      </c>
      <c r="C52" t="n">
        <v>50</v>
      </c>
      <c r="D52" t="n">
        <v>1</v>
      </c>
      <c r="E52" t="n">
        <v>57.2026</v>
      </c>
      <c r="F52" t="n">
        <v>0.03466</v>
      </c>
    </row>
    <row r="53">
      <c r="A53" t="n">
        <v>1000051</v>
      </c>
      <c r="B53" t="n">
        <v>1</v>
      </c>
      <c r="C53" t="n">
        <v>51</v>
      </c>
      <c r="D53" t="n">
        <v>1</v>
      </c>
      <c r="E53" t="n">
        <v>57.3192</v>
      </c>
      <c r="F53" t="n">
        <v>0.03462</v>
      </c>
    </row>
    <row r="54">
      <c r="A54" t="n">
        <v>1000052</v>
      </c>
      <c r="B54" t="n">
        <v>1</v>
      </c>
      <c r="C54" t="n">
        <v>52</v>
      </c>
      <c r="D54" t="n">
        <v>1</v>
      </c>
      <c r="E54" t="n">
        <v>57.4349</v>
      </c>
      <c r="F54" t="n">
        <v>0.03458</v>
      </c>
    </row>
    <row r="55">
      <c r="A55" t="n">
        <v>1000053</v>
      </c>
      <c r="B55" t="n">
        <v>1</v>
      </c>
      <c r="C55" t="n">
        <v>53</v>
      </c>
      <c r="D55" t="n">
        <v>1</v>
      </c>
      <c r="E55" t="n">
        <v>57.5497</v>
      </c>
      <c r="F55" t="n">
        <v>0.03454</v>
      </c>
    </row>
    <row r="56">
      <c r="A56" t="n">
        <v>1000054</v>
      </c>
      <c r="B56" t="n">
        <v>1</v>
      </c>
      <c r="C56" t="n">
        <v>54</v>
      </c>
      <c r="D56" t="n">
        <v>1</v>
      </c>
      <c r="E56" t="n">
        <v>57.6637</v>
      </c>
      <c r="F56" t="n">
        <v>0.0345</v>
      </c>
    </row>
    <row r="57">
      <c r="A57" t="n">
        <v>1000055</v>
      </c>
      <c r="B57" t="n">
        <v>1</v>
      </c>
      <c r="C57" t="n">
        <v>55</v>
      </c>
      <c r="D57" t="n">
        <v>1</v>
      </c>
      <c r="E57" t="n">
        <v>57.7767</v>
      </c>
      <c r="F57" t="n">
        <v>0.03446</v>
      </c>
    </row>
    <row r="58">
      <c r="A58" t="n">
        <v>1000056</v>
      </c>
      <c r="B58" t="n">
        <v>1</v>
      </c>
      <c r="C58" t="n">
        <v>56</v>
      </c>
      <c r="D58" t="n">
        <v>1</v>
      </c>
      <c r="E58" t="n">
        <v>57.8889</v>
      </c>
      <c r="F58" t="n">
        <v>0.03442</v>
      </c>
    </row>
    <row r="59">
      <c r="A59" t="n">
        <v>1000057</v>
      </c>
      <c r="B59" t="n">
        <v>1</v>
      </c>
      <c r="C59" t="n">
        <v>57</v>
      </c>
      <c r="D59" t="n">
        <v>1</v>
      </c>
      <c r="E59" t="n">
        <v>58.0003</v>
      </c>
      <c r="F59" t="n">
        <v>0.03438</v>
      </c>
    </row>
    <row r="60">
      <c r="A60" t="n">
        <v>1000058</v>
      </c>
      <c r="B60" t="n">
        <v>1</v>
      </c>
      <c r="C60" t="n">
        <v>58</v>
      </c>
      <c r="D60" t="n">
        <v>1</v>
      </c>
      <c r="E60" t="n">
        <v>58.1109</v>
      </c>
      <c r="F60" t="n">
        <v>0.03434</v>
      </c>
    </row>
    <row r="61">
      <c r="A61" t="n">
        <v>1000059</v>
      </c>
      <c r="B61" t="n">
        <v>1</v>
      </c>
      <c r="C61" t="n">
        <v>59</v>
      </c>
      <c r="D61" t="n">
        <v>1</v>
      </c>
      <c r="E61" t="n">
        <v>58.2207</v>
      </c>
      <c r="F61" t="n">
        <v>0.03431</v>
      </c>
    </row>
    <row r="62">
      <c r="A62" t="n">
        <v>1000060</v>
      </c>
      <c r="B62" t="n">
        <v>1</v>
      </c>
      <c r="C62" t="n">
        <v>60</v>
      </c>
      <c r="D62" t="n">
        <v>1</v>
      </c>
      <c r="E62" t="n">
        <v>58.3299</v>
      </c>
      <c r="F62" t="n">
        <v>0.03427</v>
      </c>
    </row>
    <row r="63">
      <c r="A63" t="n">
        <v>1000061</v>
      </c>
      <c r="B63" t="n">
        <v>1</v>
      </c>
      <c r="C63" t="n">
        <v>61</v>
      </c>
      <c r="D63" t="n">
        <v>1</v>
      </c>
      <c r="E63" t="n">
        <v>58.4384</v>
      </c>
      <c r="F63" t="n">
        <v>0.03423</v>
      </c>
    </row>
    <row r="64">
      <c r="A64" t="n">
        <v>1000062</v>
      </c>
      <c r="B64" t="n">
        <v>1</v>
      </c>
      <c r="C64" t="n">
        <v>62</v>
      </c>
      <c r="D64" t="n">
        <v>1</v>
      </c>
      <c r="E64" t="n">
        <v>58.5463</v>
      </c>
      <c r="F64" t="n">
        <v>0.0342</v>
      </c>
    </row>
    <row r="65">
      <c r="A65" t="n">
        <v>1000063</v>
      </c>
      <c r="B65" t="n">
        <v>1</v>
      </c>
      <c r="C65" t="n">
        <v>63</v>
      </c>
      <c r="D65" t="n">
        <v>1</v>
      </c>
      <c r="E65" t="n">
        <v>58.6536</v>
      </c>
      <c r="F65" t="n">
        <v>0.03416</v>
      </c>
    </row>
    <row r="66">
      <c r="A66" t="n">
        <v>1000064</v>
      </c>
      <c r="B66" t="n">
        <v>1</v>
      </c>
      <c r="C66" t="n">
        <v>64</v>
      </c>
      <c r="D66" t="n">
        <v>1</v>
      </c>
      <c r="E66" t="n">
        <v>58.7603</v>
      </c>
      <c r="F66" t="n">
        <v>0.03412</v>
      </c>
    </row>
    <row r="67">
      <c r="A67" t="n">
        <v>1000065</v>
      </c>
      <c r="B67" t="n">
        <v>1</v>
      </c>
      <c r="C67" t="n">
        <v>65</v>
      </c>
      <c r="D67" t="n">
        <v>1</v>
      </c>
      <c r="E67" t="n">
        <v>58.8664</v>
      </c>
      <c r="F67" t="n">
        <v>0.03409</v>
      </c>
    </row>
    <row r="68">
      <c r="A68" t="n">
        <v>1000066</v>
      </c>
      <c r="B68" t="n">
        <v>1</v>
      </c>
      <c r="C68" t="n">
        <v>66</v>
      </c>
      <c r="D68" t="n">
        <v>1</v>
      </c>
      <c r="E68" t="n">
        <v>58.9718</v>
      </c>
      <c r="F68" t="n">
        <v>0.03405</v>
      </c>
    </row>
    <row r="69">
      <c r="A69" t="n">
        <v>1000067</v>
      </c>
      <c r="B69" t="n">
        <v>1</v>
      </c>
      <c r="C69" t="n">
        <v>67</v>
      </c>
      <c r="D69" t="n">
        <v>1</v>
      </c>
      <c r="E69" t="n">
        <v>59.0766</v>
      </c>
      <c r="F69" t="n">
        <v>0.03402</v>
      </c>
    </row>
    <row r="70">
      <c r="A70" t="n">
        <v>1000068</v>
      </c>
      <c r="B70" t="n">
        <v>1</v>
      </c>
      <c r="C70" t="n">
        <v>68</v>
      </c>
      <c r="D70" t="n">
        <v>1</v>
      </c>
      <c r="E70" t="n">
        <v>59.1808</v>
      </c>
      <c r="F70" t="n">
        <v>0.03398</v>
      </c>
    </row>
    <row r="71">
      <c r="A71" t="n">
        <v>1000069</v>
      </c>
      <c r="B71" t="n">
        <v>1</v>
      </c>
      <c r="C71" t="n">
        <v>69</v>
      </c>
      <c r="D71" t="n">
        <v>1</v>
      </c>
      <c r="E71" t="n">
        <v>59.2843</v>
      </c>
      <c r="F71" t="n">
        <v>0.03395</v>
      </c>
    </row>
    <row r="72">
      <c r="A72" t="n">
        <v>1000070</v>
      </c>
      <c r="B72" t="n">
        <v>1</v>
      </c>
      <c r="C72" t="n">
        <v>70</v>
      </c>
      <c r="D72" t="n">
        <v>1</v>
      </c>
      <c r="E72" t="n">
        <v>59.3872</v>
      </c>
      <c r="F72" t="n">
        <v>0.03392</v>
      </c>
    </row>
    <row r="73">
      <c r="A73" t="n">
        <v>1000071</v>
      </c>
      <c r="B73" t="n">
        <v>1</v>
      </c>
      <c r="C73" t="n">
        <v>71</v>
      </c>
      <c r="D73" t="n">
        <v>1</v>
      </c>
      <c r="E73" t="n">
        <v>59.4894</v>
      </c>
      <c r="F73" t="n">
        <v>0.03388</v>
      </c>
    </row>
    <row r="74">
      <c r="A74" t="n">
        <v>1000072</v>
      </c>
      <c r="B74" t="n">
        <v>1</v>
      </c>
      <c r="C74" t="n">
        <v>72</v>
      </c>
      <c r="D74" t="n">
        <v>1</v>
      </c>
      <c r="E74" t="n">
        <v>59.591</v>
      </c>
      <c r="F74" t="n">
        <v>0.03385</v>
      </c>
    </row>
    <row r="75">
      <c r="A75" t="n">
        <v>1000073</v>
      </c>
      <c r="B75" t="n">
        <v>1</v>
      </c>
      <c r="C75" t="n">
        <v>73</v>
      </c>
      <c r="D75" t="n">
        <v>1</v>
      </c>
      <c r="E75" t="n">
        <v>59.692</v>
      </c>
      <c r="F75" t="n">
        <v>0.03382</v>
      </c>
    </row>
    <row r="76">
      <c r="A76" t="n">
        <v>1000074</v>
      </c>
      <c r="B76" t="n">
        <v>1</v>
      </c>
      <c r="C76" t="n">
        <v>74</v>
      </c>
      <c r="D76" t="n">
        <v>1</v>
      </c>
      <c r="E76" t="n">
        <v>59.7923</v>
      </c>
      <c r="F76" t="n">
        <v>0.03379</v>
      </c>
    </row>
    <row r="77">
      <c r="A77" t="n">
        <v>1000075</v>
      </c>
      <c r="B77" t="n">
        <v>1</v>
      </c>
      <c r="C77" t="n">
        <v>75</v>
      </c>
      <c r="D77" t="n">
        <v>1</v>
      </c>
      <c r="E77" t="n">
        <v>59.892</v>
      </c>
      <c r="F77" t="n">
        <v>0.03375</v>
      </c>
    </row>
    <row r="78">
      <c r="A78" t="n">
        <v>1000076</v>
      </c>
      <c r="B78" t="n">
        <v>1</v>
      </c>
      <c r="C78" t="n">
        <v>76</v>
      </c>
      <c r="D78" t="n">
        <v>1</v>
      </c>
      <c r="E78" t="n">
        <v>59.991</v>
      </c>
      <c r="F78" t="n">
        <v>0.03372</v>
      </c>
    </row>
    <row r="79">
      <c r="A79" t="n">
        <v>1000077</v>
      </c>
      <c r="B79" t="n">
        <v>1</v>
      </c>
      <c r="C79" t="n">
        <v>77</v>
      </c>
      <c r="D79" t="n">
        <v>1</v>
      </c>
      <c r="E79" t="n">
        <v>60.0894</v>
      </c>
      <c r="F79" t="n">
        <v>0.03369</v>
      </c>
    </row>
    <row r="80">
      <c r="A80" t="n">
        <v>1000078</v>
      </c>
      <c r="B80" t="n">
        <v>1</v>
      </c>
      <c r="C80" t="n">
        <v>78</v>
      </c>
      <c r="D80" t="n">
        <v>1</v>
      </c>
      <c r="E80" t="n">
        <v>60.1872</v>
      </c>
      <c r="F80" t="n">
        <v>0.03366</v>
      </c>
    </row>
    <row r="81">
      <c r="A81" t="n">
        <v>1000079</v>
      </c>
      <c r="B81" t="n">
        <v>1</v>
      </c>
      <c r="C81" t="n">
        <v>79</v>
      </c>
      <c r="D81" t="n">
        <v>1</v>
      </c>
      <c r="E81" t="n">
        <v>60.2843</v>
      </c>
      <c r="F81" t="n">
        <v>0.03363</v>
      </c>
    </row>
    <row r="82">
      <c r="A82" t="n">
        <v>1000080</v>
      </c>
      <c r="B82" t="n">
        <v>1</v>
      </c>
      <c r="C82" t="n">
        <v>80</v>
      </c>
      <c r="D82" t="n">
        <v>1</v>
      </c>
      <c r="E82" t="n">
        <v>60.3808</v>
      </c>
      <c r="F82" t="n">
        <v>0.0336</v>
      </c>
    </row>
    <row r="83">
      <c r="A83" t="n">
        <v>1000081</v>
      </c>
      <c r="B83" t="n">
        <v>1</v>
      </c>
      <c r="C83" t="n">
        <v>81</v>
      </c>
      <c r="D83" t="n">
        <v>1</v>
      </c>
      <c r="E83" t="n">
        <v>60.4767</v>
      </c>
      <c r="F83" t="n">
        <v>0.03357</v>
      </c>
    </row>
    <row r="84">
      <c r="A84" t="n">
        <v>1000082</v>
      </c>
      <c r="B84" t="n">
        <v>1</v>
      </c>
      <c r="C84" t="n">
        <v>82</v>
      </c>
      <c r="D84" t="n">
        <v>1</v>
      </c>
      <c r="E84" t="n">
        <v>60.5719</v>
      </c>
      <c r="F84" t="n">
        <v>0.03354</v>
      </c>
    </row>
    <row r="85">
      <c r="A85" t="n">
        <v>1000083</v>
      </c>
      <c r="B85" t="n">
        <v>1</v>
      </c>
      <c r="C85" t="n">
        <v>83</v>
      </c>
      <c r="D85" t="n">
        <v>1</v>
      </c>
      <c r="E85" t="n">
        <v>60.6665</v>
      </c>
      <c r="F85" t="n">
        <v>0.03351</v>
      </c>
    </row>
    <row r="86">
      <c r="A86" t="n">
        <v>1000084</v>
      </c>
      <c r="B86" t="n">
        <v>1</v>
      </c>
      <c r="C86" t="n">
        <v>84</v>
      </c>
      <c r="D86" t="n">
        <v>1</v>
      </c>
      <c r="E86" t="n">
        <v>60.7605</v>
      </c>
      <c r="F86" t="n">
        <v>0.03348</v>
      </c>
    </row>
    <row r="87">
      <c r="A87" t="n">
        <v>1000085</v>
      </c>
      <c r="B87" t="n">
        <v>1</v>
      </c>
      <c r="C87" t="n">
        <v>85</v>
      </c>
      <c r="D87" t="n">
        <v>1</v>
      </c>
      <c r="E87" t="n">
        <v>60.8539</v>
      </c>
      <c r="F87" t="n">
        <v>0.03345</v>
      </c>
    </row>
    <row r="88">
      <c r="A88" t="n">
        <v>1000086</v>
      </c>
      <c r="B88" t="n">
        <v>1</v>
      </c>
      <c r="C88" t="n">
        <v>86</v>
      </c>
      <c r="D88" t="n">
        <v>1</v>
      </c>
      <c r="E88" t="n">
        <v>60.9466</v>
      </c>
      <c r="F88" t="n">
        <v>0.03342</v>
      </c>
    </row>
    <row r="89">
      <c r="A89" t="n">
        <v>1000087</v>
      </c>
      <c r="B89" t="n">
        <v>1</v>
      </c>
      <c r="C89" t="n">
        <v>87</v>
      </c>
      <c r="D89" t="n">
        <v>1</v>
      </c>
      <c r="E89" t="n">
        <v>61.0388</v>
      </c>
      <c r="F89" t="n">
        <v>0.0334</v>
      </c>
    </row>
    <row r="90">
      <c r="A90" t="n">
        <v>1000088</v>
      </c>
      <c r="B90" t="n">
        <v>1</v>
      </c>
      <c r="C90" t="n">
        <v>88</v>
      </c>
      <c r="D90" t="n">
        <v>1</v>
      </c>
      <c r="E90" t="n">
        <v>61.1303</v>
      </c>
      <c r="F90" t="n">
        <v>0.03337</v>
      </c>
    </row>
    <row r="91">
      <c r="A91" t="n">
        <v>1000089</v>
      </c>
      <c r="B91" t="n">
        <v>1</v>
      </c>
      <c r="C91" t="n">
        <v>89</v>
      </c>
      <c r="D91" t="n">
        <v>1</v>
      </c>
      <c r="E91" t="n">
        <v>61.2212</v>
      </c>
      <c r="F91" t="n">
        <v>0.03334</v>
      </c>
    </row>
    <row r="92">
      <c r="A92" t="n">
        <v>1000090</v>
      </c>
      <c r="B92" t="n">
        <v>1</v>
      </c>
      <c r="C92" t="n">
        <v>90</v>
      </c>
      <c r="D92" t="n">
        <v>1</v>
      </c>
      <c r="E92" t="n">
        <v>61.3115</v>
      </c>
      <c r="F92" t="n">
        <v>0.03331</v>
      </c>
    </row>
    <row r="93">
      <c r="A93" t="n">
        <v>1000091</v>
      </c>
      <c r="B93" t="n">
        <v>1</v>
      </c>
      <c r="C93" t="n">
        <v>91</v>
      </c>
      <c r="D93" t="n">
        <v>1</v>
      </c>
      <c r="E93" t="n">
        <v>61.4013</v>
      </c>
      <c r="F93" t="n">
        <v>0.03329</v>
      </c>
    </row>
    <row r="94">
      <c r="A94" t="n">
        <v>1000092</v>
      </c>
      <c r="B94" t="n">
        <v>1</v>
      </c>
      <c r="C94" t="n">
        <v>92</v>
      </c>
      <c r="D94" t="n">
        <v>1</v>
      </c>
      <c r="E94" t="n">
        <v>61.4904</v>
      </c>
      <c r="F94" t="n">
        <v>0.03326</v>
      </c>
    </row>
    <row r="95">
      <c r="A95" t="n">
        <v>1000093</v>
      </c>
      <c r="B95" t="n">
        <v>1</v>
      </c>
      <c r="C95" t="n">
        <v>93</v>
      </c>
      <c r="D95" t="n">
        <v>1</v>
      </c>
      <c r="E95" t="n">
        <v>61.579</v>
      </c>
      <c r="F95" t="n">
        <v>0.03323</v>
      </c>
    </row>
    <row r="96">
      <c r="A96" t="n">
        <v>1000094</v>
      </c>
      <c r="B96" t="n">
        <v>1</v>
      </c>
      <c r="C96" t="n">
        <v>94</v>
      </c>
      <c r="D96" t="n">
        <v>1</v>
      </c>
      <c r="E96" t="n">
        <v>61.667</v>
      </c>
      <c r="F96" t="n">
        <v>0.03321</v>
      </c>
    </row>
    <row r="97">
      <c r="A97" t="n">
        <v>1000095</v>
      </c>
      <c r="B97" t="n">
        <v>1</v>
      </c>
      <c r="C97" t="n">
        <v>95</v>
      </c>
      <c r="D97" t="n">
        <v>1</v>
      </c>
      <c r="E97" t="n">
        <v>61.7543</v>
      </c>
      <c r="F97" t="n">
        <v>0.03318</v>
      </c>
    </row>
    <row r="98">
      <c r="A98" t="n">
        <v>1000096</v>
      </c>
      <c r="B98" t="n">
        <v>1</v>
      </c>
      <c r="C98" t="n">
        <v>96</v>
      </c>
      <c r="D98" t="n">
        <v>1</v>
      </c>
      <c r="E98" t="n">
        <v>61.8411</v>
      </c>
      <c r="F98" t="n">
        <v>0.03316</v>
      </c>
    </row>
    <row r="99">
      <c r="A99" t="n">
        <v>1000097</v>
      </c>
      <c r="B99" t="n">
        <v>1</v>
      </c>
      <c r="C99" t="n">
        <v>97</v>
      </c>
      <c r="D99" t="n">
        <v>1</v>
      </c>
      <c r="E99" t="n">
        <v>61.9274</v>
      </c>
      <c r="F99" t="n">
        <v>0.03313</v>
      </c>
    </row>
    <row r="100">
      <c r="A100" t="n">
        <v>1000098</v>
      </c>
      <c r="B100" t="n">
        <v>1</v>
      </c>
      <c r="C100" t="n">
        <v>98</v>
      </c>
      <c r="D100" t="n">
        <v>1</v>
      </c>
      <c r="E100" t="n">
        <v>62.013</v>
      </c>
      <c r="F100" t="n">
        <v>0.03311</v>
      </c>
    </row>
    <row r="101">
      <c r="A101" t="n">
        <v>1000099</v>
      </c>
      <c r="B101" t="n">
        <v>1</v>
      </c>
      <c r="C101" t="n">
        <v>99</v>
      </c>
      <c r="D101" t="n">
        <v>1</v>
      </c>
      <c r="E101" t="n">
        <v>62.0981</v>
      </c>
      <c r="F101" t="n">
        <v>0.03308</v>
      </c>
    </row>
    <row r="102">
      <c r="A102" t="n">
        <v>1000100</v>
      </c>
      <c r="B102" t="n">
        <v>1</v>
      </c>
      <c r="C102" t="n">
        <v>100</v>
      </c>
      <c r="D102" t="n">
        <v>1</v>
      </c>
      <c r="E102" t="n">
        <v>62.1826</v>
      </c>
      <c r="F102" t="n">
        <v>0.03306</v>
      </c>
    </row>
    <row r="103">
      <c r="A103" t="n">
        <v>1000101</v>
      </c>
      <c r="B103" t="n">
        <v>1</v>
      </c>
      <c r="C103" t="n">
        <v>101</v>
      </c>
      <c r="D103" t="n">
        <v>1</v>
      </c>
      <c r="E103" t="n">
        <v>62.2665</v>
      </c>
      <c r="F103" t="n">
        <v>0.03303</v>
      </c>
    </row>
    <row r="104">
      <c r="A104" t="n">
        <v>1000102</v>
      </c>
      <c r="B104" t="n">
        <v>1</v>
      </c>
      <c r="C104" t="n">
        <v>102</v>
      </c>
      <c r="D104" t="n">
        <v>1</v>
      </c>
      <c r="E104" t="n">
        <v>62.3499</v>
      </c>
      <c r="F104" t="n">
        <v>0.03301</v>
      </c>
    </row>
    <row r="105">
      <c r="A105" t="n">
        <v>1000103</v>
      </c>
      <c r="B105" t="n">
        <v>1</v>
      </c>
      <c r="C105" t="n">
        <v>103</v>
      </c>
      <c r="D105" t="n">
        <v>1</v>
      </c>
      <c r="E105" t="n">
        <v>62.4327</v>
      </c>
      <c r="F105" t="n">
        <v>0.03298</v>
      </c>
    </row>
    <row r="106">
      <c r="A106" t="n">
        <v>1000104</v>
      </c>
      <c r="B106" t="n">
        <v>1</v>
      </c>
      <c r="C106" t="n">
        <v>104</v>
      </c>
      <c r="D106" t="n">
        <v>1</v>
      </c>
      <c r="E106" t="n">
        <v>62.5149</v>
      </c>
      <c r="F106" t="n">
        <v>0.03296</v>
      </c>
    </row>
    <row r="107">
      <c r="A107" t="n">
        <v>1000105</v>
      </c>
      <c r="B107" t="n">
        <v>1</v>
      </c>
      <c r="C107" t="n">
        <v>105</v>
      </c>
      <c r="D107" t="n">
        <v>1</v>
      </c>
      <c r="E107" t="n">
        <v>62.5966</v>
      </c>
      <c r="F107" t="n">
        <v>0.03294</v>
      </c>
    </row>
    <row r="108">
      <c r="A108" t="n">
        <v>1000106</v>
      </c>
      <c r="B108" t="n">
        <v>1</v>
      </c>
      <c r="C108" t="n">
        <v>106</v>
      </c>
      <c r="D108" t="n">
        <v>1</v>
      </c>
      <c r="E108" t="n">
        <v>62.6778</v>
      </c>
      <c r="F108" t="n">
        <v>0.03291</v>
      </c>
    </row>
    <row r="109">
      <c r="A109" t="n">
        <v>1000107</v>
      </c>
      <c r="B109" t="n">
        <v>1</v>
      </c>
      <c r="C109" t="n">
        <v>107</v>
      </c>
      <c r="D109" t="n">
        <v>1</v>
      </c>
      <c r="E109" t="n">
        <v>62.7584</v>
      </c>
      <c r="F109" t="n">
        <v>0.03289</v>
      </c>
    </row>
    <row r="110">
      <c r="A110" t="n">
        <v>1000108</v>
      </c>
      <c r="B110" t="n">
        <v>1</v>
      </c>
      <c r="C110" t="n">
        <v>108</v>
      </c>
      <c r="D110" t="n">
        <v>1</v>
      </c>
      <c r="E110" t="n">
        <v>62.8384</v>
      </c>
      <c r="F110" t="n">
        <v>0.03287</v>
      </c>
    </row>
    <row r="111">
      <c r="A111" t="n">
        <v>1000109</v>
      </c>
      <c r="B111" t="n">
        <v>1</v>
      </c>
      <c r="C111" t="n">
        <v>109</v>
      </c>
      <c r="D111" t="n">
        <v>1</v>
      </c>
      <c r="E111" t="n">
        <v>62.918</v>
      </c>
      <c r="F111" t="n">
        <v>0.03284</v>
      </c>
    </row>
    <row r="112">
      <c r="A112" t="n">
        <v>1000110</v>
      </c>
      <c r="B112" t="n">
        <v>1</v>
      </c>
      <c r="C112" t="n">
        <v>110</v>
      </c>
      <c r="D112" t="n">
        <v>1</v>
      </c>
      <c r="E112" t="n">
        <v>62.9969</v>
      </c>
      <c r="F112" t="n">
        <v>0.03282</v>
      </c>
    </row>
    <row r="113">
      <c r="A113" t="n">
        <v>1000111</v>
      </c>
      <c r="B113" t="n">
        <v>1</v>
      </c>
      <c r="C113" t="n">
        <v>111</v>
      </c>
      <c r="D113" t="n">
        <v>1</v>
      </c>
      <c r="E113" t="n">
        <v>63.0754</v>
      </c>
      <c r="F113" t="n">
        <v>0.0328</v>
      </c>
    </row>
    <row r="114">
      <c r="A114" t="n">
        <v>1000112</v>
      </c>
      <c r="B114" t="n">
        <v>1</v>
      </c>
      <c r="C114" t="n">
        <v>112</v>
      </c>
      <c r="D114" t="n">
        <v>1</v>
      </c>
      <c r="E114" t="n">
        <v>63.1533</v>
      </c>
      <c r="F114" t="n">
        <v>0.03278</v>
      </c>
    </row>
    <row r="115">
      <c r="A115" t="n">
        <v>1000113</v>
      </c>
      <c r="B115" t="n">
        <v>1</v>
      </c>
      <c r="C115" t="n">
        <v>113</v>
      </c>
      <c r="D115" t="n">
        <v>1</v>
      </c>
      <c r="E115" t="n">
        <v>63.2307</v>
      </c>
      <c r="F115" t="n">
        <v>0.03276</v>
      </c>
    </row>
    <row r="116">
      <c r="A116" t="n">
        <v>1000114</v>
      </c>
      <c r="B116" t="n">
        <v>1</v>
      </c>
      <c r="C116" t="n">
        <v>114</v>
      </c>
      <c r="D116" t="n">
        <v>1</v>
      </c>
      <c r="E116" t="n">
        <v>63.3076</v>
      </c>
      <c r="F116" t="n">
        <v>0.03273</v>
      </c>
    </row>
    <row r="117">
      <c r="A117" t="n">
        <v>1000115</v>
      </c>
      <c r="B117" t="n">
        <v>1</v>
      </c>
      <c r="C117" t="n">
        <v>115</v>
      </c>
      <c r="D117" t="n">
        <v>1</v>
      </c>
      <c r="E117" t="n">
        <v>63.3839</v>
      </c>
      <c r="F117" t="n">
        <v>0.03271</v>
      </c>
    </row>
    <row r="118">
      <c r="A118" t="n">
        <v>1000116</v>
      </c>
      <c r="B118" t="n">
        <v>1</v>
      </c>
      <c r="C118" t="n">
        <v>116</v>
      </c>
      <c r="D118" t="n">
        <v>1</v>
      </c>
      <c r="E118" t="n">
        <v>63.4598</v>
      </c>
      <c r="F118" t="n">
        <v>0.03269</v>
      </c>
    </row>
    <row r="119">
      <c r="A119" t="n">
        <v>1000117</v>
      </c>
      <c r="B119" t="n">
        <v>1</v>
      </c>
      <c r="C119" t="n">
        <v>117</v>
      </c>
      <c r="D119" t="n">
        <v>1</v>
      </c>
      <c r="E119" t="n">
        <v>63.5351</v>
      </c>
      <c r="F119" t="n">
        <v>0.03267</v>
      </c>
    </row>
    <row r="120">
      <c r="A120" t="n">
        <v>1000118</v>
      </c>
      <c r="B120" t="n">
        <v>1</v>
      </c>
      <c r="C120" t="n">
        <v>118</v>
      </c>
      <c r="D120" t="n">
        <v>1</v>
      </c>
      <c r="E120" t="n">
        <v>63.6099</v>
      </c>
      <c r="F120" t="n">
        <v>0.03265</v>
      </c>
    </row>
    <row r="121">
      <c r="A121" t="n">
        <v>1000119</v>
      </c>
      <c r="B121" t="n">
        <v>1</v>
      </c>
      <c r="C121" t="n">
        <v>119</v>
      </c>
      <c r="D121" t="n">
        <v>1</v>
      </c>
      <c r="E121" t="n">
        <v>63.6842</v>
      </c>
      <c r="F121" t="n">
        <v>0.03263</v>
      </c>
    </row>
    <row r="122">
      <c r="A122" t="n">
        <v>1000120</v>
      </c>
      <c r="B122" t="n">
        <v>1</v>
      </c>
      <c r="C122" t="n">
        <v>120</v>
      </c>
      <c r="D122" t="n">
        <v>1</v>
      </c>
      <c r="E122" t="n">
        <v>63.758</v>
      </c>
      <c r="F122" t="n">
        <v>0.03261</v>
      </c>
    </row>
    <row r="123">
      <c r="A123" t="n">
        <v>1000121</v>
      </c>
      <c r="B123" t="n">
        <v>1</v>
      </c>
      <c r="C123" t="n">
        <v>121</v>
      </c>
      <c r="D123" t="n">
        <v>1</v>
      </c>
      <c r="E123" t="n">
        <v>63.8313</v>
      </c>
      <c r="F123" t="n">
        <v>0.03259</v>
      </c>
    </row>
    <row r="124">
      <c r="A124" t="n">
        <v>1000122</v>
      </c>
      <c r="B124" t="n">
        <v>1</v>
      </c>
      <c r="C124" t="n">
        <v>122</v>
      </c>
      <c r="D124" t="n">
        <v>1</v>
      </c>
      <c r="E124" t="n">
        <v>63.9041</v>
      </c>
      <c r="F124" t="n">
        <v>0.03257</v>
      </c>
    </row>
    <row r="125">
      <c r="A125" t="n">
        <v>1000123</v>
      </c>
      <c r="B125" t="n">
        <v>1</v>
      </c>
      <c r="C125" t="n">
        <v>123</v>
      </c>
      <c r="D125" t="n">
        <v>1</v>
      </c>
      <c r="E125" t="n">
        <v>63.9765</v>
      </c>
      <c r="F125" t="n">
        <v>0.03255</v>
      </c>
    </row>
    <row r="126">
      <c r="A126" t="n">
        <v>1000124</v>
      </c>
      <c r="B126" t="n">
        <v>1</v>
      </c>
      <c r="C126" t="n">
        <v>124</v>
      </c>
      <c r="D126" t="n">
        <v>1</v>
      </c>
      <c r="E126" t="n">
        <v>64.0483</v>
      </c>
      <c r="F126" t="n">
        <v>0.03253</v>
      </c>
    </row>
    <row r="127">
      <c r="A127" t="n">
        <v>1000125</v>
      </c>
      <c r="B127" t="n">
        <v>1</v>
      </c>
      <c r="C127" t="n">
        <v>125</v>
      </c>
      <c r="D127" t="n">
        <v>1</v>
      </c>
      <c r="E127" t="n">
        <v>64.11969999999999</v>
      </c>
      <c r="F127" t="n">
        <v>0.03251</v>
      </c>
    </row>
    <row r="128">
      <c r="A128" t="n">
        <v>1000126</v>
      </c>
      <c r="B128" t="n">
        <v>1</v>
      </c>
      <c r="C128" t="n">
        <v>126</v>
      </c>
      <c r="D128" t="n">
        <v>1</v>
      </c>
      <c r="E128" t="n">
        <v>64.1906</v>
      </c>
      <c r="F128" t="n">
        <v>0.03249</v>
      </c>
    </row>
    <row r="129">
      <c r="A129" t="n">
        <v>1000127</v>
      </c>
      <c r="B129" t="n">
        <v>1</v>
      </c>
      <c r="C129" t="n">
        <v>127</v>
      </c>
      <c r="D129" t="n">
        <v>1</v>
      </c>
      <c r="E129" t="n">
        <v>64.261</v>
      </c>
      <c r="F129" t="n">
        <v>0.03247</v>
      </c>
    </row>
    <row r="130">
      <c r="A130" t="n">
        <v>1000128</v>
      </c>
      <c r="B130" t="n">
        <v>1</v>
      </c>
      <c r="C130" t="n">
        <v>128</v>
      </c>
      <c r="D130" t="n">
        <v>1</v>
      </c>
      <c r="E130" t="n">
        <v>64.331</v>
      </c>
      <c r="F130" t="n">
        <v>0.03245</v>
      </c>
    </row>
    <row r="131">
      <c r="A131" t="n">
        <v>1000129</v>
      </c>
      <c r="B131" t="n">
        <v>1</v>
      </c>
      <c r="C131" t="n">
        <v>129</v>
      </c>
      <c r="D131" t="n">
        <v>1</v>
      </c>
      <c r="E131" t="n">
        <v>64.4006</v>
      </c>
      <c r="F131" t="n">
        <v>0.03243</v>
      </c>
    </row>
    <row r="132">
      <c r="A132" t="n">
        <v>1000130</v>
      </c>
      <c r="B132" t="n">
        <v>1</v>
      </c>
      <c r="C132" t="n">
        <v>130</v>
      </c>
      <c r="D132" t="n">
        <v>1</v>
      </c>
      <c r="E132" t="n">
        <v>64.4697</v>
      </c>
      <c r="F132" t="n">
        <v>0.03241</v>
      </c>
    </row>
    <row r="133">
      <c r="A133" t="n">
        <v>1000131</v>
      </c>
      <c r="B133" t="n">
        <v>1</v>
      </c>
      <c r="C133" t="n">
        <v>131</v>
      </c>
      <c r="D133" t="n">
        <v>1</v>
      </c>
      <c r="E133" t="n">
        <v>64.53830000000001</v>
      </c>
      <c r="F133" t="n">
        <v>0.03239</v>
      </c>
    </row>
    <row r="134">
      <c r="A134" t="n">
        <v>1000132</v>
      </c>
      <c r="B134" t="n">
        <v>1</v>
      </c>
      <c r="C134" t="n">
        <v>132</v>
      </c>
      <c r="D134" t="n">
        <v>1</v>
      </c>
      <c r="E134" t="n">
        <v>64.6066</v>
      </c>
      <c r="F134" t="n">
        <v>0.03238</v>
      </c>
    </row>
    <row r="135">
      <c r="A135" t="n">
        <v>1000133</v>
      </c>
      <c r="B135" t="n">
        <v>1</v>
      </c>
      <c r="C135" t="n">
        <v>133</v>
      </c>
      <c r="D135" t="n">
        <v>1</v>
      </c>
      <c r="E135" t="n">
        <v>64.67440000000001</v>
      </c>
      <c r="F135" t="n">
        <v>0.03236</v>
      </c>
    </row>
    <row r="136">
      <c r="A136" t="n">
        <v>1000134</v>
      </c>
      <c r="B136" t="n">
        <v>1</v>
      </c>
      <c r="C136" t="n">
        <v>134</v>
      </c>
      <c r="D136" t="n">
        <v>1</v>
      </c>
      <c r="E136" t="n">
        <v>64.7418</v>
      </c>
      <c r="F136" t="n">
        <v>0.03234</v>
      </c>
    </row>
    <row r="137">
      <c r="A137" t="n">
        <v>1000135</v>
      </c>
      <c r="B137" t="n">
        <v>1</v>
      </c>
      <c r="C137" t="n">
        <v>135</v>
      </c>
      <c r="D137" t="n">
        <v>1</v>
      </c>
      <c r="E137" t="n">
        <v>64.80880000000001</v>
      </c>
      <c r="F137" t="n">
        <v>0.03232</v>
      </c>
    </row>
    <row r="138">
      <c r="A138" t="n">
        <v>1000136</v>
      </c>
      <c r="B138" t="n">
        <v>1</v>
      </c>
      <c r="C138" t="n">
        <v>136</v>
      </c>
      <c r="D138" t="n">
        <v>1</v>
      </c>
      <c r="E138" t="n">
        <v>64.8755</v>
      </c>
      <c r="F138" t="n">
        <v>0.0323</v>
      </c>
    </row>
    <row r="139">
      <c r="A139" t="n">
        <v>1000137</v>
      </c>
      <c r="B139" t="n">
        <v>1</v>
      </c>
      <c r="C139" t="n">
        <v>137</v>
      </c>
      <c r="D139" t="n">
        <v>1</v>
      </c>
      <c r="E139" t="n">
        <v>64.9417</v>
      </c>
      <c r="F139" t="n">
        <v>0.03229</v>
      </c>
    </row>
    <row r="140">
      <c r="A140" t="n">
        <v>1000138</v>
      </c>
      <c r="B140" t="n">
        <v>1</v>
      </c>
      <c r="C140" t="n">
        <v>138</v>
      </c>
      <c r="D140" t="n">
        <v>1</v>
      </c>
      <c r="E140" t="n">
        <v>65.00749999999999</v>
      </c>
      <c r="F140" t="n">
        <v>0.03227</v>
      </c>
    </row>
    <row r="141">
      <c r="A141" t="n">
        <v>1000139</v>
      </c>
      <c r="B141" t="n">
        <v>1</v>
      </c>
      <c r="C141" t="n">
        <v>139</v>
      </c>
      <c r="D141" t="n">
        <v>1</v>
      </c>
      <c r="E141" t="n">
        <v>65.07299999999999</v>
      </c>
      <c r="F141" t="n">
        <v>0.03225</v>
      </c>
    </row>
    <row r="142">
      <c r="A142" t="n">
        <v>1000140</v>
      </c>
      <c r="B142" t="n">
        <v>1</v>
      </c>
      <c r="C142" t="n">
        <v>140</v>
      </c>
      <c r="D142" t="n">
        <v>1</v>
      </c>
      <c r="E142" t="n">
        <v>65.13800000000001</v>
      </c>
      <c r="F142" t="n">
        <v>0.03223</v>
      </c>
    </row>
    <row r="143">
      <c r="A143" t="n">
        <v>1000141</v>
      </c>
      <c r="B143" t="n">
        <v>1</v>
      </c>
      <c r="C143" t="n">
        <v>141</v>
      </c>
      <c r="D143" t="n">
        <v>1</v>
      </c>
      <c r="E143" t="n">
        <v>65.20269999999999</v>
      </c>
      <c r="F143" t="n">
        <v>0.03222</v>
      </c>
    </row>
    <row r="144">
      <c r="A144" t="n">
        <v>1000142</v>
      </c>
      <c r="B144" t="n">
        <v>1</v>
      </c>
      <c r="C144" t="n">
        <v>142</v>
      </c>
      <c r="D144" t="n">
        <v>1</v>
      </c>
      <c r="E144" t="n">
        <v>65.2671</v>
      </c>
      <c r="F144" t="n">
        <v>0.0322</v>
      </c>
    </row>
    <row r="145">
      <c r="A145" t="n">
        <v>1000143</v>
      </c>
      <c r="B145" t="n">
        <v>1</v>
      </c>
      <c r="C145" t="n">
        <v>143</v>
      </c>
      <c r="D145" t="n">
        <v>1</v>
      </c>
      <c r="E145" t="n">
        <v>65.331</v>
      </c>
      <c r="F145" t="n">
        <v>0.03218</v>
      </c>
    </row>
    <row r="146">
      <c r="A146" t="n">
        <v>1000144</v>
      </c>
      <c r="B146" t="n">
        <v>1</v>
      </c>
      <c r="C146" t="n">
        <v>144</v>
      </c>
      <c r="D146" t="n">
        <v>1</v>
      </c>
      <c r="E146" t="n">
        <v>65.3946</v>
      </c>
      <c r="F146" t="n">
        <v>0.03217</v>
      </c>
    </row>
    <row r="147">
      <c r="A147" t="n">
        <v>1000145</v>
      </c>
      <c r="B147" t="n">
        <v>1</v>
      </c>
      <c r="C147" t="n">
        <v>145</v>
      </c>
      <c r="D147" t="n">
        <v>1</v>
      </c>
      <c r="E147" t="n">
        <v>65.4579</v>
      </c>
      <c r="F147" t="n">
        <v>0.03215</v>
      </c>
    </row>
    <row r="148">
      <c r="A148" t="n">
        <v>1000146</v>
      </c>
      <c r="B148" t="n">
        <v>1</v>
      </c>
      <c r="C148" t="n">
        <v>146</v>
      </c>
      <c r="D148" t="n">
        <v>1</v>
      </c>
      <c r="E148" t="n">
        <v>65.52079999999999</v>
      </c>
      <c r="F148" t="n">
        <v>0.03214</v>
      </c>
    </row>
    <row r="149">
      <c r="A149" t="n">
        <v>1000147</v>
      </c>
      <c r="B149" t="n">
        <v>1</v>
      </c>
      <c r="C149" t="n">
        <v>147</v>
      </c>
      <c r="D149" t="n">
        <v>1</v>
      </c>
      <c r="E149" t="n">
        <v>65.5834</v>
      </c>
      <c r="F149" t="n">
        <v>0.03212</v>
      </c>
    </row>
    <row r="150">
      <c r="A150" t="n">
        <v>1000148</v>
      </c>
      <c r="B150" t="n">
        <v>1</v>
      </c>
      <c r="C150" t="n">
        <v>148</v>
      </c>
      <c r="D150" t="n">
        <v>1</v>
      </c>
      <c r="E150" t="n">
        <v>65.6456</v>
      </c>
      <c r="F150" t="n">
        <v>0.0321</v>
      </c>
    </row>
    <row r="151">
      <c r="A151" t="n">
        <v>1000149</v>
      </c>
      <c r="B151" t="n">
        <v>1</v>
      </c>
      <c r="C151" t="n">
        <v>149</v>
      </c>
      <c r="D151" t="n">
        <v>1</v>
      </c>
      <c r="E151" t="n">
        <v>65.7075</v>
      </c>
      <c r="F151" t="n">
        <v>0.03209</v>
      </c>
    </row>
    <row r="152">
      <c r="A152" t="n">
        <v>1000150</v>
      </c>
      <c r="B152" t="n">
        <v>1</v>
      </c>
      <c r="C152" t="n">
        <v>150</v>
      </c>
      <c r="D152" t="n">
        <v>1</v>
      </c>
      <c r="E152" t="n">
        <v>65.76900000000001</v>
      </c>
      <c r="F152" t="n">
        <v>0.03207</v>
      </c>
    </row>
    <row r="153">
      <c r="A153" t="n">
        <v>1000151</v>
      </c>
      <c r="B153" t="n">
        <v>1</v>
      </c>
      <c r="C153" t="n">
        <v>151</v>
      </c>
      <c r="D153" t="n">
        <v>1</v>
      </c>
      <c r="E153" t="n">
        <v>65.83029999999999</v>
      </c>
      <c r="F153" t="n">
        <v>0.03206</v>
      </c>
    </row>
    <row r="154">
      <c r="A154" t="n">
        <v>1000152</v>
      </c>
      <c r="B154" t="n">
        <v>1</v>
      </c>
      <c r="C154" t="n">
        <v>152</v>
      </c>
      <c r="D154" t="n">
        <v>1</v>
      </c>
      <c r="E154" t="n">
        <v>65.8912</v>
      </c>
      <c r="F154" t="n">
        <v>0.03204</v>
      </c>
    </row>
    <row r="155">
      <c r="A155" t="n">
        <v>1000153</v>
      </c>
      <c r="B155" t="n">
        <v>1</v>
      </c>
      <c r="C155" t="n">
        <v>153</v>
      </c>
      <c r="D155" t="n">
        <v>1</v>
      </c>
      <c r="E155" t="n">
        <v>65.95180000000001</v>
      </c>
      <c r="F155" t="n">
        <v>0.03203</v>
      </c>
    </row>
    <row r="156">
      <c r="A156" t="n">
        <v>1000154</v>
      </c>
      <c r="B156" t="n">
        <v>1</v>
      </c>
      <c r="C156" t="n">
        <v>154</v>
      </c>
      <c r="D156" t="n">
        <v>1</v>
      </c>
      <c r="E156" t="n">
        <v>66.0121</v>
      </c>
      <c r="F156" t="n">
        <v>0.03201</v>
      </c>
    </row>
    <row r="157">
      <c r="A157" t="n">
        <v>1000155</v>
      </c>
      <c r="B157" t="n">
        <v>1</v>
      </c>
      <c r="C157" t="n">
        <v>155</v>
      </c>
      <c r="D157" t="n">
        <v>1</v>
      </c>
      <c r="E157" t="n">
        <v>66.07210000000001</v>
      </c>
      <c r="F157" t="n">
        <v>0.032</v>
      </c>
    </row>
    <row r="158">
      <c r="A158" t="n">
        <v>1000156</v>
      </c>
      <c r="B158" t="n">
        <v>1</v>
      </c>
      <c r="C158" t="n">
        <v>156</v>
      </c>
      <c r="D158" t="n">
        <v>1</v>
      </c>
      <c r="E158" t="n">
        <v>66.1317</v>
      </c>
      <c r="F158" t="n">
        <v>0.03198</v>
      </c>
    </row>
    <row r="159">
      <c r="A159" t="n">
        <v>1000157</v>
      </c>
      <c r="B159" t="n">
        <v>1</v>
      </c>
      <c r="C159" t="n">
        <v>157</v>
      </c>
      <c r="D159" t="n">
        <v>1</v>
      </c>
      <c r="E159" t="n">
        <v>66.19110000000001</v>
      </c>
      <c r="F159" t="n">
        <v>0.03197</v>
      </c>
    </row>
    <row r="160">
      <c r="A160" t="n">
        <v>1000158</v>
      </c>
      <c r="B160" t="n">
        <v>1</v>
      </c>
      <c r="C160" t="n">
        <v>158</v>
      </c>
      <c r="D160" t="n">
        <v>1</v>
      </c>
      <c r="E160" t="n">
        <v>66.25020000000001</v>
      </c>
      <c r="F160" t="n">
        <v>0.03196</v>
      </c>
    </row>
    <row r="161">
      <c r="A161" t="n">
        <v>1000159</v>
      </c>
      <c r="B161" t="n">
        <v>1</v>
      </c>
      <c r="C161" t="n">
        <v>159</v>
      </c>
      <c r="D161" t="n">
        <v>1</v>
      </c>
      <c r="E161" t="n">
        <v>66.30889999999999</v>
      </c>
      <c r="F161" t="n">
        <v>0.03194</v>
      </c>
    </row>
    <row r="162">
      <c r="A162" t="n">
        <v>1000160</v>
      </c>
      <c r="B162" t="n">
        <v>1</v>
      </c>
      <c r="C162" t="n">
        <v>160</v>
      </c>
      <c r="D162" t="n">
        <v>1</v>
      </c>
      <c r="E162" t="n">
        <v>66.3674</v>
      </c>
      <c r="F162" t="n">
        <v>0.03193</v>
      </c>
    </row>
    <row r="163">
      <c r="A163" t="n">
        <v>1000161</v>
      </c>
      <c r="B163" t="n">
        <v>1</v>
      </c>
      <c r="C163" t="n">
        <v>161</v>
      </c>
      <c r="D163" t="n">
        <v>1</v>
      </c>
      <c r="E163" t="n">
        <v>66.4256</v>
      </c>
      <c r="F163" t="n">
        <v>0.03191</v>
      </c>
    </row>
    <row r="164">
      <c r="A164" t="n">
        <v>1000162</v>
      </c>
      <c r="B164" t="n">
        <v>1</v>
      </c>
      <c r="C164" t="n">
        <v>162</v>
      </c>
      <c r="D164" t="n">
        <v>1</v>
      </c>
      <c r="E164" t="n">
        <v>66.48350000000001</v>
      </c>
      <c r="F164" t="n">
        <v>0.0319</v>
      </c>
    </row>
    <row r="165">
      <c r="A165" t="n">
        <v>1000163</v>
      </c>
      <c r="B165" t="n">
        <v>1</v>
      </c>
      <c r="C165" t="n">
        <v>163</v>
      </c>
      <c r="D165" t="n">
        <v>1</v>
      </c>
      <c r="E165" t="n">
        <v>66.5412</v>
      </c>
      <c r="F165" t="n">
        <v>0.03189</v>
      </c>
    </row>
    <row r="166">
      <c r="A166" t="n">
        <v>1000164</v>
      </c>
      <c r="B166" t="n">
        <v>1</v>
      </c>
      <c r="C166" t="n">
        <v>164</v>
      </c>
      <c r="D166" t="n">
        <v>1</v>
      </c>
      <c r="E166" t="n">
        <v>66.5985</v>
      </c>
      <c r="F166" t="n">
        <v>0.03187</v>
      </c>
    </row>
    <row r="167">
      <c r="A167" t="n">
        <v>1000165</v>
      </c>
      <c r="B167" t="n">
        <v>1</v>
      </c>
      <c r="C167" t="n">
        <v>165</v>
      </c>
      <c r="D167" t="n">
        <v>1</v>
      </c>
      <c r="E167" t="n">
        <v>66.65560000000001</v>
      </c>
      <c r="F167" t="n">
        <v>0.03186</v>
      </c>
    </row>
    <row r="168">
      <c r="A168" t="n">
        <v>1000166</v>
      </c>
      <c r="B168" t="n">
        <v>1</v>
      </c>
      <c r="C168" t="n">
        <v>166</v>
      </c>
      <c r="D168" t="n">
        <v>1</v>
      </c>
      <c r="E168" t="n">
        <v>66.71250000000001</v>
      </c>
      <c r="F168" t="n">
        <v>0.03185</v>
      </c>
    </row>
    <row r="169">
      <c r="A169" t="n">
        <v>1000167</v>
      </c>
      <c r="B169" t="n">
        <v>1</v>
      </c>
      <c r="C169" t="n">
        <v>167</v>
      </c>
      <c r="D169" t="n">
        <v>1</v>
      </c>
      <c r="E169" t="n">
        <v>66.76909999999999</v>
      </c>
      <c r="F169" t="n">
        <v>0.03183</v>
      </c>
    </row>
    <row r="170">
      <c r="A170" t="n">
        <v>1000168</v>
      </c>
      <c r="B170" t="n">
        <v>1</v>
      </c>
      <c r="C170" t="n">
        <v>168</v>
      </c>
      <c r="D170" t="n">
        <v>1</v>
      </c>
      <c r="E170" t="n">
        <v>66.8254</v>
      </c>
      <c r="F170" t="n">
        <v>0.03182</v>
      </c>
    </row>
    <row r="171">
      <c r="A171" t="n">
        <v>1000169</v>
      </c>
      <c r="B171" t="n">
        <v>1</v>
      </c>
      <c r="C171" t="n">
        <v>169</v>
      </c>
      <c r="D171" t="n">
        <v>1</v>
      </c>
      <c r="E171" t="n">
        <v>66.8815</v>
      </c>
      <c r="F171" t="n">
        <v>0.03181</v>
      </c>
    </row>
    <row r="172">
      <c r="A172" t="n">
        <v>1000170</v>
      </c>
      <c r="B172" t="n">
        <v>1</v>
      </c>
      <c r="C172" t="n">
        <v>170</v>
      </c>
      <c r="D172" t="n">
        <v>1</v>
      </c>
      <c r="E172" t="n">
        <v>66.93729999999999</v>
      </c>
      <c r="F172" t="n">
        <v>0.0318</v>
      </c>
    </row>
    <row r="173">
      <c r="A173" t="n">
        <v>1000171</v>
      </c>
      <c r="B173" t="n">
        <v>1</v>
      </c>
      <c r="C173" t="n">
        <v>171</v>
      </c>
      <c r="D173" t="n">
        <v>1</v>
      </c>
      <c r="E173" t="n">
        <v>66.99299999999999</v>
      </c>
      <c r="F173" t="n">
        <v>0.03179</v>
      </c>
    </row>
    <row r="174">
      <c r="A174" t="n">
        <v>1000172</v>
      </c>
      <c r="B174" t="n">
        <v>1</v>
      </c>
      <c r="C174" t="n">
        <v>172</v>
      </c>
      <c r="D174" t="n">
        <v>1</v>
      </c>
      <c r="E174" t="n">
        <v>67.0483</v>
      </c>
      <c r="F174" t="n">
        <v>0.03177</v>
      </c>
    </row>
    <row r="175">
      <c r="A175" t="n">
        <v>1000173</v>
      </c>
      <c r="B175" t="n">
        <v>1</v>
      </c>
      <c r="C175" t="n">
        <v>173</v>
      </c>
      <c r="D175" t="n">
        <v>1</v>
      </c>
      <c r="E175" t="n">
        <v>67.1035</v>
      </c>
      <c r="F175" t="n">
        <v>0.03176</v>
      </c>
    </row>
    <row r="176">
      <c r="A176" t="n">
        <v>1000174</v>
      </c>
      <c r="B176" t="n">
        <v>1</v>
      </c>
      <c r="C176" t="n">
        <v>174</v>
      </c>
      <c r="D176" t="n">
        <v>1</v>
      </c>
      <c r="E176" t="n">
        <v>67.1584</v>
      </c>
      <c r="F176" t="n">
        <v>0.03175</v>
      </c>
    </row>
    <row r="177">
      <c r="A177" t="n">
        <v>1000175</v>
      </c>
      <c r="B177" t="n">
        <v>1</v>
      </c>
      <c r="C177" t="n">
        <v>175</v>
      </c>
      <c r="D177" t="n">
        <v>1</v>
      </c>
      <c r="E177" t="n">
        <v>67.2132</v>
      </c>
      <c r="F177" t="n">
        <v>0.03174</v>
      </c>
    </row>
    <row r="178">
      <c r="A178" t="n">
        <v>1000176</v>
      </c>
      <c r="B178" t="n">
        <v>1</v>
      </c>
      <c r="C178" t="n">
        <v>176</v>
      </c>
      <c r="D178" t="n">
        <v>1</v>
      </c>
      <c r="E178" t="n">
        <v>67.2677</v>
      </c>
      <c r="F178" t="n">
        <v>0.03173</v>
      </c>
    </row>
    <row r="179">
      <c r="A179" t="n">
        <v>1000177</v>
      </c>
      <c r="B179" t="n">
        <v>1</v>
      </c>
      <c r="C179" t="n">
        <v>177</v>
      </c>
      <c r="D179" t="n">
        <v>1</v>
      </c>
      <c r="E179" t="n">
        <v>67.3219</v>
      </c>
      <c r="F179" t="n">
        <v>0.03171</v>
      </c>
    </row>
    <row r="180">
      <c r="A180" t="n">
        <v>1000178</v>
      </c>
      <c r="B180" t="n">
        <v>1</v>
      </c>
      <c r="C180" t="n">
        <v>178</v>
      </c>
      <c r="D180" t="n">
        <v>1</v>
      </c>
      <c r="E180" t="n">
        <v>67.376</v>
      </c>
      <c r="F180" t="n">
        <v>0.0317</v>
      </c>
    </row>
    <row r="181">
      <c r="A181" t="n">
        <v>1000179</v>
      </c>
      <c r="B181" t="n">
        <v>1</v>
      </c>
      <c r="C181" t="n">
        <v>179</v>
      </c>
      <c r="D181" t="n">
        <v>1</v>
      </c>
      <c r="E181" t="n">
        <v>67.4299</v>
      </c>
      <c r="F181" t="n">
        <v>0.03169</v>
      </c>
    </row>
    <row r="182">
      <c r="A182" t="n">
        <v>1000180</v>
      </c>
      <c r="B182" t="n">
        <v>1</v>
      </c>
      <c r="C182" t="n">
        <v>180</v>
      </c>
      <c r="D182" t="n">
        <v>1</v>
      </c>
      <c r="E182" t="n">
        <v>67.4836</v>
      </c>
      <c r="F182" t="n">
        <v>0.03168</v>
      </c>
    </row>
    <row r="183">
      <c r="A183" t="n">
        <v>1000181</v>
      </c>
      <c r="B183" t="n">
        <v>1</v>
      </c>
      <c r="C183" t="n">
        <v>181</v>
      </c>
      <c r="D183" t="n">
        <v>1</v>
      </c>
      <c r="E183" t="n">
        <v>67.5371</v>
      </c>
      <c r="F183" t="n">
        <v>0.03167</v>
      </c>
    </row>
    <row r="184">
      <c r="A184" t="n">
        <v>1000182</v>
      </c>
      <c r="B184" t="n">
        <v>1</v>
      </c>
      <c r="C184" t="n">
        <v>182</v>
      </c>
      <c r="D184" t="n">
        <v>1</v>
      </c>
      <c r="E184" t="n">
        <v>67.5904</v>
      </c>
      <c r="F184" t="n">
        <v>0.03166</v>
      </c>
    </row>
    <row r="185">
      <c r="A185" t="n">
        <v>1000183</v>
      </c>
      <c r="B185" t="n">
        <v>1</v>
      </c>
      <c r="C185" t="n">
        <v>183</v>
      </c>
      <c r="D185" t="n">
        <v>1</v>
      </c>
      <c r="E185" t="n">
        <v>67.6435</v>
      </c>
      <c r="F185" t="n">
        <v>0.03165</v>
      </c>
    </row>
    <row r="186">
      <c r="A186" t="n">
        <v>1000184</v>
      </c>
      <c r="B186" t="n">
        <v>1</v>
      </c>
      <c r="C186" t="n">
        <v>184</v>
      </c>
      <c r="D186" t="n">
        <v>1</v>
      </c>
      <c r="E186" t="n">
        <v>67.6964</v>
      </c>
      <c r="F186" t="n">
        <v>0.03164</v>
      </c>
    </row>
    <row r="187">
      <c r="A187" t="n">
        <v>1000185</v>
      </c>
      <c r="B187" t="n">
        <v>1</v>
      </c>
      <c r="C187" t="n">
        <v>185</v>
      </c>
      <c r="D187" t="n">
        <v>1</v>
      </c>
      <c r="E187" t="n">
        <v>67.7491</v>
      </c>
      <c r="F187" t="n">
        <v>0.03163</v>
      </c>
    </row>
    <row r="188">
      <c r="A188" t="n">
        <v>1000186</v>
      </c>
      <c r="B188" t="n">
        <v>1</v>
      </c>
      <c r="C188" t="n">
        <v>186</v>
      </c>
      <c r="D188" t="n">
        <v>1</v>
      </c>
      <c r="E188" t="n">
        <v>67.8017</v>
      </c>
      <c r="F188" t="n">
        <v>0.03162</v>
      </c>
    </row>
    <row r="189">
      <c r="A189" t="n">
        <v>1000187</v>
      </c>
      <c r="B189" t="n">
        <v>1</v>
      </c>
      <c r="C189" t="n">
        <v>187</v>
      </c>
      <c r="D189" t="n">
        <v>1</v>
      </c>
      <c r="E189" t="n">
        <v>67.8541</v>
      </c>
      <c r="F189" t="n">
        <v>0.03161</v>
      </c>
    </row>
    <row r="190">
      <c r="A190" t="n">
        <v>1000188</v>
      </c>
      <c r="B190" t="n">
        <v>1</v>
      </c>
      <c r="C190" t="n">
        <v>188</v>
      </c>
      <c r="D190" t="n">
        <v>1</v>
      </c>
      <c r="E190" t="n">
        <v>67.9062</v>
      </c>
      <c r="F190" t="n">
        <v>0.0316</v>
      </c>
    </row>
    <row r="191">
      <c r="A191" t="n">
        <v>1000189</v>
      </c>
      <c r="B191" t="n">
        <v>1</v>
      </c>
      <c r="C191" t="n">
        <v>189</v>
      </c>
      <c r="D191" t="n">
        <v>1</v>
      </c>
      <c r="E191" t="n">
        <v>67.95829999999999</v>
      </c>
      <c r="F191" t="n">
        <v>0.03159</v>
      </c>
    </row>
    <row r="192">
      <c r="A192" t="n">
        <v>1000190</v>
      </c>
      <c r="B192" t="n">
        <v>1</v>
      </c>
      <c r="C192" t="n">
        <v>190</v>
      </c>
      <c r="D192" t="n">
        <v>1</v>
      </c>
      <c r="E192" t="n">
        <v>68.01009999999999</v>
      </c>
      <c r="F192" t="n">
        <v>0.03158</v>
      </c>
    </row>
    <row r="193">
      <c r="A193" t="n">
        <v>1000191</v>
      </c>
      <c r="B193" t="n">
        <v>1</v>
      </c>
      <c r="C193" t="n">
        <v>191</v>
      </c>
      <c r="D193" t="n">
        <v>1</v>
      </c>
      <c r="E193" t="n">
        <v>68.06180000000001</v>
      </c>
      <c r="F193" t="n">
        <v>0.03157</v>
      </c>
    </row>
    <row r="194">
      <c r="A194" t="n">
        <v>1000192</v>
      </c>
      <c r="B194" t="n">
        <v>1</v>
      </c>
      <c r="C194" t="n">
        <v>192</v>
      </c>
      <c r="D194" t="n">
        <v>1</v>
      </c>
      <c r="E194" t="n">
        <v>68.1133</v>
      </c>
      <c r="F194" t="n">
        <v>0.03156</v>
      </c>
    </row>
    <row r="195">
      <c r="A195" t="n">
        <v>1000193</v>
      </c>
      <c r="B195" t="n">
        <v>1</v>
      </c>
      <c r="C195" t="n">
        <v>193</v>
      </c>
      <c r="D195" t="n">
        <v>1</v>
      </c>
      <c r="E195" t="n">
        <v>68.1647</v>
      </c>
      <c r="F195" t="n">
        <v>0.03155</v>
      </c>
    </row>
    <row r="196">
      <c r="A196" t="n">
        <v>1000194</v>
      </c>
      <c r="B196" t="n">
        <v>1</v>
      </c>
      <c r="C196" t="n">
        <v>194</v>
      </c>
      <c r="D196" t="n">
        <v>1</v>
      </c>
      <c r="E196" t="n">
        <v>68.2158</v>
      </c>
      <c r="F196" t="n">
        <v>0.03154</v>
      </c>
    </row>
    <row r="197">
      <c r="A197" t="n">
        <v>1000195</v>
      </c>
      <c r="B197" t="n">
        <v>1</v>
      </c>
      <c r="C197" t="n">
        <v>195</v>
      </c>
      <c r="D197" t="n">
        <v>1</v>
      </c>
      <c r="E197" t="n">
        <v>68.26690000000001</v>
      </c>
      <c r="F197" t="n">
        <v>0.03153</v>
      </c>
    </row>
    <row r="198">
      <c r="A198" t="n">
        <v>1000196</v>
      </c>
      <c r="B198" t="n">
        <v>1</v>
      </c>
      <c r="C198" t="n">
        <v>196</v>
      </c>
      <c r="D198" t="n">
        <v>1</v>
      </c>
      <c r="E198" t="n">
        <v>68.3177</v>
      </c>
      <c r="F198" t="n">
        <v>0.03152</v>
      </c>
    </row>
    <row r="199">
      <c r="A199" t="n">
        <v>1000197</v>
      </c>
      <c r="B199" t="n">
        <v>1</v>
      </c>
      <c r="C199" t="n">
        <v>197</v>
      </c>
      <c r="D199" t="n">
        <v>1</v>
      </c>
      <c r="E199" t="n">
        <v>68.3685</v>
      </c>
      <c r="F199" t="n">
        <v>0.03152</v>
      </c>
    </row>
    <row r="200">
      <c r="A200" t="n">
        <v>1000198</v>
      </c>
      <c r="B200" t="n">
        <v>1</v>
      </c>
      <c r="C200" t="n">
        <v>198</v>
      </c>
      <c r="D200" t="n">
        <v>1</v>
      </c>
      <c r="E200" t="n">
        <v>68.419</v>
      </c>
      <c r="F200" t="n">
        <v>0.03151</v>
      </c>
    </row>
    <row r="201">
      <c r="A201" t="n">
        <v>1000199</v>
      </c>
      <c r="B201" t="n">
        <v>1</v>
      </c>
      <c r="C201" t="n">
        <v>199</v>
      </c>
      <c r="D201" t="n">
        <v>1</v>
      </c>
      <c r="E201" t="n">
        <v>68.4695</v>
      </c>
      <c r="F201" t="n">
        <v>0.0315</v>
      </c>
    </row>
    <row r="202">
      <c r="A202" t="n">
        <v>1000200</v>
      </c>
      <c r="B202" t="n">
        <v>1</v>
      </c>
      <c r="C202" t="n">
        <v>200</v>
      </c>
      <c r="D202" t="n">
        <v>1</v>
      </c>
      <c r="E202" t="n">
        <v>68.5198</v>
      </c>
      <c r="F202" t="n">
        <v>0.03149</v>
      </c>
    </row>
    <row r="203">
      <c r="A203" t="n">
        <v>1000201</v>
      </c>
      <c r="B203" t="n">
        <v>1</v>
      </c>
      <c r="C203" t="n">
        <v>201</v>
      </c>
      <c r="D203" t="n">
        <v>1</v>
      </c>
      <c r="E203" t="n">
        <v>68.5699</v>
      </c>
      <c r="F203" t="n">
        <v>0.03148</v>
      </c>
    </row>
    <row r="204">
      <c r="A204" t="n">
        <v>1000202</v>
      </c>
      <c r="B204" t="n">
        <v>1</v>
      </c>
      <c r="C204" t="n">
        <v>202</v>
      </c>
      <c r="D204" t="n">
        <v>1</v>
      </c>
      <c r="E204" t="n">
        <v>68.6199</v>
      </c>
      <c r="F204" t="n">
        <v>0.03147</v>
      </c>
    </row>
    <row r="205">
      <c r="A205" t="n">
        <v>1000203</v>
      </c>
      <c r="B205" t="n">
        <v>1</v>
      </c>
      <c r="C205" t="n">
        <v>203</v>
      </c>
      <c r="D205" t="n">
        <v>1</v>
      </c>
      <c r="E205" t="n">
        <v>68.6698</v>
      </c>
      <c r="F205" t="n">
        <v>0.03147</v>
      </c>
    </row>
    <row r="206">
      <c r="A206" t="n">
        <v>1000204</v>
      </c>
      <c r="B206" t="n">
        <v>1</v>
      </c>
      <c r="C206" t="n">
        <v>204</v>
      </c>
      <c r="D206" t="n">
        <v>1</v>
      </c>
      <c r="E206" t="n">
        <v>68.7195</v>
      </c>
      <c r="F206" t="n">
        <v>0.03146</v>
      </c>
    </row>
    <row r="207">
      <c r="A207" t="n">
        <v>1000205</v>
      </c>
      <c r="B207" t="n">
        <v>1</v>
      </c>
      <c r="C207" t="n">
        <v>205</v>
      </c>
      <c r="D207" t="n">
        <v>1</v>
      </c>
      <c r="E207" t="n">
        <v>68.76909999999999</v>
      </c>
      <c r="F207" t="n">
        <v>0.03145</v>
      </c>
    </row>
    <row r="208">
      <c r="A208" t="n">
        <v>1000206</v>
      </c>
      <c r="B208" t="n">
        <v>1</v>
      </c>
      <c r="C208" t="n">
        <v>206</v>
      </c>
      <c r="D208" t="n">
        <v>1</v>
      </c>
      <c r="E208" t="n">
        <v>68.8186</v>
      </c>
      <c r="F208" t="n">
        <v>0.03144</v>
      </c>
    </row>
    <row r="209">
      <c r="A209" t="n">
        <v>1000207</v>
      </c>
      <c r="B209" t="n">
        <v>1</v>
      </c>
      <c r="C209" t="n">
        <v>207</v>
      </c>
      <c r="D209" t="n">
        <v>1</v>
      </c>
      <c r="E209" t="n">
        <v>68.86790000000001</v>
      </c>
      <c r="F209" t="n">
        <v>0.03144</v>
      </c>
    </row>
    <row r="210">
      <c r="A210" t="n">
        <v>1000208</v>
      </c>
      <c r="B210" t="n">
        <v>1</v>
      </c>
      <c r="C210" t="n">
        <v>208</v>
      </c>
      <c r="D210" t="n">
        <v>1</v>
      </c>
      <c r="E210" t="n">
        <v>68.9171</v>
      </c>
      <c r="F210" t="n">
        <v>0.03143</v>
      </c>
    </row>
    <row r="211">
      <c r="A211" t="n">
        <v>1000209</v>
      </c>
      <c r="B211" t="n">
        <v>1</v>
      </c>
      <c r="C211" t="n">
        <v>209</v>
      </c>
      <c r="D211" t="n">
        <v>1</v>
      </c>
      <c r="E211" t="n">
        <v>68.9662</v>
      </c>
      <c r="F211" t="n">
        <v>0.03142</v>
      </c>
    </row>
    <row r="212">
      <c r="A212" t="n">
        <v>1000210</v>
      </c>
      <c r="B212" t="n">
        <v>1</v>
      </c>
      <c r="C212" t="n">
        <v>210</v>
      </c>
      <c r="D212" t="n">
        <v>1</v>
      </c>
      <c r="E212" t="n">
        <v>69.01519999999999</v>
      </c>
      <c r="F212" t="n">
        <v>0.03141</v>
      </c>
    </row>
    <row r="213">
      <c r="A213" t="n">
        <v>1000211</v>
      </c>
      <c r="B213" t="n">
        <v>1</v>
      </c>
      <c r="C213" t="n">
        <v>211</v>
      </c>
      <c r="D213" t="n">
        <v>1</v>
      </c>
      <c r="E213" t="n">
        <v>69.0641</v>
      </c>
      <c r="F213" t="n">
        <v>0.03141</v>
      </c>
    </row>
    <row r="214">
      <c r="A214" t="n">
        <v>1000212</v>
      </c>
      <c r="B214" t="n">
        <v>1</v>
      </c>
      <c r="C214" t="n">
        <v>212</v>
      </c>
      <c r="D214" t="n">
        <v>1</v>
      </c>
      <c r="E214" t="n">
        <v>69.11279999999999</v>
      </c>
      <c r="F214" t="n">
        <v>0.0314</v>
      </c>
    </row>
    <row r="215">
      <c r="A215" t="n">
        <v>1000213</v>
      </c>
      <c r="B215" t="n">
        <v>1</v>
      </c>
      <c r="C215" t="n">
        <v>213</v>
      </c>
      <c r="D215" t="n">
        <v>1</v>
      </c>
      <c r="E215" t="n">
        <v>69.1615</v>
      </c>
      <c r="F215" t="n">
        <v>0.03139</v>
      </c>
    </row>
    <row r="216">
      <c r="A216" t="n">
        <v>1000214</v>
      </c>
      <c r="B216" t="n">
        <v>1</v>
      </c>
      <c r="C216" t="n">
        <v>214</v>
      </c>
      <c r="D216" t="n">
        <v>1</v>
      </c>
      <c r="E216" t="n">
        <v>69.20999999999999</v>
      </c>
      <c r="F216" t="n">
        <v>0.03139</v>
      </c>
    </row>
    <row r="217">
      <c r="A217" t="n">
        <v>1000215</v>
      </c>
      <c r="B217" t="n">
        <v>1</v>
      </c>
      <c r="C217" t="n">
        <v>215</v>
      </c>
      <c r="D217" t="n">
        <v>1</v>
      </c>
      <c r="E217" t="n">
        <v>69.25839999999999</v>
      </c>
      <c r="F217" t="n">
        <v>0.03138</v>
      </c>
    </row>
    <row r="218">
      <c r="A218" t="n">
        <v>1000216</v>
      </c>
      <c r="B218" t="n">
        <v>1</v>
      </c>
      <c r="C218" t="n">
        <v>216</v>
      </c>
      <c r="D218" t="n">
        <v>1</v>
      </c>
      <c r="E218" t="n">
        <v>69.30670000000001</v>
      </c>
      <c r="F218" t="n">
        <v>0.03137</v>
      </c>
    </row>
    <row r="219">
      <c r="A219" t="n">
        <v>1000217</v>
      </c>
      <c r="B219" t="n">
        <v>1</v>
      </c>
      <c r="C219" t="n">
        <v>217</v>
      </c>
      <c r="D219" t="n">
        <v>1</v>
      </c>
      <c r="E219" t="n">
        <v>69.3549</v>
      </c>
      <c r="F219" t="n">
        <v>0.03137</v>
      </c>
    </row>
    <row r="220">
      <c r="A220" t="n">
        <v>1000218</v>
      </c>
      <c r="B220" t="n">
        <v>1</v>
      </c>
      <c r="C220" t="n">
        <v>218</v>
      </c>
      <c r="D220" t="n">
        <v>1</v>
      </c>
      <c r="E220" t="n">
        <v>69.40309999999999</v>
      </c>
      <c r="F220" t="n">
        <v>0.03136</v>
      </c>
    </row>
    <row r="221">
      <c r="A221" t="n">
        <v>1000219</v>
      </c>
      <c r="B221" t="n">
        <v>1</v>
      </c>
      <c r="C221" t="n">
        <v>219</v>
      </c>
      <c r="D221" t="n">
        <v>1</v>
      </c>
      <c r="E221" t="n">
        <v>69.4511</v>
      </c>
      <c r="F221" t="n">
        <v>0.03136</v>
      </c>
    </row>
    <row r="222">
      <c r="A222" t="n">
        <v>1000220</v>
      </c>
      <c r="B222" t="n">
        <v>1</v>
      </c>
      <c r="C222" t="n">
        <v>220</v>
      </c>
      <c r="D222" t="n">
        <v>1</v>
      </c>
      <c r="E222" t="n">
        <v>69.499</v>
      </c>
      <c r="F222" t="n">
        <v>0.03135</v>
      </c>
    </row>
    <row r="223">
      <c r="A223" t="n">
        <v>1000221</v>
      </c>
      <c r="B223" t="n">
        <v>1</v>
      </c>
      <c r="C223" t="n">
        <v>221</v>
      </c>
      <c r="D223" t="n">
        <v>1</v>
      </c>
      <c r="E223" t="n">
        <v>69.5468</v>
      </c>
      <c r="F223" t="n">
        <v>0.03134</v>
      </c>
    </row>
    <row r="224">
      <c r="A224" t="n">
        <v>1000222</v>
      </c>
      <c r="B224" t="n">
        <v>1</v>
      </c>
      <c r="C224" t="n">
        <v>222</v>
      </c>
      <c r="D224" t="n">
        <v>1</v>
      </c>
      <c r="E224" t="n">
        <v>69.5945</v>
      </c>
      <c r="F224" t="n">
        <v>0.03134</v>
      </c>
    </row>
    <row r="225">
      <c r="A225" t="n">
        <v>1000223</v>
      </c>
      <c r="B225" t="n">
        <v>1</v>
      </c>
      <c r="C225" t="n">
        <v>223</v>
      </c>
      <c r="D225" t="n">
        <v>1</v>
      </c>
      <c r="E225" t="n">
        <v>69.6421</v>
      </c>
      <c r="F225" t="n">
        <v>0.03133</v>
      </c>
    </row>
    <row r="226">
      <c r="A226" t="n">
        <v>1000224</v>
      </c>
      <c r="B226" t="n">
        <v>1</v>
      </c>
      <c r="C226" t="n">
        <v>224</v>
      </c>
      <c r="D226" t="n">
        <v>1</v>
      </c>
      <c r="E226" t="n">
        <v>69.6896</v>
      </c>
      <c r="F226" t="n">
        <v>0.03133</v>
      </c>
    </row>
    <row r="227">
      <c r="A227" t="n">
        <v>1000225</v>
      </c>
      <c r="B227" t="n">
        <v>1</v>
      </c>
      <c r="C227" t="n">
        <v>225</v>
      </c>
      <c r="D227" t="n">
        <v>1</v>
      </c>
      <c r="E227" t="n">
        <v>69.73699999999999</v>
      </c>
      <c r="F227" t="n">
        <v>0.03132</v>
      </c>
    </row>
    <row r="228">
      <c r="A228" t="n">
        <v>1000226</v>
      </c>
      <c r="B228" t="n">
        <v>1</v>
      </c>
      <c r="C228" t="n">
        <v>226</v>
      </c>
      <c r="D228" t="n">
        <v>1</v>
      </c>
      <c r="E228" t="n">
        <v>69.78440000000001</v>
      </c>
      <c r="F228" t="n">
        <v>0.03132</v>
      </c>
    </row>
    <row r="229">
      <c r="A229" t="n">
        <v>1000227</v>
      </c>
      <c r="B229" t="n">
        <v>1</v>
      </c>
      <c r="C229" t="n">
        <v>227</v>
      </c>
      <c r="D229" t="n">
        <v>1</v>
      </c>
      <c r="E229" t="n">
        <v>69.83159999999999</v>
      </c>
      <c r="F229" t="n">
        <v>0.03131</v>
      </c>
    </row>
    <row r="230">
      <c r="A230" t="n">
        <v>1000228</v>
      </c>
      <c r="B230" t="n">
        <v>1</v>
      </c>
      <c r="C230" t="n">
        <v>228</v>
      </c>
      <c r="D230" t="n">
        <v>1</v>
      </c>
      <c r="E230" t="n">
        <v>69.87869999999999</v>
      </c>
      <c r="F230" t="n">
        <v>0.03131</v>
      </c>
    </row>
    <row r="231">
      <c r="A231" t="n">
        <v>1000229</v>
      </c>
      <c r="B231" t="n">
        <v>1</v>
      </c>
      <c r="C231" t="n">
        <v>229</v>
      </c>
      <c r="D231" t="n">
        <v>1</v>
      </c>
      <c r="E231" t="n">
        <v>69.9258</v>
      </c>
      <c r="F231" t="n">
        <v>0.0313</v>
      </c>
    </row>
    <row r="232">
      <c r="A232" t="n">
        <v>1000230</v>
      </c>
      <c r="B232" t="n">
        <v>1</v>
      </c>
      <c r="C232" t="n">
        <v>230</v>
      </c>
      <c r="D232" t="n">
        <v>1</v>
      </c>
      <c r="E232" t="n">
        <v>69.97280000000001</v>
      </c>
      <c r="F232" t="n">
        <v>0.0313</v>
      </c>
    </row>
    <row r="233">
      <c r="A233" t="n">
        <v>1000231</v>
      </c>
      <c r="B233" t="n">
        <v>1</v>
      </c>
      <c r="C233" t="n">
        <v>231</v>
      </c>
      <c r="D233" t="n">
        <v>1</v>
      </c>
      <c r="E233" t="n">
        <v>70.0197</v>
      </c>
      <c r="F233" t="n">
        <v>0.03129</v>
      </c>
    </row>
    <row r="234">
      <c r="A234" t="n">
        <v>1000232</v>
      </c>
      <c r="B234" t="n">
        <v>1</v>
      </c>
      <c r="C234" t="n">
        <v>232</v>
      </c>
      <c r="D234" t="n">
        <v>1</v>
      </c>
      <c r="E234" t="n">
        <v>70.0665</v>
      </c>
      <c r="F234" t="n">
        <v>0.03129</v>
      </c>
    </row>
    <row r="235">
      <c r="A235" t="n">
        <v>1000233</v>
      </c>
      <c r="B235" t="n">
        <v>1</v>
      </c>
      <c r="C235" t="n">
        <v>233</v>
      </c>
      <c r="D235" t="n">
        <v>1</v>
      </c>
      <c r="E235" t="n">
        <v>70.11320000000001</v>
      </c>
      <c r="F235" t="n">
        <v>0.03128</v>
      </c>
    </row>
    <row r="236">
      <c r="A236" t="n">
        <v>1000234</v>
      </c>
      <c r="B236" t="n">
        <v>1</v>
      </c>
      <c r="C236" t="n">
        <v>234</v>
      </c>
      <c r="D236" t="n">
        <v>1</v>
      </c>
      <c r="E236" t="n">
        <v>70.15989999999999</v>
      </c>
      <c r="F236" t="n">
        <v>0.03128</v>
      </c>
    </row>
    <row r="237">
      <c r="A237" t="n">
        <v>1000235</v>
      </c>
      <c r="B237" t="n">
        <v>1</v>
      </c>
      <c r="C237" t="n">
        <v>235</v>
      </c>
      <c r="D237" t="n">
        <v>1</v>
      </c>
      <c r="E237" t="n">
        <v>70.2064</v>
      </c>
      <c r="F237" t="n">
        <v>0.03127</v>
      </c>
    </row>
    <row r="238">
      <c r="A238" t="n">
        <v>1000236</v>
      </c>
      <c r="B238" t="n">
        <v>1</v>
      </c>
      <c r="C238" t="n">
        <v>236</v>
      </c>
      <c r="D238" t="n">
        <v>1</v>
      </c>
      <c r="E238" t="n">
        <v>70.2529</v>
      </c>
      <c r="F238" t="n">
        <v>0.03127</v>
      </c>
    </row>
    <row r="239">
      <c r="A239" t="n">
        <v>1000237</v>
      </c>
      <c r="B239" t="n">
        <v>1</v>
      </c>
      <c r="C239" t="n">
        <v>237</v>
      </c>
      <c r="D239" t="n">
        <v>1</v>
      </c>
      <c r="E239" t="n">
        <v>70.29940000000001</v>
      </c>
      <c r="F239" t="n">
        <v>0.03126</v>
      </c>
    </row>
    <row r="240">
      <c r="A240" t="n">
        <v>1000238</v>
      </c>
      <c r="B240" t="n">
        <v>1</v>
      </c>
      <c r="C240" t="n">
        <v>238</v>
      </c>
      <c r="D240" t="n">
        <v>1</v>
      </c>
      <c r="E240" t="n">
        <v>70.34569999999999</v>
      </c>
      <c r="F240" t="n">
        <v>0.03126</v>
      </c>
    </row>
    <row r="241">
      <c r="A241" t="n">
        <v>1000239</v>
      </c>
      <c r="B241" t="n">
        <v>1</v>
      </c>
      <c r="C241" t="n">
        <v>239</v>
      </c>
      <c r="D241" t="n">
        <v>1</v>
      </c>
      <c r="E241" t="n">
        <v>70.392</v>
      </c>
      <c r="F241" t="n">
        <v>0.03126</v>
      </c>
    </row>
    <row r="242">
      <c r="A242" t="n">
        <v>1000240</v>
      </c>
      <c r="B242" t="n">
        <v>1</v>
      </c>
      <c r="C242" t="n">
        <v>240</v>
      </c>
      <c r="D242" t="n">
        <v>1</v>
      </c>
      <c r="E242" t="n">
        <v>70.43819999999999</v>
      </c>
      <c r="F242" t="n">
        <v>0.03125</v>
      </c>
    </row>
    <row r="243">
      <c r="A243" t="n">
        <v>1000241</v>
      </c>
      <c r="B243" t="n">
        <v>1</v>
      </c>
      <c r="C243" t="n">
        <v>241</v>
      </c>
      <c r="D243" t="n">
        <v>1</v>
      </c>
      <c r="E243" t="n">
        <v>70.4843</v>
      </c>
      <c r="F243" t="n">
        <v>0.03125</v>
      </c>
    </row>
    <row r="244">
      <c r="A244" t="n">
        <v>1000242</v>
      </c>
      <c r="B244" t="n">
        <v>1</v>
      </c>
      <c r="C244" t="n">
        <v>242</v>
      </c>
      <c r="D244" t="n">
        <v>1</v>
      </c>
      <c r="E244" t="n">
        <v>70.5304</v>
      </c>
      <c r="F244" t="n">
        <v>0.03125</v>
      </c>
    </row>
    <row r="245">
      <c r="A245" t="n">
        <v>1000243</v>
      </c>
      <c r="B245" t="n">
        <v>1</v>
      </c>
      <c r="C245" t="n">
        <v>243</v>
      </c>
      <c r="D245" t="n">
        <v>1</v>
      </c>
      <c r="E245" t="n">
        <v>70.57640000000001</v>
      </c>
      <c r="F245" t="n">
        <v>0.03124</v>
      </c>
    </row>
    <row r="246">
      <c r="A246" t="n">
        <v>1000244</v>
      </c>
      <c r="B246" t="n">
        <v>1</v>
      </c>
      <c r="C246" t="n">
        <v>244</v>
      </c>
      <c r="D246" t="n">
        <v>1</v>
      </c>
      <c r="E246" t="n">
        <v>70.6224</v>
      </c>
      <c r="F246" t="n">
        <v>0.03124</v>
      </c>
    </row>
    <row r="247">
      <c r="A247" t="n">
        <v>1000245</v>
      </c>
      <c r="B247" t="n">
        <v>1</v>
      </c>
      <c r="C247" t="n">
        <v>245</v>
      </c>
      <c r="D247" t="n">
        <v>1</v>
      </c>
      <c r="E247" t="n">
        <v>70.6683</v>
      </c>
      <c r="F247" t="n">
        <v>0.03123</v>
      </c>
    </row>
    <row r="248">
      <c r="A248" t="n">
        <v>1000246</v>
      </c>
      <c r="B248" t="n">
        <v>1</v>
      </c>
      <c r="C248" t="n">
        <v>246</v>
      </c>
      <c r="D248" t="n">
        <v>1</v>
      </c>
      <c r="E248" t="n">
        <v>70.7141</v>
      </c>
      <c r="F248" t="n">
        <v>0.03123</v>
      </c>
    </row>
    <row r="249">
      <c r="A249" t="n">
        <v>1000247</v>
      </c>
      <c r="B249" t="n">
        <v>1</v>
      </c>
      <c r="C249" t="n">
        <v>247</v>
      </c>
      <c r="D249" t="n">
        <v>1</v>
      </c>
      <c r="E249" t="n">
        <v>70.7598</v>
      </c>
      <c r="F249" t="n">
        <v>0.03123</v>
      </c>
    </row>
    <row r="250">
      <c r="A250" t="n">
        <v>1000248</v>
      </c>
      <c r="B250" t="n">
        <v>1</v>
      </c>
      <c r="C250" t="n">
        <v>248</v>
      </c>
      <c r="D250" t="n">
        <v>1</v>
      </c>
      <c r="E250" t="n">
        <v>70.80549999999999</v>
      </c>
      <c r="F250" t="n">
        <v>0.03122</v>
      </c>
    </row>
    <row r="251">
      <c r="A251" t="n">
        <v>1000249</v>
      </c>
      <c r="B251" t="n">
        <v>1</v>
      </c>
      <c r="C251" t="n">
        <v>249</v>
      </c>
      <c r="D251" t="n">
        <v>1</v>
      </c>
      <c r="E251" t="n">
        <v>70.8511</v>
      </c>
      <c r="F251" t="n">
        <v>0.03122</v>
      </c>
    </row>
    <row r="252">
      <c r="A252" t="n">
        <v>1000250</v>
      </c>
      <c r="B252" t="n">
        <v>1</v>
      </c>
      <c r="C252" t="n">
        <v>250</v>
      </c>
      <c r="D252" t="n">
        <v>1</v>
      </c>
      <c r="E252" t="n">
        <v>70.8967</v>
      </c>
      <c r="F252" t="n">
        <v>0.03122</v>
      </c>
    </row>
    <row r="253">
      <c r="A253" t="n">
        <v>1000251</v>
      </c>
      <c r="B253" t="n">
        <v>1</v>
      </c>
      <c r="C253" t="n">
        <v>251</v>
      </c>
      <c r="D253" t="n">
        <v>1</v>
      </c>
      <c r="E253" t="n">
        <v>70.9422</v>
      </c>
      <c r="F253" t="n">
        <v>0.03122</v>
      </c>
    </row>
    <row r="254">
      <c r="A254" t="n">
        <v>1000252</v>
      </c>
      <c r="B254" t="n">
        <v>1</v>
      </c>
      <c r="C254" t="n">
        <v>252</v>
      </c>
      <c r="D254" t="n">
        <v>1</v>
      </c>
      <c r="E254" t="n">
        <v>70.9876</v>
      </c>
      <c r="F254" t="n">
        <v>0.03121</v>
      </c>
    </row>
    <row r="255">
      <c r="A255" t="n">
        <v>1000253</v>
      </c>
      <c r="B255" t="n">
        <v>1</v>
      </c>
      <c r="C255" t="n">
        <v>253</v>
      </c>
      <c r="D255" t="n">
        <v>1</v>
      </c>
      <c r="E255" t="n">
        <v>71.033</v>
      </c>
      <c r="F255" t="n">
        <v>0.03121</v>
      </c>
    </row>
    <row r="256">
      <c r="A256" t="n">
        <v>1000254</v>
      </c>
      <c r="B256" t="n">
        <v>1</v>
      </c>
      <c r="C256" t="n">
        <v>254</v>
      </c>
      <c r="D256" t="n">
        <v>1</v>
      </c>
      <c r="E256" t="n">
        <v>71.0783</v>
      </c>
      <c r="F256" t="n">
        <v>0.03121</v>
      </c>
    </row>
    <row r="257">
      <c r="A257" t="n">
        <v>1000255</v>
      </c>
      <c r="B257" t="n">
        <v>1</v>
      </c>
      <c r="C257" t="n">
        <v>255</v>
      </c>
      <c r="D257" t="n">
        <v>1</v>
      </c>
      <c r="E257" t="n">
        <v>71.12350000000001</v>
      </c>
      <c r="F257" t="n">
        <v>0.03121</v>
      </c>
    </row>
    <row r="258">
      <c r="A258" t="n">
        <v>1000256</v>
      </c>
      <c r="B258" t="n">
        <v>1</v>
      </c>
      <c r="C258" t="n">
        <v>256</v>
      </c>
      <c r="D258" t="n">
        <v>1</v>
      </c>
      <c r="E258" t="n">
        <v>71.1687</v>
      </c>
      <c r="F258" t="n">
        <v>0.0312</v>
      </c>
    </row>
    <row r="259">
      <c r="A259" t="n">
        <v>1000257</v>
      </c>
      <c r="B259" t="n">
        <v>1</v>
      </c>
      <c r="C259" t="n">
        <v>257</v>
      </c>
      <c r="D259" t="n">
        <v>1</v>
      </c>
      <c r="E259" t="n">
        <v>71.21380000000001</v>
      </c>
      <c r="F259" t="n">
        <v>0.0312</v>
      </c>
    </row>
    <row r="260">
      <c r="A260" t="n">
        <v>1000258</v>
      </c>
      <c r="B260" t="n">
        <v>1</v>
      </c>
      <c r="C260" t="n">
        <v>258</v>
      </c>
      <c r="D260" t="n">
        <v>1</v>
      </c>
      <c r="E260" t="n">
        <v>71.2589</v>
      </c>
      <c r="F260" t="n">
        <v>0.0312</v>
      </c>
    </row>
    <row r="261">
      <c r="A261" t="n">
        <v>1000259</v>
      </c>
      <c r="B261" t="n">
        <v>1</v>
      </c>
      <c r="C261" t="n">
        <v>259</v>
      </c>
      <c r="D261" t="n">
        <v>1</v>
      </c>
      <c r="E261" t="n">
        <v>71.3039</v>
      </c>
      <c r="F261" t="n">
        <v>0.0312</v>
      </c>
    </row>
    <row r="262">
      <c r="A262" t="n">
        <v>1000260</v>
      </c>
      <c r="B262" t="n">
        <v>1</v>
      </c>
      <c r="C262" t="n">
        <v>260</v>
      </c>
      <c r="D262" t="n">
        <v>1</v>
      </c>
      <c r="E262" t="n">
        <v>71.3488</v>
      </c>
      <c r="F262" t="n">
        <v>0.03119</v>
      </c>
    </row>
    <row r="263">
      <c r="A263" t="n">
        <v>1000261</v>
      </c>
      <c r="B263" t="n">
        <v>1</v>
      </c>
      <c r="C263" t="n">
        <v>261</v>
      </c>
      <c r="D263" t="n">
        <v>1</v>
      </c>
      <c r="E263" t="n">
        <v>71.3937</v>
      </c>
      <c r="F263" t="n">
        <v>0.03119</v>
      </c>
    </row>
    <row r="264">
      <c r="A264" t="n">
        <v>1000262</v>
      </c>
      <c r="B264" t="n">
        <v>1</v>
      </c>
      <c r="C264" t="n">
        <v>262</v>
      </c>
      <c r="D264" t="n">
        <v>1</v>
      </c>
      <c r="E264" t="n">
        <v>71.4385</v>
      </c>
      <c r="F264" t="n">
        <v>0.03119</v>
      </c>
    </row>
    <row r="265">
      <c r="A265" t="n">
        <v>1000263</v>
      </c>
      <c r="B265" t="n">
        <v>1</v>
      </c>
      <c r="C265" t="n">
        <v>263</v>
      </c>
      <c r="D265" t="n">
        <v>1</v>
      </c>
      <c r="E265" t="n">
        <v>71.4832</v>
      </c>
      <c r="F265" t="n">
        <v>0.03119</v>
      </c>
    </row>
    <row r="266">
      <c r="A266" t="n">
        <v>1000264</v>
      </c>
      <c r="B266" t="n">
        <v>1</v>
      </c>
      <c r="C266" t="n">
        <v>264</v>
      </c>
      <c r="D266" t="n">
        <v>1</v>
      </c>
      <c r="E266" t="n">
        <v>71.5279</v>
      </c>
      <c r="F266" t="n">
        <v>0.03119</v>
      </c>
    </row>
    <row r="267">
      <c r="A267" t="n">
        <v>1000265</v>
      </c>
      <c r="B267" t="n">
        <v>1</v>
      </c>
      <c r="C267" t="n">
        <v>265</v>
      </c>
      <c r="D267" t="n">
        <v>1</v>
      </c>
      <c r="E267" t="n">
        <v>71.57250000000001</v>
      </c>
      <c r="F267" t="n">
        <v>0.03118</v>
      </c>
    </row>
    <row r="268">
      <c r="A268" t="n">
        <v>1000266</v>
      </c>
      <c r="B268" t="n">
        <v>1</v>
      </c>
      <c r="C268" t="n">
        <v>266</v>
      </c>
      <c r="D268" t="n">
        <v>1</v>
      </c>
      <c r="E268" t="n">
        <v>71.61709999999999</v>
      </c>
      <c r="F268" t="n">
        <v>0.03118</v>
      </c>
    </row>
    <row r="269">
      <c r="A269" t="n">
        <v>1000267</v>
      </c>
      <c r="B269" t="n">
        <v>1</v>
      </c>
      <c r="C269" t="n">
        <v>267</v>
      </c>
      <c r="D269" t="n">
        <v>1</v>
      </c>
      <c r="E269" t="n">
        <v>71.66160000000001</v>
      </c>
      <c r="F269" t="n">
        <v>0.03118</v>
      </c>
    </row>
    <row r="270">
      <c r="A270" t="n">
        <v>1000268</v>
      </c>
      <c r="B270" t="n">
        <v>1</v>
      </c>
      <c r="C270" t="n">
        <v>268</v>
      </c>
      <c r="D270" t="n">
        <v>1</v>
      </c>
      <c r="E270" t="n">
        <v>71.706</v>
      </c>
      <c r="F270" t="n">
        <v>0.03118</v>
      </c>
    </row>
    <row r="271">
      <c r="A271" t="n">
        <v>1000269</v>
      </c>
      <c r="B271" t="n">
        <v>1</v>
      </c>
      <c r="C271" t="n">
        <v>269</v>
      </c>
      <c r="D271" t="n">
        <v>1</v>
      </c>
      <c r="E271" t="n">
        <v>71.7504</v>
      </c>
      <c r="F271" t="n">
        <v>0.03118</v>
      </c>
    </row>
    <row r="272">
      <c r="A272" t="n">
        <v>1000270</v>
      </c>
      <c r="B272" t="n">
        <v>1</v>
      </c>
      <c r="C272" t="n">
        <v>270</v>
      </c>
      <c r="D272" t="n">
        <v>1</v>
      </c>
      <c r="E272" t="n">
        <v>71.79470000000001</v>
      </c>
      <c r="F272" t="n">
        <v>0.03118</v>
      </c>
    </row>
    <row r="273">
      <c r="A273" t="n">
        <v>1000271</v>
      </c>
      <c r="B273" t="n">
        <v>1</v>
      </c>
      <c r="C273" t="n">
        <v>271</v>
      </c>
      <c r="D273" t="n">
        <v>1</v>
      </c>
      <c r="E273" t="n">
        <v>71.839</v>
      </c>
      <c r="F273" t="n">
        <v>0.03118</v>
      </c>
    </row>
    <row r="274">
      <c r="A274" t="n">
        <v>1000272</v>
      </c>
      <c r="B274" t="n">
        <v>1</v>
      </c>
      <c r="C274" t="n">
        <v>272</v>
      </c>
      <c r="D274" t="n">
        <v>1</v>
      </c>
      <c r="E274" t="n">
        <v>71.8832</v>
      </c>
      <c r="F274" t="n">
        <v>0.03118</v>
      </c>
    </row>
    <row r="275">
      <c r="A275" t="n">
        <v>1000273</v>
      </c>
      <c r="B275" t="n">
        <v>1</v>
      </c>
      <c r="C275" t="n">
        <v>273</v>
      </c>
      <c r="D275" t="n">
        <v>1</v>
      </c>
      <c r="E275" t="n">
        <v>71.9273</v>
      </c>
      <c r="F275" t="n">
        <v>0.03117</v>
      </c>
    </row>
    <row r="276">
      <c r="A276" t="n">
        <v>1000274</v>
      </c>
      <c r="B276" t="n">
        <v>1</v>
      </c>
      <c r="C276" t="n">
        <v>274</v>
      </c>
      <c r="D276" t="n">
        <v>1</v>
      </c>
      <c r="E276" t="n">
        <v>71.9714</v>
      </c>
      <c r="F276" t="n">
        <v>0.03117</v>
      </c>
    </row>
    <row r="277">
      <c r="A277" t="n">
        <v>1000275</v>
      </c>
      <c r="B277" t="n">
        <v>1</v>
      </c>
      <c r="C277" t="n">
        <v>275</v>
      </c>
      <c r="D277" t="n">
        <v>1</v>
      </c>
      <c r="E277" t="n">
        <v>72.0154</v>
      </c>
      <c r="F277" t="n">
        <v>0.03117</v>
      </c>
    </row>
    <row r="278">
      <c r="A278" t="n">
        <v>1000276</v>
      </c>
      <c r="B278" t="n">
        <v>1</v>
      </c>
      <c r="C278" t="n">
        <v>276</v>
      </c>
      <c r="D278" t="n">
        <v>1</v>
      </c>
      <c r="E278" t="n">
        <v>72.0594</v>
      </c>
      <c r="F278" t="n">
        <v>0.03117</v>
      </c>
    </row>
    <row r="279">
      <c r="A279" t="n">
        <v>1000277</v>
      </c>
      <c r="B279" t="n">
        <v>1</v>
      </c>
      <c r="C279" t="n">
        <v>277</v>
      </c>
      <c r="D279" t="n">
        <v>1</v>
      </c>
      <c r="E279" t="n">
        <v>72.1033</v>
      </c>
      <c r="F279" t="n">
        <v>0.03117</v>
      </c>
    </row>
    <row r="280">
      <c r="A280" t="n">
        <v>1000278</v>
      </c>
      <c r="B280" t="n">
        <v>1</v>
      </c>
      <c r="C280" t="n">
        <v>278</v>
      </c>
      <c r="D280" t="n">
        <v>1</v>
      </c>
      <c r="E280" t="n">
        <v>72.1472</v>
      </c>
      <c r="F280" t="n">
        <v>0.03117</v>
      </c>
    </row>
    <row r="281">
      <c r="A281" t="n">
        <v>1000279</v>
      </c>
      <c r="B281" t="n">
        <v>1</v>
      </c>
      <c r="C281" t="n">
        <v>279</v>
      </c>
      <c r="D281" t="n">
        <v>1</v>
      </c>
      <c r="E281" t="n">
        <v>72.1909</v>
      </c>
      <c r="F281" t="n">
        <v>0.03117</v>
      </c>
    </row>
    <row r="282">
      <c r="A282" t="n">
        <v>1000280</v>
      </c>
      <c r="B282" t="n">
        <v>1</v>
      </c>
      <c r="C282" t="n">
        <v>280</v>
      </c>
      <c r="D282" t="n">
        <v>1</v>
      </c>
      <c r="E282" t="n">
        <v>72.2347</v>
      </c>
      <c r="F282" t="n">
        <v>0.03117</v>
      </c>
    </row>
    <row r="283">
      <c r="A283" t="n">
        <v>1000281</v>
      </c>
      <c r="B283" t="n">
        <v>1</v>
      </c>
      <c r="C283" t="n">
        <v>281</v>
      </c>
      <c r="D283" t="n">
        <v>1</v>
      </c>
      <c r="E283" t="n">
        <v>72.2783</v>
      </c>
      <c r="F283" t="n">
        <v>0.03117</v>
      </c>
    </row>
    <row r="284">
      <c r="A284" t="n">
        <v>1000282</v>
      </c>
      <c r="B284" t="n">
        <v>1</v>
      </c>
      <c r="C284" t="n">
        <v>282</v>
      </c>
      <c r="D284" t="n">
        <v>1</v>
      </c>
      <c r="E284" t="n">
        <v>72.3219</v>
      </c>
      <c r="F284" t="n">
        <v>0.03117</v>
      </c>
    </row>
    <row r="285">
      <c r="A285" t="n">
        <v>1000283</v>
      </c>
      <c r="B285" t="n">
        <v>1</v>
      </c>
      <c r="C285" t="n">
        <v>283</v>
      </c>
      <c r="D285" t="n">
        <v>1</v>
      </c>
      <c r="E285" t="n">
        <v>72.3655</v>
      </c>
      <c r="F285" t="n">
        <v>0.03117</v>
      </c>
    </row>
    <row r="286">
      <c r="A286" t="n">
        <v>1000284</v>
      </c>
      <c r="B286" t="n">
        <v>1</v>
      </c>
      <c r="C286" t="n">
        <v>284</v>
      </c>
      <c r="D286" t="n">
        <v>1</v>
      </c>
      <c r="E286" t="n">
        <v>72.4089</v>
      </c>
      <c r="F286" t="n">
        <v>0.03117</v>
      </c>
    </row>
    <row r="287">
      <c r="A287" t="n">
        <v>1000285</v>
      </c>
      <c r="B287" t="n">
        <v>1</v>
      </c>
      <c r="C287" t="n">
        <v>285</v>
      </c>
      <c r="D287" t="n">
        <v>1</v>
      </c>
      <c r="E287" t="n">
        <v>72.45229999999999</v>
      </c>
      <c r="F287" t="n">
        <v>0.03117</v>
      </c>
    </row>
    <row r="288">
      <c r="A288" t="n">
        <v>1000286</v>
      </c>
      <c r="B288" t="n">
        <v>1</v>
      </c>
      <c r="C288" t="n">
        <v>286</v>
      </c>
      <c r="D288" t="n">
        <v>1</v>
      </c>
      <c r="E288" t="n">
        <v>72.4957</v>
      </c>
      <c r="F288" t="n">
        <v>0.03117</v>
      </c>
    </row>
    <row r="289">
      <c r="A289" t="n">
        <v>1000287</v>
      </c>
      <c r="B289" t="n">
        <v>1</v>
      </c>
      <c r="C289" t="n">
        <v>287</v>
      </c>
      <c r="D289" t="n">
        <v>1</v>
      </c>
      <c r="E289" t="n">
        <v>72.539</v>
      </c>
      <c r="F289" t="n">
        <v>0.03117</v>
      </c>
    </row>
    <row r="290">
      <c r="A290" t="n">
        <v>1000288</v>
      </c>
      <c r="B290" t="n">
        <v>1</v>
      </c>
      <c r="C290" t="n">
        <v>288</v>
      </c>
      <c r="D290" t="n">
        <v>1</v>
      </c>
      <c r="E290" t="n">
        <v>72.5822</v>
      </c>
      <c r="F290" t="n">
        <v>0.03117</v>
      </c>
    </row>
    <row r="291">
      <c r="A291" t="n">
        <v>1000289</v>
      </c>
      <c r="B291" t="n">
        <v>1</v>
      </c>
      <c r="C291" t="n">
        <v>289</v>
      </c>
      <c r="D291" t="n">
        <v>1</v>
      </c>
      <c r="E291" t="n">
        <v>72.6253</v>
      </c>
      <c r="F291" t="n">
        <v>0.03117</v>
      </c>
    </row>
    <row r="292">
      <c r="A292" t="n">
        <v>1000290</v>
      </c>
      <c r="B292" t="n">
        <v>1</v>
      </c>
      <c r="C292" t="n">
        <v>290</v>
      </c>
      <c r="D292" t="n">
        <v>1</v>
      </c>
      <c r="E292" t="n">
        <v>72.66840000000001</v>
      </c>
      <c r="F292" t="n">
        <v>0.03117</v>
      </c>
    </row>
    <row r="293">
      <c r="A293" t="n">
        <v>1000291</v>
      </c>
      <c r="B293" t="n">
        <v>1</v>
      </c>
      <c r="C293" t="n">
        <v>291</v>
      </c>
      <c r="D293" t="n">
        <v>1</v>
      </c>
      <c r="E293" t="n">
        <v>72.7115</v>
      </c>
      <c r="F293" t="n">
        <v>0.03117</v>
      </c>
    </row>
    <row r="294">
      <c r="A294" t="n">
        <v>1000292</v>
      </c>
      <c r="B294" t="n">
        <v>1</v>
      </c>
      <c r="C294" t="n">
        <v>292</v>
      </c>
      <c r="D294" t="n">
        <v>1</v>
      </c>
      <c r="E294" t="n">
        <v>72.7544</v>
      </c>
      <c r="F294" t="n">
        <v>0.03117</v>
      </c>
    </row>
    <row r="295">
      <c r="A295" t="n">
        <v>1000293</v>
      </c>
      <c r="B295" t="n">
        <v>1</v>
      </c>
      <c r="C295" t="n">
        <v>293</v>
      </c>
      <c r="D295" t="n">
        <v>1</v>
      </c>
      <c r="E295" t="n">
        <v>72.7974</v>
      </c>
      <c r="F295" t="n">
        <v>0.03117</v>
      </c>
    </row>
    <row r="296">
      <c r="A296" t="n">
        <v>1000294</v>
      </c>
      <c r="B296" t="n">
        <v>1</v>
      </c>
      <c r="C296" t="n">
        <v>294</v>
      </c>
      <c r="D296" t="n">
        <v>1</v>
      </c>
      <c r="E296" t="n">
        <v>72.8402</v>
      </c>
      <c r="F296" t="n">
        <v>0.03117</v>
      </c>
    </row>
    <row r="297">
      <c r="A297" t="n">
        <v>1000295</v>
      </c>
      <c r="B297" t="n">
        <v>1</v>
      </c>
      <c r="C297" t="n">
        <v>295</v>
      </c>
      <c r="D297" t="n">
        <v>1</v>
      </c>
      <c r="E297" t="n">
        <v>72.883</v>
      </c>
      <c r="F297" t="n">
        <v>0.03117</v>
      </c>
    </row>
    <row r="298">
      <c r="A298" t="n">
        <v>1000296</v>
      </c>
      <c r="B298" t="n">
        <v>1</v>
      </c>
      <c r="C298" t="n">
        <v>296</v>
      </c>
      <c r="D298" t="n">
        <v>1</v>
      </c>
      <c r="E298" t="n">
        <v>72.92570000000001</v>
      </c>
      <c r="F298" t="n">
        <v>0.03117</v>
      </c>
    </row>
    <row r="299">
      <c r="A299" t="n">
        <v>1000297</v>
      </c>
      <c r="B299" t="n">
        <v>1</v>
      </c>
      <c r="C299" t="n">
        <v>297</v>
      </c>
      <c r="D299" t="n">
        <v>1</v>
      </c>
      <c r="E299" t="n">
        <v>72.9684</v>
      </c>
      <c r="F299" t="n">
        <v>0.03117</v>
      </c>
    </row>
    <row r="300">
      <c r="A300" t="n">
        <v>1000298</v>
      </c>
      <c r="B300" t="n">
        <v>1</v>
      </c>
      <c r="C300" t="n">
        <v>298</v>
      </c>
      <c r="D300" t="n">
        <v>1</v>
      </c>
      <c r="E300" t="n">
        <v>73.011</v>
      </c>
      <c r="F300" t="n">
        <v>0.03117</v>
      </c>
    </row>
    <row r="301">
      <c r="A301" t="n">
        <v>1000299</v>
      </c>
      <c r="B301" t="n">
        <v>1</v>
      </c>
      <c r="C301" t="n">
        <v>299</v>
      </c>
      <c r="D301" t="n">
        <v>1</v>
      </c>
      <c r="E301" t="n">
        <v>73.0535</v>
      </c>
      <c r="F301" t="n">
        <v>0.03118</v>
      </c>
    </row>
    <row r="302">
      <c r="A302" t="n">
        <v>1000300</v>
      </c>
      <c r="B302" t="n">
        <v>1</v>
      </c>
      <c r="C302" t="n">
        <v>300</v>
      </c>
      <c r="D302" t="n">
        <v>1</v>
      </c>
      <c r="E302" t="n">
        <v>73.096</v>
      </c>
      <c r="F302" t="n">
        <v>0.03118</v>
      </c>
    </row>
    <row r="303">
      <c r="A303" t="n">
        <v>1000301</v>
      </c>
      <c r="B303" t="n">
        <v>1</v>
      </c>
      <c r="C303" t="n">
        <v>301</v>
      </c>
      <c r="D303" t="n">
        <v>1</v>
      </c>
      <c r="E303" t="n">
        <v>73.1384</v>
      </c>
      <c r="F303" t="n">
        <v>0.03118</v>
      </c>
    </row>
    <row r="304">
      <c r="A304" t="n">
        <v>1000302</v>
      </c>
      <c r="B304" t="n">
        <v>1</v>
      </c>
      <c r="C304" t="n">
        <v>302</v>
      </c>
      <c r="D304" t="n">
        <v>1</v>
      </c>
      <c r="E304" t="n">
        <v>73.1808</v>
      </c>
      <c r="F304" t="n">
        <v>0.03118</v>
      </c>
    </row>
    <row r="305">
      <c r="A305" t="n">
        <v>1000303</v>
      </c>
      <c r="B305" t="n">
        <v>1</v>
      </c>
      <c r="C305" t="n">
        <v>303</v>
      </c>
      <c r="D305" t="n">
        <v>1</v>
      </c>
      <c r="E305" t="n">
        <v>73.2231</v>
      </c>
      <c r="F305" t="n">
        <v>0.03118</v>
      </c>
    </row>
    <row r="306">
      <c r="A306" t="n">
        <v>1000304</v>
      </c>
      <c r="B306" t="n">
        <v>1</v>
      </c>
      <c r="C306" t="n">
        <v>304</v>
      </c>
      <c r="D306" t="n">
        <v>1</v>
      </c>
      <c r="E306" t="n">
        <v>73.2653</v>
      </c>
      <c r="F306" t="n">
        <v>0.03118</v>
      </c>
    </row>
    <row r="307">
      <c r="A307" t="n">
        <v>1000305</v>
      </c>
      <c r="B307" t="n">
        <v>1</v>
      </c>
      <c r="C307" t="n">
        <v>305</v>
      </c>
      <c r="D307" t="n">
        <v>1</v>
      </c>
      <c r="E307" t="n">
        <v>73.3075</v>
      </c>
      <c r="F307" t="n">
        <v>0.03118</v>
      </c>
    </row>
    <row r="308">
      <c r="A308" t="n">
        <v>1000306</v>
      </c>
      <c r="B308" t="n">
        <v>1</v>
      </c>
      <c r="C308" t="n">
        <v>306</v>
      </c>
      <c r="D308" t="n">
        <v>1</v>
      </c>
      <c r="E308" t="n">
        <v>73.3497</v>
      </c>
      <c r="F308" t="n">
        <v>0.03118</v>
      </c>
    </row>
    <row r="309">
      <c r="A309" t="n">
        <v>1000307</v>
      </c>
      <c r="B309" t="n">
        <v>1</v>
      </c>
      <c r="C309" t="n">
        <v>307</v>
      </c>
      <c r="D309" t="n">
        <v>1</v>
      </c>
      <c r="E309" t="n">
        <v>73.3917</v>
      </c>
      <c r="F309" t="n">
        <v>0.03119</v>
      </c>
    </row>
    <row r="310">
      <c r="A310" t="n">
        <v>1000308</v>
      </c>
      <c r="B310" t="n">
        <v>1</v>
      </c>
      <c r="C310" t="n">
        <v>308</v>
      </c>
      <c r="D310" t="n">
        <v>1</v>
      </c>
      <c r="E310" t="n">
        <v>73.4337</v>
      </c>
      <c r="F310" t="n">
        <v>0.03119</v>
      </c>
    </row>
    <row r="311">
      <c r="A311" t="n">
        <v>1000309</v>
      </c>
      <c r="B311" t="n">
        <v>1</v>
      </c>
      <c r="C311" t="n">
        <v>309</v>
      </c>
      <c r="D311" t="n">
        <v>1</v>
      </c>
      <c r="E311" t="n">
        <v>73.4757</v>
      </c>
      <c r="F311" t="n">
        <v>0.03119</v>
      </c>
    </row>
    <row r="312">
      <c r="A312" t="n">
        <v>1000310</v>
      </c>
      <c r="B312" t="n">
        <v>1</v>
      </c>
      <c r="C312" t="n">
        <v>310</v>
      </c>
      <c r="D312" t="n">
        <v>1</v>
      </c>
      <c r="E312" t="n">
        <v>73.5176</v>
      </c>
      <c r="F312" t="n">
        <v>0.03119</v>
      </c>
    </row>
    <row r="313">
      <c r="A313" t="n">
        <v>1000311</v>
      </c>
      <c r="B313" t="n">
        <v>1</v>
      </c>
      <c r="C313" t="n">
        <v>311</v>
      </c>
      <c r="D313" t="n">
        <v>1</v>
      </c>
      <c r="E313" t="n">
        <v>73.5594</v>
      </c>
      <c r="F313" t="n">
        <v>0.03119</v>
      </c>
    </row>
    <row r="314">
      <c r="A314" t="n">
        <v>1000312</v>
      </c>
      <c r="B314" t="n">
        <v>1</v>
      </c>
      <c r="C314" t="n">
        <v>312</v>
      </c>
      <c r="D314" t="n">
        <v>1</v>
      </c>
      <c r="E314" t="n">
        <v>73.60120000000001</v>
      </c>
      <c r="F314" t="n">
        <v>0.03119</v>
      </c>
    </row>
    <row r="315">
      <c r="A315" t="n">
        <v>1000313</v>
      </c>
      <c r="B315" t="n">
        <v>1</v>
      </c>
      <c r="C315" t="n">
        <v>313</v>
      </c>
      <c r="D315" t="n">
        <v>1</v>
      </c>
      <c r="E315" t="n">
        <v>73.6429</v>
      </c>
      <c r="F315" t="n">
        <v>0.0312</v>
      </c>
    </row>
    <row r="316">
      <c r="A316" t="n">
        <v>1000314</v>
      </c>
      <c r="B316" t="n">
        <v>1</v>
      </c>
      <c r="C316" t="n">
        <v>314</v>
      </c>
      <c r="D316" t="n">
        <v>1</v>
      </c>
      <c r="E316" t="n">
        <v>73.6845</v>
      </c>
      <c r="F316" t="n">
        <v>0.0312</v>
      </c>
    </row>
    <row r="317">
      <c r="A317" t="n">
        <v>1000315</v>
      </c>
      <c r="B317" t="n">
        <v>1</v>
      </c>
      <c r="C317" t="n">
        <v>315</v>
      </c>
      <c r="D317" t="n">
        <v>1</v>
      </c>
      <c r="E317" t="n">
        <v>73.7261</v>
      </c>
      <c r="F317" t="n">
        <v>0.0312</v>
      </c>
    </row>
    <row r="318">
      <c r="A318" t="n">
        <v>1000316</v>
      </c>
      <c r="B318" t="n">
        <v>1</v>
      </c>
      <c r="C318" t="n">
        <v>316</v>
      </c>
      <c r="D318" t="n">
        <v>1</v>
      </c>
      <c r="E318" t="n">
        <v>73.7677</v>
      </c>
      <c r="F318" t="n">
        <v>0.0312</v>
      </c>
    </row>
    <row r="319">
      <c r="A319" t="n">
        <v>1000317</v>
      </c>
      <c r="B319" t="n">
        <v>1</v>
      </c>
      <c r="C319" t="n">
        <v>317</v>
      </c>
      <c r="D319" t="n">
        <v>1</v>
      </c>
      <c r="E319" t="n">
        <v>73.8091</v>
      </c>
      <c r="F319" t="n">
        <v>0.0312</v>
      </c>
    </row>
    <row r="320">
      <c r="A320" t="n">
        <v>1000318</v>
      </c>
      <c r="B320" t="n">
        <v>1</v>
      </c>
      <c r="C320" t="n">
        <v>318</v>
      </c>
      <c r="D320" t="n">
        <v>1</v>
      </c>
      <c r="E320" t="n">
        <v>73.8506</v>
      </c>
      <c r="F320" t="n">
        <v>0.03121</v>
      </c>
    </row>
    <row r="321">
      <c r="A321" t="n">
        <v>1000319</v>
      </c>
      <c r="B321" t="n">
        <v>1</v>
      </c>
      <c r="C321" t="n">
        <v>319</v>
      </c>
      <c r="D321" t="n">
        <v>1</v>
      </c>
      <c r="E321" t="n">
        <v>73.89190000000001</v>
      </c>
      <c r="F321" t="n">
        <v>0.03121</v>
      </c>
    </row>
    <row r="322">
      <c r="A322" t="n">
        <v>1000320</v>
      </c>
      <c r="B322" t="n">
        <v>1</v>
      </c>
      <c r="C322" t="n">
        <v>320</v>
      </c>
      <c r="D322" t="n">
        <v>1</v>
      </c>
      <c r="E322" t="n">
        <v>73.9333</v>
      </c>
      <c r="F322" t="n">
        <v>0.03121</v>
      </c>
    </row>
    <row r="323">
      <c r="A323" t="n">
        <v>1000321</v>
      </c>
      <c r="B323" t="n">
        <v>1</v>
      </c>
      <c r="C323" t="n">
        <v>321</v>
      </c>
      <c r="D323" t="n">
        <v>1</v>
      </c>
      <c r="E323" t="n">
        <v>73.97450000000001</v>
      </c>
      <c r="F323" t="n">
        <v>0.03121</v>
      </c>
    </row>
    <row r="324">
      <c r="A324" t="n">
        <v>1000322</v>
      </c>
      <c r="B324" t="n">
        <v>1</v>
      </c>
      <c r="C324" t="n">
        <v>322</v>
      </c>
      <c r="D324" t="n">
        <v>1</v>
      </c>
      <c r="E324" t="n">
        <v>74.0157</v>
      </c>
      <c r="F324" t="n">
        <v>0.03122</v>
      </c>
    </row>
    <row r="325">
      <c r="A325" t="n">
        <v>1000323</v>
      </c>
      <c r="B325" t="n">
        <v>1</v>
      </c>
      <c r="C325" t="n">
        <v>323</v>
      </c>
      <c r="D325" t="n">
        <v>1</v>
      </c>
      <c r="E325" t="n">
        <v>74.0569</v>
      </c>
      <c r="F325" t="n">
        <v>0.03122</v>
      </c>
    </row>
    <row r="326">
      <c r="A326" t="n">
        <v>1000324</v>
      </c>
      <c r="B326" t="n">
        <v>1</v>
      </c>
      <c r="C326" t="n">
        <v>324</v>
      </c>
      <c r="D326" t="n">
        <v>1</v>
      </c>
      <c r="E326" t="n">
        <v>74.0979</v>
      </c>
      <c r="F326" t="n">
        <v>0.03122</v>
      </c>
    </row>
    <row r="327">
      <c r="A327" t="n">
        <v>1000325</v>
      </c>
      <c r="B327" t="n">
        <v>1</v>
      </c>
      <c r="C327" t="n">
        <v>325</v>
      </c>
      <c r="D327" t="n">
        <v>1</v>
      </c>
      <c r="E327" t="n">
        <v>74.139</v>
      </c>
      <c r="F327" t="n">
        <v>0.03122</v>
      </c>
    </row>
    <row r="328">
      <c r="A328" t="n">
        <v>1000326</v>
      </c>
      <c r="B328" t="n">
        <v>1</v>
      </c>
      <c r="C328" t="n">
        <v>326</v>
      </c>
      <c r="D328" t="n">
        <v>1</v>
      </c>
      <c r="E328" t="n">
        <v>74.18000000000001</v>
      </c>
      <c r="F328" t="n">
        <v>0.03123</v>
      </c>
    </row>
    <row r="329">
      <c r="A329" t="n">
        <v>1000327</v>
      </c>
      <c r="B329" t="n">
        <v>1</v>
      </c>
      <c r="C329" t="n">
        <v>327</v>
      </c>
      <c r="D329" t="n">
        <v>1</v>
      </c>
      <c r="E329" t="n">
        <v>74.2209</v>
      </c>
      <c r="F329" t="n">
        <v>0.03123</v>
      </c>
    </row>
    <row r="330">
      <c r="A330" t="n">
        <v>1000328</v>
      </c>
      <c r="B330" t="n">
        <v>1</v>
      </c>
      <c r="C330" t="n">
        <v>328</v>
      </c>
      <c r="D330" t="n">
        <v>1</v>
      </c>
      <c r="E330" t="n">
        <v>74.26179999999999</v>
      </c>
      <c r="F330" t="n">
        <v>0.03123</v>
      </c>
    </row>
    <row r="331">
      <c r="A331" t="n">
        <v>1000329</v>
      </c>
      <c r="B331" t="n">
        <v>1</v>
      </c>
      <c r="C331" t="n">
        <v>329</v>
      </c>
      <c r="D331" t="n">
        <v>1</v>
      </c>
      <c r="E331" t="n">
        <v>74.3026</v>
      </c>
      <c r="F331" t="n">
        <v>0.03124</v>
      </c>
    </row>
    <row r="332">
      <c r="A332" t="n">
        <v>1000330</v>
      </c>
      <c r="B332" t="n">
        <v>1</v>
      </c>
      <c r="C332" t="n">
        <v>330</v>
      </c>
      <c r="D332" t="n">
        <v>1</v>
      </c>
      <c r="E332" t="n">
        <v>74.3433</v>
      </c>
      <c r="F332" t="n">
        <v>0.03124</v>
      </c>
    </row>
    <row r="333">
      <c r="A333" t="n">
        <v>1000331</v>
      </c>
      <c r="B333" t="n">
        <v>1</v>
      </c>
      <c r="C333" t="n">
        <v>331</v>
      </c>
      <c r="D333" t="n">
        <v>1</v>
      </c>
      <c r="E333" t="n">
        <v>74.3841</v>
      </c>
      <c r="F333" t="n">
        <v>0.03124</v>
      </c>
    </row>
    <row r="334">
      <c r="A334" t="n">
        <v>1000332</v>
      </c>
      <c r="B334" t="n">
        <v>1</v>
      </c>
      <c r="C334" t="n">
        <v>332</v>
      </c>
      <c r="D334" t="n">
        <v>1</v>
      </c>
      <c r="E334" t="n">
        <v>74.4247</v>
      </c>
      <c r="F334" t="n">
        <v>0.03124</v>
      </c>
    </row>
    <row r="335">
      <c r="A335" t="n">
        <v>1000333</v>
      </c>
      <c r="B335" t="n">
        <v>1</v>
      </c>
      <c r="C335" t="n">
        <v>333</v>
      </c>
      <c r="D335" t="n">
        <v>1</v>
      </c>
      <c r="E335" t="n">
        <v>74.4653</v>
      </c>
      <c r="F335" t="n">
        <v>0.03125</v>
      </c>
    </row>
    <row r="336">
      <c r="A336" t="n">
        <v>1000334</v>
      </c>
      <c r="B336" t="n">
        <v>1</v>
      </c>
      <c r="C336" t="n">
        <v>334</v>
      </c>
      <c r="D336" t="n">
        <v>1</v>
      </c>
      <c r="E336" t="n">
        <v>74.5059</v>
      </c>
      <c r="F336" t="n">
        <v>0.03125</v>
      </c>
    </row>
    <row r="337">
      <c r="A337" t="n">
        <v>1000335</v>
      </c>
      <c r="B337" t="n">
        <v>1</v>
      </c>
      <c r="C337" t="n">
        <v>335</v>
      </c>
      <c r="D337" t="n">
        <v>1</v>
      </c>
      <c r="E337" t="n">
        <v>74.54640000000001</v>
      </c>
      <c r="F337" t="n">
        <v>0.03125</v>
      </c>
    </row>
    <row r="338">
      <c r="A338" t="n">
        <v>1000336</v>
      </c>
      <c r="B338" t="n">
        <v>1</v>
      </c>
      <c r="C338" t="n">
        <v>336</v>
      </c>
      <c r="D338" t="n">
        <v>1</v>
      </c>
      <c r="E338" t="n">
        <v>74.5868</v>
      </c>
      <c r="F338" t="n">
        <v>0.03126</v>
      </c>
    </row>
    <row r="339">
      <c r="A339" t="n">
        <v>1000337</v>
      </c>
      <c r="B339" t="n">
        <v>1</v>
      </c>
      <c r="C339" t="n">
        <v>337</v>
      </c>
      <c r="D339" t="n">
        <v>1</v>
      </c>
      <c r="E339" t="n">
        <v>74.6272</v>
      </c>
      <c r="F339" t="n">
        <v>0.03126</v>
      </c>
    </row>
    <row r="340">
      <c r="A340" t="n">
        <v>1000338</v>
      </c>
      <c r="B340" t="n">
        <v>1</v>
      </c>
      <c r="C340" t="n">
        <v>338</v>
      </c>
      <c r="D340" t="n">
        <v>1</v>
      </c>
      <c r="E340" t="n">
        <v>74.66759999999999</v>
      </c>
      <c r="F340" t="n">
        <v>0.03126</v>
      </c>
    </row>
    <row r="341">
      <c r="A341" t="n">
        <v>1000339</v>
      </c>
      <c r="B341" t="n">
        <v>1</v>
      </c>
      <c r="C341" t="n">
        <v>339</v>
      </c>
      <c r="D341" t="n">
        <v>1</v>
      </c>
      <c r="E341" t="n">
        <v>74.7079</v>
      </c>
      <c r="F341" t="n">
        <v>0.03127</v>
      </c>
    </row>
    <row r="342">
      <c r="A342" t="n">
        <v>1000340</v>
      </c>
      <c r="B342" t="n">
        <v>1</v>
      </c>
      <c r="C342" t="n">
        <v>340</v>
      </c>
      <c r="D342" t="n">
        <v>1</v>
      </c>
      <c r="E342" t="n">
        <v>74.74809999999999</v>
      </c>
      <c r="F342" t="n">
        <v>0.03127</v>
      </c>
    </row>
    <row r="343">
      <c r="A343" t="n">
        <v>1000341</v>
      </c>
      <c r="B343" t="n">
        <v>1</v>
      </c>
      <c r="C343" t="n">
        <v>341</v>
      </c>
      <c r="D343" t="n">
        <v>1</v>
      </c>
      <c r="E343" t="n">
        <v>74.78830000000001</v>
      </c>
      <c r="F343" t="n">
        <v>0.03127</v>
      </c>
    </row>
    <row r="344">
      <c r="A344" t="n">
        <v>1000342</v>
      </c>
      <c r="B344" t="n">
        <v>1</v>
      </c>
      <c r="C344" t="n">
        <v>342</v>
      </c>
      <c r="D344" t="n">
        <v>1</v>
      </c>
      <c r="E344" t="n">
        <v>74.82850000000001</v>
      </c>
      <c r="F344" t="n">
        <v>0.03128</v>
      </c>
    </row>
    <row r="345">
      <c r="A345" t="n">
        <v>1000343</v>
      </c>
      <c r="B345" t="n">
        <v>1</v>
      </c>
      <c r="C345" t="n">
        <v>343</v>
      </c>
      <c r="D345" t="n">
        <v>1</v>
      </c>
      <c r="E345" t="n">
        <v>74.8686</v>
      </c>
      <c r="F345" t="n">
        <v>0.03128</v>
      </c>
    </row>
    <row r="346">
      <c r="A346" t="n">
        <v>1000344</v>
      </c>
      <c r="B346" t="n">
        <v>1</v>
      </c>
      <c r="C346" t="n">
        <v>344</v>
      </c>
      <c r="D346" t="n">
        <v>1</v>
      </c>
      <c r="E346" t="n">
        <v>74.90860000000001</v>
      </c>
      <c r="F346" t="n">
        <v>0.03128</v>
      </c>
    </row>
    <row r="347">
      <c r="A347" t="n">
        <v>1000345</v>
      </c>
      <c r="B347" t="n">
        <v>1</v>
      </c>
      <c r="C347" t="n">
        <v>345</v>
      </c>
      <c r="D347" t="n">
        <v>1</v>
      </c>
      <c r="E347" t="n">
        <v>74.9486</v>
      </c>
      <c r="F347" t="n">
        <v>0.03129</v>
      </c>
    </row>
    <row r="348">
      <c r="A348" t="n">
        <v>1000346</v>
      </c>
      <c r="B348" t="n">
        <v>1</v>
      </c>
      <c r="C348" t="n">
        <v>346</v>
      </c>
      <c r="D348" t="n">
        <v>1</v>
      </c>
      <c r="E348" t="n">
        <v>74.98860000000001</v>
      </c>
      <c r="F348" t="n">
        <v>0.03129</v>
      </c>
    </row>
    <row r="349">
      <c r="A349" t="n">
        <v>1000347</v>
      </c>
      <c r="B349" t="n">
        <v>1</v>
      </c>
      <c r="C349" t="n">
        <v>347</v>
      </c>
      <c r="D349" t="n">
        <v>1</v>
      </c>
      <c r="E349" t="n">
        <v>75.02849999999999</v>
      </c>
      <c r="F349" t="n">
        <v>0.0313</v>
      </c>
    </row>
    <row r="350">
      <c r="A350" t="n">
        <v>1000348</v>
      </c>
      <c r="B350" t="n">
        <v>1</v>
      </c>
      <c r="C350" t="n">
        <v>348</v>
      </c>
      <c r="D350" t="n">
        <v>1</v>
      </c>
      <c r="E350" t="n">
        <v>75.06829999999999</v>
      </c>
      <c r="F350" t="n">
        <v>0.0313</v>
      </c>
    </row>
    <row r="351">
      <c r="A351" t="n">
        <v>1000349</v>
      </c>
      <c r="B351" t="n">
        <v>1</v>
      </c>
      <c r="C351" t="n">
        <v>349</v>
      </c>
      <c r="D351" t="n">
        <v>1</v>
      </c>
      <c r="E351" t="n">
        <v>75.10809999999999</v>
      </c>
      <c r="F351" t="n">
        <v>0.0313</v>
      </c>
    </row>
    <row r="352">
      <c r="A352" t="n">
        <v>1000350</v>
      </c>
      <c r="B352" t="n">
        <v>1</v>
      </c>
      <c r="C352" t="n">
        <v>350</v>
      </c>
      <c r="D352" t="n">
        <v>1</v>
      </c>
      <c r="E352" t="n">
        <v>75.14790000000001</v>
      </c>
      <c r="F352" t="n">
        <v>0.03131</v>
      </c>
    </row>
    <row r="353">
      <c r="A353" t="n">
        <v>1000351</v>
      </c>
      <c r="B353" t="n">
        <v>1</v>
      </c>
      <c r="C353" t="n">
        <v>351</v>
      </c>
      <c r="D353" t="n">
        <v>1</v>
      </c>
      <c r="E353" t="n">
        <v>75.1876</v>
      </c>
      <c r="F353" t="n">
        <v>0.03131</v>
      </c>
    </row>
    <row r="354">
      <c r="A354" t="n">
        <v>1000352</v>
      </c>
      <c r="B354" t="n">
        <v>1</v>
      </c>
      <c r="C354" t="n">
        <v>352</v>
      </c>
      <c r="D354" t="n">
        <v>1</v>
      </c>
      <c r="E354" t="n">
        <v>75.2273</v>
      </c>
      <c r="F354" t="n">
        <v>0.03132</v>
      </c>
    </row>
    <row r="355">
      <c r="A355" t="n">
        <v>1000353</v>
      </c>
      <c r="B355" t="n">
        <v>1</v>
      </c>
      <c r="C355" t="n">
        <v>353</v>
      </c>
      <c r="D355" t="n">
        <v>1</v>
      </c>
      <c r="E355" t="n">
        <v>75.26690000000001</v>
      </c>
      <c r="F355" t="n">
        <v>0.03132</v>
      </c>
    </row>
    <row r="356">
      <c r="A356" t="n">
        <v>1000354</v>
      </c>
      <c r="B356" t="n">
        <v>1</v>
      </c>
      <c r="C356" t="n">
        <v>354</v>
      </c>
      <c r="D356" t="n">
        <v>1</v>
      </c>
      <c r="E356" t="n">
        <v>75.3065</v>
      </c>
      <c r="F356" t="n">
        <v>0.03132</v>
      </c>
    </row>
    <row r="357">
      <c r="A357" t="n">
        <v>1000355</v>
      </c>
      <c r="B357" t="n">
        <v>1</v>
      </c>
      <c r="C357" t="n">
        <v>355</v>
      </c>
      <c r="D357" t="n">
        <v>1</v>
      </c>
      <c r="E357" t="n">
        <v>75.346</v>
      </c>
      <c r="F357" t="n">
        <v>0.03133</v>
      </c>
    </row>
    <row r="358">
      <c r="A358" t="n">
        <v>1000356</v>
      </c>
      <c r="B358" t="n">
        <v>1</v>
      </c>
      <c r="C358" t="n">
        <v>356</v>
      </c>
      <c r="D358" t="n">
        <v>1</v>
      </c>
      <c r="E358" t="n">
        <v>75.38549999999999</v>
      </c>
      <c r="F358" t="n">
        <v>0.03133</v>
      </c>
    </row>
    <row r="359">
      <c r="A359" t="n">
        <v>1000357</v>
      </c>
      <c r="B359" t="n">
        <v>1</v>
      </c>
      <c r="C359" t="n">
        <v>357</v>
      </c>
      <c r="D359" t="n">
        <v>1</v>
      </c>
      <c r="E359" t="n">
        <v>75.425</v>
      </c>
      <c r="F359" t="n">
        <v>0.03134</v>
      </c>
    </row>
    <row r="360">
      <c r="A360" t="n">
        <v>1000358</v>
      </c>
      <c r="B360" t="n">
        <v>1</v>
      </c>
      <c r="C360" t="n">
        <v>358</v>
      </c>
      <c r="D360" t="n">
        <v>1</v>
      </c>
      <c r="E360" t="n">
        <v>75.4644</v>
      </c>
      <c r="F360" t="n">
        <v>0.03134</v>
      </c>
    </row>
    <row r="361">
      <c r="A361" t="n">
        <v>1000359</v>
      </c>
      <c r="B361" t="n">
        <v>1</v>
      </c>
      <c r="C361" t="n">
        <v>359</v>
      </c>
      <c r="D361" t="n">
        <v>1</v>
      </c>
      <c r="E361" t="n">
        <v>75.50369999999999</v>
      </c>
      <c r="F361" t="n">
        <v>0.03135</v>
      </c>
    </row>
    <row r="362">
      <c r="A362" t="n">
        <v>1000360</v>
      </c>
      <c r="B362" t="n">
        <v>1</v>
      </c>
      <c r="C362" t="n">
        <v>360</v>
      </c>
      <c r="D362" t="n">
        <v>1</v>
      </c>
      <c r="E362" t="n">
        <v>75.5431</v>
      </c>
      <c r="F362" t="n">
        <v>0.03135</v>
      </c>
    </row>
    <row r="363">
      <c r="A363" t="n">
        <v>1000361</v>
      </c>
      <c r="B363" t="n">
        <v>1</v>
      </c>
      <c r="C363" t="n">
        <v>361</v>
      </c>
      <c r="D363" t="n">
        <v>1</v>
      </c>
      <c r="E363" t="n">
        <v>75.58240000000001</v>
      </c>
      <c r="F363" t="n">
        <v>0.03136</v>
      </c>
    </row>
    <row r="364">
      <c r="A364" t="n">
        <v>1000362</v>
      </c>
      <c r="B364" t="n">
        <v>1</v>
      </c>
      <c r="C364" t="n">
        <v>362</v>
      </c>
      <c r="D364" t="n">
        <v>1</v>
      </c>
      <c r="E364" t="n">
        <v>75.6216</v>
      </c>
      <c r="F364" t="n">
        <v>0.03136</v>
      </c>
    </row>
    <row r="365">
      <c r="A365" t="n">
        <v>1000363</v>
      </c>
      <c r="B365" t="n">
        <v>1</v>
      </c>
      <c r="C365" t="n">
        <v>363</v>
      </c>
      <c r="D365" t="n">
        <v>1</v>
      </c>
      <c r="E365" t="n">
        <v>75.66079999999999</v>
      </c>
      <c r="F365" t="n">
        <v>0.03136</v>
      </c>
    </row>
    <row r="366">
      <c r="A366" t="n">
        <v>1000364</v>
      </c>
      <c r="B366" t="n">
        <v>1</v>
      </c>
      <c r="C366" t="n">
        <v>364</v>
      </c>
      <c r="D366" t="n">
        <v>1</v>
      </c>
      <c r="E366" t="n">
        <v>75.6999</v>
      </c>
      <c r="F366" t="n">
        <v>0.03137</v>
      </c>
    </row>
    <row r="367">
      <c r="A367" t="n">
        <v>1000365</v>
      </c>
      <c r="B367" t="n">
        <v>1</v>
      </c>
      <c r="C367" t="n">
        <v>365</v>
      </c>
      <c r="D367" t="n">
        <v>1</v>
      </c>
      <c r="E367" t="n">
        <v>75.73909999999999</v>
      </c>
      <c r="F367" t="n">
        <v>0.03137</v>
      </c>
    </row>
    <row r="368">
      <c r="A368" t="n">
        <v>1000366</v>
      </c>
      <c r="B368" t="n">
        <v>1</v>
      </c>
      <c r="C368" t="n">
        <v>366</v>
      </c>
      <c r="D368" t="n">
        <v>1</v>
      </c>
      <c r="E368" t="n">
        <v>75.77809999999999</v>
      </c>
      <c r="F368" t="n">
        <v>0.03138</v>
      </c>
    </row>
    <row r="369">
      <c r="A369" t="n">
        <v>1000367</v>
      </c>
      <c r="B369" t="n">
        <v>1</v>
      </c>
      <c r="C369" t="n">
        <v>367</v>
      </c>
      <c r="D369" t="n">
        <v>1</v>
      </c>
      <c r="E369" t="n">
        <v>75.8172</v>
      </c>
      <c r="F369" t="n">
        <v>0.03138</v>
      </c>
    </row>
    <row r="370">
      <c r="A370" t="n">
        <v>1000368</v>
      </c>
      <c r="B370" t="n">
        <v>1</v>
      </c>
      <c r="C370" t="n">
        <v>368</v>
      </c>
      <c r="D370" t="n">
        <v>1</v>
      </c>
      <c r="E370" t="n">
        <v>75.8562</v>
      </c>
      <c r="F370" t="n">
        <v>0.03139</v>
      </c>
    </row>
    <row r="371">
      <c r="A371" t="n">
        <v>1000369</v>
      </c>
      <c r="B371" t="n">
        <v>1</v>
      </c>
      <c r="C371" t="n">
        <v>369</v>
      </c>
      <c r="D371" t="n">
        <v>1</v>
      </c>
      <c r="E371" t="n">
        <v>75.8951</v>
      </c>
      <c r="F371" t="n">
        <v>0.03139</v>
      </c>
    </row>
    <row r="372">
      <c r="A372" t="n">
        <v>1000370</v>
      </c>
      <c r="B372" t="n">
        <v>1</v>
      </c>
      <c r="C372" t="n">
        <v>370</v>
      </c>
      <c r="D372" t="n">
        <v>1</v>
      </c>
      <c r="E372" t="n">
        <v>75.934</v>
      </c>
      <c r="F372" t="n">
        <v>0.0314</v>
      </c>
    </row>
    <row r="373">
      <c r="A373" t="n">
        <v>1000371</v>
      </c>
      <c r="B373" t="n">
        <v>1</v>
      </c>
      <c r="C373" t="n">
        <v>371</v>
      </c>
      <c r="D373" t="n">
        <v>1</v>
      </c>
      <c r="E373" t="n">
        <v>75.9729</v>
      </c>
      <c r="F373" t="n">
        <v>0.0314</v>
      </c>
    </row>
    <row r="374">
      <c r="A374" t="n">
        <v>1000372</v>
      </c>
      <c r="B374" t="n">
        <v>1</v>
      </c>
      <c r="C374" t="n">
        <v>372</v>
      </c>
      <c r="D374" t="n">
        <v>1</v>
      </c>
      <c r="E374" t="n">
        <v>76.0117</v>
      </c>
      <c r="F374" t="n">
        <v>0.03141</v>
      </c>
    </row>
    <row r="375">
      <c r="A375" t="n">
        <v>1000373</v>
      </c>
      <c r="B375" t="n">
        <v>1</v>
      </c>
      <c r="C375" t="n">
        <v>373</v>
      </c>
      <c r="D375" t="n">
        <v>1</v>
      </c>
      <c r="E375" t="n">
        <v>76.0505</v>
      </c>
      <c r="F375" t="n">
        <v>0.03141</v>
      </c>
    </row>
    <row r="376">
      <c r="A376" t="n">
        <v>1000374</v>
      </c>
      <c r="B376" t="n">
        <v>1</v>
      </c>
      <c r="C376" t="n">
        <v>374</v>
      </c>
      <c r="D376" t="n">
        <v>1</v>
      </c>
      <c r="E376" t="n">
        <v>76.08920000000001</v>
      </c>
      <c r="F376" t="n">
        <v>0.03142</v>
      </c>
    </row>
    <row r="377">
      <c r="A377" t="n">
        <v>1000375</v>
      </c>
      <c r="B377" t="n">
        <v>1</v>
      </c>
      <c r="C377" t="n">
        <v>375</v>
      </c>
      <c r="D377" t="n">
        <v>1</v>
      </c>
      <c r="E377" t="n">
        <v>76.1279</v>
      </c>
      <c r="F377" t="n">
        <v>0.03142</v>
      </c>
    </row>
    <row r="378">
      <c r="A378" t="n">
        <v>1000376</v>
      </c>
      <c r="B378" t="n">
        <v>1</v>
      </c>
      <c r="C378" t="n">
        <v>376</v>
      </c>
      <c r="D378" t="n">
        <v>1</v>
      </c>
      <c r="E378" t="n">
        <v>76.1665</v>
      </c>
      <c r="F378" t="n">
        <v>0.03143</v>
      </c>
    </row>
    <row r="379">
      <c r="A379" t="n">
        <v>1000377</v>
      </c>
      <c r="B379" t="n">
        <v>1</v>
      </c>
      <c r="C379" t="n">
        <v>377</v>
      </c>
      <c r="D379" t="n">
        <v>1</v>
      </c>
      <c r="E379" t="n">
        <v>76.2051</v>
      </c>
      <c r="F379" t="n">
        <v>0.03143</v>
      </c>
    </row>
    <row r="380">
      <c r="A380" t="n">
        <v>1000378</v>
      </c>
      <c r="B380" t="n">
        <v>1</v>
      </c>
      <c r="C380" t="n">
        <v>378</v>
      </c>
      <c r="D380" t="n">
        <v>1</v>
      </c>
      <c r="E380" t="n">
        <v>76.2437</v>
      </c>
      <c r="F380" t="n">
        <v>0.03144</v>
      </c>
    </row>
    <row r="381">
      <c r="A381" t="n">
        <v>1000379</v>
      </c>
      <c r="B381" t="n">
        <v>1</v>
      </c>
      <c r="C381" t="n">
        <v>379</v>
      </c>
      <c r="D381" t="n">
        <v>1</v>
      </c>
      <c r="E381" t="n">
        <v>76.2822</v>
      </c>
      <c r="F381" t="n">
        <v>0.03144</v>
      </c>
    </row>
    <row r="382">
      <c r="A382" t="n">
        <v>1000380</v>
      </c>
      <c r="B382" t="n">
        <v>1</v>
      </c>
      <c r="C382" t="n">
        <v>380</v>
      </c>
      <c r="D382" t="n">
        <v>1</v>
      </c>
      <c r="E382" t="n">
        <v>76.3207</v>
      </c>
      <c r="F382" t="n">
        <v>0.03145</v>
      </c>
    </row>
    <row r="383">
      <c r="A383" t="n">
        <v>1000381</v>
      </c>
      <c r="B383" t="n">
        <v>1</v>
      </c>
      <c r="C383" t="n">
        <v>381</v>
      </c>
      <c r="D383" t="n">
        <v>1</v>
      </c>
      <c r="E383" t="n">
        <v>76.3591</v>
      </c>
      <c r="F383" t="n">
        <v>0.03146</v>
      </c>
    </row>
    <row r="384">
      <c r="A384" t="n">
        <v>1000382</v>
      </c>
      <c r="B384" t="n">
        <v>1</v>
      </c>
      <c r="C384" t="n">
        <v>382</v>
      </c>
      <c r="D384" t="n">
        <v>1</v>
      </c>
      <c r="E384" t="n">
        <v>76.39749999999999</v>
      </c>
      <c r="F384" t="n">
        <v>0.03146</v>
      </c>
    </row>
    <row r="385">
      <c r="A385" t="n">
        <v>1000383</v>
      </c>
      <c r="B385" t="n">
        <v>1</v>
      </c>
      <c r="C385" t="n">
        <v>383</v>
      </c>
      <c r="D385" t="n">
        <v>1</v>
      </c>
      <c r="E385" t="n">
        <v>76.4358</v>
      </c>
      <c r="F385" t="n">
        <v>0.03147</v>
      </c>
    </row>
    <row r="386">
      <c r="A386" t="n">
        <v>1000384</v>
      </c>
      <c r="B386" t="n">
        <v>1</v>
      </c>
      <c r="C386" t="n">
        <v>384</v>
      </c>
      <c r="D386" t="n">
        <v>1</v>
      </c>
      <c r="E386" t="n">
        <v>76.47410000000001</v>
      </c>
      <c r="F386" t="n">
        <v>0.03147</v>
      </c>
    </row>
    <row r="387">
      <c r="A387" t="n">
        <v>1000385</v>
      </c>
      <c r="B387" t="n">
        <v>1</v>
      </c>
      <c r="C387" t="n">
        <v>385</v>
      </c>
      <c r="D387" t="n">
        <v>1</v>
      </c>
      <c r="E387" t="n">
        <v>76.5124</v>
      </c>
      <c r="F387" t="n">
        <v>0.03148</v>
      </c>
    </row>
    <row r="388">
      <c r="A388" t="n">
        <v>1000386</v>
      </c>
      <c r="B388" t="n">
        <v>1</v>
      </c>
      <c r="C388" t="n">
        <v>386</v>
      </c>
      <c r="D388" t="n">
        <v>1</v>
      </c>
      <c r="E388" t="n">
        <v>76.5506</v>
      </c>
      <c r="F388" t="n">
        <v>0.03148</v>
      </c>
    </row>
    <row r="389">
      <c r="A389" t="n">
        <v>1000387</v>
      </c>
      <c r="B389" t="n">
        <v>1</v>
      </c>
      <c r="C389" t="n">
        <v>387</v>
      </c>
      <c r="D389" t="n">
        <v>1</v>
      </c>
      <c r="E389" t="n">
        <v>76.58880000000001</v>
      </c>
      <c r="F389" t="n">
        <v>0.03149</v>
      </c>
    </row>
    <row r="390">
      <c r="A390" t="n">
        <v>1000388</v>
      </c>
      <c r="B390" t="n">
        <v>1</v>
      </c>
      <c r="C390" t="n">
        <v>388</v>
      </c>
      <c r="D390" t="n">
        <v>1</v>
      </c>
      <c r="E390" t="n">
        <v>76.62690000000001</v>
      </c>
      <c r="F390" t="n">
        <v>0.03149</v>
      </c>
    </row>
    <row r="391">
      <c r="A391" t="n">
        <v>1000389</v>
      </c>
      <c r="B391" t="n">
        <v>1</v>
      </c>
      <c r="C391" t="n">
        <v>389</v>
      </c>
      <c r="D391" t="n">
        <v>1</v>
      </c>
      <c r="E391" t="n">
        <v>76.66500000000001</v>
      </c>
      <c r="F391" t="n">
        <v>0.0315</v>
      </c>
    </row>
    <row r="392">
      <c r="A392" t="n">
        <v>1000390</v>
      </c>
      <c r="B392" t="n">
        <v>1</v>
      </c>
      <c r="C392" t="n">
        <v>390</v>
      </c>
      <c r="D392" t="n">
        <v>1</v>
      </c>
      <c r="E392" t="n">
        <v>76.703</v>
      </c>
      <c r="F392" t="n">
        <v>0.03151</v>
      </c>
    </row>
    <row r="393">
      <c r="A393" t="n">
        <v>1000391</v>
      </c>
      <c r="B393" t="n">
        <v>1</v>
      </c>
      <c r="C393" t="n">
        <v>391</v>
      </c>
      <c r="D393" t="n">
        <v>1</v>
      </c>
      <c r="E393" t="n">
        <v>76.741</v>
      </c>
      <c r="F393" t="n">
        <v>0.03151</v>
      </c>
    </row>
    <row r="394">
      <c r="A394" t="n">
        <v>1000392</v>
      </c>
      <c r="B394" t="n">
        <v>1</v>
      </c>
      <c r="C394" t="n">
        <v>392</v>
      </c>
      <c r="D394" t="n">
        <v>1</v>
      </c>
      <c r="E394" t="n">
        <v>76.779</v>
      </c>
      <c r="F394" t="n">
        <v>0.03152</v>
      </c>
    </row>
    <row r="395">
      <c r="A395" t="n">
        <v>1000393</v>
      </c>
      <c r="B395" t="n">
        <v>1</v>
      </c>
      <c r="C395" t="n">
        <v>393</v>
      </c>
      <c r="D395" t="n">
        <v>1</v>
      </c>
      <c r="E395" t="n">
        <v>76.8169</v>
      </c>
      <c r="F395" t="n">
        <v>0.03152</v>
      </c>
    </row>
    <row r="396">
      <c r="A396" t="n">
        <v>1000394</v>
      </c>
      <c r="B396" t="n">
        <v>1</v>
      </c>
      <c r="C396" t="n">
        <v>394</v>
      </c>
      <c r="D396" t="n">
        <v>1</v>
      </c>
      <c r="E396" t="n">
        <v>76.8548</v>
      </c>
      <c r="F396" t="n">
        <v>0.03153</v>
      </c>
    </row>
    <row r="397">
      <c r="A397" t="n">
        <v>1000395</v>
      </c>
      <c r="B397" t="n">
        <v>1</v>
      </c>
      <c r="C397" t="n">
        <v>395</v>
      </c>
      <c r="D397" t="n">
        <v>1</v>
      </c>
      <c r="E397" t="n">
        <v>76.8926</v>
      </c>
      <c r="F397" t="n">
        <v>0.03154</v>
      </c>
    </row>
    <row r="398">
      <c r="A398" t="n">
        <v>1000396</v>
      </c>
      <c r="B398" t="n">
        <v>1</v>
      </c>
      <c r="C398" t="n">
        <v>396</v>
      </c>
      <c r="D398" t="n">
        <v>1</v>
      </c>
      <c r="E398" t="n">
        <v>76.93040000000001</v>
      </c>
      <c r="F398" t="n">
        <v>0.03154</v>
      </c>
    </row>
    <row r="399">
      <c r="A399" t="n">
        <v>1000397</v>
      </c>
      <c r="B399" t="n">
        <v>1</v>
      </c>
      <c r="C399" t="n">
        <v>397</v>
      </c>
      <c r="D399" t="n">
        <v>1</v>
      </c>
      <c r="E399" t="n">
        <v>76.9682</v>
      </c>
      <c r="F399" t="n">
        <v>0.03155</v>
      </c>
    </row>
    <row r="400">
      <c r="A400" t="n">
        <v>1000398</v>
      </c>
      <c r="B400" t="n">
        <v>1</v>
      </c>
      <c r="C400" t="n">
        <v>398</v>
      </c>
      <c r="D400" t="n">
        <v>1</v>
      </c>
      <c r="E400" t="n">
        <v>77.0059</v>
      </c>
      <c r="F400" t="n">
        <v>0.03155</v>
      </c>
    </row>
    <row r="401">
      <c r="A401" t="n">
        <v>1000399</v>
      </c>
      <c r="B401" t="n">
        <v>1</v>
      </c>
      <c r="C401" t="n">
        <v>399</v>
      </c>
      <c r="D401" t="n">
        <v>1</v>
      </c>
      <c r="E401" t="n">
        <v>77.04349999999999</v>
      </c>
      <c r="F401" t="n">
        <v>0.03156</v>
      </c>
    </row>
    <row r="402">
      <c r="A402" t="n">
        <v>1000400</v>
      </c>
      <c r="B402" t="n">
        <v>1</v>
      </c>
      <c r="C402" t="n">
        <v>400</v>
      </c>
      <c r="D402" t="n">
        <v>1</v>
      </c>
      <c r="E402" t="n">
        <v>77.0812</v>
      </c>
      <c r="F402" t="n">
        <v>0.03157</v>
      </c>
    </row>
    <row r="403">
      <c r="A403" t="n">
        <v>1000401</v>
      </c>
      <c r="B403" t="n">
        <v>1</v>
      </c>
      <c r="C403" t="n">
        <v>401</v>
      </c>
      <c r="D403" t="n">
        <v>1</v>
      </c>
      <c r="E403" t="n">
        <v>77.1187</v>
      </c>
      <c r="F403" t="n">
        <v>0.03157</v>
      </c>
    </row>
    <row r="404">
      <c r="A404" t="n">
        <v>1000402</v>
      </c>
      <c r="B404" t="n">
        <v>1</v>
      </c>
      <c r="C404" t="n">
        <v>402</v>
      </c>
      <c r="D404" t="n">
        <v>1</v>
      </c>
      <c r="E404" t="n">
        <v>77.1563</v>
      </c>
      <c r="F404" t="n">
        <v>0.03158</v>
      </c>
    </row>
    <row r="405">
      <c r="A405" t="n">
        <v>1000403</v>
      </c>
      <c r="B405" t="n">
        <v>1</v>
      </c>
      <c r="C405" t="n">
        <v>403</v>
      </c>
      <c r="D405" t="n">
        <v>1</v>
      </c>
      <c r="E405" t="n">
        <v>77.1938</v>
      </c>
      <c r="F405" t="n">
        <v>0.03159</v>
      </c>
    </row>
    <row r="406">
      <c r="A406" t="n">
        <v>1000404</v>
      </c>
      <c r="B406" t="n">
        <v>1</v>
      </c>
      <c r="C406" t="n">
        <v>404</v>
      </c>
      <c r="D406" t="n">
        <v>1</v>
      </c>
      <c r="E406" t="n">
        <v>77.2313</v>
      </c>
      <c r="F406" t="n">
        <v>0.03159</v>
      </c>
    </row>
    <row r="407">
      <c r="A407" t="n">
        <v>1000405</v>
      </c>
      <c r="B407" t="n">
        <v>1</v>
      </c>
      <c r="C407" t="n">
        <v>405</v>
      </c>
      <c r="D407" t="n">
        <v>1</v>
      </c>
      <c r="E407" t="n">
        <v>77.2687</v>
      </c>
      <c r="F407" t="n">
        <v>0.0316</v>
      </c>
    </row>
    <row r="408">
      <c r="A408" t="n">
        <v>1000406</v>
      </c>
      <c r="B408" t="n">
        <v>1</v>
      </c>
      <c r="C408" t="n">
        <v>406</v>
      </c>
      <c r="D408" t="n">
        <v>1</v>
      </c>
      <c r="E408" t="n">
        <v>77.306</v>
      </c>
      <c r="F408" t="n">
        <v>0.0316</v>
      </c>
    </row>
    <row r="409">
      <c r="A409" t="n">
        <v>1000407</v>
      </c>
      <c r="B409" t="n">
        <v>1</v>
      </c>
      <c r="C409" t="n">
        <v>407</v>
      </c>
      <c r="D409" t="n">
        <v>1</v>
      </c>
      <c r="E409" t="n">
        <v>77.3434</v>
      </c>
      <c r="F409" t="n">
        <v>0.03161</v>
      </c>
    </row>
    <row r="410">
      <c r="A410" t="n">
        <v>1000408</v>
      </c>
      <c r="B410" t="n">
        <v>1</v>
      </c>
      <c r="C410" t="n">
        <v>408</v>
      </c>
      <c r="D410" t="n">
        <v>1</v>
      </c>
      <c r="E410" t="n">
        <v>77.3807</v>
      </c>
      <c r="F410" t="n">
        <v>0.03162</v>
      </c>
    </row>
    <row r="411">
      <c r="A411" t="n">
        <v>1000409</v>
      </c>
      <c r="B411" t="n">
        <v>1</v>
      </c>
      <c r="C411" t="n">
        <v>409</v>
      </c>
      <c r="D411" t="n">
        <v>1</v>
      </c>
      <c r="E411" t="n">
        <v>77.4179</v>
      </c>
      <c r="F411" t="n">
        <v>0.03162</v>
      </c>
    </row>
    <row r="412">
      <c r="A412" t="n">
        <v>1000410</v>
      </c>
      <c r="B412" t="n">
        <v>1</v>
      </c>
      <c r="C412" t="n">
        <v>410</v>
      </c>
      <c r="D412" t="n">
        <v>1</v>
      </c>
      <c r="E412" t="n">
        <v>77.4551</v>
      </c>
      <c r="F412" t="n">
        <v>0.03163</v>
      </c>
    </row>
    <row r="413">
      <c r="A413" t="n">
        <v>1000411</v>
      </c>
      <c r="B413" t="n">
        <v>1</v>
      </c>
      <c r="C413" t="n">
        <v>411</v>
      </c>
      <c r="D413" t="n">
        <v>1</v>
      </c>
      <c r="E413" t="n">
        <v>77.4923</v>
      </c>
      <c r="F413" t="n">
        <v>0.03164</v>
      </c>
    </row>
    <row r="414">
      <c r="A414" t="n">
        <v>1000412</v>
      </c>
      <c r="B414" t="n">
        <v>1</v>
      </c>
      <c r="C414" t="n">
        <v>412</v>
      </c>
      <c r="D414" t="n">
        <v>1</v>
      </c>
      <c r="E414" t="n">
        <v>77.5295</v>
      </c>
      <c r="F414" t="n">
        <v>0.03164</v>
      </c>
    </row>
    <row r="415">
      <c r="A415" t="n">
        <v>1000413</v>
      </c>
      <c r="B415" t="n">
        <v>1</v>
      </c>
      <c r="C415" t="n">
        <v>413</v>
      </c>
      <c r="D415" t="n">
        <v>1</v>
      </c>
      <c r="E415" t="n">
        <v>77.5665</v>
      </c>
      <c r="F415" t="n">
        <v>0.03165</v>
      </c>
    </row>
    <row r="416">
      <c r="A416" t="n">
        <v>1000414</v>
      </c>
      <c r="B416" t="n">
        <v>1</v>
      </c>
      <c r="C416" t="n">
        <v>414</v>
      </c>
      <c r="D416" t="n">
        <v>1</v>
      </c>
      <c r="E416" t="n">
        <v>77.6036</v>
      </c>
      <c r="F416" t="n">
        <v>0.03166</v>
      </c>
    </row>
    <row r="417">
      <c r="A417" t="n">
        <v>1000415</v>
      </c>
      <c r="B417" t="n">
        <v>1</v>
      </c>
      <c r="C417" t="n">
        <v>415</v>
      </c>
      <c r="D417" t="n">
        <v>1</v>
      </c>
      <c r="E417" t="n">
        <v>77.64060000000001</v>
      </c>
      <c r="F417" t="n">
        <v>0.03166</v>
      </c>
    </row>
    <row r="418">
      <c r="A418" t="n">
        <v>1000416</v>
      </c>
      <c r="B418" t="n">
        <v>1</v>
      </c>
      <c r="C418" t="n">
        <v>416</v>
      </c>
      <c r="D418" t="n">
        <v>1</v>
      </c>
      <c r="E418" t="n">
        <v>77.6776</v>
      </c>
      <c r="F418" t="n">
        <v>0.03167</v>
      </c>
    </row>
    <row r="419">
      <c r="A419" t="n">
        <v>1000417</v>
      </c>
      <c r="B419" t="n">
        <v>1</v>
      </c>
      <c r="C419" t="n">
        <v>417</v>
      </c>
      <c r="D419" t="n">
        <v>1</v>
      </c>
      <c r="E419" t="n">
        <v>77.7145</v>
      </c>
      <c r="F419" t="n">
        <v>0.03168</v>
      </c>
    </row>
    <row r="420">
      <c r="A420" t="n">
        <v>1000418</v>
      </c>
      <c r="B420" t="n">
        <v>1</v>
      </c>
      <c r="C420" t="n">
        <v>418</v>
      </c>
      <c r="D420" t="n">
        <v>1</v>
      </c>
      <c r="E420" t="n">
        <v>77.7514</v>
      </c>
      <c r="F420" t="n">
        <v>0.03168</v>
      </c>
    </row>
    <row r="421">
      <c r="A421" t="n">
        <v>1000419</v>
      </c>
      <c r="B421" t="n">
        <v>1</v>
      </c>
      <c r="C421" t="n">
        <v>419</v>
      </c>
      <c r="D421" t="n">
        <v>1</v>
      </c>
      <c r="E421" t="n">
        <v>77.78830000000001</v>
      </c>
      <c r="F421" t="n">
        <v>0.03169</v>
      </c>
    </row>
    <row r="422">
      <c r="A422" t="n">
        <v>1000420</v>
      </c>
      <c r="B422" t="n">
        <v>1</v>
      </c>
      <c r="C422" t="n">
        <v>420</v>
      </c>
      <c r="D422" t="n">
        <v>1</v>
      </c>
      <c r="E422" t="n">
        <v>77.82510000000001</v>
      </c>
      <c r="F422" t="n">
        <v>0.0317</v>
      </c>
    </row>
    <row r="423">
      <c r="A423" t="n">
        <v>1000421</v>
      </c>
      <c r="B423" t="n">
        <v>1</v>
      </c>
      <c r="C423" t="n">
        <v>421</v>
      </c>
      <c r="D423" t="n">
        <v>1</v>
      </c>
      <c r="E423" t="n">
        <v>77.8618</v>
      </c>
      <c r="F423" t="n">
        <v>0.0317</v>
      </c>
    </row>
    <row r="424">
      <c r="A424" t="n">
        <v>1000422</v>
      </c>
      <c r="B424" t="n">
        <v>1</v>
      </c>
      <c r="C424" t="n">
        <v>422</v>
      </c>
      <c r="D424" t="n">
        <v>1</v>
      </c>
      <c r="E424" t="n">
        <v>77.8986</v>
      </c>
      <c r="F424" t="n">
        <v>0.03171</v>
      </c>
    </row>
    <row r="425">
      <c r="A425" t="n">
        <v>1000423</v>
      </c>
      <c r="B425" t="n">
        <v>1</v>
      </c>
      <c r="C425" t="n">
        <v>423</v>
      </c>
      <c r="D425" t="n">
        <v>1</v>
      </c>
      <c r="E425" t="n">
        <v>77.9353</v>
      </c>
      <c r="F425" t="n">
        <v>0.03172</v>
      </c>
    </row>
    <row r="426">
      <c r="A426" t="n">
        <v>1000424</v>
      </c>
      <c r="B426" t="n">
        <v>1</v>
      </c>
      <c r="C426" t="n">
        <v>424</v>
      </c>
      <c r="D426" t="n">
        <v>1</v>
      </c>
      <c r="E426" t="n">
        <v>77.97190000000001</v>
      </c>
      <c r="F426" t="n">
        <v>0.03172</v>
      </c>
    </row>
    <row r="427">
      <c r="A427" t="n">
        <v>1000425</v>
      </c>
      <c r="B427" t="n">
        <v>1</v>
      </c>
      <c r="C427" t="n">
        <v>425</v>
      </c>
      <c r="D427" t="n">
        <v>1</v>
      </c>
      <c r="E427" t="n">
        <v>78.0085</v>
      </c>
      <c r="F427" t="n">
        <v>0.03173</v>
      </c>
    </row>
    <row r="428">
      <c r="A428" t="n">
        <v>1000426</v>
      </c>
      <c r="B428" t="n">
        <v>1</v>
      </c>
      <c r="C428" t="n">
        <v>426</v>
      </c>
      <c r="D428" t="n">
        <v>1</v>
      </c>
      <c r="E428" t="n">
        <v>78.04510000000001</v>
      </c>
      <c r="F428" t="n">
        <v>0.03174</v>
      </c>
    </row>
    <row r="429">
      <c r="A429" t="n">
        <v>1000427</v>
      </c>
      <c r="B429" t="n">
        <v>1</v>
      </c>
      <c r="C429" t="n">
        <v>427</v>
      </c>
      <c r="D429" t="n">
        <v>1</v>
      </c>
      <c r="E429" t="n">
        <v>78.0817</v>
      </c>
      <c r="F429" t="n">
        <v>0.03175</v>
      </c>
    </row>
    <row r="430">
      <c r="A430" t="n">
        <v>1000428</v>
      </c>
      <c r="B430" t="n">
        <v>1</v>
      </c>
      <c r="C430" t="n">
        <v>428</v>
      </c>
      <c r="D430" t="n">
        <v>1</v>
      </c>
      <c r="E430" t="n">
        <v>78.1182</v>
      </c>
      <c r="F430" t="n">
        <v>0.03175</v>
      </c>
    </row>
    <row r="431">
      <c r="A431" t="n">
        <v>1000429</v>
      </c>
      <c r="B431" t="n">
        <v>1</v>
      </c>
      <c r="C431" t="n">
        <v>429</v>
      </c>
      <c r="D431" t="n">
        <v>1</v>
      </c>
      <c r="E431" t="n">
        <v>78.1546</v>
      </c>
      <c r="F431" t="n">
        <v>0.03176</v>
      </c>
    </row>
    <row r="432">
      <c r="A432" t="n">
        <v>1000430</v>
      </c>
      <c r="B432" t="n">
        <v>1</v>
      </c>
      <c r="C432" t="n">
        <v>430</v>
      </c>
      <c r="D432" t="n">
        <v>1</v>
      </c>
      <c r="E432" t="n">
        <v>78.19110000000001</v>
      </c>
      <c r="F432" t="n">
        <v>0.03177</v>
      </c>
    </row>
    <row r="433">
      <c r="A433" t="n">
        <v>1000431</v>
      </c>
      <c r="B433" t="n">
        <v>1</v>
      </c>
      <c r="C433" t="n">
        <v>431</v>
      </c>
      <c r="D433" t="n">
        <v>1</v>
      </c>
      <c r="E433" t="n">
        <v>78.22750000000001</v>
      </c>
      <c r="F433" t="n">
        <v>0.03177</v>
      </c>
    </row>
    <row r="434">
      <c r="A434" t="n">
        <v>1000432</v>
      </c>
      <c r="B434" t="n">
        <v>1</v>
      </c>
      <c r="C434" t="n">
        <v>432</v>
      </c>
      <c r="D434" t="n">
        <v>1</v>
      </c>
      <c r="E434" t="n">
        <v>78.2638</v>
      </c>
      <c r="F434" t="n">
        <v>0.03178</v>
      </c>
    </row>
    <row r="435">
      <c r="A435" t="n">
        <v>1000433</v>
      </c>
      <c r="B435" t="n">
        <v>1</v>
      </c>
      <c r="C435" t="n">
        <v>433</v>
      </c>
      <c r="D435" t="n">
        <v>1</v>
      </c>
      <c r="E435" t="n">
        <v>78.3001</v>
      </c>
      <c r="F435" t="n">
        <v>0.03179</v>
      </c>
    </row>
    <row r="436">
      <c r="A436" t="n">
        <v>1000434</v>
      </c>
      <c r="B436" t="n">
        <v>1</v>
      </c>
      <c r="C436" t="n">
        <v>434</v>
      </c>
      <c r="D436" t="n">
        <v>1</v>
      </c>
      <c r="E436" t="n">
        <v>78.3364</v>
      </c>
      <c r="F436" t="n">
        <v>0.0318</v>
      </c>
    </row>
    <row r="437">
      <c r="A437" t="n">
        <v>1000435</v>
      </c>
      <c r="B437" t="n">
        <v>1</v>
      </c>
      <c r="C437" t="n">
        <v>435</v>
      </c>
      <c r="D437" t="n">
        <v>1</v>
      </c>
      <c r="E437" t="n">
        <v>78.37269999999999</v>
      </c>
      <c r="F437" t="n">
        <v>0.0318</v>
      </c>
    </row>
    <row r="438">
      <c r="A438" t="n">
        <v>1000436</v>
      </c>
      <c r="B438" t="n">
        <v>1</v>
      </c>
      <c r="C438" t="n">
        <v>436</v>
      </c>
      <c r="D438" t="n">
        <v>1</v>
      </c>
      <c r="E438" t="n">
        <v>78.4089</v>
      </c>
      <c r="F438" t="n">
        <v>0.03181</v>
      </c>
    </row>
    <row r="439">
      <c r="A439" t="n">
        <v>1000437</v>
      </c>
      <c r="B439" t="n">
        <v>1</v>
      </c>
      <c r="C439" t="n">
        <v>437</v>
      </c>
      <c r="D439" t="n">
        <v>1</v>
      </c>
      <c r="E439" t="n">
        <v>78.4451</v>
      </c>
      <c r="F439" t="n">
        <v>0.03182</v>
      </c>
    </row>
    <row r="440">
      <c r="A440" t="n">
        <v>1000438</v>
      </c>
      <c r="B440" t="n">
        <v>1</v>
      </c>
      <c r="C440" t="n">
        <v>438</v>
      </c>
      <c r="D440" t="n">
        <v>1</v>
      </c>
      <c r="E440" t="n">
        <v>78.4812</v>
      </c>
      <c r="F440" t="n">
        <v>0.03183</v>
      </c>
    </row>
    <row r="441">
      <c r="A441" t="n">
        <v>1000439</v>
      </c>
      <c r="B441" t="n">
        <v>1</v>
      </c>
      <c r="C441" t="n">
        <v>439</v>
      </c>
      <c r="D441" t="n">
        <v>1</v>
      </c>
      <c r="E441" t="n">
        <v>78.51730000000001</v>
      </c>
      <c r="F441" t="n">
        <v>0.03183</v>
      </c>
    </row>
    <row r="442">
      <c r="A442" t="n">
        <v>1000440</v>
      </c>
      <c r="B442" t="n">
        <v>1</v>
      </c>
      <c r="C442" t="n">
        <v>440</v>
      </c>
      <c r="D442" t="n">
        <v>1</v>
      </c>
      <c r="E442" t="n">
        <v>78.5534</v>
      </c>
      <c r="F442" t="n">
        <v>0.03184</v>
      </c>
    </row>
    <row r="443">
      <c r="A443" t="n">
        <v>1000441</v>
      </c>
      <c r="B443" t="n">
        <v>1</v>
      </c>
      <c r="C443" t="n">
        <v>441</v>
      </c>
      <c r="D443" t="n">
        <v>1</v>
      </c>
      <c r="E443" t="n">
        <v>78.5894</v>
      </c>
      <c r="F443" t="n">
        <v>0.03185</v>
      </c>
    </row>
    <row r="444">
      <c r="A444" t="n">
        <v>1000442</v>
      </c>
      <c r="B444" t="n">
        <v>1</v>
      </c>
      <c r="C444" t="n">
        <v>442</v>
      </c>
      <c r="D444" t="n">
        <v>1</v>
      </c>
      <c r="E444" t="n">
        <v>78.6254</v>
      </c>
      <c r="F444" t="n">
        <v>0.03186</v>
      </c>
    </row>
    <row r="445">
      <c r="A445" t="n">
        <v>1000443</v>
      </c>
      <c r="B445" t="n">
        <v>1</v>
      </c>
      <c r="C445" t="n">
        <v>443</v>
      </c>
      <c r="D445" t="n">
        <v>1</v>
      </c>
      <c r="E445" t="n">
        <v>78.6614</v>
      </c>
      <c r="F445" t="n">
        <v>0.03186</v>
      </c>
    </row>
    <row r="446">
      <c r="A446" t="n">
        <v>1000444</v>
      </c>
      <c r="B446" t="n">
        <v>1</v>
      </c>
      <c r="C446" t="n">
        <v>444</v>
      </c>
      <c r="D446" t="n">
        <v>1</v>
      </c>
      <c r="E446" t="n">
        <v>78.6973</v>
      </c>
      <c r="F446" t="n">
        <v>0.03187</v>
      </c>
    </row>
    <row r="447">
      <c r="A447" t="n">
        <v>1000445</v>
      </c>
      <c r="B447" t="n">
        <v>1</v>
      </c>
      <c r="C447" t="n">
        <v>445</v>
      </c>
      <c r="D447" t="n">
        <v>1</v>
      </c>
      <c r="E447" t="n">
        <v>78.7332</v>
      </c>
      <c r="F447" t="n">
        <v>0.03188</v>
      </c>
    </row>
    <row r="448">
      <c r="A448" t="n">
        <v>1000446</v>
      </c>
      <c r="B448" t="n">
        <v>1</v>
      </c>
      <c r="C448" t="n">
        <v>446</v>
      </c>
      <c r="D448" t="n">
        <v>1</v>
      </c>
      <c r="E448" t="n">
        <v>78.76909999999999</v>
      </c>
      <c r="F448" t="n">
        <v>0.03189</v>
      </c>
    </row>
    <row r="449">
      <c r="A449" t="n">
        <v>1000447</v>
      </c>
      <c r="B449" t="n">
        <v>1</v>
      </c>
      <c r="C449" t="n">
        <v>447</v>
      </c>
      <c r="D449" t="n">
        <v>1</v>
      </c>
      <c r="E449" t="n">
        <v>78.8049</v>
      </c>
      <c r="F449" t="n">
        <v>0.03189</v>
      </c>
    </row>
    <row r="450">
      <c r="A450" t="n">
        <v>1000448</v>
      </c>
      <c r="B450" t="n">
        <v>1</v>
      </c>
      <c r="C450" t="n">
        <v>448</v>
      </c>
      <c r="D450" t="n">
        <v>1</v>
      </c>
      <c r="E450" t="n">
        <v>78.8407</v>
      </c>
      <c r="F450" t="n">
        <v>0.0319</v>
      </c>
    </row>
    <row r="451">
      <c r="A451" t="n">
        <v>1000449</v>
      </c>
      <c r="B451" t="n">
        <v>1</v>
      </c>
      <c r="C451" t="n">
        <v>449</v>
      </c>
      <c r="D451" t="n">
        <v>1</v>
      </c>
      <c r="E451" t="n">
        <v>78.8764</v>
      </c>
      <c r="F451" t="n">
        <v>0.03191</v>
      </c>
    </row>
    <row r="452">
      <c r="A452" t="n">
        <v>1000450</v>
      </c>
      <c r="B452" t="n">
        <v>1</v>
      </c>
      <c r="C452" t="n">
        <v>450</v>
      </c>
      <c r="D452" t="n">
        <v>1</v>
      </c>
      <c r="E452" t="n">
        <v>78.9122</v>
      </c>
      <c r="F452" t="n">
        <v>0.03192</v>
      </c>
    </row>
    <row r="453">
      <c r="A453" t="n">
        <v>1000451</v>
      </c>
      <c r="B453" t="n">
        <v>1</v>
      </c>
      <c r="C453" t="n">
        <v>451</v>
      </c>
      <c r="D453" t="n">
        <v>1</v>
      </c>
      <c r="E453" t="n">
        <v>78.9479</v>
      </c>
      <c r="F453" t="n">
        <v>0.03192</v>
      </c>
    </row>
    <row r="454">
      <c r="A454" t="n">
        <v>1000452</v>
      </c>
      <c r="B454" t="n">
        <v>1</v>
      </c>
      <c r="C454" t="n">
        <v>452</v>
      </c>
      <c r="D454" t="n">
        <v>1</v>
      </c>
      <c r="E454" t="n">
        <v>78.98350000000001</v>
      </c>
      <c r="F454" t="n">
        <v>0.03193</v>
      </c>
    </row>
    <row r="455">
      <c r="A455" t="n">
        <v>1000453</v>
      </c>
      <c r="B455" t="n">
        <v>1</v>
      </c>
      <c r="C455" t="n">
        <v>453</v>
      </c>
      <c r="D455" t="n">
        <v>1</v>
      </c>
      <c r="E455" t="n">
        <v>79.01909999999999</v>
      </c>
      <c r="F455" t="n">
        <v>0.03194</v>
      </c>
    </row>
    <row r="456">
      <c r="A456" t="n">
        <v>1000454</v>
      </c>
      <c r="B456" t="n">
        <v>1</v>
      </c>
      <c r="C456" t="n">
        <v>454</v>
      </c>
      <c r="D456" t="n">
        <v>1</v>
      </c>
      <c r="E456" t="n">
        <v>79.0547</v>
      </c>
      <c r="F456" t="n">
        <v>0.03195</v>
      </c>
    </row>
    <row r="457">
      <c r="A457" t="n">
        <v>1000455</v>
      </c>
      <c r="B457" t="n">
        <v>1</v>
      </c>
      <c r="C457" t="n">
        <v>455</v>
      </c>
      <c r="D457" t="n">
        <v>1</v>
      </c>
      <c r="E457" t="n">
        <v>79.0903</v>
      </c>
      <c r="F457" t="n">
        <v>0.03196</v>
      </c>
    </row>
    <row r="458">
      <c r="A458" t="n">
        <v>1000456</v>
      </c>
      <c r="B458" t="n">
        <v>1</v>
      </c>
      <c r="C458" t="n">
        <v>456</v>
      </c>
      <c r="D458" t="n">
        <v>1</v>
      </c>
      <c r="E458" t="n">
        <v>79.1258</v>
      </c>
      <c r="F458" t="n">
        <v>0.03196</v>
      </c>
    </row>
    <row r="459">
      <c r="A459" t="n">
        <v>1000457</v>
      </c>
      <c r="B459" t="n">
        <v>1</v>
      </c>
      <c r="C459" t="n">
        <v>457</v>
      </c>
      <c r="D459" t="n">
        <v>1</v>
      </c>
      <c r="E459" t="n">
        <v>79.1613</v>
      </c>
      <c r="F459" t="n">
        <v>0.03197</v>
      </c>
    </row>
    <row r="460">
      <c r="A460" t="n">
        <v>1000458</v>
      </c>
      <c r="B460" t="n">
        <v>1</v>
      </c>
      <c r="C460" t="n">
        <v>458</v>
      </c>
      <c r="D460" t="n">
        <v>1</v>
      </c>
      <c r="E460" t="n">
        <v>79.1968</v>
      </c>
      <c r="F460" t="n">
        <v>0.03198</v>
      </c>
    </row>
    <row r="461">
      <c r="A461" t="n">
        <v>1000459</v>
      </c>
      <c r="B461" t="n">
        <v>1</v>
      </c>
      <c r="C461" t="n">
        <v>459</v>
      </c>
      <c r="D461" t="n">
        <v>1</v>
      </c>
      <c r="E461" t="n">
        <v>79.23220000000001</v>
      </c>
      <c r="F461" t="n">
        <v>0.03199</v>
      </c>
    </row>
    <row r="462">
      <c r="A462" t="n">
        <v>1000460</v>
      </c>
      <c r="B462" t="n">
        <v>1</v>
      </c>
      <c r="C462" t="n">
        <v>460</v>
      </c>
      <c r="D462" t="n">
        <v>1</v>
      </c>
      <c r="E462" t="n">
        <v>79.2676</v>
      </c>
      <c r="F462" t="n">
        <v>0.032</v>
      </c>
    </row>
    <row r="463">
      <c r="A463" t="n">
        <v>1000461</v>
      </c>
      <c r="B463" t="n">
        <v>1</v>
      </c>
      <c r="C463" t="n">
        <v>461</v>
      </c>
      <c r="D463" t="n">
        <v>1</v>
      </c>
      <c r="E463" t="n">
        <v>79.303</v>
      </c>
      <c r="F463" t="n">
        <v>0.032</v>
      </c>
    </row>
    <row r="464">
      <c r="A464" t="n">
        <v>1000462</v>
      </c>
      <c r="B464" t="n">
        <v>1</v>
      </c>
      <c r="C464" t="n">
        <v>462</v>
      </c>
      <c r="D464" t="n">
        <v>1</v>
      </c>
      <c r="E464" t="n">
        <v>79.3383</v>
      </c>
      <c r="F464" t="n">
        <v>0.03201</v>
      </c>
    </row>
    <row r="465">
      <c r="A465" t="n">
        <v>1000463</v>
      </c>
      <c r="B465" t="n">
        <v>1</v>
      </c>
      <c r="C465" t="n">
        <v>463</v>
      </c>
      <c r="D465" t="n">
        <v>1</v>
      </c>
      <c r="E465" t="n">
        <v>79.3736</v>
      </c>
      <c r="F465" t="n">
        <v>0.03202</v>
      </c>
    </row>
    <row r="466">
      <c r="A466" t="n">
        <v>1000464</v>
      </c>
      <c r="B466" t="n">
        <v>1</v>
      </c>
      <c r="C466" t="n">
        <v>464</v>
      </c>
      <c r="D466" t="n">
        <v>1</v>
      </c>
      <c r="E466" t="n">
        <v>79.4089</v>
      </c>
      <c r="F466" t="n">
        <v>0.03203</v>
      </c>
    </row>
    <row r="467">
      <c r="A467" t="n">
        <v>1000465</v>
      </c>
      <c r="B467" t="n">
        <v>1</v>
      </c>
      <c r="C467" t="n">
        <v>465</v>
      </c>
      <c r="D467" t="n">
        <v>1</v>
      </c>
      <c r="E467" t="n">
        <v>79.44410000000001</v>
      </c>
      <c r="F467" t="n">
        <v>0.03204</v>
      </c>
    </row>
    <row r="468">
      <c r="A468" t="n">
        <v>1000466</v>
      </c>
      <c r="B468" t="n">
        <v>1</v>
      </c>
      <c r="C468" t="n">
        <v>466</v>
      </c>
      <c r="D468" t="n">
        <v>1</v>
      </c>
      <c r="E468" t="n">
        <v>79.47929999999999</v>
      </c>
      <c r="F468" t="n">
        <v>0.03204</v>
      </c>
    </row>
    <row r="469">
      <c r="A469" t="n">
        <v>1000467</v>
      </c>
      <c r="B469" t="n">
        <v>1</v>
      </c>
      <c r="C469" t="n">
        <v>467</v>
      </c>
      <c r="D469" t="n">
        <v>1</v>
      </c>
      <c r="E469" t="n">
        <v>79.5145</v>
      </c>
      <c r="F469" t="n">
        <v>0.03205</v>
      </c>
    </row>
    <row r="470">
      <c r="A470" t="n">
        <v>1000468</v>
      </c>
      <c r="B470" t="n">
        <v>1</v>
      </c>
      <c r="C470" t="n">
        <v>468</v>
      </c>
      <c r="D470" t="n">
        <v>1</v>
      </c>
      <c r="E470" t="n">
        <v>79.5496</v>
      </c>
      <c r="F470" t="n">
        <v>0.03206</v>
      </c>
    </row>
    <row r="471">
      <c r="A471" t="n">
        <v>1000469</v>
      </c>
      <c r="B471" t="n">
        <v>1</v>
      </c>
      <c r="C471" t="n">
        <v>469</v>
      </c>
      <c r="D471" t="n">
        <v>1</v>
      </c>
      <c r="E471" t="n">
        <v>79.5847</v>
      </c>
      <c r="F471" t="n">
        <v>0.03207</v>
      </c>
    </row>
    <row r="472">
      <c r="A472" t="n">
        <v>1000470</v>
      </c>
      <c r="B472" t="n">
        <v>1</v>
      </c>
      <c r="C472" t="n">
        <v>470</v>
      </c>
      <c r="D472" t="n">
        <v>1</v>
      </c>
      <c r="E472" t="n">
        <v>79.6198</v>
      </c>
      <c r="F472" t="n">
        <v>0.03208</v>
      </c>
    </row>
    <row r="473">
      <c r="A473" t="n">
        <v>1000471</v>
      </c>
      <c r="B473" t="n">
        <v>1</v>
      </c>
      <c r="C473" t="n">
        <v>471</v>
      </c>
      <c r="D473" t="n">
        <v>1</v>
      </c>
      <c r="E473" t="n">
        <v>79.65479999999999</v>
      </c>
      <c r="F473" t="n">
        <v>0.03209</v>
      </c>
    </row>
    <row r="474">
      <c r="A474" t="n">
        <v>1000472</v>
      </c>
      <c r="B474" t="n">
        <v>1</v>
      </c>
      <c r="C474" t="n">
        <v>472</v>
      </c>
      <c r="D474" t="n">
        <v>1</v>
      </c>
      <c r="E474" t="n">
        <v>79.68980000000001</v>
      </c>
      <c r="F474" t="n">
        <v>0.03209</v>
      </c>
    </row>
    <row r="475">
      <c r="A475" t="n">
        <v>1000473</v>
      </c>
      <c r="B475" t="n">
        <v>1</v>
      </c>
      <c r="C475" t="n">
        <v>473</v>
      </c>
      <c r="D475" t="n">
        <v>1</v>
      </c>
      <c r="E475" t="n">
        <v>79.7248</v>
      </c>
      <c r="F475" t="n">
        <v>0.0321</v>
      </c>
    </row>
    <row r="476">
      <c r="A476" t="n">
        <v>1000474</v>
      </c>
      <c r="B476" t="n">
        <v>1</v>
      </c>
      <c r="C476" t="n">
        <v>474</v>
      </c>
      <c r="D476" t="n">
        <v>1</v>
      </c>
      <c r="E476" t="n">
        <v>79.7598</v>
      </c>
      <c r="F476" t="n">
        <v>0.03211</v>
      </c>
    </row>
    <row r="477">
      <c r="A477" t="n">
        <v>1000475</v>
      </c>
      <c r="B477" t="n">
        <v>1</v>
      </c>
      <c r="C477" t="n">
        <v>475</v>
      </c>
      <c r="D477" t="n">
        <v>1</v>
      </c>
      <c r="E477" t="n">
        <v>79.79470000000001</v>
      </c>
      <c r="F477" t="n">
        <v>0.03212</v>
      </c>
    </row>
    <row r="478">
      <c r="A478" t="n">
        <v>1000476</v>
      </c>
      <c r="B478" t="n">
        <v>1</v>
      </c>
      <c r="C478" t="n">
        <v>476</v>
      </c>
      <c r="D478" t="n">
        <v>1</v>
      </c>
      <c r="E478" t="n">
        <v>79.8296</v>
      </c>
      <c r="F478" t="n">
        <v>0.03213</v>
      </c>
    </row>
    <row r="479">
      <c r="A479" t="n">
        <v>1000477</v>
      </c>
      <c r="B479" t="n">
        <v>1</v>
      </c>
      <c r="C479" t="n">
        <v>477</v>
      </c>
      <c r="D479" t="n">
        <v>1</v>
      </c>
      <c r="E479" t="n">
        <v>79.8644</v>
      </c>
      <c r="F479" t="n">
        <v>0.03214</v>
      </c>
    </row>
    <row r="480">
      <c r="A480" t="n">
        <v>1000478</v>
      </c>
      <c r="B480" t="n">
        <v>1</v>
      </c>
      <c r="C480" t="n">
        <v>478</v>
      </c>
      <c r="D480" t="n">
        <v>1</v>
      </c>
      <c r="E480" t="n">
        <v>79.8993</v>
      </c>
      <c r="F480" t="n">
        <v>0.03214</v>
      </c>
    </row>
    <row r="481">
      <c r="A481" t="n">
        <v>1000479</v>
      </c>
      <c r="B481" t="n">
        <v>1</v>
      </c>
      <c r="C481" t="n">
        <v>479</v>
      </c>
      <c r="D481" t="n">
        <v>1</v>
      </c>
      <c r="E481" t="n">
        <v>79.9341</v>
      </c>
      <c r="F481" t="n">
        <v>0.03215</v>
      </c>
    </row>
    <row r="482">
      <c r="A482" t="n">
        <v>1000480</v>
      </c>
      <c r="B482" t="n">
        <v>1</v>
      </c>
      <c r="C482" t="n">
        <v>480</v>
      </c>
      <c r="D482" t="n">
        <v>1</v>
      </c>
      <c r="E482" t="n">
        <v>79.9688</v>
      </c>
      <c r="F482" t="n">
        <v>0.03216</v>
      </c>
    </row>
    <row r="483">
      <c r="A483" t="n">
        <v>1000481</v>
      </c>
      <c r="B483" t="n">
        <v>1</v>
      </c>
      <c r="C483" t="n">
        <v>481</v>
      </c>
      <c r="D483" t="n">
        <v>1</v>
      </c>
      <c r="E483" t="n">
        <v>80.00360000000001</v>
      </c>
      <c r="F483" t="n">
        <v>0.03217</v>
      </c>
    </row>
    <row r="484">
      <c r="A484" t="n">
        <v>1000482</v>
      </c>
      <c r="B484" t="n">
        <v>1</v>
      </c>
      <c r="C484" t="n">
        <v>482</v>
      </c>
      <c r="D484" t="n">
        <v>1</v>
      </c>
      <c r="E484" t="n">
        <v>80.03830000000001</v>
      </c>
      <c r="F484" t="n">
        <v>0.03218</v>
      </c>
    </row>
    <row r="485">
      <c r="A485" t="n">
        <v>1000483</v>
      </c>
      <c r="B485" t="n">
        <v>1</v>
      </c>
      <c r="C485" t="n">
        <v>483</v>
      </c>
      <c r="D485" t="n">
        <v>1</v>
      </c>
      <c r="E485" t="n">
        <v>80.0729</v>
      </c>
      <c r="F485" t="n">
        <v>0.03219</v>
      </c>
    </row>
    <row r="486">
      <c r="A486" t="n">
        <v>1000484</v>
      </c>
      <c r="B486" t="n">
        <v>1</v>
      </c>
      <c r="C486" t="n">
        <v>484</v>
      </c>
      <c r="D486" t="n">
        <v>1</v>
      </c>
      <c r="E486" t="n">
        <v>80.10760000000001</v>
      </c>
      <c r="F486" t="n">
        <v>0.0322</v>
      </c>
    </row>
    <row r="487">
      <c r="A487" t="n">
        <v>1000485</v>
      </c>
      <c r="B487" t="n">
        <v>1</v>
      </c>
      <c r="C487" t="n">
        <v>485</v>
      </c>
      <c r="D487" t="n">
        <v>1</v>
      </c>
      <c r="E487" t="n">
        <v>80.1422</v>
      </c>
      <c r="F487" t="n">
        <v>0.0322</v>
      </c>
    </row>
    <row r="488">
      <c r="A488" t="n">
        <v>1000486</v>
      </c>
      <c r="B488" t="n">
        <v>1</v>
      </c>
      <c r="C488" t="n">
        <v>486</v>
      </c>
      <c r="D488" t="n">
        <v>1</v>
      </c>
      <c r="E488" t="n">
        <v>80.1768</v>
      </c>
      <c r="F488" t="n">
        <v>0.03221</v>
      </c>
    </row>
    <row r="489">
      <c r="A489" t="n">
        <v>1000487</v>
      </c>
      <c r="B489" t="n">
        <v>1</v>
      </c>
      <c r="C489" t="n">
        <v>487</v>
      </c>
      <c r="D489" t="n">
        <v>1</v>
      </c>
      <c r="E489" t="n">
        <v>80.21129999999999</v>
      </c>
      <c r="F489" t="n">
        <v>0.03222</v>
      </c>
    </row>
    <row r="490">
      <c r="A490" t="n">
        <v>1000488</v>
      </c>
      <c r="B490" t="n">
        <v>1</v>
      </c>
      <c r="C490" t="n">
        <v>488</v>
      </c>
      <c r="D490" t="n">
        <v>1</v>
      </c>
      <c r="E490" t="n">
        <v>80.24590000000001</v>
      </c>
      <c r="F490" t="n">
        <v>0.03223</v>
      </c>
    </row>
    <row r="491">
      <c r="A491" t="n">
        <v>1000489</v>
      </c>
      <c r="B491" t="n">
        <v>1</v>
      </c>
      <c r="C491" t="n">
        <v>489</v>
      </c>
      <c r="D491" t="n">
        <v>1</v>
      </c>
      <c r="E491" t="n">
        <v>80.2804</v>
      </c>
      <c r="F491" t="n">
        <v>0.03224</v>
      </c>
    </row>
    <row r="492">
      <c r="A492" t="n">
        <v>1000490</v>
      </c>
      <c r="B492" t="n">
        <v>1</v>
      </c>
      <c r="C492" t="n">
        <v>490</v>
      </c>
      <c r="D492" t="n">
        <v>1</v>
      </c>
      <c r="E492" t="n">
        <v>80.31480000000001</v>
      </c>
      <c r="F492" t="n">
        <v>0.03225</v>
      </c>
    </row>
    <row r="493">
      <c r="A493" t="n">
        <v>1000491</v>
      </c>
      <c r="B493" t="n">
        <v>1</v>
      </c>
      <c r="C493" t="n">
        <v>491</v>
      </c>
      <c r="D493" t="n">
        <v>1</v>
      </c>
      <c r="E493" t="n">
        <v>80.3493</v>
      </c>
      <c r="F493" t="n">
        <v>0.03226</v>
      </c>
    </row>
    <row r="494">
      <c r="A494" t="n">
        <v>1000492</v>
      </c>
      <c r="B494" t="n">
        <v>1</v>
      </c>
      <c r="C494" t="n">
        <v>492</v>
      </c>
      <c r="D494" t="n">
        <v>1</v>
      </c>
      <c r="E494" t="n">
        <v>80.3837</v>
      </c>
      <c r="F494" t="n">
        <v>0.03226</v>
      </c>
    </row>
    <row r="495">
      <c r="A495" t="n">
        <v>1000493</v>
      </c>
      <c r="B495" t="n">
        <v>1</v>
      </c>
      <c r="C495" t="n">
        <v>493</v>
      </c>
      <c r="D495" t="n">
        <v>1</v>
      </c>
      <c r="E495" t="n">
        <v>80.4181</v>
      </c>
      <c r="F495" t="n">
        <v>0.03227</v>
      </c>
    </row>
    <row r="496">
      <c r="A496" t="n">
        <v>1000494</v>
      </c>
      <c r="B496" t="n">
        <v>1</v>
      </c>
      <c r="C496" t="n">
        <v>494</v>
      </c>
      <c r="D496" t="n">
        <v>1</v>
      </c>
      <c r="E496" t="n">
        <v>80.4524</v>
      </c>
      <c r="F496" t="n">
        <v>0.03228</v>
      </c>
    </row>
    <row r="497">
      <c r="A497" t="n">
        <v>1000495</v>
      </c>
      <c r="B497" t="n">
        <v>1</v>
      </c>
      <c r="C497" t="n">
        <v>495</v>
      </c>
      <c r="D497" t="n">
        <v>1</v>
      </c>
      <c r="E497" t="n">
        <v>80.4867</v>
      </c>
      <c r="F497" t="n">
        <v>0.03229</v>
      </c>
    </row>
    <row r="498">
      <c r="A498" t="n">
        <v>1000496</v>
      </c>
      <c r="B498" t="n">
        <v>1</v>
      </c>
      <c r="C498" t="n">
        <v>496</v>
      </c>
      <c r="D498" t="n">
        <v>1</v>
      </c>
      <c r="E498" t="n">
        <v>80.521</v>
      </c>
      <c r="F498" t="n">
        <v>0.0323</v>
      </c>
    </row>
    <row r="499">
      <c r="A499" t="n">
        <v>1000497</v>
      </c>
      <c r="B499" t="n">
        <v>1</v>
      </c>
      <c r="C499" t="n">
        <v>497</v>
      </c>
      <c r="D499" t="n">
        <v>1</v>
      </c>
      <c r="E499" t="n">
        <v>80.5553</v>
      </c>
      <c r="F499" t="n">
        <v>0.03231</v>
      </c>
    </row>
    <row r="500">
      <c r="A500" t="n">
        <v>1000498</v>
      </c>
      <c r="B500" t="n">
        <v>1</v>
      </c>
      <c r="C500" t="n">
        <v>498</v>
      </c>
      <c r="D500" t="n">
        <v>1</v>
      </c>
      <c r="E500" t="n">
        <v>80.5895</v>
      </c>
      <c r="F500" t="n">
        <v>0.03232</v>
      </c>
    </row>
    <row r="501">
      <c r="A501" t="n">
        <v>1000499</v>
      </c>
      <c r="B501" t="n">
        <v>1</v>
      </c>
      <c r="C501" t="n">
        <v>499</v>
      </c>
      <c r="D501" t="n">
        <v>1</v>
      </c>
      <c r="E501" t="n">
        <v>80.6237</v>
      </c>
      <c r="F501" t="n">
        <v>0.03233</v>
      </c>
    </row>
    <row r="502">
      <c r="A502" t="n">
        <v>1000500</v>
      </c>
      <c r="B502" t="n">
        <v>1</v>
      </c>
      <c r="C502" t="n">
        <v>500</v>
      </c>
      <c r="D502" t="n">
        <v>1</v>
      </c>
      <c r="E502" t="n">
        <v>80.65779999999999</v>
      </c>
      <c r="F502" t="n">
        <v>0.03234</v>
      </c>
    </row>
    <row r="503">
      <c r="A503" t="n">
        <v>1000501</v>
      </c>
      <c r="B503" t="n">
        <v>1</v>
      </c>
      <c r="C503" t="n">
        <v>501</v>
      </c>
      <c r="D503" t="n">
        <v>1</v>
      </c>
      <c r="E503" t="n">
        <v>80.69199999999999</v>
      </c>
      <c r="F503" t="n">
        <v>0.03234</v>
      </c>
    </row>
    <row r="504">
      <c r="A504" t="n">
        <v>1000502</v>
      </c>
      <c r="B504" t="n">
        <v>1</v>
      </c>
      <c r="C504" t="n">
        <v>502</v>
      </c>
      <c r="D504" t="n">
        <v>1</v>
      </c>
      <c r="E504" t="n">
        <v>80.7261</v>
      </c>
      <c r="F504" t="n">
        <v>0.03235</v>
      </c>
    </row>
    <row r="505">
      <c r="A505" t="n">
        <v>1000503</v>
      </c>
      <c r="B505" t="n">
        <v>1</v>
      </c>
      <c r="C505" t="n">
        <v>503</v>
      </c>
      <c r="D505" t="n">
        <v>1</v>
      </c>
      <c r="E505" t="n">
        <v>80.7602</v>
      </c>
      <c r="F505" t="n">
        <v>0.03236</v>
      </c>
    </row>
    <row r="506">
      <c r="A506" t="n">
        <v>1000504</v>
      </c>
      <c r="B506" t="n">
        <v>1</v>
      </c>
      <c r="C506" t="n">
        <v>504</v>
      </c>
      <c r="D506" t="n">
        <v>1</v>
      </c>
      <c r="E506" t="n">
        <v>80.7942</v>
      </c>
      <c r="F506" t="n">
        <v>0.03237</v>
      </c>
    </row>
    <row r="507">
      <c r="A507" t="n">
        <v>1000505</v>
      </c>
      <c r="B507" t="n">
        <v>1</v>
      </c>
      <c r="C507" t="n">
        <v>505</v>
      </c>
      <c r="D507" t="n">
        <v>1</v>
      </c>
      <c r="E507" t="n">
        <v>80.8282</v>
      </c>
      <c r="F507" t="n">
        <v>0.03238</v>
      </c>
    </row>
    <row r="508">
      <c r="A508" t="n">
        <v>1000506</v>
      </c>
      <c r="B508" t="n">
        <v>1</v>
      </c>
      <c r="C508" t="n">
        <v>506</v>
      </c>
      <c r="D508" t="n">
        <v>1</v>
      </c>
      <c r="E508" t="n">
        <v>80.8622</v>
      </c>
      <c r="F508" t="n">
        <v>0.03239</v>
      </c>
    </row>
    <row r="509">
      <c r="A509" t="n">
        <v>1000507</v>
      </c>
      <c r="B509" t="n">
        <v>1</v>
      </c>
      <c r="C509" t="n">
        <v>507</v>
      </c>
      <c r="D509" t="n">
        <v>1</v>
      </c>
      <c r="E509" t="n">
        <v>80.8961</v>
      </c>
      <c r="F509" t="n">
        <v>0.0324</v>
      </c>
    </row>
    <row r="510">
      <c r="A510" t="n">
        <v>1000508</v>
      </c>
      <c r="B510" t="n">
        <v>1</v>
      </c>
      <c r="C510" t="n">
        <v>508</v>
      </c>
      <c r="D510" t="n">
        <v>1</v>
      </c>
      <c r="E510" t="n">
        <v>80.9301</v>
      </c>
      <c r="F510" t="n">
        <v>0.03241</v>
      </c>
    </row>
    <row r="511">
      <c r="A511" t="n">
        <v>1000509</v>
      </c>
      <c r="B511" t="n">
        <v>1</v>
      </c>
      <c r="C511" t="n">
        <v>509</v>
      </c>
      <c r="D511" t="n">
        <v>1</v>
      </c>
      <c r="E511" t="n">
        <v>80.964</v>
      </c>
      <c r="F511" t="n">
        <v>0.03242</v>
      </c>
    </row>
    <row r="512">
      <c r="A512" t="n">
        <v>1000510</v>
      </c>
      <c r="B512" t="n">
        <v>1</v>
      </c>
      <c r="C512" t="n">
        <v>510</v>
      </c>
      <c r="D512" t="n">
        <v>1</v>
      </c>
      <c r="E512" t="n">
        <v>80.9978</v>
      </c>
      <c r="F512" t="n">
        <v>0.03243</v>
      </c>
    </row>
    <row r="513">
      <c r="A513" t="n">
        <v>1000511</v>
      </c>
      <c r="B513" t="n">
        <v>1</v>
      </c>
      <c r="C513" t="n">
        <v>511</v>
      </c>
      <c r="D513" t="n">
        <v>1</v>
      </c>
      <c r="E513" t="n">
        <v>81.0317</v>
      </c>
      <c r="F513" t="n">
        <v>0.03244</v>
      </c>
    </row>
    <row r="514">
      <c r="A514" t="n">
        <v>1000512</v>
      </c>
      <c r="B514" t="n">
        <v>1</v>
      </c>
      <c r="C514" t="n">
        <v>512</v>
      </c>
      <c r="D514" t="n">
        <v>1</v>
      </c>
      <c r="E514" t="n">
        <v>81.0655</v>
      </c>
      <c r="F514" t="n">
        <v>0.03245</v>
      </c>
    </row>
    <row r="515">
      <c r="A515" t="n">
        <v>1000513</v>
      </c>
      <c r="B515" t="n">
        <v>1</v>
      </c>
      <c r="C515" t="n">
        <v>513</v>
      </c>
      <c r="D515" t="n">
        <v>1</v>
      </c>
      <c r="E515" t="n">
        <v>81.0992</v>
      </c>
      <c r="F515" t="n">
        <v>0.03245</v>
      </c>
    </row>
    <row r="516">
      <c r="A516" t="n">
        <v>1000514</v>
      </c>
      <c r="B516" t="n">
        <v>1</v>
      </c>
      <c r="C516" t="n">
        <v>514</v>
      </c>
      <c r="D516" t="n">
        <v>1</v>
      </c>
      <c r="E516" t="n">
        <v>81.133</v>
      </c>
      <c r="F516" t="n">
        <v>0.03246</v>
      </c>
    </row>
    <row r="517">
      <c r="A517" t="n">
        <v>1000515</v>
      </c>
      <c r="B517" t="n">
        <v>1</v>
      </c>
      <c r="C517" t="n">
        <v>515</v>
      </c>
      <c r="D517" t="n">
        <v>1</v>
      </c>
      <c r="E517" t="n">
        <v>81.16670000000001</v>
      </c>
      <c r="F517" t="n">
        <v>0.03247</v>
      </c>
    </row>
    <row r="518">
      <c r="A518" t="n">
        <v>1000516</v>
      </c>
      <c r="B518" t="n">
        <v>1</v>
      </c>
      <c r="C518" t="n">
        <v>516</v>
      </c>
      <c r="D518" t="n">
        <v>1</v>
      </c>
      <c r="E518" t="n">
        <v>81.2004</v>
      </c>
      <c r="F518" t="n">
        <v>0.03248</v>
      </c>
    </row>
    <row r="519">
      <c r="A519" t="n">
        <v>1000517</v>
      </c>
      <c r="B519" t="n">
        <v>1</v>
      </c>
      <c r="C519" t="n">
        <v>517</v>
      </c>
      <c r="D519" t="n">
        <v>1</v>
      </c>
      <c r="E519" t="n">
        <v>81.23399999999999</v>
      </c>
      <c r="F519" t="n">
        <v>0.03249</v>
      </c>
    </row>
    <row r="520">
      <c r="A520" t="n">
        <v>1000518</v>
      </c>
      <c r="B520" t="n">
        <v>1</v>
      </c>
      <c r="C520" t="n">
        <v>518</v>
      </c>
      <c r="D520" t="n">
        <v>1</v>
      </c>
      <c r="E520" t="n">
        <v>81.2677</v>
      </c>
      <c r="F520" t="n">
        <v>0.0325</v>
      </c>
    </row>
    <row r="521">
      <c r="A521" t="n">
        <v>1000519</v>
      </c>
      <c r="B521" t="n">
        <v>1</v>
      </c>
      <c r="C521" t="n">
        <v>519</v>
      </c>
      <c r="D521" t="n">
        <v>1</v>
      </c>
      <c r="E521" t="n">
        <v>81.3013</v>
      </c>
      <c r="F521" t="n">
        <v>0.03251</v>
      </c>
    </row>
    <row r="522">
      <c r="A522" t="n">
        <v>1000520</v>
      </c>
      <c r="B522" t="n">
        <v>1</v>
      </c>
      <c r="C522" t="n">
        <v>520</v>
      </c>
      <c r="D522" t="n">
        <v>1</v>
      </c>
      <c r="E522" t="n">
        <v>81.3348</v>
      </c>
      <c r="F522" t="n">
        <v>0.03252</v>
      </c>
    </row>
    <row r="523">
      <c r="A523" t="n">
        <v>1000521</v>
      </c>
      <c r="B523" t="n">
        <v>1</v>
      </c>
      <c r="C523" t="n">
        <v>521</v>
      </c>
      <c r="D523" t="n">
        <v>1</v>
      </c>
      <c r="E523" t="n">
        <v>81.36839999999999</v>
      </c>
      <c r="F523" t="n">
        <v>0.03253</v>
      </c>
    </row>
    <row r="524">
      <c r="A524" t="n">
        <v>1000522</v>
      </c>
      <c r="B524" t="n">
        <v>1</v>
      </c>
      <c r="C524" t="n">
        <v>522</v>
      </c>
      <c r="D524" t="n">
        <v>1</v>
      </c>
      <c r="E524" t="n">
        <v>81.4019</v>
      </c>
      <c r="F524" t="n">
        <v>0.03254</v>
      </c>
    </row>
    <row r="525">
      <c r="A525" t="n">
        <v>1000523</v>
      </c>
      <c r="B525" t="n">
        <v>1</v>
      </c>
      <c r="C525" t="n">
        <v>523</v>
      </c>
      <c r="D525" t="n">
        <v>1</v>
      </c>
      <c r="E525" t="n">
        <v>81.4353</v>
      </c>
      <c r="F525" t="n">
        <v>0.03255</v>
      </c>
    </row>
    <row r="526">
      <c r="A526" t="n">
        <v>1000524</v>
      </c>
      <c r="B526" t="n">
        <v>1</v>
      </c>
      <c r="C526" t="n">
        <v>524</v>
      </c>
      <c r="D526" t="n">
        <v>1</v>
      </c>
      <c r="E526" t="n">
        <v>81.4688</v>
      </c>
      <c r="F526" t="n">
        <v>0.03256</v>
      </c>
    </row>
    <row r="527">
      <c r="A527" t="n">
        <v>1000525</v>
      </c>
      <c r="B527" t="n">
        <v>1</v>
      </c>
      <c r="C527" t="n">
        <v>525</v>
      </c>
      <c r="D527" t="n">
        <v>1</v>
      </c>
      <c r="E527" t="n">
        <v>81.5022</v>
      </c>
      <c r="F527" t="n">
        <v>0.03257</v>
      </c>
    </row>
    <row r="528">
      <c r="A528" t="n">
        <v>1000526</v>
      </c>
      <c r="B528" t="n">
        <v>1</v>
      </c>
      <c r="C528" t="n">
        <v>526</v>
      </c>
      <c r="D528" t="n">
        <v>1</v>
      </c>
      <c r="E528" t="n">
        <v>81.5356</v>
      </c>
      <c r="F528" t="n">
        <v>0.03258</v>
      </c>
    </row>
    <row r="529">
      <c r="A529" t="n">
        <v>1000527</v>
      </c>
      <c r="B529" t="n">
        <v>1</v>
      </c>
      <c r="C529" t="n">
        <v>527</v>
      </c>
      <c r="D529" t="n">
        <v>1</v>
      </c>
      <c r="E529" t="n">
        <v>81.569</v>
      </c>
      <c r="F529" t="n">
        <v>0.03259</v>
      </c>
    </row>
    <row r="530">
      <c r="A530" t="n">
        <v>1000528</v>
      </c>
      <c r="B530" t="n">
        <v>1</v>
      </c>
      <c r="C530" t="n">
        <v>528</v>
      </c>
      <c r="D530" t="n">
        <v>1</v>
      </c>
      <c r="E530" t="n">
        <v>81.6023</v>
      </c>
      <c r="F530" t="n">
        <v>0.0326</v>
      </c>
    </row>
    <row r="531">
      <c r="A531" t="n">
        <v>1000529</v>
      </c>
      <c r="B531" t="n">
        <v>1</v>
      </c>
      <c r="C531" t="n">
        <v>529</v>
      </c>
      <c r="D531" t="n">
        <v>1</v>
      </c>
      <c r="E531" t="n">
        <v>81.6356</v>
      </c>
      <c r="F531" t="n">
        <v>0.03261</v>
      </c>
    </row>
    <row r="532">
      <c r="A532" t="n">
        <v>1000530</v>
      </c>
      <c r="B532" t="n">
        <v>1</v>
      </c>
      <c r="C532" t="n">
        <v>530</v>
      </c>
      <c r="D532" t="n">
        <v>1</v>
      </c>
      <c r="E532" t="n">
        <v>81.66889999999999</v>
      </c>
      <c r="F532" t="n">
        <v>0.03261</v>
      </c>
    </row>
    <row r="533">
      <c r="A533" t="n">
        <v>1000531</v>
      </c>
      <c r="B533" t="n">
        <v>1</v>
      </c>
      <c r="C533" t="n">
        <v>531</v>
      </c>
      <c r="D533" t="n">
        <v>1</v>
      </c>
      <c r="E533" t="n">
        <v>81.7021</v>
      </c>
      <c r="F533" t="n">
        <v>0.03262</v>
      </c>
    </row>
    <row r="534">
      <c r="A534" t="n">
        <v>1000532</v>
      </c>
      <c r="B534" t="n">
        <v>1</v>
      </c>
      <c r="C534" t="n">
        <v>532</v>
      </c>
      <c r="D534" t="n">
        <v>1</v>
      </c>
      <c r="E534" t="n">
        <v>81.7353</v>
      </c>
      <c r="F534" t="n">
        <v>0.03263</v>
      </c>
    </row>
    <row r="535">
      <c r="A535" t="n">
        <v>1000533</v>
      </c>
      <c r="B535" t="n">
        <v>1</v>
      </c>
      <c r="C535" t="n">
        <v>533</v>
      </c>
      <c r="D535" t="n">
        <v>1</v>
      </c>
      <c r="E535" t="n">
        <v>81.7685</v>
      </c>
      <c r="F535" t="n">
        <v>0.03264</v>
      </c>
    </row>
    <row r="536">
      <c r="A536" t="n">
        <v>1000534</v>
      </c>
      <c r="B536" t="n">
        <v>1</v>
      </c>
      <c r="C536" t="n">
        <v>534</v>
      </c>
      <c r="D536" t="n">
        <v>1</v>
      </c>
      <c r="E536" t="n">
        <v>81.8017</v>
      </c>
      <c r="F536" t="n">
        <v>0.03265</v>
      </c>
    </row>
    <row r="537">
      <c r="A537" t="n">
        <v>1000535</v>
      </c>
      <c r="B537" t="n">
        <v>1</v>
      </c>
      <c r="C537" t="n">
        <v>535</v>
      </c>
      <c r="D537" t="n">
        <v>1</v>
      </c>
      <c r="E537" t="n">
        <v>81.8348</v>
      </c>
      <c r="F537" t="n">
        <v>0.03266</v>
      </c>
    </row>
    <row r="538">
      <c r="A538" t="n">
        <v>1000536</v>
      </c>
      <c r="B538" t="n">
        <v>1</v>
      </c>
      <c r="C538" t="n">
        <v>536</v>
      </c>
      <c r="D538" t="n">
        <v>1</v>
      </c>
      <c r="E538" t="n">
        <v>81.86790000000001</v>
      </c>
      <c r="F538" t="n">
        <v>0.03267</v>
      </c>
    </row>
    <row r="539">
      <c r="A539" t="n">
        <v>1000537</v>
      </c>
      <c r="B539" t="n">
        <v>1</v>
      </c>
      <c r="C539" t="n">
        <v>537</v>
      </c>
      <c r="D539" t="n">
        <v>1</v>
      </c>
      <c r="E539" t="n">
        <v>81.90089999999999</v>
      </c>
      <c r="F539" t="n">
        <v>0.03268</v>
      </c>
    </row>
    <row r="540">
      <c r="A540" t="n">
        <v>1000538</v>
      </c>
      <c r="B540" t="n">
        <v>1</v>
      </c>
      <c r="C540" t="n">
        <v>538</v>
      </c>
      <c r="D540" t="n">
        <v>1</v>
      </c>
      <c r="E540" t="n">
        <v>81.934</v>
      </c>
      <c r="F540" t="n">
        <v>0.03269</v>
      </c>
    </row>
    <row r="541">
      <c r="A541" t="n">
        <v>1000539</v>
      </c>
      <c r="B541" t="n">
        <v>1</v>
      </c>
      <c r="C541" t="n">
        <v>539</v>
      </c>
      <c r="D541" t="n">
        <v>1</v>
      </c>
      <c r="E541" t="n">
        <v>81.967</v>
      </c>
      <c r="F541" t="n">
        <v>0.0327</v>
      </c>
    </row>
    <row r="542">
      <c r="A542" t="n">
        <v>1000540</v>
      </c>
      <c r="B542" t="n">
        <v>1</v>
      </c>
      <c r="C542" t="n">
        <v>540</v>
      </c>
      <c r="D542" t="n">
        <v>1</v>
      </c>
      <c r="E542" t="n">
        <v>82</v>
      </c>
      <c r="F542" t="n">
        <v>0.03271</v>
      </c>
    </row>
    <row r="543">
      <c r="A543" t="n">
        <v>1000541</v>
      </c>
      <c r="B543" t="n">
        <v>1</v>
      </c>
      <c r="C543" t="n">
        <v>541</v>
      </c>
      <c r="D543" t="n">
        <v>1</v>
      </c>
      <c r="E543" t="n">
        <v>82.0329</v>
      </c>
      <c r="F543" t="n">
        <v>0.03272</v>
      </c>
    </row>
    <row r="544">
      <c r="A544" t="n">
        <v>1000542</v>
      </c>
      <c r="B544" t="n">
        <v>1</v>
      </c>
      <c r="C544" t="n">
        <v>542</v>
      </c>
      <c r="D544" t="n">
        <v>1</v>
      </c>
      <c r="E544" t="n">
        <v>82.0659</v>
      </c>
      <c r="F544" t="n">
        <v>0.03273</v>
      </c>
    </row>
    <row r="545">
      <c r="A545" t="n">
        <v>1000543</v>
      </c>
      <c r="B545" t="n">
        <v>1</v>
      </c>
      <c r="C545" t="n">
        <v>543</v>
      </c>
      <c r="D545" t="n">
        <v>1</v>
      </c>
      <c r="E545" t="n">
        <v>82.09869999999999</v>
      </c>
      <c r="F545" t="n">
        <v>0.03274</v>
      </c>
    </row>
    <row r="546">
      <c r="A546" t="n">
        <v>1000544</v>
      </c>
      <c r="B546" t="n">
        <v>1</v>
      </c>
      <c r="C546" t="n">
        <v>544</v>
      </c>
      <c r="D546" t="n">
        <v>1</v>
      </c>
      <c r="E546" t="n">
        <v>82.13160000000001</v>
      </c>
      <c r="F546" t="n">
        <v>0.03275</v>
      </c>
    </row>
    <row r="547">
      <c r="A547" t="n">
        <v>1000545</v>
      </c>
      <c r="B547" t="n">
        <v>1</v>
      </c>
      <c r="C547" t="n">
        <v>545</v>
      </c>
      <c r="D547" t="n">
        <v>1</v>
      </c>
      <c r="E547" t="n">
        <v>82.1644</v>
      </c>
      <c r="F547" t="n">
        <v>0.03276</v>
      </c>
    </row>
    <row r="548">
      <c r="A548" t="n">
        <v>1000546</v>
      </c>
      <c r="B548" t="n">
        <v>1</v>
      </c>
      <c r="C548" t="n">
        <v>546</v>
      </c>
      <c r="D548" t="n">
        <v>1</v>
      </c>
      <c r="E548" t="n">
        <v>82.1973</v>
      </c>
      <c r="F548" t="n">
        <v>0.03277</v>
      </c>
    </row>
    <row r="549">
      <c r="A549" t="n">
        <v>1000547</v>
      </c>
      <c r="B549" t="n">
        <v>1</v>
      </c>
      <c r="C549" t="n">
        <v>547</v>
      </c>
      <c r="D549" t="n">
        <v>1</v>
      </c>
      <c r="E549" t="n">
        <v>82.23</v>
      </c>
      <c r="F549" t="n">
        <v>0.03278</v>
      </c>
    </row>
    <row r="550">
      <c r="A550" t="n">
        <v>1000548</v>
      </c>
      <c r="B550" t="n">
        <v>1</v>
      </c>
      <c r="C550" t="n">
        <v>548</v>
      </c>
      <c r="D550" t="n">
        <v>1</v>
      </c>
      <c r="E550" t="n">
        <v>82.2628</v>
      </c>
      <c r="F550" t="n">
        <v>0.03279</v>
      </c>
    </row>
    <row r="551">
      <c r="A551" t="n">
        <v>1000549</v>
      </c>
      <c r="B551" t="n">
        <v>1</v>
      </c>
      <c r="C551" t="n">
        <v>549</v>
      </c>
      <c r="D551" t="n">
        <v>1</v>
      </c>
      <c r="E551" t="n">
        <v>82.2955</v>
      </c>
      <c r="F551" t="n">
        <v>0.0328</v>
      </c>
    </row>
    <row r="552">
      <c r="A552" t="n">
        <v>1000550</v>
      </c>
      <c r="B552" t="n">
        <v>1</v>
      </c>
      <c r="C552" t="n">
        <v>550</v>
      </c>
      <c r="D552" t="n">
        <v>1</v>
      </c>
      <c r="E552" t="n">
        <v>82.3282</v>
      </c>
      <c r="F552" t="n">
        <v>0.03281</v>
      </c>
    </row>
    <row r="553">
      <c r="A553" t="n">
        <v>1000551</v>
      </c>
      <c r="B553" t="n">
        <v>1</v>
      </c>
      <c r="C553" t="n">
        <v>551</v>
      </c>
      <c r="D553" t="n">
        <v>1</v>
      </c>
      <c r="E553" t="n">
        <v>82.3609</v>
      </c>
      <c r="F553" t="n">
        <v>0.03282</v>
      </c>
    </row>
    <row r="554">
      <c r="A554" t="n">
        <v>1000552</v>
      </c>
      <c r="B554" t="n">
        <v>1</v>
      </c>
      <c r="C554" t="n">
        <v>552</v>
      </c>
      <c r="D554" t="n">
        <v>1</v>
      </c>
      <c r="E554" t="n">
        <v>82.3935</v>
      </c>
      <c r="F554" t="n">
        <v>0.03283</v>
      </c>
    </row>
    <row r="555">
      <c r="A555" t="n">
        <v>1000553</v>
      </c>
      <c r="B555" t="n">
        <v>1</v>
      </c>
      <c r="C555" t="n">
        <v>553</v>
      </c>
      <c r="D555" t="n">
        <v>1</v>
      </c>
      <c r="E555" t="n">
        <v>82.42610000000001</v>
      </c>
      <c r="F555" t="n">
        <v>0.03284</v>
      </c>
    </row>
    <row r="556">
      <c r="A556" t="n">
        <v>1000554</v>
      </c>
      <c r="B556" t="n">
        <v>1</v>
      </c>
      <c r="C556" t="n">
        <v>554</v>
      </c>
      <c r="D556" t="n">
        <v>1</v>
      </c>
      <c r="E556" t="n">
        <v>82.45869999999999</v>
      </c>
      <c r="F556" t="n">
        <v>0.03285</v>
      </c>
    </row>
    <row r="557">
      <c r="A557" t="n">
        <v>1000555</v>
      </c>
      <c r="B557" t="n">
        <v>1</v>
      </c>
      <c r="C557" t="n">
        <v>555</v>
      </c>
      <c r="D557" t="n">
        <v>1</v>
      </c>
      <c r="E557" t="n">
        <v>82.49120000000001</v>
      </c>
      <c r="F557" t="n">
        <v>0.03286</v>
      </c>
    </row>
    <row r="558">
      <c r="A558" t="n">
        <v>1000556</v>
      </c>
      <c r="B558" t="n">
        <v>1</v>
      </c>
      <c r="C558" t="n">
        <v>556</v>
      </c>
      <c r="D558" t="n">
        <v>1</v>
      </c>
      <c r="E558" t="n">
        <v>82.52370000000001</v>
      </c>
      <c r="F558" t="n">
        <v>0.03287</v>
      </c>
    </row>
    <row r="559">
      <c r="A559" t="n">
        <v>1000557</v>
      </c>
      <c r="B559" t="n">
        <v>1</v>
      </c>
      <c r="C559" t="n">
        <v>557</v>
      </c>
      <c r="D559" t="n">
        <v>1</v>
      </c>
      <c r="E559" t="n">
        <v>82.5562</v>
      </c>
      <c r="F559" t="n">
        <v>0.03288</v>
      </c>
    </row>
    <row r="560">
      <c r="A560" t="n">
        <v>1000558</v>
      </c>
      <c r="B560" t="n">
        <v>1</v>
      </c>
      <c r="C560" t="n">
        <v>558</v>
      </c>
      <c r="D560" t="n">
        <v>1</v>
      </c>
      <c r="E560" t="n">
        <v>82.5887</v>
      </c>
      <c r="F560" t="n">
        <v>0.03289</v>
      </c>
    </row>
    <row r="561">
      <c r="A561" t="n">
        <v>1000559</v>
      </c>
      <c r="B561" t="n">
        <v>1</v>
      </c>
      <c r="C561" t="n">
        <v>559</v>
      </c>
      <c r="D561" t="n">
        <v>1</v>
      </c>
      <c r="E561" t="n">
        <v>82.6211</v>
      </c>
      <c r="F561" t="n">
        <v>0.0329</v>
      </c>
    </row>
    <row r="562">
      <c r="A562" t="n">
        <v>1000560</v>
      </c>
      <c r="B562" t="n">
        <v>1</v>
      </c>
      <c r="C562" t="n">
        <v>560</v>
      </c>
      <c r="D562" t="n">
        <v>1</v>
      </c>
      <c r="E562" t="n">
        <v>82.65349999999999</v>
      </c>
      <c r="F562" t="n">
        <v>0.03291</v>
      </c>
    </row>
    <row r="563">
      <c r="A563" t="n">
        <v>1000561</v>
      </c>
      <c r="B563" t="n">
        <v>1</v>
      </c>
      <c r="C563" t="n">
        <v>561</v>
      </c>
      <c r="D563" t="n">
        <v>1</v>
      </c>
      <c r="E563" t="n">
        <v>82.6859</v>
      </c>
      <c r="F563" t="n">
        <v>0.03292</v>
      </c>
    </row>
    <row r="564">
      <c r="A564" t="n">
        <v>1000562</v>
      </c>
      <c r="B564" t="n">
        <v>1</v>
      </c>
      <c r="C564" t="n">
        <v>562</v>
      </c>
      <c r="D564" t="n">
        <v>1</v>
      </c>
      <c r="E564" t="n">
        <v>82.7182</v>
      </c>
      <c r="F564" t="n">
        <v>0.03293</v>
      </c>
    </row>
    <row r="565">
      <c r="A565" t="n">
        <v>1000563</v>
      </c>
      <c r="B565" t="n">
        <v>1</v>
      </c>
      <c r="C565" t="n">
        <v>563</v>
      </c>
      <c r="D565" t="n">
        <v>1</v>
      </c>
      <c r="E565" t="n">
        <v>82.7505</v>
      </c>
      <c r="F565" t="n">
        <v>0.03294</v>
      </c>
    </row>
    <row r="566">
      <c r="A566" t="n">
        <v>1000564</v>
      </c>
      <c r="B566" t="n">
        <v>1</v>
      </c>
      <c r="C566" t="n">
        <v>564</v>
      </c>
      <c r="D566" t="n">
        <v>1</v>
      </c>
      <c r="E566" t="n">
        <v>82.78279999999999</v>
      </c>
      <c r="F566" t="n">
        <v>0.03295</v>
      </c>
    </row>
    <row r="567">
      <c r="A567" t="n">
        <v>1000565</v>
      </c>
      <c r="B567" t="n">
        <v>1</v>
      </c>
      <c r="C567" t="n">
        <v>565</v>
      </c>
      <c r="D567" t="n">
        <v>1</v>
      </c>
      <c r="E567" t="n">
        <v>82.8151</v>
      </c>
      <c r="F567" t="n">
        <v>0.03296</v>
      </c>
    </row>
    <row r="568">
      <c r="A568" t="n">
        <v>1000566</v>
      </c>
      <c r="B568" t="n">
        <v>1</v>
      </c>
      <c r="C568" t="n">
        <v>566</v>
      </c>
      <c r="D568" t="n">
        <v>1</v>
      </c>
      <c r="E568" t="n">
        <v>82.8473</v>
      </c>
      <c r="F568" t="n">
        <v>0.03297</v>
      </c>
    </row>
    <row r="569">
      <c r="A569" t="n">
        <v>1000567</v>
      </c>
      <c r="B569" t="n">
        <v>1</v>
      </c>
      <c r="C569" t="n">
        <v>567</v>
      </c>
      <c r="D569" t="n">
        <v>1</v>
      </c>
      <c r="E569" t="n">
        <v>82.87949999999999</v>
      </c>
      <c r="F569" t="n">
        <v>0.03298</v>
      </c>
    </row>
    <row r="570">
      <c r="A570" t="n">
        <v>1000568</v>
      </c>
      <c r="B570" t="n">
        <v>1</v>
      </c>
      <c r="C570" t="n">
        <v>568</v>
      </c>
      <c r="D570" t="n">
        <v>1</v>
      </c>
      <c r="E570" t="n">
        <v>82.9117</v>
      </c>
      <c r="F570" t="n">
        <v>0.03299</v>
      </c>
    </row>
    <row r="571">
      <c r="A571" t="n">
        <v>1000569</v>
      </c>
      <c r="B571" t="n">
        <v>1</v>
      </c>
      <c r="C571" t="n">
        <v>569</v>
      </c>
      <c r="D571" t="n">
        <v>1</v>
      </c>
      <c r="E571" t="n">
        <v>82.9438</v>
      </c>
      <c r="F571" t="n">
        <v>0.033</v>
      </c>
    </row>
    <row r="572">
      <c r="A572" t="n">
        <v>1000570</v>
      </c>
      <c r="B572" t="n">
        <v>1</v>
      </c>
      <c r="C572" t="n">
        <v>570</v>
      </c>
      <c r="D572" t="n">
        <v>1</v>
      </c>
      <c r="E572" t="n">
        <v>82.9759</v>
      </c>
      <c r="F572" t="n">
        <v>0.03301</v>
      </c>
    </row>
    <row r="573">
      <c r="A573" t="n">
        <v>1000571</v>
      </c>
      <c r="B573" t="n">
        <v>1</v>
      </c>
      <c r="C573" t="n">
        <v>571</v>
      </c>
      <c r="D573" t="n">
        <v>1</v>
      </c>
      <c r="E573" t="n">
        <v>83.008</v>
      </c>
      <c r="F573" t="n">
        <v>0.03302</v>
      </c>
    </row>
    <row r="574">
      <c r="A574" t="n">
        <v>1000572</v>
      </c>
      <c r="B574" t="n">
        <v>1</v>
      </c>
      <c r="C574" t="n">
        <v>572</v>
      </c>
      <c r="D574" t="n">
        <v>1</v>
      </c>
      <c r="E574" t="n">
        <v>83.04000000000001</v>
      </c>
      <c r="F574" t="n">
        <v>0.03303</v>
      </c>
    </row>
    <row r="575">
      <c r="A575" t="n">
        <v>1000573</v>
      </c>
      <c r="B575" t="n">
        <v>1</v>
      </c>
      <c r="C575" t="n">
        <v>573</v>
      </c>
      <c r="D575" t="n">
        <v>1</v>
      </c>
      <c r="E575" t="n">
        <v>83.07210000000001</v>
      </c>
      <c r="F575" t="n">
        <v>0.03304</v>
      </c>
    </row>
    <row r="576">
      <c r="A576" t="n">
        <v>1000574</v>
      </c>
      <c r="B576" t="n">
        <v>1</v>
      </c>
      <c r="C576" t="n">
        <v>574</v>
      </c>
      <c r="D576" t="n">
        <v>1</v>
      </c>
      <c r="E576" t="n">
        <v>83.1041</v>
      </c>
      <c r="F576" t="n">
        <v>0.03305</v>
      </c>
    </row>
    <row r="577">
      <c r="A577" t="n">
        <v>1000575</v>
      </c>
      <c r="B577" t="n">
        <v>1</v>
      </c>
      <c r="C577" t="n">
        <v>575</v>
      </c>
      <c r="D577" t="n">
        <v>1</v>
      </c>
      <c r="E577" t="n">
        <v>83.136</v>
      </c>
      <c r="F577" t="n">
        <v>0.03306</v>
      </c>
    </row>
    <row r="578">
      <c r="A578" t="n">
        <v>1000576</v>
      </c>
      <c r="B578" t="n">
        <v>1</v>
      </c>
      <c r="C578" t="n">
        <v>576</v>
      </c>
      <c r="D578" t="n">
        <v>1</v>
      </c>
      <c r="E578" t="n">
        <v>83.16800000000001</v>
      </c>
      <c r="F578" t="n">
        <v>0.03308</v>
      </c>
    </row>
    <row r="579">
      <c r="A579" t="n">
        <v>1000577</v>
      </c>
      <c r="B579" t="n">
        <v>1</v>
      </c>
      <c r="C579" t="n">
        <v>577</v>
      </c>
      <c r="D579" t="n">
        <v>1</v>
      </c>
      <c r="E579" t="n">
        <v>83.1999</v>
      </c>
      <c r="F579" t="n">
        <v>0.03309</v>
      </c>
    </row>
    <row r="580">
      <c r="A580" t="n">
        <v>1000578</v>
      </c>
      <c r="B580" t="n">
        <v>1</v>
      </c>
      <c r="C580" t="n">
        <v>578</v>
      </c>
      <c r="D580" t="n">
        <v>1</v>
      </c>
      <c r="E580" t="n">
        <v>83.23180000000001</v>
      </c>
      <c r="F580" t="n">
        <v>0.0331</v>
      </c>
    </row>
    <row r="581">
      <c r="A581" t="n">
        <v>1000579</v>
      </c>
      <c r="B581" t="n">
        <v>1</v>
      </c>
      <c r="C581" t="n">
        <v>579</v>
      </c>
      <c r="D581" t="n">
        <v>1</v>
      </c>
      <c r="E581" t="n">
        <v>83.2637</v>
      </c>
      <c r="F581" t="n">
        <v>0.03311</v>
      </c>
    </row>
    <row r="582">
      <c r="A582" t="n">
        <v>1000580</v>
      </c>
      <c r="B582" t="n">
        <v>1</v>
      </c>
      <c r="C582" t="n">
        <v>580</v>
      </c>
      <c r="D582" t="n">
        <v>1</v>
      </c>
      <c r="E582" t="n">
        <v>83.2955</v>
      </c>
      <c r="F582" t="n">
        <v>0.03312</v>
      </c>
    </row>
    <row r="583">
      <c r="A583" t="n">
        <v>1000581</v>
      </c>
      <c r="B583" t="n">
        <v>1</v>
      </c>
      <c r="C583" t="n">
        <v>581</v>
      </c>
      <c r="D583" t="n">
        <v>1</v>
      </c>
      <c r="E583" t="n">
        <v>83.32729999999999</v>
      </c>
      <c r="F583" t="n">
        <v>0.03313</v>
      </c>
    </row>
    <row r="584">
      <c r="A584" t="n">
        <v>1000582</v>
      </c>
      <c r="B584" t="n">
        <v>1</v>
      </c>
      <c r="C584" t="n">
        <v>582</v>
      </c>
      <c r="D584" t="n">
        <v>1</v>
      </c>
      <c r="E584" t="n">
        <v>83.3591</v>
      </c>
      <c r="F584" t="n">
        <v>0.03314</v>
      </c>
    </row>
    <row r="585">
      <c r="A585" t="n">
        <v>1000583</v>
      </c>
      <c r="B585" t="n">
        <v>1</v>
      </c>
      <c r="C585" t="n">
        <v>583</v>
      </c>
      <c r="D585" t="n">
        <v>1</v>
      </c>
      <c r="E585" t="n">
        <v>83.3908</v>
      </c>
      <c r="F585" t="n">
        <v>0.03315</v>
      </c>
    </row>
    <row r="586">
      <c r="A586" t="n">
        <v>1000584</v>
      </c>
      <c r="B586" t="n">
        <v>1</v>
      </c>
      <c r="C586" t="n">
        <v>584</v>
      </c>
      <c r="D586" t="n">
        <v>1</v>
      </c>
      <c r="E586" t="n">
        <v>83.4226</v>
      </c>
      <c r="F586" t="n">
        <v>0.03316</v>
      </c>
    </row>
    <row r="587">
      <c r="A587" t="n">
        <v>1000585</v>
      </c>
      <c r="B587" t="n">
        <v>1</v>
      </c>
      <c r="C587" t="n">
        <v>585</v>
      </c>
      <c r="D587" t="n">
        <v>1</v>
      </c>
      <c r="E587" t="n">
        <v>83.4543</v>
      </c>
      <c r="F587" t="n">
        <v>0.03317</v>
      </c>
    </row>
    <row r="588">
      <c r="A588" t="n">
        <v>1000586</v>
      </c>
      <c r="B588" t="n">
        <v>1</v>
      </c>
      <c r="C588" t="n">
        <v>586</v>
      </c>
      <c r="D588" t="n">
        <v>1</v>
      </c>
      <c r="E588" t="n">
        <v>83.4859</v>
      </c>
      <c r="F588" t="n">
        <v>0.03318</v>
      </c>
    </row>
    <row r="589">
      <c r="A589" t="n">
        <v>1000587</v>
      </c>
      <c r="B589" t="n">
        <v>1</v>
      </c>
      <c r="C589" t="n">
        <v>587</v>
      </c>
      <c r="D589" t="n">
        <v>1</v>
      </c>
      <c r="E589" t="n">
        <v>83.5176</v>
      </c>
      <c r="F589" t="n">
        <v>0.03319</v>
      </c>
    </row>
    <row r="590">
      <c r="A590" t="n">
        <v>1000588</v>
      </c>
      <c r="B590" t="n">
        <v>1</v>
      </c>
      <c r="C590" t="n">
        <v>588</v>
      </c>
      <c r="D590" t="n">
        <v>1</v>
      </c>
      <c r="E590" t="n">
        <v>83.5492</v>
      </c>
      <c r="F590" t="n">
        <v>0.0332</v>
      </c>
    </row>
    <row r="591">
      <c r="A591" t="n">
        <v>1000589</v>
      </c>
      <c r="B591" t="n">
        <v>1</v>
      </c>
      <c r="C591" t="n">
        <v>589</v>
      </c>
      <c r="D591" t="n">
        <v>1</v>
      </c>
      <c r="E591" t="n">
        <v>83.5808</v>
      </c>
      <c r="F591" t="n">
        <v>0.03321</v>
      </c>
    </row>
    <row r="592">
      <c r="A592" t="n">
        <v>1000590</v>
      </c>
      <c r="B592" t="n">
        <v>1</v>
      </c>
      <c r="C592" t="n">
        <v>590</v>
      </c>
      <c r="D592" t="n">
        <v>1</v>
      </c>
      <c r="E592" t="n">
        <v>83.61239999999999</v>
      </c>
      <c r="F592" t="n">
        <v>0.03322</v>
      </c>
    </row>
    <row r="593">
      <c r="A593" t="n">
        <v>1000591</v>
      </c>
      <c r="B593" t="n">
        <v>1</v>
      </c>
      <c r="C593" t="n">
        <v>591</v>
      </c>
      <c r="D593" t="n">
        <v>1</v>
      </c>
      <c r="E593" t="n">
        <v>83.6439</v>
      </c>
      <c r="F593" t="n">
        <v>0.03323</v>
      </c>
    </row>
    <row r="594">
      <c r="A594" t="n">
        <v>1000592</v>
      </c>
      <c r="B594" t="n">
        <v>1</v>
      </c>
      <c r="C594" t="n">
        <v>592</v>
      </c>
      <c r="D594" t="n">
        <v>1</v>
      </c>
      <c r="E594" t="n">
        <v>83.6754</v>
      </c>
      <c r="F594" t="n">
        <v>0.03324</v>
      </c>
    </row>
    <row r="595">
      <c r="A595" t="n">
        <v>1000593</v>
      </c>
      <c r="B595" t="n">
        <v>1</v>
      </c>
      <c r="C595" t="n">
        <v>593</v>
      </c>
      <c r="D595" t="n">
        <v>1</v>
      </c>
      <c r="E595" t="n">
        <v>83.7069</v>
      </c>
      <c r="F595" t="n">
        <v>0.03325</v>
      </c>
    </row>
    <row r="596">
      <c r="A596" t="n">
        <v>1000594</v>
      </c>
      <c r="B596" t="n">
        <v>1</v>
      </c>
      <c r="C596" t="n">
        <v>594</v>
      </c>
      <c r="D596" t="n">
        <v>1</v>
      </c>
      <c r="E596" t="n">
        <v>83.7384</v>
      </c>
      <c r="F596" t="n">
        <v>0.03326</v>
      </c>
    </row>
    <row r="597">
      <c r="A597" t="n">
        <v>1000595</v>
      </c>
      <c r="B597" t="n">
        <v>1</v>
      </c>
      <c r="C597" t="n">
        <v>595</v>
      </c>
      <c r="D597" t="n">
        <v>1</v>
      </c>
      <c r="E597" t="n">
        <v>83.7698</v>
      </c>
      <c r="F597" t="n">
        <v>0.03327</v>
      </c>
    </row>
    <row r="598">
      <c r="A598" t="n">
        <v>1000596</v>
      </c>
      <c r="B598" t="n">
        <v>1</v>
      </c>
      <c r="C598" t="n">
        <v>596</v>
      </c>
      <c r="D598" t="n">
        <v>1</v>
      </c>
      <c r="E598" t="n">
        <v>83.80119999999999</v>
      </c>
      <c r="F598" t="n">
        <v>0.03329</v>
      </c>
    </row>
    <row r="599">
      <c r="A599" t="n">
        <v>1000597</v>
      </c>
      <c r="B599" t="n">
        <v>1</v>
      </c>
      <c r="C599" t="n">
        <v>597</v>
      </c>
      <c r="D599" t="n">
        <v>1</v>
      </c>
      <c r="E599" t="n">
        <v>83.8326</v>
      </c>
      <c r="F599" t="n">
        <v>0.0333</v>
      </c>
    </row>
    <row r="600">
      <c r="A600" t="n">
        <v>1000598</v>
      </c>
      <c r="B600" t="n">
        <v>1</v>
      </c>
      <c r="C600" t="n">
        <v>598</v>
      </c>
      <c r="D600" t="n">
        <v>1</v>
      </c>
      <c r="E600" t="n">
        <v>83.864</v>
      </c>
      <c r="F600" t="n">
        <v>0.03331</v>
      </c>
    </row>
    <row r="601">
      <c r="A601" t="n">
        <v>1000599</v>
      </c>
      <c r="B601" t="n">
        <v>1</v>
      </c>
      <c r="C601" t="n">
        <v>599</v>
      </c>
      <c r="D601" t="n">
        <v>1</v>
      </c>
      <c r="E601" t="n">
        <v>83.89530000000001</v>
      </c>
      <c r="F601" t="n">
        <v>0.03332</v>
      </c>
    </row>
    <row r="602">
      <c r="A602" t="n">
        <v>1000600</v>
      </c>
      <c r="B602" t="n">
        <v>1</v>
      </c>
      <c r="C602" t="n">
        <v>600</v>
      </c>
      <c r="D602" t="n">
        <v>1</v>
      </c>
      <c r="E602" t="n">
        <v>83.9267</v>
      </c>
      <c r="F602" t="n">
        <v>0.03333</v>
      </c>
    </row>
    <row r="603">
      <c r="A603" t="n">
        <v>1000601</v>
      </c>
      <c r="B603" t="n">
        <v>1</v>
      </c>
      <c r="C603" t="n">
        <v>601</v>
      </c>
      <c r="D603" t="n">
        <v>1</v>
      </c>
      <c r="E603" t="n">
        <v>83.9579</v>
      </c>
      <c r="F603" t="n">
        <v>0.03334</v>
      </c>
    </row>
    <row r="604">
      <c r="A604" t="n">
        <v>1000602</v>
      </c>
      <c r="B604" t="n">
        <v>1</v>
      </c>
      <c r="C604" t="n">
        <v>602</v>
      </c>
      <c r="D604" t="n">
        <v>1</v>
      </c>
      <c r="E604" t="n">
        <v>83.9892</v>
      </c>
      <c r="F604" t="n">
        <v>0.03335</v>
      </c>
    </row>
    <row r="605">
      <c r="A605" t="n">
        <v>1000603</v>
      </c>
      <c r="B605" t="n">
        <v>1</v>
      </c>
      <c r="C605" t="n">
        <v>603</v>
      </c>
      <c r="D605" t="n">
        <v>1</v>
      </c>
      <c r="E605" t="n">
        <v>84.0205</v>
      </c>
      <c r="F605" t="n">
        <v>0.03336</v>
      </c>
    </row>
    <row r="606">
      <c r="A606" t="n">
        <v>1000604</v>
      </c>
      <c r="B606" t="n">
        <v>1</v>
      </c>
      <c r="C606" t="n">
        <v>604</v>
      </c>
      <c r="D606" t="n">
        <v>1</v>
      </c>
      <c r="E606" t="n">
        <v>84.0517</v>
      </c>
      <c r="F606" t="n">
        <v>0.03337</v>
      </c>
    </row>
    <row r="607">
      <c r="A607" t="n">
        <v>1000605</v>
      </c>
      <c r="B607" t="n">
        <v>1</v>
      </c>
      <c r="C607" t="n">
        <v>605</v>
      </c>
      <c r="D607" t="n">
        <v>1</v>
      </c>
      <c r="E607" t="n">
        <v>84.0829</v>
      </c>
      <c r="F607" t="n">
        <v>0.03338</v>
      </c>
    </row>
    <row r="608">
      <c r="A608" t="n">
        <v>1000606</v>
      </c>
      <c r="B608" t="n">
        <v>1</v>
      </c>
      <c r="C608" t="n">
        <v>606</v>
      </c>
      <c r="D608" t="n">
        <v>1</v>
      </c>
      <c r="E608" t="n">
        <v>84.114</v>
      </c>
      <c r="F608" t="n">
        <v>0.03339</v>
      </c>
    </row>
    <row r="609">
      <c r="A609" t="n">
        <v>1000607</v>
      </c>
      <c r="B609" t="n">
        <v>1</v>
      </c>
      <c r="C609" t="n">
        <v>607</v>
      </c>
      <c r="D609" t="n">
        <v>1</v>
      </c>
      <c r="E609" t="n">
        <v>84.1452</v>
      </c>
      <c r="F609" t="n">
        <v>0.0334</v>
      </c>
    </row>
    <row r="610">
      <c r="A610" t="n">
        <v>1000608</v>
      </c>
      <c r="B610" t="n">
        <v>1</v>
      </c>
      <c r="C610" t="n">
        <v>608</v>
      </c>
      <c r="D610" t="n">
        <v>1</v>
      </c>
      <c r="E610" t="n">
        <v>84.1763</v>
      </c>
      <c r="F610" t="n">
        <v>0.03341</v>
      </c>
    </row>
    <row r="611">
      <c r="A611" t="n">
        <v>1000609</v>
      </c>
      <c r="B611" t="n">
        <v>1</v>
      </c>
      <c r="C611" t="n">
        <v>609</v>
      </c>
      <c r="D611" t="n">
        <v>1</v>
      </c>
      <c r="E611" t="n">
        <v>84.20740000000001</v>
      </c>
      <c r="F611" t="n">
        <v>0.03342</v>
      </c>
    </row>
    <row r="612">
      <c r="A612" t="n">
        <v>1000610</v>
      </c>
      <c r="B612" t="n">
        <v>1</v>
      </c>
      <c r="C612" t="n">
        <v>610</v>
      </c>
      <c r="D612" t="n">
        <v>1</v>
      </c>
      <c r="E612" t="n">
        <v>84.2385</v>
      </c>
      <c r="F612" t="n">
        <v>0.03344</v>
      </c>
    </row>
    <row r="613">
      <c r="A613" t="n">
        <v>1000611</v>
      </c>
      <c r="B613" t="n">
        <v>1</v>
      </c>
      <c r="C613" t="n">
        <v>611</v>
      </c>
      <c r="D613" t="n">
        <v>1</v>
      </c>
      <c r="E613" t="n">
        <v>84.26949999999999</v>
      </c>
      <c r="F613" t="n">
        <v>0.03345</v>
      </c>
    </row>
    <row r="614">
      <c r="A614" t="n">
        <v>1000612</v>
      </c>
      <c r="B614" t="n">
        <v>1</v>
      </c>
      <c r="C614" t="n">
        <v>612</v>
      </c>
      <c r="D614" t="n">
        <v>1</v>
      </c>
      <c r="E614" t="n">
        <v>84.3006</v>
      </c>
      <c r="F614" t="n">
        <v>0.03346</v>
      </c>
    </row>
    <row r="615">
      <c r="A615" t="n">
        <v>1000613</v>
      </c>
      <c r="B615" t="n">
        <v>1</v>
      </c>
      <c r="C615" t="n">
        <v>613</v>
      </c>
      <c r="D615" t="n">
        <v>1</v>
      </c>
      <c r="E615" t="n">
        <v>84.33159999999999</v>
      </c>
      <c r="F615" t="n">
        <v>0.03347</v>
      </c>
    </row>
    <row r="616">
      <c r="A616" t="n">
        <v>1000614</v>
      </c>
      <c r="B616" t="n">
        <v>1</v>
      </c>
      <c r="C616" t="n">
        <v>614</v>
      </c>
      <c r="D616" t="n">
        <v>1</v>
      </c>
      <c r="E616" t="n">
        <v>84.3626</v>
      </c>
      <c r="F616" t="n">
        <v>0.03348</v>
      </c>
    </row>
    <row r="617">
      <c r="A617" t="n">
        <v>1000615</v>
      </c>
      <c r="B617" t="n">
        <v>1</v>
      </c>
      <c r="C617" t="n">
        <v>615</v>
      </c>
      <c r="D617" t="n">
        <v>1</v>
      </c>
      <c r="E617" t="n">
        <v>84.3935</v>
      </c>
      <c r="F617" t="n">
        <v>0.03349</v>
      </c>
    </row>
    <row r="618">
      <c r="A618" t="n">
        <v>1000616</v>
      </c>
      <c r="B618" t="n">
        <v>1</v>
      </c>
      <c r="C618" t="n">
        <v>616</v>
      </c>
      <c r="D618" t="n">
        <v>1</v>
      </c>
      <c r="E618" t="n">
        <v>84.42449999999999</v>
      </c>
      <c r="F618" t="n">
        <v>0.0335</v>
      </c>
    </row>
    <row r="619">
      <c r="A619" t="n">
        <v>1000617</v>
      </c>
      <c r="B619" t="n">
        <v>1</v>
      </c>
      <c r="C619" t="n">
        <v>617</v>
      </c>
      <c r="D619" t="n">
        <v>1</v>
      </c>
      <c r="E619" t="n">
        <v>84.4554</v>
      </c>
      <c r="F619" t="n">
        <v>0.03351</v>
      </c>
    </row>
    <row r="620">
      <c r="A620" t="n">
        <v>1000618</v>
      </c>
      <c r="B620" t="n">
        <v>1</v>
      </c>
      <c r="C620" t="n">
        <v>618</v>
      </c>
      <c r="D620" t="n">
        <v>1</v>
      </c>
      <c r="E620" t="n">
        <v>84.4862</v>
      </c>
      <c r="F620" t="n">
        <v>0.03352</v>
      </c>
    </row>
    <row r="621">
      <c r="A621" t="n">
        <v>1000619</v>
      </c>
      <c r="B621" t="n">
        <v>1</v>
      </c>
      <c r="C621" t="n">
        <v>619</v>
      </c>
      <c r="D621" t="n">
        <v>1</v>
      </c>
      <c r="E621" t="n">
        <v>84.5171</v>
      </c>
      <c r="F621" t="n">
        <v>0.03353</v>
      </c>
    </row>
    <row r="622">
      <c r="A622" t="n">
        <v>1000620</v>
      </c>
      <c r="B622" t="n">
        <v>1</v>
      </c>
      <c r="C622" t="n">
        <v>620</v>
      </c>
      <c r="D622" t="n">
        <v>1</v>
      </c>
      <c r="E622" t="n">
        <v>84.5479</v>
      </c>
      <c r="F622" t="n">
        <v>0.03354</v>
      </c>
    </row>
    <row r="623">
      <c r="A623" t="n">
        <v>1000621</v>
      </c>
      <c r="B623" t="n">
        <v>1</v>
      </c>
      <c r="C623" t="n">
        <v>621</v>
      </c>
      <c r="D623" t="n">
        <v>1</v>
      </c>
      <c r="E623" t="n">
        <v>84.5787</v>
      </c>
      <c r="F623" t="n">
        <v>0.03356</v>
      </c>
    </row>
    <row r="624">
      <c r="A624" t="n">
        <v>1000622</v>
      </c>
      <c r="B624" t="n">
        <v>1</v>
      </c>
      <c r="C624" t="n">
        <v>622</v>
      </c>
      <c r="D624" t="n">
        <v>1</v>
      </c>
      <c r="E624" t="n">
        <v>84.6095</v>
      </c>
      <c r="F624" t="n">
        <v>0.03357</v>
      </c>
    </row>
    <row r="625">
      <c r="A625" t="n">
        <v>1000623</v>
      </c>
      <c r="B625" t="n">
        <v>1</v>
      </c>
      <c r="C625" t="n">
        <v>623</v>
      </c>
      <c r="D625" t="n">
        <v>1</v>
      </c>
      <c r="E625" t="n">
        <v>84.6403</v>
      </c>
      <c r="F625" t="n">
        <v>0.03358</v>
      </c>
    </row>
    <row r="626">
      <c r="A626" t="n">
        <v>1000624</v>
      </c>
      <c r="B626" t="n">
        <v>1</v>
      </c>
      <c r="C626" t="n">
        <v>624</v>
      </c>
      <c r="D626" t="n">
        <v>1</v>
      </c>
      <c r="E626" t="n">
        <v>84.67100000000001</v>
      </c>
      <c r="F626" t="n">
        <v>0.03359</v>
      </c>
    </row>
    <row r="627">
      <c r="A627" t="n">
        <v>1000625</v>
      </c>
      <c r="B627" t="n">
        <v>1</v>
      </c>
      <c r="C627" t="n">
        <v>625</v>
      </c>
      <c r="D627" t="n">
        <v>1</v>
      </c>
      <c r="E627" t="n">
        <v>84.7017</v>
      </c>
      <c r="F627" t="n">
        <v>0.0336</v>
      </c>
    </row>
    <row r="628">
      <c r="A628" t="n">
        <v>1000626</v>
      </c>
      <c r="B628" t="n">
        <v>1</v>
      </c>
      <c r="C628" t="n">
        <v>626</v>
      </c>
      <c r="D628" t="n">
        <v>1</v>
      </c>
      <c r="E628" t="n">
        <v>84.7324</v>
      </c>
      <c r="F628" t="n">
        <v>0.03361</v>
      </c>
    </row>
    <row r="629">
      <c r="A629" t="n">
        <v>1000627</v>
      </c>
      <c r="B629" t="n">
        <v>1</v>
      </c>
      <c r="C629" t="n">
        <v>627</v>
      </c>
      <c r="D629" t="n">
        <v>1</v>
      </c>
      <c r="E629" t="n">
        <v>84.76309999999999</v>
      </c>
      <c r="F629" t="n">
        <v>0.03362</v>
      </c>
    </row>
    <row r="630">
      <c r="A630" t="n">
        <v>1000628</v>
      </c>
      <c r="B630" t="n">
        <v>1</v>
      </c>
      <c r="C630" t="n">
        <v>628</v>
      </c>
      <c r="D630" t="n">
        <v>1</v>
      </c>
      <c r="E630" t="n">
        <v>84.7937</v>
      </c>
      <c r="F630" t="n">
        <v>0.03363</v>
      </c>
    </row>
    <row r="631">
      <c r="A631" t="n">
        <v>1000629</v>
      </c>
      <c r="B631" t="n">
        <v>1</v>
      </c>
      <c r="C631" t="n">
        <v>629</v>
      </c>
      <c r="D631" t="n">
        <v>1</v>
      </c>
      <c r="E631" t="n">
        <v>84.82429999999999</v>
      </c>
      <c r="F631" t="n">
        <v>0.03364</v>
      </c>
    </row>
    <row r="632">
      <c r="A632" t="n">
        <v>1000630</v>
      </c>
      <c r="B632" t="n">
        <v>1</v>
      </c>
      <c r="C632" t="n">
        <v>630</v>
      </c>
      <c r="D632" t="n">
        <v>1</v>
      </c>
      <c r="E632" t="n">
        <v>84.8549</v>
      </c>
      <c r="F632" t="n">
        <v>0.03365</v>
      </c>
    </row>
    <row r="633">
      <c r="A633" t="n">
        <v>1000631</v>
      </c>
      <c r="B633" t="n">
        <v>1</v>
      </c>
      <c r="C633" t="n">
        <v>631</v>
      </c>
      <c r="D633" t="n">
        <v>1</v>
      </c>
      <c r="E633" t="n">
        <v>84.88549999999999</v>
      </c>
      <c r="F633" t="n">
        <v>0.03367</v>
      </c>
    </row>
    <row r="634">
      <c r="A634" t="n">
        <v>1000632</v>
      </c>
      <c r="B634" t="n">
        <v>1</v>
      </c>
      <c r="C634" t="n">
        <v>632</v>
      </c>
      <c r="D634" t="n">
        <v>1</v>
      </c>
      <c r="E634" t="n">
        <v>84.916</v>
      </c>
      <c r="F634" t="n">
        <v>0.03368</v>
      </c>
    </row>
    <row r="635">
      <c r="A635" t="n">
        <v>1000633</v>
      </c>
      <c r="B635" t="n">
        <v>1</v>
      </c>
      <c r="C635" t="n">
        <v>633</v>
      </c>
      <c r="D635" t="n">
        <v>1</v>
      </c>
      <c r="E635" t="n">
        <v>84.9465</v>
      </c>
      <c r="F635" t="n">
        <v>0.03369</v>
      </c>
    </row>
    <row r="636">
      <c r="A636" t="n">
        <v>1000634</v>
      </c>
      <c r="B636" t="n">
        <v>1</v>
      </c>
      <c r="C636" t="n">
        <v>634</v>
      </c>
      <c r="D636" t="n">
        <v>1</v>
      </c>
      <c r="E636" t="n">
        <v>84.977</v>
      </c>
      <c r="F636" t="n">
        <v>0.0337</v>
      </c>
    </row>
    <row r="637">
      <c r="A637" t="n">
        <v>1000635</v>
      </c>
      <c r="B637" t="n">
        <v>1</v>
      </c>
      <c r="C637" t="n">
        <v>635</v>
      </c>
      <c r="D637" t="n">
        <v>1</v>
      </c>
      <c r="E637" t="n">
        <v>85.00749999999999</v>
      </c>
      <c r="F637" t="n">
        <v>0.03371</v>
      </c>
    </row>
    <row r="638">
      <c r="A638" t="n">
        <v>1000636</v>
      </c>
      <c r="B638" t="n">
        <v>1</v>
      </c>
      <c r="C638" t="n">
        <v>636</v>
      </c>
      <c r="D638" t="n">
        <v>1</v>
      </c>
      <c r="E638" t="n">
        <v>85.03789999999999</v>
      </c>
      <c r="F638" t="n">
        <v>0.03372</v>
      </c>
    </row>
    <row r="639">
      <c r="A639" t="n">
        <v>1000637</v>
      </c>
      <c r="B639" t="n">
        <v>1</v>
      </c>
      <c r="C639" t="n">
        <v>637</v>
      </c>
      <c r="D639" t="n">
        <v>1</v>
      </c>
      <c r="E639" t="n">
        <v>85.06829999999999</v>
      </c>
      <c r="F639" t="n">
        <v>0.03373</v>
      </c>
    </row>
    <row r="640">
      <c r="A640" t="n">
        <v>1000638</v>
      </c>
      <c r="B640" t="n">
        <v>1</v>
      </c>
      <c r="C640" t="n">
        <v>638</v>
      </c>
      <c r="D640" t="n">
        <v>1</v>
      </c>
      <c r="E640" t="n">
        <v>85.09869999999999</v>
      </c>
      <c r="F640" t="n">
        <v>0.03374</v>
      </c>
    </row>
    <row r="641">
      <c r="A641" t="n">
        <v>1000639</v>
      </c>
      <c r="B641" t="n">
        <v>1</v>
      </c>
      <c r="C641" t="n">
        <v>639</v>
      </c>
      <c r="D641" t="n">
        <v>1</v>
      </c>
      <c r="E641" t="n">
        <v>85.12909999999999</v>
      </c>
      <c r="F641" t="n">
        <v>0.03375</v>
      </c>
    </row>
    <row r="642">
      <c r="A642" t="n">
        <v>1000640</v>
      </c>
      <c r="B642" t="n">
        <v>1</v>
      </c>
      <c r="C642" t="n">
        <v>640</v>
      </c>
      <c r="D642" t="n">
        <v>1</v>
      </c>
      <c r="E642" t="n">
        <v>85.15940000000001</v>
      </c>
      <c r="F642" t="n">
        <v>0.03377</v>
      </c>
    </row>
    <row r="643">
      <c r="A643" t="n">
        <v>1000641</v>
      </c>
      <c r="B643" t="n">
        <v>1</v>
      </c>
      <c r="C643" t="n">
        <v>641</v>
      </c>
      <c r="D643" t="n">
        <v>1</v>
      </c>
      <c r="E643" t="n">
        <v>85.1897</v>
      </c>
      <c r="F643" t="n">
        <v>0.03378</v>
      </c>
    </row>
    <row r="644">
      <c r="A644" t="n">
        <v>1000642</v>
      </c>
      <c r="B644" t="n">
        <v>1</v>
      </c>
      <c r="C644" t="n">
        <v>642</v>
      </c>
      <c r="D644" t="n">
        <v>1</v>
      </c>
      <c r="E644" t="n">
        <v>85.22</v>
      </c>
      <c r="F644" t="n">
        <v>0.03379</v>
      </c>
    </row>
    <row r="645">
      <c r="A645" t="n">
        <v>1000643</v>
      </c>
      <c r="B645" t="n">
        <v>1</v>
      </c>
      <c r="C645" t="n">
        <v>643</v>
      </c>
      <c r="D645" t="n">
        <v>1</v>
      </c>
      <c r="E645" t="n">
        <v>85.2503</v>
      </c>
      <c r="F645" t="n">
        <v>0.0338</v>
      </c>
    </row>
    <row r="646">
      <c r="A646" t="n">
        <v>1000644</v>
      </c>
      <c r="B646" t="n">
        <v>1</v>
      </c>
      <c r="C646" t="n">
        <v>644</v>
      </c>
      <c r="D646" t="n">
        <v>1</v>
      </c>
      <c r="E646" t="n">
        <v>85.2805</v>
      </c>
      <c r="F646" t="n">
        <v>0.03381</v>
      </c>
    </row>
    <row r="647">
      <c r="A647" t="n">
        <v>1000645</v>
      </c>
      <c r="B647" t="n">
        <v>1</v>
      </c>
      <c r="C647" t="n">
        <v>645</v>
      </c>
      <c r="D647" t="n">
        <v>1</v>
      </c>
      <c r="E647" t="n">
        <v>85.3108</v>
      </c>
      <c r="F647" t="n">
        <v>0.03382</v>
      </c>
    </row>
    <row r="648">
      <c r="A648" t="n">
        <v>1000646</v>
      </c>
      <c r="B648" t="n">
        <v>1</v>
      </c>
      <c r="C648" t="n">
        <v>646</v>
      </c>
      <c r="D648" t="n">
        <v>1</v>
      </c>
      <c r="E648" t="n">
        <v>85.34099999999999</v>
      </c>
      <c r="F648" t="n">
        <v>0.03383</v>
      </c>
    </row>
    <row r="649">
      <c r="A649" t="n">
        <v>1000647</v>
      </c>
      <c r="B649" t="n">
        <v>1</v>
      </c>
      <c r="C649" t="n">
        <v>647</v>
      </c>
      <c r="D649" t="n">
        <v>1</v>
      </c>
      <c r="E649" t="n">
        <v>85.3711</v>
      </c>
      <c r="F649" t="n">
        <v>0.03384</v>
      </c>
    </row>
    <row r="650">
      <c r="A650" t="n">
        <v>1000648</v>
      </c>
      <c r="B650" t="n">
        <v>1</v>
      </c>
      <c r="C650" t="n">
        <v>648</v>
      </c>
      <c r="D650" t="n">
        <v>1</v>
      </c>
      <c r="E650" t="n">
        <v>85.40130000000001</v>
      </c>
      <c r="F650" t="n">
        <v>0.03385</v>
      </c>
    </row>
    <row r="651">
      <c r="A651" t="n">
        <v>1000649</v>
      </c>
      <c r="B651" t="n">
        <v>1</v>
      </c>
      <c r="C651" t="n">
        <v>649</v>
      </c>
      <c r="D651" t="n">
        <v>1</v>
      </c>
      <c r="E651" t="n">
        <v>85.4314</v>
      </c>
      <c r="F651" t="n">
        <v>0.03387</v>
      </c>
    </row>
    <row r="652">
      <c r="A652" t="n">
        <v>1000650</v>
      </c>
      <c r="B652" t="n">
        <v>1</v>
      </c>
      <c r="C652" t="n">
        <v>650</v>
      </c>
      <c r="D652" t="n">
        <v>1</v>
      </c>
      <c r="E652" t="n">
        <v>85.4615</v>
      </c>
      <c r="F652" t="n">
        <v>0.03388</v>
      </c>
    </row>
    <row r="653">
      <c r="A653" t="n">
        <v>1000651</v>
      </c>
      <c r="B653" t="n">
        <v>1</v>
      </c>
      <c r="C653" t="n">
        <v>651</v>
      </c>
      <c r="D653" t="n">
        <v>1</v>
      </c>
      <c r="E653" t="n">
        <v>85.49160000000001</v>
      </c>
      <c r="F653" t="n">
        <v>0.03389</v>
      </c>
    </row>
    <row r="654">
      <c r="A654" t="n">
        <v>1000652</v>
      </c>
      <c r="B654" t="n">
        <v>1</v>
      </c>
      <c r="C654" t="n">
        <v>652</v>
      </c>
      <c r="D654" t="n">
        <v>1</v>
      </c>
      <c r="E654" t="n">
        <v>85.5217</v>
      </c>
      <c r="F654" t="n">
        <v>0.0339</v>
      </c>
    </row>
    <row r="655">
      <c r="A655" t="n">
        <v>1000653</v>
      </c>
      <c r="B655" t="n">
        <v>1</v>
      </c>
      <c r="C655" t="n">
        <v>653</v>
      </c>
      <c r="D655" t="n">
        <v>1</v>
      </c>
      <c r="E655" t="n">
        <v>85.5517</v>
      </c>
      <c r="F655" t="n">
        <v>0.03391</v>
      </c>
    </row>
    <row r="656">
      <c r="A656" t="n">
        <v>1000654</v>
      </c>
      <c r="B656" t="n">
        <v>1</v>
      </c>
      <c r="C656" t="n">
        <v>654</v>
      </c>
      <c r="D656" t="n">
        <v>1</v>
      </c>
      <c r="E656" t="n">
        <v>85.5817</v>
      </c>
      <c r="F656" t="n">
        <v>0.03392</v>
      </c>
    </row>
    <row r="657">
      <c r="A657" t="n">
        <v>1000655</v>
      </c>
      <c r="B657" t="n">
        <v>1</v>
      </c>
      <c r="C657" t="n">
        <v>655</v>
      </c>
      <c r="D657" t="n">
        <v>1</v>
      </c>
      <c r="E657" t="n">
        <v>85.6117</v>
      </c>
      <c r="F657" t="n">
        <v>0.03393</v>
      </c>
    </row>
    <row r="658">
      <c r="A658" t="n">
        <v>1000656</v>
      </c>
      <c r="B658" t="n">
        <v>1</v>
      </c>
      <c r="C658" t="n">
        <v>656</v>
      </c>
      <c r="D658" t="n">
        <v>1</v>
      </c>
      <c r="E658" t="n">
        <v>85.6417</v>
      </c>
      <c r="F658" t="n">
        <v>0.03394</v>
      </c>
    </row>
    <row r="659">
      <c r="A659" t="n">
        <v>1000657</v>
      </c>
      <c r="B659" t="n">
        <v>1</v>
      </c>
      <c r="C659" t="n">
        <v>657</v>
      </c>
      <c r="D659" t="n">
        <v>1</v>
      </c>
      <c r="E659" t="n">
        <v>85.6716</v>
      </c>
      <c r="F659" t="n">
        <v>0.03396</v>
      </c>
    </row>
    <row r="660">
      <c r="A660" t="n">
        <v>1000658</v>
      </c>
      <c r="B660" t="n">
        <v>1</v>
      </c>
      <c r="C660" t="n">
        <v>658</v>
      </c>
      <c r="D660" t="n">
        <v>1</v>
      </c>
      <c r="E660" t="n">
        <v>85.7015</v>
      </c>
      <c r="F660" t="n">
        <v>0.03397</v>
      </c>
    </row>
    <row r="661">
      <c r="A661" t="n">
        <v>1000659</v>
      </c>
      <c r="B661" t="n">
        <v>1</v>
      </c>
      <c r="C661" t="n">
        <v>659</v>
      </c>
      <c r="D661" t="n">
        <v>1</v>
      </c>
      <c r="E661" t="n">
        <v>85.73139999999999</v>
      </c>
      <c r="F661" t="n">
        <v>0.03398</v>
      </c>
    </row>
    <row r="662">
      <c r="A662" t="n">
        <v>1000660</v>
      </c>
      <c r="B662" t="n">
        <v>1</v>
      </c>
      <c r="C662" t="n">
        <v>660</v>
      </c>
      <c r="D662" t="n">
        <v>1</v>
      </c>
      <c r="E662" t="n">
        <v>85.76130000000001</v>
      </c>
      <c r="F662" t="n">
        <v>0.03399</v>
      </c>
    </row>
    <row r="663">
      <c r="A663" t="n">
        <v>1000661</v>
      </c>
      <c r="B663" t="n">
        <v>1</v>
      </c>
      <c r="C663" t="n">
        <v>661</v>
      </c>
      <c r="D663" t="n">
        <v>1</v>
      </c>
      <c r="E663" t="n">
        <v>85.7912</v>
      </c>
      <c r="F663" t="n">
        <v>0.034</v>
      </c>
    </row>
    <row r="664">
      <c r="A664" t="n">
        <v>1000662</v>
      </c>
      <c r="B664" t="n">
        <v>1</v>
      </c>
      <c r="C664" t="n">
        <v>662</v>
      </c>
      <c r="D664" t="n">
        <v>1</v>
      </c>
      <c r="E664" t="n">
        <v>85.821</v>
      </c>
      <c r="F664" t="n">
        <v>0.03401</v>
      </c>
    </row>
    <row r="665">
      <c r="A665" t="n">
        <v>1000663</v>
      </c>
      <c r="B665" t="n">
        <v>1</v>
      </c>
      <c r="C665" t="n">
        <v>663</v>
      </c>
      <c r="D665" t="n">
        <v>1</v>
      </c>
      <c r="E665" t="n">
        <v>85.85080000000001</v>
      </c>
      <c r="F665" t="n">
        <v>0.03402</v>
      </c>
    </row>
    <row r="666">
      <c r="A666" t="n">
        <v>1000664</v>
      </c>
      <c r="B666" t="n">
        <v>1</v>
      </c>
      <c r="C666" t="n">
        <v>664</v>
      </c>
      <c r="D666" t="n">
        <v>1</v>
      </c>
      <c r="E666" t="n">
        <v>85.8806</v>
      </c>
      <c r="F666" t="n">
        <v>0.03404</v>
      </c>
    </row>
    <row r="667">
      <c r="A667" t="n">
        <v>1000665</v>
      </c>
      <c r="B667" t="n">
        <v>1</v>
      </c>
      <c r="C667" t="n">
        <v>665</v>
      </c>
      <c r="D667" t="n">
        <v>1</v>
      </c>
      <c r="E667" t="n">
        <v>85.9104</v>
      </c>
      <c r="F667" t="n">
        <v>0.03405</v>
      </c>
    </row>
    <row r="668">
      <c r="A668" t="n">
        <v>1000666</v>
      </c>
      <c r="B668" t="n">
        <v>1</v>
      </c>
      <c r="C668" t="n">
        <v>666</v>
      </c>
      <c r="D668" t="n">
        <v>1</v>
      </c>
      <c r="E668" t="n">
        <v>85.9401</v>
      </c>
      <c r="F668" t="n">
        <v>0.03406</v>
      </c>
    </row>
    <row r="669">
      <c r="A669" t="n">
        <v>1000667</v>
      </c>
      <c r="B669" t="n">
        <v>1</v>
      </c>
      <c r="C669" t="n">
        <v>667</v>
      </c>
      <c r="D669" t="n">
        <v>1</v>
      </c>
      <c r="E669" t="n">
        <v>85.96980000000001</v>
      </c>
      <c r="F669" t="n">
        <v>0.03407</v>
      </c>
    </row>
    <row r="670">
      <c r="A670" t="n">
        <v>1000668</v>
      </c>
      <c r="B670" t="n">
        <v>1</v>
      </c>
      <c r="C670" t="n">
        <v>668</v>
      </c>
      <c r="D670" t="n">
        <v>1</v>
      </c>
      <c r="E670" t="n">
        <v>85.9995</v>
      </c>
      <c r="F670" t="n">
        <v>0.03408</v>
      </c>
    </row>
    <row r="671">
      <c r="A671" t="n">
        <v>1000669</v>
      </c>
      <c r="B671" t="n">
        <v>1</v>
      </c>
      <c r="C671" t="n">
        <v>669</v>
      </c>
      <c r="D671" t="n">
        <v>1</v>
      </c>
      <c r="E671" t="n">
        <v>86.0292</v>
      </c>
      <c r="F671" t="n">
        <v>0.03409</v>
      </c>
    </row>
    <row r="672">
      <c r="A672" t="n">
        <v>1000670</v>
      </c>
      <c r="B672" t="n">
        <v>1</v>
      </c>
      <c r="C672" t="n">
        <v>670</v>
      </c>
      <c r="D672" t="n">
        <v>1</v>
      </c>
      <c r="E672" t="n">
        <v>86.05889999999999</v>
      </c>
      <c r="F672" t="n">
        <v>0.0341</v>
      </c>
    </row>
    <row r="673">
      <c r="A673" t="n">
        <v>1000671</v>
      </c>
      <c r="B673" t="n">
        <v>1</v>
      </c>
      <c r="C673" t="n">
        <v>671</v>
      </c>
      <c r="D673" t="n">
        <v>1</v>
      </c>
      <c r="E673" t="n">
        <v>86.0885</v>
      </c>
      <c r="F673" t="n">
        <v>0.03411</v>
      </c>
    </row>
    <row r="674">
      <c r="A674" t="n">
        <v>1000672</v>
      </c>
      <c r="B674" t="n">
        <v>1</v>
      </c>
      <c r="C674" t="n">
        <v>672</v>
      </c>
      <c r="D674" t="n">
        <v>1</v>
      </c>
      <c r="E674" t="n">
        <v>86.1181</v>
      </c>
      <c r="F674" t="n">
        <v>0.03413</v>
      </c>
    </row>
    <row r="675">
      <c r="A675" t="n">
        <v>1000673</v>
      </c>
      <c r="B675" t="n">
        <v>1</v>
      </c>
      <c r="C675" t="n">
        <v>673</v>
      </c>
      <c r="D675" t="n">
        <v>1</v>
      </c>
      <c r="E675" t="n">
        <v>86.1477</v>
      </c>
      <c r="F675" t="n">
        <v>0.03414</v>
      </c>
    </row>
    <row r="676">
      <c r="A676" t="n">
        <v>1000674</v>
      </c>
      <c r="B676" t="n">
        <v>1</v>
      </c>
      <c r="C676" t="n">
        <v>674</v>
      </c>
      <c r="D676" t="n">
        <v>1</v>
      </c>
      <c r="E676" t="n">
        <v>86.1773</v>
      </c>
      <c r="F676" t="n">
        <v>0.03415</v>
      </c>
    </row>
    <row r="677">
      <c r="A677" t="n">
        <v>1000675</v>
      </c>
      <c r="B677" t="n">
        <v>1</v>
      </c>
      <c r="C677" t="n">
        <v>675</v>
      </c>
      <c r="D677" t="n">
        <v>1</v>
      </c>
      <c r="E677" t="n">
        <v>86.2068</v>
      </c>
      <c r="F677" t="n">
        <v>0.03416</v>
      </c>
    </row>
    <row r="678">
      <c r="A678" t="n">
        <v>1000676</v>
      </c>
      <c r="B678" t="n">
        <v>1</v>
      </c>
      <c r="C678" t="n">
        <v>676</v>
      </c>
      <c r="D678" t="n">
        <v>1</v>
      </c>
      <c r="E678" t="n">
        <v>86.2363</v>
      </c>
      <c r="F678" t="n">
        <v>0.03417</v>
      </c>
    </row>
    <row r="679">
      <c r="A679" t="n">
        <v>1000677</v>
      </c>
      <c r="B679" t="n">
        <v>1</v>
      </c>
      <c r="C679" t="n">
        <v>677</v>
      </c>
      <c r="D679" t="n">
        <v>1</v>
      </c>
      <c r="E679" t="n">
        <v>86.2659</v>
      </c>
      <c r="F679" t="n">
        <v>0.03418</v>
      </c>
    </row>
    <row r="680">
      <c r="A680" t="n">
        <v>1000678</v>
      </c>
      <c r="B680" t="n">
        <v>1</v>
      </c>
      <c r="C680" t="n">
        <v>678</v>
      </c>
      <c r="D680" t="n">
        <v>1</v>
      </c>
      <c r="E680" t="n">
        <v>86.2954</v>
      </c>
      <c r="F680" t="n">
        <v>0.03419</v>
      </c>
    </row>
    <row r="681">
      <c r="A681" t="n">
        <v>1000679</v>
      </c>
      <c r="B681" t="n">
        <v>1</v>
      </c>
      <c r="C681" t="n">
        <v>679</v>
      </c>
      <c r="D681" t="n">
        <v>1</v>
      </c>
      <c r="E681" t="n">
        <v>86.3248</v>
      </c>
      <c r="F681" t="n">
        <v>0.03421</v>
      </c>
    </row>
    <row r="682">
      <c r="A682" t="n">
        <v>1000680</v>
      </c>
      <c r="B682" t="n">
        <v>1</v>
      </c>
      <c r="C682" t="n">
        <v>680</v>
      </c>
      <c r="D682" t="n">
        <v>1</v>
      </c>
      <c r="E682" t="n">
        <v>86.35429999999999</v>
      </c>
      <c r="F682" t="n">
        <v>0.03422</v>
      </c>
    </row>
    <row r="683">
      <c r="A683" t="n">
        <v>1000681</v>
      </c>
      <c r="B683" t="n">
        <v>1</v>
      </c>
      <c r="C683" t="n">
        <v>681</v>
      </c>
      <c r="D683" t="n">
        <v>1</v>
      </c>
      <c r="E683" t="n">
        <v>86.3837</v>
      </c>
      <c r="F683" t="n">
        <v>0.03423</v>
      </c>
    </row>
    <row r="684">
      <c r="A684" t="n">
        <v>1000682</v>
      </c>
      <c r="B684" t="n">
        <v>1</v>
      </c>
      <c r="C684" t="n">
        <v>682</v>
      </c>
      <c r="D684" t="n">
        <v>1</v>
      </c>
      <c r="E684" t="n">
        <v>86.4131</v>
      </c>
      <c r="F684" t="n">
        <v>0.03424</v>
      </c>
    </row>
    <row r="685">
      <c r="A685" t="n">
        <v>1000683</v>
      </c>
      <c r="B685" t="n">
        <v>1</v>
      </c>
      <c r="C685" t="n">
        <v>683</v>
      </c>
      <c r="D685" t="n">
        <v>1</v>
      </c>
      <c r="E685" t="n">
        <v>86.4425</v>
      </c>
      <c r="F685" t="n">
        <v>0.03425</v>
      </c>
    </row>
    <row r="686">
      <c r="A686" t="n">
        <v>1000684</v>
      </c>
      <c r="B686" t="n">
        <v>1</v>
      </c>
      <c r="C686" t="n">
        <v>684</v>
      </c>
      <c r="D686" t="n">
        <v>1</v>
      </c>
      <c r="E686" t="n">
        <v>86.47190000000001</v>
      </c>
      <c r="F686" t="n">
        <v>0.03426</v>
      </c>
    </row>
    <row r="687">
      <c r="A687" t="n">
        <v>1000685</v>
      </c>
      <c r="B687" t="n">
        <v>1</v>
      </c>
      <c r="C687" t="n">
        <v>685</v>
      </c>
      <c r="D687" t="n">
        <v>1</v>
      </c>
      <c r="E687" t="n">
        <v>86.5012</v>
      </c>
      <c r="F687" t="n">
        <v>0.03427</v>
      </c>
    </row>
    <row r="688">
      <c r="A688" t="n">
        <v>1000686</v>
      </c>
      <c r="B688" t="n">
        <v>1</v>
      </c>
      <c r="C688" t="n">
        <v>686</v>
      </c>
      <c r="D688" t="n">
        <v>1</v>
      </c>
      <c r="E688" t="n">
        <v>86.53060000000001</v>
      </c>
      <c r="F688" t="n">
        <v>0.03429</v>
      </c>
    </row>
    <row r="689">
      <c r="A689" t="n">
        <v>1000687</v>
      </c>
      <c r="B689" t="n">
        <v>1</v>
      </c>
      <c r="C689" t="n">
        <v>687</v>
      </c>
      <c r="D689" t="n">
        <v>1</v>
      </c>
      <c r="E689" t="n">
        <v>86.5599</v>
      </c>
      <c r="F689" t="n">
        <v>0.0343</v>
      </c>
    </row>
    <row r="690">
      <c r="A690" t="n">
        <v>1000688</v>
      </c>
      <c r="B690" t="n">
        <v>1</v>
      </c>
      <c r="C690" t="n">
        <v>688</v>
      </c>
      <c r="D690" t="n">
        <v>1</v>
      </c>
      <c r="E690" t="n">
        <v>86.58920000000001</v>
      </c>
      <c r="F690" t="n">
        <v>0.03431</v>
      </c>
    </row>
    <row r="691">
      <c r="A691" t="n">
        <v>1000689</v>
      </c>
      <c r="B691" t="n">
        <v>1</v>
      </c>
      <c r="C691" t="n">
        <v>689</v>
      </c>
      <c r="D691" t="n">
        <v>1</v>
      </c>
      <c r="E691" t="n">
        <v>86.61839999999999</v>
      </c>
      <c r="F691" t="n">
        <v>0.03432</v>
      </c>
    </row>
    <row r="692">
      <c r="A692" t="n">
        <v>1000690</v>
      </c>
      <c r="B692" t="n">
        <v>1</v>
      </c>
      <c r="C692" t="n">
        <v>690</v>
      </c>
      <c r="D692" t="n">
        <v>1</v>
      </c>
      <c r="E692" t="n">
        <v>86.6477</v>
      </c>
      <c r="F692" t="n">
        <v>0.03433</v>
      </c>
    </row>
    <row r="693">
      <c r="A693" t="n">
        <v>1000691</v>
      </c>
      <c r="B693" t="n">
        <v>1</v>
      </c>
      <c r="C693" t="n">
        <v>691</v>
      </c>
      <c r="D693" t="n">
        <v>1</v>
      </c>
      <c r="E693" t="n">
        <v>86.6769</v>
      </c>
      <c r="F693" t="n">
        <v>0.03434</v>
      </c>
    </row>
    <row r="694">
      <c r="A694" t="n">
        <v>1000692</v>
      </c>
      <c r="B694" t="n">
        <v>1</v>
      </c>
      <c r="C694" t="n">
        <v>692</v>
      </c>
      <c r="D694" t="n">
        <v>1</v>
      </c>
      <c r="E694" t="n">
        <v>86.70610000000001</v>
      </c>
      <c r="F694" t="n">
        <v>0.03435</v>
      </c>
    </row>
    <row r="695">
      <c r="A695" t="n">
        <v>1000693</v>
      </c>
      <c r="B695" t="n">
        <v>1</v>
      </c>
      <c r="C695" t="n">
        <v>693</v>
      </c>
      <c r="D695" t="n">
        <v>1</v>
      </c>
      <c r="E695" t="n">
        <v>86.7353</v>
      </c>
      <c r="F695" t="n">
        <v>0.03437</v>
      </c>
    </row>
    <row r="696">
      <c r="A696" t="n">
        <v>1000694</v>
      </c>
      <c r="B696" t="n">
        <v>1</v>
      </c>
      <c r="C696" t="n">
        <v>694</v>
      </c>
      <c r="D696" t="n">
        <v>1</v>
      </c>
      <c r="E696" t="n">
        <v>86.7645</v>
      </c>
      <c r="F696" t="n">
        <v>0.03438</v>
      </c>
    </row>
    <row r="697">
      <c r="A697" t="n">
        <v>1000695</v>
      </c>
      <c r="B697" t="n">
        <v>1</v>
      </c>
      <c r="C697" t="n">
        <v>695</v>
      </c>
      <c r="D697" t="n">
        <v>1</v>
      </c>
      <c r="E697" t="n">
        <v>86.7937</v>
      </c>
      <c r="F697" t="n">
        <v>0.03439</v>
      </c>
    </row>
    <row r="698">
      <c r="A698" t="n">
        <v>1000696</v>
      </c>
      <c r="B698" t="n">
        <v>1</v>
      </c>
      <c r="C698" t="n">
        <v>696</v>
      </c>
      <c r="D698" t="n">
        <v>1</v>
      </c>
      <c r="E698" t="n">
        <v>86.8228</v>
      </c>
      <c r="F698" t="n">
        <v>0.0344</v>
      </c>
    </row>
    <row r="699">
      <c r="A699" t="n">
        <v>1000697</v>
      </c>
      <c r="B699" t="n">
        <v>1</v>
      </c>
      <c r="C699" t="n">
        <v>697</v>
      </c>
      <c r="D699" t="n">
        <v>1</v>
      </c>
      <c r="E699" t="n">
        <v>86.8519</v>
      </c>
      <c r="F699" t="n">
        <v>0.03441</v>
      </c>
    </row>
    <row r="700">
      <c r="A700" t="n">
        <v>1000698</v>
      </c>
      <c r="B700" t="n">
        <v>1</v>
      </c>
      <c r="C700" t="n">
        <v>698</v>
      </c>
      <c r="D700" t="n">
        <v>1</v>
      </c>
      <c r="E700" t="n">
        <v>86.881</v>
      </c>
      <c r="F700" t="n">
        <v>0.03442</v>
      </c>
    </row>
    <row r="701">
      <c r="A701" t="n">
        <v>1000699</v>
      </c>
      <c r="B701" t="n">
        <v>1</v>
      </c>
      <c r="C701" t="n">
        <v>699</v>
      </c>
      <c r="D701" t="n">
        <v>1</v>
      </c>
      <c r="E701" t="n">
        <v>86.9101</v>
      </c>
      <c r="F701" t="n">
        <v>0.03443</v>
      </c>
    </row>
    <row r="702">
      <c r="A702" t="n">
        <v>1000700</v>
      </c>
      <c r="B702" t="n">
        <v>1</v>
      </c>
      <c r="C702" t="n">
        <v>700</v>
      </c>
      <c r="D702" t="n">
        <v>1</v>
      </c>
      <c r="E702" t="n">
        <v>86.9392</v>
      </c>
      <c r="F702" t="n">
        <v>0.03445</v>
      </c>
    </row>
    <row r="703">
      <c r="A703" t="n">
        <v>1000701</v>
      </c>
      <c r="B703" t="n">
        <v>1</v>
      </c>
      <c r="C703" t="n">
        <v>701</v>
      </c>
      <c r="D703" t="n">
        <v>1</v>
      </c>
      <c r="E703" t="n">
        <v>86.9682</v>
      </c>
      <c r="F703" t="n">
        <v>0.03446</v>
      </c>
    </row>
    <row r="704">
      <c r="A704" t="n">
        <v>1000702</v>
      </c>
      <c r="B704" t="n">
        <v>1</v>
      </c>
      <c r="C704" t="n">
        <v>702</v>
      </c>
      <c r="D704" t="n">
        <v>1</v>
      </c>
      <c r="E704" t="n">
        <v>86.99720000000001</v>
      </c>
      <c r="F704" t="n">
        <v>0.03447</v>
      </c>
    </row>
    <row r="705">
      <c r="A705" t="n">
        <v>1000703</v>
      </c>
      <c r="B705" t="n">
        <v>1</v>
      </c>
      <c r="C705" t="n">
        <v>703</v>
      </c>
      <c r="D705" t="n">
        <v>1</v>
      </c>
      <c r="E705" t="n">
        <v>87.0262</v>
      </c>
      <c r="F705" t="n">
        <v>0.03448</v>
      </c>
    </row>
    <row r="706">
      <c r="A706" t="n">
        <v>1000704</v>
      </c>
      <c r="B706" t="n">
        <v>1</v>
      </c>
      <c r="C706" t="n">
        <v>704</v>
      </c>
      <c r="D706" t="n">
        <v>1</v>
      </c>
      <c r="E706" t="n">
        <v>87.0552</v>
      </c>
      <c r="F706" t="n">
        <v>0.03449</v>
      </c>
    </row>
    <row r="707">
      <c r="A707" t="n">
        <v>1000705</v>
      </c>
      <c r="B707" t="n">
        <v>1</v>
      </c>
      <c r="C707" t="n">
        <v>705</v>
      </c>
      <c r="D707" t="n">
        <v>1</v>
      </c>
      <c r="E707" t="n">
        <v>87.0842</v>
      </c>
      <c r="F707" t="n">
        <v>0.0345</v>
      </c>
    </row>
    <row r="708">
      <c r="A708" t="n">
        <v>1000706</v>
      </c>
      <c r="B708" t="n">
        <v>1</v>
      </c>
      <c r="C708" t="n">
        <v>706</v>
      </c>
      <c r="D708" t="n">
        <v>1</v>
      </c>
      <c r="E708" t="n">
        <v>87.1131</v>
      </c>
      <c r="F708" t="n">
        <v>0.03451</v>
      </c>
    </row>
    <row r="709">
      <c r="A709" t="n">
        <v>1000707</v>
      </c>
      <c r="B709" t="n">
        <v>1</v>
      </c>
      <c r="C709" t="n">
        <v>707</v>
      </c>
      <c r="D709" t="n">
        <v>1</v>
      </c>
      <c r="E709" t="n">
        <v>87.142</v>
      </c>
      <c r="F709" t="n">
        <v>0.03453</v>
      </c>
    </row>
    <row r="710">
      <c r="A710" t="n">
        <v>1000708</v>
      </c>
      <c r="B710" t="n">
        <v>1</v>
      </c>
      <c r="C710" t="n">
        <v>708</v>
      </c>
      <c r="D710" t="n">
        <v>1</v>
      </c>
      <c r="E710" t="n">
        <v>87.1709</v>
      </c>
      <c r="F710" t="n">
        <v>0.03454</v>
      </c>
    </row>
    <row r="711">
      <c r="A711" t="n">
        <v>1000709</v>
      </c>
      <c r="B711" t="n">
        <v>1</v>
      </c>
      <c r="C711" t="n">
        <v>709</v>
      </c>
      <c r="D711" t="n">
        <v>1</v>
      </c>
      <c r="E711" t="n">
        <v>87.1998</v>
      </c>
      <c r="F711" t="n">
        <v>0.03455</v>
      </c>
    </row>
    <row r="712">
      <c r="A712" t="n">
        <v>1000710</v>
      </c>
      <c r="B712" t="n">
        <v>1</v>
      </c>
      <c r="C712" t="n">
        <v>710</v>
      </c>
      <c r="D712" t="n">
        <v>1</v>
      </c>
      <c r="E712" t="n">
        <v>87.2287</v>
      </c>
      <c r="F712" t="n">
        <v>0.03456</v>
      </c>
    </row>
    <row r="713">
      <c r="A713" t="n">
        <v>1000711</v>
      </c>
      <c r="B713" t="n">
        <v>1</v>
      </c>
      <c r="C713" t="n">
        <v>711</v>
      </c>
      <c r="D713" t="n">
        <v>1</v>
      </c>
      <c r="E713" t="n">
        <v>87.25749999999999</v>
      </c>
      <c r="F713" t="n">
        <v>0.03457</v>
      </c>
    </row>
    <row r="714">
      <c r="A714" t="n">
        <v>1000712</v>
      </c>
      <c r="B714" t="n">
        <v>1</v>
      </c>
      <c r="C714" t="n">
        <v>712</v>
      </c>
      <c r="D714" t="n">
        <v>1</v>
      </c>
      <c r="E714" t="n">
        <v>87.2863</v>
      </c>
      <c r="F714" t="n">
        <v>0.03458</v>
      </c>
    </row>
    <row r="715">
      <c r="A715" t="n">
        <v>1000713</v>
      </c>
      <c r="B715" t="n">
        <v>1</v>
      </c>
      <c r="C715" t="n">
        <v>713</v>
      </c>
      <c r="D715" t="n">
        <v>1</v>
      </c>
      <c r="E715" t="n">
        <v>87.3151</v>
      </c>
      <c r="F715" t="n">
        <v>0.03459</v>
      </c>
    </row>
    <row r="716">
      <c r="A716" t="n">
        <v>1000714</v>
      </c>
      <c r="B716" t="n">
        <v>1</v>
      </c>
      <c r="C716" t="n">
        <v>714</v>
      </c>
      <c r="D716" t="n">
        <v>1</v>
      </c>
      <c r="E716" t="n">
        <v>87.3439</v>
      </c>
      <c r="F716" t="n">
        <v>0.03461</v>
      </c>
    </row>
    <row r="717">
      <c r="A717" t="n">
        <v>1000715</v>
      </c>
      <c r="B717" t="n">
        <v>1</v>
      </c>
      <c r="C717" t="n">
        <v>715</v>
      </c>
      <c r="D717" t="n">
        <v>1</v>
      </c>
      <c r="E717" t="n">
        <v>87.37269999999999</v>
      </c>
      <c r="F717" t="n">
        <v>0.03462</v>
      </c>
    </row>
    <row r="718">
      <c r="A718" t="n">
        <v>1000716</v>
      </c>
      <c r="B718" t="n">
        <v>1</v>
      </c>
      <c r="C718" t="n">
        <v>716</v>
      </c>
      <c r="D718" t="n">
        <v>1</v>
      </c>
      <c r="E718" t="n">
        <v>87.4014</v>
      </c>
      <c r="F718" t="n">
        <v>0.03463</v>
      </c>
    </row>
    <row r="719">
      <c r="A719" t="n">
        <v>1000717</v>
      </c>
      <c r="B719" t="n">
        <v>1</v>
      </c>
      <c r="C719" t="n">
        <v>717</v>
      </c>
      <c r="D719" t="n">
        <v>1</v>
      </c>
      <c r="E719" t="n">
        <v>87.4302</v>
      </c>
      <c r="F719" t="n">
        <v>0.03464</v>
      </c>
    </row>
    <row r="720">
      <c r="A720" t="n">
        <v>1000718</v>
      </c>
      <c r="B720" t="n">
        <v>1</v>
      </c>
      <c r="C720" t="n">
        <v>718</v>
      </c>
      <c r="D720" t="n">
        <v>1</v>
      </c>
      <c r="E720" t="n">
        <v>87.4589</v>
      </c>
      <c r="F720" t="n">
        <v>0.03465</v>
      </c>
    </row>
    <row r="721">
      <c r="A721" t="n">
        <v>1000719</v>
      </c>
      <c r="B721" t="n">
        <v>1</v>
      </c>
      <c r="C721" t="n">
        <v>719</v>
      </c>
      <c r="D721" t="n">
        <v>1</v>
      </c>
      <c r="E721" t="n">
        <v>87.4876</v>
      </c>
      <c r="F721" t="n">
        <v>0.03466</v>
      </c>
    </row>
    <row r="722">
      <c r="A722" t="n">
        <v>1000720</v>
      </c>
      <c r="B722" t="n">
        <v>1</v>
      </c>
      <c r="C722" t="n">
        <v>720</v>
      </c>
      <c r="D722" t="n">
        <v>1</v>
      </c>
      <c r="E722" t="n">
        <v>87.5162</v>
      </c>
      <c r="F722" t="n">
        <v>0.03467</v>
      </c>
    </row>
    <row r="723">
      <c r="A723" t="n">
        <v>1000721</v>
      </c>
      <c r="B723" t="n">
        <v>1</v>
      </c>
      <c r="C723" t="n">
        <v>721</v>
      </c>
      <c r="D723" t="n">
        <v>1</v>
      </c>
      <c r="E723" t="n">
        <v>87.5449</v>
      </c>
      <c r="F723" t="n">
        <v>0.03469</v>
      </c>
    </row>
    <row r="724">
      <c r="A724" t="n">
        <v>1000722</v>
      </c>
      <c r="B724" t="n">
        <v>1</v>
      </c>
      <c r="C724" t="n">
        <v>722</v>
      </c>
      <c r="D724" t="n">
        <v>1</v>
      </c>
      <c r="E724" t="n">
        <v>87.5735</v>
      </c>
      <c r="F724" t="n">
        <v>0.0347</v>
      </c>
    </row>
    <row r="725">
      <c r="A725" t="n">
        <v>1000723</v>
      </c>
      <c r="B725" t="n">
        <v>1</v>
      </c>
      <c r="C725" t="n">
        <v>723</v>
      </c>
      <c r="D725" t="n">
        <v>1</v>
      </c>
      <c r="E725" t="n">
        <v>87.60209999999999</v>
      </c>
      <c r="F725" t="n">
        <v>0.03471</v>
      </c>
    </row>
    <row r="726">
      <c r="A726" t="n">
        <v>1000724</v>
      </c>
      <c r="B726" t="n">
        <v>1</v>
      </c>
      <c r="C726" t="n">
        <v>724</v>
      </c>
      <c r="D726" t="n">
        <v>1</v>
      </c>
      <c r="E726" t="n">
        <v>87.6307</v>
      </c>
      <c r="F726" t="n">
        <v>0.03472</v>
      </c>
    </row>
    <row r="727">
      <c r="A727" t="n">
        <v>1000725</v>
      </c>
      <c r="B727" t="n">
        <v>1</v>
      </c>
      <c r="C727" t="n">
        <v>725</v>
      </c>
      <c r="D727" t="n">
        <v>1</v>
      </c>
      <c r="E727" t="n">
        <v>87.6593</v>
      </c>
      <c r="F727" t="n">
        <v>0.03473</v>
      </c>
    </row>
    <row r="728">
      <c r="A728" t="n">
        <v>1000726</v>
      </c>
      <c r="B728" t="n">
        <v>1</v>
      </c>
      <c r="C728" t="n">
        <v>726</v>
      </c>
      <c r="D728" t="n">
        <v>1</v>
      </c>
      <c r="E728" t="n">
        <v>87.6878</v>
      </c>
      <c r="F728" t="n">
        <v>0.03474</v>
      </c>
    </row>
    <row r="729">
      <c r="A729" t="n">
        <v>1000727</v>
      </c>
      <c r="B729" t="n">
        <v>1</v>
      </c>
      <c r="C729" t="n">
        <v>727</v>
      </c>
      <c r="D729" t="n">
        <v>1</v>
      </c>
      <c r="E729" t="n">
        <v>87.71639999999999</v>
      </c>
      <c r="F729" t="n">
        <v>0.03475</v>
      </c>
    </row>
    <row r="730">
      <c r="A730" t="n">
        <v>1000728</v>
      </c>
      <c r="B730" t="n">
        <v>1</v>
      </c>
      <c r="C730" t="n">
        <v>728</v>
      </c>
      <c r="D730" t="n">
        <v>1</v>
      </c>
      <c r="E730" t="n">
        <v>87.7449</v>
      </c>
      <c r="F730" t="n">
        <v>0.03477</v>
      </c>
    </row>
    <row r="731">
      <c r="A731" t="n">
        <v>1000729</v>
      </c>
      <c r="B731" t="n">
        <v>1</v>
      </c>
      <c r="C731" t="n">
        <v>729</v>
      </c>
      <c r="D731" t="n">
        <v>1</v>
      </c>
      <c r="E731" t="n">
        <v>87.7734</v>
      </c>
      <c r="F731" t="n">
        <v>0.03478</v>
      </c>
    </row>
    <row r="732">
      <c r="A732" t="n">
        <v>1000730</v>
      </c>
      <c r="B732" t="n">
        <v>1</v>
      </c>
      <c r="C732" t="n">
        <v>730</v>
      </c>
      <c r="D732" t="n">
        <v>1</v>
      </c>
      <c r="E732" t="n">
        <v>87.8018</v>
      </c>
      <c r="F732" t="n">
        <v>0.03479</v>
      </c>
    </row>
    <row r="733">
      <c r="A733" t="n">
        <v>1000731</v>
      </c>
      <c r="B733" t="n">
        <v>1</v>
      </c>
      <c r="C733" t="n">
        <v>731</v>
      </c>
      <c r="D733" t="n">
        <v>1</v>
      </c>
      <c r="E733" t="n">
        <v>87.13030000000001</v>
      </c>
      <c r="F733" t="n">
        <v>0.03508</v>
      </c>
    </row>
    <row r="734">
      <c r="A734" t="n">
        <v>1000732</v>
      </c>
      <c r="B734" t="n">
        <v>1</v>
      </c>
      <c r="C734" t="n">
        <v>732</v>
      </c>
      <c r="D734" t="n">
        <v>1</v>
      </c>
      <c r="E734" t="n">
        <v>87.1587</v>
      </c>
      <c r="F734" t="n">
        <v>0.03509</v>
      </c>
    </row>
    <row r="735">
      <c r="A735" t="n">
        <v>1000733</v>
      </c>
      <c r="B735" t="n">
        <v>1</v>
      </c>
      <c r="C735" t="n">
        <v>733</v>
      </c>
      <c r="D735" t="n">
        <v>1</v>
      </c>
      <c r="E735" t="n">
        <v>87.1871</v>
      </c>
      <c r="F735" t="n">
        <v>0.0351</v>
      </c>
    </row>
    <row r="736">
      <c r="A736" t="n">
        <v>1000734</v>
      </c>
      <c r="B736" t="n">
        <v>1</v>
      </c>
      <c r="C736" t="n">
        <v>734</v>
      </c>
      <c r="D736" t="n">
        <v>1</v>
      </c>
      <c r="E736" t="n">
        <v>87.21550000000001</v>
      </c>
      <c r="F736" t="n">
        <v>0.03511</v>
      </c>
    </row>
    <row r="737">
      <c r="A737" t="n">
        <v>1000735</v>
      </c>
      <c r="B737" t="n">
        <v>1</v>
      </c>
      <c r="C737" t="n">
        <v>735</v>
      </c>
      <c r="D737" t="n">
        <v>1</v>
      </c>
      <c r="E737" t="n">
        <v>87.2439</v>
      </c>
      <c r="F737" t="n">
        <v>0.03513</v>
      </c>
    </row>
    <row r="738">
      <c r="A738" t="n">
        <v>1000736</v>
      </c>
      <c r="B738" t="n">
        <v>1</v>
      </c>
      <c r="C738" t="n">
        <v>736</v>
      </c>
      <c r="D738" t="n">
        <v>1</v>
      </c>
      <c r="E738" t="n">
        <v>87.2722</v>
      </c>
      <c r="F738" t="n">
        <v>0.03514</v>
      </c>
    </row>
    <row r="739">
      <c r="A739" t="n">
        <v>1000737</v>
      </c>
      <c r="B739" t="n">
        <v>1</v>
      </c>
      <c r="C739" t="n">
        <v>737</v>
      </c>
      <c r="D739" t="n">
        <v>1</v>
      </c>
      <c r="E739" t="n">
        <v>87.3006</v>
      </c>
      <c r="F739" t="n">
        <v>0.03515</v>
      </c>
    </row>
    <row r="740">
      <c r="A740" t="n">
        <v>1000738</v>
      </c>
      <c r="B740" t="n">
        <v>1</v>
      </c>
      <c r="C740" t="n">
        <v>738</v>
      </c>
      <c r="D740" t="n">
        <v>1</v>
      </c>
      <c r="E740" t="n">
        <v>87.3289</v>
      </c>
      <c r="F740" t="n">
        <v>0.03516</v>
      </c>
    </row>
    <row r="741">
      <c r="A741" t="n">
        <v>1000739</v>
      </c>
      <c r="B741" t="n">
        <v>1</v>
      </c>
      <c r="C741" t="n">
        <v>739</v>
      </c>
      <c r="D741" t="n">
        <v>1</v>
      </c>
      <c r="E741" t="n">
        <v>87.3571</v>
      </c>
      <c r="F741" t="n">
        <v>0.03517</v>
      </c>
    </row>
    <row r="742">
      <c r="A742" t="n">
        <v>1000740</v>
      </c>
      <c r="B742" t="n">
        <v>1</v>
      </c>
      <c r="C742" t="n">
        <v>740</v>
      </c>
      <c r="D742" t="n">
        <v>1</v>
      </c>
      <c r="E742" t="n">
        <v>87.3854</v>
      </c>
      <c r="F742" t="n">
        <v>0.03518</v>
      </c>
    </row>
    <row r="743">
      <c r="A743" t="n">
        <v>1000741</v>
      </c>
      <c r="B743" t="n">
        <v>1</v>
      </c>
      <c r="C743" t="n">
        <v>741</v>
      </c>
      <c r="D743" t="n">
        <v>1</v>
      </c>
      <c r="E743" t="n">
        <v>87.4136</v>
      </c>
      <c r="F743" t="n">
        <v>0.03519</v>
      </c>
    </row>
    <row r="744">
      <c r="A744" t="n">
        <v>1000742</v>
      </c>
      <c r="B744" t="n">
        <v>1</v>
      </c>
      <c r="C744" t="n">
        <v>742</v>
      </c>
      <c r="D744" t="n">
        <v>1</v>
      </c>
      <c r="E744" t="n">
        <v>87.4419</v>
      </c>
      <c r="F744" t="n">
        <v>0.03521</v>
      </c>
    </row>
    <row r="745">
      <c r="A745" t="n">
        <v>1000743</v>
      </c>
      <c r="B745" t="n">
        <v>1</v>
      </c>
      <c r="C745" t="n">
        <v>743</v>
      </c>
      <c r="D745" t="n">
        <v>1</v>
      </c>
      <c r="E745" t="n">
        <v>87.4701</v>
      </c>
      <c r="F745" t="n">
        <v>0.03522</v>
      </c>
    </row>
    <row r="746">
      <c r="A746" t="n">
        <v>1000744</v>
      </c>
      <c r="B746" t="n">
        <v>1</v>
      </c>
      <c r="C746" t="n">
        <v>744</v>
      </c>
      <c r="D746" t="n">
        <v>1</v>
      </c>
      <c r="E746" t="n">
        <v>87.4982</v>
      </c>
      <c r="F746" t="n">
        <v>0.03523</v>
      </c>
    </row>
    <row r="747">
      <c r="A747" t="n">
        <v>1000745</v>
      </c>
      <c r="B747" t="n">
        <v>1</v>
      </c>
      <c r="C747" t="n">
        <v>745</v>
      </c>
      <c r="D747" t="n">
        <v>1</v>
      </c>
      <c r="E747" t="n">
        <v>87.5264</v>
      </c>
      <c r="F747" t="n">
        <v>0.03524</v>
      </c>
    </row>
    <row r="748">
      <c r="A748" t="n">
        <v>1000746</v>
      </c>
      <c r="B748" t="n">
        <v>1</v>
      </c>
      <c r="C748" t="n">
        <v>746</v>
      </c>
      <c r="D748" t="n">
        <v>1</v>
      </c>
      <c r="E748" t="n">
        <v>87.5545</v>
      </c>
      <c r="F748" t="n">
        <v>0.03525</v>
      </c>
    </row>
    <row r="749">
      <c r="A749" t="n">
        <v>1000747</v>
      </c>
      <c r="B749" t="n">
        <v>1</v>
      </c>
      <c r="C749" t="n">
        <v>747</v>
      </c>
      <c r="D749" t="n">
        <v>1</v>
      </c>
      <c r="E749" t="n">
        <v>87.5826</v>
      </c>
      <c r="F749" t="n">
        <v>0.03526</v>
      </c>
    </row>
    <row r="750">
      <c r="A750" t="n">
        <v>1000748</v>
      </c>
      <c r="B750" t="n">
        <v>1</v>
      </c>
      <c r="C750" t="n">
        <v>748</v>
      </c>
      <c r="D750" t="n">
        <v>1</v>
      </c>
      <c r="E750" t="n">
        <v>87.61069999999999</v>
      </c>
      <c r="F750" t="n">
        <v>0.03527</v>
      </c>
    </row>
    <row r="751">
      <c r="A751" t="n">
        <v>1000749</v>
      </c>
      <c r="B751" t="n">
        <v>1</v>
      </c>
      <c r="C751" t="n">
        <v>749</v>
      </c>
      <c r="D751" t="n">
        <v>1</v>
      </c>
      <c r="E751" t="n">
        <v>87.6388</v>
      </c>
      <c r="F751" t="n">
        <v>0.03528</v>
      </c>
    </row>
    <row r="752">
      <c r="A752" t="n">
        <v>1000750</v>
      </c>
      <c r="B752" t="n">
        <v>1</v>
      </c>
      <c r="C752" t="n">
        <v>750</v>
      </c>
      <c r="D752" t="n">
        <v>1</v>
      </c>
      <c r="E752" t="n">
        <v>87.66679999999999</v>
      </c>
      <c r="F752" t="n">
        <v>0.0353</v>
      </c>
    </row>
    <row r="753">
      <c r="A753" t="n">
        <v>1000751</v>
      </c>
      <c r="B753" t="n">
        <v>1</v>
      </c>
      <c r="C753" t="n">
        <v>751</v>
      </c>
      <c r="D753" t="n">
        <v>1</v>
      </c>
      <c r="E753" t="n">
        <v>87.6948</v>
      </c>
      <c r="F753" t="n">
        <v>0.03531</v>
      </c>
    </row>
    <row r="754">
      <c r="A754" t="n">
        <v>1000752</v>
      </c>
      <c r="B754" t="n">
        <v>1</v>
      </c>
      <c r="C754" t="n">
        <v>752</v>
      </c>
      <c r="D754" t="n">
        <v>1</v>
      </c>
      <c r="E754" t="n">
        <v>87.72280000000001</v>
      </c>
      <c r="F754" t="n">
        <v>0.03532</v>
      </c>
    </row>
    <row r="755">
      <c r="A755" t="n">
        <v>1000753</v>
      </c>
      <c r="B755" t="n">
        <v>1</v>
      </c>
      <c r="C755" t="n">
        <v>753</v>
      </c>
      <c r="D755" t="n">
        <v>1</v>
      </c>
      <c r="E755" t="n">
        <v>87.7508</v>
      </c>
      <c r="F755" t="n">
        <v>0.03533</v>
      </c>
    </row>
    <row r="756">
      <c r="A756" t="n">
        <v>1000754</v>
      </c>
      <c r="B756" t="n">
        <v>1</v>
      </c>
      <c r="C756" t="n">
        <v>754</v>
      </c>
      <c r="D756" t="n">
        <v>1</v>
      </c>
      <c r="E756" t="n">
        <v>87.7788</v>
      </c>
      <c r="F756" t="n">
        <v>0.03534</v>
      </c>
    </row>
    <row r="757">
      <c r="A757" t="n">
        <v>1000755</v>
      </c>
      <c r="B757" t="n">
        <v>1</v>
      </c>
      <c r="C757" t="n">
        <v>755</v>
      </c>
      <c r="D757" t="n">
        <v>1</v>
      </c>
      <c r="E757" t="n">
        <v>87.80670000000001</v>
      </c>
      <c r="F757" t="n">
        <v>0.03535</v>
      </c>
    </row>
    <row r="758">
      <c r="A758" t="n">
        <v>1000756</v>
      </c>
      <c r="B758" t="n">
        <v>1</v>
      </c>
      <c r="C758" t="n">
        <v>756</v>
      </c>
      <c r="D758" t="n">
        <v>1</v>
      </c>
      <c r="E758" t="n">
        <v>87.83459999999999</v>
      </c>
      <c r="F758" t="n">
        <v>0.03536</v>
      </c>
    </row>
    <row r="759">
      <c r="A759" t="n">
        <v>1000757</v>
      </c>
      <c r="B759" t="n">
        <v>1</v>
      </c>
      <c r="C759" t="n">
        <v>757</v>
      </c>
      <c r="D759" t="n">
        <v>1</v>
      </c>
      <c r="E759" t="n">
        <v>87.8625</v>
      </c>
      <c r="F759" t="n">
        <v>0.03538</v>
      </c>
    </row>
    <row r="760">
      <c r="A760" t="n">
        <v>1000758</v>
      </c>
      <c r="B760" t="n">
        <v>1</v>
      </c>
      <c r="C760" t="n">
        <v>758</v>
      </c>
      <c r="D760" t="n">
        <v>1</v>
      </c>
      <c r="E760" t="n">
        <v>87.8903</v>
      </c>
      <c r="F760" t="n">
        <v>0.03539</v>
      </c>
    </row>
    <row r="761">
      <c r="A761" t="n">
        <v>1000759</v>
      </c>
      <c r="B761" t="n">
        <v>1</v>
      </c>
      <c r="C761" t="n">
        <v>759</v>
      </c>
      <c r="D761" t="n">
        <v>1</v>
      </c>
      <c r="E761" t="n">
        <v>87.9181</v>
      </c>
      <c r="F761" t="n">
        <v>0.0354</v>
      </c>
    </row>
    <row r="762">
      <c r="A762" t="n">
        <v>1000760</v>
      </c>
      <c r="B762" t="n">
        <v>1</v>
      </c>
      <c r="C762" t="n">
        <v>760</v>
      </c>
      <c r="D762" t="n">
        <v>1</v>
      </c>
      <c r="E762" t="n">
        <v>87.946</v>
      </c>
      <c r="F762" t="n">
        <v>0.03541</v>
      </c>
    </row>
    <row r="763">
      <c r="A763" t="n">
        <v>1000761</v>
      </c>
      <c r="B763" t="n">
        <v>1</v>
      </c>
      <c r="C763" t="n">
        <v>761</v>
      </c>
      <c r="D763" t="n">
        <v>1</v>
      </c>
      <c r="E763" t="n">
        <v>87.97369999999999</v>
      </c>
      <c r="F763" t="n">
        <v>0.03542</v>
      </c>
    </row>
    <row r="764">
      <c r="A764" t="n">
        <v>1000762</v>
      </c>
      <c r="B764" t="n">
        <v>1</v>
      </c>
      <c r="C764" t="n">
        <v>762</v>
      </c>
      <c r="D764" t="n">
        <v>1</v>
      </c>
      <c r="E764" t="n">
        <v>88.00149999999999</v>
      </c>
      <c r="F764" t="n">
        <v>0.03543</v>
      </c>
    </row>
    <row r="765">
      <c r="A765" t="n">
        <v>1000763</v>
      </c>
      <c r="B765" t="n">
        <v>1</v>
      </c>
      <c r="C765" t="n">
        <v>763</v>
      </c>
      <c r="D765" t="n">
        <v>1</v>
      </c>
      <c r="E765" t="n">
        <v>88.0292</v>
      </c>
      <c r="F765" t="n">
        <v>0.03544</v>
      </c>
    </row>
    <row r="766">
      <c r="A766" t="n">
        <v>1000764</v>
      </c>
      <c r="B766" t="n">
        <v>1</v>
      </c>
      <c r="C766" t="n">
        <v>764</v>
      </c>
      <c r="D766" t="n">
        <v>1</v>
      </c>
      <c r="E766" t="n">
        <v>88.057</v>
      </c>
      <c r="F766" t="n">
        <v>0.03545</v>
      </c>
    </row>
    <row r="767">
      <c r="A767" t="n">
        <v>1000765</v>
      </c>
      <c r="B767" t="n">
        <v>1</v>
      </c>
      <c r="C767" t="n">
        <v>765</v>
      </c>
      <c r="D767" t="n">
        <v>1</v>
      </c>
      <c r="E767" t="n">
        <v>88.08459999999999</v>
      </c>
      <c r="F767" t="n">
        <v>0.03547</v>
      </c>
    </row>
    <row r="768">
      <c r="A768" t="n">
        <v>1000766</v>
      </c>
      <c r="B768" t="n">
        <v>1</v>
      </c>
      <c r="C768" t="n">
        <v>766</v>
      </c>
      <c r="D768" t="n">
        <v>1</v>
      </c>
      <c r="E768" t="n">
        <v>88.1123</v>
      </c>
      <c r="F768" t="n">
        <v>0.03548</v>
      </c>
    </row>
    <row r="769">
      <c r="A769" t="n">
        <v>1000767</v>
      </c>
      <c r="B769" t="n">
        <v>1</v>
      </c>
      <c r="C769" t="n">
        <v>767</v>
      </c>
      <c r="D769" t="n">
        <v>1</v>
      </c>
      <c r="E769" t="n">
        <v>88.14</v>
      </c>
      <c r="F769" t="n">
        <v>0.03549</v>
      </c>
    </row>
    <row r="770">
      <c r="A770" t="n">
        <v>1000768</v>
      </c>
      <c r="B770" t="n">
        <v>1</v>
      </c>
      <c r="C770" t="n">
        <v>768</v>
      </c>
      <c r="D770" t="n">
        <v>1</v>
      </c>
      <c r="E770" t="n">
        <v>88.16759999999999</v>
      </c>
      <c r="F770" t="n">
        <v>0.0355</v>
      </c>
    </row>
    <row r="771">
      <c r="A771" t="n">
        <v>1000769</v>
      </c>
      <c r="B771" t="n">
        <v>1</v>
      </c>
      <c r="C771" t="n">
        <v>769</v>
      </c>
      <c r="D771" t="n">
        <v>1</v>
      </c>
      <c r="E771" t="n">
        <v>88.1952</v>
      </c>
      <c r="F771" t="n">
        <v>0.03551</v>
      </c>
    </row>
    <row r="772">
      <c r="A772" t="n">
        <v>1000770</v>
      </c>
      <c r="B772" t="n">
        <v>1</v>
      </c>
      <c r="C772" t="n">
        <v>770</v>
      </c>
      <c r="D772" t="n">
        <v>1</v>
      </c>
      <c r="E772" t="n">
        <v>88.22280000000001</v>
      </c>
      <c r="F772" t="n">
        <v>0.03552</v>
      </c>
    </row>
    <row r="773">
      <c r="A773" t="n">
        <v>1000771</v>
      </c>
      <c r="B773" t="n">
        <v>1</v>
      </c>
      <c r="C773" t="n">
        <v>771</v>
      </c>
      <c r="D773" t="n">
        <v>1</v>
      </c>
      <c r="E773" t="n">
        <v>88.2503</v>
      </c>
      <c r="F773" t="n">
        <v>0.03553</v>
      </c>
    </row>
    <row r="774">
      <c r="A774" t="n">
        <v>1000772</v>
      </c>
      <c r="B774" t="n">
        <v>1</v>
      </c>
      <c r="C774" t="n">
        <v>772</v>
      </c>
      <c r="D774" t="n">
        <v>1</v>
      </c>
      <c r="E774" t="n">
        <v>88.2778</v>
      </c>
      <c r="F774" t="n">
        <v>0.03555</v>
      </c>
    </row>
    <row r="775">
      <c r="A775" t="n">
        <v>1000773</v>
      </c>
      <c r="B775" t="n">
        <v>1</v>
      </c>
      <c r="C775" t="n">
        <v>773</v>
      </c>
      <c r="D775" t="n">
        <v>1</v>
      </c>
      <c r="E775" t="n">
        <v>88.3053</v>
      </c>
      <c r="F775" t="n">
        <v>0.03556</v>
      </c>
    </row>
    <row r="776">
      <c r="A776" t="n">
        <v>1000774</v>
      </c>
      <c r="B776" t="n">
        <v>1</v>
      </c>
      <c r="C776" t="n">
        <v>774</v>
      </c>
      <c r="D776" t="n">
        <v>1</v>
      </c>
      <c r="E776" t="n">
        <v>88.33280000000001</v>
      </c>
      <c r="F776" t="n">
        <v>0.03557</v>
      </c>
    </row>
    <row r="777">
      <c r="A777" t="n">
        <v>1000775</v>
      </c>
      <c r="B777" t="n">
        <v>1</v>
      </c>
      <c r="C777" t="n">
        <v>775</v>
      </c>
      <c r="D777" t="n">
        <v>1</v>
      </c>
      <c r="E777" t="n">
        <v>88.3603</v>
      </c>
      <c r="F777" t="n">
        <v>0.03558</v>
      </c>
    </row>
    <row r="778">
      <c r="A778" t="n">
        <v>1000776</v>
      </c>
      <c r="B778" t="n">
        <v>1</v>
      </c>
      <c r="C778" t="n">
        <v>776</v>
      </c>
      <c r="D778" t="n">
        <v>1</v>
      </c>
      <c r="E778" t="n">
        <v>88.3877</v>
      </c>
      <c r="F778" t="n">
        <v>0.03559</v>
      </c>
    </row>
    <row r="779">
      <c r="A779" t="n">
        <v>1000777</v>
      </c>
      <c r="B779" t="n">
        <v>1</v>
      </c>
      <c r="C779" t="n">
        <v>777</v>
      </c>
      <c r="D779" t="n">
        <v>1</v>
      </c>
      <c r="E779" t="n">
        <v>88.4151</v>
      </c>
      <c r="F779" t="n">
        <v>0.0356</v>
      </c>
    </row>
    <row r="780">
      <c r="A780" t="n">
        <v>1000778</v>
      </c>
      <c r="B780" t="n">
        <v>1</v>
      </c>
      <c r="C780" t="n">
        <v>778</v>
      </c>
      <c r="D780" t="n">
        <v>1</v>
      </c>
      <c r="E780" t="n">
        <v>88.4425</v>
      </c>
      <c r="F780" t="n">
        <v>0.03561</v>
      </c>
    </row>
    <row r="781">
      <c r="A781" t="n">
        <v>1000779</v>
      </c>
      <c r="B781" t="n">
        <v>1</v>
      </c>
      <c r="C781" t="n">
        <v>779</v>
      </c>
      <c r="D781" t="n">
        <v>1</v>
      </c>
      <c r="E781" t="n">
        <v>88.4699</v>
      </c>
      <c r="F781" t="n">
        <v>0.03562</v>
      </c>
    </row>
    <row r="782">
      <c r="A782" t="n">
        <v>1000780</v>
      </c>
      <c r="B782" t="n">
        <v>1</v>
      </c>
      <c r="C782" t="n">
        <v>780</v>
      </c>
      <c r="D782" t="n">
        <v>1</v>
      </c>
      <c r="E782" t="n">
        <v>88.49720000000001</v>
      </c>
      <c r="F782" t="n">
        <v>0.03564</v>
      </c>
    </row>
    <row r="783">
      <c r="A783" t="n">
        <v>1000781</v>
      </c>
      <c r="B783" t="n">
        <v>1</v>
      </c>
      <c r="C783" t="n">
        <v>781</v>
      </c>
      <c r="D783" t="n">
        <v>1</v>
      </c>
      <c r="E783" t="n">
        <v>88.5245</v>
      </c>
      <c r="F783" t="n">
        <v>0.03565</v>
      </c>
    </row>
    <row r="784">
      <c r="A784" t="n">
        <v>1000782</v>
      </c>
      <c r="B784" t="n">
        <v>1</v>
      </c>
      <c r="C784" t="n">
        <v>782</v>
      </c>
      <c r="D784" t="n">
        <v>1</v>
      </c>
      <c r="E784" t="n">
        <v>88.5518</v>
      </c>
      <c r="F784" t="n">
        <v>0.03566</v>
      </c>
    </row>
    <row r="785">
      <c r="A785" t="n">
        <v>1000783</v>
      </c>
      <c r="B785" t="n">
        <v>1</v>
      </c>
      <c r="C785" t="n">
        <v>783</v>
      </c>
      <c r="D785" t="n">
        <v>1</v>
      </c>
      <c r="E785" t="n">
        <v>88.5791</v>
      </c>
      <c r="F785" t="n">
        <v>0.03567</v>
      </c>
    </row>
    <row r="786">
      <c r="A786" t="n">
        <v>1000784</v>
      </c>
      <c r="B786" t="n">
        <v>1</v>
      </c>
      <c r="C786" t="n">
        <v>784</v>
      </c>
      <c r="D786" t="n">
        <v>1</v>
      </c>
      <c r="E786" t="n">
        <v>88.6063</v>
      </c>
      <c r="F786" t="n">
        <v>0.03568</v>
      </c>
    </row>
    <row r="787">
      <c r="A787" t="n">
        <v>1000785</v>
      </c>
      <c r="B787" t="n">
        <v>1</v>
      </c>
      <c r="C787" t="n">
        <v>785</v>
      </c>
      <c r="D787" t="n">
        <v>1</v>
      </c>
      <c r="E787" t="n">
        <v>88.6335</v>
      </c>
      <c r="F787" t="n">
        <v>0.03569</v>
      </c>
    </row>
    <row r="788">
      <c r="A788" t="n">
        <v>1000786</v>
      </c>
      <c r="B788" t="n">
        <v>1</v>
      </c>
      <c r="C788" t="n">
        <v>786</v>
      </c>
      <c r="D788" t="n">
        <v>1</v>
      </c>
      <c r="E788" t="n">
        <v>88.66070000000001</v>
      </c>
      <c r="F788" t="n">
        <v>0.0357</v>
      </c>
    </row>
    <row r="789">
      <c r="A789" t="n">
        <v>1000787</v>
      </c>
      <c r="B789" t="n">
        <v>1</v>
      </c>
      <c r="C789" t="n">
        <v>787</v>
      </c>
      <c r="D789" t="n">
        <v>1</v>
      </c>
      <c r="E789" t="n">
        <v>88.6879</v>
      </c>
      <c r="F789" t="n">
        <v>0.03571</v>
      </c>
    </row>
    <row r="790">
      <c r="A790" t="n">
        <v>1000788</v>
      </c>
      <c r="B790" t="n">
        <v>1</v>
      </c>
      <c r="C790" t="n">
        <v>788</v>
      </c>
      <c r="D790" t="n">
        <v>1</v>
      </c>
      <c r="E790" t="n">
        <v>88.715</v>
      </c>
      <c r="F790" t="n">
        <v>0.03572</v>
      </c>
    </row>
    <row r="791">
      <c r="A791" t="n">
        <v>1000789</v>
      </c>
      <c r="B791" t="n">
        <v>1</v>
      </c>
      <c r="C791" t="n">
        <v>789</v>
      </c>
      <c r="D791" t="n">
        <v>1</v>
      </c>
      <c r="E791" t="n">
        <v>88.7422</v>
      </c>
      <c r="F791" t="n">
        <v>0.03574</v>
      </c>
    </row>
    <row r="792">
      <c r="A792" t="n">
        <v>1000790</v>
      </c>
      <c r="B792" t="n">
        <v>1</v>
      </c>
      <c r="C792" t="n">
        <v>790</v>
      </c>
      <c r="D792" t="n">
        <v>1</v>
      </c>
      <c r="E792" t="n">
        <v>88.7693</v>
      </c>
      <c r="F792" t="n">
        <v>0.03575</v>
      </c>
    </row>
    <row r="793">
      <c r="A793" t="n">
        <v>1000791</v>
      </c>
      <c r="B793" t="n">
        <v>1</v>
      </c>
      <c r="C793" t="n">
        <v>791</v>
      </c>
      <c r="D793" t="n">
        <v>1</v>
      </c>
      <c r="E793" t="n">
        <v>88.79640000000001</v>
      </c>
      <c r="F793" t="n">
        <v>0.03576</v>
      </c>
    </row>
    <row r="794">
      <c r="A794" t="n">
        <v>1000792</v>
      </c>
      <c r="B794" t="n">
        <v>1</v>
      </c>
      <c r="C794" t="n">
        <v>792</v>
      </c>
      <c r="D794" t="n">
        <v>1</v>
      </c>
      <c r="E794" t="n">
        <v>88.82340000000001</v>
      </c>
      <c r="F794" t="n">
        <v>0.03577</v>
      </c>
    </row>
    <row r="795">
      <c r="A795" t="n">
        <v>1000793</v>
      </c>
      <c r="B795" t="n">
        <v>1</v>
      </c>
      <c r="C795" t="n">
        <v>793</v>
      </c>
      <c r="D795" t="n">
        <v>1</v>
      </c>
      <c r="E795" t="n">
        <v>88.85039999999999</v>
      </c>
      <c r="F795" t="n">
        <v>0.03578</v>
      </c>
    </row>
    <row r="796">
      <c r="A796" t="n">
        <v>1000794</v>
      </c>
      <c r="B796" t="n">
        <v>1</v>
      </c>
      <c r="C796" t="n">
        <v>794</v>
      </c>
      <c r="D796" t="n">
        <v>1</v>
      </c>
      <c r="E796" t="n">
        <v>88.8775</v>
      </c>
      <c r="F796" t="n">
        <v>0.03579</v>
      </c>
    </row>
    <row r="797">
      <c r="A797" t="n">
        <v>1000795</v>
      </c>
      <c r="B797" t="n">
        <v>1</v>
      </c>
      <c r="C797" t="n">
        <v>795</v>
      </c>
      <c r="D797" t="n">
        <v>1</v>
      </c>
      <c r="E797" t="n">
        <v>88.9044</v>
      </c>
      <c r="F797" t="n">
        <v>0.0358</v>
      </c>
    </row>
    <row r="798">
      <c r="A798" t="n">
        <v>1000796</v>
      </c>
      <c r="B798" t="n">
        <v>1</v>
      </c>
      <c r="C798" t="n">
        <v>796</v>
      </c>
      <c r="D798" t="n">
        <v>1</v>
      </c>
      <c r="E798" t="n">
        <v>88.9314</v>
      </c>
      <c r="F798" t="n">
        <v>0.03581</v>
      </c>
    </row>
    <row r="799">
      <c r="A799" t="n">
        <v>1000797</v>
      </c>
      <c r="B799" t="n">
        <v>1</v>
      </c>
      <c r="C799" t="n">
        <v>797</v>
      </c>
      <c r="D799" t="n">
        <v>1</v>
      </c>
      <c r="E799" t="n">
        <v>88.9584</v>
      </c>
      <c r="F799" t="n">
        <v>0.03582</v>
      </c>
    </row>
    <row r="800">
      <c r="A800" t="n">
        <v>1000798</v>
      </c>
      <c r="B800" t="n">
        <v>1</v>
      </c>
      <c r="C800" t="n">
        <v>798</v>
      </c>
      <c r="D800" t="n">
        <v>1</v>
      </c>
      <c r="E800" t="n">
        <v>88.9853</v>
      </c>
      <c r="F800" t="n">
        <v>0.03584</v>
      </c>
    </row>
    <row r="801">
      <c r="A801" t="n">
        <v>1000799</v>
      </c>
      <c r="B801" t="n">
        <v>1</v>
      </c>
      <c r="C801" t="n">
        <v>799</v>
      </c>
      <c r="D801" t="n">
        <v>1</v>
      </c>
      <c r="E801" t="n">
        <v>89.01220000000001</v>
      </c>
      <c r="F801" t="n">
        <v>0.03585</v>
      </c>
    </row>
    <row r="802">
      <c r="A802" t="n">
        <v>1000800</v>
      </c>
      <c r="B802" t="n">
        <v>1</v>
      </c>
      <c r="C802" t="n">
        <v>800</v>
      </c>
      <c r="D802" t="n">
        <v>1</v>
      </c>
      <c r="E802" t="n">
        <v>89.0391</v>
      </c>
      <c r="F802" t="n">
        <v>0.03586</v>
      </c>
    </row>
    <row r="803">
      <c r="A803" t="n">
        <v>1000801</v>
      </c>
      <c r="B803" t="n">
        <v>1</v>
      </c>
      <c r="C803" t="n">
        <v>801</v>
      </c>
      <c r="D803" t="n">
        <v>1</v>
      </c>
      <c r="E803" t="n">
        <v>89.0659</v>
      </c>
      <c r="F803" t="n">
        <v>0.03587</v>
      </c>
    </row>
    <row r="804">
      <c r="A804" t="n">
        <v>1000802</v>
      </c>
      <c r="B804" t="n">
        <v>1</v>
      </c>
      <c r="C804" t="n">
        <v>802</v>
      </c>
      <c r="D804" t="n">
        <v>1</v>
      </c>
      <c r="E804" t="n">
        <v>89.09269999999999</v>
      </c>
      <c r="F804" t="n">
        <v>0.03588</v>
      </c>
    </row>
    <row r="805">
      <c r="A805" t="n">
        <v>1000803</v>
      </c>
      <c r="B805" t="n">
        <v>1</v>
      </c>
      <c r="C805" t="n">
        <v>803</v>
      </c>
      <c r="D805" t="n">
        <v>1</v>
      </c>
      <c r="E805" t="n">
        <v>89.1195</v>
      </c>
      <c r="F805" t="n">
        <v>0.03589</v>
      </c>
    </row>
    <row r="806">
      <c r="A806" t="n">
        <v>1000804</v>
      </c>
      <c r="B806" t="n">
        <v>1</v>
      </c>
      <c r="C806" t="n">
        <v>804</v>
      </c>
      <c r="D806" t="n">
        <v>1</v>
      </c>
      <c r="E806" t="n">
        <v>89.1463</v>
      </c>
      <c r="F806" t="n">
        <v>0.0359</v>
      </c>
    </row>
    <row r="807">
      <c r="A807" t="n">
        <v>1000805</v>
      </c>
      <c r="B807" t="n">
        <v>1</v>
      </c>
      <c r="C807" t="n">
        <v>805</v>
      </c>
      <c r="D807" t="n">
        <v>1</v>
      </c>
      <c r="E807" t="n">
        <v>89.17310000000001</v>
      </c>
      <c r="F807" t="n">
        <v>0.03591</v>
      </c>
    </row>
    <row r="808">
      <c r="A808" t="n">
        <v>1000806</v>
      </c>
      <c r="B808" t="n">
        <v>1</v>
      </c>
      <c r="C808" t="n">
        <v>806</v>
      </c>
      <c r="D808" t="n">
        <v>1</v>
      </c>
      <c r="E808" t="n">
        <v>89.1998</v>
      </c>
      <c r="F808" t="n">
        <v>0.03592</v>
      </c>
    </row>
    <row r="809">
      <c r="A809" t="n">
        <v>1000807</v>
      </c>
      <c r="B809" t="n">
        <v>1</v>
      </c>
      <c r="C809" t="n">
        <v>807</v>
      </c>
      <c r="D809" t="n">
        <v>1</v>
      </c>
      <c r="E809" t="n">
        <v>89.2266</v>
      </c>
      <c r="F809" t="n">
        <v>0.03593</v>
      </c>
    </row>
    <row r="810">
      <c r="A810" t="n">
        <v>1000808</v>
      </c>
      <c r="B810" t="n">
        <v>1</v>
      </c>
      <c r="C810" t="n">
        <v>808</v>
      </c>
      <c r="D810" t="n">
        <v>1</v>
      </c>
      <c r="E810" t="n">
        <v>89.2533</v>
      </c>
      <c r="F810" t="n">
        <v>0.03595</v>
      </c>
    </row>
    <row r="811">
      <c r="A811" t="n">
        <v>1000809</v>
      </c>
      <c r="B811" t="n">
        <v>1</v>
      </c>
      <c r="C811" t="n">
        <v>809</v>
      </c>
      <c r="D811" t="n">
        <v>1</v>
      </c>
      <c r="E811" t="n">
        <v>89.2799</v>
      </c>
      <c r="F811" t="n">
        <v>0.03596</v>
      </c>
    </row>
    <row r="812">
      <c r="A812" t="n">
        <v>1000810</v>
      </c>
      <c r="B812" t="n">
        <v>1</v>
      </c>
      <c r="C812" t="n">
        <v>810</v>
      </c>
      <c r="D812" t="n">
        <v>1</v>
      </c>
      <c r="E812" t="n">
        <v>89.3066</v>
      </c>
      <c r="F812" t="n">
        <v>0.03597</v>
      </c>
    </row>
    <row r="813">
      <c r="A813" t="n">
        <v>1000811</v>
      </c>
      <c r="B813" t="n">
        <v>1</v>
      </c>
      <c r="C813" t="n">
        <v>811</v>
      </c>
      <c r="D813" t="n">
        <v>1</v>
      </c>
      <c r="E813" t="n">
        <v>89.33320000000001</v>
      </c>
      <c r="F813" t="n">
        <v>0.03598</v>
      </c>
    </row>
    <row r="814">
      <c r="A814" t="n">
        <v>1000812</v>
      </c>
      <c r="B814" t="n">
        <v>1</v>
      </c>
      <c r="C814" t="n">
        <v>812</v>
      </c>
      <c r="D814" t="n">
        <v>1</v>
      </c>
      <c r="E814" t="n">
        <v>89.35980000000001</v>
      </c>
      <c r="F814" t="n">
        <v>0.03599</v>
      </c>
    </row>
    <row r="815">
      <c r="A815" t="n">
        <v>1000813</v>
      </c>
      <c r="B815" t="n">
        <v>1</v>
      </c>
      <c r="C815" t="n">
        <v>813</v>
      </c>
      <c r="D815" t="n">
        <v>1</v>
      </c>
      <c r="E815" t="n">
        <v>89.38639999999999</v>
      </c>
      <c r="F815" t="n">
        <v>0.036</v>
      </c>
    </row>
    <row r="816">
      <c r="A816" t="n">
        <v>1000814</v>
      </c>
      <c r="B816" t="n">
        <v>1</v>
      </c>
      <c r="C816" t="n">
        <v>814</v>
      </c>
      <c r="D816" t="n">
        <v>1</v>
      </c>
      <c r="E816" t="n">
        <v>89.413</v>
      </c>
      <c r="F816" t="n">
        <v>0.03601</v>
      </c>
    </row>
    <row r="817">
      <c r="A817" t="n">
        <v>1000815</v>
      </c>
      <c r="B817" t="n">
        <v>1</v>
      </c>
      <c r="C817" t="n">
        <v>815</v>
      </c>
      <c r="D817" t="n">
        <v>1</v>
      </c>
      <c r="E817" t="n">
        <v>89.4395</v>
      </c>
      <c r="F817" t="n">
        <v>0.03602</v>
      </c>
    </row>
    <row r="818">
      <c r="A818" t="n">
        <v>1000816</v>
      </c>
      <c r="B818" t="n">
        <v>1</v>
      </c>
      <c r="C818" t="n">
        <v>816</v>
      </c>
      <c r="D818" t="n">
        <v>1</v>
      </c>
      <c r="E818" t="n">
        <v>89.46599999999999</v>
      </c>
      <c r="F818" t="n">
        <v>0.03603</v>
      </c>
    </row>
    <row r="819">
      <c r="A819" t="n">
        <v>1000817</v>
      </c>
      <c r="B819" t="n">
        <v>1</v>
      </c>
      <c r="C819" t="n">
        <v>817</v>
      </c>
      <c r="D819" t="n">
        <v>1</v>
      </c>
      <c r="E819" t="n">
        <v>89.49250000000001</v>
      </c>
      <c r="F819" t="n">
        <v>0.03604</v>
      </c>
    </row>
    <row r="820">
      <c r="A820" t="n">
        <v>1000818</v>
      </c>
      <c r="B820" t="n">
        <v>1</v>
      </c>
      <c r="C820" t="n">
        <v>818</v>
      </c>
      <c r="D820" t="n">
        <v>1</v>
      </c>
      <c r="E820" t="n">
        <v>89.51900000000001</v>
      </c>
      <c r="F820" t="n">
        <v>0.03605</v>
      </c>
    </row>
    <row r="821">
      <c r="A821" t="n">
        <v>1000819</v>
      </c>
      <c r="B821" t="n">
        <v>1</v>
      </c>
      <c r="C821" t="n">
        <v>819</v>
      </c>
      <c r="D821" t="n">
        <v>1</v>
      </c>
      <c r="E821" t="n">
        <v>89.5455</v>
      </c>
      <c r="F821" t="n">
        <v>0.03607</v>
      </c>
    </row>
    <row r="822">
      <c r="A822" t="n">
        <v>1000820</v>
      </c>
      <c r="B822" t="n">
        <v>1</v>
      </c>
      <c r="C822" t="n">
        <v>820</v>
      </c>
      <c r="D822" t="n">
        <v>1</v>
      </c>
      <c r="E822" t="n">
        <v>89.5719</v>
      </c>
      <c r="F822" t="n">
        <v>0.03608</v>
      </c>
    </row>
    <row r="823">
      <c r="A823" t="n">
        <v>1000821</v>
      </c>
      <c r="B823" t="n">
        <v>1</v>
      </c>
      <c r="C823" t="n">
        <v>821</v>
      </c>
      <c r="D823" t="n">
        <v>1</v>
      </c>
      <c r="E823" t="n">
        <v>89.59829999999999</v>
      </c>
      <c r="F823" t="n">
        <v>0.03609</v>
      </c>
    </row>
    <row r="824">
      <c r="A824" t="n">
        <v>1000822</v>
      </c>
      <c r="B824" t="n">
        <v>1</v>
      </c>
      <c r="C824" t="n">
        <v>822</v>
      </c>
      <c r="D824" t="n">
        <v>1</v>
      </c>
      <c r="E824" t="n">
        <v>89.6247</v>
      </c>
      <c r="F824" t="n">
        <v>0.0361</v>
      </c>
    </row>
    <row r="825">
      <c r="A825" t="n">
        <v>1000823</v>
      </c>
      <c r="B825" t="n">
        <v>1</v>
      </c>
      <c r="C825" t="n">
        <v>823</v>
      </c>
      <c r="D825" t="n">
        <v>1</v>
      </c>
      <c r="E825" t="n">
        <v>89.651</v>
      </c>
      <c r="F825" t="n">
        <v>0.03611</v>
      </c>
    </row>
    <row r="826">
      <c r="A826" t="n">
        <v>1000824</v>
      </c>
      <c r="B826" t="n">
        <v>1</v>
      </c>
      <c r="C826" t="n">
        <v>824</v>
      </c>
      <c r="D826" t="n">
        <v>1</v>
      </c>
      <c r="E826" t="n">
        <v>89.67740000000001</v>
      </c>
      <c r="F826" t="n">
        <v>0.03612</v>
      </c>
    </row>
    <row r="827">
      <c r="A827" t="n">
        <v>1000825</v>
      </c>
      <c r="B827" t="n">
        <v>1</v>
      </c>
      <c r="C827" t="n">
        <v>825</v>
      </c>
      <c r="D827" t="n">
        <v>1</v>
      </c>
      <c r="E827" t="n">
        <v>89.7037</v>
      </c>
      <c r="F827" t="n">
        <v>0.03613</v>
      </c>
    </row>
    <row r="828">
      <c r="A828" t="n">
        <v>1000826</v>
      </c>
      <c r="B828" t="n">
        <v>1</v>
      </c>
      <c r="C828" t="n">
        <v>826</v>
      </c>
      <c r="D828" t="n">
        <v>1</v>
      </c>
      <c r="E828" t="n">
        <v>89.73</v>
      </c>
      <c r="F828" t="n">
        <v>0.03614</v>
      </c>
    </row>
    <row r="829">
      <c r="A829" t="n">
        <v>1000827</v>
      </c>
      <c r="B829" t="n">
        <v>1</v>
      </c>
      <c r="C829" t="n">
        <v>827</v>
      </c>
      <c r="D829" t="n">
        <v>1</v>
      </c>
      <c r="E829" t="n">
        <v>89.7563</v>
      </c>
      <c r="F829" t="n">
        <v>0.03615</v>
      </c>
    </row>
    <row r="830">
      <c r="A830" t="n">
        <v>1000828</v>
      </c>
      <c r="B830" t="n">
        <v>1</v>
      </c>
      <c r="C830" t="n">
        <v>828</v>
      </c>
      <c r="D830" t="n">
        <v>1</v>
      </c>
      <c r="E830" t="n">
        <v>89.7825</v>
      </c>
      <c r="F830" t="n">
        <v>0.03616</v>
      </c>
    </row>
    <row r="831">
      <c r="A831" t="n">
        <v>1000829</v>
      </c>
      <c r="B831" t="n">
        <v>1</v>
      </c>
      <c r="C831" t="n">
        <v>829</v>
      </c>
      <c r="D831" t="n">
        <v>1</v>
      </c>
      <c r="E831" t="n">
        <v>89.8087</v>
      </c>
      <c r="F831" t="n">
        <v>0.03617</v>
      </c>
    </row>
    <row r="832">
      <c r="A832" t="n">
        <v>1000830</v>
      </c>
      <c r="B832" t="n">
        <v>1</v>
      </c>
      <c r="C832" t="n">
        <v>830</v>
      </c>
      <c r="D832" t="n">
        <v>1</v>
      </c>
      <c r="E832" t="n">
        <v>89.8349</v>
      </c>
      <c r="F832" t="n">
        <v>0.03618</v>
      </c>
    </row>
    <row r="833">
      <c r="A833" t="n">
        <v>1000831</v>
      </c>
      <c r="B833" t="n">
        <v>1</v>
      </c>
      <c r="C833" t="n">
        <v>831</v>
      </c>
      <c r="D833" t="n">
        <v>1</v>
      </c>
      <c r="E833" t="n">
        <v>89.86109999999999</v>
      </c>
      <c r="F833" t="n">
        <v>0.0362</v>
      </c>
    </row>
    <row r="834">
      <c r="A834" t="n">
        <v>1000832</v>
      </c>
      <c r="B834" t="n">
        <v>1</v>
      </c>
      <c r="C834" t="n">
        <v>832</v>
      </c>
      <c r="D834" t="n">
        <v>1</v>
      </c>
      <c r="E834" t="n">
        <v>89.8873</v>
      </c>
      <c r="F834" t="n">
        <v>0.03621</v>
      </c>
    </row>
    <row r="835">
      <c r="A835" t="n">
        <v>1000833</v>
      </c>
      <c r="B835" t="n">
        <v>1</v>
      </c>
      <c r="C835" t="n">
        <v>833</v>
      </c>
      <c r="D835" t="n">
        <v>1</v>
      </c>
      <c r="E835" t="n">
        <v>89.9134</v>
      </c>
      <c r="F835" t="n">
        <v>0.03622</v>
      </c>
    </row>
    <row r="836">
      <c r="A836" t="n">
        <v>1000834</v>
      </c>
      <c r="B836" t="n">
        <v>1</v>
      </c>
      <c r="C836" t="n">
        <v>834</v>
      </c>
      <c r="D836" t="n">
        <v>1</v>
      </c>
      <c r="E836" t="n">
        <v>89.9395</v>
      </c>
      <c r="F836" t="n">
        <v>0.03623</v>
      </c>
    </row>
    <row r="837">
      <c r="A837" t="n">
        <v>1000835</v>
      </c>
      <c r="B837" t="n">
        <v>1</v>
      </c>
      <c r="C837" t="n">
        <v>835</v>
      </c>
      <c r="D837" t="n">
        <v>1</v>
      </c>
      <c r="E837" t="n">
        <v>89.96559999999999</v>
      </c>
      <c r="F837" t="n">
        <v>0.03624</v>
      </c>
    </row>
    <row r="838">
      <c r="A838" t="n">
        <v>1000836</v>
      </c>
      <c r="B838" t="n">
        <v>1</v>
      </c>
      <c r="C838" t="n">
        <v>836</v>
      </c>
      <c r="D838" t="n">
        <v>1</v>
      </c>
      <c r="E838" t="n">
        <v>89.99169999999999</v>
      </c>
      <c r="F838" t="n">
        <v>0.03625</v>
      </c>
    </row>
    <row r="839">
      <c r="A839" t="n">
        <v>1000837</v>
      </c>
      <c r="B839" t="n">
        <v>1</v>
      </c>
      <c r="C839" t="n">
        <v>837</v>
      </c>
      <c r="D839" t="n">
        <v>1</v>
      </c>
      <c r="E839" t="n">
        <v>90.0177</v>
      </c>
      <c r="F839" t="n">
        <v>0.03626</v>
      </c>
    </row>
    <row r="840">
      <c r="A840" t="n">
        <v>1000838</v>
      </c>
      <c r="B840" t="n">
        <v>1</v>
      </c>
      <c r="C840" t="n">
        <v>838</v>
      </c>
      <c r="D840" t="n">
        <v>1</v>
      </c>
      <c r="E840" t="n">
        <v>90.0437</v>
      </c>
      <c r="F840" t="n">
        <v>0.03627</v>
      </c>
    </row>
    <row r="841">
      <c r="A841" t="n">
        <v>1000839</v>
      </c>
      <c r="B841" t="n">
        <v>1</v>
      </c>
      <c r="C841" t="n">
        <v>839</v>
      </c>
      <c r="D841" t="n">
        <v>1</v>
      </c>
      <c r="E841" t="n">
        <v>90.0697</v>
      </c>
      <c r="F841" t="n">
        <v>0.03628</v>
      </c>
    </row>
    <row r="842">
      <c r="A842" t="n">
        <v>1000840</v>
      </c>
      <c r="B842" t="n">
        <v>1</v>
      </c>
      <c r="C842" t="n">
        <v>840</v>
      </c>
      <c r="D842" t="n">
        <v>1</v>
      </c>
      <c r="E842" t="n">
        <v>90.09569999999999</v>
      </c>
      <c r="F842" t="n">
        <v>0.03629</v>
      </c>
    </row>
    <row r="843">
      <c r="A843" t="n">
        <v>1000841</v>
      </c>
      <c r="B843" t="n">
        <v>1</v>
      </c>
      <c r="C843" t="n">
        <v>841</v>
      </c>
      <c r="D843" t="n">
        <v>1</v>
      </c>
      <c r="E843" t="n">
        <v>90.1216</v>
      </c>
      <c r="F843" t="n">
        <v>0.0363</v>
      </c>
    </row>
    <row r="844">
      <c r="A844" t="n">
        <v>1000842</v>
      </c>
      <c r="B844" t="n">
        <v>1</v>
      </c>
      <c r="C844" t="n">
        <v>842</v>
      </c>
      <c r="D844" t="n">
        <v>1</v>
      </c>
      <c r="E844" t="n">
        <v>90.1476</v>
      </c>
      <c r="F844" t="n">
        <v>0.03631</v>
      </c>
    </row>
    <row r="845">
      <c r="A845" t="n">
        <v>1000843</v>
      </c>
      <c r="B845" t="n">
        <v>1</v>
      </c>
      <c r="C845" t="n">
        <v>843</v>
      </c>
      <c r="D845" t="n">
        <v>1</v>
      </c>
      <c r="E845" t="n">
        <v>90.1735</v>
      </c>
      <c r="F845" t="n">
        <v>0.03632</v>
      </c>
    </row>
    <row r="846">
      <c r="A846" t="n">
        <v>1000844</v>
      </c>
      <c r="B846" t="n">
        <v>1</v>
      </c>
      <c r="C846" t="n">
        <v>844</v>
      </c>
      <c r="D846" t="n">
        <v>1</v>
      </c>
      <c r="E846" t="n">
        <v>90.1994</v>
      </c>
      <c r="F846" t="n">
        <v>0.03633</v>
      </c>
    </row>
    <row r="847">
      <c r="A847" t="n">
        <v>1000845</v>
      </c>
      <c r="B847" t="n">
        <v>1</v>
      </c>
      <c r="C847" t="n">
        <v>845</v>
      </c>
      <c r="D847" t="n">
        <v>1</v>
      </c>
      <c r="E847" t="n">
        <v>90.2252</v>
      </c>
      <c r="F847" t="n">
        <v>0.03634</v>
      </c>
    </row>
    <row r="848">
      <c r="A848" t="n">
        <v>1000846</v>
      </c>
      <c r="B848" t="n">
        <v>1</v>
      </c>
      <c r="C848" t="n">
        <v>846</v>
      </c>
      <c r="D848" t="n">
        <v>1</v>
      </c>
      <c r="E848" t="n">
        <v>90.251</v>
      </c>
      <c r="F848" t="n">
        <v>0.03636</v>
      </c>
    </row>
    <row r="849">
      <c r="A849" t="n">
        <v>1000847</v>
      </c>
      <c r="B849" t="n">
        <v>1</v>
      </c>
      <c r="C849" t="n">
        <v>847</v>
      </c>
      <c r="D849" t="n">
        <v>1</v>
      </c>
      <c r="E849" t="n">
        <v>90.2769</v>
      </c>
      <c r="F849" t="n">
        <v>0.03637</v>
      </c>
    </row>
    <row r="850">
      <c r="A850" t="n">
        <v>1000848</v>
      </c>
      <c r="B850" t="n">
        <v>1</v>
      </c>
      <c r="C850" t="n">
        <v>848</v>
      </c>
      <c r="D850" t="n">
        <v>1</v>
      </c>
      <c r="E850" t="n">
        <v>90.3026</v>
      </c>
      <c r="F850" t="n">
        <v>0.03638</v>
      </c>
    </row>
    <row r="851">
      <c r="A851" t="n">
        <v>1000849</v>
      </c>
      <c r="B851" t="n">
        <v>1</v>
      </c>
      <c r="C851" t="n">
        <v>849</v>
      </c>
      <c r="D851" t="n">
        <v>1</v>
      </c>
      <c r="E851" t="n">
        <v>90.3284</v>
      </c>
      <c r="F851" t="n">
        <v>0.03639</v>
      </c>
    </row>
    <row r="852">
      <c r="A852" t="n">
        <v>1000850</v>
      </c>
      <c r="B852" t="n">
        <v>1</v>
      </c>
      <c r="C852" t="n">
        <v>850</v>
      </c>
      <c r="D852" t="n">
        <v>1</v>
      </c>
      <c r="E852" t="n">
        <v>90.3541</v>
      </c>
      <c r="F852" t="n">
        <v>0.0364</v>
      </c>
    </row>
    <row r="853">
      <c r="A853" t="n">
        <v>1000851</v>
      </c>
      <c r="B853" t="n">
        <v>1</v>
      </c>
      <c r="C853" t="n">
        <v>851</v>
      </c>
      <c r="D853" t="n">
        <v>1</v>
      </c>
      <c r="E853" t="n">
        <v>90.37990000000001</v>
      </c>
      <c r="F853" t="n">
        <v>0.03641</v>
      </c>
    </row>
    <row r="854">
      <c r="A854" t="n">
        <v>1000852</v>
      </c>
      <c r="B854" t="n">
        <v>1</v>
      </c>
      <c r="C854" t="n">
        <v>852</v>
      </c>
      <c r="D854" t="n">
        <v>1</v>
      </c>
      <c r="E854" t="n">
        <v>90.40560000000001</v>
      </c>
      <c r="F854" t="n">
        <v>0.03642</v>
      </c>
    </row>
    <row r="855">
      <c r="A855" t="n">
        <v>1000853</v>
      </c>
      <c r="B855" t="n">
        <v>1</v>
      </c>
      <c r="C855" t="n">
        <v>853</v>
      </c>
      <c r="D855" t="n">
        <v>1</v>
      </c>
      <c r="E855" t="n">
        <v>90.4312</v>
      </c>
      <c r="F855" t="n">
        <v>0.03643</v>
      </c>
    </row>
    <row r="856">
      <c r="A856" t="n">
        <v>1000854</v>
      </c>
      <c r="B856" t="n">
        <v>1</v>
      </c>
      <c r="C856" t="n">
        <v>854</v>
      </c>
      <c r="D856" t="n">
        <v>1</v>
      </c>
      <c r="E856" t="n">
        <v>90.4569</v>
      </c>
      <c r="F856" t="n">
        <v>0.03644</v>
      </c>
    </row>
    <row r="857">
      <c r="A857" t="n">
        <v>1000855</v>
      </c>
      <c r="B857" t="n">
        <v>1</v>
      </c>
      <c r="C857" t="n">
        <v>855</v>
      </c>
      <c r="D857" t="n">
        <v>1</v>
      </c>
      <c r="E857" t="n">
        <v>90.4825</v>
      </c>
      <c r="F857" t="n">
        <v>0.03645</v>
      </c>
    </row>
    <row r="858">
      <c r="A858" t="n">
        <v>1000856</v>
      </c>
      <c r="B858" t="n">
        <v>1</v>
      </c>
      <c r="C858" t="n">
        <v>856</v>
      </c>
      <c r="D858" t="n">
        <v>1</v>
      </c>
      <c r="E858" t="n">
        <v>90.5081</v>
      </c>
      <c r="F858" t="n">
        <v>0.03646</v>
      </c>
    </row>
    <row r="859">
      <c r="A859" t="n">
        <v>1000857</v>
      </c>
      <c r="B859" t="n">
        <v>1</v>
      </c>
      <c r="C859" t="n">
        <v>857</v>
      </c>
      <c r="D859" t="n">
        <v>1</v>
      </c>
      <c r="E859" t="n">
        <v>90.5337</v>
      </c>
      <c r="F859" t="n">
        <v>0.03647</v>
      </c>
    </row>
    <row r="860">
      <c r="A860" t="n">
        <v>1000858</v>
      </c>
      <c r="B860" t="n">
        <v>1</v>
      </c>
      <c r="C860" t="n">
        <v>858</v>
      </c>
      <c r="D860" t="n">
        <v>1</v>
      </c>
      <c r="E860" t="n">
        <v>90.5592</v>
      </c>
      <c r="F860" t="n">
        <v>0.03648</v>
      </c>
    </row>
    <row r="861">
      <c r="A861" t="n">
        <v>1000859</v>
      </c>
      <c r="B861" t="n">
        <v>1</v>
      </c>
      <c r="C861" t="n">
        <v>859</v>
      </c>
      <c r="D861" t="n">
        <v>1</v>
      </c>
      <c r="E861" t="n">
        <v>90.5848</v>
      </c>
      <c r="F861" t="n">
        <v>0.03649</v>
      </c>
    </row>
    <row r="862">
      <c r="A862" t="n">
        <v>1000860</v>
      </c>
      <c r="B862" t="n">
        <v>1</v>
      </c>
      <c r="C862" t="n">
        <v>860</v>
      </c>
      <c r="D862" t="n">
        <v>1</v>
      </c>
      <c r="E862" t="n">
        <v>90.6103</v>
      </c>
      <c r="F862" t="n">
        <v>0.0365</v>
      </c>
    </row>
    <row r="863">
      <c r="A863" t="n">
        <v>1000861</v>
      </c>
      <c r="B863" t="n">
        <v>1</v>
      </c>
      <c r="C863" t="n">
        <v>861</v>
      </c>
      <c r="D863" t="n">
        <v>1</v>
      </c>
      <c r="E863" t="n">
        <v>90.6358</v>
      </c>
      <c r="F863" t="n">
        <v>0.03651</v>
      </c>
    </row>
    <row r="864">
      <c r="A864" t="n">
        <v>1000862</v>
      </c>
      <c r="B864" t="n">
        <v>1</v>
      </c>
      <c r="C864" t="n">
        <v>862</v>
      </c>
      <c r="D864" t="n">
        <v>1</v>
      </c>
      <c r="E864" t="n">
        <v>90.66119999999999</v>
      </c>
      <c r="F864" t="n">
        <v>0.03652</v>
      </c>
    </row>
    <row r="865">
      <c r="A865" t="n">
        <v>1000863</v>
      </c>
      <c r="B865" t="n">
        <v>1</v>
      </c>
      <c r="C865" t="n">
        <v>863</v>
      </c>
      <c r="D865" t="n">
        <v>1</v>
      </c>
      <c r="E865" t="n">
        <v>90.6867</v>
      </c>
      <c r="F865" t="n">
        <v>0.03653</v>
      </c>
    </row>
    <row r="866">
      <c r="A866" t="n">
        <v>1000864</v>
      </c>
      <c r="B866" t="n">
        <v>1</v>
      </c>
      <c r="C866" t="n">
        <v>864</v>
      </c>
      <c r="D866" t="n">
        <v>1</v>
      </c>
      <c r="E866" t="n">
        <v>90.71210000000001</v>
      </c>
      <c r="F866" t="n">
        <v>0.03654</v>
      </c>
    </row>
    <row r="867">
      <c r="A867" t="n">
        <v>1000865</v>
      </c>
      <c r="B867" t="n">
        <v>1</v>
      </c>
      <c r="C867" t="n">
        <v>865</v>
      </c>
      <c r="D867" t="n">
        <v>1</v>
      </c>
      <c r="E867" t="n">
        <v>90.7375</v>
      </c>
      <c r="F867" t="n">
        <v>0.03655</v>
      </c>
    </row>
    <row r="868">
      <c r="A868" t="n">
        <v>1000866</v>
      </c>
      <c r="B868" t="n">
        <v>1</v>
      </c>
      <c r="C868" t="n">
        <v>866</v>
      </c>
      <c r="D868" t="n">
        <v>1</v>
      </c>
      <c r="E868" t="n">
        <v>90.7628</v>
      </c>
      <c r="F868" t="n">
        <v>0.03656</v>
      </c>
    </row>
    <row r="869">
      <c r="A869" t="n">
        <v>1000867</v>
      </c>
      <c r="B869" t="n">
        <v>1</v>
      </c>
      <c r="C869" t="n">
        <v>867</v>
      </c>
      <c r="D869" t="n">
        <v>1</v>
      </c>
      <c r="E869" t="n">
        <v>90.7882</v>
      </c>
      <c r="F869" t="n">
        <v>0.03657</v>
      </c>
    </row>
    <row r="870">
      <c r="A870" t="n">
        <v>1000868</v>
      </c>
      <c r="B870" t="n">
        <v>1</v>
      </c>
      <c r="C870" t="n">
        <v>868</v>
      </c>
      <c r="D870" t="n">
        <v>1</v>
      </c>
      <c r="E870" t="n">
        <v>90.8135</v>
      </c>
      <c r="F870" t="n">
        <v>0.03659</v>
      </c>
    </row>
    <row r="871">
      <c r="A871" t="n">
        <v>1000869</v>
      </c>
      <c r="B871" t="n">
        <v>1</v>
      </c>
      <c r="C871" t="n">
        <v>869</v>
      </c>
      <c r="D871" t="n">
        <v>1</v>
      </c>
      <c r="E871" t="n">
        <v>90.83880000000001</v>
      </c>
      <c r="F871" t="n">
        <v>0.0366</v>
      </c>
    </row>
    <row r="872">
      <c r="A872" t="n">
        <v>1000870</v>
      </c>
      <c r="B872" t="n">
        <v>1</v>
      </c>
      <c r="C872" t="n">
        <v>870</v>
      </c>
      <c r="D872" t="n">
        <v>1</v>
      </c>
      <c r="E872" t="n">
        <v>90.86409999999999</v>
      </c>
      <c r="F872" t="n">
        <v>0.03661</v>
      </c>
    </row>
    <row r="873">
      <c r="A873" t="n">
        <v>1000871</v>
      </c>
      <c r="B873" t="n">
        <v>1</v>
      </c>
      <c r="C873" t="n">
        <v>871</v>
      </c>
      <c r="D873" t="n">
        <v>1</v>
      </c>
      <c r="E873" t="n">
        <v>90.88930000000001</v>
      </c>
      <c r="F873" t="n">
        <v>0.03662</v>
      </c>
    </row>
    <row r="874">
      <c r="A874" t="n">
        <v>1000872</v>
      </c>
      <c r="B874" t="n">
        <v>1</v>
      </c>
      <c r="C874" t="n">
        <v>872</v>
      </c>
      <c r="D874" t="n">
        <v>1</v>
      </c>
      <c r="E874" t="n">
        <v>90.91459999999999</v>
      </c>
      <c r="F874" t="n">
        <v>0.03663</v>
      </c>
    </row>
    <row r="875">
      <c r="A875" t="n">
        <v>1000873</v>
      </c>
      <c r="B875" t="n">
        <v>1</v>
      </c>
      <c r="C875" t="n">
        <v>873</v>
      </c>
      <c r="D875" t="n">
        <v>1</v>
      </c>
      <c r="E875" t="n">
        <v>90.93980000000001</v>
      </c>
      <c r="F875" t="n">
        <v>0.03664</v>
      </c>
    </row>
    <row r="876">
      <c r="A876" t="n">
        <v>1000874</v>
      </c>
      <c r="B876" t="n">
        <v>1</v>
      </c>
      <c r="C876" t="n">
        <v>874</v>
      </c>
      <c r="D876" t="n">
        <v>1</v>
      </c>
      <c r="E876" t="n">
        <v>90.965</v>
      </c>
      <c r="F876" t="n">
        <v>0.03665</v>
      </c>
    </row>
    <row r="877">
      <c r="A877" t="n">
        <v>1000875</v>
      </c>
      <c r="B877" t="n">
        <v>1</v>
      </c>
      <c r="C877" t="n">
        <v>875</v>
      </c>
      <c r="D877" t="n">
        <v>1</v>
      </c>
      <c r="E877" t="n">
        <v>90.9901</v>
      </c>
      <c r="F877" t="n">
        <v>0.03666</v>
      </c>
    </row>
    <row r="878">
      <c r="A878" t="n">
        <v>1000876</v>
      </c>
      <c r="B878" t="n">
        <v>1</v>
      </c>
      <c r="C878" t="n">
        <v>876</v>
      </c>
      <c r="D878" t="n">
        <v>1</v>
      </c>
      <c r="E878" t="n">
        <v>91.0153</v>
      </c>
      <c r="F878" t="n">
        <v>0.03667</v>
      </c>
    </row>
    <row r="879">
      <c r="A879" t="n">
        <v>1000877</v>
      </c>
      <c r="B879" t="n">
        <v>1</v>
      </c>
      <c r="C879" t="n">
        <v>877</v>
      </c>
      <c r="D879" t="n">
        <v>1</v>
      </c>
      <c r="E879" t="n">
        <v>91.04040000000001</v>
      </c>
      <c r="F879" t="n">
        <v>0.03668</v>
      </c>
    </row>
    <row r="880">
      <c r="A880" t="n">
        <v>1000878</v>
      </c>
      <c r="B880" t="n">
        <v>1</v>
      </c>
      <c r="C880" t="n">
        <v>878</v>
      </c>
      <c r="D880" t="n">
        <v>1</v>
      </c>
      <c r="E880" t="n">
        <v>91.0655</v>
      </c>
      <c r="F880" t="n">
        <v>0.03669</v>
      </c>
    </row>
    <row r="881">
      <c r="A881" t="n">
        <v>1000879</v>
      </c>
      <c r="B881" t="n">
        <v>1</v>
      </c>
      <c r="C881" t="n">
        <v>879</v>
      </c>
      <c r="D881" t="n">
        <v>1</v>
      </c>
      <c r="E881" t="n">
        <v>91.09050000000001</v>
      </c>
      <c r="F881" t="n">
        <v>0.0367</v>
      </c>
    </row>
    <row r="882">
      <c r="A882" t="n">
        <v>1000880</v>
      </c>
      <c r="B882" t="n">
        <v>1</v>
      </c>
      <c r="C882" t="n">
        <v>880</v>
      </c>
      <c r="D882" t="n">
        <v>1</v>
      </c>
      <c r="E882" t="n">
        <v>91.1156</v>
      </c>
      <c r="F882" t="n">
        <v>0.03671</v>
      </c>
    </row>
    <row r="883">
      <c r="A883" t="n">
        <v>1000881</v>
      </c>
      <c r="B883" t="n">
        <v>1</v>
      </c>
      <c r="C883" t="n">
        <v>881</v>
      </c>
      <c r="D883" t="n">
        <v>1</v>
      </c>
      <c r="E883" t="n">
        <v>91.14060000000001</v>
      </c>
      <c r="F883" t="n">
        <v>0.03672</v>
      </c>
    </row>
    <row r="884">
      <c r="A884" t="n">
        <v>1000882</v>
      </c>
      <c r="B884" t="n">
        <v>1</v>
      </c>
      <c r="C884" t="n">
        <v>882</v>
      </c>
      <c r="D884" t="n">
        <v>1</v>
      </c>
      <c r="E884" t="n">
        <v>91.1656</v>
      </c>
      <c r="F884" t="n">
        <v>0.03673</v>
      </c>
    </row>
    <row r="885">
      <c r="A885" t="n">
        <v>1000883</v>
      </c>
      <c r="B885" t="n">
        <v>1</v>
      </c>
      <c r="C885" t="n">
        <v>883</v>
      </c>
      <c r="D885" t="n">
        <v>1</v>
      </c>
      <c r="E885" t="n">
        <v>91.1906</v>
      </c>
      <c r="F885" t="n">
        <v>0.03674</v>
      </c>
    </row>
    <row r="886">
      <c r="A886" t="n">
        <v>1000884</v>
      </c>
      <c r="B886" t="n">
        <v>1</v>
      </c>
      <c r="C886" t="n">
        <v>884</v>
      </c>
      <c r="D886" t="n">
        <v>1</v>
      </c>
      <c r="E886" t="n">
        <v>91.21550000000001</v>
      </c>
      <c r="F886" t="n">
        <v>0.03675</v>
      </c>
    </row>
    <row r="887">
      <c r="A887" t="n">
        <v>1000885</v>
      </c>
      <c r="B887" t="n">
        <v>1</v>
      </c>
      <c r="C887" t="n">
        <v>885</v>
      </c>
      <c r="D887" t="n">
        <v>1</v>
      </c>
      <c r="E887" t="n">
        <v>91.2405</v>
      </c>
      <c r="F887" t="n">
        <v>0.03676</v>
      </c>
    </row>
    <row r="888">
      <c r="A888" t="n">
        <v>1000886</v>
      </c>
      <c r="B888" t="n">
        <v>1</v>
      </c>
      <c r="C888" t="n">
        <v>886</v>
      </c>
      <c r="D888" t="n">
        <v>1</v>
      </c>
      <c r="E888" t="n">
        <v>91.2654</v>
      </c>
      <c r="F888" t="n">
        <v>0.03677</v>
      </c>
    </row>
    <row r="889">
      <c r="A889" t="n">
        <v>1000887</v>
      </c>
      <c r="B889" t="n">
        <v>1</v>
      </c>
      <c r="C889" t="n">
        <v>887</v>
      </c>
      <c r="D889" t="n">
        <v>1</v>
      </c>
      <c r="E889" t="n">
        <v>91.2903</v>
      </c>
      <c r="F889" t="n">
        <v>0.03678</v>
      </c>
    </row>
    <row r="890">
      <c r="A890" t="n">
        <v>1000888</v>
      </c>
      <c r="B890" t="n">
        <v>1</v>
      </c>
      <c r="C890" t="n">
        <v>888</v>
      </c>
      <c r="D890" t="n">
        <v>1</v>
      </c>
      <c r="E890" t="n">
        <v>91.3151</v>
      </c>
      <c r="F890" t="n">
        <v>0.03679</v>
      </c>
    </row>
    <row r="891">
      <c r="A891" t="n">
        <v>1000889</v>
      </c>
      <c r="B891" t="n">
        <v>1</v>
      </c>
      <c r="C891" t="n">
        <v>889</v>
      </c>
      <c r="D891" t="n">
        <v>1</v>
      </c>
      <c r="E891" t="n">
        <v>91.34</v>
      </c>
      <c r="F891" t="n">
        <v>0.0368</v>
      </c>
    </row>
    <row r="892">
      <c r="A892" t="n">
        <v>1000890</v>
      </c>
      <c r="B892" t="n">
        <v>1</v>
      </c>
      <c r="C892" t="n">
        <v>890</v>
      </c>
      <c r="D892" t="n">
        <v>1</v>
      </c>
      <c r="E892" t="n">
        <v>91.3648</v>
      </c>
      <c r="F892" t="n">
        <v>0.03681</v>
      </c>
    </row>
    <row r="893">
      <c r="A893" t="n">
        <v>1000891</v>
      </c>
      <c r="B893" t="n">
        <v>1</v>
      </c>
      <c r="C893" t="n">
        <v>891</v>
      </c>
      <c r="D893" t="n">
        <v>1</v>
      </c>
      <c r="E893" t="n">
        <v>91.3896</v>
      </c>
      <c r="F893" t="n">
        <v>0.03682</v>
      </c>
    </row>
    <row r="894">
      <c r="A894" t="n">
        <v>1000892</v>
      </c>
      <c r="B894" t="n">
        <v>1</v>
      </c>
      <c r="C894" t="n">
        <v>892</v>
      </c>
      <c r="D894" t="n">
        <v>1</v>
      </c>
      <c r="E894" t="n">
        <v>91.4144</v>
      </c>
      <c r="F894" t="n">
        <v>0.03683</v>
      </c>
    </row>
    <row r="895">
      <c r="A895" t="n">
        <v>1000893</v>
      </c>
      <c r="B895" t="n">
        <v>1</v>
      </c>
      <c r="C895" t="n">
        <v>893</v>
      </c>
      <c r="D895" t="n">
        <v>1</v>
      </c>
      <c r="E895" t="n">
        <v>91.4391</v>
      </c>
      <c r="F895" t="n">
        <v>0.03684</v>
      </c>
    </row>
    <row r="896">
      <c r="A896" t="n">
        <v>1000894</v>
      </c>
      <c r="B896" t="n">
        <v>1</v>
      </c>
      <c r="C896" t="n">
        <v>894</v>
      </c>
      <c r="D896" t="n">
        <v>1</v>
      </c>
      <c r="E896" t="n">
        <v>91.4639</v>
      </c>
      <c r="F896" t="n">
        <v>0.03685</v>
      </c>
    </row>
    <row r="897">
      <c r="A897" t="n">
        <v>1000895</v>
      </c>
      <c r="B897" t="n">
        <v>1</v>
      </c>
      <c r="C897" t="n">
        <v>895</v>
      </c>
      <c r="D897" t="n">
        <v>1</v>
      </c>
      <c r="E897" t="n">
        <v>91.48860000000001</v>
      </c>
      <c r="F897" t="n">
        <v>0.03686</v>
      </c>
    </row>
    <row r="898">
      <c r="A898" t="n">
        <v>1000896</v>
      </c>
      <c r="B898" t="n">
        <v>1</v>
      </c>
      <c r="C898" t="n">
        <v>896</v>
      </c>
      <c r="D898" t="n">
        <v>1</v>
      </c>
      <c r="E898" t="n">
        <v>91.5133</v>
      </c>
      <c r="F898" t="n">
        <v>0.03687</v>
      </c>
    </row>
    <row r="899">
      <c r="A899" t="n">
        <v>1000897</v>
      </c>
      <c r="B899" t="n">
        <v>1</v>
      </c>
      <c r="C899" t="n">
        <v>897</v>
      </c>
      <c r="D899" t="n">
        <v>1</v>
      </c>
      <c r="E899" t="n">
        <v>91.53789999999999</v>
      </c>
      <c r="F899" t="n">
        <v>0.03688</v>
      </c>
    </row>
    <row r="900">
      <c r="A900" t="n">
        <v>1000898</v>
      </c>
      <c r="B900" t="n">
        <v>1</v>
      </c>
      <c r="C900" t="n">
        <v>898</v>
      </c>
      <c r="D900" t="n">
        <v>1</v>
      </c>
      <c r="E900" t="n">
        <v>91.5626</v>
      </c>
      <c r="F900" t="n">
        <v>0.03689</v>
      </c>
    </row>
    <row r="901">
      <c r="A901" t="n">
        <v>1000899</v>
      </c>
      <c r="B901" t="n">
        <v>1</v>
      </c>
      <c r="C901" t="n">
        <v>899</v>
      </c>
      <c r="D901" t="n">
        <v>1</v>
      </c>
      <c r="E901" t="n">
        <v>91.5872</v>
      </c>
      <c r="F901" t="n">
        <v>0.0369</v>
      </c>
    </row>
    <row r="902">
      <c r="A902" t="n">
        <v>1000900</v>
      </c>
      <c r="B902" t="n">
        <v>1</v>
      </c>
      <c r="C902" t="n">
        <v>900</v>
      </c>
      <c r="D902" t="n">
        <v>1</v>
      </c>
      <c r="E902" t="n">
        <v>91.6118</v>
      </c>
      <c r="F902" t="n">
        <v>0.03691</v>
      </c>
    </row>
    <row r="903">
      <c r="A903" t="n">
        <v>1000901</v>
      </c>
      <c r="B903" t="n">
        <v>1</v>
      </c>
      <c r="C903" t="n">
        <v>901</v>
      </c>
      <c r="D903" t="n">
        <v>1</v>
      </c>
      <c r="E903" t="n">
        <v>91.63639999999999</v>
      </c>
      <c r="F903" t="n">
        <v>0.03692</v>
      </c>
    </row>
    <row r="904">
      <c r="A904" t="n">
        <v>1000902</v>
      </c>
      <c r="B904" t="n">
        <v>1</v>
      </c>
      <c r="C904" t="n">
        <v>902</v>
      </c>
      <c r="D904" t="n">
        <v>1</v>
      </c>
      <c r="E904" t="n">
        <v>91.6609</v>
      </c>
      <c r="F904" t="n">
        <v>0.03693</v>
      </c>
    </row>
    <row r="905">
      <c r="A905" t="n">
        <v>1000903</v>
      </c>
      <c r="B905" t="n">
        <v>1</v>
      </c>
      <c r="C905" t="n">
        <v>903</v>
      </c>
      <c r="D905" t="n">
        <v>1</v>
      </c>
      <c r="E905" t="n">
        <v>91.6855</v>
      </c>
      <c r="F905" t="n">
        <v>0.03694</v>
      </c>
    </row>
    <row r="906">
      <c r="A906" t="n">
        <v>1000904</v>
      </c>
      <c r="B906" t="n">
        <v>1</v>
      </c>
      <c r="C906" t="n">
        <v>904</v>
      </c>
      <c r="D906" t="n">
        <v>1</v>
      </c>
      <c r="E906" t="n">
        <v>91.70999999999999</v>
      </c>
      <c r="F906" t="n">
        <v>0.03695</v>
      </c>
    </row>
    <row r="907">
      <c r="A907" t="n">
        <v>1000905</v>
      </c>
      <c r="B907" t="n">
        <v>1</v>
      </c>
      <c r="C907" t="n">
        <v>905</v>
      </c>
      <c r="D907" t="n">
        <v>1</v>
      </c>
      <c r="E907" t="n">
        <v>91.7345</v>
      </c>
      <c r="F907" t="n">
        <v>0.03696</v>
      </c>
    </row>
    <row r="908">
      <c r="A908" t="n">
        <v>1000906</v>
      </c>
      <c r="B908" t="n">
        <v>1</v>
      </c>
      <c r="C908" t="n">
        <v>906</v>
      </c>
      <c r="D908" t="n">
        <v>1</v>
      </c>
      <c r="E908" t="n">
        <v>91.759</v>
      </c>
      <c r="F908" t="n">
        <v>0.03697</v>
      </c>
    </row>
    <row r="909">
      <c r="A909" t="n">
        <v>1000907</v>
      </c>
      <c r="B909" t="n">
        <v>1</v>
      </c>
      <c r="C909" t="n">
        <v>907</v>
      </c>
      <c r="D909" t="n">
        <v>1</v>
      </c>
      <c r="E909" t="n">
        <v>91.7834</v>
      </c>
      <c r="F909" t="n">
        <v>0.03698</v>
      </c>
    </row>
    <row r="910">
      <c r="A910" t="n">
        <v>1000908</v>
      </c>
      <c r="B910" t="n">
        <v>1</v>
      </c>
      <c r="C910" t="n">
        <v>908</v>
      </c>
      <c r="D910" t="n">
        <v>1</v>
      </c>
      <c r="E910" t="n">
        <v>91.8078</v>
      </c>
      <c r="F910" t="n">
        <v>0.03699</v>
      </c>
    </row>
    <row r="911">
      <c r="A911" t="n">
        <v>1000909</v>
      </c>
      <c r="B911" t="n">
        <v>1</v>
      </c>
      <c r="C911" t="n">
        <v>909</v>
      </c>
      <c r="D911" t="n">
        <v>1</v>
      </c>
      <c r="E911" t="n">
        <v>91.8323</v>
      </c>
      <c r="F911" t="n">
        <v>0.037</v>
      </c>
    </row>
    <row r="912">
      <c r="A912" t="n">
        <v>1000910</v>
      </c>
      <c r="B912" t="n">
        <v>1</v>
      </c>
      <c r="C912" t="n">
        <v>910</v>
      </c>
      <c r="D912" t="n">
        <v>1</v>
      </c>
      <c r="E912" t="n">
        <v>91.8566</v>
      </c>
      <c r="F912" t="n">
        <v>0.03701</v>
      </c>
    </row>
    <row r="913">
      <c r="A913" t="n">
        <v>1000911</v>
      </c>
      <c r="B913" t="n">
        <v>1</v>
      </c>
      <c r="C913" t="n">
        <v>911</v>
      </c>
      <c r="D913" t="n">
        <v>1</v>
      </c>
      <c r="E913" t="n">
        <v>91.881</v>
      </c>
      <c r="F913" t="n">
        <v>0.03702</v>
      </c>
    </row>
    <row r="914">
      <c r="A914" t="n">
        <v>1000912</v>
      </c>
      <c r="B914" t="n">
        <v>1</v>
      </c>
      <c r="C914" t="n">
        <v>912</v>
      </c>
      <c r="D914" t="n">
        <v>1</v>
      </c>
      <c r="E914" t="n">
        <v>91.9053</v>
      </c>
      <c r="F914" t="n">
        <v>0.03703</v>
      </c>
    </row>
    <row r="915">
      <c r="A915" t="n">
        <v>1000913</v>
      </c>
      <c r="B915" t="n">
        <v>1</v>
      </c>
      <c r="C915" t="n">
        <v>913</v>
      </c>
      <c r="D915" t="n">
        <v>1</v>
      </c>
      <c r="E915" t="n">
        <v>91.9297</v>
      </c>
      <c r="F915" t="n">
        <v>0.03704</v>
      </c>
    </row>
    <row r="916">
      <c r="A916" t="n">
        <v>1000914</v>
      </c>
      <c r="B916" t="n">
        <v>1</v>
      </c>
      <c r="C916" t="n">
        <v>914</v>
      </c>
      <c r="D916" t="n">
        <v>1</v>
      </c>
      <c r="E916" t="n">
        <v>91.95399999999999</v>
      </c>
      <c r="F916" t="n">
        <v>0.03705</v>
      </c>
    </row>
    <row r="917">
      <c r="A917" t="n">
        <v>1000915</v>
      </c>
      <c r="B917" t="n">
        <v>1</v>
      </c>
      <c r="C917" t="n">
        <v>915</v>
      </c>
      <c r="D917" t="n">
        <v>1</v>
      </c>
      <c r="E917" t="n">
        <v>91.9783</v>
      </c>
      <c r="F917" t="n">
        <v>0.03706</v>
      </c>
    </row>
    <row r="918">
      <c r="A918" t="n">
        <v>1000916</v>
      </c>
      <c r="B918" t="n">
        <v>1</v>
      </c>
      <c r="C918" t="n">
        <v>916</v>
      </c>
      <c r="D918" t="n">
        <v>1</v>
      </c>
      <c r="E918" t="n">
        <v>92.0025</v>
      </c>
      <c r="F918" t="n">
        <v>0.03707</v>
      </c>
    </row>
    <row r="919">
      <c r="A919" t="n">
        <v>1000917</v>
      </c>
      <c r="B919" t="n">
        <v>1</v>
      </c>
      <c r="C919" t="n">
        <v>917</v>
      </c>
      <c r="D919" t="n">
        <v>1</v>
      </c>
      <c r="E919" t="n">
        <v>92.02679999999999</v>
      </c>
      <c r="F919" t="n">
        <v>0.03708</v>
      </c>
    </row>
    <row r="920">
      <c r="A920" t="n">
        <v>1000918</v>
      </c>
      <c r="B920" t="n">
        <v>1</v>
      </c>
      <c r="C920" t="n">
        <v>918</v>
      </c>
      <c r="D920" t="n">
        <v>1</v>
      </c>
      <c r="E920" t="n">
        <v>92.051</v>
      </c>
      <c r="F920" t="n">
        <v>0.03709</v>
      </c>
    </row>
    <row r="921">
      <c r="A921" t="n">
        <v>1000919</v>
      </c>
      <c r="B921" t="n">
        <v>1</v>
      </c>
      <c r="C921" t="n">
        <v>919</v>
      </c>
      <c r="D921" t="n">
        <v>1</v>
      </c>
      <c r="E921" t="n">
        <v>92.0752</v>
      </c>
      <c r="F921" t="n">
        <v>0.0371</v>
      </c>
    </row>
    <row r="922">
      <c r="A922" t="n">
        <v>1000920</v>
      </c>
      <c r="B922" t="n">
        <v>1</v>
      </c>
      <c r="C922" t="n">
        <v>920</v>
      </c>
      <c r="D922" t="n">
        <v>1</v>
      </c>
      <c r="E922" t="n">
        <v>92.0993</v>
      </c>
      <c r="F922" t="n">
        <v>0.03711</v>
      </c>
    </row>
    <row r="923">
      <c r="A923" t="n">
        <v>1000921</v>
      </c>
      <c r="B923" t="n">
        <v>1</v>
      </c>
      <c r="C923" t="n">
        <v>921</v>
      </c>
      <c r="D923" t="n">
        <v>1</v>
      </c>
      <c r="E923" t="n">
        <v>92.12350000000001</v>
      </c>
      <c r="F923" t="n">
        <v>0.03711</v>
      </c>
    </row>
    <row r="924">
      <c r="A924" t="n">
        <v>1000922</v>
      </c>
      <c r="B924" t="n">
        <v>1</v>
      </c>
      <c r="C924" t="n">
        <v>922</v>
      </c>
      <c r="D924" t="n">
        <v>1</v>
      </c>
      <c r="E924" t="n">
        <v>92.1476</v>
      </c>
      <c r="F924" t="n">
        <v>0.03712</v>
      </c>
    </row>
    <row r="925">
      <c r="A925" t="n">
        <v>1000923</v>
      </c>
      <c r="B925" t="n">
        <v>1</v>
      </c>
      <c r="C925" t="n">
        <v>923</v>
      </c>
      <c r="D925" t="n">
        <v>1</v>
      </c>
      <c r="E925" t="n">
        <v>92.1717</v>
      </c>
      <c r="F925" t="n">
        <v>0.03713</v>
      </c>
    </row>
    <row r="926">
      <c r="A926" t="n">
        <v>1000924</v>
      </c>
      <c r="B926" t="n">
        <v>1</v>
      </c>
      <c r="C926" t="n">
        <v>924</v>
      </c>
      <c r="D926" t="n">
        <v>1</v>
      </c>
      <c r="E926" t="n">
        <v>92.19580000000001</v>
      </c>
      <c r="F926" t="n">
        <v>0.03714</v>
      </c>
    </row>
    <row r="927">
      <c r="A927" t="n">
        <v>1000925</v>
      </c>
      <c r="B927" t="n">
        <v>1</v>
      </c>
      <c r="C927" t="n">
        <v>925</v>
      </c>
      <c r="D927" t="n">
        <v>1</v>
      </c>
      <c r="E927" t="n">
        <v>92.2199</v>
      </c>
      <c r="F927" t="n">
        <v>0.03715</v>
      </c>
    </row>
    <row r="928">
      <c r="A928" t="n">
        <v>1000926</v>
      </c>
      <c r="B928" t="n">
        <v>1</v>
      </c>
      <c r="C928" t="n">
        <v>926</v>
      </c>
      <c r="D928" t="n">
        <v>1</v>
      </c>
      <c r="E928" t="n">
        <v>92.244</v>
      </c>
      <c r="F928" t="n">
        <v>0.03716</v>
      </c>
    </row>
    <row r="929">
      <c r="A929" t="n">
        <v>1000927</v>
      </c>
      <c r="B929" t="n">
        <v>1</v>
      </c>
      <c r="C929" t="n">
        <v>927</v>
      </c>
      <c r="D929" t="n">
        <v>1</v>
      </c>
      <c r="E929" t="n">
        <v>92.268</v>
      </c>
      <c r="F929" t="n">
        <v>0.03717</v>
      </c>
    </row>
    <row r="930">
      <c r="A930" t="n">
        <v>1000928</v>
      </c>
      <c r="B930" t="n">
        <v>1</v>
      </c>
      <c r="C930" t="n">
        <v>928</v>
      </c>
      <c r="D930" t="n">
        <v>1</v>
      </c>
      <c r="E930" t="n">
        <v>92.292</v>
      </c>
      <c r="F930" t="n">
        <v>0.03718</v>
      </c>
    </row>
    <row r="931">
      <c r="A931" t="n">
        <v>1000929</v>
      </c>
      <c r="B931" t="n">
        <v>1</v>
      </c>
      <c r="C931" t="n">
        <v>929</v>
      </c>
      <c r="D931" t="n">
        <v>1</v>
      </c>
      <c r="E931" t="n">
        <v>92.316</v>
      </c>
      <c r="F931" t="n">
        <v>0.03719</v>
      </c>
    </row>
    <row r="932">
      <c r="A932" t="n">
        <v>1000930</v>
      </c>
      <c r="B932" t="n">
        <v>1</v>
      </c>
      <c r="C932" t="n">
        <v>930</v>
      </c>
      <c r="D932" t="n">
        <v>1</v>
      </c>
      <c r="E932" t="n">
        <v>92.34</v>
      </c>
      <c r="F932" t="n">
        <v>0.0372</v>
      </c>
    </row>
    <row r="933">
      <c r="A933" t="n">
        <v>1000931</v>
      </c>
      <c r="B933" t="n">
        <v>1</v>
      </c>
      <c r="C933" t="n">
        <v>931</v>
      </c>
      <c r="D933" t="n">
        <v>1</v>
      </c>
      <c r="E933" t="n">
        <v>92.3639</v>
      </c>
      <c r="F933" t="n">
        <v>0.03721</v>
      </c>
    </row>
    <row r="934">
      <c r="A934" t="n">
        <v>1000932</v>
      </c>
      <c r="B934" t="n">
        <v>1</v>
      </c>
      <c r="C934" t="n">
        <v>932</v>
      </c>
      <c r="D934" t="n">
        <v>1</v>
      </c>
      <c r="E934" t="n">
        <v>92.3879</v>
      </c>
      <c r="F934" t="n">
        <v>0.03722</v>
      </c>
    </row>
    <row r="935">
      <c r="A935" t="n">
        <v>1000933</v>
      </c>
      <c r="B935" t="n">
        <v>1</v>
      </c>
      <c r="C935" t="n">
        <v>933</v>
      </c>
      <c r="D935" t="n">
        <v>1</v>
      </c>
      <c r="E935" t="n">
        <v>92.4118</v>
      </c>
      <c r="F935" t="n">
        <v>0.03723</v>
      </c>
    </row>
    <row r="936">
      <c r="A936" t="n">
        <v>1000934</v>
      </c>
      <c r="B936" t="n">
        <v>1</v>
      </c>
      <c r="C936" t="n">
        <v>934</v>
      </c>
      <c r="D936" t="n">
        <v>1</v>
      </c>
      <c r="E936" t="n">
        <v>92.4357</v>
      </c>
      <c r="F936" t="n">
        <v>0.03724</v>
      </c>
    </row>
    <row r="937">
      <c r="A937" t="n">
        <v>1000935</v>
      </c>
      <c r="B937" t="n">
        <v>1</v>
      </c>
      <c r="C937" t="n">
        <v>935</v>
      </c>
      <c r="D937" t="n">
        <v>1</v>
      </c>
      <c r="E937" t="n">
        <v>92.45950000000001</v>
      </c>
      <c r="F937" t="n">
        <v>0.03725</v>
      </c>
    </row>
    <row r="938">
      <c r="A938" t="n">
        <v>1000936</v>
      </c>
      <c r="B938" t="n">
        <v>1</v>
      </c>
      <c r="C938" t="n">
        <v>936</v>
      </c>
      <c r="D938" t="n">
        <v>1</v>
      </c>
      <c r="E938" t="n">
        <v>92.4834</v>
      </c>
      <c r="F938" t="n">
        <v>0.03726</v>
      </c>
    </row>
    <row r="939">
      <c r="A939" t="n">
        <v>1000937</v>
      </c>
      <c r="B939" t="n">
        <v>1</v>
      </c>
      <c r="C939" t="n">
        <v>937</v>
      </c>
      <c r="D939" t="n">
        <v>1</v>
      </c>
      <c r="E939" t="n">
        <v>92.5072</v>
      </c>
      <c r="F939" t="n">
        <v>0.03727</v>
      </c>
    </row>
    <row r="940">
      <c r="A940" t="n">
        <v>1000938</v>
      </c>
      <c r="B940" t="n">
        <v>1</v>
      </c>
      <c r="C940" t="n">
        <v>938</v>
      </c>
      <c r="D940" t="n">
        <v>1</v>
      </c>
      <c r="E940" t="n">
        <v>92.53100000000001</v>
      </c>
      <c r="F940" t="n">
        <v>0.03728</v>
      </c>
    </row>
    <row r="941">
      <c r="A941" t="n">
        <v>1000939</v>
      </c>
      <c r="B941" t="n">
        <v>1</v>
      </c>
      <c r="C941" t="n">
        <v>939</v>
      </c>
      <c r="D941" t="n">
        <v>1</v>
      </c>
      <c r="E941" t="n">
        <v>92.5548</v>
      </c>
      <c r="F941" t="n">
        <v>0.03729</v>
      </c>
    </row>
    <row r="942">
      <c r="A942" t="n">
        <v>1000940</v>
      </c>
      <c r="B942" t="n">
        <v>1</v>
      </c>
      <c r="C942" t="n">
        <v>940</v>
      </c>
      <c r="D942" t="n">
        <v>1</v>
      </c>
      <c r="E942" t="n">
        <v>92.57859999999999</v>
      </c>
      <c r="F942" t="n">
        <v>0.0373</v>
      </c>
    </row>
    <row r="943">
      <c r="A943" t="n">
        <v>1000941</v>
      </c>
      <c r="B943" t="n">
        <v>1</v>
      </c>
      <c r="C943" t="n">
        <v>941</v>
      </c>
      <c r="D943" t="n">
        <v>1</v>
      </c>
      <c r="E943" t="n">
        <v>92.6023</v>
      </c>
      <c r="F943" t="n">
        <v>0.0373</v>
      </c>
    </row>
    <row r="944">
      <c r="A944" t="n">
        <v>1000942</v>
      </c>
      <c r="B944" t="n">
        <v>1</v>
      </c>
      <c r="C944" t="n">
        <v>942</v>
      </c>
      <c r="D944" t="n">
        <v>1</v>
      </c>
      <c r="E944" t="n">
        <v>92.62609999999999</v>
      </c>
      <c r="F944" t="n">
        <v>0.03731</v>
      </c>
    </row>
    <row r="945">
      <c r="A945" t="n">
        <v>1000943</v>
      </c>
      <c r="B945" t="n">
        <v>1</v>
      </c>
      <c r="C945" t="n">
        <v>943</v>
      </c>
      <c r="D945" t="n">
        <v>1</v>
      </c>
      <c r="E945" t="n">
        <v>92.6498</v>
      </c>
      <c r="F945" t="n">
        <v>0.03732</v>
      </c>
    </row>
    <row r="946">
      <c r="A946" t="n">
        <v>1000944</v>
      </c>
      <c r="B946" t="n">
        <v>1</v>
      </c>
      <c r="C946" t="n">
        <v>944</v>
      </c>
      <c r="D946" t="n">
        <v>1</v>
      </c>
      <c r="E946" t="n">
        <v>92.6735</v>
      </c>
      <c r="F946" t="n">
        <v>0.03733</v>
      </c>
    </row>
    <row r="947">
      <c r="A947" t="n">
        <v>1000945</v>
      </c>
      <c r="B947" t="n">
        <v>1</v>
      </c>
      <c r="C947" t="n">
        <v>945</v>
      </c>
      <c r="D947" t="n">
        <v>1</v>
      </c>
      <c r="E947" t="n">
        <v>92.69710000000001</v>
      </c>
      <c r="F947" t="n">
        <v>0.03734</v>
      </c>
    </row>
    <row r="948">
      <c r="A948" t="n">
        <v>1000946</v>
      </c>
      <c r="B948" t="n">
        <v>1</v>
      </c>
      <c r="C948" t="n">
        <v>946</v>
      </c>
      <c r="D948" t="n">
        <v>1</v>
      </c>
      <c r="E948" t="n">
        <v>92.7208</v>
      </c>
      <c r="F948" t="n">
        <v>0.03735</v>
      </c>
    </row>
    <row r="949">
      <c r="A949" t="n">
        <v>1000947</v>
      </c>
      <c r="B949" t="n">
        <v>1</v>
      </c>
      <c r="C949" t="n">
        <v>947</v>
      </c>
      <c r="D949" t="n">
        <v>1</v>
      </c>
      <c r="E949" t="n">
        <v>92.7444</v>
      </c>
      <c r="F949" t="n">
        <v>0.03736</v>
      </c>
    </row>
    <row r="950">
      <c r="A950" t="n">
        <v>1000948</v>
      </c>
      <c r="B950" t="n">
        <v>1</v>
      </c>
      <c r="C950" t="n">
        <v>948</v>
      </c>
      <c r="D950" t="n">
        <v>1</v>
      </c>
      <c r="E950" t="n">
        <v>92.768</v>
      </c>
      <c r="F950" t="n">
        <v>0.03737</v>
      </c>
    </row>
    <row r="951">
      <c r="A951" t="n">
        <v>1000949</v>
      </c>
      <c r="B951" t="n">
        <v>1</v>
      </c>
      <c r="C951" t="n">
        <v>949</v>
      </c>
      <c r="D951" t="n">
        <v>1</v>
      </c>
      <c r="E951" t="n">
        <v>92.7916</v>
      </c>
      <c r="F951" t="n">
        <v>0.03738</v>
      </c>
    </row>
    <row r="952">
      <c r="A952" t="n">
        <v>1000950</v>
      </c>
      <c r="B952" t="n">
        <v>1</v>
      </c>
      <c r="C952" t="n">
        <v>950</v>
      </c>
      <c r="D952" t="n">
        <v>1</v>
      </c>
      <c r="E952" t="n">
        <v>92.8152</v>
      </c>
      <c r="F952" t="n">
        <v>0.03739</v>
      </c>
    </row>
    <row r="953">
      <c r="A953" t="n">
        <v>1000951</v>
      </c>
      <c r="B953" t="n">
        <v>1</v>
      </c>
      <c r="C953" t="n">
        <v>951</v>
      </c>
      <c r="D953" t="n">
        <v>1</v>
      </c>
      <c r="E953" t="n">
        <v>92.83880000000001</v>
      </c>
      <c r="F953" t="n">
        <v>0.0374</v>
      </c>
    </row>
    <row r="954">
      <c r="A954" t="n">
        <v>1000952</v>
      </c>
      <c r="B954" t="n">
        <v>1</v>
      </c>
      <c r="C954" t="n">
        <v>952</v>
      </c>
      <c r="D954" t="n">
        <v>1</v>
      </c>
      <c r="E954" t="n">
        <v>92.8623</v>
      </c>
      <c r="F954" t="n">
        <v>0.03741</v>
      </c>
    </row>
    <row r="955">
      <c r="A955" t="n">
        <v>1000953</v>
      </c>
      <c r="B955" t="n">
        <v>1</v>
      </c>
      <c r="C955" t="n">
        <v>953</v>
      </c>
      <c r="D955" t="n">
        <v>1</v>
      </c>
      <c r="E955" t="n">
        <v>92.8858</v>
      </c>
      <c r="F955" t="n">
        <v>0.03742</v>
      </c>
    </row>
    <row r="956">
      <c r="A956" t="n">
        <v>1000954</v>
      </c>
      <c r="B956" t="n">
        <v>1</v>
      </c>
      <c r="C956" t="n">
        <v>954</v>
      </c>
      <c r="D956" t="n">
        <v>1</v>
      </c>
      <c r="E956" t="n">
        <v>92.9093</v>
      </c>
      <c r="F956" t="n">
        <v>0.03743</v>
      </c>
    </row>
    <row r="957">
      <c r="A957" t="n">
        <v>1000955</v>
      </c>
      <c r="B957" t="n">
        <v>1</v>
      </c>
      <c r="C957" t="n">
        <v>955</v>
      </c>
      <c r="D957" t="n">
        <v>1</v>
      </c>
      <c r="E957" t="n">
        <v>92.9328</v>
      </c>
      <c r="F957" t="n">
        <v>0.03743</v>
      </c>
    </row>
    <row r="958">
      <c r="A958" t="n">
        <v>1000956</v>
      </c>
      <c r="B958" t="n">
        <v>1</v>
      </c>
      <c r="C958" t="n">
        <v>956</v>
      </c>
      <c r="D958" t="n">
        <v>1</v>
      </c>
      <c r="E958" t="n">
        <v>92.9562</v>
      </c>
      <c r="F958" t="n">
        <v>0.03744</v>
      </c>
    </row>
    <row r="959">
      <c r="A959" t="n">
        <v>1000957</v>
      </c>
      <c r="B959" t="n">
        <v>1</v>
      </c>
      <c r="C959" t="n">
        <v>957</v>
      </c>
      <c r="D959" t="n">
        <v>1</v>
      </c>
      <c r="E959" t="n">
        <v>92.97969999999999</v>
      </c>
      <c r="F959" t="n">
        <v>0.03745</v>
      </c>
    </row>
    <row r="960">
      <c r="A960" t="n">
        <v>1000958</v>
      </c>
      <c r="B960" t="n">
        <v>1</v>
      </c>
      <c r="C960" t="n">
        <v>958</v>
      </c>
      <c r="D960" t="n">
        <v>1</v>
      </c>
      <c r="E960" t="n">
        <v>93.0031</v>
      </c>
      <c r="F960" t="n">
        <v>0.03746</v>
      </c>
    </row>
    <row r="961">
      <c r="A961" t="n">
        <v>1000959</v>
      </c>
      <c r="B961" t="n">
        <v>1</v>
      </c>
      <c r="C961" t="n">
        <v>959</v>
      </c>
      <c r="D961" t="n">
        <v>1</v>
      </c>
      <c r="E961" t="n">
        <v>93.0265</v>
      </c>
      <c r="F961" t="n">
        <v>0.03747</v>
      </c>
    </row>
    <row r="962">
      <c r="A962" t="n">
        <v>1000960</v>
      </c>
      <c r="B962" t="n">
        <v>1</v>
      </c>
      <c r="C962" t="n">
        <v>960</v>
      </c>
      <c r="D962" t="n">
        <v>1</v>
      </c>
      <c r="E962" t="n">
        <v>93.04989999999999</v>
      </c>
      <c r="F962" t="n">
        <v>0.03748</v>
      </c>
    </row>
    <row r="963">
      <c r="A963" t="n">
        <v>1000961</v>
      </c>
      <c r="B963" t="n">
        <v>1</v>
      </c>
      <c r="C963" t="n">
        <v>961</v>
      </c>
      <c r="D963" t="n">
        <v>1</v>
      </c>
      <c r="E963" t="n">
        <v>93.0732</v>
      </c>
      <c r="F963" t="n">
        <v>0.03749</v>
      </c>
    </row>
    <row r="964">
      <c r="A964" t="n">
        <v>1000962</v>
      </c>
      <c r="B964" t="n">
        <v>1</v>
      </c>
      <c r="C964" t="n">
        <v>962</v>
      </c>
      <c r="D964" t="n">
        <v>1</v>
      </c>
      <c r="E964" t="n">
        <v>93.0966</v>
      </c>
      <c r="F964" t="n">
        <v>0.0375</v>
      </c>
    </row>
    <row r="965">
      <c r="A965" t="n">
        <v>1000963</v>
      </c>
      <c r="B965" t="n">
        <v>1</v>
      </c>
      <c r="C965" t="n">
        <v>963</v>
      </c>
      <c r="D965" t="n">
        <v>1</v>
      </c>
      <c r="E965" t="n">
        <v>93.1199</v>
      </c>
      <c r="F965" t="n">
        <v>0.03751</v>
      </c>
    </row>
    <row r="966">
      <c r="A966" t="n">
        <v>1000964</v>
      </c>
      <c r="B966" t="n">
        <v>1</v>
      </c>
      <c r="C966" t="n">
        <v>964</v>
      </c>
      <c r="D966" t="n">
        <v>1</v>
      </c>
      <c r="E966" t="n">
        <v>93.14319999999999</v>
      </c>
      <c r="F966" t="n">
        <v>0.03752</v>
      </c>
    </row>
    <row r="967">
      <c r="A967" t="n">
        <v>1000965</v>
      </c>
      <c r="B967" t="n">
        <v>1</v>
      </c>
      <c r="C967" t="n">
        <v>965</v>
      </c>
      <c r="D967" t="n">
        <v>1</v>
      </c>
      <c r="E967" t="n">
        <v>93.1665</v>
      </c>
      <c r="F967" t="n">
        <v>0.03753</v>
      </c>
    </row>
    <row r="968">
      <c r="A968" t="n">
        <v>1000966</v>
      </c>
      <c r="B968" t="n">
        <v>1</v>
      </c>
      <c r="C968" t="n">
        <v>966</v>
      </c>
      <c r="D968" t="n">
        <v>1</v>
      </c>
      <c r="E968" t="n">
        <v>93.18980000000001</v>
      </c>
      <c r="F968" t="n">
        <v>0.03753</v>
      </c>
    </row>
    <row r="969">
      <c r="A969" t="n">
        <v>1000967</v>
      </c>
      <c r="B969" t="n">
        <v>1</v>
      </c>
      <c r="C969" t="n">
        <v>967</v>
      </c>
      <c r="D969" t="n">
        <v>1</v>
      </c>
      <c r="E969" t="n">
        <v>93.21299999999999</v>
      </c>
      <c r="F969" t="n">
        <v>0.03754</v>
      </c>
    </row>
    <row r="970">
      <c r="A970" t="n">
        <v>1000968</v>
      </c>
      <c r="B970" t="n">
        <v>1</v>
      </c>
      <c r="C970" t="n">
        <v>968</v>
      </c>
      <c r="D970" t="n">
        <v>1</v>
      </c>
      <c r="E970" t="n">
        <v>93.2363</v>
      </c>
      <c r="F970" t="n">
        <v>0.03755</v>
      </c>
    </row>
    <row r="971">
      <c r="A971" t="n">
        <v>1000969</v>
      </c>
      <c r="B971" t="n">
        <v>1</v>
      </c>
      <c r="C971" t="n">
        <v>969</v>
      </c>
      <c r="D971" t="n">
        <v>1</v>
      </c>
      <c r="E971" t="n">
        <v>93.2595</v>
      </c>
      <c r="F971" t="n">
        <v>0.03756</v>
      </c>
    </row>
    <row r="972">
      <c r="A972" t="n">
        <v>1000970</v>
      </c>
      <c r="B972" t="n">
        <v>1</v>
      </c>
      <c r="C972" t="n">
        <v>970</v>
      </c>
      <c r="D972" t="n">
        <v>1</v>
      </c>
      <c r="E972" t="n">
        <v>93.28270000000001</v>
      </c>
      <c r="F972" t="n">
        <v>0.03757</v>
      </c>
    </row>
    <row r="973">
      <c r="A973" t="n">
        <v>1000971</v>
      </c>
      <c r="B973" t="n">
        <v>1</v>
      </c>
      <c r="C973" t="n">
        <v>971</v>
      </c>
      <c r="D973" t="n">
        <v>1</v>
      </c>
      <c r="E973" t="n">
        <v>93.30589999999999</v>
      </c>
      <c r="F973" t="n">
        <v>0.03758</v>
      </c>
    </row>
    <row r="974">
      <c r="A974" t="n">
        <v>1000972</v>
      </c>
      <c r="B974" t="n">
        <v>1</v>
      </c>
      <c r="C974" t="n">
        <v>972</v>
      </c>
      <c r="D974" t="n">
        <v>1</v>
      </c>
      <c r="E974" t="n">
        <v>93.32899999999999</v>
      </c>
      <c r="F974" t="n">
        <v>0.03759</v>
      </c>
    </row>
    <row r="975">
      <c r="A975" t="n">
        <v>1000973</v>
      </c>
      <c r="B975" t="n">
        <v>1</v>
      </c>
      <c r="C975" t="n">
        <v>973</v>
      </c>
      <c r="D975" t="n">
        <v>1</v>
      </c>
      <c r="E975" t="n">
        <v>93.3522</v>
      </c>
      <c r="F975" t="n">
        <v>0.0376</v>
      </c>
    </row>
    <row r="976">
      <c r="A976" t="n">
        <v>1000974</v>
      </c>
      <c r="B976" t="n">
        <v>1</v>
      </c>
      <c r="C976" t="n">
        <v>974</v>
      </c>
      <c r="D976" t="n">
        <v>1</v>
      </c>
      <c r="E976" t="n">
        <v>93.3753</v>
      </c>
      <c r="F976" t="n">
        <v>0.03761</v>
      </c>
    </row>
    <row r="977">
      <c r="A977" t="n">
        <v>1000975</v>
      </c>
      <c r="B977" t="n">
        <v>1</v>
      </c>
      <c r="C977" t="n">
        <v>975</v>
      </c>
      <c r="D977" t="n">
        <v>1</v>
      </c>
      <c r="E977" t="n">
        <v>93.3984</v>
      </c>
      <c r="F977" t="n">
        <v>0.03762</v>
      </c>
    </row>
    <row r="978">
      <c r="A978" t="n">
        <v>1000976</v>
      </c>
      <c r="B978" t="n">
        <v>1</v>
      </c>
      <c r="C978" t="n">
        <v>976</v>
      </c>
      <c r="D978" t="n">
        <v>1</v>
      </c>
      <c r="E978" t="n">
        <v>93.42149999999999</v>
      </c>
      <c r="F978" t="n">
        <v>0.03762</v>
      </c>
    </row>
    <row r="979">
      <c r="A979" t="n">
        <v>1000977</v>
      </c>
      <c r="B979" t="n">
        <v>1</v>
      </c>
      <c r="C979" t="n">
        <v>977</v>
      </c>
      <c r="D979" t="n">
        <v>1</v>
      </c>
      <c r="E979" t="n">
        <v>93.44459999999999</v>
      </c>
      <c r="F979" t="n">
        <v>0.03763</v>
      </c>
    </row>
    <row r="980">
      <c r="A980" t="n">
        <v>1000978</v>
      </c>
      <c r="B980" t="n">
        <v>1</v>
      </c>
      <c r="C980" t="n">
        <v>978</v>
      </c>
      <c r="D980" t="n">
        <v>1</v>
      </c>
      <c r="E980" t="n">
        <v>93.4676</v>
      </c>
      <c r="F980" t="n">
        <v>0.03764</v>
      </c>
    </row>
    <row r="981">
      <c r="A981" t="n">
        <v>1000979</v>
      </c>
      <c r="B981" t="n">
        <v>1</v>
      </c>
      <c r="C981" t="n">
        <v>979</v>
      </c>
      <c r="D981" t="n">
        <v>1</v>
      </c>
      <c r="E981" t="n">
        <v>93.4906</v>
      </c>
      <c r="F981" t="n">
        <v>0.03765</v>
      </c>
    </row>
    <row r="982">
      <c r="A982" t="n">
        <v>1000980</v>
      </c>
      <c r="B982" t="n">
        <v>1</v>
      </c>
      <c r="C982" t="n">
        <v>980</v>
      </c>
      <c r="D982" t="n">
        <v>1</v>
      </c>
      <c r="E982" t="n">
        <v>93.5137</v>
      </c>
      <c r="F982" t="n">
        <v>0.03766</v>
      </c>
    </row>
    <row r="983">
      <c r="A983" t="n">
        <v>1000981</v>
      </c>
      <c r="B983" t="n">
        <v>1</v>
      </c>
      <c r="C983" t="n">
        <v>981</v>
      </c>
      <c r="D983" t="n">
        <v>1</v>
      </c>
      <c r="E983" t="n">
        <v>93.5367</v>
      </c>
      <c r="F983" t="n">
        <v>0.03767</v>
      </c>
    </row>
    <row r="984">
      <c r="A984" t="n">
        <v>1000982</v>
      </c>
      <c r="B984" t="n">
        <v>1</v>
      </c>
      <c r="C984" t="n">
        <v>982</v>
      </c>
      <c r="D984" t="n">
        <v>1</v>
      </c>
      <c r="E984" t="n">
        <v>93.5596</v>
      </c>
      <c r="F984" t="n">
        <v>0.03768</v>
      </c>
    </row>
    <row r="985">
      <c r="A985" t="n">
        <v>1000983</v>
      </c>
      <c r="B985" t="n">
        <v>1</v>
      </c>
      <c r="C985" t="n">
        <v>983</v>
      </c>
      <c r="D985" t="n">
        <v>1</v>
      </c>
      <c r="E985" t="n">
        <v>93.5826</v>
      </c>
      <c r="F985" t="n">
        <v>0.03769</v>
      </c>
    </row>
    <row r="986">
      <c r="A986" t="n">
        <v>1000984</v>
      </c>
      <c r="B986" t="n">
        <v>1</v>
      </c>
      <c r="C986" t="n">
        <v>984</v>
      </c>
      <c r="D986" t="n">
        <v>1</v>
      </c>
      <c r="E986" t="n">
        <v>93.6056</v>
      </c>
      <c r="F986" t="n">
        <v>0.03769</v>
      </c>
    </row>
    <row r="987">
      <c r="A987" t="n">
        <v>1000985</v>
      </c>
      <c r="B987" t="n">
        <v>1</v>
      </c>
      <c r="C987" t="n">
        <v>985</v>
      </c>
      <c r="D987" t="n">
        <v>1</v>
      </c>
      <c r="E987" t="n">
        <v>93.6285</v>
      </c>
      <c r="F987" t="n">
        <v>0.0377</v>
      </c>
    </row>
    <row r="988">
      <c r="A988" t="n">
        <v>1000986</v>
      </c>
      <c r="B988" t="n">
        <v>1</v>
      </c>
      <c r="C988" t="n">
        <v>986</v>
      </c>
      <c r="D988" t="n">
        <v>1</v>
      </c>
      <c r="E988" t="n">
        <v>93.6514</v>
      </c>
      <c r="F988" t="n">
        <v>0.03771</v>
      </c>
    </row>
    <row r="989">
      <c r="A989" t="n">
        <v>1000987</v>
      </c>
      <c r="B989" t="n">
        <v>1</v>
      </c>
      <c r="C989" t="n">
        <v>987</v>
      </c>
      <c r="D989" t="n">
        <v>1</v>
      </c>
      <c r="E989" t="n">
        <v>93.6743</v>
      </c>
      <c r="F989" t="n">
        <v>0.03772</v>
      </c>
    </row>
    <row r="990">
      <c r="A990" t="n">
        <v>1000988</v>
      </c>
      <c r="B990" t="n">
        <v>1</v>
      </c>
      <c r="C990" t="n">
        <v>988</v>
      </c>
      <c r="D990" t="n">
        <v>1</v>
      </c>
      <c r="E990" t="n">
        <v>93.6972</v>
      </c>
      <c r="F990" t="n">
        <v>0.03773</v>
      </c>
    </row>
    <row r="991">
      <c r="A991" t="n">
        <v>1000989</v>
      </c>
      <c r="B991" t="n">
        <v>1</v>
      </c>
      <c r="C991" t="n">
        <v>989</v>
      </c>
      <c r="D991" t="n">
        <v>1</v>
      </c>
      <c r="E991" t="n">
        <v>93.7201</v>
      </c>
      <c r="F991" t="n">
        <v>0.03774</v>
      </c>
    </row>
    <row r="992">
      <c r="A992" t="n">
        <v>1000990</v>
      </c>
      <c r="B992" t="n">
        <v>1</v>
      </c>
      <c r="C992" t="n">
        <v>990</v>
      </c>
      <c r="D992" t="n">
        <v>1</v>
      </c>
      <c r="E992" t="n">
        <v>93.74290000000001</v>
      </c>
      <c r="F992" t="n">
        <v>0.03775</v>
      </c>
    </row>
    <row r="993">
      <c r="A993" t="n">
        <v>1000991</v>
      </c>
      <c r="B993" t="n">
        <v>1</v>
      </c>
      <c r="C993" t="n">
        <v>991</v>
      </c>
      <c r="D993" t="n">
        <v>1</v>
      </c>
      <c r="E993" t="n">
        <v>93.7658</v>
      </c>
      <c r="F993" t="n">
        <v>0.03776</v>
      </c>
    </row>
    <row r="994">
      <c r="A994" t="n">
        <v>1000992</v>
      </c>
      <c r="B994" t="n">
        <v>1</v>
      </c>
      <c r="C994" t="n">
        <v>992</v>
      </c>
      <c r="D994" t="n">
        <v>1</v>
      </c>
      <c r="E994" t="n">
        <v>93.7886</v>
      </c>
      <c r="F994" t="n">
        <v>0.03776</v>
      </c>
    </row>
    <row r="995">
      <c r="A995" t="n">
        <v>1000993</v>
      </c>
      <c r="B995" t="n">
        <v>1</v>
      </c>
      <c r="C995" t="n">
        <v>993</v>
      </c>
      <c r="D995" t="n">
        <v>1</v>
      </c>
      <c r="E995" t="n">
        <v>93.81140000000001</v>
      </c>
      <c r="F995" t="n">
        <v>0.03777</v>
      </c>
    </row>
    <row r="996">
      <c r="A996" t="n">
        <v>1000994</v>
      </c>
      <c r="B996" t="n">
        <v>1</v>
      </c>
      <c r="C996" t="n">
        <v>994</v>
      </c>
      <c r="D996" t="n">
        <v>1</v>
      </c>
      <c r="E996" t="n">
        <v>93.8342</v>
      </c>
      <c r="F996" t="n">
        <v>0.03778</v>
      </c>
    </row>
    <row r="997">
      <c r="A997" t="n">
        <v>1000995</v>
      </c>
      <c r="B997" t="n">
        <v>1</v>
      </c>
      <c r="C997" t="n">
        <v>995</v>
      </c>
      <c r="D997" t="n">
        <v>1</v>
      </c>
      <c r="E997" t="n">
        <v>93.8569</v>
      </c>
      <c r="F997" t="n">
        <v>0.03779</v>
      </c>
    </row>
    <row r="998">
      <c r="A998" t="n">
        <v>1000996</v>
      </c>
      <c r="B998" t="n">
        <v>1</v>
      </c>
      <c r="C998" t="n">
        <v>996</v>
      </c>
      <c r="D998" t="n">
        <v>1</v>
      </c>
      <c r="E998" t="n">
        <v>93.8797</v>
      </c>
      <c r="F998" t="n">
        <v>0.0378</v>
      </c>
    </row>
    <row r="999">
      <c r="A999" t="n">
        <v>1000997</v>
      </c>
      <c r="B999" t="n">
        <v>1</v>
      </c>
      <c r="C999" t="n">
        <v>997</v>
      </c>
      <c r="D999" t="n">
        <v>1</v>
      </c>
      <c r="E999" t="n">
        <v>93.9024</v>
      </c>
      <c r="F999" t="n">
        <v>0.03781</v>
      </c>
    </row>
    <row r="1000">
      <c r="A1000" t="n">
        <v>1000998</v>
      </c>
      <c r="B1000" t="n">
        <v>1</v>
      </c>
      <c r="C1000" t="n">
        <v>998</v>
      </c>
      <c r="D1000" t="n">
        <v>1</v>
      </c>
      <c r="E1000" t="n">
        <v>93.9252</v>
      </c>
      <c r="F1000" t="n">
        <v>0.03782</v>
      </c>
    </row>
    <row r="1001">
      <c r="A1001" t="n">
        <v>1000999</v>
      </c>
      <c r="B1001" t="n">
        <v>1</v>
      </c>
      <c r="C1001" t="n">
        <v>999</v>
      </c>
      <c r="D1001" t="n">
        <v>1</v>
      </c>
      <c r="E1001" t="n">
        <v>93.9479</v>
      </c>
      <c r="F1001" t="n">
        <v>0.03782</v>
      </c>
    </row>
    <row r="1002">
      <c r="A1002" t="n">
        <v>1001000</v>
      </c>
      <c r="B1002" t="n">
        <v>1</v>
      </c>
      <c r="C1002" t="n">
        <v>1000</v>
      </c>
      <c r="D1002" t="n">
        <v>1</v>
      </c>
      <c r="E1002" t="n">
        <v>93.9706</v>
      </c>
      <c r="F1002" t="n">
        <v>0.03783</v>
      </c>
    </row>
    <row r="1003">
      <c r="A1003" t="n">
        <v>1001001</v>
      </c>
      <c r="B1003" t="n">
        <v>1</v>
      </c>
      <c r="C1003" t="n">
        <v>1001</v>
      </c>
      <c r="D1003" t="n">
        <v>1</v>
      </c>
      <c r="E1003" t="n">
        <v>93.9932</v>
      </c>
      <c r="F1003" t="n">
        <v>0.03784</v>
      </c>
    </row>
    <row r="1004">
      <c r="A1004" t="n">
        <v>1001002</v>
      </c>
      <c r="B1004" t="n">
        <v>1</v>
      </c>
      <c r="C1004" t="n">
        <v>1002</v>
      </c>
      <c r="D1004" t="n">
        <v>1</v>
      </c>
      <c r="E1004" t="n">
        <v>94.0159</v>
      </c>
      <c r="F1004" t="n">
        <v>0.03785</v>
      </c>
    </row>
    <row r="1005">
      <c r="A1005" t="n">
        <v>1001003</v>
      </c>
      <c r="B1005" t="n">
        <v>1</v>
      </c>
      <c r="C1005" t="n">
        <v>1003</v>
      </c>
      <c r="D1005" t="n">
        <v>1</v>
      </c>
      <c r="E1005" t="n">
        <v>94.0385</v>
      </c>
      <c r="F1005" t="n">
        <v>0.03786</v>
      </c>
    </row>
    <row r="1006">
      <c r="A1006" t="n">
        <v>1001004</v>
      </c>
      <c r="B1006" t="n">
        <v>1</v>
      </c>
      <c r="C1006" t="n">
        <v>1004</v>
      </c>
      <c r="D1006" t="n">
        <v>1</v>
      </c>
      <c r="E1006" t="n">
        <v>94.0612</v>
      </c>
      <c r="F1006" t="n">
        <v>0.03787</v>
      </c>
    </row>
    <row r="1007">
      <c r="A1007" t="n">
        <v>1001005</v>
      </c>
      <c r="B1007" t="n">
        <v>1</v>
      </c>
      <c r="C1007" t="n">
        <v>1005</v>
      </c>
      <c r="D1007" t="n">
        <v>1</v>
      </c>
      <c r="E1007" t="n">
        <v>94.0838</v>
      </c>
      <c r="F1007" t="n">
        <v>0.03788</v>
      </c>
    </row>
    <row r="1008">
      <c r="A1008" t="n">
        <v>1001006</v>
      </c>
      <c r="B1008" t="n">
        <v>1</v>
      </c>
      <c r="C1008" t="n">
        <v>1006</v>
      </c>
      <c r="D1008" t="n">
        <v>1</v>
      </c>
      <c r="E1008" t="n">
        <v>94.10639999999999</v>
      </c>
      <c r="F1008" t="n">
        <v>0.03788</v>
      </c>
    </row>
    <row r="1009">
      <c r="A1009" t="n">
        <v>1001007</v>
      </c>
      <c r="B1009" t="n">
        <v>1</v>
      </c>
      <c r="C1009" t="n">
        <v>1007</v>
      </c>
      <c r="D1009" t="n">
        <v>1</v>
      </c>
      <c r="E1009" t="n">
        <v>94.129</v>
      </c>
      <c r="F1009" t="n">
        <v>0.03789</v>
      </c>
    </row>
    <row r="1010">
      <c r="A1010" t="n">
        <v>1001008</v>
      </c>
      <c r="B1010" t="n">
        <v>1</v>
      </c>
      <c r="C1010" t="n">
        <v>1008</v>
      </c>
      <c r="D1010" t="n">
        <v>1</v>
      </c>
      <c r="E1010" t="n">
        <v>94.1516</v>
      </c>
      <c r="F1010" t="n">
        <v>0.0379</v>
      </c>
    </row>
    <row r="1011">
      <c r="A1011" t="n">
        <v>1001009</v>
      </c>
      <c r="B1011" t="n">
        <v>1</v>
      </c>
      <c r="C1011" t="n">
        <v>1009</v>
      </c>
      <c r="D1011" t="n">
        <v>1</v>
      </c>
      <c r="E1011" t="n">
        <v>94.1741</v>
      </c>
      <c r="F1011" t="n">
        <v>0.03791</v>
      </c>
    </row>
    <row r="1012">
      <c r="A1012" t="n">
        <v>1001010</v>
      </c>
      <c r="B1012" t="n">
        <v>1</v>
      </c>
      <c r="C1012" t="n">
        <v>1010</v>
      </c>
      <c r="D1012" t="n">
        <v>1</v>
      </c>
      <c r="E1012" t="n">
        <v>94.19670000000001</v>
      </c>
      <c r="F1012" t="n">
        <v>0.03792</v>
      </c>
    </row>
    <row r="1013">
      <c r="A1013" t="n">
        <v>1001011</v>
      </c>
      <c r="B1013" t="n">
        <v>1</v>
      </c>
      <c r="C1013" t="n">
        <v>1011</v>
      </c>
      <c r="D1013" t="n">
        <v>1</v>
      </c>
      <c r="E1013" t="n">
        <v>94.2192</v>
      </c>
      <c r="F1013" t="n">
        <v>0.03793</v>
      </c>
    </row>
    <row r="1014">
      <c r="A1014" t="n">
        <v>1001012</v>
      </c>
      <c r="B1014" t="n">
        <v>1</v>
      </c>
      <c r="C1014" t="n">
        <v>1012</v>
      </c>
      <c r="D1014" t="n">
        <v>1</v>
      </c>
      <c r="E1014" t="n">
        <v>94.24169999999999</v>
      </c>
      <c r="F1014" t="n">
        <v>0.03793</v>
      </c>
    </row>
    <row r="1015">
      <c r="A1015" t="n">
        <v>1001013</v>
      </c>
      <c r="B1015" t="n">
        <v>1</v>
      </c>
      <c r="C1015" t="n">
        <v>1013</v>
      </c>
      <c r="D1015" t="n">
        <v>1</v>
      </c>
      <c r="E1015" t="n">
        <v>94.2642</v>
      </c>
      <c r="F1015" t="n">
        <v>0.03794</v>
      </c>
    </row>
    <row r="1016">
      <c r="A1016" t="n">
        <v>1001014</v>
      </c>
      <c r="B1016" t="n">
        <v>1</v>
      </c>
      <c r="C1016" t="n">
        <v>1014</v>
      </c>
      <c r="D1016" t="n">
        <v>1</v>
      </c>
      <c r="E1016" t="n">
        <v>94.2867</v>
      </c>
      <c r="F1016" t="n">
        <v>0.03795</v>
      </c>
    </row>
    <row r="1017">
      <c r="A1017" t="n">
        <v>1001015</v>
      </c>
      <c r="B1017" t="n">
        <v>1</v>
      </c>
      <c r="C1017" t="n">
        <v>1015</v>
      </c>
      <c r="D1017" t="n">
        <v>1</v>
      </c>
      <c r="E1017" t="n">
        <v>94.3092</v>
      </c>
      <c r="F1017" t="n">
        <v>0.03796</v>
      </c>
    </row>
    <row r="1018">
      <c r="A1018" t="n">
        <v>1001016</v>
      </c>
      <c r="B1018" t="n">
        <v>1</v>
      </c>
      <c r="C1018" t="n">
        <v>1016</v>
      </c>
      <c r="D1018" t="n">
        <v>1</v>
      </c>
      <c r="E1018" t="n">
        <v>94.3317</v>
      </c>
      <c r="F1018" t="n">
        <v>0.03797</v>
      </c>
    </row>
    <row r="1019">
      <c r="A1019" t="n">
        <v>1001017</v>
      </c>
      <c r="B1019" t="n">
        <v>1</v>
      </c>
      <c r="C1019" t="n">
        <v>1017</v>
      </c>
      <c r="D1019" t="n">
        <v>1</v>
      </c>
      <c r="E1019" t="n">
        <v>94.3541</v>
      </c>
      <c r="F1019" t="n">
        <v>0.03798</v>
      </c>
    </row>
    <row r="1020">
      <c r="A1020" t="n">
        <v>1001018</v>
      </c>
      <c r="B1020" t="n">
        <v>1</v>
      </c>
      <c r="C1020" t="n">
        <v>1018</v>
      </c>
      <c r="D1020" t="n">
        <v>1</v>
      </c>
      <c r="E1020" t="n">
        <v>94.37649999999999</v>
      </c>
      <c r="F1020" t="n">
        <v>0.03798</v>
      </c>
    </row>
    <row r="1021">
      <c r="A1021" t="n">
        <v>1001019</v>
      </c>
      <c r="B1021" t="n">
        <v>1</v>
      </c>
      <c r="C1021" t="n">
        <v>1019</v>
      </c>
      <c r="D1021" t="n">
        <v>1</v>
      </c>
      <c r="E1021" t="n">
        <v>94.399</v>
      </c>
      <c r="F1021" t="n">
        <v>0.03799</v>
      </c>
    </row>
    <row r="1022">
      <c r="A1022" t="n">
        <v>1001020</v>
      </c>
      <c r="B1022" t="n">
        <v>1</v>
      </c>
      <c r="C1022" t="n">
        <v>1020</v>
      </c>
      <c r="D1022" t="n">
        <v>1</v>
      </c>
      <c r="E1022" t="n">
        <v>94.42140000000001</v>
      </c>
      <c r="F1022" t="n">
        <v>0.038</v>
      </c>
    </row>
    <row r="1023">
      <c r="A1023" t="n">
        <v>1001021</v>
      </c>
      <c r="B1023" t="n">
        <v>1</v>
      </c>
      <c r="C1023" t="n">
        <v>1021</v>
      </c>
      <c r="D1023" t="n">
        <v>1</v>
      </c>
      <c r="E1023" t="n">
        <v>94.4438</v>
      </c>
      <c r="F1023" t="n">
        <v>0.03801</v>
      </c>
    </row>
    <row r="1024">
      <c r="A1024" t="n">
        <v>1001022</v>
      </c>
      <c r="B1024" t="n">
        <v>1</v>
      </c>
      <c r="C1024" t="n">
        <v>1022</v>
      </c>
      <c r="D1024" t="n">
        <v>1</v>
      </c>
      <c r="E1024" t="n">
        <v>94.4662</v>
      </c>
      <c r="F1024" t="n">
        <v>0.03802</v>
      </c>
    </row>
    <row r="1025">
      <c r="A1025" t="n">
        <v>1001023</v>
      </c>
      <c r="B1025" t="n">
        <v>1</v>
      </c>
      <c r="C1025" t="n">
        <v>1023</v>
      </c>
      <c r="D1025" t="n">
        <v>1</v>
      </c>
      <c r="E1025" t="n">
        <v>94.4885</v>
      </c>
      <c r="F1025" t="n">
        <v>0.03802</v>
      </c>
    </row>
    <row r="1026">
      <c r="A1026" t="n">
        <v>1001024</v>
      </c>
      <c r="B1026" t="n">
        <v>1</v>
      </c>
      <c r="C1026" t="n">
        <v>1024</v>
      </c>
      <c r="D1026" t="n">
        <v>1</v>
      </c>
      <c r="E1026" t="n">
        <v>94.51090000000001</v>
      </c>
      <c r="F1026" t="n">
        <v>0.03803</v>
      </c>
    </row>
    <row r="1027">
      <c r="A1027" t="n">
        <v>1001025</v>
      </c>
      <c r="B1027" t="n">
        <v>1</v>
      </c>
      <c r="C1027" t="n">
        <v>1025</v>
      </c>
      <c r="D1027" t="n">
        <v>1</v>
      </c>
      <c r="E1027" t="n">
        <v>94.53319999999999</v>
      </c>
      <c r="F1027" t="n">
        <v>0.03804</v>
      </c>
    </row>
    <row r="1028">
      <c r="A1028" t="n">
        <v>1001026</v>
      </c>
      <c r="B1028" t="n">
        <v>1</v>
      </c>
      <c r="C1028" t="n">
        <v>1026</v>
      </c>
      <c r="D1028" t="n">
        <v>1</v>
      </c>
      <c r="E1028" t="n">
        <v>94.5556</v>
      </c>
      <c r="F1028" t="n">
        <v>0.03805</v>
      </c>
    </row>
    <row r="1029">
      <c r="A1029" t="n">
        <v>1001027</v>
      </c>
      <c r="B1029" t="n">
        <v>1</v>
      </c>
      <c r="C1029" t="n">
        <v>1027</v>
      </c>
      <c r="D1029" t="n">
        <v>1</v>
      </c>
      <c r="E1029" t="n">
        <v>94.5779</v>
      </c>
      <c r="F1029" t="n">
        <v>0.03806</v>
      </c>
    </row>
    <row r="1030">
      <c r="A1030" t="n">
        <v>1001028</v>
      </c>
      <c r="B1030" t="n">
        <v>1</v>
      </c>
      <c r="C1030" t="n">
        <v>1028</v>
      </c>
      <c r="D1030" t="n">
        <v>1</v>
      </c>
      <c r="E1030" t="n">
        <v>94.6002</v>
      </c>
      <c r="F1030" t="n">
        <v>0.03807</v>
      </c>
    </row>
    <row r="1031">
      <c r="A1031" t="n">
        <v>1001029</v>
      </c>
      <c r="B1031" t="n">
        <v>1</v>
      </c>
      <c r="C1031" t="n">
        <v>1029</v>
      </c>
      <c r="D1031" t="n">
        <v>1</v>
      </c>
      <c r="E1031" t="n">
        <v>94.6225</v>
      </c>
      <c r="F1031" t="n">
        <v>0.03807</v>
      </c>
    </row>
    <row r="1032">
      <c r="A1032" t="n">
        <v>1001030</v>
      </c>
      <c r="B1032" t="n">
        <v>1</v>
      </c>
      <c r="C1032" t="n">
        <v>1030</v>
      </c>
      <c r="D1032" t="n">
        <v>1</v>
      </c>
      <c r="E1032" t="n">
        <v>94.6447</v>
      </c>
      <c r="F1032" t="n">
        <v>0.03808</v>
      </c>
    </row>
    <row r="1033">
      <c r="A1033" t="n">
        <v>1001031</v>
      </c>
      <c r="B1033" t="n">
        <v>1</v>
      </c>
      <c r="C1033" t="n">
        <v>1031</v>
      </c>
      <c r="D1033" t="n">
        <v>1</v>
      </c>
      <c r="E1033" t="n">
        <v>94.667</v>
      </c>
      <c r="F1033" t="n">
        <v>0.03809</v>
      </c>
    </row>
    <row r="1034">
      <c r="A1034" t="n">
        <v>1001032</v>
      </c>
      <c r="B1034" t="n">
        <v>1</v>
      </c>
      <c r="C1034" t="n">
        <v>1032</v>
      </c>
      <c r="D1034" t="n">
        <v>1</v>
      </c>
      <c r="E1034" t="n">
        <v>94.6893</v>
      </c>
      <c r="F1034" t="n">
        <v>0.0381</v>
      </c>
    </row>
    <row r="1035">
      <c r="A1035" t="n">
        <v>1001033</v>
      </c>
      <c r="B1035" t="n">
        <v>1</v>
      </c>
      <c r="C1035" t="n">
        <v>1033</v>
      </c>
      <c r="D1035" t="n">
        <v>1</v>
      </c>
      <c r="E1035" t="n">
        <v>94.7115</v>
      </c>
      <c r="F1035" t="n">
        <v>0.03811</v>
      </c>
    </row>
    <row r="1036">
      <c r="A1036" t="n">
        <v>1001034</v>
      </c>
      <c r="B1036" t="n">
        <v>1</v>
      </c>
      <c r="C1036" t="n">
        <v>1034</v>
      </c>
      <c r="D1036" t="n">
        <v>1</v>
      </c>
      <c r="E1036" t="n">
        <v>94.7337</v>
      </c>
      <c r="F1036" t="n">
        <v>0.03811</v>
      </c>
    </row>
    <row r="1037">
      <c r="A1037" t="n">
        <v>1001035</v>
      </c>
      <c r="B1037" t="n">
        <v>1</v>
      </c>
      <c r="C1037" t="n">
        <v>1035</v>
      </c>
      <c r="D1037" t="n">
        <v>1</v>
      </c>
      <c r="E1037" t="n">
        <v>94.7559</v>
      </c>
      <c r="F1037" t="n">
        <v>0.03812</v>
      </c>
    </row>
    <row r="1038">
      <c r="A1038" t="n">
        <v>1001036</v>
      </c>
      <c r="B1038" t="n">
        <v>1</v>
      </c>
      <c r="C1038" t="n">
        <v>1036</v>
      </c>
      <c r="D1038" t="n">
        <v>1</v>
      </c>
      <c r="E1038" t="n">
        <v>94.7782</v>
      </c>
      <c r="F1038" t="n">
        <v>0.03813</v>
      </c>
    </row>
    <row r="1039">
      <c r="A1039" t="n">
        <v>1001037</v>
      </c>
      <c r="B1039" t="n">
        <v>1</v>
      </c>
      <c r="C1039" t="n">
        <v>1037</v>
      </c>
      <c r="D1039" t="n">
        <v>1</v>
      </c>
      <c r="E1039" t="n">
        <v>94.80029999999999</v>
      </c>
      <c r="F1039" t="n">
        <v>0.03814</v>
      </c>
    </row>
    <row r="1040">
      <c r="A1040" t="n">
        <v>1001038</v>
      </c>
      <c r="B1040" t="n">
        <v>1</v>
      </c>
      <c r="C1040" t="n">
        <v>1038</v>
      </c>
      <c r="D1040" t="n">
        <v>1</v>
      </c>
      <c r="E1040" t="n">
        <v>94.82250000000001</v>
      </c>
      <c r="F1040" t="n">
        <v>0.03815</v>
      </c>
    </row>
    <row r="1041">
      <c r="A1041" t="n">
        <v>1001039</v>
      </c>
      <c r="B1041" t="n">
        <v>1</v>
      </c>
      <c r="C1041" t="n">
        <v>1039</v>
      </c>
      <c r="D1041" t="n">
        <v>1</v>
      </c>
      <c r="E1041" t="n">
        <v>94.8447</v>
      </c>
      <c r="F1041" t="n">
        <v>0.03815</v>
      </c>
    </row>
    <row r="1042">
      <c r="A1042" t="n">
        <v>1001040</v>
      </c>
      <c r="B1042" t="n">
        <v>1</v>
      </c>
      <c r="C1042" t="n">
        <v>1040</v>
      </c>
      <c r="D1042" t="n">
        <v>1</v>
      </c>
      <c r="E1042" t="n">
        <v>94.8668</v>
      </c>
      <c r="F1042" t="n">
        <v>0.03816</v>
      </c>
    </row>
    <row r="1043">
      <c r="A1043" t="n">
        <v>1001041</v>
      </c>
      <c r="B1043" t="n">
        <v>1</v>
      </c>
      <c r="C1043" t="n">
        <v>1041</v>
      </c>
      <c r="D1043" t="n">
        <v>1</v>
      </c>
      <c r="E1043" t="n">
        <v>94.889</v>
      </c>
      <c r="F1043" t="n">
        <v>0.03817</v>
      </c>
    </row>
    <row r="1044">
      <c r="A1044" t="n">
        <v>1001042</v>
      </c>
      <c r="B1044" t="n">
        <v>1</v>
      </c>
      <c r="C1044" t="n">
        <v>1042</v>
      </c>
      <c r="D1044" t="n">
        <v>1</v>
      </c>
      <c r="E1044" t="n">
        <v>94.9111</v>
      </c>
      <c r="F1044" t="n">
        <v>0.03818</v>
      </c>
    </row>
    <row r="1045">
      <c r="A1045" t="n">
        <v>1001043</v>
      </c>
      <c r="B1045" t="n">
        <v>1</v>
      </c>
      <c r="C1045" t="n">
        <v>1043</v>
      </c>
      <c r="D1045" t="n">
        <v>1</v>
      </c>
      <c r="E1045" t="n">
        <v>94.9332</v>
      </c>
      <c r="F1045" t="n">
        <v>0.03819</v>
      </c>
    </row>
    <row r="1046">
      <c r="A1046" t="n">
        <v>1001044</v>
      </c>
      <c r="B1046" t="n">
        <v>1</v>
      </c>
      <c r="C1046" t="n">
        <v>1044</v>
      </c>
      <c r="D1046" t="n">
        <v>1</v>
      </c>
      <c r="E1046" t="n">
        <v>94.95529999999999</v>
      </c>
      <c r="F1046" t="n">
        <v>0.03819</v>
      </c>
    </row>
    <row r="1047">
      <c r="A1047" t="n">
        <v>1001045</v>
      </c>
      <c r="B1047" t="n">
        <v>1</v>
      </c>
      <c r="C1047" t="n">
        <v>1045</v>
      </c>
      <c r="D1047" t="n">
        <v>1</v>
      </c>
      <c r="E1047" t="n">
        <v>94.9774</v>
      </c>
      <c r="F1047" t="n">
        <v>0.0382</v>
      </c>
    </row>
    <row r="1048">
      <c r="A1048" t="n">
        <v>1001046</v>
      </c>
      <c r="B1048" t="n">
        <v>1</v>
      </c>
      <c r="C1048" t="n">
        <v>1046</v>
      </c>
      <c r="D1048" t="n">
        <v>1</v>
      </c>
      <c r="E1048" t="n">
        <v>94.9995</v>
      </c>
      <c r="F1048" t="n">
        <v>0.03821</v>
      </c>
    </row>
    <row r="1049">
      <c r="A1049" t="n">
        <v>1001047</v>
      </c>
      <c r="B1049" t="n">
        <v>1</v>
      </c>
      <c r="C1049" t="n">
        <v>1047</v>
      </c>
      <c r="D1049" t="n">
        <v>1</v>
      </c>
      <c r="E1049" t="n">
        <v>95.02160000000001</v>
      </c>
      <c r="F1049" t="n">
        <v>0.03822</v>
      </c>
    </row>
    <row r="1050">
      <c r="A1050" t="n">
        <v>1001048</v>
      </c>
      <c r="B1050" t="n">
        <v>1</v>
      </c>
      <c r="C1050" t="n">
        <v>1048</v>
      </c>
      <c r="D1050" t="n">
        <v>1</v>
      </c>
      <c r="E1050" t="n">
        <v>95.0436</v>
      </c>
      <c r="F1050" t="n">
        <v>0.03822</v>
      </c>
    </row>
    <row r="1051">
      <c r="A1051" t="n">
        <v>1001049</v>
      </c>
      <c r="B1051" t="n">
        <v>1</v>
      </c>
      <c r="C1051" t="n">
        <v>1049</v>
      </c>
      <c r="D1051" t="n">
        <v>1</v>
      </c>
      <c r="E1051" t="n">
        <v>95.06570000000001</v>
      </c>
      <c r="F1051" t="n">
        <v>0.03823</v>
      </c>
    </row>
    <row r="1052">
      <c r="A1052" t="n">
        <v>1001050</v>
      </c>
      <c r="B1052" t="n">
        <v>1</v>
      </c>
      <c r="C1052" t="n">
        <v>1050</v>
      </c>
      <c r="D1052" t="n">
        <v>1</v>
      </c>
      <c r="E1052" t="n">
        <v>95.0877</v>
      </c>
      <c r="F1052" t="n">
        <v>0.03824</v>
      </c>
    </row>
    <row r="1053">
      <c r="A1053" t="n">
        <v>1001051</v>
      </c>
      <c r="B1053" t="n">
        <v>1</v>
      </c>
      <c r="C1053" t="n">
        <v>1051</v>
      </c>
      <c r="D1053" t="n">
        <v>1</v>
      </c>
      <c r="E1053" t="n">
        <v>95.1097</v>
      </c>
      <c r="F1053" t="n">
        <v>0.03825</v>
      </c>
    </row>
    <row r="1054">
      <c r="A1054" t="n">
        <v>1001052</v>
      </c>
      <c r="B1054" t="n">
        <v>1</v>
      </c>
      <c r="C1054" t="n">
        <v>1052</v>
      </c>
      <c r="D1054" t="n">
        <v>1</v>
      </c>
      <c r="E1054" t="n">
        <v>95.1317</v>
      </c>
      <c r="F1054" t="n">
        <v>0.03826</v>
      </c>
    </row>
    <row r="1055">
      <c r="A1055" t="n">
        <v>1001053</v>
      </c>
      <c r="B1055" t="n">
        <v>1</v>
      </c>
      <c r="C1055" t="n">
        <v>1053</v>
      </c>
      <c r="D1055" t="n">
        <v>1</v>
      </c>
      <c r="E1055" t="n">
        <v>95.1537</v>
      </c>
      <c r="F1055" t="n">
        <v>0.03826</v>
      </c>
    </row>
    <row r="1056">
      <c r="A1056" t="n">
        <v>1001054</v>
      </c>
      <c r="B1056" t="n">
        <v>1</v>
      </c>
      <c r="C1056" t="n">
        <v>1054</v>
      </c>
      <c r="D1056" t="n">
        <v>1</v>
      </c>
      <c r="E1056" t="n">
        <v>95.17570000000001</v>
      </c>
      <c r="F1056" t="n">
        <v>0.03827</v>
      </c>
    </row>
    <row r="1057">
      <c r="A1057" t="n">
        <v>1001055</v>
      </c>
      <c r="B1057" t="n">
        <v>1</v>
      </c>
      <c r="C1057" t="n">
        <v>1055</v>
      </c>
      <c r="D1057" t="n">
        <v>1</v>
      </c>
      <c r="E1057" t="n">
        <v>95.1977</v>
      </c>
      <c r="F1057" t="n">
        <v>0.03828</v>
      </c>
    </row>
    <row r="1058">
      <c r="A1058" t="n">
        <v>1001056</v>
      </c>
      <c r="B1058" t="n">
        <v>1</v>
      </c>
      <c r="C1058" t="n">
        <v>1056</v>
      </c>
      <c r="D1058" t="n">
        <v>1</v>
      </c>
      <c r="E1058" t="n">
        <v>95.2197</v>
      </c>
      <c r="F1058" t="n">
        <v>0.03829</v>
      </c>
    </row>
    <row r="1059">
      <c r="A1059" t="n">
        <v>1001057</v>
      </c>
      <c r="B1059" t="n">
        <v>1</v>
      </c>
      <c r="C1059" t="n">
        <v>1057</v>
      </c>
      <c r="D1059" t="n">
        <v>1</v>
      </c>
      <c r="E1059" t="n">
        <v>95.24160000000001</v>
      </c>
      <c r="F1059" t="n">
        <v>0.03829</v>
      </c>
    </row>
    <row r="1060">
      <c r="A1060" t="n">
        <v>1001058</v>
      </c>
      <c r="B1060" t="n">
        <v>1</v>
      </c>
      <c r="C1060" t="n">
        <v>1058</v>
      </c>
      <c r="D1060" t="n">
        <v>1</v>
      </c>
      <c r="E1060" t="n">
        <v>95.2636</v>
      </c>
      <c r="F1060" t="n">
        <v>0.0383</v>
      </c>
    </row>
    <row r="1061">
      <c r="A1061" t="n">
        <v>1001059</v>
      </c>
      <c r="B1061" t="n">
        <v>1</v>
      </c>
      <c r="C1061" t="n">
        <v>1059</v>
      </c>
      <c r="D1061" t="n">
        <v>1</v>
      </c>
      <c r="E1061" t="n">
        <v>95.2855</v>
      </c>
      <c r="F1061" t="n">
        <v>0.03831</v>
      </c>
    </row>
    <row r="1062">
      <c r="A1062" t="n">
        <v>1001060</v>
      </c>
      <c r="B1062" t="n">
        <v>1</v>
      </c>
      <c r="C1062" t="n">
        <v>1060</v>
      </c>
      <c r="D1062" t="n">
        <v>1</v>
      </c>
      <c r="E1062" t="n">
        <v>95.3074</v>
      </c>
      <c r="F1062" t="n">
        <v>0.03832</v>
      </c>
    </row>
    <row r="1063">
      <c r="A1063" t="n">
        <v>1001061</v>
      </c>
      <c r="B1063" t="n">
        <v>1</v>
      </c>
      <c r="C1063" t="n">
        <v>1061</v>
      </c>
      <c r="D1063" t="n">
        <v>1</v>
      </c>
      <c r="E1063" t="n">
        <v>95.3293</v>
      </c>
      <c r="F1063" t="n">
        <v>0.03833</v>
      </c>
    </row>
    <row r="1064">
      <c r="A1064" t="n">
        <v>1001062</v>
      </c>
      <c r="B1064" t="n">
        <v>1</v>
      </c>
      <c r="C1064" t="n">
        <v>1062</v>
      </c>
      <c r="D1064" t="n">
        <v>1</v>
      </c>
      <c r="E1064" t="n">
        <v>95.35120000000001</v>
      </c>
      <c r="F1064" t="n">
        <v>0.03833</v>
      </c>
    </row>
    <row r="1065">
      <c r="A1065" t="n">
        <v>1001063</v>
      </c>
      <c r="B1065" t="n">
        <v>1</v>
      </c>
      <c r="C1065" t="n">
        <v>1063</v>
      </c>
      <c r="D1065" t="n">
        <v>1</v>
      </c>
      <c r="E1065" t="n">
        <v>95.37309999999999</v>
      </c>
      <c r="F1065" t="n">
        <v>0.03834</v>
      </c>
    </row>
    <row r="1066">
      <c r="A1066" t="n">
        <v>1001064</v>
      </c>
      <c r="B1066" t="n">
        <v>1</v>
      </c>
      <c r="C1066" t="n">
        <v>1064</v>
      </c>
      <c r="D1066" t="n">
        <v>1</v>
      </c>
      <c r="E1066" t="n">
        <v>95.39490000000001</v>
      </c>
      <c r="F1066" t="n">
        <v>0.03835</v>
      </c>
    </row>
    <row r="1067">
      <c r="A1067" t="n">
        <v>1001065</v>
      </c>
      <c r="B1067" t="n">
        <v>1</v>
      </c>
      <c r="C1067" t="n">
        <v>1065</v>
      </c>
      <c r="D1067" t="n">
        <v>1</v>
      </c>
      <c r="E1067" t="n">
        <v>95.41679999999999</v>
      </c>
      <c r="F1067" t="n">
        <v>0.03836</v>
      </c>
    </row>
    <row r="1068">
      <c r="A1068" t="n">
        <v>1001066</v>
      </c>
      <c r="B1068" t="n">
        <v>1</v>
      </c>
      <c r="C1068" t="n">
        <v>1066</v>
      </c>
      <c r="D1068" t="n">
        <v>1</v>
      </c>
      <c r="E1068" t="n">
        <v>95.43859999999999</v>
      </c>
      <c r="F1068" t="n">
        <v>0.03836</v>
      </c>
    </row>
    <row r="1069">
      <c r="A1069" t="n">
        <v>1001067</v>
      </c>
      <c r="B1069" t="n">
        <v>1</v>
      </c>
      <c r="C1069" t="n">
        <v>1067</v>
      </c>
      <c r="D1069" t="n">
        <v>1</v>
      </c>
      <c r="E1069" t="n">
        <v>95.4605</v>
      </c>
      <c r="F1069" t="n">
        <v>0.03837</v>
      </c>
    </row>
    <row r="1070">
      <c r="A1070" t="n">
        <v>1001068</v>
      </c>
      <c r="B1070" t="n">
        <v>1</v>
      </c>
      <c r="C1070" t="n">
        <v>1068</v>
      </c>
      <c r="D1070" t="n">
        <v>1</v>
      </c>
      <c r="E1070" t="n">
        <v>95.4823</v>
      </c>
      <c r="F1070" t="n">
        <v>0.03838</v>
      </c>
    </row>
    <row r="1071">
      <c r="A1071" t="n">
        <v>1001069</v>
      </c>
      <c r="B1071" t="n">
        <v>1</v>
      </c>
      <c r="C1071" t="n">
        <v>1069</v>
      </c>
      <c r="D1071" t="n">
        <v>1</v>
      </c>
      <c r="E1071" t="n">
        <v>95.50409999999999</v>
      </c>
      <c r="F1071" t="n">
        <v>0.03839</v>
      </c>
    </row>
    <row r="1072">
      <c r="A1072" t="n">
        <v>1001070</v>
      </c>
      <c r="B1072" t="n">
        <v>1</v>
      </c>
      <c r="C1072" t="n">
        <v>1070</v>
      </c>
      <c r="D1072" t="n">
        <v>1</v>
      </c>
      <c r="E1072" t="n">
        <v>95.52589999999999</v>
      </c>
      <c r="F1072" t="n">
        <v>0.03839</v>
      </c>
    </row>
    <row r="1073">
      <c r="A1073" t="n">
        <v>1001071</v>
      </c>
      <c r="B1073" t="n">
        <v>1</v>
      </c>
      <c r="C1073" t="n">
        <v>1071</v>
      </c>
      <c r="D1073" t="n">
        <v>1</v>
      </c>
      <c r="E1073" t="n">
        <v>95.54770000000001</v>
      </c>
      <c r="F1073" t="n">
        <v>0.0384</v>
      </c>
    </row>
    <row r="1074">
      <c r="A1074" t="n">
        <v>1001072</v>
      </c>
      <c r="B1074" t="n">
        <v>1</v>
      </c>
      <c r="C1074" t="n">
        <v>1072</v>
      </c>
      <c r="D1074" t="n">
        <v>1</v>
      </c>
      <c r="E1074" t="n">
        <v>95.56950000000001</v>
      </c>
      <c r="F1074" t="n">
        <v>0.03841</v>
      </c>
    </row>
    <row r="1075">
      <c r="A1075" t="n">
        <v>1001073</v>
      </c>
      <c r="B1075" t="n">
        <v>1</v>
      </c>
      <c r="C1075" t="n">
        <v>1073</v>
      </c>
      <c r="D1075" t="n">
        <v>1</v>
      </c>
      <c r="E1075" t="n">
        <v>95.5913</v>
      </c>
      <c r="F1075" t="n">
        <v>0.03842</v>
      </c>
    </row>
    <row r="1076">
      <c r="A1076" t="n">
        <v>1001074</v>
      </c>
      <c r="B1076" t="n">
        <v>1</v>
      </c>
      <c r="C1076" t="n">
        <v>1074</v>
      </c>
      <c r="D1076" t="n">
        <v>1</v>
      </c>
      <c r="E1076" t="n">
        <v>95.613</v>
      </c>
      <c r="F1076" t="n">
        <v>0.03842</v>
      </c>
    </row>
    <row r="1077">
      <c r="A1077" t="n">
        <v>1001075</v>
      </c>
      <c r="B1077" t="n">
        <v>1</v>
      </c>
      <c r="C1077" t="n">
        <v>1075</v>
      </c>
      <c r="D1077" t="n">
        <v>1</v>
      </c>
      <c r="E1077" t="n">
        <v>95.6348</v>
      </c>
      <c r="F1077" t="n">
        <v>0.03843</v>
      </c>
    </row>
    <row r="1078">
      <c r="A1078" t="n">
        <v>1001076</v>
      </c>
      <c r="B1078" t="n">
        <v>1</v>
      </c>
      <c r="C1078" t="n">
        <v>1076</v>
      </c>
      <c r="D1078" t="n">
        <v>1</v>
      </c>
      <c r="E1078" t="n">
        <v>95.65649999999999</v>
      </c>
      <c r="F1078" t="n">
        <v>0.03844</v>
      </c>
    </row>
    <row r="1079">
      <c r="A1079" t="n">
        <v>1001077</v>
      </c>
      <c r="B1079" t="n">
        <v>1</v>
      </c>
      <c r="C1079" t="n">
        <v>1077</v>
      </c>
      <c r="D1079" t="n">
        <v>1</v>
      </c>
      <c r="E1079" t="n">
        <v>95.6782</v>
      </c>
      <c r="F1079" t="n">
        <v>0.03845</v>
      </c>
    </row>
    <row r="1080">
      <c r="A1080" t="n">
        <v>1001078</v>
      </c>
      <c r="B1080" t="n">
        <v>1</v>
      </c>
      <c r="C1080" t="n">
        <v>1078</v>
      </c>
      <c r="D1080" t="n">
        <v>1</v>
      </c>
      <c r="E1080" t="n">
        <v>95.6999</v>
      </c>
      <c r="F1080" t="n">
        <v>0.03845</v>
      </c>
    </row>
    <row r="1081">
      <c r="A1081" t="n">
        <v>1001079</v>
      </c>
      <c r="B1081" t="n">
        <v>1</v>
      </c>
      <c r="C1081" t="n">
        <v>1079</v>
      </c>
      <c r="D1081" t="n">
        <v>1</v>
      </c>
      <c r="E1081" t="n">
        <v>95.7216</v>
      </c>
      <c r="F1081" t="n">
        <v>0.03846</v>
      </c>
    </row>
    <row r="1082">
      <c r="A1082" t="n">
        <v>1001080</v>
      </c>
      <c r="B1082" t="n">
        <v>1</v>
      </c>
      <c r="C1082" t="n">
        <v>1080</v>
      </c>
      <c r="D1082" t="n">
        <v>1</v>
      </c>
      <c r="E1082" t="n">
        <v>95.7433</v>
      </c>
      <c r="F1082" t="n">
        <v>0.03847</v>
      </c>
    </row>
    <row r="1083">
      <c r="A1083" t="n">
        <v>1001081</v>
      </c>
      <c r="B1083" t="n">
        <v>1</v>
      </c>
      <c r="C1083" t="n">
        <v>1081</v>
      </c>
      <c r="D1083" t="n">
        <v>1</v>
      </c>
      <c r="E1083" t="n">
        <v>95.765</v>
      </c>
      <c r="F1083" t="n">
        <v>0.03848</v>
      </c>
    </row>
    <row r="1084">
      <c r="A1084" t="n">
        <v>1001082</v>
      </c>
      <c r="B1084" t="n">
        <v>1</v>
      </c>
      <c r="C1084" t="n">
        <v>1082</v>
      </c>
      <c r="D1084" t="n">
        <v>1</v>
      </c>
      <c r="E1084" t="n">
        <v>95.7867</v>
      </c>
      <c r="F1084" t="n">
        <v>0.03848</v>
      </c>
    </row>
    <row r="1085">
      <c r="A1085" t="n">
        <v>1001083</v>
      </c>
      <c r="B1085" t="n">
        <v>1</v>
      </c>
      <c r="C1085" t="n">
        <v>1083</v>
      </c>
      <c r="D1085" t="n">
        <v>1</v>
      </c>
      <c r="E1085" t="n">
        <v>95.8083</v>
      </c>
      <c r="F1085" t="n">
        <v>0.03849</v>
      </c>
    </row>
    <row r="1086">
      <c r="A1086" t="n">
        <v>1001084</v>
      </c>
      <c r="B1086" t="n">
        <v>1</v>
      </c>
      <c r="C1086" t="n">
        <v>1084</v>
      </c>
      <c r="D1086" t="n">
        <v>1</v>
      </c>
      <c r="E1086" t="n">
        <v>95.83</v>
      </c>
      <c r="F1086" t="n">
        <v>0.0385</v>
      </c>
    </row>
    <row r="1087">
      <c r="A1087" t="n">
        <v>1001085</v>
      </c>
      <c r="B1087" t="n">
        <v>1</v>
      </c>
      <c r="C1087" t="n">
        <v>1085</v>
      </c>
      <c r="D1087" t="n">
        <v>1</v>
      </c>
      <c r="E1087" t="n">
        <v>95.8516</v>
      </c>
      <c r="F1087" t="n">
        <v>0.0385</v>
      </c>
    </row>
    <row r="1088">
      <c r="A1088" t="n">
        <v>1001086</v>
      </c>
      <c r="B1088" t="n">
        <v>1</v>
      </c>
      <c r="C1088" t="n">
        <v>1086</v>
      </c>
      <c r="D1088" t="n">
        <v>1</v>
      </c>
      <c r="E1088" t="n">
        <v>95.8732</v>
      </c>
      <c r="F1088" t="n">
        <v>0.03851</v>
      </c>
    </row>
    <row r="1089">
      <c r="A1089" t="n">
        <v>1001087</v>
      </c>
      <c r="B1089" t="n">
        <v>1</v>
      </c>
      <c r="C1089" t="n">
        <v>1087</v>
      </c>
      <c r="D1089" t="n">
        <v>1</v>
      </c>
      <c r="E1089" t="n">
        <v>95.8948</v>
      </c>
      <c r="F1089" t="n">
        <v>0.03852</v>
      </c>
    </row>
    <row r="1090">
      <c r="A1090" t="n">
        <v>1001088</v>
      </c>
      <c r="B1090" t="n">
        <v>1</v>
      </c>
      <c r="C1090" t="n">
        <v>1088</v>
      </c>
      <c r="D1090" t="n">
        <v>1</v>
      </c>
      <c r="E1090" t="n">
        <v>95.9165</v>
      </c>
      <c r="F1090" t="n">
        <v>0.03853</v>
      </c>
    </row>
    <row r="1091">
      <c r="A1091" t="n">
        <v>1001089</v>
      </c>
      <c r="B1091" t="n">
        <v>1</v>
      </c>
      <c r="C1091" t="n">
        <v>1089</v>
      </c>
      <c r="D1091" t="n">
        <v>1</v>
      </c>
      <c r="E1091" t="n">
        <v>95.938</v>
      </c>
      <c r="F1091" t="n">
        <v>0.03853</v>
      </c>
    </row>
    <row r="1092">
      <c r="A1092" t="n">
        <v>1001090</v>
      </c>
      <c r="B1092" t="n">
        <v>1</v>
      </c>
      <c r="C1092" t="n">
        <v>1090</v>
      </c>
      <c r="D1092" t="n">
        <v>1</v>
      </c>
      <c r="E1092" t="n">
        <v>95.95959999999999</v>
      </c>
      <c r="F1092" t="n">
        <v>0.03854</v>
      </c>
    </row>
    <row r="1093">
      <c r="A1093" t="n">
        <v>1001091</v>
      </c>
      <c r="B1093" t="n">
        <v>1</v>
      </c>
      <c r="C1093" t="n">
        <v>1091</v>
      </c>
      <c r="D1093" t="n">
        <v>1</v>
      </c>
      <c r="E1093" t="n">
        <v>95.9812</v>
      </c>
      <c r="F1093" t="n">
        <v>0.03855</v>
      </c>
    </row>
    <row r="1094">
      <c r="A1094" t="n">
        <v>1001092</v>
      </c>
      <c r="B1094" t="n">
        <v>1</v>
      </c>
      <c r="C1094" t="n">
        <v>1092</v>
      </c>
      <c r="D1094" t="n">
        <v>1</v>
      </c>
      <c r="E1094" t="n">
        <v>96.00279999999999</v>
      </c>
      <c r="F1094" t="n">
        <v>0.03856</v>
      </c>
    </row>
    <row r="1095">
      <c r="A1095" t="n">
        <v>1001093</v>
      </c>
      <c r="B1095" t="n">
        <v>1</v>
      </c>
      <c r="C1095" t="n">
        <v>1093</v>
      </c>
      <c r="D1095" t="n">
        <v>1</v>
      </c>
      <c r="E1095" t="n">
        <v>96.0243</v>
      </c>
      <c r="F1095" t="n">
        <v>0.03856</v>
      </c>
    </row>
    <row r="1096">
      <c r="A1096" t="n">
        <v>1001094</v>
      </c>
      <c r="B1096" t="n">
        <v>1</v>
      </c>
      <c r="C1096" t="n">
        <v>1094</v>
      </c>
      <c r="D1096" t="n">
        <v>1</v>
      </c>
      <c r="E1096" t="n">
        <v>96.0459</v>
      </c>
      <c r="F1096" t="n">
        <v>0.03857</v>
      </c>
    </row>
    <row r="1097">
      <c r="A1097" t="n">
        <v>1001095</v>
      </c>
      <c r="B1097" t="n">
        <v>1</v>
      </c>
      <c r="C1097" t="n">
        <v>1095</v>
      </c>
      <c r="D1097" t="n">
        <v>1</v>
      </c>
      <c r="E1097" t="n">
        <v>96.06740000000001</v>
      </c>
      <c r="F1097" t="n">
        <v>0.03858</v>
      </c>
    </row>
    <row r="1098">
      <c r="A1098" t="n">
        <v>1001096</v>
      </c>
      <c r="B1098" t="n">
        <v>1</v>
      </c>
      <c r="C1098" t="n">
        <v>1096</v>
      </c>
      <c r="D1098" t="n">
        <v>1</v>
      </c>
      <c r="E1098" t="n">
        <v>96.0889</v>
      </c>
      <c r="F1098" t="n">
        <v>0.03858</v>
      </c>
    </row>
    <row r="1099">
      <c r="A1099" t="n">
        <v>1001097</v>
      </c>
      <c r="B1099" t="n">
        <v>1</v>
      </c>
      <c r="C1099" t="n">
        <v>1097</v>
      </c>
      <c r="D1099" t="n">
        <v>1</v>
      </c>
      <c r="E1099" t="n">
        <v>96.1104</v>
      </c>
      <c r="F1099" t="n">
        <v>0.03859</v>
      </c>
    </row>
    <row r="1100">
      <c r="A1100" t="n">
        <v>1001098</v>
      </c>
      <c r="B1100" t="n">
        <v>1</v>
      </c>
      <c r="C1100" t="n">
        <v>1098</v>
      </c>
      <c r="D1100" t="n">
        <v>1</v>
      </c>
      <c r="E1100" t="n">
        <v>96.1319</v>
      </c>
      <c r="F1100" t="n">
        <v>0.0386</v>
      </c>
    </row>
    <row r="1101">
      <c r="A1101" t="n">
        <v>1001099</v>
      </c>
      <c r="B1101" t="n">
        <v>1</v>
      </c>
      <c r="C1101" t="n">
        <v>1099</v>
      </c>
      <c r="D1101" t="n">
        <v>1</v>
      </c>
      <c r="E1101" t="n">
        <v>96.1534</v>
      </c>
      <c r="F1101" t="n">
        <v>0.03861</v>
      </c>
    </row>
    <row r="1102">
      <c r="A1102" t="n">
        <v>1001100</v>
      </c>
      <c r="B1102" t="n">
        <v>1</v>
      </c>
      <c r="C1102" t="n">
        <v>1100</v>
      </c>
      <c r="D1102" t="n">
        <v>1</v>
      </c>
      <c r="E1102" t="n">
        <v>96.17489999999999</v>
      </c>
      <c r="F1102" t="n">
        <v>0.03861</v>
      </c>
    </row>
    <row r="1103">
      <c r="A1103" t="n">
        <v>1001101</v>
      </c>
      <c r="B1103" t="n">
        <v>1</v>
      </c>
      <c r="C1103" t="n">
        <v>1101</v>
      </c>
      <c r="D1103" t="n">
        <v>1</v>
      </c>
      <c r="E1103" t="n">
        <v>96.1964</v>
      </c>
      <c r="F1103" t="n">
        <v>0.03862</v>
      </c>
    </row>
    <row r="1104">
      <c r="A1104" t="n">
        <v>1001102</v>
      </c>
      <c r="B1104" t="n">
        <v>1</v>
      </c>
      <c r="C1104" t="n">
        <v>1102</v>
      </c>
      <c r="D1104" t="n">
        <v>1</v>
      </c>
      <c r="E1104" t="n">
        <v>96.2178</v>
      </c>
      <c r="F1104" t="n">
        <v>0.03863</v>
      </c>
    </row>
    <row r="1105">
      <c r="A1105" t="n">
        <v>1001103</v>
      </c>
      <c r="B1105" t="n">
        <v>1</v>
      </c>
      <c r="C1105" t="n">
        <v>1103</v>
      </c>
      <c r="D1105" t="n">
        <v>1</v>
      </c>
      <c r="E1105" t="n">
        <v>96.2393</v>
      </c>
      <c r="F1105" t="n">
        <v>0.03863</v>
      </c>
    </row>
    <row r="1106">
      <c r="A1106" t="n">
        <v>1001104</v>
      </c>
      <c r="B1106" t="n">
        <v>1</v>
      </c>
      <c r="C1106" t="n">
        <v>1104</v>
      </c>
      <c r="D1106" t="n">
        <v>1</v>
      </c>
      <c r="E1106" t="n">
        <v>96.2607</v>
      </c>
      <c r="F1106" t="n">
        <v>0.03864</v>
      </c>
    </row>
    <row r="1107">
      <c r="A1107" t="n">
        <v>1001105</v>
      </c>
      <c r="B1107" t="n">
        <v>1</v>
      </c>
      <c r="C1107" t="n">
        <v>1105</v>
      </c>
      <c r="D1107" t="n">
        <v>1</v>
      </c>
      <c r="E1107" t="n">
        <v>96.2821</v>
      </c>
      <c r="F1107" t="n">
        <v>0.03865</v>
      </c>
    </row>
    <row r="1108">
      <c r="A1108" t="n">
        <v>1001106</v>
      </c>
      <c r="B1108" t="n">
        <v>1</v>
      </c>
      <c r="C1108" t="n">
        <v>1106</v>
      </c>
      <c r="D1108" t="n">
        <v>1</v>
      </c>
      <c r="E1108" t="n">
        <v>96.3035</v>
      </c>
      <c r="F1108" t="n">
        <v>0.03866</v>
      </c>
    </row>
    <row r="1109">
      <c r="A1109" t="n">
        <v>1001107</v>
      </c>
      <c r="B1109" t="n">
        <v>1</v>
      </c>
      <c r="C1109" t="n">
        <v>1107</v>
      </c>
      <c r="D1109" t="n">
        <v>1</v>
      </c>
      <c r="E1109" t="n">
        <v>96.325</v>
      </c>
      <c r="F1109" t="n">
        <v>0.03866</v>
      </c>
    </row>
    <row r="1110">
      <c r="A1110" t="n">
        <v>1001108</v>
      </c>
      <c r="B1110" t="n">
        <v>1</v>
      </c>
      <c r="C1110" t="n">
        <v>1108</v>
      </c>
      <c r="D1110" t="n">
        <v>1</v>
      </c>
      <c r="E1110" t="n">
        <v>96.3464</v>
      </c>
      <c r="F1110" t="n">
        <v>0.03867</v>
      </c>
    </row>
    <row r="1111">
      <c r="A1111" t="n">
        <v>1001109</v>
      </c>
      <c r="B1111" t="n">
        <v>1</v>
      </c>
      <c r="C1111" t="n">
        <v>1109</v>
      </c>
      <c r="D1111" t="n">
        <v>1</v>
      </c>
      <c r="E1111" t="n">
        <v>96.3677</v>
      </c>
      <c r="F1111" t="n">
        <v>0.03868</v>
      </c>
    </row>
    <row r="1112">
      <c r="A1112" t="n">
        <v>1001110</v>
      </c>
      <c r="B1112" t="n">
        <v>1</v>
      </c>
      <c r="C1112" t="n">
        <v>1110</v>
      </c>
      <c r="D1112" t="n">
        <v>1</v>
      </c>
      <c r="E1112" t="n">
        <v>96.3891</v>
      </c>
      <c r="F1112" t="n">
        <v>0.03868</v>
      </c>
    </row>
    <row r="1113">
      <c r="A1113" t="n">
        <v>1001111</v>
      </c>
      <c r="B1113" t="n">
        <v>1</v>
      </c>
      <c r="C1113" t="n">
        <v>1111</v>
      </c>
      <c r="D1113" t="n">
        <v>1</v>
      </c>
      <c r="E1113" t="n">
        <v>96.4105</v>
      </c>
      <c r="F1113" t="n">
        <v>0.03869</v>
      </c>
    </row>
    <row r="1114">
      <c r="A1114" t="n">
        <v>1001112</v>
      </c>
      <c r="B1114" t="n">
        <v>1</v>
      </c>
      <c r="C1114" t="n">
        <v>1112</v>
      </c>
      <c r="D1114" t="n">
        <v>1</v>
      </c>
      <c r="E1114" t="n">
        <v>96.4318</v>
      </c>
      <c r="F1114" t="n">
        <v>0.0387</v>
      </c>
    </row>
    <row r="1115">
      <c r="A1115" t="n">
        <v>1001113</v>
      </c>
      <c r="B1115" t="n">
        <v>1</v>
      </c>
      <c r="C1115" t="n">
        <v>1113</v>
      </c>
      <c r="D1115" t="n">
        <v>1</v>
      </c>
      <c r="E1115" t="n">
        <v>96.4532</v>
      </c>
      <c r="F1115" t="n">
        <v>0.0387</v>
      </c>
    </row>
    <row r="1116">
      <c r="A1116" t="n">
        <v>1001114</v>
      </c>
      <c r="B1116" t="n">
        <v>1</v>
      </c>
      <c r="C1116" t="n">
        <v>1114</v>
      </c>
      <c r="D1116" t="n">
        <v>1</v>
      </c>
      <c r="E1116" t="n">
        <v>96.47450000000001</v>
      </c>
      <c r="F1116" t="n">
        <v>0.03871</v>
      </c>
    </row>
    <row r="1117">
      <c r="A1117" t="n">
        <v>1001115</v>
      </c>
      <c r="B1117" t="n">
        <v>1</v>
      </c>
      <c r="C1117" t="n">
        <v>1115</v>
      </c>
      <c r="D1117" t="n">
        <v>1</v>
      </c>
      <c r="E1117" t="n">
        <v>96.4958</v>
      </c>
      <c r="F1117" t="n">
        <v>0.03872</v>
      </c>
    </row>
    <row r="1118">
      <c r="A1118" t="n">
        <v>1001116</v>
      </c>
      <c r="B1118" t="n">
        <v>1</v>
      </c>
      <c r="C1118" t="n">
        <v>1116</v>
      </c>
      <c r="D1118" t="n">
        <v>1</v>
      </c>
      <c r="E1118" t="n">
        <v>96.5172</v>
      </c>
      <c r="F1118" t="n">
        <v>0.03873</v>
      </c>
    </row>
    <row r="1119">
      <c r="A1119" t="n">
        <v>1001117</v>
      </c>
      <c r="B1119" t="n">
        <v>1</v>
      </c>
      <c r="C1119" t="n">
        <v>1117</v>
      </c>
      <c r="D1119" t="n">
        <v>1</v>
      </c>
      <c r="E1119" t="n">
        <v>96.5385</v>
      </c>
      <c r="F1119" t="n">
        <v>0.03873</v>
      </c>
    </row>
    <row r="1120">
      <c r="A1120" t="n">
        <v>1001118</v>
      </c>
      <c r="B1120" t="n">
        <v>1</v>
      </c>
      <c r="C1120" t="n">
        <v>1118</v>
      </c>
      <c r="D1120" t="n">
        <v>1</v>
      </c>
      <c r="E1120" t="n">
        <v>96.5598</v>
      </c>
      <c r="F1120" t="n">
        <v>0.03874</v>
      </c>
    </row>
    <row r="1121">
      <c r="A1121" t="n">
        <v>1001119</v>
      </c>
      <c r="B1121" t="n">
        <v>1</v>
      </c>
      <c r="C1121" t="n">
        <v>1119</v>
      </c>
      <c r="D1121" t="n">
        <v>1</v>
      </c>
      <c r="E1121" t="n">
        <v>96.581</v>
      </c>
      <c r="F1121" t="n">
        <v>0.03875</v>
      </c>
    </row>
    <row r="1122">
      <c r="A1122" t="n">
        <v>1001120</v>
      </c>
      <c r="B1122" t="n">
        <v>1</v>
      </c>
      <c r="C1122" t="n">
        <v>1120</v>
      </c>
      <c r="D1122" t="n">
        <v>1</v>
      </c>
      <c r="E1122" t="n">
        <v>96.6023</v>
      </c>
      <c r="F1122" t="n">
        <v>0.03875</v>
      </c>
    </row>
    <row r="1123">
      <c r="A1123" t="n">
        <v>1001121</v>
      </c>
      <c r="B1123" t="n">
        <v>1</v>
      </c>
      <c r="C1123" t="n">
        <v>1121</v>
      </c>
      <c r="D1123" t="n">
        <v>1</v>
      </c>
      <c r="E1123" t="n">
        <v>96.6236</v>
      </c>
      <c r="F1123" t="n">
        <v>0.03876</v>
      </c>
    </row>
    <row r="1124">
      <c r="A1124" t="n">
        <v>1001122</v>
      </c>
      <c r="B1124" t="n">
        <v>1</v>
      </c>
      <c r="C1124" t="n">
        <v>1122</v>
      </c>
      <c r="D1124" t="n">
        <v>1</v>
      </c>
      <c r="E1124" t="n">
        <v>96.6448</v>
      </c>
      <c r="F1124" t="n">
        <v>0.03877</v>
      </c>
    </row>
    <row r="1125">
      <c r="A1125" t="n">
        <v>1001123</v>
      </c>
      <c r="B1125" t="n">
        <v>1</v>
      </c>
      <c r="C1125" t="n">
        <v>1123</v>
      </c>
      <c r="D1125" t="n">
        <v>1</v>
      </c>
      <c r="E1125" t="n">
        <v>96.6661</v>
      </c>
      <c r="F1125" t="n">
        <v>0.03877</v>
      </c>
    </row>
    <row r="1126">
      <c r="A1126" t="n">
        <v>1001124</v>
      </c>
      <c r="B1126" t="n">
        <v>1</v>
      </c>
      <c r="C1126" t="n">
        <v>1124</v>
      </c>
      <c r="D1126" t="n">
        <v>1</v>
      </c>
      <c r="E1126" t="n">
        <v>96.68729999999999</v>
      </c>
      <c r="F1126" t="n">
        <v>0.03878</v>
      </c>
    </row>
    <row r="1127">
      <c r="A1127" t="n">
        <v>1001125</v>
      </c>
      <c r="B1127" t="n">
        <v>1</v>
      </c>
      <c r="C1127" t="n">
        <v>1125</v>
      </c>
      <c r="D1127" t="n">
        <v>1</v>
      </c>
      <c r="E1127" t="n">
        <v>96.7085</v>
      </c>
      <c r="F1127" t="n">
        <v>0.03879</v>
      </c>
    </row>
    <row r="1128">
      <c r="A1128" t="n">
        <v>1001126</v>
      </c>
      <c r="B1128" t="n">
        <v>1</v>
      </c>
      <c r="C1128" t="n">
        <v>1126</v>
      </c>
      <c r="D1128" t="n">
        <v>1</v>
      </c>
      <c r="E1128" t="n">
        <v>96.7298</v>
      </c>
      <c r="F1128" t="n">
        <v>0.03879</v>
      </c>
    </row>
    <row r="1129">
      <c r="A1129" t="n">
        <v>1001127</v>
      </c>
      <c r="B1129" t="n">
        <v>1</v>
      </c>
      <c r="C1129" t="n">
        <v>1127</v>
      </c>
      <c r="D1129" t="n">
        <v>1</v>
      </c>
      <c r="E1129" t="n">
        <v>96.751</v>
      </c>
      <c r="F1129" t="n">
        <v>0.0388</v>
      </c>
    </row>
    <row r="1130">
      <c r="A1130" t="n">
        <v>1001128</v>
      </c>
      <c r="B1130" t="n">
        <v>1</v>
      </c>
      <c r="C1130" t="n">
        <v>1128</v>
      </c>
      <c r="D1130" t="n">
        <v>1</v>
      </c>
      <c r="E1130" t="n">
        <v>96.7722</v>
      </c>
      <c r="F1130" t="n">
        <v>0.03881</v>
      </c>
    </row>
    <row r="1131">
      <c r="A1131" t="n">
        <v>1001129</v>
      </c>
      <c r="B1131" t="n">
        <v>1</v>
      </c>
      <c r="C1131" t="n">
        <v>1129</v>
      </c>
      <c r="D1131" t="n">
        <v>1</v>
      </c>
      <c r="E1131" t="n">
        <v>96.7933</v>
      </c>
      <c r="F1131" t="n">
        <v>0.03881</v>
      </c>
    </row>
    <row r="1132">
      <c r="A1132" t="n">
        <v>1001130</v>
      </c>
      <c r="B1132" t="n">
        <v>1</v>
      </c>
      <c r="C1132" t="n">
        <v>1130</v>
      </c>
      <c r="D1132" t="n">
        <v>1</v>
      </c>
      <c r="E1132" t="n">
        <v>96.8145</v>
      </c>
      <c r="F1132" t="n">
        <v>0.03882</v>
      </c>
    </row>
    <row r="1133">
      <c r="A1133" t="n">
        <v>1001131</v>
      </c>
      <c r="B1133" t="n">
        <v>1</v>
      </c>
      <c r="C1133" t="n">
        <v>1131</v>
      </c>
      <c r="D1133" t="n">
        <v>1</v>
      </c>
      <c r="E1133" t="n">
        <v>96.8357</v>
      </c>
      <c r="F1133" t="n">
        <v>0.03883</v>
      </c>
    </row>
    <row r="1134">
      <c r="A1134" t="n">
        <v>1001132</v>
      </c>
      <c r="B1134" t="n">
        <v>1</v>
      </c>
      <c r="C1134" t="n">
        <v>1132</v>
      </c>
      <c r="D1134" t="n">
        <v>1</v>
      </c>
      <c r="E1134" t="n">
        <v>96.85680000000001</v>
      </c>
      <c r="F1134" t="n">
        <v>0.03883</v>
      </c>
    </row>
    <row r="1135">
      <c r="A1135" t="n">
        <v>1001133</v>
      </c>
      <c r="B1135" t="n">
        <v>1</v>
      </c>
      <c r="C1135" t="n">
        <v>1133</v>
      </c>
      <c r="D1135" t="n">
        <v>1</v>
      </c>
      <c r="E1135" t="n">
        <v>96.878</v>
      </c>
      <c r="F1135" t="n">
        <v>0.03884</v>
      </c>
    </row>
    <row r="1136">
      <c r="A1136" t="n">
        <v>1001134</v>
      </c>
      <c r="B1136" t="n">
        <v>1</v>
      </c>
      <c r="C1136" t="n">
        <v>1134</v>
      </c>
      <c r="D1136" t="n">
        <v>1</v>
      </c>
      <c r="E1136" t="n">
        <v>96.8991</v>
      </c>
      <c r="F1136" t="n">
        <v>0.03885</v>
      </c>
    </row>
    <row r="1137">
      <c r="A1137" t="n">
        <v>1001135</v>
      </c>
      <c r="B1137" t="n">
        <v>1</v>
      </c>
      <c r="C1137" t="n">
        <v>1135</v>
      </c>
      <c r="D1137" t="n">
        <v>1</v>
      </c>
      <c r="E1137" t="n">
        <v>96.9203</v>
      </c>
      <c r="F1137" t="n">
        <v>0.03885</v>
      </c>
    </row>
    <row r="1138">
      <c r="A1138" t="n">
        <v>1001136</v>
      </c>
      <c r="B1138" t="n">
        <v>1</v>
      </c>
      <c r="C1138" t="n">
        <v>1136</v>
      </c>
      <c r="D1138" t="n">
        <v>1</v>
      </c>
      <c r="E1138" t="n">
        <v>96.9414</v>
      </c>
      <c r="F1138" t="n">
        <v>0.03886</v>
      </c>
    </row>
    <row r="1139">
      <c r="A1139" t="n">
        <v>1001137</v>
      </c>
      <c r="B1139" t="n">
        <v>1</v>
      </c>
      <c r="C1139" t="n">
        <v>1137</v>
      </c>
      <c r="D1139" t="n">
        <v>1</v>
      </c>
      <c r="E1139" t="n">
        <v>96.96250000000001</v>
      </c>
      <c r="F1139" t="n">
        <v>0.03887</v>
      </c>
    </row>
    <row r="1140">
      <c r="A1140" t="n">
        <v>1001138</v>
      </c>
      <c r="B1140" t="n">
        <v>1</v>
      </c>
      <c r="C1140" t="n">
        <v>1138</v>
      </c>
      <c r="D1140" t="n">
        <v>1</v>
      </c>
      <c r="E1140" t="n">
        <v>96.9836</v>
      </c>
      <c r="F1140" t="n">
        <v>0.03887</v>
      </c>
    </row>
    <row r="1141">
      <c r="A1141" t="n">
        <v>1001139</v>
      </c>
      <c r="B1141" t="n">
        <v>1</v>
      </c>
      <c r="C1141" t="n">
        <v>1139</v>
      </c>
      <c r="D1141" t="n">
        <v>1</v>
      </c>
      <c r="E1141" t="n">
        <v>97.0047</v>
      </c>
      <c r="F1141" t="n">
        <v>0.03888</v>
      </c>
    </row>
    <row r="1142">
      <c r="A1142" t="n">
        <v>1001140</v>
      </c>
      <c r="B1142" t="n">
        <v>1</v>
      </c>
      <c r="C1142" t="n">
        <v>1140</v>
      </c>
      <c r="D1142" t="n">
        <v>1</v>
      </c>
      <c r="E1142" t="n">
        <v>97.0258</v>
      </c>
      <c r="F1142" t="n">
        <v>0.03889</v>
      </c>
    </row>
    <row r="1143">
      <c r="A1143" t="n">
        <v>1001141</v>
      </c>
      <c r="B1143" t="n">
        <v>1</v>
      </c>
      <c r="C1143" t="n">
        <v>1141</v>
      </c>
      <c r="D1143" t="n">
        <v>1</v>
      </c>
      <c r="E1143" t="n">
        <v>97.0468</v>
      </c>
      <c r="F1143" t="n">
        <v>0.03889</v>
      </c>
    </row>
    <row r="1144">
      <c r="A1144" t="n">
        <v>1001142</v>
      </c>
      <c r="B1144" t="n">
        <v>1</v>
      </c>
      <c r="C1144" t="n">
        <v>1142</v>
      </c>
      <c r="D1144" t="n">
        <v>1</v>
      </c>
      <c r="E1144" t="n">
        <v>97.06789999999999</v>
      </c>
      <c r="F1144" t="n">
        <v>0.0389</v>
      </c>
    </row>
    <row r="1145">
      <c r="A1145" t="n">
        <v>1001143</v>
      </c>
      <c r="B1145" t="n">
        <v>1</v>
      </c>
      <c r="C1145" t="n">
        <v>1143</v>
      </c>
      <c r="D1145" t="n">
        <v>1</v>
      </c>
      <c r="E1145" t="n">
        <v>97.0889</v>
      </c>
      <c r="F1145" t="n">
        <v>0.03891</v>
      </c>
    </row>
    <row r="1146">
      <c r="A1146" t="n">
        <v>1001144</v>
      </c>
      <c r="B1146" t="n">
        <v>1</v>
      </c>
      <c r="C1146" t="n">
        <v>1144</v>
      </c>
      <c r="D1146" t="n">
        <v>1</v>
      </c>
      <c r="E1146" t="n">
        <v>97.11</v>
      </c>
      <c r="F1146" t="n">
        <v>0.03891</v>
      </c>
    </row>
    <row r="1147">
      <c r="A1147" t="n">
        <v>1001145</v>
      </c>
      <c r="B1147" t="n">
        <v>1</v>
      </c>
      <c r="C1147" t="n">
        <v>1145</v>
      </c>
      <c r="D1147" t="n">
        <v>1</v>
      </c>
      <c r="E1147" t="n">
        <v>97.131</v>
      </c>
      <c r="F1147" t="n">
        <v>0.03892</v>
      </c>
    </row>
    <row r="1148">
      <c r="A1148" t="n">
        <v>1001146</v>
      </c>
      <c r="B1148" t="n">
        <v>1</v>
      </c>
      <c r="C1148" t="n">
        <v>1146</v>
      </c>
      <c r="D1148" t="n">
        <v>1</v>
      </c>
      <c r="E1148" t="n">
        <v>97.1521</v>
      </c>
      <c r="F1148" t="n">
        <v>0.03893</v>
      </c>
    </row>
    <row r="1149">
      <c r="A1149" t="n">
        <v>1001147</v>
      </c>
      <c r="B1149" t="n">
        <v>1</v>
      </c>
      <c r="C1149" t="n">
        <v>1147</v>
      </c>
      <c r="D1149" t="n">
        <v>1</v>
      </c>
      <c r="E1149" t="n">
        <v>97.17310000000001</v>
      </c>
      <c r="F1149" t="n">
        <v>0.03893</v>
      </c>
    </row>
    <row r="1150">
      <c r="A1150" t="n">
        <v>1001148</v>
      </c>
      <c r="B1150" t="n">
        <v>1</v>
      </c>
      <c r="C1150" t="n">
        <v>1148</v>
      </c>
      <c r="D1150" t="n">
        <v>1</v>
      </c>
      <c r="E1150" t="n">
        <v>97.19410000000001</v>
      </c>
      <c r="F1150" t="n">
        <v>0.03894</v>
      </c>
    </row>
    <row r="1151">
      <c r="A1151" t="n">
        <v>1001149</v>
      </c>
      <c r="B1151" t="n">
        <v>1</v>
      </c>
      <c r="C1151" t="n">
        <v>1149</v>
      </c>
      <c r="D1151" t="n">
        <v>1</v>
      </c>
      <c r="E1151" t="n">
        <v>97.21510000000001</v>
      </c>
      <c r="F1151" t="n">
        <v>0.03895</v>
      </c>
    </row>
    <row r="1152">
      <c r="A1152" t="n">
        <v>1001150</v>
      </c>
      <c r="B1152" t="n">
        <v>1</v>
      </c>
      <c r="C1152" t="n">
        <v>1150</v>
      </c>
      <c r="D1152" t="n">
        <v>1</v>
      </c>
      <c r="E1152" t="n">
        <v>97.23609999999999</v>
      </c>
      <c r="F1152" t="n">
        <v>0.03895</v>
      </c>
    </row>
    <row r="1153">
      <c r="A1153" t="n">
        <v>1001151</v>
      </c>
      <c r="B1153" t="n">
        <v>1</v>
      </c>
      <c r="C1153" t="n">
        <v>1151</v>
      </c>
      <c r="D1153" t="n">
        <v>1</v>
      </c>
      <c r="E1153" t="n">
        <v>97.25700000000001</v>
      </c>
      <c r="F1153" t="n">
        <v>0.03896</v>
      </c>
    </row>
    <row r="1154">
      <c r="A1154" t="n">
        <v>1001152</v>
      </c>
      <c r="B1154" t="n">
        <v>1</v>
      </c>
      <c r="C1154" t="n">
        <v>1152</v>
      </c>
      <c r="D1154" t="n">
        <v>1</v>
      </c>
      <c r="E1154" t="n">
        <v>97.27800000000001</v>
      </c>
      <c r="F1154" t="n">
        <v>0.03897</v>
      </c>
    </row>
    <row r="1155">
      <c r="A1155" t="n">
        <v>1001153</v>
      </c>
      <c r="B1155" t="n">
        <v>1</v>
      </c>
      <c r="C1155" t="n">
        <v>1153</v>
      </c>
      <c r="D1155" t="n">
        <v>1</v>
      </c>
      <c r="E1155" t="n">
        <v>97.29900000000001</v>
      </c>
      <c r="F1155" t="n">
        <v>0.03897</v>
      </c>
    </row>
    <row r="1156">
      <c r="A1156" t="n">
        <v>1001154</v>
      </c>
      <c r="B1156" t="n">
        <v>1</v>
      </c>
      <c r="C1156" t="n">
        <v>1154</v>
      </c>
      <c r="D1156" t="n">
        <v>1</v>
      </c>
      <c r="E1156" t="n">
        <v>97.3199</v>
      </c>
      <c r="F1156" t="n">
        <v>0.03898</v>
      </c>
    </row>
    <row r="1157">
      <c r="A1157" t="n">
        <v>1001155</v>
      </c>
      <c r="B1157" t="n">
        <v>1</v>
      </c>
      <c r="C1157" t="n">
        <v>1155</v>
      </c>
      <c r="D1157" t="n">
        <v>1</v>
      </c>
      <c r="E1157" t="n">
        <v>97.3409</v>
      </c>
      <c r="F1157" t="n">
        <v>0.03899</v>
      </c>
    </row>
    <row r="1158">
      <c r="A1158" t="n">
        <v>1001156</v>
      </c>
      <c r="B1158" t="n">
        <v>1</v>
      </c>
      <c r="C1158" t="n">
        <v>1156</v>
      </c>
      <c r="D1158" t="n">
        <v>1</v>
      </c>
      <c r="E1158" t="n">
        <v>97.3618</v>
      </c>
      <c r="F1158" t="n">
        <v>0.03899</v>
      </c>
    </row>
    <row r="1159">
      <c r="A1159" t="n">
        <v>1001157</v>
      </c>
      <c r="B1159" t="n">
        <v>1</v>
      </c>
      <c r="C1159" t="n">
        <v>1157</v>
      </c>
      <c r="D1159" t="n">
        <v>1</v>
      </c>
      <c r="E1159" t="n">
        <v>97.3827</v>
      </c>
      <c r="F1159" t="n">
        <v>0.039</v>
      </c>
    </row>
    <row r="1160">
      <c r="A1160" t="n">
        <v>1001158</v>
      </c>
      <c r="B1160" t="n">
        <v>1</v>
      </c>
      <c r="C1160" t="n">
        <v>1158</v>
      </c>
      <c r="D1160" t="n">
        <v>1</v>
      </c>
      <c r="E1160" t="n">
        <v>97.4036</v>
      </c>
      <c r="F1160" t="n">
        <v>0.03901</v>
      </c>
    </row>
    <row r="1161">
      <c r="A1161" t="n">
        <v>1001159</v>
      </c>
      <c r="B1161" t="n">
        <v>1</v>
      </c>
      <c r="C1161" t="n">
        <v>1159</v>
      </c>
      <c r="D1161" t="n">
        <v>1</v>
      </c>
      <c r="E1161" t="n">
        <v>97.42449999999999</v>
      </c>
      <c r="F1161" t="n">
        <v>0.03901</v>
      </c>
    </row>
    <row r="1162">
      <c r="A1162" t="n">
        <v>1001160</v>
      </c>
      <c r="B1162" t="n">
        <v>1</v>
      </c>
      <c r="C1162" t="n">
        <v>1160</v>
      </c>
      <c r="D1162" t="n">
        <v>1</v>
      </c>
      <c r="E1162" t="n">
        <v>97.44540000000001</v>
      </c>
      <c r="F1162" t="n">
        <v>0.03902</v>
      </c>
    </row>
    <row r="1163">
      <c r="A1163" t="n">
        <v>1001161</v>
      </c>
      <c r="B1163" t="n">
        <v>1</v>
      </c>
      <c r="C1163" t="n">
        <v>1161</v>
      </c>
      <c r="D1163" t="n">
        <v>1</v>
      </c>
      <c r="E1163" t="n">
        <v>97.4663</v>
      </c>
      <c r="F1163" t="n">
        <v>0.03902</v>
      </c>
    </row>
    <row r="1164">
      <c r="A1164" t="n">
        <v>1001162</v>
      </c>
      <c r="B1164" t="n">
        <v>1</v>
      </c>
      <c r="C1164" t="n">
        <v>1162</v>
      </c>
      <c r="D1164" t="n">
        <v>1</v>
      </c>
      <c r="E1164" t="n">
        <v>97.4872</v>
      </c>
      <c r="F1164" t="n">
        <v>0.03903</v>
      </c>
    </row>
    <row r="1165">
      <c r="A1165" t="n">
        <v>1001163</v>
      </c>
      <c r="B1165" t="n">
        <v>1</v>
      </c>
      <c r="C1165" t="n">
        <v>1163</v>
      </c>
      <c r="D1165" t="n">
        <v>1</v>
      </c>
      <c r="E1165" t="n">
        <v>97.5081</v>
      </c>
      <c r="F1165" t="n">
        <v>0.03904</v>
      </c>
    </row>
    <row r="1166">
      <c r="A1166" t="n">
        <v>1001164</v>
      </c>
      <c r="B1166" t="n">
        <v>1</v>
      </c>
      <c r="C1166" t="n">
        <v>1164</v>
      </c>
      <c r="D1166" t="n">
        <v>1</v>
      </c>
      <c r="E1166" t="n">
        <v>97.52889999999999</v>
      </c>
      <c r="F1166" t="n">
        <v>0.03904</v>
      </c>
    </row>
    <row r="1167">
      <c r="A1167" t="n">
        <v>1001165</v>
      </c>
      <c r="B1167" t="n">
        <v>1</v>
      </c>
      <c r="C1167" t="n">
        <v>1165</v>
      </c>
      <c r="D1167" t="n">
        <v>1</v>
      </c>
      <c r="E1167" t="n">
        <v>97.5498</v>
      </c>
      <c r="F1167" t="n">
        <v>0.03905</v>
      </c>
    </row>
    <row r="1168">
      <c r="A1168" t="n">
        <v>1001166</v>
      </c>
      <c r="B1168" t="n">
        <v>1</v>
      </c>
      <c r="C1168" t="n">
        <v>1166</v>
      </c>
      <c r="D1168" t="n">
        <v>1</v>
      </c>
      <c r="E1168" t="n">
        <v>97.5706</v>
      </c>
      <c r="F1168" t="n">
        <v>0.03906</v>
      </c>
    </row>
    <row r="1169">
      <c r="A1169" t="n">
        <v>1001167</v>
      </c>
      <c r="B1169" t="n">
        <v>1</v>
      </c>
      <c r="C1169" t="n">
        <v>1167</v>
      </c>
      <c r="D1169" t="n">
        <v>1</v>
      </c>
      <c r="E1169" t="n">
        <v>97.59139999999999</v>
      </c>
      <c r="F1169" t="n">
        <v>0.03906</v>
      </c>
    </row>
    <row r="1170">
      <c r="A1170" t="n">
        <v>1001168</v>
      </c>
      <c r="B1170" t="n">
        <v>1</v>
      </c>
      <c r="C1170" t="n">
        <v>1168</v>
      </c>
      <c r="D1170" t="n">
        <v>1</v>
      </c>
      <c r="E1170" t="n">
        <v>97.6123</v>
      </c>
      <c r="F1170" t="n">
        <v>0.03907</v>
      </c>
    </row>
    <row r="1171">
      <c r="A1171" t="n">
        <v>1001169</v>
      </c>
      <c r="B1171" t="n">
        <v>1</v>
      </c>
      <c r="C1171" t="n">
        <v>1169</v>
      </c>
      <c r="D1171" t="n">
        <v>1</v>
      </c>
      <c r="E1171" t="n">
        <v>97.6331</v>
      </c>
      <c r="F1171" t="n">
        <v>0.03908</v>
      </c>
    </row>
    <row r="1172">
      <c r="A1172" t="n">
        <v>1001170</v>
      </c>
      <c r="B1172" t="n">
        <v>1</v>
      </c>
      <c r="C1172" t="n">
        <v>1170</v>
      </c>
      <c r="D1172" t="n">
        <v>1</v>
      </c>
      <c r="E1172" t="n">
        <v>97.65389999999999</v>
      </c>
      <c r="F1172" t="n">
        <v>0.03908</v>
      </c>
    </row>
    <row r="1173">
      <c r="A1173" t="n">
        <v>1001171</v>
      </c>
      <c r="B1173" t="n">
        <v>1</v>
      </c>
      <c r="C1173" t="n">
        <v>1171</v>
      </c>
      <c r="D1173" t="n">
        <v>1</v>
      </c>
      <c r="E1173" t="n">
        <v>97.6747</v>
      </c>
      <c r="F1173" t="n">
        <v>0.03909</v>
      </c>
    </row>
    <row r="1174">
      <c r="A1174" t="n">
        <v>1001172</v>
      </c>
      <c r="B1174" t="n">
        <v>1</v>
      </c>
      <c r="C1174" t="n">
        <v>1172</v>
      </c>
      <c r="D1174" t="n">
        <v>1</v>
      </c>
      <c r="E1174" t="n">
        <v>97.69540000000001</v>
      </c>
      <c r="F1174" t="n">
        <v>0.03909</v>
      </c>
    </row>
    <row r="1175">
      <c r="A1175" t="n">
        <v>1001173</v>
      </c>
      <c r="B1175" t="n">
        <v>1</v>
      </c>
      <c r="C1175" t="n">
        <v>1173</v>
      </c>
      <c r="D1175" t="n">
        <v>1</v>
      </c>
      <c r="E1175" t="n">
        <v>97.7162</v>
      </c>
      <c r="F1175" t="n">
        <v>0.0391</v>
      </c>
    </row>
    <row r="1176">
      <c r="A1176" t="n">
        <v>1001174</v>
      </c>
      <c r="B1176" t="n">
        <v>1</v>
      </c>
      <c r="C1176" t="n">
        <v>1174</v>
      </c>
      <c r="D1176" t="n">
        <v>1</v>
      </c>
      <c r="E1176" t="n">
        <v>97.73699999999999</v>
      </c>
      <c r="F1176" t="n">
        <v>0.03911</v>
      </c>
    </row>
    <row r="1177">
      <c r="A1177" t="n">
        <v>1001175</v>
      </c>
      <c r="B1177" t="n">
        <v>1</v>
      </c>
      <c r="C1177" t="n">
        <v>1175</v>
      </c>
      <c r="D1177" t="n">
        <v>1</v>
      </c>
      <c r="E1177" t="n">
        <v>97.7577</v>
      </c>
      <c r="F1177" t="n">
        <v>0.03911</v>
      </c>
    </row>
    <row r="1178">
      <c r="A1178" t="n">
        <v>1001176</v>
      </c>
      <c r="B1178" t="n">
        <v>1</v>
      </c>
      <c r="C1178" t="n">
        <v>1176</v>
      </c>
      <c r="D1178" t="n">
        <v>1</v>
      </c>
      <c r="E1178" t="n">
        <v>97.77849999999999</v>
      </c>
      <c r="F1178" t="n">
        <v>0.03912</v>
      </c>
    </row>
    <row r="1179">
      <c r="A1179" t="n">
        <v>1001177</v>
      </c>
      <c r="B1179" t="n">
        <v>1</v>
      </c>
      <c r="C1179" t="n">
        <v>1177</v>
      </c>
      <c r="D1179" t="n">
        <v>1</v>
      </c>
      <c r="E1179" t="n">
        <v>97.7992</v>
      </c>
      <c r="F1179" t="n">
        <v>0.03913</v>
      </c>
    </row>
    <row r="1180">
      <c r="A1180" t="n">
        <v>1001178</v>
      </c>
      <c r="B1180" t="n">
        <v>1</v>
      </c>
      <c r="C1180" t="n">
        <v>1178</v>
      </c>
      <c r="D1180" t="n">
        <v>1</v>
      </c>
      <c r="E1180" t="n">
        <v>97.8199</v>
      </c>
      <c r="F1180" t="n">
        <v>0.03913</v>
      </c>
    </row>
    <row r="1181">
      <c r="A1181" t="n">
        <v>1001179</v>
      </c>
      <c r="B1181" t="n">
        <v>1</v>
      </c>
      <c r="C1181" t="n">
        <v>1179</v>
      </c>
      <c r="D1181" t="n">
        <v>1</v>
      </c>
      <c r="E1181" t="n">
        <v>97.84059999999999</v>
      </c>
      <c r="F1181" t="n">
        <v>0.03914</v>
      </c>
    </row>
    <row r="1182">
      <c r="A1182" t="n">
        <v>1001180</v>
      </c>
      <c r="B1182" t="n">
        <v>1</v>
      </c>
      <c r="C1182" t="n">
        <v>1180</v>
      </c>
      <c r="D1182" t="n">
        <v>1</v>
      </c>
      <c r="E1182" t="n">
        <v>97.8614</v>
      </c>
      <c r="F1182" t="n">
        <v>0.03914</v>
      </c>
    </row>
    <row r="1183">
      <c r="A1183" t="n">
        <v>1001181</v>
      </c>
      <c r="B1183" t="n">
        <v>1</v>
      </c>
      <c r="C1183" t="n">
        <v>1181</v>
      </c>
      <c r="D1183" t="n">
        <v>1</v>
      </c>
      <c r="E1183" t="n">
        <v>97.88209999999999</v>
      </c>
      <c r="F1183" t="n">
        <v>0.03915</v>
      </c>
    </row>
    <row r="1184">
      <c r="A1184" t="n">
        <v>1001182</v>
      </c>
      <c r="B1184" t="n">
        <v>1</v>
      </c>
      <c r="C1184" t="n">
        <v>1182</v>
      </c>
      <c r="D1184" t="n">
        <v>1</v>
      </c>
      <c r="E1184" t="n">
        <v>97.9027</v>
      </c>
      <c r="F1184" t="n">
        <v>0.03916</v>
      </c>
    </row>
    <row r="1185">
      <c r="A1185" t="n">
        <v>1001183</v>
      </c>
      <c r="B1185" t="n">
        <v>1</v>
      </c>
      <c r="C1185" t="n">
        <v>1183</v>
      </c>
      <c r="D1185" t="n">
        <v>1</v>
      </c>
      <c r="E1185" t="n">
        <v>97.9234</v>
      </c>
      <c r="F1185" t="n">
        <v>0.03916</v>
      </c>
    </row>
    <row r="1186">
      <c r="A1186" t="n">
        <v>1001184</v>
      </c>
      <c r="B1186" t="n">
        <v>1</v>
      </c>
      <c r="C1186" t="n">
        <v>1184</v>
      </c>
      <c r="D1186" t="n">
        <v>1</v>
      </c>
      <c r="E1186" t="n">
        <v>97.94410000000001</v>
      </c>
      <c r="F1186" t="n">
        <v>0.03917</v>
      </c>
    </row>
    <row r="1187">
      <c r="A1187" t="n">
        <v>1001185</v>
      </c>
      <c r="B1187" t="n">
        <v>1</v>
      </c>
      <c r="C1187" t="n">
        <v>1185</v>
      </c>
      <c r="D1187" t="n">
        <v>1</v>
      </c>
      <c r="E1187" t="n">
        <v>97.96469999999999</v>
      </c>
      <c r="F1187" t="n">
        <v>0.03917</v>
      </c>
    </row>
    <row r="1188">
      <c r="A1188" t="n">
        <v>1001186</v>
      </c>
      <c r="B1188" t="n">
        <v>1</v>
      </c>
      <c r="C1188" t="n">
        <v>1186</v>
      </c>
      <c r="D1188" t="n">
        <v>1</v>
      </c>
      <c r="E1188" t="n">
        <v>97.9854</v>
      </c>
      <c r="F1188" t="n">
        <v>0.03918</v>
      </c>
    </row>
    <row r="1189">
      <c r="A1189" t="n">
        <v>1001187</v>
      </c>
      <c r="B1189" t="n">
        <v>1</v>
      </c>
      <c r="C1189" t="n">
        <v>1187</v>
      </c>
      <c r="D1189" t="n">
        <v>1</v>
      </c>
      <c r="E1189" t="n">
        <v>98.006</v>
      </c>
      <c r="F1189" t="n">
        <v>0.03919</v>
      </c>
    </row>
    <row r="1190">
      <c r="A1190" t="n">
        <v>1001188</v>
      </c>
      <c r="B1190" t="n">
        <v>1</v>
      </c>
      <c r="C1190" t="n">
        <v>1188</v>
      </c>
      <c r="D1190" t="n">
        <v>1</v>
      </c>
      <c r="E1190" t="n">
        <v>98.02670000000001</v>
      </c>
      <c r="F1190" t="n">
        <v>0.03919</v>
      </c>
    </row>
    <row r="1191">
      <c r="A1191" t="n">
        <v>1001189</v>
      </c>
      <c r="B1191" t="n">
        <v>1</v>
      </c>
      <c r="C1191" t="n">
        <v>1189</v>
      </c>
      <c r="D1191" t="n">
        <v>1</v>
      </c>
      <c r="E1191" t="n">
        <v>98.04730000000001</v>
      </c>
      <c r="F1191" t="n">
        <v>0.0392</v>
      </c>
    </row>
    <row r="1192">
      <c r="A1192" t="n">
        <v>1001190</v>
      </c>
      <c r="B1192" t="n">
        <v>1</v>
      </c>
      <c r="C1192" t="n">
        <v>1190</v>
      </c>
      <c r="D1192" t="n">
        <v>1</v>
      </c>
      <c r="E1192" t="n">
        <v>98.06789999999999</v>
      </c>
      <c r="F1192" t="n">
        <v>0.0392</v>
      </c>
    </row>
    <row r="1193">
      <c r="A1193" t="n">
        <v>1001191</v>
      </c>
      <c r="B1193" t="n">
        <v>1</v>
      </c>
      <c r="C1193" t="n">
        <v>1191</v>
      </c>
      <c r="D1193" t="n">
        <v>1</v>
      </c>
      <c r="E1193" t="n">
        <v>98.0885</v>
      </c>
      <c r="F1193" t="n">
        <v>0.03921</v>
      </c>
    </row>
    <row r="1194">
      <c r="A1194" t="n">
        <v>1001192</v>
      </c>
      <c r="B1194" t="n">
        <v>1</v>
      </c>
      <c r="C1194" t="n">
        <v>1192</v>
      </c>
      <c r="D1194" t="n">
        <v>1</v>
      </c>
      <c r="E1194" t="n">
        <v>98.1091</v>
      </c>
      <c r="F1194" t="n">
        <v>0.03922</v>
      </c>
    </row>
    <row r="1195">
      <c r="A1195" t="n">
        <v>1001193</v>
      </c>
      <c r="B1195" t="n">
        <v>1</v>
      </c>
      <c r="C1195" t="n">
        <v>1193</v>
      </c>
      <c r="D1195" t="n">
        <v>1</v>
      </c>
      <c r="E1195" t="n">
        <v>98.1297</v>
      </c>
      <c r="F1195" t="n">
        <v>0.03922</v>
      </c>
    </row>
    <row r="1196">
      <c r="A1196" t="n">
        <v>1001194</v>
      </c>
      <c r="B1196" t="n">
        <v>1</v>
      </c>
      <c r="C1196" t="n">
        <v>1194</v>
      </c>
      <c r="D1196" t="n">
        <v>1</v>
      </c>
      <c r="E1196" t="n">
        <v>98.1503</v>
      </c>
      <c r="F1196" t="n">
        <v>0.03923</v>
      </c>
    </row>
    <row r="1197">
      <c r="A1197" t="n">
        <v>1001195</v>
      </c>
      <c r="B1197" t="n">
        <v>1</v>
      </c>
      <c r="C1197" t="n">
        <v>1195</v>
      </c>
      <c r="D1197" t="n">
        <v>1</v>
      </c>
      <c r="E1197" t="n">
        <v>98.1708</v>
      </c>
      <c r="F1197" t="n">
        <v>0.03924</v>
      </c>
    </row>
    <row r="1198">
      <c r="A1198" t="n">
        <v>1001196</v>
      </c>
      <c r="B1198" t="n">
        <v>1</v>
      </c>
      <c r="C1198" t="n">
        <v>1196</v>
      </c>
      <c r="D1198" t="n">
        <v>1</v>
      </c>
      <c r="E1198" t="n">
        <v>98.1914</v>
      </c>
      <c r="F1198" t="n">
        <v>0.03924</v>
      </c>
    </row>
    <row r="1199">
      <c r="A1199" t="n">
        <v>1001197</v>
      </c>
      <c r="B1199" t="n">
        <v>1</v>
      </c>
      <c r="C1199" t="n">
        <v>1197</v>
      </c>
      <c r="D1199" t="n">
        <v>1</v>
      </c>
      <c r="E1199" t="n">
        <v>98.2119</v>
      </c>
      <c r="F1199" t="n">
        <v>0.03925</v>
      </c>
    </row>
    <row r="1200">
      <c r="A1200" t="n">
        <v>1001198</v>
      </c>
      <c r="B1200" t="n">
        <v>1</v>
      </c>
      <c r="C1200" t="n">
        <v>1198</v>
      </c>
      <c r="D1200" t="n">
        <v>1</v>
      </c>
      <c r="E1200" t="n">
        <v>98.2325</v>
      </c>
      <c r="F1200" t="n">
        <v>0.03925</v>
      </c>
    </row>
    <row r="1201">
      <c r="A1201" t="n">
        <v>1001199</v>
      </c>
      <c r="B1201" t="n">
        <v>1</v>
      </c>
      <c r="C1201" t="n">
        <v>1199</v>
      </c>
      <c r="D1201" t="n">
        <v>1</v>
      </c>
      <c r="E1201" t="n">
        <v>98.253</v>
      </c>
      <c r="F1201" t="n">
        <v>0.03926</v>
      </c>
    </row>
    <row r="1202">
      <c r="A1202" t="n">
        <v>1001200</v>
      </c>
      <c r="B1202" t="n">
        <v>1</v>
      </c>
      <c r="C1202" t="n">
        <v>1200</v>
      </c>
      <c r="D1202" t="n">
        <v>1</v>
      </c>
      <c r="E1202" t="n">
        <v>98.2735</v>
      </c>
      <c r="F1202" t="n">
        <v>0.03927</v>
      </c>
    </row>
    <row r="1203">
      <c r="A1203" t="n">
        <v>1001201</v>
      </c>
      <c r="B1203" t="n">
        <v>1</v>
      </c>
      <c r="C1203" t="n">
        <v>1201</v>
      </c>
      <c r="D1203" t="n">
        <v>1</v>
      </c>
      <c r="E1203" t="n">
        <v>98.294</v>
      </c>
      <c r="F1203" t="n">
        <v>0.03927</v>
      </c>
    </row>
    <row r="1204">
      <c r="A1204" t="n">
        <v>1001202</v>
      </c>
      <c r="B1204" t="n">
        <v>1</v>
      </c>
      <c r="C1204" t="n">
        <v>1202</v>
      </c>
      <c r="D1204" t="n">
        <v>1</v>
      </c>
      <c r="E1204" t="n">
        <v>98.3145</v>
      </c>
      <c r="F1204" t="n">
        <v>0.03928</v>
      </c>
    </row>
    <row r="1205">
      <c r="A1205" t="n">
        <v>1001203</v>
      </c>
      <c r="B1205" t="n">
        <v>1</v>
      </c>
      <c r="C1205" t="n">
        <v>1203</v>
      </c>
      <c r="D1205" t="n">
        <v>1</v>
      </c>
      <c r="E1205" t="n">
        <v>98.33499999999999</v>
      </c>
      <c r="F1205" t="n">
        <v>0.03928</v>
      </c>
    </row>
    <row r="1206">
      <c r="A1206" t="n">
        <v>1001204</v>
      </c>
      <c r="B1206" t="n">
        <v>1</v>
      </c>
      <c r="C1206" t="n">
        <v>1204</v>
      </c>
      <c r="D1206" t="n">
        <v>1</v>
      </c>
      <c r="E1206" t="n">
        <v>98.35550000000001</v>
      </c>
      <c r="F1206" t="n">
        <v>0.03929</v>
      </c>
    </row>
    <row r="1207">
      <c r="A1207" t="n">
        <v>1001205</v>
      </c>
      <c r="B1207" t="n">
        <v>1</v>
      </c>
      <c r="C1207" t="n">
        <v>1205</v>
      </c>
      <c r="D1207" t="n">
        <v>1</v>
      </c>
      <c r="E1207" t="n">
        <v>98.3759</v>
      </c>
      <c r="F1207" t="n">
        <v>0.03929</v>
      </c>
    </row>
    <row r="1208">
      <c r="A1208" t="n">
        <v>1001206</v>
      </c>
      <c r="B1208" t="n">
        <v>1</v>
      </c>
      <c r="C1208" t="n">
        <v>1206</v>
      </c>
      <c r="D1208" t="n">
        <v>1</v>
      </c>
      <c r="E1208" t="n">
        <v>98.3964</v>
      </c>
      <c r="F1208" t="n">
        <v>0.0393</v>
      </c>
    </row>
    <row r="1209">
      <c r="A1209" t="n">
        <v>1001207</v>
      </c>
      <c r="B1209" t="n">
        <v>1</v>
      </c>
      <c r="C1209" t="n">
        <v>1207</v>
      </c>
      <c r="D1209" t="n">
        <v>1</v>
      </c>
      <c r="E1209" t="n">
        <v>98.4169</v>
      </c>
      <c r="F1209" t="n">
        <v>0.03931</v>
      </c>
    </row>
    <row r="1210">
      <c r="A1210" t="n">
        <v>1001208</v>
      </c>
      <c r="B1210" t="n">
        <v>1</v>
      </c>
      <c r="C1210" t="n">
        <v>1208</v>
      </c>
      <c r="D1210" t="n">
        <v>1</v>
      </c>
      <c r="E1210" t="n">
        <v>98.43729999999999</v>
      </c>
      <c r="F1210" t="n">
        <v>0.03931</v>
      </c>
    </row>
    <row r="1211">
      <c r="A1211" t="n">
        <v>1001209</v>
      </c>
      <c r="B1211" t="n">
        <v>1</v>
      </c>
      <c r="C1211" t="n">
        <v>1209</v>
      </c>
      <c r="D1211" t="n">
        <v>1</v>
      </c>
      <c r="E1211" t="n">
        <v>98.4577</v>
      </c>
      <c r="F1211" t="n">
        <v>0.03932</v>
      </c>
    </row>
    <row r="1212">
      <c r="A1212" t="n">
        <v>1001210</v>
      </c>
      <c r="B1212" t="n">
        <v>1</v>
      </c>
      <c r="C1212" t="n">
        <v>1210</v>
      </c>
      <c r="D1212" t="n">
        <v>1</v>
      </c>
      <c r="E1212" t="n">
        <v>98.4782</v>
      </c>
      <c r="F1212" t="n">
        <v>0.03932</v>
      </c>
    </row>
    <row r="1213">
      <c r="A1213" t="n">
        <v>1001211</v>
      </c>
      <c r="B1213" t="n">
        <v>1</v>
      </c>
      <c r="C1213" t="n">
        <v>1211</v>
      </c>
      <c r="D1213" t="n">
        <v>1</v>
      </c>
      <c r="E1213" t="n">
        <v>98.4986</v>
      </c>
      <c r="F1213" t="n">
        <v>0.03933</v>
      </c>
    </row>
    <row r="1214">
      <c r="A1214" t="n">
        <v>1001212</v>
      </c>
      <c r="B1214" t="n">
        <v>1</v>
      </c>
      <c r="C1214" t="n">
        <v>1212</v>
      </c>
      <c r="D1214" t="n">
        <v>1</v>
      </c>
      <c r="E1214" t="n">
        <v>98.51900000000001</v>
      </c>
      <c r="F1214" t="n">
        <v>0.03934</v>
      </c>
    </row>
    <row r="1215">
      <c r="A1215" t="n">
        <v>1001213</v>
      </c>
      <c r="B1215" t="n">
        <v>1</v>
      </c>
      <c r="C1215" t="n">
        <v>1213</v>
      </c>
      <c r="D1215" t="n">
        <v>1</v>
      </c>
      <c r="E1215" t="n">
        <v>98.5394</v>
      </c>
      <c r="F1215" t="n">
        <v>0.03934</v>
      </c>
    </row>
    <row r="1216">
      <c r="A1216" t="n">
        <v>1001214</v>
      </c>
      <c r="B1216" t="n">
        <v>1</v>
      </c>
      <c r="C1216" t="n">
        <v>1214</v>
      </c>
      <c r="D1216" t="n">
        <v>1</v>
      </c>
      <c r="E1216" t="n">
        <v>98.5598</v>
      </c>
      <c r="F1216" t="n">
        <v>0.03935</v>
      </c>
    </row>
    <row r="1217">
      <c r="A1217" t="n">
        <v>1001215</v>
      </c>
      <c r="B1217" t="n">
        <v>1</v>
      </c>
      <c r="C1217" t="n">
        <v>1215</v>
      </c>
      <c r="D1217" t="n">
        <v>1</v>
      </c>
      <c r="E1217" t="n">
        <v>98.5801</v>
      </c>
      <c r="F1217" t="n">
        <v>0.03935</v>
      </c>
    </row>
    <row r="1218">
      <c r="A1218" t="n">
        <v>1001216</v>
      </c>
      <c r="B1218" t="n">
        <v>1</v>
      </c>
      <c r="C1218" t="n">
        <v>1216</v>
      </c>
      <c r="D1218" t="n">
        <v>1</v>
      </c>
      <c r="E1218" t="n">
        <v>98.6005</v>
      </c>
      <c r="F1218" t="n">
        <v>0.03936</v>
      </c>
    </row>
    <row r="1219">
      <c r="A1219" t="n">
        <v>1001217</v>
      </c>
      <c r="B1219" t="n">
        <v>1</v>
      </c>
      <c r="C1219" t="n">
        <v>1217</v>
      </c>
      <c r="D1219" t="n">
        <v>1</v>
      </c>
      <c r="E1219" t="n">
        <v>98.62090000000001</v>
      </c>
      <c r="F1219" t="n">
        <v>0.03937</v>
      </c>
    </row>
    <row r="1220">
      <c r="A1220" t="n">
        <v>1001218</v>
      </c>
      <c r="B1220" t="n">
        <v>1</v>
      </c>
      <c r="C1220" t="n">
        <v>1218</v>
      </c>
      <c r="D1220" t="n">
        <v>1</v>
      </c>
      <c r="E1220" t="n">
        <v>98.6412</v>
      </c>
      <c r="F1220" t="n">
        <v>0.03937</v>
      </c>
    </row>
    <row r="1221">
      <c r="A1221" t="n">
        <v>1001219</v>
      </c>
      <c r="B1221" t="n">
        <v>1</v>
      </c>
      <c r="C1221" t="n">
        <v>1219</v>
      </c>
      <c r="D1221" t="n">
        <v>1</v>
      </c>
      <c r="E1221" t="n">
        <v>98.6615</v>
      </c>
      <c r="F1221" t="n">
        <v>0.03938</v>
      </c>
    </row>
    <row r="1222">
      <c r="A1222" t="n">
        <v>1001220</v>
      </c>
      <c r="B1222" t="n">
        <v>1</v>
      </c>
      <c r="C1222" t="n">
        <v>1220</v>
      </c>
      <c r="D1222" t="n">
        <v>1</v>
      </c>
      <c r="E1222" t="n">
        <v>98.6819</v>
      </c>
      <c r="F1222" t="n">
        <v>0.03938</v>
      </c>
    </row>
    <row r="1223">
      <c r="A1223" t="n">
        <v>1001221</v>
      </c>
      <c r="B1223" t="n">
        <v>1</v>
      </c>
      <c r="C1223" t="n">
        <v>1221</v>
      </c>
      <c r="D1223" t="n">
        <v>1</v>
      </c>
      <c r="E1223" t="n">
        <v>98.7022</v>
      </c>
      <c r="F1223" t="n">
        <v>0.03939</v>
      </c>
    </row>
    <row r="1224">
      <c r="A1224" t="n">
        <v>1001222</v>
      </c>
      <c r="B1224" t="n">
        <v>1</v>
      </c>
      <c r="C1224" t="n">
        <v>1222</v>
      </c>
      <c r="D1224" t="n">
        <v>1</v>
      </c>
      <c r="E1224" t="n">
        <v>98.7225</v>
      </c>
      <c r="F1224" t="n">
        <v>0.03939</v>
      </c>
    </row>
    <row r="1225">
      <c r="A1225" t="n">
        <v>1001223</v>
      </c>
      <c r="B1225" t="n">
        <v>1</v>
      </c>
      <c r="C1225" t="n">
        <v>1223</v>
      </c>
      <c r="D1225" t="n">
        <v>1</v>
      </c>
      <c r="E1225" t="n">
        <v>98.7428</v>
      </c>
      <c r="F1225" t="n">
        <v>0.0394</v>
      </c>
    </row>
    <row r="1226">
      <c r="A1226" t="n">
        <v>1001224</v>
      </c>
      <c r="B1226" t="n">
        <v>1</v>
      </c>
      <c r="C1226" t="n">
        <v>1224</v>
      </c>
      <c r="D1226" t="n">
        <v>1</v>
      </c>
      <c r="E1226" t="n">
        <v>98.76309999999999</v>
      </c>
      <c r="F1226" t="n">
        <v>0.03941</v>
      </c>
    </row>
    <row r="1227">
      <c r="A1227" t="n">
        <v>1001225</v>
      </c>
      <c r="B1227" t="n">
        <v>1</v>
      </c>
      <c r="C1227" t="n">
        <v>1225</v>
      </c>
      <c r="D1227" t="n">
        <v>1</v>
      </c>
      <c r="E1227" t="n">
        <v>98.7834</v>
      </c>
      <c r="F1227" t="n">
        <v>0.03941</v>
      </c>
    </row>
    <row r="1228">
      <c r="A1228" t="n">
        <v>1001226</v>
      </c>
      <c r="B1228" t="n">
        <v>1</v>
      </c>
      <c r="C1228" t="n">
        <v>1226</v>
      </c>
      <c r="D1228" t="n">
        <v>1</v>
      </c>
      <c r="E1228" t="n">
        <v>98.8036</v>
      </c>
      <c r="F1228" t="n">
        <v>0.03942</v>
      </c>
    </row>
    <row r="1229">
      <c r="A1229" t="n">
        <v>1001227</v>
      </c>
      <c r="B1229" t="n">
        <v>1</v>
      </c>
      <c r="C1229" t="n">
        <v>1227</v>
      </c>
      <c r="D1229" t="n">
        <v>1</v>
      </c>
      <c r="E1229" t="n">
        <v>98.82389999999999</v>
      </c>
      <c r="F1229" t="n">
        <v>0.03942</v>
      </c>
    </row>
    <row r="1230">
      <c r="A1230" t="n">
        <v>1001228</v>
      </c>
      <c r="B1230" t="n">
        <v>1</v>
      </c>
      <c r="C1230" t="n">
        <v>1228</v>
      </c>
      <c r="D1230" t="n">
        <v>1</v>
      </c>
      <c r="E1230" t="n">
        <v>98.8442</v>
      </c>
      <c r="F1230" t="n">
        <v>0.03943</v>
      </c>
    </row>
    <row r="1231">
      <c r="A1231" t="n">
        <v>1001229</v>
      </c>
      <c r="B1231" t="n">
        <v>1</v>
      </c>
      <c r="C1231" t="n">
        <v>1229</v>
      </c>
      <c r="D1231" t="n">
        <v>1</v>
      </c>
      <c r="E1231" t="n">
        <v>98.8644</v>
      </c>
      <c r="F1231" t="n">
        <v>0.03943</v>
      </c>
    </row>
    <row r="1232">
      <c r="A1232" t="n">
        <v>1001230</v>
      </c>
      <c r="B1232" t="n">
        <v>1</v>
      </c>
      <c r="C1232" t="n">
        <v>1230</v>
      </c>
      <c r="D1232" t="n">
        <v>1</v>
      </c>
      <c r="E1232" t="n">
        <v>98.88460000000001</v>
      </c>
      <c r="F1232" t="n">
        <v>0.03944</v>
      </c>
    </row>
    <row r="1233">
      <c r="A1233" t="n">
        <v>1001231</v>
      </c>
      <c r="B1233" t="n">
        <v>1</v>
      </c>
      <c r="C1233" t="n">
        <v>1231</v>
      </c>
      <c r="D1233" t="n">
        <v>1</v>
      </c>
      <c r="E1233" t="n">
        <v>98.9049</v>
      </c>
      <c r="F1233" t="n">
        <v>0.03945</v>
      </c>
    </row>
    <row r="1234">
      <c r="A1234" t="n">
        <v>1001232</v>
      </c>
      <c r="B1234" t="n">
        <v>1</v>
      </c>
      <c r="C1234" t="n">
        <v>1232</v>
      </c>
      <c r="D1234" t="n">
        <v>1</v>
      </c>
      <c r="E1234" t="n">
        <v>98.9251</v>
      </c>
      <c r="F1234" t="n">
        <v>0.03945</v>
      </c>
    </row>
    <row r="1235">
      <c r="A1235" t="n">
        <v>1001233</v>
      </c>
      <c r="B1235" t="n">
        <v>1</v>
      </c>
      <c r="C1235" t="n">
        <v>1233</v>
      </c>
      <c r="D1235" t="n">
        <v>1</v>
      </c>
      <c r="E1235" t="n">
        <v>98.9453</v>
      </c>
      <c r="F1235" t="n">
        <v>0.03946</v>
      </c>
    </row>
    <row r="1236">
      <c r="A1236" t="n">
        <v>1001234</v>
      </c>
      <c r="B1236" t="n">
        <v>1</v>
      </c>
      <c r="C1236" t="n">
        <v>1234</v>
      </c>
      <c r="D1236" t="n">
        <v>1</v>
      </c>
      <c r="E1236" t="n">
        <v>98.96550000000001</v>
      </c>
      <c r="F1236" t="n">
        <v>0.03946</v>
      </c>
    </row>
    <row r="1237">
      <c r="A1237" t="n">
        <v>1001235</v>
      </c>
      <c r="B1237" t="n">
        <v>1</v>
      </c>
      <c r="C1237" t="n">
        <v>1235</v>
      </c>
      <c r="D1237" t="n">
        <v>1</v>
      </c>
      <c r="E1237" t="n">
        <v>98.98569999999999</v>
      </c>
      <c r="F1237" t="n">
        <v>0.03947</v>
      </c>
    </row>
    <row r="1238">
      <c r="A1238" t="n">
        <v>1001236</v>
      </c>
      <c r="B1238" t="n">
        <v>1</v>
      </c>
      <c r="C1238" t="n">
        <v>1236</v>
      </c>
      <c r="D1238" t="n">
        <v>1</v>
      </c>
      <c r="E1238" t="n">
        <v>99.00579999999999</v>
      </c>
      <c r="F1238" t="n">
        <v>0.03947</v>
      </c>
    </row>
    <row r="1239">
      <c r="A1239" t="n">
        <v>1001237</v>
      </c>
      <c r="B1239" t="n">
        <v>1</v>
      </c>
      <c r="C1239" t="n">
        <v>1237</v>
      </c>
      <c r="D1239" t="n">
        <v>1</v>
      </c>
      <c r="E1239" t="n">
        <v>99.026</v>
      </c>
      <c r="F1239" t="n">
        <v>0.03948</v>
      </c>
    </row>
    <row r="1240">
      <c r="A1240" t="n">
        <v>1001238</v>
      </c>
      <c r="B1240" t="n">
        <v>1</v>
      </c>
      <c r="C1240" t="n">
        <v>1238</v>
      </c>
      <c r="D1240" t="n">
        <v>1</v>
      </c>
      <c r="E1240" t="n">
        <v>99.0461</v>
      </c>
      <c r="F1240" t="n">
        <v>0.03949</v>
      </c>
    </row>
    <row r="1241">
      <c r="A1241" t="n">
        <v>1001239</v>
      </c>
      <c r="B1241" t="n">
        <v>1</v>
      </c>
      <c r="C1241" t="n">
        <v>1239</v>
      </c>
      <c r="D1241" t="n">
        <v>1</v>
      </c>
      <c r="E1241" t="n">
        <v>99.0663</v>
      </c>
      <c r="F1241" t="n">
        <v>0.03949</v>
      </c>
    </row>
    <row r="1242">
      <c r="A1242" t="n">
        <v>1001240</v>
      </c>
      <c r="B1242" t="n">
        <v>1</v>
      </c>
      <c r="C1242" t="n">
        <v>1240</v>
      </c>
      <c r="D1242" t="n">
        <v>1</v>
      </c>
      <c r="E1242" t="n">
        <v>99.0864</v>
      </c>
      <c r="F1242" t="n">
        <v>0.0395</v>
      </c>
    </row>
    <row r="1243">
      <c r="A1243" t="n">
        <v>1001241</v>
      </c>
      <c r="B1243" t="n">
        <v>1</v>
      </c>
      <c r="C1243" t="n">
        <v>1241</v>
      </c>
      <c r="D1243" t="n">
        <v>1</v>
      </c>
      <c r="E1243" t="n">
        <v>99.1065</v>
      </c>
      <c r="F1243" t="n">
        <v>0.0395</v>
      </c>
    </row>
    <row r="1244">
      <c r="A1244" t="n">
        <v>1001242</v>
      </c>
      <c r="B1244" t="n">
        <v>1</v>
      </c>
      <c r="C1244" t="n">
        <v>1242</v>
      </c>
      <c r="D1244" t="n">
        <v>1</v>
      </c>
      <c r="E1244" t="n">
        <v>99.1267</v>
      </c>
      <c r="F1244" t="n">
        <v>0.03951</v>
      </c>
    </row>
    <row r="1245">
      <c r="A1245" t="n">
        <v>1001243</v>
      </c>
      <c r="B1245" t="n">
        <v>1</v>
      </c>
      <c r="C1245" t="n">
        <v>1243</v>
      </c>
      <c r="D1245" t="n">
        <v>1</v>
      </c>
      <c r="E1245" t="n">
        <v>99.1468</v>
      </c>
      <c r="F1245" t="n">
        <v>0.03951</v>
      </c>
    </row>
    <row r="1246">
      <c r="A1246" t="n">
        <v>1001244</v>
      </c>
      <c r="B1246" t="n">
        <v>1</v>
      </c>
      <c r="C1246" t="n">
        <v>1244</v>
      </c>
      <c r="D1246" t="n">
        <v>1</v>
      </c>
      <c r="E1246" t="n">
        <v>99.1669</v>
      </c>
      <c r="F1246" t="n">
        <v>0.03952</v>
      </c>
    </row>
    <row r="1247">
      <c r="A1247" t="n">
        <v>1001245</v>
      </c>
      <c r="B1247" t="n">
        <v>1</v>
      </c>
      <c r="C1247" t="n">
        <v>1245</v>
      </c>
      <c r="D1247" t="n">
        <v>1</v>
      </c>
      <c r="E1247" t="n">
        <v>99.18689999999999</v>
      </c>
      <c r="F1247" t="n">
        <v>0.03952</v>
      </c>
    </row>
    <row r="1248">
      <c r="A1248" t="n">
        <v>1001246</v>
      </c>
      <c r="B1248" t="n">
        <v>1</v>
      </c>
      <c r="C1248" t="n">
        <v>1246</v>
      </c>
      <c r="D1248" t="n">
        <v>1</v>
      </c>
      <c r="E1248" t="n">
        <v>99.20699999999999</v>
      </c>
      <c r="F1248" t="n">
        <v>0.03953</v>
      </c>
    </row>
    <row r="1249">
      <c r="A1249" t="n">
        <v>1001247</v>
      </c>
      <c r="B1249" t="n">
        <v>1</v>
      </c>
      <c r="C1249" t="n">
        <v>1247</v>
      </c>
      <c r="D1249" t="n">
        <v>1</v>
      </c>
      <c r="E1249" t="n">
        <v>99.22709999999999</v>
      </c>
      <c r="F1249" t="n">
        <v>0.03954</v>
      </c>
    </row>
    <row r="1250">
      <c r="A1250" t="n">
        <v>1001248</v>
      </c>
      <c r="B1250" t="n">
        <v>1</v>
      </c>
      <c r="C1250" t="n">
        <v>1248</v>
      </c>
      <c r="D1250" t="n">
        <v>1</v>
      </c>
      <c r="E1250" t="n">
        <v>99.2471</v>
      </c>
      <c r="F1250" t="n">
        <v>0.03954</v>
      </c>
    </row>
    <row r="1251">
      <c r="A1251" t="n">
        <v>1001249</v>
      </c>
      <c r="B1251" t="n">
        <v>1</v>
      </c>
      <c r="C1251" t="n">
        <v>1249</v>
      </c>
      <c r="D1251" t="n">
        <v>1</v>
      </c>
      <c r="E1251" t="n">
        <v>99.2672</v>
      </c>
      <c r="F1251" t="n">
        <v>0.03955</v>
      </c>
    </row>
    <row r="1252">
      <c r="A1252" t="n">
        <v>1001250</v>
      </c>
      <c r="B1252" t="n">
        <v>1</v>
      </c>
      <c r="C1252" t="n">
        <v>1250</v>
      </c>
      <c r="D1252" t="n">
        <v>1</v>
      </c>
      <c r="E1252" t="n">
        <v>99.2872</v>
      </c>
      <c r="F1252" t="n">
        <v>0.03955</v>
      </c>
    </row>
    <row r="1253">
      <c r="A1253" t="n">
        <v>1001251</v>
      </c>
      <c r="B1253" t="n">
        <v>1</v>
      </c>
      <c r="C1253" t="n">
        <v>1251</v>
      </c>
      <c r="D1253" t="n">
        <v>1</v>
      </c>
      <c r="E1253" t="n">
        <v>99.30719999999999</v>
      </c>
      <c r="F1253" t="n">
        <v>0.03956</v>
      </c>
    </row>
    <row r="1254">
      <c r="A1254" t="n">
        <v>1001252</v>
      </c>
      <c r="B1254" t="n">
        <v>1</v>
      </c>
      <c r="C1254" t="n">
        <v>1252</v>
      </c>
      <c r="D1254" t="n">
        <v>1</v>
      </c>
      <c r="E1254" t="n">
        <v>99.3272</v>
      </c>
      <c r="F1254" t="n">
        <v>0.03956</v>
      </c>
    </row>
    <row r="1255">
      <c r="A1255" t="n">
        <v>1001253</v>
      </c>
      <c r="B1255" t="n">
        <v>1</v>
      </c>
      <c r="C1255" t="n">
        <v>1253</v>
      </c>
      <c r="D1255" t="n">
        <v>1</v>
      </c>
      <c r="E1255" t="n">
        <v>99.3472</v>
      </c>
      <c r="F1255" t="n">
        <v>0.03957</v>
      </c>
    </row>
    <row r="1256">
      <c r="A1256" t="n">
        <v>1001254</v>
      </c>
      <c r="B1256" t="n">
        <v>1</v>
      </c>
      <c r="C1256" t="n">
        <v>1254</v>
      </c>
      <c r="D1256" t="n">
        <v>1</v>
      </c>
      <c r="E1256" t="n">
        <v>99.3672</v>
      </c>
      <c r="F1256" t="n">
        <v>0.03957</v>
      </c>
    </row>
    <row r="1257">
      <c r="A1257" t="n">
        <v>1001255</v>
      </c>
      <c r="B1257" t="n">
        <v>1</v>
      </c>
      <c r="C1257" t="n">
        <v>1255</v>
      </c>
      <c r="D1257" t="n">
        <v>1</v>
      </c>
      <c r="E1257" t="n">
        <v>99.38720000000001</v>
      </c>
      <c r="F1257" t="n">
        <v>0.03958</v>
      </c>
    </row>
    <row r="1258">
      <c r="A1258" t="n">
        <v>1001256</v>
      </c>
      <c r="B1258" t="n">
        <v>1</v>
      </c>
      <c r="C1258" t="n">
        <v>1256</v>
      </c>
      <c r="D1258" t="n">
        <v>1</v>
      </c>
      <c r="E1258" t="n">
        <v>99.4072</v>
      </c>
      <c r="F1258" t="n">
        <v>0.03958</v>
      </c>
    </row>
    <row r="1259">
      <c r="A1259" t="n">
        <v>1001257</v>
      </c>
      <c r="B1259" t="n">
        <v>1</v>
      </c>
      <c r="C1259" t="n">
        <v>1257</v>
      </c>
      <c r="D1259" t="n">
        <v>1</v>
      </c>
      <c r="E1259" t="n">
        <v>99.4272</v>
      </c>
      <c r="F1259" t="n">
        <v>0.03959</v>
      </c>
    </row>
    <row r="1260">
      <c r="A1260" t="n">
        <v>1001258</v>
      </c>
      <c r="B1260" t="n">
        <v>1</v>
      </c>
      <c r="C1260" t="n">
        <v>1258</v>
      </c>
      <c r="D1260" t="n">
        <v>1</v>
      </c>
      <c r="E1260" t="n">
        <v>99.44710000000001</v>
      </c>
      <c r="F1260" t="n">
        <v>0.0396</v>
      </c>
    </row>
    <row r="1261">
      <c r="A1261" t="n">
        <v>1001259</v>
      </c>
      <c r="B1261" t="n">
        <v>1</v>
      </c>
      <c r="C1261" t="n">
        <v>1259</v>
      </c>
      <c r="D1261" t="n">
        <v>1</v>
      </c>
      <c r="E1261" t="n">
        <v>99.4671</v>
      </c>
      <c r="F1261" t="n">
        <v>0.0396</v>
      </c>
    </row>
    <row r="1262">
      <c r="A1262" t="n">
        <v>1001260</v>
      </c>
      <c r="B1262" t="n">
        <v>1</v>
      </c>
      <c r="C1262" t="n">
        <v>1260</v>
      </c>
      <c r="D1262" t="n">
        <v>1</v>
      </c>
      <c r="E1262" t="n">
        <v>99.48699999999999</v>
      </c>
      <c r="F1262" t="n">
        <v>0.03961</v>
      </c>
    </row>
    <row r="1263">
      <c r="A1263" t="n">
        <v>1001261</v>
      </c>
      <c r="B1263" t="n">
        <v>1</v>
      </c>
      <c r="C1263" t="n">
        <v>1261</v>
      </c>
      <c r="D1263" t="n">
        <v>1</v>
      </c>
      <c r="E1263" t="n">
        <v>99.5069</v>
      </c>
      <c r="F1263" t="n">
        <v>0.03961</v>
      </c>
    </row>
    <row r="1264">
      <c r="A1264" t="n">
        <v>1001262</v>
      </c>
      <c r="B1264" t="n">
        <v>1</v>
      </c>
      <c r="C1264" t="n">
        <v>1262</v>
      </c>
      <c r="D1264" t="n">
        <v>1</v>
      </c>
      <c r="E1264" t="n">
        <v>99.52679999999999</v>
      </c>
      <c r="F1264" t="n">
        <v>0.03962</v>
      </c>
    </row>
    <row r="1265">
      <c r="A1265" t="n">
        <v>1001263</v>
      </c>
      <c r="B1265" t="n">
        <v>1</v>
      </c>
      <c r="C1265" t="n">
        <v>1263</v>
      </c>
      <c r="D1265" t="n">
        <v>1</v>
      </c>
      <c r="E1265" t="n">
        <v>99.5467</v>
      </c>
      <c r="F1265" t="n">
        <v>0.03962</v>
      </c>
    </row>
    <row r="1266">
      <c r="A1266" t="n">
        <v>1001264</v>
      </c>
      <c r="B1266" t="n">
        <v>1</v>
      </c>
      <c r="C1266" t="n">
        <v>1264</v>
      </c>
      <c r="D1266" t="n">
        <v>1</v>
      </c>
      <c r="E1266" t="n">
        <v>99.56659999999999</v>
      </c>
      <c r="F1266" t="n">
        <v>0.03963</v>
      </c>
    </row>
    <row r="1267">
      <c r="A1267" t="n">
        <v>1001265</v>
      </c>
      <c r="B1267" t="n">
        <v>1</v>
      </c>
      <c r="C1267" t="n">
        <v>1265</v>
      </c>
      <c r="D1267" t="n">
        <v>1</v>
      </c>
      <c r="E1267" t="n">
        <v>99.5865</v>
      </c>
      <c r="F1267" t="n">
        <v>0.03963</v>
      </c>
    </row>
    <row r="1268">
      <c r="A1268" t="n">
        <v>1001266</v>
      </c>
      <c r="B1268" t="n">
        <v>1</v>
      </c>
      <c r="C1268" t="n">
        <v>1266</v>
      </c>
      <c r="D1268" t="n">
        <v>1</v>
      </c>
      <c r="E1268" t="n">
        <v>99.60639999999999</v>
      </c>
      <c r="F1268" t="n">
        <v>0.03964</v>
      </c>
    </row>
    <row r="1269">
      <c r="A1269" t="n">
        <v>1001267</v>
      </c>
      <c r="B1269" t="n">
        <v>1</v>
      </c>
      <c r="C1269" t="n">
        <v>1267</v>
      </c>
      <c r="D1269" t="n">
        <v>1</v>
      </c>
      <c r="E1269" t="n">
        <v>99.6262</v>
      </c>
      <c r="F1269" t="n">
        <v>0.03964</v>
      </c>
    </row>
    <row r="1270">
      <c r="A1270" t="n">
        <v>1001268</v>
      </c>
      <c r="B1270" t="n">
        <v>1</v>
      </c>
      <c r="C1270" t="n">
        <v>1268</v>
      </c>
      <c r="D1270" t="n">
        <v>1</v>
      </c>
      <c r="E1270" t="n">
        <v>99.6461</v>
      </c>
      <c r="F1270" t="n">
        <v>0.03965</v>
      </c>
    </row>
    <row r="1271">
      <c r="A1271" t="n">
        <v>1001269</v>
      </c>
      <c r="B1271" t="n">
        <v>1</v>
      </c>
      <c r="C1271" t="n">
        <v>1269</v>
      </c>
      <c r="D1271" t="n">
        <v>1</v>
      </c>
      <c r="E1271" t="n">
        <v>99.666</v>
      </c>
      <c r="F1271" t="n">
        <v>0.03966</v>
      </c>
    </row>
    <row r="1272">
      <c r="A1272" t="n">
        <v>1001270</v>
      </c>
      <c r="B1272" t="n">
        <v>1</v>
      </c>
      <c r="C1272" t="n">
        <v>1270</v>
      </c>
      <c r="D1272" t="n">
        <v>1</v>
      </c>
      <c r="E1272" t="n">
        <v>99.6858</v>
      </c>
      <c r="F1272" t="n">
        <v>0.03966</v>
      </c>
    </row>
    <row r="1273">
      <c r="A1273" t="n">
        <v>1001271</v>
      </c>
      <c r="B1273" t="n">
        <v>1</v>
      </c>
      <c r="C1273" t="n">
        <v>1271</v>
      </c>
      <c r="D1273" t="n">
        <v>1</v>
      </c>
      <c r="E1273" t="n">
        <v>99.7056</v>
      </c>
      <c r="F1273" t="n">
        <v>0.03967</v>
      </c>
    </row>
    <row r="1274">
      <c r="A1274" t="n">
        <v>1001272</v>
      </c>
      <c r="B1274" t="n">
        <v>1</v>
      </c>
      <c r="C1274" t="n">
        <v>1272</v>
      </c>
      <c r="D1274" t="n">
        <v>1</v>
      </c>
      <c r="E1274" t="n">
        <v>99.72539999999999</v>
      </c>
      <c r="F1274" t="n">
        <v>0.03967</v>
      </c>
    </row>
    <row r="1275">
      <c r="A1275" t="n">
        <v>1001273</v>
      </c>
      <c r="B1275" t="n">
        <v>1</v>
      </c>
      <c r="C1275" t="n">
        <v>1273</v>
      </c>
      <c r="D1275" t="n">
        <v>1</v>
      </c>
      <c r="E1275" t="n">
        <v>99.7452</v>
      </c>
      <c r="F1275" t="n">
        <v>0.03968</v>
      </c>
    </row>
    <row r="1276">
      <c r="A1276" t="n">
        <v>1001274</v>
      </c>
      <c r="B1276" t="n">
        <v>1</v>
      </c>
      <c r="C1276" t="n">
        <v>1274</v>
      </c>
      <c r="D1276" t="n">
        <v>1</v>
      </c>
      <c r="E1276" t="n">
        <v>99.765</v>
      </c>
      <c r="F1276" t="n">
        <v>0.03968</v>
      </c>
    </row>
    <row r="1277">
      <c r="A1277" t="n">
        <v>1001275</v>
      </c>
      <c r="B1277" t="n">
        <v>1</v>
      </c>
      <c r="C1277" t="n">
        <v>1275</v>
      </c>
      <c r="D1277" t="n">
        <v>1</v>
      </c>
      <c r="E1277" t="n">
        <v>99.7848</v>
      </c>
      <c r="F1277" t="n">
        <v>0.03969</v>
      </c>
    </row>
    <row r="1278">
      <c r="A1278" t="n">
        <v>1001276</v>
      </c>
      <c r="B1278" t="n">
        <v>1</v>
      </c>
      <c r="C1278" t="n">
        <v>1276</v>
      </c>
      <c r="D1278" t="n">
        <v>1</v>
      </c>
      <c r="E1278" t="n">
        <v>99.80459999999999</v>
      </c>
      <c r="F1278" t="n">
        <v>0.03969</v>
      </c>
    </row>
    <row r="1279">
      <c r="A1279" t="n">
        <v>1001277</v>
      </c>
      <c r="B1279" t="n">
        <v>1</v>
      </c>
      <c r="C1279" t="n">
        <v>1277</v>
      </c>
      <c r="D1279" t="n">
        <v>1</v>
      </c>
      <c r="E1279" t="n">
        <v>99.8244</v>
      </c>
      <c r="F1279" t="n">
        <v>0.0397</v>
      </c>
    </row>
    <row r="1280">
      <c r="A1280" t="n">
        <v>1001278</v>
      </c>
      <c r="B1280" t="n">
        <v>1</v>
      </c>
      <c r="C1280" t="n">
        <v>1278</v>
      </c>
      <c r="D1280" t="n">
        <v>1</v>
      </c>
      <c r="E1280" t="n">
        <v>99.8441</v>
      </c>
      <c r="F1280" t="n">
        <v>0.0397</v>
      </c>
    </row>
    <row r="1281">
      <c r="A1281" t="n">
        <v>1001279</v>
      </c>
      <c r="B1281" t="n">
        <v>1</v>
      </c>
      <c r="C1281" t="n">
        <v>1279</v>
      </c>
      <c r="D1281" t="n">
        <v>1</v>
      </c>
      <c r="E1281" t="n">
        <v>99.8639</v>
      </c>
      <c r="F1281" t="n">
        <v>0.03971</v>
      </c>
    </row>
    <row r="1282">
      <c r="A1282" t="n">
        <v>1001280</v>
      </c>
      <c r="B1282" t="n">
        <v>1</v>
      </c>
      <c r="C1282" t="n">
        <v>1280</v>
      </c>
      <c r="D1282" t="n">
        <v>1</v>
      </c>
      <c r="E1282" t="n">
        <v>99.8836</v>
      </c>
      <c r="F1282" t="n">
        <v>0.03971</v>
      </c>
    </row>
    <row r="1283">
      <c r="A1283" t="n">
        <v>1001281</v>
      </c>
      <c r="B1283" t="n">
        <v>1</v>
      </c>
      <c r="C1283" t="n">
        <v>1281</v>
      </c>
      <c r="D1283" t="n">
        <v>1</v>
      </c>
      <c r="E1283" t="n">
        <v>99.9034</v>
      </c>
      <c r="F1283" t="n">
        <v>0.03972</v>
      </c>
    </row>
    <row r="1284">
      <c r="A1284" t="n">
        <v>1001282</v>
      </c>
      <c r="B1284" t="n">
        <v>1</v>
      </c>
      <c r="C1284" t="n">
        <v>1282</v>
      </c>
      <c r="D1284" t="n">
        <v>1</v>
      </c>
      <c r="E1284" t="n">
        <v>99.92310000000001</v>
      </c>
      <c r="F1284" t="n">
        <v>0.03972</v>
      </c>
    </row>
    <row r="1285">
      <c r="A1285" t="n">
        <v>1001283</v>
      </c>
      <c r="B1285" t="n">
        <v>1</v>
      </c>
      <c r="C1285" t="n">
        <v>1283</v>
      </c>
      <c r="D1285" t="n">
        <v>1</v>
      </c>
      <c r="E1285" t="n">
        <v>99.94280000000001</v>
      </c>
      <c r="F1285" t="n">
        <v>0.03973</v>
      </c>
    </row>
    <row r="1286">
      <c r="A1286" t="n">
        <v>1001284</v>
      </c>
      <c r="B1286" t="n">
        <v>1</v>
      </c>
      <c r="C1286" t="n">
        <v>1284</v>
      </c>
      <c r="D1286" t="n">
        <v>1</v>
      </c>
      <c r="E1286" t="n">
        <v>99.96250000000001</v>
      </c>
      <c r="F1286" t="n">
        <v>0.03973</v>
      </c>
    </row>
    <row r="1287">
      <c r="A1287" t="n">
        <v>1001285</v>
      </c>
      <c r="B1287" t="n">
        <v>1</v>
      </c>
      <c r="C1287" t="n">
        <v>1285</v>
      </c>
      <c r="D1287" t="n">
        <v>1</v>
      </c>
      <c r="E1287" t="n">
        <v>99.98220000000001</v>
      </c>
      <c r="F1287" t="n">
        <v>0.03974</v>
      </c>
    </row>
    <row r="1288">
      <c r="A1288" t="n">
        <v>1001286</v>
      </c>
      <c r="B1288" t="n">
        <v>1</v>
      </c>
      <c r="C1288" t="n">
        <v>1286</v>
      </c>
      <c r="D1288" t="n">
        <v>1</v>
      </c>
      <c r="E1288" t="n">
        <v>100.0019</v>
      </c>
      <c r="F1288" t="n">
        <v>0.03975</v>
      </c>
    </row>
    <row r="1289">
      <c r="A1289" t="n">
        <v>1001287</v>
      </c>
      <c r="B1289" t="n">
        <v>1</v>
      </c>
      <c r="C1289" t="n">
        <v>1287</v>
      </c>
      <c r="D1289" t="n">
        <v>1</v>
      </c>
      <c r="E1289" t="n">
        <v>100.0216</v>
      </c>
      <c r="F1289" t="n">
        <v>0.03975</v>
      </c>
    </row>
    <row r="1290">
      <c r="A1290" t="n">
        <v>1001288</v>
      </c>
      <c r="B1290" t="n">
        <v>1</v>
      </c>
      <c r="C1290" t="n">
        <v>1288</v>
      </c>
      <c r="D1290" t="n">
        <v>1</v>
      </c>
      <c r="E1290" t="n">
        <v>100.0412</v>
      </c>
      <c r="F1290" t="n">
        <v>0.03976</v>
      </c>
    </row>
    <row r="1291">
      <c r="A1291" t="n">
        <v>1001289</v>
      </c>
      <c r="B1291" t="n">
        <v>1</v>
      </c>
      <c r="C1291" t="n">
        <v>1289</v>
      </c>
      <c r="D1291" t="n">
        <v>1</v>
      </c>
      <c r="E1291" t="n">
        <v>100.0609</v>
      </c>
      <c r="F1291" t="n">
        <v>0.03976</v>
      </c>
    </row>
    <row r="1292">
      <c r="A1292" t="n">
        <v>1001290</v>
      </c>
      <c r="B1292" t="n">
        <v>1</v>
      </c>
      <c r="C1292" t="n">
        <v>1290</v>
      </c>
      <c r="D1292" t="n">
        <v>1</v>
      </c>
      <c r="E1292" t="n">
        <v>100.0805</v>
      </c>
      <c r="F1292" t="n">
        <v>0.03977</v>
      </c>
    </row>
    <row r="1293">
      <c r="A1293" t="n">
        <v>1001291</v>
      </c>
      <c r="B1293" t="n">
        <v>1</v>
      </c>
      <c r="C1293" t="n">
        <v>1291</v>
      </c>
      <c r="D1293" t="n">
        <v>1</v>
      </c>
      <c r="E1293" t="n">
        <v>100.1002</v>
      </c>
      <c r="F1293" t="n">
        <v>0.03977</v>
      </c>
    </row>
    <row r="1294">
      <c r="A1294" t="n">
        <v>1001292</v>
      </c>
      <c r="B1294" t="n">
        <v>1</v>
      </c>
      <c r="C1294" t="n">
        <v>1292</v>
      </c>
      <c r="D1294" t="n">
        <v>1</v>
      </c>
      <c r="E1294" t="n">
        <v>100.1198</v>
      </c>
      <c r="F1294" t="n">
        <v>0.03978</v>
      </c>
    </row>
    <row r="1295">
      <c r="A1295" t="n">
        <v>1001293</v>
      </c>
      <c r="B1295" t="n">
        <v>1</v>
      </c>
      <c r="C1295" t="n">
        <v>1293</v>
      </c>
      <c r="D1295" t="n">
        <v>1</v>
      </c>
      <c r="E1295" t="n">
        <v>100.1394</v>
      </c>
      <c r="F1295" t="n">
        <v>0.03978</v>
      </c>
    </row>
    <row r="1296">
      <c r="A1296" t="n">
        <v>1001294</v>
      </c>
      <c r="B1296" t="n">
        <v>1</v>
      </c>
      <c r="C1296" t="n">
        <v>1294</v>
      </c>
      <c r="D1296" t="n">
        <v>1</v>
      </c>
      <c r="E1296" t="n">
        <v>100.1591</v>
      </c>
      <c r="F1296" t="n">
        <v>0.03979</v>
      </c>
    </row>
    <row r="1297">
      <c r="A1297" t="n">
        <v>1001295</v>
      </c>
      <c r="B1297" t="n">
        <v>1</v>
      </c>
      <c r="C1297" t="n">
        <v>1295</v>
      </c>
      <c r="D1297" t="n">
        <v>1</v>
      </c>
      <c r="E1297" t="n">
        <v>100.1787</v>
      </c>
      <c r="F1297" t="n">
        <v>0.03979</v>
      </c>
    </row>
    <row r="1298">
      <c r="A1298" t="n">
        <v>1001296</v>
      </c>
      <c r="B1298" t="n">
        <v>1</v>
      </c>
      <c r="C1298" t="n">
        <v>1296</v>
      </c>
      <c r="D1298" t="n">
        <v>1</v>
      </c>
      <c r="E1298" t="n">
        <v>100.1983</v>
      </c>
      <c r="F1298" t="n">
        <v>0.0398</v>
      </c>
    </row>
    <row r="1299">
      <c r="A1299" t="n">
        <v>1001297</v>
      </c>
      <c r="B1299" t="n">
        <v>1</v>
      </c>
      <c r="C1299" t="n">
        <v>1297</v>
      </c>
      <c r="D1299" t="n">
        <v>1</v>
      </c>
      <c r="E1299" t="n">
        <v>100.2178</v>
      </c>
      <c r="F1299" t="n">
        <v>0.0398</v>
      </c>
    </row>
    <row r="1300">
      <c r="A1300" t="n">
        <v>1001298</v>
      </c>
      <c r="B1300" t="n">
        <v>1</v>
      </c>
      <c r="C1300" t="n">
        <v>1298</v>
      </c>
      <c r="D1300" t="n">
        <v>1</v>
      </c>
      <c r="E1300" t="n">
        <v>100.2374</v>
      </c>
      <c r="F1300" t="n">
        <v>0.03981</v>
      </c>
    </row>
    <row r="1301">
      <c r="A1301" t="n">
        <v>1001299</v>
      </c>
      <c r="B1301" t="n">
        <v>1</v>
      </c>
      <c r="C1301" t="n">
        <v>1299</v>
      </c>
      <c r="D1301" t="n">
        <v>1</v>
      </c>
      <c r="E1301" t="n">
        <v>100.257</v>
      </c>
      <c r="F1301" t="n">
        <v>0.03981</v>
      </c>
    </row>
    <row r="1302">
      <c r="A1302" t="n">
        <v>1001300</v>
      </c>
      <c r="B1302" t="n">
        <v>1</v>
      </c>
      <c r="C1302" t="n">
        <v>1300</v>
      </c>
      <c r="D1302" t="n">
        <v>1</v>
      </c>
      <c r="E1302" t="n">
        <v>100.2765</v>
      </c>
      <c r="F1302" t="n">
        <v>0.03982</v>
      </c>
    </row>
    <row r="1303">
      <c r="A1303" t="n">
        <v>1001301</v>
      </c>
      <c r="B1303" t="n">
        <v>1</v>
      </c>
      <c r="C1303" t="n">
        <v>1301</v>
      </c>
      <c r="D1303" t="n">
        <v>1</v>
      </c>
      <c r="E1303" t="n">
        <v>100.2961</v>
      </c>
      <c r="F1303" t="n">
        <v>0.03982</v>
      </c>
    </row>
    <row r="1304">
      <c r="A1304" t="n">
        <v>1001302</v>
      </c>
      <c r="B1304" t="n">
        <v>1</v>
      </c>
      <c r="C1304" t="n">
        <v>1302</v>
      </c>
      <c r="D1304" t="n">
        <v>1</v>
      </c>
      <c r="E1304" t="n">
        <v>100.3156</v>
      </c>
      <c r="F1304" t="n">
        <v>0.03983</v>
      </c>
    </row>
    <row r="1305">
      <c r="A1305" t="n">
        <v>1001303</v>
      </c>
      <c r="B1305" t="n">
        <v>1</v>
      </c>
      <c r="C1305" t="n">
        <v>1303</v>
      </c>
      <c r="D1305" t="n">
        <v>1</v>
      </c>
      <c r="E1305" t="n">
        <v>100.3352</v>
      </c>
      <c r="F1305" t="n">
        <v>0.03983</v>
      </c>
    </row>
    <row r="1306">
      <c r="A1306" t="n">
        <v>1001304</v>
      </c>
      <c r="B1306" t="n">
        <v>1</v>
      </c>
      <c r="C1306" t="n">
        <v>1304</v>
      </c>
      <c r="D1306" t="n">
        <v>1</v>
      </c>
      <c r="E1306" t="n">
        <v>100.3547</v>
      </c>
      <c r="F1306" t="n">
        <v>0.03984</v>
      </c>
    </row>
    <row r="1307">
      <c r="A1307" t="n">
        <v>1001305</v>
      </c>
      <c r="B1307" t="n">
        <v>1</v>
      </c>
      <c r="C1307" t="n">
        <v>1305</v>
      </c>
      <c r="D1307" t="n">
        <v>1</v>
      </c>
      <c r="E1307" t="n">
        <v>100.3742</v>
      </c>
      <c r="F1307" t="n">
        <v>0.03984</v>
      </c>
    </row>
    <row r="1308">
      <c r="A1308" t="n">
        <v>1001306</v>
      </c>
      <c r="B1308" t="n">
        <v>1</v>
      </c>
      <c r="C1308" t="n">
        <v>1306</v>
      </c>
      <c r="D1308" t="n">
        <v>1</v>
      </c>
      <c r="E1308" t="n">
        <v>100.3937</v>
      </c>
      <c r="F1308" t="n">
        <v>0.03985</v>
      </c>
    </row>
    <row r="1309">
      <c r="A1309" t="n">
        <v>1001307</v>
      </c>
      <c r="B1309" t="n">
        <v>1</v>
      </c>
      <c r="C1309" t="n">
        <v>1307</v>
      </c>
      <c r="D1309" t="n">
        <v>1</v>
      </c>
      <c r="E1309" t="n">
        <v>100.4132</v>
      </c>
      <c r="F1309" t="n">
        <v>0.03985</v>
      </c>
    </row>
    <row r="1310">
      <c r="A1310" t="n">
        <v>1001308</v>
      </c>
      <c r="B1310" t="n">
        <v>1</v>
      </c>
      <c r="C1310" t="n">
        <v>1308</v>
      </c>
      <c r="D1310" t="n">
        <v>1</v>
      </c>
      <c r="E1310" t="n">
        <v>100.4327</v>
      </c>
      <c r="F1310" t="n">
        <v>0.03986</v>
      </c>
    </row>
    <row r="1311">
      <c r="A1311" t="n">
        <v>1001309</v>
      </c>
      <c r="B1311" t="n">
        <v>1</v>
      </c>
      <c r="C1311" t="n">
        <v>1309</v>
      </c>
      <c r="D1311" t="n">
        <v>1</v>
      </c>
      <c r="E1311" t="n">
        <v>100.4522</v>
      </c>
      <c r="F1311" t="n">
        <v>0.03986</v>
      </c>
    </row>
    <row r="1312">
      <c r="A1312" t="n">
        <v>1001310</v>
      </c>
      <c r="B1312" t="n">
        <v>1</v>
      </c>
      <c r="C1312" t="n">
        <v>1310</v>
      </c>
      <c r="D1312" t="n">
        <v>1</v>
      </c>
      <c r="E1312" t="n">
        <v>100.4717</v>
      </c>
      <c r="F1312" t="n">
        <v>0.03987</v>
      </c>
    </row>
    <row r="1313">
      <c r="A1313" t="n">
        <v>1001311</v>
      </c>
      <c r="B1313" t="n">
        <v>1</v>
      </c>
      <c r="C1313" t="n">
        <v>1311</v>
      </c>
      <c r="D1313" t="n">
        <v>1</v>
      </c>
      <c r="E1313" t="n">
        <v>100.4911</v>
      </c>
      <c r="F1313" t="n">
        <v>0.03987</v>
      </c>
    </row>
    <row r="1314">
      <c r="A1314" t="n">
        <v>1001312</v>
      </c>
      <c r="B1314" t="n">
        <v>1</v>
      </c>
      <c r="C1314" t="n">
        <v>1312</v>
      </c>
      <c r="D1314" t="n">
        <v>1</v>
      </c>
      <c r="E1314" t="n">
        <v>100.5106</v>
      </c>
      <c r="F1314" t="n">
        <v>0.03988</v>
      </c>
    </row>
    <row r="1315">
      <c r="A1315" t="n">
        <v>1001313</v>
      </c>
      <c r="B1315" t="n">
        <v>1</v>
      </c>
      <c r="C1315" t="n">
        <v>1313</v>
      </c>
      <c r="D1315" t="n">
        <v>1</v>
      </c>
      <c r="E1315" t="n">
        <v>100.53</v>
      </c>
      <c r="F1315" t="n">
        <v>0.03988</v>
      </c>
    </row>
    <row r="1316">
      <c r="A1316" t="n">
        <v>1001314</v>
      </c>
      <c r="B1316" t="n">
        <v>1</v>
      </c>
      <c r="C1316" t="n">
        <v>1314</v>
      </c>
      <c r="D1316" t="n">
        <v>1</v>
      </c>
      <c r="E1316" t="n">
        <v>100.5495</v>
      </c>
      <c r="F1316" t="n">
        <v>0.03989</v>
      </c>
    </row>
    <row r="1317">
      <c r="A1317" t="n">
        <v>1001315</v>
      </c>
      <c r="B1317" t="n">
        <v>1</v>
      </c>
      <c r="C1317" t="n">
        <v>1315</v>
      </c>
      <c r="D1317" t="n">
        <v>1</v>
      </c>
      <c r="E1317" t="n">
        <v>100.5689</v>
      </c>
      <c r="F1317" t="n">
        <v>0.0399</v>
      </c>
    </row>
    <row r="1318">
      <c r="A1318" t="n">
        <v>1001316</v>
      </c>
      <c r="B1318" t="n">
        <v>1</v>
      </c>
      <c r="C1318" t="n">
        <v>1316</v>
      </c>
      <c r="D1318" t="n">
        <v>1</v>
      </c>
      <c r="E1318" t="n">
        <v>100.5883</v>
      </c>
      <c r="F1318" t="n">
        <v>0.0399</v>
      </c>
    </row>
    <row r="1319">
      <c r="A1319" t="n">
        <v>1001317</v>
      </c>
      <c r="B1319" t="n">
        <v>1</v>
      </c>
      <c r="C1319" t="n">
        <v>1317</v>
      </c>
      <c r="D1319" t="n">
        <v>1</v>
      </c>
      <c r="E1319" t="n">
        <v>100.6077</v>
      </c>
      <c r="F1319" t="n">
        <v>0.03991</v>
      </c>
    </row>
    <row r="1320">
      <c r="A1320" t="n">
        <v>1001318</v>
      </c>
      <c r="B1320" t="n">
        <v>1</v>
      </c>
      <c r="C1320" t="n">
        <v>1318</v>
      </c>
      <c r="D1320" t="n">
        <v>1</v>
      </c>
      <c r="E1320" t="n">
        <v>100.6271</v>
      </c>
      <c r="F1320" t="n">
        <v>0.03991</v>
      </c>
    </row>
    <row r="1321">
      <c r="A1321" t="n">
        <v>1001319</v>
      </c>
      <c r="B1321" t="n">
        <v>1</v>
      </c>
      <c r="C1321" t="n">
        <v>1319</v>
      </c>
      <c r="D1321" t="n">
        <v>1</v>
      </c>
      <c r="E1321" t="n">
        <v>100.6465</v>
      </c>
      <c r="F1321" t="n">
        <v>0.03992</v>
      </c>
    </row>
    <row r="1322">
      <c r="A1322" t="n">
        <v>1001320</v>
      </c>
      <c r="B1322" t="n">
        <v>1</v>
      </c>
      <c r="C1322" t="n">
        <v>1320</v>
      </c>
      <c r="D1322" t="n">
        <v>1</v>
      </c>
      <c r="E1322" t="n">
        <v>100.6659</v>
      </c>
      <c r="F1322" t="n">
        <v>0.03992</v>
      </c>
    </row>
    <row r="1323">
      <c r="A1323" t="n">
        <v>1001321</v>
      </c>
      <c r="B1323" t="n">
        <v>1</v>
      </c>
      <c r="C1323" t="n">
        <v>1321</v>
      </c>
      <c r="D1323" t="n">
        <v>1</v>
      </c>
      <c r="E1323" t="n">
        <v>100.6853</v>
      </c>
      <c r="F1323" t="n">
        <v>0.03993</v>
      </c>
    </row>
    <row r="1324">
      <c r="A1324" t="n">
        <v>1001322</v>
      </c>
      <c r="B1324" t="n">
        <v>1</v>
      </c>
      <c r="C1324" t="n">
        <v>1322</v>
      </c>
      <c r="D1324" t="n">
        <v>1</v>
      </c>
      <c r="E1324" t="n">
        <v>100.7046</v>
      </c>
      <c r="F1324" t="n">
        <v>0.03993</v>
      </c>
    </row>
    <row r="1325">
      <c r="A1325" t="n">
        <v>1001323</v>
      </c>
      <c r="B1325" t="n">
        <v>1</v>
      </c>
      <c r="C1325" t="n">
        <v>1323</v>
      </c>
      <c r="D1325" t="n">
        <v>1</v>
      </c>
      <c r="E1325" t="n">
        <v>100.724</v>
      </c>
      <c r="F1325" t="n">
        <v>0.03994</v>
      </c>
    </row>
    <row r="1326">
      <c r="A1326" t="n">
        <v>1001324</v>
      </c>
      <c r="B1326" t="n">
        <v>1</v>
      </c>
      <c r="C1326" t="n">
        <v>1324</v>
      </c>
      <c r="D1326" t="n">
        <v>1</v>
      </c>
      <c r="E1326" t="n">
        <v>100.7434</v>
      </c>
      <c r="F1326" t="n">
        <v>0.03994</v>
      </c>
    </row>
    <row r="1327">
      <c r="A1327" t="n">
        <v>1001325</v>
      </c>
      <c r="B1327" t="n">
        <v>1</v>
      </c>
      <c r="C1327" t="n">
        <v>1325</v>
      </c>
      <c r="D1327" t="n">
        <v>1</v>
      </c>
      <c r="E1327" t="n">
        <v>100.7627</v>
      </c>
      <c r="F1327" t="n">
        <v>0.03995</v>
      </c>
    </row>
    <row r="1328">
      <c r="A1328" t="n">
        <v>1001326</v>
      </c>
      <c r="B1328" t="n">
        <v>1</v>
      </c>
      <c r="C1328" t="n">
        <v>1326</v>
      </c>
      <c r="D1328" t="n">
        <v>1</v>
      </c>
      <c r="E1328" t="n">
        <v>100.782</v>
      </c>
      <c r="F1328" t="n">
        <v>0.03995</v>
      </c>
    </row>
    <row r="1329">
      <c r="A1329" t="n">
        <v>1001327</v>
      </c>
      <c r="B1329" t="n">
        <v>1</v>
      </c>
      <c r="C1329" t="n">
        <v>1327</v>
      </c>
      <c r="D1329" t="n">
        <v>1</v>
      </c>
      <c r="E1329" t="n">
        <v>100.8013</v>
      </c>
      <c r="F1329" t="n">
        <v>0.03996</v>
      </c>
    </row>
    <row r="1330">
      <c r="A1330" t="n">
        <v>1001328</v>
      </c>
      <c r="B1330" t="n">
        <v>1</v>
      </c>
      <c r="C1330" t="n">
        <v>1328</v>
      </c>
      <c r="D1330" t="n">
        <v>1</v>
      </c>
      <c r="E1330" t="n">
        <v>100.8207</v>
      </c>
      <c r="F1330" t="n">
        <v>0.03996</v>
      </c>
    </row>
    <row r="1331">
      <c r="A1331" t="n">
        <v>1001329</v>
      </c>
      <c r="B1331" t="n">
        <v>1</v>
      </c>
      <c r="C1331" t="n">
        <v>1329</v>
      </c>
      <c r="D1331" t="n">
        <v>1</v>
      </c>
      <c r="E1331" t="n">
        <v>100.84</v>
      </c>
      <c r="F1331" t="n">
        <v>0.03997</v>
      </c>
    </row>
    <row r="1332">
      <c r="A1332" t="n">
        <v>1001330</v>
      </c>
      <c r="B1332" t="n">
        <v>1</v>
      </c>
      <c r="C1332" t="n">
        <v>1330</v>
      </c>
      <c r="D1332" t="n">
        <v>1</v>
      </c>
      <c r="E1332" t="n">
        <v>100.8593</v>
      </c>
      <c r="F1332" t="n">
        <v>0.03997</v>
      </c>
    </row>
    <row r="1333">
      <c r="A1333" t="n">
        <v>1001331</v>
      </c>
      <c r="B1333" t="n">
        <v>1</v>
      </c>
      <c r="C1333" t="n">
        <v>1331</v>
      </c>
      <c r="D1333" t="n">
        <v>1</v>
      </c>
      <c r="E1333" t="n">
        <v>100.8786</v>
      </c>
      <c r="F1333" t="n">
        <v>0.03998</v>
      </c>
    </row>
    <row r="1334">
      <c r="A1334" t="n">
        <v>1001332</v>
      </c>
      <c r="B1334" t="n">
        <v>1</v>
      </c>
      <c r="C1334" t="n">
        <v>1332</v>
      </c>
      <c r="D1334" t="n">
        <v>1</v>
      </c>
      <c r="E1334" t="n">
        <v>100.8978</v>
      </c>
      <c r="F1334" t="n">
        <v>0.03998</v>
      </c>
    </row>
    <row r="1335">
      <c r="A1335" t="n">
        <v>1001333</v>
      </c>
      <c r="B1335" t="n">
        <v>1</v>
      </c>
      <c r="C1335" t="n">
        <v>1333</v>
      </c>
      <c r="D1335" t="n">
        <v>1</v>
      </c>
      <c r="E1335" t="n">
        <v>100.9171</v>
      </c>
      <c r="F1335" t="n">
        <v>0.03999</v>
      </c>
    </row>
    <row r="1336">
      <c r="A1336" t="n">
        <v>1001334</v>
      </c>
      <c r="B1336" t="n">
        <v>1</v>
      </c>
      <c r="C1336" t="n">
        <v>1334</v>
      </c>
      <c r="D1336" t="n">
        <v>1</v>
      </c>
      <c r="E1336" t="n">
        <v>100.9364</v>
      </c>
      <c r="F1336" t="n">
        <v>0.03999</v>
      </c>
    </row>
    <row r="1337">
      <c r="A1337" t="n">
        <v>1001335</v>
      </c>
      <c r="B1337" t="n">
        <v>1</v>
      </c>
      <c r="C1337" t="n">
        <v>1335</v>
      </c>
      <c r="D1337" t="n">
        <v>1</v>
      </c>
      <c r="E1337" t="n">
        <v>100.9556</v>
      </c>
      <c r="F1337" t="n">
        <v>0.04</v>
      </c>
    </row>
    <row r="1338">
      <c r="A1338" t="n">
        <v>1001336</v>
      </c>
      <c r="B1338" t="n">
        <v>1</v>
      </c>
      <c r="C1338" t="n">
        <v>1336</v>
      </c>
      <c r="D1338" t="n">
        <v>1</v>
      </c>
      <c r="E1338" t="n">
        <v>100.9749</v>
      </c>
      <c r="F1338" t="n">
        <v>0.04</v>
      </c>
    </row>
    <row r="1339">
      <c r="A1339" t="n">
        <v>1001337</v>
      </c>
      <c r="B1339" t="n">
        <v>1</v>
      </c>
      <c r="C1339" t="n">
        <v>1337</v>
      </c>
      <c r="D1339" t="n">
        <v>1</v>
      </c>
      <c r="E1339" t="n">
        <v>100.9941</v>
      </c>
      <c r="F1339" t="n">
        <v>0.04001</v>
      </c>
    </row>
    <row r="1340">
      <c r="A1340" t="n">
        <v>1001338</v>
      </c>
      <c r="B1340" t="n">
        <v>1</v>
      </c>
      <c r="C1340" t="n">
        <v>1338</v>
      </c>
      <c r="D1340" t="n">
        <v>1</v>
      </c>
      <c r="E1340" t="n">
        <v>101.0134</v>
      </c>
      <c r="F1340" t="n">
        <v>0.04001</v>
      </c>
    </row>
    <row r="1341">
      <c r="A1341" t="n">
        <v>1001339</v>
      </c>
      <c r="B1341" t="n">
        <v>1</v>
      </c>
      <c r="C1341" t="n">
        <v>1339</v>
      </c>
      <c r="D1341" t="n">
        <v>1</v>
      </c>
      <c r="E1341" t="n">
        <v>101.0326</v>
      </c>
      <c r="F1341" t="n">
        <v>0.04002</v>
      </c>
    </row>
    <row r="1342">
      <c r="A1342" t="n">
        <v>1001340</v>
      </c>
      <c r="B1342" t="n">
        <v>1</v>
      </c>
      <c r="C1342" t="n">
        <v>1340</v>
      </c>
      <c r="D1342" t="n">
        <v>1</v>
      </c>
      <c r="E1342" t="n">
        <v>101.0518</v>
      </c>
      <c r="F1342" t="n">
        <v>0.04002</v>
      </c>
    </row>
    <row r="1343">
      <c r="A1343" t="n">
        <v>1001341</v>
      </c>
      <c r="B1343" t="n">
        <v>1</v>
      </c>
      <c r="C1343" t="n">
        <v>1341</v>
      </c>
      <c r="D1343" t="n">
        <v>1</v>
      </c>
      <c r="E1343" t="n">
        <v>101.071</v>
      </c>
      <c r="F1343" t="n">
        <v>0.04003</v>
      </c>
    </row>
    <row r="1344">
      <c r="A1344" t="n">
        <v>1001342</v>
      </c>
      <c r="B1344" t="n">
        <v>1</v>
      </c>
      <c r="C1344" t="n">
        <v>1342</v>
      </c>
      <c r="D1344" t="n">
        <v>1</v>
      </c>
      <c r="E1344" t="n">
        <v>101.0902</v>
      </c>
      <c r="F1344" t="n">
        <v>0.04003</v>
      </c>
    </row>
    <row r="1345">
      <c r="A1345" t="n">
        <v>1001343</v>
      </c>
      <c r="B1345" t="n">
        <v>1</v>
      </c>
      <c r="C1345" t="n">
        <v>1343</v>
      </c>
      <c r="D1345" t="n">
        <v>1</v>
      </c>
      <c r="E1345" t="n">
        <v>101.1094</v>
      </c>
      <c r="F1345" t="n">
        <v>0.04004</v>
      </c>
    </row>
    <row r="1346">
      <c r="A1346" t="n">
        <v>1001344</v>
      </c>
      <c r="B1346" t="n">
        <v>1</v>
      </c>
      <c r="C1346" t="n">
        <v>1344</v>
      </c>
      <c r="D1346" t="n">
        <v>1</v>
      </c>
      <c r="E1346" t="n">
        <v>101.1286</v>
      </c>
      <c r="F1346" t="n">
        <v>0.04004</v>
      </c>
    </row>
    <row r="1347">
      <c r="A1347" t="n">
        <v>1001345</v>
      </c>
      <c r="B1347" t="n">
        <v>1</v>
      </c>
      <c r="C1347" t="n">
        <v>1345</v>
      </c>
      <c r="D1347" t="n">
        <v>1</v>
      </c>
      <c r="E1347" t="n">
        <v>101.1477</v>
      </c>
      <c r="F1347" t="n">
        <v>0.04004</v>
      </c>
    </row>
    <row r="1348">
      <c r="A1348" t="n">
        <v>1001346</v>
      </c>
      <c r="B1348" t="n">
        <v>1</v>
      </c>
      <c r="C1348" t="n">
        <v>1346</v>
      </c>
      <c r="D1348" t="n">
        <v>1</v>
      </c>
      <c r="E1348" t="n">
        <v>101.1669</v>
      </c>
      <c r="F1348" t="n">
        <v>0.04005</v>
      </c>
    </row>
    <row r="1349">
      <c r="A1349" t="n">
        <v>1001347</v>
      </c>
      <c r="B1349" t="n">
        <v>1</v>
      </c>
      <c r="C1349" t="n">
        <v>1347</v>
      </c>
      <c r="D1349" t="n">
        <v>1</v>
      </c>
      <c r="E1349" t="n">
        <v>101.1861</v>
      </c>
      <c r="F1349" t="n">
        <v>0.04005</v>
      </c>
    </row>
    <row r="1350">
      <c r="A1350" t="n">
        <v>1001348</v>
      </c>
      <c r="B1350" t="n">
        <v>1</v>
      </c>
      <c r="C1350" t="n">
        <v>1348</v>
      </c>
      <c r="D1350" t="n">
        <v>1</v>
      </c>
      <c r="E1350" t="n">
        <v>101.2052</v>
      </c>
      <c r="F1350" t="n">
        <v>0.04006</v>
      </c>
    </row>
    <row r="1351">
      <c r="A1351" t="n">
        <v>1001349</v>
      </c>
      <c r="B1351" t="n">
        <v>1</v>
      </c>
      <c r="C1351" t="n">
        <v>1349</v>
      </c>
      <c r="D1351" t="n">
        <v>1</v>
      </c>
      <c r="E1351" t="n">
        <v>101.2244</v>
      </c>
      <c r="F1351" t="n">
        <v>0.04006</v>
      </c>
    </row>
    <row r="1352">
      <c r="A1352" t="n">
        <v>1001350</v>
      </c>
      <c r="B1352" t="n">
        <v>1</v>
      </c>
      <c r="C1352" t="n">
        <v>1350</v>
      </c>
      <c r="D1352" t="n">
        <v>1</v>
      </c>
      <c r="E1352" t="n">
        <v>101.2435</v>
      </c>
      <c r="F1352" t="n">
        <v>0.04007</v>
      </c>
    </row>
    <row r="1353">
      <c r="A1353" t="n">
        <v>1001351</v>
      </c>
      <c r="B1353" t="n">
        <v>1</v>
      </c>
      <c r="C1353" t="n">
        <v>1351</v>
      </c>
      <c r="D1353" t="n">
        <v>1</v>
      </c>
      <c r="E1353" t="n">
        <v>101.2626</v>
      </c>
      <c r="F1353" t="n">
        <v>0.04007</v>
      </c>
    </row>
    <row r="1354">
      <c r="A1354" t="n">
        <v>1001352</v>
      </c>
      <c r="B1354" t="n">
        <v>1</v>
      </c>
      <c r="C1354" t="n">
        <v>1352</v>
      </c>
      <c r="D1354" t="n">
        <v>1</v>
      </c>
      <c r="E1354" t="n">
        <v>101.2817</v>
      </c>
      <c r="F1354" t="n">
        <v>0.04008</v>
      </c>
    </row>
    <row r="1355">
      <c r="A1355" t="n">
        <v>1001353</v>
      </c>
      <c r="B1355" t="n">
        <v>1</v>
      </c>
      <c r="C1355" t="n">
        <v>1353</v>
      </c>
      <c r="D1355" t="n">
        <v>1</v>
      </c>
      <c r="E1355" t="n">
        <v>101.3008</v>
      </c>
      <c r="F1355" t="n">
        <v>0.04008</v>
      </c>
    </row>
    <row r="1356">
      <c r="A1356" t="n">
        <v>1001354</v>
      </c>
      <c r="B1356" t="n">
        <v>1</v>
      </c>
      <c r="C1356" t="n">
        <v>1354</v>
      </c>
      <c r="D1356" t="n">
        <v>1</v>
      </c>
      <c r="E1356" t="n">
        <v>101.32</v>
      </c>
      <c r="F1356" t="n">
        <v>0.04009</v>
      </c>
    </row>
    <row r="1357">
      <c r="A1357" t="n">
        <v>1001355</v>
      </c>
      <c r="B1357" t="n">
        <v>1</v>
      </c>
      <c r="C1357" t="n">
        <v>1355</v>
      </c>
      <c r="D1357" t="n">
        <v>1</v>
      </c>
      <c r="E1357" t="n">
        <v>101.339</v>
      </c>
      <c r="F1357" t="n">
        <v>0.04009</v>
      </c>
    </row>
    <row r="1358">
      <c r="A1358" t="n">
        <v>1001356</v>
      </c>
      <c r="B1358" t="n">
        <v>1</v>
      </c>
      <c r="C1358" t="n">
        <v>1356</v>
      </c>
      <c r="D1358" t="n">
        <v>1</v>
      </c>
      <c r="E1358" t="n">
        <v>101.3581</v>
      </c>
      <c r="F1358" t="n">
        <v>0.0401</v>
      </c>
    </row>
    <row r="1359">
      <c r="A1359" t="n">
        <v>1001357</v>
      </c>
      <c r="B1359" t="n">
        <v>1</v>
      </c>
      <c r="C1359" t="n">
        <v>1357</v>
      </c>
      <c r="D1359" t="n">
        <v>1</v>
      </c>
      <c r="E1359" t="n">
        <v>101.3772</v>
      </c>
      <c r="F1359" t="n">
        <v>0.0401</v>
      </c>
    </row>
    <row r="1360">
      <c r="A1360" t="n">
        <v>1001358</v>
      </c>
      <c r="B1360" t="n">
        <v>1</v>
      </c>
      <c r="C1360" t="n">
        <v>1358</v>
      </c>
      <c r="D1360" t="n">
        <v>1</v>
      </c>
      <c r="E1360" t="n">
        <v>101.3963</v>
      </c>
      <c r="F1360" t="n">
        <v>0.04011</v>
      </c>
    </row>
    <row r="1361">
      <c r="A1361" t="n">
        <v>1001359</v>
      </c>
      <c r="B1361" t="n">
        <v>1</v>
      </c>
      <c r="C1361" t="n">
        <v>1359</v>
      </c>
      <c r="D1361" t="n">
        <v>1</v>
      </c>
      <c r="E1361" t="n">
        <v>101.4153</v>
      </c>
      <c r="F1361" t="n">
        <v>0.04011</v>
      </c>
    </row>
    <row r="1362">
      <c r="A1362" t="n">
        <v>1001360</v>
      </c>
      <c r="B1362" t="n">
        <v>1</v>
      </c>
      <c r="C1362" t="n">
        <v>1360</v>
      </c>
      <c r="D1362" t="n">
        <v>1</v>
      </c>
      <c r="E1362" t="n">
        <v>101.4344</v>
      </c>
      <c r="F1362" t="n">
        <v>0.04012</v>
      </c>
    </row>
    <row r="1363">
      <c r="A1363" t="n">
        <v>1001361</v>
      </c>
      <c r="B1363" t="n">
        <v>1</v>
      </c>
      <c r="C1363" t="n">
        <v>1361</v>
      </c>
      <c r="D1363" t="n">
        <v>1</v>
      </c>
      <c r="E1363" t="n">
        <v>101.4535</v>
      </c>
      <c r="F1363" t="n">
        <v>0.04012</v>
      </c>
    </row>
    <row r="1364">
      <c r="A1364" t="n">
        <v>1001362</v>
      </c>
      <c r="B1364" t="n">
        <v>1</v>
      </c>
      <c r="C1364" t="n">
        <v>1362</v>
      </c>
      <c r="D1364" t="n">
        <v>1</v>
      </c>
      <c r="E1364" t="n">
        <v>101.4725</v>
      </c>
      <c r="F1364" t="n">
        <v>0.04013</v>
      </c>
    </row>
    <row r="1365">
      <c r="A1365" t="n">
        <v>1001363</v>
      </c>
      <c r="B1365" t="n">
        <v>1</v>
      </c>
      <c r="C1365" t="n">
        <v>1363</v>
      </c>
      <c r="D1365" t="n">
        <v>1</v>
      </c>
      <c r="E1365" t="n">
        <v>101.4915</v>
      </c>
      <c r="F1365" t="n">
        <v>0.04013</v>
      </c>
    </row>
    <row r="1366">
      <c r="A1366" t="n">
        <v>1001364</v>
      </c>
      <c r="B1366" t="n">
        <v>1</v>
      </c>
      <c r="C1366" t="n">
        <v>1364</v>
      </c>
      <c r="D1366" t="n">
        <v>1</v>
      </c>
      <c r="E1366" t="n">
        <v>101.5106</v>
      </c>
      <c r="F1366" t="n">
        <v>0.04014</v>
      </c>
    </row>
    <row r="1367">
      <c r="A1367" t="n">
        <v>1001365</v>
      </c>
      <c r="B1367" t="n">
        <v>1</v>
      </c>
      <c r="C1367" t="n">
        <v>1365</v>
      </c>
      <c r="D1367" t="n">
        <v>1</v>
      </c>
      <c r="E1367" t="n">
        <v>101.5296</v>
      </c>
      <c r="F1367" t="n">
        <v>0.04014</v>
      </c>
    </row>
    <row r="1368">
      <c r="A1368" t="n">
        <v>1001366</v>
      </c>
      <c r="B1368" t="n">
        <v>1</v>
      </c>
      <c r="C1368" t="n">
        <v>1366</v>
      </c>
      <c r="D1368" t="n">
        <v>1</v>
      </c>
      <c r="E1368" t="n">
        <v>101.5486</v>
      </c>
      <c r="F1368" t="n">
        <v>0.04015</v>
      </c>
    </row>
    <row r="1369">
      <c r="A1369" t="n">
        <v>1001367</v>
      </c>
      <c r="B1369" t="n">
        <v>1</v>
      </c>
      <c r="C1369" t="n">
        <v>1367</v>
      </c>
      <c r="D1369" t="n">
        <v>1</v>
      </c>
      <c r="E1369" t="n">
        <v>101.5676</v>
      </c>
      <c r="F1369" t="n">
        <v>0.04015</v>
      </c>
    </row>
    <row r="1370">
      <c r="A1370" t="n">
        <v>1001368</v>
      </c>
      <c r="B1370" t="n">
        <v>1</v>
      </c>
      <c r="C1370" t="n">
        <v>1368</v>
      </c>
      <c r="D1370" t="n">
        <v>1</v>
      </c>
      <c r="E1370" t="n">
        <v>101.5866</v>
      </c>
      <c r="F1370" t="n">
        <v>0.04016</v>
      </c>
    </row>
    <row r="1371">
      <c r="A1371" t="n">
        <v>1001369</v>
      </c>
      <c r="B1371" t="n">
        <v>1</v>
      </c>
      <c r="C1371" t="n">
        <v>1369</v>
      </c>
      <c r="D1371" t="n">
        <v>1</v>
      </c>
      <c r="E1371" t="n">
        <v>101.6056</v>
      </c>
      <c r="F1371" t="n">
        <v>0.04016</v>
      </c>
    </row>
    <row r="1372">
      <c r="A1372" t="n">
        <v>1001370</v>
      </c>
      <c r="B1372" t="n">
        <v>1</v>
      </c>
      <c r="C1372" t="n">
        <v>1370</v>
      </c>
      <c r="D1372" t="n">
        <v>1</v>
      </c>
      <c r="E1372" t="n">
        <v>101.6246</v>
      </c>
      <c r="F1372" t="n">
        <v>0.04017</v>
      </c>
    </row>
    <row r="1373">
      <c r="A1373" t="n">
        <v>1001371</v>
      </c>
      <c r="B1373" t="n">
        <v>1</v>
      </c>
      <c r="C1373" t="n">
        <v>1371</v>
      </c>
      <c r="D1373" t="n">
        <v>1</v>
      </c>
      <c r="E1373" t="n">
        <v>101.6435</v>
      </c>
      <c r="F1373" t="n">
        <v>0.04017</v>
      </c>
    </row>
    <row r="1374">
      <c r="A1374" t="n">
        <v>1001372</v>
      </c>
      <c r="B1374" t="n">
        <v>1</v>
      </c>
      <c r="C1374" t="n">
        <v>1372</v>
      </c>
      <c r="D1374" t="n">
        <v>1</v>
      </c>
      <c r="E1374" t="n">
        <v>101.6625</v>
      </c>
      <c r="F1374" t="n">
        <v>0.04018</v>
      </c>
    </row>
    <row r="1375">
      <c r="A1375" t="n">
        <v>1001373</v>
      </c>
      <c r="B1375" t="n">
        <v>1</v>
      </c>
      <c r="C1375" t="n">
        <v>1373</v>
      </c>
      <c r="D1375" t="n">
        <v>1</v>
      </c>
      <c r="E1375" t="n">
        <v>101.6815</v>
      </c>
      <c r="F1375" t="n">
        <v>0.04018</v>
      </c>
    </row>
    <row r="1376">
      <c r="A1376" t="n">
        <v>1001374</v>
      </c>
      <c r="B1376" t="n">
        <v>1</v>
      </c>
      <c r="C1376" t="n">
        <v>1374</v>
      </c>
      <c r="D1376" t="n">
        <v>1</v>
      </c>
      <c r="E1376" t="n">
        <v>101.7004</v>
      </c>
      <c r="F1376" t="n">
        <v>0.04019</v>
      </c>
    </row>
    <row r="1377">
      <c r="A1377" t="n">
        <v>1001375</v>
      </c>
      <c r="B1377" t="n">
        <v>1</v>
      </c>
      <c r="C1377" t="n">
        <v>1375</v>
      </c>
      <c r="D1377" t="n">
        <v>1</v>
      </c>
      <c r="E1377" t="n">
        <v>101.7194</v>
      </c>
      <c r="F1377" t="n">
        <v>0.04019</v>
      </c>
    </row>
    <row r="1378">
      <c r="A1378" t="n">
        <v>1001376</v>
      </c>
      <c r="B1378" t="n">
        <v>1</v>
      </c>
      <c r="C1378" t="n">
        <v>1376</v>
      </c>
      <c r="D1378" t="n">
        <v>1</v>
      </c>
      <c r="E1378" t="n">
        <v>101.7383</v>
      </c>
      <c r="F1378" t="n">
        <v>0.0402</v>
      </c>
    </row>
    <row r="1379">
      <c r="A1379" t="n">
        <v>1001377</v>
      </c>
      <c r="B1379" t="n">
        <v>1</v>
      </c>
      <c r="C1379" t="n">
        <v>1377</v>
      </c>
      <c r="D1379" t="n">
        <v>1</v>
      </c>
      <c r="E1379" t="n">
        <v>101.7572</v>
      </c>
      <c r="F1379" t="n">
        <v>0.0402</v>
      </c>
    </row>
    <row r="1380">
      <c r="A1380" t="n">
        <v>1001378</v>
      </c>
      <c r="B1380" t="n">
        <v>1</v>
      </c>
      <c r="C1380" t="n">
        <v>1378</v>
      </c>
      <c r="D1380" t="n">
        <v>1</v>
      </c>
      <c r="E1380" t="n">
        <v>101.7762</v>
      </c>
      <c r="F1380" t="n">
        <v>0.0402</v>
      </c>
    </row>
    <row r="1381">
      <c r="A1381" t="n">
        <v>1001379</v>
      </c>
      <c r="B1381" t="n">
        <v>1</v>
      </c>
      <c r="C1381" t="n">
        <v>1379</v>
      </c>
      <c r="D1381" t="n">
        <v>1</v>
      </c>
      <c r="E1381" t="n">
        <v>101.7951</v>
      </c>
      <c r="F1381" t="n">
        <v>0.04021</v>
      </c>
    </row>
    <row r="1382">
      <c r="A1382" t="n">
        <v>1001380</v>
      </c>
      <c r="B1382" t="n">
        <v>1</v>
      </c>
      <c r="C1382" t="n">
        <v>1380</v>
      </c>
      <c r="D1382" t="n">
        <v>1</v>
      </c>
      <c r="E1382" t="n">
        <v>101.814</v>
      </c>
      <c r="F1382" t="n">
        <v>0.04021</v>
      </c>
    </row>
    <row r="1383">
      <c r="A1383" t="n">
        <v>1001381</v>
      </c>
      <c r="B1383" t="n">
        <v>1</v>
      </c>
      <c r="C1383" t="n">
        <v>1381</v>
      </c>
      <c r="D1383" t="n">
        <v>1</v>
      </c>
      <c r="E1383" t="n">
        <v>101.8329</v>
      </c>
      <c r="F1383" t="n">
        <v>0.04022</v>
      </c>
    </row>
    <row r="1384">
      <c r="A1384" t="n">
        <v>1001382</v>
      </c>
      <c r="B1384" t="n">
        <v>1</v>
      </c>
      <c r="C1384" t="n">
        <v>1382</v>
      </c>
      <c r="D1384" t="n">
        <v>1</v>
      </c>
      <c r="E1384" t="n">
        <v>101.8518</v>
      </c>
      <c r="F1384" t="n">
        <v>0.04022</v>
      </c>
    </row>
    <row r="1385">
      <c r="A1385" t="n">
        <v>1001383</v>
      </c>
      <c r="B1385" t="n">
        <v>1</v>
      </c>
      <c r="C1385" t="n">
        <v>1383</v>
      </c>
      <c r="D1385" t="n">
        <v>1</v>
      </c>
      <c r="E1385" t="n">
        <v>101.8707</v>
      </c>
      <c r="F1385" t="n">
        <v>0.04023</v>
      </c>
    </row>
    <row r="1386">
      <c r="A1386" t="n">
        <v>1001384</v>
      </c>
      <c r="B1386" t="n">
        <v>1</v>
      </c>
      <c r="C1386" t="n">
        <v>1384</v>
      </c>
      <c r="D1386" t="n">
        <v>1</v>
      </c>
      <c r="E1386" t="n">
        <v>101.8896</v>
      </c>
      <c r="F1386" t="n">
        <v>0.04023</v>
      </c>
    </row>
    <row r="1387">
      <c r="A1387" t="n">
        <v>1001385</v>
      </c>
      <c r="B1387" t="n">
        <v>1</v>
      </c>
      <c r="C1387" t="n">
        <v>1385</v>
      </c>
      <c r="D1387" t="n">
        <v>1</v>
      </c>
      <c r="E1387" t="n">
        <v>101.9085</v>
      </c>
      <c r="F1387" t="n">
        <v>0.04024</v>
      </c>
    </row>
    <row r="1388">
      <c r="A1388" t="n">
        <v>1001386</v>
      </c>
      <c r="B1388" t="n">
        <v>1</v>
      </c>
      <c r="C1388" t="n">
        <v>1386</v>
      </c>
      <c r="D1388" t="n">
        <v>1</v>
      </c>
      <c r="E1388" t="n">
        <v>101.9274</v>
      </c>
      <c r="F1388" t="n">
        <v>0.04024</v>
      </c>
    </row>
    <row r="1389">
      <c r="A1389" t="n">
        <v>1001387</v>
      </c>
      <c r="B1389" t="n">
        <v>1</v>
      </c>
      <c r="C1389" t="n">
        <v>1387</v>
      </c>
      <c r="D1389" t="n">
        <v>1</v>
      </c>
      <c r="E1389" t="n">
        <v>101.9462</v>
      </c>
      <c r="F1389" t="n">
        <v>0.04025</v>
      </c>
    </row>
    <row r="1390">
      <c r="A1390" t="n">
        <v>1001388</v>
      </c>
      <c r="B1390" t="n">
        <v>1</v>
      </c>
      <c r="C1390" t="n">
        <v>1388</v>
      </c>
      <c r="D1390" t="n">
        <v>1</v>
      </c>
      <c r="E1390" t="n">
        <v>101.9651</v>
      </c>
      <c r="F1390" t="n">
        <v>0.04025</v>
      </c>
    </row>
    <row r="1391">
      <c r="A1391" t="n">
        <v>1001389</v>
      </c>
      <c r="B1391" t="n">
        <v>1</v>
      </c>
      <c r="C1391" t="n">
        <v>1389</v>
      </c>
      <c r="D1391" t="n">
        <v>1</v>
      </c>
      <c r="E1391" t="n">
        <v>101.9839</v>
      </c>
      <c r="F1391" t="n">
        <v>0.04026</v>
      </c>
    </row>
    <row r="1392">
      <c r="A1392" t="n">
        <v>1001390</v>
      </c>
      <c r="B1392" t="n">
        <v>1</v>
      </c>
      <c r="C1392" t="n">
        <v>1390</v>
      </c>
      <c r="D1392" t="n">
        <v>1</v>
      </c>
      <c r="E1392" t="n">
        <v>102.0028</v>
      </c>
      <c r="F1392" t="n">
        <v>0.04026</v>
      </c>
    </row>
    <row r="1393">
      <c r="A1393" t="n">
        <v>1001391</v>
      </c>
      <c r="B1393" t="n">
        <v>1</v>
      </c>
      <c r="C1393" t="n">
        <v>1391</v>
      </c>
      <c r="D1393" t="n">
        <v>1</v>
      </c>
      <c r="E1393" t="n">
        <v>102.0216</v>
      </c>
      <c r="F1393" t="n">
        <v>0.04027</v>
      </c>
    </row>
    <row r="1394">
      <c r="A1394" t="n">
        <v>1001392</v>
      </c>
      <c r="B1394" t="n">
        <v>1</v>
      </c>
      <c r="C1394" t="n">
        <v>1392</v>
      </c>
      <c r="D1394" t="n">
        <v>1</v>
      </c>
      <c r="E1394" t="n">
        <v>102.0405</v>
      </c>
      <c r="F1394" t="n">
        <v>0.04027</v>
      </c>
    </row>
    <row r="1395">
      <c r="A1395" t="n">
        <v>1001393</v>
      </c>
      <c r="B1395" t="n">
        <v>1</v>
      </c>
      <c r="C1395" t="n">
        <v>1393</v>
      </c>
      <c r="D1395" t="n">
        <v>1</v>
      </c>
      <c r="E1395" t="n">
        <v>102.0593</v>
      </c>
      <c r="F1395" t="n">
        <v>0.04028</v>
      </c>
    </row>
    <row r="1396">
      <c r="A1396" t="n">
        <v>1001394</v>
      </c>
      <c r="B1396" t="n">
        <v>1</v>
      </c>
      <c r="C1396" t="n">
        <v>1394</v>
      </c>
      <c r="D1396" t="n">
        <v>1</v>
      </c>
      <c r="E1396" t="n">
        <v>102.0781</v>
      </c>
      <c r="F1396" t="n">
        <v>0.04028</v>
      </c>
    </row>
    <row r="1397">
      <c r="A1397" t="n">
        <v>1001395</v>
      </c>
      <c r="B1397" t="n">
        <v>1</v>
      </c>
      <c r="C1397" t="n">
        <v>1395</v>
      </c>
      <c r="D1397" t="n">
        <v>1</v>
      </c>
      <c r="E1397" t="n">
        <v>102.097</v>
      </c>
      <c r="F1397" t="n">
        <v>0.04029</v>
      </c>
    </row>
    <row r="1398">
      <c r="A1398" t="n">
        <v>1001396</v>
      </c>
      <c r="B1398" t="n">
        <v>1</v>
      </c>
      <c r="C1398" t="n">
        <v>1396</v>
      </c>
      <c r="D1398" t="n">
        <v>1</v>
      </c>
      <c r="E1398" t="n">
        <v>102.1158</v>
      </c>
      <c r="F1398" t="n">
        <v>0.04029</v>
      </c>
    </row>
    <row r="1399">
      <c r="A1399" t="n">
        <v>1001397</v>
      </c>
      <c r="B1399" t="n">
        <v>1</v>
      </c>
      <c r="C1399" t="n">
        <v>1397</v>
      </c>
      <c r="D1399" t="n">
        <v>1</v>
      </c>
      <c r="E1399" t="n">
        <v>102.1346</v>
      </c>
      <c r="F1399" t="n">
        <v>0.0403</v>
      </c>
    </row>
    <row r="1400">
      <c r="A1400" t="n">
        <v>1001398</v>
      </c>
      <c r="B1400" t="n">
        <v>1</v>
      </c>
      <c r="C1400" t="n">
        <v>1398</v>
      </c>
      <c r="D1400" t="n">
        <v>1</v>
      </c>
      <c r="E1400" t="n">
        <v>102.1534</v>
      </c>
      <c r="F1400" t="n">
        <v>0.0403</v>
      </c>
    </row>
    <row r="1401">
      <c r="A1401" t="n">
        <v>1001399</v>
      </c>
      <c r="B1401" t="n">
        <v>1</v>
      </c>
      <c r="C1401" t="n">
        <v>1399</v>
      </c>
      <c r="D1401" t="n">
        <v>1</v>
      </c>
      <c r="E1401" t="n">
        <v>102.1722</v>
      </c>
      <c r="F1401" t="n">
        <v>0.0403</v>
      </c>
    </row>
    <row r="1402">
      <c r="A1402" t="n">
        <v>1001400</v>
      </c>
      <c r="B1402" t="n">
        <v>1</v>
      </c>
      <c r="C1402" t="n">
        <v>1400</v>
      </c>
      <c r="D1402" t="n">
        <v>1</v>
      </c>
      <c r="E1402" t="n">
        <v>102.191</v>
      </c>
      <c r="F1402" t="n">
        <v>0.04031</v>
      </c>
    </row>
    <row r="1403">
      <c r="A1403" t="n">
        <v>1001401</v>
      </c>
      <c r="B1403" t="n">
        <v>1</v>
      </c>
      <c r="C1403" t="n">
        <v>1401</v>
      </c>
      <c r="D1403" t="n">
        <v>1</v>
      </c>
      <c r="E1403" t="n">
        <v>102.2097</v>
      </c>
      <c r="F1403" t="n">
        <v>0.04031</v>
      </c>
    </row>
    <row r="1404">
      <c r="A1404" t="n">
        <v>1001402</v>
      </c>
      <c r="B1404" t="n">
        <v>1</v>
      </c>
      <c r="C1404" t="n">
        <v>1402</v>
      </c>
      <c r="D1404" t="n">
        <v>1</v>
      </c>
      <c r="E1404" t="n">
        <v>102.2285</v>
      </c>
      <c r="F1404" t="n">
        <v>0.04032</v>
      </c>
    </row>
    <row r="1405">
      <c r="A1405" t="n">
        <v>1001403</v>
      </c>
      <c r="B1405" t="n">
        <v>1</v>
      </c>
      <c r="C1405" t="n">
        <v>1403</v>
      </c>
      <c r="D1405" t="n">
        <v>1</v>
      </c>
      <c r="E1405" t="n">
        <v>102.2473</v>
      </c>
      <c r="F1405" t="n">
        <v>0.04032</v>
      </c>
    </row>
    <row r="1406">
      <c r="A1406" t="n">
        <v>1001404</v>
      </c>
      <c r="B1406" t="n">
        <v>1</v>
      </c>
      <c r="C1406" t="n">
        <v>1404</v>
      </c>
      <c r="D1406" t="n">
        <v>1</v>
      </c>
      <c r="E1406" t="n">
        <v>102.2661</v>
      </c>
      <c r="F1406" t="n">
        <v>0.04033</v>
      </c>
    </row>
    <row r="1407">
      <c r="A1407" t="n">
        <v>1001405</v>
      </c>
      <c r="B1407" t="n">
        <v>1</v>
      </c>
      <c r="C1407" t="n">
        <v>1405</v>
      </c>
      <c r="D1407" t="n">
        <v>1</v>
      </c>
      <c r="E1407" t="n">
        <v>102.2848</v>
      </c>
      <c r="F1407" t="n">
        <v>0.04033</v>
      </c>
    </row>
    <row r="1408">
      <c r="A1408" t="n">
        <v>1001406</v>
      </c>
      <c r="B1408" t="n">
        <v>1</v>
      </c>
      <c r="C1408" t="n">
        <v>1406</v>
      </c>
      <c r="D1408" t="n">
        <v>1</v>
      </c>
      <c r="E1408" t="n">
        <v>102.3036</v>
      </c>
      <c r="F1408" t="n">
        <v>0.04034</v>
      </c>
    </row>
    <row r="1409">
      <c r="A1409" t="n">
        <v>1001407</v>
      </c>
      <c r="B1409" t="n">
        <v>1</v>
      </c>
      <c r="C1409" t="n">
        <v>1407</v>
      </c>
      <c r="D1409" t="n">
        <v>1</v>
      </c>
      <c r="E1409" t="n">
        <v>102.3223</v>
      </c>
      <c r="F1409" t="n">
        <v>0.04034</v>
      </c>
    </row>
    <row r="1410">
      <c r="A1410" t="n">
        <v>1001408</v>
      </c>
      <c r="B1410" t="n">
        <v>1</v>
      </c>
      <c r="C1410" t="n">
        <v>1408</v>
      </c>
      <c r="D1410" t="n">
        <v>1</v>
      </c>
      <c r="E1410" t="n">
        <v>102.3411</v>
      </c>
      <c r="F1410" t="n">
        <v>0.04035</v>
      </c>
    </row>
    <row r="1411">
      <c r="A1411" t="n">
        <v>1001409</v>
      </c>
      <c r="B1411" t="n">
        <v>1</v>
      </c>
      <c r="C1411" t="n">
        <v>1409</v>
      </c>
      <c r="D1411" t="n">
        <v>1</v>
      </c>
      <c r="E1411" t="n">
        <v>102.3598</v>
      </c>
      <c r="F1411" t="n">
        <v>0.04035</v>
      </c>
    </row>
    <row r="1412">
      <c r="A1412" t="n">
        <v>1001410</v>
      </c>
      <c r="B1412" t="n">
        <v>1</v>
      </c>
      <c r="C1412" t="n">
        <v>1410</v>
      </c>
      <c r="D1412" t="n">
        <v>1</v>
      </c>
      <c r="E1412" t="n">
        <v>102.3785</v>
      </c>
      <c r="F1412" t="n">
        <v>0.04036</v>
      </c>
    </row>
    <row r="1413">
      <c r="A1413" t="n">
        <v>1001411</v>
      </c>
      <c r="B1413" t="n">
        <v>1</v>
      </c>
      <c r="C1413" t="n">
        <v>1411</v>
      </c>
      <c r="D1413" t="n">
        <v>1</v>
      </c>
      <c r="E1413" t="n">
        <v>102.3972</v>
      </c>
      <c r="F1413" t="n">
        <v>0.04036</v>
      </c>
    </row>
    <row r="1414">
      <c r="A1414" t="n">
        <v>1001412</v>
      </c>
      <c r="B1414" t="n">
        <v>1</v>
      </c>
      <c r="C1414" t="n">
        <v>1412</v>
      </c>
      <c r="D1414" t="n">
        <v>1</v>
      </c>
      <c r="E1414" t="n">
        <v>102.416</v>
      </c>
      <c r="F1414" t="n">
        <v>0.04037</v>
      </c>
    </row>
    <row r="1415">
      <c r="A1415" t="n">
        <v>1001413</v>
      </c>
      <c r="B1415" t="n">
        <v>1</v>
      </c>
      <c r="C1415" t="n">
        <v>1413</v>
      </c>
      <c r="D1415" t="n">
        <v>1</v>
      </c>
      <c r="E1415" t="n">
        <v>102.4347</v>
      </c>
      <c r="F1415" t="n">
        <v>0.04037</v>
      </c>
    </row>
    <row r="1416">
      <c r="A1416" t="n">
        <v>1001414</v>
      </c>
      <c r="B1416" t="n">
        <v>1</v>
      </c>
      <c r="C1416" t="n">
        <v>1414</v>
      </c>
      <c r="D1416" t="n">
        <v>1</v>
      </c>
      <c r="E1416" t="n">
        <v>102.4534</v>
      </c>
      <c r="F1416" t="n">
        <v>0.04037</v>
      </c>
    </row>
    <row r="1417">
      <c r="A1417" t="n">
        <v>1001415</v>
      </c>
      <c r="B1417" t="n">
        <v>1</v>
      </c>
      <c r="C1417" t="n">
        <v>1415</v>
      </c>
      <c r="D1417" t="n">
        <v>1</v>
      </c>
      <c r="E1417" t="n">
        <v>102.4721</v>
      </c>
      <c r="F1417" t="n">
        <v>0.04038</v>
      </c>
    </row>
    <row r="1418">
      <c r="A1418" t="n">
        <v>1001416</v>
      </c>
      <c r="B1418" t="n">
        <v>1</v>
      </c>
      <c r="C1418" t="n">
        <v>1416</v>
      </c>
      <c r="D1418" t="n">
        <v>1</v>
      </c>
      <c r="E1418" t="n">
        <v>102.4908</v>
      </c>
      <c r="F1418" t="n">
        <v>0.04038</v>
      </c>
    </row>
    <row r="1419">
      <c r="A1419" t="n">
        <v>1001417</v>
      </c>
      <c r="B1419" t="n">
        <v>1</v>
      </c>
      <c r="C1419" t="n">
        <v>1417</v>
      </c>
      <c r="D1419" t="n">
        <v>1</v>
      </c>
      <c r="E1419" t="n">
        <v>102.5095</v>
      </c>
      <c r="F1419" t="n">
        <v>0.04039</v>
      </c>
    </row>
    <row r="1420">
      <c r="A1420" t="n">
        <v>1001418</v>
      </c>
      <c r="B1420" t="n">
        <v>1</v>
      </c>
      <c r="C1420" t="n">
        <v>1418</v>
      </c>
      <c r="D1420" t="n">
        <v>1</v>
      </c>
      <c r="E1420" t="n">
        <v>102.5282</v>
      </c>
      <c r="F1420" t="n">
        <v>0.04039</v>
      </c>
    </row>
    <row r="1421">
      <c r="A1421" t="n">
        <v>1001419</v>
      </c>
      <c r="B1421" t="n">
        <v>1</v>
      </c>
      <c r="C1421" t="n">
        <v>1419</v>
      </c>
      <c r="D1421" t="n">
        <v>1</v>
      </c>
      <c r="E1421" t="n">
        <v>102.5469</v>
      </c>
      <c r="F1421" t="n">
        <v>0.0404</v>
      </c>
    </row>
    <row r="1422">
      <c r="A1422" t="n">
        <v>1001420</v>
      </c>
      <c r="B1422" t="n">
        <v>1</v>
      </c>
      <c r="C1422" t="n">
        <v>1420</v>
      </c>
      <c r="D1422" t="n">
        <v>1</v>
      </c>
      <c r="E1422" t="n">
        <v>102.5655</v>
      </c>
      <c r="F1422" t="n">
        <v>0.0404</v>
      </c>
    </row>
    <row r="1423">
      <c r="A1423" t="n">
        <v>1001421</v>
      </c>
      <c r="B1423" t="n">
        <v>1</v>
      </c>
      <c r="C1423" t="n">
        <v>1421</v>
      </c>
      <c r="D1423" t="n">
        <v>1</v>
      </c>
      <c r="E1423" t="n">
        <v>102.5842</v>
      </c>
      <c r="F1423" t="n">
        <v>0.04041</v>
      </c>
    </row>
    <row r="1424">
      <c r="A1424" t="n">
        <v>1001422</v>
      </c>
      <c r="B1424" t="n">
        <v>1</v>
      </c>
      <c r="C1424" t="n">
        <v>1422</v>
      </c>
      <c r="D1424" t="n">
        <v>1</v>
      </c>
      <c r="E1424" t="n">
        <v>102.6029</v>
      </c>
      <c r="F1424" t="n">
        <v>0.04041</v>
      </c>
    </row>
    <row r="1425">
      <c r="A1425" t="n">
        <v>1001423</v>
      </c>
      <c r="B1425" t="n">
        <v>1</v>
      </c>
      <c r="C1425" t="n">
        <v>1423</v>
      </c>
      <c r="D1425" t="n">
        <v>1</v>
      </c>
      <c r="E1425" t="n">
        <v>102.6215</v>
      </c>
      <c r="F1425" t="n">
        <v>0.04042</v>
      </c>
    </row>
    <row r="1426">
      <c r="A1426" t="n">
        <v>1001424</v>
      </c>
      <c r="B1426" t="n">
        <v>1</v>
      </c>
      <c r="C1426" t="n">
        <v>1424</v>
      </c>
      <c r="D1426" t="n">
        <v>1</v>
      </c>
      <c r="E1426" t="n">
        <v>102.6402</v>
      </c>
      <c r="F1426" t="n">
        <v>0.04042</v>
      </c>
    </row>
    <row r="1427">
      <c r="A1427" t="n">
        <v>1001425</v>
      </c>
      <c r="B1427" t="n">
        <v>1</v>
      </c>
      <c r="C1427" t="n">
        <v>1425</v>
      </c>
      <c r="D1427" t="n">
        <v>1</v>
      </c>
      <c r="E1427" t="n">
        <v>102.6588</v>
      </c>
      <c r="F1427" t="n">
        <v>0.04043</v>
      </c>
    </row>
    <row r="1428">
      <c r="A1428" t="n">
        <v>1001426</v>
      </c>
      <c r="B1428" t="n">
        <v>1</v>
      </c>
      <c r="C1428" t="n">
        <v>1426</v>
      </c>
      <c r="D1428" t="n">
        <v>1</v>
      </c>
      <c r="E1428" t="n">
        <v>102.6775</v>
      </c>
      <c r="F1428" t="n">
        <v>0.04043</v>
      </c>
    </row>
    <row r="1429">
      <c r="A1429" t="n">
        <v>1001427</v>
      </c>
      <c r="B1429" t="n">
        <v>1</v>
      </c>
      <c r="C1429" t="n">
        <v>1427</v>
      </c>
      <c r="D1429" t="n">
        <v>1</v>
      </c>
      <c r="E1429" t="n">
        <v>102.6961</v>
      </c>
      <c r="F1429" t="n">
        <v>0.04044</v>
      </c>
    </row>
    <row r="1430">
      <c r="A1430" t="n">
        <v>1001428</v>
      </c>
      <c r="B1430" t="n">
        <v>1</v>
      </c>
      <c r="C1430" t="n">
        <v>1428</v>
      </c>
      <c r="D1430" t="n">
        <v>1</v>
      </c>
      <c r="E1430" t="n">
        <v>102.7148</v>
      </c>
      <c r="F1430" t="n">
        <v>0.04044</v>
      </c>
    </row>
    <row r="1431">
      <c r="A1431" t="n">
        <v>1001429</v>
      </c>
      <c r="B1431" t="n">
        <v>1</v>
      </c>
      <c r="C1431" t="n">
        <v>1429</v>
      </c>
      <c r="D1431" t="n">
        <v>1</v>
      </c>
      <c r="E1431" t="n">
        <v>102.7334</v>
      </c>
      <c r="F1431" t="n">
        <v>0.04044</v>
      </c>
    </row>
    <row r="1432">
      <c r="A1432" t="n">
        <v>1001430</v>
      </c>
      <c r="B1432" t="n">
        <v>1</v>
      </c>
      <c r="C1432" t="n">
        <v>1430</v>
      </c>
      <c r="D1432" t="n">
        <v>1</v>
      </c>
      <c r="E1432" t="n">
        <v>102.752</v>
      </c>
      <c r="F1432" t="n">
        <v>0.04045</v>
      </c>
    </row>
    <row r="1433">
      <c r="A1433" t="n">
        <v>1001431</v>
      </c>
      <c r="B1433" t="n">
        <v>1</v>
      </c>
      <c r="C1433" t="n">
        <v>1431</v>
      </c>
      <c r="D1433" t="n">
        <v>1</v>
      </c>
      <c r="E1433" t="n">
        <v>102.7706</v>
      </c>
      <c r="F1433" t="n">
        <v>0.04045</v>
      </c>
    </row>
    <row r="1434">
      <c r="A1434" t="n">
        <v>1001432</v>
      </c>
      <c r="B1434" t="n">
        <v>1</v>
      </c>
      <c r="C1434" t="n">
        <v>1432</v>
      </c>
      <c r="D1434" t="n">
        <v>1</v>
      </c>
      <c r="E1434" t="n">
        <v>102.7893</v>
      </c>
      <c r="F1434" t="n">
        <v>0.04046</v>
      </c>
    </row>
    <row r="1435">
      <c r="A1435" t="n">
        <v>1001433</v>
      </c>
      <c r="B1435" t="n">
        <v>1</v>
      </c>
      <c r="C1435" t="n">
        <v>1433</v>
      </c>
      <c r="D1435" t="n">
        <v>1</v>
      </c>
      <c r="E1435" t="n">
        <v>102.8079</v>
      </c>
      <c r="F1435" t="n">
        <v>0.04046</v>
      </c>
    </row>
    <row r="1436">
      <c r="A1436" t="n">
        <v>1001434</v>
      </c>
      <c r="B1436" t="n">
        <v>1</v>
      </c>
      <c r="C1436" t="n">
        <v>1434</v>
      </c>
      <c r="D1436" t="n">
        <v>1</v>
      </c>
      <c r="E1436" t="n">
        <v>102.8265</v>
      </c>
      <c r="F1436" t="n">
        <v>0.04047</v>
      </c>
    </row>
    <row r="1437">
      <c r="A1437" t="n">
        <v>1001435</v>
      </c>
      <c r="B1437" t="n">
        <v>1</v>
      </c>
      <c r="C1437" t="n">
        <v>1435</v>
      </c>
      <c r="D1437" t="n">
        <v>1</v>
      </c>
      <c r="E1437" t="n">
        <v>102.8451</v>
      </c>
      <c r="F1437" t="n">
        <v>0.04047</v>
      </c>
    </row>
    <row r="1438">
      <c r="A1438" t="n">
        <v>1001436</v>
      </c>
      <c r="B1438" t="n">
        <v>1</v>
      </c>
      <c r="C1438" t="n">
        <v>1436</v>
      </c>
      <c r="D1438" t="n">
        <v>1</v>
      </c>
      <c r="E1438" t="n">
        <v>102.8637</v>
      </c>
      <c r="F1438" t="n">
        <v>0.04048</v>
      </c>
    </row>
    <row r="1439">
      <c r="A1439" t="n">
        <v>1001437</v>
      </c>
      <c r="B1439" t="n">
        <v>1</v>
      </c>
      <c r="C1439" t="n">
        <v>1437</v>
      </c>
      <c r="D1439" t="n">
        <v>1</v>
      </c>
      <c r="E1439" t="n">
        <v>102.8823</v>
      </c>
      <c r="F1439" t="n">
        <v>0.04048</v>
      </c>
    </row>
    <row r="1440">
      <c r="A1440" t="n">
        <v>1001438</v>
      </c>
      <c r="B1440" t="n">
        <v>1</v>
      </c>
      <c r="C1440" t="n">
        <v>1438</v>
      </c>
      <c r="D1440" t="n">
        <v>1</v>
      </c>
      <c r="E1440" t="n">
        <v>102.9009</v>
      </c>
      <c r="F1440" t="n">
        <v>0.04049</v>
      </c>
    </row>
    <row r="1441">
      <c r="A1441" t="n">
        <v>1001439</v>
      </c>
      <c r="B1441" t="n">
        <v>1</v>
      </c>
      <c r="C1441" t="n">
        <v>1439</v>
      </c>
      <c r="D1441" t="n">
        <v>1</v>
      </c>
      <c r="E1441" t="n">
        <v>102.9195</v>
      </c>
      <c r="F1441" t="n">
        <v>0.04049</v>
      </c>
    </row>
    <row r="1442">
      <c r="A1442" t="n">
        <v>1001440</v>
      </c>
      <c r="B1442" t="n">
        <v>1</v>
      </c>
      <c r="C1442" t="n">
        <v>1440</v>
      </c>
      <c r="D1442" t="n">
        <v>1</v>
      </c>
      <c r="E1442" t="n">
        <v>102.938</v>
      </c>
      <c r="F1442" t="n">
        <v>0.0405</v>
      </c>
    </row>
    <row r="1443">
      <c r="A1443" t="n">
        <v>1001441</v>
      </c>
      <c r="B1443" t="n">
        <v>1</v>
      </c>
      <c r="C1443" t="n">
        <v>1441</v>
      </c>
      <c r="D1443" t="n">
        <v>1</v>
      </c>
      <c r="E1443" t="n">
        <v>102.9566</v>
      </c>
      <c r="F1443" t="n">
        <v>0.0405</v>
      </c>
    </row>
    <row r="1444">
      <c r="A1444" t="n">
        <v>1001442</v>
      </c>
      <c r="B1444" t="n">
        <v>1</v>
      </c>
      <c r="C1444" t="n">
        <v>1442</v>
      </c>
      <c r="D1444" t="n">
        <v>1</v>
      </c>
      <c r="E1444" t="n">
        <v>102.9752</v>
      </c>
      <c r="F1444" t="n">
        <v>0.0405</v>
      </c>
    </row>
    <row r="1445">
      <c r="A1445" t="n">
        <v>1001443</v>
      </c>
      <c r="B1445" t="n">
        <v>1</v>
      </c>
      <c r="C1445" t="n">
        <v>1443</v>
      </c>
      <c r="D1445" t="n">
        <v>1</v>
      </c>
      <c r="E1445" t="n">
        <v>102.9938</v>
      </c>
      <c r="F1445" t="n">
        <v>0.04051</v>
      </c>
    </row>
    <row r="1446">
      <c r="A1446" t="n">
        <v>1001444</v>
      </c>
      <c r="B1446" t="n">
        <v>1</v>
      </c>
      <c r="C1446" t="n">
        <v>1444</v>
      </c>
      <c r="D1446" t="n">
        <v>1</v>
      </c>
      <c r="E1446" t="n">
        <v>103.0123</v>
      </c>
      <c r="F1446" t="n">
        <v>0.04051</v>
      </c>
    </row>
    <row r="1447">
      <c r="A1447" t="n">
        <v>1001445</v>
      </c>
      <c r="B1447" t="n">
        <v>1</v>
      </c>
      <c r="C1447" t="n">
        <v>1445</v>
      </c>
      <c r="D1447" t="n">
        <v>1</v>
      </c>
      <c r="E1447" t="n">
        <v>103.0309</v>
      </c>
      <c r="F1447" t="n">
        <v>0.04052</v>
      </c>
    </row>
    <row r="1448">
      <c r="A1448" t="n">
        <v>1001446</v>
      </c>
      <c r="B1448" t="n">
        <v>1</v>
      </c>
      <c r="C1448" t="n">
        <v>1446</v>
      </c>
      <c r="D1448" t="n">
        <v>1</v>
      </c>
      <c r="E1448" t="n">
        <v>103.0494</v>
      </c>
      <c r="F1448" t="n">
        <v>0.04052</v>
      </c>
    </row>
    <row r="1449">
      <c r="A1449" t="n">
        <v>1001447</v>
      </c>
      <c r="B1449" t="n">
        <v>1</v>
      </c>
      <c r="C1449" t="n">
        <v>1447</v>
      </c>
      <c r="D1449" t="n">
        <v>1</v>
      </c>
      <c r="E1449" t="n">
        <v>103.068</v>
      </c>
      <c r="F1449" t="n">
        <v>0.04053</v>
      </c>
    </row>
    <row r="1450">
      <c r="A1450" t="n">
        <v>1001448</v>
      </c>
      <c r="B1450" t="n">
        <v>1</v>
      </c>
      <c r="C1450" t="n">
        <v>1448</v>
      </c>
      <c r="D1450" t="n">
        <v>1</v>
      </c>
      <c r="E1450" t="n">
        <v>103.0865</v>
      </c>
      <c r="F1450" t="n">
        <v>0.04053</v>
      </c>
    </row>
    <row r="1451">
      <c r="A1451" t="n">
        <v>1001449</v>
      </c>
      <c r="B1451" t="n">
        <v>1</v>
      </c>
      <c r="C1451" t="n">
        <v>1449</v>
      </c>
      <c r="D1451" t="n">
        <v>1</v>
      </c>
      <c r="E1451" t="n">
        <v>103.1051</v>
      </c>
      <c r="F1451" t="n">
        <v>0.04054</v>
      </c>
    </row>
    <row r="1452">
      <c r="A1452" t="n">
        <v>1001450</v>
      </c>
      <c r="B1452" t="n">
        <v>1</v>
      </c>
      <c r="C1452" t="n">
        <v>1450</v>
      </c>
      <c r="D1452" t="n">
        <v>1</v>
      </c>
      <c r="E1452" t="n">
        <v>103.1236</v>
      </c>
      <c r="F1452" t="n">
        <v>0.04054</v>
      </c>
    </row>
    <row r="1453">
      <c r="A1453" t="n">
        <v>1001451</v>
      </c>
      <c r="B1453" t="n">
        <v>1</v>
      </c>
      <c r="C1453" t="n">
        <v>1451</v>
      </c>
      <c r="D1453" t="n">
        <v>1</v>
      </c>
      <c r="E1453" t="n">
        <v>103.1421</v>
      </c>
      <c r="F1453" t="n">
        <v>0.04055</v>
      </c>
    </row>
    <row r="1454">
      <c r="A1454" t="n">
        <v>1001452</v>
      </c>
      <c r="B1454" t="n">
        <v>1</v>
      </c>
      <c r="C1454" t="n">
        <v>1452</v>
      </c>
      <c r="D1454" t="n">
        <v>1</v>
      </c>
      <c r="E1454" t="n">
        <v>103.1607</v>
      </c>
      <c r="F1454" t="n">
        <v>0.04055</v>
      </c>
    </row>
    <row r="1455">
      <c r="A1455" t="n">
        <v>1001453</v>
      </c>
      <c r="B1455" t="n">
        <v>1</v>
      </c>
      <c r="C1455" t="n">
        <v>1453</v>
      </c>
      <c r="D1455" t="n">
        <v>1</v>
      </c>
      <c r="E1455" t="n">
        <v>103.1792</v>
      </c>
      <c r="F1455" t="n">
        <v>0.04055</v>
      </c>
    </row>
    <row r="1456">
      <c r="A1456" t="n">
        <v>1001454</v>
      </c>
      <c r="B1456" t="n">
        <v>1</v>
      </c>
      <c r="C1456" t="n">
        <v>1454</v>
      </c>
      <c r="D1456" t="n">
        <v>1</v>
      </c>
      <c r="E1456" t="n">
        <v>103.1977</v>
      </c>
      <c r="F1456" t="n">
        <v>0.04056</v>
      </c>
    </row>
    <row r="1457">
      <c r="A1457" t="n">
        <v>1001455</v>
      </c>
      <c r="B1457" t="n">
        <v>1</v>
      </c>
      <c r="C1457" t="n">
        <v>1455</v>
      </c>
      <c r="D1457" t="n">
        <v>1</v>
      </c>
      <c r="E1457" t="n">
        <v>103.2162</v>
      </c>
      <c r="F1457" t="n">
        <v>0.04056</v>
      </c>
    </row>
    <row r="1458">
      <c r="A1458" t="n">
        <v>1001456</v>
      </c>
      <c r="B1458" t="n">
        <v>1</v>
      </c>
      <c r="C1458" t="n">
        <v>1456</v>
      </c>
      <c r="D1458" t="n">
        <v>1</v>
      </c>
      <c r="E1458" t="n">
        <v>103.2348</v>
      </c>
      <c r="F1458" t="n">
        <v>0.04057</v>
      </c>
    </row>
    <row r="1459">
      <c r="A1459" t="n">
        <v>1001457</v>
      </c>
      <c r="B1459" t="n">
        <v>1</v>
      </c>
      <c r="C1459" t="n">
        <v>1457</v>
      </c>
      <c r="D1459" t="n">
        <v>1</v>
      </c>
      <c r="E1459" t="n">
        <v>103.2533</v>
      </c>
      <c r="F1459" t="n">
        <v>0.04057</v>
      </c>
    </row>
    <row r="1460">
      <c r="A1460" t="n">
        <v>1001458</v>
      </c>
      <c r="B1460" t="n">
        <v>1</v>
      </c>
      <c r="C1460" t="n">
        <v>1458</v>
      </c>
      <c r="D1460" t="n">
        <v>1</v>
      </c>
      <c r="E1460" t="n">
        <v>103.2718</v>
      </c>
      <c r="F1460" t="n">
        <v>0.04058</v>
      </c>
    </row>
    <row r="1461">
      <c r="A1461" t="n">
        <v>1001459</v>
      </c>
      <c r="B1461" t="n">
        <v>1</v>
      </c>
      <c r="C1461" t="n">
        <v>1459</v>
      </c>
      <c r="D1461" t="n">
        <v>1</v>
      </c>
      <c r="E1461" t="n">
        <v>103.2903</v>
      </c>
      <c r="F1461" t="n">
        <v>0.04058</v>
      </c>
    </row>
    <row r="1462">
      <c r="A1462" t="n">
        <v>1001460</v>
      </c>
      <c r="B1462" t="n">
        <v>1</v>
      </c>
      <c r="C1462" t="n">
        <v>1460</v>
      </c>
      <c r="D1462" t="n">
        <v>1</v>
      </c>
      <c r="E1462" t="n">
        <v>103.3088</v>
      </c>
      <c r="F1462" t="n">
        <v>0.04059</v>
      </c>
    </row>
    <row r="1463">
      <c r="A1463" t="n">
        <v>1001461</v>
      </c>
      <c r="B1463" t="n">
        <v>1</v>
      </c>
      <c r="C1463" t="n">
        <v>1461</v>
      </c>
      <c r="D1463" t="n">
        <v>1</v>
      </c>
      <c r="E1463" t="n">
        <v>103.3273</v>
      </c>
      <c r="F1463" t="n">
        <v>0.04059</v>
      </c>
    </row>
    <row r="1464">
      <c r="A1464" t="n">
        <v>1001462</v>
      </c>
      <c r="B1464" t="n">
        <v>1</v>
      </c>
      <c r="C1464" t="n">
        <v>1462</v>
      </c>
      <c r="D1464" t="n">
        <v>1</v>
      </c>
      <c r="E1464" t="n">
        <v>103.3458</v>
      </c>
      <c r="F1464" t="n">
        <v>0.0406</v>
      </c>
    </row>
    <row r="1465">
      <c r="A1465" t="n">
        <v>1001463</v>
      </c>
      <c r="B1465" t="n">
        <v>1</v>
      </c>
      <c r="C1465" t="n">
        <v>1463</v>
      </c>
      <c r="D1465" t="n">
        <v>1</v>
      </c>
      <c r="E1465" t="n">
        <v>103.3643</v>
      </c>
      <c r="F1465" t="n">
        <v>0.0406</v>
      </c>
    </row>
    <row r="1466">
      <c r="A1466" t="n">
        <v>1001464</v>
      </c>
      <c r="B1466" t="n">
        <v>1</v>
      </c>
      <c r="C1466" t="n">
        <v>1464</v>
      </c>
      <c r="D1466" t="n">
        <v>1</v>
      </c>
      <c r="E1466" t="n">
        <v>103.3827</v>
      </c>
      <c r="F1466" t="n">
        <v>0.0406</v>
      </c>
    </row>
    <row r="1467">
      <c r="A1467" t="n">
        <v>1001465</v>
      </c>
      <c r="B1467" t="n">
        <v>1</v>
      </c>
      <c r="C1467" t="n">
        <v>1465</v>
      </c>
      <c r="D1467" t="n">
        <v>1</v>
      </c>
      <c r="E1467" t="n">
        <v>103.4012</v>
      </c>
      <c r="F1467" t="n">
        <v>0.04061</v>
      </c>
    </row>
    <row r="1468">
      <c r="A1468" t="n">
        <v>1001466</v>
      </c>
      <c r="B1468" t="n">
        <v>1</v>
      </c>
      <c r="C1468" t="n">
        <v>1466</v>
      </c>
      <c r="D1468" t="n">
        <v>1</v>
      </c>
      <c r="E1468" t="n">
        <v>103.4197</v>
      </c>
      <c r="F1468" t="n">
        <v>0.04061</v>
      </c>
    </row>
    <row r="1469">
      <c r="A1469" t="n">
        <v>1001467</v>
      </c>
      <c r="B1469" t="n">
        <v>1</v>
      </c>
      <c r="C1469" t="n">
        <v>1467</v>
      </c>
      <c r="D1469" t="n">
        <v>1</v>
      </c>
      <c r="E1469" t="n">
        <v>103.4382</v>
      </c>
      <c r="F1469" t="n">
        <v>0.04062</v>
      </c>
    </row>
    <row r="1470">
      <c r="A1470" t="n">
        <v>1001468</v>
      </c>
      <c r="B1470" t="n">
        <v>1</v>
      </c>
      <c r="C1470" t="n">
        <v>1468</v>
      </c>
      <c r="D1470" t="n">
        <v>1</v>
      </c>
      <c r="E1470" t="n">
        <v>103.4566</v>
      </c>
      <c r="F1470" t="n">
        <v>0.04062</v>
      </c>
    </row>
    <row r="1471">
      <c r="A1471" t="n">
        <v>1001469</v>
      </c>
      <c r="B1471" t="n">
        <v>1</v>
      </c>
      <c r="C1471" t="n">
        <v>1469</v>
      </c>
      <c r="D1471" t="n">
        <v>1</v>
      </c>
      <c r="E1471" t="n">
        <v>103.4751</v>
      </c>
      <c r="F1471" t="n">
        <v>0.04063</v>
      </c>
    </row>
    <row r="1472">
      <c r="A1472" t="n">
        <v>1001470</v>
      </c>
      <c r="B1472" t="n">
        <v>1</v>
      </c>
      <c r="C1472" t="n">
        <v>1470</v>
      </c>
      <c r="D1472" t="n">
        <v>1</v>
      </c>
      <c r="E1472" t="n">
        <v>103.4936</v>
      </c>
      <c r="F1472" t="n">
        <v>0.04063</v>
      </c>
    </row>
    <row r="1473">
      <c r="A1473" t="n">
        <v>1001471</v>
      </c>
      <c r="B1473" t="n">
        <v>1</v>
      </c>
      <c r="C1473" t="n">
        <v>1471</v>
      </c>
      <c r="D1473" t="n">
        <v>1</v>
      </c>
      <c r="E1473" t="n">
        <v>103.512</v>
      </c>
      <c r="F1473" t="n">
        <v>0.04064</v>
      </c>
    </row>
    <row r="1474">
      <c r="A1474" t="n">
        <v>1001472</v>
      </c>
      <c r="B1474" t="n">
        <v>1</v>
      </c>
      <c r="C1474" t="n">
        <v>1472</v>
      </c>
      <c r="D1474" t="n">
        <v>1</v>
      </c>
      <c r="E1474" t="n">
        <v>103.5305</v>
      </c>
      <c r="F1474" t="n">
        <v>0.04064</v>
      </c>
    </row>
    <row r="1475">
      <c r="A1475" t="n">
        <v>1001473</v>
      </c>
      <c r="B1475" t="n">
        <v>1</v>
      </c>
      <c r="C1475" t="n">
        <v>1473</v>
      </c>
      <c r="D1475" t="n">
        <v>1</v>
      </c>
      <c r="E1475" t="n">
        <v>103.5489</v>
      </c>
      <c r="F1475" t="n">
        <v>0.04065</v>
      </c>
    </row>
    <row r="1476">
      <c r="A1476" t="n">
        <v>1001474</v>
      </c>
      <c r="B1476" t="n">
        <v>1</v>
      </c>
      <c r="C1476" t="n">
        <v>1474</v>
      </c>
      <c r="D1476" t="n">
        <v>1</v>
      </c>
      <c r="E1476" t="n">
        <v>103.5674</v>
      </c>
      <c r="F1476" t="n">
        <v>0.04065</v>
      </c>
    </row>
    <row r="1477">
      <c r="A1477" t="n">
        <v>1001475</v>
      </c>
      <c r="B1477" t="n">
        <v>1</v>
      </c>
      <c r="C1477" t="n">
        <v>1475</v>
      </c>
      <c r="D1477" t="n">
        <v>1</v>
      </c>
      <c r="E1477" t="n">
        <v>103.5858</v>
      </c>
      <c r="F1477" t="n">
        <v>0.04065</v>
      </c>
    </row>
    <row r="1478">
      <c r="A1478" t="n">
        <v>1001476</v>
      </c>
      <c r="B1478" t="n">
        <v>1</v>
      </c>
      <c r="C1478" t="n">
        <v>1476</v>
      </c>
      <c r="D1478" t="n">
        <v>1</v>
      </c>
      <c r="E1478" t="n">
        <v>103.6043</v>
      </c>
      <c r="F1478" t="n">
        <v>0.04066</v>
      </c>
    </row>
    <row r="1479">
      <c r="A1479" t="n">
        <v>1001477</v>
      </c>
      <c r="B1479" t="n">
        <v>1</v>
      </c>
      <c r="C1479" t="n">
        <v>1477</v>
      </c>
      <c r="D1479" t="n">
        <v>1</v>
      </c>
      <c r="E1479" t="n">
        <v>103.6227</v>
      </c>
      <c r="F1479" t="n">
        <v>0.04066</v>
      </c>
    </row>
    <row r="1480">
      <c r="A1480" t="n">
        <v>1001478</v>
      </c>
      <c r="B1480" t="n">
        <v>1</v>
      </c>
      <c r="C1480" t="n">
        <v>1478</v>
      </c>
      <c r="D1480" t="n">
        <v>1</v>
      </c>
      <c r="E1480" t="n">
        <v>103.6412</v>
      </c>
      <c r="F1480" t="n">
        <v>0.04067</v>
      </c>
    </row>
    <row r="1481">
      <c r="A1481" t="n">
        <v>1001479</v>
      </c>
      <c r="B1481" t="n">
        <v>1</v>
      </c>
      <c r="C1481" t="n">
        <v>1479</v>
      </c>
      <c r="D1481" t="n">
        <v>1</v>
      </c>
      <c r="E1481" t="n">
        <v>103.6596</v>
      </c>
      <c r="F1481" t="n">
        <v>0.04067</v>
      </c>
    </row>
    <row r="1482">
      <c r="A1482" t="n">
        <v>1001480</v>
      </c>
      <c r="B1482" t="n">
        <v>1</v>
      </c>
      <c r="C1482" t="n">
        <v>1480</v>
      </c>
      <c r="D1482" t="n">
        <v>1</v>
      </c>
      <c r="E1482" t="n">
        <v>103.678</v>
      </c>
      <c r="F1482" t="n">
        <v>0.04068</v>
      </c>
    </row>
    <row r="1483">
      <c r="A1483" t="n">
        <v>1001481</v>
      </c>
      <c r="B1483" t="n">
        <v>1</v>
      </c>
      <c r="C1483" t="n">
        <v>1481</v>
      </c>
      <c r="D1483" t="n">
        <v>1</v>
      </c>
      <c r="E1483" t="n">
        <v>103.6965</v>
      </c>
      <c r="F1483" t="n">
        <v>0.04068</v>
      </c>
    </row>
    <row r="1484">
      <c r="A1484" t="n">
        <v>1001482</v>
      </c>
      <c r="B1484" t="n">
        <v>1</v>
      </c>
      <c r="C1484" t="n">
        <v>1482</v>
      </c>
      <c r="D1484" t="n">
        <v>1</v>
      </c>
      <c r="E1484" t="n">
        <v>103.7149</v>
      </c>
      <c r="F1484" t="n">
        <v>0.04069</v>
      </c>
    </row>
    <row r="1485">
      <c r="A1485" t="n">
        <v>1001483</v>
      </c>
      <c r="B1485" t="n">
        <v>1</v>
      </c>
      <c r="C1485" t="n">
        <v>1483</v>
      </c>
      <c r="D1485" t="n">
        <v>1</v>
      </c>
      <c r="E1485" t="n">
        <v>103.7333</v>
      </c>
      <c r="F1485" t="n">
        <v>0.04069</v>
      </c>
    </row>
    <row r="1486">
      <c r="A1486" t="n">
        <v>1001484</v>
      </c>
      <c r="B1486" t="n">
        <v>1</v>
      </c>
      <c r="C1486" t="n">
        <v>1484</v>
      </c>
      <c r="D1486" t="n">
        <v>1</v>
      </c>
      <c r="E1486" t="n">
        <v>103.7517</v>
      </c>
      <c r="F1486" t="n">
        <v>0.04069</v>
      </c>
    </row>
    <row r="1487">
      <c r="A1487" t="n">
        <v>1001485</v>
      </c>
      <c r="B1487" t="n">
        <v>1</v>
      </c>
      <c r="C1487" t="n">
        <v>1485</v>
      </c>
      <c r="D1487" t="n">
        <v>1</v>
      </c>
      <c r="E1487" t="n">
        <v>103.7701</v>
      </c>
      <c r="F1487" t="n">
        <v>0.0407</v>
      </c>
    </row>
    <row r="1488">
      <c r="A1488" t="n">
        <v>1001486</v>
      </c>
      <c r="B1488" t="n">
        <v>1</v>
      </c>
      <c r="C1488" t="n">
        <v>1486</v>
      </c>
      <c r="D1488" t="n">
        <v>1</v>
      </c>
      <c r="E1488" t="n">
        <v>103.7885</v>
      </c>
      <c r="F1488" t="n">
        <v>0.0407</v>
      </c>
    </row>
    <row r="1489">
      <c r="A1489" t="n">
        <v>1001487</v>
      </c>
      <c r="B1489" t="n">
        <v>1</v>
      </c>
      <c r="C1489" t="n">
        <v>1487</v>
      </c>
      <c r="D1489" t="n">
        <v>1</v>
      </c>
      <c r="E1489" t="n">
        <v>103.807</v>
      </c>
      <c r="F1489" t="n">
        <v>0.04071</v>
      </c>
    </row>
    <row r="1490">
      <c r="A1490" t="n">
        <v>1001488</v>
      </c>
      <c r="B1490" t="n">
        <v>1</v>
      </c>
      <c r="C1490" t="n">
        <v>1488</v>
      </c>
      <c r="D1490" t="n">
        <v>1</v>
      </c>
      <c r="E1490" t="n">
        <v>103.8254</v>
      </c>
      <c r="F1490" t="n">
        <v>0.04071</v>
      </c>
    </row>
    <row r="1491">
      <c r="A1491" t="n">
        <v>1001489</v>
      </c>
      <c r="B1491" t="n">
        <v>1</v>
      </c>
      <c r="C1491" t="n">
        <v>1489</v>
      </c>
      <c r="D1491" t="n">
        <v>1</v>
      </c>
      <c r="E1491" t="n">
        <v>103.8438</v>
      </c>
      <c r="F1491" t="n">
        <v>0.04072</v>
      </c>
    </row>
    <row r="1492">
      <c r="A1492" t="n">
        <v>1001490</v>
      </c>
      <c r="B1492" t="n">
        <v>1</v>
      </c>
      <c r="C1492" t="n">
        <v>1490</v>
      </c>
      <c r="D1492" t="n">
        <v>1</v>
      </c>
      <c r="E1492" t="n">
        <v>103.8622</v>
      </c>
      <c r="F1492" t="n">
        <v>0.04072</v>
      </c>
    </row>
    <row r="1493">
      <c r="A1493" t="n">
        <v>1001491</v>
      </c>
      <c r="B1493" t="n">
        <v>1</v>
      </c>
      <c r="C1493" t="n">
        <v>1491</v>
      </c>
      <c r="D1493" t="n">
        <v>1</v>
      </c>
      <c r="E1493" t="n">
        <v>103.8806</v>
      </c>
      <c r="F1493" t="n">
        <v>0.04073</v>
      </c>
    </row>
    <row r="1494">
      <c r="A1494" t="n">
        <v>1001492</v>
      </c>
      <c r="B1494" t="n">
        <v>1</v>
      </c>
      <c r="C1494" t="n">
        <v>1492</v>
      </c>
      <c r="D1494" t="n">
        <v>1</v>
      </c>
      <c r="E1494" t="n">
        <v>103.899</v>
      </c>
      <c r="F1494" t="n">
        <v>0.04073</v>
      </c>
    </row>
    <row r="1495">
      <c r="A1495" t="n">
        <v>1001493</v>
      </c>
      <c r="B1495" t="n">
        <v>1</v>
      </c>
      <c r="C1495" t="n">
        <v>1493</v>
      </c>
      <c r="D1495" t="n">
        <v>1</v>
      </c>
      <c r="E1495" t="n">
        <v>103.9174</v>
      </c>
      <c r="F1495" t="n">
        <v>0.04073</v>
      </c>
    </row>
    <row r="1496">
      <c r="A1496" t="n">
        <v>1001494</v>
      </c>
      <c r="B1496" t="n">
        <v>1</v>
      </c>
      <c r="C1496" t="n">
        <v>1494</v>
      </c>
      <c r="D1496" t="n">
        <v>1</v>
      </c>
      <c r="E1496" t="n">
        <v>103.9357</v>
      </c>
      <c r="F1496" t="n">
        <v>0.04074</v>
      </c>
    </row>
    <row r="1497">
      <c r="A1497" t="n">
        <v>1001495</v>
      </c>
      <c r="B1497" t="n">
        <v>1</v>
      </c>
      <c r="C1497" t="n">
        <v>1495</v>
      </c>
      <c r="D1497" t="n">
        <v>1</v>
      </c>
      <c r="E1497" t="n">
        <v>103.9541</v>
      </c>
      <c r="F1497" t="n">
        <v>0.04074</v>
      </c>
    </row>
    <row r="1498">
      <c r="A1498" t="n">
        <v>1001496</v>
      </c>
      <c r="B1498" t="n">
        <v>1</v>
      </c>
      <c r="C1498" t="n">
        <v>1496</v>
      </c>
      <c r="D1498" t="n">
        <v>1</v>
      </c>
      <c r="E1498" t="n">
        <v>103.9725</v>
      </c>
      <c r="F1498" t="n">
        <v>0.04075</v>
      </c>
    </row>
    <row r="1499">
      <c r="A1499" t="n">
        <v>1001497</v>
      </c>
      <c r="B1499" t="n">
        <v>1</v>
      </c>
      <c r="C1499" t="n">
        <v>1497</v>
      </c>
      <c r="D1499" t="n">
        <v>1</v>
      </c>
      <c r="E1499" t="n">
        <v>103.9909</v>
      </c>
      <c r="F1499" t="n">
        <v>0.04075</v>
      </c>
    </row>
    <row r="1500">
      <c r="A1500" t="n">
        <v>1001498</v>
      </c>
      <c r="B1500" t="n">
        <v>1</v>
      </c>
      <c r="C1500" t="n">
        <v>1498</v>
      </c>
      <c r="D1500" t="n">
        <v>1</v>
      </c>
      <c r="E1500" t="n">
        <v>104.0093</v>
      </c>
      <c r="F1500" t="n">
        <v>0.04076</v>
      </c>
    </row>
    <row r="1501">
      <c r="A1501" t="n">
        <v>1001499</v>
      </c>
      <c r="B1501" t="n">
        <v>1</v>
      </c>
      <c r="C1501" t="n">
        <v>1499</v>
      </c>
      <c r="D1501" t="n">
        <v>1</v>
      </c>
      <c r="E1501" t="n">
        <v>104.0277</v>
      </c>
      <c r="F1501" t="n">
        <v>0.04076</v>
      </c>
    </row>
    <row r="1502">
      <c r="A1502" t="n">
        <v>1001500</v>
      </c>
      <c r="B1502" t="n">
        <v>1</v>
      </c>
      <c r="C1502" t="n">
        <v>1500</v>
      </c>
      <c r="D1502" t="n">
        <v>1</v>
      </c>
      <c r="E1502" t="n">
        <v>104.046</v>
      </c>
      <c r="F1502" t="n">
        <v>0.04077</v>
      </c>
    </row>
    <row r="1503">
      <c r="A1503" t="n">
        <v>1001501</v>
      </c>
      <c r="B1503" t="n">
        <v>1</v>
      </c>
      <c r="C1503" t="n">
        <v>1501</v>
      </c>
      <c r="D1503" t="n">
        <v>1</v>
      </c>
      <c r="E1503" t="n">
        <v>104.0644</v>
      </c>
      <c r="F1503" t="n">
        <v>0.04077</v>
      </c>
    </row>
    <row r="1504">
      <c r="A1504" t="n">
        <v>1001502</v>
      </c>
      <c r="B1504" t="n">
        <v>1</v>
      </c>
      <c r="C1504" t="n">
        <v>1502</v>
      </c>
      <c r="D1504" t="n">
        <v>1</v>
      </c>
      <c r="E1504" t="n">
        <v>104.0828</v>
      </c>
      <c r="F1504" t="n">
        <v>0.04078</v>
      </c>
    </row>
    <row r="1505">
      <c r="A1505" t="n">
        <v>1001503</v>
      </c>
      <c r="B1505" t="n">
        <v>1</v>
      </c>
      <c r="C1505" t="n">
        <v>1503</v>
      </c>
      <c r="D1505" t="n">
        <v>1</v>
      </c>
      <c r="E1505" t="n">
        <v>104.1011</v>
      </c>
      <c r="F1505" t="n">
        <v>0.04078</v>
      </c>
    </row>
    <row r="1506">
      <c r="A1506" t="n">
        <v>1001504</v>
      </c>
      <c r="B1506" t="n">
        <v>1</v>
      </c>
      <c r="C1506" t="n">
        <v>1504</v>
      </c>
      <c r="D1506" t="n">
        <v>1</v>
      </c>
      <c r="E1506" t="n">
        <v>104.1195</v>
      </c>
      <c r="F1506" t="n">
        <v>0.04078</v>
      </c>
    </row>
    <row r="1507">
      <c r="A1507" t="n">
        <v>1001505</v>
      </c>
      <c r="B1507" t="n">
        <v>1</v>
      </c>
      <c r="C1507" t="n">
        <v>1505</v>
      </c>
      <c r="D1507" t="n">
        <v>1</v>
      </c>
      <c r="E1507" t="n">
        <v>104.1379</v>
      </c>
      <c r="F1507" t="n">
        <v>0.04079</v>
      </c>
    </row>
    <row r="1508">
      <c r="A1508" t="n">
        <v>1001506</v>
      </c>
      <c r="B1508" t="n">
        <v>1</v>
      </c>
      <c r="C1508" t="n">
        <v>1506</v>
      </c>
      <c r="D1508" t="n">
        <v>1</v>
      </c>
      <c r="E1508" t="n">
        <v>104.1562</v>
      </c>
      <c r="F1508" t="n">
        <v>0.04079</v>
      </c>
    </row>
    <row r="1509">
      <c r="A1509" t="n">
        <v>1001507</v>
      </c>
      <c r="B1509" t="n">
        <v>1</v>
      </c>
      <c r="C1509" t="n">
        <v>1507</v>
      </c>
      <c r="D1509" t="n">
        <v>1</v>
      </c>
      <c r="E1509" t="n">
        <v>104.1746</v>
      </c>
      <c r="F1509" t="n">
        <v>0.0408</v>
      </c>
    </row>
    <row r="1510">
      <c r="A1510" t="n">
        <v>1001508</v>
      </c>
      <c r="B1510" t="n">
        <v>1</v>
      </c>
      <c r="C1510" t="n">
        <v>1508</v>
      </c>
      <c r="D1510" t="n">
        <v>1</v>
      </c>
      <c r="E1510" t="n">
        <v>104.1929</v>
      </c>
      <c r="F1510" t="n">
        <v>0.0408</v>
      </c>
    </row>
    <row r="1511">
      <c r="A1511" t="n">
        <v>1001509</v>
      </c>
      <c r="B1511" t="n">
        <v>1</v>
      </c>
      <c r="C1511" t="n">
        <v>1509</v>
      </c>
      <c r="D1511" t="n">
        <v>1</v>
      </c>
      <c r="E1511" t="n">
        <v>104.2113</v>
      </c>
      <c r="F1511" t="n">
        <v>0.04081</v>
      </c>
    </row>
    <row r="1512">
      <c r="A1512" t="n">
        <v>1001510</v>
      </c>
      <c r="B1512" t="n">
        <v>1</v>
      </c>
      <c r="C1512" t="n">
        <v>1510</v>
      </c>
      <c r="D1512" t="n">
        <v>1</v>
      </c>
      <c r="E1512" t="n">
        <v>104.2296</v>
      </c>
      <c r="F1512" t="n">
        <v>0.04081</v>
      </c>
    </row>
    <row r="1513">
      <c r="A1513" t="n">
        <v>1001511</v>
      </c>
      <c r="B1513" t="n">
        <v>1</v>
      </c>
      <c r="C1513" t="n">
        <v>1511</v>
      </c>
      <c r="D1513" t="n">
        <v>1</v>
      </c>
      <c r="E1513" t="n">
        <v>104.248</v>
      </c>
      <c r="F1513" t="n">
        <v>0.04082</v>
      </c>
    </row>
    <row r="1514">
      <c r="A1514" t="n">
        <v>1001512</v>
      </c>
      <c r="B1514" t="n">
        <v>1</v>
      </c>
      <c r="C1514" t="n">
        <v>1512</v>
      </c>
      <c r="D1514" t="n">
        <v>1</v>
      </c>
      <c r="E1514" t="n">
        <v>104.2663</v>
      </c>
      <c r="F1514" t="n">
        <v>0.04082</v>
      </c>
    </row>
    <row r="1515">
      <c r="A1515" t="n">
        <v>1001513</v>
      </c>
      <c r="B1515" t="n">
        <v>1</v>
      </c>
      <c r="C1515" t="n">
        <v>1513</v>
      </c>
      <c r="D1515" t="n">
        <v>1</v>
      </c>
      <c r="E1515" t="n">
        <v>104.2847</v>
      </c>
      <c r="F1515" t="n">
        <v>0.04082</v>
      </c>
    </row>
    <row r="1516">
      <c r="A1516" t="n">
        <v>1001514</v>
      </c>
      <c r="B1516" t="n">
        <v>1</v>
      </c>
      <c r="C1516" t="n">
        <v>1514</v>
      </c>
      <c r="D1516" t="n">
        <v>1</v>
      </c>
      <c r="E1516" t="n">
        <v>104.303</v>
      </c>
      <c r="F1516" t="n">
        <v>0.04083</v>
      </c>
    </row>
    <row r="1517">
      <c r="A1517" t="n">
        <v>1001515</v>
      </c>
      <c r="B1517" t="n">
        <v>1</v>
      </c>
      <c r="C1517" t="n">
        <v>1515</v>
      </c>
      <c r="D1517" t="n">
        <v>1</v>
      </c>
      <c r="E1517" t="n">
        <v>104.3213</v>
      </c>
      <c r="F1517" t="n">
        <v>0.04083</v>
      </c>
    </row>
    <row r="1518">
      <c r="A1518" t="n">
        <v>1001516</v>
      </c>
      <c r="B1518" t="n">
        <v>1</v>
      </c>
      <c r="C1518" t="n">
        <v>1516</v>
      </c>
      <c r="D1518" t="n">
        <v>1</v>
      </c>
      <c r="E1518" t="n">
        <v>104.3397</v>
      </c>
      <c r="F1518" t="n">
        <v>0.04084</v>
      </c>
    </row>
    <row r="1519">
      <c r="A1519" t="n">
        <v>1001517</v>
      </c>
      <c r="B1519" t="n">
        <v>1</v>
      </c>
      <c r="C1519" t="n">
        <v>1517</v>
      </c>
      <c r="D1519" t="n">
        <v>1</v>
      </c>
      <c r="E1519" t="n">
        <v>104.358</v>
      </c>
      <c r="F1519" t="n">
        <v>0.04084</v>
      </c>
    </row>
    <row r="1520">
      <c r="A1520" t="n">
        <v>1001518</v>
      </c>
      <c r="B1520" t="n">
        <v>1</v>
      </c>
      <c r="C1520" t="n">
        <v>1518</v>
      </c>
      <c r="D1520" t="n">
        <v>1</v>
      </c>
      <c r="E1520" t="n">
        <v>104.3763</v>
      </c>
      <c r="F1520" t="n">
        <v>0.04085</v>
      </c>
    </row>
    <row r="1521">
      <c r="A1521" t="n">
        <v>1001519</v>
      </c>
      <c r="B1521" t="n">
        <v>1</v>
      </c>
      <c r="C1521" t="n">
        <v>1519</v>
      </c>
      <c r="D1521" t="n">
        <v>1</v>
      </c>
      <c r="E1521" t="n">
        <v>104.3947</v>
      </c>
      <c r="F1521" t="n">
        <v>0.04085</v>
      </c>
    </row>
    <row r="1522">
      <c r="A1522" t="n">
        <v>1001520</v>
      </c>
      <c r="B1522" t="n">
        <v>1</v>
      </c>
      <c r="C1522" t="n">
        <v>1520</v>
      </c>
      <c r="D1522" t="n">
        <v>1</v>
      </c>
      <c r="E1522" t="n">
        <v>104.413</v>
      </c>
      <c r="F1522" t="n">
        <v>0.04086</v>
      </c>
    </row>
    <row r="1523">
      <c r="A1523" t="n">
        <v>1001521</v>
      </c>
      <c r="B1523" t="n">
        <v>1</v>
      </c>
      <c r="C1523" t="n">
        <v>1521</v>
      </c>
      <c r="D1523" t="n">
        <v>1</v>
      </c>
      <c r="E1523" t="n">
        <v>104.4313</v>
      </c>
      <c r="F1523" t="n">
        <v>0.04086</v>
      </c>
    </row>
    <row r="1524">
      <c r="A1524" t="n">
        <v>1001522</v>
      </c>
      <c r="B1524" t="n">
        <v>1</v>
      </c>
      <c r="C1524" t="n">
        <v>1522</v>
      </c>
      <c r="D1524" t="n">
        <v>1</v>
      </c>
      <c r="E1524" t="n">
        <v>104.4496</v>
      </c>
      <c r="F1524" t="n">
        <v>0.04086</v>
      </c>
    </row>
    <row r="1525">
      <c r="A1525" t="n">
        <v>1001523</v>
      </c>
      <c r="B1525" t="n">
        <v>1</v>
      </c>
      <c r="C1525" t="n">
        <v>1523</v>
      </c>
      <c r="D1525" t="n">
        <v>1</v>
      </c>
      <c r="E1525" t="n">
        <v>104.4679</v>
      </c>
      <c r="F1525" t="n">
        <v>0.04087</v>
      </c>
    </row>
    <row r="1526">
      <c r="A1526" t="n">
        <v>1001524</v>
      </c>
      <c r="B1526" t="n">
        <v>1</v>
      </c>
      <c r="C1526" t="n">
        <v>1524</v>
      </c>
      <c r="D1526" t="n">
        <v>1</v>
      </c>
      <c r="E1526" t="n">
        <v>104.4863</v>
      </c>
      <c r="F1526" t="n">
        <v>0.04087</v>
      </c>
    </row>
    <row r="1527">
      <c r="A1527" t="n">
        <v>1001525</v>
      </c>
      <c r="B1527" t="n">
        <v>1</v>
      </c>
      <c r="C1527" t="n">
        <v>1525</v>
      </c>
      <c r="D1527" t="n">
        <v>1</v>
      </c>
      <c r="E1527" t="n">
        <v>104.5046</v>
      </c>
      <c r="F1527" t="n">
        <v>0.04088</v>
      </c>
    </row>
    <row r="1528">
      <c r="A1528" t="n">
        <v>1001526</v>
      </c>
      <c r="B1528" t="n">
        <v>1</v>
      </c>
      <c r="C1528" t="n">
        <v>1526</v>
      </c>
      <c r="D1528" t="n">
        <v>1</v>
      </c>
      <c r="E1528" t="n">
        <v>104.5229</v>
      </c>
      <c r="F1528" t="n">
        <v>0.04088</v>
      </c>
    </row>
    <row r="1529">
      <c r="A1529" t="n">
        <v>1001527</v>
      </c>
      <c r="B1529" t="n">
        <v>1</v>
      </c>
      <c r="C1529" t="n">
        <v>1527</v>
      </c>
      <c r="D1529" t="n">
        <v>1</v>
      </c>
      <c r="E1529" t="n">
        <v>104.5412</v>
      </c>
      <c r="F1529" t="n">
        <v>0.04089</v>
      </c>
    </row>
    <row r="1530">
      <c r="A1530" t="n">
        <v>1001528</v>
      </c>
      <c r="B1530" t="n">
        <v>1</v>
      </c>
      <c r="C1530" t="n">
        <v>1528</v>
      </c>
      <c r="D1530" t="n">
        <v>1</v>
      </c>
      <c r="E1530" t="n">
        <v>104.5595</v>
      </c>
      <c r="F1530" t="n">
        <v>0.04089</v>
      </c>
    </row>
    <row r="1531">
      <c r="A1531" t="n">
        <v>1001529</v>
      </c>
      <c r="B1531" t="n">
        <v>1</v>
      </c>
      <c r="C1531" t="n">
        <v>1529</v>
      </c>
      <c r="D1531" t="n">
        <v>1</v>
      </c>
      <c r="E1531" t="n">
        <v>104.5778</v>
      </c>
      <c r="F1531" t="n">
        <v>0.04089</v>
      </c>
    </row>
    <row r="1532">
      <c r="A1532" t="n">
        <v>1001530</v>
      </c>
      <c r="B1532" t="n">
        <v>1</v>
      </c>
      <c r="C1532" t="n">
        <v>1530</v>
      </c>
      <c r="D1532" t="n">
        <v>1</v>
      </c>
      <c r="E1532" t="n">
        <v>104.5961</v>
      </c>
      <c r="F1532" t="n">
        <v>0.0409</v>
      </c>
    </row>
    <row r="1533">
      <c r="A1533" t="n">
        <v>1001531</v>
      </c>
      <c r="B1533" t="n">
        <v>1</v>
      </c>
      <c r="C1533" t="n">
        <v>1531</v>
      </c>
      <c r="D1533" t="n">
        <v>1</v>
      </c>
      <c r="E1533" t="n">
        <v>104.6144</v>
      </c>
      <c r="F1533" t="n">
        <v>0.0409</v>
      </c>
    </row>
    <row r="1534">
      <c r="A1534" t="n">
        <v>1001532</v>
      </c>
      <c r="B1534" t="n">
        <v>1</v>
      </c>
      <c r="C1534" t="n">
        <v>1532</v>
      </c>
      <c r="D1534" t="n">
        <v>1</v>
      </c>
      <c r="E1534" t="n">
        <v>104.6327</v>
      </c>
      <c r="F1534" t="n">
        <v>0.04091</v>
      </c>
    </row>
    <row r="1535">
      <c r="A1535" t="n">
        <v>1001533</v>
      </c>
      <c r="B1535" t="n">
        <v>1</v>
      </c>
      <c r="C1535" t="n">
        <v>1533</v>
      </c>
      <c r="D1535" t="n">
        <v>1</v>
      </c>
      <c r="E1535" t="n">
        <v>104.651</v>
      </c>
      <c r="F1535" t="n">
        <v>0.04091</v>
      </c>
    </row>
    <row r="1536">
      <c r="A1536" t="n">
        <v>1001534</v>
      </c>
      <c r="B1536" t="n">
        <v>1</v>
      </c>
      <c r="C1536" t="n">
        <v>1534</v>
      </c>
      <c r="D1536" t="n">
        <v>1</v>
      </c>
      <c r="E1536" t="n">
        <v>104.6693</v>
      </c>
      <c r="F1536" t="n">
        <v>0.04092</v>
      </c>
    </row>
    <row r="1537">
      <c r="A1537" t="n">
        <v>1001535</v>
      </c>
      <c r="B1537" t="n">
        <v>1</v>
      </c>
      <c r="C1537" t="n">
        <v>1535</v>
      </c>
      <c r="D1537" t="n">
        <v>1</v>
      </c>
      <c r="E1537" t="n">
        <v>104.6876</v>
      </c>
      <c r="F1537" t="n">
        <v>0.04092</v>
      </c>
    </row>
    <row r="1538">
      <c r="A1538" t="n">
        <v>1001536</v>
      </c>
      <c r="B1538" t="n">
        <v>1</v>
      </c>
      <c r="C1538" t="n">
        <v>1536</v>
      </c>
      <c r="D1538" t="n">
        <v>1</v>
      </c>
      <c r="E1538" t="n">
        <v>104.7059</v>
      </c>
      <c r="F1538" t="n">
        <v>0.04093</v>
      </c>
    </row>
    <row r="1539">
      <c r="A1539" t="n">
        <v>1001537</v>
      </c>
      <c r="B1539" t="n">
        <v>1</v>
      </c>
      <c r="C1539" t="n">
        <v>1537</v>
      </c>
      <c r="D1539" t="n">
        <v>1</v>
      </c>
      <c r="E1539" t="n">
        <v>104.7242</v>
      </c>
      <c r="F1539" t="n">
        <v>0.04093</v>
      </c>
    </row>
    <row r="1540">
      <c r="A1540" t="n">
        <v>1001538</v>
      </c>
      <c r="B1540" t="n">
        <v>1</v>
      </c>
      <c r="C1540" t="n">
        <v>1538</v>
      </c>
      <c r="D1540" t="n">
        <v>1</v>
      </c>
      <c r="E1540" t="n">
        <v>104.7425</v>
      </c>
      <c r="F1540" t="n">
        <v>0.04093</v>
      </c>
    </row>
    <row r="1541">
      <c r="A1541" t="n">
        <v>1001539</v>
      </c>
      <c r="B1541" t="n">
        <v>1</v>
      </c>
      <c r="C1541" t="n">
        <v>1539</v>
      </c>
      <c r="D1541" t="n">
        <v>1</v>
      </c>
      <c r="E1541" t="n">
        <v>104.7608</v>
      </c>
      <c r="F1541" t="n">
        <v>0.04094</v>
      </c>
    </row>
    <row r="1542">
      <c r="A1542" t="n">
        <v>1001540</v>
      </c>
      <c r="B1542" t="n">
        <v>1</v>
      </c>
      <c r="C1542" t="n">
        <v>1540</v>
      </c>
      <c r="D1542" t="n">
        <v>1</v>
      </c>
      <c r="E1542" t="n">
        <v>104.7791</v>
      </c>
      <c r="F1542" t="n">
        <v>0.04094</v>
      </c>
    </row>
    <row r="1543">
      <c r="A1543" t="n">
        <v>1001541</v>
      </c>
      <c r="B1543" t="n">
        <v>1</v>
      </c>
      <c r="C1543" t="n">
        <v>1541</v>
      </c>
      <c r="D1543" t="n">
        <v>1</v>
      </c>
      <c r="E1543" t="n">
        <v>104.7974</v>
      </c>
      <c r="F1543" t="n">
        <v>0.04095</v>
      </c>
    </row>
    <row r="1544">
      <c r="A1544" t="n">
        <v>1001542</v>
      </c>
      <c r="B1544" t="n">
        <v>1</v>
      </c>
      <c r="C1544" t="n">
        <v>1542</v>
      </c>
      <c r="D1544" t="n">
        <v>1</v>
      </c>
      <c r="E1544" t="n">
        <v>104.8157</v>
      </c>
      <c r="F1544" t="n">
        <v>0.04095</v>
      </c>
    </row>
    <row r="1545">
      <c r="A1545" t="n">
        <v>1001543</v>
      </c>
      <c r="B1545" t="n">
        <v>1</v>
      </c>
      <c r="C1545" t="n">
        <v>1543</v>
      </c>
      <c r="D1545" t="n">
        <v>1</v>
      </c>
      <c r="E1545" t="n">
        <v>104.8339</v>
      </c>
      <c r="F1545" t="n">
        <v>0.04096</v>
      </c>
    </row>
    <row r="1546">
      <c r="A1546" t="n">
        <v>1001544</v>
      </c>
      <c r="B1546" t="n">
        <v>1</v>
      </c>
      <c r="C1546" t="n">
        <v>1544</v>
      </c>
      <c r="D1546" t="n">
        <v>1</v>
      </c>
      <c r="E1546" t="n">
        <v>104.8522</v>
      </c>
      <c r="F1546" t="n">
        <v>0.04096</v>
      </c>
    </row>
    <row r="1547">
      <c r="A1547" t="n">
        <v>1001545</v>
      </c>
      <c r="B1547" t="n">
        <v>1</v>
      </c>
      <c r="C1547" t="n">
        <v>1545</v>
      </c>
      <c r="D1547" t="n">
        <v>1</v>
      </c>
      <c r="E1547" t="n">
        <v>104.8705</v>
      </c>
      <c r="F1547" t="n">
        <v>0.04097</v>
      </c>
    </row>
    <row r="1548">
      <c r="A1548" t="n">
        <v>1001546</v>
      </c>
      <c r="B1548" t="n">
        <v>1</v>
      </c>
      <c r="C1548" t="n">
        <v>1546</v>
      </c>
      <c r="D1548" t="n">
        <v>1</v>
      </c>
      <c r="E1548" t="n">
        <v>104.8888</v>
      </c>
      <c r="F1548" t="n">
        <v>0.04097</v>
      </c>
    </row>
    <row r="1549">
      <c r="A1549" t="n">
        <v>1001547</v>
      </c>
      <c r="B1549" t="n">
        <v>1</v>
      </c>
      <c r="C1549" t="n">
        <v>1547</v>
      </c>
      <c r="D1549" t="n">
        <v>1</v>
      </c>
      <c r="E1549" t="n">
        <v>104.9071</v>
      </c>
      <c r="F1549" t="n">
        <v>0.04097</v>
      </c>
    </row>
    <row r="1550">
      <c r="A1550" t="n">
        <v>1001548</v>
      </c>
      <c r="B1550" t="n">
        <v>1</v>
      </c>
      <c r="C1550" t="n">
        <v>1548</v>
      </c>
      <c r="D1550" t="n">
        <v>1</v>
      </c>
      <c r="E1550" t="n">
        <v>104.9253</v>
      </c>
      <c r="F1550" t="n">
        <v>0.04098</v>
      </c>
    </row>
    <row r="1551">
      <c r="A1551" t="n">
        <v>1001549</v>
      </c>
      <c r="B1551" t="n">
        <v>1</v>
      </c>
      <c r="C1551" t="n">
        <v>1549</v>
      </c>
      <c r="D1551" t="n">
        <v>1</v>
      </c>
      <c r="E1551" t="n">
        <v>104.9436</v>
      </c>
      <c r="F1551" t="n">
        <v>0.04098</v>
      </c>
    </row>
    <row r="1552">
      <c r="A1552" t="n">
        <v>1001550</v>
      </c>
      <c r="B1552" t="n">
        <v>1</v>
      </c>
      <c r="C1552" t="n">
        <v>1550</v>
      </c>
      <c r="D1552" t="n">
        <v>1</v>
      </c>
      <c r="E1552" t="n">
        <v>104.9619</v>
      </c>
      <c r="F1552" t="n">
        <v>0.04099</v>
      </c>
    </row>
    <row r="1553">
      <c r="A1553" t="n">
        <v>1001551</v>
      </c>
      <c r="B1553" t="n">
        <v>1</v>
      </c>
      <c r="C1553" t="n">
        <v>1551</v>
      </c>
      <c r="D1553" t="n">
        <v>1</v>
      </c>
      <c r="E1553" t="n">
        <v>104.9802</v>
      </c>
      <c r="F1553" t="n">
        <v>0.04099</v>
      </c>
    </row>
    <row r="1554">
      <c r="A1554" t="n">
        <v>1001552</v>
      </c>
      <c r="B1554" t="n">
        <v>1</v>
      </c>
      <c r="C1554" t="n">
        <v>1552</v>
      </c>
      <c r="D1554" t="n">
        <v>1</v>
      </c>
      <c r="E1554" t="n">
        <v>104.9984</v>
      </c>
      <c r="F1554" t="n">
        <v>0.041</v>
      </c>
    </row>
    <row r="1555">
      <c r="A1555" t="n">
        <v>1001553</v>
      </c>
      <c r="B1555" t="n">
        <v>1</v>
      </c>
      <c r="C1555" t="n">
        <v>1553</v>
      </c>
      <c r="D1555" t="n">
        <v>1</v>
      </c>
      <c r="E1555" t="n">
        <v>105.0167</v>
      </c>
      <c r="F1555" t="n">
        <v>0.041</v>
      </c>
    </row>
    <row r="1556">
      <c r="A1556" t="n">
        <v>1001554</v>
      </c>
      <c r="B1556" t="n">
        <v>1</v>
      </c>
      <c r="C1556" t="n">
        <v>1554</v>
      </c>
      <c r="D1556" t="n">
        <v>1</v>
      </c>
      <c r="E1556" t="n">
        <v>105.035</v>
      </c>
      <c r="F1556" t="n">
        <v>0.041</v>
      </c>
    </row>
    <row r="1557">
      <c r="A1557" t="n">
        <v>1001555</v>
      </c>
      <c r="B1557" t="n">
        <v>1</v>
      </c>
      <c r="C1557" t="n">
        <v>1555</v>
      </c>
      <c r="D1557" t="n">
        <v>1</v>
      </c>
      <c r="E1557" t="n">
        <v>105.0532</v>
      </c>
      <c r="F1557" t="n">
        <v>0.04101</v>
      </c>
    </row>
    <row r="1558">
      <c r="A1558" t="n">
        <v>1001556</v>
      </c>
      <c r="B1558" t="n">
        <v>1</v>
      </c>
      <c r="C1558" t="n">
        <v>1556</v>
      </c>
      <c r="D1558" t="n">
        <v>1</v>
      </c>
      <c r="E1558" t="n">
        <v>105.0715</v>
      </c>
      <c r="F1558" t="n">
        <v>0.04101</v>
      </c>
    </row>
    <row r="1559">
      <c r="A1559" t="n">
        <v>1001557</v>
      </c>
      <c r="B1559" t="n">
        <v>1</v>
      </c>
      <c r="C1559" t="n">
        <v>1557</v>
      </c>
      <c r="D1559" t="n">
        <v>1</v>
      </c>
      <c r="E1559" t="n">
        <v>105.0898</v>
      </c>
      <c r="F1559" t="n">
        <v>0.04102</v>
      </c>
    </row>
    <row r="1560">
      <c r="A1560" t="n">
        <v>1001558</v>
      </c>
      <c r="B1560" t="n">
        <v>1</v>
      </c>
      <c r="C1560" t="n">
        <v>1558</v>
      </c>
      <c r="D1560" t="n">
        <v>1</v>
      </c>
      <c r="E1560" t="n">
        <v>105.108</v>
      </c>
      <c r="F1560" t="n">
        <v>0.04102</v>
      </c>
    </row>
    <row r="1561">
      <c r="A1561" t="n">
        <v>1001559</v>
      </c>
      <c r="B1561" t="n">
        <v>1</v>
      </c>
      <c r="C1561" t="n">
        <v>1559</v>
      </c>
      <c r="D1561" t="n">
        <v>1</v>
      </c>
      <c r="E1561" t="n">
        <v>105.1263</v>
      </c>
      <c r="F1561" t="n">
        <v>0.04103</v>
      </c>
    </row>
    <row r="1562">
      <c r="A1562" t="n">
        <v>1001560</v>
      </c>
      <c r="B1562" t="n">
        <v>1</v>
      </c>
      <c r="C1562" t="n">
        <v>1560</v>
      </c>
      <c r="D1562" t="n">
        <v>1</v>
      </c>
      <c r="E1562" t="n">
        <v>105.1445</v>
      </c>
      <c r="F1562" t="n">
        <v>0.04103</v>
      </c>
    </row>
    <row r="1563">
      <c r="A1563" t="n">
        <v>1001561</v>
      </c>
      <c r="B1563" t="n">
        <v>1</v>
      </c>
      <c r="C1563" t="n">
        <v>1561</v>
      </c>
      <c r="D1563" t="n">
        <v>1</v>
      </c>
      <c r="E1563" t="n">
        <v>105.1628</v>
      </c>
      <c r="F1563" t="n">
        <v>0.04104</v>
      </c>
    </row>
    <row r="1564">
      <c r="A1564" t="n">
        <v>1001562</v>
      </c>
      <c r="B1564" t="n">
        <v>1</v>
      </c>
      <c r="C1564" t="n">
        <v>1562</v>
      </c>
      <c r="D1564" t="n">
        <v>1</v>
      </c>
      <c r="E1564" t="n">
        <v>105.1811</v>
      </c>
      <c r="F1564" t="n">
        <v>0.04104</v>
      </c>
    </row>
    <row r="1565">
      <c r="A1565" t="n">
        <v>1001563</v>
      </c>
      <c r="B1565" t="n">
        <v>1</v>
      </c>
      <c r="C1565" t="n">
        <v>1563</v>
      </c>
      <c r="D1565" t="n">
        <v>1</v>
      </c>
      <c r="E1565" t="n">
        <v>105.1993</v>
      </c>
      <c r="F1565" t="n">
        <v>0.04104</v>
      </c>
    </row>
    <row r="1566">
      <c r="A1566" t="n">
        <v>1001564</v>
      </c>
      <c r="B1566" t="n">
        <v>1</v>
      </c>
      <c r="C1566" t="n">
        <v>1564</v>
      </c>
      <c r="D1566" t="n">
        <v>1</v>
      </c>
      <c r="E1566" t="n">
        <v>105.2176</v>
      </c>
      <c r="F1566" t="n">
        <v>0.04105</v>
      </c>
    </row>
    <row r="1567">
      <c r="A1567" t="n">
        <v>1001565</v>
      </c>
      <c r="B1567" t="n">
        <v>1</v>
      </c>
      <c r="C1567" t="n">
        <v>1565</v>
      </c>
      <c r="D1567" t="n">
        <v>1</v>
      </c>
      <c r="E1567" t="n">
        <v>105.2358</v>
      </c>
      <c r="F1567" t="n">
        <v>0.04105</v>
      </c>
    </row>
    <row r="1568">
      <c r="A1568" t="n">
        <v>1001566</v>
      </c>
      <c r="B1568" t="n">
        <v>1</v>
      </c>
      <c r="C1568" t="n">
        <v>1566</v>
      </c>
      <c r="D1568" t="n">
        <v>1</v>
      </c>
      <c r="E1568" t="n">
        <v>105.2541</v>
      </c>
      <c r="F1568" t="n">
        <v>0.04106</v>
      </c>
    </row>
    <row r="1569">
      <c r="A1569" t="n">
        <v>1001567</v>
      </c>
      <c r="B1569" t="n">
        <v>1</v>
      </c>
      <c r="C1569" t="n">
        <v>1567</v>
      </c>
      <c r="D1569" t="n">
        <v>1</v>
      </c>
      <c r="E1569" t="n">
        <v>105.2723</v>
      </c>
      <c r="F1569" t="n">
        <v>0.04106</v>
      </c>
    </row>
    <row r="1570">
      <c r="A1570" t="n">
        <v>1001568</v>
      </c>
      <c r="B1570" t="n">
        <v>1</v>
      </c>
      <c r="C1570" t="n">
        <v>1568</v>
      </c>
      <c r="D1570" t="n">
        <v>1</v>
      </c>
      <c r="E1570" t="n">
        <v>105.2906</v>
      </c>
      <c r="F1570" t="n">
        <v>0.04107</v>
      </c>
    </row>
    <row r="1571">
      <c r="A1571" t="n">
        <v>1001569</v>
      </c>
      <c r="B1571" t="n">
        <v>1</v>
      </c>
      <c r="C1571" t="n">
        <v>1569</v>
      </c>
      <c r="D1571" t="n">
        <v>1</v>
      </c>
      <c r="E1571" t="n">
        <v>105.3088</v>
      </c>
      <c r="F1571" t="n">
        <v>0.04107</v>
      </c>
    </row>
    <row r="1572">
      <c r="A1572" t="n">
        <v>1001570</v>
      </c>
      <c r="B1572" t="n">
        <v>1</v>
      </c>
      <c r="C1572" t="n">
        <v>1570</v>
      </c>
      <c r="D1572" t="n">
        <v>1</v>
      </c>
      <c r="E1572" t="n">
        <v>105.3271</v>
      </c>
      <c r="F1572" t="n">
        <v>0.04107</v>
      </c>
    </row>
    <row r="1573">
      <c r="A1573" t="n">
        <v>1001571</v>
      </c>
      <c r="B1573" t="n">
        <v>1</v>
      </c>
      <c r="C1573" t="n">
        <v>1571</v>
      </c>
      <c r="D1573" t="n">
        <v>1</v>
      </c>
      <c r="E1573" t="n">
        <v>105.3453</v>
      </c>
      <c r="F1573" t="n">
        <v>0.04108</v>
      </c>
    </row>
    <row r="1574">
      <c r="A1574" t="n">
        <v>1001572</v>
      </c>
      <c r="B1574" t="n">
        <v>1</v>
      </c>
      <c r="C1574" t="n">
        <v>1572</v>
      </c>
      <c r="D1574" t="n">
        <v>1</v>
      </c>
      <c r="E1574" t="n">
        <v>105.3635</v>
      </c>
      <c r="F1574" t="n">
        <v>0.04108</v>
      </c>
    </row>
    <row r="1575">
      <c r="A1575" t="n">
        <v>1001573</v>
      </c>
      <c r="B1575" t="n">
        <v>1</v>
      </c>
      <c r="C1575" t="n">
        <v>1573</v>
      </c>
      <c r="D1575" t="n">
        <v>1</v>
      </c>
      <c r="E1575" t="n">
        <v>105.3818</v>
      </c>
      <c r="F1575" t="n">
        <v>0.04109</v>
      </c>
    </row>
    <row r="1576">
      <c r="A1576" t="n">
        <v>1001574</v>
      </c>
      <c r="B1576" t="n">
        <v>1</v>
      </c>
      <c r="C1576" t="n">
        <v>1574</v>
      </c>
      <c r="D1576" t="n">
        <v>1</v>
      </c>
      <c r="E1576" t="n">
        <v>105.4</v>
      </c>
      <c r="F1576" t="n">
        <v>0.04109</v>
      </c>
    </row>
    <row r="1577">
      <c r="A1577" t="n">
        <v>1001575</v>
      </c>
      <c r="B1577" t="n">
        <v>1</v>
      </c>
      <c r="C1577" t="n">
        <v>1575</v>
      </c>
      <c r="D1577" t="n">
        <v>1</v>
      </c>
      <c r="E1577" t="n">
        <v>105.4183</v>
      </c>
      <c r="F1577" t="n">
        <v>0.0411</v>
      </c>
    </row>
    <row r="1578">
      <c r="A1578" t="n">
        <v>1001576</v>
      </c>
      <c r="B1578" t="n">
        <v>1</v>
      </c>
      <c r="C1578" t="n">
        <v>1576</v>
      </c>
      <c r="D1578" t="n">
        <v>1</v>
      </c>
      <c r="E1578" t="n">
        <v>105.4365</v>
      </c>
      <c r="F1578" t="n">
        <v>0.0411</v>
      </c>
    </row>
    <row r="1579">
      <c r="A1579" t="n">
        <v>1001577</v>
      </c>
      <c r="B1579" t="n">
        <v>1</v>
      </c>
      <c r="C1579" t="n">
        <v>1577</v>
      </c>
      <c r="D1579" t="n">
        <v>1</v>
      </c>
      <c r="E1579" t="n">
        <v>105.4547</v>
      </c>
      <c r="F1579" t="n">
        <v>0.04111</v>
      </c>
    </row>
    <row r="1580">
      <c r="A1580" t="n">
        <v>1001578</v>
      </c>
      <c r="B1580" t="n">
        <v>1</v>
      </c>
      <c r="C1580" t="n">
        <v>1578</v>
      </c>
      <c r="D1580" t="n">
        <v>1</v>
      </c>
      <c r="E1580" t="n">
        <v>105.473</v>
      </c>
      <c r="F1580" t="n">
        <v>0.04111</v>
      </c>
    </row>
    <row r="1581">
      <c r="A1581" t="n">
        <v>1001579</v>
      </c>
      <c r="B1581" t="n">
        <v>1</v>
      </c>
      <c r="C1581" t="n">
        <v>1579</v>
      </c>
      <c r="D1581" t="n">
        <v>1</v>
      </c>
      <c r="E1581" t="n">
        <v>105.4912</v>
      </c>
      <c r="F1581" t="n">
        <v>0.04111</v>
      </c>
    </row>
    <row r="1582">
      <c r="A1582" t="n">
        <v>1001580</v>
      </c>
      <c r="B1582" t="n">
        <v>1</v>
      </c>
      <c r="C1582" t="n">
        <v>1580</v>
      </c>
      <c r="D1582" t="n">
        <v>1</v>
      </c>
      <c r="E1582" t="n">
        <v>105.5094</v>
      </c>
      <c r="F1582" t="n">
        <v>0.04112</v>
      </c>
    </row>
    <row r="1583">
      <c r="A1583" t="n">
        <v>1001581</v>
      </c>
      <c r="B1583" t="n">
        <v>1</v>
      </c>
      <c r="C1583" t="n">
        <v>1581</v>
      </c>
      <c r="D1583" t="n">
        <v>1</v>
      </c>
      <c r="E1583" t="n">
        <v>105.5277</v>
      </c>
      <c r="F1583" t="n">
        <v>0.04112</v>
      </c>
    </row>
    <row r="1584">
      <c r="A1584" t="n">
        <v>1001582</v>
      </c>
      <c r="B1584" t="n">
        <v>1</v>
      </c>
      <c r="C1584" t="n">
        <v>1582</v>
      </c>
      <c r="D1584" t="n">
        <v>1</v>
      </c>
      <c r="E1584" t="n">
        <v>105.5459</v>
      </c>
      <c r="F1584" t="n">
        <v>0.04113</v>
      </c>
    </row>
    <row r="1585">
      <c r="A1585" t="n">
        <v>1001583</v>
      </c>
      <c r="B1585" t="n">
        <v>1</v>
      </c>
      <c r="C1585" t="n">
        <v>1583</v>
      </c>
      <c r="D1585" t="n">
        <v>1</v>
      </c>
      <c r="E1585" t="n">
        <v>105.5641</v>
      </c>
      <c r="F1585" t="n">
        <v>0.04113</v>
      </c>
    </row>
    <row r="1586">
      <c r="A1586" t="n">
        <v>1001584</v>
      </c>
      <c r="B1586" t="n">
        <v>1</v>
      </c>
      <c r="C1586" t="n">
        <v>1584</v>
      </c>
      <c r="D1586" t="n">
        <v>1</v>
      </c>
      <c r="E1586" t="n">
        <v>105.5824</v>
      </c>
      <c r="F1586" t="n">
        <v>0.04114</v>
      </c>
    </row>
    <row r="1587">
      <c r="A1587" t="n">
        <v>1001585</v>
      </c>
      <c r="B1587" t="n">
        <v>1</v>
      </c>
      <c r="C1587" t="n">
        <v>1585</v>
      </c>
      <c r="D1587" t="n">
        <v>1</v>
      </c>
      <c r="E1587" t="n">
        <v>105.6006</v>
      </c>
      <c r="F1587" t="n">
        <v>0.04114</v>
      </c>
    </row>
    <row r="1588">
      <c r="A1588" t="n">
        <v>1001586</v>
      </c>
      <c r="B1588" t="n">
        <v>1</v>
      </c>
      <c r="C1588" t="n">
        <v>1586</v>
      </c>
      <c r="D1588" t="n">
        <v>1</v>
      </c>
      <c r="E1588" t="n">
        <v>105.6188</v>
      </c>
      <c r="F1588" t="n">
        <v>0.04114</v>
      </c>
    </row>
    <row r="1589">
      <c r="A1589" t="n">
        <v>1001587</v>
      </c>
      <c r="B1589" t="n">
        <v>1</v>
      </c>
      <c r="C1589" t="n">
        <v>1587</v>
      </c>
      <c r="D1589" t="n">
        <v>1</v>
      </c>
      <c r="E1589" t="n">
        <v>105.637</v>
      </c>
      <c r="F1589" t="n">
        <v>0.04115</v>
      </c>
    </row>
    <row r="1590">
      <c r="A1590" t="n">
        <v>1001588</v>
      </c>
      <c r="B1590" t="n">
        <v>1</v>
      </c>
      <c r="C1590" t="n">
        <v>1588</v>
      </c>
      <c r="D1590" t="n">
        <v>1</v>
      </c>
      <c r="E1590" t="n">
        <v>105.6553</v>
      </c>
      <c r="F1590" t="n">
        <v>0.04115</v>
      </c>
    </row>
    <row r="1591">
      <c r="A1591" t="n">
        <v>1001589</v>
      </c>
      <c r="B1591" t="n">
        <v>1</v>
      </c>
      <c r="C1591" t="n">
        <v>1589</v>
      </c>
      <c r="D1591" t="n">
        <v>1</v>
      </c>
      <c r="E1591" t="n">
        <v>105.6735</v>
      </c>
      <c r="F1591" t="n">
        <v>0.04116</v>
      </c>
    </row>
    <row r="1592">
      <c r="A1592" t="n">
        <v>1001590</v>
      </c>
      <c r="B1592" t="n">
        <v>1</v>
      </c>
      <c r="C1592" t="n">
        <v>1590</v>
      </c>
      <c r="D1592" t="n">
        <v>1</v>
      </c>
      <c r="E1592" t="n">
        <v>105.6917</v>
      </c>
      <c r="F1592" t="n">
        <v>0.04116</v>
      </c>
    </row>
    <row r="1593">
      <c r="A1593" t="n">
        <v>1001591</v>
      </c>
      <c r="B1593" t="n">
        <v>1</v>
      </c>
      <c r="C1593" t="n">
        <v>1591</v>
      </c>
      <c r="D1593" t="n">
        <v>1</v>
      </c>
      <c r="E1593" t="n">
        <v>105.7099</v>
      </c>
      <c r="F1593" t="n">
        <v>0.04117</v>
      </c>
    </row>
    <row r="1594">
      <c r="A1594" t="n">
        <v>1001592</v>
      </c>
      <c r="B1594" t="n">
        <v>1</v>
      </c>
      <c r="C1594" t="n">
        <v>1592</v>
      </c>
      <c r="D1594" t="n">
        <v>1</v>
      </c>
      <c r="E1594" t="n">
        <v>105.7281</v>
      </c>
      <c r="F1594" t="n">
        <v>0.04117</v>
      </c>
    </row>
    <row r="1595">
      <c r="A1595" t="n">
        <v>1001593</v>
      </c>
      <c r="B1595" t="n">
        <v>1</v>
      </c>
      <c r="C1595" t="n">
        <v>1593</v>
      </c>
      <c r="D1595" t="n">
        <v>1</v>
      </c>
      <c r="E1595" t="n">
        <v>105.7463</v>
      </c>
      <c r="F1595" t="n">
        <v>0.04117</v>
      </c>
    </row>
    <row r="1596">
      <c r="A1596" t="n">
        <v>1001594</v>
      </c>
      <c r="B1596" t="n">
        <v>1</v>
      </c>
      <c r="C1596" t="n">
        <v>1594</v>
      </c>
      <c r="D1596" t="n">
        <v>1</v>
      </c>
      <c r="E1596" t="n">
        <v>105.7646</v>
      </c>
      <c r="F1596" t="n">
        <v>0.04118</v>
      </c>
    </row>
    <row r="1597">
      <c r="A1597" t="n">
        <v>1001595</v>
      </c>
      <c r="B1597" t="n">
        <v>1</v>
      </c>
      <c r="C1597" t="n">
        <v>1595</v>
      </c>
      <c r="D1597" t="n">
        <v>1</v>
      </c>
      <c r="E1597" t="n">
        <v>105.7828</v>
      </c>
      <c r="F1597" t="n">
        <v>0.04118</v>
      </c>
    </row>
    <row r="1598">
      <c r="A1598" t="n">
        <v>1001596</v>
      </c>
      <c r="B1598" t="n">
        <v>1</v>
      </c>
      <c r="C1598" t="n">
        <v>1596</v>
      </c>
      <c r="D1598" t="n">
        <v>1</v>
      </c>
      <c r="E1598" t="n">
        <v>105.801</v>
      </c>
      <c r="F1598" t="n">
        <v>0.04119</v>
      </c>
    </row>
    <row r="1599">
      <c r="A1599" t="n">
        <v>1001597</v>
      </c>
      <c r="B1599" t="n">
        <v>1</v>
      </c>
      <c r="C1599" t="n">
        <v>1597</v>
      </c>
      <c r="D1599" t="n">
        <v>1</v>
      </c>
      <c r="E1599" t="n">
        <v>105.8192</v>
      </c>
      <c r="F1599" t="n">
        <v>0.04119</v>
      </c>
    </row>
    <row r="1600">
      <c r="A1600" t="n">
        <v>1001598</v>
      </c>
      <c r="B1600" t="n">
        <v>1</v>
      </c>
      <c r="C1600" t="n">
        <v>1598</v>
      </c>
      <c r="D1600" t="n">
        <v>1</v>
      </c>
      <c r="E1600" t="n">
        <v>105.8374</v>
      </c>
      <c r="F1600" t="n">
        <v>0.0412</v>
      </c>
    </row>
    <row r="1601">
      <c r="A1601" t="n">
        <v>1001599</v>
      </c>
      <c r="B1601" t="n">
        <v>1</v>
      </c>
      <c r="C1601" t="n">
        <v>1599</v>
      </c>
      <c r="D1601" t="n">
        <v>1</v>
      </c>
      <c r="E1601" t="n">
        <v>105.8556</v>
      </c>
      <c r="F1601" t="n">
        <v>0.0412</v>
      </c>
    </row>
    <row r="1602">
      <c r="A1602" t="n">
        <v>1001600</v>
      </c>
      <c r="B1602" t="n">
        <v>1</v>
      </c>
      <c r="C1602" t="n">
        <v>1600</v>
      </c>
      <c r="D1602" t="n">
        <v>1</v>
      </c>
      <c r="E1602" t="n">
        <v>105.8738</v>
      </c>
      <c r="F1602" t="n">
        <v>0.0412</v>
      </c>
    </row>
    <row r="1603">
      <c r="A1603" t="n">
        <v>1001601</v>
      </c>
      <c r="B1603" t="n">
        <v>1</v>
      </c>
      <c r="C1603" t="n">
        <v>1601</v>
      </c>
      <c r="D1603" t="n">
        <v>1</v>
      </c>
      <c r="E1603" t="n">
        <v>105.892</v>
      </c>
      <c r="F1603" t="n">
        <v>0.04121</v>
      </c>
    </row>
    <row r="1604">
      <c r="A1604" t="n">
        <v>1001602</v>
      </c>
      <c r="B1604" t="n">
        <v>1</v>
      </c>
      <c r="C1604" t="n">
        <v>1602</v>
      </c>
      <c r="D1604" t="n">
        <v>1</v>
      </c>
      <c r="E1604" t="n">
        <v>105.9102</v>
      </c>
      <c r="F1604" t="n">
        <v>0.04121</v>
      </c>
    </row>
    <row r="1605">
      <c r="A1605" t="n">
        <v>1001603</v>
      </c>
      <c r="B1605" t="n">
        <v>1</v>
      </c>
      <c r="C1605" t="n">
        <v>1603</v>
      </c>
      <c r="D1605" t="n">
        <v>1</v>
      </c>
      <c r="E1605" t="n">
        <v>105.9284</v>
      </c>
      <c r="F1605" t="n">
        <v>0.04122</v>
      </c>
    </row>
    <row r="1606">
      <c r="A1606" t="n">
        <v>1001604</v>
      </c>
      <c r="B1606" t="n">
        <v>1</v>
      </c>
      <c r="C1606" t="n">
        <v>1604</v>
      </c>
      <c r="D1606" t="n">
        <v>1</v>
      </c>
      <c r="E1606" t="n">
        <v>105.9466</v>
      </c>
      <c r="F1606" t="n">
        <v>0.04122</v>
      </c>
    </row>
    <row r="1607">
      <c r="A1607" t="n">
        <v>1001605</v>
      </c>
      <c r="B1607" t="n">
        <v>1</v>
      </c>
      <c r="C1607" t="n">
        <v>1605</v>
      </c>
      <c r="D1607" t="n">
        <v>1</v>
      </c>
      <c r="E1607" t="n">
        <v>105.9648</v>
      </c>
      <c r="F1607" t="n">
        <v>0.04123</v>
      </c>
    </row>
    <row r="1608">
      <c r="A1608" t="n">
        <v>1001606</v>
      </c>
      <c r="B1608" t="n">
        <v>1</v>
      </c>
      <c r="C1608" t="n">
        <v>1606</v>
      </c>
      <c r="D1608" t="n">
        <v>1</v>
      </c>
      <c r="E1608" t="n">
        <v>105.983</v>
      </c>
      <c r="F1608" t="n">
        <v>0.04123</v>
      </c>
    </row>
    <row r="1609">
      <c r="A1609" t="n">
        <v>1001607</v>
      </c>
      <c r="B1609" t="n">
        <v>1</v>
      </c>
      <c r="C1609" t="n">
        <v>1607</v>
      </c>
      <c r="D1609" t="n">
        <v>1</v>
      </c>
      <c r="E1609" t="n">
        <v>106.0012</v>
      </c>
      <c r="F1609" t="n">
        <v>0.04123</v>
      </c>
    </row>
    <row r="1610">
      <c r="A1610" t="n">
        <v>1001608</v>
      </c>
      <c r="B1610" t="n">
        <v>1</v>
      </c>
      <c r="C1610" t="n">
        <v>1608</v>
      </c>
      <c r="D1610" t="n">
        <v>1</v>
      </c>
      <c r="E1610" t="n">
        <v>106.0194</v>
      </c>
      <c r="F1610" t="n">
        <v>0.04124</v>
      </c>
    </row>
    <row r="1611">
      <c r="A1611" t="n">
        <v>1001609</v>
      </c>
      <c r="B1611" t="n">
        <v>1</v>
      </c>
      <c r="C1611" t="n">
        <v>1609</v>
      </c>
      <c r="D1611" t="n">
        <v>1</v>
      </c>
      <c r="E1611" t="n">
        <v>106.0376</v>
      </c>
      <c r="F1611" t="n">
        <v>0.04124</v>
      </c>
    </row>
    <row r="1612">
      <c r="A1612" t="n">
        <v>1001610</v>
      </c>
      <c r="B1612" t="n">
        <v>1</v>
      </c>
      <c r="C1612" t="n">
        <v>1610</v>
      </c>
      <c r="D1612" t="n">
        <v>1</v>
      </c>
      <c r="E1612" t="n">
        <v>106.0558</v>
      </c>
      <c r="F1612" t="n">
        <v>0.04125</v>
      </c>
    </row>
    <row r="1613">
      <c r="A1613" t="n">
        <v>1001611</v>
      </c>
      <c r="B1613" t="n">
        <v>1</v>
      </c>
      <c r="C1613" t="n">
        <v>1611</v>
      </c>
      <c r="D1613" t="n">
        <v>1</v>
      </c>
      <c r="E1613" t="n">
        <v>106.074</v>
      </c>
      <c r="F1613" t="n">
        <v>0.04125</v>
      </c>
    </row>
    <row r="1614">
      <c r="A1614" t="n">
        <v>1001612</v>
      </c>
      <c r="B1614" t="n">
        <v>1</v>
      </c>
      <c r="C1614" t="n">
        <v>1612</v>
      </c>
      <c r="D1614" t="n">
        <v>1</v>
      </c>
      <c r="E1614" t="n">
        <v>106.0922</v>
      </c>
      <c r="F1614" t="n">
        <v>0.04126</v>
      </c>
    </row>
    <row r="1615">
      <c r="A1615" t="n">
        <v>1001613</v>
      </c>
      <c r="B1615" t="n">
        <v>1</v>
      </c>
      <c r="C1615" t="n">
        <v>1613</v>
      </c>
      <c r="D1615" t="n">
        <v>1</v>
      </c>
      <c r="E1615" t="n">
        <v>106.1104</v>
      </c>
      <c r="F1615" t="n">
        <v>0.04126</v>
      </c>
    </row>
    <row r="1616">
      <c r="A1616" t="n">
        <v>1001614</v>
      </c>
      <c r="B1616" t="n">
        <v>1</v>
      </c>
      <c r="C1616" t="n">
        <v>1614</v>
      </c>
      <c r="D1616" t="n">
        <v>1</v>
      </c>
      <c r="E1616" t="n">
        <v>106.1286</v>
      </c>
      <c r="F1616" t="n">
        <v>0.04127</v>
      </c>
    </row>
    <row r="1617">
      <c r="A1617" t="n">
        <v>1001615</v>
      </c>
      <c r="B1617" t="n">
        <v>1</v>
      </c>
      <c r="C1617" t="n">
        <v>1615</v>
      </c>
      <c r="D1617" t="n">
        <v>1</v>
      </c>
      <c r="E1617" t="n">
        <v>106.1467</v>
      </c>
      <c r="F1617" t="n">
        <v>0.04127</v>
      </c>
    </row>
    <row r="1618">
      <c r="A1618" t="n">
        <v>1001616</v>
      </c>
      <c r="B1618" t="n">
        <v>1</v>
      </c>
      <c r="C1618" t="n">
        <v>1616</v>
      </c>
      <c r="D1618" t="n">
        <v>1</v>
      </c>
      <c r="E1618" t="n">
        <v>106.1649</v>
      </c>
      <c r="F1618" t="n">
        <v>0.04127</v>
      </c>
    </row>
    <row r="1619">
      <c r="A1619" t="n">
        <v>1001617</v>
      </c>
      <c r="B1619" t="n">
        <v>1</v>
      </c>
      <c r="C1619" t="n">
        <v>1617</v>
      </c>
      <c r="D1619" t="n">
        <v>1</v>
      </c>
      <c r="E1619" t="n">
        <v>106.1831</v>
      </c>
      <c r="F1619" t="n">
        <v>0.04128</v>
      </c>
    </row>
    <row r="1620">
      <c r="A1620" t="n">
        <v>1001618</v>
      </c>
      <c r="B1620" t="n">
        <v>1</v>
      </c>
      <c r="C1620" t="n">
        <v>1618</v>
      </c>
      <c r="D1620" t="n">
        <v>1</v>
      </c>
      <c r="E1620" t="n">
        <v>106.2013</v>
      </c>
      <c r="F1620" t="n">
        <v>0.04128</v>
      </c>
    </row>
    <row r="1621">
      <c r="A1621" t="n">
        <v>1001619</v>
      </c>
      <c r="B1621" t="n">
        <v>1</v>
      </c>
      <c r="C1621" t="n">
        <v>1619</v>
      </c>
      <c r="D1621" t="n">
        <v>1</v>
      </c>
      <c r="E1621" t="n">
        <v>106.2195</v>
      </c>
      <c r="F1621" t="n">
        <v>0.04129</v>
      </c>
    </row>
    <row r="1622">
      <c r="A1622" t="n">
        <v>1001620</v>
      </c>
      <c r="B1622" t="n">
        <v>1</v>
      </c>
      <c r="C1622" t="n">
        <v>1620</v>
      </c>
      <c r="D1622" t="n">
        <v>1</v>
      </c>
      <c r="E1622" t="n">
        <v>106.2377</v>
      </c>
      <c r="F1622" t="n">
        <v>0.04129</v>
      </c>
    </row>
    <row r="1623">
      <c r="A1623" t="n">
        <v>1001621</v>
      </c>
      <c r="B1623" t="n">
        <v>1</v>
      </c>
      <c r="C1623" t="n">
        <v>1621</v>
      </c>
      <c r="D1623" t="n">
        <v>1</v>
      </c>
      <c r="E1623" t="n">
        <v>106.2558</v>
      </c>
      <c r="F1623" t="n">
        <v>0.0413</v>
      </c>
    </row>
    <row r="1624">
      <c r="A1624" t="n">
        <v>1001622</v>
      </c>
      <c r="B1624" t="n">
        <v>1</v>
      </c>
      <c r="C1624" t="n">
        <v>1622</v>
      </c>
      <c r="D1624" t="n">
        <v>1</v>
      </c>
      <c r="E1624" t="n">
        <v>106.274</v>
      </c>
      <c r="F1624" t="n">
        <v>0.0413</v>
      </c>
    </row>
    <row r="1625">
      <c r="A1625" t="n">
        <v>1001623</v>
      </c>
      <c r="B1625" t="n">
        <v>1</v>
      </c>
      <c r="C1625" t="n">
        <v>1623</v>
      </c>
      <c r="D1625" t="n">
        <v>1</v>
      </c>
      <c r="E1625" t="n">
        <v>106.2922</v>
      </c>
      <c r="F1625" t="n">
        <v>0.0413</v>
      </c>
    </row>
    <row r="1626">
      <c r="A1626" t="n">
        <v>1001624</v>
      </c>
      <c r="B1626" t="n">
        <v>1</v>
      </c>
      <c r="C1626" t="n">
        <v>1624</v>
      </c>
      <c r="D1626" t="n">
        <v>1</v>
      </c>
      <c r="E1626" t="n">
        <v>106.3104</v>
      </c>
      <c r="F1626" t="n">
        <v>0.04131</v>
      </c>
    </row>
    <row r="1627">
      <c r="A1627" t="n">
        <v>1001625</v>
      </c>
      <c r="B1627" t="n">
        <v>1</v>
      </c>
      <c r="C1627" t="n">
        <v>1625</v>
      </c>
      <c r="D1627" t="n">
        <v>1</v>
      </c>
      <c r="E1627" t="n">
        <v>106.3285</v>
      </c>
      <c r="F1627" t="n">
        <v>0.04131</v>
      </c>
    </row>
    <row r="1628">
      <c r="A1628" t="n">
        <v>1001626</v>
      </c>
      <c r="B1628" t="n">
        <v>1</v>
      </c>
      <c r="C1628" t="n">
        <v>1626</v>
      </c>
      <c r="D1628" t="n">
        <v>1</v>
      </c>
      <c r="E1628" t="n">
        <v>106.3467</v>
      </c>
      <c r="F1628" t="n">
        <v>0.04132</v>
      </c>
    </row>
    <row r="1629">
      <c r="A1629" t="n">
        <v>1001627</v>
      </c>
      <c r="B1629" t="n">
        <v>1</v>
      </c>
      <c r="C1629" t="n">
        <v>1627</v>
      </c>
      <c r="D1629" t="n">
        <v>1</v>
      </c>
      <c r="E1629" t="n">
        <v>106.3649</v>
      </c>
      <c r="F1629" t="n">
        <v>0.04132</v>
      </c>
    </row>
    <row r="1630">
      <c r="A1630" t="n">
        <v>1001628</v>
      </c>
      <c r="B1630" t="n">
        <v>1</v>
      </c>
      <c r="C1630" t="n">
        <v>1628</v>
      </c>
      <c r="D1630" t="n">
        <v>1</v>
      </c>
      <c r="E1630" t="n">
        <v>106.3831</v>
      </c>
      <c r="F1630" t="n">
        <v>0.04132</v>
      </c>
    </row>
    <row r="1631">
      <c r="A1631" t="n">
        <v>1001629</v>
      </c>
      <c r="B1631" t="n">
        <v>1</v>
      </c>
      <c r="C1631" t="n">
        <v>1629</v>
      </c>
      <c r="D1631" t="n">
        <v>1</v>
      </c>
      <c r="E1631" t="n">
        <v>106.4012</v>
      </c>
      <c r="F1631" t="n">
        <v>0.04133</v>
      </c>
    </row>
    <row r="1632">
      <c r="A1632" t="n">
        <v>1001630</v>
      </c>
      <c r="B1632" t="n">
        <v>1</v>
      </c>
      <c r="C1632" t="n">
        <v>1630</v>
      </c>
      <c r="D1632" t="n">
        <v>1</v>
      </c>
      <c r="E1632" t="n">
        <v>106.4194</v>
      </c>
      <c r="F1632" t="n">
        <v>0.04133</v>
      </c>
    </row>
    <row r="1633">
      <c r="A1633" t="n">
        <v>1001631</v>
      </c>
      <c r="B1633" t="n">
        <v>1</v>
      </c>
      <c r="C1633" t="n">
        <v>1631</v>
      </c>
      <c r="D1633" t="n">
        <v>1</v>
      </c>
      <c r="E1633" t="n">
        <v>106.4376</v>
      </c>
      <c r="F1633" t="n">
        <v>0.04134</v>
      </c>
    </row>
    <row r="1634">
      <c r="A1634" t="n">
        <v>1001632</v>
      </c>
      <c r="B1634" t="n">
        <v>1</v>
      </c>
      <c r="C1634" t="n">
        <v>1632</v>
      </c>
      <c r="D1634" t="n">
        <v>1</v>
      </c>
      <c r="E1634" t="n">
        <v>106.4557</v>
      </c>
      <c r="F1634" t="n">
        <v>0.04134</v>
      </c>
    </row>
    <row r="1635">
      <c r="A1635" t="n">
        <v>1001633</v>
      </c>
      <c r="B1635" t="n">
        <v>1</v>
      </c>
      <c r="C1635" t="n">
        <v>1633</v>
      </c>
      <c r="D1635" t="n">
        <v>1</v>
      </c>
      <c r="E1635" t="n">
        <v>106.4739</v>
      </c>
      <c r="F1635" t="n">
        <v>0.04135</v>
      </c>
    </row>
    <row r="1636">
      <c r="A1636" t="n">
        <v>1001634</v>
      </c>
      <c r="B1636" t="n">
        <v>1</v>
      </c>
      <c r="C1636" t="n">
        <v>1634</v>
      </c>
      <c r="D1636" t="n">
        <v>1</v>
      </c>
      <c r="E1636" t="n">
        <v>106.4921</v>
      </c>
      <c r="F1636" t="n">
        <v>0.04135</v>
      </c>
    </row>
    <row r="1637">
      <c r="A1637" t="n">
        <v>1001635</v>
      </c>
      <c r="B1637" t="n">
        <v>1</v>
      </c>
      <c r="C1637" t="n">
        <v>1635</v>
      </c>
      <c r="D1637" t="n">
        <v>1</v>
      </c>
      <c r="E1637" t="n">
        <v>106.5102</v>
      </c>
      <c r="F1637" t="n">
        <v>0.04135</v>
      </c>
    </row>
    <row r="1638">
      <c r="A1638" t="n">
        <v>1001636</v>
      </c>
      <c r="B1638" t="n">
        <v>1</v>
      </c>
      <c r="C1638" t="n">
        <v>1636</v>
      </c>
      <c r="D1638" t="n">
        <v>1</v>
      </c>
      <c r="E1638" t="n">
        <v>106.5284</v>
      </c>
      <c r="F1638" t="n">
        <v>0.04136</v>
      </c>
    </row>
    <row r="1639">
      <c r="A1639" t="n">
        <v>1001637</v>
      </c>
      <c r="B1639" t="n">
        <v>1</v>
      </c>
      <c r="C1639" t="n">
        <v>1637</v>
      </c>
      <c r="D1639" t="n">
        <v>1</v>
      </c>
      <c r="E1639" t="n">
        <v>106.5465</v>
      </c>
      <c r="F1639" t="n">
        <v>0.04136</v>
      </c>
    </row>
    <row r="1640">
      <c r="A1640" t="n">
        <v>1001638</v>
      </c>
      <c r="B1640" t="n">
        <v>1</v>
      </c>
      <c r="C1640" t="n">
        <v>1638</v>
      </c>
      <c r="D1640" t="n">
        <v>1</v>
      </c>
      <c r="E1640" t="n">
        <v>106.5647</v>
      </c>
      <c r="F1640" t="n">
        <v>0.04137</v>
      </c>
    </row>
    <row r="1641">
      <c r="A1641" t="n">
        <v>1001639</v>
      </c>
      <c r="B1641" t="n">
        <v>1</v>
      </c>
      <c r="C1641" t="n">
        <v>1639</v>
      </c>
      <c r="D1641" t="n">
        <v>1</v>
      </c>
      <c r="E1641" t="n">
        <v>106.5829</v>
      </c>
      <c r="F1641" t="n">
        <v>0.04137</v>
      </c>
    </row>
    <row r="1642">
      <c r="A1642" t="n">
        <v>1001640</v>
      </c>
      <c r="B1642" t="n">
        <v>1</v>
      </c>
      <c r="C1642" t="n">
        <v>1640</v>
      </c>
      <c r="D1642" t="n">
        <v>1</v>
      </c>
      <c r="E1642" t="n">
        <v>106.601</v>
      </c>
      <c r="F1642" t="n">
        <v>0.04138</v>
      </c>
    </row>
    <row r="1643">
      <c r="A1643" t="n">
        <v>1001641</v>
      </c>
      <c r="B1643" t="n">
        <v>1</v>
      </c>
      <c r="C1643" t="n">
        <v>1641</v>
      </c>
      <c r="D1643" t="n">
        <v>1</v>
      </c>
      <c r="E1643" t="n">
        <v>106.6192</v>
      </c>
      <c r="F1643" t="n">
        <v>0.04138</v>
      </c>
    </row>
    <row r="1644">
      <c r="A1644" t="n">
        <v>1001642</v>
      </c>
      <c r="B1644" t="n">
        <v>1</v>
      </c>
      <c r="C1644" t="n">
        <v>1642</v>
      </c>
      <c r="D1644" t="n">
        <v>1</v>
      </c>
      <c r="E1644" t="n">
        <v>106.6373</v>
      </c>
      <c r="F1644" t="n">
        <v>0.04138</v>
      </c>
    </row>
    <row r="1645">
      <c r="A1645" t="n">
        <v>1001643</v>
      </c>
      <c r="B1645" t="n">
        <v>1</v>
      </c>
      <c r="C1645" t="n">
        <v>1643</v>
      </c>
      <c r="D1645" t="n">
        <v>1</v>
      </c>
      <c r="E1645" t="n">
        <v>106.6555</v>
      </c>
      <c r="F1645" t="n">
        <v>0.04139</v>
      </c>
    </row>
    <row r="1646">
      <c r="A1646" t="n">
        <v>1001644</v>
      </c>
      <c r="B1646" t="n">
        <v>1</v>
      </c>
      <c r="C1646" t="n">
        <v>1644</v>
      </c>
      <c r="D1646" t="n">
        <v>1</v>
      </c>
      <c r="E1646" t="n">
        <v>106.6736</v>
      </c>
      <c r="F1646" t="n">
        <v>0.04139</v>
      </c>
    </row>
    <row r="1647">
      <c r="A1647" t="n">
        <v>1001645</v>
      </c>
      <c r="B1647" t="n">
        <v>1</v>
      </c>
      <c r="C1647" t="n">
        <v>1645</v>
      </c>
      <c r="D1647" t="n">
        <v>1</v>
      </c>
      <c r="E1647" t="n">
        <v>106.6918</v>
      </c>
      <c r="F1647" t="n">
        <v>0.0414</v>
      </c>
    </row>
    <row r="1648">
      <c r="A1648" t="n">
        <v>1001646</v>
      </c>
      <c r="B1648" t="n">
        <v>1</v>
      </c>
      <c r="C1648" t="n">
        <v>1646</v>
      </c>
      <c r="D1648" t="n">
        <v>1</v>
      </c>
      <c r="E1648" t="n">
        <v>106.7099</v>
      </c>
      <c r="F1648" t="n">
        <v>0.0414</v>
      </c>
    </row>
    <row r="1649">
      <c r="A1649" t="n">
        <v>1001647</v>
      </c>
      <c r="B1649" t="n">
        <v>1</v>
      </c>
      <c r="C1649" t="n">
        <v>1647</v>
      </c>
      <c r="D1649" t="n">
        <v>1</v>
      </c>
      <c r="E1649" t="n">
        <v>106.7281</v>
      </c>
      <c r="F1649" t="n">
        <v>0.04141</v>
      </c>
    </row>
    <row r="1650">
      <c r="A1650" t="n">
        <v>1001648</v>
      </c>
      <c r="B1650" t="n">
        <v>1</v>
      </c>
      <c r="C1650" t="n">
        <v>1648</v>
      </c>
      <c r="D1650" t="n">
        <v>1</v>
      </c>
      <c r="E1650" t="n">
        <v>106.7462</v>
      </c>
      <c r="F1650" t="n">
        <v>0.04141</v>
      </c>
    </row>
    <row r="1651">
      <c r="A1651" t="n">
        <v>1001649</v>
      </c>
      <c r="B1651" t="n">
        <v>1</v>
      </c>
      <c r="C1651" t="n">
        <v>1649</v>
      </c>
      <c r="D1651" t="n">
        <v>1</v>
      </c>
      <c r="E1651" t="n">
        <v>106.7644</v>
      </c>
      <c r="F1651" t="n">
        <v>0.04141</v>
      </c>
    </row>
    <row r="1652">
      <c r="A1652" t="n">
        <v>1001650</v>
      </c>
      <c r="B1652" t="n">
        <v>1</v>
      </c>
      <c r="C1652" t="n">
        <v>1650</v>
      </c>
      <c r="D1652" t="n">
        <v>1</v>
      </c>
      <c r="E1652" t="n">
        <v>106.7825</v>
      </c>
      <c r="F1652" t="n">
        <v>0.04142</v>
      </c>
    </row>
    <row r="1653">
      <c r="A1653" t="n">
        <v>1001651</v>
      </c>
      <c r="B1653" t="n">
        <v>1</v>
      </c>
      <c r="C1653" t="n">
        <v>1651</v>
      </c>
      <c r="D1653" t="n">
        <v>1</v>
      </c>
      <c r="E1653" t="n">
        <v>106.8006</v>
      </c>
      <c r="F1653" t="n">
        <v>0.04142</v>
      </c>
    </row>
    <row r="1654">
      <c r="A1654" t="n">
        <v>1001652</v>
      </c>
      <c r="B1654" t="n">
        <v>1</v>
      </c>
      <c r="C1654" t="n">
        <v>1652</v>
      </c>
      <c r="D1654" t="n">
        <v>1</v>
      </c>
      <c r="E1654" t="n">
        <v>106.8188</v>
      </c>
      <c r="F1654" t="n">
        <v>0.04143</v>
      </c>
    </row>
    <row r="1655">
      <c r="A1655" t="n">
        <v>1001653</v>
      </c>
      <c r="B1655" t="n">
        <v>1</v>
      </c>
      <c r="C1655" t="n">
        <v>1653</v>
      </c>
      <c r="D1655" t="n">
        <v>1</v>
      </c>
      <c r="E1655" t="n">
        <v>106.8369</v>
      </c>
      <c r="F1655" t="n">
        <v>0.04143</v>
      </c>
    </row>
    <row r="1656">
      <c r="A1656" t="n">
        <v>1001654</v>
      </c>
      <c r="B1656" t="n">
        <v>1</v>
      </c>
      <c r="C1656" t="n">
        <v>1654</v>
      </c>
      <c r="D1656" t="n">
        <v>1</v>
      </c>
      <c r="E1656" t="n">
        <v>106.8551</v>
      </c>
      <c r="F1656" t="n">
        <v>0.04144</v>
      </c>
    </row>
    <row r="1657">
      <c r="A1657" t="n">
        <v>1001655</v>
      </c>
      <c r="B1657" t="n">
        <v>1</v>
      </c>
      <c r="C1657" t="n">
        <v>1655</v>
      </c>
      <c r="D1657" t="n">
        <v>1</v>
      </c>
      <c r="E1657" t="n">
        <v>106.8732</v>
      </c>
      <c r="F1657" t="n">
        <v>0.04144</v>
      </c>
    </row>
    <row r="1658">
      <c r="A1658" t="n">
        <v>1001656</v>
      </c>
      <c r="B1658" t="n">
        <v>1</v>
      </c>
      <c r="C1658" t="n">
        <v>1656</v>
      </c>
      <c r="D1658" t="n">
        <v>1</v>
      </c>
      <c r="E1658" t="n">
        <v>106.8913</v>
      </c>
      <c r="F1658" t="n">
        <v>0.04144</v>
      </c>
    </row>
    <row r="1659">
      <c r="A1659" t="n">
        <v>1001657</v>
      </c>
      <c r="B1659" t="n">
        <v>1</v>
      </c>
      <c r="C1659" t="n">
        <v>1657</v>
      </c>
      <c r="D1659" t="n">
        <v>1</v>
      </c>
      <c r="E1659" t="n">
        <v>106.9095</v>
      </c>
      <c r="F1659" t="n">
        <v>0.04145</v>
      </c>
    </row>
    <row r="1660">
      <c r="A1660" t="n">
        <v>1001658</v>
      </c>
      <c r="B1660" t="n">
        <v>1</v>
      </c>
      <c r="C1660" t="n">
        <v>1658</v>
      </c>
      <c r="D1660" t="n">
        <v>1</v>
      </c>
      <c r="E1660" t="n">
        <v>106.9276</v>
      </c>
      <c r="F1660" t="n">
        <v>0.04145</v>
      </c>
    </row>
    <row r="1661">
      <c r="A1661" t="n">
        <v>1001659</v>
      </c>
      <c r="B1661" t="n">
        <v>1</v>
      </c>
      <c r="C1661" t="n">
        <v>1659</v>
      </c>
      <c r="D1661" t="n">
        <v>1</v>
      </c>
      <c r="E1661" t="n">
        <v>106.9457</v>
      </c>
      <c r="F1661" t="n">
        <v>0.04146</v>
      </c>
    </row>
    <row r="1662">
      <c r="A1662" t="n">
        <v>1001660</v>
      </c>
      <c r="B1662" t="n">
        <v>1</v>
      </c>
      <c r="C1662" t="n">
        <v>1660</v>
      </c>
      <c r="D1662" t="n">
        <v>1</v>
      </c>
      <c r="E1662" t="n">
        <v>106.9639</v>
      </c>
      <c r="F1662" t="n">
        <v>0.04146</v>
      </c>
    </row>
    <row r="1663">
      <c r="A1663" t="n">
        <v>1001661</v>
      </c>
      <c r="B1663" t="n">
        <v>1</v>
      </c>
      <c r="C1663" t="n">
        <v>1661</v>
      </c>
      <c r="D1663" t="n">
        <v>1</v>
      </c>
      <c r="E1663" t="n">
        <v>106.982</v>
      </c>
      <c r="F1663" t="n">
        <v>0.04147</v>
      </c>
    </row>
    <row r="1664">
      <c r="A1664" t="n">
        <v>1001662</v>
      </c>
      <c r="B1664" t="n">
        <v>1</v>
      </c>
      <c r="C1664" t="n">
        <v>1662</v>
      </c>
      <c r="D1664" t="n">
        <v>1</v>
      </c>
      <c r="E1664" t="n">
        <v>107.0001</v>
      </c>
      <c r="F1664" t="n">
        <v>0.04147</v>
      </c>
    </row>
    <row r="1665">
      <c r="A1665" t="n">
        <v>1001663</v>
      </c>
      <c r="B1665" t="n">
        <v>1</v>
      </c>
      <c r="C1665" t="n">
        <v>1663</v>
      </c>
      <c r="D1665" t="n">
        <v>1</v>
      </c>
      <c r="E1665" t="n">
        <v>107.0183</v>
      </c>
      <c r="F1665" t="n">
        <v>0.04147</v>
      </c>
    </row>
    <row r="1666">
      <c r="A1666" t="n">
        <v>1001664</v>
      </c>
      <c r="B1666" t="n">
        <v>1</v>
      </c>
      <c r="C1666" t="n">
        <v>1664</v>
      </c>
      <c r="D1666" t="n">
        <v>1</v>
      </c>
      <c r="E1666" t="n">
        <v>107.0364</v>
      </c>
      <c r="F1666" t="n">
        <v>0.04148</v>
      </c>
    </row>
    <row r="1667">
      <c r="A1667" t="n">
        <v>1001665</v>
      </c>
      <c r="B1667" t="n">
        <v>1</v>
      </c>
      <c r="C1667" t="n">
        <v>1665</v>
      </c>
      <c r="D1667" t="n">
        <v>1</v>
      </c>
      <c r="E1667" t="n">
        <v>107.0545</v>
      </c>
      <c r="F1667" t="n">
        <v>0.04148</v>
      </c>
    </row>
    <row r="1668">
      <c r="A1668" t="n">
        <v>1001666</v>
      </c>
      <c r="B1668" t="n">
        <v>1</v>
      </c>
      <c r="C1668" t="n">
        <v>1666</v>
      </c>
      <c r="D1668" t="n">
        <v>1</v>
      </c>
      <c r="E1668" t="n">
        <v>107.0727</v>
      </c>
      <c r="F1668" t="n">
        <v>0.04149</v>
      </c>
    </row>
    <row r="1669">
      <c r="A1669" t="n">
        <v>1001667</v>
      </c>
      <c r="B1669" t="n">
        <v>1</v>
      </c>
      <c r="C1669" t="n">
        <v>1667</v>
      </c>
      <c r="D1669" t="n">
        <v>1</v>
      </c>
      <c r="E1669" t="n">
        <v>107.0908</v>
      </c>
      <c r="F1669" t="n">
        <v>0.04149</v>
      </c>
    </row>
    <row r="1670">
      <c r="A1670" t="n">
        <v>1001668</v>
      </c>
      <c r="B1670" t="n">
        <v>1</v>
      </c>
      <c r="C1670" t="n">
        <v>1668</v>
      </c>
      <c r="D1670" t="n">
        <v>1</v>
      </c>
      <c r="E1670" t="n">
        <v>107.1089</v>
      </c>
      <c r="F1670" t="n">
        <v>0.04149</v>
      </c>
    </row>
    <row r="1671">
      <c r="A1671" t="n">
        <v>1001669</v>
      </c>
      <c r="B1671" t="n">
        <v>1</v>
      </c>
      <c r="C1671" t="n">
        <v>1669</v>
      </c>
      <c r="D1671" t="n">
        <v>1</v>
      </c>
      <c r="E1671" t="n">
        <v>107.127</v>
      </c>
      <c r="F1671" t="n">
        <v>0.0415</v>
      </c>
    </row>
    <row r="1672">
      <c r="A1672" t="n">
        <v>1001670</v>
      </c>
      <c r="B1672" t="n">
        <v>1</v>
      </c>
      <c r="C1672" t="n">
        <v>1670</v>
      </c>
      <c r="D1672" t="n">
        <v>1</v>
      </c>
      <c r="E1672" t="n">
        <v>107.1452</v>
      </c>
      <c r="F1672" t="n">
        <v>0.0415</v>
      </c>
    </row>
    <row r="1673">
      <c r="A1673" t="n">
        <v>1001671</v>
      </c>
      <c r="B1673" t="n">
        <v>1</v>
      </c>
      <c r="C1673" t="n">
        <v>1671</v>
      </c>
      <c r="D1673" t="n">
        <v>1</v>
      </c>
      <c r="E1673" t="n">
        <v>107.1633</v>
      </c>
      <c r="F1673" t="n">
        <v>0.04151</v>
      </c>
    </row>
    <row r="1674">
      <c r="A1674" t="n">
        <v>1001672</v>
      </c>
      <c r="B1674" t="n">
        <v>1</v>
      </c>
      <c r="C1674" t="n">
        <v>1672</v>
      </c>
      <c r="D1674" t="n">
        <v>1</v>
      </c>
      <c r="E1674" t="n">
        <v>107.1814</v>
      </c>
      <c r="F1674" t="n">
        <v>0.04151</v>
      </c>
    </row>
    <row r="1675">
      <c r="A1675" t="n">
        <v>1001673</v>
      </c>
      <c r="B1675" t="n">
        <v>1</v>
      </c>
      <c r="C1675" t="n">
        <v>1673</v>
      </c>
      <c r="D1675" t="n">
        <v>1</v>
      </c>
      <c r="E1675" t="n">
        <v>107.1995</v>
      </c>
      <c r="F1675" t="n">
        <v>0.04152</v>
      </c>
    </row>
    <row r="1676">
      <c r="A1676" t="n">
        <v>1001674</v>
      </c>
      <c r="B1676" t="n">
        <v>1</v>
      </c>
      <c r="C1676" t="n">
        <v>1674</v>
      </c>
      <c r="D1676" t="n">
        <v>1</v>
      </c>
      <c r="E1676" t="n">
        <v>107.2176</v>
      </c>
      <c r="F1676" t="n">
        <v>0.04152</v>
      </c>
    </row>
    <row r="1677">
      <c r="A1677" t="n">
        <v>1001675</v>
      </c>
      <c r="B1677" t="n">
        <v>1</v>
      </c>
      <c r="C1677" t="n">
        <v>1675</v>
      </c>
      <c r="D1677" t="n">
        <v>1</v>
      </c>
      <c r="E1677" t="n">
        <v>107.2358</v>
      </c>
      <c r="F1677" t="n">
        <v>0.04152</v>
      </c>
    </row>
    <row r="1678">
      <c r="A1678" t="n">
        <v>1001676</v>
      </c>
      <c r="B1678" t="n">
        <v>1</v>
      </c>
      <c r="C1678" t="n">
        <v>1676</v>
      </c>
      <c r="D1678" t="n">
        <v>1</v>
      </c>
      <c r="E1678" t="n">
        <v>107.2539</v>
      </c>
      <c r="F1678" t="n">
        <v>0.04153</v>
      </c>
    </row>
    <row r="1679">
      <c r="A1679" t="n">
        <v>1001677</v>
      </c>
      <c r="B1679" t="n">
        <v>1</v>
      </c>
      <c r="C1679" t="n">
        <v>1677</v>
      </c>
      <c r="D1679" t="n">
        <v>1</v>
      </c>
      <c r="E1679" t="n">
        <v>107.272</v>
      </c>
      <c r="F1679" t="n">
        <v>0.04153</v>
      </c>
    </row>
    <row r="1680">
      <c r="A1680" t="n">
        <v>1001678</v>
      </c>
      <c r="B1680" t="n">
        <v>1</v>
      </c>
      <c r="C1680" t="n">
        <v>1678</v>
      </c>
      <c r="D1680" t="n">
        <v>1</v>
      </c>
      <c r="E1680" t="n">
        <v>107.2901</v>
      </c>
      <c r="F1680" t="n">
        <v>0.04154</v>
      </c>
    </row>
    <row r="1681">
      <c r="A1681" t="n">
        <v>1001679</v>
      </c>
      <c r="B1681" t="n">
        <v>1</v>
      </c>
      <c r="C1681" t="n">
        <v>1679</v>
      </c>
      <c r="D1681" t="n">
        <v>1</v>
      </c>
      <c r="E1681" t="n">
        <v>107.3082</v>
      </c>
      <c r="F1681" t="n">
        <v>0.04154</v>
      </c>
    </row>
    <row r="1682">
      <c r="A1682" t="n">
        <v>1001680</v>
      </c>
      <c r="B1682" t="n">
        <v>1</v>
      </c>
      <c r="C1682" t="n">
        <v>1680</v>
      </c>
      <c r="D1682" t="n">
        <v>1</v>
      </c>
      <c r="E1682" t="n">
        <v>107.3263</v>
      </c>
      <c r="F1682" t="n">
        <v>0.04154</v>
      </c>
    </row>
    <row r="1683">
      <c r="A1683" t="n">
        <v>1001681</v>
      </c>
      <c r="B1683" t="n">
        <v>1</v>
      </c>
      <c r="C1683" t="n">
        <v>1681</v>
      </c>
      <c r="D1683" t="n">
        <v>1</v>
      </c>
      <c r="E1683" t="n">
        <v>107.3444</v>
      </c>
      <c r="F1683" t="n">
        <v>0.04155</v>
      </c>
    </row>
    <row r="1684">
      <c r="A1684" t="n">
        <v>1001682</v>
      </c>
      <c r="B1684" t="n">
        <v>1</v>
      </c>
      <c r="C1684" t="n">
        <v>1682</v>
      </c>
      <c r="D1684" t="n">
        <v>1</v>
      </c>
      <c r="E1684" t="n">
        <v>107.3625</v>
      </c>
      <c r="F1684" t="n">
        <v>0.04155</v>
      </c>
    </row>
    <row r="1685">
      <c r="A1685" t="n">
        <v>1001683</v>
      </c>
      <c r="B1685" t="n">
        <v>1</v>
      </c>
      <c r="C1685" t="n">
        <v>1683</v>
      </c>
      <c r="D1685" t="n">
        <v>1</v>
      </c>
      <c r="E1685" t="n">
        <v>107.3806</v>
      </c>
      <c r="F1685" t="n">
        <v>0.04156</v>
      </c>
    </row>
    <row r="1686">
      <c r="A1686" t="n">
        <v>1001684</v>
      </c>
      <c r="B1686" t="n">
        <v>1</v>
      </c>
      <c r="C1686" t="n">
        <v>1684</v>
      </c>
      <c r="D1686" t="n">
        <v>1</v>
      </c>
      <c r="E1686" t="n">
        <v>107.3988</v>
      </c>
      <c r="F1686" t="n">
        <v>0.04156</v>
      </c>
    </row>
    <row r="1687">
      <c r="A1687" t="n">
        <v>1001685</v>
      </c>
      <c r="B1687" t="n">
        <v>1</v>
      </c>
      <c r="C1687" t="n">
        <v>1685</v>
      </c>
      <c r="D1687" t="n">
        <v>1</v>
      </c>
      <c r="E1687" t="n">
        <v>107.4169</v>
      </c>
      <c r="F1687" t="n">
        <v>0.04157</v>
      </c>
    </row>
    <row r="1688">
      <c r="A1688" t="n">
        <v>1001686</v>
      </c>
      <c r="B1688" t="n">
        <v>1</v>
      </c>
      <c r="C1688" t="n">
        <v>1686</v>
      </c>
      <c r="D1688" t="n">
        <v>1</v>
      </c>
      <c r="E1688" t="n">
        <v>107.435</v>
      </c>
      <c r="F1688" t="n">
        <v>0.04157</v>
      </c>
    </row>
    <row r="1689">
      <c r="A1689" t="n">
        <v>1001687</v>
      </c>
      <c r="B1689" t="n">
        <v>1</v>
      </c>
      <c r="C1689" t="n">
        <v>1687</v>
      </c>
      <c r="D1689" t="n">
        <v>1</v>
      </c>
      <c r="E1689" t="n">
        <v>107.4531</v>
      </c>
      <c r="F1689" t="n">
        <v>0.04157</v>
      </c>
    </row>
    <row r="1690">
      <c r="A1690" t="n">
        <v>1001688</v>
      </c>
      <c r="B1690" t="n">
        <v>1</v>
      </c>
      <c r="C1690" t="n">
        <v>1688</v>
      </c>
      <c r="D1690" t="n">
        <v>1</v>
      </c>
      <c r="E1690" t="n">
        <v>107.4712</v>
      </c>
      <c r="F1690" t="n">
        <v>0.04158</v>
      </c>
    </row>
    <row r="1691">
      <c r="A1691" t="n">
        <v>1001689</v>
      </c>
      <c r="B1691" t="n">
        <v>1</v>
      </c>
      <c r="C1691" t="n">
        <v>1689</v>
      </c>
      <c r="D1691" t="n">
        <v>1</v>
      </c>
      <c r="E1691" t="n">
        <v>107.4893</v>
      </c>
      <c r="F1691" t="n">
        <v>0.04158</v>
      </c>
    </row>
    <row r="1692">
      <c r="A1692" t="n">
        <v>1001690</v>
      </c>
      <c r="B1692" t="n">
        <v>1</v>
      </c>
      <c r="C1692" t="n">
        <v>1690</v>
      </c>
      <c r="D1692" t="n">
        <v>1</v>
      </c>
      <c r="E1692" t="n">
        <v>107.5074</v>
      </c>
      <c r="F1692" t="n">
        <v>0.04159</v>
      </c>
    </row>
    <row r="1693">
      <c r="A1693" t="n">
        <v>1001691</v>
      </c>
      <c r="B1693" t="n">
        <v>1</v>
      </c>
      <c r="C1693" t="n">
        <v>1691</v>
      </c>
      <c r="D1693" t="n">
        <v>1</v>
      </c>
      <c r="E1693" t="n">
        <v>107.5255</v>
      </c>
      <c r="F1693" t="n">
        <v>0.04159</v>
      </c>
    </row>
    <row r="1694">
      <c r="A1694" t="n">
        <v>1001692</v>
      </c>
      <c r="B1694" t="n">
        <v>1</v>
      </c>
      <c r="C1694" t="n">
        <v>1692</v>
      </c>
      <c r="D1694" t="n">
        <v>1</v>
      </c>
      <c r="E1694" t="n">
        <v>107.5436</v>
      </c>
      <c r="F1694" t="n">
        <v>0.0416</v>
      </c>
    </row>
    <row r="1695">
      <c r="A1695" t="n">
        <v>1001693</v>
      </c>
      <c r="B1695" t="n">
        <v>1</v>
      </c>
      <c r="C1695" t="n">
        <v>1693</v>
      </c>
      <c r="D1695" t="n">
        <v>1</v>
      </c>
      <c r="E1695" t="n">
        <v>107.5617</v>
      </c>
      <c r="F1695" t="n">
        <v>0.0416</v>
      </c>
    </row>
    <row r="1696">
      <c r="A1696" t="n">
        <v>1001694</v>
      </c>
      <c r="B1696" t="n">
        <v>1</v>
      </c>
      <c r="C1696" t="n">
        <v>1694</v>
      </c>
      <c r="D1696" t="n">
        <v>1</v>
      </c>
      <c r="E1696" t="n">
        <v>107.5798</v>
      </c>
      <c r="F1696" t="n">
        <v>0.0416</v>
      </c>
    </row>
    <row r="1697">
      <c r="A1697" t="n">
        <v>1001695</v>
      </c>
      <c r="B1697" t="n">
        <v>1</v>
      </c>
      <c r="C1697" t="n">
        <v>1695</v>
      </c>
      <c r="D1697" t="n">
        <v>1</v>
      </c>
      <c r="E1697" t="n">
        <v>107.5979</v>
      </c>
      <c r="F1697" t="n">
        <v>0.04161</v>
      </c>
    </row>
    <row r="1698">
      <c r="A1698" t="n">
        <v>1001696</v>
      </c>
      <c r="B1698" t="n">
        <v>1</v>
      </c>
      <c r="C1698" t="n">
        <v>1696</v>
      </c>
      <c r="D1698" t="n">
        <v>1</v>
      </c>
      <c r="E1698" t="n">
        <v>107.616</v>
      </c>
      <c r="F1698" t="n">
        <v>0.04161</v>
      </c>
    </row>
    <row r="1699">
      <c r="A1699" t="n">
        <v>1001697</v>
      </c>
      <c r="B1699" t="n">
        <v>1</v>
      </c>
      <c r="C1699" t="n">
        <v>1697</v>
      </c>
      <c r="D1699" t="n">
        <v>1</v>
      </c>
      <c r="E1699" t="n">
        <v>107.6341</v>
      </c>
      <c r="F1699" t="n">
        <v>0.04162</v>
      </c>
    </row>
    <row r="1700">
      <c r="A1700" t="n">
        <v>1001698</v>
      </c>
      <c r="B1700" t="n">
        <v>1</v>
      </c>
      <c r="C1700" t="n">
        <v>1698</v>
      </c>
      <c r="D1700" t="n">
        <v>1</v>
      </c>
      <c r="E1700" t="n">
        <v>107.6522</v>
      </c>
      <c r="F1700" t="n">
        <v>0.04162</v>
      </c>
    </row>
    <row r="1701">
      <c r="A1701" t="n">
        <v>1001699</v>
      </c>
      <c r="B1701" t="n">
        <v>1</v>
      </c>
      <c r="C1701" t="n">
        <v>1699</v>
      </c>
      <c r="D1701" t="n">
        <v>1</v>
      </c>
      <c r="E1701" t="n">
        <v>107.6702</v>
      </c>
      <c r="F1701" t="n">
        <v>0.04162</v>
      </c>
    </row>
    <row r="1702">
      <c r="A1702" t="n">
        <v>1001700</v>
      </c>
      <c r="B1702" t="n">
        <v>1</v>
      </c>
      <c r="C1702" t="n">
        <v>1700</v>
      </c>
      <c r="D1702" t="n">
        <v>1</v>
      </c>
      <c r="E1702" t="n">
        <v>107.6883</v>
      </c>
      <c r="F1702" t="n">
        <v>0.04163</v>
      </c>
    </row>
    <row r="1703">
      <c r="A1703" t="n">
        <v>1001701</v>
      </c>
      <c r="B1703" t="n">
        <v>1</v>
      </c>
      <c r="C1703" t="n">
        <v>1701</v>
      </c>
      <c r="D1703" t="n">
        <v>1</v>
      </c>
      <c r="E1703" t="n">
        <v>107.7064</v>
      </c>
      <c r="F1703" t="n">
        <v>0.04163</v>
      </c>
    </row>
    <row r="1704">
      <c r="A1704" t="n">
        <v>1001702</v>
      </c>
      <c r="B1704" t="n">
        <v>1</v>
      </c>
      <c r="C1704" t="n">
        <v>1702</v>
      </c>
      <c r="D1704" t="n">
        <v>1</v>
      </c>
      <c r="E1704" t="n">
        <v>107.7245</v>
      </c>
      <c r="F1704" t="n">
        <v>0.04164</v>
      </c>
    </row>
    <row r="1705">
      <c r="A1705" t="n">
        <v>1001703</v>
      </c>
      <c r="B1705" t="n">
        <v>1</v>
      </c>
      <c r="C1705" t="n">
        <v>1703</v>
      </c>
      <c r="D1705" t="n">
        <v>1</v>
      </c>
      <c r="E1705" t="n">
        <v>107.7426</v>
      </c>
      <c r="F1705" t="n">
        <v>0.04164</v>
      </c>
    </row>
    <row r="1706">
      <c r="A1706" t="n">
        <v>1001704</v>
      </c>
      <c r="B1706" t="n">
        <v>1</v>
      </c>
      <c r="C1706" t="n">
        <v>1704</v>
      </c>
      <c r="D1706" t="n">
        <v>1</v>
      </c>
      <c r="E1706" t="n">
        <v>107.7607</v>
      </c>
      <c r="F1706" t="n">
        <v>0.04165</v>
      </c>
    </row>
    <row r="1707">
      <c r="A1707" t="n">
        <v>1001705</v>
      </c>
      <c r="B1707" t="n">
        <v>1</v>
      </c>
      <c r="C1707" t="n">
        <v>1705</v>
      </c>
      <c r="D1707" t="n">
        <v>1</v>
      </c>
      <c r="E1707" t="n">
        <v>107.7788</v>
      </c>
      <c r="F1707" t="n">
        <v>0.04165</v>
      </c>
    </row>
    <row r="1708">
      <c r="A1708" t="n">
        <v>1001706</v>
      </c>
      <c r="B1708" t="n">
        <v>1</v>
      </c>
      <c r="C1708" t="n">
        <v>1706</v>
      </c>
      <c r="D1708" t="n">
        <v>1</v>
      </c>
      <c r="E1708" t="n">
        <v>107.7969</v>
      </c>
      <c r="F1708" t="n">
        <v>0.04165</v>
      </c>
    </row>
    <row r="1709">
      <c r="A1709" t="n">
        <v>1001707</v>
      </c>
      <c r="B1709" t="n">
        <v>1</v>
      </c>
      <c r="C1709" t="n">
        <v>1707</v>
      </c>
      <c r="D1709" t="n">
        <v>1</v>
      </c>
      <c r="E1709" t="n">
        <v>107.8149</v>
      </c>
      <c r="F1709" t="n">
        <v>0.04166</v>
      </c>
    </row>
    <row r="1710">
      <c r="A1710" t="n">
        <v>1001708</v>
      </c>
      <c r="B1710" t="n">
        <v>1</v>
      </c>
      <c r="C1710" t="n">
        <v>1708</v>
      </c>
      <c r="D1710" t="n">
        <v>1</v>
      </c>
      <c r="E1710" t="n">
        <v>107.833</v>
      </c>
      <c r="F1710" t="n">
        <v>0.04166</v>
      </c>
    </row>
    <row r="1711">
      <c r="A1711" t="n">
        <v>1001709</v>
      </c>
      <c r="B1711" t="n">
        <v>1</v>
      </c>
      <c r="C1711" t="n">
        <v>1709</v>
      </c>
      <c r="D1711" t="n">
        <v>1</v>
      </c>
      <c r="E1711" t="n">
        <v>107.8511</v>
      </c>
      <c r="F1711" t="n">
        <v>0.04167</v>
      </c>
    </row>
    <row r="1712">
      <c r="A1712" t="n">
        <v>1001710</v>
      </c>
      <c r="B1712" t="n">
        <v>1</v>
      </c>
      <c r="C1712" t="n">
        <v>1710</v>
      </c>
      <c r="D1712" t="n">
        <v>1</v>
      </c>
      <c r="E1712" t="n">
        <v>107.8692</v>
      </c>
      <c r="F1712" t="n">
        <v>0.04167</v>
      </c>
    </row>
    <row r="1713">
      <c r="A1713" t="n">
        <v>1001711</v>
      </c>
      <c r="B1713" t="n">
        <v>1</v>
      </c>
      <c r="C1713" t="n">
        <v>1711</v>
      </c>
      <c r="D1713" t="n">
        <v>1</v>
      </c>
      <c r="E1713" t="n">
        <v>107.8873</v>
      </c>
      <c r="F1713" t="n">
        <v>0.04167</v>
      </c>
    </row>
    <row r="1714">
      <c r="A1714" t="n">
        <v>1001712</v>
      </c>
      <c r="B1714" t="n">
        <v>1</v>
      </c>
      <c r="C1714" t="n">
        <v>1712</v>
      </c>
      <c r="D1714" t="n">
        <v>1</v>
      </c>
      <c r="E1714" t="n">
        <v>107.9053</v>
      </c>
      <c r="F1714" t="n">
        <v>0.04168</v>
      </c>
    </row>
    <row r="1715">
      <c r="A1715" t="n">
        <v>1001713</v>
      </c>
      <c r="B1715" t="n">
        <v>1</v>
      </c>
      <c r="C1715" t="n">
        <v>1713</v>
      </c>
      <c r="D1715" t="n">
        <v>1</v>
      </c>
      <c r="E1715" t="n">
        <v>107.9234</v>
      </c>
      <c r="F1715" t="n">
        <v>0.04168</v>
      </c>
    </row>
    <row r="1716">
      <c r="A1716" t="n">
        <v>1001714</v>
      </c>
      <c r="B1716" t="n">
        <v>1</v>
      </c>
      <c r="C1716" t="n">
        <v>1714</v>
      </c>
      <c r="D1716" t="n">
        <v>1</v>
      </c>
      <c r="E1716" t="n">
        <v>107.9415</v>
      </c>
      <c r="F1716" t="n">
        <v>0.04169</v>
      </c>
    </row>
    <row r="1717">
      <c r="A1717" t="n">
        <v>1001715</v>
      </c>
      <c r="B1717" t="n">
        <v>1</v>
      </c>
      <c r="C1717" t="n">
        <v>1715</v>
      </c>
      <c r="D1717" t="n">
        <v>1</v>
      </c>
      <c r="E1717" t="n">
        <v>107.9596</v>
      </c>
      <c r="F1717" t="n">
        <v>0.04169</v>
      </c>
    </row>
    <row r="1718">
      <c r="A1718" t="n">
        <v>1001716</v>
      </c>
      <c r="B1718" t="n">
        <v>1</v>
      </c>
      <c r="C1718" t="n">
        <v>1716</v>
      </c>
      <c r="D1718" t="n">
        <v>1</v>
      </c>
      <c r="E1718" t="n">
        <v>107.9777</v>
      </c>
      <c r="F1718" t="n">
        <v>0.04169</v>
      </c>
    </row>
    <row r="1719">
      <c r="A1719" t="n">
        <v>1001717</v>
      </c>
      <c r="B1719" t="n">
        <v>1</v>
      </c>
      <c r="C1719" t="n">
        <v>1717</v>
      </c>
      <c r="D1719" t="n">
        <v>1</v>
      </c>
      <c r="E1719" t="n">
        <v>107.9957</v>
      </c>
      <c r="F1719" t="n">
        <v>0.0417</v>
      </c>
    </row>
    <row r="1720">
      <c r="A1720" t="n">
        <v>1001718</v>
      </c>
      <c r="B1720" t="n">
        <v>1</v>
      </c>
      <c r="C1720" t="n">
        <v>1718</v>
      </c>
      <c r="D1720" t="n">
        <v>1</v>
      </c>
      <c r="E1720" t="n">
        <v>108.0138</v>
      </c>
      <c r="F1720" t="n">
        <v>0.0417</v>
      </c>
    </row>
    <row r="1721">
      <c r="A1721" t="n">
        <v>1001719</v>
      </c>
      <c r="B1721" t="n">
        <v>1</v>
      </c>
      <c r="C1721" t="n">
        <v>1719</v>
      </c>
      <c r="D1721" t="n">
        <v>1</v>
      </c>
      <c r="E1721" t="n">
        <v>108.0319</v>
      </c>
      <c r="F1721" t="n">
        <v>0.04171</v>
      </c>
    </row>
    <row r="1722">
      <c r="A1722" t="n">
        <v>1001720</v>
      </c>
      <c r="B1722" t="n">
        <v>1</v>
      </c>
      <c r="C1722" t="n">
        <v>1720</v>
      </c>
      <c r="D1722" t="n">
        <v>1</v>
      </c>
      <c r="E1722" t="n">
        <v>108.0499</v>
      </c>
      <c r="F1722" t="n">
        <v>0.04171</v>
      </c>
    </row>
    <row r="1723">
      <c r="A1723" t="n">
        <v>1001721</v>
      </c>
      <c r="B1723" t="n">
        <v>1</v>
      </c>
      <c r="C1723" t="n">
        <v>1721</v>
      </c>
      <c r="D1723" t="n">
        <v>1</v>
      </c>
      <c r="E1723" t="n">
        <v>108.068</v>
      </c>
      <c r="F1723" t="n">
        <v>0.04172</v>
      </c>
    </row>
    <row r="1724">
      <c r="A1724" t="n">
        <v>1001722</v>
      </c>
      <c r="B1724" t="n">
        <v>1</v>
      </c>
      <c r="C1724" t="n">
        <v>1722</v>
      </c>
      <c r="D1724" t="n">
        <v>1</v>
      </c>
      <c r="E1724" t="n">
        <v>108.0861</v>
      </c>
      <c r="F1724" t="n">
        <v>0.04172</v>
      </c>
    </row>
    <row r="1725">
      <c r="A1725" t="n">
        <v>1001723</v>
      </c>
      <c r="B1725" t="n">
        <v>1</v>
      </c>
      <c r="C1725" t="n">
        <v>1723</v>
      </c>
      <c r="D1725" t="n">
        <v>1</v>
      </c>
      <c r="E1725" t="n">
        <v>108.1041</v>
      </c>
      <c r="F1725" t="n">
        <v>0.04172</v>
      </c>
    </row>
    <row r="1726">
      <c r="A1726" t="n">
        <v>1001724</v>
      </c>
      <c r="B1726" t="n">
        <v>1</v>
      </c>
      <c r="C1726" t="n">
        <v>1724</v>
      </c>
      <c r="D1726" t="n">
        <v>1</v>
      </c>
      <c r="E1726" t="n">
        <v>108.1222</v>
      </c>
      <c r="F1726" t="n">
        <v>0.04173</v>
      </c>
    </row>
    <row r="1727">
      <c r="A1727" t="n">
        <v>1001725</v>
      </c>
      <c r="B1727" t="n">
        <v>1</v>
      </c>
      <c r="C1727" t="n">
        <v>1725</v>
      </c>
      <c r="D1727" t="n">
        <v>1</v>
      </c>
      <c r="E1727" t="n">
        <v>108.1403</v>
      </c>
      <c r="F1727" t="n">
        <v>0.04173</v>
      </c>
    </row>
    <row r="1728">
      <c r="A1728" t="n">
        <v>1001726</v>
      </c>
      <c r="B1728" t="n">
        <v>1</v>
      </c>
      <c r="C1728" t="n">
        <v>1726</v>
      </c>
      <c r="D1728" t="n">
        <v>1</v>
      </c>
      <c r="E1728" t="n">
        <v>108.1583</v>
      </c>
      <c r="F1728" t="n">
        <v>0.04174</v>
      </c>
    </row>
    <row r="1729">
      <c r="A1729" t="n">
        <v>1001727</v>
      </c>
      <c r="B1729" t="n">
        <v>1</v>
      </c>
      <c r="C1729" t="n">
        <v>1727</v>
      </c>
      <c r="D1729" t="n">
        <v>1</v>
      </c>
      <c r="E1729" t="n">
        <v>108.1764</v>
      </c>
      <c r="F1729" t="n">
        <v>0.04174</v>
      </c>
    </row>
    <row r="1730">
      <c r="A1730" t="n">
        <v>1001728</v>
      </c>
      <c r="B1730" t="n">
        <v>1</v>
      </c>
      <c r="C1730" t="n">
        <v>1728</v>
      </c>
      <c r="D1730" t="n">
        <v>1</v>
      </c>
      <c r="E1730" t="n">
        <v>108.1945</v>
      </c>
      <c r="F1730" t="n">
        <v>0.04174</v>
      </c>
    </row>
    <row r="1731">
      <c r="A1731" t="n">
        <v>1001729</v>
      </c>
      <c r="B1731" t="n">
        <v>1</v>
      </c>
      <c r="C1731" t="n">
        <v>1729</v>
      </c>
      <c r="D1731" t="n">
        <v>1</v>
      </c>
      <c r="E1731" t="n">
        <v>108.2125</v>
      </c>
      <c r="F1731" t="n">
        <v>0.04175</v>
      </c>
    </row>
    <row r="1732">
      <c r="A1732" t="n">
        <v>1001730</v>
      </c>
      <c r="B1732" t="n">
        <v>1</v>
      </c>
      <c r="C1732" t="n">
        <v>1730</v>
      </c>
      <c r="D1732" t="n">
        <v>1</v>
      </c>
      <c r="E1732" t="n">
        <v>108.2306</v>
      </c>
      <c r="F1732" t="n">
        <v>0.04175</v>
      </c>
    </row>
    <row r="1733">
      <c r="A1733" t="n">
        <v>1001731</v>
      </c>
      <c r="B1733" t="n">
        <v>1</v>
      </c>
      <c r="C1733" t="n">
        <v>1731</v>
      </c>
      <c r="D1733" t="n">
        <v>1</v>
      </c>
      <c r="E1733" t="n">
        <v>108.2487</v>
      </c>
      <c r="F1733" t="n">
        <v>0.04176</v>
      </c>
    </row>
    <row r="1734">
      <c r="A1734" t="n">
        <v>1001732</v>
      </c>
      <c r="B1734" t="n">
        <v>1</v>
      </c>
      <c r="C1734" t="n">
        <v>1732</v>
      </c>
      <c r="D1734" t="n">
        <v>1</v>
      </c>
      <c r="E1734" t="n">
        <v>108.2667</v>
      </c>
      <c r="F1734" t="n">
        <v>0.04176</v>
      </c>
    </row>
    <row r="1735">
      <c r="A1735" t="n">
        <v>1001733</v>
      </c>
      <c r="B1735" t="n">
        <v>1</v>
      </c>
      <c r="C1735" t="n">
        <v>1733</v>
      </c>
      <c r="D1735" t="n">
        <v>1</v>
      </c>
      <c r="E1735" t="n">
        <v>108.2848</v>
      </c>
      <c r="F1735" t="n">
        <v>0.04176</v>
      </c>
    </row>
    <row r="1736">
      <c r="A1736" t="n">
        <v>1001734</v>
      </c>
      <c r="B1736" t="n">
        <v>1</v>
      </c>
      <c r="C1736" t="n">
        <v>1734</v>
      </c>
      <c r="D1736" t="n">
        <v>1</v>
      </c>
      <c r="E1736" t="n">
        <v>108.3028</v>
      </c>
      <c r="F1736" t="n">
        <v>0.04177</v>
      </c>
    </row>
    <row r="1737">
      <c r="A1737" t="n">
        <v>1001735</v>
      </c>
      <c r="B1737" t="n">
        <v>1</v>
      </c>
      <c r="C1737" t="n">
        <v>1735</v>
      </c>
      <c r="D1737" t="n">
        <v>1</v>
      </c>
      <c r="E1737" t="n">
        <v>108.3209</v>
      </c>
      <c r="F1737" t="n">
        <v>0.04177</v>
      </c>
    </row>
    <row r="1738">
      <c r="A1738" t="n">
        <v>1001736</v>
      </c>
      <c r="B1738" t="n">
        <v>1</v>
      </c>
      <c r="C1738" t="n">
        <v>1736</v>
      </c>
      <c r="D1738" t="n">
        <v>1</v>
      </c>
      <c r="E1738" t="n">
        <v>108.3389</v>
      </c>
      <c r="F1738" t="n">
        <v>0.04178</v>
      </c>
    </row>
    <row r="1739">
      <c r="A1739" t="n">
        <v>1001737</v>
      </c>
      <c r="B1739" t="n">
        <v>1</v>
      </c>
      <c r="C1739" t="n">
        <v>1737</v>
      </c>
      <c r="D1739" t="n">
        <v>1</v>
      </c>
      <c r="E1739" t="n">
        <v>108.357</v>
      </c>
      <c r="F1739" t="n">
        <v>0.04178</v>
      </c>
    </row>
    <row r="1740">
      <c r="A1740" t="n">
        <v>1001738</v>
      </c>
      <c r="B1740" t="n">
        <v>1</v>
      </c>
      <c r="C1740" t="n">
        <v>1738</v>
      </c>
      <c r="D1740" t="n">
        <v>1</v>
      </c>
      <c r="E1740" t="n">
        <v>108.375</v>
      </c>
      <c r="F1740" t="n">
        <v>0.04179</v>
      </c>
    </row>
    <row r="1741">
      <c r="A1741" t="n">
        <v>1001739</v>
      </c>
      <c r="B1741" t="n">
        <v>1</v>
      </c>
      <c r="C1741" t="n">
        <v>1739</v>
      </c>
      <c r="D1741" t="n">
        <v>1</v>
      </c>
      <c r="E1741" t="n">
        <v>108.3931</v>
      </c>
      <c r="F1741" t="n">
        <v>0.04179</v>
      </c>
    </row>
    <row r="1742">
      <c r="A1742" t="n">
        <v>1001740</v>
      </c>
      <c r="B1742" t="n">
        <v>1</v>
      </c>
      <c r="C1742" t="n">
        <v>1740</v>
      </c>
      <c r="D1742" t="n">
        <v>1</v>
      </c>
      <c r="E1742" t="n">
        <v>108.4112</v>
      </c>
      <c r="F1742" t="n">
        <v>0.04179</v>
      </c>
    </row>
    <row r="1743">
      <c r="A1743" t="n">
        <v>1001741</v>
      </c>
      <c r="B1743" t="n">
        <v>1</v>
      </c>
      <c r="C1743" t="n">
        <v>1741</v>
      </c>
      <c r="D1743" t="n">
        <v>1</v>
      </c>
      <c r="E1743" t="n">
        <v>108.4292</v>
      </c>
      <c r="F1743" t="n">
        <v>0.0418</v>
      </c>
    </row>
    <row r="1744">
      <c r="A1744" t="n">
        <v>1001742</v>
      </c>
      <c r="B1744" t="n">
        <v>1</v>
      </c>
      <c r="C1744" t="n">
        <v>1742</v>
      </c>
      <c r="D1744" t="n">
        <v>1</v>
      </c>
      <c r="E1744" t="n">
        <v>108.4473</v>
      </c>
      <c r="F1744" t="n">
        <v>0.0418</v>
      </c>
    </row>
    <row r="1745">
      <c r="A1745" t="n">
        <v>1001743</v>
      </c>
      <c r="B1745" t="n">
        <v>1</v>
      </c>
      <c r="C1745" t="n">
        <v>1743</v>
      </c>
      <c r="D1745" t="n">
        <v>1</v>
      </c>
      <c r="E1745" t="n">
        <v>108.4653</v>
      </c>
      <c r="F1745" t="n">
        <v>0.04181</v>
      </c>
    </row>
    <row r="1746">
      <c r="A1746" t="n">
        <v>1001744</v>
      </c>
      <c r="B1746" t="n">
        <v>1</v>
      </c>
      <c r="C1746" t="n">
        <v>1744</v>
      </c>
      <c r="D1746" t="n">
        <v>1</v>
      </c>
      <c r="E1746" t="n">
        <v>108.4833</v>
      </c>
      <c r="F1746" t="n">
        <v>0.04181</v>
      </c>
    </row>
    <row r="1747">
      <c r="A1747" t="n">
        <v>1001745</v>
      </c>
      <c r="B1747" t="n">
        <v>1</v>
      </c>
      <c r="C1747" t="n">
        <v>1745</v>
      </c>
      <c r="D1747" t="n">
        <v>1</v>
      </c>
      <c r="E1747" t="n">
        <v>108.5014</v>
      </c>
      <c r="F1747" t="n">
        <v>0.04181</v>
      </c>
    </row>
    <row r="1748">
      <c r="A1748" t="n">
        <v>1001746</v>
      </c>
      <c r="B1748" t="n">
        <v>1</v>
      </c>
      <c r="C1748" t="n">
        <v>1746</v>
      </c>
      <c r="D1748" t="n">
        <v>1</v>
      </c>
      <c r="E1748" t="n">
        <v>108.5194</v>
      </c>
      <c r="F1748" t="n">
        <v>0.04182</v>
      </c>
    </row>
    <row r="1749">
      <c r="A1749" t="n">
        <v>1001747</v>
      </c>
      <c r="B1749" t="n">
        <v>1</v>
      </c>
      <c r="C1749" t="n">
        <v>1747</v>
      </c>
      <c r="D1749" t="n">
        <v>1</v>
      </c>
      <c r="E1749" t="n">
        <v>108.5375</v>
      </c>
      <c r="F1749" t="n">
        <v>0.04182</v>
      </c>
    </row>
    <row r="1750">
      <c r="A1750" t="n">
        <v>1001748</v>
      </c>
      <c r="B1750" t="n">
        <v>1</v>
      </c>
      <c r="C1750" t="n">
        <v>1748</v>
      </c>
      <c r="D1750" t="n">
        <v>1</v>
      </c>
      <c r="E1750" t="n">
        <v>108.5555</v>
      </c>
      <c r="F1750" t="n">
        <v>0.04183</v>
      </c>
    </row>
    <row r="1751">
      <c r="A1751" t="n">
        <v>1001749</v>
      </c>
      <c r="B1751" t="n">
        <v>1</v>
      </c>
      <c r="C1751" t="n">
        <v>1749</v>
      </c>
      <c r="D1751" t="n">
        <v>1</v>
      </c>
      <c r="E1751" t="n">
        <v>108.5736</v>
      </c>
      <c r="F1751" t="n">
        <v>0.04183</v>
      </c>
    </row>
    <row r="1752">
      <c r="A1752" t="n">
        <v>1001750</v>
      </c>
      <c r="B1752" t="n">
        <v>1</v>
      </c>
      <c r="C1752" t="n">
        <v>1750</v>
      </c>
      <c r="D1752" t="n">
        <v>1</v>
      </c>
      <c r="E1752" t="n">
        <v>108.5916</v>
      </c>
      <c r="F1752" t="n">
        <v>0.04183</v>
      </c>
    </row>
    <row r="1753">
      <c r="A1753" t="n">
        <v>1001751</v>
      </c>
      <c r="B1753" t="n">
        <v>1</v>
      </c>
      <c r="C1753" t="n">
        <v>1751</v>
      </c>
      <c r="D1753" t="n">
        <v>1</v>
      </c>
      <c r="E1753" t="n">
        <v>108.6097</v>
      </c>
      <c r="F1753" t="n">
        <v>0.04184</v>
      </c>
    </row>
    <row r="1754">
      <c r="A1754" t="n">
        <v>1001752</v>
      </c>
      <c r="B1754" t="n">
        <v>1</v>
      </c>
      <c r="C1754" t="n">
        <v>1752</v>
      </c>
      <c r="D1754" t="n">
        <v>1</v>
      </c>
      <c r="E1754" t="n">
        <v>108.6277</v>
      </c>
      <c r="F1754" t="n">
        <v>0.04184</v>
      </c>
    </row>
    <row r="1755">
      <c r="A1755" t="n">
        <v>1001753</v>
      </c>
      <c r="B1755" t="n">
        <v>1</v>
      </c>
      <c r="C1755" t="n">
        <v>1753</v>
      </c>
      <c r="D1755" t="n">
        <v>1</v>
      </c>
      <c r="E1755" t="n">
        <v>108.6457</v>
      </c>
      <c r="F1755" t="n">
        <v>0.04185</v>
      </c>
    </row>
    <row r="1756">
      <c r="A1756" t="n">
        <v>1001754</v>
      </c>
      <c r="B1756" t="n">
        <v>1</v>
      </c>
      <c r="C1756" t="n">
        <v>1754</v>
      </c>
      <c r="D1756" t="n">
        <v>1</v>
      </c>
      <c r="E1756" t="n">
        <v>108.6638</v>
      </c>
      <c r="F1756" t="n">
        <v>0.04185</v>
      </c>
    </row>
    <row r="1757">
      <c r="A1757" t="n">
        <v>1001755</v>
      </c>
      <c r="B1757" t="n">
        <v>1</v>
      </c>
      <c r="C1757" t="n">
        <v>1755</v>
      </c>
      <c r="D1757" t="n">
        <v>1</v>
      </c>
      <c r="E1757" t="n">
        <v>108.6818</v>
      </c>
      <c r="F1757" t="n">
        <v>0.04185</v>
      </c>
    </row>
    <row r="1758">
      <c r="A1758" t="n">
        <v>1001756</v>
      </c>
      <c r="B1758" t="n">
        <v>1</v>
      </c>
      <c r="C1758" t="n">
        <v>1756</v>
      </c>
      <c r="D1758" t="n">
        <v>1</v>
      </c>
      <c r="E1758" t="n">
        <v>108.6998</v>
      </c>
      <c r="F1758" t="n">
        <v>0.04186</v>
      </c>
    </row>
    <row r="1759">
      <c r="A1759" t="n">
        <v>1001757</v>
      </c>
      <c r="B1759" t="n">
        <v>1</v>
      </c>
      <c r="C1759" t="n">
        <v>1757</v>
      </c>
      <c r="D1759" t="n">
        <v>1</v>
      </c>
      <c r="E1759" t="n">
        <v>108.7179</v>
      </c>
      <c r="F1759" t="n">
        <v>0.04186</v>
      </c>
    </row>
    <row r="1760">
      <c r="A1760" t="n">
        <v>1001758</v>
      </c>
      <c r="B1760" t="n">
        <v>1</v>
      </c>
      <c r="C1760" t="n">
        <v>1758</v>
      </c>
      <c r="D1760" t="n">
        <v>1</v>
      </c>
      <c r="E1760" t="n">
        <v>108.7359</v>
      </c>
      <c r="F1760" t="n">
        <v>0.04187</v>
      </c>
    </row>
    <row r="1761">
      <c r="A1761" t="n">
        <v>1001759</v>
      </c>
      <c r="B1761" t="n">
        <v>1</v>
      </c>
      <c r="C1761" t="n">
        <v>1759</v>
      </c>
      <c r="D1761" t="n">
        <v>1</v>
      </c>
      <c r="E1761" t="n">
        <v>108.7539</v>
      </c>
      <c r="F1761" t="n">
        <v>0.04187</v>
      </c>
    </row>
    <row r="1762">
      <c r="A1762" t="n">
        <v>1001760</v>
      </c>
      <c r="B1762" t="n">
        <v>1</v>
      </c>
      <c r="C1762" t="n">
        <v>1760</v>
      </c>
      <c r="D1762" t="n">
        <v>1</v>
      </c>
      <c r="E1762" t="n">
        <v>108.772</v>
      </c>
      <c r="F1762" t="n">
        <v>0.04188</v>
      </c>
    </row>
    <row r="1763">
      <c r="A1763" t="n">
        <v>1001761</v>
      </c>
      <c r="B1763" t="n">
        <v>1</v>
      </c>
      <c r="C1763" t="n">
        <v>1761</v>
      </c>
      <c r="D1763" t="n">
        <v>1</v>
      </c>
      <c r="E1763" t="n">
        <v>108.79</v>
      </c>
      <c r="F1763" t="n">
        <v>0.04188</v>
      </c>
    </row>
    <row r="1764">
      <c r="A1764" t="n">
        <v>1001762</v>
      </c>
      <c r="B1764" t="n">
        <v>1</v>
      </c>
      <c r="C1764" t="n">
        <v>1762</v>
      </c>
      <c r="D1764" t="n">
        <v>1</v>
      </c>
      <c r="E1764" t="n">
        <v>108.808</v>
      </c>
      <c r="F1764" t="n">
        <v>0.04188</v>
      </c>
    </row>
    <row r="1765">
      <c r="A1765" t="n">
        <v>1001763</v>
      </c>
      <c r="B1765" t="n">
        <v>1</v>
      </c>
      <c r="C1765" t="n">
        <v>1763</v>
      </c>
      <c r="D1765" t="n">
        <v>1</v>
      </c>
      <c r="E1765" t="n">
        <v>108.8261</v>
      </c>
      <c r="F1765" t="n">
        <v>0.04189</v>
      </c>
    </row>
    <row r="1766">
      <c r="A1766" t="n">
        <v>1001764</v>
      </c>
      <c r="B1766" t="n">
        <v>1</v>
      </c>
      <c r="C1766" t="n">
        <v>1764</v>
      </c>
      <c r="D1766" t="n">
        <v>1</v>
      </c>
      <c r="E1766" t="n">
        <v>108.8441</v>
      </c>
      <c r="F1766" t="n">
        <v>0.04189</v>
      </c>
    </row>
    <row r="1767">
      <c r="A1767" t="n">
        <v>1001765</v>
      </c>
      <c r="B1767" t="n">
        <v>1</v>
      </c>
      <c r="C1767" t="n">
        <v>1765</v>
      </c>
      <c r="D1767" t="n">
        <v>1</v>
      </c>
      <c r="E1767" t="n">
        <v>108.8621</v>
      </c>
      <c r="F1767" t="n">
        <v>0.0419</v>
      </c>
    </row>
    <row r="1768">
      <c r="A1768" t="n">
        <v>1001766</v>
      </c>
      <c r="B1768" t="n">
        <v>1</v>
      </c>
      <c r="C1768" t="n">
        <v>1766</v>
      </c>
      <c r="D1768" t="n">
        <v>1</v>
      </c>
      <c r="E1768" t="n">
        <v>108.8801</v>
      </c>
      <c r="F1768" t="n">
        <v>0.0419</v>
      </c>
    </row>
    <row r="1769">
      <c r="A1769" t="n">
        <v>1001767</v>
      </c>
      <c r="B1769" t="n">
        <v>1</v>
      </c>
      <c r="C1769" t="n">
        <v>1767</v>
      </c>
      <c r="D1769" t="n">
        <v>1</v>
      </c>
      <c r="E1769" t="n">
        <v>108.8982</v>
      </c>
      <c r="F1769" t="n">
        <v>0.0419</v>
      </c>
    </row>
    <row r="1770">
      <c r="A1770" t="n">
        <v>1001768</v>
      </c>
      <c r="B1770" t="n">
        <v>1</v>
      </c>
      <c r="C1770" t="n">
        <v>1768</v>
      </c>
      <c r="D1770" t="n">
        <v>1</v>
      </c>
      <c r="E1770" t="n">
        <v>108.9162</v>
      </c>
      <c r="F1770" t="n">
        <v>0.04191</v>
      </c>
    </row>
    <row r="1771">
      <c r="A1771" t="n">
        <v>1001769</v>
      </c>
      <c r="B1771" t="n">
        <v>1</v>
      </c>
      <c r="C1771" t="n">
        <v>1769</v>
      </c>
      <c r="D1771" t="n">
        <v>1</v>
      </c>
      <c r="E1771" t="n">
        <v>108.9342</v>
      </c>
      <c r="F1771" t="n">
        <v>0.04191</v>
      </c>
    </row>
    <row r="1772">
      <c r="A1772" t="n">
        <v>1001770</v>
      </c>
      <c r="B1772" t="n">
        <v>1</v>
      </c>
      <c r="C1772" t="n">
        <v>1770</v>
      </c>
      <c r="D1772" t="n">
        <v>1</v>
      </c>
      <c r="E1772" t="n">
        <v>108.9522</v>
      </c>
      <c r="F1772" t="n">
        <v>0.04192</v>
      </c>
    </row>
    <row r="1773">
      <c r="A1773" t="n">
        <v>1001771</v>
      </c>
      <c r="B1773" t="n">
        <v>1</v>
      </c>
      <c r="C1773" t="n">
        <v>1771</v>
      </c>
      <c r="D1773" t="n">
        <v>1</v>
      </c>
      <c r="E1773" t="n">
        <v>108.9702</v>
      </c>
      <c r="F1773" t="n">
        <v>0.04192</v>
      </c>
    </row>
    <row r="1774">
      <c r="A1774" t="n">
        <v>1001772</v>
      </c>
      <c r="B1774" t="n">
        <v>1</v>
      </c>
      <c r="C1774" t="n">
        <v>1772</v>
      </c>
      <c r="D1774" t="n">
        <v>1</v>
      </c>
      <c r="E1774" t="n">
        <v>108.9883</v>
      </c>
      <c r="F1774" t="n">
        <v>0.04192</v>
      </c>
    </row>
    <row r="1775">
      <c r="A1775" t="n">
        <v>1001773</v>
      </c>
      <c r="B1775" t="n">
        <v>1</v>
      </c>
      <c r="C1775" t="n">
        <v>1773</v>
      </c>
      <c r="D1775" t="n">
        <v>1</v>
      </c>
      <c r="E1775" t="n">
        <v>109.0063</v>
      </c>
      <c r="F1775" t="n">
        <v>0.04193</v>
      </c>
    </row>
    <row r="1776">
      <c r="A1776" t="n">
        <v>1001774</v>
      </c>
      <c r="B1776" t="n">
        <v>1</v>
      </c>
      <c r="C1776" t="n">
        <v>1774</v>
      </c>
      <c r="D1776" t="n">
        <v>1</v>
      </c>
      <c r="E1776" t="n">
        <v>109.0243</v>
      </c>
      <c r="F1776" t="n">
        <v>0.04193</v>
      </c>
    </row>
    <row r="1777">
      <c r="A1777" t="n">
        <v>1001775</v>
      </c>
      <c r="B1777" t="n">
        <v>1</v>
      </c>
      <c r="C1777" t="n">
        <v>1775</v>
      </c>
      <c r="D1777" t="n">
        <v>1</v>
      </c>
      <c r="E1777" t="n">
        <v>109.0423</v>
      </c>
      <c r="F1777" t="n">
        <v>0.04194</v>
      </c>
    </row>
    <row r="1778">
      <c r="A1778" t="n">
        <v>1001776</v>
      </c>
      <c r="B1778" t="n">
        <v>1</v>
      </c>
      <c r="C1778" t="n">
        <v>1776</v>
      </c>
      <c r="D1778" t="n">
        <v>1</v>
      </c>
      <c r="E1778" t="n">
        <v>109.0603</v>
      </c>
      <c r="F1778" t="n">
        <v>0.04194</v>
      </c>
    </row>
    <row r="1779">
      <c r="A1779" t="n">
        <v>1001777</v>
      </c>
      <c r="B1779" t="n">
        <v>1</v>
      </c>
      <c r="C1779" t="n">
        <v>1777</v>
      </c>
      <c r="D1779" t="n">
        <v>1</v>
      </c>
      <c r="E1779" t="n">
        <v>109.0783</v>
      </c>
      <c r="F1779" t="n">
        <v>0.04194</v>
      </c>
    </row>
    <row r="1780">
      <c r="A1780" t="n">
        <v>1001778</v>
      </c>
      <c r="B1780" t="n">
        <v>1</v>
      </c>
      <c r="C1780" t="n">
        <v>1778</v>
      </c>
      <c r="D1780" t="n">
        <v>1</v>
      </c>
      <c r="E1780" t="n">
        <v>109.0963</v>
      </c>
      <c r="F1780" t="n">
        <v>0.04195</v>
      </c>
    </row>
    <row r="1781">
      <c r="A1781" t="n">
        <v>1001779</v>
      </c>
      <c r="B1781" t="n">
        <v>1</v>
      </c>
      <c r="C1781" t="n">
        <v>1779</v>
      </c>
      <c r="D1781" t="n">
        <v>1</v>
      </c>
      <c r="E1781" t="n">
        <v>109.1144</v>
      </c>
      <c r="F1781" t="n">
        <v>0.04195</v>
      </c>
    </row>
    <row r="1782">
      <c r="A1782" t="n">
        <v>1001780</v>
      </c>
      <c r="B1782" t="n">
        <v>1</v>
      </c>
      <c r="C1782" t="n">
        <v>1780</v>
      </c>
      <c r="D1782" t="n">
        <v>1</v>
      </c>
      <c r="E1782" t="n">
        <v>109.1324</v>
      </c>
      <c r="F1782" t="n">
        <v>0.04196</v>
      </c>
    </row>
    <row r="1783">
      <c r="A1783" t="n">
        <v>1001781</v>
      </c>
      <c r="B1783" t="n">
        <v>1</v>
      </c>
      <c r="C1783" t="n">
        <v>1781</v>
      </c>
      <c r="D1783" t="n">
        <v>1</v>
      </c>
      <c r="E1783" t="n">
        <v>109.1504</v>
      </c>
      <c r="F1783" t="n">
        <v>0.04196</v>
      </c>
    </row>
    <row r="1784">
      <c r="A1784" t="n">
        <v>1001782</v>
      </c>
      <c r="B1784" t="n">
        <v>1</v>
      </c>
      <c r="C1784" t="n">
        <v>1782</v>
      </c>
      <c r="D1784" t="n">
        <v>1</v>
      </c>
      <c r="E1784" t="n">
        <v>109.1684</v>
      </c>
      <c r="F1784" t="n">
        <v>0.04196</v>
      </c>
    </row>
    <row r="1785">
      <c r="A1785" t="n">
        <v>1001783</v>
      </c>
      <c r="B1785" t="n">
        <v>1</v>
      </c>
      <c r="C1785" t="n">
        <v>1783</v>
      </c>
      <c r="D1785" t="n">
        <v>1</v>
      </c>
      <c r="E1785" t="n">
        <v>109.1864</v>
      </c>
      <c r="F1785" t="n">
        <v>0.04197</v>
      </c>
    </row>
    <row r="1786">
      <c r="A1786" t="n">
        <v>1001784</v>
      </c>
      <c r="B1786" t="n">
        <v>1</v>
      </c>
      <c r="C1786" t="n">
        <v>1784</v>
      </c>
      <c r="D1786" t="n">
        <v>1</v>
      </c>
      <c r="E1786" t="n">
        <v>109.2044</v>
      </c>
      <c r="F1786" t="n">
        <v>0.04197</v>
      </c>
    </row>
    <row r="1787">
      <c r="A1787" t="n">
        <v>1001785</v>
      </c>
      <c r="B1787" t="n">
        <v>1</v>
      </c>
      <c r="C1787" t="n">
        <v>1785</v>
      </c>
      <c r="D1787" t="n">
        <v>1</v>
      </c>
      <c r="E1787" t="n">
        <v>109.2224</v>
      </c>
      <c r="F1787" t="n">
        <v>0.04198</v>
      </c>
    </row>
    <row r="1788">
      <c r="A1788" t="n">
        <v>1001786</v>
      </c>
      <c r="B1788" t="n">
        <v>1</v>
      </c>
      <c r="C1788" t="n">
        <v>1786</v>
      </c>
      <c r="D1788" t="n">
        <v>1</v>
      </c>
      <c r="E1788" t="n">
        <v>109.2404</v>
      </c>
      <c r="F1788" t="n">
        <v>0.04198</v>
      </c>
    </row>
    <row r="1789">
      <c r="A1789" t="n">
        <v>1001787</v>
      </c>
      <c r="B1789" t="n">
        <v>1</v>
      </c>
      <c r="C1789" t="n">
        <v>1787</v>
      </c>
      <c r="D1789" t="n">
        <v>1</v>
      </c>
      <c r="E1789" t="n">
        <v>109.2584</v>
      </c>
      <c r="F1789" t="n">
        <v>0.04198</v>
      </c>
    </row>
    <row r="1790">
      <c r="A1790" t="n">
        <v>1001788</v>
      </c>
      <c r="B1790" t="n">
        <v>1</v>
      </c>
      <c r="C1790" t="n">
        <v>1788</v>
      </c>
      <c r="D1790" t="n">
        <v>1</v>
      </c>
      <c r="E1790" t="n">
        <v>109.2764</v>
      </c>
      <c r="F1790" t="n">
        <v>0.04199</v>
      </c>
    </row>
    <row r="1791">
      <c r="A1791" t="n">
        <v>1001789</v>
      </c>
      <c r="B1791" t="n">
        <v>1</v>
      </c>
      <c r="C1791" t="n">
        <v>1789</v>
      </c>
      <c r="D1791" t="n">
        <v>1</v>
      </c>
      <c r="E1791" t="n">
        <v>109.2944</v>
      </c>
      <c r="F1791" t="n">
        <v>0.04199</v>
      </c>
    </row>
    <row r="1792">
      <c r="A1792" t="n">
        <v>1001790</v>
      </c>
      <c r="B1792" t="n">
        <v>1</v>
      </c>
      <c r="C1792" t="n">
        <v>1790</v>
      </c>
      <c r="D1792" t="n">
        <v>1</v>
      </c>
      <c r="E1792" t="n">
        <v>109.3124</v>
      </c>
      <c r="F1792" t="n">
        <v>0.042</v>
      </c>
    </row>
    <row r="1793">
      <c r="A1793" t="n">
        <v>1001791</v>
      </c>
      <c r="B1793" t="n">
        <v>1</v>
      </c>
      <c r="C1793" t="n">
        <v>1791</v>
      </c>
      <c r="D1793" t="n">
        <v>1</v>
      </c>
      <c r="E1793" t="n">
        <v>109.3304</v>
      </c>
      <c r="F1793" t="n">
        <v>0.042</v>
      </c>
    </row>
    <row r="1794">
      <c r="A1794" t="n">
        <v>1001792</v>
      </c>
      <c r="B1794" t="n">
        <v>1</v>
      </c>
      <c r="C1794" t="n">
        <v>1792</v>
      </c>
      <c r="D1794" t="n">
        <v>1</v>
      </c>
      <c r="E1794" t="n">
        <v>109.3484</v>
      </c>
      <c r="F1794" t="n">
        <v>0.042</v>
      </c>
    </row>
    <row r="1795">
      <c r="A1795" t="n">
        <v>1001793</v>
      </c>
      <c r="B1795" t="n">
        <v>1</v>
      </c>
      <c r="C1795" t="n">
        <v>1793</v>
      </c>
      <c r="D1795" t="n">
        <v>1</v>
      </c>
      <c r="E1795" t="n">
        <v>109.3664</v>
      </c>
      <c r="F1795" t="n">
        <v>0.04201</v>
      </c>
    </row>
    <row r="1796">
      <c r="A1796" t="n">
        <v>1001794</v>
      </c>
      <c r="B1796" t="n">
        <v>1</v>
      </c>
      <c r="C1796" t="n">
        <v>1794</v>
      </c>
      <c r="D1796" t="n">
        <v>1</v>
      </c>
      <c r="E1796" t="n">
        <v>109.3843</v>
      </c>
      <c r="F1796" t="n">
        <v>0.04201</v>
      </c>
    </row>
    <row r="1797">
      <c r="A1797" t="n">
        <v>1001795</v>
      </c>
      <c r="B1797" t="n">
        <v>1</v>
      </c>
      <c r="C1797" t="n">
        <v>1795</v>
      </c>
      <c r="D1797" t="n">
        <v>1</v>
      </c>
      <c r="E1797" t="n">
        <v>109.4023</v>
      </c>
      <c r="F1797" t="n">
        <v>0.04202</v>
      </c>
    </row>
    <row r="1798">
      <c r="A1798" t="n">
        <v>1001796</v>
      </c>
      <c r="B1798" t="n">
        <v>1</v>
      </c>
      <c r="C1798" t="n">
        <v>1796</v>
      </c>
      <c r="D1798" t="n">
        <v>1</v>
      </c>
      <c r="E1798" t="n">
        <v>109.4203</v>
      </c>
      <c r="F1798" t="n">
        <v>0.04202</v>
      </c>
    </row>
    <row r="1799">
      <c r="A1799" t="n">
        <v>1001797</v>
      </c>
      <c r="B1799" t="n">
        <v>1</v>
      </c>
      <c r="C1799" t="n">
        <v>1797</v>
      </c>
      <c r="D1799" t="n">
        <v>1</v>
      </c>
      <c r="E1799" t="n">
        <v>109.4383</v>
      </c>
      <c r="F1799" t="n">
        <v>0.04202</v>
      </c>
    </row>
    <row r="1800">
      <c r="A1800" t="n">
        <v>1001798</v>
      </c>
      <c r="B1800" t="n">
        <v>1</v>
      </c>
      <c r="C1800" t="n">
        <v>1798</v>
      </c>
      <c r="D1800" t="n">
        <v>1</v>
      </c>
      <c r="E1800" t="n">
        <v>109.4563</v>
      </c>
      <c r="F1800" t="n">
        <v>0.04203</v>
      </c>
    </row>
    <row r="1801">
      <c r="A1801" t="n">
        <v>1001799</v>
      </c>
      <c r="B1801" t="n">
        <v>1</v>
      </c>
      <c r="C1801" t="n">
        <v>1799</v>
      </c>
      <c r="D1801" t="n">
        <v>1</v>
      </c>
      <c r="E1801" t="n">
        <v>109.4743</v>
      </c>
      <c r="F1801" t="n">
        <v>0.04203</v>
      </c>
    </row>
    <row r="1802">
      <c r="A1802" t="n">
        <v>1001800</v>
      </c>
      <c r="B1802" t="n">
        <v>1</v>
      </c>
      <c r="C1802" t="n">
        <v>1800</v>
      </c>
      <c r="D1802" t="n">
        <v>1</v>
      </c>
      <c r="E1802" t="n">
        <v>109.4923</v>
      </c>
      <c r="F1802" t="n">
        <v>0.04204</v>
      </c>
    </row>
    <row r="1803">
      <c r="A1803" t="n">
        <v>1001801</v>
      </c>
      <c r="B1803" t="n">
        <v>1</v>
      </c>
      <c r="C1803" t="n">
        <v>1801</v>
      </c>
      <c r="D1803" t="n">
        <v>1</v>
      </c>
      <c r="E1803" t="n">
        <v>109.5102</v>
      </c>
      <c r="F1803" t="n">
        <v>0.04204</v>
      </c>
    </row>
    <row r="1804">
      <c r="A1804" t="n">
        <v>1001802</v>
      </c>
      <c r="B1804" t="n">
        <v>1</v>
      </c>
      <c r="C1804" t="n">
        <v>1802</v>
      </c>
      <c r="D1804" t="n">
        <v>1</v>
      </c>
      <c r="E1804" t="n">
        <v>109.5282</v>
      </c>
      <c r="F1804" t="n">
        <v>0.04204</v>
      </c>
    </row>
    <row r="1805">
      <c r="A1805" t="n">
        <v>1001803</v>
      </c>
      <c r="B1805" t="n">
        <v>1</v>
      </c>
      <c r="C1805" t="n">
        <v>1803</v>
      </c>
      <c r="D1805" t="n">
        <v>1</v>
      </c>
      <c r="E1805" t="n">
        <v>109.5462</v>
      </c>
      <c r="F1805" t="n">
        <v>0.04205</v>
      </c>
    </row>
    <row r="1806">
      <c r="A1806" t="n">
        <v>1001804</v>
      </c>
      <c r="B1806" t="n">
        <v>1</v>
      </c>
      <c r="C1806" t="n">
        <v>1804</v>
      </c>
      <c r="D1806" t="n">
        <v>1</v>
      </c>
      <c r="E1806" t="n">
        <v>109.5642</v>
      </c>
      <c r="F1806" t="n">
        <v>0.04205</v>
      </c>
    </row>
    <row r="1807">
      <c r="A1807" t="n">
        <v>1001805</v>
      </c>
      <c r="B1807" t="n">
        <v>1</v>
      </c>
      <c r="C1807" t="n">
        <v>1805</v>
      </c>
      <c r="D1807" t="n">
        <v>1</v>
      </c>
      <c r="E1807" t="n">
        <v>109.5822</v>
      </c>
      <c r="F1807" t="n">
        <v>0.04206</v>
      </c>
    </row>
    <row r="1808">
      <c r="A1808" t="n">
        <v>1001806</v>
      </c>
      <c r="B1808" t="n">
        <v>1</v>
      </c>
      <c r="C1808" t="n">
        <v>1806</v>
      </c>
      <c r="D1808" t="n">
        <v>1</v>
      </c>
      <c r="E1808" t="n">
        <v>109.6001</v>
      </c>
      <c r="F1808" t="n">
        <v>0.04206</v>
      </c>
    </row>
    <row r="1809">
      <c r="A1809" t="n">
        <v>1001807</v>
      </c>
      <c r="B1809" t="n">
        <v>1</v>
      </c>
      <c r="C1809" t="n">
        <v>1807</v>
      </c>
      <c r="D1809" t="n">
        <v>1</v>
      </c>
      <c r="E1809" t="n">
        <v>109.6181</v>
      </c>
      <c r="F1809" t="n">
        <v>0.04206</v>
      </c>
    </row>
    <row r="1810">
      <c r="A1810" t="n">
        <v>1001808</v>
      </c>
      <c r="B1810" t="n">
        <v>1</v>
      </c>
      <c r="C1810" t="n">
        <v>1808</v>
      </c>
      <c r="D1810" t="n">
        <v>1</v>
      </c>
      <c r="E1810" t="n">
        <v>109.6361</v>
      </c>
      <c r="F1810" t="n">
        <v>0.04207</v>
      </c>
    </row>
    <row r="1811">
      <c r="A1811" t="n">
        <v>1001809</v>
      </c>
      <c r="B1811" t="n">
        <v>1</v>
      </c>
      <c r="C1811" t="n">
        <v>1809</v>
      </c>
      <c r="D1811" t="n">
        <v>1</v>
      </c>
      <c r="E1811" t="n">
        <v>109.654</v>
      </c>
      <c r="F1811" t="n">
        <v>0.04207</v>
      </c>
    </row>
    <row r="1812">
      <c r="A1812" t="n">
        <v>1001810</v>
      </c>
      <c r="B1812" t="n">
        <v>1</v>
      </c>
      <c r="C1812" t="n">
        <v>1810</v>
      </c>
      <c r="D1812" t="n">
        <v>1</v>
      </c>
      <c r="E1812" t="n">
        <v>109.672</v>
      </c>
      <c r="F1812" t="n">
        <v>0.04208</v>
      </c>
    </row>
    <row r="1813">
      <c r="A1813" t="n">
        <v>1001811</v>
      </c>
      <c r="B1813" t="n">
        <v>1</v>
      </c>
      <c r="C1813" t="n">
        <v>1811</v>
      </c>
      <c r="D1813" t="n">
        <v>1</v>
      </c>
      <c r="E1813" t="n">
        <v>109.69</v>
      </c>
      <c r="F1813" t="n">
        <v>0.04208</v>
      </c>
    </row>
    <row r="1814">
      <c r="A1814" t="n">
        <v>1001812</v>
      </c>
      <c r="B1814" t="n">
        <v>1</v>
      </c>
      <c r="C1814" t="n">
        <v>1812</v>
      </c>
      <c r="D1814" t="n">
        <v>1</v>
      </c>
      <c r="E1814" t="n">
        <v>109.7079</v>
      </c>
      <c r="F1814" t="n">
        <v>0.04208</v>
      </c>
    </row>
    <row r="1815">
      <c r="A1815" t="n">
        <v>1001813</v>
      </c>
      <c r="B1815" t="n">
        <v>1</v>
      </c>
      <c r="C1815" t="n">
        <v>1813</v>
      </c>
      <c r="D1815" t="n">
        <v>1</v>
      </c>
      <c r="E1815" t="n">
        <v>109.7259</v>
      </c>
      <c r="F1815" t="n">
        <v>0.04209</v>
      </c>
    </row>
    <row r="1816">
      <c r="A1816" t="n">
        <v>1001814</v>
      </c>
      <c r="B1816" t="n">
        <v>1</v>
      </c>
      <c r="C1816" t="n">
        <v>1814</v>
      </c>
      <c r="D1816" t="n">
        <v>1</v>
      </c>
      <c r="E1816" t="n">
        <v>109.7439</v>
      </c>
      <c r="F1816" t="n">
        <v>0.04209</v>
      </c>
    </row>
    <row r="1817">
      <c r="A1817" t="n">
        <v>1001815</v>
      </c>
      <c r="B1817" t="n">
        <v>1</v>
      </c>
      <c r="C1817" t="n">
        <v>1815</v>
      </c>
      <c r="D1817" t="n">
        <v>1</v>
      </c>
      <c r="E1817" t="n">
        <v>109.7618</v>
      </c>
      <c r="F1817" t="n">
        <v>0.0421</v>
      </c>
    </row>
    <row r="1818">
      <c r="A1818" t="n">
        <v>1001816</v>
      </c>
      <c r="B1818" t="n">
        <v>1</v>
      </c>
      <c r="C1818" t="n">
        <v>1816</v>
      </c>
      <c r="D1818" t="n">
        <v>1</v>
      </c>
      <c r="E1818" t="n">
        <v>109.7798</v>
      </c>
      <c r="F1818" t="n">
        <v>0.0421</v>
      </c>
    </row>
    <row r="1819">
      <c r="A1819" t="n">
        <v>1001817</v>
      </c>
      <c r="B1819" t="n">
        <v>1</v>
      </c>
      <c r="C1819" t="n">
        <v>1817</v>
      </c>
      <c r="D1819" t="n">
        <v>1</v>
      </c>
      <c r="E1819" t="n">
        <v>109.7978</v>
      </c>
      <c r="F1819" t="n">
        <v>0.0421</v>
      </c>
    </row>
    <row r="1820">
      <c r="A1820" t="n">
        <v>1001818</v>
      </c>
      <c r="B1820" t="n">
        <v>1</v>
      </c>
      <c r="C1820" t="n">
        <v>1818</v>
      </c>
      <c r="D1820" t="n">
        <v>1</v>
      </c>
      <c r="E1820" t="n">
        <v>109.8157</v>
      </c>
      <c r="F1820" t="n">
        <v>0.04211</v>
      </c>
    </row>
    <row r="1821">
      <c r="A1821" t="n">
        <v>1001819</v>
      </c>
      <c r="B1821" t="n">
        <v>1</v>
      </c>
      <c r="C1821" t="n">
        <v>1819</v>
      </c>
      <c r="D1821" t="n">
        <v>1</v>
      </c>
      <c r="E1821" t="n">
        <v>109.8337</v>
      </c>
      <c r="F1821" t="n">
        <v>0.04211</v>
      </c>
    </row>
    <row r="1822">
      <c r="A1822" t="n">
        <v>1001820</v>
      </c>
      <c r="B1822" t="n">
        <v>1</v>
      </c>
      <c r="C1822" t="n">
        <v>1820</v>
      </c>
      <c r="D1822" t="n">
        <v>1</v>
      </c>
      <c r="E1822" t="n">
        <v>109.8516</v>
      </c>
      <c r="F1822" t="n">
        <v>0.04212</v>
      </c>
    </row>
    <row r="1823">
      <c r="A1823" t="n">
        <v>1001821</v>
      </c>
      <c r="B1823" t="n">
        <v>1</v>
      </c>
      <c r="C1823" t="n">
        <v>1821</v>
      </c>
      <c r="D1823" t="n">
        <v>1</v>
      </c>
      <c r="E1823" t="n">
        <v>109.8696</v>
      </c>
      <c r="F1823" t="n">
        <v>0.04212</v>
      </c>
    </row>
    <row r="1824">
      <c r="A1824" t="n">
        <v>1001822</v>
      </c>
      <c r="B1824" t="n">
        <v>1</v>
      </c>
      <c r="C1824" t="n">
        <v>1822</v>
      </c>
      <c r="D1824" t="n">
        <v>1</v>
      </c>
      <c r="E1824" t="n">
        <v>109.8875</v>
      </c>
      <c r="F1824" t="n">
        <v>0.04212</v>
      </c>
    </row>
    <row r="1825">
      <c r="A1825" t="n">
        <v>1001823</v>
      </c>
      <c r="B1825" t="n">
        <v>1</v>
      </c>
      <c r="C1825" t="n">
        <v>1823</v>
      </c>
      <c r="D1825" t="n">
        <v>1</v>
      </c>
      <c r="E1825" t="n">
        <v>109.9055</v>
      </c>
      <c r="F1825" t="n">
        <v>0.04213</v>
      </c>
    </row>
    <row r="1826">
      <c r="A1826" t="n">
        <v>1001824</v>
      </c>
      <c r="B1826" t="n">
        <v>1</v>
      </c>
      <c r="C1826" t="n">
        <v>1824</v>
      </c>
      <c r="D1826" t="n">
        <v>1</v>
      </c>
      <c r="E1826" t="n">
        <v>109.9234</v>
      </c>
      <c r="F1826" t="n">
        <v>0.04213</v>
      </c>
    </row>
    <row r="1827">
      <c r="A1827" t="n">
        <v>1001825</v>
      </c>
      <c r="B1827" t="n">
        <v>1</v>
      </c>
      <c r="C1827" t="n">
        <v>1825</v>
      </c>
      <c r="D1827" t="n">
        <v>1</v>
      </c>
      <c r="E1827" t="n">
        <v>109.9414</v>
      </c>
      <c r="F1827" t="n">
        <v>0.04214</v>
      </c>
    </row>
    <row r="1828">
      <c r="A1828" t="n">
        <v>1001826</v>
      </c>
      <c r="B1828" t="n">
        <v>1</v>
      </c>
      <c r="C1828" t="n">
        <v>1826</v>
      </c>
      <c r="D1828" t="n">
        <v>1</v>
      </c>
      <c r="E1828" t="n">
        <v>109.9593</v>
      </c>
      <c r="F1828" t="n">
        <v>0.04214</v>
      </c>
    </row>
    <row r="1829">
      <c r="A1829" t="n">
        <v>2000000</v>
      </c>
      <c r="B1829" t="n">
        <v>2</v>
      </c>
      <c r="C1829" t="n">
        <v>0</v>
      </c>
      <c r="D1829" t="n">
        <v>1</v>
      </c>
      <c r="E1829" t="n">
        <v>49.1477</v>
      </c>
      <c r="F1829" t="n">
        <v>0.0379</v>
      </c>
    </row>
    <row r="1830">
      <c r="A1830" t="n">
        <v>2000001</v>
      </c>
      <c r="B1830" t="n">
        <v>2</v>
      </c>
      <c r="C1830" t="n">
        <v>1</v>
      </c>
      <c r="D1830" t="n">
        <v>1</v>
      </c>
      <c r="E1830" t="n">
        <v>49.3166</v>
      </c>
      <c r="F1830" t="n">
        <v>0.03783</v>
      </c>
    </row>
    <row r="1831">
      <c r="A1831" t="n">
        <v>2000002</v>
      </c>
      <c r="B1831" t="n">
        <v>2</v>
      </c>
      <c r="C1831" t="n">
        <v>2</v>
      </c>
      <c r="D1831" t="n">
        <v>1</v>
      </c>
      <c r="E1831" t="n">
        <v>49.4854</v>
      </c>
      <c r="F1831" t="n">
        <v>0.03776</v>
      </c>
    </row>
    <row r="1832">
      <c r="A1832" t="n">
        <v>2000003</v>
      </c>
      <c r="B1832" t="n">
        <v>2</v>
      </c>
      <c r="C1832" t="n">
        <v>3</v>
      </c>
      <c r="D1832" t="n">
        <v>1</v>
      </c>
      <c r="E1832" t="n">
        <v>49.6543</v>
      </c>
      <c r="F1832" t="n">
        <v>0.0377</v>
      </c>
    </row>
    <row r="1833">
      <c r="A1833" t="n">
        <v>2000004</v>
      </c>
      <c r="B1833" t="n">
        <v>2</v>
      </c>
      <c r="C1833" t="n">
        <v>4</v>
      </c>
      <c r="D1833" t="n">
        <v>1</v>
      </c>
      <c r="E1833" t="n">
        <v>49.8232</v>
      </c>
      <c r="F1833" t="n">
        <v>0.03763</v>
      </c>
    </row>
    <row r="1834">
      <c r="A1834" t="n">
        <v>2000005</v>
      </c>
      <c r="B1834" t="n">
        <v>2</v>
      </c>
      <c r="C1834" t="n">
        <v>5</v>
      </c>
      <c r="D1834" t="n">
        <v>1</v>
      </c>
      <c r="E1834" t="n">
        <v>49.9921</v>
      </c>
      <c r="F1834" t="n">
        <v>0.03756</v>
      </c>
    </row>
    <row r="1835">
      <c r="A1835" t="n">
        <v>2000006</v>
      </c>
      <c r="B1835" t="n">
        <v>2</v>
      </c>
      <c r="C1835" t="n">
        <v>6</v>
      </c>
      <c r="D1835" t="n">
        <v>1</v>
      </c>
      <c r="E1835" t="n">
        <v>50.1609</v>
      </c>
      <c r="F1835" t="n">
        <v>0.03749</v>
      </c>
    </row>
    <row r="1836">
      <c r="A1836" t="n">
        <v>2000007</v>
      </c>
      <c r="B1836" t="n">
        <v>2</v>
      </c>
      <c r="C1836" t="n">
        <v>7</v>
      </c>
      <c r="D1836" t="n">
        <v>1</v>
      </c>
      <c r="E1836" t="n">
        <v>50.3298</v>
      </c>
      <c r="F1836" t="n">
        <v>0.03742</v>
      </c>
    </row>
    <row r="1837">
      <c r="A1837" t="n">
        <v>2000008</v>
      </c>
      <c r="B1837" t="n">
        <v>2</v>
      </c>
      <c r="C1837" t="n">
        <v>8</v>
      </c>
      <c r="D1837" t="n">
        <v>1</v>
      </c>
      <c r="E1837" t="n">
        <v>50.4987</v>
      </c>
      <c r="F1837" t="n">
        <v>0.03735</v>
      </c>
    </row>
    <row r="1838">
      <c r="A1838" t="n">
        <v>2000009</v>
      </c>
      <c r="B1838" t="n">
        <v>2</v>
      </c>
      <c r="C1838" t="n">
        <v>9</v>
      </c>
      <c r="D1838" t="n">
        <v>1</v>
      </c>
      <c r="E1838" t="n">
        <v>50.6676</v>
      </c>
      <c r="F1838" t="n">
        <v>0.03728</v>
      </c>
    </row>
    <row r="1839">
      <c r="A1839" t="n">
        <v>2000010</v>
      </c>
      <c r="B1839" t="n">
        <v>2</v>
      </c>
      <c r="C1839" t="n">
        <v>10</v>
      </c>
      <c r="D1839" t="n">
        <v>1</v>
      </c>
      <c r="E1839" t="n">
        <v>50.8365</v>
      </c>
      <c r="F1839" t="n">
        <v>0.03722</v>
      </c>
    </row>
    <row r="1840">
      <c r="A1840" t="n">
        <v>2000011</v>
      </c>
      <c r="B1840" t="n">
        <v>2</v>
      </c>
      <c r="C1840" t="n">
        <v>11</v>
      </c>
      <c r="D1840" t="n">
        <v>1</v>
      </c>
      <c r="E1840" t="n">
        <v>51.0053</v>
      </c>
      <c r="F1840" t="n">
        <v>0.03715</v>
      </c>
    </row>
    <row r="1841">
      <c r="A1841" t="n">
        <v>2000012</v>
      </c>
      <c r="B1841" t="n">
        <v>2</v>
      </c>
      <c r="C1841" t="n">
        <v>12</v>
      </c>
      <c r="D1841" t="n">
        <v>1</v>
      </c>
      <c r="E1841" t="n">
        <v>51.1742</v>
      </c>
      <c r="F1841" t="n">
        <v>0.03708</v>
      </c>
    </row>
    <row r="1842">
      <c r="A1842" t="n">
        <v>2000013</v>
      </c>
      <c r="B1842" t="n">
        <v>2</v>
      </c>
      <c r="C1842" t="n">
        <v>13</v>
      </c>
      <c r="D1842" t="n">
        <v>1</v>
      </c>
      <c r="E1842" t="n">
        <v>51.3431</v>
      </c>
      <c r="F1842" t="n">
        <v>0.03701</v>
      </c>
    </row>
    <row r="1843">
      <c r="A1843" t="n">
        <v>2000014</v>
      </c>
      <c r="B1843" t="n">
        <v>2</v>
      </c>
      <c r="C1843" t="n">
        <v>14</v>
      </c>
      <c r="D1843" t="n">
        <v>1</v>
      </c>
      <c r="E1843" t="n">
        <v>51.512</v>
      </c>
      <c r="F1843" t="n">
        <v>0.03694</v>
      </c>
    </row>
    <row r="1844">
      <c r="A1844" t="n">
        <v>2000015</v>
      </c>
      <c r="B1844" t="n">
        <v>2</v>
      </c>
      <c r="C1844" t="n">
        <v>15</v>
      </c>
      <c r="D1844" t="n">
        <v>1</v>
      </c>
      <c r="E1844" t="n">
        <v>51.651</v>
      </c>
      <c r="F1844" t="n">
        <v>0.0369</v>
      </c>
    </row>
    <row r="1845">
      <c r="A1845" t="n">
        <v>2000016</v>
      </c>
      <c r="B1845" t="n">
        <v>2</v>
      </c>
      <c r="C1845" t="n">
        <v>16</v>
      </c>
      <c r="D1845" t="n">
        <v>1</v>
      </c>
      <c r="E1845" t="n">
        <v>51.7895</v>
      </c>
      <c r="F1845" t="n">
        <v>0.03687</v>
      </c>
    </row>
    <row r="1846">
      <c r="A1846" t="n">
        <v>2000017</v>
      </c>
      <c r="B1846" t="n">
        <v>2</v>
      </c>
      <c r="C1846" t="n">
        <v>17</v>
      </c>
      <c r="D1846" t="n">
        <v>1</v>
      </c>
      <c r="E1846" t="n">
        <v>51.9272</v>
      </c>
      <c r="F1846" t="n">
        <v>0.03683</v>
      </c>
    </row>
    <row r="1847">
      <c r="A1847" t="n">
        <v>2000018</v>
      </c>
      <c r="B1847" t="n">
        <v>2</v>
      </c>
      <c r="C1847" t="n">
        <v>18</v>
      </c>
      <c r="D1847" t="n">
        <v>1</v>
      </c>
      <c r="E1847" t="n">
        <v>52.0641</v>
      </c>
      <c r="F1847" t="n">
        <v>0.0368</v>
      </c>
    </row>
    <row r="1848">
      <c r="A1848" t="n">
        <v>2000019</v>
      </c>
      <c r="B1848" t="n">
        <v>2</v>
      </c>
      <c r="C1848" t="n">
        <v>19</v>
      </c>
      <c r="D1848" t="n">
        <v>1</v>
      </c>
      <c r="E1848" t="n">
        <v>52.2002</v>
      </c>
      <c r="F1848" t="n">
        <v>0.03676</v>
      </c>
    </row>
    <row r="1849">
      <c r="A1849" t="n">
        <v>2000020</v>
      </c>
      <c r="B1849" t="n">
        <v>2</v>
      </c>
      <c r="C1849" t="n">
        <v>20</v>
      </c>
      <c r="D1849" t="n">
        <v>1</v>
      </c>
      <c r="E1849" t="n">
        <v>52.3353</v>
      </c>
      <c r="F1849" t="n">
        <v>0.03673</v>
      </c>
    </row>
    <row r="1850">
      <c r="A1850" t="n">
        <v>2000021</v>
      </c>
      <c r="B1850" t="n">
        <v>2</v>
      </c>
      <c r="C1850" t="n">
        <v>21</v>
      </c>
      <c r="D1850" t="n">
        <v>1</v>
      </c>
      <c r="E1850" t="n">
        <v>52.4695</v>
      </c>
      <c r="F1850" t="n">
        <v>0.03669</v>
      </c>
    </row>
    <row r="1851">
      <c r="A1851" t="n">
        <v>2000022</v>
      </c>
      <c r="B1851" t="n">
        <v>2</v>
      </c>
      <c r="C1851" t="n">
        <v>22</v>
      </c>
      <c r="D1851" t="n">
        <v>1</v>
      </c>
      <c r="E1851" t="n">
        <v>52.6027</v>
      </c>
      <c r="F1851" t="n">
        <v>0.03666</v>
      </c>
    </row>
    <row r="1852">
      <c r="A1852" t="n">
        <v>2000023</v>
      </c>
      <c r="B1852" t="n">
        <v>2</v>
      </c>
      <c r="C1852" t="n">
        <v>23</v>
      </c>
      <c r="D1852" t="n">
        <v>1</v>
      </c>
      <c r="E1852" t="n">
        <v>52.7349</v>
      </c>
      <c r="F1852" t="n">
        <v>0.03663</v>
      </c>
    </row>
    <row r="1853">
      <c r="A1853" t="n">
        <v>2000024</v>
      </c>
      <c r="B1853" t="n">
        <v>2</v>
      </c>
      <c r="C1853" t="n">
        <v>24</v>
      </c>
      <c r="D1853" t="n">
        <v>1</v>
      </c>
      <c r="E1853" t="n">
        <v>52.8661</v>
      </c>
      <c r="F1853" t="n">
        <v>0.0366</v>
      </c>
    </row>
    <row r="1854">
      <c r="A1854" t="n">
        <v>2000025</v>
      </c>
      <c r="B1854" t="n">
        <v>2</v>
      </c>
      <c r="C1854" t="n">
        <v>25</v>
      </c>
      <c r="D1854" t="n">
        <v>1</v>
      </c>
      <c r="E1854" t="n">
        <v>52.9963</v>
      </c>
      <c r="F1854" t="n">
        <v>0.03656</v>
      </c>
    </row>
    <row r="1855">
      <c r="A1855" t="n">
        <v>2000026</v>
      </c>
      <c r="B1855" t="n">
        <v>2</v>
      </c>
      <c r="C1855" t="n">
        <v>26</v>
      </c>
      <c r="D1855" t="n">
        <v>1</v>
      </c>
      <c r="E1855" t="n">
        <v>53.1255</v>
      </c>
      <c r="F1855" t="n">
        <v>0.03653</v>
      </c>
    </row>
    <row r="1856">
      <c r="A1856" t="n">
        <v>2000027</v>
      </c>
      <c r="B1856" t="n">
        <v>2</v>
      </c>
      <c r="C1856" t="n">
        <v>27</v>
      </c>
      <c r="D1856" t="n">
        <v>1</v>
      </c>
      <c r="E1856" t="n">
        <v>53.2537</v>
      </c>
      <c r="F1856" t="n">
        <v>0.0365</v>
      </c>
    </row>
    <row r="1857">
      <c r="A1857" t="n">
        <v>2000028</v>
      </c>
      <c r="B1857" t="n">
        <v>2</v>
      </c>
      <c r="C1857" t="n">
        <v>28</v>
      </c>
      <c r="D1857" t="n">
        <v>1</v>
      </c>
      <c r="E1857" t="n">
        <v>53.3809</v>
      </c>
      <c r="F1857" t="n">
        <v>0.03647</v>
      </c>
    </row>
    <row r="1858">
      <c r="A1858" t="n">
        <v>2000029</v>
      </c>
      <c r="B1858" t="n">
        <v>2</v>
      </c>
      <c r="C1858" t="n">
        <v>29</v>
      </c>
      <c r="D1858" t="n">
        <v>1</v>
      </c>
      <c r="E1858" t="n">
        <v>53.5072</v>
      </c>
      <c r="F1858" t="n">
        <v>0.03644</v>
      </c>
    </row>
    <row r="1859">
      <c r="A1859" t="n">
        <v>2000030</v>
      </c>
      <c r="B1859" t="n">
        <v>2</v>
      </c>
      <c r="C1859" t="n">
        <v>30</v>
      </c>
      <c r="D1859" t="n">
        <v>1</v>
      </c>
      <c r="E1859" t="n">
        <v>53.6326</v>
      </c>
      <c r="F1859" t="n">
        <v>0.03641</v>
      </c>
    </row>
    <row r="1860">
      <c r="A1860" t="n">
        <v>2000031</v>
      </c>
      <c r="B1860" t="n">
        <v>2</v>
      </c>
      <c r="C1860" t="n">
        <v>31</v>
      </c>
      <c r="D1860" t="n">
        <v>1</v>
      </c>
      <c r="E1860" t="n">
        <v>53.7571</v>
      </c>
      <c r="F1860" t="n">
        <v>0.03638</v>
      </c>
    </row>
    <row r="1861">
      <c r="A1861" t="n">
        <v>2000032</v>
      </c>
      <c r="B1861" t="n">
        <v>2</v>
      </c>
      <c r="C1861" t="n">
        <v>32</v>
      </c>
      <c r="D1861" t="n">
        <v>1</v>
      </c>
      <c r="E1861" t="n">
        <v>53.8806</v>
      </c>
      <c r="F1861" t="n">
        <v>0.03636</v>
      </c>
    </row>
    <row r="1862">
      <c r="A1862" t="n">
        <v>2000033</v>
      </c>
      <c r="B1862" t="n">
        <v>2</v>
      </c>
      <c r="C1862" t="n">
        <v>33</v>
      </c>
      <c r="D1862" t="n">
        <v>1</v>
      </c>
      <c r="E1862" t="n">
        <v>54.0031</v>
      </c>
      <c r="F1862" t="n">
        <v>0.03633</v>
      </c>
    </row>
    <row r="1863">
      <c r="A1863" t="n">
        <v>2000034</v>
      </c>
      <c r="B1863" t="n">
        <v>2</v>
      </c>
      <c r="C1863" t="n">
        <v>34</v>
      </c>
      <c r="D1863" t="n">
        <v>1</v>
      </c>
      <c r="E1863" t="n">
        <v>54.1247</v>
      </c>
      <c r="F1863" t="n">
        <v>0.0363</v>
      </c>
    </row>
    <row r="1864">
      <c r="A1864" t="n">
        <v>2000035</v>
      </c>
      <c r="B1864" t="n">
        <v>2</v>
      </c>
      <c r="C1864" t="n">
        <v>35</v>
      </c>
      <c r="D1864" t="n">
        <v>1</v>
      </c>
      <c r="E1864" t="n">
        <v>54.2454</v>
      </c>
      <c r="F1864" t="n">
        <v>0.03627</v>
      </c>
    </row>
    <row r="1865">
      <c r="A1865" t="n">
        <v>2000036</v>
      </c>
      <c r="B1865" t="n">
        <v>2</v>
      </c>
      <c r="C1865" t="n">
        <v>36</v>
      </c>
      <c r="D1865" t="n">
        <v>1</v>
      </c>
      <c r="E1865" t="n">
        <v>54.3651</v>
      </c>
      <c r="F1865" t="n">
        <v>0.03625</v>
      </c>
    </row>
    <row r="1866">
      <c r="A1866" t="n">
        <v>2000037</v>
      </c>
      <c r="B1866" t="n">
        <v>2</v>
      </c>
      <c r="C1866" t="n">
        <v>37</v>
      </c>
      <c r="D1866" t="n">
        <v>1</v>
      </c>
      <c r="E1866" t="n">
        <v>54.4839</v>
      </c>
      <c r="F1866" t="n">
        <v>0.03622</v>
      </c>
    </row>
    <row r="1867">
      <c r="A1867" t="n">
        <v>2000038</v>
      </c>
      <c r="B1867" t="n">
        <v>2</v>
      </c>
      <c r="C1867" t="n">
        <v>38</v>
      </c>
      <c r="D1867" t="n">
        <v>1</v>
      </c>
      <c r="E1867" t="n">
        <v>54.6018</v>
      </c>
      <c r="F1867" t="n">
        <v>0.03619</v>
      </c>
    </row>
    <row r="1868">
      <c r="A1868" t="n">
        <v>2000039</v>
      </c>
      <c r="B1868" t="n">
        <v>2</v>
      </c>
      <c r="C1868" t="n">
        <v>39</v>
      </c>
      <c r="D1868" t="n">
        <v>1</v>
      </c>
      <c r="E1868" t="n">
        <v>54.7187</v>
      </c>
      <c r="F1868" t="n">
        <v>0.03617</v>
      </c>
    </row>
    <row r="1869">
      <c r="A1869" t="n">
        <v>2000040</v>
      </c>
      <c r="B1869" t="n">
        <v>2</v>
      </c>
      <c r="C1869" t="n">
        <v>40</v>
      </c>
      <c r="D1869" t="n">
        <v>1</v>
      </c>
      <c r="E1869" t="n">
        <v>54.8348</v>
      </c>
      <c r="F1869" t="n">
        <v>0.03614</v>
      </c>
    </row>
    <row r="1870">
      <c r="A1870" t="n">
        <v>2000041</v>
      </c>
      <c r="B1870" t="n">
        <v>2</v>
      </c>
      <c r="C1870" t="n">
        <v>41</v>
      </c>
      <c r="D1870" t="n">
        <v>1</v>
      </c>
      <c r="E1870" t="n">
        <v>54.9499</v>
      </c>
      <c r="F1870" t="n">
        <v>0.03612</v>
      </c>
    </row>
    <row r="1871">
      <c r="A1871" t="n">
        <v>2000042</v>
      </c>
      <c r="B1871" t="n">
        <v>2</v>
      </c>
      <c r="C1871" t="n">
        <v>42</v>
      </c>
      <c r="D1871" t="n">
        <v>1</v>
      </c>
      <c r="E1871" t="n">
        <v>55.0642</v>
      </c>
      <c r="F1871" t="n">
        <v>0.03609</v>
      </c>
    </row>
    <row r="1872">
      <c r="A1872" t="n">
        <v>2000043</v>
      </c>
      <c r="B1872" t="n">
        <v>2</v>
      </c>
      <c r="C1872" t="n">
        <v>43</v>
      </c>
      <c r="D1872" t="n">
        <v>1</v>
      </c>
      <c r="E1872" t="n">
        <v>55.1777</v>
      </c>
      <c r="F1872" t="n">
        <v>0.03607</v>
      </c>
    </row>
    <row r="1873">
      <c r="A1873" t="n">
        <v>2000044</v>
      </c>
      <c r="B1873" t="n">
        <v>2</v>
      </c>
      <c r="C1873" t="n">
        <v>44</v>
      </c>
      <c r="D1873" t="n">
        <v>1</v>
      </c>
      <c r="E1873" t="n">
        <v>55.2903</v>
      </c>
      <c r="F1873" t="n">
        <v>0.03604</v>
      </c>
    </row>
    <row r="1874">
      <c r="A1874" t="n">
        <v>2000045</v>
      </c>
      <c r="B1874" t="n">
        <v>2</v>
      </c>
      <c r="C1874" t="n">
        <v>45</v>
      </c>
      <c r="D1874" t="n">
        <v>1</v>
      </c>
      <c r="E1874" t="n">
        <v>55.4021</v>
      </c>
      <c r="F1874" t="n">
        <v>0.03602</v>
      </c>
    </row>
    <row r="1875">
      <c r="A1875" t="n">
        <v>2000046</v>
      </c>
      <c r="B1875" t="n">
        <v>2</v>
      </c>
      <c r="C1875" t="n">
        <v>46</v>
      </c>
      <c r="D1875" t="n">
        <v>1</v>
      </c>
      <c r="E1875" t="n">
        <v>55.513</v>
      </c>
      <c r="F1875" t="n">
        <v>0.036</v>
      </c>
    </row>
    <row r="1876">
      <c r="A1876" t="n">
        <v>2000047</v>
      </c>
      <c r="B1876" t="n">
        <v>2</v>
      </c>
      <c r="C1876" t="n">
        <v>47</v>
      </c>
      <c r="D1876" t="n">
        <v>1</v>
      </c>
      <c r="E1876" t="n">
        <v>55.623</v>
      </c>
      <c r="F1876" t="n">
        <v>0.03597</v>
      </c>
    </row>
    <row r="1877">
      <c r="A1877" t="n">
        <v>2000048</v>
      </c>
      <c r="B1877" t="n">
        <v>2</v>
      </c>
      <c r="C1877" t="n">
        <v>48</v>
      </c>
      <c r="D1877" t="n">
        <v>1</v>
      </c>
      <c r="E1877" t="n">
        <v>55.7322</v>
      </c>
      <c r="F1877" t="n">
        <v>0.03595</v>
      </c>
    </row>
    <row r="1878">
      <c r="A1878" t="n">
        <v>2000049</v>
      </c>
      <c r="B1878" t="n">
        <v>2</v>
      </c>
      <c r="C1878" t="n">
        <v>49</v>
      </c>
      <c r="D1878" t="n">
        <v>1</v>
      </c>
      <c r="E1878" t="n">
        <v>55.8406</v>
      </c>
      <c r="F1878" t="n">
        <v>0.03593</v>
      </c>
    </row>
    <row r="1879">
      <c r="A1879" t="n">
        <v>2000050</v>
      </c>
      <c r="B1879" t="n">
        <v>2</v>
      </c>
      <c r="C1879" t="n">
        <v>50</v>
      </c>
      <c r="D1879" t="n">
        <v>1</v>
      </c>
      <c r="E1879" t="n">
        <v>55.9482</v>
      </c>
      <c r="F1879" t="n">
        <v>0.03591</v>
      </c>
    </row>
    <row r="1880">
      <c r="A1880" t="n">
        <v>2000051</v>
      </c>
      <c r="B1880" t="n">
        <v>2</v>
      </c>
      <c r="C1880" t="n">
        <v>51</v>
      </c>
      <c r="D1880" t="n">
        <v>1</v>
      </c>
      <c r="E1880" t="n">
        <v>56.0549</v>
      </c>
      <c r="F1880" t="n">
        <v>0.03588</v>
      </c>
    </row>
    <row r="1881">
      <c r="A1881" t="n">
        <v>2000052</v>
      </c>
      <c r="B1881" t="n">
        <v>2</v>
      </c>
      <c r="C1881" t="n">
        <v>52</v>
      </c>
      <c r="D1881" t="n">
        <v>1</v>
      </c>
      <c r="E1881" t="n">
        <v>56.1609</v>
      </c>
      <c r="F1881" t="n">
        <v>0.03586</v>
      </c>
    </row>
    <row r="1882">
      <c r="A1882" t="n">
        <v>2000053</v>
      </c>
      <c r="B1882" t="n">
        <v>2</v>
      </c>
      <c r="C1882" t="n">
        <v>53</v>
      </c>
      <c r="D1882" t="n">
        <v>1</v>
      </c>
      <c r="E1882" t="n">
        <v>56.266</v>
      </c>
      <c r="F1882" t="n">
        <v>0.03584</v>
      </c>
    </row>
    <row r="1883">
      <c r="A1883" t="n">
        <v>2000054</v>
      </c>
      <c r="B1883" t="n">
        <v>2</v>
      </c>
      <c r="C1883" t="n">
        <v>54</v>
      </c>
      <c r="D1883" t="n">
        <v>1</v>
      </c>
      <c r="E1883" t="n">
        <v>56.3704</v>
      </c>
      <c r="F1883" t="n">
        <v>0.03582</v>
      </c>
    </row>
    <row r="1884">
      <c r="A1884" t="n">
        <v>2000055</v>
      </c>
      <c r="B1884" t="n">
        <v>2</v>
      </c>
      <c r="C1884" t="n">
        <v>55</v>
      </c>
      <c r="D1884" t="n">
        <v>1</v>
      </c>
      <c r="E1884" t="n">
        <v>56.4739</v>
      </c>
      <c r="F1884" t="n">
        <v>0.0358</v>
      </c>
    </row>
    <row r="1885">
      <c r="A1885" t="n">
        <v>2000056</v>
      </c>
      <c r="B1885" t="n">
        <v>2</v>
      </c>
      <c r="C1885" t="n">
        <v>56</v>
      </c>
      <c r="D1885" t="n">
        <v>1</v>
      </c>
      <c r="E1885" t="n">
        <v>56.5767</v>
      </c>
      <c r="F1885" t="n">
        <v>0.03578</v>
      </c>
    </row>
    <row r="1886">
      <c r="A1886" t="n">
        <v>2000057</v>
      </c>
      <c r="B1886" t="n">
        <v>2</v>
      </c>
      <c r="C1886" t="n">
        <v>57</v>
      </c>
      <c r="D1886" t="n">
        <v>1</v>
      </c>
      <c r="E1886" t="n">
        <v>56.6788</v>
      </c>
      <c r="F1886" t="n">
        <v>0.03576</v>
      </c>
    </row>
    <row r="1887">
      <c r="A1887" t="n">
        <v>2000058</v>
      </c>
      <c r="B1887" t="n">
        <v>2</v>
      </c>
      <c r="C1887" t="n">
        <v>58</v>
      </c>
      <c r="D1887" t="n">
        <v>1</v>
      </c>
      <c r="E1887" t="n">
        <v>56.78</v>
      </c>
      <c r="F1887" t="n">
        <v>0.03574</v>
      </c>
    </row>
    <row r="1888">
      <c r="A1888" t="n">
        <v>2000059</v>
      </c>
      <c r="B1888" t="n">
        <v>2</v>
      </c>
      <c r="C1888" t="n">
        <v>59</v>
      </c>
      <c r="D1888" t="n">
        <v>1</v>
      </c>
      <c r="E1888" t="n">
        <v>56.8806</v>
      </c>
      <c r="F1888" t="n">
        <v>0.03572</v>
      </c>
    </row>
    <row r="1889">
      <c r="A1889" t="n">
        <v>2000060</v>
      </c>
      <c r="B1889" t="n">
        <v>2</v>
      </c>
      <c r="C1889" t="n">
        <v>60</v>
      </c>
      <c r="D1889" t="n">
        <v>1</v>
      </c>
      <c r="E1889" t="n">
        <v>56.9805</v>
      </c>
      <c r="F1889" t="n">
        <v>0.0357</v>
      </c>
    </row>
    <row r="1890">
      <c r="A1890" t="n">
        <v>2000061</v>
      </c>
      <c r="B1890" t="n">
        <v>2</v>
      </c>
      <c r="C1890" t="n">
        <v>61</v>
      </c>
      <c r="D1890" t="n">
        <v>1</v>
      </c>
      <c r="E1890" t="n">
        <v>57.0796</v>
      </c>
      <c r="F1890" t="n">
        <v>0.03568</v>
      </c>
    </row>
    <row r="1891">
      <c r="A1891" t="n">
        <v>2000062</v>
      </c>
      <c r="B1891" t="n">
        <v>2</v>
      </c>
      <c r="C1891" t="n">
        <v>62</v>
      </c>
      <c r="D1891" t="n">
        <v>1</v>
      </c>
      <c r="E1891" t="n">
        <v>57.1782</v>
      </c>
      <c r="F1891" t="n">
        <v>0.03566</v>
      </c>
    </row>
    <row r="1892">
      <c r="A1892" t="n">
        <v>2000063</v>
      </c>
      <c r="B1892" t="n">
        <v>2</v>
      </c>
      <c r="C1892" t="n">
        <v>63</v>
      </c>
      <c r="D1892" t="n">
        <v>1</v>
      </c>
      <c r="E1892" t="n">
        <v>57.2761</v>
      </c>
      <c r="F1892" t="n">
        <v>0.03564</v>
      </c>
    </row>
    <row r="1893">
      <c r="A1893" t="n">
        <v>2000064</v>
      </c>
      <c r="B1893" t="n">
        <v>2</v>
      </c>
      <c r="C1893" t="n">
        <v>64</v>
      </c>
      <c r="D1893" t="n">
        <v>1</v>
      </c>
      <c r="E1893" t="n">
        <v>57.3733</v>
      </c>
      <c r="F1893" t="n">
        <v>0.03562</v>
      </c>
    </row>
    <row r="1894">
      <c r="A1894" t="n">
        <v>2000065</v>
      </c>
      <c r="B1894" t="n">
        <v>2</v>
      </c>
      <c r="C1894" t="n">
        <v>65</v>
      </c>
      <c r="D1894" t="n">
        <v>1</v>
      </c>
      <c r="E1894" t="n">
        <v>57.4699</v>
      </c>
      <c r="F1894" t="n">
        <v>0.03561</v>
      </c>
    </row>
    <row r="1895">
      <c r="A1895" t="n">
        <v>2000066</v>
      </c>
      <c r="B1895" t="n">
        <v>2</v>
      </c>
      <c r="C1895" t="n">
        <v>66</v>
      </c>
      <c r="D1895" t="n">
        <v>1</v>
      </c>
      <c r="E1895" t="n">
        <v>57.5659</v>
      </c>
      <c r="F1895" t="n">
        <v>0.03559</v>
      </c>
    </row>
    <row r="1896">
      <c r="A1896" t="n">
        <v>2000067</v>
      </c>
      <c r="B1896" t="n">
        <v>2</v>
      </c>
      <c r="C1896" t="n">
        <v>67</v>
      </c>
      <c r="D1896" t="n">
        <v>1</v>
      </c>
      <c r="E1896" t="n">
        <v>57.6613</v>
      </c>
      <c r="F1896" t="n">
        <v>0.03557</v>
      </c>
    </row>
    <row r="1897">
      <c r="A1897" t="n">
        <v>2000068</v>
      </c>
      <c r="B1897" t="n">
        <v>2</v>
      </c>
      <c r="C1897" t="n">
        <v>68</v>
      </c>
      <c r="D1897" t="n">
        <v>1</v>
      </c>
      <c r="E1897" t="n">
        <v>57.756</v>
      </c>
      <c r="F1897" t="n">
        <v>0.03555</v>
      </c>
    </row>
    <row r="1898">
      <c r="A1898" t="n">
        <v>2000069</v>
      </c>
      <c r="B1898" t="n">
        <v>2</v>
      </c>
      <c r="C1898" t="n">
        <v>69</v>
      </c>
      <c r="D1898" t="n">
        <v>1</v>
      </c>
      <c r="E1898" t="n">
        <v>57.8501</v>
      </c>
      <c r="F1898" t="n">
        <v>0.03553</v>
      </c>
    </row>
    <row r="1899">
      <c r="A1899" t="n">
        <v>2000070</v>
      </c>
      <c r="B1899" t="n">
        <v>2</v>
      </c>
      <c r="C1899" t="n">
        <v>70</v>
      </c>
      <c r="D1899" t="n">
        <v>1</v>
      </c>
      <c r="E1899" t="n">
        <v>57.9436</v>
      </c>
      <c r="F1899" t="n">
        <v>0.03552</v>
      </c>
    </row>
    <row r="1900">
      <c r="A1900" t="n">
        <v>2000071</v>
      </c>
      <c r="B1900" t="n">
        <v>2</v>
      </c>
      <c r="C1900" t="n">
        <v>71</v>
      </c>
      <c r="D1900" t="n">
        <v>1</v>
      </c>
      <c r="E1900" t="n">
        <v>58.0365</v>
      </c>
      <c r="F1900" t="n">
        <v>0.0355</v>
      </c>
    </row>
    <row r="1901">
      <c r="A1901" t="n">
        <v>2000072</v>
      </c>
      <c r="B1901" t="n">
        <v>2</v>
      </c>
      <c r="C1901" t="n">
        <v>72</v>
      </c>
      <c r="D1901" t="n">
        <v>1</v>
      </c>
      <c r="E1901" t="n">
        <v>58.1288</v>
      </c>
      <c r="F1901" t="n">
        <v>0.03548</v>
      </c>
    </row>
    <row r="1902">
      <c r="A1902" t="n">
        <v>2000073</v>
      </c>
      <c r="B1902" t="n">
        <v>2</v>
      </c>
      <c r="C1902" t="n">
        <v>73</v>
      </c>
      <c r="D1902" t="n">
        <v>1</v>
      </c>
      <c r="E1902" t="n">
        <v>58.2206</v>
      </c>
      <c r="F1902" t="n">
        <v>0.03547</v>
      </c>
    </row>
    <row r="1903">
      <c r="A1903" t="n">
        <v>2000074</v>
      </c>
      <c r="B1903" t="n">
        <v>2</v>
      </c>
      <c r="C1903" t="n">
        <v>74</v>
      </c>
      <c r="D1903" t="n">
        <v>1</v>
      </c>
      <c r="E1903" t="n">
        <v>58.3117</v>
      </c>
      <c r="F1903" t="n">
        <v>0.03545</v>
      </c>
    </row>
    <row r="1904">
      <c r="A1904" t="n">
        <v>2000075</v>
      </c>
      <c r="B1904" t="n">
        <v>2</v>
      </c>
      <c r="C1904" t="n">
        <v>75</v>
      </c>
      <c r="D1904" t="n">
        <v>1</v>
      </c>
      <c r="E1904" t="n">
        <v>58.4022</v>
      </c>
      <c r="F1904" t="n">
        <v>0.03543</v>
      </c>
    </row>
    <row r="1905">
      <c r="A1905" t="n">
        <v>2000076</v>
      </c>
      <c r="B1905" t="n">
        <v>2</v>
      </c>
      <c r="C1905" t="n">
        <v>76</v>
      </c>
      <c r="D1905" t="n">
        <v>1</v>
      </c>
      <c r="E1905" t="n">
        <v>58.4922</v>
      </c>
      <c r="F1905" t="n">
        <v>0.03542</v>
      </c>
    </row>
    <row r="1906">
      <c r="A1906" t="n">
        <v>2000077</v>
      </c>
      <c r="B1906" t="n">
        <v>2</v>
      </c>
      <c r="C1906" t="n">
        <v>77</v>
      </c>
      <c r="D1906" t="n">
        <v>1</v>
      </c>
      <c r="E1906" t="n">
        <v>58.5816</v>
      </c>
      <c r="F1906" t="n">
        <v>0.0354</v>
      </c>
    </row>
    <row r="1907">
      <c r="A1907" t="n">
        <v>2000078</v>
      </c>
      <c r="B1907" t="n">
        <v>2</v>
      </c>
      <c r="C1907" t="n">
        <v>78</v>
      </c>
      <c r="D1907" t="n">
        <v>1</v>
      </c>
      <c r="E1907" t="n">
        <v>58.6705</v>
      </c>
      <c r="F1907" t="n">
        <v>0.03539</v>
      </c>
    </row>
    <row r="1908">
      <c r="A1908" t="n">
        <v>2000079</v>
      </c>
      <c r="B1908" t="n">
        <v>2</v>
      </c>
      <c r="C1908" t="n">
        <v>79</v>
      </c>
      <c r="D1908" t="n">
        <v>1</v>
      </c>
      <c r="E1908" t="n">
        <v>58.7588</v>
      </c>
      <c r="F1908" t="n">
        <v>0.03537</v>
      </c>
    </row>
    <row r="1909">
      <c r="A1909" t="n">
        <v>2000080</v>
      </c>
      <c r="B1909" t="n">
        <v>2</v>
      </c>
      <c r="C1909" t="n">
        <v>80</v>
      </c>
      <c r="D1909" t="n">
        <v>1</v>
      </c>
      <c r="E1909" t="n">
        <v>58.8465</v>
      </c>
      <c r="F1909" t="n">
        <v>0.03536</v>
      </c>
    </row>
    <row r="1910">
      <c r="A1910" t="n">
        <v>2000081</v>
      </c>
      <c r="B1910" t="n">
        <v>2</v>
      </c>
      <c r="C1910" t="n">
        <v>81</v>
      </c>
      <c r="D1910" t="n">
        <v>1</v>
      </c>
      <c r="E1910" t="n">
        <v>58.9337</v>
      </c>
      <c r="F1910" t="n">
        <v>0.03534</v>
      </c>
    </row>
    <row r="1911">
      <c r="A1911" t="n">
        <v>2000082</v>
      </c>
      <c r="B1911" t="n">
        <v>2</v>
      </c>
      <c r="C1911" t="n">
        <v>82</v>
      </c>
      <c r="D1911" t="n">
        <v>1</v>
      </c>
      <c r="E1911" t="n">
        <v>59.0204</v>
      </c>
      <c r="F1911" t="n">
        <v>0.03533</v>
      </c>
    </row>
    <row r="1912">
      <c r="A1912" t="n">
        <v>2000083</v>
      </c>
      <c r="B1912" t="n">
        <v>2</v>
      </c>
      <c r="C1912" t="n">
        <v>83</v>
      </c>
      <c r="D1912" t="n">
        <v>1</v>
      </c>
      <c r="E1912" t="n">
        <v>59.1066</v>
      </c>
      <c r="F1912" t="n">
        <v>0.03531</v>
      </c>
    </row>
    <row r="1913">
      <c r="A1913" t="n">
        <v>2000084</v>
      </c>
      <c r="B1913" t="n">
        <v>2</v>
      </c>
      <c r="C1913" t="n">
        <v>84</v>
      </c>
      <c r="D1913" t="n">
        <v>1</v>
      </c>
      <c r="E1913" t="n">
        <v>59.1922</v>
      </c>
      <c r="F1913" t="n">
        <v>0.0353</v>
      </c>
    </row>
    <row r="1914">
      <c r="A1914" t="n">
        <v>2000085</v>
      </c>
      <c r="B1914" t="n">
        <v>2</v>
      </c>
      <c r="C1914" t="n">
        <v>85</v>
      </c>
      <c r="D1914" t="n">
        <v>1</v>
      </c>
      <c r="E1914" t="n">
        <v>59.2773</v>
      </c>
      <c r="F1914" t="n">
        <v>0.03528</v>
      </c>
    </row>
    <row r="1915">
      <c r="A1915" t="n">
        <v>2000086</v>
      </c>
      <c r="B1915" t="n">
        <v>2</v>
      </c>
      <c r="C1915" t="n">
        <v>86</v>
      </c>
      <c r="D1915" t="n">
        <v>1</v>
      </c>
      <c r="E1915" t="n">
        <v>59.3619</v>
      </c>
      <c r="F1915" t="n">
        <v>0.03527</v>
      </c>
    </row>
    <row r="1916">
      <c r="A1916" t="n">
        <v>2000087</v>
      </c>
      <c r="B1916" t="n">
        <v>2</v>
      </c>
      <c r="C1916" t="n">
        <v>87</v>
      </c>
      <c r="D1916" t="n">
        <v>1</v>
      </c>
      <c r="E1916" t="n">
        <v>59.4459</v>
      </c>
      <c r="F1916" t="n">
        <v>0.03526</v>
      </c>
    </row>
    <row r="1917">
      <c r="A1917" t="n">
        <v>2000088</v>
      </c>
      <c r="B1917" t="n">
        <v>2</v>
      </c>
      <c r="C1917" t="n">
        <v>88</v>
      </c>
      <c r="D1917" t="n">
        <v>1</v>
      </c>
      <c r="E1917" t="n">
        <v>59.5295</v>
      </c>
      <c r="F1917" t="n">
        <v>0.03524</v>
      </c>
    </row>
    <row r="1918">
      <c r="A1918" t="n">
        <v>2000089</v>
      </c>
      <c r="B1918" t="n">
        <v>2</v>
      </c>
      <c r="C1918" t="n">
        <v>89</v>
      </c>
      <c r="D1918" t="n">
        <v>1</v>
      </c>
      <c r="E1918" t="n">
        <v>59.6126</v>
      </c>
      <c r="F1918" t="n">
        <v>0.03523</v>
      </c>
    </row>
    <row r="1919">
      <c r="A1919" t="n">
        <v>2000090</v>
      </c>
      <c r="B1919" t="n">
        <v>2</v>
      </c>
      <c r="C1919" t="n">
        <v>90</v>
      </c>
      <c r="D1919" t="n">
        <v>1</v>
      </c>
      <c r="E1919" t="n">
        <v>59.6952</v>
      </c>
      <c r="F1919" t="n">
        <v>0.03521</v>
      </c>
    </row>
    <row r="1920">
      <c r="A1920" t="n">
        <v>2000091</v>
      </c>
      <c r="B1920" t="n">
        <v>2</v>
      </c>
      <c r="C1920" t="n">
        <v>91</v>
      </c>
      <c r="D1920" t="n">
        <v>1</v>
      </c>
      <c r="E1920" t="n">
        <v>59.7773</v>
      </c>
      <c r="F1920" t="n">
        <v>0.0352</v>
      </c>
    </row>
    <row r="1921">
      <c r="A1921" t="n">
        <v>2000092</v>
      </c>
      <c r="B1921" t="n">
        <v>2</v>
      </c>
      <c r="C1921" t="n">
        <v>92</v>
      </c>
      <c r="D1921" t="n">
        <v>1</v>
      </c>
      <c r="E1921" t="n">
        <v>59.8589</v>
      </c>
      <c r="F1921" t="n">
        <v>0.03519</v>
      </c>
    </row>
    <row r="1922">
      <c r="A1922" t="n">
        <v>2000093</v>
      </c>
      <c r="B1922" t="n">
        <v>2</v>
      </c>
      <c r="C1922" t="n">
        <v>93</v>
      </c>
      <c r="D1922" t="n">
        <v>1</v>
      </c>
      <c r="E1922" t="n">
        <v>59.9401</v>
      </c>
      <c r="F1922" t="n">
        <v>0.03517</v>
      </c>
    </row>
    <row r="1923">
      <c r="A1923" t="n">
        <v>2000094</v>
      </c>
      <c r="B1923" t="n">
        <v>2</v>
      </c>
      <c r="C1923" t="n">
        <v>94</v>
      </c>
      <c r="D1923" t="n">
        <v>1</v>
      </c>
      <c r="E1923" t="n">
        <v>60.0209</v>
      </c>
      <c r="F1923" t="n">
        <v>0.03516</v>
      </c>
    </row>
    <row r="1924">
      <c r="A1924" t="n">
        <v>2000095</v>
      </c>
      <c r="B1924" t="n">
        <v>2</v>
      </c>
      <c r="C1924" t="n">
        <v>95</v>
      </c>
      <c r="D1924" t="n">
        <v>1</v>
      </c>
      <c r="E1924" t="n">
        <v>60.1011</v>
      </c>
      <c r="F1924" t="n">
        <v>0.03515</v>
      </c>
    </row>
    <row r="1925">
      <c r="A1925" t="n">
        <v>2000096</v>
      </c>
      <c r="B1925" t="n">
        <v>2</v>
      </c>
      <c r="C1925" t="n">
        <v>96</v>
      </c>
      <c r="D1925" t="n">
        <v>1</v>
      </c>
      <c r="E1925" t="n">
        <v>60.181</v>
      </c>
      <c r="F1925" t="n">
        <v>0.03514</v>
      </c>
    </row>
    <row r="1926">
      <c r="A1926" t="n">
        <v>2000097</v>
      </c>
      <c r="B1926" t="n">
        <v>2</v>
      </c>
      <c r="C1926" t="n">
        <v>97</v>
      </c>
      <c r="D1926" t="n">
        <v>1</v>
      </c>
      <c r="E1926" t="n">
        <v>60.2603</v>
      </c>
      <c r="F1926" t="n">
        <v>0.03512</v>
      </c>
    </row>
    <row r="1927">
      <c r="A1927" t="n">
        <v>2000098</v>
      </c>
      <c r="B1927" t="n">
        <v>2</v>
      </c>
      <c r="C1927" t="n">
        <v>98</v>
      </c>
      <c r="D1927" t="n">
        <v>1</v>
      </c>
      <c r="E1927" t="n">
        <v>60.3393</v>
      </c>
      <c r="F1927" t="n">
        <v>0.03511</v>
      </c>
    </row>
    <row r="1928">
      <c r="A1928" t="n">
        <v>2000099</v>
      </c>
      <c r="B1928" t="n">
        <v>2</v>
      </c>
      <c r="C1928" t="n">
        <v>99</v>
      </c>
      <c r="D1928" t="n">
        <v>1</v>
      </c>
      <c r="E1928" t="n">
        <v>60.4178</v>
      </c>
      <c r="F1928" t="n">
        <v>0.0351</v>
      </c>
    </row>
    <row r="1929">
      <c r="A1929" t="n">
        <v>2000100</v>
      </c>
      <c r="B1929" t="n">
        <v>2</v>
      </c>
      <c r="C1929" t="n">
        <v>100</v>
      </c>
      <c r="D1929" t="n">
        <v>1</v>
      </c>
      <c r="E1929" t="n">
        <v>60.4958</v>
      </c>
      <c r="F1929" t="n">
        <v>0.03509</v>
      </c>
    </row>
    <row r="1930">
      <c r="A1930" t="n">
        <v>2000101</v>
      </c>
      <c r="B1930" t="n">
        <v>2</v>
      </c>
      <c r="C1930" t="n">
        <v>101</v>
      </c>
      <c r="D1930" t="n">
        <v>1</v>
      </c>
      <c r="E1930" t="n">
        <v>60.5734</v>
      </c>
      <c r="F1930" t="n">
        <v>0.03508</v>
      </c>
    </row>
    <row r="1931">
      <c r="A1931" t="n">
        <v>2000102</v>
      </c>
      <c r="B1931" t="n">
        <v>2</v>
      </c>
      <c r="C1931" t="n">
        <v>102</v>
      </c>
      <c r="D1931" t="n">
        <v>1</v>
      </c>
      <c r="E1931" t="n">
        <v>60.6506</v>
      </c>
      <c r="F1931" t="n">
        <v>0.03506</v>
      </c>
    </row>
    <row r="1932">
      <c r="A1932" t="n">
        <v>2000103</v>
      </c>
      <c r="B1932" t="n">
        <v>2</v>
      </c>
      <c r="C1932" t="n">
        <v>103</v>
      </c>
      <c r="D1932" t="n">
        <v>1</v>
      </c>
      <c r="E1932" t="n">
        <v>60.7273</v>
      </c>
      <c r="F1932" t="n">
        <v>0.03505</v>
      </c>
    </row>
    <row r="1933">
      <c r="A1933" t="n">
        <v>2000104</v>
      </c>
      <c r="B1933" t="n">
        <v>2</v>
      </c>
      <c r="C1933" t="n">
        <v>104</v>
      </c>
      <c r="D1933" t="n">
        <v>1</v>
      </c>
      <c r="E1933" t="n">
        <v>60.8036</v>
      </c>
      <c r="F1933" t="n">
        <v>0.03504</v>
      </c>
    </row>
    <row r="1934">
      <c r="A1934" t="n">
        <v>2000105</v>
      </c>
      <c r="B1934" t="n">
        <v>2</v>
      </c>
      <c r="C1934" t="n">
        <v>105</v>
      </c>
      <c r="D1934" t="n">
        <v>1</v>
      </c>
      <c r="E1934" t="n">
        <v>60.8795</v>
      </c>
      <c r="F1934" t="n">
        <v>0.03503</v>
      </c>
    </row>
    <row r="1935">
      <c r="A1935" t="n">
        <v>2000106</v>
      </c>
      <c r="B1935" t="n">
        <v>2</v>
      </c>
      <c r="C1935" t="n">
        <v>106</v>
      </c>
      <c r="D1935" t="n">
        <v>1</v>
      </c>
      <c r="E1935" t="n">
        <v>60.955</v>
      </c>
      <c r="F1935" t="n">
        <v>0.03502</v>
      </c>
    </row>
    <row r="1936">
      <c r="A1936" t="n">
        <v>2000107</v>
      </c>
      <c r="B1936" t="n">
        <v>2</v>
      </c>
      <c r="C1936" t="n">
        <v>107</v>
      </c>
      <c r="D1936" t="n">
        <v>1</v>
      </c>
      <c r="E1936" t="n">
        <v>61.0301</v>
      </c>
      <c r="F1936" t="n">
        <v>0.03501</v>
      </c>
    </row>
    <row r="1937">
      <c r="A1937" t="n">
        <v>2000108</v>
      </c>
      <c r="B1937" t="n">
        <v>2</v>
      </c>
      <c r="C1937" t="n">
        <v>108</v>
      </c>
      <c r="D1937" t="n">
        <v>1</v>
      </c>
      <c r="E1937" t="n">
        <v>61.1047</v>
      </c>
      <c r="F1937" t="n">
        <v>0.035</v>
      </c>
    </row>
    <row r="1938">
      <c r="A1938" t="n">
        <v>2000109</v>
      </c>
      <c r="B1938" t="n">
        <v>2</v>
      </c>
      <c r="C1938" t="n">
        <v>109</v>
      </c>
      <c r="D1938" t="n">
        <v>1</v>
      </c>
      <c r="E1938" t="n">
        <v>61.1789</v>
      </c>
      <c r="F1938" t="n">
        <v>0.03499</v>
      </c>
    </row>
    <row r="1939">
      <c r="A1939" t="n">
        <v>2000110</v>
      </c>
      <c r="B1939" t="n">
        <v>2</v>
      </c>
      <c r="C1939" t="n">
        <v>110</v>
      </c>
      <c r="D1939" t="n">
        <v>1</v>
      </c>
      <c r="E1939" t="n">
        <v>61.2527</v>
      </c>
      <c r="F1939" t="n">
        <v>0.03497</v>
      </c>
    </row>
    <row r="1940">
      <c r="A1940" t="n">
        <v>2000111</v>
      </c>
      <c r="B1940" t="n">
        <v>2</v>
      </c>
      <c r="C1940" t="n">
        <v>111</v>
      </c>
      <c r="D1940" t="n">
        <v>1</v>
      </c>
      <c r="E1940" t="n">
        <v>61.3261</v>
      </c>
      <c r="F1940" t="n">
        <v>0.03496</v>
      </c>
    </row>
    <row r="1941">
      <c r="A1941" t="n">
        <v>2000112</v>
      </c>
      <c r="B1941" t="n">
        <v>2</v>
      </c>
      <c r="C1941" t="n">
        <v>112</v>
      </c>
      <c r="D1941" t="n">
        <v>1</v>
      </c>
      <c r="E1941" t="n">
        <v>61.3991</v>
      </c>
      <c r="F1941" t="n">
        <v>0.03495</v>
      </c>
    </row>
    <row r="1942">
      <c r="A1942" t="n">
        <v>2000113</v>
      </c>
      <c r="B1942" t="n">
        <v>2</v>
      </c>
      <c r="C1942" t="n">
        <v>113</v>
      </c>
      <c r="D1942" t="n">
        <v>1</v>
      </c>
      <c r="E1942" t="n">
        <v>61.4717</v>
      </c>
      <c r="F1942" t="n">
        <v>0.03494</v>
      </c>
    </row>
    <row r="1943">
      <c r="A1943" t="n">
        <v>2000114</v>
      </c>
      <c r="B1943" t="n">
        <v>2</v>
      </c>
      <c r="C1943" t="n">
        <v>114</v>
      </c>
      <c r="D1943" t="n">
        <v>1</v>
      </c>
      <c r="E1943" t="n">
        <v>61.5439</v>
      </c>
      <c r="F1943" t="n">
        <v>0.03493</v>
      </c>
    </row>
    <row r="1944">
      <c r="A1944" t="n">
        <v>2000115</v>
      </c>
      <c r="B1944" t="n">
        <v>2</v>
      </c>
      <c r="C1944" t="n">
        <v>115</v>
      </c>
      <c r="D1944" t="n">
        <v>1</v>
      </c>
      <c r="E1944" t="n">
        <v>61.6156</v>
      </c>
      <c r="F1944" t="n">
        <v>0.03492</v>
      </c>
    </row>
    <row r="1945">
      <c r="A1945" t="n">
        <v>2000116</v>
      </c>
      <c r="B1945" t="n">
        <v>2</v>
      </c>
      <c r="C1945" t="n">
        <v>116</v>
      </c>
      <c r="D1945" t="n">
        <v>1</v>
      </c>
      <c r="E1945" t="n">
        <v>61.687</v>
      </c>
      <c r="F1945" t="n">
        <v>0.03491</v>
      </c>
    </row>
    <row r="1946">
      <c r="A1946" t="n">
        <v>2000117</v>
      </c>
      <c r="B1946" t="n">
        <v>2</v>
      </c>
      <c r="C1946" t="n">
        <v>117</v>
      </c>
      <c r="D1946" t="n">
        <v>1</v>
      </c>
      <c r="E1946" t="n">
        <v>61.758</v>
      </c>
      <c r="F1946" t="n">
        <v>0.0349</v>
      </c>
    </row>
    <row r="1947">
      <c r="A1947" t="n">
        <v>2000118</v>
      </c>
      <c r="B1947" t="n">
        <v>2</v>
      </c>
      <c r="C1947" t="n">
        <v>118</v>
      </c>
      <c r="D1947" t="n">
        <v>1</v>
      </c>
      <c r="E1947" t="n">
        <v>61.8286</v>
      </c>
      <c r="F1947" t="n">
        <v>0.03489</v>
      </c>
    </row>
    <row r="1948">
      <c r="A1948" t="n">
        <v>2000119</v>
      </c>
      <c r="B1948" t="n">
        <v>2</v>
      </c>
      <c r="C1948" t="n">
        <v>119</v>
      </c>
      <c r="D1948" t="n">
        <v>1</v>
      </c>
      <c r="E1948" t="n">
        <v>61.8988</v>
      </c>
      <c r="F1948" t="n">
        <v>0.03488</v>
      </c>
    </row>
    <row r="1949">
      <c r="A1949" t="n">
        <v>2000120</v>
      </c>
      <c r="B1949" t="n">
        <v>2</v>
      </c>
      <c r="C1949" t="n">
        <v>120</v>
      </c>
      <c r="D1949" t="n">
        <v>1</v>
      </c>
      <c r="E1949" t="n">
        <v>61.9686</v>
      </c>
      <c r="F1949" t="n">
        <v>0.03487</v>
      </c>
    </row>
    <row r="1950">
      <c r="A1950" t="n">
        <v>2000121</v>
      </c>
      <c r="B1950" t="n">
        <v>2</v>
      </c>
      <c r="C1950" t="n">
        <v>121</v>
      </c>
      <c r="D1950" t="n">
        <v>1</v>
      </c>
      <c r="E1950" t="n">
        <v>62.0381</v>
      </c>
      <c r="F1950" t="n">
        <v>0.03487</v>
      </c>
    </row>
    <row r="1951">
      <c r="A1951" t="n">
        <v>2000122</v>
      </c>
      <c r="B1951" t="n">
        <v>2</v>
      </c>
      <c r="C1951" t="n">
        <v>122</v>
      </c>
      <c r="D1951" t="n">
        <v>1</v>
      </c>
      <c r="E1951" t="n">
        <v>62.1071</v>
      </c>
      <c r="F1951" t="n">
        <v>0.03486</v>
      </c>
    </row>
    <row r="1952">
      <c r="A1952" t="n">
        <v>2000123</v>
      </c>
      <c r="B1952" t="n">
        <v>2</v>
      </c>
      <c r="C1952" t="n">
        <v>123</v>
      </c>
      <c r="D1952" t="n">
        <v>1</v>
      </c>
      <c r="E1952" t="n">
        <v>62.1758</v>
      </c>
      <c r="F1952" t="n">
        <v>0.03485</v>
      </c>
    </row>
    <row r="1953">
      <c r="A1953" t="n">
        <v>2000124</v>
      </c>
      <c r="B1953" t="n">
        <v>2</v>
      </c>
      <c r="C1953" t="n">
        <v>124</v>
      </c>
      <c r="D1953" t="n">
        <v>1</v>
      </c>
      <c r="E1953" t="n">
        <v>62.2441</v>
      </c>
      <c r="F1953" t="n">
        <v>0.03484</v>
      </c>
    </row>
    <row r="1954">
      <c r="A1954" t="n">
        <v>2000125</v>
      </c>
      <c r="B1954" t="n">
        <v>2</v>
      </c>
      <c r="C1954" t="n">
        <v>125</v>
      </c>
      <c r="D1954" t="n">
        <v>1</v>
      </c>
      <c r="E1954" t="n">
        <v>62.312</v>
      </c>
      <c r="F1954" t="n">
        <v>0.03483</v>
      </c>
    </row>
    <row r="1955">
      <c r="A1955" t="n">
        <v>2000126</v>
      </c>
      <c r="B1955" t="n">
        <v>2</v>
      </c>
      <c r="C1955" t="n">
        <v>126</v>
      </c>
      <c r="D1955" t="n">
        <v>1</v>
      </c>
      <c r="E1955" t="n">
        <v>62.3795</v>
      </c>
      <c r="F1955" t="n">
        <v>0.03482</v>
      </c>
    </row>
    <row r="1956">
      <c r="A1956" t="n">
        <v>2000127</v>
      </c>
      <c r="B1956" t="n">
        <v>2</v>
      </c>
      <c r="C1956" t="n">
        <v>127</v>
      </c>
      <c r="D1956" t="n">
        <v>1</v>
      </c>
      <c r="E1956" t="n">
        <v>62.4467</v>
      </c>
      <c r="F1956" t="n">
        <v>0.03481</v>
      </c>
    </row>
    <row r="1957">
      <c r="A1957" t="n">
        <v>2000128</v>
      </c>
      <c r="B1957" t="n">
        <v>2</v>
      </c>
      <c r="C1957" t="n">
        <v>128</v>
      </c>
      <c r="D1957" t="n">
        <v>1</v>
      </c>
      <c r="E1957" t="n">
        <v>62.5135</v>
      </c>
      <c r="F1957" t="n">
        <v>0.0348</v>
      </c>
    </row>
    <row r="1958">
      <c r="A1958" t="n">
        <v>2000129</v>
      </c>
      <c r="B1958" t="n">
        <v>2</v>
      </c>
      <c r="C1958" t="n">
        <v>129</v>
      </c>
      <c r="D1958" t="n">
        <v>1</v>
      </c>
      <c r="E1958" t="n">
        <v>62.58</v>
      </c>
      <c r="F1958" t="n">
        <v>0.03479</v>
      </c>
    </row>
    <row r="1959">
      <c r="A1959" t="n">
        <v>2000130</v>
      </c>
      <c r="B1959" t="n">
        <v>2</v>
      </c>
      <c r="C1959" t="n">
        <v>130</v>
      </c>
      <c r="D1959" t="n">
        <v>1</v>
      </c>
      <c r="E1959" t="n">
        <v>62.6461</v>
      </c>
      <c r="F1959" t="n">
        <v>0.03479</v>
      </c>
    </row>
    <row r="1960">
      <c r="A1960" t="n">
        <v>2000131</v>
      </c>
      <c r="B1960" t="n">
        <v>2</v>
      </c>
      <c r="C1960" t="n">
        <v>131</v>
      </c>
      <c r="D1960" t="n">
        <v>1</v>
      </c>
      <c r="E1960" t="n">
        <v>62.7118</v>
      </c>
      <c r="F1960" t="n">
        <v>0.03478</v>
      </c>
    </row>
    <row r="1961">
      <c r="A1961" t="n">
        <v>2000132</v>
      </c>
      <c r="B1961" t="n">
        <v>2</v>
      </c>
      <c r="C1961" t="n">
        <v>132</v>
      </c>
      <c r="D1961" t="n">
        <v>1</v>
      </c>
      <c r="E1961" t="n">
        <v>62.7772</v>
      </c>
      <c r="F1961" t="n">
        <v>0.03477</v>
      </c>
    </row>
    <row r="1962">
      <c r="A1962" t="n">
        <v>2000133</v>
      </c>
      <c r="B1962" t="n">
        <v>2</v>
      </c>
      <c r="C1962" t="n">
        <v>133</v>
      </c>
      <c r="D1962" t="n">
        <v>1</v>
      </c>
      <c r="E1962" t="n">
        <v>62.8423</v>
      </c>
      <c r="F1962" t="n">
        <v>0.03476</v>
      </c>
    </row>
    <row r="1963">
      <c r="A1963" t="n">
        <v>2000134</v>
      </c>
      <c r="B1963" t="n">
        <v>2</v>
      </c>
      <c r="C1963" t="n">
        <v>134</v>
      </c>
      <c r="D1963" t="n">
        <v>1</v>
      </c>
      <c r="E1963" t="n">
        <v>62.907</v>
      </c>
      <c r="F1963" t="n">
        <v>0.03475</v>
      </c>
    </row>
    <row r="1964">
      <c r="A1964" t="n">
        <v>2000135</v>
      </c>
      <c r="B1964" t="n">
        <v>2</v>
      </c>
      <c r="C1964" t="n">
        <v>135</v>
      </c>
      <c r="D1964" t="n">
        <v>1</v>
      </c>
      <c r="E1964" t="n">
        <v>62.9714</v>
      </c>
      <c r="F1964" t="n">
        <v>0.03475</v>
      </c>
    </row>
    <row r="1965">
      <c r="A1965" t="n">
        <v>2000136</v>
      </c>
      <c r="B1965" t="n">
        <v>2</v>
      </c>
      <c r="C1965" t="n">
        <v>136</v>
      </c>
      <c r="D1965" t="n">
        <v>1</v>
      </c>
      <c r="E1965" t="n">
        <v>63.0354</v>
      </c>
      <c r="F1965" t="n">
        <v>0.03474</v>
      </c>
    </row>
    <row r="1966">
      <c r="A1966" t="n">
        <v>2000137</v>
      </c>
      <c r="B1966" t="n">
        <v>2</v>
      </c>
      <c r="C1966" t="n">
        <v>137</v>
      </c>
      <c r="D1966" t="n">
        <v>1</v>
      </c>
      <c r="E1966" t="n">
        <v>63.0991</v>
      </c>
      <c r="F1966" t="n">
        <v>0.03473</v>
      </c>
    </row>
    <row r="1967">
      <c r="A1967" t="n">
        <v>2000138</v>
      </c>
      <c r="B1967" t="n">
        <v>2</v>
      </c>
      <c r="C1967" t="n">
        <v>138</v>
      </c>
      <c r="D1967" t="n">
        <v>1</v>
      </c>
      <c r="E1967" t="n">
        <v>63.1626</v>
      </c>
      <c r="F1967" t="n">
        <v>0.03472</v>
      </c>
    </row>
    <row r="1968">
      <c r="A1968" t="n">
        <v>2000139</v>
      </c>
      <c r="B1968" t="n">
        <v>2</v>
      </c>
      <c r="C1968" t="n">
        <v>139</v>
      </c>
      <c r="D1968" t="n">
        <v>1</v>
      </c>
      <c r="E1968" t="n">
        <v>63.2257</v>
      </c>
      <c r="F1968" t="n">
        <v>0.03471</v>
      </c>
    </row>
    <row r="1969">
      <c r="A1969" t="n">
        <v>2000140</v>
      </c>
      <c r="B1969" t="n">
        <v>2</v>
      </c>
      <c r="C1969" t="n">
        <v>140</v>
      </c>
      <c r="D1969" t="n">
        <v>1</v>
      </c>
      <c r="E1969" t="n">
        <v>63.2884</v>
      </c>
      <c r="F1969" t="n">
        <v>0.03471</v>
      </c>
    </row>
    <row r="1970">
      <c r="A1970" t="n">
        <v>2000141</v>
      </c>
      <c r="B1970" t="n">
        <v>2</v>
      </c>
      <c r="C1970" t="n">
        <v>141</v>
      </c>
      <c r="D1970" t="n">
        <v>1</v>
      </c>
      <c r="E1970" t="n">
        <v>63.3509</v>
      </c>
      <c r="F1970" t="n">
        <v>0.0347</v>
      </c>
    </row>
    <row r="1971">
      <c r="A1971" t="n">
        <v>2000142</v>
      </c>
      <c r="B1971" t="n">
        <v>2</v>
      </c>
      <c r="C1971" t="n">
        <v>142</v>
      </c>
      <c r="D1971" t="n">
        <v>1</v>
      </c>
      <c r="E1971" t="n">
        <v>63.4131</v>
      </c>
      <c r="F1971" t="n">
        <v>0.03469</v>
      </c>
    </row>
    <row r="1972">
      <c r="A1972" t="n">
        <v>2000143</v>
      </c>
      <c r="B1972" t="n">
        <v>2</v>
      </c>
      <c r="C1972" t="n">
        <v>143</v>
      </c>
      <c r="D1972" t="n">
        <v>1</v>
      </c>
      <c r="E1972" t="n">
        <v>63.475</v>
      </c>
      <c r="F1972" t="n">
        <v>0.03469</v>
      </c>
    </row>
    <row r="1973">
      <c r="A1973" t="n">
        <v>2000144</v>
      </c>
      <c r="B1973" t="n">
        <v>2</v>
      </c>
      <c r="C1973" t="n">
        <v>144</v>
      </c>
      <c r="D1973" t="n">
        <v>1</v>
      </c>
      <c r="E1973" t="n">
        <v>63.5365</v>
      </c>
      <c r="F1973" t="n">
        <v>0.03468</v>
      </c>
    </row>
    <row r="1974">
      <c r="A1974" t="n">
        <v>2000145</v>
      </c>
      <c r="B1974" t="n">
        <v>2</v>
      </c>
      <c r="C1974" t="n">
        <v>145</v>
      </c>
      <c r="D1974" t="n">
        <v>1</v>
      </c>
      <c r="E1974" t="n">
        <v>63.5978</v>
      </c>
      <c r="F1974" t="n">
        <v>0.03467</v>
      </c>
    </row>
    <row r="1975">
      <c r="A1975" t="n">
        <v>2000146</v>
      </c>
      <c r="B1975" t="n">
        <v>2</v>
      </c>
      <c r="C1975" t="n">
        <v>146</v>
      </c>
      <c r="D1975" t="n">
        <v>1</v>
      </c>
      <c r="E1975" t="n">
        <v>63.6588</v>
      </c>
      <c r="F1975" t="n">
        <v>0.03467</v>
      </c>
    </row>
    <row r="1976">
      <c r="A1976" t="n">
        <v>2000147</v>
      </c>
      <c r="B1976" t="n">
        <v>2</v>
      </c>
      <c r="C1976" t="n">
        <v>147</v>
      </c>
      <c r="D1976" t="n">
        <v>1</v>
      </c>
      <c r="E1976" t="n">
        <v>63.7196</v>
      </c>
      <c r="F1976" t="n">
        <v>0.03466</v>
      </c>
    </row>
    <row r="1977">
      <c r="A1977" t="n">
        <v>2000148</v>
      </c>
      <c r="B1977" t="n">
        <v>2</v>
      </c>
      <c r="C1977" t="n">
        <v>148</v>
      </c>
      <c r="D1977" t="n">
        <v>1</v>
      </c>
      <c r="E1977" t="n">
        <v>63.78</v>
      </c>
      <c r="F1977" t="n">
        <v>0.03465</v>
      </c>
    </row>
    <row r="1978">
      <c r="A1978" t="n">
        <v>2000149</v>
      </c>
      <c r="B1978" t="n">
        <v>2</v>
      </c>
      <c r="C1978" t="n">
        <v>149</v>
      </c>
      <c r="D1978" t="n">
        <v>1</v>
      </c>
      <c r="E1978" t="n">
        <v>63.8402</v>
      </c>
      <c r="F1978" t="n">
        <v>0.03465</v>
      </c>
    </row>
    <row r="1979">
      <c r="A1979" t="n">
        <v>2000150</v>
      </c>
      <c r="B1979" t="n">
        <v>2</v>
      </c>
      <c r="C1979" t="n">
        <v>150</v>
      </c>
      <c r="D1979" t="n">
        <v>1</v>
      </c>
      <c r="E1979" t="n">
        <v>63.9</v>
      </c>
      <c r="F1979" t="n">
        <v>0.03464</v>
      </c>
    </row>
    <row r="1980">
      <c r="A1980" t="n">
        <v>2000151</v>
      </c>
      <c r="B1980" t="n">
        <v>2</v>
      </c>
      <c r="C1980" t="n">
        <v>151</v>
      </c>
      <c r="D1980" t="n">
        <v>1</v>
      </c>
      <c r="E1980" t="n">
        <v>63.9597</v>
      </c>
      <c r="F1980" t="n">
        <v>0.03463</v>
      </c>
    </row>
    <row r="1981">
      <c r="A1981" t="n">
        <v>2000152</v>
      </c>
      <c r="B1981" t="n">
        <v>2</v>
      </c>
      <c r="C1981" t="n">
        <v>152</v>
      </c>
      <c r="D1981" t="n">
        <v>1</v>
      </c>
      <c r="E1981" t="n">
        <v>64.01900000000001</v>
      </c>
      <c r="F1981" t="n">
        <v>0.03463</v>
      </c>
    </row>
    <row r="1982">
      <c r="A1982" t="n">
        <v>2000153</v>
      </c>
      <c r="B1982" t="n">
        <v>2</v>
      </c>
      <c r="C1982" t="n">
        <v>153</v>
      </c>
      <c r="D1982" t="n">
        <v>1</v>
      </c>
      <c r="E1982" t="n">
        <v>64.07810000000001</v>
      </c>
      <c r="F1982" t="n">
        <v>0.03462</v>
      </c>
    </row>
    <row r="1983">
      <c r="A1983" t="n">
        <v>2000154</v>
      </c>
      <c r="B1983" t="n">
        <v>2</v>
      </c>
      <c r="C1983" t="n">
        <v>154</v>
      </c>
      <c r="D1983" t="n">
        <v>1</v>
      </c>
      <c r="E1983" t="n">
        <v>64.137</v>
      </c>
      <c r="F1983" t="n">
        <v>0.03461</v>
      </c>
    </row>
    <row r="1984">
      <c r="A1984" t="n">
        <v>2000155</v>
      </c>
      <c r="B1984" t="n">
        <v>2</v>
      </c>
      <c r="C1984" t="n">
        <v>155</v>
      </c>
      <c r="D1984" t="n">
        <v>1</v>
      </c>
      <c r="E1984" t="n">
        <v>64.1956</v>
      </c>
      <c r="F1984" t="n">
        <v>0.03461</v>
      </c>
    </row>
    <row r="1985">
      <c r="A1985" t="n">
        <v>2000156</v>
      </c>
      <c r="B1985" t="n">
        <v>2</v>
      </c>
      <c r="C1985" t="n">
        <v>156</v>
      </c>
      <c r="D1985" t="n">
        <v>1</v>
      </c>
      <c r="E1985" t="n">
        <v>64.2539</v>
      </c>
      <c r="F1985" t="n">
        <v>0.0346</v>
      </c>
    </row>
    <row r="1986">
      <c r="A1986" t="n">
        <v>2000157</v>
      </c>
      <c r="B1986" t="n">
        <v>2</v>
      </c>
      <c r="C1986" t="n">
        <v>157</v>
      </c>
      <c r="D1986" t="n">
        <v>1</v>
      </c>
      <c r="E1986" t="n">
        <v>64.312</v>
      </c>
      <c r="F1986" t="n">
        <v>0.0346</v>
      </c>
    </row>
    <row r="1987">
      <c r="A1987" t="n">
        <v>2000158</v>
      </c>
      <c r="B1987" t="n">
        <v>2</v>
      </c>
      <c r="C1987" t="n">
        <v>158</v>
      </c>
      <c r="D1987" t="n">
        <v>1</v>
      </c>
      <c r="E1987" t="n">
        <v>64.3699</v>
      </c>
      <c r="F1987" t="n">
        <v>0.03459</v>
      </c>
    </row>
    <row r="1988">
      <c r="A1988" t="n">
        <v>2000159</v>
      </c>
      <c r="B1988" t="n">
        <v>2</v>
      </c>
      <c r="C1988" t="n">
        <v>159</v>
      </c>
      <c r="D1988" t="n">
        <v>1</v>
      </c>
      <c r="E1988" t="n">
        <v>64.4276</v>
      </c>
      <c r="F1988" t="n">
        <v>0.03459</v>
      </c>
    </row>
    <row r="1989">
      <c r="A1989" t="n">
        <v>2000160</v>
      </c>
      <c r="B1989" t="n">
        <v>2</v>
      </c>
      <c r="C1989" t="n">
        <v>160</v>
      </c>
      <c r="D1989" t="n">
        <v>1</v>
      </c>
      <c r="E1989" t="n">
        <v>64.485</v>
      </c>
      <c r="F1989" t="n">
        <v>0.03458</v>
      </c>
    </row>
    <row r="1990">
      <c r="A1990" t="n">
        <v>2000161</v>
      </c>
      <c r="B1990" t="n">
        <v>2</v>
      </c>
      <c r="C1990" t="n">
        <v>161</v>
      </c>
      <c r="D1990" t="n">
        <v>1</v>
      </c>
      <c r="E1990" t="n">
        <v>64.54219999999999</v>
      </c>
      <c r="F1990" t="n">
        <v>0.03457</v>
      </c>
    </row>
    <row r="1991">
      <c r="A1991" t="n">
        <v>2000162</v>
      </c>
      <c r="B1991" t="n">
        <v>2</v>
      </c>
      <c r="C1991" t="n">
        <v>162</v>
      </c>
      <c r="D1991" t="n">
        <v>1</v>
      </c>
      <c r="E1991" t="n">
        <v>64.59910000000001</v>
      </c>
      <c r="F1991" t="n">
        <v>0.03457</v>
      </c>
    </row>
    <row r="1992">
      <c r="A1992" t="n">
        <v>2000163</v>
      </c>
      <c r="B1992" t="n">
        <v>2</v>
      </c>
      <c r="C1992" t="n">
        <v>163</v>
      </c>
      <c r="D1992" t="n">
        <v>1</v>
      </c>
      <c r="E1992" t="n">
        <v>64.6559</v>
      </c>
      <c r="F1992" t="n">
        <v>0.03456</v>
      </c>
    </row>
    <row r="1993">
      <c r="A1993" t="n">
        <v>2000164</v>
      </c>
      <c r="B1993" t="n">
        <v>2</v>
      </c>
      <c r="C1993" t="n">
        <v>164</v>
      </c>
      <c r="D1993" t="n">
        <v>1</v>
      </c>
      <c r="E1993" t="n">
        <v>64.7124</v>
      </c>
      <c r="F1993" t="n">
        <v>0.03456</v>
      </c>
    </row>
    <row r="1994">
      <c r="A1994" t="n">
        <v>2000165</v>
      </c>
      <c r="B1994" t="n">
        <v>2</v>
      </c>
      <c r="C1994" t="n">
        <v>165</v>
      </c>
      <c r="D1994" t="n">
        <v>1</v>
      </c>
      <c r="E1994" t="n">
        <v>64.7688</v>
      </c>
      <c r="F1994" t="n">
        <v>0.03455</v>
      </c>
    </row>
    <row r="1995">
      <c r="A1995" t="n">
        <v>2000166</v>
      </c>
      <c r="B1995" t="n">
        <v>2</v>
      </c>
      <c r="C1995" t="n">
        <v>166</v>
      </c>
      <c r="D1995" t="n">
        <v>1</v>
      </c>
      <c r="E1995" t="n">
        <v>64.8249</v>
      </c>
      <c r="F1995" t="n">
        <v>0.03455</v>
      </c>
    </row>
    <row r="1996">
      <c r="A1996" t="n">
        <v>2000167</v>
      </c>
      <c r="B1996" t="n">
        <v>2</v>
      </c>
      <c r="C1996" t="n">
        <v>167</v>
      </c>
      <c r="D1996" t="n">
        <v>1</v>
      </c>
      <c r="E1996" t="n">
        <v>64.88079999999999</v>
      </c>
      <c r="F1996" t="n">
        <v>0.03454</v>
      </c>
    </row>
    <row r="1997">
      <c r="A1997" t="n">
        <v>2000168</v>
      </c>
      <c r="B1997" t="n">
        <v>2</v>
      </c>
      <c r="C1997" t="n">
        <v>168</v>
      </c>
      <c r="D1997" t="n">
        <v>1</v>
      </c>
      <c r="E1997" t="n">
        <v>64.9366</v>
      </c>
      <c r="F1997" t="n">
        <v>0.03454</v>
      </c>
    </row>
    <row r="1998">
      <c r="A1998" t="n">
        <v>2000169</v>
      </c>
      <c r="B1998" t="n">
        <v>2</v>
      </c>
      <c r="C1998" t="n">
        <v>169</v>
      </c>
      <c r="D1998" t="n">
        <v>1</v>
      </c>
      <c r="E1998" t="n">
        <v>64.99209999999999</v>
      </c>
      <c r="F1998" t="n">
        <v>0.03453</v>
      </c>
    </row>
    <row r="1999">
      <c r="A1999" t="n">
        <v>2000170</v>
      </c>
      <c r="B1999" t="n">
        <v>2</v>
      </c>
      <c r="C1999" t="n">
        <v>170</v>
      </c>
      <c r="D1999" t="n">
        <v>1</v>
      </c>
      <c r="E1999" t="n">
        <v>65.0474</v>
      </c>
      <c r="F1999" t="n">
        <v>0.03453</v>
      </c>
    </row>
    <row r="2000">
      <c r="A2000" t="n">
        <v>2000171</v>
      </c>
      <c r="B2000" t="n">
        <v>2</v>
      </c>
      <c r="C2000" t="n">
        <v>171</v>
      </c>
      <c r="D2000" t="n">
        <v>1</v>
      </c>
      <c r="E2000" t="n">
        <v>65.1026</v>
      </c>
      <c r="F2000" t="n">
        <v>0.03453</v>
      </c>
    </row>
    <row r="2001">
      <c r="A2001" t="n">
        <v>2000172</v>
      </c>
      <c r="B2001" t="n">
        <v>2</v>
      </c>
      <c r="C2001" t="n">
        <v>172</v>
      </c>
      <c r="D2001" t="n">
        <v>1</v>
      </c>
      <c r="E2001" t="n">
        <v>65.1576</v>
      </c>
      <c r="F2001" t="n">
        <v>0.03452</v>
      </c>
    </row>
    <row r="2002">
      <c r="A2002" t="n">
        <v>2000173</v>
      </c>
      <c r="B2002" t="n">
        <v>2</v>
      </c>
      <c r="C2002" t="n">
        <v>173</v>
      </c>
      <c r="D2002" t="n">
        <v>1</v>
      </c>
      <c r="E2002" t="n">
        <v>65.2123</v>
      </c>
      <c r="F2002" t="n">
        <v>0.03452</v>
      </c>
    </row>
    <row r="2003">
      <c r="A2003" t="n">
        <v>2000174</v>
      </c>
      <c r="B2003" t="n">
        <v>2</v>
      </c>
      <c r="C2003" t="n">
        <v>174</v>
      </c>
      <c r="D2003" t="n">
        <v>1</v>
      </c>
      <c r="E2003" t="n">
        <v>65.267</v>
      </c>
      <c r="F2003" t="n">
        <v>0.03451</v>
      </c>
    </row>
    <row r="2004">
      <c r="A2004" t="n">
        <v>2000175</v>
      </c>
      <c r="B2004" t="n">
        <v>2</v>
      </c>
      <c r="C2004" t="n">
        <v>175</v>
      </c>
      <c r="D2004" t="n">
        <v>1</v>
      </c>
      <c r="E2004" t="n">
        <v>65.3214</v>
      </c>
      <c r="F2004" t="n">
        <v>0.03451</v>
      </c>
    </row>
    <row r="2005">
      <c r="A2005" t="n">
        <v>2000176</v>
      </c>
      <c r="B2005" t="n">
        <v>2</v>
      </c>
      <c r="C2005" t="n">
        <v>176</v>
      </c>
      <c r="D2005" t="n">
        <v>1</v>
      </c>
      <c r="E2005" t="n">
        <v>65.37569999999999</v>
      </c>
      <c r="F2005" t="n">
        <v>0.0345</v>
      </c>
    </row>
    <row r="2006">
      <c r="A2006" t="n">
        <v>2000177</v>
      </c>
      <c r="B2006" t="n">
        <v>2</v>
      </c>
      <c r="C2006" t="n">
        <v>177</v>
      </c>
      <c r="D2006" t="n">
        <v>1</v>
      </c>
      <c r="E2006" t="n">
        <v>65.4298</v>
      </c>
      <c r="F2006" t="n">
        <v>0.0345</v>
      </c>
    </row>
    <row r="2007">
      <c r="A2007" t="n">
        <v>2000178</v>
      </c>
      <c r="B2007" t="n">
        <v>2</v>
      </c>
      <c r="C2007" t="n">
        <v>178</v>
      </c>
      <c r="D2007" t="n">
        <v>1</v>
      </c>
      <c r="E2007" t="n">
        <v>65.4837</v>
      </c>
      <c r="F2007" t="n">
        <v>0.0345</v>
      </c>
    </row>
    <row r="2008">
      <c r="A2008" t="n">
        <v>2000179</v>
      </c>
      <c r="B2008" t="n">
        <v>2</v>
      </c>
      <c r="C2008" t="n">
        <v>179</v>
      </c>
      <c r="D2008" t="n">
        <v>1</v>
      </c>
      <c r="E2008" t="n">
        <v>65.53749999999999</v>
      </c>
      <c r="F2008" t="n">
        <v>0.03449</v>
      </c>
    </row>
    <row r="2009">
      <c r="A2009" t="n">
        <v>2000180</v>
      </c>
      <c r="B2009" t="n">
        <v>2</v>
      </c>
      <c r="C2009" t="n">
        <v>180</v>
      </c>
      <c r="D2009" t="n">
        <v>1</v>
      </c>
      <c r="E2009" t="n">
        <v>65.5911</v>
      </c>
      <c r="F2009" t="n">
        <v>0.03449</v>
      </c>
    </row>
    <row r="2010">
      <c r="A2010" t="n">
        <v>2000181</v>
      </c>
      <c r="B2010" t="n">
        <v>2</v>
      </c>
      <c r="C2010" t="n">
        <v>181</v>
      </c>
      <c r="D2010" t="n">
        <v>1</v>
      </c>
      <c r="E2010" t="n">
        <v>65.64449999999999</v>
      </c>
      <c r="F2010" t="n">
        <v>0.03449</v>
      </c>
    </row>
    <row r="2011">
      <c r="A2011" t="n">
        <v>2000182</v>
      </c>
      <c r="B2011" t="n">
        <v>2</v>
      </c>
      <c r="C2011" t="n">
        <v>182</v>
      </c>
      <c r="D2011" t="n">
        <v>1</v>
      </c>
      <c r="E2011" t="n">
        <v>65.6978</v>
      </c>
      <c r="F2011" t="n">
        <v>0.03448</v>
      </c>
    </row>
    <row r="2012">
      <c r="A2012" t="n">
        <v>2000183</v>
      </c>
      <c r="B2012" t="n">
        <v>2</v>
      </c>
      <c r="C2012" t="n">
        <v>183</v>
      </c>
      <c r="D2012" t="n">
        <v>1</v>
      </c>
      <c r="E2012" t="n">
        <v>65.751</v>
      </c>
      <c r="F2012" t="n">
        <v>0.03448</v>
      </c>
    </row>
    <row r="2013">
      <c r="A2013" t="n">
        <v>2000184</v>
      </c>
      <c r="B2013" t="n">
        <v>2</v>
      </c>
      <c r="C2013" t="n">
        <v>184</v>
      </c>
      <c r="D2013" t="n">
        <v>1</v>
      </c>
      <c r="E2013" t="n">
        <v>65.804</v>
      </c>
      <c r="F2013" t="n">
        <v>0.03447</v>
      </c>
    </row>
    <row r="2014">
      <c r="A2014" t="n">
        <v>2000185</v>
      </c>
      <c r="B2014" t="n">
        <v>2</v>
      </c>
      <c r="C2014" t="n">
        <v>185</v>
      </c>
      <c r="D2014" t="n">
        <v>1</v>
      </c>
      <c r="E2014" t="n">
        <v>65.85680000000001</v>
      </c>
      <c r="F2014" t="n">
        <v>0.03447</v>
      </c>
    </row>
    <row r="2015">
      <c r="A2015" t="n">
        <v>2000186</v>
      </c>
      <c r="B2015" t="n">
        <v>2</v>
      </c>
      <c r="C2015" t="n">
        <v>186</v>
      </c>
      <c r="D2015" t="n">
        <v>1</v>
      </c>
      <c r="E2015" t="n">
        <v>65.90949999999999</v>
      </c>
      <c r="F2015" t="n">
        <v>0.03447</v>
      </c>
    </row>
    <row r="2016">
      <c r="A2016" t="n">
        <v>2000187</v>
      </c>
      <c r="B2016" t="n">
        <v>2</v>
      </c>
      <c r="C2016" t="n">
        <v>187</v>
      </c>
      <c r="D2016" t="n">
        <v>1</v>
      </c>
      <c r="E2016" t="n">
        <v>65.96210000000001</v>
      </c>
      <c r="F2016" t="n">
        <v>0.03447</v>
      </c>
    </row>
    <row r="2017">
      <c r="A2017" t="n">
        <v>2000188</v>
      </c>
      <c r="B2017" t="n">
        <v>2</v>
      </c>
      <c r="C2017" t="n">
        <v>188</v>
      </c>
      <c r="D2017" t="n">
        <v>1</v>
      </c>
      <c r="E2017" t="n">
        <v>66.0145</v>
      </c>
      <c r="F2017" t="n">
        <v>0.03446</v>
      </c>
    </row>
    <row r="2018">
      <c r="A2018" t="n">
        <v>2000189</v>
      </c>
      <c r="B2018" t="n">
        <v>2</v>
      </c>
      <c r="C2018" t="n">
        <v>189</v>
      </c>
      <c r="D2018" t="n">
        <v>1</v>
      </c>
      <c r="E2018" t="n">
        <v>66.0668</v>
      </c>
      <c r="F2018" t="n">
        <v>0.03446</v>
      </c>
    </row>
    <row r="2019">
      <c r="A2019" t="n">
        <v>2000190</v>
      </c>
      <c r="B2019" t="n">
        <v>2</v>
      </c>
      <c r="C2019" t="n">
        <v>190</v>
      </c>
      <c r="D2019" t="n">
        <v>1</v>
      </c>
      <c r="E2019" t="n">
        <v>66.1189</v>
      </c>
      <c r="F2019" t="n">
        <v>0.03446</v>
      </c>
    </row>
    <row r="2020">
      <c r="A2020" t="n">
        <v>2000191</v>
      </c>
      <c r="B2020" t="n">
        <v>2</v>
      </c>
      <c r="C2020" t="n">
        <v>191</v>
      </c>
      <c r="D2020" t="n">
        <v>1</v>
      </c>
      <c r="E2020" t="n">
        <v>66.1709</v>
      </c>
      <c r="F2020" t="n">
        <v>0.03445</v>
      </c>
    </row>
    <row r="2021">
      <c r="A2021" t="n">
        <v>2000192</v>
      </c>
      <c r="B2021" t="n">
        <v>2</v>
      </c>
      <c r="C2021" t="n">
        <v>192</v>
      </c>
      <c r="D2021" t="n">
        <v>1</v>
      </c>
      <c r="E2021" t="n">
        <v>66.22280000000001</v>
      </c>
      <c r="F2021" t="n">
        <v>0.03445</v>
      </c>
    </row>
    <row r="2022">
      <c r="A2022" t="n">
        <v>2000193</v>
      </c>
      <c r="B2022" t="n">
        <v>2</v>
      </c>
      <c r="C2022" t="n">
        <v>193</v>
      </c>
      <c r="D2022" t="n">
        <v>1</v>
      </c>
      <c r="E2022" t="n">
        <v>66.2745</v>
      </c>
      <c r="F2022" t="n">
        <v>0.03445</v>
      </c>
    </row>
    <row r="2023">
      <c r="A2023" t="n">
        <v>2000194</v>
      </c>
      <c r="B2023" t="n">
        <v>2</v>
      </c>
      <c r="C2023" t="n">
        <v>194</v>
      </c>
      <c r="D2023" t="n">
        <v>1</v>
      </c>
      <c r="E2023" t="n">
        <v>66.3261</v>
      </c>
      <c r="F2023" t="n">
        <v>0.03444</v>
      </c>
    </row>
    <row r="2024">
      <c r="A2024" t="n">
        <v>2000195</v>
      </c>
      <c r="B2024" t="n">
        <v>2</v>
      </c>
      <c r="C2024" t="n">
        <v>195</v>
      </c>
      <c r="D2024" t="n">
        <v>1</v>
      </c>
      <c r="E2024" t="n">
        <v>66.3776</v>
      </c>
      <c r="F2024" t="n">
        <v>0.03444</v>
      </c>
    </row>
    <row r="2025">
      <c r="A2025" t="n">
        <v>2000196</v>
      </c>
      <c r="B2025" t="n">
        <v>2</v>
      </c>
      <c r="C2025" t="n">
        <v>196</v>
      </c>
      <c r="D2025" t="n">
        <v>1</v>
      </c>
      <c r="E2025" t="n">
        <v>66.429</v>
      </c>
      <c r="F2025" t="n">
        <v>0.03444</v>
      </c>
    </row>
    <row r="2026">
      <c r="A2026" t="n">
        <v>2000197</v>
      </c>
      <c r="B2026" t="n">
        <v>2</v>
      </c>
      <c r="C2026" t="n">
        <v>197</v>
      </c>
      <c r="D2026" t="n">
        <v>1</v>
      </c>
      <c r="E2026" t="n">
        <v>66.4802</v>
      </c>
      <c r="F2026" t="n">
        <v>0.03444</v>
      </c>
    </row>
    <row r="2027">
      <c r="A2027" t="n">
        <v>2000198</v>
      </c>
      <c r="B2027" t="n">
        <v>2</v>
      </c>
      <c r="C2027" t="n">
        <v>198</v>
      </c>
      <c r="D2027" t="n">
        <v>1</v>
      </c>
      <c r="E2027" t="n">
        <v>66.5313</v>
      </c>
      <c r="F2027" t="n">
        <v>0.03444</v>
      </c>
    </row>
    <row r="2028">
      <c r="A2028" t="n">
        <v>2000199</v>
      </c>
      <c r="B2028" t="n">
        <v>2</v>
      </c>
      <c r="C2028" t="n">
        <v>199</v>
      </c>
      <c r="D2028" t="n">
        <v>1</v>
      </c>
      <c r="E2028" t="n">
        <v>66.5823</v>
      </c>
      <c r="F2028" t="n">
        <v>0.03443</v>
      </c>
    </row>
    <row r="2029">
      <c r="A2029" t="n">
        <v>2000200</v>
      </c>
      <c r="B2029" t="n">
        <v>2</v>
      </c>
      <c r="C2029" t="n">
        <v>200</v>
      </c>
      <c r="D2029" t="n">
        <v>1</v>
      </c>
      <c r="E2029" t="n">
        <v>66.6331</v>
      </c>
      <c r="F2029" t="n">
        <v>0.03443</v>
      </c>
    </row>
    <row r="2030">
      <c r="A2030" t="n">
        <v>2000201</v>
      </c>
      <c r="B2030" t="n">
        <v>2</v>
      </c>
      <c r="C2030" t="n">
        <v>201</v>
      </c>
      <c r="D2030" t="n">
        <v>1</v>
      </c>
      <c r="E2030" t="n">
        <v>66.68389999999999</v>
      </c>
      <c r="F2030" t="n">
        <v>0.03443</v>
      </c>
    </row>
    <row r="2031">
      <c r="A2031" t="n">
        <v>2000202</v>
      </c>
      <c r="B2031" t="n">
        <v>2</v>
      </c>
      <c r="C2031" t="n">
        <v>202</v>
      </c>
      <c r="D2031" t="n">
        <v>1</v>
      </c>
      <c r="E2031" t="n">
        <v>66.7345</v>
      </c>
      <c r="F2031" t="n">
        <v>0.03443</v>
      </c>
    </row>
    <row r="2032">
      <c r="A2032" t="n">
        <v>2000203</v>
      </c>
      <c r="B2032" t="n">
        <v>2</v>
      </c>
      <c r="C2032" t="n">
        <v>203</v>
      </c>
      <c r="D2032" t="n">
        <v>1</v>
      </c>
      <c r="E2032" t="n">
        <v>66.785</v>
      </c>
      <c r="F2032" t="n">
        <v>0.03442</v>
      </c>
    </row>
    <row r="2033">
      <c r="A2033" t="n">
        <v>2000204</v>
      </c>
      <c r="B2033" t="n">
        <v>2</v>
      </c>
      <c r="C2033" t="n">
        <v>204</v>
      </c>
      <c r="D2033" t="n">
        <v>1</v>
      </c>
      <c r="E2033" t="n">
        <v>66.83540000000001</v>
      </c>
      <c r="F2033" t="n">
        <v>0.03442</v>
      </c>
    </row>
    <row r="2034">
      <c r="A2034" t="n">
        <v>2000205</v>
      </c>
      <c r="B2034" t="n">
        <v>2</v>
      </c>
      <c r="C2034" t="n">
        <v>205</v>
      </c>
      <c r="D2034" t="n">
        <v>1</v>
      </c>
      <c r="E2034" t="n">
        <v>66.8857</v>
      </c>
      <c r="F2034" t="n">
        <v>0.03442</v>
      </c>
    </row>
    <row r="2035">
      <c r="A2035" t="n">
        <v>2000206</v>
      </c>
      <c r="B2035" t="n">
        <v>2</v>
      </c>
      <c r="C2035" t="n">
        <v>206</v>
      </c>
      <c r="D2035" t="n">
        <v>1</v>
      </c>
      <c r="E2035" t="n">
        <v>66.9359</v>
      </c>
      <c r="F2035" t="n">
        <v>0.03442</v>
      </c>
    </row>
    <row r="2036">
      <c r="A2036" t="n">
        <v>2000207</v>
      </c>
      <c r="B2036" t="n">
        <v>2</v>
      </c>
      <c r="C2036" t="n">
        <v>207</v>
      </c>
      <c r="D2036" t="n">
        <v>1</v>
      </c>
      <c r="E2036" t="n">
        <v>66.9859</v>
      </c>
      <c r="F2036" t="n">
        <v>0.03442</v>
      </c>
    </row>
    <row r="2037">
      <c r="A2037" t="n">
        <v>2000208</v>
      </c>
      <c r="B2037" t="n">
        <v>2</v>
      </c>
      <c r="C2037" t="n">
        <v>208</v>
      </c>
      <c r="D2037" t="n">
        <v>1</v>
      </c>
      <c r="E2037" t="n">
        <v>67.0359</v>
      </c>
      <c r="F2037" t="n">
        <v>0.03442</v>
      </c>
    </row>
    <row r="2038">
      <c r="A2038" t="n">
        <v>2000209</v>
      </c>
      <c r="B2038" t="n">
        <v>2</v>
      </c>
      <c r="C2038" t="n">
        <v>209</v>
      </c>
      <c r="D2038" t="n">
        <v>1</v>
      </c>
      <c r="E2038" t="n">
        <v>67.08580000000001</v>
      </c>
      <c r="F2038" t="n">
        <v>0.03441</v>
      </c>
    </row>
    <row r="2039">
      <c r="A2039" t="n">
        <v>2000210</v>
      </c>
      <c r="B2039" t="n">
        <v>2</v>
      </c>
      <c r="C2039" t="n">
        <v>210</v>
      </c>
      <c r="D2039" t="n">
        <v>1</v>
      </c>
      <c r="E2039" t="n">
        <v>67.13549999999999</v>
      </c>
      <c r="F2039" t="n">
        <v>0.03441</v>
      </c>
    </row>
    <row r="2040">
      <c r="A2040" t="n">
        <v>2000211</v>
      </c>
      <c r="B2040" t="n">
        <v>2</v>
      </c>
      <c r="C2040" t="n">
        <v>211</v>
      </c>
      <c r="D2040" t="n">
        <v>1</v>
      </c>
      <c r="E2040" t="n">
        <v>67.18519999999999</v>
      </c>
      <c r="F2040" t="n">
        <v>0.03441</v>
      </c>
    </row>
    <row r="2041">
      <c r="A2041" t="n">
        <v>2000212</v>
      </c>
      <c r="B2041" t="n">
        <v>2</v>
      </c>
      <c r="C2041" t="n">
        <v>212</v>
      </c>
      <c r="D2041" t="n">
        <v>1</v>
      </c>
      <c r="E2041" t="n">
        <v>67.2347</v>
      </c>
      <c r="F2041" t="n">
        <v>0.03441</v>
      </c>
    </row>
    <row r="2042">
      <c r="A2042" t="n">
        <v>2000213</v>
      </c>
      <c r="B2042" t="n">
        <v>2</v>
      </c>
      <c r="C2042" t="n">
        <v>213</v>
      </c>
      <c r="D2042" t="n">
        <v>1</v>
      </c>
      <c r="E2042" t="n">
        <v>67.2842</v>
      </c>
      <c r="F2042" t="n">
        <v>0.03441</v>
      </c>
    </row>
    <row r="2043">
      <c r="A2043" t="n">
        <v>2000214</v>
      </c>
      <c r="B2043" t="n">
        <v>2</v>
      </c>
      <c r="C2043" t="n">
        <v>214</v>
      </c>
      <c r="D2043" t="n">
        <v>1</v>
      </c>
      <c r="E2043" t="n">
        <v>67.3335</v>
      </c>
      <c r="F2043" t="n">
        <v>0.03441</v>
      </c>
    </row>
    <row r="2044">
      <c r="A2044" t="n">
        <v>2000215</v>
      </c>
      <c r="B2044" t="n">
        <v>2</v>
      </c>
      <c r="C2044" t="n">
        <v>215</v>
      </c>
      <c r="D2044" t="n">
        <v>1</v>
      </c>
      <c r="E2044" t="n">
        <v>67.3828</v>
      </c>
      <c r="F2044" t="n">
        <v>0.03441</v>
      </c>
    </row>
    <row r="2045">
      <c r="A2045" t="n">
        <v>2000216</v>
      </c>
      <c r="B2045" t="n">
        <v>2</v>
      </c>
      <c r="C2045" t="n">
        <v>216</v>
      </c>
      <c r="D2045" t="n">
        <v>1</v>
      </c>
      <c r="E2045" t="n">
        <v>67.432</v>
      </c>
      <c r="F2045" t="n">
        <v>0.03441</v>
      </c>
    </row>
    <row r="2046">
      <c r="A2046" t="n">
        <v>2000217</v>
      </c>
      <c r="B2046" t="n">
        <v>2</v>
      </c>
      <c r="C2046" t="n">
        <v>217</v>
      </c>
      <c r="D2046" t="n">
        <v>1</v>
      </c>
      <c r="E2046" t="n">
        <v>67.48099999999999</v>
      </c>
      <c r="F2046" t="n">
        <v>0.0344</v>
      </c>
    </row>
    <row r="2047">
      <c r="A2047" t="n">
        <v>2000218</v>
      </c>
      <c r="B2047" t="n">
        <v>2</v>
      </c>
      <c r="C2047" t="n">
        <v>218</v>
      </c>
      <c r="D2047" t="n">
        <v>1</v>
      </c>
      <c r="E2047" t="n">
        <v>67.53</v>
      </c>
      <c r="F2047" t="n">
        <v>0.0344</v>
      </c>
    </row>
    <row r="2048">
      <c r="A2048" t="n">
        <v>2000219</v>
      </c>
      <c r="B2048" t="n">
        <v>2</v>
      </c>
      <c r="C2048" t="n">
        <v>219</v>
      </c>
      <c r="D2048" t="n">
        <v>1</v>
      </c>
      <c r="E2048" t="n">
        <v>67.5789</v>
      </c>
      <c r="F2048" t="n">
        <v>0.0344</v>
      </c>
    </row>
    <row r="2049">
      <c r="A2049" t="n">
        <v>2000220</v>
      </c>
      <c r="B2049" t="n">
        <v>2</v>
      </c>
      <c r="C2049" t="n">
        <v>220</v>
      </c>
      <c r="D2049" t="n">
        <v>1</v>
      </c>
      <c r="E2049" t="n">
        <v>67.6277</v>
      </c>
      <c r="F2049" t="n">
        <v>0.0344</v>
      </c>
    </row>
    <row r="2050">
      <c r="A2050" t="n">
        <v>2000221</v>
      </c>
      <c r="B2050" t="n">
        <v>2</v>
      </c>
      <c r="C2050" t="n">
        <v>221</v>
      </c>
      <c r="D2050" t="n">
        <v>1</v>
      </c>
      <c r="E2050" t="n">
        <v>67.6764</v>
      </c>
      <c r="F2050" t="n">
        <v>0.0344</v>
      </c>
    </row>
    <row r="2051">
      <c r="A2051" t="n">
        <v>2000222</v>
      </c>
      <c r="B2051" t="n">
        <v>2</v>
      </c>
      <c r="C2051" t="n">
        <v>222</v>
      </c>
      <c r="D2051" t="n">
        <v>1</v>
      </c>
      <c r="E2051" t="n">
        <v>67.72499999999999</v>
      </c>
      <c r="F2051" t="n">
        <v>0.0344</v>
      </c>
    </row>
    <row r="2052">
      <c r="A2052" t="n">
        <v>2000223</v>
      </c>
      <c r="B2052" t="n">
        <v>2</v>
      </c>
      <c r="C2052" t="n">
        <v>223</v>
      </c>
      <c r="D2052" t="n">
        <v>1</v>
      </c>
      <c r="E2052" t="n">
        <v>67.7735</v>
      </c>
      <c r="F2052" t="n">
        <v>0.0344</v>
      </c>
    </row>
    <row r="2053">
      <c r="A2053" t="n">
        <v>2000224</v>
      </c>
      <c r="B2053" t="n">
        <v>2</v>
      </c>
      <c r="C2053" t="n">
        <v>224</v>
      </c>
      <c r="D2053" t="n">
        <v>1</v>
      </c>
      <c r="E2053" t="n">
        <v>67.8219</v>
      </c>
      <c r="F2053" t="n">
        <v>0.0344</v>
      </c>
    </row>
    <row r="2054">
      <c r="A2054" t="n">
        <v>2000225</v>
      </c>
      <c r="B2054" t="n">
        <v>2</v>
      </c>
      <c r="C2054" t="n">
        <v>225</v>
      </c>
      <c r="D2054" t="n">
        <v>1</v>
      </c>
      <c r="E2054" t="n">
        <v>67.8703</v>
      </c>
      <c r="F2054" t="n">
        <v>0.0344</v>
      </c>
    </row>
    <row r="2055">
      <c r="A2055" t="n">
        <v>2000226</v>
      </c>
      <c r="B2055" t="n">
        <v>2</v>
      </c>
      <c r="C2055" t="n">
        <v>226</v>
      </c>
      <c r="D2055" t="n">
        <v>1</v>
      </c>
      <c r="E2055" t="n">
        <v>67.91849999999999</v>
      </c>
      <c r="F2055" t="n">
        <v>0.0344</v>
      </c>
    </row>
    <row r="2056">
      <c r="A2056" t="n">
        <v>2000227</v>
      </c>
      <c r="B2056" t="n">
        <v>2</v>
      </c>
      <c r="C2056" t="n">
        <v>227</v>
      </c>
      <c r="D2056" t="n">
        <v>1</v>
      </c>
      <c r="E2056" t="n">
        <v>67.9667</v>
      </c>
      <c r="F2056" t="n">
        <v>0.0344</v>
      </c>
    </row>
    <row r="2057">
      <c r="A2057" t="n">
        <v>2000228</v>
      </c>
      <c r="B2057" t="n">
        <v>2</v>
      </c>
      <c r="C2057" t="n">
        <v>228</v>
      </c>
      <c r="D2057" t="n">
        <v>1</v>
      </c>
      <c r="E2057" t="n">
        <v>68.01479999999999</v>
      </c>
      <c r="F2057" t="n">
        <v>0.0344</v>
      </c>
    </row>
    <row r="2058">
      <c r="A2058" t="n">
        <v>2000229</v>
      </c>
      <c r="B2058" t="n">
        <v>2</v>
      </c>
      <c r="C2058" t="n">
        <v>229</v>
      </c>
      <c r="D2058" t="n">
        <v>1</v>
      </c>
      <c r="E2058" t="n">
        <v>68.0628</v>
      </c>
      <c r="F2058" t="n">
        <v>0.0344</v>
      </c>
    </row>
    <row r="2059">
      <c r="A2059" t="n">
        <v>2000230</v>
      </c>
      <c r="B2059" t="n">
        <v>2</v>
      </c>
      <c r="C2059" t="n">
        <v>230</v>
      </c>
      <c r="D2059" t="n">
        <v>1</v>
      </c>
      <c r="E2059" t="n">
        <v>68.11069999999999</v>
      </c>
      <c r="F2059" t="n">
        <v>0.0344</v>
      </c>
    </row>
    <row r="2060">
      <c r="A2060" t="n">
        <v>2000231</v>
      </c>
      <c r="B2060" t="n">
        <v>2</v>
      </c>
      <c r="C2060" t="n">
        <v>231</v>
      </c>
      <c r="D2060" t="n">
        <v>1</v>
      </c>
      <c r="E2060" t="n">
        <v>68.1585</v>
      </c>
      <c r="F2060" t="n">
        <v>0.0344</v>
      </c>
    </row>
    <row r="2061">
      <c r="A2061" t="n">
        <v>2000232</v>
      </c>
      <c r="B2061" t="n">
        <v>2</v>
      </c>
      <c r="C2061" t="n">
        <v>232</v>
      </c>
      <c r="D2061" t="n">
        <v>1</v>
      </c>
      <c r="E2061" t="n">
        <v>68.2063</v>
      </c>
      <c r="F2061" t="n">
        <v>0.0344</v>
      </c>
    </row>
    <row r="2062">
      <c r="A2062" t="n">
        <v>2000233</v>
      </c>
      <c r="B2062" t="n">
        <v>2</v>
      </c>
      <c r="C2062" t="n">
        <v>233</v>
      </c>
      <c r="D2062" t="n">
        <v>1</v>
      </c>
      <c r="E2062" t="n">
        <v>68.254</v>
      </c>
      <c r="F2062" t="n">
        <v>0.0344</v>
      </c>
    </row>
    <row r="2063">
      <c r="A2063" t="n">
        <v>2000234</v>
      </c>
      <c r="B2063" t="n">
        <v>2</v>
      </c>
      <c r="C2063" t="n">
        <v>234</v>
      </c>
      <c r="D2063" t="n">
        <v>1</v>
      </c>
      <c r="E2063" t="n">
        <v>68.30159999999999</v>
      </c>
      <c r="F2063" t="n">
        <v>0.0344</v>
      </c>
    </row>
    <row r="2064">
      <c r="A2064" t="n">
        <v>2000235</v>
      </c>
      <c r="B2064" t="n">
        <v>2</v>
      </c>
      <c r="C2064" t="n">
        <v>235</v>
      </c>
      <c r="D2064" t="n">
        <v>1</v>
      </c>
      <c r="E2064" t="n">
        <v>68.34910000000001</v>
      </c>
      <c r="F2064" t="n">
        <v>0.0344</v>
      </c>
    </row>
    <row r="2065">
      <c r="A2065" t="n">
        <v>2000236</v>
      </c>
      <c r="B2065" t="n">
        <v>2</v>
      </c>
      <c r="C2065" t="n">
        <v>236</v>
      </c>
      <c r="D2065" t="n">
        <v>1</v>
      </c>
      <c r="E2065" t="n">
        <v>68.3965</v>
      </c>
      <c r="F2065" t="n">
        <v>0.0344</v>
      </c>
    </row>
    <row r="2066">
      <c r="A2066" t="n">
        <v>2000237</v>
      </c>
      <c r="B2066" t="n">
        <v>2</v>
      </c>
      <c r="C2066" t="n">
        <v>237</v>
      </c>
      <c r="D2066" t="n">
        <v>1</v>
      </c>
      <c r="E2066" t="n">
        <v>68.4439</v>
      </c>
      <c r="F2066" t="n">
        <v>0.0344</v>
      </c>
    </row>
    <row r="2067">
      <c r="A2067" t="n">
        <v>2000238</v>
      </c>
      <c r="B2067" t="n">
        <v>2</v>
      </c>
      <c r="C2067" t="n">
        <v>238</v>
      </c>
      <c r="D2067" t="n">
        <v>1</v>
      </c>
      <c r="E2067" t="n">
        <v>68.4911</v>
      </c>
      <c r="F2067" t="n">
        <v>0.0344</v>
      </c>
    </row>
    <row r="2068">
      <c r="A2068" t="n">
        <v>2000239</v>
      </c>
      <c r="B2068" t="n">
        <v>2</v>
      </c>
      <c r="C2068" t="n">
        <v>239</v>
      </c>
      <c r="D2068" t="n">
        <v>1</v>
      </c>
      <c r="E2068" t="n">
        <v>68.53830000000001</v>
      </c>
      <c r="F2068" t="n">
        <v>0.0344</v>
      </c>
    </row>
    <row r="2069">
      <c r="A2069" t="n">
        <v>2000240</v>
      </c>
      <c r="B2069" t="n">
        <v>2</v>
      </c>
      <c r="C2069" t="n">
        <v>240</v>
      </c>
      <c r="D2069" t="n">
        <v>1</v>
      </c>
      <c r="E2069" t="n">
        <v>68.5855</v>
      </c>
      <c r="F2069" t="n">
        <v>0.0344</v>
      </c>
    </row>
    <row r="2070">
      <c r="A2070" t="n">
        <v>2000241</v>
      </c>
      <c r="B2070" t="n">
        <v>2</v>
      </c>
      <c r="C2070" t="n">
        <v>241</v>
      </c>
      <c r="D2070" t="n">
        <v>1</v>
      </c>
      <c r="E2070" t="n">
        <v>68.63249999999999</v>
      </c>
      <c r="F2070" t="n">
        <v>0.0344</v>
      </c>
    </row>
    <row r="2071">
      <c r="A2071" t="n">
        <v>2000242</v>
      </c>
      <c r="B2071" t="n">
        <v>2</v>
      </c>
      <c r="C2071" t="n">
        <v>242</v>
      </c>
      <c r="D2071" t="n">
        <v>1</v>
      </c>
      <c r="E2071" t="n">
        <v>68.6795</v>
      </c>
      <c r="F2071" t="n">
        <v>0.0344</v>
      </c>
    </row>
    <row r="2072">
      <c r="A2072" t="n">
        <v>2000243</v>
      </c>
      <c r="B2072" t="n">
        <v>2</v>
      </c>
      <c r="C2072" t="n">
        <v>243</v>
      </c>
      <c r="D2072" t="n">
        <v>1</v>
      </c>
      <c r="E2072" t="n">
        <v>68.7264</v>
      </c>
      <c r="F2072" t="n">
        <v>0.0344</v>
      </c>
    </row>
    <row r="2073">
      <c r="A2073" t="n">
        <v>2000244</v>
      </c>
      <c r="B2073" t="n">
        <v>2</v>
      </c>
      <c r="C2073" t="n">
        <v>244</v>
      </c>
      <c r="D2073" t="n">
        <v>1</v>
      </c>
      <c r="E2073" t="n">
        <v>68.7732</v>
      </c>
      <c r="F2073" t="n">
        <v>0.0344</v>
      </c>
    </row>
    <row r="2074">
      <c r="A2074" t="n">
        <v>2000245</v>
      </c>
      <c r="B2074" t="n">
        <v>2</v>
      </c>
      <c r="C2074" t="n">
        <v>245</v>
      </c>
      <c r="D2074" t="n">
        <v>1</v>
      </c>
      <c r="E2074" t="n">
        <v>68.81999999999999</v>
      </c>
      <c r="F2074" t="n">
        <v>0.0344</v>
      </c>
    </row>
    <row r="2075">
      <c r="A2075" t="n">
        <v>2000246</v>
      </c>
      <c r="B2075" t="n">
        <v>2</v>
      </c>
      <c r="C2075" t="n">
        <v>246</v>
      </c>
      <c r="D2075" t="n">
        <v>1</v>
      </c>
      <c r="E2075" t="n">
        <v>68.86660000000001</v>
      </c>
      <c r="F2075" t="n">
        <v>0.0344</v>
      </c>
    </row>
    <row r="2076">
      <c r="A2076" t="n">
        <v>2000247</v>
      </c>
      <c r="B2076" t="n">
        <v>2</v>
      </c>
      <c r="C2076" t="n">
        <v>247</v>
      </c>
      <c r="D2076" t="n">
        <v>1</v>
      </c>
      <c r="E2076" t="n">
        <v>68.91330000000001</v>
      </c>
      <c r="F2076" t="n">
        <v>0.0344</v>
      </c>
    </row>
    <row r="2077">
      <c r="A2077" t="n">
        <v>2000248</v>
      </c>
      <c r="B2077" t="n">
        <v>2</v>
      </c>
      <c r="C2077" t="n">
        <v>248</v>
      </c>
      <c r="D2077" t="n">
        <v>1</v>
      </c>
      <c r="E2077" t="n">
        <v>68.9598</v>
      </c>
      <c r="F2077" t="n">
        <v>0.0344</v>
      </c>
    </row>
    <row r="2078">
      <c r="A2078" t="n">
        <v>2000249</v>
      </c>
      <c r="B2078" t="n">
        <v>2</v>
      </c>
      <c r="C2078" t="n">
        <v>249</v>
      </c>
      <c r="D2078" t="n">
        <v>1</v>
      </c>
      <c r="E2078" t="n">
        <v>69.0063</v>
      </c>
      <c r="F2078" t="n">
        <v>0.0344</v>
      </c>
    </row>
    <row r="2079">
      <c r="A2079" t="n">
        <v>2000250</v>
      </c>
      <c r="B2079" t="n">
        <v>2</v>
      </c>
      <c r="C2079" t="n">
        <v>250</v>
      </c>
      <c r="D2079" t="n">
        <v>1</v>
      </c>
      <c r="E2079" t="n">
        <v>69.0527</v>
      </c>
      <c r="F2079" t="n">
        <v>0.0344</v>
      </c>
    </row>
    <row r="2080">
      <c r="A2080" t="n">
        <v>2000251</v>
      </c>
      <c r="B2080" t="n">
        <v>2</v>
      </c>
      <c r="C2080" t="n">
        <v>251</v>
      </c>
      <c r="D2080" t="n">
        <v>1</v>
      </c>
      <c r="E2080" t="n">
        <v>69.099</v>
      </c>
      <c r="F2080" t="n">
        <v>0.03441</v>
      </c>
    </row>
    <row r="2081">
      <c r="A2081" t="n">
        <v>2000252</v>
      </c>
      <c r="B2081" t="n">
        <v>2</v>
      </c>
      <c r="C2081" t="n">
        <v>252</v>
      </c>
      <c r="D2081" t="n">
        <v>1</v>
      </c>
      <c r="E2081" t="n">
        <v>69.1452</v>
      </c>
      <c r="F2081" t="n">
        <v>0.03441</v>
      </c>
    </row>
    <row r="2082">
      <c r="A2082" t="n">
        <v>2000253</v>
      </c>
      <c r="B2082" t="n">
        <v>2</v>
      </c>
      <c r="C2082" t="n">
        <v>253</v>
      </c>
      <c r="D2082" t="n">
        <v>1</v>
      </c>
      <c r="E2082" t="n">
        <v>69.1914</v>
      </c>
      <c r="F2082" t="n">
        <v>0.03441</v>
      </c>
    </row>
    <row r="2083">
      <c r="A2083" t="n">
        <v>2000254</v>
      </c>
      <c r="B2083" t="n">
        <v>2</v>
      </c>
      <c r="C2083" t="n">
        <v>254</v>
      </c>
      <c r="D2083" t="n">
        <v>1</v>
      </c>
      <c r="E2083" t="n">
        <v>69.2376</v>
      </c>
      <c r="F2083" t="n">
        <v>0.03441</v>
      </c>
    </row>
    <row r="2084">
      <c r="A2084" t="n">
        <v>2000255</v>
      </c>
      <c r="B2084" t="n">
        <v>2</v>
      </c>
      <c r="C2084" t="n">
        <v>255</v>
      </c>
      <c r="D2084" t="n">
        <v>1</v>
      </c>
      <c r="E2084" t="n">
        <v>69.28360000000001</v>
      </c>
      <c r="F2084" t="n">
        <v>0.03441</v>
      </c>
    </row>
    <row r="2085">
      <c r="A2085" t="n">
        <v>2000256</v>
      </c>
      <c r="B2085" t="n">
        <v>2</v>
      </c>
      <c r="C2085" t="n">
        <v>256</v>
      </c>
      <c r="D2085" t="n">
        <v>1</v>
      </c>
      <c r="E2085" t="n">
        <v>69.3296</v>
      </c>
      <c r="F2085" t="n">
        <v>0.03441</v>
      </c>
    </row>
    <row r="2086">
      <c r="A2086" t="n">
        <v>2000257</v>
      </c>
      <c r="B2086" t="n">
        <v>2</v>
      </c>
      <c r="C2086" t="n">
        <v>257</v>
      </c>
      <c r="D2086" t="n">
        <v>1</v>
      </c>
      <c r="E2086" t="n">
        <v>69.3755</v>
      </c>
      <c r="F2086" t="n">
        <v>0.03441</v>
      </c>
    </row>
    <row r="2087">
      <c r="A2087" t="n">
        <v>2000258</v>
      </c>
      <c r="B2087" t="n">
        <v>2</v>
      </c>
      <c r="C2087" t="n">
        <v>258</v>
      </c>
      <c r="D2087" t="n">
        <v>1</v>
      </c>
      <c r="E2087" t="n">
        <v>69.42140000000001</v>
      </c>
      <c r="F2087" t="n">
        <v>0.03441</v>
      </c>
    </row>
    <row r="2088">
      <c r="A2088" t="n">
        <v>2000259</v>
      </c>
      <c r="B2088" t="n">
        <v>2</v>
      </c>
      <c r="C2088" t="n">
        <v>259</v>
      </c>
      <c r="D2088" t="n">
        <v>1</v>
      </c>
      <c r="E2088" t="n">
        <v>69.46720000000001</v>
      </c>
      <c r="F2088" t="n">
        <v>0.03441</v>
      </c>
    </row>
    <row r="2089">
      <c r="A2089" t="n">
        <v>2000260</v>
      </c>
      <c r="B2089" t="n">
        <v>2</v>
      </c>
      <c r="C2089" t="n">
        <v>260</v>
      </c>
      <c r="D2089" t="n">
        <v>1</v>
      </c>
      <c r="E2089" t="n">
        <v>69.5129</v>
      </c>
      <c r="F2089" t="n">
        <v>0.03442</v>
      </c>
    </row>
    <row r="2090">
      <c r="A2090" t="n">
        <v>2000261</v>
      </c>
      <c r="B2090" t="n">
        <v>2</v>
      </c>
      <c r="C2090" t="n">
        <v>261</v>
      </c>
      <c r="D2090" t="n">
        <v>1</v>
      </c>
      <c r="E2090" t="n">
        <v>69.5585</v>
      </c>
      <c r="F2090" t="n">
        <v>0.03442</v>
      </c>
    </row>
    <row r="2091">
      <c r="A2091" t="n">
        <v>2000262</v>
      </c>
      <c r="B2091" t="n">
        <v>2</v>
      </c>
      <c r="C2091" t="n">
        <v>262</v>
      </c>
      <c r="D2091" t="n">
        <v>1</v>
      </c>
      <c r="E2091" t="n">
        <v>69.6041</v>
      </c>
      <c r="F2091" t="n">
        <v>0.03442</v>
      </c>
    </row>
    <row r="2092">
      <c r="A2092" t="n">
        <v>2000263</v>
      </c>
      <c r="B2092" t="n">
        <v>2</v>
      </c>
      <c r="C2092" t="n">
        <v>263</v>
      </c>
      <c r="D2092" t="n">
        <v>1</v>
      </c>
      <c r="E2092" t="n">
        <v>69.64960000000001</v>
      </c>
      <c r="F2092" t="n">
        <v>0.03442</v>
      </c>
    </row>
    <row r="2093">
      <c r="A2093" t="n">
        <v>2000264</v>
      </c>
      <c r="B2093" t="n">
        <v>2</v>
      </c>
      <c r="C2093" t="n">
        <v>264</v>
      </c>
      <c r="D2093" t="n">
        <v>1</v>
      </c>
      <c r="E2093" t="n">
        <v>69.6951</v>
      </c>
      <c r="F2093" t="n">
        <v>0.03442</v>
      </c>
    </row>
    <row r="2094">
      <c r="A2094" t="n">
        <v>2000265</v>
      </c>
      <c r="B2094" t="n">
        <v>2</v>
      </c>
      <c r="C2094" t="n">
        <v>265</v>
      </c>
      <c r="D2094" t="n">
        <v>1</v>
      </c>
      <c r="E2094" t="n">
        <v>69.7405</v>
      </c>
      <c r="F2094" t="n">
        <v>0.03442</v>
      </c>
    </row>
    <row r="2095">
      <c r="A2095" t="n">
        <v>2000266</v>
      </c>
      <c r="B2095" t="n">
        <v>2</v>
      </c>
      <c r="C2095" t="n">
        <v>266</v>
      </c>
      <c r="D2095" t="n">
        <v>1</v>
      </c>
      <c r="E2095" t="n">
        <v>69.78579999999999</v>
      </c>
      <c r="F2095" t="n">
        <v>0.03443</v>
      </c>
    </row>
    <row r="2096">
      <c r="A2096" t="n">
        <v>2000267</v>
      </c>
      <c r="B2096" t="n">
        <v>2</v>
      </c>
      <c r="C2096" t="n">
        <v>267</v>
      </c>
      <c r="D2096" t="n">
        <v>1</v>
      </c>
      <c r="E2096" t="n">
        <v>69.83110000000001</v>
      </c>
      <c r="F2096" t="n">
        <v>0.03443</v>
      </c>
    </row>
    <row r="2097">
      <c r="A2097" t="n">
        <v>2000268</v>
      </c>
      <c r="B2097" t="n">
        <v>2</v>
      </c>
      <c r="C2097" t="n">
        <v>268</v>
      </c>
      <c r="D2097" t="n">
        <v>1</v>
      </c>
      <c r="E2097" t="n">
        <v>69.8763</v>
      </c>
      <c r="F2097" t="n">
        <v>0.03443</v>
      </c>
    </row>
    <row r="2098">
      <c r="A2098" t="n">
        <v>2000269</v>
      </c>
      <c r="B2098" t="n">
        <v>2</v>
      </c>
      <c r="C2098" t="n">
        <v>269</v>
      </c>
      <c r="D2098" t="n">
        <v>1</v>
      </c>
      <c r="E2098" t="n">
        <v>69.92149999999999</v>
      </c>
      <c r="F2098" t="n">
        <v>0.03443</v>
      </c>
    </row>
    <row r="2099">
      <c r="A2099" t="n">
        <v>2000270</v>
      </c>
      <c r="B2099" t="n">
        <v>2</v>
      </c>
      <c r="C2099" t="n">
        <v>270</v>
      </c>
      <c r="D2099" t="n">
        <v>1</v>
      </c>
      <c r="E2099" t="n">
        <v>69.9666</v>
      </c>
      <c r="F2099" t="n">
        <v>0.03443</v>
      </c>
    </row>
    <row r="2100">
      <c r="A2100" t="n">
        <v>2000271</v>
      </c>
      <c r="B2100" t="n">
        <v>2</v>
      </c>
      <c r="C2100" t="n">
        <v>271</v>
      </c>
      <c r="D2100" t="n">
        <v>1</v>
      </c>
      <c r="E2100" t="n">
        <v>70.0116</v>
      </c>
      <c r="F2100" t="n">
        <v>0.03444</v>
      </c>
    </row>
    <row r="2101">
      <c r="A2101" t="n">
        <v>2000272</v>
      </c>
      <c r="B2101" t="n">
        <v>2</v>
      </c>
      <c r="C2101" t="n">
        <v>272</v>
      </c>
      <c r="D2101" t="n">
        <v>1</v>
      </c>
      <c r="E2101" t="n">
        <v>70.0566</v>
      </c>
      <c r="F2101" t="n">
        <v>0.03444</v>
      </c>
    </row>
    <row r="2102">
      <c r="A2102" t="n">
        <v>2000273</v>
      </c>
      <c r="B2102" t="n">
        <v>2</v>
      </c>
      <c r="C2102" t="n">
        <v>273</v>
      </c>
      <c r="D2102" t="n">
        <v>1</v>
      </c>
      <c r="E2102" t="n">
        <v>70.1015</v>
      </c>
      <c r="F2102" t="n">
        <v>0.03444</v>
      </c>
    </row>
    <row r="2103">
      <c r="A2103" t="n">
        <v>2000274</v>
      </c>
      <c r="B2103" t="n">
        <v>2</v>
      </c>
      <c r="C2103" t="n">
        <v>274</v>
      </c>
      <c r="D2103" t="n">
        <v>1</v>
      </c>
      <c r="E2103" t="n">
        <v>70.1463</v>
      </c>
      <c r="F2103" t="n">
        <v>0.03444</v>
      </c>
    </row>
    <row r="2104">
      <c r="A2104" t="n">
        <v>2000275</v>
      </c>
      <c r="B2104" t="n">
        <v>2</v>
      </c>
      <c r="C2104" t="n">
        <v>275</v>
      </c>
      <c r="D2104" t="n">
        <v>1</v>
      </c>
      <c r="E2104" t="n">
        <v>70.19110000000001</v>
      </c>
      <c r="F2104" t="n">
        <v>0.03444</v>
      </c>
    </row>
    <row r="2105">
      <c r="A2105" t="n">
        <v>2000276</v>
      </c>
      <c r="B2105" t="n">
        <v>2</v>
      </c>
      <c r="C2105" t="n">
        <v>276</v>
      </c>
      <c r="D2105" t="n">
        <v>1</v>
      </c>
      <c r="E2105" t="n">
        <v>70.2358</v>
      </c>
      <c r="F2105" t="n">
        <v>0.03445</v>
      </c>
    </row>
    <row r="2106">
      <c r="A2106" t="n">
        <v>2000277</v>
      </c>
      <c r="B2106" t="n">
        <v>2</v>
      </c>
      <c r="C2106" t="n">
        <v>277</v>
      </c>
      <c r="D2106" t="n">
        <v>1</v>
      </c>
      <c r="E2106" t="n">
        <v>70.2805</v>
      </c>
      <c r="F2106" t="n">
        <v>0.03445</v>
      </c>
    </row>
    <row r="2107">
      <c r="A2107" t="n">
        <v>2000278</v>
      </c>
      <c r="B2107" t="n">
        <v>2</v>
      </c>
      <c r="C2107" t="n">
        <v>278</v>
      </c>
      <c r="D2107" t="n">
        <v>1</v>
      </c>
      <c r="E2107" t="n">
        <v>70.32510000000001</v>
      </c>
      <c r="F2107" t="n">
        <v>0.03445</v>
      </c>
    </row>
    <row r="2108">
      <c r="A2108" t="n">
        <v>2000279</v>
      </c>
      <c r="B2108" t="n">
        <v>2</v>
      </c>
      <c r="C2108" t="n">
        <v>279</v>
      </c>
      <c r="D2108" t="n">
        <v>1</v>
      </c>
      <c r="E2108" t="n">
        <v>70.36969999999999</v>
      </c>
      <c r="F2108" t="n">
        <v>0.03445</v>
      </c>
    </row>
    <row r="2109">
      <c r="A2109" t="n">
        <v>2000280</v>
      </c>
      <c r="B2109" t="n">
        <v>2</v>
      </c>
      <c r="C2109" t="n">
        <v>280</v>
      </c>
      <c r="D2109" t="n">
        <v>1</v>
      </c>
      <c r="E2109" t="n">
        <v>70.41419999999999</v>
      </c>
      <c r="F2109" t="n">
        <v>0.03445</v>
      </c>
    </row>
    <row r="2110">
      <c r="A2110" t="n">
        <v>2000281</v>
      </c>
      <c r="B2110" t="n">
        <v>2</v>
      </c>
      <c r="C2110" t="n">
        <v>281</v>
      </c>
      <c r="D2110" t="n">
        <v>1</v>
      </c>
      <c r="E2110" t="n">
        <v>70.4586</v>
      </c>
      <c r="F2110" t="n">
        <v>0.03446</v>
      </c>
    </row>
    <row r="2111">
      <c r="A2111" t="n">
        <v>2000282</v>
      </c>
      <c r="B2111" t="n">
        <v>2</v>
      </c>
      <c r="C2111" t="n">
        <v>282</v>
      </c>
      <c r="D2111" t="n">
        <v>1</v>
      </c>
      <c r="E2111" t="n">
        <v>70.503</v>
      </c>
      <c r="F2111" t="n">
        <v>0.03446</v>
      </c>
    </row>
    <row r="2112">
      <c r="A2112" t="n">
        <v>2000283</v>
      </c>
      <c r="B2112" t="n">
        <v>2</v>
      </c>
      <c r="C2112" t="n">
        <v>283</v>
      </c>
      <c r="D2112" t="n">
        <v>1</v>
      </c>
      <c r="E2112" t="n">
        <v>70.5474</v>
      </c>
      <c r="F2112" t="n">
        <v>0.03446</v>
      </c>
    </row>
    <row r="2113">
      <c r="A2113" t="n">
        <v>2000284</v>
      </c>
      <c r="B2113" t="n">
        <v>2</v>
      </c>
      <c r="C2113" t="n">
        <v>284</v>
      </c>
      <c r="D2113" t="n">
        <v>1</v>
      </c>
      <c r="E2113" t="n">
        <v>70.5917</v>
      </c>
      <c r="F2113" t="n">
        <v>0.03446</v>
      </c>
    </row>
    <row r="2114">
      <c r="A2114" t="n">
        <v>2000285</v>
      </c>
      <c r="B2114" t="n">
        <v>2</v>
      </c>
      <c r="C2114" t="n">
        <v>285</v>
      </c>
      <c r="D2114" t="n">
        <v>1</v>
      </c>
      <c r="E2114" t="n">
        <v>70.63590000000001</v>
      </c>
      <c r="F2114" t="n">
        <v>0.03447</v>
      </c>
    </row>
    <row r="2115">
      <c r="A2115" t="n">
        <v>2000286</v>
      </c>
      <c r="B2115" t="n">
        <v>2</v>
      </c>
      <c r="C2115" t="n">
        <v>286</v>
      </c>
      <c r="D2115" t="n">
        <v>1</v>
      </c>
      <c r="E2115" t="n">
        <v>70.68000000000001</v>
      </c>
      <c r="F2115" t="n">
        <v>0.03447</v>
      </c>
    </row>
    <row r="2116">
      <c r="A2116" t="n">
        <v>2000287</v>
      </c>
      <c r="B2116" t="n">
        <v>2</v>
      </c>
      <c r="C2116" t="n">
        <v>287</v>
      </c>
      <c r="D2116" t="n">
        <v>1</v>
      </c>
      <c r="E2116" t="n">
        <v>70.72410000000001</v>
      </c>
      <c r="F2116" t="n">
        <v>0.03447</v>
      </c>
    </row>
    <row r="2117">
      <c r="A2117" t="n">
        <v>2000288</v>
      </c>
      <c r="B2117" t="n">
        <v>2</v>
      </c>
      <c r="C2117" t="n">
        <v>288</v>
      </c>
      <c r="D2117" t="n">
        <v>1</v>
      </c>
      <c r="E2117" t="n">
        <v>70.76819999999999</v>
      </c>
      <c r="F2117" t="n">
        <v>0.03448</v>
      </c>
    </row>
    <row r="2118">
      <c r="A2118" t="n">
        <v>2000289</v>
      </c>
      <c r="B2118" t="n">
        <v>2</v>
      </c>
      <c r="C2118" t="n">
        <v>289</v>
      </c>
      <c r="D2118" t="n">
        <v>1</v>
      </c>
      <c r="E2118" t="n">
        <v>70.8122</v>
      </c>
      <c r="F2118" t="n">
        <v>0.03448</v>
      </c>
    </row>
    <row r="2119">
      <c r="A2119" t="n">
        <v>2000290</v>
      </c>
      <c r="B2119" t="n">
        <v>2</v>
      </c>
      <c r="C2119" t="n">
        <v>290</v>
      </c>
      <c r="D2119" t="n">
        <v>1</v>
      </c>
      <c r="E2119" t="n">
        <v>70.8561</v>
      </c>
      <c r="F2119" t="n">
        <v>0.03448</v>
      </c>
    </row>
    <row r="2120">
      <c r="A2120" t="n">
        <v>2000291</v>
      </c>
      <c r="B2120" t="n">
        <v>2</v>
      </c>
      <c r="C2120" t="n">
        <v>291</v>
      </c>
      <c r="D2120" t="n">
        <v>1</v>
      </c>
      <c r="E2120" t="n">
        <v>70.90000000000001</v>
      </c>
      <c r="F2120" t="n">
        <v>0.03448</v>
      </c>
    </row>
    <row r="2121">
      <c r="A2121" t="n">
        <v>2000292</v>
      </c>
      <c r="B2121" t="n">
        <v>2</v>
      </c>
      <c r="C2121" t="n">
        <v>292</v>
      </c>
      <c r="D2121" t="n">
        <v>1</v>
      </c>
      <c r="E2121" t="n">
        <v>70.9439</v>
      </c>
      <c r="F2121" t="n">
        <v>0.03449</v>
      </c>
    </row>
    <row r="2122">
      <c r="A2122" t="n">
        <v>2000293</v>
      </c>
      <c r="B2122" t="n">
        <v>2</v>
      </c>
      <c r="C2122" t="n">
        <v>293</v>
      </c>
      <c r="D2122" t="n">
        <v>1</v>
      </c>
      <c r="E2122" t="n">
        <v>70.9876</v>
      </c>
      <c r="F2122" t="n">
        <v>0.03449</v>
      </c>
    </row>
    <row r="2123">
      <c r="A2123" t="n">
        <v>2000294</v>
      </c>
      <c r="B2123" t="n">
        <v>2</v>
      </c>
      <c r="C2123" t="n">
        <v>294</v>
      </c>
      <c r="D2123" t="n">
        <v>1</v>
      </c>
      <c r="E2123" t="n">
        <v>71.0314</v>
      </c>
      <c r="F2123" t="n">
        <v>0.03449</v>
      </c>
    </row>
    <row r="2124">
      <c r="A2124" t="n">
        <v>2000295</v>
      </c>
      <c r="B2124" t="n">
        <v>2</v>
      </c>
      <c r="C2124" t="n">
        <v>295</v>
      </c>
      <c r="D2124" t="n">
        <v>1</v>
      </c>
      <c r="E2124" t="n">
        <v>71.075</v>
      </c>
      <c r="F2124" t="n">
        <v>0.0345</v>
      </c>
    </row>
    <row r="2125">
      <c r="A2125" t="n">
        <v>2000296</v>
      </c>
      <c r="B2125" t="n">
        <v>2</v>
      </c>
      <c r="C2125" t="n">
        <v>296</v>
      </c>
      <c r="D2125" t="n">
        <v>1</v>
      </c>
      <c r="E2125" t="n">
        <v>71.1187</v>
      </c>
      <c r="F2125" t="n">
        <v>0.0345</v>
      </c>
    </row>
    <row r="2126">
      <c r="A2126" t="n">
        <v>2000297</v>
      </c>
      <c r="B2126" t="n">
        <v>2</v>
      </c>
      <c r="C2126" t="n">
        <v>297</v>
      </c>
      <c r="D2126" t="n">
        <v>1</v>
      </c>
      <c r="E2126" t="n">
        <v>71.1622</v>
      </c>
      <c r="F2126" t="n">
        <v>0.0345</v>
      </c>
    </row>
    <row r="2127">
      <c r="A2127" t="n">
        <v>2000298</v>
      </c>
      <c r="B2127" t="n">
        <v>2</v>
      </c>
      <c r="C2127" t="n">
        <v>298</v>
      </c>
      <c r="D2127" t="n">
        <v>1</v>
      </c>
      <c r="E2127" t="n">
        <v>71.20569999999999</v>
      </c>
      <c r="F2127" t="n">
        <v>0.0345</v>
      </c>
    </row>
    <row r="2128">
      <c r="A2128" t="n">
        <v>2000299</v>
      </c>
      <c r="B2128" t="n">
        <v>2</v>
      </c>
      <c r="C2128" t="n">
        <v>299</v>
      </c>
      <c r="D2128" t="n">
        <v>1</v>
      </c>
      <c r="E2128" t="n">
        <v>71.2492</v>
      </c>
      <c r="F2128" t="n">
        <v>0.03451</v>
      </c>
    </row>
    <row r="2129">
      <c r="A2129" t="n">
        <v>2000300</v>
      </c>
      <c r="B2129" t="n">
        <v>2</v>
      </c>
      <c r="C2129" t="n">
        <v>300</v>
      </c>
      <c r="D2129" t="n">
        <v>1</v>
      </c>
      <c r="E2129" t="n">
        <v>71.29259999999999</v>
      </c>
      <c r="F2129" t="n">
        <v>0.03451</v>
      </c>
    </row>
    <row r="2130">
      <c r="A2130" t="n">
        <v>2000301</v>
      </c>
      <c r="B2130" t="n">
        <v>2</v>
      </c>
      <c r="C2130" t="n">
        <v>301</v>
      </c>
      <c r="D2130" t="n">
        <v>1</v>
      </c>
      <c r="E2130" t="n">
        <v>71.3359</v>
      </c>
      <c r="F2130" t="n">
        <v>0.03451</v>
      </c>
    </row>
    <row r="2131">
      <c r="A2131" t="n">
        <v>2000302</v>
      </c>
      <c r="B2131" t="n">
        <v>2</v>
      </c>
      <c r="C2131" t="n">
        <v>302</v>
      </c>
      <c r="D2131" t="n">
        <v>1</v>
      </c>
      <c r="E2131" t="n">
        <v>71.3792</v>
      </c>
      <c r="F2131" t="n">
        <v>0.03452</v>
      </c>
    </row>
    <row r="2132">
      <c r="A2132" t="n">
        <v>2000303</v>
      </c>
      <c r="B2132" t="n">
        <v>2</v>
      </c>
      <c r="C2132" t="n">
        <v>303</v>
      </c>
      <c r="D2132" t="n">
        <v>1</v>
      </c>
      <c r="E2132" t="n">
        <v>71.4224</v>
      </c>
      <c r="F2132" t="n">
        <v>0.03452</v>
      </c>
    </row>
    <row r="2133">
      <c r="A2133" t="n">
        <v>2000304</v>
      </c>
      <c r="B2133" t="n">
        <v>2</v>
      </c>
      <c r="C2133" t="n">
        <v>304</v>
      </c>
      <c r="D2133" t="n">
        <v>1</v>
      </c>
      <c r="E2133" t="n">
        <v>71.46559999999999</v>
      </c>
      <c r="F2133" t="n">
        <v>0.03452</v>
      </c>
    </row>
    <row r="2134">
      <c r="A2134" t="n">
        <v>2000305</v>
      </c>
      <c r="B2134" t="n">
        <v>2</v>
      </c>
      <c r="C2134" t="n">
        <v>305</v>
      </c>
      <c r="D2134" t="n">
        <v>1</v>
      </c>
      <c r="E2134" t="n">
        <v>71.50879999999999</v>
      </c>
      <c r="F2134" t="n">
        <v>0.03453</v>
      </c>
    </row>
    <row r="2135">
      <c r="A2135" t="n">
        <v>2000306</v>
      </c>
      <c r="B2135" t="n">
        <v>2</v>
      </c>
      <c r="C2135" t="n">
        <v>306</v>
      </c>
      <c r="D2135" t="n">
        <v>1</v>
      </c>
      <c r="E2135" t="n">
        <v>71.5518</v>
      </c>
      <c r="F2135" t="n">
        <v>0.03453</v>
      </c>
    </row>
    <row r="2136">
      <c r="A2136" t="n">
        <v>2000307</v>
      </c>
      <c r="B2136" t="n">
        <v>2</v>
      </c>
      <c r="C2136" t="n">
        <v>307</v>
      </c>
      <c r="D2136" t="n">
        <v>1</v>
      </c>
      <c r="E2136" t="n">
        <v>71.5949</v>
      </c>
      <c r="F2136" t="n">
        <v>0.03453</v>
      </c>
    </row>
    <row r="2137">
      <c r="A2137" t="n">
        <v>2000308</v>
      </c>
      <c r="B2137" t="n">
        <v>2</v>
      </c>
      <c r="C2137" t="n">
        <v>308</v>
      </c>
      <c r="D2137" t="n">
        <v>1</v>
      </c>
      <c r="E2137" t="n">
        <v>71.6378</v>
      </c>
      <c r="F2137" t="n">
        <v>0.03454</v>
      </c>
    </row>
    <row r="2138">
      <c r="A2138" t="n">
        <v>2000309</v>
      </c>
      <c r="B2138" t="n">
        <v>2</v>
      </c>
      <c r="C2138" t="n">
        <v>309</v>
      </c>
      <c r="D2138" t="n">
        <v>1</v>
      </c>
      <c r="E2138" t="n">
        <v>71.6808</v>
      </c>
      <c r="F2138" t="n">
        <v>0.03454</v>
      </c>
    </row>
    <row r="2139">
      <c r="A2139" t="n">
        <v>2000310</v>
      </c>
      <c r="B2139" t="n">
        <v>2</v>
      </c>
      <c r="C2139" t="n">
        <v>310</v>
      </c>
      <c r="D2139" t="n">
        <v>1</v>
      </c>
      <c r="E2139" t="n">
        <v>71.7236</v>
      </c>
      <c r="F2139" t="n">
        <v>0.03454</v>
      </c>
    </row>
    <row r="2140">
      <c r="A2140" t="n">
        <v>2000311</v>
      </c>
      <c r="B2140" t="n">
        <v>2</v>
      </c>
      <c r="C2140" t="n">
        <v>311</v>
      </c>
      <c r="D2140" t="n">
        <v>1</v>
      </c>
      <c r="E2140" t="n">
        <v>71.7664</v>
      </c>
      <c r="F2140" t="n">
        <v>0.03455</v>
      </c>
    </row>
    <row r="2141">
      <c r="A2141" t="n">
        <v>2000312</v>
      </c>
      <c r="B2141" t="n">
        <v>2</v>
      </c>
      <c r="C2141" t="n">
        <v>312</v>
      </c>
      <c r="D2141" t="n">
        <v>1</v>
      </c>
      <c r="E2141" t="n">
        <v>71.8092</v>
      </c>
      <c r="F2141" t="n">
        <v>0.03455</v>
      </c>
    </row>
    <row r="2142">
      <c r="A2142" t="n">
        <v>2000313</v>
      </c>
      <c r="B2142" t="n">
        <v>2</v>
      </c>
      <c r="C2142" t="n">
        <v>313</v>
      </c>
      <c r="D2142" t="n">
        <v>1</v>
      </c>
      <c r="E2142" t="n">
        <v>71.8519</v>
      </c>
      <c r="F2142" t="n">
        <v>0.03456</v>
      </c>
    </row>
    <row r="2143">
      <c r="A2143" t="n">
        <v>2000314</v>
      </c>
      <c r="B2143" t="n">
        <v>2</v>
      </c>
      <c r="C2143" t="n">
        <v>314</v>
      </c>
      <c r="D2143" t="n">
        <v>1</v>
      </c>
      <c r="E2143" t="n">
        <v>71.8946</v>
      </c>
      <c r="F2143" t="n">
        <v>0.03456</v>
      </c>
    </row>
    <row r="2144">
      <c r="A2144" t="n">
        <v>2000315</v>
      </c>
      <c r="B2144" t="n">
        <v>2</v>
      </c>
      <c r="C2144" t="n">
        <v>315</v>
      </c>
      <c r="D2144" t="n">
        <v>1</v>
      </c>
      <c r="E2144" t="n">
        <v>71.9372</v>
      </c>
      <c r="F2144" t="n">
        <v>0.03456</v>
      </c>
    </row>
    <row r="2145">
      <c r="A2145" t="n">
        <v>2000316</v>
      </c>
      <c r="B2145" t="n">
        <v>2</v>
      </c>
      <c r="C2145" t="n">
        <v>316</v>
      </c>
      <c r="D2145" t="n">
        <v>1</v>
      </c>
      <c r="E2145" t="n">
        <v>71.9798</v>
      </c>
      <c r="F2145" t="n">
        <v>0.03457</v>
      </c>
    </row>
    <row r="2146">
      <c r="A2146" t="n">
        <v>2000317</v>
      </c>
      <c r="B2146" t="n">
        <v>2</v>
      </c>
      <c r="C2146" t="n">
        <v>317</v>
      </c>
      <c r="D2146" t="n">
        <v>1</v>
      </c>
      <c r="E2146" t="n">
        <v>72.0223</v>
      </c>
      <c r="F2146" t="n">
        <v>0.03457</v>
      </c>
    </row>
    <row r="2147">
      <c r="A2147" t="n">
        <v>2000318</v>
      </c>
      <c r="B2147" t="n">
        <v>2</v>
      </c>
      <c r="C2147" t="n">
        <v>318</v>
      </c>
      <c r="D2147" t="n">
        <v>1</v>
      </c>
      <c r="E2147" t="n">
        <v>72.0647</v>
      </c>
      <c r="F2147" t="n">
        <v>0.03457</v>
      </c>
    </row>
    <row r="2148">
      <c r="A2148" t="n">
        <v>2000319</v>
      </c>
      <c r="B2148" t="n">
        <v>2</v>
      </c>
      <c r="C2148" t="n">
        <v>319</v>
      </c>
      <c r="D2148" t="n">
        <v>1</v>
      </c>
      <c r="E2148" t="n">
        <v>72.1071</v>
      </c>
      <c r="F2148" t="n">
        <v>0.03458</v>
      </c>
    </row>
    <row r="2149">
      <c r="A2149" t="n">
        <v>2000320</v>
      </c>
      <c r="B2149" t="n">
        <v>2</v>
      </c>
      <c r="C2149" t="n">
        <v>320</v>
      </c>
      <c r="D2149" t="n">
        <v>1</v>
      </c>
      <c r="E2149" t="n">
        <v>72.1495</v>
      </c>
      <c r="F2149" t="n">
        <v>0.03458</v>
      </c>
    </row>
    <row r="2150">
      <c r="A2150" t="n">
        <v>2000321</v>
      </c>
      <c r="B2150" t="n">
        <v>2</v>
      </c>
      <c r="C2150" t="n">
        <v>321</v>
      </c>
      <c r="D2150" t="n">
        <v>1</v>
      </c>
      <c r="E2150" t="n">
        <v>72.1918</v>
      </c>
      <c r="F2150" t="n">
        <v>0.03459</v>
      </c>
    </row>
    <row r="2151">
      <c r="A2151" t="n">
        <v>2000322</v>
      </c>
      <c r="B2151" t="n">
        <v>2</v>
      </c>
      <c r="C2151" t="n">
        <v>322</v>
      </c>
      <c r="D2151" t="n">
        <v>1</v>
      </c>
      <c r="E2151" t="n">
        <v>72.23399999999999</v>
      </c>
      <c r="F2151" t="n">
        <v>0.03459</v>
      </c>
    </row>
    <row r="2152">
      <c r="A2152" t="n">
        <v>2000323</v>
      </c>
      <c r="B2152" t="n">
        <v>2</v>
      </c>
      <c r="C2152" t="n">
        <v>323</v>
      </c>
      <c r="D2152" t="n">
        <v>1</v>
      </c>
      <c r="E2152" t="n">
        <v>72.2762</v>
      </c>
      <c r="F2152" t="n">
        <v>0.03459</v>
      </c>
    </row>
    <row r="2153">
      <c r="A2153" t="n">
        <v>2000324</v>
      </c>
      <c r="B2153" t="n">
        <v>2</v>
      </c>
      <c r="C2153" t="n">
        <v>324</v>
      </c>
      <c r="D2153" t="n">
        <v>1</v>
      </c>
      <c r="E2153" t="n">
        <v>72.3184</v>
      </c>
      <c r="F2153" t="n">
        <v>0.0346</v>
      </c>
    </row>
    <row r="2154">
      <c r="A2154" t="n">
        <v>2000325</v>
      </c>
      <c r="B2154" t="n">
        <v>2</v>
      </c>
      <c r="C2154" t="n">
        <v>325</v>
      </c>
      <c r="D2154" t="n">
        <v>1</v>
      </c>
      <c r="E2154" t="n">
        <v>72.3605</v>
      </c>
      <c r="F2154" t="n">
        <v>0.0346</v>
      </c>
    </row>
    <row r="2155">
      <c r="A2155" t="n">
        <v>2000326</v>
      </c>
      <c r="B2155" t="n">
        <v>2</v>
      </c>
      <c r="C2155" t="n">
        <v>326</v>
      </c>
      <c r="D2155" t="n">
        <v>1</v>
      </c>
      <c r="E2155" t="n">
        <v>72.4025</v>
      </c>
      <c r="F2155" t="n">
        <v>0.03461</v>
      </c>
    </row>
    <row r="2156">
      <c r="A2156" t="n">
        <v>2000327</v>
      </c>
      <c r="B2156" t="n">
        <v>2</v>
      </c>
      <c r="C2156" t="n">
        <v>327</v>
      </c>
      <c r="D2156" t="n">
        <v>1</v>
      </c>
      <c r="E2156" t="n">
        <v>72.44450000000001</v>
      </c>
      <c r="F2156" t="n">
        <v>0.03461</v>
      </c>
    </row>
    <row r="2157">
      <c r="A2157" t="n">
        <v>2000328</v>
      </c>
      <c r="B2157" t="n">
        <v>2</v>
      </c>
      <c r="C2157" t="n">
        <v>328</v>
      </c>
      <c r="D2157" t="n">
        <v>1</v>
      </c>
      <c r="E2157" t="n">
        <v>72.48650000000001</v>
      </c>
      <c r="F2157" t="n">
        <v>0.03461</v>
      </c>
    </row>
    <row r="2158">
      <c r="A2158" t="n">
        <v>2000329</v>
      </c>
      <c r="B2158" t="n">
        <v>2</v>
      </c>
      <c r="C2158" t="n">
        <v>329</v>
      </c>
      <c r="D2158" t="n">
        <v>1</v>
      </c>
      <c r="E2158" t="n">
        <v>72.5284</v>
      </c>
      <c r="F2158" t="n">
        <v>0.03462</v>
      </c>
    </row>
    <row r="2159">
      <c r="A2159" t="n">
        <v>2000330</v>
      </c>
      <c r="B2159" t="n">
        <v>2</v>
      </c>
      <c r="C2159" t="n">
        <v>330</v>
      </c>
      <c r="D2159" t="n">
        <v>1</v>
      </c>
      <c r="E2159" t="n">
        <v>72.5702</v>
      </c>
      <c r="F2159" t="n">
        <v>0.03462</v>
      </c>
    </row>
    <row r="2160">
      <c r="A2160" t="n">
        <v>2000331</v>
      </c>
      <c r="B2160" t="n">
        <v>2</v>
      </c>
      <c r="C2160" t="n">
        <v>331</v>
      </c>
      <c r="D2160" t="n">
        <v>1</v>
      </c>
      <c r="E2160" t="n">
        <v>72.61199999999999</v>
      </c>
      <c r="F2160" t="n">
        <v>0.03463</v>
      </c>
    </row>
    <row r="2161">
      <c r="A2161" t="n">
        <v>2000332</v>
      </c>
      <c r="B2161" t="n">
        <v>2</v>
      </c>
      <c r="C2161" t="n">
        <v>332</v>
      </c>
      <c r="D2161" t="n">
        <v>1</v>
      </c>
      <c r="E2161" t="n">
        <v>72.6538</v>
      </c>
      <c r="F2161" t="n">
        <v>0.03463</v>
      </c>
    </row>
    <row r="2162">
      <c r="A2162" t="n">
        <v>2000333</v>
      </c>
      <c r="B2162" t="n">
        <v>2</v>
      </c>
      <c r="C2162" t="n">
        <v>333</v>
      </c>
      <c r="D2162" t="n">
        <v>1</v>
      </c>
      <c r="E2162" t="n">
        <v>72.6955</v>
      </c>
      <c r="F2162" t="n">
        <v>0.03464</v>
      </c>
    </row>
    <row r="2163">
      <c r="A2163" t="n">
        <v>2000334</v>
      </c>
      <c r="B2163" t="n">
        <v>2</v>
      </c>
      <c r="C2163" t="n">
        <v>334</v>
      </c>
      <c r="D2163" t="n">
        <v>1</v>
      </c>
      <c r="E2163" t="n">
        <v>72.7372</v>
      </c>
      <c r="F2163" t="n">
        <v>0.03464</v>
      </c>
    </row>
    <row r="2164">
      <c r="A2164" t="n">
        <v>2000335</v>
      </c>
      <c r="B2164" t="n">
        <v>2</v>
      </c>
      <c r="C2164" t="n">
        <v>335</v>
      </c>
      <c r="D2164" t="n">
        <v>1</v>
      </c>
      <c r="E2164" t="n">
        <v>72.7788</v>
      </c>
      <c r="F2164" t="n">
        <v>0.03464</v>
      </c>
    </row>
    <row r="2165">
      <c r="A2165" t="n">
        <v>2000336</v>
      </c>
      <c r="B2165" t="n">
        <v>2</v>
      </c>
      <c r="C2165" t="n">
        <v>336</v>
      </c>
      <c r="D2165" t="n">
        <v>1</v>
      </c>
      <c r="E2165" t="n">
        <v>72.8203</v>
      </c>
      <c r="F2165" t="n">
        <v>0.03465</v>
      </c>
    </row>
    <row r="2166">
      <c r="A2166" t="n">
        <v>2000337</v>
      </c>
      <c r="B2166" t="n">
        <v>2</v>
      </c>
      <c r="C2166" t="n">
        <v>337</v>
      </c>
      <c r="D2166" t="n">
        <v>1</v>
      </c>
      <c r="E2166" t="n">
        <v>72.8618</v>
      </c>
      <c r="F2166" t="n">
        <v>0.03465</v>
      </c>
    </row>
    <row r="2167">
      <c r="A2167" t="n">
        <v>2000338</v>
      </c>
      <c r="B2167" t="n">
        <v>2</v>
      </c>
      <c r="C2167" t="n">
        <v>338</v>
      </c>
      <c r="D2167" t="n">
        <v>1</v>
      </c>
      <c r="E2167" t="n">
        <v>72.9033</v>
      </c>
      <c r="F2167" t="n">
        <v>0.03466</v>
      </c>
    </row>
    <row r="2168">
      <c r="A2168" t="n">
        <v>2000339</v>
      </c>
      <c r="B2168" t="n">
        <v>2</v>
      </c>
      <c r="C2168" t="n">
        <v>339</v>
      </c>
      <c r="D2168" t="n">
        <v>1</v>
      </c>
      <c r="E2168" t="n">
        <v>72.9447</v>
      </c>
      <c r="F2168" t="n">
        <v>0.03466</v>
      </c>
    </row>
    <row r="2169">
      <c r="A2169" t="n">
        <v>2000340</v>
      </c>
      <c r="B2169" t="n">
        <v>2</v>
      </c>
      <c r="C2169" t="n">
        <v>340</v>
      </c>
      <c r="D2169" t="n">
        <v>1</v>
      </c>
      <c r="E2169" t="n">
        <v>72.98609999999999</v>
      </c>
      <c r="F2169" t="n">
        <v>0.03467</v>
      </c>
    </row>
    <row r="2170">
      <c r="A2170" t="n">
        <v>2000341</v>
      </c>
      <c r="B2170" t="n">
        <v>2</v>
      </c>
      <c r="C2170" t="n">
        <v>341</v>
      </c>
      <c r="D2170" t="n">
        <v>1</v>
      </c>
      <c r="E2170" t="n">
        <v>73.0274</v>
      </c>
      <c r="F2170" t="n">
        <v>0.03467</v>
      </c>
    </row>
    <row r="2171">
      <c r="A2171" t="n">
        <v>2000342</v>
      </c>
      <c r="B2171" t="n">
        <v>2</v>
      </c>
      <c r="C2171" t="n">
        <v>342</v>
      </c>
      <c r="D2171" t="n">
        <v>1</v>
      </c>
      <c r="E2171" t="n">
        <v>73.0686</v>
      </c>
      <c r="F2171" t="n">
        <v>0.03468</v>
      </c>
    </row>
    <row r="2172">
      <c r="A2172" t="n">
        <v>2000343</v>
      </c>
      <c r="B2172" t="n">
        <v>2</v>
      </c>
      <c r="C2172" t="n">
        <v>343</v>
      </c>
      <c r="D2172" t="n">
        <v>1</v>
      </c>
      <c r="E2172" t="n">
        <v>73.1099</v>
      </c>
      <c r="F2172" t="n">
        <v>0.03468</v>
      </c>
    </row>
    <row r="2173">
      <c r="A2173" t="n">
        <v>2000344</v>
      </c>
      <c r="B2173" t="n">
        <v>2</v>
      </c>
      <c r="C2173" t="n">
        <v>344</v>
      </c>
      <c r="D2173" t="n">
        <v>1</v>
      </c>
      <c r="E2173" t="n">
        <v>73.151</v>
      </c>
      <c r="F2173" t="n">
        <v>0.03469</v>
      </c>
    </row>
    <row r="2174">
      <c r="A2174" t="n">
        <v>2000345</v>
      </c>
      <c r="B2174" t="n">
        <v>2</v>
      </c>
      <c r="C2174" t="n">
        <v>345</v>
      </c>
      <c r="D2174" t="n">
        <v>1</v>
      </c>
      <c r="E2174" t="n">
        <v>73.1922</v>
      </c>
      <c r="F2174" t="n">
        <v>0.03469</v>
      </c>
    </row>
    <row r="2175">
      <c r="A2175" t="n">
        <v>2000346</v>
      </c>
      <c r="B2175" t="n">
        <v>2</v>
      </c>
      <c r="C2175" t="n">
        <v>346</v>
      </c>
      <c r="D2175" t="n">
        <v>1</v>
      </c>
      <c r="E2175" t="n">
        <v>73.2332</v>
      </c>
      <c r="F2175" t="n">
        <v>0.03469</v>
      </c>
    </row>
    <row r="2176">
      <c r="A2176" t="n">
        <v>2000347</v>
      </c>
      <c r="B2176" t="n">
        <v>2</v>
      </c>
      <c r="C2176" t="n">
        <v>347</v>
      </c>
      <c r="D2176" t="n">
        <v>1</v>
      </c>
      <c r="E2176" t="n">
        <v>73.2743</v>
      </c>
      <c r="F2176" t="n">
        <v>0.0347</v>
      </c>
    </row>
    <row r="2177">
      <c r="A2177" t="n">
        <v>2000348</v>
      </c>
      <c r="B2177" t="n">
        <v>2</v>
      </c>
      <c r="C2177" t="n">
        <v>348</v>
      </c>
      <c r="D2177" t="n">
        <v>1</v>
      </c>
      <c r="E2177" t="n">
        <v>73.3152</v>
      </c>
      <c r="F2177" t="n">
        <v>0.0347</v>
      </c>
    </row>
    <row r="2178">
      <c r="A2178" t="n">
        <v>2000349</v>
      </c>
      <c r="B2178" t="n">
        <v>2</v>
      </c>
      <c r="C2178" t="n">
        <v>349</v>
      </c>
      <c r="D2178" t="n">
        <v>1</v>
      </c>
      <c r="E2178" t="n">
        <v>73.3562</v>
      </c>
      <c r="F2178" t="n">
        <v>0.03471</v>
      </c>
    </row>
    <row r="2179">
      <c r="A2179" t="n">
        <v>2000350</v>
      </c>
      <c r="B2179" t="n">
        <v>2</v>
      </c>
      <c r="C2179" t="n">
        <v>350</v>
      </c>
      <c r="D2179" t="n">
        <v>1</v>
      </c>
      <c r="E2179" t="n">
        <v>73.39709999999999</v>
      </c>
      <c r="F2179" t="n">
        <v>0.03471</v>
      </c>
    </row>
    <row r="2180">
      <c r="A2180" t="n">
        <v>2000351</v>
      </c>
      <c r="B2180" t="n">
        <v>2</v>
      </c>
      <c r="C2180" t="n">
        <v>351</v>
      </c>
      <c r="D2180" t="n">
        <v>1</v>
      </c>
      <c r="E2180" t="n">
        <v>73.4379</v>
      </c>
      <c r="F2180" t="n">
        <v>0.03472</v>
      </c>
    </row>
    <row r="2181">
      <c r="A2181" t="n">
        <v>2000352</v>
      </c>
      <c r="B2181" t="n">
        <v>2</v>
      </c>
      <c r="C2181" t="n">
        <v>352</v>
      </c>
      <c r="D2181" t="n">
        <v>1</v>
      </c>
      <c r="E2181" t="n">
        <v>73.4787</v>
      </c>
      <c r="F2181" t="n">
        <v>0.03472</v>
      </c>
    </row>
    <row r="2182">
      <c r="A2182" t="n">
        <v>2000353</v>
      </c>
      <c r="B2182" t="n">
        <v>2</v>
      </c>
      <c r="C2182" t="n">
        <v>353</v>
      </c>
      <c r="D2182" t="n">
        <v>1</v>
      </c>
      <c r="E2182" t="n">
        <v>73.51949999999999</v>
      </c>
      <c r="F2182" t="n">
        <v>0.03473</v>
      </c>
    </row>
    <row r="2183">
      <c r="A2183" t="n">
        <v>2000354</v>
      </c>
      <c r="B2183" t="n">
        <v>2</v>
      </c>
      <c r="C2183" t="n">
        <v>354</v>
      </c>
      <c r="D2183" t="n">
        <v>1</v>
      </c>
      <c r="E2183" t="n">
        <v>73.56019999999999</v>
      </c>
      <c r="F2183" t="n">
        <v>0.03473</v>
      </c>
    </row>
    <row r="2184">
      <c r="A2184" t="n">
        <v>2000355</v>
      </c>
      <c r="B2184" t="n">
        <v>2</v>
      </c>
      <c r="C2184" t="n">
        <v>355</v>
      </c>
      <c r="D2184" t="n">
        <v>1</v>
      </c>
      <c r="E2184" t="n">
        <v>73.60080000000001</v>
      </c>
      <c r="F2184" t="n">
        <v>0.03474</v>
      </c>
    </row>
    <row r="2185">
      <c r="A2185" t="n">
        <v>2000356</v>
      </c>
      <c r="B2185" t="n">
        <v>2</v>
      </c>
      <c r="C2185" t="n">
        <v>356</v>
      </c>
      <c r="D2185" t="n">
        <v>1</v>
      </c>
      <c r="E2185" t="n">
        <v>73.6414</v>
      </c>
      <c r="F2185" t="n">
        <v>0.03474</v>
      </c>
    </row>
    <row r="2186">
      <c r="A2186" t="n">
        <v>2000357</v>
      </c>
      <c r="B2186" t="n">
        <v>2</v>
      </c>
      <c r="C2186" t="n">
        <v>357</v>
      </c>
      <c r="D2186" t="n">
        <v>1</v>
      </c>
      <c r="E2186" t="n">
        <v>73.682</v>
      </c>
      <c r="F2186" t="n">
        <v>0.03475</v>
      </c>
    </row>
    <row r="2187">
      <c r="A2187" t="n">
        <v>2000358</v>
      </c>
      <c r="B2187" t="n">
        <v>2</v>
      </c>
      <c r="C2187" t="n">
        <v>358</v>
      </c>
      <c r="D2187" t="n">
        <v>1</v>
      </c>
      <c r="E2187" t="n">
        <v>73.7225</v>
      </c>
      <c r="F2187" t="n">
        <v>0.03475</v>
      </c>
    </row>
    <row r="2188">
      <c r="A2188" t="n">
        <v>2000359</v>
      </c>
      <c r="B2188" t="n">
        <v>2</v>
      </c>
      <c r="C2188" t="n">
        <v>359</v>
      </c>
      <c r="D2188" t="n">
        <v>1</v>
      </c>
      <c r="E2188" t="n">
        <v>73.76300000000001</v>
      </c>
      <c r="F2188" t="n">
        <v>0.03476</v>
      </c>
    </row>
    <row r="2189">
      <c r="A2189" t="n">
        <v>2000360</v>
      </c>
      <c r="B2189" t="n">
        <v>2</v>
      </c>
      <c r="C2189" t="n">
        <v>360</v>
      </c>
      <c r="D2189" t="n">
        <v>1</v>
      </c>
      <c r="E2189" t="n">
        <v>73.8034</v>
      </c>
      <c r="F2189" t="n">
        <v>0.03476</v>
      </c>
    </row>
    <row r="2190">
      <c r="A2190" t="n">
        <v>2000361</v>
      </c>
      <c r="B2190" t="n">
        <v>2</v>
      </c>
      <c r="C2190" t="n">
        <v>361</v>
      </c>
      <c r="D2190" t="n">
        <v>1</v>
      </c>
      <c r="E2190" t="n">
        <v>73.8438</v>
      </c>
      <c r="F2190" t="n">
        <v>0.03477</v>
      </c>
    </row>
    <row r="2191">
      <c r="A2191" t="n">
        <v>2000362</v>
      </c>
      <c r="B2191" t="n">
        <v>2</v>
      </c>
      <c r="C2191" t="n">
        <v>362</v>
      </c>
      <c r="D2191" t="n">
        <v>1</v>
      </c>
      <c r="E2191" t="n">
        <v>73.88420000000001</v>
      </c>
      <c r="F2191" t="n">
        <v>0.03477</v>
      </c>
    </row>
    <row r="2192">
      <c r="A2192" t="n">
        <v>2000363</v>
      </c>
      <c r="B2192" t="n">
        <v>2</v>
      </c>
      <c r="C2192" t="n">
        <v>363</v>
      </c>
      <c r="D2192" t="n">
        <v>1</v>
      </c>
      <c r="E2192" t="n">
        <v>73.92449999999999</v>
      </c>
      <c r="F2192" t="n">
        <v>0.03478</v>
      </c>
    </row>
    <row r="2193">
      <c r="A2193" t="n">
        <v>2000364</v>
      </c>
      <c r="B2193" t="n">
        <v>2</v>
      </c>
      <c r="C2193" t="n">
        <v>364</v>
      </c>
      <c r="D2193" t="n">
        <v>1</v>
      </c>
      <c r="E2193" t="n">
        <v>73.96469999999999</v>
      </c>
      <c r="F2193" t="n">
        <v>0.03478</v>
      </c>
    </row>
    <row r="2194">
      <c r="A2194" t="n">
        <v>2000365</v>
      </c>
      <c r="B2194" t="n">
        <v>2</v>
      </c>
      <c r="C2194" t="n">
        <v>365</v>
      </c>
      <c r="D2194" t="n">
        <v>1</v>
      </c>
      <c r="E2194" t="n">
        <v>74.00490000000001</v>
      </c>
      <c r="F2194" t="n">
        <v>0.03479</v>
      </c>
    </row>
    <row r="2195">
      <c r="A2195" t="n">
        <v>2000366</v>
      </c>
      <c r="B2195" t="n">
        <v>2</v>
      </c>
      <c r="C2195" t="n">
        <v>366</v>
      </c>
      <c r="D2195" t="n">
        <v>1</v>
      </c>
      <c r="E2195" t="n">
        <v>74.04510000000001</v>
      </c>
      <c r="F2195" t="n">
        <v>0.03479</v>
      </c>
    </row>
    <row r="2196">
      <c r="A2196" t="n">
        <v>2000367</v>
      </c>
      <c r="B2196" t="n">
        <v>2</v>
      </c>
      <c r="C2196" t="n">
        <v>367</v>
      </c>
      <c r="D2196" t="n">
        <v>1</v>
      </c>
      <c r="E2196" t="n">
        <v>74.0852</v>
      </c>
      <c r="F2196" t="n">
        <v>0.0348</v>
      </c>
    </row>
    <row r="2197">
      <c r="A2197" t="n">
        <v>2000368</v>
      </c>
      <c r="B2197" t="n">
        <v>2</v>
      </c>
      <c r="C2197" t="n">
        <v>368</v>
      </c>
      <c r="D2197" t="n">
        <v>1</v>
      </c>
      <c r="E2197" t="n">
        <v>74.1253</v>
      </c>
      <c r="F2197" t="n">
        <v>0.0348</v>
      </c>
    </row>
    <row r="2198">
      <c r="A2198" t="n">
        <v>2000369</v>
      </c>
      <c r="B2198" t="n">
        <v>2</v>
      </c>
      <c r="C2198" t="n">
        <v>369</v>
      </c>
      <c r="D2198" t="n">
        <v>1</v>
      </c>
      <c r="E2198" t="n">
        <v>74.1653</v>
      </c>
      <c r="F2198" t="n">
        <v>0.03481</v>
      </c>
    </row>
    <row r="2199">
      <c r="A2199" t="n">
        <v>2000370</v>
      </c>
      <c r="B2199" t="n">
        <v>2</v>
      </c>
      <c r="C2199" t="n">
        <v>370</v>
      </c>
      <c r="D2199" t="n">
        <v>1</v>
      </c>
      <c r="E2199" t="n">
        <v>74.20529999999999</v>
      </c>
      <c r="F2199" t="n">
        <v>0.03482</v>
      </c>
    </row>
    <row r="2200">
      <c r="A2200" t="n">
        <v>2000371</v>
      </c>
      <c r="B2200" t="n">
        <v>2</v>
      </c>
      <c r="C2200" t="n">
        <v>371</v>
      </c>
      <c r="D2200" t="n">
        <v>1</v>
      </c>
      <c r="E2200" t="n">
        <v>74.2452</v>
      </c>
      <c r="F2200" t="n">
        <v>0.03482</v>
      </c>
    </row>
    <row r="2201">
      <c r="A2201" t="n">
        <v>2000372</v>
      </c>
      <c r="B2201" t="n">
        <v>2</v>
      </c>
      <c r="C2201" t="n">
        <v>372</v>
      </c>
      <c r="D2201" t="n">
        <v>1</v>
      </c>
      <c r="E2201" t="n">
        <v>74.2851</v>
      </c>
      <c r="F2201" t="n">
        <v>0.03483</v>
      </c>
    </row>
    <row r="2202">
      <c r="A2202" t="n">
        <v>2000373</v>
      </c>
      <c r="B2202" t="n">
        <v>2</v>
      </c>
      <c r="C2202" t="n">
        <v>373</v>
      </c>
      <c r="D2202" t="n">
        <v>1</v>
      </c>
      <c r="E2202" t="n">
        <v>74.325</v>
      </c>
      <c r="F2202" t="n">
        <v>0.03483</v>
      </c>
    </row>
    <row r="2203">
      <c r="A2203" t="n">
        <v>2000374</v>
      </c>
      <c r="B2203" t="n">
        <v>2</v>
      </c>
      <c r="C2203" t="n">
        <v>374</v>
      </c>
      <c r="D2203" t="n">
        <v>1</v>
      </c>
      <c r="E2203" t="n">
        <v>74.3648</v>
      </c>
      <c r="F2203" t="n">
        <v>0.03484</v>
      </c>
    </row>
    <row r="2204">
      <c r="A2204" t="n">
        <v>2000375</v>
      </c>
      <c r="B2204" t="n">
        <v>2</v>
      </c>
      <c r="C2204" t="n">
        <v>375</v>
      </c>
      <c r="D2204" t="n">
        <v>1</v>
      </c>
      <c r="E2204" t="n">
        <v>74.4045</v>
      </c>
      <c r="F2204" t="n">
        <v>0.03484</v>
      </c>
    </row>
    <row r="2205">
      <c r="A2205" t="n">
        <v>2000376</v>
      </c>
      <c r="B2205" t="n">
        <v>2</v>
      </c>
      <c r="C2205" t="n">
        <v>376</v>
      </c>
      <c r="D2205" t="n">
        <v>1</v>
      </c>
      <c r="E2205" t="n">
        <v>74.4443</v>
      </c>
      <c r="F2205" t="n">
        <v>0.03485</v>
      </c>
    </row>
    <row r="2206">
      <c r="A2206" t="n">
        <v>2000377</v>
      </c>
      <c r="B2206" t="n">
        <v>2</v>
      </c>
      <c r="C2206" t="n">
        <v>377</v>
      </c>
      <c r="D2206" t="n">
        <v>1</v>
      </c>
      <c r="E2206" t="n">
        <v>74.48390000000001</v>
      </c>
      <c r="F2206" t="n">
        <v>0.03485</v>
      </c>
    </row>
    <row r="2207">
      <c r="A2207" t="n">
        <v>2000378</v>
      </c>
      <c r="B2207" t="n">
        <v>2</v>
      </c>
      <c r="C2207" t="n">
        <v>378</v>
      </c>
      <c r="D2207" t="n">
        <v>1</v>
      </c>
      <c r="E2207" t="n">
        <v>74.5236</v>
      </c>
      <c r="F2207" t="n">
        <v>0.03486</v>
      </c>
    </row>
    <row r="2208">
      <c r="A2208" t="n">
        <v>2000379</v>
      </c>
      <c r="B2208" t="n">
        <v>2</v>
      </c>
      <c r="C2208" t="n">
        <v>379</v>
      </c>
      <c r="D2208" t="n">
        <v>1</v>
      </c>
      <c r="E2208" t="n">
        <v>74.56319999999999</v>
      </c>
      <c r="F2208" t="n">
        <v>0.03486</v>
      </c>
    </row>
    <row r="2209">
      <c r="A2209" t="n">
        <v>2000380</v>
      </c>
      <c r="B2209" t="n">
        <v>2</v>
      </c>
      <c r="C2209" t="n">
        <v>380</v>
      </c>
      <c r="D2209" t="n">
        <v>1</v>
      </c>
      <c r="E2209" t="n">
        <v>74.6027</v>
      </c>
      <c r="F2209" t="n">
        <v>0.03487</v>
      </c>
    </row>
    <row r="2210">
      <c r="A2210" t="n">
        <v>2000381</v>
      </c>
      <c r="B2210" t="n">
        <v>2</v>
      </c>
      <c r="C2210" t="n">
        <v>381</v>
      </c>
      <c r="D2210" t="n">
        <v>1</v>
      </c>
      <c r="E2210" t="n">
        <v>74.6422</v>
      </c>
      <c r="F2210" t="n">
        <v>0.03488</v>
      </c>
    </row>
    <row r="2211">
      <c r="A2211" t="n">
        <v>2000382</v>
      </c>
      <c r="B2211" t="n">
        <v>2</v>
      </c>
      <c r="C2211" t="n">
        <v>382</v>
      </c>
      <c r="D2211" t="n">
        <v>1</v>
      </c>
      <c r="E2211" t="n">
        <v>74.68170000000001</v>
      </c>
      <c r="F2211" t="n">
        <v>0.03488</v>
      </c>
    </row>
    <row r="2212">
      <c r="A2212" t="n">
        <v>2000383</v>
      </c>
      <c r="B2212" t="n">
        <v>2</v>
      </c>
      <c r="C2212" t="n">
        <v>383</v>
      </c>
      <c r="D2212" t="n">
        <v>1</v>
      </c>
      <c r="E2212" t="n">
        <v>74.72110000000001</v>
      </c>
      <c r="F2212" t="n">
        <v>0.03489</v>
      </c>
    </row>
    <row r="2213">
      <c r="A2213" t="n">
        <v>2000384</v>
      </c>
      <c r="B2213" t="n">
        <v>2</v>
      </c>
      <c r="C2213" t="n">
        <v>384</v>
      </c>
      <c r="D2213" t="n">
        <v>1</v>
      </c>
      <c r="E2213" t="n">
        <v>74.76049999999999</v>
      </c>
      <c r="F2213" t="n">
        <v>0.03489</v>
      </c>
    </row>
    <row r="2214">
      <c r="A2214" t="n">
        <v>2000385</v>
      </c>
      <c r="B2214" t="n">
        <v>2</v>
      </c>
      <c r="C2214" t="n">
        <v>385</v>
      </c>
      <c r="D2214" t="n">
        <v>1</v>
      </c>
      <c r="E2214" t="n">
        <v>74.7998</v>
      </c>
      <c r="F2214" t="n">
        <v>0.0349</v>
      </c>
    </row>
    <row r="2215">
      <c r="A2215" t="n">
        <v>2000386</v>
      </c>
      <c r="B2215" t="n">
        <v>2</v>
      </c>
      <c r="C2215" t="n">
        <v>386</v>
      </c>
      <c r="D2215" t="n">
        <v>1</v>
      </c>
      <c r="E2215" t="n">
        <v>74.8391</v>
      </c>
      <c r="F2215" t="n">
        <v>0.0349</v>
      </c>
    </row>
    <row r="2216">
      <c r="A2216" t="n">
        <v>2000387</v>
      </c>
      <c r="B2216" t="n">
        <v>2</v>
      </c>
      <c r="C2216" t="n">
        <v>387</v>
      </c>
      <c r="D2216" t="n">
        <v>1</v>
      </c>
      <c r="E2216" t="n">
        <v>74.8784</v>
      </c>
      <c r="F2216" t="n">
        <v>0.03491</v>
      </c>
    </row>
    <row r="2217">
      <c r="A2217" t="n">
        <v>2000388</v>
      </c>
      <c r="B2217" t="n">
        <v>2</v>
      </c>
      <c r="C2217" t="n">
        <v>388</v>
      </c>
      <c r="D2217" t="n">
        <v>1</v>
      </c>
      <c r="E2217" t="n">
        <v>74.91759999999999</v>
      </c>
      <c r="F2217" t="n">
        <v>0.03491</v>
      </c>
    </row>
    <row r="2218">
      <c r="A2218" t="n">
        <v>2000389</v>
      </c>
      <c r="B2218" t="n">
        <v>2</v>
      </c>
      <c r="C2218" t="n">
        <v>389</v>
      </c>
      <c r="D2218" t="n">
        <v>1</v>
      </c>
      <c r="E2218" t="n">
        <v>74.9567</v>
      </c>
      <c r="F2218" t="n">
        <v>0.03492</v>
      </c>
    </row>
    <row r="2219">
      <c r="A2219" t="n">
        <v>2000390</v>
      </c>
      <c r="B2219" t="n">
        <v>2</v>
      </c>
      <c r="C2219" t="n">
        <v>390</v>
      </c>
      <c r="D2219" t="n">
        <v>1</v>
      </c>
      <c r="E2219" t="n">
        <v>74.99590000000001</v>
      </c>
      <c r="F2219" t="n">
        <v>0.03493</v>
      </c>
    </row>
    <row r="2220">
      <c r="A2220" t="n">
        <v>2000391</v>
      </c>
      <c r="B2220" t="n">
        <v>2</v>
      </c>
      <c r="C2220" t="n">
        <v>391</v>
      </c>
      <c r="D2220" t="n">
        <v>1</v>
      </c>
      <c r="E2220" t="n">
        <v>75.03489999999999</v>
      </c>
      <c r="F2220" t="n">
        <v>0.03493</v>
      </c>
    </row>
    <row r="2221">
      <c r="A2221" t="n">
        <v>2000392</v>
      </c>
      <c r="B2221" t="n">
        <v>2</v>
      </c>
      <c r="C2221" t="n">
        <v>392</v>
      </c>
      <c r="D2221" t="n">
        <v>1</v>
      </c>
      <c r="E2221" t="n">
        <v>75.074</v>
      </c>
      <c r="F2221" t="n">
        <v>0.03494</v>
      </c>
    </row>
    <row r="2222">
      <c r="A2222" t="n">
        <v>2000393</v>
      </c>
      <c r="B2222" t="n">
        <v>2</v>
      </c>
      <c r="C2222" t="n">
        <v>393</v>
      </c>
      <c r="D2222" t="n">
        <v>1</v>
      </c>
      <c r="E2222" t="n">
        <v>75.113</v>
      </c>
      <c r="F2222" t="n">
        <v>0.03494</v>
      </c>
    </row>
    <row r="2223">
      <c r="A2223" t="n">
        <v>2000394</v>
      </c>
      <c r="B2223" t="n">
        <v>2</v>
      </c>
      <c r="C2223" t="n">
        <v>394</v>
      </c>
      <c r="D2223" t="n">
        <v>1</v>
      </c>
      <c r="E2223" t="n">
        <v>75.1519</v>
      </c>
      <c r="F2223" t="n">
        <v>0.03495</v>
      </c>
    </row>
    <row r="2224">
      <c r="A2224" t="n">
        <v>2000395</v>
      </c>
      <c r="B2224" t="n">
        <v>2</v>
      </c>
      <c r="C2224" t="n">
        <v>395</v>
      </c>
      <c r="D2224" t="n">
        <v>1</v>
      </c>
      <c r="E2224" t="n">
        <v>75.1908</v>
      </c>
      <c r="F2224" t="n">
        <v>0.03495</v>
      </c>
    </row>
    <row r="2225">
      <c r="A2225" t="n">
        <v>2000396</v>
      </c>
      <c r="B2225" t="n">
        <v>2</v>
      </c>
      <c r="C2225" t="n">
        <v>396</v>
      </c>
      <c r="D2225" t="n">
        <v>1</v>
      </c>
      <c r="E2225" t="n">
        <v>75.22969999999999</v>
      </c>
      <c r="F2225" t="n">
        <v>0.03496</v>
      </c>
    </row>
    <row r="2226">
      <c r="A2226" t="n">
        <v>2000397</v>
      </c>
      <c r="B2226" t="n">
        <v>2</v>
      </c>
      <c r="C2226" t="n">
        <v>397</v>
      </c>
      <c r="D2226" t="n">
        <v>1</v>
      </c>
      <c r="E2226" t="n">
        <v>75.26860000000001</v>
      </c>
      <c r="F2226" t="n">
        <v>0.03497</v>
      </c>
    </row>
    <row r="2227">
      <c r="A2227" t="n">
        <v>2000398</v>
      </c>
      <c r="B2227" t="n">
        <v>2</v>
      </c>
      <c r="C2227" t="n">
        <v>398</v>
      </c>
      <c r="D2227" t="n">
        <v>1</v>
      </c>
      <c r="E2227" t="n">
        <v>75.3073</v>
      </c>
      <c r="F2227" t="n">
        <v>0.03497</v>
      </c>
    </row>
    <row r="2228">
      <c r="A2228" t="n">
        <v>2000399</v>
      </c>
      <c r="B2228" t="n">
        <v>2</v>
      </c>
      <c r="C2228" t="n">
        <v>399</v>
      </c>
      <c r="D2228" t="n">
        <v>1</v>
      </c>
      <c r="E2228" t="n">
        <v>75.34610000000001</v>
      </c>
      <c r="F2228" t="n">
        <v>0.03498</v>
      </c>
    </row>
    <row r="2229">
      <c r="A2229" t="n">
        <v>2000400</v>
      </c>
      <c r="B2229" t="n">
        <v>2</v>
      </c>
      <c r="C2229" t="n">
        <v>400</v>
      </c>
      <c r="D2229" t="n">
        <v>1</v>
      </c>
      <c r="E2229" t="n">
        <v>75.3848</v>
      </c>
      <c r="F2229" t="n">
        <v>0.03498</v>
      </c>
    </row>
    <row r="2230">
      <c r="A2230" t="n">
        <v>2000401</v>
      </c>
      <c r="B2230" t="n">
        <v>2</v>
      </c>
      <c r="C2230" t="n">
        <v>401</v>
      </c>
      <c r="D2230" t="n">
        <v>1</v>
      </c>
      <c r="E2230" t="n">
        <v>75.4235</v>
      </c>
      <c r="F2230" t="n">
        <v>0.03499</v>
      </c>
    </row>
    <row r="2231">
      <c r="A2231" t="n">
        <v>2000402</v>
      </c>
      <c r="B2231" t="n">
        <v>2</v>
      </c>
      <c r="C2231" t="n">
        <v>402</v>
      </c>
      <c r="D2231" t="n">
        <v>1</v>
      </c>
      <c r="E2231" t="n">
        <v>75.46210000000001</v>
      </c>
      <c r="F2231" t="n">
        <v>0.035</v>
      </c>
    </row>
    <row r="2232">
      <c r="A2232" t="n">
        <v>2000403</v>
      </c>
      <c r="B2232" t="n">
        <v>2</v>
      </c>
      <c r="C2232" t="n">
        <v>403</v>
      </c>
      <c r="D2232" t="n">
        <v>1</v>
      </c>
      <c r="E2232" t="n">
        <v>75.50069999999999</v>
      </c>
      <c r="F2232" t="n">
        <v>0.035</v>
      </c>
    </row>
    <row r="2233">
      <c r="A2233" t="n">
        <v>2000404</v>
      </c>
      <c r="B2233" t="n">
        <v>2</v>
      </c>
      <c r="C2233" t="n">
        <v>404</v>
      </c>
      <c r="D2233" t="n">
        <v>1</v>
      </c>
      <c r="E2233" t="n">
        <v>75.53919999999999</v>
      </c>
      <c r="F2233" t="n">
        <v>0.03501</v>
      </c>
    </row>
    <row r="2234">
      <c r="A2234" t="n">
        <v>2000405</v>
      </c>
      <c r="B2234" t="n">
        <v>2</v>
      </c>
      <c r="C2234" t="n">
        <v>405</v>
      </c>
      <c r="D2234" t="n">
        <v>1</v>
      </c>
      <c r="E2234" t="n">
        <v>75.57769999999999</v>
      </c>
      <c r="F2234" t="n">
        <v>0.03501</v>
      </c>
    </row>
    <row r="2235">
      <c r="A2235" t="n">
        <v>2000406</v>
      </c>
      <c r="B2235" t="n">
        <v>2</v>
      </c>
      <c r="C2235" t="n">
        <v>406</v>
      </c>
      <c r="D2235" t="n">
        <v>1</v>
      </c>
      <c r="E2235" t="n">
        <v>75.61620000000001</v>
      </c>
      <c r="F2235" t="n">
        <v>0.03502</v>
      </c>
    </row>
    <row r="2236">
      <c r="A2236" t="n">
        <v>2000407</v>
      </c>
      <c r="B2236" t="n">
        <v>2</v>
      </c>
      <c r="C2236" t="n">
        <v>407</v>
      </c>
      <c r="D2236" t="n">
        <v>1</v>
      </c>
      <c r="E2236" t="n">
        <v>75.6546</v>
      </c>
      <c r="F2236" t="n">
        <v>0.03503</v>
      </c>
    </row>
    <row r="2237">
      <c r="A2237" t="n">
        <v>2000408</v>
      </c>
      <c r="B2237" t="n">
        <v>2</v>
      </c>
      <c r="C2237" t="n">
        <v>408</v>
      </c>
      <c r="D2237" t="n">
        <v>1</v>
      </c>
      <c r="E2237" t="n">
        <v>75.693</v>
      </c>
      <c r="F2237" t="n">
        <v>0.03503</v>
      </c>
    </row>
    <row r="2238">
      <c r="A2238" t="n">
        <v>2000409</v>
      </c>
      <c r="B2238" t="n">
        <v>2</v>
      </c>
      <c r="C2238" t="n">
        <v>409</v>
      </c>
      <c r="D2238" t="n">
        <v>1</v>
      </c>
      <c r="E2238" t="n">
        <v>75.7313</v>
      </c>
      <c r="F2238" t="n">
        <v>0.03504</v>
      </c>
    </row>
    <row r="2239">
      <c r="A2239" t="n">
        <v>2000410</v>
      </c>
      <c r="B2239" t="n">
        <v>2</v>
      </c>
      <c r="C2239" t="n">
        <v>410</v>
      </c>
      <c r="D2239" t="n">
        <v>1</v>
      </c>
      <c r="E2239" t="n">
        <v>75.7696</v>
      </c>
      <c r="F2239" t="n">
        <v>0.03504</v>
      </c>
    </row>
    <row r="2240">
      <c r="A2240" t="n">
        <v>2000411</v>
      </c>
      <c r="B2240" t="n">
        <v>2</v>
      </c>
      <c r="C2240" t="n">
        <v>411</v>
      </c>
      <c r="D2240" t="n">
        <v>1</v>
      </c>
      <c r="E2240" t="n">
        <v>75.8079</v>
      </c>
      <c r="F2240" t="n">
        <v>0.03505</v>
      </c>
    </row>
    <row r="2241">
      <c r="A2241" t="n">
        <v>2000412</v>
      </c>
      <c r="B2241" t="n">
        <v>2</v>
      </c>
      <c r="C2241" t="n">
        <v>412</v>
      </c>
      <c r="D2241" t="n">
        <v>1</v>
      </c>
      <c r="E2241" t="n">
        <v>75.84610000000001</v>
      </c>
      <c r="F2241" t="n">
        <v>0.03506</v>
      </c>
    </row>
    <row r="2242">
      <c r="A2242" t="n">
        <v>2000413</v>
      </c>
      <c r="B2242" t="n">
        <v>2</v>
      </c>
      <c r="C2242" t="n">
        <v>413</v>
      </c>
      <c r="D2242" t="n">
        <v>1</v>
      </c>
      <c r="E2242" t="n">
        <v>75.8843</v>
      </c>
      <c r="F2242" t="n">
        <v>0.03506</v>
      </c>
    </row>
    <row r="2243">
      <c r="A2243" t="n">
        <v>2000414</v>
      </c>
      <c r="B2243" t="n">
        <v>2</v>
      </c>
      <c r="C2243" t="n">
        <v>414</v>
      </c>
      <c r="D2243" t="n">
        <v>1</v>
      </c>
      <c r="E2243" t="n">
        <v>75.9224</v>
      </c>
      <c r="F2243" t="n">
        <v>0.03507</v>
      </c>
    </row>
    <row r="2244">
      <c r="A2244" t="n">
        <v>2000415</v>
      </c>
      <c r="B2244" t="n">
        <v>2</v>
      </c>
      <c r="C2244" t="n">
        <v>415</v>
      </c>
      <c r="D2244" t="n">
        <v>1</v>
      </c>
      <c r="E2244" t="n">
        <v>75.9605</v>
      </c>
      <c r="F2244" t="n">
        <v>0.03507</v>
      </c>
    </row>
    <row r="2245">
      <c r="A2245" t="n">
        <v>2000416</v>
      </c>
      <c r="B2245" t="n">
        <v>2</v>
      </c>
      <c r="C2245" t="n">
        <v>416</v>
      </c>
      <c r="D2245" t="n">
        <v>1</v>
      </c>
      <c r="E2245" t="n">
        <v>75.9986</v>
      </c>
      <c r="F2245" t="n">
        <v>0.03508</v>
      </c>
    </row>
    <row r="2246">
      <c r="A2246" t="n">
        <v>2000417</v>
      </c>
      <c r="B2246" t="n">
        <v>2</v>
      </c>
      <c r="C2246" t="n">
        <v>417</v>
      </c>
      <c r="D2246" t="n">
        <v>1</v>
      </c>
      <c r="E2246" t="n">
        <v>76.03660000000001</v>
      </c>
      <c r="F2246" t="n">
        <v>0.03509</v>
      </c>
    </row>
    <row r="2247">
      <c r="A2247" t="n">
        <v>2000418</v>
      </c>
      <c r="B2247" t="n">
        <v>2</v>
      </c>
      <c r="C2247" t="n">
        <v>418</v>
      </c>
      <c r="D2247" t="n">
        <v>1</v>
      </c>
      <c r="E2247" t="n">
        <v>76.0746</v>
      </c>
      <c r="F2247" t="n">
        <v>0.03509</v>
      </c>
    </row>
    <row r="2248">
      <c r="A2248" t="n">
        <v>2000419</v>
      </c>
      <c r="B2248" t="n">
        <v>2</v>
      </c>
      <c r="C2248" t="n">
        <v>419</v>
      </c>
      <c r="D2248" t="n">
        <v>1</v>
      </c>
      <c r="E2248" t="n">
        <v>76.1125</v>
      </c>
      <c r="F2248" t="n">
        <v>0.0351</v>
      </c>
    </row>
    <row r="2249">
      <c r="A2249" t="n">
        <v>2000420</v>
      </c>
      <c r="B2249" t="n">
        <v>2</v>
      </c>
      <c r="C2249" t="n">
        <v>420</v>
      </c>
      <c r="D2249" t="n">
        <v>1</v>
      </c>
      <c r="E2249" t="n">
        <v>76.1504</v>
      </c>
      <c r="F2249" t="n">
        <v>0.03511</v>
      </c>
    </row>
    <row r="2250">
      <c r="A2250" t="n">
        <v>2000421</v>
      </c>
      <c r="B2250" t="n">
        <v>2</v>
      </c>
      <c r="C2250" t="n">
        <v>421</v>
      </c>
      <c r="D2250" t="n">
        <v>1</v>
      </c>
      <c r="E2250" t="n">
        <v>76.1883</v>
      </c>
      <c r="F2250" t="n">
        <v>0.03511</v>
      </c>
    </row>
    <row r="2251">
      <c r="A2251" t="n">
        <v>2000422</v>
      </c>
      <c r="B2251" t="n">
        <v>2</v>
      </c>
      <c r="C2251" t="n">
        <v>422</v>
      </c>
      <c r="D2251" t="n">
        <v>1</v>
      </c>
      <c r="E2251" t="n">
        <v>76.2261</v>
      </c>
      <c r="F2251" t="n">
        <v>0.03512</v>
      </c>
    </row>
    <row r="2252">
      <c r="A2252" t="n">
        <v>2000423</v>
      </c>
      <c r="B2252" t="n">
        <v>2</v>
      </c>
      <c r="C2252" t="n">
        <v>423</v>
      </c>
      <c r="D2252" t="n">
        <v>1</v>
      </c>
      <c r="E2252" t="n">
        <v>76.26390000000001</v>
      </c>
      <c r="F2252" t="n">
        <v>0.03512</v>
      </c>
    </row>
    <row r="2253">
      <c r="A2253" t="n">
        <v>2000424</v>
      </c>
      <c r="B2253" t="n">
        <v>2</v>
      </c>
      <c r="C2253" t="n">
        <v>424</v>
      </c>
      <c r="D2253" t="n">
        <v>1</v>
      </c>
      <c r="E2253" t="n">
        <v>76.30159999999999</v>
      </c>
      <c r="F2253" t="n">
        <v>0.03513</v>
      </c>
    </row>
    <row r="2254">
      <c r="A2254" t="n">
        <v>2000425</v>
      </c>
      <c r="B2254" t="n">
        <v>2</v>
      </c>
      <c r="C2254" t="n">
        <v>425</v>
      </c>
      <c r="D2254" t="n">
        <v>1</v>
      </c>
      <c r="E2254" t="n">
        <v>76.33929999999999</v>
      </c>
      <c r="F2254" t="n">
        <v>0.03514</v>
      </c>
    </row>
    <row r="2255">
      <c r="A2255" t="n">
        <v>2000426</v>
      </c>
      <c r="B2255" t="n">
        <v>2</v>
      </c>
      <c r="C2255" t="n">
        <v>426</v>
      </c>
      <c r="D2255" t="n">
        <v>1</v>
      </c>
      <c r="E2255" t="n">
        <v>76.377</v>
      </c>
      <c r="F2255" t="n">
        <v>0.03514</v>
      </c>
    </row>
    <row r="2256">
      <c r="A2256" t="n">
        <v>2000427</v>
      </c>
      <c r="B2256" t="n">
        <v>2</v>
      </c>
      <c r="C2256" t="n">
        <v>427</v>
      </c>
      <c r="D2256" t="n">
        <v>1</v>
      </c>
      <c r="E2256" t="n">
        <v>76.41459999999999</v>
      </c>
      <c r="F2256" t="n">
        <v>0.03515</v>
      </c>
    </row>
    <row r="2257">
      <c r="A2257" t="n">
        <v>2000428</v>
      </c>
      <c r="B2257" t="n">
        <v>2</v>
      </c>
      <c r="C2257" t="n">
        <v>428</v>
      </c>
      <c r="D2257" t="n">
        <v>1</v>
      </c>
      <c r="E2257" t="n">
        <v>76.4522</v>
      </c>
      <c r="F2257" t="n">
        <v>0.03516</v>
      </c>
    </row>
    <row r="2258">
      <c r="A2258" t="n">
        <v>2000429</v>
      </c>
      <c r="B2258" t="n">
        <v>2</v>
      </c>
      <c r="C2258" t="n">
        <v>429</v>
      </c>
      <c r="D2258" t="n">
        <v>1</v>
      </c>
      <c r="E2258" t="n">
        <v>76.4897</v>
      </c>
      <c r="F2258" t="n">
        <v>0.03516</v>
      </c>
    </row>
    <row r="2259">
      <c r="A2259" t="n">
        <v>2000430</v>
      </c>
      <c r="B2259" t="n">
        <v>2</v>
      </c>
      <c r="C2259" t="n">
        <v>430</v>
      </c>
      <c r="D2259" t="n">
        <v>1</v>
      </c>
      <c r="E2259" t="n">
        <v>76.52719999999999</v>
      </c>
      <c r="F2259" t="n">
        <v>0.03517</v>
      </c>
    </row>
    <row r="2260">
      <c r="A2260" t="n">
        <v>2000431</v>
      </c>
      <c r="B2260" t="n">
        <v>2</v>
      </c>
      <c r="C2260" t="n">
        <v>431</v>
      </c>
      <c r="D2260" t="n">
        <v>1</v>
      </c>
      <c r="E2260" t="n">
        <v>76.5647</v>
      </c>
      <c r="F2260" t="n">
        <v>0.03518</v>
      </c>
    </row>
    <row r="2261">
      <c r="A2261" t="n">
        <v>2000432</v>
      </c>
      <c r="B2261" t="n">
        <v>2</v>
      </c>
      <c r="C2261" t="n">
        <v>432</v>
      </c>
      <c r="D2261" t="n">
        <v>1</v>
      </c>
      <c r="E2261" t="n">
        <v>76.60209999999999</v>
      </c>
      <c r="F2261" t="n">
        <v>0.03518</v>
      </c>
    </row>
    <row r="2262">
      <c r="A2262" t="n">
        <v>2000433</v>
      </c>
      <c r="B2262" t="n">
        <v>2</v>
      </c>
      <c r="C2262" t="n">
        <v>433</v>
      </c>
      <c r="D2262" t="n">
        <v>1</v>
      </c>
      <c r="E2262" t="n">
        <v>76.6395</v>
      </c>
      <c r="F2262" t="n">
        <v>0.03519</v>
      </c>
    </row>
    <row r="2263">
      <c r="A2263" t="n">
        <v>2000434</v>
      </c>
      <c r="B2263" t="n">
        <v>2</v>
      </c>
      <c r="C2263" t="n">
        <v>434</v>
      </c>
      <c r="D2263" t="n">
        <v>1</v>
      </c>
      <c r="E2263" t="n">
        <v>76.6769</v>
      </c>
      <c r="F2263" t="n">
        <v>0.03519</v>
      </c>
    </row>
    <row r="2264">
      <c r="A2264" t="n">
        <v>2000435</v>
      </c>
      <c r="B2264" t="n">
        <v>2</v>
      </c>
      <c r="C2264" t="n">
        <v>435</v>
      </c>
      <c r="D2264" t="n">
        <v>1</v>
      </c>
      <c r="E2264" t="n">
        <v>76.71420000000001</v>
      </c>
      <c r="F2264" t="n">
        <v>0.0352</v>
      </c>
    </row>
    <row r="2265">
      <c r="A2265" t="n">
        <v>2000436</v>
      </c>
      <c r="B2265" t="n">
        <v>2</v>
      </c>
      <c r="C2265" t="n">
        <v>436</v>
      </c>
      <c r="D2265" t="n">
        <v>1</v>
      </c>
      <c r="E2265" t="n">
        <v>76.75149999999999</v>
      </c>
      <c r="F2265" t="n">
        <v>0.03521</v>
      </c>
    </row>
    <row r="2266">
      <c r="A2266" t="n">
        <v>2000437</v>
      </c>
      <c r="B2266" t="n">
        <v>2</v>
      </c>
      <c r="C2266" t="n">
        <v>437</v>
      </c>
      <c r="D2266" t="n">
        <v>1</v>
      </c>
      <c r="E2266" t="n">
        <v>76.78870000000001</v>
      </c>
      <c r="F2266" t="n">
        <v>0.03521</v>
      </c>
    </row>
    <row r="2267">
      <c r="A2267" t="n">
        <v>2000438</v>
      </c>
      <c r="B2267" t="n">
        <v>2</v>
      </c>
      <c r="C2267" t="n">
        <v>438</v>
      </c>
      <c r="D2267" t="n">
        <v>1</v>
      </c>
      <c r="E2267" t="n">
        <v>76.8259</v>
      </c>
      <c r="F2267" t="n">
        <v>0.03522</v>
      </c>
    </row>
    <row r="2268">
      <c r="A2268" t="n">
        <v>2000439</v>
      </c>
      <c r="B2268" t="n">
        <v>2</v>
      </c>
      <c r="C2268" t="n">
        <v>439</v>
      </c>
      <c r="D2268" t="n">
        <v>1</v>
      </c>
      <c r="E2268" t="n">
        <v>76.8631</v>
      </c>
      <c r="F2268" t="n">
        <v>0.03523</v>
      </c>
    </row>
    <row r="2269">
      <c r="A2269" t="n">
        <v>2000440</v>
      </c>
      <c r="B2269" t="n">
        <v>2</v>
      </c>
      <c r="C2269" t="n">
        <v>440</v>
      </c>
      <c r="D2269" t="n">
        <v>1</v>
      </c>
      <c r="E2269" t="n">
        <v>76.9002</v>
      </c>
      <c r="F2269" t="n">
        <v>0.03523</v>
      </c>
    </row>
    <row r="2270">
      <c r="A2270" t="n">
        <v>2000441</v>
      </c>
      <c r="B2270" t="n">
        <v>2</v>
      </c>
      <c r="C2270" t="n">
        <v>441</v>
      </c>
      <c r="D2270" t="n">
        <v>1</v>
      </c>
      <c r="E2270" t="n">
        <v>76.93729999999999</v>
      </c>
      <c r="F2270" t="n">
        <v>0.03524</v>
      </c>
    </row>
    <row r="2271">
      <c r="A2271" t="n">
        <v>2000442</v>
      </c>
      <c r="B2271" t="n">
        <v>2</v>
      </c>
      <c r="C2271" t="n">
        <v>442</v>
      </c>
      <c r="D2271" t="n">
        <v>1</v>
      </c>
      <c r="E2271" t="n">
        <v>76.9744</v>
      </c>
      <c r="F2271" t="n">
        <v>0.03525</v>
      </c>
    </row>
    <row r="2272">
      <c r="A2272" t="n">
        <v>2000443</v>
      </c>
      <c r="B2272" t="n">
        <v>2</v>
      </c>
      <c r="C2272" t="n">
        <v>443</v>
      </c>
      <c r="D2272" t="n">
        <v>1</v>
      </c>
      <c r="E2272" t="n">
        <v>77.01139999999999</v>
      </c>
      <c r="F2272" t="n">
        <v>0.03525</v>
      </c>
    </row>
    <row r="2273">
      <c r="A2273" t="n">
        <v>2000444</v>
      </c>
      <c r="B2273" t="n">
        <v>2</v>
      </c>
      <c r="C2273" t="n">
        <v>444</v>
      </c>
      <c r="D2273" t="n">
        <v>1</v>
      </c>
      <c r="E2273" t="n">
        <v>77.0484</v>
      </c>
      <c r="F2273" t="n">
        <v>0.03526</v>
      </c>
    </row>
    <row r="2274">
      <c r="A2274" t="n">
        <v>2000445</v>
      </c>
      <c r="B2274" t="n">
        <v>2</v>
      </c>
      <c r="C2274" t="n">
        <v>445</v>
      </c>
      <c r="D2274" t="n">
        <v>1</v>
      </c>
      <c r="E2274" t="n">
        <v>77.0853</v>
      </c>
      <c r="F2274" t="n">
        <v>0.03527</v>
      </c>
    </row>
    <row r="2275">
      <c r="A2275" t="n">
        <v>2000446</v>
      </c>
      <c r="B2275" t="n">
        <v>2</v>
      </c>
      <c r="C2275" t="n">
        <v>446</v>
      </c>
      <c r="D2275" t="n">
        <v>1</v>
      </c>
      <c r="E2275" t="n">
        <v>77.12220000000001</v>
      </c>
      <c r="F2275" t="n">
        <v>0.03527</v>
      </c>
    </row>
    <row r="2276">
      <c r="A2276" t="n">
        <v>2000447</v>
      </c>
      <c r="B2276" t="n">
        <v>2</v>
      </c>
      <c r="C2276" t="n">
        <v>447</v>
      </c>
      <c r="D2276" t="n">
        <v>1</v>
      </c>
      <c r="E2276" t="n">
        <v>77.1591</v>
      </c>
      <c r="F2276" t="n">
        <v>0.03528</v>
      </c>
    </row>
    <row r="2277">
      <c r="A2277" t="n">
        <v>2000448</v>
      </c>
      <c r="B2277" t="n">
        <v>2</v>
      </c>
      <c r="C2277" t="n">
        <v>448</v>
      </c>
      <c r="D2277" t="n">
        <v>1</v>
      </c>
      <c r="E2277" t="n">
        <v>77.19589999999999</v>
      </c>
      <c r="F2277" t="n">
        <v>0.03529</v>
      </c>
    </row>
    <row r="2278">
      <c r="A2278" t="n">
        <v>2000449</v>
      </c>
      <c r="B2278" t="n">
        <v>2</v>
      </c>
      <c r="C2278" t="n">
        <v>449</v>
      </c>
      <c r="D2278" t="n">
        <v>1</v>
      </c>
      <c r="E2278" t="n">
        <v>77.23269999999999</v>
      </c>
      <c r="F2278" t="n">
        <v>0.03529</v>
      </c>
    </row>
    <row r="2279">
      <c r="A2279" t="n">
        <v>2000450</v>
      </c>
      <c r="B2279" t="n">
        <v>2</v>
      </c>
      <c r="C2279" t="n">
        <v>450</v>
      </c>
      <c r="D2279" t="n">
        <v>1</v>
      </c>
      <c r="E2279" t="n">
        <v>77.26949999999999</v>
      </c>
      <c r="F2279" t="n">
        <v>0.0353</v>
      </c>
    </row>
    <row r="2280">
      <c r="A2280" t="n">
        <v>2000451</v>
      </c>
      <c r="B2280" t="n">
        <v>2</v>
      </c>
      <c r="C2280" t="n">
        <v>451</v>
      </c>
      <c r="D2280" t="n">
        <v>1</v>
      </c>
      <c r="E2280" t="n">
        <v>77.3062</v>
      </c>
      <c r="F2280" t="n">
        <v>0.0353</v>
      </c>
    </row>
    <row r="2281">
      <c r="A2281" t="n">
        <v>2000452</v>
      </c>
      <c r="B2281" t="n">
        <v>2</v>
      </c>
      <c r="C2281" t="n">
        <v>452</v>
      </c>
      <c r="D2281" t="n">
        <v>1</v>
      </c>
      <c r="E2281" t="n">
        <v>77.3429</v>
      </c>
      <c r="F2281" t="n">
        <v>0.03531</v>
      </c>
    </row>
    <row r="2282">
      <c r="A2282" t="n">
        <v>2000453</v>
      </c>
      <c r="B2282" t="n">
        <v>2</v>
      </c>
      <c r="C2282" t="n">
        <v>453</v>
      </c>
      <c r="D2282" t="n">
        <v>1</v>
      </c>
      <c r="E2282" t="n">
        <v>77.3796</v>
      </c>
      <c r="F2282" t="n">
        <v>0.03532</v>
      </c>
    </row>
    <row r="2283">
      <c r="A2283" t="n">
        <v>2000454</v>
      </c>
      <c r="B2283" t="n">
        <v>2</v>
      </c>
      <c r="C2283" t="n">
        <v>454</v>
      </c>
      <c r="D2283" t="n">
        <v>1</v>
      </c>
      <c r="E2283" t="n">
        <v>77.4162</v>
      </c>
      <c r="F2283" t="n">
        <v>0.03532</v>
      </c>
    </row>
    <row r="2284">
      <c r="A2284" t="n">
        <v>2000455</v>
      </c>
      <c r="B2284" t="n">
        <v>2</v>
      </c>
      <c r="C2284" t="n">
        <v>455</v>
      </c>
      <c r="D2284" t="n">
        <v>1</v>
      </c>
      <c r="E2284" t="n">
        <v>77.4528</v>
      </c>
      <c r="F2284" t="n">
        <v>0.03533</v>
      </c>
    </row>
    <row r="2285">
      <c r="A2285" t="n">
        <v>2000456</v>
      </c>
      <c r="B2285" t="n">
        <v>2</v>
      </c>
      <c r="C2285" t="n">
        <v>456</v>
      </c>
      <c r="D2285" t="n">
        <v>1</v>
      </c>
      <c r="E2285" t="n">
        <v>77.4893</v>
      </c>
      <c r="F2285" t="n">
        <v>0.03534</v>
      </c>
    </row>
    <row r="2286">
      <c r="A2286" t="n">
        <v>2000457</v>
      </c>
      <c r="B2286" t="n">
        <v>2</v>
      </c>
      <c r="C2286" t="n">
        <v>457</v>
      </c>
      <c r="D2286" t="n">
        <v>1</v>
      </c>
      <c r="E2286" t="n">
        <v>77.5258</v>
      </c>
      <c r="F2286" t="n">
        <v>0.03534</v>
      </c>
    </row>
    <row r="2287">
      <c r="A2287" t="n">
        <v>2000458</v>
      </c>
      <c r="B2287" t="n">
        <v>2</v>
      </c>
      <c r="C2287" t="n">
        <v>458</v>
      </c>
      <c r="D2287" t="n">
        <v>1</v>
      </c>
      <c r="E2287" t="n">
        <v>77.56229999999999</v>
      </c>
      <c r="F2287" t="n">
        <v>0.03535</v>
      </c>
    </row>
    <row r="2288">
      <c r="A2288" t="n">
        <v>2000459</v>
      </c>
      <c r="B2288" t="n">
        <v>2</v>
      </c>
      <c r="C2288" t="n">
        <v>459</v>
      </c>
      <c r="D2288" t="n">
        <v>1</v>
      </c>
      <c r="E2288" t="n">
        <v>77.5988</v>
      </c>
      <c r="F2288" t="n">
        <v>0.03536</v>
      </c>
    </row>
    <row r="2289">
      <c r="A2289" t="n">
        <v>2000460</v>
      </c>
      <c r="B2289" t="n">
        <v>2</v>
      </c>
      <c r="C2289" t="n">
        <v>460</v>
      </c>
      <c r="D2289" t="n">
        <v>1</v>
      </c>
      <c r="E2289" t="n">
        <v>77.6352</v>
      </c>
      <c r="F2289" t="n">
        <v>0.03536</v>
      </c>
    </row>
    <row r="2290">
      <c r="A2290" t="n">
        <v>2000461</v>
      </c>
      <c r="B2290" t="n">
        <v>2</v>
      </c>
      <c r="C2290" t="n">
        <v>461</v>
      </c>
      <c r="D2290" t="n">
        <v>1</v>
      </c>
      <c r="E2290" t="n">
        <v>77.6716</v>
      </c>
      <c r="F2290" t="n">
        <v>0.03537</v>
      </c>
    </row>
    <row r="2291">
      <c r="A2291" t="n">
        <v>2000462</v>
      </c>
      <c r="B2291" t="n">
        <v>2</v>
      </c>
      <c r="C2291" t="n">
        <v>462</v>
      </c>
      <c r="D2291" t="n">
        <v>1</v>
      </c>
      <c r="E2291" t="n">
        <v>77.7079</v>
      </c>
      <c r="F2291" t="n">
        <v>0.03538</v>
      </c>
    </row>
    <row r="2292">
      <c r="A2292" t="n">
        <v>2000463</v>
      </c>
      <c r="B2292" t="n">
        <v>2</v>
      </c>
      <c r="C2292" t="n">
        <v>463</v>
      </c>
      <c r="D2292" t="n">
        <v>1</v>
      </c>
      <c r="E2292" t="n">
        <v>77.74420000000001</v>
      </c>
      <c r="F2292" t="n">
        <v>0.03538</v>
      </c>
    </row>
    <row r="2293">
      <c r="A2293" t="n">
        <v>2000464</v>
      </c>
      <c r="B2293" t="n">
        <v>2</v>
      </c>
      <c r="C2293" t="n">
        <v>464</v>
      </c>
      <c r="D2293" t="n">
        <v>1</v>
      </c>
      <c r="E2293" t="n">
        <v>77.7805</v>
      </c>
      <c r="F2293" t="n">
        <v>0.03539</v>
      </c>
    </row>
    <row r="2294">
      <c r="A2294" t="n">
        <v>2000465</v>
      </c>
      <c r="B2294" t="n">
        <v>2</v>
      </c>
      <c r="C2294" t="n">
        <v>465</v>
      </c>
      <c r="D2294" t="n">
        <v>1</v>
      </c>
      <c r="E2294" t="n">
        <v>77.8167</v>
      </c>
      <c r="F2294" t="n">
        <v>0.0354</v>
      </c>
    </row>
    <row r="2295">
      <c r="A2295" t="n">
        <v>2000466</v>
      </c>
      <c r="B2295" t="n">
        <v>2</v>
      </c>
      <c r="C2295" t="n">
        <v>466</v>
      </c>
      <c r="D2295" t="n">
        <v>1</v>
      </c>
      <c r="E2295" t="n">
        <v>77.85290000000001</v>
      </c>
      <c r="F2295" t="n">
        <v>0.0354</v>
      </c>
    </row>
    <row r="2296">
      <c r="A2296" t="n">
        <v>2000467</v>
      </c>
      <c r="B2296" t="n">
        <v>2</v>
      </c>
      <c r="C2296" t="n">
        <v>467</v>
      </c>
      <c r="D2296" t="n">
        <v>1</v>
      </c>
      <c r="E2296" t="n">
        <v>77.8891</v>
      </c>
      <c r="F2296" t="n">
        <v>0.03541</v>
      </c>
    </row>
    <row r="2297">
      <c r="A2297" t="n">
        <v>2000468</v>
      </c>
      <c r="B2297" t="n">
        <v>2</v>
      </c>
      <c r="C2297" t="n">
        <v>468</v>
      </c>
      <c r="D2297" t="n">
        <v>1</v>
      </c>
      <c r="E2297" t="n">
        <v>77.9252</v>
      </c>
      <c r="F2297" t="n">
        <v>0.03542</v>
      </c>
    </row>
    <row r="2298">
      <c r="A2298" t="n">
        <v>2000469</v>
      </c>
      <c r="B2298" t="n">
        <v>2</v>
      </c>
      <c r="C2298" t="n">
        <v>469</v>
      </c>
      <c r="D2298" t="n">
        <v>1</v>
      </c>
      <c r="E2298" t="n">
        <v>77.96129999999999</v>
      </c>
      <c r="F2298" t="n">
        <v>0.03543</v>
      </c>
    </row>
    <row r="2299">
      <c r="A2299" t="n">
        <v>2000470</v>
      </c>
      <c r="B2299" t="n">
        <v>2</v>
      </c>
      <c r="C2299" t="n">
        <v>470</v>
      </c>
      <c r="D2299" t="n">
        <v>1</v>
      </c>
      <c r="E2299" t="n">
        <v>77.9974</v>
      </c>
      <c r="F2299" t="n">
        <v>0.03543</v>
      </c>
    </row>
    <row r="2300">
      <c r="A2300" t="n">
        <v>2000471</v>
      </c>
      <c r="B2300" t="n">
        <v>2</v>
      </c>
      <c r="C2300" t="n">
        <v>471</v>
      </c>
      <c r="D2300" t="n">
        <v>1</v>
      </c>
      <c r="E2300" t="n">
        <v>78.0334</v>
      </c>
      <c r="F2300" t="n">
        <v>0.03544</v>
      </c>
    </row>
    <row r="2301">
      <c r="A2301" t="n">
        <v>2000472</v>
      </c>
      <c r="B2301" t="n">
        <v>2</v>
      </c>
      <c r="C2301" t="n">
        <v>472</v>
      </c>
      <c r="D2301" t="n">
        <v>1</v>
      </c>
      <c r="E2301" t="n">
        <v>78.0694</v>
      </c>
      <c r="F2301" t="n">
        <v>0.03545</v>
      </c>
    </row>
    <row r="2302">
      <c r="A2302" t="n">
        <v>2000473</v>
      </c>
      <c r="B2302" t="n">
        <v>2</v>
      </c>
      <c r="C2302" t="n">
        <v>473</v>
      </c>
      <c r="D2302" t="n">
        <v>1</v>
      </c>
      <c r="E2302" t="n">
        <v>78.1054</v>
      </c>
      <c r="F2302" t="n">
        <v>0.03545</v>
      </c>
    </row>
    <row r="2303">
      <c r="A2303" t="n">
        <v>2000474</v>
      </c>
      <c r="B2303" t="n">
        <v>2</v>
      </c>
      <c r="C2303" t="n">
        <v>474</v>
      </c>
      <c r="D2303" t="n">
        <v>1</v>
      </c>
      <c r="E2303" t="n">
        <v>78.1413</v>
      </c>
      <c r="F2303" t="n">
        <v>0.03546</v>
      </c>
    </row>
    <row r="2304">
      <c r="A2304" t="n">
        <v>2000475</v>
      </c>
      <c r="B2304" t="n">
        <v>2</v>
      </c>
      <c r="C2304" t="n">
        <v>475</v>
      </c>
      <c r="D2304" t="n">
        <v>1</v>
      </c>
      <c r="E2304" t="n">
        <v>78.1772</v>
      </c>
      <c r="F2304" t="n">
        <v>0.03547</v>
      </c>
    </row>
    <row r="2305">
      <c r="A2305" t="n">
        <v>2000476</v>
      </c>
      <c r="B2305" t="n">
        <v>2</v>
      </c>
      <c r="C2305" t="n">
        <v>476</v>
      </c>
      <c r="D2305" t="n">
        <v>1</v>
      </c>
      <c r="E2305" t="n">
        <v>78.2131</v>
      </c>
      <c r="F2305" t="n">
        <v>0.03547</v>
      </c>
    </row>
    <row r="2306">
      <c r="A2306" t="n">
        <v>2000477</v>
      </c>
      <c r="B2306" t="n">
        <v>2</v>
      </c>
      <c r="C2306" t="n">
        <v>477</v>
      </c>
      <c r="D2306" t="n">
        <v>1</v>
      </c>
      <c r="E2306" t="n">
        <v>78.249</v>
      </c>
      <c r="F2306" t="n">
        <v>0.03548</v>
      </c>
    </row>
    <row r="2307">
      <c r="A2307" t="n">
        <v>2000478</v>
      </c>
      <c r="B2307" t="n">
        <v>2</v>
      </c>
      <c r="C2307" t="n">
        <v>478</v>
      </c>
      <c r="D2307" t="n">
        <v>1</v>
      </c>
      <c r="E2307" t="n">
        <v>78.2848</v>
      </c>
      <c r="F2307" t="n">
        <v>0.03549</v>
      </c>
    </row>
    <row r="2308">
      <c r="A2308" t="n">
        <v>2000479</v>
      </c>
      <c r="B2308" t="n">
        <v>2</v>
      </c>
      <c r="C2308" t="n">
        <v>479</v>
      </c>
      <c r="D2308" t="n">
        <v>1</v>
      </c>
      <c r="E2308" t="n">
        <v>78.3205</v>
      </c>
      <c r="F2308" t="n">
        <v>0.03549</v>
      </c>
    </row>
    <row r="2309">
      <c r="A2309" t="n">
        <v>2000480</v>
      </c>
      <c r="B2309" t="n">
        <v>2</v>
      </c>
      <c r="C2309" t="n">
        <v>480</v>
      </c>
      <c r="D2309" t="n">
        <v>1</v>
      </c>
      <c r="E2309" t="n">
        <v>78.3563</v>
      </c>
      <c r="F2309" t="n">
        <v>0.0355</v>
      </c>
    </row>
    <row r="2310">
      <c r="A2310" t="n">
        <v>2000481</v>
      </c>
      <c r="B2310" t="n">
        <v>2</v>
      </c>
      <c r="C2310" t="n">
        <v>481</v>
      </c>
      <c r="D2310" t="n">
        <v>1</v>
      </c>
      <c r="E2310" t="n">
        <v>78.392</v>
      </c>
      <c r="F2310" t="n">
        <v>0.03551</v>
      </c>
    </row>
    <row r="2311">
      <c r="A2311" t="n">
        <v>2000482</v>
      </c>
      <c r="B2311" t="n">
        <v>2</v>
      </c>
      <c r="C2311" t="n">
        <v>482</v>
      </c>
      <c r="D2311" t="n">
        <v>1</v>
      </c>
      <c r="E2311" t="n">
        <v>78.4276</v>
      </c>
      <c r="F2311" t="n">
        <v>0.03551</v>
      </c>
    </row>
    <row r="2312">
      <c r="A2312" t="n">
        <v>2000483</v>
      </c>
      <c r="B2312" t="n">
        <v>2</v>
      </c>
      <c r="C2312" t="n">
        <v>483</v>
      </c>
      <c r="D2312" t="n">
        <v>1</v>
      </c>
      <c r="E2312" t="n">
        <v>78.4633</v>
      </c>
      <c r="F2312" t="n">
        <v>0.03552</v>
      </c>
    </row>
    <row r="2313">
      <c r="A2313" t="n">
        <v>2000484</v>
      </c>
      <c r="B2313" t="n">
        <v>2</v>
      </c>
      <c r="C2313" t="n">
        <v>484</v>
      </c>
      <c r="D2313" t="n">
        <v>1</v>
      </c>
      <c r="E2313" t="n">
        <v>78.49890000000001</v>
      </c>
      <c r="F2313" t="n">
        <v>0.03553</v>
      </c>
    </row>
    <row r="2314">
      <c r="A2314" t="n">
        <v>2000485</v>
      </c>
      <c r="B2314" t="n">
        <v>2</v>
      </c>
      <c r="C2314" t="n">
        <v>485</v>
      </c>
      <c r="D2314" t="n">
        <v>1</v>
      </c>
      <c r="E2314" t="n">
        <v>78.53449999999999</v>
      </c>
      <c r="F2314" t="n">
        <v>0.03553</v>
      </c>
    </row>
    <row r="2315">
      <c r="A2315" t="n">
        <v>2000486</v>
      </c>
      <c r="B2315" t="n">
        <v>2</v>
      </c>
      <c r="C2315" t="n">
        <v>486</v>
      </c>
      <c r="D2315" t="n">
        <v>1</v>
      </c>
      <c r="E2315" t="n">
        <v>78.56999999999999</v>
      </c>
      <c r="F2315" t="n">
        <v>0.03554</v>
      </c>
    </row>
    <row r="2316">
      <c r="A2316" t="n">
        <v>2000487</v>
      </c>
      <c r="B2316" t="n">
        <v>2</v>
      </c>
      <c r="C2316" t="n">
        <v>487</v>
      </c>
      <c r="D2316" t="n">
        <v>1</v>
      </c>
      <c r="E2316" t="n">
        <v>78.60550000000001</v>
      </c>
      <c r="F2316" t="n">
        <v>0.03555</v>
      </c>
    </row>
    <row r="2317">
      <c r="A2317" t="n">
        <v>2000488</v>
      </c>
      <c r="B2317" t="n">
        <v>2</v>
      </c>
      <c r="C2317" t="n">
        <v>488</v>
      </c>
      <c r="D2317" t="n">
        <v>1</v>
      </c>
      <c r="E2317" t="n">
        <v>78.64100000000001</v>
      </c>
      <c r="F2317" t="n">
        <v>0.03556</v>
      </c>
    </row>
    <row r="2318">
      <c r="A2318" t="n">
        <v>2000489</v>
      </c>
      <c r="B2318" t="n">
        <v>2</v>
      </c>
      <c r="C2318" t="n">
        <v>489</v>
      </c>
      <c r="D2318" t="n">
        <v>1</v>
      </c>
      <c r="E2318" t="n">
        <v>78.6764</v>
      </c>
      <c r="F2318" t="n">
        <v>0.03556</v>
      </c>
    </row>
    <row r="2319">
      <c r="A2319" t="n">
        <v>2000490</v>
      </c>
      <c r="B2319" t="n">
        <v>2</v>
      </c>
      <c r="C2319" t="n">
        <v>490</v>
      </c>
      <c r="D2319" t="n">
        <v>1</v>
      </c>
      <c r="E2319" t="n">
        <v>78.7118</v>
      </c>
      <c r="F2319" t="n">
        <v>0.03557</v>
      </c>
    </row>
    <row r="2320">
      <c r="A2320" t="n">
        <v>2000491</v>
      </c>
      <c r="B2320" t="n">
        <v>2</v>
      </c>
      <c r="C2320" t="n">
        <v>491</v>
      </c>
      <c r="D2320" t="n">
        <v>1</v>
      </c>
      <c r="E2320" t="n">
        <v>78.74720000000001</v>
      </c>
      <c r="F2320" t="n">
        <v>0.03558</v>
      </c>
    </row>
    <row r="2321">
      <c r="A2321" t="n">
        <v>2000492</v>
      </c>
      <c r="B2321" t="n">
        <v>2</v>
      </c>
      <c r="C2321" t="n">
        <v>492</v>
      </c>
      <c r="D2321" t="n">
        <v>1</v>
      </c>
      <c r="E2321" t="n">
        <v>78.7826</v>
      </c>
      <c r="F2321" t="n">
        <v>0.03558</v>
      </c>
    </row>
    <row r="2322">
      <c r="A2322" t="n">
        <v>2000493</v>
      </c>
      <c r="B2322" t="n">
        <v>2</v>
      </c>
      <c r="C2322" t="n">
        <v>493</v>
      </c>
      <c r="D2322" t="n">
        <v>1</v>
      </c>
      <c r="E2322" t="n">
        <v>78.81789999999999</v>
      </c>
      <c r="F2322" t="n">
        <v>0.03559</v>
      </c>
    </row>
    <row r="2323">
      <c r="A2323" t="n">
        <v>2000494</v>
      </c>
      <c r="B2323" t="n">
        <v>2</v>
      </c>
      <c r="C2323" t="n">
        <v>494</v>
      </c>
      <c r="D2323" t="n">
        <v>1</v>
      </c>
      <c r="E2323" t="n">
        <v>78.8532</v>
      </c>
      <c r="F2323" t="n">
        <v>0.0356</v>
      </c>
    </row>
    <row r="2324">
      <c r="A2324" t="n">
        <v>2000495</v>
      </c>
      <c r="B2324" t="n">
        <v>2</v>
      </c>
      <c r="C2324" t="n">
        <v>495</v>
      </c>
      <c r="D2324" t="n">
        <v>1</v>
      </c>
      <c r="E2324" t="n">
        <v>78.8884</v>
      </c>
      <c r="F2324" t="n">
        <v>0.0356</v>
      </c>
    </row>
    <row r="2325">
      <c r="A2325" t="n">
        <v>2000496</v>
      </c>
      <c r="B2325" t="n">
        <v>2</v>
      </c>
      <c r="C2325" t="n">
        <v>496</v>
      </c>
      <c r="D2325" t="n">
        <v>1</v>
      </c>
      <c r="E2325" t="n">
        <v>78.92359999999999</v>
      </c>
      <c r="F2325" t="n">
        <v>0.03561</v>
      </c>
    </row>
    <row r="2326">
      <c r="A2326" t="n">
        <v>2000497</v>
      </c>
      <c r="B2326" t="n">
        <v>2</v>
      </c>
      <c r="C2326" t="n">
        <v>497</v>
      </c>
      <c r="D2326" t="n">
        <v>1</v>
      </c>
      <c r="E2326" t="n">
        <v>78.9588</v>
      </c>
      <c r="F2326" t="n">
        <v>0.03562</v>
      </c>
    </row>
    <row r="2327">
      <c r="A2327" t="n">
        <v>2000498</v>
      </c>
      <c r="B2327" t="n">
        <v>2</v>
      </c>
      <c r="C2327" t="n">
        <v>498</v>
      </c>
      <c r="D2327" t="n">
        <v>1</v>
      </c>
      <c r="E2327" t="n">
        <v>78.994</v>
      </c>
      <c r="F2327" t="n">
        <v>0.03562</v>
      </c>
    </row>
    <row r="2328">
      <c r="A2328" t="n">
        <v>2000499</v>
      </c>
      <c r="B2328" t="n">
        <v>2</v>
      </c>
      <c r="C2328" t="n">
        <v>499</v>
      </c>
      <c r="D2328" t="n">
        <v>1</v>
      </c>
      <c r="E2328" t="n">
        <v>79.0291</v>
      </c>
      <c r="F2328" t="n">
        <v>0.03563</v>
      </c>
    </row>
    <row r="2329">
      <c r="A2329" t="n">
        <v>2000500</v>
      </c>
      <c r="B2329" t="n">
        <v>2</v>
      </c>
      <c r="C2329" t="n">
        <v>500</v>
      </c>
      <c r="D2329" t="n">
        <v>1</v>
      </c>
      <c r="E2329" t="n">
        <v>79.0642</v>
      </c>
      <c r="F2329" t="n">
        <v>0.03564</v>
      </c>
    </row>
    <row r="2330">
      <c r="A2330" t="n">
        <v>2000501</v>
      </c>
      <c r="B2330" t="n">
        <v>2</v>
      </c>
      <c r="C2330" t="n">
        <v>501</v>
      </c>
      <c r="D2330" t="n">
        <v>1</v>
      </c>
      <c r="E2330" t="n">
        <v>79.0993</v>
      </c>
      <c r="F2330" t="n">
        <v>0.03565</v>
      </c>
    </row>
    <row r="2331">
      <c r="A2331" t="n">
        <v>2000502</v>
      </c>
      <c r="B2331" t="n">
        <v>2</v>
      </c>
      <c r="C2331" t="n">
        <v>502</v>
      </c>
      <c r="D2331" t="n">
        <v>1</v>
      </c>
      <c r="E2331" t="n">
        <v>79.1343</v>
      </c>
      <c r="F2331" t="n">
        <v>0.03565</v>
      </c>
    </row>
    <row r="2332">
      <c r="A2332" t="n">
        <v>2000503</v>
      </c>
      <c r="B2332" t="n">
        <v>2</v>
      </c>
      <c r="C2332" t="n">
        <v>503</v>
      </c>
      <c r="D2332" t="n">
        <v>1</v>
      </c>
      <c r="E2332" t="n">
        <v>79.16930000000001</v>
      </c>
      <c r="F2332" t="n">
        <v>0.03566</v>
      </c>
    </row>
    <row r="2333">
      <c r="A2333" t="n">
        <v>2000504</v>
      </c>
      <c r="B2333" t="n">
        <v>2</v>
      </c>
      <c r="C2333" t="n">
        <v>504</v>
      </c>
      <c r="D2333" t="n">
        <v>1</v>
      </c>
      <c r="E2333" t="n">
        <v>79.2042</v>
      </c>
      <c r="F2333" t="n">
        <v>0.03567</v>
      </c>
    </row>
    <row r="2334">
      <c r="A2334" t="n">
        <v>2000505</v>
      </c>
      <c r="B2334" t="n">
        <v>2</v>
      </c>
      <c r="C2334" t="n">
        <v>505</v>
      </c>
      <c r="D2334" t="n">
        <v>1</v>
      </c>
      <c r="E2334" t="n">
        <v>79.2392</v>
      </c>
      <c r="F2334" t="n">
        <v>0.03567</v>
      </c>
    </row>
    <row r="2335">
      <c r="A2335" t="n">
        <v>2000506</v>
      </c>
      <c r="B2335" t="n">
        <v>2</v>
      </c>
      <c r="C2335" t="n">
        <v>506</v>
      </c>
      <c r="D2335" t="n">
        <v>1</v>
      </c>
      <c r="E2335" t="n">
        <v>79.2741</v>
      </c>
      <c r="F2335" t="n">
        <v>0.03568</v>
      </c>
    </row>
    <row r="2336">
      <c r="A2336" t="n">
        <v>2000507</v>
      </c>
      <c r="B2336" t="n">
        <v>2</v>
      </c>
      <c r="C2336" t="n">
        <v>507</v>
      </c>
      <c r="D2336" t="n">
        <v>1</v>
      </c>
      <c r="E2336" t="n">
        <v>79.30889999999999</v>
      </c>
      <c r="F2336" t="n">
        <v>0.03569</v>
      </c>
    </row>
    <row r="2337">
      <c r="A2337" t="n">
        <v>2000508</v>
      </c>
      <c r="B2337" t="n">
        <v>2</v>
      </c>
      <c r="C2337" t="n">
        <v>508</v>
      </c>
      <c r="D2337" t="n">
        <v>1</v>
      </c>
      <c r="E2337" t="n">
        <v>79.3438</v>
      </c>
      <c r="F2337" t="n">
        <v>0.03569</v>
      </c>
    </row>
    <row r="2338">
      <c r="A2338" t="n">
        <v>2000509</v>
      </c>
      <c r="B2338" t="n">
        <v>2</v>
      </c>
      <c r="C2338" t="n">
        <v>509</v>
      </c>
      <c r="D2338" t="n">
        <v>1</v>
      </c>
      <c r="E2338" t="n">
        <v>79.37860000000001</v>
      </c>
      <c r="F2338" t="n">
        <v>0.0357</v>
      </c>
    </row>
    <row r="2339">
      <c r="A2339" t="n">
        <v>2000510</v>
      </c>
      <c r="B2339" t="n">
        <v>2</v>
      </c>
      <c r="C2339" t="n">
        <v>510</v>
      </c>
      <c r="D2339" t="n">
        <v>1</v>
      </c>
      <c r="E2339" t="n">
        <v>79.4134</v>
      </c>
      <c r="F2339" t="n">
        <v>0.03571</v>
      </c>
    </row>
    <row r="2340">
      <c r="A2340" t="n">
        <v>2000511</v>
      </c>
      <c r="B2340" t="n">
        <v>2</v>
      </c>
      <c r="C2340" t="n">
        <v>511</v>
      </c>
      <c r="D2340" t="n">
        <v>1</v>
      </c>
      <c r="E2340" t="n">
        <v>79.4481</v>
      </c>
      <c r="F2340" t="n">
        <v>0.03572</v>
      </c>
    </row>
    <row r="2341">
      <c r="A2341" t="n">
        <v>2000512</v>
      </c>
      <c r="B2341" t="n">
        <v>2</v>
      </c>
      <c r="C2341" t="n">
        <v>512</v>
      </c>
      <c r="D2341" t="n">
        <v>1</v>
      </c>
      <c r="E2341" t="n">
        <v>79.4828</v>
      </c>
      <c r="F2341" t="n">
        <v>0.03572</v>
      </c>
    </row>
    <row r="2342">
      <c r="A2342" t="n">
        <v>2000513</v>
      </c>
      <c r="B2342" t="n">
        <v>2</v>
      </c>
      <c r="C2342" t="n">
        <v>513</v>
      </c>
      <c r="D2342" t="n">
        <v>1</v>
      </c>
      <c r="E2342" t="n">
        <v>79.5175</v>
      </c>
      <c r="F2342" t="n">
        <v>0.03573</v>
      </c>
    </row>
    <row r="2343">
      <c r="A2343" t="n">
        <v>2000514</v>
      </c>
      <c r="B2343" t="n">
        <v>2</v>
      </c>
      <c r="C2343" t="n">
        <v>514</v>
      </c>
      <c r="D2343" t="n">
        <v>1</v>
      </c>
      <c r="E2343" t="n">
        <v>79.5521</v>
      </c>
      <c r="F2343" t="n">
        <v>0.03574</v>
      </c>
    </row>
    <row r="2344">
      <c r="A2344" t="n">
        <v>2000515</v>
      </c>
      <c r="B2344" t="n">
        <v>2</v>
      </c>
      <c r="C2344" t="n">
        <v>515</v>
      </c>
      <c r="D2344" t="n">
        <v>1</v>
      </c>
      <c r="E2344" t="n">
        <v>79.5868</v>
      </c>
      <c r="F2344" t="n">
        <v>0.03574</v>
      </c>
    </row>
    <row r="2345">
      <c r="A2345" t="n">
        <v>2000516</v>
      </c>
      <c r="B2345" t="n">
        <v>2</v>
      </c>
      <c r="C2345" t="n">
        <v>516</v>
      </c>
      <c r="D2345" t="n">
        <v>1</v>
      </c>
      <c r="E2345" t="n">
        <v>79.62130000000001</v>
      </c>
      <c r="F2345" t="n">
        <v>0.03575</v>
      </c>
    </row>
    <row r="2346">
      <c r="A2346" t="n">
        <v>2000517</v>
      </c>
      <c r="B2346" t="n">
        <v>2</v>
      </c>
      <c r="C2346" t="n">
        <v>517</v>
      </c>
      <c r="D2346" t="n">
        <v>1</v>
      </c>
      <c r="E2346" t="n">
        <v>79.6559</v>
      </c>
      <c r="F2346" t="n">
        <v>0.03576</v>
      </c>
    </row>
    <row r="2347">
      <c r="A2347" t="n">
        <v>2000518</v>
      </c>
      <c r="B2347" t="n">
        <v>2</v>
      </c>
      <c r="C2347" t="n">
        <v>518</v>
      </c>
      <c r="D2347" t="n">
        <v>1</v>
      </c>
      <c r="E2347" t="n">
        <v>79.6904</v>
      </c>
      <c r="F2347" t="n">
        <v>0.03577</v>
      </c>
    </row>
    <row r="2348">
      <c r="A2348" t="n">
        <v>2000519</v>
      </c>
      <c r="B2348" t="n">
        <v>2</v>
      </c>
      <c r="C2348" t="n">
        <v>519</v>
      </c>
      <c r="D2348" t="n">
        <v>1</v>
      </c>
      <c r="E2348" t="n">
        <v>79.72490000000001</v>
      </c>
      <c r="F2348" t="n">
        <v>0.03577</v>
      </c>
    </row>
    <row r="2349">
      <c r="A2349" t="n">
        <v>2000520</v>
      </c>
      <c r="B2349" t="n">
        <v>2</v>
      </c>
      <c r="C2349" t="n">
        <v>520</v>
      </c>
      <c r="D2349" t="n">
        <v>1</v>
      </c>
      <c r="E2349" t="n">
        <v>79.7594</v>
      </c>
      <c r="F2349" t="n">
        <v>0.03578</v>
      </c>
    </row>
    <row r="2350">
      <c r="A2350" t="n">
        <v>2000521</v>
      </c>
      <c r="B2350" t="n">
        <v>2</v>
      </c>
      <c r="C2350" t="n">
        <v>521</v>
      </c>
      <c r="D2350" t="n">
        <v>1</v>
      </c>
      <c r="E2350" t="n">
        <v>79.7938</v>
      </c>
      <c r="F2350" t="n">
        <v>0.03579</v>
      </c>
    </row>
    <row r="2351">
      <c r="A2351" t="n">
        <v>2000522</v>
      </c>
      <c r="B2351" t="n">
        <v>2</v>
      </c>
      <c r="C2351" t="n">
        <v>522</v>
      </c>
      <c r="D2351" t="n">
        <v>1</v>
      </c>
      <c r="E2351" t="n">
        <v>79.8282</v>
      </c>
      <c r="F2351" t="n">
        <v>0.03579</v>
      </c>
    </row>
    <row r="2352">
      <c r="A2352" t="n">
        <v>2000523</v>
      </c>
      <c r="B2352" t="n">
        <v>2</v>
      </c>
      <c r="C2352" t="n">
        <v>523</v>
      </c>
      <c r="D2352" t="n">
        <v>1</v>
      </c>
      <c r="E2352" t="n">
        <v>79.8626</v>
      </c>
      <c r="F2352" t="n">
        <v>0.0358</v>
      </c>
    </row>
    <row r="2353">
      <c r="A2353" t="n">
        <v>2000524</v>
      </c>
      <c r="B2353" t="n">
        <v>2</v>
      </c>
      <c r="C2353" t="n">
        <v>524</v>
      </c>
      <c r="D2353" t="n">
        <v>1</v>
      </c>
      <c r="E2353" t="n">
        <v>79.8969</v>
      </c>
      <c r="F2353" t="n">
        <v>0.03581</v>
      </c>
    </row>
    <row r="2354">
      <c r="A2354" t="n">
        <v>2000525</v>
      </c>
      <c r="B2354" t="n">
        <v>2</v>
      </c>
      <c r="C2354" t="n">
        <v>525</v>
      </c>
      <c r="D2354" t="n">
        <v>1</v>
      </c>
      <c r="E2354" t="n">
        <v>79.9312</v>
      </c>
      <c r="F2354" t="n">
        <v>0.03582</v>
      </c>
    </row>
    <row r="2355">
      <c r="A2355" t="n">
        <v>2000526</v>
      </c>
      <c r="B2355" t="n">
        <v>2</v>
      </c>
      <c r="C2355" t="n">
        <v>526</v>
      </c>
      <c r="D2355" t="n">
        <v>1</v>
      </c>
      <c r="E2355" t="n">
        <v>79.96550000000001</v>
      </c>
      <c r="F2355" t="n">
        <v>0.03582</v>
      </c>
    </row>
    <row r="2356">
      <c r="A2356" t="n">
        <v>2000527</v>
      </c>
      <c r="B2356" t="n">
        <v>2</v>
      </c>
      <c r="C2356" t="n">
        <v>527</v>
      </c>
      <c r="D2356" t="n">
        <v>1</v>
      </c>
      <c r="E2356" t="n">
        <v>79.99979999999999</v>
      </c>
      <c r="F2356" t="n">
        <v>0.03583</v>
      </c>
    </row>
    <row r="2357">
      <c r="A2357" t="n">
        <v>2000528</v>
      </c>
      <c r="B2357" t="n">
        <v>2</v>
      </c>
      <c r="C2357" t="n">
        <v>528</v>
      </c>
      <c r="D2357" t="n">
        <v>1</v>
      </c>
      <c r="E2357" t="n">
        <v>80.03400000000001</v>
      </c>
      <c r="F2357" t="n">
        <v>0.03584</v>
      </c>
    </row>
    <row r="2358">
      <c r="A2358" t="n">
        <v>2000529</v>
      </c>
      <c r="B2358" t="n">
        <v>2</v>
      </c>
      <c r="C2358" t="n">
        <v>529</v>
      </c>
      <c r="D2358" t="n">
        <v>1</v>
      </c>
      <c r="E2358" t="n">
        <v>80.0682</v>
      </c>
      <c r="F2358" t="n">
        <v>0.03584</v>
      </c>
    </row>
    <row r="2359">
      <c r="A2359" t="n">
        <v>2000530</v>
      </c>
      <c r="B2359" t="n">
        <v>2</v>
      </c>
      <c r="C2359" t="n">
        <v>530</v>
      </c>
      <c r="D2359" t="n">
        <v>1</v>
      </c>
      <c r="E2359" t="n">
        <v>80.1023</v>
      </c>
      <c r="F2359" t="n">
        <v>0.03585</v>
      </c>
    </row>
    <row r="2360">
      <c r="A2360" t="n">
        <v>2000531</v>
      </c>
      <c r="B2360" t="n">
        <v>2</v>
      </c>
      <c r="C2360" t="n">
        <v>531</v>
      </c>
      <c r="D2360" t="n">
        <v>1</v>
      </c>
      <c r="E2360" t="n">
        <v>80.1365</v>
      </c>
      <c r="F2360" t="n">
        <v>0.03586</v>
      </c>
    </row>
    <row r="2361">
      <c r="A2361" t="n">
        <v>2000532</v>
      </c>
      <c r="B2361" t="n">
        <v>2</v>
      </c>
      <c r="C2361" t="n">
        <v>532</v>
      </c>
      <c r="D2361" t="n">
        <v>1</v>
      </c>
      <c r="E2361" t="n">
        <v>80.17059999999999</v>
      </c>
      <c r="F2361" t="n">
        <v>0.03587</v>
      </c>
    </row>
    <row r="2362">
      <c r="A2362" t="n">
        <v>2000533</v>
      </c>
      <c r="B2362" t="n">
        <v>2</v>
      </c>
      <c r="C2362" t="n">
        <v>533</v>
      </c>
      <c r="D2362" t="n">
        <v>1</v>
      </c>
      <c r="E2362" t="n">
        <v>80.2046</v>
      </c>
      <c r="F2362" t="n">
        <v>0.03587</v>
      </c>
    </row>
    <row r="2363">
      <c r="A2363" t="n">
        <v>2000534</v>
      </c>
      <c r="B2363" t="n">
        <v>2</v>
      </c>
      <c r="C2363" t="n">
        <v>534</v>
      </c>
      <c r="D2363" t="n">
        <v>1</v>
      </c>
      <c r="E2363" t="n">
        <v>80.23869999999999</v>
      </c>
      <c r="F2363" t="n">
        <v>0.03588</v>
      </c>
    </row>
    <row r="2364">
      <c r="A2364" t="n">
        <v>2000535</v>
      </c>
      <c r="B2364" t="n">
        <v>2</v>
      </c>
      <c r="C2364" t="n">
        <v>535</v>
      </c>
      <c r="D2364" t="n">
        <v>1</v>
      </c>
      <c r="E2364" t="n">
        <v>80.2727</v>
      </c>
      <c r="F2364" t="n">
        <v>0.03589</v>
      </c>
    </row>
    <row r="2365">
      <c r="A2365" t="n">
        <v>2000536</v>
      </c>
      <c r="B2365" t="n">
        <v>2</v>
      </c>
      <c r="C2365" t="n">
        <v>536</v>
      </c>
      <c r="D2365" t="n">
        <v>1</v>
      </c>
      <c r="E2365" t="n">
        <v>80.30670000000001</v>
      </c>
      <c r="F2365" t="n">
        <v>0.03589</v>
      </c>
    </row>
    <row r="2366">
      <c r="A2366" t="n">
        <v>2000537</v>
      </c>
      <c r="B2366" t="n">
        <v>2</v>
      </c>
      <c r="C2366" t="n">
        <v>537</v>
      </c>
      <c r="D2366" t="n">
        <v>1</v>
      </c>
      <c r="E2366" t="n">
        <v>80.34059999999999</v>
      </c>
      <c r="F2366" t="n">
        <v>0.0359</v>
      </c>
    </row>
    <row r="2367">
      <c r="A2367" t="n">
        <v>2000538</v>
      </c>
      <c r="B2367" t="n">
        <v>2</v>
      </c>
      <c r="C2367" t="n">
        <v>538</v>
      </c>
      <c r="D2367" t="n">
        <v>1</v>
      </c>
      <c r="E2367" t="n">
        <v>80.3745</v>
      </c>
      <c r="F2367" t="n">
        <v>0.03591</v>
      </c>
    </row>
    <row r="2368">
      <c r="A2368" t="n">
        <v>2000539</v>
      </c>
      <c r="B2368" t="n">
        <v>2</v>
      </c>
      <c r="C2368" t="n">
        <v>539</v>
      </c>
      <c r="D2368" t="n">
        <v>1</v>
      </c>
      <c r="E2368" t="n">
        <v>80.4084</v>
      </c>
      <c r="F2368" t="n">
        <v>0.03592</v>
      </c>
    </row>
    <row r="2369">
      <c r="A2369" t="n">
        <v>2000540</v>
      </c>
      <c r="B2369" t="n">
        <v>2</v>
      </c>
      <c r="C2369" t="n">
        <v>540</v>
      </c>
      <c r="D2369" t="n">
        <v>1</v>
      </c>
      <c r="E2369" t="n">
        <v>80.4423</v>
      </c>
      <c r="F2369" t="n">
        <v>0.03592</v>
      </c>
    </row>
    <row r="2370">
      <c r="A2370" t="n">
        <v>2000541</v>
      </c>
      <c r="B2370" t="n">
        <v>2</v>
      </c>
      <c r="C2370" t="n">
        <v>541</v>
      </c>
      <c r="D2370" t="n">
        <v>1</v>
      </c>
      <c r="E2370" t="n">
        <v>80.4761</v>
      </c>
      <c r="F2370" t="n">
        <v>0.03593</v>
      </c>
    </row>
    <row r="2371">
      <c r="A2371" t="n">
        <v>2000542</v>
      </c>
      <c r="B2371" t="n">
        <v>2</v>
      </c>
      <c r="C2371" t="n">
        <v>542</v>
      </c>
      <c r="D2371" t="n">
        <v>1</v>
      </c>
      <c r="E2371" t="n">
        <v>80.5099</v>
      </c>
      <c r="F2371" t="n">
        <v>0.03594</v>
      </c>
    </row>
    <row r="2372">
      <c r="A2372" t="n">
        <v>2000543</v>
      </c>
      <c r="B2372" t="n">
        <v>2</v>
      </c>
      <c r="C2372" t="n">
        <v>543</v>
      </c>
      <c r="D2372" t="n">
        <v>1</v>
      </c>
      <c r="E2372" t="n">
        <v>80.5437</v>
      </c>
      <c r="F2372" t="n">
        <v>0.03594</v>
      </c>
    </row>
    <row r="2373">
      <c r="A2373" t="n">
        <v>2000544</v>
      </c>
      <c r="B2373" t="n">
        <v>2</v>
      </c>
      <c r="C2373" t="n">
        <v>544</v>
      </c>
      <c r="D2373" t="n">
        <v>1</v>
      </c>
      <c r="E2373" t="n">
        <v>80.5774</v>
      </c>
      <c r="F2373" t="n">
        <v>0.03595</v>
      </c>
    </row>
    <row r="2374">
      <c r="A2374" t="n">
        <v>2000545</v>
      </c>
      <c r="B2374" t="n">
        <v>2</v>
      </c>
      <c r="C2374" t="n">
        <v>545</v>
      </c>
      <c r="D2374" t="n">
        <v>1</v>
      </c>
      <c r="E2374" t="n">
        <v>80.6112</v>
      </c>
      <c r="F2374" t="n">
        <v>0.03596</v>
      </c>
    </row>
    <row r="2375">
      <c r="A2375" t="n">
        <v>2000546</v>
      </c>
      <c r="B2375" t="n">
        <v>2</v>
      </c>
      <c r="C2375" t="n">
        <v>546</v>
      </c>
      <c r="D2375" t="n">
        <v>1</v>
      </c>
      <c r="E2375" t="n">
        <v>80.6448</v>
      </c>
      <c r="F2375" t="n">
        <v>0.03597</v>
      </c>
    </row>
    <row r="2376">
      <c r="A2376" t="n">
        <v>2000547</v>
      </c>
      <c r="B2376" t="n">
        <v>2</v>
      </c>
      <c r="C2376" t="n">
        <v>547</v>
      </c>
      <c r="D2376" t="n">
        <v>1</v>
      </c>
      <c r="E2376" t="n">
        <v>80.6785</v>
      </c>
      <c r="F2376" t="n">
        <v>0.03597</v>
      </c>
    </row>
    <row r="2377">
      <c r="A2377" t="n">
        <v>2000548</v>
      </c>
      <c r="B2377" t="n">
        <v>2</v>
      </c>
      <c r="C2377" t="n">
        <v>548</v>
      </c>
      <c r="D2377" t="n">
        <v>1</v>
      </c>
      <c r="E2377" t="n">
        <v>80.71210000000001</v>
      </c>
      <c r="F2377" t="n">
        <v>0.03598</v>
      </c>
    </row>
    <row r="2378">
      <c r="A2378" t="n">
        <v>2000549</v>
      </c>
      <c r="B2378" t="n">
        <v>2</v>
      </c>
      <c r="C2378" t="n">
        <v>549</v>
      </c>
      <c r="D2378" t="n">
        <v>1</v>
      </c>
      <c r="E2378" t="n">
        <v>80.7457</v>
      </c>
      <c r="F2378" t="n">
        <v>0.03599</v>
      </c>
    </row>
    <row r="2379">
      <c r="A2379" t="n">
        <v>2000550</v>
      </c>
      <c r="B2379" t="n">
        <v>2</v>
      </c>
      <c r="C2379" t="n">
        <v>550</v>
      </c>
      <c r="D2379" t="n">
        <v>1</v>
      </c>
      <c r="E2379" t="n">
        <v>80.77930000000001</v>
      </c>
      <c r="F2379" t="n">
        <v>0.036</v>
      </c>
    </row>
    <row r="2380">
      <c r="A2380" t="n">
        <v>2000551</v>
      </c>
      <c r="B2380" t="n">
        <v>2</v>
      </c>
      <c r="C2380" t="n">
        <v>551</v>
      </c>
      <c r="D2380" t="n">
        <v>1</v>
      </c>
      <c r="E2380" t="n">
        <v>80.8128</v>
      </c>
      <c r="F2380" t="n">
        <v>0.036</v>
      </c>
    </row>
    <row r="2381">
      <c r="A2381" t="n">
        <v>2000552</v>
      </c>
      <c r="B2381" t="n">
        <v>2</v>
      </c>
      <c r="C2381" t="n">
        <v>552</v>
      </c>
      <c r="D2381" t="n">
        <v>1</v>
      </c>
      <c r="E2381" t="n">
        <v>80.8464</v>
      </c>
      <c r="F2381" t="n">
        <v>0.03601</v>
      </c>
    </row>
    <row r="2382">
      <c r="A2382" t="n">
        <v>2000553</v>
      </c>
      <c r="B2382" t="n">
        <v>2</v>
      </c>
      <c r="C2382" t="n">
        <v>553</v>
      </c>
      <c r="D2382" t="n">
        <v>1</v>
      </c>
      <c r="E2382" t="n">
        <v>80.8798</v>
      </c>
      <c r="F2382" t="n">
        <v>0.03602</v>
      </c>
    </row>
    <row r="2383">
      <c r="A2383" t="n">
        <v>2000554</v>
      </c>
      <c r="B2383" t="n">
        <v>2</v>
      </c>
      <c r="C2383" t="n">
        <v>554</v>
      </c>
      <c r="D2383" t="n">
        <v>1</v>
      </c>
      <c r="E2383" t="n">
        <v>80.91330000000001</v>
      </c>
      <c r="F2383" t="n">
        <v>0.03602</v>
      </c>
    </row>
    <row r="2384">
      <c r="A2384" t="n">
        <v>2000555</v>
      </c>
      <c r="B2384" t="n">
        <v>2</v>
      </c>
      <c r="C2384" t="n">
        <v>555</v>
      </c>
      <c r="D2384" t="n">
        <v>1</v>
      </c>
      <c r="E2384" t="n">
        <v>80.94670000000001</v>
      </c>
      <c r="F2384" t="n">
        <v>0.03603</v>
      </c>
    </row>
    <row r="2385">
      <c r="A2385" t="n">
        <v>2000556</v>
      </c>
      <c r="B2385" t="n">
        <v>2</v>
      </c>
      <c r="C2385" t="n">
        <v>556</v>
      </c>
      <c r="D2385" t="n">
        <v>1</v>
      </c>
      <c r="E2385" t="n">
        <v>80.98009999999999</v>
      </c>
      <c r="F2385" t="n">
        <v>0.03604</v>
      </c>
    </row>
    <row r="2386">
      <c r="A2386" t="n">
        <v>2000557</v>
      </c>
      <c r="B2386" t="n">
        <v>2</v>
      </c>
      <c r="C2386" t="n">
        <v>557</v>
      </c>
      <c r="D2386" t="n">
        <v>1</v>
      </c>
      <c r="E2386" t="n">
        <v>81.01349999999999</v>
      </c>
      <c r="F2386" t="n">
        <v>0.03605</v>
      </c>
    </row>
    <row r="2387">
      <c r="A2387" t="n">
        <v>2000558</v>
      </c>
      <c r="B2387" t="n">
        <v>2</v>
      </c>
      <c r="C2387" t="n">
        <v>558</v>
      </c>
      <c r="D2387" t="n">
        <v>1</v>
      </c>
      <c r="E2387" t="n">
        <v>81.0468</v>
      </c>
      <c r="F2387" t="n">
        <v>0.03605</v>
      </c>
    </row>
    <row r="2388">
      <c r="A2388" t="n">
        <v>2000559</v>
      </c>
      <c r="B2388" t="n">
        <v>2</v>
      </c>
      <c r="C2388" t="n">
        <v>559</v>
      </c>
      <c r="D2388" t="n">
        <v>1</v>
      </c>
      <c r="E2388" t="n">
        <v>81.0802</v>
      </c>
      <c r="F2388" t="n">
        <v>0.03606</v>
      </c>
    </row>
    <row r="2389">
      <c r="A2389" t="n">
        <v>2000560</v>
      </c>
      <c r="B2389" t="n">
        <v>2</v>
      </c>
      <c r="C2389" t="n">
        <v>560</v>
      </c>
      <c r="D2389" t="n">
        <v>1</v>
      </c>
      <c r="E2389" t="n">
        <v>81.1134</v>
      </c>
      <c r="F2389" t="n">
        <v>0.03607</v>
      </c>
    </row>
    <row r="2390">
      <c r="A2390" t="n">
        <v>2000561</v>
      </c>
      <c r="B2390" t="n">
        <v>2</v>
      </c>
      <c r="C2390" t="n">
        <v>561</v>
      </c>
      <c r="D2390" t="n">
        <v>1</v>
      </c>
      <c r="E2390" t="n">
        <v>81.1467</v>
      </c>
      <c r="F2390" t="n">
        <v>0.03608</v>
      </c>
    </row>
    <row r="2391">
      <c r="A2391" t="n">
        <v>2000562</v>
      </c>
      <c r="B2391" t="n">
        <v>2</v>
      </c>
      <c r="C2391" t="n">
        <v>562</v>
      </c>
      <c r="D2391" t="n">
        <v>1</v>
      </c>
      <c r="E2391" t="n">
        <v>81.1799</v>
      </c>
      <c r="F2391" t="n">
        <v>0.03608</v>
      </c>
    </row>
    <row r="2392">
      <c r="A2392" t="n">
        <v>2000563</v>
      </c>
      <c r="B2392" t="n">
        <v>2</v>
      </c>
      <c r="C2392" t="n">
        <v>563</v>
      </c>
      <c r="D2392" t="n">
        <v>1</v>
      </c>
      <c r="E2392" t="n">
        <v>81.2131</v>
      </c>
      <c r="F2392" t="n">
        <v>0.03609</v>
      </c>
    </row>
    <row r="2393">
      <c r="A2393" t="n">
        <v>2000564</v>
      </c>
      <c r="B2393" t="n">
        <v>2</v>
      </c>
      <c r="C2393" t="n">
        <v>564</v>
      </c>
      <c r="D2393" t="n">
        <v>1</v>
      </c>
      <c r="E2393" t="n">
        <v>81.24630000000001</v>
      </c>
      <c r="F2393" t="n">
        <v>0.0361</v>
      </c>
    </row>
    <row r="2394">
      <c r="A2394" t="n">
        <v>2000565</v>
      </c>
      <c r="B2394" t="n">
        <v>2</v>
      </c>
      <c r="C2394" t="n">
        <v>565</v>
      </c>
      <c r="D2394" t="n">
        <v>1</v>
      </c>
      <c r="E2394" t="n">
        <v>81.2795</v>
      </c>
      <c r="F2394" t="n">
        <v>0.03611</v>
      </c>
    </row>
    <row r="2395">
      <c r="A2395" t="n">
        <v>2000566</v>
      </c>
      <c r="B2395" t="n">
        <v>2</v>
      </c>
      <c r="C2395" t="n">
        <v>566</v>
      </c>
      <c r="D2395" t="n">
        <v>1</v>
      </c>
      <c r="E2395" t="n">
        <v>81.3126</v>
      </c>
      <c r="F2395" t="n">
        <v>0.03611</v>
      </c>
    </row>
    <row r="2396">
      <c r="A2396" t="n">
        <v>2000567</v>
      </c>
      <c r="B2396" t="n">
        <v>2</v>
      </c>
      <c r="C2396" t="n">
        <v>567</v>
      </c>
      <c r="D2396" t="n">
        <v>1</v>
      </c>
      <c r="E2396" t="n">
        <v>81.34569999999999</v>
      </c>
      <c r="F2396" t="n">
        <v>0.03612</v>
      </c>
    </row>
    <row r="2397">
      <c r="A2397" t="n">
        <v>2000568</v>
      </c>
      <c r="B2397" t="n">
        <v>2</v>
      </c>
      <c r="C2397" t="n">
        <v>568</v>
      </c>
      <c r="D2397" t="n">
        <v>1</v>
      </c>
      <c r="E2397" t="n">
        <v>81.3788</v>
      </c>
      <c r="F2397" t="n">
        <v>0.03613</v>
      </c>
    </row>
    <row r="2398">
      <c r="A2398" t="n">
        <v>2000569</v>
      </c>
      <c r="B2398" t="n">
        <v>2</v>
      </c>
      <c r="C2398" t="n">
        <v>569</v>
      </c>
      <c r="D2398" t="n">
        <v>1</v>
      </c>
      <c r="E2398" t="n">
        <v>81.4118</v>
      </c>
      <c r="F2398" t="n">
        <v>0.03613</v>
      </c>
    </row>
    <row r="2399">
      <c r="A2399" t="n">
        <v>2000570</v>
      </c>
      <c r="B2399" t="n">
        <v>2</v>
      </c>
      <c r="C2399" t="n">
        <v>570</v>
      </c>
      <c r="D2399" t="n">
        <v>1</v>
      </c>
      <c r="E2399" t="n">
        <v>81.4448</v>
      </c>
      <c r="F2399" t="n">
        <v>0.03614</v>
      </c>
    </row>
    <row r="2400">
      <c r="A2400" t="n">
        <v>2000571</v>
      </c>
      <c r="B2400" t="n">
        <v>2</v>
      </c>
      <c r="C2400" t="n">
        <v>571</v>
      </c>
      <c r="D2400" t="n">
        <v>1</v>
      </c>
      <c r="E2400" t="n">
        <v>81.4778</v>
      </c>
      <c r="F2400" t="n">
        <v>0.03615</v>
      </c>
    </row>
    <row r="2401">
      <c r="A2401" t="n">
        <v>2000572</v>
      </c>
      <c r="B2401" t="n">
        <v>2</v>
      </c>
      <c r="C2401" t="n">
        <v>572</v>
      </c>
      <c r="D2401" t="n">
        <v>1</v>
      </c>
      <c r="E2401" t="n">
        <v>81.5108</v>
      </c>
      <c r="F2401" t="n">
        <v>0.03616</v>
      </c>
    </row>
    <row r="2402">
      <c r="A2402" t="n">
        <v>2000573</v>
      </c>
      <c r="B2402" t="n">
        <v>2</v>
      </c>
      <c r="C2402" t="n">
        <v>573</v>
      </c>
      <c r="D2402" t="n">
        <v>1</v>
      </c>
      <c r="E2402" t="n">
        <v>81.5437</v>
      </c>
      <c r="F2402" t="n">
        <v>0.03616</v>
      </c>
    </row>
    <row r="2403">
      <c r="A2403" t="n">
        <v>2000574</v>
      </c>
      <c r="B2403" t="n">
        <v>2</v>
      </c>
      <c r="C2403" t="n">
        <v>574</v>
      </c>
      <c r="D2403" t="n">
        <v>1</v>
      </c>
      <c r="E2403" t="n">
        <v>81.5766</v>
      </c>
      <c r="F2403" t="n">
        <v>0.03617</v>
      </c>
    </row>
    <row r="2404">
      <c r="A2404" t="n">
        <v>2000575</v>
      </c>
      <c r="B2404" t="n">
        <v>2</v>
      </c>
      <c r="C2404" t="n">
        <v>575</v>
      </c>
      <c r="D2404" t="n">
        <v>1</v>
      </c>
      <c r="E2404" t="n">
        <v>81.6095</v>
      </c>
      <c r="F2404" t="n">
        <v>0.03618</v>
      </c>
    </row>
    <row r="2405">
      <c r="A2405" t="n">
        <v>2000576</v>
      </c>
      <c r="B2405" t="n">
        <v>2</v>
      </c>
      <c r="C2405" t="n">
        <v>576</v>
      </c>
      <c r="D2405" t="n">
        <v>1</v>
      </c>
      <c r="E2405" t="n">
        <v>81.64230000000001</v>
      </c>
      <c r="F2405" t="n">
        <v>0.03619</v>
      </c>
    </row>
    <row r="2406">
      <c r="A2406" t="n">
        <v>2000577</v>
      </c>
      <c r="B2406" t="n">
        <v>2</v>
      </c>
      <c r="C2406" t="n">
        <v>577</v>
      </c>
      <c r="D2406" t="n">
        <v>1</v>
      </c>
      <c r="E2406" t="n">
        <v>81.6752</v>
      </c>
      <c r="F2406" t="n">
        <v>0.03619</v>
      </c>
    </row>
    <row r="2407">
      <c r="A2407" t="n">
        <v>2000578</v>
      </c>
      <c r="B2407" t="n">
        <v>2</v>
      </c>
      <c r="C2407" t="n">
        <v>578</v>
      </c>
      <c r="D2407" t="n">
        <v>1</v>
      </c>
      <c r="E2407" t="n">
        <v>81.708</v>
      </c>
      <c r="F2407" t="n">
        <v>0.0362</v>
      </c>
    </row>
    <row r="2408">
      <c r="A2408" t="n">
        <v>2000579</v>
      </c>
      <c r="B2408" t="n">
        <v>2</v>
      </c>
      <c r="C2408" t="n">
        <v>579</v>
      </c>
      <c r="D2408" t="n">
        <v>1</v>
      </c>
      <c r="E2408" t="n">
        <v>81.7407</v>
      </c>
      <c r="F2408" t="n">
        <v>0.03621</v>
      </c>
    </row>
    <row r="2409">
      <c r="A2409" t="n">
        <v>2000580</v>
      </c>
      <c r="B2409" t="n">
        <v>2</v>
      </c>
      <c r="C2409" t="n">
        <v>580</v>
      </c>
      <c r="D2409" t="n">
        <v>1</v>
      </c>
      <c r="E2409" t="n">
        <v>81.7735</v>
      </c>
      <c r="F2409" t="n">
        <v>0.03622</v>
      </c>
    </row>
    <row r="2410">
      <c r="A2410" t="n">
        <v>2000581</v>
      </c>
      <c r="B2410" t="n">
        <v>2</v>
      </c>
      <c r="C2410" t="n">
        <v>581</v>
      </c>
      <c r="D2410" t="n">
        <v>1</v>
      </c>
      <c r="E2410" t="n">
        <v>81.8062</v>
      </c>
      <c r="F2410" t="n">
        <v>0.03622</v>
      </c>
    </row>
    <row r="2411">
      <c r="A2411" t="n">
        <v>2000582</v>
      </c>
      <c r="B2411" t="n">
        <v>2</v>
      </c>
      <c r="C2411" t="n">
        <v>582</v>
      </c>
      <c r="D2411" t="n">
        <v>1</v>
      </c>
      <c r="E2411" t="n">
        <v>81.8389</v>
      </c>
      <c r="F2411" t="n">
        <v>0.03623</v>
      </c>
    </row>
    <row r="2412">
      <c r="A2412" t="n">
        <v>2000583</v>
      </c>
      <c r="B2412" t="n">
        <v>2</v>
      </c>
      <c r="C2412" t="n">
        <v>583</v>
      </c>
      <c r="D2412" t="n">
        <v>1</v>
      </c>
      <c r="E2412" t="n">
        <v>81.8715</v>
      </c>
      <c r="F2412" t="n">
        <v>0.03624</v>
      </c>
    </row>
    <row r="2413">
      <c r="A2413" t="n">
        <v>2000584</v>
      </c>
      <c r="B2413" t="n">
        <v>2</v>
      </c>
      <c r="C2413" t="n">
        <v>584</v>
      </c>
      <c r="D2413" t="n">
        <v>1</v>
      </c>
      <c r="E2413" t="n">
        <v>81.9042</v>
      </c>
      <c r="F2413" t="n">
        <v>0.03624</v>
      </c>
    </row>
    <row r="2414">
      <c r="A2414" t="n">
        <v>2000585</v>
      </c>
      <c r="B2414" t="n">
        <v>2</v>
      </c>
      <c r="C2414" t="n">
        <v>585</v>
      </c>
      <c r="D2414" t="n">
        <v>1</v>
      </c>
      <c r="E2414" t="n">
        <v>81.93680000000001</v>
      </c>
      <c r="F2414" t="n">
        <v>0.03625</v>
      </c>
    </row>
    <row r="2415">
      <c r="A2415" t="n">
        <v>2000586</v>
      </c>
      <c r="B2415" t="n">
        <v>2</v>
      </c>
      <c r="C2415" t="n">
        <v>586</v>
      </c>
      <c r="D2415" t="n">
        <v>1</v>
      </c>
      <c r="E2415" t="n">
        <v>81.96939999999999</v>
      </c>
      <c r="F2415" t="n">
        <v>0.03626</v>
      </c>
    </row>
    <row r="2416">
      <c r="A2416" t="n">
        <v>2000587</v>
      </c>
      <c r="B2416" t="n">
        <v>2</v>
      </c>
      <c r="C2416" t="n">
        <v>587</v>
      </c>
      <c r="D2416" t="n">
        <v>1</v>
      </c>
      <c r="E2416" t="n">
        <v>82.00190000000001</v>
      </c>
      <c r="F2416" t="n">
        <v>0.03627</v>
      </c>
    </row>
    <row r="2417">
      <c r="A2417" t="n">
        <v>2000588</v>
      </c>
      <c r="B2417" t="n">
        <v>2</v>
      </c>
      <c r="C2417" t="n">
        <v>588</v>
      </c>
      <c r="D2417" t="n">
        <v>1</v>
      </c>
      <c r="E2417" t="n">
        <v>82.03449999999999</v>
      </c>
      <c r="F2417" t="n">
        <v>0.03627</v>
      </c>
    </row>
    <row r="2418">
      <c r="A2418" t="n">
        <v>2000589</v>
      </c>
      <c r="B2418" t="n">
        <v>2</v>
      </c>
      <c r="C2418" t="n">
        <v>589</v>
      </c>
      <c r="D2418" t="n">
        <v>1</v>
      </c>
      <c r="E2418" t="n">
        <v>82.06699999999999</v>
      </c>
      <c r="F2418" t="n">
        <v>0.03628</v>
      </c>
    </row>
    <row r="2419">
      <c r="A2419" t="n">
        <v>2000590</v>
      </c>
      <c r="B2419" t="n">
        <v>2</v>
      </c>
      <c r="C2419" t="n">
        <v>590</v>
      </c>
      <c r="D2419" t="n">
        <v>1</v>
      </c>
      <c r="E2419" t="n">
        <v>82.0994</v>
      </c>
      <c r="F2419" t="n">
        <v>0.03629</v>
      </c>
    </row>
    <row r="2420">
      <c r="A2420" t="n">
        <v>2000591</v>
      </c>
      <c r="B2420" t="n">
        <v>2</v>
      </c>
      <c r="C2420" t="n">
        <v>591</v>
      </c>
      <c r="D2420" t="n">
        <v>1</v>
      </c>
      <c r="E2420" t="n">
        <v>82.1319</v>
      </c>
      <c r="F2420" t="n">
        <v>0.0363</v>
      </c>
    </row>
    <row r="2421">
      <c r="A2421" t="n">
        <v>2000592</v>
      </c>
      <c r="B2421" t="n">
        <v>2</v>
      </c>
      <c r="C2421" t="n">
        <v>592</v>
      </c>
      <c r="D2421" t="n">
        <v>1</v>
      </c>
      <c r="E2421" t="n">
        <v>82.1643</v>
      </c>
      <c r="F2421" t="n">
        <v>0.0363</v>
      </c>
    </row>
    <row r="2422">
      <c r="A2422" t="n">
        <v>2000593</v>
      </c>
      <c r="B2422" t="n">
        <v>2</v>
      </c>
      <c r="C2422" t="n">
        <v>593</v>
      </c>
      <c r="D2422" t="n">
        <v>1</v>
      </c>
      <c r="E2422" t="n">
        <v>82.19670000000001</v>
      </c>
      <c r="F2422" t="n">
        <v>0.03631</v>
      </c>
    </row>
    <row r="2423">
      <c r="A2423" t="n">
        <v>2000594</v>
      </c>
      <c r="B2423" t="n">
        <v>2</v>
      </c>
      <c r="C2423" t="n">
        <v>594</v>
      </c>
      <c r="D2423" t="n">
        <v>1</v>
      </c>
      <c r="E2423" t="n">
        <v>82.2291</v>
      </c>
      <c r="F2423" t="n">
        <v>0.03632</v>
      </c>
    </row>
    <row r="2424">
      <c r="A2424" t="n">
        <v>2000595</v>
      </c>
      <c r="B2424" t="n">
        <v>2</v>
      </c>
      <c r="C2424" t="n">
        <v>595</v>
      </c>
      <c r="D2424" t="n">
        <v>1</v>
      </c>
      <c r="E2424" t="n">
        <v>82.26139999999999</v>
      </c>
      <c r="F2424" t="n">
        <v>0.03633</v>
      </c>
    </row>
    <row r="2425">
      <c r="A2425" t="n">
        <v>2000596</v>
      </c>
      <c r="B2425" t="n">
        <v>2</v>
      </c>
      <c r="C2425" t="n">
        <v>596</v>
      </c>
      <c r="D2425" t="n">
        <v>1</v>
      </c>
      <c r="E2425" t="n">
        <v>82.2938</v>
      </c>
      <c r="F2425" t="n">
        <v>0.03633</v>
      </c>
    </row>
    <row r="2426">
      <c r="A2426" t="n">
        <v>2000597</v>
      </c>
      <c r="B2426" t="n">
        <v>2</v>
      </c>
      <c r="C2426" t="n">
        <v>597</v>
      </c>
      <c r="D2426" t="n">
        <v>1</v>
      </c>
      <c r="E2426" t="n">
        <v>82.3261</v>
      </c>
      <c r="F2426" t="n">
        <v>0.03634</v>
      </c>
    </row>
    <row r="2427">
      <c r="A2427" t="n">
        <v>2000598</v>
      </c>
      <c r="B2427" t="n">
        <v>2</v>
      </c>
      <c r="C2427" t="n">
        <v>598</v>
      </c>
      <c r="D2427" t="n">
        <v>1</v>
      </c>
      <c r="E2427" t="n">
        <v>82.3583</v>
      </c>
      <c r="F2427" t="n">
        <v>0.03635</v>
      </c>
    </row>
    <row r="2428">
      <c r="A2428" t="n">
        <v>2000599</v>
      </c>
      <c r="B2428" t="n">
        <v>2</v>
      </c>
      <c r="C2428" t="n">
        <v>599</v>
      </c>
      <c r="D2428" t="n">
        <v>1</v>
      </c>
      <c r="E2428" t="n">
        <v>82.39060000000001</v>
      </c>
      <c r="F2428" t="n">
        <v>0.03636</v>
      </c>
    </row>
    <row r="2429">
      <c r="A2429" t="n">
        <v>2000600</v>
      </c>
      <c r="B2429" t="n">
        <v>2</v>
      </c>
      <c r="C2429" t="n">
        <v>600</v>
      </c>
      <c r="D2429" t="n">
        <v>1</v>
      </c>
      <c r="E2429" t="n">
        <v>82.4228</v>
      </c>
      <c r="F2429" t="n">
        <v>0.03636</v>
      </c>
    </row>
    <row r="2430">
      <c r="A2430" t="n">
        <v>2000601</v>
      </c>
      <c r="B2430" t="n">
        <v>2</v>
      </c>
      <c r="C2430" t="n">
        <v>601</v>
      </c>
      <c r="D2430" t="n">
        <v>1</v>
      </c>
      <c r="E2430" t="n">
        <v>82.455</v>
      </c>
      <c r="F2430" t="n">
        <v>0.03637</v>
      </c>
    </row>
    <row r="2431">
      <c r="A2431" t="n">
        <v>2000602</v>
      </c>
      <c r="B2431" t="n">
        <v>2</v>
      </c>
      <c r="C2431" t="n">
        <v>602</v>
      </c>
      <c r="D2431" t="n">
        <v>1</v>
      </c>
      <c r="E2431" t="n">
        <v>82.4872</v>
      </c>
      <c r="F2431" t="n">
        <v>0.03638</v>
      </c>
    </row>
    <row r="2432">
      <c r="A2432" t="n">
        <v>2000603</v>
      </c>
      <c r="B2432" t="n">
        <v>2</v>
      </c>
      <c r="C2432" t="n">
        <v>603</v>
      </c>
      <c r="D2432" t="n">
        <v>1</v>
      </c>
      <c r="E2432" t="n">
        <v>82.5193</v>
      </c>
      <c r="F2432" t="n">
        <v>0.03639</v>
      </c>
    </row>
    <row r="2433">
      <c r="A2433" t="n">
        <v>2000604</v>
      </c>
      <c r="B2433" t="n">
        <v>2</v>
      </c>
      <c r="C2433" t="n">
        <v>604</v>
      </c>
      <c r="D2433" t="n">
        <v>1</v>
      </c>
      <c r="E2433" t="n">
        <v>82.5514</v>
      </c>
      <c r="F2433" t="n">
        <v>0.03639</v>
      </c>
    </row>
    <row r="2434">
      <c r="A2434" t="n">
        <v>2000605</v>
      </c>
      <c r="B2434" t="n">
        <v>2</v>
      </c>
      <c r="C2434" t="n">
        <v>605</v>
      </c>
      <c r="D2434" t="n">
        <v>1</v>
      </c>
      <c r="E2434" t="n">
        <v>82.5835</v>
      </c>
      <c r="F2434" t="n">
        <v>0.0364</v>
      </c>
    </row>
    <row r="2435">
      <c r="A2435" t="n">
        <v>2000606</v>
      </c>
      <c r="B2435" t="n">
        <v>2</v>
      </c>
      <c r="C2435" t="n">
        <v>606</v>
      </c>
      <c r="D2435" t="n">
        <v>1</v>
      </c>
      <c r="E2435" t="n">
        <v>82.6156</v>
      </c>
      <c r="F2435" t="n">
        <v>0.03641</v>
      </c>
    </row>
    <row r="2436">
      <c r="A2436" t="n">
        <v>2000607</v>
      </c>
      <c r="B2436" t="n">
        <v>2</v>
      </c>
      <c r="C2436" t="n">
        <v>607</v>
      </c>
      <c r="D2436" t="n">
        <v>1</v>
      </c>
      <c r="E2436" t="n">
        <v>82.6476</v>
      </c>
      <c r="F2436" t="n">
        <v>0.03642</v>
      </c>
    </row>
    <row r="2437">
      <c r="A2437" t="n">
        <v>2000608</v>
      </c>
      <c r="B2437" t="n">
        <v>2</v>
      </c>
      <c r="C2437" t="n">
        <v>608</v>
      </c>
      <c r="D2437" t="n">
        <v>1</v>
      </c>
      <c r="E2437" t="n">
        <v>82.67959999999999</v>
      </c>
      <c r="F2437" t="n">
        <v>0.03642</v>
      </c>
    </row>
    <row r="2438">
      <c r="A2438" t="n">
        <v>2000609</v>
      </c>
      <c r="B2438" t="n">
        <v>2</v>
      </c>
      <c r="C2438" t="n">
        <v>609</v>
      </c>
      <c r="D2438" t="n">
        <v>1</v>
      </c>
      <c r="E2438" t="n">
        <v>82.7116</v>
      </c>
      <c r="F2438" t="n">
        <v>0.03643</v>
      </c>
    </row>
    <row r="2439">
      <c r="A2439" t="n">
        <v>2000610</v>
      </c>
      <c r="B2439" t="n">
        <v>2</v>
      </c>
      <c r="C2439" t="n">
        <v>610</v>
      </c>
      <c r="D2439" t="n">
        <v>1</v>
      </c>
      <c r="E2439" t="n">
        <v>82.7436</v>
      </c>
      <c r="F2439" t="n">
        <v>0.03644</v>
      </c>
    </row>
    <row r="2440">
      <c r="A2440" t="n">
        <v>2000611</v>
      </c>
      <c r="B2440" t="n">
        <v>2</v>
      </c>
      <c r="C2440" t="n">
        <v>611</v>
      </c>
      <c r="D2440" t="n">
        <v>1</v>
      </c>
      <c r="E2440" t="n">
        <v>82.77549999999999</v>
      </c>
      <c r="F2440" t="n">
        <v>0.03645</v>
      </c>
    </row>
    <row r="2441">
      <c r="A2441" t="n">
        <v>2000612</v>
      </c>
      <c r="B2441" t="n">
        <v>2</v>
      </c>
      <c r="C2441" t="n">
        <v>612</v>
      </c>
      <c r="D2441" t="n">
        <v>1</v>
      </c>
      <c r="E2441" t="n">
        <v>82.8074</v>
      </c>
      <c r="F2441" t="n">
        <v>0.03645</v>
      </c>
    </row>
    <row r="2442">
      <c r="A2442" t="n">
        <v>2000613</v>
      </c>
      <c r="B2442" t="n">
        <v>2</v>
      </c>
      <c r="C2442" t="n">
        <v>613</v>
      </c>
      <c r="D2442" t="n">
        <v>1</v>
      </c>
      <c r="E2442" t="n">
        <v>82.83929999999999</v>
      </c>
      <c r="F2442" t="n">
        <v>0.03646</v>
      </c>
    </row>
    <row r="2443">
      <c r="A2443" t="n">
        <v>2000614</v>
      </c>
      <c r="B2443" t="n">
        <v>2</v>
      </c>
      <c r="C2443" t="n">
        <v>614</v>
      </c>
      <c r="D2443" t="n">
        <v>1</v>
      </c>
      <c r="E2443" t="n">
        <v>82.8712</v>
      </c>
      <c r="F2443" t="n">
        <v>0.03647</v>
      </c>
    </row>
    <row r="2444">
      <c r="A2444" t="n">
        <v>2000615</v>
      </c>
      <c r="B2444" t="n">
        <v>2</v>
      </c>
      <c r="C2444" t="n">
        <v>615</v>
      </c>
      <c r="D2444" t="n">
        <v>1</v>
      </c>
      <c r="E2444" t="n">
        <v>82.90300000000001</v>
      </c>
      <c r="F2444" t="n">
        <v>0.03648</v>
      </c>
    </row>
    <row r="2445">
      <c r="A2445" t="n">
        <v>2000616</v>
      </c>
      <c r="B2445" t="n">
        <v>2</v>
      </c>
      <c r="C2445" t="n">
        <v>616</v>
      </c>
      <c r="D2445" t="n">
        <v>1</v>
      </c>
      <c r="E2445" t="n">
        <v>82.9348</v>
      </c>
      <c r="F2445" t="n">
        <v>0.03648</v>
      </c>
    </row>
    <row r="2446">
      <c r="A2446" t="n">
        <v>2000617</v>
      </c>
      <c r="B2446" t="n">
        <v>2</v>
      </c>
      <c r="C2446" t="n">
        <v>617</v>
      </c>
      <c r="D2446" t="n">
        <v>1</v>
      </c>
      <c r="E2446" t="n">
        <v>82.9666</v>
      </c>
      <c r="F2446" t="n">
        <v>0.03649</v>
      </c>
    </row>
    <row r="2447">
      <c r="A2447" t="n">
        <v>2000618</v>
      </c>
      <c r="B2447" t="n">
        <v>2</v>
      </c>
      <c r="C2447" t="n">
        <v>618</v>
      </c>
      <c r="D2447" t="n">
        <v>1</v>
      </c>
      <c r="E2447" t="n">
        <v>82.9984</v>
      </c>
      <c r="F2447" t="n">
        <v>0.0365</v>
      </c>
    </row>
    <row r="2448">
      <c r="A2448" t="n">
        <v>2000619</v>
      </c>
      <c r="B2448" t="n">
        <v>2</v>
      </c>
      <c r="C2448" t="n">
        <v>619</v>
      </c>
      <c r="D2448" t="n">
        <v>1</v>
      </c>
      <c r="E2448" t="n">
        <v>83.0301</v>
      </c>
      <c r="F2448" t="n">
        <v>0.0365</v>
      </c>
    </row>
    <row r="2449">
      <c r="A2449" t="n">
        <v>2000620</v>
      </c>
      <c r="B2449" t="n">
        <v>2</v>
      </c>
      <c r="C2449" t="n">
        <v>620</v>
      </c>
      <c r="D2449" t="n">
        <v>1</v>
      </c>
      <c r="E2449" t="n">
        <v>83.06180000000001</v>
      </c>
      <c r="F2449" t="n">
        <v>0.03651</v>
      </c>
    </row>
    <row r="2450">
      <c r="A2450" t="n">
        <v>2000621</v>
      </c>
      <c r="B2450" t="n">
        <v>2</v>
      </c>
      <c r="C2450" t="n">
        <v>621</v>
      </c>
      <c r="D2450" t="n">
        <v>1</v>
      </c>
      <c r="E2450" t="n">
        <v>83.09350000000001</v>
      </c>
      <c r="F2450" t="n">
        <v>0.03652</v>
      </c>
    </row>
    <row r="2451">
      <c r="A2451" t="n">
        <v>2000622</v>
      </c>
      <c r="B2451" t="n">
        <v>2</v>
      </c>
      <c r="C2451" t="n">
        <v>622</v>
      </c>
      <c r="D2451" t="n">
        <v>1</v>
      </c>
      <c r="E2451" t="n">
        <v>83.1251</v>
      </c>
      <c r="F2451" t="n">
        <v>0.03653</v>
      </c>
    </row>
    <row r="2452">
      <c r="A2452" t="n">
        <v>2000623</v>
      </c>
      <c r="B2452" t="n">
        <v>2</v>
      </c>
      <c r="C2452" t="n">
        <v>623</v>
      </c>
      <c r="D2452" t="n">
        <v>1</v>
      </c>
      <c r="E2452" t="n">
        <v>83.1568</v>
      </c>
      <c r="F2452" t="n">
        <v>0.03653</v>
      </c>
    </row>
    <row r="2453">
      <c r="A2453" t="n">
        <v>2000624</v>
      </c>
      <c r="B2453" t="n">
        <v>2</v>
      </c>
      <c r="C2453" t="n">
        <v>624</v>
      </c>
      <c r="D2453" t="n">
        <v>1</v>
      </c>
      <c r="E2453" t="n">
        <v>83.1884</v>
      </c>
      <c r="F2453" t="n">
        <v>0.03654</v>
      </c>
    </row>
    <row r="2454">
      <c r="A2454" t="n">
        <v>2000625</v>
      </c>
      <c r="B2454" t="n">
        <v>2</v>
      </c>
      <c r="C2454" t="n">
        <v>625</v>
      </c>
      <c r="D2454" t="n">
        <v>1</v>
      </c>
      <c r="E2454" t="n">
        <v>83.22</v>
      </c>
      <c r="F2454" t="n">
        <v>0.03655</v>
      </c>
    </row>
    <row r="2455">
      <c r="A2455" t="n">
        <v>2000626</v>
      </c>
      <c r="B2455" t="n">
        <v>2</v>
      </c>
      <c r="C2455" t="n">
        <v>626</v>
      </c>
      <c r="D2455" t="n">
        <v>1</v>
      </c>
      <c r="E2455" t="n">
        <v>83.25149999999999</v>
      </c>
      <c r="F2455" t="n">
        <v>0.03656</v>
      </c>
    </row>
    <row r="2456">
      <c r="A2456" t="n">
        <v>2000627</v>
      </c>
      <c r="B2456" t="n">
        <v>2</v>
      </c>
      <c r="C2456" t="n">
        <v>627</v>
      </c>
      <c r="D2456" t="n">
        <v>1</v>
      </c>
      <c r="E2456" t="n">
        <v>83.2831</v>
      </c>
      <c r="F2456" t="n">
        <v>0.03656</v>
      </c>
    </row>
    <row r="2457">
      <c r="A2457" t="n">
        <v>2000628</v>
      </c>
      <c r="B2457" t="n">
        <v>2</v>
      </c>
      <c r="C2457" t="n">
        <v>628</v>
      </c>
      <c r="D2457" t="n">
        <v>1</v>
      </c>
      <c r="E2457" t="n">
        <v>83.3146</v>
      </c>
      <c r="F2457" t="n">
        <v>0.03657</v>
      </c>
    </row>
    <row r="2458">
      <c r="A2458" t="n">
        <v>2000629</v>
      </c>
      <c r="B2458" t="n">
        <v>2</v>
      </c>
      <c r="C2458" t="n">
        <v>629</v>
      </c>
      <c r="D2458" t="n">
        <v>1</v>
      </c>
      <c r="E2458" t="n">
        <v>83.34610000000001</v>
      </c>
      <c r="F2458" t="n">
        <v>0.03658</v>
      </c>
    </row>
    <row r="2459">
      <c r="A2459" t="n">
        <v>2000630</v>
      </c>
      <c r="B2459" t="n">
        <v>2</v>
      </c>
      <c r="C2459" t="n">
        <v>630</v>
      </c>
      <c r="D2459" t="n">
        <v>1</v>
      </c>
      <c r="E2459" t="n">
        <v>83.3775</v>
      </c>
      <c r="F2459" t="n">
        <v>0.03659</v>
      </c>
    </row>
    <row r="2460">
      <c r="A2460" t="n">
        <v>2000631</v>
      </c>
      <c r="B2460" t="n">
        <v>2</v>
      </c>
      <c r="C2460" t="n">
        <v>631</v>
      </c>
      <c r="D2460" t="n">
        <v>1</v>
      </c>
      <c r="E2460" t="n">
        <v>83.4089</v>
      </c>
      <c r="F2460" t="n">
        <v>0.03659</v>
      </c>
    </row>
    <row r="2461">
      <c r="A2461" t="n">
        <v>2000632</v>
      </c>
      <c r="B2461" t="n">
        <v>2</v>
      </c>
      <c r="C2461" t="n">
        <v>632</v>
      </c>
      <c r="D2461" t="n">
        <v>1</v>
      </c>
      <c r="E2461" t="n">
        <v>83.44029999999999</v>
      </c>
      <c r="F2461" t="n">
        <v>0.0366</v>
      </c>
    </row>
    <row r="2462">
      <c r="A2462" t="n">
        <v>2000633</v>
      </c>
      <c r="B2462" t="n">
        <v>2</v>
      </c>
      <c r="C2462" t="n">
        <v>633</v>
      </c>
      <c r="D2462" t="n">
        <v>1</v>
      </c>
      <c r="E2462" t="n">
        <v>83.4717</v>
      </c>
      <c r="F2462" t="n">
        <v>0.03661</v>
      </c>
    </row>
    <row r="2463">
      <c r="A2463" t="n">
        <v>2000634</v>
      </c>
      <c r="B2463" t="n">
        <v>2</v>
      </c>
      <c r="C2463" t="n">
        <v>634</v>
      </c>
      <c r="D2463" t="n">
        <v>1</v>
      </c>
      <c r="E2463" t="n">
        <v>83.5031</v>
      </c>
      <c r="F2463" t="n">
        <v>0.03662</v>
      </c>
    </row>
    <row r="2464">
      <c r="A2464" t="n">
        <v>2000635</v>
      </c>
      <c r="B2464" t="n">
        <v>2</v>
      </c>
      <c r="C2464" t="n">
        <v>635</v>
      </c>
      <c r="D2464" t="n">
        <v>1</v>
      </c>
      <c r="E2464" t="n">
        <v>83.53440000000001</v>
      </c>
      <c r="F2464" t="n">
        <v>0.03662</v>
      </c>
    </row>
    <row r="2465">
      <c r="A2465" t="n">
        <v>2000636</v>
      </c>
      <c r="B2465" t="n">
        <v>2</v>
      </c>
      <c r="C2465" t="n">
        <v>636</v>
      </c>
      <c r="D2465" t="n">
        <v>1</v>
      </c>
      <c r="E2465" t="n">
        <v>83.56570000000001</v>
      </c>
      <c r="F2465" t="n">
        <v>0.03663</v>
      </c>
    </row>
    <row r="2466">
      <c r="A2466" t="n">
        <v>2000637</v>
      </c>
      <c r="B2466" t="n">
        <v>2</v>
      </c>
      <c r="C2466" t="n">
        <v>637</v>
      </c>
      <c r="D2466" t="n">
        <v>1</v>
      </c>
      <c r="E2466" t="n">
        <v>83.59699999999999</v>
      </c>
      <c r="F2466" t="n">
        <v>0.03664</v>
      </c>
    </row>
    <row r="2467">
      <c r="A2467" t="n">
        <v>2000638</v>
      </c>
      <c r="B2467" t="n">
        <v>2</v>
      </c>
      <c r="C2467" t="n">
        <v>638</v>
      </c>
      <c r="D2467" t="n">
        <v>1</v>
      </c>
      <c r="E2467" t="n">
        <v>83.6283</v>
      </c>
      <c r="F2467" t="n">
        <v>0.03665</v>
      </c>
    </row>
    <row r="2468">
      <c r="A2468" t="n">
        <v>2000639</v>
      </c>
      <c r="B2468" t="n">
        <v>2</v>
      </c>
      <c r="C2468" t="n">
        <v>639</v>
      </c>
      <c r="D2468" t="n">
        <v>1</v>
      </c>
      <c r="E2468" t="n">
        <v>83.65949999999999</v>
      </c>
      <c r="F2468" t="n">
        <v>0.03665</v>
      </c>
    </row>
    <row r="2469">
      <c r="A2469" t="n">
        <v>2000640</v>
      </c>
      <c r="B2469" t="n">
        <v>2</v>
      </c>
      <c r="C2469" t="n">
        <v>640</v>
      </c>
      <c r="D2469" t="n">
        <v>1</v>
      </c>
      <c r="E2469" t="n">
        <v>83.69070000000001</v>
      </c>
      <c r="F2469" t="n">
        <v>0.03666</v>
      </c>
    </row>
    <row r="2470">
      <c r="A2470" t="n">
        <v>2000641</v>
      </c>
      <c r="B2470" t="n">
        <v>2</v>
      </c>
      <c r="C2470" t="n">
        <v>641</v>
      </c>
      <c r="D2470" t="n">
        <v>1</v>
      </c>
      <c r="E2470" t="n">
        <v>83.72190000000001</v>
      </c>
      <c r="F2470" t="n">
        <v>0.03667</v>
      </c>
    </row>
    <row r="2471">
      <c r="A2471" t="n">
        <v>2000642</v>
      </c>
      <c r="B2471" t="n">
        <v>2</v>
      </c>
      <c r="C2471" t="n">
        <v>642</v>
      </c>
      <c r="D2471" t="n">
        <v>1</v>
      </c>
      <c r="E2471" t="n">
        <v>83.753</v>
      </c>
      <c r="F2471" t="n">
        <v>0.03668</v>
      </c>
    </row>
    <row r="2472">
      <c r="A2472" t="n">
        <v>2000643</v>
      </c>
      <c r="B2472" t="n">
        <v>2</v>
      </c>
      <c r="C2472" t="n">
        <v>643</v>
      </c>
      <c r="D2472" t="n">
        <v>1</v>
      </c>
      <c r="E2472" t="n">
        <v>83.7842</v>
      </c>
      <c r="F2472" t="n">
        <v>0.03668</v>
      </c>
    </row>
    <row r="2473">
      <c r="A2473" t="n">
        <v>2000644</v>
      </c>
      <c r="B2473" t="n">
        <v>2</v>
      </c>
      <c r="C2473" t="n">
        <v>644</v>
      </c>
      <c r="D2473" t="n">
        <v>1</v>
      </c>
      <c r="E2473" t="n">
        <v>83.81529999999999</v>
      </c>
      <c r="F2473" t="n">
        <v>0.03669</v>
      </c>
    </row>
    <row r="2474">
      <c r="A2474" t="n">
        <v>2000645</v>
      </c>
      <c r="B2474" t="n">
        <v>2</v>
      </c>
      <c r="C2474" t="n">
        <v>645</v>
      </c>
      <c r="D2474" t="n">
        <v>1</v>
      </c>
      <c r="E2474" t="n">
        <v>83.8464</v>
      </c>
      <c r="F2474" t="n">
        <v>0.0367</v>
      </c>
    </row>
    <row r="2475">
      <c r="A2475" t="n">
        <v>2000646</v>
      </c>
      <c r="B2475" t="n">
        <v>2</v>
      </c>
      <c r="C2475" t="n">
        <v>646</v>
      </c>
      <c r="D2475" t="n">
        <v>1</v>
      </c>
      <c r="E2475" t="n">
        <v>83.87739999999999</v>
      </c>
      <c r="F2475" t="n">
        <v>0.03671</v>
      </c>
    </row>
    <row r="2476">
      <c r="A2476" t="n">
        <v>2000647</v>
      </c>
      <c r="B2476" t="n">
        <v>2</v>
      </c>
      <c r="C2476" t="n">
        <v>647</v>
      </c>
      <c r="D2476" t="n">
        <v>1</v>
      </c>
      <c r="E2476" t="n">
        <v>83.9085</v>
      </c>
      <c r="F2476" t="n">
        <v>0.03671</v>
      </c>
    </row>
    <row r="2477">
      <c r="A2477" t="n">
        <v>2000648</v>
      </c>
      <c r="B2477" t="n">
        <v>2</v>
      </c>
      <c r="C2477" t="n">
        <v>648</v>
      </c>
      <c r="D2477" t="n">
        <v>1</v>
      </c>
      <c r="E2477" t="n">
        <v>83.9395</v>
      </c>
      <c r="F2477" t="n">
        <v>0.03672</v>
      </c>
    </row>
    <row r="2478">
      <c r="A2478" t="n">
        <v>2000649</v>
      </c>
      <c r="B2478" t="n">
        <v>2</v>
      </c>
      <c r="C2478" t="n">
        <v>649</v>
      </c>
      <c r="D2478" t="n">
        <v>1</v>
      </c>
      <c r="E2478" t="n">
        <v>83.9705</v>
      </c>
      <c r="F2478" t="n">
        <v>0.03673</v>
      </c>
    </row>
    <row r="2479">
      <c r="A2479" t="n">
        <v>2000650</v>
      </c>
      <c r="B2479" t="n">
        <v>2</v>
      </c>
      <c r="C2479" t="n">
        <v>650</v>
      </c>
      <c r="D2479" t="n">
        <v>1</v>
      </c>
      <c r="E2479" t="n">
        <v>84.0014</v>
      </c>
      <c r="F2479" t="n">
        <v>0.03674</v>
      </c>
    </row>
    <row r="2480">
      <c r="A2480" t="n">
        <v>2000651</v>
      </c>
      <c r="B2480" t="n">
        <v>2</v>
      </c>
      <c r="C2480" t="n">
        <v>651</v>
      </c>
      <c r="D2480" t="n">
        <v>1</v>
      </c>
      <c r="E2480" t="n">
        <v>84.0324</v>
      </c>
      <c r="F2480" t="n">
        <v>0.03674</v>
      </c>
    </row>
    <row r="2481">
      <c r="A2481" t="n">
        <v>2000652</v>
      </c>
      <c r="B2481" t="n">
        <v>2</v>
      </c>
      <c r="C2481" t="n">
        <v>652</v>
      </c>
      <c r="D2481" t="n">
        <v>1</v>
      </c>
      <c r="E2481" t="n">
        <v>84.0633</v>
      </c>
      <c r="F2481" t="n">
        <v>0.03675</v>
      </c>
    </row>
    <row r="2482">
      <c r="A2482" t="n">
        <v>2000653</v>
      </c>
      <c r="B2482" t="n">
        <v>2</v>
      </c>
      <c r="C2482" t="n">
        <v>653</v>
      </c>
      <c r="D2482" t="n">
        <v>1</v>
      </c>
      <c r="E2482" t="n">
        <v>84.0941</v>
      </c>
      <c r="F2482" t="n">
        <v>0.03676</v>
      </c>
    </row>
    <row r="2483">
      <c r="A2483" t="n">
        <v>2000654</v>
      </c>
      <c r="B2483" t="n">
        <v>2</v>
      </c>
      <c r="C2483" t="n">
        <v>654</v>
      </c>
      <c r="D2483" t="n">
        <v>1</v>
      </c>
      <c r="E2483" t="n">
        <v>84.125</v>
      </c>
      <c r="F2483" t="n">
        <v>0.03677</v>
      </c>
    </row>
    <row r="2484">
      <c r="A2484" t="n">
        <v>2000655</v>
      </c>
      <c r="B2484" t="n">
        <v>2</v>
      </c>
      <c r="C2484" t="n">
        <v>655</v>
      </c>
      <c r="D2484" t="n">
        <v>1</v>
      </c>
      <c r="E2484" t="n">
        <v>84.1558</v>
      </c>
      <c r="F2484" t="n">
        <v>0.03677</v>
      </c>
    </row>
    <row r="2485">
      <c r="A2485" t="n">
        <v>2000656</v>
      </c>
      <c r="B2485" t="n">
        <v>2</v>
      </c>
      <c r="C2485" t="n">
        <v>656</v>
      </c>
      <c r="D2485" t="n">
        <v>1</v>
      </c>
      <c r="E2485" t="n">
        <v>84.1867</v>
      </c>
      <c r="F2485" t="n">
        <v>0.03678</v>
      </c>
    </row>
    <row r="2486">
      <c r="A2486" t="n">
        <v>2000657</v>
      </c>
      <c r="B2486" t="n">
        <v>2</v>
      </c>
      <c r="C2486" t="n">
        <v>657</v>
      </c>
      <c r="D2486" t="n">
        <v>1</v>
      </c>
      <c r="E2486" t="n">
        <v>84.2174</v>
      </c>
      <c r="F2486" t="n">
        <v>0.03679</v>
      </c>
    </row>
    <row r="2487">
      <c r="A2487" t="n">
        <v>2000658</v>
      </c>
      <c r="B2487" t="n">
        <v>2</v>
      </c>
      <c r="C2487" t="n">
        <v>658</v>
      </c>
      <c r="D2487" t="n">
        <v>1</v>
      </c>
      <c r="E2487" t="n">
        <v>84.2482</v>
      </c>
      <c r="F2487" t="n">
        <v>0.0368</v>
      </c>
    </row>
    <row r="2488">
      <c r="A2488" t="n">
        <v>2000659</v>
      </c>
      <c r="B2488" t="n">
        <v>2</v>
      </c>
      <c r="C2488" t="n">
        <v>659</v>
      </c>
      <c r="D2488" t="n">
        <v>1</v>
      </c>
      <c r="E2488" t="n">
        <v>84.27889999999999</v>
      </c>
      <c r="F2488" t="n">
        <v>0.0368</v>
      </c>
    </row>
    <row r="2489">
      <c r="A2489" t="n">
        <v>2000660</v>
      </c>
      <c r="B2489" t="n">
        <v>2</v>
      </c>
      <c r="C2489" t="n">
        <v>660</v>
      </c>
      <c r="D2489" t="n">
        <v>1</v>
      </c>
      <c r="E2489" t="n">
        <v>84.3096</v>
      </c>
      <c r="F2489" t="n">
        <v>0.03681</v>
      </c>
    </row>
    <row r="2490">
      <c r="A2490" t="n">
        <v>2000661</v>
      </c>
      <c r="B2490" t="n">
        <v>2</v>
      </c>
      <c r="C2490" t="n">
        <v>661</v>
      </c>
      <c r="D2490" t="n">
        <v>1</v>
      </c>
      <c r="E2490" t="n">
        <v>84.3403</v>
      </c>
      <c r="F2490" t="n">
        <v>0.03682</v>
      </c>
    </row>
    <row r="2491">
      <c r="A2491" t="n">
        <v>2000662</v>
      </c>
      <c r="B2491" t="n">
        <v>2</v>
      </c>
      <c r="C2491" t="n">
        <v>662</v>
      </c>
      <c r="D2491" t="n">
        <v>1</v>
      </c>
      <c r="E2491" t="n">
        <v>84.371</v>
      </c>
      <c r="F2491" t="n">
        <v>0.03683</v>
      </c>
    </row>
    <row r="2492">
      <c r="A2492" t="n">
        <v>2000663</v>
      </c>
      <c r="B2492" t="n">
        <v>2</v>
      </c>
      <c r="C2492" t="n">
        <v>663</v>
      </c>
      <c r="D2492" t="n">
        <v>1</v>
      </c>
      <c r="E2492" t="n">
        <v>84.4016</v>
      </c>
      <c r="F2492" t="n">
        <v>0.03683</v>
      </c>
    </row>
    <row r="2493">
      <c r="A2493" t="n">
        <v>2000664</v>
      </c>
      <c r="B2493" t="n">
        <v>2</v>
      </c>
      <c r="C2493" t="n">
        <v>664</v>
      </c>
      <c r="D2493" t="n">
        <v>1</v>
      </c>
      <c r="E2493" t="n">
        <v>84.4323</v>
      </c>
      <c r="F2493" t="n">
        <v>0.03684</v>
      </c>
    </row>
    <row r="2494">
      <c r="A2494" t="n">
        <v>2000665</v>
      </c>
      <c r="B2494" t="n">
        <v>2</v>
      </c>
      <c r="C2494" t="n">
        <v>665</v>
      </c>
      <c r="D2494" t="n">
        <v>1</v>
      </c>
      <c r="E2494" t="n">
        <v>84.4628</v>
      </c>
      <c r="F2494" t="n">
        <v>0.03685</v>
      </c>
    </row>
    <row r="2495">
      <c r="A2495" t="n">
        <v>2000666</v>
      </c>
      <c r="B2495" t="n">
        <v>2</v>
      </c>
      <c r="C2495" t="n">
        <v>666</v>
      </c>
      <c r="D2495" t="n">
        <v>1</v>
      </c>
      <c r="E2495" t="n">
        <v>84.49339999999999</v>
      </c>
      <c r="F2495" t="n">
        <v>0.03686</v>
      </c>
    </row>
    <row r="2496">
      <c r="A2496" t="n">
        <v>2000667</v>
      </c>
      <c r="B2496" t="n">
        <v>2</v>
      </c>
      <c r="C2496" t="n">
        <v>667</v>
      </c>
      <c r="D2496" t="n">
        <v>1</v>
      </c>
      <c r="E2496" t="n">
        <v>84.5239</v>
      </c>
      <c r="F2496" t="n">
        <v>0.03686</v>
      </c>
    </row>
    <row r="2497">
      <c r="A2497" t="n">
        <v>2000668</v>
      </c>
      <c r="B2497" t="n">
        <v>2</v>
      </c>
      <c r="C2497" t="n">
        <v>668</v>
      </c>
      <c r="D2497" t="n">
        <v>1</v>
      </c>
      <c r="E2497" t="n">
        <v>84.5545</v>
      </c>
      <c r="F2497" t="n">
        <v>0.03687</v>
      </c>
    </row>
    <row r="2498">
      <c r="A2498" t="n">
        <v>2000669</v>
      </c>
      <c r="B2498" t="n">
        <v>2</v>
      </c>
      <c r="C2498" t="n">
        <v>669</v>
      </c>
      <c r="D2498" t="n">
        <v>1</v>
      </c>
      <c r="E2498" t="n">
        <v>84.58499999999999</v>
      </c>
      <c r="F2498" t="n">
        <v>0.03688</v>
      </c>
    </row>
    <row r="2499">
      <c r="A2499" t="n">
        <v>2000670</v>
      </c>
      <c r="B2499" t="n">
        <v>2</v>
      </c>
      <c r="C2499" t="n">
        <v>670</v>
      </c>
      <c r="D2499" t="n">
        <v>1</v>
      </c>
      <c r="E2499" t="n">
        <v>84.61539999999999</v>
      </c>
      <c r="F2499" t="n">
        <v>0.03689</v>
      </c>
    </row>
    <row r="2500">
      <c r="A2500" t="n">
        <v>2000671</v>
      </c>
      <c r="B2500" t="n">
        <v>2</v>
      </c>
      <c r="C2500" t="n">
        <v>671</v>
      </c>
      <c r="D2500" t="n">
        <v>1</v>
      </c>
      <c r="E2500" t="n">
        <v>84.6459</v>
      </c>
      <c r="F2500" t="n">
        <v>0.03689</v>
      </c>
    </row>
    <row r="2501">
      <c r="A2501" t="n">
        <v>2000672</v>
      </c>
      <c r="B2501" t="n">
        <v>2</v>
      </c>
      <c r="C2501" t="n">
        <v>672</v>
      </c>
      <c r="D2501" t="n">
        <v>1</v>
      </c>
      <c r="E2501" t="n">
        <v>84.6763</v>
      </c>
      <c r="F2501" t="n">
        <v>0.0369</v>
      </c>
    </row>
    <row r="2502">
      <c r="A2502" t="n">
        <v>2000673</v>
      </c>
      <c r="B2502" t="n">
        <v>2</v>
      </c>
      <c r="C2502" t="n">
        <v>673</v>
      </c>
      <c r="D2502" t="n">
        <v>1</v>
      </c>
      <c r="E2502" t="n">
        <v>84.7067</v>
      </c>
      <c r="F2502" t="n">
        <v>0.03691</v>
      </c>
    </row>
    <row r="2503">
      <c r="A2503" t="n">
        <v>2000674</v>
      </c>
      <c r="B2503" t="n">
        <v>2</v>
      </c>
      <c r="C2503" t="n">
        <v>674</v>
      </c>
      <c r="D2503" t="n">
        <v>1</v>
      </c>
      <c r="E2503" t="n">
        <v>84.73699999999999</v>
      </c>
      <c r="F2503" t="n">
        <v>0.03692</v>
      </c>
    </row>
    <row r="2504">
      <c r="A2504" t="n">
        <v>2000675</v>
      </c>
      <c r="B2504" t="n">
        <v>2</v>
      </c>
      <c r="C2504" t="n">
        <v>675</v>
      </c>
      <c r="D2504" t="n">
        <v>1</v>
      </c>
      <c r="E2504" t="n">
        <v>84.76739999999999</v>
      </c>
      <c r="F2504" t="n">
        <v>0.03692</v>
      </c>
    </row>
    <row r="2505">
      <c r="A2505" t="n">
        <v>2000676</v>
      </c>
      <c r="B2505" t="n">
        <v>2</v>
      </c>
      <c r="C2505" t="n">
        <v>676</v>
      </c>
      <c r="D2505" t="n">
        <v>1</v>
      </c>
      <c r="E2505" t="n">
        <v>84.79770000000001</v>
      </c>
      <c r="F2505" t="n">
        <v>0.03693</v>
      </c>
    </row>
    <row r="2506">
      <c r="A2506" t="n">
        <v>2000677</v>
      </c>
      <c r="B2506" t="n">
        <v>2</v>
      </c>
      <c r="C2506" t="n">
        <v>677</v>
      </c>
      <c r="D2506" t="n">
        <v>1</v>
      </c>
      <c r="E2506" t="n">
        <v>84.828</v>
      </c>
      <c r="F2506" t="n">
        <v>0.03694</v>
      </c>
    </row>
    <row r="2507">
      <c r="A2507" t="n">
        <v>2000678</v>
      </c>
      <c r="B2507" t="n">
        <v>2</v>
      </c>
      <c r="C2507" t="n">
        <v>678</v>
      </c>
      <c r="D2507" t="n">
        <v>1</v>
      </c>
      <c r="E2507" t="n">
        <v>84.8583</v>
      </c>
      <c r="F2507" t="n">
        <v>0.03695</v>
      </c>
    </row>
    <row r="2508">
      <c r="A2508" t="n">
        <v>2000679</v>
      </c>
      <c r="B2508" t="n">
        <v>2</v>
      </c>
      <c r="C2508" t="n">
        <v>679</v>
      </c>
      <c r="D2508" t="n">
        <v>1</v>
      </c>
      <c r="E2508" t="n">
        <v>84.88849999999999</v>
      </c>
      <c r="F2508" t="n">
        <v>0.03695</v>
      </c>
    </row>
    <row r="2509">
      <c r="A2509" t="n">
        <v>2000680</v>
      </c>
      <c r="B2509" t="n">
        <v>2</v>
      </c>
      <c r="C2509" t="n">
        <v>680</v>
      </c>
      <c r="D2509" t="n">
        <v>1</v>
      </c>
      <c r="E2509" t="n">
        <v>84.9188</v>
      </c>
      <c r="F2509" t="n">
        <v>0.03696</v>
      </c>
    </row>
    <row r="2510">
      <c r="A2510" t="n">
        <v>2000681</v>
      </c>
      <c r="B2510" t="n">
        <v>2</v>
      </c>
      <c r="C2510" t="n">
        <v>681</v>
      </c>
      <c r="D2510" t="n">
        <v>1</v>
      </c>
      <c r="E2510" t="n">
        <v>84.949</v>
      </c>
      <c r="F2510" t="n">
        <v>0.03697</v>
      </c>
    </row>
    <row r="2511">
      <c r="A2511" t="n">
        <v>2000682</v>
      </c>
      <c r="B2511" t="n">
        <v>2</v>
      </c>
      <c r="C2511" t="n">
        <v>682</v>
      </c>
      <c r="D2511" t="n">
        <v>1</v>
      </c>
      <c r="E2511" t="n">
        <v>84.9791</v>
      </c>
      <c r="F2511" t="n">
        <v>0.03698</v>
      </c>
    </row>
    <row r="2512">
      <c r="A2512" t="n">
        <v>2000683</v>
      </c>
      <c r="B2512" t="n">
        <v>2</v>
      </c>
      <c r="C2512" t="n">
        <v>683</v>
      </c>
      <c r="D2512" t="n">
        <v>1</v>
      </c>
      <c r="E2512" t="n">
        <v>85.0093</v>
      </c>
      <c r="F2512" t="n">
        <v>0.03698</v>
      </c>
    </row>
    <row r="2513">
      <c r="A2513" t="n">
        <v>2000684</v>
      </c>
      <c r="B2513" t="n">
        <v>2</v>
      </c>
      <c r="C2513" t="n">
        <v>684</v>
      </c>
      <c r="D2513" t="n">
        <v>1</v>
      </c>
      <c r="E2513" t="n">
        <v>85.0394</v>
      </c>
      <c r="F2513" t="n">
        <v>0.03699</v>
      </c>
    </row>
    <row r="2514">
      <c r="A2514" t="n">
        <v>2000685</v>
      </c>
      <c r="B2514" t="n">
        <v>2</v>
      </c>
      <c r="C2514" t="n">
        <v>685</v>
      </c>
      <c r="D2514" t="n">
        <v>1</v>
      </c>
      <c r="E2514" t="n">
        <v>85.06950000000001</v>
      </c>
      <c r="F2514" t="n">
        <v>0.037</v>
      </c>
    </row>
    <row r="2515">
      <c r="A2515" t="n">
        <v>2000686</v>
      </c>
      <c r="B2515" t="n">
        <v>2</v>
      </c>
      <c r="C2515" t="n">
        <v>686</v>
      </c>
      <c r="D2515" t="n">
        <v>1</v>
      </c>
      <c r="E2515" t="n">
        <v>85.0996</v>
      </c>
      <c r="F2515" t="n">
        <v>0.03701</v>
      </c>
    </row>
    <row r="2516">
      <c r="A2516" t="n">
        <v>2000687</v>
      </c>
      <c r="B2516" t="n">
        <v>2</v>
      </c>
      <c r="C2516" t="n">
        <v>687</v>
      </c>
      <c r="D2516" t="n">
        <v>1</v>
      </c>
      <c r="E2516" t="n">
        <v>85.1297</v>
      </c>
      <c r="F2516" t="n">
        <v>0.03701</v>
      </c>
    </row>
    <row r="2517">
      <c r="A2517" t="n">
        <v>2000688</v>
      </c>
      <c r="B2517" t="n">
        <v>2</v>
      </c>
      <c r="C2517" t="n">
        <v>688</v>
      </c>
      <c r="D2517" t="n">
        <v>1</v>
      </c>
      <c r="E2517" t="n">
        <v>85.1597</v>
      </c>
      <c r="F2517" t="n">
        <v>0.03702</v>
      </c>
    </row>
    <row r="2518">
      <c r="A2518" t="n">
        <v>2000689</v>
      </c>
      <c r="B2518" t="n">
        <v>2</v>
      </c>
      <c r="C2518" t="n">
        <v>689</v>
      </c>
      <c r="D2518" t="n">
        <v>1</v>
      </c>
      <c r="E2518" t="n">
        <v>85.1897</v>
      </c>
      <c r="F2518" t="n">
        <v>0.03703</v>
      </c>
    </row>
    <row r="2519">
      <c r="A2519" t="n">
        <v>2000690</v>
      </c>
      <c r="B2519" t="n">
        <v>2</v>
      </c>
      <c r="C2519" t="n">
        <v>690</v>
      </c>
      <c r="D2519" t="n">
        <v>1</v>
      </c>
      <c r="E2519" t="n">
        <v>85.2197</v>
      </c>
      <c r="F2519" t="n">
        <v>0.03704</v>
      </c>
    </row>
    <row r="2520">
      <c r="A2520" t="n">
        <v>2000691</v>
      </c>
      <c r="B2520" t="n">
        <v>2</v>
      </c>
      <c r="C2520" t="n">
        <v>691</v>
      </c>
      <c r="D2520" t="n">
        <v>1</v>
      </c>
      <c r="E2520" t="n">
        <v>85.2497</v>
      </c>
      <c r="F2520" t="n">
        <v>0.03704</v>
      </c>
    </row>
    <row r="2521">
      <c r="A2521" t="n">
        <v>2000692</v>
      </c>
      <c r="B2521" t="n">
        <v>2</v>
      </c>
      <c r="C2521" t="n">
        <v>692</v>
      </c>
      <c r="D2521" t="n">
        <v>1</v>
      </c>
      <c r="E2521" t="n">
        <v>85.2796</v>
      </c>
      <c r="F2521" t="n">
        <v>0.03705</v>
      </c>
    </row>
    <row r="2522">
      <c r="A2522" t="n">
        <v>2000693</v>
      </c>
      <c r="B2522" t="n">
        <v>2</v>
      </c>
      <c r="C2522" t="n">
        <v>693</v>
      </c>
      <c r="D2522" t="n">
        <v>1</v>
      </c>
      <c r="E2522" t="n">
        <v>85.3096</v>
      </c>
      <c r="F2522" t="n">
        <v>0.03706</v>
      </c>
    </row>
    <row r="2523">
      <c r="A2523" t="n">
        <v>2000694</v>
      </c>
      <c r="B2523" t="n">
        <v>2</v>
      </c>
      <c r="C2523" t="n">
        <v>694</v>
      </c>
      <c r="D2523" t="n">
        <v>1</v>
      </c>
      <c r="E2523" t="n">
        <v>85.3395</v>
      </c>
      <c r="F2523" t="n">
        <v>0.03706</v>
      </c>
    </row>
    <row r="2524">
      <c r="A2524" t="n">
        <v>2000695</v>
      </c>
      <c r="B2524" t="n">
        <v>2</v>
      </c>
      <c r="C2524" t="n">
        <v>695</v>
      </c>
      <c r="D2524" t="n">
        <v>1</v>
      </c>
      <c r="E2524" t="n">
        <v>85.3693</v>
      </c>
      <c r="F2524" t="n">
        <v>0.03707</v>
      </c>
    </row>
    <row r="2525">
      <c r="A2525" t="n">
        <v>2000696</v>
      </c>
      <c r="B2525" t="n">
        <v>2</v>
      </c>
      <c r="C2525" t="n">
        <v>696</v>
      </c>
      <c r="D2525" t="n">
        <v>1</v>
      </c>
      <c r="E2525" t="n">
        <v>85.39919999999999</v>
      </c>
      <c r="F2525" t="n">
        <v>0.03708</v>
      </c>
    </row>
    <row r="2526">
      <c r="A2526" t="n">
        <v>2000697</v>
      </c>
      <c r="B2526" t="n">
        <v>2</v>
      </c>
      <c r="C2526" t="n">
        <v>697</v>
      </c>
      <c r="D2526" t="n">
        <v>1</v>
      </c>
      <c r="E2526" t="n">
        <v>85.429</v>
      </c>
      <c r="F2526" t="n">
        <v>0.03709</v>
      </c>
    </row>
    <row r="2527">
      <c r="A2527" t="n">
        <v>2000698</v>
      </c>
      <c r="B2527" t="n">
        <v>2</v>
      </c>
      <c r="C2527" t="n">
        <v>698</v>
      </c>
      <c r="D2527" t="n">
        <v>1</v>
      </c>
      <c r="E2527" t="n">
        <v>85.4588</v>
      </c>
      <c r="F2527" t="n">
        <v>0.03709</v>
      </c>
    </row>
    <row r="2528">
      <c r="A2528" t="n">
        <v>2000699</v>
      </c>
      <c r="B2528" t="n">
        <v>2</v>
      </c>
      <c r="C2528" t="n">
        <v>699</v>
      </c>
      <c r="D2528" t="n">
        <v>1</v>
      </c>
      <c r="E2528" t="n">
        <v>85.48860000000001</v>
      </c>
      <c r="F2528" t="n">
        <v>0.0371</v>
      </c>
    </row>
    <row r="2529">
      <c r="A2529" t="n">
        <v>2000700</v>
      </c>
      <c r="B2529" t="n">
        <v>2</v>
      </c>
      <c r="C2529" t="n">
        <v>700</v>
      </c>
      <c r="D2529" t="n">
        <v>1</v>
      </c>
      <c r="E2529" t="n">
        <v>85.5184</v>
      </c>
      <c r="F2529" t="n">
        <v>0.03711</v>
      </c>
    </row>
    <row r="2530">
      <c r="A2530" t="n">
        <v>2000701</v>
      </c>
      <c r="B2530" t="n">
        <v>2</v>
      </c>
      <c r="C2530" t="n">
        <v>701</v>
      </c>
      <c r="D2530" t="n">
        <v>1</v>
      </c>
      <c r="E2530" t="n">
        <v>85.54810000000001</v>
      </c>
      <c r="F2530" t="n">
        <v>0.03712</v>
      </c>
    </row>
    <row r="2531">
      <c r="A2531" t="n">
        <v>2000702</v>
      </c>
      <c r="B2531" t="n">
        <v>2</v>
      </c>
      <c r="C2531" t="n">
        <v>702</v>
      </c>
      <c r="D2531" t="n">
        <v>1</v>
      </c>
      <c r="E2531" t="n">
        <v>85.5778</v>
      </c>
      <c r="F2531" t="n">
        <v>0.03712</v>
      </c>
    </row>
    <row r="2532">
      <c r="A2532" t="n">
        <v>2000703</v>
      </c>
      <c r="B2532" t="n">
        <v>2</v>
      </c>
      <c r="C2532" t="n">
        <v>703</v>
      </c>
      <c r="D2532" t="n">
        <v>1</v>
      </c>
      <c r="E2532" t="n">
        <v>85.6075</v>
      </c>
      <c r="F2532" t="n">
        <v>0.03713</v>
      </c>
    </row>
    <row r="2533">
      <c r="A2533" t="n">
        <v>2000704</v>
      </c>
      <c r="B2533" t="n">
        <v>2</v>
      </c>
      <c r="C2533" t="n">
        <v>704</v>
      </c>
      <c r="D2533" t="n">
        <v>1</v>
      </c>
      <c r="E2533" t="n">
        <v>85.63720000000001</v>
      </c>
      <c r="F2533" t="n">
        <v>0.03714</v>
      </c>
    </row>
    <row r="2534">
      <c r="A2534" t="n">
        <v>2000705</v>
      </c>
      <c r="B2534" t="n">
        <v>2</v>
      </c>
      <c r="C2534" t="n">
        <v>705</v>
      </c>
      <c r="D2534" t="n">
        <v>1</v>
      </c>
      <c r="E2534" t="n">
        <v>85.66679999999999</v>
      </c>
      <c r="F2534" t="n">
        <v>0.03715</v>
      </c>
    </row>
    <row r="2535">
      <c r="A2535" t="n">
        <v>2000706</v>
      </c>
      <c r="B2535" t="n">
        <v>2</v>
      </c>
      <c r="C2535" t="n">
        <v>706</v>
      </c>
      <c r="D2535" t="n">
        <v>1</v>
      </c>
      <c r="E2535" t="n">
        <v>85.6964</v>
      </c>
      <c r="F2535" t="n">
        <v>0.03715</v>
      </c>
    </row>
    <row r="2536">
      <c r="A2536" t="n">
        <v>2000707</v>
      </c>
      <c r="B2536" t="n">
        <v>2</v>
      </c>
      <c r="C2536" t="n">
        <v>707</v>
      </c>
      <c r="D2536" t="n">
        <v>1</v>
      </c>
      <c r="E2536" t="n">
        <v>85.726</v>
      </c>
      <c r="F2536" t="n">
        <v>0.03716</v>
      </c>
    </row>
    <row r="2537">
      <c r="A2537" t="n">
        <v>2000708</v>
      </c>
      <c r="B2537" t="n">
        <v>2</v>
      </c>
      <c r="C2537" t="n">
        <v>708</v>
      </c>
      <c r="D2537" t="n">
        <v>1</v>
      </c>
      <c r="E2537" t="n">
        <v>85.7556</v>
      </c>
      <c r="F2537" t="n">
        <v>0.03717</v>
      </c>
    </row>
    <row r="2538">
      <c r="A2538" t="n">
        <v>2000709</v>
      </c>
      <c r="B2538" t="n">
        <v>2</v>
      </c>
      <c r="C2538" t="n">
        <v>709</v>
      </c>
      <c r="D2538" t="n">
        <v>1</v>
      </c>
      <c r="E2538" t="n">
        <v>85.7852</v>
      </c>
      <c r="F2538" t="n">
        <v>0.03718</v>
      </c>
    </row>
    <row r="2539">
      <c r="A2539" t="n">
        <v>2000710</v>
      </c>
      <c r="B2539" t="n">
        <v>2</v>
      </c>
      <c r="C2539" t="n">
        <v>710</v>
      </c>
      <c r="D2539" t="n">
        <v>1</v>
      </c>
      <c r="E2539" t="n">
        <v>85.8147</v>
      </c>
      <c r="F2539" t="n">
        <v>0.03718</v>
      </c>
    </row>
    <row r="2540">
      <c r="A2540" t="n">
        <v>2000711</v>
      </c>
      <c r="B2540" t="n">
        <v>2</v>
      </c>
      <c r="C2540" t="n">
        <v>711</v>
      </c>
      <c r="D2540" t="n">
        <v>1</v>
      </c>
      <c r="E2540" t="n">
        <v>85.8442</v>
      </c>
      <c r="F2540" t="n">
        <v>0.03719</v>
      </c>
    </row>
    <row r="2541">
      <c r="A2541" t="n">
        <v>2000712</v>
      </c>
      <c r="B2541" t="n">
        <v>2</v>
      </c>
      <c r="C2541" t="n">
        <v>712</v>
      </c>
      <c r="D2541" t="n">
        <v>1</v>
      </c>
      <c r="E2541" t="n">
        <v>85.8737</v>
      </c>
      <c r="F2541" t="n">
        <v>0.0372</v>
      </c>
    </row>
    <row r="2542">
      <c r="A2542" t="n">
        <v>2000713</v>
      </c>
      <c r="B2542" t="n">
        <v>2</v>
      </c>
      <c r="C2542" t="n">
        <v>713</v>
      </c>
      <c r="D2542" t="n">
        <v>1</v>
      </c>
      <c r="E2542" t="n">
        <v>85.9032</v>
      </c>
      <c r="F2542" t="n">
        <v>0.03721</v>
      </c>
    </row>
    <row r="2543">
      <c r="A2543" t="n">
        <v>2000714</v>
      </c>
      <c r="B2543" t="n">
        <v>2</v>
      </c>
      <c r="C2543" t="n">
        <v>714</v>
      </c>
      <c r="D2543" t="n">
        <v>1</v>
      </c>
      <c r="E2543" t="n">
        <v>85.93259999999999</v>
      </c>
      <c r="F2543" t="n">
        <v>0.03721</v>
      </c>
    </row>
    <row r="2544">
      <c r="A2544" t="n">
        <v>2000715</v>
      </c>
      <c r="B2544" t="n">
        <v>2</v>
      </c>
      <c r="C2544" t="n">
        <v>715</v>
      </c>
      <c r="D2544" t="n">
        <v>1</v>
      </c>
      <c r="E2544" t="n">
        <v>85.96210000000001</v>
      </c>
      <c r="F2544" t="n">
        <v>0.03722</v>
      </c>
    </row>
    <row r="2545">
      <c r="A2545" t="n">
        <v>2000716</v>
      </c>
      <c r="B2545" t="n">
        <v>2</v>
      </c>
      <c r="C2545" t="n">
        <v>716</v>
      </c>
      <c r="D2545" t="n">
        <v>1</v>
      </c>
      <c r="E2545" t="n">
        <v>85.9915</v>
      </c>
      <c r="F2545" t="n">
        <v>0.03723</v>
      </c>
    </row>
    <row r="2546">
      <c r="A2546" t="n">
        <v>2000717</v>
      </c>
      <c r="B2546" t="n">
        <v>2</v>
      </c>
      <c r="C2546" t="n">
        <v>717</v>
      </c>
      <c r="D2546" t="n">
        <v>1</v>
      </c>
      <c r="E2546" t="n">
        <v>86.02079999999999</v>
      </c>
      <c r="F2546" t="n">
        <v>0.03724</v>
      </c>
    </row>
    <row r="2547">
      <c r="A2547" t="n">
        <v>2000718</v>
      </c>
      <c r="B2547" t="n">
        <v>2</v>
      </c>
      <c r="C2547" t="n">
        <v>718</v>
      </c>
      <c r="D2547" t="n">
        <v>1</v>
      </c>
      <c r="E2547" t="n">
        <v>86.0502</v>
      </c>
      <c r="F2547" t="n">
        <v>0.03724</v>
      </c>
    </row>
    <row r="2548">
      <c r="A2548" t="n">
        <v>2000719</v>
      </c>
      <c r="B2548" t="n">
        <v>2</v>
      </c>
      <c r="C2548" t="n">
        <v>719</v>
      </c>
      <c r="D2548" t="n">
        <v>1</v>
      </c>
      <c r="E2548" t="n">
        <v>86.0795</v>
      </c>
      <c r="F2548" t="n">
        <v>0.03725</v>
      </c>
    </row>
    <row r="2549">
      <c r="A2549" t="n">
        <v>2000720</v>
      </c>
      <c r="B2549" t="n">
        <v>2</v>
      </c>
      <c r="C2549" t="n">
        <v>720</v>
      </c>
      <c r="D2549" t="n">
        <v>1</v>
      </c>
      <c r="E2549" t="n">
        <v>86.10890000000001</v>
      </c>
      <c r="F2549" t="n">
        <v>0.03726</v>
      </c>
    </row>
    <row r="2550">
      <c r="A2550" t="n">
        <v>2000721</v>
      </c>
      <c r="B2550" t="n">
        <v>2</v>
      </c>
      <c r="C2550" t="n">
        <v>721</v>
      </c>
      <c r="D2550" t="n">
        <v>1</v>
      </c>
      <c r="E2550" t="n">
        <v>86.13809999999999</v>
      </c>
      <c r="F2550" t="n">
        <v>0.03727</v>
      </c>
    </row>
    <row r="2551">
      <c r="A2551" t="n">
        <v>2000722</v>
      </c>
      <c r="B2551" t="n">
        <v>2</v>
      </c>
      <c r="C2551" t="n">
        <v>722</v>
      </c>
      <c r="D2551" t="n">
        <v>1</v>
      </c>
      <c r="E2551" t="n">
        <v>86.1674</v>
      </c>
      <c r="F2551" t="n">
        <v>0.03727</v>
      </c>
    </row>
    <row r="2552">
      <c r="A2552" t="n">
        <v>2000723</v>
      </c>
      <c r="B2552" t="n">
        <v>2</v>
      </c>
      <c r="C2552" t="n">
        <v>723</v>
      </c>
      <c r="D2552" t="n">
        <v>1</v>
      </c>
      <c r="E2552" t="n">
        <v>86.19670000000001</v>
      </c>
      <c r="F2552" t="n">
        <v>0.03728</v>
      </c>
    </row>
    <row r="2553">
      <c r="A2553" t="n">
        <v>2000724</v>
      </c>
      <c r="B2553" t="n">
        <v>2</v>
      </c>
      <c r="C2553" t="n">
        <v>724</v>
      </c>
      <c r="D2553" t="n">
        <v>1</v>
      </c>
      <c r="E2553" t="n">
        <v>86.2259</v>
      </c>
      <c r="F2553" t="n">
        <v>0.03729</v>
      </c>
    </row>
    <row r="2554">
      <c r="A2554" t="n">
        <v>2000725</v>
      </c>
      <c r="B2554" t="n">
        <v>2</v>
      </c>
      <c r="C2554" t="n">
        <v>725</v>
      </c>
      <c r="D2554" t="n">
        <v>1</v>
      </c>
      <c r="E2554" t="n">
        <v>86.2551</v>
      </c>
      <c r="F2554" t="n">
        <v>0.03729</v>
      </c>
    </row>
    <row r="2555">
      <c r="A2555" t="n">
        <v>2000726</v>
      </c>
      <c r="B2555" t="n">
        <v>2</v>
      </c>
      <c r="C2555" t="n">
        <v>726</v>
      </c>
      <c r="D2555" t="n">
        <v>1</v>
      </c>
      <c r="E2555" t="n">
        <v>86.2843</v>
      </c>
      <c r="F2555" t="n">
        <v>0.0373</v>
      </c>
    </row>
    <row r="2556">
      <c r="A2556" t="n">
        <v>2000727</v>
      </c>
      <c r="B2556" t="n">
        <v>2</v>
      </c>
      <c r="C2556" t="n">
        <v>727</v>
      </c>
      <c r="D2556" t="n">
        <v>1</v>
      </c>
      <c r="E2556" t="n">
        <v>86.3134</v>
      </c>
      <c r="F2556" t="n">
        <v>0.03731</v>
      </c>
    </row>
    <row r="2557">
      <c r="A2557" t="n">
        <v>2000728</v>
      </c>
      <c r="B2557" t="n">
        <v>2</v>
      </c>
      <c r="C2557" t="n">
        <v>728</v>
      </c>
      <c r="D2557" t="n">
        <v>1</v>
      </c>
      <c r="E2557" t="n">
        <v>86.3426</v>
      </c>
      <c r="F2557" t="n">
        <v>0.03732</v>
      </c>
    </row>
    <row r="2558">
      <c r="A2558" t="n">
        <v>2000729</v>
      </c>
      <c r="B2558" t="n">
        <v>2</v>
      </c>
      <c r="C2558" t="n">
        <v>729</v>
      </c>
      <c r="D2558" t="n">
        <v>1</v>
      </c>
      <c r="E2558" t="n">
        <v>86.3717</v>
      </c>
      <c r="F2558" t="n">
        <v>0.03732</v>
      </c>
    </row>
    <row r="2559">
      <c r="A2559" t="n">
        <v>2000730</v>
      </c>
      <c r="B2559" t="n">
        <v>2</v>
      </c>
      <c r="C2559" t="n">
        <v>730</v>
      </c>
      <c r="D2559" t="n">
        <v>1</v>
      </c>
      <c r="E2559" t="n">
        <v>86.4008</v>
      </c>
      <c r="F2559" t="n">
        <v>0.03733</v>
      </c>
    </row>
    <row r="2560">
      <c r="A2560" t="n">
        <v>2000731</v>
      </c>
      <c r="B2560" t="n">
        <v>2</v>
      </c>
      <c r="C2560" t="n">
        <v>731</v>
      </c>
      <c r="D2560" t="n">
        <v>1</v>
      </c>
      <c r="E2560" t="n">
        <v>85.7299</v>
      </c>
      <c r="F2560" t="n">
        <v>0.03764</v>
      </c>
    </row>
    <row r="2561">
      <c r="A2561" t="n">
        <v>2000732</v>
      </c>
      <c r="B2561" t="n">
        <v>2</v>
      </c>
      <c r="C2561" t="n">
        <v>732</v>
      </c>
      <c r="D2561" t="n">
        <v>1</v>
      </c>
      <c r="E2561" t="n">
        <v>85.7589</v>
      </c>
      <c r="F2561" t="n">
        <v>0.03765</v>
      </c>
    </row>
    <row r="2562">
      <c r="A2562" t="n">
        <v>2000733</v>
      </c>
      <c r="B2562" t="n">
        <v>2</v>
      </c>
      <c r="C2562" t="n">
        <v>733</v>
      </c>
      <c r="D2562" t="n">
        <v>1</v>
      </c>
      <c r="E2562" t="n">
        <v>85.788</v>
      </c>
      <c r="F2562" t="n">
        <v>0.03766</v>
      </c>
    </row>
    <row r="2563">
      <c r="A2563" t="n">
        <v>2000734</v>
      </c>
      <c r="B2563" t="n">
        <v>2</v>
      </c>
      <c r="C2563" t="n">
        <v>734</v>
      </c>
      <c r="D2563" t="n">
        <v>1</v>
      </c>
      <c r="E2563" t="n">
        <v>85.81699999999999</v>
      </c>
      <c r="F2563" t="n">
        <v>0.03767</v>
      </c>
    </row>
    <row r="2564">
      <c r="A2564" t="n">
        <v>2000735</v>
      </c>
      <c r="B2564" t="n">
        <v>2</v>
      </c>
      <c r="C2564" t="n">
        <v>735</v>
      </c>
      <c r="D2564" t="n">
        <v>1</v>
      </c>
      <c r="E2564" t="n">
        <v>85.846</v>
      </c>
      <c r="F2564" t="n">
        <v>0.03767</v>
      </c>
    </row>
    <row r="2565">
      <c r="A2565" t="n">
        <v>2000736</v>
      </c>
      <c r="B2565" t="n">
        <v>2</v>
      </c>
      <c r="C2565" t="n">
        <v>736</v>
      </c>
      <c r="D2565" t="n">
        <v>1</v>
      </c>
      <c r="E2565" t="n">
        <v>85.8749</v>
      </c>
      <c r="F2565" t="n">
        <v>0.03768</v>
      </c>
    </row>
    <row r="2566">
      <c r="A2566" t="n">
        <v>2000737</v>
      </c>
      <c r="B2566" t="n">
        <v>2</v>
      </c>
      <c r="C2566" t="n">
        <v>737</v>
      </c>
      <c r="D2566" t="n">
        <v>1</v>
      </c>
      <c r="E2566" t="n">
        <v>85.90389999999999</v>
      </c>
      <c r="F2566" t="n">
        <v>0.03769</v>
      </c>
    </row>
    <row r="2567">
      <c r="A2567" t="n">
        <v>2000738</v>
      </c>
      <c r="B2567" t="n">
        <v>2</v>
      </c>
      <c r="C2567" t="n">
        <v>738</v>
      </c>
      <c r="D2567" t="n">
        <v>1</v>
      </c>
      <c r="E2567" t="n">
        <v>85.9328</v>
      </c>
      <c r="F2567" t="n">
        <v>0.0377</v>
      </c>
    </row>
    <row r="2568">
      <c r="A2568" t="n">
        <v>2000739</v>
      </c>
      <c r="B2568" t="n">
        <v>2</v>
      </c>
      <c r="C2568" t="n">
        <v>739</v>
      </c>
      <c r="D2568" t="n">
        <v>1</v>
      </c>
      <c r="E2568" t="n">
        <v>85.96169999999999</v>
      </c>
      <c r="F2568" t="n">
        <v>0.0377</v>
      </c>
    </row>
    <row r="2569">
      <c r="A2569" t="n">
        <v>2000740</v>
      </c>
      <c r="B2569" t="n">
        <v>2</v>
      </c>
      <c r="C2569" t="n">
        <v>740</v>
      </c>
      <c r="D2569" t="n">
        <v>1</v>
      </c>
      <c r="E2569" t="n">
        <v>85.9906</v>
      </c>
      <c r="F2569" t="n">
        <v>0.03771</v>
      </c>
    </row>
    <row r="2570">
      <c r="A2570" t="n">
        <v>2000741</v>
      </c>
      <c r="B2570" t="n">
        <v>2</v>
      </c>
      <c r="C2570" t="n">
        <v>741</v>
      </c>
      <c r="D2570" t="n">
        <v>1</v>
      </c>
      <c r="E2570" t="n">
        <v>86.0194</v>
      </c>
      <c r="F2570" t="n">
        <v>0.03772</v>
      </c>
    </row>
    <row r="2571">
      <c r="A2571" t="n">
        <v>2000742</v>
      </c>
      <c r="B2571" t="n">
        <v>2</v>
      </c>
      <c r="C2571" t="n">
        <v>742</v>
      </c>
      <c r="D2571" t="n">
        <v>1</v>
      </c>
      <c r="E2571" t="n">
        <v>86.0483</v>
      </c>
      <c r="F2571" t="n">
        <v>0.03772</v>
      </c>
    </row>
    <row r="2572">
      <c r="A2572" t="n">
        <v>2000743</v>
      </c>
      <c r="B2572" t="n">
        <v>2</v>
      </c>
      <c r="C2572" t="n">
        <v>743</v>
      </c>
      <c r="D2572" t="n">
        <v>1</v>
      </c>
      <c r="E2572" t="n">
        <v>86.0771</v>
      </c>
      <c r="F2572" t="n">
        <v>0.03773</v>
      </c>
    </row>
    <row r="2573">
      <c r="A2573" t="n">
        <v>2000744</v>
      </c>
      <c r="B2573" t="n">
        <v>2</v>
      </c>
      <c r="C2573" t="n">
        <v>744</v>
      </c>
      <c r="D2573" t="n">
        <v>1</v>
      </c>
      <c r="E2573" t="n">
        <v>86.10590000000001</v>
      </c>
      <c r="F2573" t="n">
        <v>0.03774</v>
      </c>
    </row>
    <row r="2574">
      <c r="A2574" t="n">
        <v>2000745</v>
      </c>
      <c r="B2574" t="n">
        <v>2</v>
      </c>
      <c r="C2574" t="n">
        <v>745</v>
      </c>
      <c r="D2574" t="n">
        <v>1</v>
      </c>
      <c r="E2574" t="n">
        <v>86.1347</v>
      </c>
      <c r="F2574" t="n">
        <v>0.03775</v>
      </c>
    </row>
    <row r="2575">
      <c r="A2575" t="n">
        <v>2000746</v>
      </c>
      <c r="B2575" t="n">
        <v>2</v>
      </c>
      <c r="C2575" t="n">
        <v>746</v>
      </c>
      <c r="D2575" t="n">
        <v>1</v>
      </c>
      <c r="E2575" t="n">
        <v>86.1634</v>
      </c>
      <c r="F2575" t="n">
        <v>0.03775</v>
      </c>
    </row>
    <row r="2576">
      <c r="A2576" t="n">
        <v>2000747</v>
      </c>
      <c r="B2576" t="n">
        <v>2</v>
      </c>
      <c r="C2576" t="n">
        <v>747</v>
      </c>
      <c r="D2576" t="n">
        <v>1</v>
      </c>
      <c r="E2576" t="n">
        <v>86.1921</v>
      </c>
      <c r="F2576" t="n">
        <v>0.03776</v>
      </c>
    </row>
    <row r="2577">
      <c r="A2577" t="n">
        <v>2000748</v>
      </c>
      <c r="B2577" t="n">
        <v>2</v>
      </c>
      <c r="C2577" t="n">
        <v>748</v>
      </c>
      <c r="D2577" t="n">
        <v>1</v>
      </c>
      <c r="E2577" t="n">
        <v>86.2209</v>
      </c>
      <c r="F2577" t="n">
        <v>0.03777</v>
      </c>
    </row>
    <row r="2578">
      <c r="A2578" t="n">
        <v>2000749</v>
      </c>
      <c r="B2578" t="n">
        <v>2</v>
      </c>
      <c r="C2578" t="n">
        <v>749</v>
      </c>
      <c r="D2578" t="n">
        <v>1</v>
      </c>
      <c r="E2578" t="n">
        <v>86.2495</v>
      </c>
      <c r="F2578" t="n">
        <v>0.03778</v>
      </c>
    </row>
    <row r="2579">
      <c r="A2579" t="n">
        <v>2000750</v>
      </c>
      <c r="B2579" t="n">
        <v>2</v>
      </c>
      <c r="C2579" t="n">
        <v>750</v>
      </c>
      <c r="D2579" t="n">
        <v>1</v>
      </c>
      <c r="E2579" t="n">
        <v>86.2782</v>
      </c>
      <c r="F2579" t="n">
        <v>0.03778</v>
      </c>
    </row>
    <row r="2580">
      <c r="A2580" t="n">
        <v>2000751</v>
      </c>
      <c r="B2580" t="n">
        <v>2</v>
      </c>
      <c r="C2580" t="n">
        <v>751</v>
      </c>
      <c r="D2580" t="n">
        <v>1</v>
      </c>
      <c r="E2580" t="n">
        <v>86.3069</v>
      </c>
      <c r="F2580" t="n">
        <v>0.03779</v>
      </c>
    </row>
    <row r="2581">
      <c r="A2581" t="n">
        <v>2000752</v>
      </c>
      <c r="B2581" t="n">
        <v>2</v>
      </c>
      <c r="C2581" t="n">
        <v>752</v>
      </c>
      <c r="D2581" t="n">
        <v>1</v>
      </c>
      <c r="E2581" t="n">
        <v>86.3355</v>
      </c>
      <c r="F2581" t="n">
        <v>0.0378</v>
      </c>
    </row>
    <row r="2582">
      <c r="A2582" t="n">
        <v>2000753</v>
      </c>
      <c r="B2582" t="n">
        <v>2</v>
      </c>
      <c r="C2582" t="n">
        <v>753</v>
      </c>
      <c r="D2582" t="n">
        <v>1</v>
      </c>
      <c r="E2582" t="n">
        <v>86.36409999999999</v>
      </c>
      <c r="F2582" t="n">
        <v>0.0378</v>
      </c>
    </row>
    <row r="2583">
      <c r="A2583" t="n">
        <v>2000754</v>
      </c>
      <c r="B2583" t="n">
        <v>2</v>
      </c>
      <c r="C2583" t="n">
        <v>754</v>
      </c>
      <c r="D2583" t="n">
        <v>1</v>
      </c>
      <c r="E2583" t="n">
        <v>86.3927</v>
      </c>
      <c r="F2583" t="n">
        <v>0.03781</v>
      </c>
    </row>
    <row r="2584">
      <c r="A2584" t="n">
        <v>2000755</v>
      </c>
      <c r="B2584" t="n">
        <v>2</v>
      </c>
      <c r="C2584" t="n">
        <v>755</v>
      </c>
      <c r="D2584" t="n">
        <v>1</v>
      </c>
      <c r="E2584" t="n">
        <v>86.4212</v>
      </c>
      <c r="F2584" t="n">
        <v>0.03782</v>
      </c>
    </row>
    <row r="2585">
      <c r="A2585" t="n">
        <v>2000756</v>
      </c>
      <c r="B2585" t="n">
        <v>2</v>
      </c>
      <c r="C2585" t="n">
        <v>756</v>
      </c>
      <c r="D2585" t="n">
        <v>1</v>
      </c>
      <c r="E2585" t="n">
        <v>86.4498</v>
      </c>
      <c r="F2585" t="n">
        <v>0.03783</v>
      </c>
    </row>
    <row r="2586">
      <c r="A2586" t="n">
        <v>2000757</v>
      </c>
      <c r="B2586" t="n">
        <v>2</v>
      </c>
      <c r="C2586" t="n">
        <v>757</v>
      </c>
      <c r="D2586" t="n">
        <v>1</v>
      </c>
      <c r="E2586" t="n">
        <v>86.4783</v>
      </c>
      <c r="F2586" t="n">
        <v>0.03783</v>
      </c>
    </row>
    <row r="2587">
      <c r="A2587" t="n">
        <v>2000758</v>
      </c>
      <c r="B2587" t="n">
        <v>2</v>
      </c>
      <c r="C2587" t="n">
        <v>758</v>
      </c>
      <c r="D2587" t="n">
        <v>1</v>
      </c>
      <c r="E2587" t="n">
        <v>86.5068</v>
      </c>
      <c r="F2587" t="n">
        <v>0.03784</v>
      </c>
    </row>
    <row r="2588">
      <c r="A2588" t="n">
        <v>2000759</v>
      </c>
      <c r="B2588" t="n">
        <v>2</v>
      </c>
      <c r="C2588" t="n">
        <v>759</v>
      </c>
      <c r="D2588" t="n">
        <v>1</v>
      </c>
      <c r="E2588" t="n">
        <v>86.53530000000001</v>
      </c>
      <c r="F2588" t="n">
        <v>0.03785</v>
      </c>
    </row>
    <row r="2589">
      <c r="A2589" t="n">
        <v>2000760</v>
      </c>
      <c r="B2589" t="n">
        <v>2</v>
      </c>
      <c r="C2589" t="n">
        <v>760</v>
      </c>
      <c r="D2589" t="n">
        <v>1</v>
      </c>
      <c r="E2589" t="n">
        <v>86.5638</v>
      </c>
      <c r="F2589" t="n">
        <v>0.03786</v>
      </c>
    </row>
    <row r="2590">
      <c r="A2590" t="n">
        <v>2000761</v>
      </c>
      <c r="B2590" t="n">
        <v>2</v>
      </c>
      <c r="C2590" t="n">
        <v>761</v>
      </c>
      <c r="D2590" t="n">
        <v>1</v>
      </c>
      <c r="E2590" t="n">
        <v>86.59220000000001</v>
      </c>
      <c r="F2590" t="n">
        <v>0.03786</v>
      </c>
    </row>
    <row r="2591">
      <c r="A2591" t="n">
        <v>2000762</v>
      </c>
      <c r="B2591" t="n">
        <v>2</v>
      </c>
      <c r="C2591" t="n">
        <v>762</v>
      </c>
      <c r="D2591" t="n">
        <v>1</v>
      </c>
      <c r="E2591" t="n">
        <v>86.6206</v>
      </c>
      <c r="F2591" t="n">
        <v>0.03787</v>
      </c>
    </row>
    <row r="2592">
      <c r="A2592" t="n">
        <v>2000763</v>
      </c>
      <c r="B2592" t="n">
        <v>2</v>
      </c>
      <c r="C2592" t="n">
        <v>763</v>
      </c>
      <c r="D2592" t="n">
        <v>1</v>
      </c>
      <c r="E2592" t="n">
        <v>86.649</v>
      </c>
      <c r="F2592" t="n">
        <v>0.03788</v>
      </c>
    </row>
    <row r="2593">
      <c r="A2593" t="n">
        <v>2000764</v>
      </c>
      <c r="B2593" t="n">
        <v>2</v>
      </c>
      <c r="C2593" t="n">
        <v>764</v>
      </c>
      <c r="D2593" t="n">
        <v>1</v>
      </c>
      <c r="E2593" t="n">
        <v>86.67740000000001</v>
      </c>
      <c r="F2593" t="n">
        <v>0.03788</v>
      </c>
    </row>
    <row r="2594">
      <c r="A2594" t="n">
        <v>2000765</v>
      </c>
      <c r="B2594" t="n">
        <v>2</v>
      </c>
      <c r="C2594" t="n">
        <v>765</v>
      </c>
      <c r="D2594" t="n">
        <v>1</v>
      </c>
      <c r="E2594" t="n">
        <v>86.70569999999999</v>
      </c>
      <c r="F2594" t="n">
        <v>0.03789</v>
      </c>
    </row>
    <row r="2595">
      <c r="A2595" t="n">
        <v>2000766</v>
      </c>
      <c r="B2595" t="n">
        <v>2</v>
      </c>
      <c r="C2595" t="n">
        <v>766</v>
      </c>
      <c r="D2595" t="n">
        <v>1</v>
      </c>
      <c r="E2595" t="n">
        <v>86.7341</v>
      </c>
      <c r="F2595" t="n">
        <v>0.0379</v>
      </c>
    </row>
    <row r="2596">
      <c r="A2596" t="n">
        <v>2000767</v>
      </c>
      <c r="B2596" t="n">
        <v>2</v>
      </c>
      <c r="C2596" t="n">
        <v>767</v>
      </c>
      <c r="D2596" t="n">
        <v>1</v>
      </c>
      <c r="E2596" t="n">
        <v>86.7624</v>
      </c>
      <c r="F2596" t="n">
        <v>0.03791</v>
      </c>
    </row>
    <row r="2597">
      <c r="A2597" t="n">
        <v>2000768</v>
      </c>
      <c r="B2597" t="n">
        <v>2</v>
      </c>
      <c r="C2597" t="n">
        <v>768</v>
      </c>
      <c r="D2597" t="n">
        <v>1</v>
      </c>
      <c r="E2597" t="n">
        <v>86.7907</v>
      </c>
      <c r="F2597" t="n">
        <v>0.03791</v>
      </c>
    </row>
    <row r="2598">
      <c r="A2598" t="n">
        <v>2000769</v>
      </c>
      <c r="B2598" t="n">
        <v>2</v>
      </c>
      <c r="C2598" t="n">
        <v>769</v>
      </c>
      <c r="D2598" t="n">
        <v>1</v>
      </c>
      <c r="E2598" t="n">
        <v>86.819</v>
      </c>
      <c r="F2598" t="n">
        <v>0.03792</v>
      </c>
    </row>
    <row r="2599">
      <c r="A2599" t="n">
        <v>2000770</v>
      </c>
      <c r="B2599" t="n">
        <v>2</v>
      </c>
      <c r="C2599" t="n">
        <v>770</v>
      </c>
      <c r="D2599" t="n">
        <v>1</v>
      </c>
      <c r="E2599" t="n">
        <v>86.8472</v>
      </c>
      <c r="F2599" t="n">
        <v>0.03793</v>
      </c>
    </row>
    <row r="2600">
      <c r="A2600" t="n">
        <v>2000771</v>
      </c>
      <c r="B2600" t="n">
        <v>2</v>
      </c>
      <c r="C2600" t="n">
        <v>771</v>
      </c>
      <c r="D2600" t="n">
        <v>1</v>
      </c>
      <c r="E2600" t="n">
        <v>86.8754</v>
      </c>
      <c r="F2600" t="n">
        <v>0.03794</v>
      </c>
    </row>
    <row r="2601">
      <c r="A2601" t="n">
        <v>2000772</v>
      </c>
      <c r="B2601" t="n">
        <v>2</v>
      </c>
      <c r="C2601" t="n">
        <v>772</v>
      </c>
      <c r="D2601" t="n">
        <v>1</v>
      </c>
      <c r="E2601" t="n">
        <v>86.9037</v>
      </c>
      <c r="F2601" t="n">
        <v>0.03794</v>
      </c>
    </row>
    <row r="2602">
      <c r="A2602" t="n">
        <v>2000773</v>
      </c>
      <c r="B2602" t="n">
        <v>2</v>
      </c>
      <c r="C2602" t="n">
        <v>773</v>
      </c>
      <c r="D2602" t="n">
        <v>1</v>
      </c>
      <c r="E2602" t="n">
        <v>86.9319</v>
      </c>
      <c r="F2602" t="n">
        <v>0.03795</v>
      </c>
    </row>
    <row r="2603">
      <c r="A2603" t="n">
        <v>2000774</v>
      </c>
      <c r="B2603" t="n">
        <v>2</v>
      </c>
      <c r="C2603" t="n">
        <v>774</v>
      </c>
      <c r="D2603" t="n">
        <v>1</v>
      </c>
      <c r="E2603" t="n">
        <v>86.95999999999999</v>
      </c>
      <c r="F2603" t="n">
        <v>0.03796</v>
      </c>
    </row>
    <row r="2604">
      <c r="A2604" t="n">
        <v>2000775</v>
      </c>
      <c r="B2604" t="n">
        <v>2</v>
      </c>
      <c r="C2604" t="n">
        <v>775</v>
      </c>
      <c r="D2604" t="n">
        <v>1</v>
      </c>
      <c r="E2604" t="n">
        <v>86.98820000000001</v>
      </c>
      <c r="F2604" t="n">
        <v>0.03796</v>
      </c>
    </row>
    <row r="2605">
      <c r="A2605" t="n">
        <v>2000776</v>
      </c>
      <c r="B2605" t="n">
        <v>2</v>
      </c>
      <c r="C2605" t="n">
        <v>776</v>
      </c>
      <c r="D2605" t="n">
        <v>1</v>
      </c>
      <c r="E2605" t="n">
        <v>87.0163</v>
      </c>
      <c r="F2605" t="n">
        <v>0.03797</v>
      </c>
    </row>
    <row r="2606">
      <c r="A2606" t="n">
        <v>2000777</v>
      </c>
      <c r="B2606" t="n">
        <v>2</v>
      </c>
      <c r="C2606" t="n">
        <v>777</v>
      </c>
      <c r="D2606" t="n">
        <v>1</v>
      </c>
      <c r="E2606" t="n">
        <v>87.0444</v>
      </c>
      <c r="F2606" t="n">
        <v>0.03798</v>
      </c>
    </row>
    <row r="2607">
      <c r="A2607" t="n">
        <v>2000778</v>
      </c>
      <c r="B2607" t="n">
        <v>2</v>
      </c>
      <c r="C2607" t="n">
        <v>778</v>
      </c>
      <c r="D2607" t="n">
        <v>1</v>
      </c>
      <c r="E2607" t="n">
        <v>87.07250000000001</v>
      </c>
      <c r="F2607" t="n">
        <v>0.03799</v>
      </c>
    </row>
    <row r="2608">
      <c r="A2608" t="n">
        <v>2000779</v>
      </c>
      <c r="B2608" t="n">
        <v>2</v>
      </c>
      <c r="C2608" t="n">
        <v>779</v>
      </c>
      <c r="D2608" t="n">
        <v>1</v>
      </c>
      <c r="E2608" t="n">
        <v>87.1006</v>
      </c>
      <c r="F2608" t="n">
        <v>0.03799</v>
      </c>
    </row>
    <row r="2609">
      <c r="A2609" t="n">
        <v>2000780</v>
      </c>
      <c r="B2609" t="n">
        <v>2</v>
      </c>
      <c r="C2609" t="n">
        <v>780</v>
      </c>
      <c r="D2609" t="n">
        <v>1</v>
      </c>
      <c r="E2609" t="n">
        <v>87.12860000000001</v>
      </c>
      <c r="F2609" t="n">
        <v>0.038</v>
      </c>
    </row>
    <row r="2610">
      <c r="A2610" t="n">
        <v>2000781</v>
      </c>
      <c r="B2610" t="n">
        <v>2</v>
      </c>
      <c r="C2610" t="n">
        <v>781</v>
      </c>
      <c r="D2610" t="n">
        <v>1</v>
      </c>
      <c r="E2610" t="n">
        <v>87.1567</v>
      </c>
      <c r="F2610" t="n">
        <v>0.03801</v>
      </c>
    </row>
    <row r="2611">
      <c r="A2611" t="n">
        <v>2000782</v>
      </c>
      <c r="B2611" t="n">
        <v>2</v>
      </c>
      <c r="C2611" t="n">
        <v>782</v>
      </c>
      <c r="D2611" t="n">
        <v>1</v>
      </c>
      <c r="E2611" t="n">
        <v>87.18470000000001</v>
      </c>
      <c r="F2611" t="n">
        <v>0.03801</v>
      </c>
    </row>
    <row r="2612">
      <c r="A2612" t="n">
        <v>2000783</v>
      </c>
      <c r="B2612" t="n">
        <v>2</v>
      </c>
      <c r="C2612" t="n">
        <v>783</v>
      </c>
      <c r="D2612" t="n">
        <v>1</v>
      </c>
      <c r="E2612" t="n">
        <v>87.21259999999999</v>
      </c>
      <c r="F2612" t="n">
        <v>0.03802</v>
      </c>
    </row>
    <row r="2613">
      <c r="A2613" t="n">
        <v>2000784</v>
      </c>
      <c r="B2613" t="n">
        <v>2</v>
      </c>
      <c r="C2613" t="n">
        <v>784</v>
      </c>
      <c r="D2613" t="n">
        <v>1</v>
      </c>
      <c r="E2613" t="n">
        <v>87.2406</v>
      </c>
      <c r="F2613" t="n">
        <v>0.03803</v>
      </c>
    </row>
    <row r="2614">
      <c r="A2614" t="n">
        <v>2000785</v>
      </c>
      <c r="B2614" t="n">
        <v>2</v>
      </c>
      <c r="C2614" t="n">
        <v>785</v>
      </c>
      <c r="D2614" t="n">
        <v>1</v>
      </c>
      <c r="E2614" t="n">
        <v>87.26860000000001</v>
      </c>
      <c r="F2614" t="n">
        <v>0.03804</v>
      </c>
    </row>
    <row r="2615">
      <c r="A2615" t="n">
        <v>2000786</v>
      </c>
      <c r="B2615" t="n">
        <v>2</v>
      </c>
      <c r="C2615" t="n">
        <v>786</v>
      </c>
      <c r="D2615" t="n">
        <v>1</v>
      </c>
      <c r="E2615" t="n">
        <v>87.29649999999999</v>
      </c>
      <c r="F2615" t="n">
        <v>0.03804</v>
      </c>
    </row>
    <row r="2616">
      <c r="A2616" t="n">
        <v>2000787</v>
      </c>
      <c r="B2616" t="n">
        <v>2</v>
      </c>
      <c r="C2616" t="n">
        <v>787</v>
      </c>
      <c r="D2616" t="n">
        <v>1</v>
      </c>
      <c r="E2616" t="n">
        <v>87.3244</v>
      </c>
      <c r="F2616" t="n">
        <v>0.03805</v>
      </c>
    </row>
    <row r="2617">
      <c r="A2617" t="n">
        <v>2000788</v>
      </c>
      <c r="B2617" t="n">
        <v>2</v>
      </c>
      <c r="C2617" t="n">
        <v>788</v>
      </c>
      <c r="D2617" t="n">
        <v>1</v>
      </c>
      <c r="E2617" t="n">
        <v>87.3523</v>
      </c>
      <c r="F2617" t="n">
        <v>0.03806</v>
      </c>
    </row>
    <row r="2618">
      <c r="A2618" t="n">
        <v>2000789</v>
      </c>
      <c r="B2618" t="n">
        <v>2</v>
      </c>
      <c r="C2618" t="n">
        <v>789</v>
      </c>
      <c r="D2618" t="n">
        <v>1</v>
      </c>
      <c r="E2618" t="n">
        <v>87.3801</v>
      </c>
      <c r="F2618" t="n">
        <v>0.03806</v>
      </c>
    </row>
    <row r="2619">
      <c r="A2619" t="n">
        <v>2000790</v>
      </c>
      <c r="B2619" t="n">
        <v>2</v>
      </c>
      <c r="C2619" t="n">
        <v>790</v>
      </c>
      <c r="D2619" t="n">
        <v>1</v>
      </c>
      <c r="E2619" t="n">
        <v>87.408</v>
      </c>
      <c r="F2619" t="n">
        <v>0.03807</v>
      </c>
    </row>
    <row r="2620">
      <c r="A2620" t="n">
        <v>2000791</v>
      </c>
      <c r="B2620" t="n">
        <v>2</v>
      </c>
      <c r="C2620" t="n">
        <v>791</v>
      </c>
      <c r="D2620" t="n">
        <v>1</v>
      </c>
      <c r="E2620" t="n">
        <v>87.4358</v>
      </c>
      <c r="F2620" t="n">
        <v>0.03808</v>
      </c>
    </row>
    <row r="2621">
      <c r="A2621" t="n">
        <v>2000792</v>
      </c>
      <c r="B2621" t="n">
        <v>2</v>
      </c>
      <c r="C2621" t="n">
        <v>792</v>
      </c>
      <c r="D2621" t="n">
        <v>1</v>
      </c>
      <c r="E2621" t="n">
        <v>87.4636</v>
      </c>
      <c r="F2621" t="n">
        <v>0.03809</v>
      </c>
    </row>
    <row r="2622">
      <c r="A2622" t="n">
        <v>2000793</v>
      </c>
      <c r="B2622" t="n">
        <v>2</v>
      </c>
      <c r="C2622" t="n">
        <v>793</v>
      </c>
      <c r="D2622" t="n">
        <v>1</v>
      </c>
      <c r="E2622" t="n">
        <v>87.4914</v>
      </c>
      <c r="F2622" t="n">
        <v>0.03809</v>
      </c>
    </row>
    <row r="2623">
      <c r="A2623" t="n">
        <v>2000794</v>
      </c>
      <c r="B2623" t="n">
        <v>2</v>
      </c>
      <c r="C2623" t="n">
        <v>794</v>
      </c>
      <c r="D2623" t="n">
        <v>1</v>
      </c>
      <c r="E2623" t="n">
        <v>87.5192</v>
      </c>
      <c r="F2623" t="n">
        <v>0.0381</v>
      </c>
    </row>
    <row r="2624">
      <c r="A2624" t="n">
        <v>2000795</v>
      </c>
      <c r="B2624" t="n">
        <v>2</v>
      </c>
      <c r="C2624" t="n">
        <v>795</v>
      </c>
      <c r="D2624" t="n">
        <v>1</v>
      </c>
      <c r="E2624" t="n">
        <v>87.54689999999999</v>
      </c>
      <c r="F2624" t="n">
        <v>0.03811</v>
      </c>
    </row>
    <row r="2625">
      <c r="A2625" t="n">
        <v>2000796</v>
      </c>
      <c r="B2625" t="n">
        <v>2</v>
      </c>
      <c r="C2625" t="n">
        <v>796</v>
      </c>
      <c r="D2625" t="n">
        <v>1</v>
      </c>
      <c r="E2625" t="n">
        <v>87.5746</v>
      </c>
      <c r="F2625" t="n">
        <v>0.03812</v>
      </c>
    </row>
    <row r="2626">
      <c r="A2626" t="n">
        <v>2000797</v>
      </c>
      <c r="B2626" t="n">
        <v>2</v>
      </c>
      <c r="C2626" t="n">
        <v>797</v>
      </c>
      <c r="D2626" t="n">
        <v>1</v>
      </c>
      <c r="E2626" t="n">
        <v>87.6023</v>
      </c>
      <c r="F2626" t="n">
        <v>0.03812</v>
      </c>
    </row>
    <row r="2627">
      <c r="A2627" t="n">
        <v>2000798</v>
      </c>
      <c r="B2627" t="n">
        <v>2</v>
      </c>
      <c r="C2627" t="n">
        <v>798</v>
      </c>
      <c r="D2627" t="n">
        <v>1</v>
      </c>
      <c r="E2627" t="n">
        <v>87.63</v>
      </c>
      <c r="F2627" t="n">
        <v>0.03813</v>
      </c>
    </row>
    <row r="2628">
      <c r="A2628" t="n">
        <v>2000799</v>
      </c>
      <c r="B2628" t="n">
        <v>2</v>
      </c>
      <c r="C2628" t="n">
        <v>799</v>
      </c>
      <c r="D2628" t="n">
        <v>1</v>
      </c>
      <c r="E2628" t="n">
        <v>87.65770000000001</v>
      </c>
      <c r="F2628" t="n">
        <v>0.03814</v>
      </c>
    </row>
    <row r="2629">
      <c r="A2629" t="n">
        <v>2000800</v>
      </c>
      <c r="B2629" t="n">
        <v>2</v>
      </c>
      <c r="C2629" t="n">
        <v>800</v>
      </c>
      <c r="D2629" t="n">
        <v>1</v>
      </c>
      <c r="E2629" t="n">
        <v>87.6853</v>
      </c>
      <c r="F2629" t="n">
        <v>0.03814</v>
      </c>
    </row>
    <row r="2630">
      <c r="A2630" t="n">
        <v>2000801</v>
      </c>
      <c r="B2630" t="n">
        <v>2</v>
      </c>
      <c r="C2630" t="n">
        <v>801</v>
      </c>
      <c r="D2630" t="n">
        <v>1</v>
      </c>
      <c r="E2630" t="n">
        <v>87.7129</v>
      </c>
      <c r="F2630" t="n">
        <v>0.03815</v>
      </c>
    </row>
    <row r="2631">
      <c r="A2631" t="n">
        <v>2000802</v>
      </c>
      <c r="B2631" t="n">
        <v>2</v>
      </c>
      <c r="C2631" t="n">
        <v>802</v>
      </c>
      <c r="D2631" t="n">
        <v>1</v>
      </c>
      <c r="E2631" t="n">
        <v>87.7405</v>
      </c>
      <c r="F2631" t="n">
        <v>0.03816</v>
      </c>
    </row>
    <row r="2632">
      <c r="A2632" t="n">
        <v>2000803</v>
      </c>
      <c r="B2632" t="n">
        <v>2</v>
      </c>
      <c r="C2632" t="n">
        <v>803</v>
      </c>
      <c r="D2632" t="n">
        <v>1</v>
      </c>
      <c r="E2632" t="n">
        <v>87.7681</v>
      </c>
      <c r="F2632" t="n">
        <v>0.03817</v>
      </c>
    </row>
    <row r="2633">
      <c r="A2633" t="n">
        <v>2000804</v>
      </c>
      <c r="B2633" t="n">
        <v>2</v>
      </c>
      <c r="C2633" t="n">
        <v>804</v>
      </c>
      <c r="D2633" t="n">
        <v>1</v>
      </c>
      <c r="E2633" t="n">
        <v>87.79559999999999</v>
      </c>
      <c r="F2633" t="n">
        <v>0.03817</v>
      </c>
    </row>
    <row r="2634">
      <c r="A2634" t="n">
        <v>2000805</v>
      </c>
      <c r="B2634" t="n">
        <v>2</v>
      </c>
      <c r="C2634" t="n">
        <v>805</v>
      </c>
      <c r="D2634" t="n">
        <v>1</v>
      </c>
      <c r="E2634" t="n">
        <v>87.8232</v>
      </c>
      <c r="F2634" t="n">
        <v>0.03818</v>
      </c>
    </row>
    <row r="2635">
      <c r="A2635" t="n">
        <v>2000806</v>
      </c>
      <c r="B2635" t="n">
        <v>2</v>
      </c>
      <c r="C2635" t="n">
        <v>806</v>
      </c>
      <c r="D2635" t="n">
        <v>1</v>
      </c>
      <c r="E2635" t="n">
        <v>87.8507</v>
      </c>
      <c r="F2635" t="n">
        <v>0.03819</v>
      </c>
    </row>
    <row r="2636">
      <c r="A2636" t="n">
        <v>2000807</v>
      </c>
      <c r="B2636" t="n">
        <v>2</v>
      </c>
      <c r="C2636" t="n">
        <v>807</v>
      </c>
      <c r="D2636" t="n">
        <v>1</v>
      </c>
      <c r="E2636" t="n">
        <v>87.87820000000001</v>
      </c>
      <c r="F2636" t="n">
        <v>0.03819</v>
      </c>
    </row>
    <row r="2637">
      <c r="A2637" t="n">
        <v>2000808</v>
      </c>
      <c r="B2637" t="n">
        <v>2</v>
      </c>
      <c r="C2637" t="n">
        <v>808</v>
      </c>
      <c r="D2637" t="n">
        <v>1</v>
      </c>
      <c r="E2637" t="n">
        <v>87.90560000000001</v>
      </c>
      <c r="F2637" t="n">
        <v>0.0382</v>
      </c>
    </row>
    <row r="2638">
      <c r="A2638" t="n">
        <v>2000809</v>
      </c>
      <c r="B2638" t="n">
        <v>2</v>
      </c>
      <c r="C2638" t="n">
        <v>809</v>
      </c>
      <c r="D2638" t="n">
        <v>1</v>
      </c>
      <c r="E2638" t="n">
        <v>87.9331</v>
      </c>
      <c r="F2638" t="n">
        <v>0.03821</v>
      </c>
    </row>
    <row r="2639">
      <c r="A2639" t="n">
        <v>2000810</v>
      </c>
      <c r="B2639" t="n">
        <v>2</v>
      </c>
      <c r="C2639" t="n">
        <v>810</v>
      </c>
      <c r="D2639" t="n">
        <v>1</v>
      </c>
      <c r="E2639" t="n">
        <v>87.9605</v>
      </c>
      <c r="F2639" t="n">
        <v>0.03821</v>
      </c>
    </row>
    <row r="2640">
      <c r="A2640" t="n">
        <v>2000811</v>
      </c>
      <c r="B2640" t="n">
        <v>2</v>
      </c>
      <c r="C2640" t="n">
        <v>811</v>
      </c>
      <c r="D2640" t="n">
        <v>1</v>
      </c>
      <c r="E2640" t="n">
        <v>87.9879</v>
      </c>
      <c r="F2640" t="n">
        <v>0.03822</v>
      </c>
    </row>
    <row r="2641">
      <c r="A2641" t="n">
        <v>2000812</v>
      </c>
      <c r="B2641" t="n">
        <v>2</v>
      </c>
      <c r="C2641" t="n">
        <v>812</v>
      </c>
      <c r="D2641" t="n">
        <v>1</v>
      </c>
      <c r="E2641" t="n">
        <v>88.0153</v>
      </c>
      <c r="F2641" t="n">
        <v>0.03823</v>
      </c>
    </row>
    <row r="2642">
      <c r="A2642" t="n">
        <v>2000813</v>
      </c>
      <c r="B2642" t="n">
        <v>2</v>
      </c>
      <c r="C2642" t="n">
        <v>813</v>
      </c>
      <c r="D2642" t="n">
        <v>1</v>
      </c>
      <c r="E2642" t="n">
        <v>88.0427</v>
      </c>
      <c r="F2642" t="n">
        <v>0.03824</v>
      </c>
    </row>
    <row r="2643">
      <c r="A2643" t="n">
        <v>2000814</v>
      </c>
      <c r="B2643" t="n">
        <v>2</v>
      </c>
      <c r="C2643" t="n">
        <v>814</v>
      </c>
      <c r="D2643" t="n">
        <v>1</v>
      </c>
      <c r="E2643" t="n">
        <v>88.06999999999999</v>
      </c>
      <c r="F2643" t="n">
        <v>0.03824</v>
      </c>
    </row>
    <row r="2644">
      <c r="A2644" t="n">
        <v>2000815</v>
      </c>
      <c r="B2644" t="n">
        <v>2</v>
      </c>
      <c r="C2644" t="n">
        <v>815</v>
      </c>
      <c r="D2644" t="n">
        <v>1</v>
      </c>
      <c r="E2644" t="n">
        <v>88.09739999999999</v>
      </c>
      <c r="F2644" t="n">
        <v>0.03825</v>
      </c>
    </row>
    <row r="2645">
      <c r="A2645" t="n">
        <v>2000816</v>
      </c>
      <c r="B2645" t="n">
        <v>2</v>
      </c>
      <c r="C2645" t="n">
        <v>816</v>
      </c>
      <c r="D2645" t="n">
        <v>1</v>
      </c>
      <c r="E2645" t="n">
        <v>88.1247</v>
      </c>
      <c r="F2645" t="n">
        <v>0.03826</v>
      </c>
    </row>
    <row r="2646">
      <c r="A2646" t="n">
        <v>2000817</v>
      </c>
      <c r="B2646" t="n">
        <v>2</v>
      </c>
      <c r="C2646" t="n">
        <v>817</v>
      </c>
      <c r="D2646" t="n">
        <v>1</v>
      </c>
      <c r="E2646" t="n">
        <v>88.1519</v>
      </c>
      <c r="F2646" t="n">
        <v>0.03826</v>
      </c>
    </row>
    <row r="2647">
      <c r="A2647" t="n">
        <v>2000818</v>
      </c>
      <c r="B2647" t="n">
        <v>2</v>
      </c>
      <c r="C2647" t="n">
        <v>818</v>
      </c>
      <c r="D2647" t="n">
        <v>1</v>
      </c>
      <c r="E2647" t="n">
        <v>88.17919999999999</v>
      </c>
      <c r="F2647" t="n">
        <v>0.03827</v>
      </c>
    </row>
    <row r="2648">
      <c r="A2648" t="n">
        <v>2000819</v>
      </c>
      <c r="B2648" t="n">
        <v>2</v>
      </c>
      <c r="C2648" t="n">
        <v>819</v>
      </c>
      <c r="D2648" t="n">
        <v>1</v>
      </c>
      <c r="E2648" t="n">
        <v>88.20650000000001</v>
      </c>
      <c r="F2648" t="n">
        <v>0.03828</v>
      </c>
    </row>
    <row r="2649">
      <c r="A2649" t="n">
        <v>2000820</v>
      </c>
      <c r="B2649" t="n">
        <v>2</v>
      </c>
      <c r="C2649" t="n">
        <v>820</v>
      </c>
      <c r="D2649" t="n">
        <v>1</v>
      </c>
      <c r="E2649" t="n">
        <v>88.2337</v>
      </c>
      <c r="F2649" t="n">
        <v>0.03829</v>
      </c>
    </row>
    <row r="2650">
      <c r="A2650" t="n">
        <v>2000821</v>
      </c>
      <c r="B2650" t="n">
        <v>2</v>
      </c>
      <c r="C2650" t="n">
        <v>821</v>
      </c>
      <c r="D2650" t="n">
        <v>1</v>
      </c>
      <c r="E2650" t="n">
        <v>88.26090000000001</v>
      </c>
      <c r="F2650" t="n">
        <v>0.03829</v>
      </c>
    </row>
    <row r="2651">
      <c r="A2651" t="n">
        <v>2000822</v>
      </c>
      <c r="B2651" t="n">
        <v>2</v>
      </c>
      <c r="C2651" t="n">
        <v>822</v>
      </c>
      <c r="D2651" t="n">
        <v>1</v>
      </c>
      <c r="E2651" t="n">
        <v>88.2881</v>
      </c>
      <c r="F2651" t="n">
        <v>0.0383</v>
      </c>
    </row>
    <row r="2652">
      <c r="A2652" t="n">
        <v>2000823</v>
      </c>
      <c r="B2652" t="n">
        <v>2</v>
      </c>
      <c r="C2652" t="n">
        <v>823</v>
      </c>
      <c r="D2652" t="n">
        <v>1</v>
      </c>
      <c r="E2652" t="n">
        <v>88.3152</v>
      </c>
      <c r="F2652" t="n">
        <v>0.03831</v>
      </c>
    </row>
    <row r="2653">
      <c r="A2653" t="n">
        <v>2000824</v>
      </c>
      <c r="B2653" t="n">
        <v>2</v>
      </c>
      <c r="C2653" t="n">
        <v>824</v>
      </c>
      <c r="D2653" t="n">
        <v>1</v>
      </c>
      <c r="E2653" t="n">
        <v>88.34229999999999</v>
      </c>
      <c r="F2653" t="n">
        <v>0.03831</v>
      </c>
    </row>
    <row r="2654">
      <c r="A2654" t="n">
        <v>2000825</v>
      </c>
      <c r="B2654" t="n">
        <v>2</v>
      </c>
      <c r="C2654" t="n">
        <v>825</v>
      </c>
      <c r="D2654" t="n">
        <v>1</v>
      </c>
      <c r="E2654" t="n">
        <v>88.3695</v>
      </c>
      <c r="F2654" t="n">
        <v>0.03832</v>
      </c>
    </row>
    <row r="2655">
      <c r="A2655" t="n">
        <v>2000826</v>
      </c>
      <c r="B2655" t="n">
        <v>2</v>
      </c>
      <c r="C2655" t="n">
        <v>826</v>
      </c>
      <c r="D2655" t="n">
        <v>1</v>
      </c>
      <c r="E2655" t="n">
        <v>88.39660000000001</v>
      </c>
      <c r="F2655" t="n">
        <v>0.03833</v>
      </c>
    </row>
    <row r="2656">
      <c r="A2656" t="n">
        <v>2000827</v>
      </c>
      <c r="B2656" t="n">
        <v>2</v>
      </c>
      <c r="C2656" t="n">
        <v>827</v>
      </c>
      <c r="D2656" t="n">
        <v>1</v>
      </c>
      <c r="E2656" t="n">
        <v>88.42359999999999</v>
      </c>
      <c r="F2656" t="n">
        <v>0.03834</v>
      </c>
    </row>
    <row r="2657">
      <c r="A2657" t="n">
        <v>2000828</v>
      </c>
      <c r="B2657" t="n">
        <v>2</v>
      </c>
      <c r="C2657" t="n">
        <v>828</v>
      </c>
      <c r="D2657" t="n">
        <v>1</v>
      </c>
      <c r="E2657" t="n">
        <v>88.4507</v>
      </c>
      <c r="F2657" t="n">
        <v>0.03834</v>
      </c>
    </row>
    <row r="2658">
      <c r="A2658" t="n">
        <v>2000829</v>
      </c>
      <c r="B2658" t="n">
        <v>2</v>
      </c>
      <c r="C2658" t="n">
        <v>829</v>
      </c>
      <c r="D2658" t="n">
        <v>1</v>
      </c>
      <c r="E2658" t="n">
        <v>88.4777</v>
      </c>
      <c r="F2658" t="n">
        <v>0.03835</v>
      </c>
    </row>
    <row r="2659">
      <c r="A2659" t="n">
        <v>2000830</v>
      </c>
      <c r="B2659" t="n">
        <v>2</v>
      </c>
      <c r="C2659" t="n">
        <v>830</v>
      </c>
      <c r="D2659" t="n">
        <v>1</v>
      </c>
      <c r="E2659" t="n">
        <v>88.5047</v>
      </c>
      <c r="F2659" t="n">
        <v>0.03836</v>
      </c>
    </row>
    <row r="2660">
      <c r="A2660" t="n">
        <v>2000831</v>
      </c>
      <c r="B2660" t="n">
        <v>2</v>
      </c>
      <c r="C2660" t="n">
        <v>831</v>
      </c>
      <c r="D2660" t="n">
        <v>1</v>
      </c>
      <c r="E2660" t="n">
        <v>88.5317</v>
      </c>
      <c r="F2660" t="n">
        <v>0.03836</v>
      </c>
    </row>
    <row r="2661">
      <c r="A2661" t="n">
        <v>2000832</v>
      </c>
      <c r="B2661" t="n">
        <v>2</v>
      </c>
      <c r="C2661" t="n">
        <v>832</v>
      </c>
      <c r="D2661" t="n">
        <v>1</v>
      </c>
      <c r="E2661" t="n">
        <v>88.5587</v>
      </c>
      <c r="F2661" t="n">
        <v>0.03837</v>
      </c>
    </row>
    <row r="2662">
      <c r="A2662" t="n">
        <v>2000833</v>
      </c>
      <c r="B2662" t="n">
        <v>2</v>
      </c>
      <c r="C2662" t="n">
        <v>833</v>
      </c>
      <c r="D2662" t="n">
        <v>1</v>
      </c>
      <c r="E2662" t="n">
        <v>88.5856</v>
      </c>
      <c r="F2662" t="n">
        <v>0.03838</v>
      </c>
    </row>
    <row r="2663">
      <c r="A2663" t="n">
        <v>2000834</v>
      </c>
      <c r="B2663" t="n">
        <v>2</v>
      </c>
      <c r="C2663" t="n">
        <v>834</v>
      </c>
      <c r="D2663" t="n">
        <v>1</v>
      </c>
      <c r="E2663" t="n">
        <v>88.6126</v>
      </c>
      <c r="F2663" t="n">
        <v>0.03838</v>
      </c>
    </row>
    <row r="2664">
      <c r="A2664" t="n">
        <v>2000835</v>
      </c>
      <c r="B2664" t="n">
        <v>2</v>
      </c>
      <c r="C2664" t="n">
        <v>835</v>
      </c>
      <c r="D2664" t="n">
        <v>1</v>
      </c>
      <c r="E2664" t="n">
        <v>88.6395</v>
      </c>
      <c r="F2664" t="n">
        <v>0.03839</v>
      </c>
    </row>
    <row r="2665">
      <c r="A2665" t="n">
        <v>2000836</v>
      </c>
      <c r="B2665" t="n">
        <v>2</v>
      </c>
      <c r="C2665" t="n">
        <v>836</v>
      </c>
      <c r="D2665" t="n">
        <v>1</v>
      </c>
      <c r="E2665" t="n">
        <v>88.6664</v>
      </c>
      <c r="F2665" t="n">
        <v>0.0384</v>
      </c>
    </row>
    <row r="2666">
      <c r="A2666" t="n">
        <v>2000837</v>
      </c>
      <c r="B2666" t="n">
        <v>2</v>
      </c>
      <c r="C2666" t="n">
        <v>837</v>
      </c>
      <c r="D2666" t="n">
        <v>1</v>
      </c>
      <c r="E2666" t="n">
        <v>88.6932</v>
      </c>
      <c r="F2666" t="n">
        <v>0.03841</v>
      </c>
    </row>
    <row r="2667">
      <c r="A2667" t="n">
        <v>2000838</v>
      </c>
      <c r="B2667" t="n">
        <v>2</v>
      </c>
      <c r="C2667" t="n">
        <v>838</v>
      </c>
      <c r="D2667" t="n">
        <v>1</v>
      </c>
      <c r="E2667" t="n">
        <v>88.7201</v>
      </c>
      <c r="F2667" t="n">
        <v>0.03841</v>
      </c>
    </row>
    <row r="2668">
      <c r="A2668" t="n">
        <v>2000839</v>
      </c>
      <c r="B2668" t="n">
        <v>2</v>
      </c>
      <c r="C2668" t="n">
        <v>839</v>
      </c>
      <c r="D2668" t="n">
        <v>1</v>
      </c>
      <c r="E2668" t="n">
        <v>88.7469</v>
      </c>
      <c r="F2668" t="n">
        <v>0.03842</v>
      </c>
    </row>
    <row r="2669">
      <c r="A2669" t="n">
        <v>2000840</v>
      </c>
      <c r="B2669" t="n">
        <v>2</v>
      </c>
      <c r="C2669" t="n">
        <v>840</v>
      </c>
      <c r="D2669" t="n">
        <v>1</v>
      </c>
      <c r="E2669" t="n">
        <v>88.77370000000001</v>
      </c>
      <c r="F2669" t="n">
        <v>0.03843</v>
      </c>
    </row>
    <row r="2670">
      <c r="A2670" t="n">
        <v>2000841</v>
      </c>
      <c r="B2670" t="n">
        <v>2</v>
      </c>
      <c r="C2670" t="n">
        <v>841</v>
      </c>
      <c r="D2670" t="n">
        <v>1</v>
      </c>
      <c r="E2670" t="n">
        <v>88.8005</v>
      </c>
      <c r="F2670" t="n">
        <v>0.03843</v>
      </c>
    </row>
    <row r="2671">
      <c r="A2671" t="n">
        <v>2000842</v>
      </c>
      <c r="B2671" t="n">
        <v>2</v>
      </c>
      <c r="C2671" t="n">
        <v>842</v>
      </c>
      <c r="D2671" t="n">
        <v>1</v>
      </c>
      <c r="E2671" t="n">
        <v>88.82729999999999</v>
      </c>
      <c r="F2671" t="n">
        <v>0.03844</v>
      </c>
    </row>
    <row r="2672">
      <c r="A2672" t="n">
        <v>2000843</v>
      </c>
      <c r="B2672" t="n">
        <v>2</v>
      </c>
      <c r="C2672" t="n">
        <v>843</v>
      </c>
      <c r="D2672" t="n">
        <v>1</v>
      </c>
      <c r="E2672" t="n">
        <v>88.854</v>
      </c>
      <c r="F2672" t="n">
        <v>0.03845</v>
      </c>
    </row>
    <row r="2673">
      <c r="A2673" t="n">
        <v>2000844</v>
      </c>
      <c r="B2673" t="n">
        <v>2</v>
      </c>
      <c r="C2673" t="n">
        <v>844</v>
      </c>
      <c r="D2673" t="n">
        <v>1</v>
      </c>
      <c r="E2673" t="n">
        <v>88.8807</v>
      </c>
      <c r="F2673" t="n">
        <v>0.03845</v>
      </c>
    </row>
    <row r="2674">
      <c r="A2674" t="n">
        <v>2000845</v>
      </c>
      <c r="B2674" t="n">
        <v>2</v>
      </c>
      <c r="C2674" t="n">
        <v>845</v>
      </c>
      <c r="D2674" t="n">
        <v>1</v>
      </c>
      <c r="E2674" t="n">
        <v>88.9074</v>
      </c>
      <c r="F2674" t="n">
        <v>0.03846</v>
      </c>
    </row>
    <row r="2675">
      <c r="A2675" t="n">
        <v>2000846</v>
      </c>
      <c r="B2675" t="n">
        <v>2</v>
      </c>
      <c r="C2675" t="n">
        <v>846</v>
      </c>
      <c r="D2675" t="n">
        <v>1</v>
      </c>
      <c r="E2675" t="n">
        <v>88.9341</v>
      </c>
      <c r="F2675" t="n">
        <v>0.03847</v>
      </c>
    </row>
    <row r="2676">
      <c r="A2676" t="n">
        <v>2000847</v>
      </c>
      <c r="B2676" t="n">
        <v>2</v>
      </c>
      <c r="C2676" t="n">
        <v>847</v>
      </c>
      <c r="D2676" t="n">
        <v>1</v>
      </c>
      <c r="E2676" t="n">
        <v>88.96080000000001</v>
      </c>
      <c r="F2676" t="n">
        <v>0.03848</v>
      </c>
    </row>
    <row r="2677">
      <c r="A2677" t="n">
        <v>2000848</v>
      </c>
      <c r="B2677" t="n">
        <v>2</v>
      </c>
      <c r="C2677" t="n">
        <v>848</v>
      </c>
      <c r="D2677" t="n">
        <v>1</v>
      </c>
      <c r="E2677" t="n">
        <v>88.98739999999999</v>
      </c>
      <c r="F2677" t="n">
        <v>0.03848</v>
      </c>
    </row>
    <row r="2678">
      <c r="A2678" t="n">
        <v>2000849</v>
      </c>
      <c r="B2678" t="n">
        <v>2</v>
      </c>
      <c r="C2678" t="n">
        <v>849</v>
      </c>
      <c r="D2678" t="n">
        <v>1</v>
      </c>
      <c r="E2678" t="n">
        <v>89.014</v>
      </c>
      <c r="F2678" t="n">
        <v>0.03849</v>
      </c>
    </row>
    <row r="2679">
      <c r="A2679" t="n">
        <v>2000850</v>
      </c>
      <c r="B2679" t="n">
        <v>2</v>
      </c>
      <c r="C2679" t="n">
        <v>850</v>
      </c>
      <c r="D2679" t="n">
        <v>1</v>
      </c>
      <c r="E2679" t="n">
        <v>89.0406</v>
      </c>
      <c r="F2679" t="n">
        <v>0.0385</v>
      </c>
    </row>
    <row r="2680">
      <c r="A2680" t="n">
        <v>2000851</v>
      </c>
      <c r="B2680" t="n">
        <v>2</v>
      </c>
      <c r="C2680" t="n">
        <v>851</v>
      </c>
      <c r="D2680" t="n">
        <v>1</v>
      </c>
      <c r="E2680" t="n">
        <v>89.0672</v>
      </c>
      <c r="F2680" t="n">
        <v>0.0385</v>
      </c>
    </row>
    <row r="2681">
      <c r="A2681" t="n">
        <v>2000852</v>
      </c>
      <c r="B2681" t="n">
        <v>2</v>
      </c>
      <c r="C2681" t="n">
        <v>852</v>
      </c>
      <c r="D2681" t="n">
        <v>1</v>
      </c>
      <c r="E2681" t="n">
        <v>89.0938</v>
      </c>
      <c r="F2681" t="n">
        <v>0.03851</v>
      </c>
    </row>
    <row r="2682">
      <c r="A2682" t="n">
        <v>2000853</v>
      </c>
      <c r="B2682" t="n">
        <v>2</v>
      </c>
      <c r="C2682" t="n">
        <v>853</v>
      </c>
      <c r="D2682" t="n">
        <v>1</v>
      </c>
      <c r="E2682" t="n">
        <v>89.1203</v>
      </c>
      <c r="F2682" t="n">
        <v>0.03852</v>
      </c>
    </row>
    <row r="2683">
      <c r="A2683" t="n">
        <v>2000854</v>
      </c>
      <c r="B2683" t="n">
        <v>2</v>
      </c>
      <c r="C2683" t="n">
        <v>854</v>
      </c>
      <c r="D2683" t="n">
        <v>1</v>
      </c>
      <c r="E2683" t="n">
        <v>89.1468</v>
      </c>
      <c r="F2683" t="n">
        <v>0.03852</v>
      </c>
    </row>
    <row r="2684">
      <c r="A2684" t="n">
        <v>2000855</v>
      </c>
      <c r="B2684" t="n">
        <v>2</v>
      </c>
      <c r="C2684" t="n">
        <v>855</v>
      </c>
      <c r="D2684" t="n">
        <v>1</v>
      </c>
      <c r="E2684" t="n">
        <v>89.1733</v>
      </c>
      <c r="F2684" t="n">
        <v>0.03853</v>
      </c>
    </row>
    <row r="2685">
      <c r="A2685" t="n">
        <v>2000856</v>
      </c>
      <c r="B2685" t="n">
        <v>2</v>
      </c>
      <c r="C2685" t="n">
        <v>856</v>
      </c>
      <c r="D2685" t="n">
        <v>1</v>
      </c>
      <c r="E2685" t="n">
        <v>89.1998</v>
      </c>
      <c r="F2685" t="n">
        <v>0.03854</v>
      </c>
    </row>
    <row r="2686">
      <c r="A2686" t="n">
        <v>2000857</v>
      </c>
      <c r="B2686" t="n">
        <v>2</v>
      </c>
      <c r="C2686" t="n">
        <v>857</v>
      </c>
      <c r="D2686" t="n">
        <v>1</v>
      </c>
      <c r="E2686" t="n">
        <v>89.22629999999999</v>
      </c>
      <c r="F2686" t="n">
        <v>0.03855</v>
      </c>
    </row>
    <row r="2687">
      <c r="A2687" t="n">
        <v>2000858</v>
      </c>
      <c r="B2687" t="n">
        <v>2</v>
      </c>
      <c r="C2687" t="n">
        <v>858</v>
      </c>
      <c r="D2687" t="n">
        <v>1</v>
      </c>
      <c r="E2687" t="n">
        <v>89.2527</v>
      </c>
      <c r="F2687" t="n">
        <v>0.03855</v>
      </c>
    </row>
    <row r="2688">
      <c r="A2688" t="n">
        <v>2000859</v>
      </c>
      <c r="B2688" t="n">
        <v>2</v>
      </c>
      <c r="C2688" t="n">
        <v>859</v>
      </c>
      <c r="D2688" t="n">
        <v>1</v>
      </c>
      <c r="E2688" t="n">
        <v>89.2791</v>
      </c>
      <c r="F2688" t="n">
        <v>0.03856</v>
      </c>
    </row>
    <row r="2689">
      <c r="A2689" t="n">
        <v>2000860</v>
      </c>
      <c r="B2689" t="n">
        <v>2</v>
      </c>
      <c r="C2689" t="n">
        <v>860</v>
      </c>
      <c r="D2689" t="n">
        <v>1</v>
      </c>
      <c r="E2689" t="n">
        <v>89.30549999999999</v>
      </c>
      <c r="F2689" t="n">
        <v>0.03857</v>
      </c>
    </row>
    <row r="2690">
      <c r="A2690" t="n">
        <v>2000861</v>
      </c>
      <c r="B2690" t="n">
        <v>2</v>
      </c>
      <c r="C2690" t="n">
        <v>861</v>
      </c>
      <c r="D2690" t="n">
        <v>1</v>
      </c>
      <c r="E2690" t="n">
        <v>89.3319</v>
      </c>
      <c r="F2690" t="n">
        <v>0.03857</v>
      </c>
    </row>
    <row r="2691">
      <c r="A2691" t="n">
        <v>2000862</v>
      </c>
      <c r="B2691" t="n">
        <v>2</v>
      </c>
      <c r="C2691" t="n">
        <v>862</v>
      </c>
      <c r="D2691" t="n">
        <v>1</v>
      </c>
      <c r="E2691" t="n">
        <v>89.3583</v>
      </c>
      <c r="F2691" t="n">
        <v>0.03858</v>
      </c>
    </row>
    <row r="2692">
      <c r="A2692" t="n">
        <v>2000863</v>
      </c>
      <c r="B2692" t="n">
        <v>2</v>
      </c>
      <c r="C2692" t="n">
        <v>863</v>
      </c>
      <c r="D2692" t="n">
        <v>1</v>
      </c>
      <c r="E2692" t="n">
        <v>89.38460000000001</v>
      </c>
      <c r="F2692" t="n">
        <v>0.03859</v>
      </c>
    </row>
    <row r="2693">
      <c r="A2693" t="n">
        <v>2000864</v>
      </c>
      <c r="B2693" t="n">
        <v>2</v>
      </c>
      <c r="C2693" t="n">
        <v>864</v>
      </c>
      <c r="D2693" t="n">
        <v>1</v>
      </c>
      <c r="E2693" t="n">
        <v>89.4109</v>
      </c>
      <c r="F2693" t="n">
        <v>0.03859</v>
      </c>
    </row>
    <row r="2694">
      <c r="A2694" t="n">
        <v>2000865</v>
      </c>
      <c r="B2694" t="n">
        <v>2</v>
      </c>
      <c r="C2694" t="n">
        <v>865</v>
      </c>
      <c r="D2694" t="n">
        <v>1</v>
      </c>
      <c r="E2694" t="n">
        <v>89.4372</v>
      </c>
      <c r="F2694" t="n">
        <v>0.0386</v>
      </c>
    </row>
    <row r="2695">
      <c r="A2695" t="n">
        <v>2000866</v>
      </c>
      <c r="B2695" t="n">
        <v>2</v>
      </c>
      <c r="C2695" t="n">
        <v>866</v>
      </c>
      <c r="D2695" t="n">
        <v>1</v>
      </c>
      <c r="E2695" t="n">
        <v>89.4635</v>
      </c>
      <c r="F2695" t="n">
        <v>0.03861</v>
      </c>
    </row>
    <row r="2696">
      <c r="A2696" t="n">
        <v>2000867</v>
      </c>
      <c r="B2696" t="n">
        <v>2</v>
      </c>
      <c r="C2696" t="n">
        <v>867</v>
      </c>
      <c r="D2696" t="n">
        <v>1</v>
      </c>
      <c r="E2696" t="n">
        <v>89.4898</v>
      </c>
      <c r="F2696" t="n">
        <v>0.03861</v>
      </c>
    </row>
    <row r="2697">
      <c r="A2697" t="n">
        <v>2000868</v>
      </c>
      <c r="B2697" t="n">
        <v>2</v>
      </c>
      <c r="C2697" t="n">
        <v>868</v>
      </c>
      <c r="D2697" t="n">
        <v>1</v>
      </c>
      <c r="E2697" t="n">
        <v>89.51600000000001</v>
      </c>
      <c r="F2697" t="n">
        <v>0.03862</v>
      </c>
    </row>
    <row r="2698">
      <c r="A2698" t="n">
        <v>2000869</v>
      </c>
      <c r="B2698" t="n">
        <v>2</v>
      </c>
      <c r="C2698" t="n">
        <v>869</v>
      </c>
      <c r="D2698" t="n">
        <v>1</v>
      </c>
      <c r="E2698" t="n">
        <v>89.54219999999999</v>
      </c>
      <c r="F2698" t="n">
        <v>0.03863</v>
      </c>
    </row>
    <row r="2699">
      <c r="A2699" t="n">
        <v>2000870</v>
      </c>
      <c r="B2699" t="n">
        <v>2</v>
      </c>
      <c r="C2699" t="n">
        <v>870</v>
      </c>
      <c r="D2699" t="n">
        <v>1</v>
      </c>
      <c r="E2699" t="n">
        <v>89.5684</v>
      </c>
      <c r="F2699" t="n">
        <v>0.03864</v>
      </c>
    </row>
    <row r="2700">
      <c r="A2700" t="n">
        <v>2000871</v>
      </c>
      <c r="B2700" t="n">
        <v>2</v>
      </c>
      <c r="C2700" t="n">
        <v>871</v>
      </c>
      <c r="D2700" t="n">
        <v>1</v>
      </c>
      <c r="E2700" t="n">
        <v>89.5946</v>
      </c>
      <c r="F2700" t="n">
        <v>0.03864</v>
      </c>
    </row>
    <row r="2701">
      <c r="A2701" t="n">
        <v>2000872</v>
      </c>
      <c r="B2701" t="n">
        <v>2</v>
      </c>
      <c r="C2701" t="n">
        <v>872</v>
      </c>
      <c r="D2701" t="n">
        <v>1</v>
      </c>
      <c r="E2701" t="n">
        <v>89.6208</v>
      </c>
      <c r="F2701" t="n">
        <v>0.03865</v>
      </c>
    </row>
    <row r="2702">
      <c r="A2702" t="n">
        <v>2000873</v>
      </c>
      <c r="B2702" t="n">
        <v>2</v>
      </c>
      <c r="C2702" t="n">
        <v>873</v>
      </c>
      <c r="D2702" t="n">
        <v>1</v>
      </c>
      <c r="E2702" t="n">
        <v>89.6469</v>
      </c>
      <c r="F2702" t="n">
        <v>0.03866</v>
      </c>
    </row>
    <row r="2703">
      <c r="A2703" t="n">
        <v>2000874</v>
      </c>
      <c r="B2703" t="n">
        <v>2</v>
      </c>
      <c r="C2703" t="n">
        <v>874</v>
      </c>
      <c r="D2703" t="n">
        <v>1</v>
      </c>
      <c r="E2703" t="n">
        <v>89.673</v>
      </c>
      <c r="F2703" t="n">
        <v>0.03866</v>
      </c>
    </row>
    <row r="2704">
      <c r="A2704" t="n">
        <v>2000875</v>
      </c>
      <c r="B2704" t="n">
        <v>2</v>
      </c>
      <c r="C2704" t="n">
        <v>875</v>
      </c>
      <c r="D2704" t="n">
        <v>1</v>
      </c>
      <c r="E2704" t="n">
        <v>89.6991</v>
      </c>
      <c r="F2704" t="n">
        <v>0.03867</v>
      </c>
    </row>
    <row r="2705">
      <c r="A2705" t="n">
        <v>2000876</v>
      </c>
      <c r="B2705" t="n">
        <v>2</v>
      </c>
      <c r="C2705" t="n">
        <v>876</v>
      </c>
      <c r="D2705" t="n">
        <v>1</v>
      </c>
      <c r="E2705" t="n">
        <v>89.7252</v>
      </c>
      <c r="F2705" t="n">
        <v>0.03868</v>
      </c>
    </row>
    <row r="2706">
      <c r="A2706" t="n">
        <v>2000877</v>
      </c>
      <c r="B2706" t="n">
        <v>2</v>
      </c>
      <c r="C2706" t="n">
        <v>877</v>
      </c>
      <c r="D2706" t="n">
        <v>1</v>
      </c>
      <c r="E2706" t="n">
        <v>89.7513</v>
      </c>
      <c r="F2706" t="n">
        <v>0.03868</v>
      </c>
    </row>
    <row r="2707">
      <c r="A2707" t="n">
        <v>2000878</v>
      </c>
      <c r="B2707" t="n">
        <v>2</v>
      </c>
      <c r="C2707" t="n">
        <v>878</v>
      </c>
      <c r="D2707" t="n">
        <v>1</v>
      </c>
      <c r="E2707" t="n">
        <v>89.7773</v>
      </c>
      <c r="F2707" t="n">
        <v>0.03869</v>
      </c>
    </row>
    <row r="2708">
      <c r="A2708" t="n">
        <v>2000879</v>
      </c>
      <c r="B2708" t="n">
        <v>2</v>
      </c>
      <c r="C2708" t="n">
        <v>879</v>
      </c>
      <c r="D2708" t="n">
        <v>1</v>
      </c>
      <c r="E2708" t="n">
        <v>89.80329999999999</v>
      </c>
      <c r="F2708" t="n">
        <v>0.0387</v>
      </c>
    </row>
    <row r="2709">
      <c r="A2709" t="n">
        <v>2000880</v>
      </c>
      <c r="B2709" t="n">
        <v>2</v>
      </c>
      <c r="C2709" t="n">
        <v>880</v>
      </c>
      <c r="D2709" t="n">
        <v>1</v>
      </c>
      <c r="E2709" t="n">
        <v>89.8293</v>
      </c>
      <c r="F2709" t="n">
        <v>0.0387</v>
      </c>
    </row>
    <row r="2710">
      <c r="A2710" t="n">
        <v>2000881</v>
      </c>
      <c r="B2710" t="n">
        <v>2</v>
      </c>
      <c r="C2710" t="n">
        <v>881</v>
      </c>
      <c r="D2710" t="n">
        <v>1</v>
      </c>
      <c r="E2710" t="n">
        <v>89.8553</v>
      </c>
      <c r="F2710" t="n">
        <v>0.03871</v>
      </c>
    </row>
    <row r="2711">
      <c r="A2711" t="n">
        <v>2000882</v>
      </c>
      <c r="B2711" t="n">
        <v>2</v>
      </c>
      <c r="C2711" t="n">
        <v>882</v>
      </c>
      <c r="D2711" t="n">
        <v>1</v>
      </c>
      <c r="E2711" t="n">
        <v>89.8813</v>
      </c>
      <c r="F2711" t="n">
        <v>0.03872</v>
      </c>
    </row>
    <row r="2712">
      <c r="A2712" t="n">
        <v>2000883</v>
      </c>
      <c r="B2712" t="n">
        <v>2</v>
      </c>
      <c r="C2712" t="n">
        <v>883</v>
      </c>
      <c r="D2712" t="n">
        <v>1</v>
      </c>
      <c r="E2712" t="n">
        <v>89.9072</v>
      </c>
      <c r="F2712" t="n">
        <v>0.03872</v>
      </c>
    </row>
    <row r="2713">
      <c r="A2713" t="n">
        <v>2000884</v>
      </c>
      <c r="B2713" t="n">
        <v>2</v>
      </c>
      <c r="C2713" t="n">
        <v>884</v>
      </c>
      <c r="D2713" t="n">
        <v>1</v>
      </c>
      <c r="E2713" t="n">
        <v>89.9331</v>
      </c>
      <c r="F2713" t="n">
        <v>0.03873</v>
      </c>
    </row>
    <row r="2714">
      <c r="A2714" t="n">
        <v>2000885</v>
      </c>
      <c r="B2714" t="n">
        <v>2</v>
      </c>
      <c r="C2714" t="n">
        <v>885</v>
      </c>
      <c r="D2714" t="n">
        <v>1</v>
      </c>
      <c r="E2714" t="n">
        <v>89.95910000000001</v>
      </c>
      <c r="F2714" t="n">
        <v>0.03874</v>
      </c>
    </row>
    <row r="2715">
      <c r="A2715" t="n">
        <v>2000886</v>
      </c>
      <c r="B2715" t="n">
        <v>2</v>
      </c>
      <c r="C2715" t="n">
        <v>886</v>
      </c>
      <c r="D2715" t="n">
        <v>1</v>
      </c>
      <c r="E2715" t="n">
        <v>89.9849</v>
      </c>
      <c r="F2715" t="n">
        <v>0.03874</v>
      </c>
    </row>
    <row r="2716">
      <c r="A2716" t="n">
        <v>2000887</v>
      </c>
      <c r="B2716" t="n">
        <v>2</v>
      </c>
      <c r="C2716" t="n">
        <v>887</v>
      </c>
      <c r="D2716" t="n">
        <v>1</v>
      </c>
      <c r="E2716" t="n">
        <v>90.0108</v>
      </c>
      <c r="F2716" t="n">
        <v>0.03875</v>
      </c>
    </row>
    <row r="2717">
      <c r="A2717" t="n">
        <v>2000888</v>
      </c>
      <c r="B2717" t="n">
        <v>2</v>
      </c>
      <c r="C2717" t="n">
        <v>888</v>
      </c>
      <c r="D2717" t="n">
        <v>1</v>
      </c>
      <c r="E2717" t="n">
        <v>90.03660000000001</v>
      </c>
      <c r="F2717" t="n">
        <v>0.03876</v>
      </c>
    </row>
    <row r="2718">
      <c r="A2718" t="n">
        <v>2000889</v>
      </c>
      <c r="B2718" t="n">
        <v>2</v>
      </c>
      <c r="C2718" t="n">
        <v>889</v>
      </c>
      <c r="D2718" t="n">
        <v>1</v>
      </c>
      <c r="E2718" t="n">
        <v>90.0625</v>
      </c>
      <c r="F2718" t="n">
        <v>0.03877</v>
      </c>
    </row>
    <row r="2719">
      <c r="A2719" t="n">
        <v>2000890</v>
      </c>
      <c r="B2719" t="n">
        <v>2</v>
      </c>
      <c r="C2719" t="n">
        <v>890</v>
      </c>
      <c r="D2719" t="n">
        <v>1</v>
      </c>
      <c r="E2719" t="n">
        <v>90.0883</v>
      </c>
      <c r="F2719" t="n">
        <v>0.03877</v>
      </c>
    </row>
    <row r="2720">
      <c r="A2720" t="n">
        <v>2000891</v>
      </c>
      <c r="B2720" t="n">
        <v>2</v>
      </c>
      <c r="C2720" t="n">
        <v>891</v>
      </c>
      <c r="D2720" t="n">
        <v>1</v>
      </c>
      <c r="E2720" t="n">
        <v>90.11409999999999</v>
      </c>
      <c r="F2720" t="n">
        <v>0.03878</v>
      </c>
    </row>
    <row r="2721">
      <c r="A2721" t="n">
        <v>2000892</v>
      </c>
      <c r="B2721" t="n">
        <v>2</v>
      </c>
      <c r="C2721" t="n">
        <v>892</v>
      </c>
      <c r="D2721" t="n">
        <v>1</v>
      </c>
      <c r="E2721" t="n">
        <v>90.13979999999999</v>
      </c>
      <c r="F2721" t="n">
        <v>0.03879</v>
      </c>
    </row>
    <row r="2722">
      <c r="A2722" t="n">
        <v>2000893</v>
      </c>
      <c r="B2722" t="n">
        <v>2</v>
      </c>
      <c r="C2722" t="n">
        <v>893</v>
      </c>
      <c r="D2722" t="n">
        <v>1</v>
      </c>
      <c r="E2722" t="n">
        <v>90.1656</v>
      </c>
      <c r="F2722" t="n">
        <v>0.03879</v>
      </c>
    </row>
    <row r="2723">
      <c r="A2723" t="n">
        <v>2000894</v>
      </c>
      <c r="B2723" t="n">
        <v>2</v>
      </c>
      <c r="C2723" t="n">
        <v>894</v>
      </c>
      <c r="D2723" t="n">
        <v>1</v>
      </c>
      <c r="E2723" t="n">
        <v>90.1913</v>
      </c>
      <c r="F2723" t="n">
        <v>0.0388</v>
      </c>
    </row>
    <row r="2724">
      <c r="A2724" t="n">
        <v>2000895</v>
      </c>
      <c r="B2724" t="n">
        <v>2</v>
      </c>
      <c r="C2724" t="n">
        <v>895</v>
      </c>
      <c r="D2724" t="n">
        <v>1</v>
      </c>
      <c r="E2724" t="n">
        <v>90.217</v>
      </c>
      <c r="F2724" t="n">
        <v>0.03881</v>
      </c>
    </row>
    <row r="2725">
      <c r="A2725" t="n">
        <v>2000896</v>
      </c>
      <c r="B2725" t="n">
        <v>2</v>
      </c>
      <c r="C2725" t="n">
        <v>896</v>
      </c>
      <c r="D2725" t="n">
        <v>1</v>
      </c>
      <c r="E2725" t="n">
        <v>90.2427</v>
      </c>
      <c r="F2725" t="n">
        <v>0.03881</v>
      </c>
    </row>
    <row r="2726">
      <c r="A2726" t="n">
        <v>2000897</v>
      </c>
      <c r="B2726" t="n">
        <v>2</v>
      </c>
      <c r="C2726" t="n">
        <v>897</v>
      </c>
      <c r="D2726" t="n">
        <v>1</v>
      </c>
      <c r="E2726" t="n">
        <v>90.2684</v>
      </c>
      <c r="F2726" t="n">
        <v>0.03882</v>
      </c>
    </row>
    <row r="2727">
      <c r="A2727" t="n">
        <v>2000898</v>
      </c>
      <c r="B2727" t="n">
        <v>2</v>
      </c>
      <c r="C2727" t="n">
        <v>898</v>
      </c>
      <c r="D2727" t="n">
        <v>1</v>
      </c>
      <c r="E2727" t="n">
        <v>90.294</v>
      </c>
      <c r="F2727" t="n">
        <v>0.03883</v>
      </c>
    </row>
    <row r="2728">
      <c r="A2728" t="n">
        <v>2000899</v>
      </c>
      <c r="B2728" t="n">
        <v>2</v>
      </c>
      <c r="C2728" t="n">
        <v>899</v>
      </c>
      <c r="D2728" t="n">
        <v>1</v>
      </c>
      <c r="E2728" t="n">
        <v>90.3197</v>
      </c>
      <c r="F2728" t="n">
        <v>0.03883</v>
      </c>
    </row>
    <row r="2729">
      <c r="A2729" t="n">
        <v>2000900</v>
      </c>
      <c r="B2729" t="n">
        <v>2</v>
      </c>
      <c r="C2729" t="n">
        <v>900</v>
      </c>
      <c r="D2729" t="n">
        <v>1</v>
      </c>
      <c r="E2729" t="n">
        <v>90.34529999999999</v>
      </c>
      <c r="F2729" t="n">
        <v>0.03884</v>
      </c>
    </row>
    <row r="2730">
      <c r="A2730" t="n">
        <v>2000901</v>
      </c>
      <c r="B2730" t="n">
        <v>2</v>
      </c>
      <c r="C2730" t="n">
        <v>901</v>
      </c>
      <c r="D2730" t="n">
        <v>1</v>
      </c>
      <c r="E2730" t="n">
        <v>90.37090000000001</v>
      </c>
      <c r="F2730" t="n">
        <v>0.03885</v>
      </c>
    </row>
    <row r="2731">
      <c r="A2731" t="n">
        <v>2000902</v>
      </c>
      <c r="B2731" t="n">
        <v>2</v>
      </c>
      <c r="C2731" t="n">
        <v>902</v>
      </c>
      <c r="D2731" t="n">
        <v>1</v>
      </c>
      <c r="E2731" t="n">
        <v>90.3965</v>
      </c>
      <c r="F2731" t="n">
        <v>0.03885</v>
      </c>
    </row>
    <row r="2732">
      <c r="A2732" t="n">
        <v>2000903</v>
      </c>
      <c r="B2732" t="n">
        <v>2</v>
      </c>
      <c r="C2732" t="n">
        <v>903</v>
      </c>
      <c r="D2732" t="n">
        <v>1</v>
      </c>
      <c r="E2732" t="n">
        <v>90.422</v>
      </c>
      <c r="F2732" t="n">
        <v>0.03886</v>
      </c>
    </row>
    <row r="2733">
      <c r="A2733" t="n">
        <v>2000904</v>
      </c>
      <c r="B2733" t="n">
        <v>2</v>
      </c>
      <c r="C2733" t="n">
        <v>904</v>
      </c>
      <c r="D2733" t="n">
        <v>1</v>
      </c>
      <c r="E2733" t="n">
        <v>90.44759999999999</v>
      </c>
      <c r="F2733" t="n">
        <v>0.03887</v>
      </c>
    </row>
    <row r="2734">
      <c r="A2734" t="n">
        <v>2000905</v>
      </c>
      <c r="B2734" t="n">
        <v>2</v>
      </c>
      <c r="C2734" t="n">
        <v>905</v>
      </c>
      <c r="D2734" t="n">
        <v>1</v>
      </c>
      <c r="E2734" t="n">
        <v>90.4731</v>
      </c>
      <c r="F2734" t="n">
        <v>0.03887</v>
      </c>
    </row>
    <row r="2735">
      <c r="A2735" t="n">
        <v>2000906</v>
      </c>
      <c r="B2735" t="n">
        <v>2</v>
      </c>
      <c r="C2735" t="n">
        <v>906</v>
      </c>
      <c r="D2735" t="n">
        <v>1</v>
      </c>
      <c r="E2735" t="n">
        <v>90.4986</v>
      </c>
      <c r="F2735" t="n">
        <v>0.03888</v>
      </c>
    </row>
    <row r="2736">
      <c r="A2736" t="n">
        <v>2000907</v>
      </c>
      <c r="B2736" t="n">
        <v>2</v>
      </c>
      <c r="C2736" t="n">
        <v>907</v>
      </c>
      <c r="D2736" t="n">
        <v>1</v>
      </c>
      <c r="E2736" t="n">
        <v>90.524</v>
      </c>
      <c r="F2736" t="n">
        <v>0.03889</v>
      </c>
    </row>
    <row r="2737">
      <c r="A2737" t="n">
        <v>2000908</v>
      </c>
      <c r="B2737" t="n">
        <v>2</v>
      </c>
      <c r="C2737" t="n">
        <v>908</v>
      </c>
      <c r="D2737" t="n">
        <v>1</v>
      </c>
      <c r="E2737" t="n">
        <v>90.54949999999999</v>
      </c>
      <c r="F2737" t="n">
        <v>0.03889</v>
      </c>
    </row>
    <row r="2738">
      <c r="A2738" t="n">
        <v>2000909</v>
      </c>
      <c r="B2738" t="n">
        <v>2</v>
      </c>
      <c r="C2738" t="n">
        <v>909</v>
      </c>
      <c r="D2738" t="n">
        <v>1</v>
      </c>
      <c r="E2738" t="n">
        <v>90.575</v>
      </c>
      <c r="F2738" t="n">
        <v>0.0389</v>
      </c>
    </row>
    <row r="2739">
      <c r="A2739" t="n">
        <v>2000910</v>
      </c>
      <c r="B2739" t="n">
        <v>2</v>
      </c>
      <c r="C2739" t="n">
        <v>910</v>
      </c>
      <c r="D2739" t="n">
        <v>1</v>
      </c>
      <c r="E2739" t="n">
        <v>90.60039999999999</v>
      </c>
      <c r="F2739" t="n">
        <v>0.03891</v>
      </c>
    </row>
    <row r="2740">
      <c r="A2740" t="n">
        <v>2000911</v>
      </c>
      <c r="B2740" t="n">
        <v>2</v>
      </c>
      <c r="C2740" t="n">
        <v>911</v>
      </c>
      <c r="D2740" t="n">
        <v>1</v>
      </c>
      <c r="E2740" t="n">
        <v>90.6258</v>
      </c>
      <c r="F2740" t="n">
        <v>0.03891</v>
      </c>
    </row>
    <row r="2741">
      <c r="A2741" t="n">
        <v>2000912</v>
      </c>
      <c r="B2741" t="n">
        <v>2</v>
      </c>
      <c r="C2741" t="n">
        <v>912</v>
      </c>
      <c r="D2741" t="n">
        <v>1</v>
      </c>
      <c r="E2741" t="n">
        <v>90.6512</v>
      </c>
      <c r="F2741" t="n">
        <v>0.03892</v>
      </c>
    </row>
    <row r="2742">
      <c r="A2742" t="n">
        <v>2000913</v>
      </c>
      <c r="B2742" t="n">
        <v>2</v>
      </c>
      <c r="C2742" t="n">
        <v>913</v>
      </c>
      <c r="D2742" t="n">
        <v>1</v>
      </c>
      <c r="E2742" t="n">
        <v>90.6765</v>
      </c>
      <c r="F2742" t="n">
        <v>0.03893</v>
      </c>
    </row>
    <row r="2743">
      <c r="A2743" t="n">
        <v>2000914</v>
      </c>
      <c r="B2743" t="n">
        <v>2</v>
      </c>
      <c r="C2743" t="n">
        <v>914</v>
      </c>
      <c r="D2743" t="n">
        <v>1</v>
      </c>
      <c r="E2743" t="n">
        <v>90.70189999999999</v>
      </c>
      <c r="F2743" t="n">
        <v>0.03893</v>
      </c>
    </row>
    <row r="2744">
      <c r="A2744" t="n">
        <v>2000915</v>
      </c>
      <c r="B2744" t="n">
        <v>2</v>
      </c>
      <c r="C2744" t="n">
        <v>915</v>
      </c>
      <c r="D2744" t="n">
        <v>1</v>
      </c>
      <c r="E2744" t="n">
        <v>90.7272</v>
      </c>
      <c r="F2744" t="n">
        <v>0.03894</v>
      </c>
    </row>
    <row r="2745">
      <c r="A2745" t="n">
        <v>2000916</v>
      </c>
      <c r="B2745" t="n">
        <v>2</v>
      </c>
      <c r="C2745" t="n">
        <v>916</v>
      </c>
      <c r="D2745" t="n">
        <v>1</v>
      </c>
      <c r="E2745" t="n">
        <v>90.7525</v>
      </c>
      <c r="F2745" t="n">
        <v>0.03895</v>
      </c>
    </row>
    <row r="2746">
      <c r="A2746" t="n">
        <v>2000917</v>
      </c>
      <c r="B2746" t="n">
        <v>2</v>
      </c>
      <c r="C2746" t="n">
        <v>917</v>
      </c>
      <c r="D2746" t="n">
        <v>1</v>
      </c>
      <c r="E2746" t="n">
        <v>90.7778</v>
      </c>
      <c r="F2746" t="n">
        <v>0.03895</v>
      </c>
    </row>
    <row r="2747">
      <c r="A2747" t="n">
        <v>2000918</v>
      </c>
      <c r="B2747" t="n">
        <v>2</v>
      </c>
      <c r="C2747" t="n">
        <v>918</v>
      </c>
      <c r="D2747" t="n">
        <v>1</v>
      </c>
      <c r="E2747" t="n">
        <v>90.8031</v>
      </c>
      <c r="F2747" t="n">
        <v>0.03896</v>
      </c>
    </row>
    <row r="2748">
      <c r="A2748" t="n">
        <v>2000919</v>
      </c>
      <c r="B2748" t="n">
        <v>2</v>
      </c>
      <c r="C2748" t="n">
        <v>919</v>
      </c>
      <c r="D2748" t="n">
        <v>1</v>
      </c>
      <c r="E2748" t="n">
        <v>90.8283</v>
      </c>
      <c r="F2748" t="n">
        <v>0.03897</v>
      </c>
    </row>
    <row r="2749">
      <c r="A2749" t="n">
        <v>2000920</v>
      </c>
      <c r="B2749" t="n">
        <v>2</v>
      </c>
      <c r="C2749" t="n">
        <v>920</v>
      </c>
      <c r="D2749" t="n">
        <v>1</v>
      </c>
      <c r="E2749" t="n">
        <v>90.8536</v>
      </c>
      <c r="F2749" t="n">
        <v>0.03897</v>
      </c>
    </row>
    <row r="2750">
      <c r="A2750" t="n">
        <v>2000921</v>
      </c>
      <c r="B2750" t="n">
        <v>2</v>
      </c>
      <c r="C2750" t="n">
        <v>921</v>
      </c>
      <c r="D2750" t="n">
        <v>1</v>
      </c>
      <c r="E2750" t="n">
        <v>90.8788</v>
      </c>
      <c r="F2750" t="n">
        <v>0.03898</v>
      </c>
    </row>
    <row r="2751">
      <c r="A2751" t="n">
        <v>2000922</v>
      </c>
      <c r="B2751" t="n">
        <v>2</v>
      </c>
      <c r="C2751" t="n">
        <v>922</v>
      </c>
      <c r="D2751" t="n">
        <v>1</v>
      </c>
      <c r="E2751" t="n">
        <v>90.904</v>
      </c>
      <c r="F2751" t="n">
        <v>0.03899</v>
      </c>
    </row>
    <row r="2752">
      <c r="A2752" t="n">
        <v>2000923</v>
      </c>
      <c r="B2752" t="n">
        <v>2</v>
      </c>
      <c r="C2752" t="n">
        <v>923</v>
      </c>
      <c r="D2752" t="n">
        <v>1</v>
      </c>
      <c r="E2752" t="n">
        <v>90.92919999999999</v>
      </c>
      <c r="F2752" t="n">
        <v>0.03899</v>
      </c>
    </row>
    <row r="2753">
      <c r="A2753" t="n">
        <v>2000924</v>
      </c>
      <c r="B2753" t="n">
        <v>2</v>
      </c>
      <c r="C2753" t="n">
        <v>924</v>
      </c>
      <c r="D2753" t="n">
        <v>1</v>
      </c>
      <c r="E2753" t="n">
        <v>90.95440000000001</v>
      </c>
      <c r="F2753" t="n">
        <v>0.039</v>
      </c>
    </row>
    <row r="2754">
      <c r="A2754" t="n">
        <v>2000925</v>
      </c>
      <c r="B2754" t="n">
        <v>2</v>
      </c>
      <c r="C2754" t="n">
        <v>925</v>
      </c>
      <c r="D2754" t="n">
        <v>1</v>
      </c>
      <c r="E2754" t="n">
        <v>90.9795</v>
      </c>
      <c r="F2754" t="n">
        <v>0.03901</v>
      </c>
    </row>
    <row r="2755">
      <c r="A2755" t="n">
        <v>2000926</v>
      </c>
      <c r="B2755" t="n">
        <v>2</v>
      </c>
      <c r="C2755" t="n">
        <v>926</v>
      </c>
      <c r="D2755" t="n">
        <v>1</v>
      </c>
      <c r="E2755" t="n">
        <v>91.0046</v>
      </c>
      <c r="F2755" t="n">
        <v>0.03901</v>
      </c>
    </row>
    <row r="2756">
      <c r="A2756" t="n">
        <v>2000927</v>
      </c>
      <c r="B2756" t="n">
        <v>2</v>
      </c>
      <c r="C2756" t="n">
        <v>927</v>
      </c>
      <c r="D2756" t="n">
        <v>1</v>
      </c>
      <c r="E2756" t="n">
        <v>91.02970000000001</v>
      </c>
      <c r="F2756" t="n">
        <v>0.03902</v>
      </c>
    </row>
    <row r="2757">
      <c r="A2757" t="n">
        <v>2000928</v>
      </c>
      <c r="B2757" t="n">
        <v>2</v>
      </c>
      <c r="C2757" t="n">
        <v>928</v>
      </c>
      <c r="D2757" t="n">
        <v>1</v>
      </c>
      <c r="E2757" t="n">
        <v>91.0548</v>
      </c>
      <c r="F2757" t="n">
        <v>0.03903</v>
      </c>
    </row>
    <row r="2758">
      <c r="A2758" t="n">
        <v>2000929</v>
      </c>
      <c r="B2758" t="n">
        <v>2</v>
      </c>
      <c r="C2758" t="n">
        <v>929</v>
      </c>
      <c r="D2758" t="n">
        <v>1</v>
      </c>
      <c r="E2758" t="n">
        <v>91.07989999999999</v>
      </c>
      <c r="F2758" t="n">
        <v>0.03903</v>
      </c>
    </row>
    <row r="2759">
      <c r="A2759" t="n">
        <v>2000930</v>
      </c>
      <c r="B2759" t="n">
        <v>2</v>
      </c>
      <c r="C2759" t="n">
        <v>930</v>
      </c>
      <c r="D2759" t="n">
        <v>1</v>
      </c>
      <c r="E2759" t="n">
        <v>91.105</v>
      </c>
      <c r="F2759" t="n">
        <v>0.03904</v>
      </c>
    </row>
    <row r="2760">
      <c r="A2760" t="n">
        <v>2000931</v>
      </c>
      <c r="B2760" t="n">
        <v>2</v>
      </c>
      <c r="C2760" t="n">
        <v>931</v>
      </c>
      <c r="D2760" t="n">
        <v>1</v>
      </c>
      <c r="E2760" t="n">
        <v>91.13</v>
      </c>
      <c r="F2760" t="n">
        <v>0.03905</v>
      </c>
    </row>
    <row r="2761">
      <c r="A2761" t="n">
        <v>2000932</v>
      </c>
      <c r="B2761" t="n">
        <v>2</v>
      </c>
      <c r="C2761" t="n">
        <v>932</v>
      </c>
      <c r="D2761" t="n">
        <v>1</v>
      </c>
      <c r="E2761" t="n">
        <v>91.155</v>
      </c>
      <c r="F2761" t="n">
        <v>0.03905</v>
      </c>
    </row>
    <row r="2762">
      <c r="A2762" t="n">
        <v>2000933</v>
      </c>
      <c r="B2762" t="n">
        <v>2</v>
      </c>
      <c r="C2762" t="n">
        <v>933</v>
      </c>
      <c r="D2762" t="n">
        <v>1</v>
      </c>
      <c r="E2762" t="n">
        <v>91.18000000000001</v>
      </c>
      <c r="F2762" t="n">
        <v>0.03906</v>
      </c>
    </row>
    <row r="2763">
      <c r="A2763" t="n">
        <v>2000934</v>
      </c>
      <c r="B2763" t="n">
        <v>2</v>
      </c>
      <c r="C2763" t="n">
        <v>934</v>
      </c>
      <c r="D2763" t="n">
        <v>1</v>
      </c>
      <c r="E2763" t="n">
        <v>91.205</v>
      </c>
      <c r="F2763" t="n">
        <v>0.03907</v>
      </c>
    </row>
    <row r="2764">
      <c r="A2764" t="n">
        <v>2000935</v>
      </c>
      <c r="B2764" t="n">
        <v>2</v>
      </c>
      <c r="C2764" t="n">
        <v>935</v>
      </c>
      <c r="D2764" t="n">
        <v>1</v>
      </c>
      <c r="E2764" t="n">
        <v>91.23</v>
      </c>
      <c r="F2764" t="n">
        <v>0.03907</v>
      </c>
    </row>
    <row r="2765">
      <c r="A2765" t="n">
        <v>2000936</v>
      </c>
      <c r="B2765" t="n">
        <v>2</v>
      </c>
      <c r="C2765" t="n">
        <v>936</v>
      </c>
      <c r="D2765" t="n">
        <v>1</v>
      </c>
      <c r="E2765" t="n">
        <v>91.25490000000001</v>
      </c>
      <c r="F2765" t="n">
        <v>0.03908</v>
      </c>
    </row>
    <row r="2766">
      <c r="A2766" t="n">
        <v>2000937</v>
      </c>
      <c r="B2766" t="n">
        <v>2</v>
      </c>
      <c r="C2766" t="n">
        <v>937</v>
      </c>
      <c r="D2766" t="n">
        <v>1</v>
      </c>
      <c r="E2766" t="n">
        <v>91.2799</v>
      </c>
      <c r="F2766" t="n">
        <v>0.03909</v>
      </c>
    </row>
    <row r="2767">
      <c r="A2767" t="n">
        <v>2000938</v>
      </c>
      <c r="B2767" t="n">
        <v>2</v>
      </c>
      <c r="C2767" t="n">
        <v>938</v>
      </c>
      <c r="D2767" t="n">
        <v>1</v>
      </c>
      <c r="E2767" t="n">
        <v>91.3048</v>
      </c>
      <c r="F2767" t="n">
        <v>0.03909</v>
      </c>
    </row>
    <row r="2768">
      <c r="A2768" t="n">
        <v>2000939</v>
      </c>
      <c r="B2768" t="n">
        <v>2</v>
      </c>
      <c r="C2768" t="n">
        <v>939</v>
      </c>
      <c r="D2768" t="n">
        <v>1</v>
      </c>
      <c r="E2768" t="n">
        <v>91.3297</v>
      </c>
      <c r="F2768" t="n">
        <v>0.0391</v>
      </c>
    </row>
    <row r="2769">
      <c r="A2769" t="n">
        <v>2000940</v>
      </c>
      <c r="B2769" t="n">
        <v>2</v>
      </c>
      <c r="C2769" t="n">
        <v>940</v>
      </c>
      <c r="D2769" t="n">
        <v>1</v>
      </c>
      <c r="E2769" t="n">
        <v>91.3545</v>
      </c>
      <c r="F2769" t="n">
        <v>0.03911</v>
      </c>
    </row>
    <row r="2770">
      <c r="A2770" t="n">
        <v>2000941</v>
      </c>
      <c r="B2770" t="n">
        <v>2</v>
      </c>
      <c r="C2770" t="n">
        <v>941</v>
      </c>
      <c r="D2770" t="n">
        <v>1</v>
      </c>
      <c r="E2770" t="n">
        <v>91.3794</v>
      </c>
      <c r="F2770" t="n">
        <v>0.03911</v>
      </c>
    </row>
    <row r="2771">
      <c r="A2771" t="n">
        <v>2000942</v>
      </c>
      <c r="B2771" t="n">
        <v>2</v>
      </c>
      <c r="C2771" t="n">
        <v>942</v>
      </c>
      <c r="D2771" t="n">
        <v>1</v>
      </c>
      <c r="E2771" t="n">
        <v>91.40430000000001</v>
      </c>
      <c r="F2771" t="n">
        <v>0.03912</v>
      </c>
    </row>
    <row r="2772">
      <c r="A2772" t="n">
        <v>2000943</v>
      </c>
      <c r="B2772" t="n">
        <v>2</v>
      </c>
      <c r="C2772" t="n">
        <v>943</v>
      </c>
      <c r="D2772" t="n">
        <v>1</v>
      </c>
      <c r="E2772" t="n">
        <v>91.42910000000001</v>
      </c>
      <c r="F2772" t="n">
        <v>0.03913</v>
      </c>
    </row>
    <row r="2773">
      <c r="A2773" t="n">
        <v>2000944</v>
      </c>
      <c r="B2773" t="n">
        <v>2</v>
      </c>
      <c r="C2773" t="n">
        <v>944</v>
      </c>
      <c r="D2773" t="n">
        <v>1</v>
      </c>
      <c r="E2773" t="n">
        <v>91.4539</v>
      </c>
      <c r="F2773" t="n">
        <v>0.03913</v>
      </c>
    </row>
    <row r="2774">
      <c r="A2774" t="n">
        <v>2000945</v>
      </c>
      <c r="B2774" t="n">
        <v>2</v>
      </c>
      <c r="C2774" t="n">
        <v>945</v>
      </c>
      <c r="D2774" t="n">
        <v>1</v>
      </c>
      <c r="E2774" t="n">
        <v>91.4787</v>
      </c>
      <c r="F2774" t="n">
        <v>0.03914</v>
      </c>
    </row>
    <row r="2775">
      <c r="A2775" t="n">
        <v>2000946</v>
      </c>
      <c r="B2775" t="n">
        <v>2</v>
      </c>
      <c r="C2775" t="n">
        <v>946</v>
      </c>
      <c r="D2775" t="n">
        <v>1</v>
      </c>
      <c r="E2775" t="n">
        <v>91.5035</v>
      </c>
      <c r="F2775" t="n">
        <v>0.03915</v>
      </c>
    </row>
    <row r="2776">
      <c r="A2776" t="n">
        <v>2000947</v>
      </c>
      <c r="B2776" t="n">
        <v>2</v>
      </c>
      <c r="C2776" t="n">
        <v>947</v>
      </c>
      <c r="D2776" t="n">
        <v>1</v>
      </c>
      <c r="E2776" t="n">
        <v>91.5282</v>
      </c>
      <c r="F2776" t="n">
        <v>0.03915</v>
      </c>
    </row>
    <row r="2777">
      <c r="A2777" t="n">
        <v>2000948</v>
      </c>
      <c r="B2777" t="n">
        <v>2</v>
      </c>
      <c r="C2777" t="n">
        <v>948</v>
      </c>
      <c r="D2777" t="n">
        <v>1</v>
      </c>
      <c r="E2777" t="n">
        <v>91.553</v>
      </c>
      <c r="F2777" t="n">
        <v>0.03916</v>
      </c>
    </row>
    <row r="2778">
      <c r="A2778" t="n">
        <v>2000949</v>
      </c>
      <c r="B2778" t="n">
        <v>2</v>
      </c>
      <c r="C2778" t="n">
        <v>949</v>
      </c>
      <c r="D2778" t="n">
        <v>1</v>
      </c>
      <c r="E2778" t="n">
        <v>91.57769999999999</v>
      </c>
      <c r="F2778" t="n">
        <v>0.03917</v>
      </c>
    </row>
    <row r="2779">
      <c r="A2779" t="n">
        <v>2000950</v>
      </c>
      <c r="B2779" t="n">
        <v>2</v>
      </c>
      <c r="C2779" t="n">
        <v>950</v>
      </c>
      <c r="D2779" t="n">
        <v>1</v>
      </c>
      <c r="E2779" t="n">
        <v>91.6024</v>
      </c>
      <c r="F2779" t="n">
        <v>0.03917</v>
      </c>
    </row>
    <row r="2780">
      <c r="A2780" t="n">
        <v>2000951</v>
      </c>
      <c r="B2780" t="n">
        <v>2</v>
      </c>
      <c r="C2780" t="n">
        <v>951</v>
      </c>
      <c r="D2780" t="n">
        <v>1</v>
      </c>
      <c r="E2780" t="n">
        <v>91.6271</v>
      </c>
      <c r="F2780" t="n">
        <v>0.03918</v>
      </c>
    </row>
    <row r="2781">
      <c r="A2781" t="n">
        <v>2000952</v>
      </c>
      <c r="B2781" t="n">
        <v>2</v>
      </c>
      <c r="C2781" t="n">
        <v>952</v>
      </c>
      <c r="D2781" t="n">
        <v>1</v>
      </c>
      <c r="E2781" t="n">
        <v>91.65179999999999</v>
      </c>
      <c r="F2781" t="n">
        <v>0.03918</v>
      </c>
    </row>
    <row r="2782">
      <c r="A2782" t="n">
        <v>2000953</v>
      </c>
      <c r="B2782" t="n">
        <v>2</v>
      </c>
      <c r="C2782" t="n">
        <v>953</v>
      </c>
      <c r="D2782" t="n">
        <v>1</v>
      </c>
      <c r="E2782" t="n">
        <v>91.6764</v>
      </c>
      <c r="F2782" t="n">
        <v>0.03919</v>
      </c>
    </row>
    <row r="2783">
      <c r="A2783" t="n">
        <v>2000954</v>
      </c>
      <c r="B2783" t="n">
        <v>2</v>
      </c>
      <c r="C2783" t="n">
        <v>954</v>
      </c>
      <c r="D2783" t="n">
        <v>1</v>
      </c>
      <c r="E2783" t="n">
        <v>91.7011</v>
      </c>
      <c r="F2783" t="n">
        <v>0.0392</v>
      </c>
    </row>
    <row r="2784">
      <c r="A2784" t="n">
        <v>2000955</v>
      </c>
      <c r="B2784" t="n">
        <v>2</v>
      </c>
      <c r="C2784" t="n">
        <v>955</v>
      </c>
      <c r="D2784" t="n">
        <v>1</v>
      </c>
      <c r="E2784" t="n">
        <v>91.7257</v>
      </c>
      <c r="F2784" t="n">
        <v>0.0392</v>
      </c>
    </row>
    <row r="2785">
      <c r="A2785" t="n">
        <v>2000956</v>
      </c>
      <c r="B2785" t="n">
        <v>2</v>
      </c>
      <c r="C2785" t="n">
        <v>956</v>
      </c>
      <c r="D2785" t="n">
        <v>1</v>
      </c>
      <c r="E2785" t="n">
        <v>91.7503</v>
      </c>
      <c r="F2785" t="n">
        <v>0.03921</v>
      </c>
    </row>
    <row r="2786">
      <c r="A2786" t="n">
        <v>2000957</v>
      </c>
      <c r="B2786" t="n">
        <v>2</v>
      </c>
      <c r="C2786" t="n">
        <v>957</v>
      </c>
      <c r="D2786" t="n">
        <v>1</v>
      </c>
      <c r="E2786" t="n">
        <v>91.7749</v>
      </c>
      <c r="F2786" t="n">
        <v>0.03922</v>
      </c>
    </row>
    <row r="2787">
      <c r="A2787" t="n">
        <v>2000958</v>
      </c>
      <c r="B2787" t="n">
        <v>2</v>
      </c>
      <c r="C2787" t="n">
        <v>958</v>
      </c>
      <c r="D2787" t="n">
        <v>1</v>
      </c>
      <c r="E2787" t="n">
        <v>91.79949999999999</v>
      </c>
      <c r="F2787" t="n">
        <v>0.03922</v>
      </c>
    </row>
    <row r="2788">
      <c r="A2788" t="n">
        <v>2000959</v>
      </c>
      <c r="B2788" t="n">
        <v>2</v>
      </c>
      <c r="C2788" t="n">
        <v>959</v>
      </c>
      <c r="D2788" t="n">
        <v>1</v>
      </c>
      <c r="E2788" t="n">
        <v>91.8241</v>
      </c>
      <c r="F2788" t="n">
        <v>0.03923</v>
      </c>
    </row>
    <row r="2789">
      <c r="A2789" t="n">
        <v>2000960</v>
      </c>
      <c r="B2789" t="n">
        <v>2</v>
      </c>
      <c r="C2789" t="n">
        <v>960</v>
      </c>
      <c r="D2789" t="n">
        <v>1</v>
      </c>
      <c r="E2789" t="n">
        <v>91.8486</v>
      </c>
      <c r="F2789" t="n">
        <v>0.03924</v>
      </c>
    </row>
    <row r="2790">
      <c r="A2790" t="n">
        <v>2000961</v>
      </c>
      <c r="B2790" t="n">
        <v>2</v>
      </c>
      <c r="C2790" t="n">
        <v>961</v>
      </c>
      <c r="D2790" t="n">
        <v>1</v>
      </c>
      <c r="E2790" t="n">
        <v>91.87309999999999</v>
      </c>
      <c r="F2790" t="n">
        <v>0.03924</v>
      </c>
    </row>
    <row r="2791">
      <c r="A2791" t="n">
        <v>2000962</v>
      </c>
      <c r="B2791" t="n">
        <v>2</v>
      </c>
      <c r="C2791" t="n">
        <v>962</v>
      </c>
      <c r="D2791" t="n">
        <v>1</v>
      </c>
      <c r="E2791" t="n">
        <v>91.8976</v>
      </c>
      <c r="F2791" t="n">
        <v>0.03925</v>
      </c>
    </row>
    <row r="2792">
      <c r="A2792" t="n">
        <v>2000963</v>
      </c>
      <c r="B2792" t="n">
        <v>2</v>
      </c>
      <c r="C2792" t="n">
        <v>963</v>
      </c>
      <c r="D2792" t="n">
        <v>1</v>
      </c>
      <c r="E2792" t="n">
        <v>91.9221</v>
      </c>
      <c r="F2792" t="n">
        <v>0.03926</v>
      </c>
    </row>
    <row r="2793">
      <c r="A2793" t="n">
        <v>2000964</v>
      </c>
      <c r="B2793" t="n">
        <v>2</v>
      </c>
      <c r="C2793" t="n">
        <v>964</v>
      </c>
      <c r="D2793" t="n">
        <v>1</v>
      </c>
      <c r="E2793" t="n">
        <v>91.9466</v>
      </c>
      <c r="F2793" t="n">
        <v>0.03926</v>
      </c>
    </row>
    <row r="2794">
      <c r="A2794" t="n">
        <v>2000965</v>
      </c>
      <c r="B2794" t="n">
        <v>2</v>
      </c>
      <c r="C2794" t="n">
        <v>965</v>
      </c>
      <c r="D2794" t="n">
        <v>1</v>
      </c>
      <c r="E2794" t="n">
        <v>91.97110000000001</v>
      </c>
      <c r="F2794" t="n">
        <v>0.03927</v>
      </c>
    </row>
    <row r="2795">
      <c r="A2795" t="n">
        <v>2000966</v>
      </c>
      <c r="B2795" t="n">
        <v>2</v>
      </c>
      <c r="C2795" t="n">
        <v>966</v>
      </c>
      <c r="D2795" t="n">
        <v>1</v>
      </c>
      <c r="E2795" t="n">
        <v>91.99550000000001</v>
      </c>
      <c r="F2795" t="n">
        <v>0.03928</v>
      </c>
    </row>
    <row r="2796">
      <c r="A2796" t="n">
        <v>2000967</v>
      </c>
      <c r="B2796" t="n">
        <v>2</v>
      </c>
      <c r="C2796" t="n">
        <v>967</v>
      </c>
      <c r="D2796" t="n">
        <v>1</v>
      </c>
      <c r="E2796" t="n">
        <v>92.02</v>
      </c>
      <c r="F2796" t="n">
        <v>0.03928</v>
      </c>
    </row>
    <row r="2797">
      <c r="A2797" t="n">
        <v>2000968</v>
      </c>
      <c r="B2797" t="n">
        <v>2</v>
      </c>
      <c r="C2797" t="n">
        <v>968</v>
      </c>
      <c r="D2797" t="n">
        <v>1</v>
      </c>
      <c r="E2797" t="n">
        <v>92.0444</v>
      </c>
      <c r="F2797" t="n">
        <v>0.03929</v>
      </c>
    </row>
    <row r="2798">
      <c r="A2798" t="n">
        <v>2000969</v>
      </c>
      <c r="B2798" t="n">
        <v>2</v>
      </c>
      <c r="C2798" t="n">
        <v>969</v>
      </c>
      <c r="D2798" t="n">
        <v>1</v>
      </c>
      <c r="E2798" t="n">
        <v>92.0688</v>
      </c>
      <c r="F2798" t="n">
        <v>0.03929</v>
      </c>
    </row>
    <row r="2799">
      <c r="A2799" t="n">
        <v>2000970</v>
      </c>
      <c r="B2799" t="n">
        <v>2</v>
      </c>
      <c r="C2799" t="n">
        <v>970</v>
      </c>
      <c r="D2799" t="n">
        <v>1</v>
      </c>
      <c r="E2799" t="n">
        <v>92.0932</v>
      </c>
      <c r="F2799" t="n">
        <v>0.0393</v>
      </c>
    </row>
    <row r="2800">
      <c r="A2800" t="n">
        <v>2000971</v>
      </c>
      <c r="B2800" t="n">
        <v>2</v>
      </c>
      <c r="C2800" t="n">
        <v>971</v>
      </c>
      <c r="D2800" t="n">
        <v>1</v>
      </c>
      <c r="E2800" t="n">
        <v>92.11750000000001</v>
      </c>
      <c r="F2800" t="n">
        <v>0.03931</v>
      </c>
    </row>
    <row r="2801">
      <c r="A2801" t="n">
        <v>2000972</v>
      </c>
      <c r="B2801" t="n">
        <v>2</v>
      </c>
      <c r="C2801" t="n">
        <v>972</v>
      </c>
      <c r="D2801" t="n">
        <v>1</v>
      </c>
      <c r="E2801" t="n">
        <v>92.14190000000001</v>
      </c>
      <c r="F2801" t="n">
        <v>0.03931</v>
      </c>
    </row>
    <row r="2802">
      <c r="A2802" t="n">
        <v>2000973</v>
      </c>
      <c r="B2802" t="n">
        <v>2</v>
      </c>
      <c r="C2802" t="n">
        <v>973</v>
      </c>
      <c r="D2802" t="n">
        <v>1</v>
      </c>
      <c r="E2802" t="n">
        <v>92.1662</v>
      </c>
      <c r="F2802" t="n">
        <v>0.03932</v>
      </c>
    </row>
    <row r="2803">
      <c r="A2803" t="n">
        <v>2000974</v>
      </c>
      <c r="B2803" t="n">
        <v>2</v>
      </c>
      <c r="C2803" t="n">
        <v>974</v>
      </c>
      <c r="D2803" t="n">
        <v>1</v>
      </c>
      <c r="E2803" t="n">
        <v>92.1906</v>
      </c>
      <c r="F2803" t="n">
        <v>0.03933</v>
      </c>
    </row>
    <row r="2804">
      <c r="A2804" t="n">
        <v>2000975</v>
      </c>
      <c r="B2804" t="n">
        <v>2</v>
      </c>
      <c r="C2804" t="n">
        <v>975</v>
      </c>
      <c r="D2804" t="n">
        <v>1</v>
      </c>
      <c r="E2804" t="n">
        <v>92.2149</v>
      </c>
      <c r="F2804" t="n">
        <v>0.03933</v>
      </c>
    </row>
    <row r="2805">
      <c r="A2805" t="n">
        <v>2000976</v>
      </c>
      <c r="B2805" t="n">
        <v>2</v>
      </c>
      <c r="C2805" t="n">
        <v>976</v>
      </c>
      <c r="D2805" t="n">
        <v>1</v>
      </c>
      <c r="E2805" t="n">
        <v>92.2392</v>
      </c>
      <c r="F2805" t="n">
        <v>0.03934</v>
      </c>
    </row>
    <row r="2806">
      <c r="A2806" t="n">
        <v>2000977</v>
      </c>
      <c r="B2806" t="n">
        <v>2</v>
      </c>
      <c r="C2806" t="n">
        <v>977</v>
      </c>
      <c r="D2806" t="n">
        <v>1</v>
      </c>
      <c r="E2806" t="n">
        <v>92.26349999999999</v>
      </c>
      <c r="F2806" t="n">
        <v>0.03935</v>
      </c>
    </row>
    <row r="2807">
      <c r="A2807" t="n">
        <v>2000978</v>
      </c>
      <c r="B2807" t="n">
        <v>2</v>
      </c>
      <c r="C2807" t="n">
        <v>978</v>
      </c>
      <c r="D2807" t="n">
        <v>1</v>
      </c>
      <c r="E2807" t="n">
        <v>92.2877</v>
      </c>
      <c r="F2807" t="n">
        <v>0.03935</v>
      </c>
    </row>
    <row r="2808">
      <c r="A2808" t="n">
        <v>2000979</v>
      </c>
      <c r="B2808" t="n">
        <v>2</v>
      </c>
      <c r="C2808" t="n">
        <v>979</v>
      </c>
      <c r="D2808" t="n">
        <v>1</v>
      </c>
      <c r="E2808" t="n">
        <v>92.312</v>
      </c>
      <c r="F2808" t="n">
        <v>0.03936</v>
      </c>
    </row>
    <row r="2809">
      <c r="A2809" t="n">
        <v>2000980</v>
      </c>
      <c r="B2809" t="n">
        <v>2</v>
      </c>
      <c r="C2809" t="n">
        <v>980</v>
      </c>
      <c r="D2809" t="n">
        <v>1</v>
      </c>
      <c r="E2809" t="n">
        <v>92.33620000000001</v>
      </c>
      <c r="F2809" t="n">
        <v>0.03936</v>
      </c>
    </row>
    <row r="2810">
      <c r="A2810" t="n">
        <v>2000981</v>
      </c>
      <c r="B2810" t="n">
        <v>2</v>
      </c>
      <c r="C2810" t="n">
        <v>981</v>
      </c>
      <c r="D2810" t="n">
        <v>1</v>
      </c>
      <c r="E2810" t="n">
        <v>92.3604</v>
      </c>
      <c r="F2810" t="n">
        <v>0.03937</v>
      </c>
    </row>
    <row r="2811">
      <c r="A2811" t="n">
        <v>2000982</v>
      </c>
      <c r="B2811" t="n">
        <v>2</v>
      </c>
      <c r="C2811" t="n">
        <v>982</v>
      </c>
      <c r="D2811" t="n">
        <v>1</v>
      </c>
      <c r="E2811" t="n">
        <v>92.38460000000001</v>
      </c>
      <c r="F2811" t="n">
        <v>0.03938</v>
      </c>
    </row>
    <row r="2812">
      <c r="A2812" t="n">
        <v>2000983</v>
      </c>
      <c r="B2812" t="n">
        <v>2</v>
      </c>
      <c r="C2812" t="n">
        <v>983</v>
      </c>
      <c r="D2812" t="n">
        <v>1</v>
      </c>
      <c r="E2812" t="n">
        <v>92.4088</v>
      </c>
      <c r="F2812" t="n">
        <v>0.03938</v>
      </c>
    </row>
    <row r="2813">
      <c r="A2813" t="n">
        <v>2000984</v>
      </c>
      <c r="B2813" t="n">
        <v>2</v>
      </c>
      <c r="C2813" t="n">
        <v>984</v>
      </c>
      <c r="D2813" t="n">
        <v>1</v>
      </c>
      <c r="E2813" t="n">
        <v>92.43300000000001</v>
      </c>
      <c r="F2813" t="n">
        <v>0.03939</v>
      </c>
    </row>
    <row r="2814">
      <c r="A2814" t="n">
        <v>2000985</v>
      </c>
      <c r="B2814" t="n">
        <v>2</v>
      </c>
      <c r="C2814" t="n">
        <v>985</v>
      </c>
      <c r="D2814" t="n">
        <v>1</v>
      </c>
      <c r="E2814" t="n">
        <v>92.4572</v>
      </c>
      <c r="F2814" t="n">
        <v>0.0394</v>
      </c>
    </row>
    <row r="2815">
      <c r="A2815" t="n">
        <v>2000986</v>
      </c>
      <c r="B2815" t="n">
        <v>2</v>
      </c>
      <c r="C2815" t="n">
        <v>986</v>
      </c>
      <c r="D2815" t="n">
        <v>1</v>
      </c>
      <c r="E2815" t="n">
        <v>92.4813</v>
      </c>
      <c r="F2815" t="n">
        <v>0.0394</v>
      </c>
    </row>
    <row r="2816">
      <c r="A2816" t="n">
        <v>2000987</v>
      </c>
      <c r="B2816" t="n">
        <v>2</v>
      </c>
      <c r="C2816" t="n">
        <v>987</v>
      </c>
      <c r="D2816" t="n">
        <v>1</v>
      </c>
      <c r="E2816" t="n">
        <v>92.50539999999999</v>
      </c>
      <c r="F2816" t="n">
        <v>0.03941</v>
      </c>
    </row>
    <row r="2817">
      <c r="A2817" t="n">
        <v>2000988</v>
      </c>
      <c r="B2817" t="n">
        <v>2</v>
      </c>
      <c r="C2817" t="n">
        <v>988</v>
      </c>
      <c r="D2817" t="n">
        <v>1</v>
      </c>
      <c r="E2817" t="n">
        <v>92.5295</v>
      </c>
      <c r="F2817" t="n">
        <v>0.03942</v>
      </c>
    </row>
    <row r="2818">
      <c r="A2818" t="n">
        <v>2000989</v>
      </c>
      <c r="B2818" t="n">
        <v>2</v>
      </c>
      <c r="C2818" t="n">
        <v>989</v>
      </c>
      <c r="D2818" t="n">
        <v>1</v>
      </c>
      <c r="E2818" t="n">
        <v>92.5536</v>
      </c>
      <c r="F2818" t="n">
        <v>0.03942</v>
      </c>
    </row>
    <row r="2819">
      <c r="A2819" t="n">
        <v>2000990</v>
      </c>
      <c r="B2819" t="n">
        <v>2</v>
      </c>
      <c r="C2819" t="n">
        <v>990</v>
      </c>
      <c r="D2819" t="n">
        <v>1</v>
      </c>
      <c r="E2819" t="n">
        <v>92.57769999999999</v>
      </c>
      <c r="F2819" t="n">
        <v>0.03943</v>
      </c>
    </row>
    <row r="2820">
      <c r="A2820" t="n">
        <v>2000991</v>
      </c>
      <c r="B2820" t="n">
        <v>2</v>
      </c>
      <c r="C2820" t="n">
        <v>991</v>
      </c>
      <c r="D2820" t="n">
        <v>1</v>
      </c>
      <c r="E2820" t="n">
        <v>92.6018</v>
      </c>
      <c r="F2820" t="n">
        <v>0.03943</v>
      </c>
    </row>
    <row r="2821">
      <c r="A2821" t="n">
        <v>2000992</v>
      </c>
      <c r="B2821" t="n">
        <v>2</v>
      </c>
      <c r="C2821" t="n">
        <v>992</v>
      </c>
      <c r="D2821" t="n">
        <v>1</v>
      </c>
      <c r="E2821" t="n">
        <v>92.6259</v>
      </c>
      <c r="F2821" t="n">
        <v>0.03944</v>
      </c>
    </row>
    <row r="2822">
      <c r="A2822" t="n">
        <v>2000993</v>
      </c>
      <c r="B2822" t="n">
        <v>2</v>
      </c>
      <c r="C2822" t="n">
        <v>993</v>
      </c>
      <c r="D2822" t="n">
        <v>1</v>
      </c>
      <c r="E2822" t="n">
        <v>92.6499</v>
      </c>
      <c r="F2822" t="n">
        <v>0.03945</v>
      </c>
    </row>
    <row r="2823">
      <c r="A2823" t="n">
        <v>2000994</v>
      </c>
      <c r="B2823" t="n">
        <v>2</v>
      </c>
      <c r="C2823" t="n">
        <v>994</v>
      </c>
      <c r="D2823" t="n">
        <v>1</v>
      </c>
      <c r="E2823" t="n">
        <v>92.6739</v>
      </c>
      <c r="F2823" t="n">
        <v>0.03945</v>
      </c>
    </row>
    <row r="2824">
      <c r="A2824" t="n">
        <v>2000995</v>
      </c>
      <c r="B2824" t="n">
        <v>2</v>
      </c>
      <c r="C2824" t="n">
        <v>995</v>
      </c>
      <c r="D2824" t="n">
        <v>1</v>
      </c>
      <c r="E2824" t="n">
        <v>92.69799999999999</v>
      </c>
      <c r="F2824" t="n">
        <v>0.03946</v>
      </c>
    </row>
    <row r="2825">
      <c r="A2825" t="n">
        <v>2000996</v>
      </c>
      <c r="B2825" t="n">
        <v>2</v>
      </c>
      <c r="C2825" t="n">
        <v>996</v>
      </c>
      <c r="D2825" t="n">
        <v>1</v>
      </c>
      <c r="E2825" t="n">
        <v>92.72199999999999</v>
      </c>
      <c r="F2825" t="n">
        <v>0.03947</v>
      </c>
    </row>
    <row r="2826">
      <c r="A2826" t="n">
        <v>2000997</v>
      </c>
      <c r="B2826" t="n">
        <v>2</v>
      </c>
      <c r="C2826" t="n">
        <v>997</v>
      </c>
      <c r="D2826" t="n">
        <v>1</v>
      </c>
      <c r="E2826" t="n">
        <v>92.74590000000001</v>
      </c>
      <c r="F2826" t="n">
        <v>0.03947</v>
      </c>
    </row>
    <row r="2827">
      <c r="A2827" t="n">
        <v>2000998</v>
      </c>
      <c r="B2827" t="n">
        <v>2</v>
      </c>
      <c r="C2827" t="n">
        <v>998</v>
      </c>
      <c r="D2827" t="n">
        <v>1</v>
      </c>
      <c r="E2827" t="n">
        <v>92.76990000000001</v>
      </c>
      <c r="F2827" t="n">
        <v>0.03948</v>
      </c>
    </row>
    <row r="2828">
      <c r="A2828" t="n">
        <v>2000999</v>
      </c>
      <c r="B2828" t="n">
        <v>2</v>
      </c>
      <c r="C2828" t="n">
        <v>999</v>
      </c>
      <c r="D2828" t="n">
        <v>1</v>
      </c>
      <c r="E2828" t="n">
        <v>92.79389999999999</v>
      </c>
      <c r="F2828" t="n">
        <v>0.03948</v>
      </c>
    </row>
    <row r="2829">
      <c r="A2829" t="n">
        <v>2001000</v>
      </c>
      <c r="B2829" t="n">
        <v>2</v>
      </c>
      <c r="C2829" t="n">
        <v>1000</v>
      </c>
      <c r="D2829" t="n">
        <v>1</v>
      </c>
      <c r="E2829" t="n">
        <v>92.81780000000001</v>
      </c>
      <c r="F2829" t="n">
        <v>0.03949</v>
      </c>
    </row>
    <row r="2830">
      <c r="A2830" t="n">
        <v>2001001</v>
      </c>
      <c r="B2830" t="n">
        <v>2</v>
      </c>
      <c r="C2830" t="n">
        <v>1001</v>
      </c>
      <c r="D2830" t="n">
        <v>1</v>
      </c>
      <c r="E2830" t="n">
        <v>92.84180000000001</v>
      </c>
      <c r="F2830" t="n">
        <v>0.0395</v>
      </c>
    </row>
    <row r="2831">
      <c r="A2831" t="n">
        <v>2001002</v>
      </c>
      <c r="B2831" t="n">
        <v>2</v>
      </c>
      <c r="C2831" t="n">
        <v>1002</v>
      </c>
      <c r="D2831" t="n">
        <v>1</v>
      </c>
      <c r="E2831" t="n">
        <v>92.8657</v>
      </c>
      <c r="F2831" t="n">
        <v>0.0395</v>
      </c>
    </row>
    <row r="2832">
      <c r="A2832" t="n">
        <v>2001003</v>
      </c>
      <c r="B2832" t="n">
        <v>2</v>
      </c>
      <c r="C2832" t="n">
        <v>1003</v>
      </c>
      <c r="D2832" t="n">
        <v>1</v>
      </c>
      <c r="E2832" t="n">
        <v>92.8896</v>
      </c>
      <c r="F2832" t="n">
        <v>0.03951</v>
      </c>
    </row>
    <row r="2833">
      <c r="A2833" t="n">
        <v>2001004</v>
      </c>
      <c r="B2833" t="n">
        <v>2</v>
      </c>
      <c r="C2833" t="n">
        <v>1004</v>
      </c>
      <c r="D2833" t="n">
        <v>1</v>
      </c>
      <c r="E2833" t="n">
        <v>92.9135</v>
      </c>
      <c r="F2833" t="n">
        <v>0.03952</v>
      </c>
    </row>
    <row r="2834">
      <c r="A2834" t="n">
        <v>2001005</v>
      </c>
      <c r="B2834" t="n">
        <v>2</v>
      </c>
      <c r="C2834" t="n">
        <v>1005</v>
      </c>
      <c r="D2834" t="n">
        <v>1</v>
      </c>
      <c r="E2834" t="n">
        <v>92.93729999999999</v>
      </c>
      <c r="F2834" t="n">
        <v>0.03952</v>
      </c>
    </row>
    <row r="2835">
      <c r="A2835" t="n">
        <v>2001006</v>
      </c>
      <c r="B2835" t="n">
        <v>2</v>
      </c>
      <c r="C2835" t="n">
        <v>1006</v>
      </c>
      <c r="D2835" t="n">
        <v>1</v>
      </c>
      <c r="E2835" t="n">
        <v>92.96120000000001</v>
      </c>
      <c r="F2835" t="n">
        <v>0.03953</v>
      </c>
    </row>
    <row r="2836">
      <c r="A2836" t="n">
        <v>2001007</v>
      </c>
      <c r="B2836" t="n">
        <v>2</v>
      </c>
      <c r="C2836" t="n">
        <v>1007</v>
      </c>
      <c r="D2836" t="n">
        <v>1</v>
      </c>
      <c r="E2836" t="n">
        <v>92.985</v>
      </c>
      <c r="F2836" t="n">
        <v>0.03953</v>
      </c>
    </row>
    <row r="2837">
      <c r="A2837" t="n">
        <v>2001008</v>
      </c>
      <c r="B2837" t="n">
        <v>2</v>
      </c>
      <c r="C2837" t="n">
        <v>1008</v>
      </c>
      <c r="D2837" t="n">
        <v>1</v>
      </c>
      <c r="E2837" t="n">
        <v>93.0089</v>
      </c>
      <c r="F2837" t="n">
        <v>0.03954</v>
      </c>
    </row>
    <row r="2838">
      <c r="A2838" t="n">
        <v>2001009</v>
      </c>
      <c r="B2838" t="n">
        <v>2</v>
      </c>
      <c r="C2838" t="n">
        <v>1009</v>
      </c>
      <c r="D2838" t="n">
        <v>1</v>
      </c>
      <c r="E2838" t="n">
        <v>93.03270000000001</v>
      </c>
      <c r="F2838" t="n">
        <v>0.03955</v>
      </c>
    </row>
    <row r="2839">
      <c r="A2839" t="n">
        <v>2001010</v>
      </c>
      <c r="B2839" t="n">
        <v>2</v>
      </c>
      <c r="C2839" t="n">
        <v>1010</v>
      </c>
      <c r="D2839" t="n">
        <v>1</v>
      </c>
      <c r="E2839" t="n">
        <v>93.0565</v>
      </c>
      <c r="F2839" t="n">
        <v>0.03955</v>
      </c>
    </row>
    <row r="2840">
      <c r="A2840" t="n">
        <v>2001011</v>
      </c>
      <c r="B2840" t="n">
        <v>2</v>
      </c>
      <c r="C2840" t="n">
        <v>1011</v>
      </c>
      <c r="D2840" t="n">
        <v>1</v>
      </c>
      <c r="E2840" t="n">
        <v>93.08029999999999</v>
      </c>
      <c r="F2840" t="n">
        <v>0.03956</v>
      </c>
    </row>
    <row r="2841">
      <c r="A2841" t="n">
        <v>2001012</v>
      </c>
      <c r="B2841" t="n">
        <v>2</v>
      </c>
      <c r="C2841" t="n">
        <v>1012</v>
      </c>
      <c r="D2841" t="n">
        <v>1</v>
      </c>
      <c r="E2841" t="n">
        <v>93.1041</v>
      </c>
      <c r="F2841" t="n">
        <v>0.03957</v>
      </c>
    </row>
    <row r="2842">
      <c r="A2842" t="n">
        <v>2001013</v>
      </c>
      <c r="B2842" t="n">
        <v>2</v>
      </c>
      <c r="C2842" t="n">
        <v>1013</v>
      </c>
      <c r="D2842" t="n">
        <v>1</v>
      </c>
      <c r="E2842" t="n">
        <v>93.12779999999999</v>
      </c>
      <c r="F2842" t="n">
        <v>0.03957</v>
      </c>
    </row>
    <row r="2843">
      <c r="A2843" t="n">
        <v>2001014</v>
      </c>
      <c r="B2843" t="n">
        <v>2</v>
      </c>
      <c r="C2843" t="n">
        <v>1014</v>
      </c>
      <c r="D2843" t="n">
        <v>1</v>
      </c>
      <c r="E2843" t="n">
        <v>93.1516</v>
      </c>
      <c r="F2843" t="n">
        <v>0.03958</v>
      </c>
    </row>
    <row r="2844">
      <c r="A2844" t="n">
        <v>2001015</v>
      </c>
      <c r="B2844" t="n">
        <v>2</v>
      </c>
      <c r="C2844" t="n">
        <v>1015</v>
      </c>
      <c r="D2844" t="n">
        <v>1</v>
      </c>
      <c r="E2844" t="n">
        <v>93.17529999999999</v>
      </c>
      <c r="F2844" t="n">
        <v>0.03958</v>
      </c>
    </row>
    <row r="2845">
      <c r="A2845" t="n">
        <v>2001016</v>
      </c>
      <c r="B2845" t="n">
        <v>2</v>
      </c>
      <c r="C2845" t="n">
        <v>1016</v>
      </c>
      <c r="D2845" t="n">
        <v>1</v>
      </c>
      <c r="E2845" t="n">
        <v>93.1991</v>
      </c>
      <c r="F2845" t="n">
        <v>0.03959</v>
      </c>
    </row>
    <row r="2846">
      <c r="A2846" t="n">
        <v>2001017</v>
      </c>
      <c r="B2846" t="n">
        <v>2</v>
      </c>
      <c r="C2846" t="n">
        <v>1017</v>
      </c>
      <c r="D2846" t="n">
        <v>1</v>
      </c>
      <c r="E2846" t="n">
        <v>93.22280000000001</v>
      </c>
      <c r="F2846" t="n">
        <v>0.0396</v>
      </c>
    </row>
    <row r="2847">
      <c r="A2847" t="n">
        <v>2001018</v>
      </c>
      <c r="B2847" t="n">
        <v>2</v>
      </c>
      <c r="C2847" t="n">
        <v>1018</v>
      </c>
      <c r="D2847" t="n">
        <v>1</v>
      </c>
      <c r="E2847" t="n">
        <v>93.2465</v>
      </c>
      <c r="F2847" t="n">
        <v>0.0396</v>
      </c>
    </row>
    <row r="2848">
      <c r="A2848" t="n">
        <v>2001019</v>
      </c>
      <c r="B2848" t="n">
        <v>2</v>
      </c>
      <c r="C2848" t="n">
        <v>1019</v>
      </c>
      <c r="D2848" t="n">
        <v>1</v>
      </c>
      <c r="E2848" t="n">
        <v>93.2702</v>
      </c>
      <c r="F2848" t="n">
        <v>0.03961</v>
      </c>
    </row>
    <row r="2849">
      <c r="A2849" t="n">
        <v>2001020</v>
      </c>
      <c r="B2849" t="n">
        <v>2</v>
      </c>
      <c r="C2849" t="n">
        <v>1020</v>
      </c>
      <c r="D2849" t="n">
        <v>1</v>
      </c>
      <c r="E2849" t="n">
        <v>93.2938</v>
      </c>
      <c r="F2849" t="n">
        <v>0.03961</v>
      </c>
    </row>
    <row r="2850">
      <c r="A2850" t="n">
        <v>2001021</v>
      </c>
      <c r="B2850" t="n">
        <v>2</v>
      </c>
      <c r="C2850" t="n">
        <v>1021</v>
      </c>
      <c r="D2850" t="n">
        <v>1</v>
      </c>
      <c r="E2850" t="n">
        <v>93.3175</v>
      </c>
      <c r="F2850" t="n">
        <v>0.03962</v>
      </c>
    </row>
    <row r="2851">
      <c r="A2851" t="n">
        <v>2001022</v>
      </c>
      <c r="B2851" t="n">
        <v>2</v>
      </c>
      <c r="C2851" t="n">
        <v>1022</v>
      </c>
      <c r="D2851" t="n">
        <v>1</v>
      </c>
      <c r="E2851" t="n">
        <v>93.3411</v>
      </c>
      <c r="F2851" t="n">
        <v>0.03963</v>
      </c>
    </row>
    <row r="2852">
      <c r="A2852" t="n">
        <v>2001023</v>
      </c>
      <c r="B2852" t="n">
        <v>2</v>
      </c>
      <c r="C2852" t="n">
        <v>1023</v>
      </c>
      <c r="D2852" t="n">
        <v>1</v>
      </c>
      <c r="E2852" t="n">
        <v>93.3648</v>
      </c>
      <c r="F2852" t="n">
        <v>0.03963</v>
      </c>
    </row>
    <row r="2853">
      <c r="A2853" t="n">
        <v>2001024</v>
      </c>
      <c r="B2853" t="n">
        <v>2</v>
      </c>
      <c r="C2853" t="n">
        <v>1024</v>
      </c>
      <c r="D2853" t="n">
        <v>1</v>
      </c>
      <c r="E2853" t="n">
        <v>93.3884</v>
      </c>
      <c r="F2853" t="n">
        <v>0.03964</v>
      </c>
    </row>
    <row r="2854">
      <c r="A2854" t="n">
        <v>2001025</v>
      </c>
      <c r="B2854" t="n">
        <v>2</v>
      </c>
      <c r="C2854" t="n">
        <v>1025</v>
      </c>
      <c r="D2854" t="n">
        <v>1</v>
      </c>
      <c r="E2854" t="n">
        <v>93.41200000000001</v>
      </c>
      <c r="F2854" t="n">
        <v>0.03964</v>
      </c>
    </row>
    <row r="2855">
      <c r="A2855" t="n">
        <v>2001026</v>
      </c>
      <c r="B2855" t="n">
        <v>2</v>
      </c>
      <c r="C2855" t="n">
        <v>1026</v>
      </c>
      <c r="D2855" t="n">
        <v>1</v>
      </c>
      <c r="E2855" t="n">
        <v>93.43559999999999</v>
      </c>
      <c r="F2855" t="n">
        <v>0.03965</v>
      </c>
    </row>
    <row r="2856">
      <c r="A2856" t="n">
        <v>2001027</v>
      </c>
      <c r="B2856" t="n">
        <v>2</v>
      </c>
      <c r="C2856" t="n">
        <v>1027</v>
      </c>
      <c r="D2856" t="n">
        <v>1</v>
      </c>
      <c r="E2856" t="n">
        <v>93.4592</v>
      </c>
      <c r="F2856" t="n">
        <v>0.03966</v>
      </c>
    </row>
    <row r="2857">
      <c r="A2857" t="n">
        <v>2001028</v>
      </c>
      <c r="B2857" t="n">
        <v>2</v>
      </c>
      <c r="C2857" t="n">
        <v>1028</v>
      </c>
      <c r="D2857" t="n">
        <v>1</v>
      </c>
      <c r="E2857" t="n">
        <v>93.48269999999999</v>
      </c>
      <c r="F2857" t="n">
        <v>0.03966</v>
      </c>
    </row>
    <row r="2858">
      <c r="A2858" t="n">
        <v>2001029</v>
      </c>
      <c r="B2858" t="n">
        <v>2</v>
      </c>
      <c r="C2858" t="n">
        <v>1029</v>
      </c>
      <c r="D2858" t="n">
        <v>1</v>
      </c>
      <c r="E2858" t="n">
        <v>93.5063</v>
      </c>
      <c r="F2858" t="n">
        <v>0.03967</v>
      </c>
    </row>
    <row r="2859">
      <c r="A2859" t="n">
        <v>2001030</v>
      </c>
      <c r="B2859" t="n">
        <v>2</v>
      </c>
      <c r="C2859" t="n">
        <v>1030</v>
      </c>
      <c r="D2859" t="n">
        <v>1</v>
      </c>
      <c r="E2859" t="n">
        <v>93.52979999999999</v>
      </c>
      <c r="F2859" t="n">
        <v>0.03968</v>
      </c>
    </row>
    <row r="2860">
      <c r="A2860" t="n">
        <v>2001031</v>
      </c>
      <c r="B2860" t="n">
        <v>2</v>
      </c>
      <c r="C2860" t="n">
        <v>1031</v>
      </c>
      <c r="D2860" t="n">
        <v>1</v>
      </c>
      <c r="E2860" t="n">
        <v>93.5534</v>
      </c>
      <c r="F2860" t="n">
        <v>0.03968</v>
      </c>
    </row>
    <row r="2861">
      <c r="A2861" t="n">
        <v>2001032</v>
      </c>
      <c r="B2861" t="n">
        <v>2</v>
      </c>
      <c r="C2861" t="n">
        <v>1032</v>
      </c>
      <c r="D2861" t="n">
        <v>1</v>
      </c>
      <c r="E2861" t="n">
        <v>93.57689999999999</v>
      </c>
      <c r="F2861" t="n">
        <v>0.03969</v>
      </c>
    </row>
    <row r="2862">
      <c r="A2862" t="n">
        <v>2001033</v>
      </c>
      <c r="B2862" t="n">
        <v>2</v>
      </c>
      <c r="C2862" t="n">
        <v>1033</v>
      </c>
      <c r="D2862" t="n">
        <v>1</v>
      </c>
      <c r="E2862" t="n">
        <v>93.60039999999999</v>
      </c>
      <c r="F2862" t="n">
        <v>0.03969</v>
      </c>
    </row>
    <row r="2863">
      <c r="A2863" t="n">
        <v>2001034</v>
      </c>
      <c r="B2863" t="n">
        <v>2</v>
      </c>
      <c r="C2863" t="n">
        <v>1034</v>
      </c>
      <c r="D2863" t="n">
        <v>1</v>
      </c>
      <c r="E2863" t="n">
        <v>93.62390000000001</v>
      </c>
      <c r="F2863" t="n">
        <v>0.0397</v>
      </c>
    </row>
    <row r="2864">
      <c r="A2864" t="n">
        <v>2001035</v>
      </c>
      <c r="B2864" t="n">
        <v>2</v>
      </c>
      <c r="C2864" t="n">
        <v>1035</v>
      </c>
      <c r="D2864" t="n">
        <v>1</v>
      </c>
      <c r="E2864" t="n">
        <v>93.6473</v>
      </c>
      <c r="F2864" t="n">
        <v>0.03971</v>
      </c>
    </row>
    <row r="2865">
      <c r="A2865" t="n">
        <v>2001036</v>
      </c>
      <c r="B2865" t="n">
        <v>2</v>
      </c>
      <c r="C2865" t="n">
        <v>1036</v>
      </c>
      <c r="D2865" t="n">
        <v>1</v>
      </c>
      <c r="E2865" t="n">
        <v>93.6708</v>
      </c>
      <c r="F2865" t="n">
        <v>0.03971</v>
      </c>
    </row>
    <row r="2866">
      <c r="A2866" t="n">
        <v>2001037</v>
      </c>
      <c r="B2866" t="n">
        <v>2</v>
      </c>
      <c r="C2866" t="n">
        <v>1037</v>
      </c>
      <c r="D2866" t="n">
        <v>1</v>
      </c>
      <c r="E2866" t="n">
        <v>93.6943</v>
      </c>
      <c r="F2866" t="n">
        <v>0.03972</v>
      </c>
    </row>
    <row r="2867">
      <c r="A2867" t="n">
        <v>2001038</v>
      </c>
      <c r="B2867" t="n">
        <v>2</v>
      </c>
      <c r="C2867" t="n">
        <v>1038</v>
      </c>
      <c r="D2867" t="n">
        <v>1</v>
      </c>
      <c r="E2867" t="n">
        <v>93.71769999999999</v>
      </c>
      <c r="F2867" t="n">
        <v>0.03972</v>
      </c>
    </row>
    <row r="2868">
      <c r="A2868" t="n">
        <v>2001039</v>
      </c>
      <c r="B2868" t="n">
        <v>2</v>
      </c>
      <c r="C2868" t="n">
        <v>1039</v>
      </c>
      <c r="D2868" t="n">
        <v>1</v>
      </c>
      <c r="E2868" t="n">
        <v>93.7411</v>
      </c>
      <c r="F2868" t="n">
        <v>0.03973</v>
      </c>
    </row>
    <row r="2869">
      <c r="A2869" t="n">
        <v>2001040</v>
      </c>
      <c r="B2869" t="n">
        <v>2</v>
      </c>
      <c r="C2869" t="n">
        <v>1040</v>
      </c>
      <c r="D2869" t="n">
        <v>1</v>
      </c>
      <c r="E2869" t="n">
        <v>93.7646</v>
      </c>
      <c r="F2869" t="n">
        <v>0.03974</v>
      </c>
    </row>
    <row r="2870">
      <c r="A2870" t="n">
        <v>2001041</v>
      </c>
      <c r="B2870" t="n">
        <v>2</v>
      </c>
      <c r="C2870" t="n">
        <v>1041</v>
      </c>
      <c r="D2870" t="n">
        <v>1</v>
      </c>
      <c r="E2870" t="n">
        <v>93.788</v>
      </c>
      <c r="F2870" t="n">
        <v>0.03974</v>
      </c>
    </row>
    <row r="2871">
      <c r="A2871" t="n">
        <v>2001042</v>
      </c>
      <c r="B2871" t="n">
        <v>2</v>
      </c>
      <c r="C2871" t="n">
        <v>1042</v>
      </c>
      <c r="D2871" t="n">
        <v>1</v>
      </c>
      <c r="E2871" t="n">
        <v>93.8113</v>
      </c>
      <c r="F2871" t="n">
        <v>0.03975</v>
      </c>
    </row>
    <row r="2872">
      <c r="A2872" t="n">
        <v>2001043</v>
      </c>
      <c r="B2872" t="n">
        <v>2</v>
      </c>
      <c r="C2872" t="n">
        <v>1043</v>
      </c>
      <c r="D2872" t="n">
        <v>1</v>
      </c>
      <c r="E2872" t="n">
        <v>93.8347</v>
      </c>
      <c r="F2872" t="n">
        <v>0.03975</v>
      </c>
    </row>
    <row r="2873">
      <c r="A2873" t="n">
        <v>2001044</v>
      </c>
      <c r="B2873" t="n">
        <v>2</v>
      </c>
      <c r="C2873" t="n">
        <v>1044</v>
      </c>
      <c r="D2873" t="n">
        <v>1</v>
      </c>
      <c r="E2873" t="n">
        <v>93.85809999999999</v>
      </c>
      <c r="F2873" t="n">
        <v>0.03976</v>
      </c>
    </row>
    <row r="2874">
      <c r="A2874" t="n">
        <v>2001045</v>
      </c>
      <c r="B2874" t="n">
        <v>2</v>
      </c>
      <c r="C2874" t="n">
        <v>1045</v>
      </c>
      <c r="D2874" t="n">
        <v>1</v>
      </c>
      <c r="E2874" t="n">
        <v>93.8814</v>
      </c>
      <c r="F2874" t="n">
        <v>0.03977</v>
      </c>
    </row>
    <row r="2875">
      <c r="A2875" t="n">
        <v>2001046</v>
      </c>
      <c r="B2875" t="n">
        <v>2</v>
      </c>
      <c r="C2875" t="n">
        <v>1046</v>
      </c>
      <c r="D2875" t="n">
        <v>1</v>
      </c>
      <c r="E2875" t="n">
        <v>93.90479999999999</v>
      </c>
      <c r="F2875" t="n">
        <v>0.03977</v>
      </c>
    </row>
    <row r="2876">
      <c r="A2876" t="n">
        <v>2001047</v>
      </c>
      <c r="B2876" t="n">
        <v>2</v>
      </c>
      <c r="C2876" t="n">
        <v>1047</v>
      </c>
      <c r="D2876" t="n">
        <v>1</v>
      </c>
      <c r="E2876" t="n">
        <v>93.9281</v>
      </c>
      <c r="F2876" t="n">
        <v>0.03978</v>
      </c>
    </row>
    <row r="2877">
      <c r="A2877" t="n">
        <v>2001048</v>
      </c>
      <c r="B2877" t="n">
        <v>2</v>
      </c>
      <c r="C2877" t="n">
        <v>1048</v>
      </c>
      <c r="D2877" t="n">
        <v>1</v>
      </c>
      <c r="E2877" t="n">
        <v>93.95140000000001</v>
      </c>
      <c r="F2877" t="n">
        <v>0.03978</v>
      </c>
    </row>
    <row r="2878">
      <c r="A2878" t="n">
        <v>2001049</v>
      </c>
      <c r="B2878" t="n">
        <v>2</v>
      </c>
      <c r="C2878" t="n">
        <v>1049</v>
      </c>
      <c r="D2878" t="n">
        <v>1</v>
      </c>
      <c r="E2878" t="n">
        <v>93.9747</v>
      </c>
      <c r="F2878" t="n">
        <v>0.03979</v>
      </c>
    </row>
    <row r="2879">
      <c r="A2879" t="n">
        <v>2001050</v>
      </c>
      <c r="B2879" t="n">
        <v>2</v>
      </c>
      <c r="C2879" t="n">
        <v>1050</v>
      </c>
      <c r="D2879" t="n">
        <v>1</v>
      </c>
      <c r="E2879" t="n">
        <v>93.998</v>
      </c>
      <c r="F2879" t="n">
        <v>0.0398</v>
      </c>
    </row>
    <row r="2880">
      <c r="A2880" t="n">
        <v>2001051</v>
      </c>
      <c r="B2880" t="n">
        <v>2</v>
      </c>
      <c r="C2880" t="n">
        <v>1051</v>
      </c>
      <c r="D2880" t="n">
        <v>1</v>
      </c>
      <c r="E2880" t="n">
        <v>94.0213</v>
      </c>
      <c r="F2880" t="n">
        <v>0.0398</v>
      </c>
    </row>
    <row r="2881">
      <c r="A2881" t="n">
        <v>2001052</v>
      </c>
      <c r="B2881" t="n">
        <v>2</v>
      </c>
      <c r="C2881" t="n">
        <v>1052</v>
      </c>
      <c r="D2881" t="n">
        <v>1</v>
      </c>
      <c r="E2881" t="n">
        <v>94.0446</v>
      </c>
      <c r="F2881" t="n">
        <v>0.03981</v>
      </c>
    </row>
    <row r="2882">
      <c r="A2882" t="n">
        <v>2001053</v>
      </c>
      <c r="B2882" t="n">
        <v>2</v>
      </c>
      <c r="C2882" t="n">
        <v>1053</v>
      </c>
      <c r="D2882" t="n">
        <v>1</v>
      </c>
      <c r="E2882" t="n">
        <v>94.06780000000001</v>
      </c>
      <c r="F2882" t="n">
        <v>0.03981</v>
      </c>
    </row>
    <row r="2883">
      <c r="A2883" t="n">
        <v>2001054</v>
      </c>
      <c r="B2883" t="n">
        <v>2</v>
      </c>
      <c r="C2883" t="n">
        <v>1054</v>
      </c>
      <c r="D2883" t="n">
        <v>1</v>
      </c>
      <c r="E2883" t="n">
        <v>94.0911</v>
      </c>
      <c r="F2883" t="n">
        <v>0.03982</v>
      </c>
    </row>
    <row r="2884">
      <c r="A2884" t="n">
        <v>2001055</v>
      </c>
      <c r="B2884" t="n">
        <v>2</v>
      </c>
      <c r="C2884" t="n">
        <v>1055</v>
      </c>
      <c r="D2884" t="n">
        <v>1</v>
      </c>
      <c r="E2884" t="n">
        <v>94.1143</v>
      </c>
      <c r="F2884" t="n">
        <v>0.03983</v>
      </c>
    </row>
    <row r="2885">
      <c r="A2885" t="n">
        <v>2001056</v>
      </c>
      <c r="B2885" t="n">
        <v>2</v>
      </c>
      <c r="C2885" t="n">
        <v>1056</v>
      </c>
      <c r="D2885" t="n">
        <v>1</v>
      </c>
      <c r="E2885" t="n">
        <v>94.13760000000001</v>
      </c>
      <c r="F2885" t="n">
        <v>0.03983</v>
      </c>
    </row>
    <row r="2886">
      <c r="A2886" t="n">
        <v>2001057</v>
      </c>
      <c r="B2886" t="n">
        <v>2</v>
      </c>
      <c r="C2886" t="n">
        <v>1057</v>
      </c>
      <c r="D2886" t="n">
        <v>1</v>
      </c>
      <c r="E2886" t="n">
        <v>94.16079999999999</v>
      </c>
      <c r="F2886" t="n">
        <v>0.03984</v>
      </c>
    </row>
    <row r="2887">
      <c r="A2887" t="n">
        <v>2001058</v>
      </c>
      <c r="B2887" t="n">
        <v>2</v>
      </c>
      <c r="C2887" t="n">
        <v>1058</v>
      </c>
      <c r="D2887" t="n">
        <v>1</v>
      </c>
      <c r="E2887" t="n">
        <v>94.184</v>
      </c>
      <c r="F2887" t="n">
        <v>0.03984</v>
      </c>
    </row>
    <row r="2888">
      <c r="A2888" t="n">
        <v>2001059</v>
      </c>
      <c r="B2888" t="n">
        <v>2</v>
      </c>
      <c r="C2888" t="n">
        <v>1059</v>
      </c>
      <c r="D2888" t="n">
        <v>1</v>
      </c>
      <c r="E2888" t="n">
        <v>94.2071</v>
      </c>
      <c r="F2888" t="n">
        <v>0.03985</v>
      </c>
    </row>
    <row r="2889">
      <c r="A2889" t="n">
        <v>2001060</v>
      </c>
      <c r="B2889" t="n">
        <v>2</v>
      </c>
      <c r="C2889" t="n">
        <v>1060</v>
      </c>
      <c r="D2889" t="n">
        <v>1</v>
      </c>
      <c r="E2889" t="n">
        <v>94.2303</v>
      </c>
      <c r="F2889" t="n">
        <v>0.03986</v>
      </c>
    </row>
    <row r="2890">
      <c r="A2890" t="n">
        <v>2001061</v>
      </c>
      <c r="B2890" t="n">
        <v>2</v>
      </c>
      <c r="C2890" t="n">
        <v>1061</v>
      </c>
      <c r="D2890" t="n">
        <v>1</v>
      </c>
      <c r="E2890" t="n">
        <v>94.2535</v>
      </c>
      <c r="F2890" t="n">
        <v>0.03986</v>
      </c>
    </row>
    <row r="2891">
      <c r="A2891" t="n">
        <v>2001062</v>
      </c>
      <c r="B2891" t="n">
        <v>2</v>
      </c>
      <c r="C2891" t="n">
        <v>1062</v>
      </c>
      <c r="D2891" t="n">
        <v>1</v>
      </c>
      <c r="E2891" t="n">
        <v>94.2766</v>
      </c>
      <c r="F2891" t="n">
        <v>0.03987</v>
      </c>
    </row>
    <row r="2892">
      <c r="A2892" t="n">
        <v>2001063</v>
      </c>
      <c r="B2892" t="n">
        <v>2</v>
      </c>
      <c r="C2892" t="n">
        <v>1063</v>
      </c>
      <c r="D2892" t="n">
        <v>1</v>
      </c>
      <c r="E2892" t="n">
        <v>94.2998</v>
      </c>
      <c r="F2892" t="n">
        <v>0.03987</v>
      </c>
    </row>
    <row r="2893">
      <c r="A2893" t="n">
        <v>2001064</v>
      </c>
      <c r="B2893" t="n">
        <v>2</v>
      </c>
      <c r="C2893" t="n">
        <v>1064</v>
      </c>
      <c r="D2893" t="n">
        <v>1</v>
      </c>
      <c r="E2893" t="n">
        <v>94.3229</v>
      </c>
      <c r="F2893" t="n">
        <v>0.03988</v>
      </c>
    </row>
    <row r="2894">
      <c r="A2894" t="n">
        <v>2001065</v>
      </c>
      <c r="B2894" t="n">
        <v>2</v>
      </c>
      <c r="C2894" t="n">
        <v>1065</v>
      </c>
      <c r="D2894" t="n">
        <v>1</v>
      </c>
      <c r="E2894" t="n">
        <v>94.346</v>
      </c>
      <c r="F2894" t="n">
        <v>0.03989</v>
      </c>
    </row>
    <row r="2895">
      <c r="A2895" t="n">
        <v>2001066</v>
      </c>
      <c r="B2895" t="n">
        <v>2</v>
      </c>
      <c r="C2895" t="n">
        <v>1066</v>
      </c>
      <c r="D2895" t="n">
        <v>1</v>
      </c>
      <c r="E2895" t="n">
        <v>94.3691</v>
      </c>
      <c r="F2895" t="n">
        <v>0.03989</v>
      </c>
    </row>
    <row r="2896">
      <c r="A2896" t="n">
        <v>2001067</v>
      </c>
      <c r="B2896" t="n">
        <v>2</v>
      </c>
      <c r="C2896" t="n">
        <v>1067</v>
      </c>
      <c r="D2896" t="n">
        <v>1</v>
      </c>
      <c r="E2896" t="n">
        <v>94.3922</v>
      </c>
      <c r="F2896" t="n">
        <v>0.0399</v>
      </c>
    </row>
    <row r="2897">
      <c r="A2897" t="n">
        <v>2001068</v>
      </c>
      <c r="B2897" t="n">
        <v>2</v>
      </c>
      <c r="C2897" t="n">
        <v>1068</v>
      </c>
      <c r="D2897" t="n">
        <v>1</v>
      </c>
      <c r="E2897" t="n">
        <v>94.4153</v>
      </c>
      <c r="F2897" t="n">
        <v>0.0399</v>
      </c>
    </row>
    <row r="2898">
      <c r="A2898" t="n">
        <v>2001069</v>
      </c>
      <c r="B2898" t="n">
        <v>2</v>
      </c>
      <c r="C2898" t="n">
        <v>1069</v>
      </c>
      <c r="D2898" t="n">
        <v>1</v>
      </c>
      <c r="E2898" t="n">
        <v>94.4384</v>
      </c>
      <c r="F2898" t="n">
        <v>0.03991</v>
      </c>
    </row>
    <row r="2899">
      <c r="A2899" t="n">
        <v>2001070</v>
      </c>
      <c r="B2899" t="n">
        <v>2</v>
      </c>
      <c r="C2899" t="n">
        <v>1070</v>
      </c>
      <c r="D2899" t="n">
        <v>1</v>
      </c>
      <c r="E2899" t="n">
        <v>94.4615</v>
      </c>
      <c r="F2899" t="n">
        <v>0.03991</v>
      </c>
    </row>
    <row r="2900">
      <c r="A2900" t="n">
        <v>2001071</v>
      </c>
      <c r="B2900" t="n">
        <v>2</v>
      </c>
      <c r="C2900" t="n">
        <v>1071</v>
      </c>
      <c r="D2900" t="n">
        <v>1</v>
      </c>
      <c r="E2900" t="n">
        <v>94.4845</v>
      </c>
      <c r="F2900" t="n">
        <v>0.03992</v>
      </c>
    </row>
    <row r="2901">
      <c r="A2901" t="n">
        <v>2001072</v>
      </c>
      <c r="B2901" t="n">
        <v>2</v>
      </c>
      <c r="C2901" t="n">
        <v>1072</v>
      </c>
      <c r="D2901" t="n">
        <v>1</v>
      </c>
      <c r="E2901" t="n">
        <v>94.50749999999999</v>
      </c>
      <c r="F2901" t="n">
        <v>0.03993</v>
      </c>
    </row>
    <row r="2902">
      <c r="A2902" t="n">
        <v>2001073</v>
      </c>
      <c r="B2902" t="n">
        <v>2</v>
      </c>
      <c r="C2902" t="n">
        <v>1073</v>
      </c>
      <c r="D2902" t="n">
        <v>1</v>
      </c>
      <c r="E2902" t="n">
        <v>94.53060000000001</v>
      </c>
      <c r="F2902" t="n">
        <v>0.03993</v>
      </c>
    </row>
    <row r="2903">
      <c r="A2903" t="n">
        <v>2001074</v>
      </c>
      <c r="B2903" t="n">
        <v>2</v>
      </c>
      <c r="C2903" t="n">
        <v>1074</v>
      </c>
      <c r="D2903" t="n">
        <v>1</v>
      </c>
      <c r="E2903" t="n">
        <v>94.5536</v>
      </c>
      <c r="F2903" t="n">
        <v>0.03994</v>
      </c>
    </row>
    <row r="2904">
      <c r="A2904" t="n">
        <v>2001075</v>
      </c>
      <c r="B2904" t="n">
        <v>2</v>
      </c>
      <c r="C2904" t="n">
        <v>1075</v>
      </c>
      <c r="D2904" t="n">
        <v>1</v>
      </c>
      <c r="E2904" t="n">
        <v>94.5766</v>
      </c>
      <c r="F2904" t="n">
        <v>0.03994</v>
      </c>
    </row>
    <row r="2905">
      <c r="A2905" t="n">
        <v>2001076</v>
      </c>
      <c r="B2905" t="n">
        <v>2</v>
      </c>
      <c r="C2905" t="n">
        <v>1076</v>
      </c>
      <c r="D2905" t="n">
        <v>1</v>
      </c>
      <c r="E2905" t="n">
        <v>94.5996</v>
      </c>
      <c r="F2905" t="n">
        <v>0.03995</v>
      </c>
    </row>
    <row r="2906">
      <c r="A2906" t="n">
        <v>2001077</v>
      </c>
      <c r="B2906" t="n">
        <v>2</v>
      </c>
      <c r="C2906" t="n">
        <v>1077</v>
      </c>
      <c r="D2906" t="n">
        <v>1</v>
      </c>
      <c r="E2906" t="n">
        <v>94.62260000000001</v>
      </c>
      <c r="F2906" t="n">
        <v>0.03996</v>
      </c>
    </row>
    <row r="2907">
      <c r="A2907" t="n">
        <v>2001078</v>
      </c>
      <c r="B2907" t="n">
        <v>2</v>
      </c>
      <c r="C2907" t="n">
        <v>1078</v>
      </c>
      <c r="D2907" t="n">
        <v>1</v>
      </c>
      <c r="E2907" t="n">
        <v>94.6455</v>
      </c>
      <c r="F2907" t="n">
        <v>0.03996</v>
      </c>
    </row>
    <row r="2908">
      <c r="A2908" t="n">
        <v>2001079</v>
      </c>
      <c r="B2908" t="n">
        <v>2</v>
      </c>
      <c r="C2908" t="n">
        <v>1079</v>
      </c>
      <c r="D2908" t="n">
        <v>1</v>
      </c>
      <c r="E2908" t="n">
        <v>94.66849999999999</v>
      </c>
      <c r="F2908" t="n">
        <v>0.03997</v>
      </c>
    </row>
    <row r="2909">
      <c r="A2909" t="n">
        <v>2001080</v>
      </c>
      <c r="B2909" t="n">
        <v>2</v>
      </c>
      <c r="C2909" t="n">
        <v>1080</v>
      </c>
      <c r="D2909" t="n">
        <v>1</v>
      </c>
      <c r="E2909" t="n">
        <v>94.6914</v>
      </c>
      <c r="F2909" t="n">
        <v>0.03997</v>
      </c>
    </row>
    <row r="2910">
      <c r="A2910" t="n">
        <v>2001081</v>
      </c>
      <c r="B2910" t="n">
        <v>2</v>
      </c>
      <c r="C2910" t="n">
        <v>1081</v>
      </c>
      <c r="D2910" t="n">
        <v>1</v>
      </c>
      <c r="E2910" t="n">
        <v>94.7144</v>
      </c>
      <c r="F2910" t="n">
        <v>0.03998</v>
      </c>
    </row>
    <row r="2911">
      <c r="A2911" t="n">
        <v>2001082</v>
      </c>
      <c r="B2911" t="n">
        <v>2</v>
      </c>
      <c r="C2911" t="n">
        <v>1082</v>
      </c>
      <c r="D2911" t="n">
        <v>1</v>
      </c>
      <c r="E2911" t="n">
        <v>94.7373</v>
      </c>
      <c r="F2911" t="n">
        <v>0.03999</v>
      </c>
    </row>
    <row r="2912">
      <c r="A2912" t="n">
        <v>2001083</v>
      </c>
      <c r="B2912" t="n">
        <v>2</v>
      </c>
      <c r="C2912" t="n">
        <v>1083</v>
      </c>
      <c r="D2912" t="n">
        <v>1</v>
      </c>
      <c r="E2912" t="n">
        <v>94.7602</v>
      </c>
      <c r="F2912" t="n">
        <v>0.03999</v>
      </c>
    </row>
    <row r="2913">
      <c r="A2913" t="n">
        <v>2001084</v>
      </c>
      <c r="B2913" t="n">
        <v>2</v>
      </c>
      <c r="C2913" t="n">
        <v>1084</v>
      </c>
      <c r="D2913" t="n">
        <v>1</v>
      </c>
      <c r="E2913" t="n">
        <v>94.7831</v>
      </c>
      <c r="F2913" t="n">
        <v>0.04</v>
      </c>
    </row>
    <row r="2914">
      <c r="A2914" t="n">
        <v>2001085</v>
      </c>
      <c r="B2914" t="n">
        <v>2</v>
      </c>
      <c r="C2914" t="n">
        <v>1085</v>
      </c>
      <c r="D2914" t="n">
        <v>1</v>
      </c>
      <c r="E2914" t="n">
        <v>94.806</v>
      </c>
      <c r="F2914" t="n">
        <v>0.04</v>
      </c>
    </row>
    <row r="2915">
      <c r="A2915" t="n">
        <v>2001086</v>
      </c>
      <c r="B2915" t="n">
        <v>2</v>
      </c>
      <c r="C2915" t="n">
        <v>1086</v>
      </c>
      <c r="D2915" t="n">
        <v>1</v>
      </c>
      <c r="E2915" t="n">
        <v>94.8289</v>
      </c>
      <c r="F2915" t="n">
        <v>0.04001</v>
      </c>
    </row>
    <row r="2916">
      <c r="A2916" t="n">
        <v>2001087</v>
      </c>
      <c r="B2916" t="n">
        <v>2</v>
      </c>
      <c r="C2916" t="n">
        <v>1087</v>
      </c>
      <c r="D2916" t="n">
        <v>1</v>
      </c>
      <c r="E2916" t="n">
        <v>94.8518</v>
      </c>
      <c r="F2916" t="n">
        <v>0.04001</v>
      </c>
    </row>
    <row r="2917">
      <c r="A2917" t="n">
        <v>2001088</v>
      </c>
      <c r="B2917" t="n">
        <v>2</v>
      </c>
      <c r="C2917" t="n">
        <v>1088</v>
      </c>
      <c r="D2917" t="n">
        <v>1</v>
      </c>
      <c r="E2917" t="n">
        <v>94.8747</v>
      </c>
      <c r="F2917" t="n">
        <v>0.04002</v>
      </c>
    </row>
    <row r="2918">
      <c r="A2918" t="n">
        <v>2001089</v>
      </c>
      <c r="B2918" t="n">
        <v>2</v>
      </c>
      <c r="C2918" t="n">
        <v>1089</v>
      </c>
      <c r="D2918" t="n">
        <v>1</v>
      </c>
      <c r="E2918" t="n">
        <v>94.89749999999999</v>
      </c>
      <c r="F2918" t="n">
        <v>0.04003</v>
      </c>
    </row>
    <row r="2919">
      <c r="A2919" t="n">
        <v>2001090</v>
      </c>
      <c r="B2919" t="n">
        <v>2</v>
      </c>
      <c r="C2919" t="n">
        <v>1090</v>
      </c>
      <c r="D2919" t="n">
        <v>1</v>
      </c>
      <c r="E2919" t="n">
        <v>94.9203</v>
      </c>
      <c r="F2919" t="n">
        <v>0.04003</v>
      </c>
    </row>
    <row r="2920">
      <c r="A2920" t="n">
        <v>2001091</v>
      </c>
      <c r="B2920" t="n">
        <v>2</v>
      </c>
      <c r="C2920" t="n">
        <v>1091</v>
      </c>
      <c r="D2920" t="n">
        <v>1</v>
      </c>
      <c r="E2920" t="n">
        <v>94.9432</v>
      </c>
      <c r="F2920" t="n">
        <v>0.04004</v>
      </c>
    </row>
    <row r="2921">
      <c r="A2921" t="n">
        <v>2001092</v>
      </c>
      <c r="B2921" t="n">
        <v>2</v>
      </c>
      <c r="C2921" t="n">
        <v>1092</v>
      </c>
      <c r="D2921" t="n">
        <v>1</v>
      </c>
      <c r="E2921" t="n">
        <v>94.96599999999999</v>
      </c>
      <c r="F2921" t="n">
        <v>0.04004</v>
      </c>
    </row>
    <row r="2922">
      <c r="A2922" t="n">
        <v>2001093</v>
      </c>
      <c r="B2922" t="n">
        <v>2</v>
      </c>
      <c r="C2922" t="n">
        <v>1093</v>
      </c>
      <c r="D2922" t="n">
        <v>1</v>
      </c>
      <c r="E2922" t="n">
        <v>94.9888</v>
      </c>
      <c r="F2922" t="n">
        <v>0.04005</v>
      </c>
    </row>
    <row r="2923">
      <c r="A2923" t="n">
        <v>2001094</v>
      </c>
      <c r="B2923" t="n">
        <v>2</v>
      </c>
      <c r="C2923" t="n">
        <v>1094</v>
      </c>
      <c r="D2923" t="n">
        <v>1</v>
      </c>
      <c r="E2923" t="n">
        <v>95.0116</v>
      </c>
      <c r="F2923" t="n">
        <v>0.04005</v>
      </c>
    </row>
    <row r="2924">
      <c r="A2924" t="n">
        <v>2001095</v>
      </c>
      <c r="B2924" t="n">
        <v>2</v>
      </c>
      <c r="C2924" t="n">
        <v>1095</v>
      </c>
      <c r="D2924" t="n">
        <v>1</v>
      </c>
      <c r="E2924" t="n">
        <v>95.03440000000001</v>
      </c>
      <c r="F2924" t="n">
        <v>0.04006</v>
      </c>
    </row>
    <row r="2925">
      <c r="A2925" t="n">
        <v>2001096</v>
      </c>
      <c r="B2925" t="n">
        <v>2</v>
      </c>
      <c r="C2925" t="n">
        <v>1096</v>
      </c>
      <c r="D2925" t="n">
        <v>1</v>
      </c>
      <c r="E2925" t="n">
        <v>95.05719999999999</v>
      </c>
      <c r="F2925" t="n">
        <v>0.04007</v>
      </c>
    </row>
    <row r="2926">
      <c r="A2926" t="n">
        <v>2001097</v>
      </c>
      <c r="B2926" t="n">
        <v>2</v>
      </c>
      <c r="C2926" t="n">
        <v>1097</v>
      </c>
      <c r="D2926" t="n">
        <v>1</v>
      </c>
      <c r="E2926" t="n">
        <v>95.07989999999999</v>
      </c>
      <c r="F2926" t="n">
        <v>0.04007</v>
      </c>
    </row>
    <row r="2927">
      <c r="A2927" t="n">
        <v>2001098</v>
      </c>
      <c r="B2927" t="n">
        <v>2</v>
      </c>
      <c r="C2927" t="n">
        <v>1098</v>
      </c>
      <c r="D2927" t="n">
        <v>1</v>
      </c>
      <c r="E2927" t="n">
        <v>95.1027</v>
      </c>
      <c r="F2927" t="n">
        <v>0.04008</v>
      </c>
    </row>
    <row r="2928">
      <c r="A2928" t="n">
        <v>2001099</v>
      </c>
      <c r="B2928" t="n">
        <v>2</v>
      </c>
      <c r="C2928" t="n">
        <v>1099</v>
      </c>
      <c r="D2928" t="n">
        <v>1</v>
      </c>
      <c r="E2928" t="n">
        <v>95.1254</v>
      </c>
      <c r="F2928" t="n">
        <v>0.04008</v>
      </c>
    </row>
    <row r="2929">
      <c r="A2929" t="n">
        <v>2001100</v>
      </c>
      <c r="B2929" t="n">
        <v>2</v>
      </c>
      <c r="C2929" t="n">
        <v>1100</v>
      </c>
      <c r="D2929" t="n">
        <v>1</v>
      </c>
      <c r="E2929" t="n">
        <v>95.1482</v>
      </c>
      <c r="F2929" t="n">
        <v>0.04009</v>
      </c>
    </row>
    <row r="2930">
      <c r="A2930" t="n">
        <v>2001101</v>
      </c>
      <c r="B2930" t="n">
        <v>2</v>
      </c>
      <c r="C2930" t="n">
        <v>1101</v>
      </c>
      <c r="D2930" t="n">
        <v>1</v>
      </c>
      <c r="E2930" t="n">
        <v>95.1709</v>
      </c>
      <c r="F2930" t="n">
        <v>0.04009</v>
      </c>
    </row>
    <row r="2931">
      <c r="A2931" t="n">
        <v>2001102</v>
      </c>
      <c r="B2931" t="n">
        <v>2</v>
      </c>
      <c r="C2931" t="n">
        <v>1102</v>
      </c>
      <c r="D2931" t="n">
        <v>1</v>
      </c>
      <c r="E2931" t="n">
        <v>95.1936</v>
      </c>
      <c r="F2931" t="n">
        <v>0.0401</v>
      </c>
    </row>
    <row r="2932">
      <c r="A2932" t="n">
        <v>2001103</v>
      </c>
      <c r="B2932" t="n">
        <v>2</v>
      </c>
      <c r="C2932" t="n">
        <v>1103</v>
      </c>
      <c r="D2932" t="n">
        <v>1</v>
      </c>
      <c r="E2932" t="n">
        <v>95.2163</v>
      </c>
      <c r="F2932" t="n">
        <v>0.04011</v>
      </c>
    </row>
    <row r="2933">
      <c r="A2933" t="n">
        <v>2001104</v>
      </c>
      <c r="B2933" t="n">
        <v>2</v>
      </c>
      <c r="C2933" t="n">
        <v>1104</v>
      </c>
      <c r="D2933" t="n">
        <v>1</v>
      </c>
      <c r="E2933" t="n">
        <v>95.239</v>
      </c>
      <c r="F2933" t="n">
        <v>0.04011</v>
      </c>
    </row>
    <row r="2934">
      <c r="A2934" t="n">
        <v>2001105</v>
      </c>
      <c r="B2934" t="n">
        <v>2</v>
      </c>
      <c r="C2934" t="n">
        <v>1105</v>
      </c>
      <c r="D2934" t="n">
        <v>1</v>
      </c>
      <c r="E2934" t="n">
        <v>95.2617</v>
      </c>
      <c r="F2934" t="n">
        <v>0.04012</v>
      </c>
    </row>
    <row r="2935">
      <c r="A2935" t="n">
        <v>2001106</v>
      </c>
      <c r="B2935" t="n">
        <v>2</v>
      </c>
      <c r="C2935" t="n">
        <v>1106</v>
      </c>
      <c r="D2935" t="n">
        <v>1</v>
      </c>
      <c r="E2935" t="n">
        <v>95.28440000000001</v>
      </c>
      <c r="F2935" t="n">
        <v>0.04012</v>
      </c>
    </row>
    <row r="2936">
      <c r="A2936" t="n">
        <v>2001107</v>
      </c>
      <c r="B2936" t="n">
        <v>2</v>
      </c>
      <c r="C2936" t="n">
        <v>1107</v>
      </c>
      <c r="D2936" t="n">
        <v>1</v>
      </c>
      <c r="E2936" t="n">
        <v>95.307</v>
      </c>
      <c r="F2936" t="n">
        <v>0.04013</v>
      </c>
    </row>
    <row r="2937">
      <c r="A2937" t="n">
        <v>2001108</v>
      </c>
      <c r="B2937" t="n">
        <v>2</v>
      </c>
      <c r="C2937" t="n">
        <v>1108</v>
      </c>
      <c r="D2937" t="n">
        <v>1</v>
      </c>
      <c r="E2937" t="n">
        <v>95.3297</v>
      </c>
      <c r="F2937" t="n">
        <v>0.04013</v>
      </c>
    </row>
    <row r="2938">
      <c r="A2938" t="n">
        <v>2001109</v>
      </c>
      <c r="B2938" t="n">
        <v>2</v>
      </c>
      <c r="C2938" t="n">
        <v>1109</v>
      </c>
      <c r="D2938" t="n">
        <v>1</v>
      </c>
      <c r="E2938" t="n">
        <v>95.3523</v>
      </c>
      <c r="F2938" t="n">
        <v>0.04014</v>
      </c>
    </row>
    <row r="2939">
      <c r="A2939" t="n">
        <v>2001110</v>
      </c>
      <c r="B2939" t="n">
        <v>2</v>
      </c>
      <c r="C2939" t="n">
        <v>1110</v>
      </c>
      <c r="D2939" t="n">
        <v>1</v>
      </c>
      <c r="E2939" t="n">
        <v>95.375</v>
      </c>
      <c r="F2939" t="n">
        <v>0.04015</v>
      </c>
    </row>
    <row r="2940">
      <c r="A2940" t="n">
        <v>2001111</v>
      </c>
      <c r="B2940" t="n">
        <v>2</v>
      </c>
      <c r="C2940" t="n">
        <v>1111</v>
      </c>
      <c r="D2940" t="n">
        <v>1</v>
      </c>
      <c r="E2940" t="n">
        <v>95.3976</v>
      </c>
      <c r="F2940" t="n">
        <v>0.04015</v>
      </c>
    </row>
    <row r="2941">
      <c r="A2941" t="n">
        <v>2001112</v>
      </c>
      <c r="B2941" t="n">
        <v>2</v>
      </c>
      <c r="C2941" t="n">
        <v>1112</v>
      </c>
      <c r="D2941" t="n">
        <v>1</v>
      </c>
      <c r="E2941" t="n">
        <v>95.42019999999999</v>
      </c>
      <c r="F2941" t="n">
        <v>0.04016</v>
      </c>
    </row>
    <row r="2942">
      <c r="A2942" t="n">
        <v>2001113</v>
      </c>
      <c r="B2942" t="n">
        <v>2</v>
      </c>
      <c r="C2942" t="n">
        <v>1113</v>
      </c>
      <c r="D2942" t="n">
        <v>1</v>
      </c>
      <c r="E2942" t="n">
        <v>95.44280000000001</v>
      </c>
      <c r="F2942" t="n">
        <v>0.04016</v>
      </c>
    </row>
    <row r="2943">
      <c r="A2943" t="n">
        <v>2001114</v>
      </c>
      <c r="B2943" t="n">
        <v>2</v>
      </c>
      <c r="C2943" t="n">
        <v>1114</v>
      </c>
      <c r="D2943" t="n">
        <v>1</v>
      </c>
      <c r="E2943" t="n">
        <v>95.4654</v>
      </c>
      <c r="F2943" t="n">
        <v>0.04017</v>
      </c>
    </row>
    <row r="2944">
      <c r="A2944" t="n">
        <v>2001115</v>
      </c>
      <c r="B2944" t="n">
        <v>2</v>
      </c>
      <c r="C2944" t="n">
        <v>1115</v>
      </c>
      <c r="D2944" t="n">
        <v>1</v>
      </c>
      <c r="E2944" t="n">
        <v>95.488</v>
      </c>
      <c r="F2944" t="n">
        <v>0.04017</v>
      </c>
    </row>
    <row r="2945">
      <c r="A2945" t="n">
        <v>2001116</v>
      </c>
      <c r="B2945" t="n">
        <v>2</v>
      </c>
      <c r="C2945" t="n">
        <v>1116</v>
      </c>
      <c r="D2945" t="n">
        <v>1</v>
      </c>
      <c r="E2945" t="n">
        <v>95.51049999999999</v>
      </c>
      <c r="F2945" t="n">
        <v>0.04018</v>
      </c>
    </row>
    <row r="2946">
      <c r="A2946" t="n">
        <v>2001117</v>
      </c>
      <c r="B2946" t="n">
        <v>2</v>
      </c>
      <c r="C2946" t="n">
        <v>1117</v>
      </c>
      <c r="D2946" t="n">
        <v>1</v>
      </c>
      <c r="E2946" t="n">
        <v>95.5331</v>
      </c>
      <c r="F2946" t="n">
        <v>0.04019</v>
      </c>
    </row>
    <row r="2947">
      <c r="A2947" t="n">
        <v>2001118</v>
      </c>
      <c r="B2947" t="n">
        <v>2</v>
      </c>
      <c r="C2947" t="n">
        <v>1118</v>
      </c>
      <c r="D2947" t="n">
        <v>1</v>
      </c>
      <c r="E2947" t="n">
        <v>95.5556</v>
      </c>
      <c r="F2947" t="n">
        <v>0.04019</v>
      </c>
    </row>
    <row r="2948">
      <c r="A2948" t="n">
        <v>2001119</v>
      </c>
      <c r="B2948" t="n">
        <v>2</v>
      </c>
      <c r="C2948" t="n">
        <v>1119</v>
      </c>
      <c r="D2948" t="n">
        <v>1</v>
      </c>
      <c r="E2948" t="n">
        <v>95.5782</v>
      </c>
      <c r="F2948" t="n">
        <v>0.0402</v>
      </c>
    </row>
    <row r="2949">
      <c r="A2949" t="n">
        <v>2001120</v>
      </c>
      <c r="B2949" t="n">
        <v>2</v>
      </c>
      <c r="C2949" t="n">
        <v>1120</v>
      </c>
      <c r="D2949" t="n">
        <v>1</v>
      </c>
      <c r="E2949" t="n">
        <v>95.6007</v>
      </c>
      <c r="F2949" t="n">
        <v>0.0402</v>
      </c>
    </row>
    <row r="2950">
      <c r="A2950" t="n">
        <v>2001121</v>
      </c>
      <c r="B2950" t="n">
        <v>2</v>
      </c>
      <c r="C2950" t="n">
        <v>1121</v>
      </c>
      <c r="D2950" t="n">
        <v>1</v>
      </c>
      <c r="E2950" t="n">
        <v>95.6232</v>
      </c>
      <c r="F2950" t="n">
        <v>0.04021</v>
      </c>
    </row>
    <row r="2951">
      <c r="A2951" t="n">
        <v>2001122</v>
      </c>
      <c r="B2951" t="n">
        <v>2</v>
      </c>
      <c r="C2951" t="n">
        <v>1122</v>
      </c>
      <c r="D2951" t="n">
        <v>1</v>
      </c>
      <c r="E2951" t="n">
        <v>95.64570000000001</v>
      </c>
      <c r="F2951" t="n">
        <v>0.04021</v>
      </c>
    </row>
    <row r="2952">
      <c r="A2952" t="n">
        <v>2001123</v>
      </c>
      <c r="B2952" t="n">
        <v>2</v>
      </c>
      <c r="C2952" t="n">
        <v>1123</v>
      </c>
      <c r="D2952" t="n">
        <v>1</v>
      </c>
      <c r="E2952" t="n">
        <v>95.6682</v>
      </c>
      <c r="F2952" t="n">
        <v>0.04022</v>
      </c>
    </row>
    <row r="2953">
      <c r="A2953" t="n">
        <v>2001124</v>
      </c>
      <c r="B2953" t="n">
        <v>2</v>
      </c>
      <c r="C2953" t="n">
        <v>1124</v>
      </c>
      <c r="D2953" t="n">
        <v>1</v>
      </c>
      <c r="E2953" t="n">
        <v>95.69070000000001</v>
      </c>
      <c r="F2953" t="n">
        <v>0.04023</v>
      </c>
    </row>
    <row r="2954">
      <c r="A2954" t="n">
        <v>2001125</v>
      </c>
      <c r="B2954" t="n">
        <v>2</v>
      </c>
      <c r="C2954" t="n">
        <v>1125</v>
      </c>
      <c r="D2954" t="n">
        <v>1</v>
      </c>
      <c r="E2954" t="n">
        <v>95.7132</v>
      </c>
      <c r="F2954" t="n">
        <v>0.04023</v>
      </c>
    </row>
    <row r="2955">
      <c r="A2955" t="n">
        <v>2001126</v>
      </c>
      <c r="B2955" t="n">
        <v>2</v>
      </c>
      <c r="C2955" t="n">
        <v>1126</v>
      </c>
      <c r="D2955" t="n">
        <v>1</v>
      </c>
      <c r="E2955" t="n">
        <v>95.73560000000001</v>
      </c>
      <c r="F2955" t="n">
        <v>0.04024</v>
      </c>
    </row>
    <row r="2956">
      <c r="A2956" t="n">
        <v>2001127</v>
      </c>
      <c r="B2956" t="n">
        <v>2</v>
      </c>
      <c r="C2956" t="n">
        <v>1127</v>
      </c>
      <c r="D2956" t="n">
        <v>1</v>
      </c>
      <c r="E2956" t="n">
        <v>95.7581</v>
      </c>
      <c r="F2956" t="n">
        <v>0.04024</v>
      </c>
    </row>
    <row r="2957">
      <c r="A2957" t="n">
        <v>2001128</v>
      </c>
      <c r="B2957" t="n">
        <v>2</v>
      </c>
      <c r="C2957" t="n">
        <v>1128</v>
      </c>
      <c r="D2957" t="n">
        <v>1</v>
      </c>
      <c r="E2957" t="n">
        <v>95.7805</v>
      </c>
      <c r="F2957" t="n">
        <v>0.04025</v>
      </c>
    </row>
    <row r="2958">
      <c r="A2958" t="n">
        <v>2001129</v>
      </c>
      <c r="B2958" t="n">
        <v>2</v>
      </c>
      <c r="C2958" t="n">
        <v>1129</v>
      </c>
      <c r="D2958" t="n">
        <v>1</v>
      </c>
      <c r="E2958" t="n">
        <v>95.803</v>
      </c>
      <c r="F2958" t="n">
        <v>0.04025</v>
      </c>
    </row>
    <row r="2959">
      <c r="A2959" t="n">
        <v>2001130</v>
      </c>
      <c r="B2959" t="n">
        <v>2</v>
      </c>
      <c r="C2959" t="n">
        <v>1130</v>
      </c>
      <c r="D2959" t="n">
        <v>1</v>
      </c>
      <c r="E2959" t="n">
        <v>95.8254</v>
      </c>
      <c r="F2959" t="n">
        <v>0.04026</v>
      </c>
    </row>
    <row r="2960">
      <c r="A2960" t="n">
        <v>2001131</v>
      </c>
      <c r="B2960" t="n">
        <v>2</v>
      </c>
      <c r="C2960" t="n">
        <v>1131</v>
      </c>
      <c r="D2960" t="n">
        <v>1</v>
      </c>
      <c r="E2960" t="n">
        <v>95.84780000000001</v>
      </c>
      <c r="F2960" t="n">
        <v>0.04026</v>
      </c>
    </row>
    <row r="2961">
      <c r="A2961" t="n">
        <v>2001132</v>
      </c>
      <c r="B2961" t="n">
        <v>2</v>
      </c>
      <c r="C2961" t="n">
        <v>1132</v>
      </c>
      <c r="D2961" t="n">
        <v>1</v>
      </c>
      <c r="E2961" t="n">
        <v>95.8702</v>
      </c>
      <c r="F2961" t="n">
        <v>0.04027</v>
      </c>
    </row>
    <row r="2962">
      <c r="A2962" t="n">
        <v>2001133</v>
      </c>
      <c r="B2962" t="n">
        <v>2</v>
      </c>
      <c r="C2962" t="n">
        <v>1133</v>
      </c>
      <c r="D2962" t="n">
        <v>1</v>
      </c>
      <c r="E2962" t="n">
        <v>95.8926</v>
      </c>
      <c r="F2962" t="n">
        <v>0.04028</v>
      </c>
    </row>
    <row r="2963">
      <c r="A2963" t="n">
        <v>2001134</v>
      </c>
      <c r="B2963" t="n">
        <v>2</v>
      </c>
      <c r="C2963" t="n">
        <v>1134</v>
      </c>
      <c r="D2963" t="n">
        <v>1</v>
      </c>
      <c r="E2963" t="n">
        <v>95.91500000000001</v>
      </c>
      <c r="F2963" t="n">
        <v>0.04028</v>
      </c>
    </row>
    <row r="2964">
      <c r="A2964" t="n">
        <v>2001135</v>
      </c>
      <c r="B2964" t="n">
        <v>2</v>
      </c>
      <c r="C2964" t="n">
        <v>1135</v>
      </c>
      <c r="D2964" t="n">
        <v>1</v>
      </c>
      <c r="E2964" t="n">
        <v>95.9374</v>
      </c>
      <c r="F2964" t="n">
        <v>0.04029</v>
      </c>
    </row>
    <row r="2965">
      <c r="A2965" t="n">
        <v>2001136</v>
      </c>
      <c r="B2965" t="n">
        <v>2</v>
      </c>
      <c r="C2965" t="n">
        <v>1136</v>
      </c>
      <c r="D2965" t="n">
        <v>1</v>
      </c>
      <c r="E2965" t="n">
        <v>95.9597</v>
      </c>
      <c r="F2965" t="n">
        <v>0.04029</v>
      </c>
    </row>
    <row r="2966">
      <c r="A2966" t="n">
        <v>2001137</v>
      </c>
      <c r="B2966" t="n">
        <v>2</v>
      </c>
      <c r="C2966" t="n">
        <v>1137</v>
      </c>
      <c r="D2966" t="n">
        <v>1</v>
      </c>
      <c r="E2966" t="n">
        <v>95.9821</v>
      </c>
      <c r="F2966" t="n">
        <v>0.0403</v>
      </c>
    </row>
    <row r="2967">
      <c r="A2967" t="n">
        <v>2001138</v>
      </c>
      <c r="B2967" t="n">
        <v>2</v>
      </c>
      <c r="C2967" t="n">
        <v>1138</v>
      </c>
      <c r="D2967" t="n">
        <v>1</v>
      </c>
      <c r="E2967" t="n">
        <v>96.0044</v>
      </c>
      <c r="F2967" t="n">
        <v>0.0403</v>
      </c>
    </row>
    <row r="2968">
      <c r="A2968" t="n">
        <v>2001139</v>
      </c>
      <c r="B2968" t="n">
        <v>2</v>
      </c>
      <c r="C2968" t="n">
        <v>1139</v>
      </c>
      <c r="D2968" t="n">
        <v>1</v>
      </c>
      <c r="E2968" t="n">
        <v>96.02679999999999</v>
      </c>
      <c r="F2968" t="n">
        <v>0.04031</v>
      </c>
    </row>
    <row r="2969">
      <c r="A2969" t="n">
        <v>2001140</v>
      </c>
      <c r="B2969" t="n">
        <v>2</v>
      </c>
      <c r="C2969" t="n">
        <v>1140</v>
      </c>
      <c r="D2969" t="n">
        <v>1</v>
      </c>
      <c r="E2969" t="n">
        <v>96.0491</v>
      </c>
      <c r="F2969" t="n">
        <v>0.04032</v>
      </c>
    </row>
    <row r="2970">
      <c r="A2970" t="n">
        <v>2001141</v>
      </c>
      <c r="B2970" t="n">
        <v>2</v>
      </c>
      <c r="C2970" t="n">
        <v>1141</v>
      </c>
      <c r="D2970" t="n">
        <v>1</v>
      </c>
      <c r="E2970" t="n">
        <v>96.0714</v>
      </c>
      <c r="F2970" t="n">
        <v>0.04032</v>
      </c>
    </row>
    <row r="2971">
      <c r="A2971" t="n">
        <v>2001142</v>
      </c>
      <c r="B2971" t="n">
        <v>2</v>
      </c>
      <c r="C2971" t="n">
        <v>1142</v>
      </c>
      <c r="D2971" t="n">
        <v>1</v>
      </c>
      <c r="E2971" t="n">
        <v>96.0937</v>
      </c>
      <c r="F2971" t="n">
        <v>0.04033</v>
      </c>
    </row>
    <row r="2972">
      <c r="A2972" t="n">
        <v>2001143</v>
      </c>
      <c r="B2972" t="n">
        <v>2</v>
      </c>
      <c r="C2972" t="n">
        <v>1143</v>
      </c>
      <c r="D2972" t="n">
        <v>1</v>
      </c>
      <c r="E2972" t="n">
        <v>96.116</v>
      </c>
      <c r="F2972" t="n">
        <v>0.04033</v>
      </c>
    </row>
    <row r="2973">
      <c r="A2973" t="n">
        <v>2001144</v>
      </c>
      <c r="B2973" t="n">
        <v>2</v>
      </c>
      <c r="C2973" t="n">
        <v>1144</v>
      </c>
      <c r="D2973" t="n">
        <v>1</v>
      </c>
      <c r="E2973" t="n">
        <v>96.1383</v>
      </c>
      <c r="F2973" t="n">
        <v>0.04034</v>
      </c>
    </row>
    <row r="2974">
      <c r="A2974" t="n">
        <v>2001145</v>
      </c>
      <c r="B2974" t="n">
        <v>2</v>
      </c>
      <c r="C2974" t="n">
        <v>1145</v>
      </c>
      <c r="D2974" t="n">
        <v>1</v>
      </c>
      <c r="E2974" t="n">
        <v>96.1606</v>
      </c>
      <c r="F2974" t="n">
        <v>0.04034</v>
      </c>
    </row>
    <row r="2975">
      <c r="A2975" t="n">
        <v>2001146</v>
      </c>
      <c r="B2975" t="n">
        <v>2</v>
      </c>
      <c r="C2975" t="n">
        <v>1146</v>
      </c>
      <c r="D2975" t="n">
        <v>1</v>
      </c>
      <c r="E2975" t="n">
        <v>96.1828</v>
      </c>
      <c r="F2975" t="n">
        <v>0.04035</v>
      </c>
    </row>
    <row r="2976">
      <c r="A2976" t="n">
        <v>2001147</v>
      </c>
      <c r="B2976" t="n">
        <v>2</v>
      </c>
      <c r="C2976" t="n">
        <v>1147</v>
      </c>
      <c r="D2976" t="n">
        <v>1</v>
      </c>
      <c r="E2976" t="n">
        <v>96.2051</v>
      </c>
      <c r="F2976" t="n">
        <v>0.04035</v>
      </c>
    </row>
    <row r="2977">
      <c r="A2977" t="n">
        <v>2001148</v>
      </c>
      <c r="B2977" t="n">
        <v>2</v>
      </c>
      <c r="C2977" t="n">
        <v>1148</v>
      </c>
      <c r="D2977" t="n">
        <v>1</v>
      </c>
      <c r="E2977" t="n">
        <v>96.2273</v>
      </c>
      <c r="F2977" t="n">
        <v>0.04036</v>
      </c>
    </row>
    <row r="2978">
      <c r="A2978" t="n">
        <v>2001149</v>
      </c>
      <c r="B2978" t="n">
        <v>2</v>
      </c>
      <c r="C2978" t="n">
        <v>1149</v>
      </c>
      <c r="D2978" t="n">
        <v>1</v>
      </c>
      <c r="E2978" t="n">
        <v>96.2495</v>
      </c>
      <c r="F2978" t="n">
        <v>0.04036</v>
      </c>
    </row>
    <row r="2979">
      <c r="A2979" t="n">
        <v>2001150</v>
      </c>
      <c r="B2979" t="n">
        <v>2</v>
      </c>
      <c r="C2979" t="n">
        <v>1150</v>
      </c>
      <c r="D2979" t="n">
        <v>1</v>
      </c>
      <c r="E2979" t="n">
        <v>96.2718</v>
      </c>
      <c r="F2979" t="n">
        <v>0.04037</v>
      </c>
    </row>
    <row r="2980">
      <c r="A2980" t="n">
        <v>2001151</v>
      </c>
      <c r="B2980" t="n">
        <v>2</v>
      </c>
      <c r="C2980" t="n">
        <v>1151</v>
      </c>
      <c r="D2980" t="n">
        <v>1</v>
      </c>
      <c r="E2980" t="n">
        <v>96.294</v>
      </c>
      <c r="F2980" t="n">
        <v>0.04038</v>
      </c>
    </row>
    <row r="2981">
      <c r="A2981" t="n">
        <v>2001152</v>
      </c>
      <c r="B2981" t="n">
        <v>2</v>
      </c>
      <c r="C2981" t="n">
        <v>1152</v>
      </c>
      <c r="D2981" t="n">
        <v>1</v>
      </c>
      <c r="E2981" t="n">
        <v>96.31619999999999</v>
      </c>
      <c r="F2981" t="n">
        <v>0.04038</v>
      </c>
    </row>
    <row r="2982">
      <c r="A2982" t="n">
        <v>2001153</v>
      </c>
      <c r="B2982" t="n">
        <v>2</v>
      </c>
      <c r="C2982" t="n">
        <v>1153</v>
      </c>
      <c r="D2982" t="n">
        <v>1</v>
      </c>
      <c r="E2982" t="n">
        <v>96.33839999999999</v>
      </c>
      <c r="F2982" t="n">
        <v>0.04039</v>
      </c>
    </row>
    <row r="2983">
      <c r="A2983" t="n">
        <v>2001154</v>
      </c>
      <c r="B2983" t="n">
        <v>2</v>
      </c>
      <c r="C2983" t="n">
        <v>1154</v>
      </c>
      <c r="D2983" t="n">
        <v>1</v>
      </c>
      <c r="E2983" t="n">
        <v>96.36060000000001</v>
      </c>
      <c r="F2983" t="n">
        <v>0.04039</v>
      </c>
    </row>
    <row r="2984">
      <c r="A2984" t="n">
        <v>2001155</v>
      </c>
      <c r="B2984" t="n">
        <v>2</v>
      </c>
      <c r="C2984" t="n">
        <v>1155</v>
      </c>
      <c r="D2984" t="n">
        <v>1</v>
      </c>
      <c r="E2984" t="n">
        <v>96.3827</v>
      </c>
      <c r="F2984" t="n">
        <v>0.0404</v>
      </c>
    </row>
    <row r="2985">
      <c r="A2985" t="n">
        <v>2001156</v>
      </c>
      <c r="B2985" t="n">
        <v>2</v>
      </c>
      <c r="C2985" t="n">
        <v>1156</v>
      </c>
      <c r="D2985" t="n">
        <v>1</v>
      </c>
      <c r="E2985" t="n">
        <v>96.4049</v>
      </c>
      <c r="F2985" t="n">
        <v>0.0404</v>
      </c>
    </row>
    <row r="2986">
      <c r="A2986" t="n">
        <v>2001157</v>
      </c>
      <c r="B2986" t="n">
        <v>2</v>
      </c>
      <c r="C2986" t="n">
        <v>1157</v>
      </c>
      <c r="D2986" t="n">
        <v>1</v>
      </c>
      <c r="E2986" t="n">
        <v>96.42700000000001</v>
      </c>
      <c r="F2986" t="n">
        <v>0.04041</v>
      </c>
    </row>
    <row r="2987">
      <c r="A2987" t="n">
        <v>2001158</v>
      </c>
      <c r="B2987" t="n">
        <v>2</v>
      </c>
      <c r="C2987" t="n">
        <v>1158</v>
      </c>
      <c r="D2987" t="n">
        <v>1</v>
      </c>
      <c r="E2987" t="n">
        <v>96.4492</v>
      </c>
      <c r="F2987" t="n">
        <v>0.04041</v>
      </c>
    </row>
    <row r="2988">
      <c r="A2988" t="n">
        <v>2001159</v>
      </c>
      <c r="B2988" t="n">
        <v>2</v>
      </c>
      <c r="C2988" t="n">
        <v>1159</v>
      </c>
      <c r="D2988" t="n">
        <v>1</v>
      </c>
      <c r="E2988" t="n">
        <v>96.4713</v>
      </c>
      <c r="F2988" t="n">
        <v>0.04042</v>
      </c>
    </row>
    <row r="2989">
      <c r="A2989" t="n">
        <v>2001160</v>
      </c>
      <c r="B2989" t="n">
        <v>2</v>
      </c>
      <c r="C2989" t="n">
        <v>1160</v>
      </c>
      <c r="D2989" t="n">
        <v>1</v>
      </c>
      <c r="E2989" t="n">
        <v>96.49339999999999</v>
      </c>
      <c r="F2989" t="n">
        <v>0.04043</v>
      </c>
    </row>
    <row r="2990">
      <c r="A2990" t="n">
        <v>2001161</v>
      </c>
      <c r="B2990" t="n">
        <v>2</v>
      </c>
      <c r="C2990" t="n">
        <v>1161</v>
      </c>
      <c r="D2990" t="n">
        <v>1</v>
      </c>
      <c r="E2990" t="n">
        <v>96.51560000000001</v>
      </c>
      <c r="F2990" t="n">
        <v>0.04043</v>
      </c>
    </row>
    <row r="2991">
      <c r="A2991" t="n">
        <v>2001162</v>
      </c>
      <c r="B2991" t="n">
        <v>2</v>
      </c>
      <c r="C2991" t="n">
        <v>1162</v>
      </c>
      <c r="D2991" t="n">
        <v>1</v>
      </c>
      <c r="E2991" t="n">
        <v>96.5377</v>
      </c>
      <c r="F2991" t="n">
        <v>0.04044</v>
      </c>
    </row>
    <row r="2992">
      <c r="A2992" t="n">
        <v>2001163</v>
      </c>
      <c r="B2992" t="n">
        <v>2</v>
      </c>
      <c r="C2992" t="n">
        <v>1163</v>
      </c>
      <c r="D2992" t="n">
        <v>1</v>
      </c>
      <c r="E2992" t="n">
        <v>96.5598</v>
      </c>
      <c r="F2992" t="n">
        <v>0.04044</v>
      </c>
    </row>
    <row r="2993">
      <c r="A2993" t="n">
        <v>2001164</v>
      </c>
      <c r="B2993" t="n">
        <v>2</v>
      </c>
      <c r="C2993" t="n">
        <v>1164</v>
      </c>
      <c r="D2993" t="n">
        <v>1</v>
      </c>
      <c r="E2993" t="n">
        <v>96.5818</v>
      </c>
      <c r="F2993" t="n">
        <v>0.04045</v>
      </c>
    </row>
    <row r="2994">
      <c r="A2994" t="n">
        <v>2001165</v>
      </c>
      <c r="B2994" t="n">
        <v>2</v>
      </c>
      <c r="C2994" t="n">
        <v>1165</v>
      </c>
      <c r="D2994" t="n">
        <v>1</v>
      </c>
      <c r="E2994" t="n">
        <v>96.6039</v>
      </c>
      <c r="F2994" t="n">
        <v>0.04045</v>
      </c>
    </row>
    <row r="2995">
      <c r="A2995" t="n">
        <v>2001166</v>
      </c>
      <c r="B2995" t="n">
        <v>2</v>
      </c>
      <c r="C2995" t="n">
        <v>1166</v>
      </c>
      <c r="D2995" t="n">
        <v>1</v>
      </c>
      <c r="E2995" t="n">
        <v>96.626</v>
      </c>
      <c r="F2995" t="n">
        <v>0.04046</v>
      </c>
    </row>
    <row r="2996">
      <c r="A2996" t="n">
        <v>2001167</v>
      </c>
      <c r="B2996" t="n">
        <v>2</v>
      </c>
      <c r="C2996" t="n">
        <v>1167</v>
      </c>
      <c r="D2996" t="n">
        <v>1</v>
      </c>
      <c r="E2996" t="n">
        <v>96.648</v>
      </c>
      <c r="F2996" t="n">
        <v>0.04046</v>
      </c>
    </row>
    <row r="2997">
      <c r="A2997" t="n">
        <v>2001168</v>
      </c>
      <c r="B2997" t="n">
        <v>2</v>
      </c>
      <c r="C2997" t="n">
        <v>1168</v>
      </c>
      <c r="D2997" t="n">
        <v>1</v>
      </c>
      <c r="E2997" t="n">
        <v>96.67010000000001</v>
      </c>
      <c r="F2997" t="n">
        <v>0.04047</v>
      </c>
    </row>
    <row r="2998">
      <c r="A2998" t="n">
        <v>2001169</v>
      </c>
      <c r="B2998" t="n">
        <v>2</v>
      </c>
      <c r="C2998" t="n">
        <v>1169</v>
      </c>
      <c r="D2998" t="n">
        <v>1</v>
      </c>
      <c r="E2998" t="n">
        <v>96.6921</v>
      </c>
      <c r="F2998" t="n">
        <v>0.04047</v>
      </c>
    </row>
    <row r="2999">
      <c r="A2999" t="n">
        <v>2001170</v>
      </c>
      <c r="B2999" t="n">
        <v>2</v>
      </c>
      <c r="C2999" t="n">
        <v>1170</v>
      </c>
      <c r="D2999" t="n">
        <v>1</v>
      </c>
      <c r="E2999" t="n">
        <v>96.7141</v>
      </c>
      <c r="F2999" t="n">
        <v>0.04048</v>
      </c>
    </row>
    <row r="3000">
      <c r="A3000" t="n">
        <v>2001171</v>
      </c>
      <c r="B3000" t="n">
        <v>2</v>
      </c>
      <c r="C3000" t="n">
        <v>1171</v>
      </c>
      <c r="D3000" t="n">
        <v>1</v>
      </c>
      <c r="E3000" t="n">
        <v>96.7362</v>
      </c>
      <c r="F3000" t="n">
        <v>0.04049</v>
      </c>
    </row>
    <row r="3001">
      <c r="A3001" t="n">
        <v>2001172</v>
      </c>
      <c r="B3001" t="n">
        <v>2</v>
      </c>
      <c r="C3001" t="n">
        <v>1172</v>
      </c>
      <c r="D3001" t="n">
        <v>1</v>
      </c>
      <c r="E3001" t="n">
        <v>96.7582</v>
      </c>
      <c r="F3001" t="n">
        <v>0.04049</v>
      </c>
    </row>
    <row r="3002">
      <c r="A3002" t="n">
        <v>2001173</v>
      </c>
      <c r="B3002" t="n">
        <v>2</v>
      </c>
      <c r="C3002" t="n">
        <v>1173</v>
      </c>
      <c r="D3002" t="n">
        <v>1</v>
      </c>
      <c r="E3002" t="n">
        <v>96.78019999999999</v>
      </c>
      <c r="F3002" t="n">
        <v>0.0405</v>
      </c>
    </row>
    <row r="3003">
      <c r="A3003" t="n">
        <v>2001174</v>
      </c>
      <c r="B3003" t="n">
        <v>2</v>
      </c>
      <c r="C3003" t="n">
        <v>1174</v>
      </c>
      <c r="D3003" t="n">
        <v>1</v>
      </c>
      <c r="E3003" t="n">
        <v>96.8021</v>
      </c>
      <c r="F3003" t="n">
        <v>0.0405</v>
      </c>
    </row>
    <row r="3004">
      <c r="A3004" t="n">
        <v>2001175</v>
      </c>
      <c r="B3004" t="n">
        <v>2</v>
      </c>
      <c r="C3004" t="n">
        <v>1175</v>
      </c>
      <c r="D3004" t="n">
        <v>1</v>
      </c>
      <c r="E3004" t="n">
        <v>96.8241</v>
      </c>
      <c r="F3004" t="n">
        <v>0.04051</v>
      </c>
    </row>
    <row r="3005">
      <c r="A3005" t="n">
        <v>2001176</v>
      </c>
      <c r="B3005" t="n">
        <v>2</v>
      </c>
      <c r="C3005" t="n">
        <v>1176</v>
      </c>
      <c r="D3005" t="n">
        <v>1</v>
      </c>
      <c r="E3005" t="n">
        <v>96.84610000000001</v>
      </c>
      <c r="F3005" t="n">
        <v>0.04051</v>
      </c>
    </row>
    <row r="3006">
      <c r="A3006" t="n">
        <v>2001177</v>
      </c>
      <c r="B3006" t="n">
        <v>2</v>
      </c>
      <c r="C3006" t="n">
        <v>1177</v>
      </c>
      <c r="D3006" t="n">
        <v>1</v>
      </c>
      <c r="E3006" t="n">
        <v>96.86799999999999</v>
      </c>
      <c r="F3006" t="n">
        <v>0.04052</v>
      </c>
    </row>
    <row r="3007">
      <c r="A3007" t="n">
        <v>2001178</v>
      </c>
      <c r="B3007" t="n">
        <v>2</v>
      </c>
      <c r="C3007" t="n">
        <v>1178</v>
      </c>
      <c r="D3007" t="n">
        <v>1</v>
      </c>
      <c r="E3007" t="n">
        <v>96.89</v>
      </c>
      <c r="F3007" t="n">
        <v>0.04052</v>
      </c>
    </row>
    <row r="3008">
      <c r="A3008" t="n">
        <v>2001179</v>
      </c>
      <c r="B3008" t="n">
        <v>2</v>
      </c>
      <c r="C3008" t="n">
        <v>1179</v>
      </c>
      <c r="D3008" t="n">
        <v>1</v>
      </c>
      <c r="E3008" t="n">
        <v>96.9119</v>
      </c>
      <c r="F3008" t="n">
        <v>0.04053</v>
      </c>
    </row>
    <row r="3009">
      <c r="A3009" t="n">
        <v>2001180</v>
      </c>
      <c r="B3009" t="n">
        <v>2</v>
      </c>
      <c r="C3009" t="n">
        <v>1180</v>
      </c>
      <c r="D3009" t="n">
        <v>1</v>
      </c>
      <c r="E3009" t="n">
        <v>96.93389999999999</v>
      </c>
      <c r="F3009" t="n">
        <v>0.04053</v>
      </c>
    </row>
    <row r="3010">
      <c r="A3010" t="n">
        <v>2001181</v>
      </c>
      <c r="B3010" t="n">
        <v>2</v>
      </c>
      <c r="C3010" t="n">
        <v>1181</v>
      </c>
      <c r="D3010" t="n">
        <v>1</v>
      </c>
      <c r="E3010" t="n">
        <v>96.9558</v>
      </c>
      <c r="F3010" t="n">
        <v>0.04054</v>
      </c>
    </row>
    <row r="3011">
      <c r="A3011" t="n">
        <v>2001182</v>
      </c>
      <c r="B3011" t="n">
        <v>2</v>
      </c>
      <c r="C3011" t="n">
        <v>1182</v>
      </c>
      <c r="D3011" t="n">
        <v>1</v>
      </c>
      <c r="E3011" t="n">
        <v>96.9777</v>
      </c>
      <c r="F3011" t="n">
        <v>0.04054</v>
      </c>
    </row>
    <row r="3012">
      <c r="A3012" t="n">
        <v>2001183</v>
      </c>
      <c r="B3012" t="n">
        <v>2</v>
      </c>
      <c r="C3012" t="n">
        <v>1183</v>
      </c>
      <c r="D3012" t="n">
        <v>1</v>
      </c>
      <c r="E3012" t="n">
        <v>96.9996</v>
      </c>
      <c r="F3012" t="n">
        <v>0.04055</v>
      </c>
    </row>
    <row r="3013">
      <c r="A3013" t="n">
        <v>2001184</v>
      </c>
      <c r="B3013" t="n">
        <v>2</v>
      </c>
      <c r="C3013" t="n">
        <v>1184</v>
      </c>
      <c r="D3013" t="n">
        <v>1</v>
      </c>
      <c r="E3013" t="n">
        <v>97.0215</v>
      </c>
      <c r="F3013" t="n">
        <v>0.04056</v>
      </c>
    </row>
    <row r="3014">
      <c r="A3014" t="n">
        <v>2001185</v>
      </c>
      <c r="B3014" t="n">
        <v>2</v>
      </c>
      <c r="C3014" t="n">
        <v>1185</v>
      </c>
      <c r="D3014" t="n">
        <v>1</v>
      </c>
      <c r="E3014" t="n">
        <v>97.04340000000001</v>
      </c>
      <c r="F3014" t="n">
        <v>0.04056</v>
      </c>
    </row>
    <row r="3015">
      <c r="A3015" t="n">
        <v>2001186</v>
      </c>
      <c r="B3015" t="n">
        <v>2</v>
      </c>
      <c r="C3015" t="n">
        <v>1186</v>
      </c>
      <c r="D3015" t="n">
        <v>1</v>
      </c>
      <c r="E3015" t="n">
        <v>97.0652</v>
      </c>
      <c r="F3015" t="n">
        <v>0.04057</v>
      </c>
    </row>
    <row r="3016">
      <c r="A3016" t="n">
        <v>2001187</v>
      </c>
      <c r="B3016" t="n">
        <v>2</v>
      </c>
      <c r="C3016" t="n">
        <v>1187</v>
      </c>
      <c r="D3016" t="n">
        <v>1</v>
      </c>
      <c r="E3016" t="n">
        <v>97.08710000000001</v>
      </c>
      <c r="F3016" t="n">
        <v>0.04057</v>
      </c>
    </row>
    <row r="3017">
      <c r="A3017" t="n">
        <v>2001188</v>
      </c>
      <c r="B3017" t="n">
        <v>2</v>
      </c>
      <c r="C3017" t="n">
        <v>1188</v>
      </c>
      <c r="D3017" t="n">
        <v>1</v>
      </c>
      <c r="E3017" t="n">
        <v>97.10890000000001</v>
      </c>
      <c r="F3017" t="n">
        <v>0.04058</v>
      </c>
    </row>
    <row r="3018">
      <c r="A3018" t="n">
        <v>2001189</v>
      </c>
      <c r="B3018" t="n">
        <v>2</v>
      </c>
      <c r="C3018" t="n">
        <v>1189</v>
      </c>
      <c r="D3018" t="n">
        <v>1</v>
      </c>
      <c r="E3018" t="n">
        <v>97.13079999999999</v>
      </c>
      <c r="F3018" t="n">
        <v>0.04058</v>
      </c>
    </row>
    <row r="3019">
      <c r="A3019" t="n">
        <v>2001190</v>
      </c>
      <c r="B3019" t="n">
        <v>2</v>
      </c>
      <c r="C3019" t="n">
        <v>1190</v>
      </c>
      <c r="D3019" t="n">
        <v>1</v>
      </c>
      <c r="E3019" t="n">
        <v>97.15260000000001</v>
      </c>
      <c r="F3019" t="n">
        <v>0.04059</v>
      </c>
    </row>
    <row r="3020">
      <c r="A3020" t="n">
        <v>2001191</v>
      </c>
      <c r="B3020" t="n">
        <v>2</v>
      </c>
      <c r="C3020" t="n">
        <v>1191</v>
      </c>
      <c r="D3020" t="n">
        <v>1</v>
      </c>
      <c r="E3020" t="n">
        <v>97.17440000000001</v>
      </c>
      <c r="F3020" t="n">
        <v>0.04059</v>
      </c>
    </row>
    <row r="3021">
      <c r="A3021" t="n">
        <v>2001192</v>
      </c>
      <c r="B3021" t="n">
        <v>2</v>
      </c>
      <c r="C3021" t="n">
        <v>1192</v>
      </c>
      <c r="D3021" t="n">
        <v>1</v>
      </c>
      <c r="E3021" t="n">
        <v>97.19629999999999</v>
      </c>
      <c r="F3021" t="n">
        <v>0.0406</v>
      </c>
    </row>
    <row r="3022">
      <c r="A3022" t="n">
        <v>2001193</v>
      </c>
      <c r="B3022" t="n">
        <v>2</v>
      </c>
      <c r="C3022" t="n">
        <v>1193</v>
      </c>
      <c r="D3022" t="n">
        <v>1</v>
      </c>
      <c r="E3022" t="n">
        <v>97.21810000000001</v>
      </c>
      <c r="F3022" t="n">
        <v>0.0406</v>
      </c>
    </row>
    <row r="3023">
      <c r="A3023" t="n">
        <v>2001194</v>
      </c>
      <c r="B3023" t="n">
        <v>2</v>
      </c>
      <c r="C3023" t="n">
        <v>1194</v>
      </c>
      <c r="D3023" t="n">
        <v>1</v>
      </c>
      <c r="E3023" t="n">
        <v>97.23990000000001</v>
      </c>
      <c r="F3023" t="n">
        <v>0.04061</v>
      </c>
    </row>
    <row r="3024">
      <c r="A3024" t="n">
        <v>2001195</v>
      </c>
      <c r="B3024" t="n">
        <v>2</v>
      </c>
      <c r="C3024" t="n">
        <v>1195</v>
      </c>
      <c r="D3024" t="n">
        <v>1</v>
      </c>
      <c r="E3024" t="n">
        <v>97.2616</v>
      </c>
      <c r="F3024" t="n">
        <v>0.04061</v>
      </c>
    </row>
    <row r="3025">
      <c r="A3025" t="n">
        <v>2001196</v>
      </c>
      <c r="B3025" t="n">
        <v>2</v>
      </c>
      <c r="C3025" t="n">
        <v>1196</v>
      </c>
      <c r="D3025" t="n">
        <v>1</v>
      </c>
      <c r="E3025" t="n">
        <v>97.2834</v>
      </c>
      <c r="F3025" t="n">
        <v>0.04062</v>
      </c>
    </row>
    <row r="3026">
      <c r="A3026" t="n">
        <v>2001197</v>
      </c>
      <c r="B3026" t="n">
        <v>2</v>
      </c>
      <c r="C3026" t="n">
        <v>1197</v>
      </c>
      <c r="D3026" t="n">
        <v>1</v>
      </c>
      <c r="E3026" t="n">
        <v>97.3052</v>
      </c>
      <c r="F3026" t="n">
        <v>0.04063</v>
      </c>
    </row>
    <row r="3027">
      <c r="A3027" t="n">
        <v>2001198</v>
      </c>
      <c r="B3027" t="n">
        <v>2</v>
      </c>
      <c r="C3027" t="n">
        <v>1198</v>
      </c>
      <c r="D3027" t="n">
        <v>1</v>
      </c>
      <c r="E3027" t="n">
        <v>97.32689999999999</v>
      </c>
      <c r="F3027" t="n">
        <v>0.04063</v>
      </c>
    </row>
    <row r="3028">
      <c r="A3028" t="n">
        <v>2001199</v>
      </c>
      <c r="B3028" t="n">
        <v>2</v>
      </c>
      <c r="C3028" t="n">
        <v>1199</v>
      </c>
      <c r="D3028" t="n">
        <v>1</v>
      </c>
      <c r="E3028" t="n">
        <v>97.34869999999999</v>
      </c>
      <c r="F3028" t="n">
        <v>0.04064</v>
      </c>
    </row>
    <row r="3029">
      <c r="A3029" t="n">
        <v>2001200</v>
      </c>
      <c r="B3029" t="n">
        <v>2</v>
      </c>
      <c r="C3029" t="n">
        <v>1200</v>
      </c>
      <c r="D3029" t="n">
        <v>1</v>
      </c>
      <c r="E3029" t="n">
        <v>97.3704</v>
      </c>
      <c r="F3029" t="n">
        <v>0.04064</v>
      </c>
    </row>
    <row r="3030">
      <c r="A3030" t="n">
        <v>2001201</v>
      </c>
      <c r="B3030" t="n">
        <v>2</v>
      </c>
      <c r="C3030" t="n">
        <v>1201</v>
      </c>
      <c r="D3030" t="n">
        <v>1</v>
      </c>
      <c r="E3030" t="n">
        <v>97.3922</v>
      </c>
      <c r="F3030" t="n">
        <v>0.04065</v>
      </c>
    </row>
    <row r="3031">
      <c r="A3031" t="n">
        <v>2001202</v>
      </c>
      <c r="B3031" t="n">
        <v>2</v>
      </c>
      <c r="C3031" t="n">
        <v>1202</v>
      </c>
      <c r="D3031" t="n">
        <v>1</v>
      </c>
      <c r="E3031" t="n">
        <v>97.4139</v>
      </c>
      <c r="F3031" t="n">
        <v>0.04065</v>
      </c>
    </row>
    <row r="3032">
      <c r="A3032" t="n">
        <v>2001203</v>
      </c>
      <c r="B3032" t="n">
        <v>2</v>
      </c>
      <c r="C3032" t="n">
        <v>1203</v>
      </c>
      <c r="D3032" t="n">
        <v>1</v>
      </c>
      <c r="E3032" t="n">
        <v>97.43559999999999</v>
      </c>
      <c r="F3032" t="n">
        <v>0.04066</v>
      </c>
    </row>
    <row r="3033">
      <c r="A3033" t="n">
        <v>2001204</v>
      </c>
      <c r="B3033" t="n">
        <v>2</v>
      </c>
      <c r="C3033" t="n">
        <v>1204</v>
      </c>
      <c r="D3033" t="n">
        <v>1</v>
      </c>
      <c r="E3033" t="n">
        <v>97.4573</v>
      </c>
      <c r="F3033" t="n">
        <v>0.04066</v>
      </c>
    </row>
    <row r="3034">
      <c r="A3034" t="n">
        <v>2001205</v>
      </c>
      <c r="B3034" t="n">
        <v>2</v>
      </c>
      <c r="C3034" t="n">
        <v>1205</v>
      </c>
      <c r="D3034" t="n">
        <v>1</v>
      </c>
      <c r="E3034" t="n">
        <v>97.479</v>
      </c>
      <c r="F3034" t="n">
        <v>0.04067</v>
      </c>
    </row>
    <row r="3035">
      <c r="A3035" t="n">
        <v>2001206</v>
      </c>
      <c r="B3035" t="n">
        <v>2</v>
      </c>
      <c r="C3035" t="n">
        <v>1206</v>
      </c>
      <c r="D3035" t="n">
        <v>1</v>
      </c>
      <c r="E3035" t="n">
        <v>97.50069999999999</v>
      </c>
      <c r="F3035" t="n">
        <v>0.04067</v>
      </c>
    </row>
    <row r="3036">
      <c r="A3036" t="n">
        <v>2001207</v>
      </c>
      <c r="B3036" t="n">
        <v>2</v>
      </c>
      <c r="C3036" t="n">
        <v>1207</v>
      </c>
      <c r="D3036" t="n">
        <v>1</v>
      </c>
      <c r="E3036" t="n">
        <v>97.5223</v>
      </c>
      <c r="F3036" t="n">
        <v>0.04068</v>
      </c>
    </row>
    <row r="3037">
      <c r="A3037" t="n">
        <v>2001208</v>
      </c>
      <c r="B3037" t="n">
        <v>2</v>
      </c>
      <c r="C3037" t="n">
        <v>1208</v>
      </c>
      <c r="D3037" t="n">
        <v>1</v>
      </c>
      <c r="E3037" t="n">
        <v>97.544</v>
      </c>
      <c r="F3037" t="n">
        <v>0.04068</v>
      </c>
    </row>
    <row r="3038">
      <c r="A3038" t="n">
        <v>2001209</v>
      </c>
      <c r="B3038" t="n">
        <v>2</v>
      </c>
      <c r="C3038" t="n">
        <v>1209</v>
      </c>
      <c r="D3038" t="n">
        <v>1</v>
      </c>
      <c r="E3038" t="n">
        <v>97.56570000000001</v>
      </c>
      <c r="F3038" t="n">
        <v>0.04069</v>
      </c>
    </row>
    <row r="3039">
      <c r="A3039" t="n">
        <v>2001210</v>
      </c>
      <c r="B3039" t="n">
        <v>2</v>
      </c>
      <c r="C3039" t="n">
        <v>1210</v>
      </c>
      <c r="D3039" t="n">
        <v>1</v>
      </c>
      <c r="E3039" t="n">
        <v>97.5873</v>
      </c>
      <c r="F3039" t="n">
        <v>0.04069</v>
      </c>
    </row>
    <row r="3040">
      <c r="A3040" t="n">
        <v>2001211</v>
      </c>
      <c r="B3040" t="n">
        <v>2</v>
      </c>
      <c r="C3040" t="n">
        <v>1211</v>
      </c>
      <c r="D3040" t="n">
        <v>1</v>
      </c>
      <c r="E3040" t="n">
        <v>97.60890000000001</v>
      </c>
      <c r="F3040" t="n">
        <v>0.0407</v>
      </c>
    </row>
    <row r="3041">
      <c r="A3041" t="n">
        <v>2001212</v>
      </c>
      <c r="B3041" t="n">
        <v>2</v>
      </c>
      <c r="C3041" t="n">
        <v>1212</v>
      </c>
      <c r="D3041" t="n">
        <v>1</v>
      </c>
      <c r="E3041" t="n">
        <v>97.6306</v>
      </c>
      <c r="F3041" t="n">
        <v>0.0407</v>
      </c>
    </row>
    <row r="3042">
      <c r="A3042" t="n">
        <v>2001213</v>
      </c>
      <c r="B3042" t="n">
        <v>2</v>
      </c>
      <c r="C3042" t="n">
        <v>1213</v>
      </c>
      <c r="D3042" t="n">
        <v>1</v>
      </c>
      <c r="E3042" t="n">
        <v>97.65219999999999</v>
      </c>
      <c r="F3042" t="n">
        <v>0.04071</v>
      </c>
    </row>
    <row r="3043">
      <c r="A3043" t="n">
        <v>2001214</v>
      </c>
      <c r="B3043" t="n">
        <v>2</v>
      </c>
      <c r="C3043" t="n">
        <v>1214</v>
      </c>
      <c r="D3043" t="n">
        <v>1</v>
      </c>
      <c r="E3043" t="n">
        <v>97.6738</v>
      </c>
      <c r="F3043" t="n">
        <v>0.04072</v>
      </c>
    </row>
    <row r="3044">
      <c r="A3044" t="n">
        <v>2001215</v>
      </c>
      <c r="B3044" t="n">
        <v>2</v>
      </c>
      <c r="C3044" t="n">
        <v>1215</v>
      </c>
      <c r="D3044" t="n">
        <v>1</v>
      </c>
      <c r="E3044" t="n">
        <v>97.69540000000001</v>
      </c>
      <c r="F3044" t="n">
        <v>0.04072</v>
      </c>
    </row>
    <row r="3045">
      <c r="A3045" t="n">
        <v>2001216</v>
      </c>
      <c r="B3045" t="n">
        <v>2</v>
      </c>
      <c r="C3045" t="n">
        <v>1216</v>
      </c>
      <c r="D3045" t="n">
        <v>1</v>
      </c>
      <c r="E3045" t="n">
        <v>97.717</v>
      </c>
      <c r="F3045" t="n">
        <v>0.04073</v>
      </c>
    </row>
    <row r="3046">
      <c r="A3046" t="n">
        <v>2001217</v>
      </c>
      <c r="B3046" t="n">
        <v>2</v>
      </c>
      <c r="C3046" t="n">
        <v>1217</v>
      </c>
      <c r="D3046" t="n">
        <v>1</v>
      </c>
      <c r="E3046" t="n">
        <v>97.7385</v>
      </c>
      <c r="F3046" t="n">
        <v>0.04073</v>
      </c>
    </row>
    <row r="3047">
      <c r="A3047" t="n">
        <v>2001218</v>
      </c>
      <c r="B3047" t="n">
        <v>2</v>
      </c>
      <c r="C3047" t="n">
        <v>1218</v>
      </c>
      <c r="D3047" t="n">
        <v>1</v>
      </c>
      <c r="E3047" t="n">
        <v>97.76009999999999</v>
      </c>
      <c r="F3047" t="n">
        <v>0.04074</v>
      </c>
    </row>
    <row r="3048">
      <c r="A3048" t="n">
        <v>2001219</v>
      </c>
      <c r="B3048" t="n">
        <v>2</v>
      </c>
      <c r="C3048" t="n">
        <v>1219</v>
      </c>
      <c r="D3048" t="n">
        <v>1</v>
      </c>
      <c r="E3048" t="n">
        <v>97.7817</v>
      </c>
      <c r="F3048" t="n">
        <v>0.04074</v>
      </c>
    </row>
    <row r="3049">
      <c r="A3049" t="n">
        <v>2001220</v>
      </c>
      <c r="B3049" t="n">
        <v>2</v>
      </c>
      <c r="C3049" t="n">
        <v>1220</v>
      </c>
      <c r="D3049" t="n">
        <v>1</v>
      </c>
      <c r="E3049" t="n">
        <v>97.8032</v>
      </c>
      <c r="F3049" t="n">
        <v>0.04075</v>
      </c>
    </row>
    <row r="3050">
      <c r="A3050" t="n">
        <v>2001221</v>
      </c>
      <c r="B3050" t="n">
        <v>2</v>
      </c>
      <c r="C3050" t="n">
        <v>1221</v>
      </c>
      <c r="D3050" t="n">
        <v>1</v>
      </c>
      <c r="E3050" t="n">
        <v>97.8248</v>
      </c>
      <c r="F3050" t="n">
        <v>0.04075</v>
      </c>
    </row>
    <row r="3051">
      <c r="A3051" t="n">
        <v>2001222</v>
      </c>
      <c r="B3051" t="n">
        <v>2</v>
      </c>
      <c r="C3051" t="n">
        <v>1222</v>
      </c>
      <c r="D3051" t="n">
        <v>1</v>
      </c>
      <c r="E3051" t="n">
        <v>97.8463</v>
      </c>
      <c r="F3051" t="n">
        <v>0.04076</v>
      </c>
    </row>
    <row r="3052">
      <c r="A3052" t="n">
        <v>2001223</v>
      </c>
      <c r="B3052" t="n">
        <v>2</v>
      </c>
      <c r="C3052" t="n">
        <v>1223</v>
      </c>
      <c r="D3052" t="n">
        <v>1</v>
      </c>
      <c r="E3052" t="n">
        <v>97.8678</v>
      </c>
      <c r="F3052" t="n">
        <v>0.04076</v>
      </c>
    </row>
    <row r="3053">
      <c r="A3053" t="n">
        <v>2001224</v>
      </c>
      <c r="B3053" t="n">
        <v>2</v>
      </c>
      <c r="C3053" t="n">
        <v>1224</v>
      </c>
      <c r="D3053" t="n">
        <v>1</v>
      </c>
      <c r="E3053" t="n">
        <v>97.88930000000001</v>
      </c>
      <c r="F3053" t="n">
        <v>0.04077</v>
      </c>
    </row>
    <row r="3054">
      <c r="A3054" t="n">
        <v>2001225</v>
      </c>
      <c r="B3054" t="n">
        <v>2</v>
      </c>
      <c r="C3054" t="n">
        <v>1225</v>
      </c>
      <c r="D3054" t="n">
        <v>1</v>
      </c>
      <c r="E3054" t="n">
        <v>97.91079999999999</v>
      </c>
      <c r="F3054" t="n">
        <v>0.04077</v>
      </c>
    </row>
    <row r="3055">
      <c r="A3055" t="n">
        <v>2001226</v>
      </c>
      <c r="B3055" t="n">
        <v>2</v>
      </c>
      <c r="C3055" t="n">
        <v>1226</v>
      </c>
      <c r="D3055" t="n">
        <v>1</v>
      </c>
      <c r="E3055" t="n">
        <v>97.9323</v>
      </c>
      <c r="F3055" t="n">
        <v>0.04078</v>
      </c>
    </row>
    <row r="3056">
      <c r="A3056" t="n">
        <v>2001227</v>
      </c>
      <c r="B3056" t="n">
        <v>2</v>
      </c>
      <c r="C3056" t="n">
        <v>1227</v>
      </c>
      <c r="D3056" t="n">
        <v>1</v>
      </c>
      <c r="E3056" t="n">
        <v>97.9538</v>
      </c>
      <c r="F3056" t="n">
        <v>0.04078</v>
      </c>
    </row>
    <row r="3057">
      <c r="A3057" t="n">
        <v>2001228</v>
      </c>
      <c r="B3057" t="n">
        <v>2</v>
      </c>
      <c r="C3057" t="n">
        <v>1228</v>
      </c>
      <c r="D3057" t="n">
        <v>1</v>
      </c>
      <c r="E3057" t="n">
        <v>97.9753</v>
      </c>
      <c r="F3057" t="n">
        <v>0.04079</v>
      </c>
    </row>
    <row r="3058">
      <c r="A3058" t="n">
        <v>2001229</v>
      </c>
      <c r="B3058" t="n">
        <v>2</v>
      </c>
      <c r="C3058" t="n">
        <v>1229</v>
      </c>
      <c r="D3058" t="n">
        <v>1</v>
      </c>
      <c r="E3058" t="n">
        <v>97.99679999999999</v>
      </c>
      <c r="F3058" t="n">
        <v>0.04079</v>
      </c>
    </row>
    <row r="3059">
      <c r="A3059" t="n">
        <v>2001230</v>
      </c>
      <c r="B3059" t="n">
        <v>2</v>
      </c>
      <c r="C3059" t="n">
        <v>1230</v>
      </c>
      <c r="D3059" t="n">
        <v>1</v>
      </c>
      <c r="E3059" t="n">
        <v>98.01819999999999</v>
      </c>
      <c r="F3059" t="n">
        <v>0.0408</v>
      </c>
    </row>
    <row r="3060">
      <c r="A3060" t="n">
        <v>2001231</v>
      </c>
      <c r="B3060" t="n">
        <v>2</v>
      </c>
      <c r="C3060" t="n">
        <v>1231</v>
      </c>
      <c r="D3060" t="n">
        <v>1</v>
      </c>
      <c r="E3060" t="n">
        <v>98.0397</v>
      </c>
      <c r="F3060" t="n">
        <v>0.0408</v>
      </c>
    </row>
    <row r="3061">
      <c r="A3061" t="n">
        <v>2001232</v>
      </c>
      <c r="B3061" t="n">
        <v>2</v>
      </c>
      <c r="C3061" t="n">
        <v>1232</v>
      </c>
      <c r="D3061" t="n">
        <v>1</v>
      </c>
      <c r="E3061" t="n">
        <v>98.0611</v>
      </c>
      <c r="F3061" t="n">
        <v>0.04081</v>
      </c>
    </row>
    <row r="3062">
      <c r="A3062" t="n">
        <v>2001233</v>
      </c>
      <c r="B3062" t="n">
        <v>2</v>
      </c>
      <c r="C3062" t="n">
        <v>1233</v>
      </c>
      <c r="D3062" t="n">
        <v>1</v>
      </c>
      <c r="E3062" t="n">
        <v>98.0825</v>
      </c>
      <c r="F3062" t="n">
        <v>0.04081</v>
      </c>
    </row>
    <row r="3063">
      <c r="A3063" t="n">
        <v>2001234</v>
      </c>
      <c r="B3063" t="n">
        <v>2</v>
      </c>
      <c r="C3063" t="n">
        <v>1234</v>
      </c>
      <c r="D3063" t="n">
        <v>1</v>
      </c>
      <c r="E3063" t="n">
        <v>98.1039</v>
      </c>
      <c r="F3063" t="n">
        <v>0.04082</v>
      </c>
    </row>
    <row r="3064">
      <c r="A3064" t="n">
        <v>2001235</v>
      </c>
      <c r="B3064" t="n">
        <v>2</v>
      </c>
      <c r="C3064" t="n">
        <v>1235</v>
      </c>
      <c r="D3064" t="n">
        <v>1</v>
      </c>
      <c r="E3064" t="n">
        <v>98.1253</v>
      </c>
      <c r="F3064" t="n">
        <v>0.04082</v>
      </c>
    </row>
    <row r="3065">
      <c r="A3065" t="n">
        <v>2001236</v>
      </c>
      <c r="B3065" t="n">
        <v>2</v>
      </c>
      <c r="C3065" t="n">
        <v>1236</v>
      </c>
      <c r="D3065" t="n">
        <v>1</v>
      </c>
      <c r="E3065" t="n">
        <v>98.1467</v>
      </c>
      <c r="F3065" t="n">
        <v>0.04083</v>
      </c>
    </row>
    <row r="3066">
      <c r="A3066" t="n">
        <v>2001237</v>
      </c>
      <c r="B3066" t="n">
        <v>2</v>
      </c>
      <c r="C3066" t="n">
        <v>1237</v>
      </c>
      <c r="D3066" t="n">
        <v>1</v>
      </c>
      <c r="E3066" t="n">
        <v>98.1681</v>
      </c>
      <c r="F3066" t="n">
        <v>0.04084</v>
      </c>
    </row>
    <row r="3067">
      <c r="A3067" t="n">
        <v>2001238</v>
      </c>
      <c r="B3067" t="n">
        <v>2</v>
      </c>
      <c r="C3067" t="n">
        <v>1238</v>
      </c>
      <c r="D3067" t="n">
        <v>1</v>
      </c>
      <c r="E3067" t="n">
        <v>98.1895</v>
      </c>
      <c r="F3067" t="n">
        <v>0.04084</v>
      </c>
    </row>
    <row r="3068">
      <c r="A3068" t="n">
        <v>2001239</v>
      </c>
      <c r="B3068" t="n">
        <v>2</v>
      </c>
      <c r="C3068" t="n">
        <v>1239</v>
      </c>
      <c r="D3068" t="n">
        <v>1</v>
      </c>
      <c r="E3068" t="n">
        <v>98.2109</v>
      </c>
      <c r="F3068" t="n">
        <v>0.04085</v>
      </c>
    </row>
    <row r="3069">
      <c r="A3069" t="n">
        <v>2001240</v>
      </c>
      <c r="B3069" t="n">
        <v>2</v>
      </c>
      <c r="C3069" t="n">
        <v>1240</v>
      </c>
      <c r="D3069" t="n">
        <v>1</v>
      </c>
      <c r="E3069" t="n">
        <v>98.23220000000001</v>
      </c>
      <c r="F3069" t="n">
        <v>0.04085</v>
      </c>
    </row>
    <row r="3070">
      <c r="A3070" t="n">
        <v>2001241</v>
      </c>
      <c r="B3070" t="n">
        <v>2</v>
      </c>
      <c r="C3070" t="n">
        <v>1241</v>
      </c>
      <c r="D3070" t="n">
        <v>1</v>
      </c>
      <c r="E3070" t="n">
        <v>98.25360000000001</v>
      </c>
      <c r="F3070" t="n">
        <v>0.04086</v>
      </c>
    </row>
    <row r="3071">
      <c r="A3071" t="n">
        <v>2001242</v>
      </c>
      <c r="B3071" t="n">
        <v>2</v>
      </c>
      <c r="C3071" t="n">
        <v>1242</v>
      </c>
      <c r="D3071" t="n">
        <v>1</v>
      </c>
      <c r="E3071" t="n">
        <v>98.2749</v>
      </c>
      <c r="F3071" t="n">
        <v>0.04086</v>
      </c>
    </row>
    <row r="3072">
      <c r="A3072" t="n">
        <v>2001243</v>
      </c>
      <c r="B3072" t="n">
        <v>2</v>
      </c>
      <c r="C3072" t="n">
        <v>1243</v>
      </c>
      <c r="D3072" t="n">
        <v>1</v>
      </c>
      <c r="E3072" t="n">
        <v>98.2963</v>
      </c>
      <c r="F3072" t="n">
        <v>0.04087</v>
      </c>
    </row>
    <row r="3073">
      <c r="A3073" t="n">
        <v>2001244</v>
      </c>
      <c r="B3073" t="n">
        <v>2</v>
      </c>
      <c r="C3073" t="n">
        <v>1244</v>
      </c>
      <c r="D3073" t="n">
        <v>1</v>
      </c>
      <c r="E3073" t="n">
        <v>98.3176</v>
      </c>
      <c r="F3073" t="n">
        <v>0.04087</v>
      </c>
    </row>
    <row r="3074">
      <c r="A3074" t="n">
        <v>2001245</v>
      </c>
      <c r="B3074" t="n">
        <v>2</v>
      </c>
      <c r="C3074" t="n">
        <v>1245</v>
      </c>
      <c r="D3074" t="n">
        <v>1</v>
      </c>
      <c r="E3074" t="n">
        <v>98.3389</v>
      </c>
      <c r="F3074" t="n">
        <v>0.04088</v>
      </c>
    </row>
    <row r="3075">
      <c r="A3075" t="n">
        <v>2001246</v>
      </c>
      <c r="B3075" t="n">
        <v>2</v>
      </c>
      <c r="C3075" t="n">
        <v>1246</v>
      </c>
      <c r="D3075" t="n">
        <v>1</v>
      </c>
      <c r="E3075" t="n">
        <v>98.36020000000001</v>
      </c>
      <c r="F3075" t="n">
        <v>0.04088</v>
      </c>
    </row>
    <row r="3076">
      <c r="A3076" t="n">
        <v>2001247</v>
      </c>
      <c r="B3076" t="n">
        <v>2</v>
      </c>
      <c r="C3076" t="n">
        <v>1247</v>
      </c>
      <c r="D3076" t="n">
        <v>1</v>
      </c>
      <c r="E3076" t="n">
        <v>98.3815</v>
      </c>
      <c r="F3076" t="n">
        <v>0.04089</v>
      </c>
    </row>
    <row r="3077">
      <c r="A3077" t="n">
        <v>2001248</v>
      </c>
      <c r="B3077" t="n">
        <v>2</v>
      </c>
      <c r="C3077" t="n">
        <v>1248</v>
      </c>
      <c r="D3077" t="n">
        <v>1</v>
      </c>
      <c r="E3077" t="n">
        <v>98.4028</v>
      </c>
      <c r="F3077" t="n">
        <v>0.04089</v>
      </c>
    </row>
    <row r="3078">
      <c r="A3078" t="n">
        <v>2001249</v>
      </c>
      <c r="B3078" t="n">
        <v>2</v>
      </c>
      <c r="C3078" t="n">
        <v>1249</v>
      </c>
      <c r="D3078" t="n">
        <v>1</v>
      </c>
      <c r="E3078" t="n">
        <v>98.4241</v>
      </c>
      <c r="F3078" t="n">
        <v>0.0409</v>
      </c>
    </row>
    <row r="3079">
      <c r="A3079" t="n">
        <v>2001250</v>
      </c>
      <c r="B3079" t="n">
        <v>2</v>
      </c>
      <c r="C3079" t="n">
        <v>1250</v>
      </c>
      <c r="D3079" t="n">
        <v>1</v>
      </c>
      <c r="E3079" t="n">
        <v>98.4453</v>
      </c>
      <c r="F3079" t="n">
        <v>0.0409</v>
      </c>
    </row>
    <row r="3080">
      <c r="A3080" t="n">
        <v>2001251</v>
      </c>
      <c r="B3080" t="n">
        <v>2</v>
      </c>
      <c r="C3080" t="n">
        <v>1251</v>
      </c>
      <c r="D3080" t="n">
        <v>1</v>
      </c>
      <c r="E3080" t="n">
        <v>98.4666</v>
      </c>
      <c r="F3080" t="n">
        <v>0.04091</v>
      </c>
    </row>
    <row r="3081">
      <c r="A3081" t="n">
        <v>2001252</v>
      </c>
      <c r="B3081" t="n">
        <v>2</v>
      </c>
      <c r="C3081" t="n">
        <v>1252</v>
      </c>
      <c r="D3081" t="n">
        <v>1</v>
      </c>
      <c r="E3081" t="n">
        <v>98.48779999999999</v>
      </c>
      <c r="F3081" t="n">
        <v>0.04091</v>
      </c>
    </row>
    <row r="3082">
      <c r="A3082" t="n">
        <v>2001253</v>
      </c>
      <c r="B3082" t="n">
        <v>2</v>
      </c>
      <c r="C3082" t="n">
        <v>1253</v>
      </c>
      <c r="D3082" t="n">
        <v>1</v>
      </c>
      <c r="E3082" t="n">
        <v>98.5091</v>
      </c>
      <c r="F3082" t="n">
        <v>0.04092</v>
      </c>
    </row>
    <row r="3083">
      <c r="A3083" t="n">
        <v>2001254</v>
      </c>
      <c r="B3083" t="n">
        <v>2</v>
      </c>
      <c r="C3083" t="n">
        <v>1254</v>
      </c>
      <c r="D3083" t="n">
        <v>1</v>
      </c>
      <c r="E3083" t="n">
        <v>98.5303</v>
      </c>
      <c r="F3083" t="n">
        <v>0.04092</v>
      </c>
    </row>
    <row r="3084">
      <c r="A3084" t="n">
        <v>2001255</v>
      </c>
      <c r="B3084" t="n">
        <v>2</v>
      </c>
      <c r="C3084" t="n">
        <v>1255</v>
      </c>
      <c r="D3084" t="n">
        <v>1</v>
      </c>
      <c r="E3084" t="n">
        <v>98.5515</v>
      </c>
      <c r="F3084" t="n">
        <v>0.04093</v>
      </c>
    </row>
    <row r="3085">
      <c r="A3085" t="n">
        <v>2001256</v>
      </c>
      <c r="B3085" t="n">
        <v>2</v>
      </c>
      <c r="C3085" t="n">
        <v>1256</v>
      </c>
      <c r="D3085" t="n">
        <v>1</v>
      </c>
      <c r="E3085" t="n">
        <v>98.5727</v>
      </c>
      <c r="F3085" t="n">
        <v>0.04093</v>
      </c>
    </row>
    <row r="3086">
      <c r="A3086" t="n">
        <v>2001257</v>
      </c>
      <c r="B3086" t="n">
        <v>2</v>
      </c>
      <c r="C3086" t="n">
        <v>1257</v>
      </c>
      <c r="D3086" t="n">
        <v>1</v>
      </c>
      <c r="E3086" t="n">
        <v>98.5939</v>
      </c>
      <c r="F3086" t="n">
        <v>0.04094</v>
      </c>
    </row>
    <row r="3087">
      <c r="A3087" t="n">
        <v>2001258</v>
      </c>
      <c r="B3087" t="n">
        <v>2</v>
      </c>
      <c r="C3087" t="n">
        <v>1258</v>
      </c>
      <c r="D3087" t="n">
        <v>1</v>
      </c>
      <c r="E3087" t="n">
        <v>98.6151</v>
      </c>
      <c r="F3087" t="n">
        <v>0.04094</v>
      </c>
    </row>
    <row r="3088">
      <c r="A3088" t="n">
        <v>2001259</v>
      </c>
      <c r="B3088" t="n">
        <v>2</v>
      </c>
      <c r="C3088" t="n">
        <v>1259</v>
      </c>
      <c r="D3088" t="n">
        <v>1</v>
      </c>
      <c r="E3088" t="n">
        <v>98.63630000000001</v>
      </c>
      <c r="F3088" t="n">
        <v>0.04095</v>
      </c>
    </row>
    <row r="3089">
      <c r="A3089" t="n">
        <v>2001260</v>
      </c>
      <c r="B3089" t="n">
        <v>2</v>
      </c>
      <c r="C3089" t="n">
        <v>1260</v>
      </c>
      <c r="D3089" t="n">
        <v>1</v>
      </c>
      <c r="E3089" t="n">
        <v>98.6575</v>
      </c>
      <c r="F3089" t="n">
        <v>0.04095</v>
      </c>
    </row>
    <row r="3090">
      <c r="A3090" t="n">
        <v>2001261</v>
      </c>
      <c r="B3090" t="n">
        <v>2</v>
      </c>
      <c r="C3090" t="n">
        <v>1261</v>
      </c>
      <c r="D3090" t="n">
        <v>1</v>
      </c>
      <c r="E3090" t="n">
        <v>98.6786</v>
      </c>
      <c r="F3090" t="n">
        <v>0.04096</v>
      </c>
    </row>
    <row r="3091">
      <c r="A3091" t="n">
        <v>2001262</v>
      </c>
      <c r="B3091" t="n">
        <v>2</v>
      </c>
      <c r="C3091" t="n">
        <v>1262</v>
      </c>
      <c r="D3091" t="n">
        <v>1</v>
      </c>
      <c r="E3091" t="n">
        <v>98.6998</v>
      </c>
      <c r="F3091" t="n">
        <v>0.04096</v>
      </c>
    </row>
    <row r="3092">
      <c r="A3092" t="n">
        <v>2001263</v>
      </c>
      <c r="B3092" t="n">
        <v>2</v>
      </c>
      <c r="C3092" t="n">
        <v>1263</v>
      </c>
      <c r="D3092" t="n">
        <v>1</v>
      </c>
      <c r="E3092" t="n">
        <v>98.7209</v>
      </c>
      <c r="F3092" t="n">
        <v>0.04097</v>
      </c>
    </row>
    <row r="3093">
      <c r="A3093" t="n">
        <v>2001264</v>
      </c>
      <c r="B3093" t="n">
        <v>2</v>
      </c>
      <c r="C3093" t="n">
        <v>1264</v>
      </c>
      <c r="D3093" t="n">
        <v>1</v>
      </c>
      <c r="E3093" t="n">
        <v>98.74209999999999</v>
      </c>
      <c r="F3093" t="n">
        <v>0.04097</v>
      </c>
    </row>
    <row r="3094">
      <c r="A3094" t="n">
        <v>2001265</v>
      </c>
      <c r="B3094" t="n">
        <v>2</v>
      </c>
      <c r="C3094" t="n">
        <v>1265</v>
      </c>
      <c r="D3094" t="n">
        <v>1</v>
      </c>
      <c r="E3094" t="n">
        <v>98.7632</v>
      </c>
      <c r="F3094" t="n">
        <v>0.04098</v>
      </c>
    </row>
    <row r="3095">
      <c r="A3095" t="n">
        <v>2001266</v>
      </c>
      <c r="B3095" t="n">
        <v>2</v>
      </c>
      <c r="C3095" t="n">
        <v>1266</v>
      </c>
      <c r="D3095" t="n">
        <v>1</v>
      </c>
      <c r="E3095" t="n">
        <v>98.7843</v>
      </c>
      <c r="F3095" t="n">
        <v>0.04098</v>
      </c>
    </row>
    <row r="3096">
      <c r="A3096" t="n">
        <v>2001267</v>
      </c>
      <c r="B3096" t="n">
        <v>2</v>
      </c>
      <c r="C3096" t="n">
        <v>1267</v>
      </c>
      <c r="D3096" t="n">
        <v>1</v>
      </c>
      <c r="E3096" t="n">
        <v>98.80540000000001</v>
      </c>
      <c r="F3096" t="n">
        <v>0.04099</v>
      </c>
    </row>
    <row r="3097">
      <c r="A3097" t="n">
        <v>2001268</v>
      </c>
      <c r="B3097" t="n">
        <v>2</v>
      </c>
      <c r="C3097" t="n">
        <v>1268</v>
      </c>
      <c r="D3097" t="n">
        <v>1</v>
      </c>
      <c r="E3097" t="n">
        <v>98.8265</v>
      </c>
      <c r="F3097" t="n">
        <v>0.04099</v>
      </c>
    </row>
    <row r="3098">
      <c r="A3098" t="n">
        <v>2001269</v>
      </c>
      <c r="B3098" t="n">
        <v>2</v>
      </c>
      <c r="C3098" t="n">
        <v>1269</v>
      </c>
      <c r="D3098" t="n">
        <v>1</v>
      </c>
      <c r="E3098" t="n">
        <v>98.8476</v>
      </c>
      <c r="F3098" t="n">
        <v>0.041</v>
      </c>
    </row>
    <row r="3099">
      <c r="A3099" t="n">
        <v>2001270</v>
      </c>
      <c r="B3099" t="n">
        <v>2</v>
      </c>
      <c r="C3099" t="n">
        <v>1270</v>
      </c>
      <c r="D3099" t="n">
        <v>1</v>
      </c>
      <c r="E3099" t="n">
        <v>98.8687</v>
      </c>
      <c r="F3099" t="n">
        <v>0.041</v>
      </c>
    </row>
    <row r="3100">
      <c r="A3100" t="n">
        <v>2001271</v>
      </c>
      <c r="B3100" t="n">
        <v>2</v>
      </c>
      <c r="C3100" t="n">
        <v>1271</v>
      </c>
      <c r="D3100" t="n">
        <v>1</v>
      </c>
      <c r="E3100" t="n">
        <v>98.8897</v>
      </c>
      <c r="F3100" t="n">
        <v>0.04101</v>
      </c>
    </row>
    <row r="3101">
      <c r="A3101" t="n">
        <v>2001272</v>
      </c>
      <c r="B3101" t="n">
        <v>2</v>
      </c>
      <c r="C3101" t="n">
        <v>1272</v>
      </c>
      <c r="D3101" t="n">
        <v>1</v>
      </c>
      <c r="E3101" t="n">
        <v>98.91079999999999</v>
      </c>
      <c r="F3101" t="n">
        <v>0.04101</v>
      </c>
    </row>
    <row r="3102">
      <c r="A3102" t="n">
        <v>2001273</v>
      </c>
      <c r="B3102" t="n">
        <v>2</v>
      </c>
      <c r="C3102" t="n">
        <v>1273</v>
      </c>
      <c r="D3102" t="n">
        <v>1</v>
      </c>
      <c r="E3102" t="n">
        <v>98.9318</v>
      </c>
      <c r="F3102" t="n">
        <v>0.04102</v>
      </c>
    </row>
    <row r="3103">
      <c r="A3103" t="n">
        <v>2001274</v>
      </c>
      <c r="B3103" t="n">
        <v>2</v>
      </c>
      <c r="C3103" t="n">
        <v>1274</v>
      </c>
      <c r="D3103" t="n">
        <v>1</v>
      </c>
      <c r="E3103" t="n">
        <v>98.9529</v>
      </c>
      <c r="F3103" t="n">
        <v>0.04103</v>
      </c>
    </row>
    <row r="3104">
      <c r="A3104" t="n">
        <v>2001275</v>
      </c>
      <c r="B3104" t="n">
        <v>2</v>
      </c>
      <c r="C3104" t="n">
        <v>1275</v>
      </c>
      <c r="D3104" t="n">
        <v>1</v>
      </c>
      <c r="E3104" t="n">
        <v>98.9739</v>
      </c>
      <c r="F3104" t="n">
        <v>0.04103</v>
      </c>
    </row>
    <row r="3105">
      <c r="A3105" t="n">
        <v>2001276</v>
      </c>
      <c r="B3105" t="n">
        <v>2</v>
      </c>
      <c r="C3105" t="n">
        <v>1276</v>
      </c>
      <c r="D3105" t="n">
        <v>1</v>
      </c>
      <c r="E3105" t="n">
        <v>98.9949</v>
      </c>
      <c r="F3105" t="n">
        <v>0.04104</v>
      </c>
    </row>
    <row r="3106">
      <c r="A3106" t="n">
        <v>2001277</v>
      </c>
      <c r="B3106" t="n">
        <v>2</v>
      </c>
      <c r="C3106" t="n">
        <v>1277</v>
      </c>
      <c r="D3106" t="n">
        <v>1</v>
      </c>
      <c r="E3106" t="n">
        <v>99.0159</v>
      </c>
      <c r="F3106" t="n">
        <v>0.04104</v>
      </c>
    </row>
    <row r="3107">
      <c r="A3107" t="n">
        <v>2001278</v>
      </c>
      <c r="B3107" t="n">
        <v>2</v>
      </c>
      <c r="C3107" t="n">
        <v>1278</v>
      </c>
      <c r="D3107" t="n">
        <v>1</v>
      </c>
      <c r="E3107" t="n">
        <v>99.0369</v>
      </c>
      <c r="F3107" t="n">
        <v>0.04105</v>
      </c>
    </row>
    <row r="3108">
      <c r="A3108" t="n">
        <v>2001279</v>
      </c>
      <c r="B3108" t="n">
        <v>2</v>
      </c>
      <c r="C3108" t="n">
        <v>1279</v>
      </c>
      <c r="D3108" t="n">
        <v>1</v>
      </c>
      <c r="E3108" t="n">
        <v>99.0579</v>
      </c>
      <c r="F3108" t="n">
        <v>0.04105</v>
      </c>
    </row>
    <row r="3109">
      <c r="A3109" t="n">
        <v>2001280</v>
      </c>
      <c r="B3109" t="n">
        <v>2</v>
      </c>
      <c r="C3109" t="n">
        <v>1280</v>
      </c>
      <c r="D3109" t="n">
        <v>1</v>
      </c>
      <c r="E3109" t="n">
        <v>99.0789</v>
      </c>
      <c r="F3109" t="n">
        <v>0.04106</v>
      </c>
    </row>
    <row r="3110">
      <c r="A3110" t="n">
        <v>2001281</v>
      </c>
      <c r="B3110" t="n">
        <v>2</v>
      </c>
      <c r="C3110" t="n">
        <v>1281</v>
      </c>
      <c r="D3110" t="n">
        <v>1</v>
      </c>
      <c r="E3110" t="n">
        <v>99.09990000000001</v>
      </c>
      <c r="F3110" t="n">
        <v>0.04106</v>
      </c>
    </row>
    <row r="3111">
      <c r="A3111" t="n">
        <v>2001282</v>
      </c>
      <c r="B3111" t="n">
        <v>2</v>
      </c>
      <c r="C3111" t="n">
        <v>1282</v>
      </c>
      <c r="D3111" t="n">
        <v>1</v>
      </c>
      <c r="E3111" t="n">
        <v>99.1208</v>
      </c>
      <c r="F3111" t="n">
        <v>0.04107</v>
      </c>
    </row>
    <row r="3112">
      <c r="A3112" t="n">
        <v>2001283</v>
      </c>
      <c r="B3112" t="n">
        <v>2</v>
      </c>
      <c r="C3112" t="n">
        <v>1283</v>
      </c>
      <c r="D3112" t="n">
        <v>1</v>
      </c>
      <c r="E3112" t="n">
        <v>99.1418</v>
      </c>
      <c r="F3112" t="n">
        <v>0.04107</v>
      </c>
    </row>
    <row r="3113">
      <c r="A3113" t="n">
        <v>2001284</v>
      </c>
      <c r="B3113" t="n">
        <v>2</v>
      </c>
      <c r="C3113" t="n">
        <v>1284</v>
      </c>
      <c r="D3113" t="n">
        <v>1</v>
      </c>
      <c r="E3113" t="n">
        <v>99.1628</v>
      </c>
      <c r="F3113" t="n">
        <v>0.04108</v>
      </c>
    </row>
    <row r="3114">
      <c r="A3114" t="n">
        <v>2001285</v>
      </c>
      <c r="B3114" t="n">
        <v>2</v>
      </c>
      <c r="C3114" t="n">
        <v>1285</v>
      </c>
      <c r="D3114" t="n">
        <v>1</v>
      </c>
      <c r="E3114" t="n">
        <v>99.1837</v>
      </c>
      <c r="F3114" t="n">
        <v>0.04108</v>
      </c>
    </row>
    <row r="3115">
      <c r="A3115" t="n">
        <v>2001286</v>
      </c>
      <c r="B3115" t="n">
        <v>2</v>
      </c>
      <c r="C3115" t="n">
        <v>1286</v>
      </c>
      <c r="D3115" t="n">
        <v>1</v>
      </c>
      <c r="E3115" t="n">
        <v>99.2046</v>
      </c>
      <c r="F3115" t="n">
        <v>0.04109</v>
      </c>
    </row>
    <row r="3116">
      <c r="A3116" t="n">
        <v>2001287</v>
      </c>
      <c r="B3116" t="n">
        <v>2</v>
      </c>
      <c r="C3116" t="n">
        <v>1287</v>
      </c>
      <c r="D3116" t="n">
        <v>1</v>
      </c>
      <c r="E3116" t="n">
        <v>99.2255</v>
      </c>
      <c r="F3116" t="n">
        <v>0.04109</v>
      </c>
    </row>
    <row r="3117">
      <c r="A3117" t="n">
        <v>2001288</v>
      </c>
      <c r="B3117" t="n">
        <v>2</v>
      </c>
      <c r="C3117" t="n">
        <v>1288</v>
      </c>
      <c r="D3117" t="n">
        <v>1</v>
      </c>
      <c r="E3117" t="n">
        <v>99.24639999999999</v>
      </c>
      <c r="F3117" t="n">
        <v>0.0411</v>
      </c>
    </row>
    <row r="3118">
      <c r="A3118" t="n">
        <v>2001289</v>
      </c>
      <c r="B3118" t="n">
        <v>2</v>
      </c>
      <c r="C3118" t="n">
        <v>1289</v>
      </c>
      <c r="D3118" t="n">
        <v>1</v>
      </c>
      <c r="E3118" t="n">
        <v>99.26730000000001</v>
      </c>
      <c r="F3118" t="n">
        <v>0.0411</v>
      </c>
    </row>
    <row r="3119">
      <c r="A3119" t="n">
        <v>2001290</v>
      </c>
      <c r="B3119" t="n">
        <v>2</v>
      </c>
      <c r="C3119" t="n">
        <v>1290</v>
      </c>
      <c r="D3119" t="n">
        <v>1</v>
      </c>
      <c r="E3119" t="n">
        <v>99.2882</v>
      </c>
      <c r="F3119" t="n">
        <v>0.04111</v>
      </c>
    </row>
    <row r="3120">
      <c r="A3120" t="n">
        <v>2001291</v>
      </c>
      <c r="B3120" t="n">
        <v>2</v>
      </c>
      <c r="C3120" t="n">
        <v>1291</v>
      </c>
      <c r="D3120" t="n">
        <v>1</v>
      </c>
      <c r="E3120" t="n">
        <v>99.3091</v>
      </c>
      <c r="F3120" t="n">
        <v>0.04111</v>
      </c>
    </row>
    <row r="3121">
      <c r="A3121" t="n">
        <v>2001292</v>
      </c>
      <c r="B3121" t="n">
        <v>2</v>
      </c>
      <c r="C3121" t="n">
        <v>1292</v>
      </c>
      <c r="D3121" t="n">
        <v>1</v>
      </c>
      <c r="E3121" t="n">
        <v>99.33</v>
      </c>
      <c r="F3121" t="n">
        <v>0.04112</v>
      </c>
    </row>
    <row r="3122">
      <c r="A3122" t="n">
        <v>2001293</v>
      </c>
      <c r="B3122" t="n">
        <v>2</v>
      </c>
      <c r="C3122" t="n">
        <v>1293</v>
      </c>
      <c r="D3122" t="n">
        <v>1</v>
      </c>
      <c r="E3122" t="n">
        <v>99.3509</v>
      </c>
      <c r="F3122" t="n">
        <v>0.04112</v>
      </c>
    </row>
    <row r="3123">
      <c r="A3123" t="n">
        <v>2001294</v>
      </c>
      <c r="B3123" t="n">
        <v>2</v>
      </c>
      <c r="C3123" t="n">
        <v>1294</v>
      </c>
      <c r="D3123" t="n">
        <v>1</v>
      </c>
      <c r="E3123" t="n">
        <v>99.3717</v>
      </c>
      <c r="F3123" t="n">
        <v>0.04113</v>
      </c>
    </row>
    <row r="3124">
      <c r="A3124" t="n">
        <v>2001295</v>
      </c>
      <c r="B3124" t="n">
        <v>2</v>
      </c>
      <c r="C3124" t="n">
        <v>1295</v>
      </c>
      <c r="D3124" t="n">
        <v>1</v>
      </c>
      <c r="E3124" t="n">
        <v>99.3926</v>
      </c>
      <c r="F3124" t="n">
        <v>0.04113</v>
      </c>
    </row>
    <row r="3125">
      <c r="A3125" t="n">
        <v>2001296</v>
      </c>
      <c r="B3125" t="n">
        <v>2</v>
      </c>
      <c r="C3125" t="n">
        <v>1296</v>
      </c>
      <c r="D3125" t="n">
        <v>1</v>
      </c>
      <c r="E3125" t="n">
        <v>99.4134</v>
      </c>
      <c r="F3125" t="n">
        <v>0.04114</v>
      </c>
    </row>
    <row r="3126">
      <c r="A3126" t="n">
        <v>2001297</v>
      </c>
      <c r="B3126" t="n">
        <v>2</v>
      </c>
      <c r="C3126" t="n">
        <v>1297</v>
      </c>
      <c r="D3126" t="n">
        <v>1</v>
      </c>
      <c r="E3126" t="n">
        <v>99.4342</v>
      </c>
      <c r="F3126" t="n">
        <v>0.04114</v>
      </c>
    </row>
    <row r="3127">
      <c r="A3127" t="n">
        <v>2001298</v>
      </c>
      <c r="B3127" t="n">
        <v>2</v>
      </c>
      <c r="C3127" t="n">
        <v>1298</v>
      </c>
      <c r="D3127" t="n">
        <v>1</v>
      </c>
      <c r="E3127" t="n">
        <v>99.455</v>
      </c>
      <c r="F3127" t="n">
        <v>0.04115</v>
      </c>
    </row>
    <row r="3128">
      <c r="A3128" t="n">
        <v>2001299</v>
      </c>
      <c r="B3128" t="n">
        <v>2</v>
      </c>
      <c r="C3128" t="n">
        <v>1299</v>
      </c>
      <c r="D3128" t="n">
        <v>1</v>
      </c>
      <c r="E3128" t="n">
        <v>99.47580000000001</v>
      </c>
      <c r="F3128" t="n">
        <v>0.04115</v>
      </c>
    </row>
    <row r="3129">
      <c r="A3129" t="n">
        <v>2001300</v>
      </c>
      <c r="B3129" t="n">
        <v>2</v>
      </c>
      <c r="C3129" t="n">
        <v>1300</v>
      </c>
      <c r="D3129" t="n">
        <v>1</v>
      </c>
      <c r="E3129" t="n">
        <v>99.4966</v>
      </c>
      <c r="F3129" t="n">
        <v>0.04116</v>
      </c>
    </row>
    <row r="3130">
      <c r="A3130" t="n">
        <v>2001301</v>
      </c>
      <c r="B3130" t="n">
        <v>2</v>
      </c>
      <c r="C3130" t="n">
        <v>1301</v>
      </c>
      <c r="D3130" t="n">
        <v>1</v>
      </c>
      <c r="E3130" t="n">
        <v>99.51739999999999</v>
      </c>
      <c r="F3130" t="n">
        <v>0.04116</v>
      </c>
    </row>
    <row r="3131">
      <c r="A3131" t="n">
        <v>2001302</v>
      </c>
      <c r="B3131" t="n">
        <v>2</v>
      </c>
      <c r="C3131" t="n">
        <v>1302</v>
      </c>
      <c r="D3131" t="n">
        <v>1</v>
      </c>
      <c r="E3131" t="n">
        <v>99.5382</v>
      </c>
      <c r="F3131" t="n">
        <v>0.04117</v>
      </c>
    </row>
    <row r="3132">
      <c r="A3132" t="n">
        <v>2001303</v>
      </c>
      <c r="B3132" t="n">
        <v>2</v>
      </c>
      <c r="C3132" t="n">
        <v>1303</v>
      </c>
      <c r="D3132" t="n">
        <v>1</v>
      </c>
      <c r="E3132" t="n">
        <v>99.559</v>
      </c>
      <c r="F3132" t="n">
        <v>0.04117</v>
      </c>
    </row>
    <row r="3133">
      <c r="A3133" t="n">
        <v>2001304</v>
      </c>
      <c r="B3133" t="n">
        <v>2</v>
      </c>
      <c r="C3133" t="n">
        <v>1304</v>
      </c>
      <c r="D3133" t="n">
        <v>1</v>
      </c>
      <c r="E3133" t="n">
        <v>99.57980000000001</v>
      </c>
      <c r="F3133" t="n">
        <v>0.04118</v>
      </c>
    </row>
    <row r="3134">
      <c r="A3134" t="n">
        <v>2001305</v>
      </c>
      <c r="B3134" t="n">
        <v>2</v>
      </c>
      <c r="C3134" t="n">
        <v>1305</v>
      </c>
      <c r="D3134" t="n">
        <v>1</v>
      </c>
      <c r="E3134" t="n">
        <v>99.6005</v>
      </c>
      <c r="F3134" t="n">
        <v>0.04118</v>
      </c>
    </row>
    <row r="3135">
      <c r="A3135" t="n">
        <v>2001306</v>
      </c>
      <c r="B3135" t="n">
        <v>2</v>
      </c>
      <c r="C3135" t="n">
        <v>1306</v>
      </c>
      <c r="D3135" t="n">
        <v>1</v>
      </c>
      <c r="E3135" t="n">
        <v>99.6212</v>
      </c>
      <c r="F3135" t="n">
        <v>0.04119</v>
      </c>
    </row>
    <row r="3136">
      <c r="A3136" t="n">
        <v>2001307</v>
      </c>
      <c r="B3136" t="n">
        <v>2</v>
      </c>
      <c r="C3136" t="n">
        <v>1307</v>
      </c>
      <c r="D3136" t="n">
        <v>1</v>
      </c>
      <c r="E3136" t="n">
        <v>99.642</v>
      </c>
      <c r="F3136" t="n">
        <v>0.04119</v>
      </c>
    </row>
    <row r="3137">
      <c r="A3137" t="n">
        <v>2001308</v>
      </c>
      <c r="B3137" t="n">
        <v>2</v>
      </c>
      <c r="C3137" t="n">
        <v>1308</v>
      </c>
      <c r="D3137" t="n">
        <v>1</v>
      </c>
      <c r="E3137" t="n">
        <v>99.6627</v>
      </c>
      <c r="F3137" t="n">
        <v>0.0412</v>
      </c>
    </row>
    <row r="3138">
      <c r="A3138" t="n">
        <v>2001309</v>
      </c>
      <c r="B3138" t="n">
        <v>2</v>
      </c>
      <c r="C3138" t="n">
        <v>1309</v>
      </c>
      <c r="D3138" t="n">
        <v>1</v>
      </c>
      <c r="E3138" t="n">
        <v>99.68340000000001</v>
      </c>
      <c r="F3138" t="n">
        <v>0.0412</v>
      </c>
    </row>
    <row r="3139">
      <c r="A3139" t="n">
        <v>2001310</v>
      </c>
      <c r="B3139" t="n">
        <v>2</v>
      </c>
      <c r="C3139" t="n">
        <v>1310</v>
      </c>
      <c r="D3139" t="n">
        <v>1</v>
      </c>
      <c r="E3139" t="n">
        <v>99.7041</v>
      </c>
      <c r="F3139" t="n">
        <v>0.04121</v>
      </c>
    </row>
    <row r="3140">
      <c r="A3140" t="n">
        <v>2001311</v>
      </c>
      <c r="B3140" t="n">
        <v>2</v>
      </c>
      <c r="C3140" t="n">
        <v>1311</v>
      </c>
      <c r="D3140" t="n">
        <v>1</v>
      </c>
      <c r="E3140" t="n">
        <v>99.7248</v>
      </c>
      <c r="F3140" t="n">
        <v>0.04121</v>
      </c>
    </row>
    <row r="3141">
      <c r="A3141" t="n">
        <v>2001312</v>
      </c>
      <c r="B3141" t="n">
        <v>2</v>
      </c>
      <c r="C3141" t="n">
        <v>1312</v>
      </c>
      <c r="D3141" t="n">
        <v>1</v>
      </c>
      <c r="E3141" t="n">
        <v>99.74550000000001</v>
      </c>
      <c r="F3141" t="n">
        <v>0.04122</v>
      </c>
    </row>
    <row r="3142">
      <c r="A3142" t="n">
        <v>2001313</v>
      </c>
      <c r="B3142" t="n">
        <v>2</v>
      </c>
      <c r="C3142" t="n">
        <v>1313</v>
      </c>
      <c r="D3142" t="n">
        <v>1</v>
      </c>
      <c r="E3142" t="n">
        <v>99.7662</v>
      </c>
      <c r="F3142" t="n">
        <v>0.04122</v>
      </c>
    </row>
    <row r="3143">
      <c r="A3143" t="n">
        <v>2001314</v>
      </c>
      <c r="B3143" t="n">
        <v>2</v>
      </c>
      <c r="C3143" t="n">
        <v>1314</v>
      </c>
      <c r="D3143" t="n">
        <v>1</v>
      </c>
      <c r="E3143" t="n">
        <v>99.7869</v>
      </c>
      <c r="F3143" t="n">
        <v>0.04123</v>
      </c>
    </row>
    <row r="3144">
      <c r="A3144" t="n">
        <v>2001315</v>
      </c>
      <c r="B3144" t="n">
        <v>2</v>
      </c>
      <c r="C3144" t="n">
        <v>1315</v>
      </c>
      <c r="D3144" t="n">
        <v>1</v>
      </c>
      <c r="E3144" t="n">
        <v>99.8075</v>
      </c>
      <c r="F3144" t="n">
        <v>0.04123</v>
      </c>
    </row>
    <row r="3145">
      <c r="A3145" t="n">
        <v>2001316</v>
      </c>
      <c r="B3145" t="n">
        <v>2</v>
      </c>
      <c r="C3145" t="n">
        <v>1316</v>
      </c>
      <c r="D3145" t="n">
        <v>1</v>
      </c>
      <c r="E3145" t="n">
        <v>99.8282</v>
      </c>
      <c r="F3145" t="n">
        <v>0.04124</v>
      </c>
    </row>
    <row r="3146">
      <c r="A3146" t="n">
        <v>2001317</v>
      </c>
      <c r="B3146" t="n">
        <v>2</v>
      </c>
      <c r="C3146" t="n">
        <v>1317</v>
      </c>
      <c r="D3146" t="n">
        <v>1</v>
      </c>
      <c r="E3146" t="n">
        <v>99.8488</v>
      </c>
      <c r="F3146" t="n">
        <v>0.04124</v>
      </c>
    </row>
    <row r="3147">
      <c r="A3147" t="n">
        <v>2001318</v>
      </c>
      <c r="B3147" t="n">
        <v>2</v>
      </c>
      <c r="C3147" t="n">
        <v>1318</v>
      </c>
      <c r="D3147" t="n">
        <v>1</v>
      </c>
      <c r="E3147" t="n">
        <v>99.8695</v>
      </c>
      <c r="F3147" t="n">
        <v>0.04125</v>
      </c>
    </row>
    <row r="3148">
      <c r="A3148" t="n">
        <v>2001319</v>
      </c>
      <c r="B3148" t="n">
        <v>2</v>
      </c>
      <c r="C3148" t="n">
        <v>1319</v>
      </c>
      <c r="D3148" t="n">
        <v>1</v>
      </c>
      <c r="E3148" t="n">
        <v>99.8901</v>
      </c>
      <c r="F3148" t="n">
        <v>0.04125</v>
      </c>
    </row>
    <row r="3149">
      <c r="A3149" t="n">
        <v>2001320</v>
      </c>
      <c r="B3149" t="n">
        <v>2</v>
      </c>
      <c r="C3149" t="n">
        <v>1320</v>
      </c>
      <c r="D3149" t="n">
        <v>1</v>
      </c>
      <c r="E3149" t="n">
        <v>99.91070000000001</v>
      </c>
      <c r="F3149" t="n">
        <v>0.04126</v>
      </c>
    </row>
    <row r="3150">
      <c r="A3150" t="n">
        <v>2001321</v>
      </c>
      <c r="B3150" t="n">
        <v>2</v>
      </c>
      <c r="C3150" t="n">
        <v>1321</v>
      </c>
      <c r="D3150" t="n">
        <v>1</v>
      </c>
      <c r="E3150" t="n">
        <v>99.93129999999999</v>
      </c>
      <c r="F3150" t="n">
        <v>0.04126</v>
      </c>
    </row>
    <row r="3151">
      <c r="A3151" t="n">
        <v>2001322</v>
      </c>
      <c r="B3151" t="n">
        <v>2</v>
      </c>
      <c r="C3151" t="n">
        <v>1322</v>
      </c>
      <c r="D3151" t="n">
        <v>1</v>
      </c>
      <c r="E3151" t="n">
        <v>99.95189999999999</v>
      </c>
      <c r="F3151" t="n">
        <v>0.04126</v>
      </c>
    </row>
    <row r="3152">
      <c r="A3152" t="n">
        <v>2001323</v>
      </c>
      <c r="B3152" t="n">
        <v>2</v>
      </c>
      <c r="C3152" t="n">
        <v>1323</v>
      </c>
      <c r="D3152" t="n">
        <v>1</v>
      </c>
      <c r="E3152" t="n">
        <v>99.9725</v>
      </c>
      <c r="F3152" t="n">
        <v>0.04127</v>
      </c>
    </row>
    <row r="3153">
      <c r="A3153" t="n">
        <v>2001324</v>
      </c>
      <c r="B3153" t="n">
        <v>2</v>
      </c>
      <c r="C3153" t="n">
        <v>1324</v>
      </c>
      <c r="D3153" t="n">
        <v>1</v>
      </c>
      <c r="E3153" t="n">
        <v>99.9931</v>
      </c>
      <c r="F3153" t="n">
        <v>0.04127</v>
      </c>
    </row>
    <row r="3154">
      <c r="A3154" t="n">
        <v>2001325</v>
      </c>
      <c r="B3154" t="n">
        <v>2</v>
      </c>
      <c r="C3154" t="n">
        <v>1325</v>
      </c>
      <c r="D3154" t="n">
        <v>1</v>
      </c>
      <c r="E3154" t="n">
        <v>100.0137</v>
      </c>
      <c r="F3154" t="n">
        <v>0.04128</v>
      </c>
    </row>
    <row r="3155">
      <c r="A3155" t="n">
        <v>2001326</v>
      </c>
      <c r="B3155" t="n">
        <v>2</v>
      </c>
      <c r="C3155" t="n">
        <v>1326</v>
      </c>
      <c r="D3155" t="n">
        <v>1</v>
      </c>
      <c r="E3155" t="n">
        <v>100.0342</v>
      </c>
      <c r="F3155" t="n">
        <v>0.04128</v>
      </c>
    </row>
    <row r="3156">
      <c r="A3156" t="n">
        <v>2001327</v>
      </c>
      <c r="B3156" t="n">
        <v>2</v>
      </c>
      <c r="C3156" t="n">
        <v>1327</v>
      </c>
      <c r="D3156" t="n">
        <v>1</v>
      </c>
      <c r="E3156" t="n">
        <v>100.0548</v>
      </c>
      <c r="F3156" t="n">
        <v>0.04129</v>
      </c>
    </row>
    <row r="3157">
      <c r="A3157" t="n">
        <v>2001328</v>
      </c>
      <c r="B3157" t="n">
        <v>2</v>
      </c>
      <c r="C3157" t="n">
        <v>1328</v>
      </c>
      <c r="D3157" t="n">
        <v>1</v>
      </c>
      <c r="E3157" t="n">
        <v>100.0753</v>
      </c>
      <c r="F3157" t="n">
        <v>0.04129</v>
      </c>
    </row>
    <row r="3158">
      <c r="A3158" t="n">
        <v>2001329</v>
      </c>
      <c r="B3158" t="n">
        <v>2</v>
      </c>
      <c r="C3158" t="n">
        <v>1329</v>
      </c>
      <c r="D3158" t="n">
        <v>1</v>
      </c>
      <c r="E3158" t="n">
        <v>100.0959</v>
      </c>
      <c r="F3158" t="n">
        <v>0.0413</v>
      </c>
    </row>
    <row r="3159">
      <c r="A3159" t="n">
        <v>2001330</v>
      </c>
      <c r="B3159" t="n">
        <v>2</v>
      </c>
      <c r="C3159" t="n">
        <v>1330</v>
      </c>
      <c r="D3159" t="n">
        <v>1</v>
      </c>
      <c r="E3159" t="n">
        <v>100.1164</v>
      </c>
      <c r="F3159" t="n">
        <v>0.0413</v>
      </c>
    </row>
    <row r="3160">
      <c r="A3160" t="n">
        <v>2001331</v>
      </c>
      <c r="B3160" t="n">
        <v>2</v>
      </c>
      <c r="C3160" t="n">
        <v>1331</v>
      </c>
      <c r="D3160" t="n">
        <v>1</v>
      </c>
      <c r="E3160" t="n">
        <v>100.1369</v>
      </c>
      <c r="F3160" t="n">
        <v>0.04131</v>
      </c>
    </row>
    <row r="3161">
      <c r="A3161" t="n">
        <v>2001332</v>
      </c>
      <c r="B3161" t="n">
        <v>2</v>
      </c>
      <c r="C3161" t="n">
        <v>1332</v>
      </c>
      <c r="D3161" t="n">
        <v>1</v>
      </c>
      <c r="E3161" t="n">
        <v>100.1574</v>
      </c>
      <c r="F3161" t="n">
        <v>0.04131</v>
      </c>
    </row>
    <row r="3162">
      <c r="A3162" t="n">
        <v>2001333</v>
      </c>
      <c r="B3162" t="n">
        <v>2</v>
      </c>
      <c r="C3162" t="n">
        <v>1333</v>
      </c>
      <c r="D3162" t="n">
        <v>1</v>
      </c>
      <c r="E3162" t="n">
        <v>100.1779</v>
      </c>
      <c r="F3162" t="n">
        <v>0.04132</v>
      </c>
    </row>
    <row r="3163">
      <c r="A3163" t="n">
        <v>2001334</v>
      </c>
      <c r="B3163" t="n">
        <v>2</v>
      </c>
      <c r="C3163" t="n">
        <v>1334</v>
      </c>
      <c r="D3163" t="n">
        <v>1</v>
      </c>
      <c r="E3163" t="n">
        <v>100.1984</v>
      </c>
      <c r="F3163" t="n">
        <v>0.04132</v>
      </c>
    </row>
    <row r="3164">
      <c r="A3164" t="n">
        <v>2001335</v>
      </c>
      <c r="B3164" t="n">
        <v>2</v>
      </c>
      <c r="C3164" t="n">
        <v>1335</v>
      </c>
      <c r="D3164" t="n">
        <v>1</v>
      </c>
      <c r="E3164" t="n">
        <v>100.2189</v>
      </c>
      <c r="F3164" t="n">
        <v>0.04133</v>
      </c>
    </row>
    <row r="3165">
      <c r="A3165" t="n">
        <v>2001336</v>
      </c>
      <c r="B3165" t="n">
        <v>2</v>
      </c>
      <c r="C3165" t="n">
        <v>1336</v>
      </c>
      <c r="D3165" t="n">
        <v>1</v>
      </c>
      <c r="E3165" t="n">
        <v>100.2394</v>
      </c>
      <c r="F3165" t="n">
        <v>0.04133</v>
      </c>
    </row>
    <row r="3166">
      <c r="A3166" t="n">
        <v>2001337</v>
      </c>
      <c r="B3166" t="n">
        <v>2</v>
      </c>
      <c r="C3166" t="n">
        <v>1337</v>
      </c>
      <c r="D3166" t="n">
        <v>1</v>
      </c>
      <c r="E3166" t="n">
        <v>100.2598</v>
      </c>
      <c r="F3166" t="n">
        <v>0.04134</v>
      </c>
    </row>
    <row r="3167">
      <c r="A3167" t="n">
        <v>2001338</v>
      </c>
      <c r="B3167" t="n">
        <v>2</v>
      </c>
      <c r="C3167" t="n">
        <v>1338</v>
      </c>
      <c r="D3167" t="n">
        <v>1</v>
      </c>
      <c r="E3167" t="n">
        <v>100.2803</v>
      </c>
      <c r="F3167" t="n">
        <v>0.04134</v>
      </c>
    </row>
    <row r="3168">
      <c r="A3168" t="n">
        <v>2001339</v>
      </c>
      <c r="B3168" t="n">
        <v>2</v>
      </c>
      <c r="C3168" t="n">
        <v>1339</v>
      </c>
      <c r="D3168" t="n">
        <v>1</v>
      </c>
      <c r="E3168" t="n">
        <v>100.3007</v>
      </c>
      <c r="F3168" t="n">
        <v>0.04135</v>
      </c>
    </row>
    <row r="3169">
      <c r="A3169" t="n">
        <v>2001340</v>
      </c>
      <c r="B3169" t="n">
        <v>2</v>
      </c>
      <c r="C3169" t="n">
        <v>1340</v>
      </c>
      <c r="D3169" t="n">
        <v>1</v>
      </c>
      <c r="E3169" t="n">
        <v>100.3212</v>
      </c>
      <c r="F3169" t="n">
        <v>0.04135</v>
      </c>
    </row>
    <row r="3170">
      <c r="A3170" t="n">
        <v>2001341</v>
      </c>
      <c r="B3170" t="n">
        <v>2</v>
      </c>
      <c r="C3170" t="n">
        <v>1341</v>
      </c>
      <c r="D3170" t="n">
        <v>1</v>
      </c>
      <c r="E3170" t="n">
        <v>100.3416</v>
      </c>
      <c r="F3170" t="n">
        <v>0.04136</v>
      </c>
    </row>
    <row r="3171">
      <c r="A3171" t="n">
        <v>2001342</v>
      </c>
      <c r="B3171" t="n">
        <v>2</v>
      </c>
      <c r="C3171" t="n">
        <v>1342</v>
      </c>
      <c r="D3171" t="n">
        <v>1</v>
      </c>
      <c r="E3171" t="n">
        <v>100.362</v>
      </c>
      <c r="F3171" t="n">
        <v>0.04136</v>
      </c>
    </row>
    <row r="3172">
      <c r="A3172" t="n">
        <v>2001343</v>
      </c>
      <c r="B3172" t="n">
        <v>2</v>
      </c>
      <c r="C3172" t="n">
        <v>1343</v>
      </c>
      <c r="D3172" t="n">
        <v>1</v>
      </c>
      <c r="E3172" t="n">
        <v>100.3824</v>
      </c>
      <c r="F3172" t="n">
        <v>0.04137</v>
      </c>
    </row>
    <row r="3173">
      <c r="A3173" t="n">
        <v>2001344</v>
      </c>
      <c r="B3173" t="n">
        <v>2</v>
      </c>
      <c r="C3173" t="n">
        <v>1344</v>
      </c>
      <c r="D3173" t="n">
        <v>1</v>
      </c>
      <c r="E3173" t="n">
        <v>100.4028</v>
      </c>
      <c r="F3173" t="n">
        <v>0.04137</v>
      </c>
    </row>
    <row r="3174">
      <c r="A3174" t="n">
        <v>2001345</v>
      </c>
      <c r="B3174" t="n">
        <v>2</v>
      </c>
      <c r="C3174" t="n">
        <v>1345</v>
      </c>
      <c r="D3174" t="n">
        <v>1</v>
      </c>
      <c r="E3174" t="n">
        <v>100.4232</v>
      </c>
      <c r="F3174" t="n">
        <v>0.04138</v>
      </c>
    </row>
    <row r="3175">
      <c r="A3175" t="n">
        <v>2001346</v>
      </c>
      <c r="B3175" t="n">
        <v>2</v>
      </c>
      <c r="C3175" t="n">
        <v>1346</v>
      </c>
      <c r="D3175" t="n">
        <v>1</v>
      </c>
      <c r="E3175" t="n">
        <v>100.4436</v>
      </c>
      <c r="F3175" t="n">
        <v>0.04138</v>
      </c>
    </row>
    <row r="3176">
      <c r="A3176" t="n">
        <v>2001347</v>
      </c>
      <c r="B3176" t="n">
        <v>2</v>
      </c>
      <c r="C3176" t="n">
        <v>1347</v>
      </c>
      <c r="D3176" t="n">
        <v>1</v>
      </c>
      <c r="E3176" t="n">
        <v>100.464</v>
      </c>
      <c r="F3176" t="n">
        <v>0.04139</v>
      </c>
    </row>
    <row r="3177">
      <c r="A3177" t="n">
        <v>2001348</v>
      </c>
      <c r="B3177" t="n">
        <v>2</v>
      </c>
      <c r="C3177" t="n">
        <v>1348</v>
      </c>
      <c r="D3177" t="n">
        <v>1</v>
      </c>
      <c r="E3177" t="n">
        <v>100.4843</v>
      </c>
      <c r="F3177" t="n">
        <v>0.04139</v>
      </c>
    </row>
    <row r="3178">
      <c r="A3178" t="n">
        <v>2001349</v>
      </c>
      <c r="B3178" t="n">
        <v>2</v>
      </c>
      <c r="C3178" t="n">
        <v>1349</v>
      </c>
      <c r="D3178" t="n">
        <v>1</v>
      </c>
      <c r="E3178" t="n">
        <v>100.5047</v>
      </c>
      <c r="F3178" t="n">
        <v>0.0414</v>
      </c>
    </row>
    <row r="3179">
      <c r="A3179" t="n">
        <v>2001350</v>
      </c>
      <c r="B3179" t="n">
        <v>2</v>
      </c>
      <c r="C3179" t="n">
        <v>1350</v>
      </c>
      <c r="D3179" t="n">
        <v>1</v>
      </c>
      <c r="E3179" t="n">
        <v>100.525</v>
      </c>
      <c r="F3179" t="n">
        <v>0.0414</v>
      </c>
    </row>
    <row r="3180">
      <c r="A3180" t="n">
        <v>2001351</v>
      </c>
      <c r="B3180" t="n">
        <v>2</v>
      </c>
      <c r="C3180" t="n">
        <v>1351</v>
      </c>
      <c r="D3180" t="n">
        <v>1</v>
      </c>
      <c r="E3180" t="n">
        <v>100.5454</v>
      </c>
      <c r="F3180" t="n">
        <v>0.04141</v>
      </c>
    </row>
    <row r="3181">
      <c r="A3181" t="n">
        <v>2001352</v>
      </c>
      <c r="B3181" t="n">
        <v>2</v>
      </c>
      <c r="C3181" t="n">
        <v>1352</v>
      </c>
      <c r="D3181" t="n">
        <v>1</v>
      </c>
      <c r="E3181" t="n">
        <v>100.5657</v>
      </c>
      <c r="F3181" t="n">
        <v>0.04141</v>
      </c>
    </row>
    <row r="3182">
      <c r="A3182" t="n">
        <v>2001353</v>
      </c>
      <c r="B3182" t="n">
        <v>2</v>
      </c>
      <c r="C3182" t="n">
        <v>1353</v>
      </c>
      <c r="D3182" t="n">
        <v>1</v>
      </c>
      <c r="E3182" t="n">
        <v>100.586</v>
      </c>
      <c r="F3182" t="n">
        <v>0.04142</v>
      </c>
    </row>
    <row r="3183">
      <c r="A3183" t="n">
        <v>2001354</v>
      </c>
      <c r="B3183" t="n">
        <v>2</v>
      </c>
      <c r="C3183" t="n">
        <v>1354</v>
      </c>
      <c r="D3183" t="n">
        <v>1</v>
      </c>
      <c r="E3183" t="n">
        <v>100.6063</v>
      </c>
      <c r="F3183" t="n">
        <v>0.04142</v>
      </c>
    </row>
    <row r="3184">
      <c r="A3184" t="n">
        <v>2001355</v>
      </c>
      <c r="B3184" t="n">
        <v>2</v>
      </c>
      <c r="C3184" t="n">
        <v>1355</v>
      </c>
      <c r="D3184" t="n">
        <v>1</v>
      </c>
      <c r="E3184" t="n">
        <v>100.6266</v>
      </c>
      <c r="F3184" t="n">
        <v>0.04143</v>
      </c>
    </row>
    <row r="3185">
      <c r="A3185" t="n">
        <v>2001356</v>
      </c>
      <c r="B3185" t="n">
        <v>2</v>
      </c>
      <c r="C3185" t="n">
        <v>1356</v>
      </c>
      <c r="D3185" t="n">
        <v>1</v>
      </c>
      <c r="E3185" t="n">
        <v>100.6469</v>
      </c>
      <c r="F3185" t="n">
        <v>0.04143</v>
      </c>
    </row>
    <row r="3186">
      <c r="A3186" t="n">
        <v>2001357</v>
      </c>
      <c r="B3186" t="n">
        <v>2</v>
      </c>
      <c r="C3186" t="n">
        <v>1357</v>
      </c>
      <c r="D3186" t="n">
        <v>1</v>
      </c>
      <c r="E3186" t="n">
        <v>100.6672</v>
      </c>
      <c r="F3186" t="n">
        <v>0.04144</v>
      </c>
    </row>
    <row r="3187">
      <c r="A3187" t="n">
        <v>2001358</v>
      </c>
      <c r="B3187" t="n">
        <v>2</v>
      </c>
      <c r="C3187" t="n">
        <v>1358</v>
      </c>
      <c r="D3187" t="n">
        <v>1</v>
      </c>
      <c r="E3187" t="n">
        <v>100.6875</v>
      </c>
      <c r="F3187" t="n">
        <v>0.04144</v>
      </c>
    </row>
    <row r="3188">
      <c r="A3188" t="n">
        <v>2001359</v>
      </c>
      <c r="B3188" t="n">
        <v>2</v>
      </c>
      <c r="C3188" t="n">
        <v>1359</v>
      </c>
      <c r="D3188" t="n">
        <v>1</v>
      </c>
      <c r="E3188" t="n">
        <v>100.7077</v>
      </c>
      <c r="F3188" t="n">
        <v>0.04145</v>
      </c>
    </row>
    <row r="3189">
      <c r="A3189" t="n">
        <v>2001360</v>
      </c>
      <c r="B3189" t="n">
        <v>2</v>
      </c>
      <c r="C3189" t="n">
        <v>1360</v>
      </c>
      <c r="D3189" t="n">
        <v>1</v>
      </c>
      <c r="E3189" t="n">
        <v>100.728</v>
      </c>
      <c r="F3189" t="n">
        <v>0.04145</v>
      </c>
    </row>
    <row r="3190">
      <c r="A3190" t="n">
        <v>2001361</v>
      </c>
      <c r="B3190" t="n">
        <v>2</v>
      </c>
      <c r="C3190" t="n">
        <v>1361</v>
      </c>
      <c r="D3190" t="n">
        <v>1</v>
      </c>
      <c r="E3190" t="n">
        <v>100.7482</v>
      </c>
      <c r="F3190" t="n">
        <v>0.04146</v>
      </c>
    </row>
    <row r="3191">
      <c r="A3191" t="n">
        <v>2001362</v>
      </c>
      <c r="B3191" t="n">
        <v>2</v>
      </c>
      <c r="C3191" t="n">
        <v>1362</v>
      </c>
      <c r="D3191" t="n">
        <v>1</v>
      </c>
      <c r="E3191" t="n">
        <v>100.7685</v>
      </c>
      <c r="F3191" t="n">
        <v>0.04146</v>
      </c>
    </row>
    <row r="3192">
      <c r="A3192" t="n">
        <v>2001363</v>
      </c>
      <c r="B3192" t="n">
        <v>2</v>
      </c>
      <c r="C3192" t="n">
        <v>1363</v>
      </c>
      <c r="D3192" t="n">
        <v>1</v>
      </c>
      <c r="E3192" t="n">
        <v>100.7887</v>
      </c>
      <c r="F3192" t="n">
        <v>0.04146</v>
      </c>
    </row>
    <row r="3193">
      <c r="A3193" t="n">
        <v>2001364</v>
      </c>
      <c r="B3193" t="n">
        <v>2</v>
      </c>
      <c r="C3193" t="n">
        <v>1364</v>
      </c>
      <c r="D3193" t="n">
        <v>1</v>
      </c>
      <c r="E3193" t="n">
        <v>100.8089</v>
      </c>
      <c r="F3193" t="n">
        <v>0.04147</v>
      </c>
    </row>
    <row r="3194">
      <c r="A3194" t="n">
        <v>2001365</v>
      </c>
      <c r="B3194" t="n">
        <v>2</v>
      </c>
      <c r="C3194" t="n">
        <v>1365</v>
      </c>
      <c r="D3194" t="n">
        <v>1</v>
      </c>
      <c r="E3194" t="n">
        <v>100.8291</v>
      </c>
      <c r="F3194" t="n">
        <v>0.04147</v>
      </c>
    </row>
    <row r="3195">
      <c r="A3195" t="n">
        <v>2001366</v>
      </c>
      <c r="B3195" t="n">
        <v>2</v>
      </c>
      <c r="C3195" t="n">
        <v>1366</v>
      </c>
      <c r="D3195" t="n">
        <v>1</v>
      </c>
      <c r="E3195" t="n">
        <v>100.8493</v>
      </c>
      <c r="F3195" t="n">
        <v>0.04148</v>
      </c>
    </row>
    <row r="3196">
      <c r="A3196" t="n">
        <v>2001367</v>
      </c>
      <c r="B3196" t="n">
        <v>2</v>
      </c>
      <c r="C3196" t="n">
        <v>1367</v>
      </c>
      <c r="D3196" t="n">
        <v>1</v>
      </c>
      <c r="E3196" t="n">
        <v>100.8695</v>
      </c>
      <c r="F3196" t="n">
        <v>0.04148</v>
      </c>
    </row>
    <row r="3197">
      <c r="A3197" t="n">
        <v>2001368</v>
      </c>
      <c r="B3197" t="n">
        <v>2</v>
      </c>
      <c r="C3197" t="n">
        <v>1368</v>
      </c>
      <c r="D3197" t="n">
        <v>1</v>
      </c>
      <c r="E3197" t="n">
        <v>100.8897</v>
      </c>
      <c r="F3197" t="n">
        <v>0.04149</v>
      </c>
    </row>
    <row r="3198">
      <c r="A3198" t="n">
        <v>2001369</v>
      </c>
      <c r="B3198" t="n">
        <v>2</v>
      </c>
      <c r="C3198" t="n">
        <v>1369</v>
      </c>
      <c r="D3198" t="n">
        <v>1</v>
      </c>
      <c r="E3198" t="n">
        <v>100.9099</v>
      </c>
      <c r="F3198" t="n">
        <v>0.04149</v>
      </c>
    </row>
    <row r="3199">
      <c r="A3199" t="n">
        <v>2001370</v>
      </c>
      <c r="B3199" t="n">
        <v>2</v>
      </c>
      <c r="C3199" t="n">
        <v>1370</v>
      </c>
      <c r="D3199" t="n">
        <v>1</v>
      </c>
      <c r="E3199" t="n">
        <v>100.9301</v>
      </c>
      <c r="F3199" t="n">
        <v>0.0415</v>
      </c>
    </row>
    <row r="3200">
      <c r="A3200" t="n">
        <v>2001371</v>
      </c>
      <c r="B3200" t="n">
        <v>2</v>
      </c>
      <c r="C3200" t="n">
        <v>1371</v>
      </c>
      <c r="D3200" t="n">
        <v>1</v>
      </c>
      <c r="E3200" t="n">
        <v>100.9502</v>
      </c>
      <c r="F3200" t="n">
        <v>0.0415</v>
      </c>
    </row>
    <row r="3201">
      <c r="A3201" t="n">
        <v>2001372</v>
      </c>
      <c r="B3201" t="n">
        <v>2</v>
      </c>
      <c r="C3201" t="n">
        <v>1372</v>
      </c>
      <c r="D3201" t="n">
        <v>1</v>
      </c>
      <c r="E3201" t="n">
        <v>100.9704</v>
      </c>
      <c r="F3201" t="n">
        <v>0.04151</v>
      </c>
    </row>
    <row r="3202">
      <c r="A3202" t="n">
        <v>2001373</v>
      </c>
      <c r="B3202" t="n">
        <v>2</v>
      </c>
      <c r="C3202" t="n">
        <v>1373</v>
      </c>
      <c r="D3202" t="n">
        <v>1</v>
      </c>
      <c r="E3202" t="n">
        <v>100.9905</v>
      </c>
      <c r="F3202" t="n">
        <v>0.04151</v>
      </c>
    </row>
    <row r="3203">
      <c r="A3203" t="n">
        <v>2001374</v>
      </c>
      <c r="B3203" t="n">
        <v>2</v>
      </c>
      <c r="C3203" t="n">
        <v>1374</v>
      </c>
      <c r="D3203" t="n">
        <v>1</v>
      </c>
      <c r="E3203" t="n">
        <v>101.0107</v>
      </c>
      <c r="F3203" t="n">
        <v>0.04152</v>
      </c>
    </row>
    <row r="3204">
      <c r="A3204" t="n">
        <v>2001375</v>
      </c>
      <c r="B3204" t="n">
        <v>2</v>
      </c>
      <c r="C3204" t="n">
        <v>1375</v>
      </c>
      <c r="D3204" t="n">
        <v>1</v>
      </c>
      <c r="E3204" t="n">
        <v>101.0308</v>
      </c>
      <c r="F3204" t="n">
        <v>0.04152</v>
      </c>
    </row>
    <row r="3205">
      <c r="A3205" t="n">
        <v>2001376</v>
      </c>
      <c r="B3205" t="n">
        <v>2</v>
      </c>
      <c r="C3205" t="n">
        <v>1376</v>
      </c>
      <c r="D3205" t="n">
        <v>1</v>
      </c>
      <c r="E3205" t="n">
        <v>101.0509</v>
      </c>
      <c r="F3205" t="n">
        <v>0.04153</v>
      </c>
    </row>
    <row r="3206">
      <c r="A3206" t="n">
        <v>2001377</v>
      </c>
      <c r="B3206" t="n">
        <v>2</v>
      </c>
      <c r="C3206" t="n">
        <v>1377</v>
      </c>
      <c r="D3206" t="n">
        <v>1</v>
      </c>
      <c r="E3206" t="n">
        <v>101.071</v>
      </c>
      <c r="F3206" t="n">
        <v>0.04153</v>
      </c>
    </row>
    <row r="3207">
      <c r="A3207" t="n">
        <v>2001378</v>
      </c>
      <c r="B3207" t="n">
        <v>2</v>
      </c>
      <c r="C3207" t="n">
        <v>1378</v>
      </c>
      <c r="D3207" t="n">
        <v>1</v>
      </c>
      <c r="E3207" t="n">
        <v>101.0911</v>
      </c>
      <c r="F3207" t="n">
        <v>0.04154</v>
      </c>
    </row>
    <row r="3208">
      <c r="A3208" t="n">
        <v>2001379</v>
      </c>
      <c r="B3208" t="n">
        <v>2</v>
      </c>
      <c r="C3208" t="n">
        <v>1379</v>
      </c>
      <c r="D3208" t="n">
        <v>1</v>
      </c>
      <c r="E3208" t="n">
        <v>101.1112</v>
      </c>
      <c r="F3208" t="n">
        <v>0.04154</v>
      </c>
    </row>
    <row r="3209">
      <c r="A3209" t="n">
        <v>2001380</v>
      </c>
      <c r="B3209" t="n">
        <v>2</v>
      </c>
      <c r="C3209" t="n">
        <v>1380</v>
      </c>
      <c r="D3209" t="n">
        <v>1</v>
      </c>
      <c r="E3209" t="n">
        <v>101.1313</v>
      </c>
      <c r="F3209" t="n">
        <v>0.04155</v>
      </c>
    </row>
    <row r="3210">
      <c r="A3210" t="n">
        <v>2001381</v>
      </c>
      <c r="B3210" t="n">
        <v>2</v>
      </c>
      <c r="C3210" t="n">
        <v>1381</v>
      </c>
      <c r="D3210" t="n">
        <v>1</v>
      </c>
      <c r="E3210" t="n">
        <v>101.1514</v>
      </c>
      <c r="F3210" t="n">
        <v>0.04155</v>
      </c>
    </row>
    <row r="3211">
      <c r="A3211" t="n">
        <v>2001382</v>
      </c>
      <c r="B3211" t="n">
        <v>2</v>
      </c>
      <c r="C3211" t="n">
        <v>1382</v>
      </c>
      <c r="D3211" t="n">
        <v>1</v>
      </c>
      <c r="E3211" t="n">
        <v>101.1714</v>
      </c>
      <c r="F3211" t="n">
        <v>0.04156</v>
      </c>
    </row>
    <row r="3212">
      <c r="A3212" t="n">
        <v>2001383</v>
      </c>
      <c r="B3212" t="n">
        <v>2</v>
      </c>
      <c r="C3212" t="n">
        <v>1383</v>
      </c>
      <c r="D3212" t="n">
        <v>1</v>
      </c>
      <c r="E3212" t="n">
        <v>101.1915</v>
      </c>
      <c r="F3212" t="n">
        <v>0.04156</v>
      </c>
    </row>
    <row r="3213">
      <c r="A3213" t="n">
        <v>2001384</v>
      </c>
      <c r="B3213" t="n">
        <v>2</v>
      </c>
      <c r="C3213" t="n">
        <v>1384</v>
      </c>
      <c r="D3213" t="n">
        <v>1</v>
      </c>
      <c r="E3213" t="n">
        <v>101.2115</v>
      </c>
      <c r="F3213" t="n">
        <v>0.04157</v>
      </c>
    </row>
    <row r="3214">
      <c r="A3214" t="n">
        <v>2001385</v>
      </c>
      <c r="B3214" t="n">
        <v>2</v>
      </c>
      <c r="C3214" t="n">
        <v>1385</v>
      </c>
      <c r="D3214" t="n">
        <v>1</v>
      </c>
      <c r="E3214" t="n">
        <v>101.2316</v>
      </c>
      <c r="F3214" t="n">
        <v>0.04157</v>
      </c>
    </row>
    <row r="3215">
      <c r="A3215" t="n">
        <v>2001386</v>
      </c>
      <c r="B3215" t="n">
        <v>2</v>
      </c>
      <c r="C3215" t="n">
        <v>1386</v>
      </c>
      <c r="D3215" t="n">
        <v>1</v>
      </c>
      <c r="E3215" t="n">
        <v>101.2516</v>
      </c>
      <c r="F3215" t="n">
        <v>0.04158</v>
      </c>
    </row>
    <row r="3216">
      <c r="A3216" t="n">
        <v>2001387</v>
      </c>
      <c r="B3216" t="n">
        <v>2</v>
      </c>
      <c r="C3216" t="n">
        <v>1387</v>
      </c>
      <c r="D3216" t="n">
        <v>1</v>
      </c>
      <c r="E3216" t="n">
        <v>101.2716</v>
      </c>
      <c r="F3216" t="n">
        <v>0.04158</v>
      </c>
    </row>
    <row r="3217">
      <c r="A3217" t="n">
        <v>2001388</v>
      </c>
      <c r="B3217" t="n">
        <v>2</v>
      </c>
      <c r="C3217" t="n">
        <v>1388</v>
      </c>
      <c r="D3217" t="n">
        <v>1</v>
      </c>
      <c r="E3217" t="n">
        <v>101.2917</v>
      </c>
      <c r="F3217" t="n">
        <v>0.04158</v>
      </c>
    </row>
    <row r="3218">
      <c r="A3218" t="n">
        <v>2001389</v>
      </c>
      <c r="B3218" t="n">
        <v>2</v>
      </c>
      <c r="C3218" t="n">
        <v>1389</v>
      </c>
      <c r="D3218" t="n">
        <v>1</v>
      </c>
      <c r="E3218" t="n">
        <v>101.3117</v>
      </c>
      <c r="F3218" t="n">
        <v>0.04159</v>
      </c>
    </row>
    <row r="3219">
      <c r="A3219" t="n">
        <v>2001390</v>
      </c>
      <c r="B3219" t="n">
        <v>2</v>
      </c>
      <c r="C3219" t="n">
        <v>1390</v>
      </c>
      <c r="D3219" t="n">
        <v>1</v>
      </c>
      <c r="E3219" t="n">
        <v>101.3317</v>
      </c>
      <c r="F3219" t="n">
        <v>0.04159</v>
      </c>
    </row>
    <row r="3220">
      <c r="A3220" t="n">
        <v>2001391</v>
      </c>
      <c r="B3220" t="n">
        <v>2</v>
      </c>
      <c r="C3220" t="n">
        <v>1391</v>
      </c>
      <c r="D3220" t="n">
        <v>1</v>
      </c>
      <c r="E3220" t="n">
        <v>101.3517</v>
      </c>
      <c r="F3220" t="n">
        <v>0.0416</v>
      </c>
    </row>
    <row r="3221">
      <c r="A3221" t="n">
        <v>2001392</v>
      </c>
      <c r="B3221" t="n">
        <v>2</v>
      </c>
      <c r="C3221" t="n">
        <v>1392</v>
      </c>
      <c r="D3221" t="n">
        <v>1</v>
      </c>
      <c r="E3221" t="n">
        <v>101.3716</v>
      </c>
      <c r="F3221" t="n">
        <v>0.0416</v>
      </c>
    </row>
    <row r="3222">
      <c r="A3222" t="n">
        <v>2001393</v>
      </c>
      <c r="B3222" t="n">
        <v>2</v>
      </c>
      <c r="C3222" t="n">
        <v>1393</v>
      </c>
      <c r="D3222" t="n">
        <v>1</v>
      </c>
      <c r="E3222" t="n">
        <v>101.3916</v>
      </c>
      <c r="F3222" t="n">
        <v>0.04161</v>
      </c>
    </row>
    <row r="3223">
      <c r="A3223" t="n">
        <v>2001394</v>
      </c>
      <c r="B3223" t="n">
        <v>2</v>
      </c>
      <c r="C3223" t="n">
        <v>1394</v>
      </c>
      <c r="D3223" t="n">
        <v>1</v>
      </c>
      <c r="E3223" t="n">
        <v>101.4116</v>
      </c>
      <c r="F3223" t="n">
        <v>0.04161</v>
      </c>
    </row>
    <row r="3224">
      <c r="A3224" t="n">
        <v>2001395</v>
      </c>
      <c r="B3224" t="n">
        <v>2</v>
      </c>
      <c r="C3224" t="n">
        <v>1395</v>
      </c>
      <c r="D3224" t="n">
        <v>1</v>
      </c>
      <c r="E3224" t="n">
        <v>101.4315</v>
      </c>
      <c r="F3224" t="n">
        <v>0.04162</v>
      </c>
    </row>
    <row r="3225">
      <c r="A3225" t="n">
        <v>2001396</v>
      </c>
      <c r="B3225" t="n">
        <v>2</v>
      </c>
      <c r="C3225" t="n">
        <v>1396</v>
      </c>
      <c r="D3225" t="n">
        <v>1</v>
      </c>
      <c r="E3225" t="n">
        <v>101.4515</v>
      </c>
      <c r="F3225" t="n">
        <v>0.04162</v>
      </c>
    </row>
    <row r="3226">
      <c r="A3226" t="n">
        <v>2001397</v>
      </c>
      <c r="B3226" t="n">
        <v>2</v>
      </c>
      <c r="C3226" t="n">
        <v>1397</v>
      </c>
      <c r="D3226" t="n">
        <v>1</v>
      </c>
      <c r="E3226" t="n">
        <v>101.4714</v>
      </c>
      <c r="F3226" t="n">
        <v>0.04163</v>
      </c>
    </row>
    <row r="3227">
      <c r="A3227" t="n">
        <v>2001398</v>
      </c>
      <c r="B3227" t="n">
        <v>2</v>
      </c>
      <c r="C3227" t="n">
        <v>1398</v>
      </c>
      <c r="D3227" t="n">
        <v>1</v>
      </c>
      <c r="E3227" t="n">
        <v>101.4914</v>
      </c>
      <c r="F3227" t="n">
        <v>0.04163</v>
      </c>
    </row>
    <row r="3228">
      <c r="A3228" t="n">
        <v>2001399</v>
      </c>
      <c r="B3228" t="n">
        <v>2</v>
      </c>
      <c r="C3228" t="n">
        <v>1399</v>
      </c>
      <c r="D3228" t="n">
        <v>1</v>
      </c>
      <c r="E3228" t="n">
        <v>101.5113</v>
      </c>
      <c r="F3228" t="n">
        <v>0.04164</v>
      </c>
    </row>
    <row r="3229">
      <c r="A3229" t="n">
        <v>2001400</v>
      </c>
      <c r="B3229" t="n">
        <v>2</v>
      </c>
      <c r="C3229" t="n">
        <v>1400</v>
      </c>
      <c r="D3229" t="n">
        <v>1</v>
      </c>
      <c r="E3229" t="n">
        <v>101.5312</v>
      </c>
      <c r="F3229" t="n">
        <v>0.04164</v>
      </c>
    </row>
    <row r="3230">
      <c r="A3230" t="n">
        <v>2001401</v>
      </c>
      <c r="B3230" t="n">
        <v>2</v>
      </c>
      <c r="C3230" t="n">
        <v>1401</v>
      </c>
      <c r="D3230" t="n">
        <v>1</v>
      </c>
      <c r="E3230" t="n">
        <v>101.5511</v>
      </c>
      <c r="F3230" t="n">
        <v>0.04165</v>
      </c>
    </row>
    <row r="3231">
      <c r="A3231" t="n">
        <v>2001402</v>
      </c>
      <c r="B3231" t="n">
        <v>2</v>
      </c>
      <c r="C3231" t="n">
        <v>1402</v>
      </c>
      <c r="D3231" t="n">
        <v>1</v>
      </c>
      <c r="E3231" t="n">
        <v>101.571</v>
      </c>
      <c r="F3231" t="n">
        <v>0.04165</v>
      </c>
    </row>
    <row r="3232">
      <c r="A3232" t="n">
        <v>2001403</v>
      </c>
      <c r="B3232" t="n">
        <v>2</v>
      </c>
      <c r="C3232" t="n">
        <v>1403</v>
      </c>
      <c r="D3232" t="n">
        <v>1</v>
      </c>
      <c r="E3232" t="n">
        <v>101.5909</v>
      </c>
      <c r="F3232" t="n">
        <v>0.04166</v>
      </c>
    </row>
    <row r="3233">
      <c r="A3233" t="n">
        <v>2001404</v>
      </c>
      <c r="B3233" t="n">
        <v>2</v>
      </c>
      <c r="C3233" t="n">
        <v>1404</v>
      </c>
      <c r="D3233" t="n">
        <v>1</v>
      </c>
      <c r="E3233" t="n">
        <v>101.6108</v>
      </c>
      <c r="F3233" t="n">
        <v>0.04166</v>
      </c>
    </row>
    <row r="3234">
      <c r="A3234" t="n">
        <v>2001405</v>
      </c>
      <c r="B3234" t="n">
        <v>2</v>
      </c>
      <c r="C3234" t="n">
        <v>1405</v>
      </c>
      <c r="D3234" t="n">
        <v>1</v>
      </c>
      <c r="E3234" t="n">
        <v>101.6306</v>
      </c>
      <c r="F3234" t="n">
        <v>0.04167</v>
      </c>
    </row>
    <row r="3235">
      <c r="A3235" t="n">
        <v>2001406</v>
      </c>
      <c r="B3235" t="n">
        <v>2</v>
      </c>
      <c r="C3235" t="n">
        <v>1406</v>
      </c>
      <c r="D3235" t="n">
        <v>1</v>
      </c>
      <c r="E3235" t="n">
        <v>101.6505</v>
      </c>
      <c r="F3235" t="n">
        <v>0.04167</v>
      </c>
    </row>
    <row r="3236">
      <c r="A3236" t="n">
        <v>2001407</v>
      </c>
      <c r="B3236" t="n">
        <v>2</v>
      </c>
      <c r="C3236" t="n">
        <v>1407</v>
      </c>
      <c r="D3236" t="n">
        <v>1</v>
      </c>
      <c r="E3236" t="n">
        <v>101.6704</v>
      </c>
      <c r="F3236" t="n">
        <v>0.04167</v>
      </c>
    </row>
    <row r="3237">
      <c r="A3237" t="n">
        <v>2001408</v>
      </c>
      <c r="B3237" t="n">
        <v>2</v>
      </c>
      <c r="C3237" t="n">
        <v>1408</v>
      </c>
      <c r="D3237" t="n">
        <v>1</v>
      </c>
      <c r="E3237" t="n">
        <v>101.6902</v>
      </c>
      <c r="F3237" t="n">
        <v>0.04168</v>
      </c>
    </row>
    <row r="3238">
      <c r="A3238" t="n">
        <v>2001409</v>
      </c>
      <c r="B3238" t="n">
        <v>2</v>
      </c>
      <c r="C3238" t="n">
        <v>1409</v>
      </c>
      <c r="D3238" t="n">
        <v>1</v>
      </c>
      <c r="E3238" t="n">
        <v>101.7101</v>
      </c>
      <c r="F3238" t="n">
        <v>0.04168</v>
      </c>
    </row>
    <row r="3239">
      <c r="A3239" t="n">
        <v>2001410</v>
      </c>
      <c r="B3239" t="n">
        <v>2</v>
      </c>
      <c r="C3239" t="n">
        <v>1410</v>
      </c>
      <c r="D3239" t="n">
        <v>1</v>
      </c>
      <c r="E3239" t="n">
        <v>101.7299</v>
      </c>
      <c r="F3239" t="n">
        <v>0.04169</v>
      </c>
    </row>
    <row r="3240">
      <c r="A3240" t="n">
        <v>2001411</v>
      </c>
      <c r="B3240" t="n">
        <v>2</v>
      </c>
      <c r="C3240" t="n">
        <v>1411</v>
      </c>
      <c r="D3240" t="n">
        <v>1</v>
      </c>
      <c r="E3240" t="n">
        <v>101.7497</v>
      </c>
      <c r="F3240" t="n">
        <v>0.04169</v>
      </c>
    </row>
    <row r="3241">
      <c r="A3241" t="n">
        <v>2001412</v>
      </c>
      <c r="B3241" t="n">
        <v>2</v>
      </c>
      <c r="C3241" t="n">
        <v>1412</v>
      </c>
      <c r="D3241" t="n">
        <v>1</v>
      </c>
      <c r="E3241" t="n">
        <v>101.7695</v>
      </c>
      <c r="F3241" t="n">
        <v>0.0417</v>
      </c>
    </row>
    <row r="3242">
      <c r="A3242" t="n">
        <v>2001413</v>
      </c>
      <c r="B3242" t="n">
        <v>2</v>
      </c>
      <c r="C3242" t="n">
        <v>1413</v>
      </c>
      <c r="D3242" t="n">
        <v>1</v>
      </c>
      <c r="E3242" t="n">
        <v>101.7893</v>
      </c>
      <c r="F3242" t="n">
        <v>0.0417</v>
      </c>
    </row>
    <row r="3243">
      <c r="A3243" t="n">
        <v>2001414</v>
      </c>
      <c r="B3243" t="n">
        <v>2</v>
      </c>
      <c r="C3243" t="n">
        <v>1414</v>
      </c>
      <c r="D3243" t="n">
        <v>1</v>
      </c>
      <c r="E3243" t="n">
        <v>101.8091</v>
      </c>
      <c r="F3243" t="n">
        <v>0.04171</v>
      </c>
    </row>
    <row r="3244">
      <c r="A3244" t="n">
        <v>2001415</v>
      </c>
      <c r="B3244" t="n">
        <v>2</v>
      </c>
      <c r="C3244" t="n">
        <v>1415</v>
      </c>
      <c r="D3244" t="n">
        <v>1</v>
      </c>
      <c r="E3244" t="n">
        <v>101.8289</v>
      </c>
      <c r="F3244" t="n">
        <v>0.04171</v>
      </c>
    </row>
    <row r="3245">
      <c r="A3245" t="n">
        <v>2001416</v>
      </c>
      <c r="B3245" t="n">
        <v>2</v>
      </c>
      <c r="C3245" t="n">
        <v>1416</v>
      </c>
      <c r="D3245" t="n">
        <v>1</v>
      </c>
      <c r="E3245" t="n">
        <v>101.8487</v>
      </c>
      <c r="F3245" t="n">
        <v>0.04172</v>
      </c>
    </row>
    <row r="3246">
      <c r="A3246" t="n">
        <v>2001417</v>
      </c>
      <c r="B3246" t="n">
        <v>2</v>
      </c>
      <c r="C3246" t="n">
        <v>1417</v>
      </c>
      <c r="D3246" t="n">
        <v>1</v>
      </c>
      <c r="E3246" t="n">
        <v>101.8685</v>
      </c>
      <c r="F3246" t="n">
        <v>0.04172</v>
      </c>
    </row>
    <row r="3247">
      <c r="A3247" t="n">
        <v>2001418</v>
      </c>
      <c r="B3247" t="n">
        <v>2</v>
      </c>
      <c r="C3247" t="n">
        <v>1418</v>
      </c>
      <c r="D3247" t="n">
        <v>1</v>
      </c>
      <c r="E3247" t="n">
        <v>101.8883</v>
      </c>
      <c r="F3247" t="n">
        <v>0.04173</v>
      </c>
    </row>
    <row r="3248">
      <c r="A3248" t="n">
        <v>2001419</v>
      </c>
      <c r="B3248" t="n">
        <v>2</v>
      </c>
      <c r="C3248" t="n">
        <v>1419</v>
      </c>
      <c r="D3248" t="n">
        <v>1</v>
      </c>
      <c r="E3248" t="n">
        <v>101.908</v>
      </c>
      <c r="F3248" t="n">
        <v>0.04173</v>
      </c>
    </row>
    <row r="3249">
      <c r="A3249" t="n">
        <v>2001420</v>
      </c>
      <c r="B3249" t="n">
        <v>2</v>
      </c>
      <c r="C3249" t="n">
        <v>1420</v>
      </c>
      <c r="D3249" t="n">
        <v>1</v>
      </c>
      <c r="E3249" t="n">
        <v>101.9278</v>
      </c>
      <c r="F3249" t="n">
        <v>0.04174</v>
      </c>
    </row>
    <row r="3250">
      <c r="A3250" t="n">
        <v>2001421</v>
      </c>
      <c r="B3250" t="n">
        <v>2</v>
      </c>
      <c r="C3250" t="n">
        <v>1421</v>
      </c>
      <c r="D3250" t="n">
        <v>1</v>
      </c>
      <c r="E3250" t="n">
        <v>101.9475</v>
      </c>
      <c r="F3250" t="n">
        <v>0.04174</v>
      </c>
    </row>
    <row r="3251">
      <c r="A3251" t="n">
        <v>2001422</v>
      </c>
      <c r="B3251" t="n">
        <v>2</v>
      </c>
      <c r="C3251" t="n">
        <v>1422</v>
      </c>
      <c r="D3251" t="n">
        <v>1</v>
      </c>
      <c r="E3251" t="n">
        <v>101.9673</v>
      </c>
      <c r="F3251" t="n">
        <v>0.04175</v>
      </c>
    </row>
    <row r="3252">
      <c r="A3252" t="n">
        <v>2001423</v>
      </c>
      <c r="B3252" t="n">
        <v>2</v>
      </c>
      <c r="C3252" t="n">
        <v>1423</v>
      </c>
      <c r="D3252" t="n">
        <v>1</v>
      </c>
      <c r="E3252" t="n">
        <v>101.987</v>
      </c>
      <c r="F3252" t="n">
        <v>0.04175</v>
      </c>
    </row>
    <row r="3253">
      <c r="A3253" t="n">
        <v>2001424</v>
      </c>
      <c r="B3253" t="n">
        <v>2</v>
      </c>
      <c r="C3253" t="n">
        <v>1424</v>
      </c>
      <c r="D3253" t="n">
        <v>1</v>
      </c>
      <c r="E3253" t="n">
        <v>102.0067</v>
      </c>
      <c r="F3253" t="n">
        <v>0.04175</v>
      </c>
    </row>
    <row r="3254">
      <c r="A3254" t="n">
        <v>2001425</v>
      </c>
      <c r="B3254" t="n">
        <v>2</v>
      </c>
      <c r="C3254" t="n">
        <v>1425</v>
      </c>
      <c r="D3254" t="n">
        <v>1</v>
      </c>
      <c r="E3254" t="n">
        <v>102.0264</v>
      </c>
      <c r="F3254" t="n">
        <v>0.04176</v>
      </c>
    </row>
    <row r="3255">
      <c r="A3255" t="n">
        <v>2001426</v>
      </c>
      <c r="B3255" t="n">
        <v>2</v>
      </c>
      <c r="C3255" t="n">
        <v>1426</v>
      </c>
      <c r="D3255" t="n">
        <v>1</v>
      </c>
      <c r="E3255" t="n">
        <v>102.0461</v>
      </c>
      <c r="F3255" t="n">
        <v>0.04176</v>
      </c>
    </row>
    <row r="3256">
      <c r="A3256" t="n">
        <v>2001427</v>
      </c>
      <c r="B3256" t="n">
        <v>2</v>
      </c>
      <c r="C3256" t="n">
        <v>1427</v>
      </c>
      <c r="D3256" t="n">
        <v>1</v>
      </c>
      <c r="E3256" t="n">
        <v>102.0658</v>
      </c>
      <c r="F3256" t="n">
        <v>0.04177</v>
      </c>
    </row>
    <row r="3257">
      <c r="A3257" t="n">
        <v>2001428</v>
      </c>
      <c r="B3257" t="n">
        <v>2</v>
      </c>
      <c r="C3257" t="n">
        <v>1428</v>
      </c>
      <c r="D3257" t="n">
        <v>1</v>
      </c>
      <c r="E3257" t="n">
        <v>102.0855</v>
      </c>
      <c r="F3257" t="n">
        <v>0.04177</v>
      </c>
    </row>
    <row r="3258">
      <c r="A3258" t="n">
        <v>2001429</v>
      </c>
      <c r="B3258" t="n">
        <v>2</v>
      </c>
      <c r="C3258" t="n">
        <v>1429</v>
      </c>
      <c r="D3258" t="n">
        <v>1</v>
      </c>
      <c r="E3258" t="n">
        <v>102.1052</v>
      </c>
      <c r="F3258" t="n">
        <v>0.04178</v>
      </c>
    </row>
    <row r="3259">
      <c r="A3259" t="n">
        <v>2001430</v>
      </c>
      <c r="B3259" t="n">
        <v>2</v>
      </c>
      <c r="C3259" t="n">
        <v>1430</v>
      </c>
      <c r="D3259" t="n">
        <v>1</v>
      </c>
      <c r="E3259" t="n">
        <v>102.1249</v>
      </c>
      <c r="F3259" t="n">
        <v>0.04178</v>
      </c>
    </row>
    <row r="3260">
      <c r="A3260" t="n">
        <v>2001431</v>
      </c>
      <c r="B3260" t="n">
        <v>2</v>
      </c>
      <c r="C3260" t="n">
        <v>1431</v>
      </c>
      <c r="D3260" t="n">
        <v>1</v>
      </c>
      <c r="E3260" t="n">
        <v>102.1446</v>
      </c>
      <c r="F3260" t="n">
        <v>0.04179</v>
      </c>
    </row>
    <row r="3261">
      <c r="A3261" t="n">
        <v>2001432</v>
      </c>
      <c r="B3261" t="n">
        <v>2</v>
      </c>
      <c r="C3261" t="n">
        <v>1432</v>
      </c>
      <c r="D3261" t="n">
        <v>1</v>
      </c>
      <c r="E3261" t="n">
        <v>102.1642</v>
      </c>
      <c r="F3261" t="n">
        <v>0.04179</v>
      </c>
    </row>
    <row r="3262">
      <c r="A3262" t="n">
        <v>2001433</v>
      </c>
      <c r="B3262" t="n">
        <v>2</v>
      </c>
      <c r="C3262" t="n">
        <v>1433</v>
      </c>
      <c r="D3262" t="n">
        <v>1</v>
      </c>
      <c r="E3262" t="n">
        <v>102.1839</v>
      </c>
      <c r="F3262" t="n">
        <v>0.0418</v>
      </c>
    </row>
    <row r="3263">
      <c r="A3263" t="n">
        <v>2001434</v>
      </c>
      <c r="B3263" t="n">
        <v>2</v>
      </c>
      <c r="C3263" t="n">
        <v>1434</v>
      </c>
      <c r="D3263" t="n">
        <v>1</v>
      </c>
      <c r="E3263" t="n">
        <v>102.2035</v>
      </c>
      <c r="F3263" t="n">
        <v>0.0418</v>
      </c>
    </row>
    <row r="3264">
      <c r="A3264" t="n">
        <v>2001435</v>
      </c>
      <c r="B3264" t="n">
        <v>2</v>
      </c>
      <c r="C3264" t="n">
        <v>1435</v>
      </c>
      <c r="D3264" t="n">
        <v>1</v>
      </c>
      <c r="E3264" t="n">
        <v>102.2232</v>
      </c>
      <c r="F3264" t="n">
        <v>0.04181</v>
      </c>
    </row>
    <row r="3265">
      <c r="A3265" t="n">
        <v>2001436</v>
      </c>
      <c r="B3265" t="n">
        <v>2</v>
      </c>
      <c r="C3265" t="n">
        <v>1436</v>
      </c>
      <c r="D3265" t="n">
        <v>1</v>
      </c>
      <c r="E3265" t="n">
        <v>102.2428</v>
      </c>
      <c r="F3265" t="n">
        <v>0.04181</v>
      </c>
    </row>
    <row r="3266">
      <c r="A3266" t="n">
        <v>2001437</v>
      </c>
      <c r="B3266" t="n">
        <v>2</v>
      </c>
      <c r="C3266" t="n">
        <v>1437</v>
      </c>
      <c r="D3266" t="n">
        <v>1</v>
      </c>
      <c r="E3266" t="n">
        <v>102.2624</v>
      </c>
      <c r="F3266" t="n">
        <v>0.04181</v>
      </c>
    </row>
    <row r="3267">
      <c r="A3267" t="n">
        <v>2001438</v>
      </c>
      <c r="B3267" t="n">
        <v>2</v>
      </c>
      <c r="C3267" t="n">
        <v>1438</v>
      </c>
      <c r="D3267" t="n">
        <v>1</v>
      </c>
      <c r="E3267" t="n">
        <v>102.282</v>
      </c>
      <c r="F3267" t="n">
        <v>0.04182</v>
      </c>
    </row>
    <row r="3268">
      <c r="A3268" t="n">
        <v>2001439</v>
      </c>
      <c r="B3268" t="n">
        <v>2</v>
      </c>
      <c r="C3268" t="n">
        <v>1439</v>
      </c>
      <c r="D3268" t="n">
        <v>1</v>
      </c>
      <c r="E3268" t="n">
        <v>102.3016</v>
      </c>
      <c r="F3268" t="n">
        <v>0.04182</v>
      </c>
    </row>
    <row r="3269">
      <c r="A3269" t="n">
        <v>2001440</v>
      </c>
      <c r="B3269" t="n">
        <v>2</v>
      </c>
      <c r="C3269" t="n">
        <v>1440</v>
      </c>
      <c r="D3269" t="n">
        <v>1</v>
      </c>
      <c r="E3269" t="n">
        <v>102.3212</v>
      </c>
      <c r="F3269" t="n">
        <v>0.04183</v>
      </c>
    </row>
    <row r="3270">
      <c r="A3270" t="n">
        <v>2001441</v>
      </c>
      <c r="B3270" t="n">
        <v>2</v>
      </c>
      <c r="C3270" t="n">
        <v>1441</v>
      </c>
      <c r="D3270" t="n">
        <v>1</v>
      </c>
      <c r="E3270" t="n">
        <v>102.3408</v>
      </c>
      <c r="F3270" t="n">
        <v>0.04183</v>
      </c>
    </row>
    <row r="3271">
      <c r="A3271" t="n">
        <v>2001442</v>
      </c>
      <c r="B3271" t="n">
        <v>2</v>
      </c>
      <c r="C3271" t="n">
        <v>1442</v>
      </c>
      <c r="D3271" t="n">
        <v>1</v>
      </c>
      <c r="E3271" t="n">
        <v>102.3604</v>
      </c>
      <c r="F3271" t="n">
        <v>0.04184</v>
      </c>
    </row>
    <row r="3272">
      <c r="A3272" t="n">
        <v>2001443</v>
      </c>
      <c r="B3272" t="n">
        <v>2</v>
      </c>
      <c r="C3272" t="n">
        <v>1443</v>
      </c>
      <c r="D3272" t="n">
        <v>1</v>
      </c>
      <c r="E3272" t="n">
        <v>102.38</v>
      </c>
      <c r="F3272" t="n">
        <v>0.04184</v>
      </c>
    </row>
    <row r="3273">
      <c r="A3273" t="n">
        <v>2001444</v>
      </c>
      <c r="B3273" t="n">
        <v>2</v>
      </c>
      <c r="C3273" t="n">
        <v>1444</v>
      </c>
      <c r="D3273" t="n">
        <v>1</v>
      </c>
      <c r="E3273" t="n">
        <v>102.3996</v>
      </c>
      <c r="F3273" t="n">
        <v>0.04185</v>
      </c>
    </row>
    <row r="3274">
      <c r="A3274" t="n">
        <v>2001445</v>
      </c>
      <c r="B3274" t="n">
        <v>2</v>
      </c>
      <c r="C3274" t="n">
        <v>1445</v>
      </c>
      <c r="D3274" t="n">
        <v>1</v>
      </c>
      <c r="E3274" t="n">
        <v>102.4191</v>
      </c>
      <c r="F3274" t="n">
        <v>0.04185</v>
      </c>
    </row>
    <row r="3275">
      <c r="A3275" t="n">
        <v>2001446</v>
      </c>
      <c r="B3275" t="n">
        <v>2</v>
      </c>
      <c r="C3275" t="n">
        <v>1446</v>
      </c>
      <c r="D3275" t="n">
        <v>1</v>
      </c>
      <c r="E3275" t="n">
        <v>102.4387</v>
      </c>
      <c r="F3275" t="n">
        <v>0.04186</v>
      </c>
    </row>
    <row r="3276">
      <c r="A3276" t="n">
        <v>2001447</v>
      </c>
      <c r="B3276" t="n">
        <v>2</v>
      </c>
      <c r="C3276" t="n">
        <v>1447</v>
      </c>
      <c r="D3276" t="n">
        <v>1</v>
      </c>
      <c r="E3276" t="n">
        <v>102.4582</v>
      </c>
      <c r="F3276" t="n">
        <v>0.04186</v>
      </c>
    </row>
    <row r="3277">
      <c r="A3277" t="n">
        <v>2001448</v>
      </c>
      <c r="B3277" t="n">
        <v>2</v>
      </c>
      <c r="C3277" t="n">
        <v>1448</v>
      </c>
      <c r="D3277" t="n">
        <v>1</v>
      </c>
      <c r="E3277" t="n">
        <v>102.4778</v>
      </c>
      <c r="F3277" t="n">
        <v>0.04187</v>
      </c>
    </row>
    <row r="3278">
      <c r="A3278" t="n">
        <v>2001449</v>
      </c>
      <c r="B3278" t="n">
        <v>2</v>
      </c>
      <c r="C3278" t="n">
        <v>1449</v>
      </c>
      <c r="D3278" t="n">
        <v>1</v>
      </c>
      <c r="E3278" t="n">
        <v>102.4973</v>
      </c>
      <c r="F3278" t="n">
        <v>0.04187</v>
      </c>
    </row>
    <row r="3279">
      <c r="A3279" t="n">
        <v>2001450</v>
      </c>
      <c r="B3279" t="n">
        <v>2</v>
      </c>
      <c r="C3279" t="n">
        <v>1450</v>
      </c>
      <c r="D3279" t="n">
        <v>1</v>
      </c>
      <c r="E3279" t="n">
        <v>102.5168</v>
      </c>
      <c r="F3279" t="n">
        <v>0.04187</v>
      </c>
    </row>
    <row r="3280">
      <c r="A3280" t="n">
        <v>2001451</v>
      </c>
      <c r="B3280" t="n">
        <v>2</v>
      </c>
      <c r="C3280" t="n">
        <v>1451</v>
      </c>
      <c r="D3280" t="n">
        <v>1</v>
      </c>
      <c r="E3280" t="n">
        <v>102.5364</v>
      </c>
      <c r="F3280" t="n">
        <v>0.04188</v>
      </c>
    </row>
    <row r="3281">
      <c r="A3281" t="n">
        <v>2001452</v>
      </c>
      <c r="B3281" t="n">
        <v>2</v>
      </c>
      <c r="C3281" t="n">
        <v>1452</v>
      </c>
      <c r="D3281" t="n">
        <v>1</v>
      </c>
      <c r="E3281" t="n">
        <v>102.5559</v>
      </c>
      <c r="F3281" t="n">
        <v>0.04188</v>
      </c>
    </row>
    <row r="3282">
      <c r="A3282" t="n">
        <v>2001453</v>
      </c>
      <c r="B3282" t="n">
        <v>2</v>
      </c>
      <c r="C3282" t="n">
        <v>1453</v>
      </c>
      <c r="D3282" t="n">
        <v>1</v>
      </c>
      <c r="E3282" t="n">
        <v>102.5754</v>
      </c>
      <c r="F3282" t="n">
        <v>0.04189</v>
      </c>
    </row>
    <row r="3283">
      <c r="A3283" t="n">
        <v>2001454</v>
      </c>
      <c r="B3283" t="n">
        <v>2</v>
      </c>
      <c r="C3283" t="n">
        <v>1454</v>
      </c>
      <c r="D3283" t="n">
        <v>1</v>
      </c>
      <c r="E3283" t="n">
        <v>102.5949</v>
      </c>
      <c r="F3283" t="n">
        <v>0.04189</v>
      </c>
    </row>
    <row r="3284">
      <c r="A3284" t="n">
        <v>2001455</v>
      </c>
      <c r="B3284" t="n">
        <v>2</v>
      </c>
      <c r="C3284" t="n">
        <v>1455</v>
      </c>
      <c r="D3284" t="n">
        <v>1</v>
      </c>
      <c r="E3284" t="n">
        <v>102.6144</v>
      </c>
      <c r="F3284" t="n">
        <v>0.0419</v>
      </c>
    </row>
    <row r="3285">
      <c r="A3285" t="n">
        <v>2001456</v>
      </c>
      <c r="B3285" t="n">
        <v>2</v>
      </c>
      <c r="C3285" t="n">
        <v>1456</v>
      </c>
      <c r="D3285" t="n">
        <v>1</v>
      </c>
      <c r="E3285" t="n">
        <v>102.6338</v>
      </c>
      <c r="F3285" t="n">
        <v>0.0419</v>
      </c>
    </row>
    <row r="3286">
      <c r="A3286" t="n">
        <v>2001457</v>
      </c>
      <c r="B3286" t="n">
        <v>2</v>
      </c>
      <c r="C3286" t="n">
        <v>1457</v>
      </c>
      <c r="D3286" t="n">
        <v>1</v>
      </c>
      <c r="E3286" t="n">
        <v>102.6533</v>
      </c>
      <c r="F3286" t="n">
        <v>0.04191</v>
      </c>
    </row>
    <row r="3287">
      <c r="A3287" t="n">
        <v>2001458</v>
      </c>
      <c r="B3287" t="n">
        <v>2</v>
      </c>
      <c r="C3287" t="n">
        <v>1458</v>
      </c>
      <c r="D3287" t="n">
        <v>1</v>
      </c>
      <c r="E3287" t="n">
        <v>102.6728</v>
      </c>
      <c r="F3287" t="n">
        <v>0.04191</v>
      </c>
    </row>
    <row r="3288">
      <c r="A3288" t="n">
        <v>2001459</v>
      </c>
      <c r="B3288" t="n">
        <v>2</v>
      </c>
      <c r="C3288" t="n">
        <v>1459</v>
      </c>
      <c r="D3288" t="n">
        <v>1</v>
      </c>
      <c r="E3288" t="n">
        <v>102.6923</v>
      </c>
      <c r="F3288" t="n">
        <v>0.04192</v>
      </c>
    </row>
    <row r="3289">
      <c r="A3289" t="n">
        <v>2001460</v>
      </c>
      <c r="B3289" t="n">
        <v>2</v>
      </c>
      <c r="C3289" t="n">
        <v>1460</v>
      </c>
      <c r="D3289" t="n">
        <v>1</v>
      </c>
      <c r="E3289" t="n">
        <v>102.7117</v>
      </c>
      <c r="F3289" t="n">
        <v>0.04192</v>
      </c>
    </row>
    <row r="3290">
      <c r="A3290" t="n">
        <v>2001461</v>
      </c>
      <c r="B3290" t="n">
        <v>2</v>
      </c>
      <c r="C3290" t="n">
        <v>1461</v>
      </c>
      <c r="D3290" t="n">
        <v>1</v>
      </c>
      <c r="E3290" t="n">
        <v>102.7312</v>
      </c>
      <c r="F3290" t="n">
        <v>0.04193</v>
      </c>
    </row>
    <row r="3291">
      <c r="A3291" t="n">
        <v>2001462</v>
      </c>
      <c r="B3291" t="n">
        <v>2</v>
      </c>
      <c r="C3291" t="n">
        <v>1462</v>
      </c>
      <c r="D3291" t="n">
        <v>1</v>
      </c>
      <c r="E3291" t="n">
        <v>102.7506</v>
      </c>
      <c r="F3291" t="n">
        <v>0.04193</v>
      </c>
    </row>
    <row r="3292">
      <c r="A3292" t="n">
        <v>2001463</v>
      </c>
      <c r="B3292" t="n">
        <v>2</v>
      </c>
      <c r="C3292" t="n">
        <v>1463</v>
      </c>
      <c r="D3292" t="n">
        <v>1</v>
      </c>
      <c r="E3292" t="n">
        <v>102.77</v>
      </c>
      <c r="F3292" t="n">
        <v>0.04193</v>
      </c>
    </row>
    <row r="3293">
      <c r="A3293" t="n">
        <v>2001464</v>
      </c>
      <c r="B3293" t="n">
        <v>2</v>
      </c>
      <c r="C3293" t="n">
        <v>1464</v>
      </c>
      <c r="D3293" t="n">
        <v>1</v>
      </c>
      <c r="E3293" t="n">
        <v>102.7895</v>
      </c>
      <c r="F3293" t="n">
        <v>0.04194</v>
      </c>
    </row>
    <row r="3294">
      <c r="A3294" t="n">
        <v>2001465</v>
      </c>
      <c r="B3294" t="n">
        <v>2</v>
      </c>
      <c r="C3294" t="n">
        <v>1465</v>
      </c>
      <c r="D3294" t="n">
        <v>1</v>
      </c>
      <c r="E3294" t="n">
        <v>102.8089</v>
      </c>
      <c r="F3294" t="n">
        <v>0.04194</v>
      </c>
    </row>
    <row r="3295">
      <c r="A3295" t="n">
        <v>2001466</v>
      </c>
      <c r="B3295" t="n">
        <v>2</v>
      </c>
      <c r="C3295" t="n">
        <v>1466</v>
      </c>
      <c r="D3295" t="n">
        <v>1</v>
      </c>
      <c r="E3295" t="n">
        <v>102.8283</v>
      </c>
      <c r="F3295" t="n">
        <v>0.04195</v>
      </c>
    </row>
    <row r="3296">
      <c r="A3296" t="n">
        <v>2001467</v>
      </c>
      <c r="B3296" t="n">
        <v>2</v>
      </c>
      <c r="C3296" t="n">
        <v>1467</v>
      </c>
      <c r="D3296" t="n">
        <v>1</v>
      </c>
      <c r="E3296" t="n">
        <v>102.8477</v>
      </c>
      <c r="F3296" t="n">
        <v>0.04195</v>
      </c>
    </row>
    <row r="3297">
      <c r="A3297" t="n">
        <v>2001468</v>
      </c>
      <c r="B3297" t="n">
        <v>2</v>
      </c>
      <c r="C3297" t="n">
        <v>1468</v>
      </c>
      <c r="D3297" t="n">
        <v>1</v>
      </c>
      <c r="E3297" t="n">
        <v>102.8671</v>
      </c>
      <c r="F3297" t="n">
        <v>0.04196</v>
      </c>
    </row>
    <row r="3298">
      <c r="A3298" t="n">
        <v>2001469</v>
      </c>
      <c r="B3298" t="n">
        <v>2</v>
      </c>
      <c r="C3298" t="n">
        <v>1469</v>
      </c>
      <c r="D3298" t="n">
        <v>1</v>
      </c>
      <c r="E3298" t="n">
        <v>102.8865</v>
      </c>
      <c r="F3298" t="n">
        <v>0.04196</v>
      </c>
    </row>
    <row r="3299">
      <c r="A3299" t="n">
        <v>2001470</v>
      </c>
      <c r="B3299" t="n">
        <v>2</v>
      </c>
      <c r="C3299" t="n">
        <v>1470</v>
      </c>
      <c r="D3299" t="n">
        <v>1</v>
      </c>
      <c r="E3299" t="n">
        <v>102.9059</v>
      </c>
      <c r="F3299" t="n">
        <v>0.04197</v>
      </c>
    </row>
    <row r="3300">
      <c r="A3300" t="n">
        <v>2001471</v>
      </c>
      <c r="B3300" t="n">
        <v>2</v>
      </c>
      <c r="C3300" t="n">
        <v>1471</v>
      </c>
      <c r="D3300" t="n">
        <v>1</v>
      </c>
      <c r="E3300" t="n">
        <v>102.9252</v>
      </c>
      <c r="F3300" t="n">
        <v>0.04197</v>
      </c>
    </row>
    <row r="3301">
      <c r="A3301" t="n">
        <v>2001472</v>
      </c>
      <c r="B3301" t="n">
        <v>2</v>
      </c>
      <c r="C3301" t="n">
        <v>1472</v>
      </c>
      <c r="D3301" t="n">
        <v>1</v>
      </c>
      <c r="E3301" t="n">
        <v>102.9446</v>
      </c>
      <c r="F3301" t="n">
        <v>0.04198</v>
      </c>
    </row>
    <row r="3302">
      <c r="A3302" t="n">
        <v>2001473</v>
      </c>
      <c r="B3302" t="n">
        <v>2</v>
      </c>
      <c r="C3302" t="n">
        <v>1473</v>
      </c>
      <c r="D3302" t="n">
        <v>1</v>
      </c>
      <c r="E3302" t="n">
        <v>102.964</v>
      </c>
      <c r="F3302" t="n">
        <v>0.04198</v>
      </c>
    </row>
    <row r="3303">
      <c r="A3303" t="n">
        <v>2001474</v>
      </c>
      <c r="B3303" t="n">
        <v>2</v>
      </c>
      <c r="C3303" t="n">
        <v>1474</v>
      </c>
      <c r="D3303" t="n">
        <v>1</v>
      </c>
      <c r="E3303" t="n">
        <v>102.9833</v>
      </c>
      <c r="F3303" t="n">
        <v>0.04198</v>
      </c>
    </row>
    <row r="3304">
      <c r="A3304" t="n">
        <v>2001475</v>
      </c>
      <c r="B3304" t="n">
        <v>2</v>
      </c>
      <c r="C3304" t="n">
        <v>1475</v>
      </c>
      <c r="D3304" t="n">
        <v>1</v>
      </c>
      <c r="E3304" t="n">
        <v>103.0027</v>
      </c>
      <c r="F3304" t="n">
        <v>0.04199</v>
      </c>
    </row>
    <row r="3305">
      <c r="A3305" t="n">
        <v>2001476</v>
      </c>
      <c r="B3305" t="n">
        <v>2</v>
      </c>
      <c r="C3305" t="n">
        <v>1476</v>
      </c>
      <c r="D3305" t="n">
        <v>1</v>
      </c>
      <c r="E3305" t="n">
        <v>103.022</v>
      </c>
      <c r="F3305" t="n">
        <v>0.04199</v>
      </c>
    </row>
    <row r="3306">
      <c r="A3306" t="n">
        <v>2001477</v>
      </c>
      <c r="B3306" t="n">
        <v>2</v>
      </c>
      <c r="C3306" t="n">
        <v>1477</v>
      </c>
      <c r="D3306" t="n">
        <v>1</v>
      </c>
      <c r="E3306" t="n">
        <v>103.0414</v>
      </c>
      <c r="F3306" t="n">
        <v>0.042</v>
      </c>
    </row>
    <row r="3307">
      <c r="A3307" t="n">
        <v>2001478</v>
      </c>
      <c r="B3307" t="n">
        <v>2</v>
      </c>
      <c r="C3307" t="n">
        <v>1478</v>
      </c>
      <c r="D3307" t="n">
        <v>1</v>
      </c>
      <c r="E3307" t="n">
        <v>103.0607</v>
      </c>
      <c r="F3307" t="n">
        <v>0.042</v>
      </c>
    </row>
    <row r="3308">
      <c r="A3308" t="n">
        <v>2001479</v>
      </c>
      <c r="B3308" t="n">
        <v>2</v>
      </c>
      <c r="C3308" t="n">
        <v>1479</v>
      </c>
      <c r="D3308" t="n">
        <v>1</v>
      </c>
      <c r="E3308" t="n">
        <v>103.08</v>
      </c>
      <c r="F3308" t="n">
        <v>0.04201</v>
      </c>
    </row>
    <row r="3309">
      <c r="A3309" t="n">
        <v>2001480</v>
      </c>
      <c r="B3309" t="n">
        <v>2</v>
      </c>
      <c r="C3309" t="n">
        <v>1480</v>
      </c>
      <c r="D3309" t="n">
        <v>1</v>
      </c>
      <c r="E3309" t="n">
        <v>103.0993</v>
      </c>
      <c r="F3309" t="n">
        <v>0.04201</v>
      </c>
    </row>
    <row r="3310">
      <c r="A3310" t="n">
        <v>2001481</v>
      </c>
      <c r="B3310" t="n">
        <v>2</v>
      </c>
      <c r="C3310" t="n">
        <v>1481</v>
      </c>
      <c r="D3310" t="n">
        <v>1</v>
      </c>
      <c r="E3310" t="n">
        <v>103.1186</v>
      </c>
      <c r="F3310" t="n">
        <v>0.04202</v>
      </c>
    </row>
    <row r="3311">
      <c r="A3311" t="n">
        <v>2001482</v>
      </c>
      <c r="B3311" t="n">
        <v>2</v>
      </c>
      <c r="C3311" t="n">
        <v>1482</v>
      </c>
      <c r="D3311" t="n">
        <v>1</v>
      </c>
      <c r="E3311" t="n">
        <v>103.1379</v>
      </c>
      <c r="F3311" t="n">
        <v>0.04202</v>
      </c>
    </row>
    <row r="3312">
      <c r="A3312" t="n">
        <v>2001483</v>
      </c>
      <c r="B3312" t="n">
        <v>2</v>
      </c>
      <c r="C3312" t="n">
        <v>1483</v>
      </c>
      <c r="D3312" t="n">
        <v>1</v>
      </c>
      <c r="E3312" t="n">
        <v>103.1572</v>
      </c>
      <c r="F3312" t="n">
        <v>0.04203</v>
      </c>
    </row>
    <row r="3313">
      <c r="A3313" t="n">
        <v>2001484</v>
      </c>
      <c r="B3313" t="n">
        <v>2</v>
      </c>
      <c r="C3313" t="n">
        <v>1484</v>
      </c>
      <c r="D3313" t="n">
        <v>1</v>
      </c>
      <c r="E3313" t="n">
        <v>103.1765</v>
      </c>
      <c r="F3313" t="n">
        <v>0.04203</v>
      </c>
    </row>
    <row r="3314">
      <c r="A3314" t="n">
        <v>2001485</v>
      </c>
      <c r="B3314" t="n">
        <v>2</v>
      </c>
      <c r="C3314" t="n">
        <v>1485</v>
      </c>
      <c r="D3314" t="n">
        <v>1</v>
      </c>
      <c r="E3314" t="n">
        <v>103.1958</v>
      </c>
      <c r="F3314" t="n">
        <v>0.04203</v>
      </c>
    </row>
    <row r="3315">
      <c r="A3315" t="n">
        <v>2001486</v>
      </c>
      <c r="B3315" t="n">
        <v>2</v>
      </c>
      <c r="C3315" t="n">
        <v>1486</v>
      </c>
      <c r="D3315" t="n">
        <v>1</v>
      </c>
      <c r="E3315" t="n">
        <v>103.2151</v>
      </c>
      <c r="F3315" t="n">
        <v>0.04204</v>
      </c>
    </row>
    <row r="3316">
      <c r="A3316" t="n">
        <v>2001487</v>
      </c>
      <c r="B3316" t="n">
        <v>2</v>
      </c>
      <c r="C3316" t="n">
        <v>1487</v>
      </c>
      <c r="D3316" t="n">
        <v>1</v>
      </c>
      <c r="E3316" t="n">
        <v>103.2343</v>
      </c>
      <c r="F3316" t="n">
        <v>0.04204</v>
      </c>
    </row>
    <row r="3317">
      <c r="A3317" t="n">
        <v>2001488</v>
      </c>
      <c r="B3317" t="n">
        <v>2</v>
      </c>
      <c r="C3317" t="n">
        <v>1488</v>
      </c>
      <c r="D3317" t="n">
        <v>1</v>
      </c>
      <c r="E3317" t="n">
        <v>103.2536</v>
      </c>
      <c r="F3317" t="n">
        <v>0.04205</v>
      </c>
    </row>
    <row r="3318">
      <c r="A3318" t="n">
        <v>2001489</v>
      </c>
      <c r="B3318" t="n">
        <v>2</v>
      </c>
      <c r="C3318" t="n">
        <v>1489</v>
      </c>
      <c r="D3318" t="n">
        <v>1</v>
      </c>
      <c r="E3318" t="n">
        <v>103.2728</v>
      </c>
      <c r="F3318" t="n">
        <v>0.04205</v>
      </c>
    </row>
    <row r="3319">
      <c r="A3319" t="n">
        <v>2001490</v>
      </c>
      <c r="B3319" t="n">
        <v>2</v>
      </c>
      <c r="C3319" t="n">
        <v>1490</v>
      </c>
      <c r="D3319" t="n">
        <v>1</v>
      </c>
      <c r="E3319" t="n">
        <v>103.2921</v>
      </c>
      <c r="F3319" t="n">
        <v>0.04206</v>
      </c>
    </row>
    <row r="3320">
      <c r="A3320" t="n">
        <v>2001491</v>
      </c>
      <c r="B3320" t="n">
        <v>2</v>
      </c>
      <c r="C3320" t="n">
        <v>1491</v>
      </c>
      <c r="D3320" t="n">
        <v>1</v>
      </c>
      <c r="E3320" t="n">
        <v>103.3113</v>
      </c>
      <c r="F3320" t="n">
        <v>0.04206</v>
      </c>
    </row>
    <row r="3321">
      <c r="A3321" t="n">
        <v>2001492</v>
      </c>
      <c r="B3321" t="n">
        <v>2</v>
      </c>
      <c r="C3321" t="n">
        <v>1492</v>
      </c>
      <c r="D3321" t="n">
        <v>1</v>
      </c>
      <c r="E3321" t="n">
        <v>103.3306</v>
      </c>
      <c r="F3321" t="n">
        <v>0.04207</v>
      </c>
    </row>
    <row r="3322">
      <c r="A3322" t="n">
        <v>2001493</v>
      </c>
      <c r="B3322" t="n">
        <v>2</v>
      </c>
      <c r="C3322" t="n">
        <v>1493</v>
      </c>
      <c r="D3322" t="n">
        <v>1</v>
      </c>
      <c r="E3322" t="n">
        <v>103.3498</v>
      </c>
      <c r="F3322" t="n">
        <v>0.04207</v>
      </c>
    </row>
    <row r="3323">
      <c r="A3323" t="n">
        <v>2001494</v>
      </c>
      <c r="B3323" t="n">
        <v>2</v>
      </c>
      <c r="C3323" t="n">
        <v>1494</v>
      </c>
      <c r="D3323" t="n">
        <v>1</v>
      </c>
      <c r="E3323" t="n">
        <v>103.369</v>
      </c>
      <c r="F3323" t="n">
        <v>0.04208</v>
      </c>
    </row>
    <row r="3324">
      <c r="A3324" t="n">
        <v>2001495</v>
      </c>
      <c r="B3324" t="n">
        <v>2</v>
      </c>
      <c r="C3324" t="n">
        <v>1495</v>
      </c>
      <c r="D3324" t="n">
        <v>1</v>
      </c>
      <c r="E3324" t="n">
        <v>103.3882</v>
      </c>
      <c r="F3324" t="n">
        <v>0.04208</v>
      </c>
    </row>
    <row r="3325">
      <c r="A3325" t="n">
        <v>2001496</v>
      </c>
      <c r="B3325" t="n">
        <v>2</v>
      </c>
      <c r="C3325" t="n">
        <v>1496</v>
      </c>
      <c r="D3325" t="n">
        <v>1</v>
      </c>
      <c r="E3325" t="n">
        <v>103.4074</v>
      </c>
      <c r="F3325" t="n">
        <v>0.04208</v>
      </c>
    </row>
    <row r="3326">
      <c r="A3326" t="n">
        <v>2001497</v>
      </c>
      <c r="B3326" t="n">
        <v>2</v>
      </c>
      <c r="C3326" t="n">
        <v>1497</v>
      </c>
      <c r="D3326" t="n">
        <v>1</v>
      </c>
      <c r="E3326" t="n">
        <v>103.4266</v>
      </c>
      <c r="F3326" t="n">
        <v>0.04209</v>
      </c>
    </row>
    <row r="3327">
      <c r="A3327" t="n">
        <v>2001498</v>
      </c>
      <c r="B3327" t="n">
        <v>2</v>
      </c>
      <c r="C3327" t="n">
        <v>1498</v>
      </c>
      <c r="D3327" t="n">
        <v>1</v>
      </c>
      <c r="E3327" t="n">
        <v>103.4458</v>
      </c>
      <c r="F3327" t="n">
        <v>0.04209</v>
      </c>
    </row>
    <row r="3328">
      <c r="A3328" t="n">
        <v>2001499</v>
      </c>
      <c r="B3328" t="n">
        <v>2</v>
      </c>
      <c r="C3328" t="n">
        <v>1499</v>
      </c>
      <c r="D3328" t="n">
        <v>1</v>
      </c>
      <c r="E3328" t="n">
        <v>103.465</v>
      </c>
      <c r="F3328" t="n">
        <v>0.0421</v>
      </c>
    </row>
    <row r="3329">
      <c r="A3329" t="n">
        <v>2001500</v>
      </c>
      <c r="B3329" t="n">
        <v>2</v>
      </c>
      <c r="C3329" t="n">
        <v>1500</v>
      </c>
      <c r="D3329" t="n">
        <v>1</v>
      </c>
      <c r="E3329" t="n">
        <v>103.4842</v>
      </c>
      <c r="F3329" t="n">
        <v>0.0421</v>
      </c>
    </row>
    <row r="3330">
      <c r="A3330" t="n">
        <v>2001501</v>
      </c>
      <c r="B3330" t="n">
        <v>2</v>
      </c>
      <c r="C3330" t="n">
        <v>1501</v>
      </c>
      <c r="D3330" t="n">
        <v>1</v>
      </c>
      <c r="E3330" t="n">
        <v>103.5034</v>
      </c>
      <c r="F3330" t="n">
        <v>0.04211</v>
      </c>
    </row>
    <row r="3331">
      <c r="A3331" t="n">
        <v>2001502</v>
      </c>
      <c r="B3331" t="n">
        <v>2</v>
      </c>
      <c r="C3331" t="n">
        <v>1502</v>
      </c>
      <c r="D3331" t="n">
        <v>1</v>
      </c>
      <c r="E3331" t="n">
        <v>103.5225</v>
      </c>
      <c r="F3331" t="n">
        <v>0.04211</v>
      </c>
    </row>
    <row r="3332">
      <c r="A3332" t="n">
        <v>2001503</v>
      </c>
      <c r="B3332" t="n">
        <v>2</v>
      </c>
      <c r="C3332" t="n">
        <v>1503</v>
      </c>
      <c r="D3332" t="n">
        <v>1</v>
      </c>
      <c r="E3332" t="n">
        <v>103.5417</v>
      </c>
      <c r="F3332" t="n">
        <v>0.04212</v>
      </c>
    </row>
    <row r="3333">
      <c r="A3333" t="n">
        <v>2001504</v>
      </c>
      <c r="B3333" t="n">
        <v>2</v>
      </c>
      <c r="C3333" t="n">
        <v>1504</v>
      </c>
      <c r="D3333" t="n">
        <v>1</v>
      </c>
      <c r="E3333" t="n">
        <v>103.5608</v>
      </c>
      <c r="F3333" t="n">
        <v>0.04212</v>
      </c>
    </row>
    <row r="3334">
      <c r="A3334" t="n">
        <v>2001505</v>
      </c>
      <c r="B3334" t="n">
        <v>2</v>
      </c>
      <c r="C3334" t="n">
        <v>1505</v>
      </c>
      <c r="D3334" t="n">
        <v>1</v>
      </c>
      <c r="E3334" t="n">
        <v>103.58</v>
      </c>
      <c r="F3334" t="n">
        <v>0.04212</v>
      </c>
    </row>
    <row r="3335">
      <c r="A3335" t="n">
        <v>2001506</v>
      </c>
      <c r="B3335" t="n">
        <v>2</v>
      </c>
      <c r="C3335" t="n">
        <v>1506</v>
      </c>
      <c r="D3335" t="n">
        <v>1</v>
      </c>
      <c r="E3335" t="n">
        <v>103.5991</v>
      </c>
      <c r="F3335" t="n">
        <v>0.04213</v>
      </c>
    </row>
    <row r="3336">
      <c r="A3336" t="n">
        <v>2001507</v>
      </c>
      <c r="B3336" t="n">
        <v>2</v>
      </c>
      <c r="C3336" t="n">
        <v>1507</v>
      </c>
      <c r="D3336" t="n">
        <v>1</v>
      </c>
      <c r="E3336" t="n">
        <v>103.6183</v>
      </c>
      <c r="F3336" t="n">
        <v>0.04213</v>
      </c>
    </row>
    <row r="3337">
      <c r="A3337" t="n">
        <v>2001508</v>
      </c>
      <c r="B3337" t="n">
        <v>2</v>
      </c>
      <c r="C3337" t="n">
        <v>1508</v>
      </c>
      <c r="D3337" t="n">
        <v>1</v>
      </c>
      <c r="E3337" t="n">
        <v>103.6374</v>
      </c>
      <c r="F3337" t="n">
        <v>0.04214</v>
      </c>
    </row>
    <row r="3338">
      <c r="A3338" t="n">
        <v>2001509</v>
      </c>
      <c r="B3338" t="n">
        <v>2</v>
      </c>
      <c r="C3338" t="n">
        <v>1509</v>
      </c>
      <c r="D3338" t="n">
        <v>1</v>
      </c>
      <c r="E3338" t="n">
        <v>103.6565</v>
      </c>
      <c r="F3338" t="n">
        <v>0.04214</v>
      </c>
    </row>
    <row r="3339">
      <c r="A3339" t="n">
        <v>2001510</v>
      </c>
      <c r="B3339" t="n">
        <v>2</v>
      </c>
      <c r="C3339" t="n">
        <v>1510</v>
      </c>
      <c r="D3339" t="n">
        <v>1</v>
      </c>
      <c r="E3339" t="n">
        <v>103.6756</v>
      </c>
      <c r="F3339" t="n">
        <v>0.04215</v>
      </c>
    </row>
    <row r="3340">
      <c r="A3340" t="n">
        <v>2001511</v>
      </c>
      <c r="B3340" t="n">
        <v>2</v>
      </c>
      <c r="C3340" t="n">
        <v>1511</v>
      </c>
      <c r="D3340" t="n">
        <v>1</v>
      </c>
      <c r="E3340" t="n">
        <v>103.6947</v>
      </c>
      <c r="F3340" t="n">
        <v>0.04215</v>
      </c>
    </row>
    <row r="3341">
      <c r="A3341" t="n">
        <v>2001512</v>
      </c>
      <c r="B3341" t="n">
        <v>2</v>
      </c>
      <c r="C3341" t="n">
        <v>1512</v>
      </c>
      <c r="D3341" t="n">
        <v>1</v>
      </c>
      <c r="E3341" t="n">
        <v>103.7138</v>
      </c>
      <c r="F3341" t="n">
        <v>0.04216</v>
      </c>
    </row>
    <row r="3342">
      <c r="A3342" t="n">
        <v>2001513</v>
      </c>
      <c r="B3342" t="n">
        <v>2</v>
      </c>
      <c r="C3342" t="n">
        <v>1513</v>
      </c>
      <c r="D3342" t="n">
        <v>1</v>
      </c>
      <c r="E3342" t="n">
        <v>103.7329</v>
      </c>
      <c r="F3342" t="n">
        <v>0.04216</v>
      </c>
    </row>
    <row r="3343">
      <c r="A3343" t="n">
        <v>2001514</v>
      </c>
      <c r="B3343" t="n">
        <v>2</v>
      </c>
      <c r="C3343" t="n">
        <v>1514</v>
      </c>
      <c r="D3343" t="n">
        <v>1</v>
      </c>
      <c r="E3343" t="n">
        <v>103.752</v>
      </c>
      <c r="F3343" t="n">
        <v>0.04216</v>
      </c>
    </row>
    <row r="3344">
      <c r="A3344" t="n">
        <v>2001515</v>
      </c>
      <c r="B3344" t="n">
        <v>2</v>
      </c>
      <c r="C3344" t="n">
        <v>1515</v>
      </c>
      <c r="D3344" t="n">
        <v>1</v>
      </c>
      <c r="E3344" t="n">
        <v>103.7711</v>
      </c>
      <c r="F3344" t="n">
        <v>0.04217</v>
      </c>
    </row>
    <row r="3345">
      <c r="A3345" t="n">
        <v>2001516</v>
      </c>
      <c r="B3345" t="n">
        <v>2</v>
      </c>
      <c r="C3345" t="n">
        <v>1516</v>
      </c>
      <c r="D3345" t="n">
        <v>1</v>
      </c>
      <c r="E3345" t="n">
        <v>103.7902</v>
      </c>
      <c r="F3345" t="n">
        <v>0.04217</v>
      </c>
    </row>
    <row r="3346">
      <c r="A3346" t="n">
        <v>2001517</v>
      </c>
      <c r="B3346" t="n">
        <v>2</v>
      </c>
      <c r="C3346" t="n">
        <v>1517</v>
      </c>
      <c r="D3346" t="n">
        <v>1</v>
      </c>
      <c r="E3346" t="n">
        <v>103.8092</v>
      </c>
      <c r="F3346" t="n">
        <v>0.04218</v>
      </c>
    </row>
    <row r="3347">
      <c r="A3347" t="n">
        <v>2001518</v>
      </c>
      <c r="B3347" t="n">
        <v>2</v>
      </c>
      <c r="C3347" t="n">
        <v>1518</v>
      </c>
      <c r="D3347" t="n">
        <v>1</v>
      </c>
      <c r="E3347" t="n">
        <v>103.8283</v>
      </c>
      <c r="F3347" t="n">
        <v>0.04218</v>
      </c>
    </row>
    <row r="3348">
      <c r="A3348" t="n">
        <v>2001519</v>
      </c>
      <c r="B3348" t="n">
        <v>2</v>
      </c>
      <c r="C3348" t="n">
        <v>1519</v>
      </c>
      <c r="D3348" t="n">
        <v>1</v>
      </c>
      <c r="E3348" t="n">
        <v>103.8473</v>
      </c>
      <c r="F3348" t="n">
        <v>0.04219</v>
      </c>
    </row>
    <row r="3349">
      <c r="A3349" t="n">
        <v>2001520</v>
      </c>
      <c r="B3349" t="n">
        <v>2</v>
      </c>
      <c r="C3349" t="n">
        <v>1520</v>
      </c>
      <c r="D3349" t="n">
        <v>1</v>
      </c>
      <c r="E3349" t="n">
        <v>103.8664</v>
      </c>
      <c r="F3349" t="n">
        <v>0.04219</v>
      </c>
    </row>
    <row r="3350">
      <c r="A3350" t="n">
        <v>2001521</v>
      </c>
      <c r="B3350" t="n">
        <v>2</v>
      </c>
      <c r="C3350" t="n">
        <v>1521</v>
      </c>
      <c r="D3350" t="n">
        <v>1</v>
      </c>
      <c r="E3350" t="n">
        <v>103.8854</v>
      </c>
      <c r="F3350" t="n">
        <v>0.0422</v>
      </c>
    </row>
    <row r="3351">
      <c r="A3351" t="n">
        <v>2001522</v>
      </c>
      <c r="B3351" t="n">
        <v>2</v>
      </c>
      <c r="C3351" t="n">
        <v>1522</v>
      </c>
      <c r="D3351" t="n">
        <v>1</v>
      </c>
      <c r="E3351" t="n">
        <v>103.9045</v>
      </c>
      <c r="F3351" t="n">
        <v>0.0422</v>
      </c>
    </row>
    <row r="3352">
      <c r="A3352" t="n">
        <v>2001523</v>
      </c>
      <c r="B3352" t="n">
        <v>2</v>
      </c>
      <c r="C3352" t="n">
        <v>1523</v>
      </c>
      <c r="D3352" t="n">
        <v>1</v>
      </c>
      <c r="E3352" t="n">
        <v>103.9235</v>
      </c>
      <c r="F3352" t="n">
        <v>0.0422</v>
      </c>
    </row>
    <row r="3353">
      <c r="A3353" t="n">
        <v>2001524</v>
      </c>
      <c r="B3353" t="n">
        <v>2</v>
      </c>
      <c r="C3353" t="n">
        <v>1524</v>
      </c>
      <c r="D3353" t="n">
        <v>1</v>
      </c>
      <c r="E3353" t="n">
        <v>103.9425</v>
      </c>
      <c r="F3353" t="n">
        <v>0.04221</v>
      </c>
    </row>
    <row r="3354">
      <c r="A3354" t="n">
        <v>2001525</v>
      </c>
      <c r="B3354" t="n">
        <v>2</v>
      </c>
      <c r="C3354" t="n">
        <v>1525</v>
      </c>
      <c r="D3354" t="n">
        <v>1</v>
      </c>
      <c r="E3354" t="n">
        <v>103.9616</v>
      </c>
      <c r="F3354" t="n">
        <v>0.04221</v>
      </c>
    </row>
    <row r="3355">
      <c r="A3355" t="n">
        <v>2001526</v>
      </c>
      <c r="B3355" t="n">
        <v>2</v>
      </c>
      <c r="C3355" t="n">
        <v>1526</v>
      </c>
      <c r="D3355" t="n">
        <v>1</v>
      </c>
      <c r="E3355" t="n">
        <v>103.9806</v>
      </c>
      <c r="F3355" t="n">
        <v>0.04222</v>
      </c>
    </row>
    <row r="3356">
      <c r="A3356" t="n">
        <v>2001527</v>
      </c>
      <c r="B3356" t="n">
        <v>2</v>
      </c>
      <c r="C3356" t="n">
        <v>1527</v>
      </c>
      <c r="D3356" t="n">
        <v>1</v>
      </c>
      <c r="E3356" t="n">
        <v>103.9996</v>
      </c>
      <c r="F3356" t="n">
        <v>0.04222</v>
      </c>
    </row>
    <row r="3357">
      <c r="A3357" t="n">
        <v>2001528</v>
      </c>
      <c r="B3357" t="n">
        <v>2</v>
      </c>
      <c r="C3357" t="n">
        <v>1528</v>
      </c>
      <c r="D3357" t="n">
        <v>1</v>
      </c>
      <c r="E3357" t="n">
        <v>104.0186</v>
      </c>
      <c r="F3357" t="n">
        <v>0.04223</v>
      </c>
    </row>
    <row r="3358">
      <c r="A3358" t="n">
        <v>2001529</v>
      </c>
      <c r="B3358" t="n">
        <v>2</v>
      </c>
      <c r="C3358" t="n">
        <v>1529</v>
      </c>
      <c r="D3358" t="n">
        <v>1</v>
      </c>
      <c r="E3358" t="n">
        <v>104.0376</v>
      </c>
      <c r="F3358" t="n">
        <v>0.04223</v>
      </c>
    </row>
    <row r="3359">
      <c r="A3359" t="n">
        <v>2001530</v>
      </c>
      <c r="B3359" t="n">
        <v>2</v>
      </c>
      <c r="C3359" t="n">
        <v>1530</v>
      </c>
      <c r="D3359" t="n">
        <v>1</v>
      </c>
      <c r="E3359" t="n">
        <v>104.0565</v>
      </c>
      <c r="F3359" t="n">
        <v>0.04224</v>
      </c>
    </row>
    <row r="3360">
      <c r="A3360" t="n">
        <v>2001531</v>
      </c>
      <c r="B3360" t="n">
        <v>2</v>
      </c>
      <c r="C3360" t="n">
        <v>1531</v>
      </c>
      <c r="D3360" t="n">
        <v>1</v>
      </c>
      <c r="E3360" t="n">
        <v>104.0755</v>
      </c>
      <c r="F3360" t="n">
        <v>0.04224</v>
      </c>
    </row>
    <row r="3361">
      <c r="A3361" t="n">
        <v>2001532</v>
      </c>
      <c r="B3361" t="n">
        <v>2</v>
      </c>
      <c r="C3361" t="n">
        <v>1532</v>
      </c>
      <c r="D3361" t="n">
        <v>1</v>
      </c>
      <c r="E3361" t="n">
        <v>104.0945</v>
      </c>
      <c r="F3361" t="n">
        <v>0.04224</v>
      </c>
    </row>
    <row r="3362">
      <c r="A3362" t="n">
        <v>2001533</v>
      </c>
      <c r="B3362" t="n">
        <v>2</v>
      </c>
      <c r="C3362" t="n">
        <v>1533</v>
      </c>
      <c r="D3362" t="n">
        <v>1</v>
      </c>
      <c r="E3362" t="n">
        <v>104.1135</v>
      </c>
      <c r="F3362" t="n">
        <v>0.04225</v>
      </c>
    </row>
    <row r="3363">
      <c r="A3363" t="n">
        <v>2001534</v>
      </c>
      <c r="B3363" t="n">
        <v>2</v>
      </c>
      <c r="C3363" t="n">
        <v>1534</v>
      </c>
      <c r="D3363" t="n">
        <v>1</v>
      </c>
      <c r="E3363" t="n">
        <v>104.1324</v>
      </c>
      <c r="F3363" t="n">
        <v>0.04225</v>
      </c>
    </row>
    <row r="3364">
      <c r="A3364" t="n">
        <v>2001535</v>
      </c>
      <c r="B3364" t="n">
        <v>2</v>
      </c>
      <c r="C3364" t="n">
        <v>1535</v>
      </c>
      <c r="D3364" t="n">
        <v>1</v>
      </c>
      <c r="E3364" t="n">
        <v>104.1514</v>
      </c>
      <c r="F3364" t="n">
        <v>0.04226</v>
      </c>
    </row>
    <row r="3365">
      <c r="A3365" t="n">
        <v>2001536</v>
      </c>
      <c r="B3365" t="n">
        <v>2</v>
      </c>
      <c r="C3365" t="n">
        <v>1536</v>
      </c>
      <c r="D3365" t="n">
        <v>1</v>
      </c>
      <c r="E3365" t="n">
        <v>104.1703</v>
      </c>
      <c r="F3365" t="n">
        <v>0.04226</v>
      </c>
    </row>
    <row r="3366">
      <c r="A3366" t="n">
        <v>2001537</v>
      </c>
      <c r="B3366" t="n">
        <v>2</v>
      </c>
      <c r="C3366" t="n">
        <v>1537</v>
      </c>
      <c r="D3366" t="n">
        <v>1</v>
      </c>
      <c r="E3366" t="n">
        <v>104.1893</v>
      </c>
      <c r="F3366" t="n">
        <v>0.04227</v>
      </c>
    </row>
    <row r="3367">
      <c r="A3367" t="n">
        <v>2001538</v>
      </c>
      <c r="B3367" t="n">
        <v>2</v>
      </c>
      <c r="C3367" t="n">
        <v>1538</v>
      </c>
      <c r="D3367" t="n">
        <v>1</v>
      </c>
      <c r="E3367" t="n">
        <v>104.2082</v>
      </c>
      <c r="F3367" t="n">
        <v>0.04227</v>
      </c>
    </row>
    <row r="3368">
      <c r="A3368" t="n">
        <v>2001539</v>
      </c>
      <c r="B3368" t="n">
        <v>2</v>
      </c>
      <c r="C3368" t="n">
        <v>1539</v>
      </c>
      <c r="D3368" t="n">
        <v>1</v>
      </c>
      <c r="E3368" t="n">
        <v>104.2271</v>
      </c>
      <c r="F3368" t="n">
        <v>0.04227</v>
      </c>
    </row>
    <row r="3369">
      <c r="A3369" t="n">
        <v>2001540</v>
      </c>
      <c r="B3369" t="n">
        <v>2</v>
      </c>
      <c r="C3369" t="n">
        <v>1540</v>
      </c>
      <c r="D3369" t="n">
        <v>1</v>
      </c>
      <c r="E3369" t="n">
        <v>104.2461</v>
      </c>
      <c r="F3369" t="n">
        <v>0.04228</v>
      </c>
    </row>
    <row r="3370">
      <c r="A3370" t="n">
        <v>2001541</v>
      </c>
      <c r="B3370" t="n">
        <v>2</v>
      </c>
      <c r="C3370" t="n">
        <v>1541</v>
      </c>
      <c r="D3370" t="n">
        <v>1</v>
      </c>
      <c r="E3370" t="n">
        <v>104.265</v>
      </c>
      <c r="F3370" t="n">
        <v>0.04228</v>
      </c>
    </row>
    <row r="3371">
      <c r="A3371" t="n">
        <v>2001542</v>
      </c>
      <c r="B3371" t="n">
        <v>2</v>
      </c>
      <c r="C3371" t="n">
        <v>1542</v>
      </c>
      <c r="D3371" t="n">
        <v>1</v>
      </c>
      <c r="E3371" t="n">
        <v>104.2839</v>
      </c>
      <c r="F3371" t="n">
        <v>0.04229</v>
      </c>
    </row>
    <row r="3372">
      <c r="A3372" t="n">
        <v>2001543</v>
      </c>
      <c r="B3372" t="n">
        <v>2</v>
      </c>
      <c r="C3372" t="n">
        <v>1543</v>
      </c>
      <c r="D3372" t="n">
        <v>1</v>
      </c>
      <c r="E3372" t="n">
        <v>104.3028</v>
      </c>
      <c r="F3372" t="n">
        <v>0.04229</v>
      </c>
    </row>
    <row r="3373">
      <c r="A3373" t="n">
        <v>2001544</v>
      </c>
      <c r="B3373" t="n">
        <v>2</v>
      </c>
      <c r="C3373" t="n">
        <v>1544</v>
      </c>
      <c r="D3373" t="n">
        <v>1</v>
      </c>
      <c r="E3373" t="n">
        <v>104.3217</v>
      </c>
      <c r="F3373" t="n">
        <v>0.0423</v>
      </c>
    </row>
    <row r="3374">
      <c r="A3374" t="n">
        <v>2001545</v>
      </c>
      <c r="B3374" t="n">
        <v>2</v>
      </c>
      <c r="C3374" t="n">
        <v>1545</v>
      </c>
      <c r="D3374" t="n">
        <v>1</v>
      </c>
      <c r="E3374" t="n">
        <v>104.3406</v>
      </c>
      <c r="F3374" t="n">
        <v>0.0423</v>
      </c>
    </row>
    <row r="3375">
      <c r="A3375" t="n">
        <v>2001546</v>
      </c>
      <c r="B3375" t="n">
        <v>2</v>
      </c>
      <c r="C3375" t="n">
        <v>1546</v>
      </c>
      <c r="D3375" t="n">
        <v>1</v>
      </c>
      <c r="E3375" t="n">
        <v>104.3595</v>
      </c>
      <c r="F3375" t="n">
        <v>0.04231</v>
      </c>
    </row>
    <row r="3376">
      <c r="A3376" t="n">
        <v>2001547</v>
      </c>
      <c r="B3376" t="n">
        <v>2</v>
      </c>
      <c r="C3376" t="n">
        <v>1547</v>
      </c>
      <c r="D3376" t="n">
        <v>1</v>
      </c>
      <c r="E3376" t="n">
        <v>104.3784</v>
      </c>
      <c r="F3376" t="n">
        <v>0.04231</v>
      </c>
    </row>
    <row r="3377">
      <c r="A3377" t="n">
        <v>2001548</v>
      </c>
      <c r="B3377" t="n">
        <v>2</v>
      </c>
      <c r="C3377" t="n">
        <v>1548</v>
      </c>
      <c r="D3377" t="n">
        <v>1</v>
      </c>
      <c r="E3377" t="n">
        <v>104.3972</v>
      </c>
      <c r="F3377" t="n">
        <v>0.04231</v>
      </c>
    </row>
    <row r="3378">
      <c r="A3378" t="n">
        <v>2001549</v>
      </c>
      <c r="B3378" t="n">
        <v>2</v>
      </c>
      <c r="C3378" t="n">
        <v>1549</v>
      </c>
      <c r="D3378" t="n">
        <v>1</v>
      </c>
      <c r="E3378" t="n">
        <v>104.4161</v>
      </c>
      <c r="F3378" t="n">
        <v>0.04232</v>
      </c>
    </row>
    <row r="3379">
      <c r="A3379" t="n">
        <v>2001550</v>
      </c>
      <c r="B3379" t="n">
        <v>2</v>
      </c>
      <c r="C3379" t="n">
        <v>1550</v>
      </c>
      <c r="D3379" t="n">
        <v>1</v>
      </c>
      <c r="E3379" t="n">
        <v>104.435</v>
      </c>
      <c r="F3379" t="n">
        <v>0.04232</v>
      </c>
    </row>
    <row r="3380">
      <c r="A3380" t="n">
        <v>2001551</v>
      </c>
      <c r="B3380" t="n">
        <v>2</v>
      </c>
      <c r="C3380" t="n">
        <v>1551</v>
      </c>
      <c r="D3380" t="n">
        <v>1</v>
      </c>
      <c r="E3380" t="n">
        <v>104.4538</v>
      </c>
      <c r="F3380" t="n">
        <v>0.04233</v>
      </c>
    </row>
    <row r="3381">
      <c r="A3381" t="n">
        <v>2001552</v>
      </c>
      <c r="B3381" t="n">
        <v>2</v>
      </c>
      <c r="C3381" t="n">
        <v>1552</v>
      </c>
      <c r="D3381" t="n">
        <v>1</v>
      </c>
      <c r="E3381" t="n">
        <v>104.4727</v>
      </c>
      <c r="F3381" t="n">
        <v>0.04233</v>
      </c>
    </row>
    <row r="3382">
      <c r="A3382" t="n">
        <v>2001553</v>
      </c>
      <c r="B3382" t="n">
        <v>2</v>
      </c>
      <c r="C3382" t="n">
        <v>1553</v>
      </c>
      <c r="D3382" t="n">
        <v>1</v>
      </c>
      <c r="E3382" t="n">
        <v>104.4915</v>
      </c>
      <c r="F3382" t="n">
        <v>0.04234</v>
      </c>
    </row>
    <row r="3383">
      <c r="A3383" t="n">
        <v>2001554</v>
      </c>
      <c r="B3383" t="n">
        <v>2</v>
      </c>
      <c r="C3383" t="n">
        <v>1554</v>
      </c>
      <c r="D3383" t="n">
        <v>1</v>
      </c>
      <c r="E3383" t="n">
        <v>104.5104</v>
      </c>
      <c r="F3383" t="n">
        <v>0.04234</v>
      </c>
    </row>
    <row r="3384">
      <c r="A3384" t="n">
        <v>2001555</v>
      </c>
      <c r="B3384" t="n">
        <v>2</v>
      </c>
      <c r="C3384" t="n">
        <v>1555</v>
      </c>
      <c r="D3384" t="n">
        <v>1</v>
      </c>
      <c r="E3384" t="n">
        <v>104.5292</v>
      </c>
      <c r="F3384" t="n">
        <v>0.04234</v>
      </c>
    </row>
    <row r="3385">
      <c r="A3385" t="n">
        <v>2001556</v>
      </c>
      <c r="B3385" t="n">
        <v>2</v>
      </c>
      <c r="C3385" t="n">
        <v>1556</v>
      </c>
      <c r="D3385" t="n">
        <v>1</v>
      </c>
      <c r="E3385" t="n">
        <v>104.548</v>
      </c>
      <c r="F3385" t="n">
        <v>0.04235</v>
      </c>
    </row>
    <row r="3386">
      <c r="A3386" t="n">
        <v>2001557</v>
      </c>
      <c r="B3386" t="n">
        <v>2</v>
      </c>
      <c r="C3386" t="n">
        <v>1557</v>
      </c>
      <c r="D3386" t="n">
        <v>1</v>
      </c>
      <c r="E3386" t="n">
        <v>104.5668</v>
      </c>
      <c r="F3386" t="n">
        <v>0.04235</v>
      </c>
    </row>
    <row r="3387">
      <c r="A3387" t="n">
        <v>2001558</v>
      </c>
      <c r="B3387" t="n">
        <v>2</v>
      </c>
      <c r="C3387" t="n">
        <v>1558</v>
      </c>
      <c r="D3387" t="n">
        <v>1</v>
      </c>
      <c r="E3387" t="n">
        <v>104.5856</v>
      </c>
      <c r="F3387" t="n">
        <v>0.04236</v>
      </c>
    </row>
    <row r="3388">
      <c r="A3388" t="n">
        <v>2001559</v>
      </c>
      <c r="B3388" t="n">
        <v>2</v>
      </c>
      <c r="C3388" t="n">
        <v>1559</v>
      </c>
      <c r="D3388" t="n">
        <v>1</v>
      </c>
      <c r="E3388" t="n">
        <v>104.6045</v>
      </c>
      <c r="F3388" t="n">
        <v>0.04236</v>
      </c>
    </row>
    <row r="3389">
      <c r="A3389" t="n">
        <v>2001560</v>
      </c>
      <c r="B3389" t="n">
        <v>2</v>
      </c>
      <c r="C3389" t="n">
        <v>1560</v>
      </c>
      <c r="D3389" t="n">
        <v>1</v>
      </c>
      <c r="E3389" t="n">
        <v>104.6233</v>
      </c>
      <c r="F3389" t="n">
        <v>0.04237</v>
      </c>
    </row>
    <row r="3390">
      <c r="A3390" t="n">
        <v>2001561</v>
      </c>
      <c r="B3390" t="n">
        <v>2</v>
      </c>
      <c r="C3390" t="n">
        <v>1561</v>
      </c>
      <c r="D3390" t="n">
        <v>1</v>
      </c>
      <c r="E3390" t="n">
        <v>104.6421</v>
      </c>
      <c r="F3390" t="n">
        <v>0.04237</v>
      </c>
    </row>
    <row r="3391">
      <c r="A3391" t="n">
        <v>2001562</v>
      </c>
      <c r="B3391" t="n">
        <v>2</v>
      </c>
      <c r="C3391" t="n">
        <v>1562</v>
      </c>
      <c r="D3391" t="n">
        <v>1</v>
      </c>
      <c r="E3391" t="n">
        <v>104.6608</v>
      </c>
      <c r="F3391" t="n">
        <v>0.04238</v>
      </c>
    </row>
    <row r="3392">
      <c r="A3392" t="n">
        <v>2001563</v>
      </c>
      <c r="B3392" t="n">
        <v>2</v>
      </c>
      <c r="C3392" t="n">
        <v>1563</v>
      </c>
      <c r="D3392" t="n">
        <v>1</v>
      </c>
      <c r="E3392" t="n">
        <v>104.6796</v>
      </c>
      <c r="F3392" t="n">
        <v>0.04238</v>
      </c>
    </row>
    <row r="3393">
      <c r="A3393" t="n">
        <v>2001564</v>
      </c>
      <c r="B3393" t="n">
        <v>2</v>
      </c>
      <c r="C3393" t="n">
        <v>1564</v>
      </c>
      <c r="D3393" t="n">
        <v>1</v>
      </c>
      <c r="E3393" t="n">
        <v>104.6984</v>
      </c>
      <c r="F3393" t="n">
        <v>0.04238</v>
      </c>
    </row>
    <row r="3394">
      <c r="A3394" t="n">
        <v>2001565</v>
      </c>
      <c r="B3394" t="n">
        <v>2</v>
      </c>
      <c r="C3394" t="n">
        <v>1565</v>
      </c>
      <c r="D3394" t="n">
        <v>1</v>
      </c>
      <c r="E3394" t="n">
        <v>104.7172</v>
      </c>
      <c r="F3394" t="n">
        <v>0.04239</v>
      </c>
    </row>
    <row r="3395">
      <c r="A3395" t="n">
        <v>2001566</v>
      </c>
      <c r="B3395" t="n">
        <v>2</v>
      </c>
      <c r="C3395" t="n">
        <v>1566</v>
      </c>
      <c r="D3395" t="n">
        <v>1</v>
      </c>
      <c r="E3395" t="n">
        <v>104.736</v>
      </c>
      <c r="F3395" t="n">
        <v>0.04239</v>
      </c>
    </row>
    <row r="3396">
      <c r="A3396" t="n">
        <v>2001567</v>
      </c>
      <c r="B3396" t="n">
        <v>2</v>
      </c>
      <c r="C3396" t="n">
        <v>1567</v>
      </c>
      <c r="D3396" t="n">
        <v>1</v>
      </c>
      <c r="E3396" t="n">
        <v>104.7547</v>
      </c>
      <c r="F3396" t="n">
        <v>0.0424</v>
      </c>
    </row>
    <row r="3397">
      <c r="A3397" t="n">
        <v>2001568</v>
      </c>
      <c r="B3397" t="n">
        <v>2</v>
      </c>
      <c r="C3397" t="n">
        <v>1568</v>
      </c>
      <c r="D3397" t="n">
        <v>1</v>
      </c>
      <c r="E3397" t="n">
        <v>104.7735</v>
      </c>
      <c r="F3397" t="n">
        <v>0.0424</v>
      </c>
    </row>
    <row r="3398">
      <c r="A3398" t="n">
        <v>2001569</v>
      </c>
      <c r="B3398" t="n">
        <v>2</v>
      </c>
      <c r="C3398" t="n">
        <v>1569</v>
      </c>
      <c r="D3398" t="n">
        <v>1</v>
      </c>
      <c r="E3398" t="n">
        <v>104.7922</v>
      </c>
      <c r="F3398" t="n">
        <v>0.04241</v>
      </c>
    </row>
    <row r="3399">
      <c r="A3399" t="n">
        <v>2001570</v>
      </c>
      <c r="B3399" t="n">
        <v>2</v>
      </c>
      <c r="C3399" t="n">
        <v>1570</v>
      </c>
      <c r="D3399" t="n">
        <v>1</v>
      </c>
      <c r="E3399" t="n">
        <v>104.811</v>
      </c>
      <c r="F3399" t="n">
        <v>0.04241</v>
      </c>
    </row>
    <row r="3400">
      <c r="A3400" t="n">
        <v>2001571</v>
      </c>
      <c r="B3400" t="n">
        <v>2</v>
      </c>
      <c r="C3400" t="n">
        <v>1571</v>
      </c>
      <c r="D3400" t="n">
        <v>1</v>
      </c>
      <c r="E3400" t="n">
        <v>104.8297</v>
      </c>
      <c r="F3400" t="n">
        <v>0.04241</v>
      </c>
    </row>
    <row r="3401">
      <c r="A3401" t="n">
        <v>2001572</v>
      </c>
      <c r="B3401" t="n">
        <v>2</v>
      </c>
      <c r="C3401" t="n">
        <v>1572</v>
      </c>
      <c r="D3401" t="n">
        <v>1</v>
      </c>
      <c r="E3401" t="n">
        <v>104.8484</v>
      </c>
      <c r="F3401" t="n">
        <v>0.04242</v>
      </c>
    </row>
    <row r="3402">
      <c r="A3402" t="n">
        <v>2001573</v>
      </c>
      <c r="B3402" t="n">
        <v>2</v>
      </c>
      <c r="C3402" t="n">
        <v>1573</v>
      </c>
      <c r="D3402" t="n">
        <v>1</v>
      </c>
      <c r="E3402" t="n">
        <v>104.8672</v>
      </c>
      <c r="F3402" t="n">
        <v>0.04242</v>
      </c>
    </row>
    <row r="3403">
      <c r="A3403" t="n">
        <v>2001574</v>
      </c>
      <c r="B3403" t="n">
        <v>2</v>
      </c>
      <c r="C3403" t="n">
        <v>1574</v>
      </c>
      <c r="D3403" t="n">
        <v>1</v>
      </c>
      <c r="E3403" t="n">
        <v>104.8859</v>
      </c>
      <c r="F3403" t="n">
        <v>0.04243</v>
      </c>
    </row>
    <row r="3404">
      <c r="A3404" t="n">
        <v>2001575</v>
      </c>
      <c r="B3404" t="n">
        <v>2</v>
      </c>
      <c r="C3404" t="n">
        <v>1575</v>
      </c>
      <c r="D3404" t="n">
        <v>1</v>
      </c>
      <c r="E3404" t="n">
        <v>104.9046</v>
      </c>
      <c r="F3404" t="n">
        <v>0.04243</v>
      </c>
    </row>
    <row r="3405">
      <c r="A3405" t="n">
        <v>2001576</v>
      </c>
      <c r="B3405" t="n">
        <v>2</v>
      </c>
      <c r="C3405" t="n">
        <v>1576</v>
      </c>
      <c r="D3405" t="n">
        <v>1</v>
      </c>
      <c r="E3405" t="n">
        <v>104.9233</v>
      </c>
      <c r="F3405" t="n">
        <v>0.04244</v>
      </c>
    </row>
    <row r="3406">
      <c r="A3406" t="n">
        <v>2001577</v>
      </c>
      <c r="B3406" t="n">
        <v>2</v>
      </c>
      <c r="C3406" t="n">
        <v>1577</v>
      </c>
      <c r="D3406" t="n">
        <v>1</v>
      </c>
      <c r="E3406" t="n">
        <v>104.942</v>
      </c>
      <c r="F3406" t="n">
        <v>0.04244</v>
      </c>
    </row>
    <row r="3407">
      <c r="A3407" t="n">
        <v>2001578</v>
      </c>
      <c r="B3407" t="n">
        <v>2</v>
      </c>
      <c r="C3407" t="n">
        <v>1578</v>
      </c>
      <c r="D3407" t="n">
        <v>1</v>
      </c>
      <c r="E3407" t="n">
        <v>104.9607</v>
      </c>
      <c r="F3407" t="n">
        <v>0.04244</v>
      </c>
    </row>
    <row r="3408">
      <c r="A3408" t="n">
        <v>2001579</v>
      </c>
      <c r="B3408" t="n">
        <v>2</v>
      </c>
      <c r="C3408" t="n">
        <v>1579</v>
      </c>
      <c r="D3408" t="n">
        <v>1</v>
      </c>
      <c r="E3408" t="n">
        <v>104.9794</v>
      </c>
      <c r="F3408" t="n">
        <v>0.04245</v>
      </c>
    </row>
    <row r="3409">
      <c r="A3409" t="n">
        <v>2001580</v>
      </c>
      <c r="B3409" t="n">
        <v>2</v>
      </c>
      <c r="C3409" t="n">
        <v>1580</v>
      </c>
      <c r="D3409" t="n">
        <v>1</v>
      </c>
      <c r="E3409" t="n">
        <v>104.9981</v>
      </c>
      <c r="F3409" t="n">
        <v>0.04245</v>
      </c>
    </row>
    <row r="3410">
      <c r="A3410" t="n">
        <v>2001581</v>
      </c>
      <c r="B3410" t="n">
        <v>2</v>
      </c>
      <c r="C3410" t="n">
        <v>1581</v>
      </c>
      <c r="D3410" t="n">
        <v>1</v>
      </c>
      <c r="E3410" t="n">
        <v>105.0167</v>
      </c>
      <c r="F3410" t="n">
        <v>0.04246</v>
      </c>
    </row>
    <row r="3411">
      <c r="A3411" t="n">
        <v>2001582</v>
      </c>
      <c r="B3411" t="n">
        <v>2</v>
      </c>
      <c r="C3411" t="n">
        <v>1582</v>
      </c>
      <c r="D3411" t="n">
        <v>1</v>
      </c>
      <c r="E3411" t="n">
        <v>105.0354</v>
      </c>
      <c r="F3411" t="n">
        <v>0.04246</v>
      </c>
    </row>
    <row r="3412">
      <c r="A3412" t="n">
        <v>2001583</v>
      </c>
      <c r="B3412" t="n">
        <v>2</v>
      </c>
      <c r="C3412" t="n">
        <v>1583</v>
      </c>
      <c r="D3412" t="n">
        <v>1</v>
      </c>
      <c r="E3412" t="n">
        <v>105.0541</v>
      </c>
      <c r="F3412" t="n">
        <v>0.04247</v>
      </c>
    </row>
    <row r="3413">
      <c r="A3413" t="n">
        <v>2001584</v>
      </c>
      <c r="B3413" t="n">
        <v>2</v>
      </c>
      <c r="C3413" t="n">
        <v>1584</v>
      </c>
      <c r="D3413" t="n">
        <v>1</v>
      </c>
      <c r="E3413" t="n">
        <v>105.0727</v>
      </c>
      <c r="F3413" t="n">
        <v>0.04247</v>
      </c>
    </row>
    <row r="3414">
      <c r="A3414" t="n">
        <v>2001585</v>
      </c>
      <c r="B3414" t="n">
        <v>2</v>
      </c>
      <c r="C3414" t="n">
        <v>1585</v>
      </c>
      <c r="D3414" t="n">
        <v>1</v>
      </c>
      <c r="E3414" t="n">
        <v>105.0914</v>
      </c>
      <c r="F3414" t="n">
        <v>0.04247</v>
      </c>
    </row>
    <row r="3415">
      <c r="A3415" t="n">
        <v>2001586</v>
      </c>
      <c r="B3415" t="n">
        <v>2</v>
      </c>
      <c r="C3415" t="n">
        <v>1586</v>
      </c>
      <c r="D3415" t="n">
        <v>1</v>
      </c>
      <c r="E3415" t="n">
        <v>105.11</v>
      </c>
      <c r="F3415" t="n">
        <v>0.04248</v>
      </c>
    </row>
    <row r="3416">
      <c r="A3416" t="n">
        <v>2001587</v>
      </c>
      <c r="B3416" t="n">
        <v>2</v>
      </c>
      <c r="C3416" t="n">
        <v>1587</v>
      </c>
      <c r="D3416" t="n">
        <v>1</v>
      </c>
      <c r="E3416" t="n">
        <v>105.1287</v>
      </c>
      <c r="F3416" t="n">
        <v>0.04248</v>
      </c>
    </row>
    <row r="3417">
      <c r="A3417" t="n">
        <v>2001588</v>
      </c>
      <c r="B3417" t="n">
        <v>2</v>
      </c>
      <c r="C3417" t="n">
        <v>1588</v>
      </c>
      <c r="D3417" t="n">
        <v>1</v>
      </c>
      <c r="E3417" t="n">
        <v>105.1473</v>
      </c>
      <c r="F3417" t="n">
        <v>0.04249</v>
      </c>
    </row>
    <row r="3418">
      <c r="A3418" t="n">
        <v>2001589</v>
      </c>
      <c r="B3418" t="n">
        <v>2</v>
      </c>
      <c r="C3418" t="n">
        <v>1589</v>
      </c>
      <c r="D3418" t="n">
        <v>1</v>
      </c>
      <c r="E3418" t="n">
        <v>105.166</v>
      </c>
      <c r="F3418" t="n">
        <v>0.04249</v>
      </c>
    </row>
    <row r="3419">
      <c r="A3419" t="n">
        <v>2001590</v>
      </c>
      <c r="B3419" t="n">
        <v>2</v>
      </c>
      <c r="C3419" t="n">
        <v>1590</v>
      </c>
      <c r="D3419" t="n">
        <v>1</v>
      </c>
      <c r="E3419" t="n">
        <v>105.1846</v>
      </c>
      <c r="F3419" t="n">
        <v>0.0425</v>
      </c>
    </row>
    <row r="3420">
      <c r="A3420" t="n">
        <v>2001591</v>
      </c>
      <c r="B3420" t="n">
        <v>2</v>
      </c>
      <c r="C3420" t="n">
        <v>1591</v>
      </c>
      <c r="D3420" t="n">
        <v>1</v>
      </c>
      <c r="E3420" t="n">
        <v>105.2032</v>
      </c>
      <c r="F3420" t="n">
        <v>0.0425</v>
      </c>
    </row>
    <row r="3421">
      <c r="A3421" t="n">
        <v>2001592</v>
      </c>
      <c r="B3421" t="n">
        <v>2</v>
      </c>
      <c r="C3421" t="n">
        <v>1592</v>
      </c>
      <c r="D3421" t="n">
        <v>1</v>
      </c>
      <c r="E3421" t="n">
        <v>105.2218</v>
      </c>
      <c r="F3421" t="n">
        <v>0.0425</v>
      </c>
    </row>
    <row r="3422">
      <c r="A3422" t="n">
        <v>2001593</v>
      </c>
      <c r="B3422" t="n">
        <v>2</v>
      </c>
      <c r="C3422" t="n">
        <v>1593</v>
      </c>
      <c r="D3422" t="n">
        <v>1</v>
      </c>
      <c r="E3422" t="n">
        <v>105.2404</v>
      </c>
      <c r="F3422" t="n">
        <v>0.04251</v>
      </c>
    </row>
    <row r="3423">
      <c r="A3423" t="n">
        <v>2001594</v>
      </c>
      <c r="B3423" t="n">
        <v>2</v>
      </c>
      <c r="C3423" t="n">
        <v>1594</v>
      </c>
      <c r="D3423" t="n">
        <v>1</v>
      </c>
      <c r="E3423" t="n">
        <v>105.259</v>
      </c>
      <c r="F3423" t="n">
        <v>0.04251</v>
      </c>
    </row>
    <row r="3424">
      <c r="A3424" t="n">
        <v>2001595</v>
      </c>
      <c r="B3424" t="n">
        <v>2</v>
      </c>
      <c r="C3424" t="n">
        <v>1595</v>
      </c>
      <c r="D3424" t="n">
        <v>1</v>
      </c>
      <c r="E3424" t="n">
        <v>105.2776</v>
      </c>
      <c r="F3424" t="n">
        <v>0.04252</v>
      </c>
    </row>
    <row r="3425">
      <c r="A3425" t="n">
        <v>2001596</v>
      </c>
      <c r="B3425" t="n">
        <v>2</v>
      </c>
      <c r="C3425" t="n">
        <v>1596</v>
      </c>
      <c r="D3425" t="n">
        <v>1</v>
      </c>
      <c r="E3425" t="n">
        <v>105.2962</v>
      </c>
      <c r="F3425" t="n">
        <v>0.04252</v>
      </c>
    </row>
    <row r="3426">
      <c r="A3426" t="n">
        <v>2001597</v>
      </c>
      <c r="B3426" t="n">
        <v>2</v>
      </c>
      <c r="C3426" t="n">
        <v>1597</v>
      </c>
      <c r="D3426" t="n">
        <v>1</v>
      </c>
      <c r="E3426" t="n">
        <v>105.3148</v>
      </c>
      <c r="F3426" t="n">
        <v>0.04253</v>
      </c>
    </row>
    <row r="3427">
      <c r="A3427" t="n">
        <v>2001598</v>
      </c>
      <c r="B3427" t="n">
        <v>2</v>
      </c>
      <c r="C3427" t="n">
        <v>1598</v>
      </c>
      <c r="D3427" t="n">
        <v>1</v>
      </c>
      <c r="E3427" t="n">
        <v>105.3334</v>
      </c>
      <c r="F3427" t="n">
        <v>0.04253</v>
      </c>
    </row>
    <row r="3428">
      <c r="A3428" t="n">
        <v>2001599</v>
      </c>
      <c r="B3428" t="n">
        <v>2</v>
      </c>
      <c r="C3428" t="n">
        <v>1599</v>
      </c>
      <c r="D3428" t="n">
        <v>1</v>
      </c>
      <c r="E3428" t="n">
        <v>105.352</v>
      </c>
      <c r="F3428" t="n">
        <v>0.04253</v>
      </c>
    </row>
    <row r="3429">
      <c r="A3429" t="n">
        <v>2001600</v>
      </c>
      <c r="B3429" t="n">
        <v>2</v>
      </c>
      <c r="C3429" t="n">
        <v>1600</v>
      </c>
      <c r="D3429" t="n">
        <v>1</v>
      </c>
      <c r="E3429" t="n">
        <v>105.3705</v>
      </c>
      <c r="F3429" t="n">
        <v>0.04254</v>
      </c>
    </row>
    <row r="3430">
      <c r="A3430" t="n">
        <v>2001601</v>
      </c>
      <c r="B3430" t="n">
        <v>2</v>
      </c>
      <c r="C3430" t="n">
        <v>1601</v>
      </c>
      <c r="D3430" t="n">
        <v>1</v>
      </c>
      <c r="E3430" t="n">
        <v>105.3891</v>
      </c>
      <c r="F3430" t="n">
        <v>0.04254</v>
      </c>
    </row>
    <row r="3431">
      <c r="A3431" t="n">
        <v>2001602</v>
      </c>
      <c r="B3431" t="n">
        <v>2</v>
      </c>
      <c r="C3431" t="n">
        <v>1602</v>
      </c>
      <c r="D3431" t="n">
        <v>1</v>
      </c>
      <c r="E3431" t="n">
        <v>105.4076</v>
      </c>
      <c r="F3431" t="n">
        <v>0.04255</v>
      </c>
    </row>
    <row r="3432">
      <c r="A3432" t="n">
        <v>2001603</v>
      </c>
      <c r="B3432" t="n">
        <v>2</v>
      </c>
      <c r="C3432" t="n">
        <v>1603</v>
      </c>
      <c r="D3432" t="n">
        <v>1</v>
      </c>
      <c r="E3432" t="n">
        <v>105.4262</v>
      </c>
      <c r="F3432" t="n">
        <v>0.04255</v>
      </c>
    </row>
    <row r="3433">
      <c r="A3433" t="n">
        <v>2001604</v>
      </c>
      <c r="B3433" t="n">
        <v>2</v>
      </c>
      <c r="C3433" t="n">
        <v>1604</v>
      </c>
      <c r="D3433" t="n">
        <v>1</v>
      </c>
      <c r="E3433" t="n">
        <v>105.4447</v>
      </c>
      <c r="F3433" t="n">
        <v>0.04256</v>
      </c>
    </row>
    <row r="3434">
      <c r="A3434" t="n">
        <v>2001605</v>
      </c>
      <c r="B3434" t="n">
        <v>2</v>
      </c>
      <c r="C3434" t="n">
        <v>1605</v>
      </c>
      <c r="D3434" t="n">
        <v>1</v>
      </c>
      <c r="E3434" t="n">
        <v>105.4633</v>
      </c>
      <c r="F3434" t="n">
        <v>0.04256</v>
      </c>
    </row>
    <row r="3435">
      <c r="A3435" t="n">
        <v>2001606</v>
      </c>
      <c r="B3435" t="n">
        <v>2</v>
      </c>
      <c r="C3435" t="n">
        <v>1606</v>
      </c>
      <c r="D3435" t="n">
        <v>1</v>
      </c>
      <c r="E3435" t="n">
        <v>105.4818</v>
      </c>
      <c r="F3435" t="n">
        <v>0.04256</v>
      </c>
    </row>
    <row r="3436">
      <c r="A3436" t="n">
        <v>2001607</v>
      </c>
      <c r="B3436" t="n">
        <v>2</v>
      </c>
      <c r="C3436" t="n">
        <v>1607</v>
      </c>
      <c r="D3436" t="n">
        <v>1</v>
      </c>
      <c r="E3436" t="n">
        <v>105.5003</v>
      </c>
      <c r="F3436" t="n">
        <v>0.04257</v>
      </c>
    </row>
    <row r="3437">
      <c r="A3437" t="n">
        <v>2001608</v>
      </c>
      <c r="B3437" t="n">
        <v>2</v>
      </c>
      <c r="C3437" t="n">
        <v>1608</v>
      </c>
      <c r="D3437" t="n">
        <v>1</v>
      </c>
      <c r="E3437" t="n">
        <v>105.5189</v>
      </c>
      <c r="F3437" t="n">
        <v>0.04257</v>
      </c>
    </row>
    <row r="3438">
      <c r="A3438" t="n">
        <v>2001609</v>
      </c>
      <c r="B3438" t="n">
        <v>2</v>
      </c>
      <c r="C3438" t="n">
        <v>1609</v>
      </c>
      <c r="D3438" t="n">
        <v>1</v>
      </c>
      <c r="E3438" t="n">
        <v>105.5374</v>
      </c>
      <c r="F3438" t="n">
        <v>0.04258</v>
      </c>
    </row>
    <row r="3439">
      <c r="A3439" t="n">
        <v>2001610</v>
      </c>
      <c r="B3439" t="n">
        <v>2</v>
      </c>
      <c r="C3439" t="n">
        <v>1610</v>
      </c>
      <c r="D3439" t="n">
        <v>1</v>
      </c>
      <c r="E3439" t="n">
        <v>105.5559</v>
      </c>
      <c r="F3439" t="n">
        <v>0.04258</v>
      </c>
    </row>
    <row r="3440">
      <c r="A3440" t="n">
        <v>2001611</v>
      </c>
      <c r="B3440" t="n">
        <v>2</v>
      </c>
      <c r="C3440" t="n">
        <v>1611</v>
      </c>
      <c r="D3440" t="n">
        <v>1</v>
      </c>
      <c r="E3440" t="n">
        <v>105.5744</v>
      </c>
      <c r="F3440" t="n">
        <v>0.04259</v>
      </c>
    </row>
    <row r="3441">
      <c r="A3441" t="n">
        <v>2001612</v>
      </c>
      <c r="B3441" t="n">
        <v>2</v>
      </c>
      <c r="C3441" t="n">
        <v>1612</v>
      </c>
      <c r="D3441" t="n">
        <v>1</v>
      </c>
      <c r="E3441" t="n">
        <v>105.5929</v>
      </c>
      <c r="F3441" t="n">
        <v>0.04259</v>
      </c>
    </row>
    <row r="3442">
      <c r="A3442" t="n">
        <v>2001613</v>
      </c>
      <c r="B3442" t="n">
        <v>2</v>
      </c>
      <c r="C3442" t="n">
        <v>1613</v>
      </c>
      <c r="D3442" t="n">
        <v>1</v>
      </c>
      <c r="E3442" t="n">
        <v>105.6114</v>
      </c>
      <c r="F3442" t="n">
        <v>0.04259</v>
      </c>
    </row>
    <row r="3443">
      <c r="A3443" t="n">
        <v>2001614</v>
      </c>
      <c r="B3443" t="n">
        <v>2</v>
      </c>
      <c r="C3443" t="n">
        <v>1614</v>
      </c>
      <c r="D3443" t="n">
        <v>1</v>
      </c>
      <c r="E3443" t="n">
        <v>105.6299</v>
      </c>
      <c r="F3443" t="n">
        <v>0.0426</v>
      </c>
    </row>
    <row r="3444">
      <c r="A3444" t="n">
        <v>2001615</v>
      </c>
      <c r="B3444" t="n">
        <v>2</v>
      </c>
      <c r="C3444" t="n">
        <v>1615</v>
      </c>
      <c r="D3444" t="n">
        <v>1</v>
      </c>
      <c r="E3444" t="n">
        <v>105.6483</v>
      </c>
      <c r="F3444" t="n">
        <v>0.0426</v>
      </c>
    </row>
    <row r="3445">
      <c r="A3445" t="n">
        <v>2001616</v>
      </c>
      <c r="B3445" t="n">
        <v>2</v>
      </c>
      <c r="C3445" t="n">
        <v>1616</v>
      </c>
      <c r="D3445" t="n">
        <v>1</v>
      </c>
      <c r="E3445" t="n">
        <v>105.6668</v>
      </c>
      <c r="F3445" t="n">
        <v>0.04261</v>
      </c>
    </row>
    <row r="3446">
      <c r="A3446" t="n">
        <v>2001617</v>
      </c>
      <c r="B3446" t="n">
        <v>2</v>
      </c>
      <c r="C3446" t="n">
        <v>1617</v>
      </c>
      <c r="D3446" t="n">
        <v>1</v>
      </c>
      <c r="E3446" t="n">
        <v>105.6853</v>
      </c>
      <c r="F3446" t="n">
        <v>0.04261</v>
      </c>
    </row>
    <row r="3447">
      <c r="A3447" t="n">
        <v>2001618</v>
      </c>
      <c r="B3447" t="n">
        <v>2</v>
      </c>
      <c r="C3447" t="n">
        <v>1618</v>
      </c>
      <c r="D3447" t="n">
        <v>1</v>
      </c>
      <c r="E3447" t="n">
        <v>105.7037</v>
      </c>
      <c r="F3447" t="n">
        <v>0.04262</v>
      </c>
    </row>
    <row r="3448">
      <c r="A3448" t="n">
        <v>2001619</v>
      </c>
      <c r="B3448" t="n">
        <v>2</v>
      </c>
      <c r="C3448" t="n">
        <v>1619</v>
      </c>
      <c r="D3448" t="n">
        <v>1</v>
      </c>
      <c r="E3448" t="n">
        <v>105.7222</v>
      </c>
      <c r="F3448" t="n">
        <v>0.04262</v>
      </c>
    </row>
    <row r="3449">
      <c r="A3449" t="n">
        <v>2001620</v>
      </c>
      <c r="B3449" t="n">
        <v>2</v>
      </c>
      <c r="C3449" t="n">
        <v>1620</v>
      </c>
      <c r="D3449" t="n">
        <v>1</v>
      </c>
      <c r="E3449" t="n">
        <v>105.7406</v>
      </c>
      <c r="F3449" t="n">
        <v>0.04262</v>
      </c>
    </row>
    <row r="3450">
      <c r="A3450" t="n">
        <v>2001621</v>
      </c>
      <c r="B3450" t="n">
        <v>2</v>
      </c>
      <c r="C3450" t="n">
        <v>1621</v>
      </c>
      <c r="D3450" t="n">
        <v>1</v>
      </c>
      <c r="E3450" t="n">
        <v>105.7591</v>
      </c>
      <c r="F3450" t="n">
        <v>0.04263</v>
      </c>
    </row>
    <row r="3451">
      <c r="A3451" t="n">
        <v>2001622</v>
      </c>
      <c r="B3451" t="n">
        <v>2</v>
      </c>
      <c r="C3451" t="n">
        <v>1622</v>
      </c>
      <c r="D3451" t="n">
        <v>1</v>
      </c>
      <c r="E3451" t="n">
        <v>105.7775</v>
      </c>
      <c r="F3451" t="n">
        <v>0.04263</v>
      </c>
    </row>
    <row r="3452">
      <c r="A3452" t="n">
        <v>2001623</v>
      </c>
      <c r="B3452" t="n">
        <v>2</v>
      </c>
      <c r="C3452" t="n">
        <v>1623</v>
      </c>
      <c r="D3452" t="n">
        <v>1</v>
      </c>
      <c r="E3452" t="n">
        <v>105.796</v>
      </c>
      <c r="F3452" t="n">
        <v>0.04264</v>
      </c>
    </row>
    <row r="3453">
      <c r="A3453" t="n">
        <v>2001624</v>
      </c>
      <c r="B3453" t="n">
        <v>2</v>
      </c>
      <c r="C3453" t="n">
        <v>1624</v>
      </c>
      <c r="D3453" t="n">
        <v>1</v>
      </c>
      <c r="E3453" t="n">
        <v>105.8144</v>
      </c>
      <c r="F3453" t="n">
        <v>0.04264</v>
      </c>
    </row>
    <row r="3454">
      <c r="A3454" t="n">
        <v>2001625</v>
      </c>
      <c r="B3454" t="n">
        <v>2</v>
      </c>
      <c r="C3454" t="n">
        <v>1625</v>
      </c>
      <c r="D3454" t="n">
        <v>1</v>
      </c>
      <c r="E3454" t="n">
        <v>105.8328</v>
      </c>
      <c r="F3454" t="n">
        <v>0.04264</v>
      </c>
    </row>
    <row r="3455">
      <c r="A3455" t="n">
        <v>2001626</v>
      </c>
      <c r="B3455" t="n">
        <v>2</v>
      </c>
      <c r="C3455" t="n">
        <v>1626</v>
      </c>
      <c r="D3455" t="n">
        <v>1</v>
      </c>
      <c r="E3455" t="n">
        <v>105.8512</v>
      </c>
      <c r="F3455" t="n">
        <v>0.04265</v>
      </c>
    </row>
    <row r="3456">
      <c r="A3456" t="n">
        <v>2001627</v>
      </c>
      <c r="B3456" t="n">
        <v>2</v>
      </c>
      <c r="C3456" t="n">
        <v>1627</v>
      </c>
      <c r="D3456" t="n">
        <v>1</v>
      </c>
      <c r="E3456" t="n">
        <v>105.8696</v>
      </c>
      <c r="F3456" t="n">
        <v>0.04265</v>
      </c>
    </row>
    <row r="3457">
      <c r="A3457" t="n">
        <v>2001628</v>
      </c>
      <c r="B3457" t="n">
        <v>2</v>
      </c>
      <c r="C3457" t="n">
        <v>1628</v>
      </c>
      <c r="D3457" t="n">
        <v>1</v>
      </c>
      <c r="E3457" t="n">
        <v>105.888</v>
      </c>
      <c r="F3457" t="n">
        <v>0.04266</v>
      </c>
    </row>
    <row r="3458">
      <c r="A3458" t="n">
        <v>2001629</v>
      </c>
      <c r="B3458" t="n">
        <v>2</v>
      </c>
      <c r="C3458" t="n">
        <v>1629</v>
      </c>
      <c r="D3458" t="n">
        <v>1</v>
      </c>
      <c r="E3458" t="n">
        <v>105.9064</v>
      </c>
      <c r="F3458" t="n">
        <v>0.04266</v>
      </c>
    </row>
    <row r="3459">
      <c r="A3459" t="n">
        <v>2001630</v>
      </c>
      <c r="B3459" t="n">
        <v>2</v>
      </c>
      <c r="C3459" t="n">
        <v>1630</v>
      </c>
      <c r="D3459" t="n">
        <v>1</v>
      </c>
      <c r="E3459" t="n">
        <v>105.9248</v>
      </c>
      <c r="F3459" t="n">
        <v>0.04267</v>
      </c>
    </row>
    <row r="3460">
      <c r="A3460" t="n">
        <v>2001631</v>
      </c>
      <c r="B3460" t="n">
        <v>2</v>
      </c>
      <c r="C3460" t="n">
        <v>1631</v>
      </c>
      <c r="D3460" t="n">
        <v>1</v>
      </c>
      <c r="E3460" t="n">
        <v>105.9432</v>
      </c>
      <c r="F3460" t="n">
        <v>0.04267</v>
      </c>
    </row>
    <row r="3461">
      <c r="A3461" t="n">
        <v>2001632</v>
      </c>
      <c r="B3461" t="n">
        <v>2</v>
      </c>
      <c r="C3461" t="n">
        <v>1632</v>
      </c>
      <c r="D3461" t="n">
        <v>1</v>
      </c>
      <c r="E3461" t="n">
        <v>105.9616</v>
      </c>
      <c r="F3461" t="n">
        <v>0.04267</v>
      </c>
    </row>
    <row r="3462">
      <c r="A3462" t="n">
        <v>2001633</v>
      </c>
      <c r="B3462" t="n">
        <v>2</v>
      </c>
      <c r="C3462" t="n">
        <v>1633</v>
      </c>
      <c r="D3462" t="n">
        <v>1</v>
      </c>
      <c r="E3462" t="n">
        <v>105.98</v>
      </c>
      <c r="F3462" t="n">
        <v>0.04268</v>
      </c>
    </row>
    <row r="3463">
      <c r="A3463" t="n">
        <v>2001634</v>
      </c>
      <c r="B3463" t="n">
        <v>2</v>
      </c>
      <c r="C3463" t="n">
        <v>1634</v>
      </c>
      <c r="D3463" t="n">
        <v>1</v>
      </c>
      <c r="E3463" t="n">
        <v>105.9983</v>
      </c>
      <c r="F3463" t="n">
        <v>0.04268</v>
      </c>
    </row>
    <row r="3464">
      <c r="A3464" t="n">
        <v>2001635</v>
      </c>
      <c r="B3464" t="n">
        <v>2</v>
      </c>
      <c r="C3464" t="n">
        <v>1635</v>
      </c>
      <c r="D3464" t="n">
        <v>1</v>
      </c>
      <c r="E3464" t="n">
        <v>106.0167</v>
      </c>
      <c r="F3464" t="n">
        <v>0.04269</v>
      </c>
    </row>
    <row r="3465">
      <c r="A3465" t="n">
        <v>2001636</v>
      </c>
      <c r="B3465" t="n">
        <v>2</v>
      </c>
      <c r="C3465" t="n">
        <v>1636</v>
      </c>
      <c r="D3465" t="n">
        <v>1</v>
      </c>
      <c r="E3465" t="n">
        <v>106.0351</v>
      </c>
      <c r="F3465" t="n">
        <v>0.04269</v>
      </c>
    </row>
    <row r="3466">
      <c r="A3466" t="n">
        <v>2001637</v>
      </c>
      <c r="B3466" t="n">
        <v>2</v>
      </c>
      <c r="C3466" t="n">
        <v>1637</v>
      </c>
      <c r="D3466" t="n">
        <v>1</v>
      </c>
      <c r="E3466" t="n">
        <v>106.0534</v>
      </c>
      <c r="F3466" t="n">
        <v>0.0427</v>
      </c>
    </row>
    <row r="3467">
      <c r="A3467" t="n">
        <v>2001638</v>
      </c>
      <c r="B3467" t="n">
        <v>2</v>
      </c>
      <c r="C3467" t="n">
        <v>1638</v>
      </c>
      <c r="D3467" t="n">
        <v>1</v>
      </c>
      <c r="E3467" t="n">
        <v>106.0718</v>
      </c>
      <c r="F3467" t="n">
        <v>0.0427</v>
      </c>
    </row>
    <row r="3468">
      <c r="A3468" t="n">
        <v>2001639</v>
      </c>
      <c r="B3468" t="n">
        <v>2</v>
      </c>
      <c r="C3468" t="n">
        <v>1639</v>
      </c>
      <c r="D3468" t="n">
        <v>1</v>
      </c>
      <c r="E3468" t="n">
        <v>106.0901</v>
      </c>
      <c r="F3468" t="n">
        <v>0.0427</v>
      </c>
    </row>
    <row r="3469">
      <c r="A3469" t="n">
        <v>2001640</v>
      </c>
      <c r="B3469" t="n">
        <v>2</v>
      </c>
      <c r="C3469" t="n">
        <v>1640</v>
      </c>
      <c r="D3469" t="n">
        <v>1</v>
      </c>
      <c r="E3469" t="n">
        <v>106.1084</v>
      </c>
      <c r="F3469" t="n">
        <v>0.04271</v>
      </c>
    </row>
    <row r="3470">
      <c r="A3470" t="n">
        <v>2001641</v>
      </c>
      <c r="B3470" t="n">
        <v>2</v>
      </c>
      <c r="C3470" t="n">
        <v>1641</v>
      </c>
      <c r="D3470" t="n">
        <v>1</v>
      </c>
      <c r="E3470" t="n">
        <v>106.1268</v>
      </c>
      <c r="F3470" t="n">
        <v>0.04271</v>
      </c>
    </row>
    <row r="3471">
      <c r="A3471" t="n">
        <v>2001642</v>
      </c>
      <c r="B3471" t="n">
        <v>2</v>
      </c>
      <c r="C3471" t="n">
        <v>1642</v>
      </c>
      <c r="D3471" t="n">
        <v>1</v>
      </c>
      <c r="E3471" t="n">
        <v>106.1451</v>
      </c>
      <c r="F3471" t="n">
        <v>0.04272</v>
      </c>
    </row>
    <row r="3472">
      <c r="A3472" t="n">
        <v>2001643</v>
      </c>
      <c r="B3472" t="n">
        <v>2</v>
      </c>
      <c r="C3472" t="n">
        <v>1643</v>
      </c>
      <c r="D3472" t="n">
        <v>1</v>
      </c>
      <c r="E3472" t="n">
        <v>106.1634</v>
      </c>
      <c r="F3472" t="n">
        <v>0.04272</v>
      </c>
    </row>
    <row r="3473">
      <c r="A3473" t="n">
        <v>2001644</v>
      </c>
      <c r="B3473" t="n">
        <v>2</v>
      </c>
      <c r="C3473" t="n">
        <v>1644</v>
      </c>
      <c r="D3473" t="n">
        <v>1</v>
      </c>
      <c r="E3473" t="n">
        <v>106.1817</v>
      </c>
      <c r="F3473" t="n">
        <v>0.04272</v>
      </c>
    </row>
    <row r="3474">
      <c r="A3474" t="n">
        <v>2001645</v>
      </c>
      <c r="B3474" t="n">
        <v>2</v>
      </c>
      <c r="C3474" t="n">
        <v>1645</v>
      </c>
      <c r="D3474" t="n">
        <v>1</v>
      </c>
      <c r="E3474" t="n">
        <v>106.2</v>
      </c>
      <c r="F3474" t="n">
        <v>0.04273</v>
      </c>
    </row>
    <row r="3475">
      <c r="A3475" t="n">
        <v>2001646</v>
      </c>
      <c r="B3475" t="n">
        <v>2</v>
      </c>
      <c r="C3475" t="n">
        <v>1646</v>
      </c>
      <c r="D3475" t="n">
        <v>1</v>
      </c>
      <c r="E3475" t="n">
        <v>106.2183</v>
      </c>
      <c r="F3475" t="n">
        <v>0.04273</v>
      </c>
    </row>
    <row r="3476">
      <c r="A3476" t="n">
        <v>2001647</v>
      </c>
      <c r="B3476" t="n">
        <v>2</v>
      </c>
      <c r="C3476" t="n">
        <v>1647</v>
      </c>
      <c r="D3476" t="n">
        <v>1</v>
      </c>
      <c r="E3476" t="n">
        <v>106.2366</v>
      </c>
      <c r="F3476" t="n">
        <v>0.04274</v>
      </c>
    </row>
    <row r="3477">
      <c r="A3477" t="n">
        <v>2001648</v>
      </c>
      <c r="B3477" t="n">
        <v>2</v>
      </c>
      <c r="C3477" t="n">
        <v>1648</v>
      </c>
      <c r="D3477" t="n">
        <v>1</v>
      </c>
      <c r="E3477" t="n">
        <v>106.2549</v>
      </c>
      <c r="F3477" t="n">
        <v>0.04274</v>
      </c>
    </row>
    <row r="3478">
      <c r="A3478" t="n">
        <v>2001649</v>
      </c>
      <c r="B3478" t="n">
        <v>2</v>
      </c>
      <c r="C3478" t="n">
        <v>1649</v>
      </c>
      <c r="D3478" t="n">
        <v>1</v>
      </c>
      <c r="E3478" t="n">
        <v>106.2732</v>
      </c>
      <c r="F3478" t="n">
        <v>0.04275</v>
      </c>
    </row>
    <row r="3479">
      <c r="A3479" t="n">
        <v>2001650</v>
      </c>
      <c r="B3479" t="n">
        <v>2</v>
      </c>
      <c r="C3479" t="n">
        <v>1650</v>
      </c>
      <c r="D3479" t="n">
        <v>1</v>
      </c>
      <c r="E3479" t="n">
        <v>106.2915</v>
      </c>
      <c r="F3479" t="n">
        <v>0.04275</v>
      </c>
    </row>
    <row r="3480">
      <c r="A3480" t="n">
        <v>2001651</v>
      </c>
      <c r="B3480" t="n">
        <v>2</v>
      </c>
      <c r="C3480" t="n">
        <v>1651</v>
      </c>
      <c r="D3480" t="n">
        <v>1</v>
      </c>
      <c r="E3480" t="n">
        <v>106.3097</v>
      </c>
      <c r="F3480" t="n">
        <v>0.04275</v>
      </c>
    </row>
    <row r="3481">
      <c r="A3481" t="n">
        <v>2001652</v>
      </c>
      <c r="B3481" t="n">
        <v>2</v>
      </c>
      <c r="C3481" t="n">
        <v>1652</v>
      </c>
      <c r="D3481" t="n">
        <v>1</v>
      </c>
      <c r="E3481" t="n">
        <v>106.328</v>
      </c>
      <c r="F3481" t="n">
        <v>0.04276</v>
      </c>
    </row>
    <row r="3482">
      <c r="A3482" t="n">
        <v>2001653</v>
      </c>
      <c r="B3482" t="n">
        <v>2</v>
      </c>
      <c r="C3482" t="n">
        <v>1653</v>
      </c>
      <c r="D3482" t="n">
        <v>1</v>
      </c>
      <c r="E3482" t="n">
        <v>106.3463</v>
      </c>
      <c r="F3482" t="n">
        <v>0.04276</v>
      </c>
    </row>
    <row r="3483">
      <c r="A3483" t="n">
        <v>2001654</v>
      </c>
      <c r="B3483" t="n">
        <v>2</v>
      </c>
      <c r="C3483" t="n">
        <v>1654</v>
      </c>
      <c r="D3483" t="n">
        <v>1</v>
      </c>
      <c r="E3483" t="n">
        <v>106.3645</v>
      </c>
      <c r="F3483" t="n">
        <v>0.04277</v>
      </c>
    </row>
    <row r="3484">
      <c r="A3484" t="n">
        <v>2001655</v>
      </c>
      <c r="B3484" t="n">
        <v>2</v>
      </c>
      <c r="C3484" t="n">
        <v>1655</v>
      </c>
      <c r="D3484" t="n">
        <v>1</v>
      </c>
      <c r="E3484" t="n">
        <v>106.3828</v>
      </c>
      <c r="F3484" t="n">
        <v>0.04277</v>
      </c>
    </row>
    <row r="3485">
      <c r="A3485" t="n">
        <v>2001656</v>
      </c>
      <c r="B3485" t="n">
        <v>2</v>
      </c>
      <c r="C3485" t="n">
        <v>1656</v>
      </c>
      <c r="D3485" t="n">
        <v>1</v>
      </c>
      <c r="E3485" t="n">
        <v>106.401</v>
      </c>
      <c r="F3485" t="n">
        <v>0.04277</v>
      </c>
    </row>
    <row r="3486">
      <c r="A3486" t="n">
        <v>2001657</v>
      </c>
      <c r="B3486" t="n">
        <v>2</v>
      </c>
      <c r="C3486" t="n">
        <v>1657</v>
      </c>
      <c r="D3486" t="n">
        <v>1</v>
      </c>
      <c r="E3486" t="n">
        <v>106.4192</v>
      </c>
      <c r="F3486" t="n">
        <v>0.04278</v>
      </c>
    </row>
    <row r="3487">
      <c r="A3487" t="n">
        <v>2001658</v>
      </c>
      <c r="B3487" t="n">
        <v>2</v>
      </c>
      <c r="C3487" t="n">
        <v>1658</v>
      </c>
      <c r="D3487" t="n">
        <v>1</v>
      </c>
      <c r="E3487" t="n">
        <v>106.4375</v>
      </c>
      <c r="F3487" t="n">
        <v>0.04278</v>
      </c>
    </row>
    <row r="3488">
      <c r="A3488" t="n">
        <v>2001659</v>
      </c>
      <c r="B3488" t="n">
        <v>2</v>
      </c>
      <c r="C3488" t="n">
        <v>1659</v>
      </c>
      <c r="D3488" t="n">
        <v>1</v>
      </c>
      <c r="E3488" t="n">
        <v>106.4557</v>
      </c>
      <c r="F3488" t="n">
        <v>0.04279</v>
      </c>
    </row>
    <row r="3489">
      <c r="A3489" t="n">
        <v>2001660</v>
      </c>
      <c r="B3489" t="n">
        <v>2</v>
      </c>
      <c r="C3489" t="n">
        <v>1660</v>
      </c>
      <c r="D3489" t="n">
        <v>1</v>
      </c>
      <c r="E3489" t="n">
        <v>106.4739</v>
      </c>
      <c r="F3489" t="n">
        <v>0.04279</v>
      </c>
    </row>
    <row r="3490">
      <c r="A3490" t="n">
        <v>2001661</v>
      </c>
      <c r="B3490" t="n">
        <v>2</v>
      </c>
      <c r="C3490" t="n">
        <v>1661</v>
      </c>
      <c r="D3490" t="n">
        <v>1</v>
      </c>
      <c r="E3490" t="n">
        <v>106.4921</v>
      </c>
      <c r="F3490" t="n">
        <v>0.0428</v>
      </c>
    </row>
    <row r="3491">
      <c r="A3491" t="n">
        <v>2001662</v>
      </c>
      <c r="B3491" t="n">
        <v>2</v>
      </c>
      <c r="C3491" t="n">
        <v>1662</v>
      </c>
      <c r="D3491" t="n">
        <v>1</v>
      </c>
      <c r="E3491" t="n">
        <v>106.5103</v>
      </c>
      <c r="F3491" t="n">
        <v>0.0428</v>
      </c>
    </row>
    <row r="3492">
      <c r="A3492" t="n">
        <v>2001663</v>
      </c>
      <c r="B3492" t="n">
        <v>2</v>
      </c>
      <c r="C3492" t="n">
        <v>1663</v>
      </c>
      <c r="D3492" t="n">
        <v>1</v>
      </c>
      <c r="E3492" t="n">
        <v>106.5285</v>
      </c>
      <c r="F3492" t="n">
        <v>0.0428</v>
      </c>
    </row>
    <row r="3493">
      <c r="A3493" t="n">
        <v>2001664</v>
      </c>
      <c r="B3493" t="n">
        <v>2</v>
      </c>
      <c r="C3493" t="n">
        <v>1664</v>
      </c>
      <c r="D3493" t="n">
        <v>1</v>
      </c>
      <c r="E3493" t="n">
        <v>106.5467</v>
      </c>
      <c r="F3493" t="n">
        <v>0.04281</v>
      </c>
    </row>
    <row r="3494">
      <c r="A3494" t="n">
        <v>2001665</v>
      </c>
      <c r="B3494" t="n">
        <v>2</v>
      </c>
      <c r="C3494" t="n">
        <v>1665</v>
      </c>
      <c r="D3494" t="n">
        <v>1</v>
      </c>
      <c r="E3494" t="n">
        <v>106.5649</v>
      </c>
      <c r="F3494" t="n">
        <v>0.04281</v>
      </c>
    </row>
    <row r="3495">
      <c r="A3495" t="n">
        <v>2001666</v>
      </c>
      <c r="B3495" t="n">
        <v>2</v>
      </c>
      <c r="C3495" t="n">
        <v>1666</v>
      </c>
      <c r="D3495" t="n">
        <v>1</v>
      </c>
      <c r="E3495" t="n">
        <v>106.5831</v>
      </c>
      <c r="F3495" t="n">
        <v>0.04282</v>
      </c>
    </row>
    <row r="3496">
      <c r="A3496" t="n">
        <v>2001667</v>
      </c>
      <c r="B3496" t="n">
        <v>2</v>
      </c>
      <c r="C3496" t="n">
        <v>1667</v>
      </c>
      <c r="D3496" t="n">
        <v>1</v>
      </c>
      <c r="E3496" t="n">
        <v>106.6013</v>
      </c>
      <c r="F3496" t="n">
        <v>0.04282</v>
      </c>
    </row>
    <row r="3497">
      <c r="A3497" t="n">
        <v>2001668</v>
      </c>
      <c r="B3497" t="n">
        <v>2</v>
      </c>
      <c r="C3497" t="n">
        <v>1668</v>
      </c>
      <c r="D3497" t="n">
        <v>1</v>
      </c>
      <c r="E3497" t="n">
        <v>106.6195</v>
      </c>
      <c r="F3497" t="n">
        <v>0.04282</v>
      </c>
    </row>
    <row r="3498">
      <c r="A3498" t="n">
        <v>2001669</v>
      </c>
      <c r="B3498" t="n">
        <v>2</v>
      </c>
      <c r="C3498" t="n">
        <v>1669</v>
      </c>
      <c r="D3498" t="n">
        <v>1</v>
      </c>
      <c r="E3498" t="n">
        <v>106.6376</v>
      </c>
      <c r="F3498" t="n">
        <v>0.04283</v>
      </c>
    </row>
    <row r="3499">
      <c r="A3499" t="n">
        <v>2001670</v>
      </c>
      <c r="B3499" t="n">
        <v>2</v>
      </c>
      <c r="C3499" t="n">
        <v>1670</v>
      </c>
      <c r="D3499" t="n">
        <v>1</v>
      </c>
      <c r="E3499" t="n">
        <v>106.6558</v>
      </c>
      <c r="F3499" t="n">
        <v>0.04283</v>
      </c>
    </row>
    <row r="3500">
      <c r="A3500" t="n">
        <v>2001671</v>
      </c>
      <c r="B3500" t="n">
        <v>2</v>
      </c>
      <c r="C3500" t="n">
        <v>1671</v>
      </c>
      <c r="D3500" t="n">
        <v>1</v>
      </c>
      <c r="E3500" t="n">
        <v>106.6739</v>
      </c>
      <c r="F3500" t="n">
        <v>0.04284</v>
      </c>
    </row>
    <row r="3501">
      <c r="A3501" t="n">
        <v>2001672</v>
      </c>
      <c r="B3501" t="n">
        <v>2</v>
      </c>
      <c r="C3501" t="n">
        <v>1672</v>
      </c>
      <c r="D3501" t="n">
        <v>1</v>
      </c>
      <c r="E3501" t="n">
        <v>106.6921</v>
      </c>
      <c r="F3501" t="n">
        <v>0.04284</v>
      </c>
    </row>
    <row r="3502">
      <c r="A3502" t="n">
        <v>2001673</v>
      </c>
      <c r="B3502" t="n">
        <v>2</v>
      </c>
      <c r="C3502" t="n">
        <v>1673</v>
      </c>
      <c r="D3502" t="n">
        <v>1</v>
      </c>
      <c r="E3502" t="n">
        <v>106.7102</v>
      </c>
      <c r="F3502" t="n">
        <v>0.04285</v>
      </c>
    </row>
    <row r="3503">
      <c r="A3503" t="n">
        <v>2001674</v>
      </c>
      <c r="B3503" t="n">
        <v>2</v>
      </c>
      <c r="C3503" t="n">
        <v>1674</v>
      </c>
      <c r="D3503" t="n">
        <v>1</v>
      </c>
      <c r="E3503" t="n">
        <v>106.7284</v>
      </c>
      <c r="F3503" t="n">
        <v>0.04285</v>
      </c>
    </row>
    <row r="3504">
      <c r="A3504" t="n">
        <v>2001675</v>
      </c>
      <c r="B3504" t="n">
        <v>2</v>
      </c>
      <c r="C3504" t="n">
        <v>1675</v>
      </c>
      <c r="D3504" t="n">
        <v>1</v>
      </c>
      <c r="E3504" t="n">
        <v>106.7465</v>
      </c>
      <c r="F3504" t="n">
        <v>0.04285</v>
      </c>
    </row>
    <row r="3505">
      <c r="A3505" t="n">
        <v>2001676</v>
      </c>
      <c r="B3505" t="n">
        <v>2</v>
      </c>
      <c r="C3505" t="n">
        <v>1676</v>
      </c>
      <c r="D3505" t="n">
        <v>1</v>
      </c>
      <c r="E3505" t="n">
        <v>106.7646</v>
      </c>
      <c r="F3505" t="n">
        <v>0.04286</v>
      </c>
    </row>
    <row r="3506">
      <c r="A3506" t="n">
        <v>2001677</v>
      </c>
      <c r="B3506" t="n">
        <v>2</v>
      </c>
      <c r="C3506" t="n">
        <v>1677</v>
      </c>
      <c r="D3506" t="n">
        <v>1</v>
      </c>
      <c r="E3506" t="n">
        <v>106.7828</v>
      </c>
      <c r="F3506" t="n">
        <v>0.04286</v>
      </c>
    </row>
    <row r="3507">
      <c r="A3507" t="n">
        <v>2001678</v>
      </c>
      <c r="B3507" t="n">
        <v>2</v>
      </c>
      <c r="C3507" t="n">
        <v>1678</v>
      </c>
      <c r="D3507" t="n">
        <v>1</v>
      </c>
      <c r="E3507" t="n">
        <v>106.8009</v>
      </c>
      <c r="F3507" t="n">
        <v>0.04287</v>
      </c>
    </row>
    <row r="3508">
      <c r="A3508" t="n">
        <v>2001679</v>
      </c>
      <c r="B3508" t="n">
        <v>2</v>
      </c>
      <c r="C3508" t="n">
        <v>1679</v>
      </c>
      <c r="D3508" t="n">
        <v>1</v>
      </c>
      <c r="E3508" t="n">
        <v>106.819</v>
      </c>
      <c r="F3508" t="n">
        <v>0.04287</v>
      </c>
    </row>
    <row r="3509">
      <c r="A3509" t="n">
        <v>2001680</v>
      </c>
      <c r="B3509" t="n">
        <v>2</v>
      </c>
      <c r="C3509" t="n">
        <v>1680</v>
      </c>
      <c r="D3509" t="n">
        <v>1</v>
      </c>
      <c r="E3509" t="n">
        <v>106.8371</v>
      </c>
      <c r="F3509" t="n">
        <v>0.04287</v>
      </c>
    </row>
    <row r="3510">
      <c r="A3510" t="n">
        <v>2001681</v>
      </c>
      <c r="B3510" t="n">
        <v>2</v>
      </c>
      <c r="C3510" t="n">
        <v>1681</v>
      </c>
      <c r="D3510" t="n">
        <v>1</v>
      </c>
      <c r="E3510" t="n">
        <v>106.8552</v>
      </c>
      <c r="F3510" t="n">
        <v>0.04288</v>
      </c>
    </row>
    <row r="3511">
      <c r="A3511" t="n">
        <v>2001682</v>
      </c>
      <c r="B3511" t="n">
        <v>2</v>
      </c>
      <c r="C3511" t="n">
        <v>1682</v>
      </c>
      <c r="D3511" t="n">
        <v>1</v>
      </c>
      <c r="E3511" t="n">
        <v>106.8733</v>
      </c>
      <c r="F3511" t="n">
        <v>0.04288</v>
      </c>
    </row>
    <row r="3512">
      <c r="A3512" t="n">
        <v>2001683</v>
      </c>
      <c r="B3512" t="n">
        <v>2</v>
      </c>
      <c r="C3512" t="n">
        <v>1683</v>
      </c>
      <c r="D3512" t="n">
        <v>1</v>
      </c>
      <c r="E3512" t="n">
        <v>106.8914</v>
      </c>
      <c r="F3512" t="n">
        <v>0.04289</v>
      </c>
    </row>
    <row r="3513">
      <c r="A3513" t="n">
        <v>2001684</v>
      </c>
      <c r="B3513" t="n">
        <v>2</v>
      </c>
      <c r="C3513" t="n">
        <v>1684</v>
      </c>
      <c r="D3513" t="n">
        <v>1</v>
      </c>
      <c r="E3513" t="n">
        <v>106.9094</v>
      </c>
      <c r="F3513" t="n">
        <v>0.04289</v>
      </c>
    </row>
    <row r="3514">
      <c r="A3514" t="n">
        <v>2001685</v>
      </c>
      <c r="B3514" t="n">
        <v>2</v>
      </c>
      <c r="C3514" t="n">
        <v>1685</v>
      </c>
      <c r="D3514" t="n">
        <v>1</v>
      </c>
      <c r="E3514" t="n">
        <v>106.9275</v>
      </c>
      <c r="F3514" t="n">
        <v>0.04289</v>
      </c>
    </row>
    <row r="3515">
      <c r="A3515" t="n">
        <v>2001686</v>
      </c>
      <c r="B3515" t="n">
        <v>2</v>
      </c>
      <c r="C3515" t="n">
        <v>1686</v>
      </c>
      <c r="D3515" t="n">
        <v>1</v>
      </c>
      <c r="E3515" t="n">
        <v>106.9456</v>
      </c>
      <c r="F3515" t="n">
        <v>0.0429</v>
      </c>
    </row>
    <row r="3516">
      <c r="A3516" t="n">
        <v>2001687</v>
      </c>
      <c r="B3516" t="n">
        <v>2</v>
      </c>
      <c r="C3516" t="n">
        <v>1687</v>
      </c>
      <c r="D3516" t="n">
        <v>1</v>
      </c>
      <c r="E3516" t="n">
        <v>106.9636</v>
      </c>
      <c r="F3516" t="n">
        <v>0.0429</v>
      </c>
    </row>
    <row r="3517">
      <c r="A3517" t="n">
        <v>2001688</v>
      </c>
      <c r="B3517" t="n">
        <v>2</v>
      </c>
      <c r="C3517" t="n">
        <v>1688</v>
      </c>
      <c r="D3517" t="n">
        <v>1</v>
      </c>
      <c r="E3517" t="n">
        <v>106.9817</v>
      </c>
      <c r="F3517" t="n">
        <v>0.04291</v>
      </c>
    </row>
    <row r="3518">
      <c r="A3518" t="n">
        <v>2001689</v>
      </c>
      <c r="B3518" t="n">
        <v>2</v>
      </c>
      <c r="C3518" t="n">
        <v>1689</v>
      </c>
      <c r="D3518" t="n">
        <v>1</v>
      </c>
      <c r="E3518" t="n">
        <v>106.9998</v>
      </c>
      <c r="F3518" t="n">
        <v>0.04291</v>
      </c>
    </row>
    <row r="3519">
      <c r="A3519" t="n">
        <v>2001690</v>
      </c>
      <c r="B3519" t="n">
        <v>2</v>
      </c>
      <c r="C3519" t="n">
        <v>1690</v>
      </c>
      <c r="D3519" t="n">
        <v>1</v>
      </c>
      <c r="E3519" t="n">
        <v>107.0178</v>
      </c>
      <c r="F3519" t="n">
        <v>0.04292</v>
      </c>
    </row>
    <row r="3520">
      <c r="A3520" t="n">
        <v>2001691</v>
      </c>
      <c r="B3520" t="n">
        <v>2</v>
      </c>
      <c r="C3520" t="n">
        <v>1691</v>
      </c>
      <c r="D3520" t="n">
        <v>1</v>
      </c>
      <c r="E3520" t="n">
        <v>107.0358</v>
      </c>
      <c r="F3520" t="n">
        <v>0.04292</v>
      </c>
    </row>
    <row r="3521">
      <c r="A3521" t="n">
        <v>2001692</v>
      </c>
      <c r="B3521" t="n">
        <v>2</v>
      </c>
      <c r="C3521" t="n">
        <v>1692</v>
      </c>
      <c r="D3521" t="n">
        <v>1</v>
      </c>
      <c r="E3521" t="n">
        <v>107.0539</v>
      </c>
      <c r="F3521" t="n">
        <v>0.04292</v>
      </c>
    </row>
    <row r="3522">
      <c r="A3522" t="n">
        <v>2001693</v>
      </c>
      <c r="B3522" t="n">
        <v>2</v>
      </c>
      <c r="C3522" t="n">
        <v>1693</v>
      </c>
      <c r="D3522" t="n">
        <v>1</v>
      </c>
      <c r="E3522" t="n">
        <v>107.0719</v>
      </c>
      <c r="F3522" t="n">
        <v>0.04293</v>
      </c>
    </row>
    <row r="3523">
      <c r="A3523" t="n">
        <v>2001694</v>
      </c>
      <c r="B3523" t="n">
        <v>2</v>
      </c>
      <c r="C3523" t="n">
        <v>1694</v>
      </c>
      <c r="D3523" t="n">
        <v>1</v>
      </c>
      <c r="E3523" t="n">
        <v>107.0899</v>
      </c>
      <c r="F3523" t="n">
        <v>0.04293</v>
      </c>
    </row>
    <row r="3524">
      <c r="A3524" t="n">
        <v>2001695</v>
      </c>
      <c r="B3524" t="n">
        <v>2</v>
      </c>
      <c r="C3524" t="n">
        <v>1695</v>
      </c>
      <c r="D3524" t="n">
        <v>1</v>
      </c>
      <c r="E3524" t="n">
        <v>107.1079</v>
      </c>
      <c r="F3524" t="n">
        <v>0.04294</v>
      </c>
    </row>
    <row r="3525">
      <c r="A3525" t="n">
        <v>2001696</v>
      </c>
      <c r="B3525" t="n">
        <v>2</v>
      </c>
      <c r="C3525" t="n">
        <v>1696</v>
      </c>
      <c r="D3525" t="n">
        <v>1</v>
      </c>
      <c r="E3525" t="n">
        <v>107.126</v>
      </c>
      <c r="F3525" t="n">
        <v>0.04294</v>
      </c>
    </row>
    <row r="3526">
      <c r="A3526" t="n">
        <v>2001697</v>
      </c>
      <c r="B3526" t="n">
        <v>2</v>
      </c>
      <c r="C3526" t="n">
        <v>1697</v>
      </c>
      <c r="D3526" t="n">
        <v>1</v>
      </c>
      <c r="E3526" t="n">
        <v>107.144</v>
      </c>
      <c r="F3526" t="n">
        <v>0.04294</v>
      </c>
    </row>
    <row r="3527">
      <c r="A3527" t="n">
        <v>2001698</v>
      </c>
      <c r="B3527" t="n">
        <v>2</v>
      </c>
      <c r="C3527" t="n">
        <v>1698</v>
      </c>
      <c r="D3527" t="n">
        <v>1</v>
      </c>
      <c r="E3527" t="n">
        <v>107.162</v>
      </c>
      <c r="F3527" t="n">
        <v>0.04295</v>
      </c>
    </row>
    <row r="3528">
      <c r="A3528" t="n">
        <v>2001699</v>
      </c>
      <c r="B3528" t="n">
        <v>2</v>
      </c>
      <c r="C3528" t="n">
        <v>1699</v>
      </c>
      <c r="D3528" t="n">
        <v>1</v>
      </c>
      <c r="E3528" t="n">
        <v>107.1799</v>
      </c>
      <c r="F3528" t="n">
        <v>0.04295</v>
      </c>
    </row>
    <row r="3529">
      <c r="A3529" t="n">
        <v>2001700</v>
      </c>
      <c r="B3529" t="n">
        <v>2</v>
      </c>
      <c r="C3529" t="n">
        <v>1700</v>
      </c>
      <c r="D3529" t="n">
        <v>1</v>
      </c>
      <c r="E3529" t="n">
        <v>107.1979</v>
      </c>
      <c r="F3529" t="n">
        <v>0.04296</v>
      </c>
    </row>
    <row r="3530">
      <c r="A3530" t="n">
        <v>2001701</v>
      </c>
      <c r="B3530" t="n">
        <v>2</v>
      </c>
      <c r="C3530" t="n">
        <v>1701</v>
      </c>
      <c r="D3530" t="n">
        <v>1</v>
      </c>
      <c r="E3530" t="n">
        <v>107.2159</v>
      </c>
      <c r="F3530" t="n">
        <v>0.04296</v>
      </c>
    </row>
    <row r="3531">
      <c r="A3531" t="n">
        <v>2001702</v>
      </c>
      <c r="B3531" t="n">
        <v>2</v>
      </c>
      <c r="C3531" t="n">
        <v>1702</v>
      </c>
      <c r="D3531" t="n">
        <v>1</v>
      </c>
      <c r="E3531" t="n">
        <v>107.2339</v>
      </c>
      <c r="F3531" t="n">
        <v>0.04296</v>
      </c>
    </row>
    <row r="3532">
      <c r="A3532" t="n">
        <v>2001703</v>
      </c>
      <c r="B3532" t="n">
        <v>2</v>
      </c>
      <c r="C3532" t="n">
        <v>1703</v>
      </c>
      <c r="D3532" t="n">
        <v>1</v>
      </c>
      <c r="E3532" t="n">
        <v>107.2519</v>
      </c>
      <c r="F3532" t="n">
        <v>0.04297</v>
      </c>
    </row>
    <row r="3533">
      <c r="A3533" t="n">
        <v>2001704</v>
      </c>
      <c r="B3533" t="n">
        <v>2</v>
      </c>
      <c r="C3533" t="n">
        <v>1704</v>
      </c>
      <c r="D3533" t="n">
        <v>1</v>
      </c>
      <c r="E3533" t="n">
        <v>107.2698</v>
      </c>
      <c r="F3533" t="n">
        <v>0.04297</v>
      </c>
    </row>
    <row r="3534">
      <c r="A3534" t="n">
        <v>2001705</v>
      </c>
      <c r="B3534" t="n">
        <v>2</v>
      </c>
      <c r="C3534" t="n">
        <v>1705</v>
      </c>
      <c r="D3534" t="n">
        <v>1</v>
      </c>
      <c r="E3534" t="n">
        <v>107.2878</v>
      </c>
      <c r="F3534" t="n">
        <v>0.04298</v>
      </c>
    </row>
    <row r="3535">
      <c r="A3535" t="n">
        <v>2001706</v>
      </c>
      <c r="B3535" t="n">
        <v>2</v>
      </c>
      <c r="C3535" t="n">
        <v>1706</v>
      </c>
      <c r="D3535" t="n">
        <v>1</v>
      </c>
      <c r="E3535" t="n">
        <v>107.3057</v>
      </c>
      <c r="F3535" t="n">
        <v>0.04298</v>
      </c>
    </row>
    <row r="3536">
      <c r="A3536" t="n">
        <v>2001707</v>
      </c>
      <c r="B3536" t="n">
        <v>2</v>
      </c>
      <c r="C3536" t="n">
        <v>1707</v>
      </c>
      <c r="D3536" t="n">
        <v>1</v>
      </c>
      <c r="E3536" t="n">
        <v>107.3237</v>
      </c>
      <c r="F3536" t="n">
        <v>0.04299</v>
      </c>
    </row>
    <row r="3537">
      <c r="A3537" t="n">
        <v>2001708</v>
      </c>
      <c r="B3537" t="n">
        <v>2</v>
      </c>
      <c r="C3537" t="n">
        <v>1708</v>
      </c>
      <c r="D3537" t="n">
        <v>1</v>
      </c>
      <c r="E3537" t="n">
        <v>107.3416</v>
      </c>
      <c r="F3537" t="n">
        <v>0.04299</v>
      </c>
    </row>
    <row r="3538">
      <c r="A3538" t="n">
        <v>2001709</v>
      </c>
      <c r="B3538" t="n">
        <v>2</v>
      </c>
      <c r="C3538" t="n">
        <v>1709</v>
      </c>
      <c r="D3538" t="n">
        <v>1</v>
      </c>
      <c r="E3538" t="n">
        <v>107.3596</v>
      </c>
      <c r="F3538" t="n">
        <v>0.04299</v>
      </c>
    </row>
    <row r="3539">
      <c r="A3539" t="n">
        <v>2001710</v>
      </c>
      <c r="B3539" t="n">
        <v>2</v>
      </c>
      <c r="C3539" t="n">
        <v>1710</v>
      </c>
      <c r="D3539" t="n">
        <v>1</v>
      </c>
      <c r="E3539" t="n">
        <v>107.3775</v>
      </c>
      <c r="F3539" t="n">
        <v>0.043</v>
      </c>
    </row>
    <row r="3540">
      <c r="A3540" t="n">
        <v>2001711</v>
      </c>
      <c r="B3540" t="n">
        <v>2</v>
      </c>
      <c r="C3540" t="n">
        <v>1711</v>
      </c>
      <c r="D3540" t="n">
        <v>1</v>
      </c>
      <c r="E3540" t="n">
        <v>107.3954</v>
      </c>
      <c r="F3540" t="n">
        <v>0.043</v>
      </c>
    </row>
    <row r="3541">
      <c r="A3541" t="n">
        <v>2001712</v>
      </c>
      <c r="B3541" t="n">
        <v>2</v>
      </c>
      <c r="C3541" t="n">
        <v>1712</v>
      </c>
      <c r="D3541" t="n">
        <v>1</v>
      </c>
      <c r="E3541" t="n">
        <v>107.4133</v>
      </c>
      <c r="F3541" t="n">
        <v>0.04301</v>
      </c>
    </row>
    <row r="3542">
      <c r="A3542" t="n">
        <v>2001713</v>
      </c>
      <c r="B3542" t="n">
        <v>2</v>
      </c>
      <c r="C3542" t="n">
        <v>1713</v>
      </c>
      <c r="D3542" t="n">
        <v>1</v>
      </c>
      <c r="E3542" t="n">
        <v>107.4312</v>
      </c>
      <c r="F3542" t="n">
        <v>0.04301</v>
      </c>
    </row>
    <row r="3543">
      <c r="A3543" t="n">
        <v>2001714</v>
      </c>
      <c r="B3543" t="n">
        <v>2</v>
      </c>
      <c r="C3543" t="n">
        <v>1714</v>
      </c>
      <c r="D3543" t="n">
        <v>1</v>
      </c>
      <c r="E3543" t="n">
        <v>107.4492</v>
      </c>
      <c r="F3543" t="n">
        <v>0.04301</v>
      </c>
    </row>
    <row r="3544">
      <c r="A3544" t="n">
        <v>2001715</v>
      </c>
      <c r="B3544" t="n">
        <v>2</v>
      </c>
      <c r="C3544" t="n">
        <v>1715</v>
      </c>
      <c r="D3544" t="n">
        <v>1</v>
      </c>
      <c r="E3544" t="n">
        <v>107.4671</v>
      </c>
      <c r="F3544" t="n">
        <v>0.04302</v>
      </c>
    </row>
    <row r="3545">
      <c r="A3545" t="n">
        <v>2001716</v>
      </c>
      <c r="B3545" t="n">
        <v>2</v>
      </c>
      <c r="C3545" t="n">
        <v>1716</v>
      </c>
      <c r="D3545" t="n">
        <v>1</v>
      </c>
      <c r="E3545" t="n">
        <v>107.4849</v>
      </c>
      <c r="F3545" t="n">
        <v>0.04302</v>
      </c>
    </row>
    <row r="3546">
      <c r="A3546" t="n">
        <v>2001717</v>
      </c>
      <c r="B3546" t="n">
        <v>2</v>
      </c>
      <c r="C3546" t="n">
        <v>1717</v>
      </c>
      <c r="D3546" t="n">
        <v>1</v>
      </c>
      <c r="E3546" t="n">
        <v>107.5028</v>
      </c>
      <c r="F3546" t="n">
        <v>0.04303</v>
      </c>
    </row>
    <row r="3547">
      <c r="A3547" t="n">
        <v>2001718</v>
      </c>
      <c r="B3547" t="n">
        <v>2</v>
      </c>
      <c r="C3547" t="n">
        <v>1718</v>
      </c>
      <c r="D3547" t="n">
        <v>1</v>
      </c>
      <c r="E3547" t="n">
        <v>107.5207</v>
      </c>
      <c r="F3547" t="n">
        <v>0.04303</v>
      </c>
    </row>
    <row r="3548">
      <c r="A3548" t="n">
        <v>2001719</v>
      </c>
      <c r="B3548" t="n">
        <v>2</v>
      </c>
      <c r="C3548" t="n">
        <v>1719</v>
      </c>
      <c r="D3548" t="n">
        <v>1</v>
      </c>
      <c r="E3548" t="n">
        <v>107.5386</v>
      </c>
      <c r="F3548" t="n">
        <v>0.04303</v>
      </c>
    </row>
    <row r="3549">
      <c r="A3549" t="n">
        <v>2001720</v>
      </c>
      <c r="B3549" t="n">
        <v>2</v>
      </c>
      <c r="C3549" t="n">
        <v>1720</v>
      </c>
      <c r="D3549" t="n">
        <v>1</v>
      </c>
      <c r="E3549" t="n">
        <v>107.5565</v>
      </c>
      <c r="F3549" t="n">
        <v>0.04304</v>
      </c>
    </row>
    <row r="3550">
      <c r="A3550" t="n">
        <v>2001721</v>
      </c>
      <c r="B3550" t="n">
        <v>2</v>
      </c>
      <c r="C3550" t="n">
        <v>1721</v>
      </c>
      <c r="D3550" t="n">
        <v>1</v>
      </c>
      <c r="E3550" t="n">
        <v>107.5743</v>
      </c>
      <c r="F3550" t="n">
        <v>0.04304</v>
      </c>
    </row>
    <row r="3551">
      <c r="A3551" t="n">
        <v>2001722</v>
      </c>
      <c r="B3551" t="n">
        <v>2</v>
      </c>
      <c r="C3551" t="n">
        <v>1722</v>
      </c>
      <c r="D3551" t="n">
        <v>1</v>
      </c>
      <c r="E3551" t="n">
        <v>107.5922</v>
      </c>
      <c r="F3551" t="n">
        <v>0.04305</v>
      </c>
    </row>
    <row r="3552">
      <c r="A3552" t="n">
        <v>2001723</v>
      </c>
      <c r="B3552" t="n">
        <v>2</v>
      </c>
      <c r="C3552" t="n">
        <v>1723</v>
      </c>
      <c r="D3552" t="n">
        <v>1</v>
      </c>
      <c r="E3552" t="n">
        <v>107.61</v>
      </c>
      <c r="F3552" t="n">
        <v>0.04305</v>
      </c>
    </row>
    <row r="3553">
      <c r="A3553" t="n">
        <v>2001724</v>
      </c>
      <c r="B3553" t="n">
        <v>2</v>
      </c>
      <c r="C3553" t="n">
        <v>1724</v>
      </c>
      <c r="D3553" t="n">
        <v>1</v>
      </c>
      <c r="E3553" t="n">
        <v>107.6279</v>
      </c>
      <c r="F3553" t="n">
        <v>0.04305</v>
      </c>
    </row>
    <row r="3554">
      <c r="A3554" t="n">
        <v>2001725</v>
      </c>
      <c r="B3554" t="n">
        <v>2</v>
      </c>
      <c r="C3554" t="n">
        <v>1725</v>
      </c>
      <c r="D3554" t="n">
        <v>1</v>
      </c>
      <c r="E3554" t="n">
        <v>107.6457</v>
      </c>
      <c r="F3554" t="n">
        <v>0.04306</v>
      </c>
    </row>
    <row r="3555">
      <c r="A3555" t="n">
        <v>2001726</v>
      </c>
      <c r="B3555" t="n">
        <v>2</v>
      </c>
      <c r="C3555" t="n">
        <v>1726</v>
      </c>
      <c r="D3555" t="n">
        <v>1</v>
      </c>
      <c r="E3555" t="n">
        <v>107.6636</v>
      </c>
      <c r="F3555" t="n">
        <v>0.04306</v>
      </c>
    </row>
    <row r="3556">
      <c r="A3556" t="n">
        <v>2001727</v>
      </c>
      <c r="B3556" t="n">
        <v>2</v>
      </c>
      <c r="C3556" t="n">
        <v>1727</v>
      </c>
      <c r="D3556" t="n">
        <v>1</v>
      </c>
      <c r="E3556" t="n">
        <v>107.6814</v>
      </c>
      <c r="F3556" t="n">
        <v>0.04307</v>
      </c>
    </row>
    <row r="3557">
      <c r="A3557" t="n">
        <v>2001728</v>
      </c>
      <c r="B3557" t="n">
        <v>2</v>
      </c>
      <c r="C3557" t="n">
        <v>1728</v>
      </c>
      <c r="D3557" t="n">
        <v>1</v>
      </c>
      <c r="E3557" t="n">
        <v>107.6992</v>
      </c>
      <c r="F3557" t="n">
        <v>0.04307</v>
      </c>
    </row>
    <row r="3558">
      <c r="A3558" t="n">
        <v>2001729</v>
      </c>
      <c r="B3558" t="n">
        <v>2</v>
      </c>
      <c r="C3558" t="n">
        <v>1729</v>
      </c>
      <c r="D3558" t="n">
        <v>1</v>
      </c>
      <c r="E3558" t="n">
        <v>107.717</v>
      </c>
      <c r="F3558" t="n">
        <v>0.04308</v>
      </c>
    </row>
    <row r="3559">
      <c r="A3559" t="n">
        <v>2001730</v>
      </c>
      <c r="B3559" t="n">
        <v>2</v>
      </c>
      <c r="C3559" t="n">
        <v>1730</v>
      </c>
      <c r="D3559" t="n">
        <v>1</v>
      </c>
      <c r="E3559" t="n">
        <v>107.7349</v>
      </c>
      <c r="F3559" t="n">
        <v>0.04308</v>
      </c>
    </row>
    <row r="3560">
      <c r="A3560" t="n">
        <v>2001731</v>
      </c>
      <c r="B3560" t="n">
        <v>2</v>
      </c>
      <c r="C3560" t="n">
        <v>1731</v>
      </c>
      <c r="D3560" t="n">
        <v>1</v>
      </c>
      <c r="E3560" t="n">
        <v>107.7527</v>
      </c>
      <c r="F3560" t="n">
        <v>0.04308</v>
      </c>
    </row>
    <row r="3561">
      <c r="A3561" t="n">
        <v>2001732</v>
      </c>
      <c r="B3561" t="n">
        <v>2</v>
      </c>
      <c r="C3561" t="n">
        <v>1732</v>
      </c>
      <c r="D3561" t="n">
        <v>1</v>
      </c>
      <c r="E3561" t="n">
        <v>107.7705</v>
      </c>
      <c r="F3561" t="n">
        <v>0.04309</v>
      </c>
    </row>
    <row r="3562">
      <c r="A3562" t="n">
        <v>2001733</v>
      </c>
      <c r="B3562" t="n">
        <v>2</v>
      </c>
      <c r="C3562" t="n">
        <v>1733</v>
      </c>
      <c r="D3562" t="n">
        <v>1</v>
      </c>
      <c r="E3562" t="n">
        <v>107.7883</v>
      </c>
      <c r="F3562" t="n">
        <v>0.04309</v>
      </c>
    </row>
    <row r="3563">
      <c r="A3563" t="n">
        <v>2001734</v>
      </c>
      <c r="B3563" t="n">
        <v>2</v>
      </c>
      <c r="C3563" t="n">
        <v>1734</v>
      </c>
      <c r="D3563" t="n">
        <v>1</v>
      </c>
      <c r="E3563" t="n">
        <v>107.806</v>
      </c>
      <c r="F3563" t="n">
        <v>0.0431</v>
      </c>
    </row>
    <row r="3564">
      <c r="A3564" t="n">
        <v>2001735</v>
      </c>
      <c r="B3564" t="n">
        <v>2</v>
      </c>
      <c r="C3564" t="n">
        <v>1735</v>
      </c>
      <c r="D3564" t="n">
        <v>1</v>
      </c>
      <c r="E3564" t="n">
        <v>107.8238</v>
      </c>
      <c r="F3564" t="n">
        <v>0.0431</v>
      </c>
    </row>
    <row r="3565">
      <c r="A3565" t="n">
        <v>2001736</v>
      </c>
      <c r="B3565" t="n">
        <v>2</v>
      </c>
      <c r="C3565" t="n">
        <v>1736</v>
      </c>
      <c r="D3565" t="n">
        <v>1</v>
      </c>
      <c r="E3565" t="n">
        <v>107.8416</v>
      </c>
      <c r="F3565" t="n">
        <v>0.0431</v>
      </c>
    </row>
    <row r="3566">
      <c r="A3566" t="n">
        <v>2001737</v>
      </c>
      <c r="B3566" t="n">
        <v>2</v>
      </c>
      <c r="C3566" t="n">
        <v>1737</v>
      </c>
      <c r="D3566" t="n">
        <v>1</v>
      </c>
      <c r="E3566" t="n">
        <v>107.8594</v>
      </c>
      <c r="F3566" t="n">
        <v>0.04311</v>
      </c>
    </row>
    <row r="3567">
      <c r="A3567" t="n">
        <v>2001738</v>
      </c>
      <c r="B3567" t="n">
        <v>2</v>
      </c>
      <c r="C3567" t="n">
        <v>1738</v>
      </c>
      <c r="D3567" t="n">
        <v>1</v>
      </c>
      <c r="E3567" t="n">
        <v>107.8772</v>
      </c>
      <c r="F3567" t="n">
        <v>0.04311</v>
      </c>
    </row>
    <row r="3568">
      <c r="A3568" t="n">
        <v>2001739</v>
      </c>
      <c r="B3568" t="n">
        <v>2</v>
      </c>
      <c r="C3568" t="n">
        <v>1739</v>
      </c>
      <c r="D3568" t="n">
        <v>1</v>
      </c>
      <c r="E3568" t="n">
        <v>107.8949</v>
      </c>
      <c r="F3568" t="n">
        <v>0.04312</v>
      </c>
    </row>
    <row r="3569">
      <c r="A3569" t="n">
        <v>2001740</v>
      </c>
      <c r="B3569" t="n">
        <v>2</v>
      </c>
      <c r="C3569" t="n">
        <v>1740</v>
      </c>
      <c r="D3569" t="n">
        <v>1</v>
      </c>
      <c r="E3569" t="n">
        <v>107.9127</v>
      </c>
      <c r="F3569" t="n">
        <v>0.04312</v>
      </c>
    </row>
    <row r="3570">
      <c r="A3570" t="n">
        <v>2001741</v>
      </c>
      <c r="B3570" t="n">
        <v>2</v>
      </c>
      <c r="C3570" t="n">
        <v>1741</v>
      </c>
      <c r="D3570" t="n">
        <v>1</v>
      </c>
      <c r="E3570" t="n">
        <v>107.9304</v>
      </c>
      <c r="F3570" t="n">
        <v>0.04312</v>
      </c>
    </row>
    <row r="3571">
      <c r="A3571" t="n">
        <v>2001742</v>
      </c>
      <c r="B3571" t="n">
        <v>2</v>
      </c>
      <c r="C3571" t="n">
        <v>1742</v>
      </c>
      <c r="D3571" t="n">
        <v>1</v>
      </c>
      <c r="E3571" t="n">
        <v>107.9482</v>
      </c>
      <c r="F3571" t="n">
        <v>0.04313</v>
      </c>
    </row>
    <row r="3572">
      <c r="A3572" t="n">
        <v>2001743</v>
      </c>
      <c r="B3572" t="n">
        <v>2</v>
      </c>
      <c r="C3572" t="n">
        <v>1743</v>
      </c>
      <c r="D3572" t="n">
        <v>1</v>
      </c>
      <c r="E3572" t="n">
        <v>107.9659</v>
      </c>
      <c r="F3572" t="n">
        <v>0.04313</v>
      </c>
    </row>
    <row r="3573">
      <c r="A3573" t="n">
        <v>2001744</v>
      </c>
      <c r="B3573" t="n">
        <v>2</v>
      </c>
      <c r="C3573" t="n">
        <v>1744</v>
      </c>
      <c r="D3573" t="n">
        <v>1</v>
      </c>
      <c r="E3573" t="n">
        <v>107.9836</v>
      </c>
      <c r="F3573" t="n">
        <v>0.04314</v>
      </c>
    </row>
    <row r="3574">
      <c r="A3574" t="n">
        <v>2001745</v>
      </c>
      <c r="B3574" t="n">
        <v>2</v>
      </c>
      <c r="C3574" t="n">
        <v>1745</v>
      </c>
      <c r="D3574" t="n">
        <v>1</v>
      </c>
      <c r="E3574" t="n">
        <v>108.0014</v>
      </c>
      <c r="F3574" t="n">
        <v>0.04314</v>
      </c>
    </row>
    <row r="3575">
      <c r="A3575" t="n">
        <v>2001746</v>
      </c>
      <c r="B3575" t="n">
        <v>2</v>
      </c>
      <c r="C3575" t="n">
        <v>1746</v>
      </c>
      <c r="D3575" t="n">
        <v>1</v>
      </c>
      <c r="E3575" t="n">
        <v>108.0191</v>
      </c>
      <c r="F3575" t="n">
        <v>0.04314</v>
      </c>
    </row>
    <row r="3576">
      <c r="A3576" t="n">
        <v>2001747</v>
      </c>
      <c r="B3576" t="n">
        <v>2</v>
      </c>
      <c r="C3576" t="n">
        <v>1747</v>
      </c>
      <c r="D3576" t="n">
        <v>1</v>
      </c>
      <c r="E3576" t="n">
        <v>108.0368</v>
      </c>
      <c r="F3576" t="n">
        <v>0.04315</v>
      </c>
    </row>
    <row r="3577">
      <c r="A3577" t="n">
        <v>2001748</v>
      </c>
      <c r="B3577" t="n">
        <v>2</v>
      </c>
      <c r="C3577" t="n">
        <v>1748</v>
      </c>
      <c r="D3577" t="n">
        <v>1</v>
      </c>
      <c r="E3577" t="n">
        <v>108.0545</v>
      </c>
      <c r="F3577" t="n">
        <v>0.04315</v>
      </c>
    </row>
    <row r="3578">
      <c r="A3578" t="n">
        <v>2001749</v>
      </c>
      <c r="B3578" t="n">
        <v>2</v>
      </c>
      <c r="C3578" t="n">
        <v>1749</v>
      </c>
      <c r="D3578" t="n">
        <v>1</v>
      </c>
      <c r="E3578" t="n">
        <v>108.0722</v>
      </c>
      <c r="F3578" t="n">
        <v>0.04316</v>
      </c>
    </row>
    <row r="3579">
      <c r="A3579" t="n">
        <v>2001750</v>
      </c>
      <c r="B3579" t="n">
        <v>2</v>
      </c>
      <c r="C3579" t="n">
        <v>1750</v>
      </c>
      <c r="D3579" t="n">
        <v>1</v>
      </c>
      <c r="E3579" t="n">
        <v>108.0899</v>
      </c>
      <c r="F3579" t="n">
        <v>0.04316</v>
      </c>
    </row>
    <row r="3580">
      <c r="A3580" t="n">
        <v>2001751</v>
      </c>
      <c r="B3580" t="n">
        <v>2</v>
      </c>
      <c r="C3580" t="n">
        <v>1751</v>
      </c>
      <c r="D3580" t="n">
        <v>1</v>
      </c>
      <c r="E3580" t="n">
        <v>108.1076</v>
      </c>
      <c r="F3580" t="n">
        <v>0.04316</v>
      </c>
    </row>
    <row r="3581">
      <c r="A3581" t="n">
        <v>2001752</v>
      </c>
      <c r="B3581" t="n">
        <v>2</v>
      </c>
      <c r="C3581" t="n">
        <v>1752</v>
      </c>
      <c r="D3581" t="n">
        <v>1</v>
      </c>
      <c r="E3581" t="n">
        <v>108.1253</v>
      </c>
      <c r="F3581" t="n">
        <v>0.04317</v>
      </c>
    </row>
    <row r="3582">
      <c r="A3582" t="n">
        <v>2001753</v>
      </c>
      <c r="B3582" t="n">
        <v>2</v>
      </c>
      <c r="C3582" t="n">
        <v>1753</v>
      </c>
      <c r="D3582" t="n">
        <v>1</v>
      </c>
      <c r="E3582" t="n">
        <v>108.143</v>
      </c>
      <c r="F3582" t="n">
        <v>0.04317</v>
      </c>
    </row>
    <row r="3583">
      <c r="A3583" t="n">
        <v>2001754</v>
      </c>
      <c r="B3583" t="n">
        <v>2</v>
      </c>
      <c r="C3583" t="n">
        <v>1754</v>
      </c>
      <c r="D3583" t="n">
        <v>1</v>
      </c>
      <c r="E3583" t="n">
        <v>108.1607</v>
      </c>
      <c r="F3583" t="n">
        <v>0.04318</v>
      </c>
    </row>
    <row r="3584">
      <c r="A3584" t="n">
        <v>2001755</v>
      </c>
      <c r="B3584" t="n">
        <v>2</v>
      </c>
      <c r="C3584" t="n">
        <v>1755</v>
      </c>
      <c r="D3584" t="n">
        <v>1</v>
      </c>
      <c r="E3584" t="n">
        <v>108.1783</v>
      </c>
      <c r="F3584" t="n">
        <v>0.04318</v>
      </c>
    </row>
    <row r="3585">
      <c r="A3585" t="n">
        <v>2001756</v>
      </c>
      <c r="B3585" t="n">
        <v>2</v>
      </c>
      <c r="C3585" t="n">
        <v>1756</v>
      </c>
      <c r="D3585" t="n">
        <v>1</v>
      </c>
      <c r="E3585" t="n">
        <v>108.196</v>
      </c>
      <c r="F3585" t="n">
        <v>0.04318</v>
      </c>
    </row>
    <row r="3586">
      <c r="A3586" t="n">
        <v>2001757</v>
      </c>
      <c r="B3586" t="n">
        <v>2</v>
      </c>
      <c r="C3586" t="n">
        <v>1757</v>
      </c>
      <c r="D3586" t="n">
        <v>1</v>
      </c>
      <c r="E3586" t="n">
        <v>108.2137</v>
      </c>
      <c r="F3586" t="n">
        <v>0.04319</v>
      </c>
    </row>
    <row r="3587">
      <c r="A3587" t="n">
        <v>2001758</v>
      </c>
      <c r="B3587" t="n">
        <v>2</v>
      </c>
      <c r="C3587" t="n">
        <v>1758</v>
      </c>
      <c r="D3587" t="n">
        <v>1</v>
      </c>
      <c r="E3587" t="n">
        <v>108.2313</v>
      </c>
      <c r="F3587" t="n">
        <v>0.04319</v>
      </c>
    </row>
    <row r="3588">
      <c r="A3588" t="n">
        <v>2001759</v>
      </c>
      <c r="B3588" t="n">
        <v>2</v>
      </c>
      <c r="C3588" t="n">
        <v>1759</v>
      </c>
      <c r="D3588" t="n">
        <v>1</v>
      </c>
      <c r="E3588" t="n">
        <v>108.249</v>
      </c>
      <c r="F3588" t="n">
        <v>0.0432</v>
      </c>
    </row>
    <row r="3589">
      <c r="A3589" t="n">
        <v>2001760</v>
      </c>
      <c r="B3589" t="n">
        <v>2</v>
      </c>
      <c r="C3589" t="n">
        <v>1760</v>
      </c>
      <c r="D3589" t="n">
        <v>1</v>
      </c>
      <c r="E3589" t="n">
        <v>108.2666</v>
      </c>
      <c r="F3589" t="n">
        <v>0.0432</v>
      </c>
    </row>
    <row r="3590">
      <c r="A3590" t="n">
        <v>2001761</v>
      </c>
      <c r="B3590" t="n">
        <v>2</v>
      </c>
      <c r="C3590" t="n">
        <v>1761</v>
      </c>
      <c r="D3590" t="n">
        <v>1</v>
      </c>
      <c r="E3590" t="n">
        <v>108.2842</v>
      </c>
      <c r="F3590" t="n">
        <v>0.04321</v>
      </c>
    </row>
    <row r="3591">
      <c r="A3591" t="n">
        <v>2001762</v>
      </c>
      <c r="B3591" t="n">
        <v>2</v>
      </c>
      <c r="C3591" t="n">
        <v>1762</v>
      </c>
      <c r="D3591" t="n">
        <v>1</v>
      </c>
      <c r="E3591" t="n">
        <v>108.3019</v>
      </c>
      <c r="F3591" t="n">
        <v>0.04321</v>
      </c>
    </row>
    <row r="3592">
      <c r="A3592" t="n">
        <v>2001763</v>
      </c>
      <c r="B3592" t="n">
        <v>2</v>
      </c>
      <c r="C3592" t="n">
        <v>1763</v>
      </c>
      <c r="D3592" t="n">
        <v>1</v>
      </c>
      <c r="E3592" t="n">
        <v>108.3195</v>
      </c>
      <c r="F3592" t="n">
        <v>0.04321</v>
      </c>
    </row>
    <row r="3593">
      <c r="A3593" t="n">
        <v>2001764</v>
      </c>
      <c r="B3593" t="n">
        <v>2</v>
      </c>
      <c r="C3593" t="n">
        <v>1764</v>
      </c>
      <c r="D3593" t="n">
        <v>1</v>
      </c>
      <c r="E3593" t="n">
        <v>108.3371</v>
      </c>
      <c r="F3593" t="n">
        <v>0.04322</v>
      </c>
    </row>
    <row r="3594">
      <c r="A3594" t="n">
        <v>2001765</v>
      </c>
      <c r="B3594" t="n">
        <v>2</v>
      </c>
      <c r="C3594" t="n">
        <v>1765</v>
      </c>
      <c r="D3594" t="n">
        <v>1</v>
      </c>
      <c r="E3594" t="n">
        <v>108.3547</v>
      </c>
      <c r="F3594" t="n">
        <v>0.04322</v>
      </c>
    </row>
    <row r="3595">
      <c r="A3595" t="n">
        <v>2001766</v>
      </c>
      <c r="B3595" t="n">
        <v>2</v>
      </c>
      <c r="C3595" t="n">
        <v>1766</v>
      </c>
      <c r="D3595" t="n">
        <v>1</v>
      </c>
      <c r="E3595" t="n">
        <v>108.3723</v>
      </c>
      <c r="F3595" t="n">
        <v>0.04323</v>
      </c>
    </row>
    <row r="3596">
      <c r="A3596" t="n">
        <v>2001767</v>
      </c>
      <c r="B3596" t="n">
        <v>2</v>
      </c>
      <c r="C3596" t="n">
        <v>1767</v>
      </c>
      <c r="D3596" t="n">
        <v>1</v>
      </c>
      <c r="E3596" t="n">
        <v>108.3899</v>
      </c>
      <c r="F3596" t="n">
        <v>0.04323</v>
      </c>
    </row>
    <row r="3597">
      <c r="A3597" t="n">
        <v>2001768</v>
      </c>
      <c r="B3597" t="n">
        <v>2</v>
      </c>
      <c r="C3597" t="n">
        <v>1768</v>
      </c>
      <c r="D3597" t="n">
        <v>1</v>
      </c>
      <c r="E3597" t="n">
        <v>108.4075</v>
      </c>
      <c r="F3597" t="n">
        <v>0.04323</v>
      </c>
    </row>
    <row r="3598">
      <c r="A3598" t="n">
        <v>2001769</v>
      </c>
      <c r="B3598" t="n">
        <v>2</v>
      </c>
      <c r="C3598" t="n">
        <v>1769</v>
      </c>
      <c r="D3598" t="n">
        <v>1</v>
      </c>
      <c r="E3598" t="n">
        <v>108.4251</v>
      </c>
      <c r="F3598" t="n">
        <v>0.04324</v>
      </c>
    </row>
    <row r="3599">
      <c r="A3599" t="n">
        <v>2001770</v>
      </c>
      <c r="B3599" t="n">
        <v>2</v>
      </c>
      <c r="C3599" t="n">
        <v>1770</v>
      </c>
      <c r="D3599" t="n">
        <v>1</v>
      </c>
      <c r="E3599" t="n">
        <v>108.4427</v>
      </c>
      <c r="F3599" t="n">
        <v>0.04324</v>
      </c>
    </row>
    <row r="3600">
      <c r="A3600" t="n">
        <v>2001771</v>
      </c>
      <c r="B3600" t="n">
        <v>2</v>
      </c>
      <c r="C3600" t="n">
        <v>1771</v>
      </c>
      <c r="D3600" t="n">
        <v>1</v>
      </c>
      <c r="E3600" t="n">
        <v>108.4603</v>
      </c>
      <c r="F3600" t="n">
        <v>0.04325</v>
      </c>
    </row>
    <row r="3601">
      <c r="A3601" t="n">
        <v>2001772</v>
      </c>
      <c r="B3601" t="n">
        <v>2</v>
      </c>
      <c r="C3601" t="n">
        <v>1772</v>
      </c>
      <c r="D3601" t="n">
        <v>1</v>
      </c>
      <c r="E3601" t="n">
        <v>108.4779</v>
      </c>
      <c r="F3601" t="n">
        <v>0.04325</v>
      </c>
    </row>
    <row r="3602">
      <c r="A3602" t="n">
        <v>2001773</v>
      </c>
      <c r="B3602" t="n">
        <v>2</v>
      </c>
      <c r="C3602" t="n">
        <v>1773</v>
      </c>
      <c r="D3602" t="n">
        <v>1</v>
      </c>
      <c r="E3602" t="n">
        <v>108.4954</v>
      </c>
      <c r="F3602" t="n">
        <v>0.04325</v>
      </c>
    </row>
    <row r="3603">
      <c r="A3603" t="n">
        <v>2001774</v>
      </c>
      <c r="B3603" t="n">
        <v>2</v>
      </c>
      <c r="C3603" t="n">
        <v>1774</v>
      </c>
      <c r="D3603" t="n">
        <v>1</v>
      </c>
      <c r="E3603" t="n">
        <v>108.513</v>
      </c>
      <c r="F3603" t="n">
        <v>0.04326</v>
      </c>
    </row>
    <row r="3604">
      <c r="A3604" t="n">
        <v>2001775</v>
      </c>
      <c r="B3604" t="n">
        <v>2</v>
      </c>
      <c r="C3604" t="n">
        <v>1775</v>
      </c>
      <c r="D3604" t="n">
        <v>1</v>
      </c>
      <c r="E3604" t="n">
        <v>108.5306</v>
      </c>
      <c r="F3604" t="n">
        <v>0.04326</v>
      </c>
    </row>
    <row r="3605">
      <c r="A3605" t="n">
        <v>2001776</v>
      </c>
      <c r="B3605" t="n">
        <v>2</v>
      </c>
      <c r="C3605" t="n">
        <v>1776</v>
      </c>
      <c r="D3605" t="n">
        <v>1</v>
      </c>
      <c r="E3605" t="n">
        <v>108.5481</v>
      </c>
      <c r="F3605" t="n">
        <v>0.04327</v>
      </c>
    </row>
    <row r="3606">
      <c r="A3606" t="n">
        <v>2001777</v>
      </c>
      <c r="B3606" t="n">
        <v>2</v>
      </c>
      <c r="C3606" t="n">
        <v>1777</v>
      </c>
      <c r="D3606" t="n">
        <v>1</v>
      </c>
      <c r="E3606" t="n">
        <v>108.5657</v>
      </c>
      <c r="F3606" t="n">
        <v>0.04327</v>
      </c>
    </row>
    <row r="3607">
      <c r="A3607" t="n">
        <v>2001778</v>
      </c>
      <c r="B3607" t="n">
        <v>2</v>
      </c>
      <c r="C3607" t="n">
        <v>1778</v>
      </c>
      <c r="D3607" t="n">
        <v>1</v>
      </c>
      <c r="E3607" t="n">
        <v>108.5832</v>
      </c>
      <c r="F3607" t="n">
        <v>0.04327</v>
      </c>
    </row>
    <row r="3608">
      <c r="A3608" t="n">
        <v>2001779</v>
      </c>
      <c r="B3608" t="n">
        <v>2</v>
      </c>
      <c r="C3608" t="n">
        <v>1779</v>
      </c>
      <c r="D3608" t="n">
        <v>1</v>
      </c>
      <c r="E3608" t="n">
        <v>108.6008</v>
      </c>
      <c r="F3608" t="n">
        <v>0.04328</v>
      </c>
    </row>
    <row r="3609">
      <c r="A3609" t="n">
        <v>2001780</v>
      </c>
      <c r="B3609" t="n">
        <v>2</v>
      </c>
      <c r="C3609" t="n">
        <v>1780</v>
      </c>
      <c r="D3609" t="n">
        <v>1</v>
      </c>
      <c r="E3609" t="n">
        <v>108.6183</v>
      </c>
      <c r="F3609" t="n">
        <v>0.04328</v>
      </c>
    </row>
    <row r="3610">
      <c r="A3610" t="n">
        <v>2001781</v>
      </c>
      <c r="B3610" t="n">
        <v>2</v>
      </c>
      <c r="C3610" t="n">
        <v>1781</v>
      </c>
      <c r="D3610" t="n">
        <v>1</v>
      </c>
      <c r="E3610" t="n">
        <v>108.6358</v>
      </c>
      <c r="F3610" t="n">
        <v>0.04329</v>
      </c>
    </row>
    <row r="3611">
      <c r="A3611" t="n">
        <v>2001782</v>
      </c>
      <c r="B3611" t="n">
        <v>2</v>
      </c>
      <c r="C3611" t="n">
        <v>1782</v>
      </c>
      <c r="D3611" t="n">
        <v>1</v>
      </c>
      <c r="E3611" t="n">
        <v>108.6533</v>
      </c>
      <c r="F3611" t="n">
        <v>0.04329</v>
      </c>
    </row>
    <row r="3612">
      <c r="A3612" t="n">
        <v>2001783</v>
      </c>
      <c r="B3612" t="n">
        <v>2</v>
      </c>
      <c r="C3612" t="n">
        <v>1783</v>
      </c>
      <c r="D3612" t="n">
        <v>1</v>
      </c>
      <c r="E3612" t="n">
        <v>108.6709</v>
      </c>
      <c r="F3612" t="n">
        <v>0.04329</v>
      </c>
    </row>
    <row r="3613">
      <c r="A3613" t="n">
        <v>2001784</v>
      </c>
      <c r="B3613" t="n">
        <v>2</v>
      </c>
      <c r="C3613" t="n">
        <v>1784</v>
      </c>
      <c r="D3613" t="n">
        <v>1</v>
      </c>
      <c r="E3613" t="n">
        <v>108.6884</v>
      </c>
      <c r="F3613" t="n">
        <v>0.0433</v>
      </c>
    </row>
    <row r="3614">
      <c r="A3614" t="n">
        <v>2001785</v>
      </c>
      <c r="B3614" t="n">
        <v>2</v>
      </c>
      <c r="C3614" t="n">
        <v>1785</v>
      </c>
      <c r="D3614" t="n">
        <v>1</v>
      </c>
      <c r="E3614" t="n">
        <v>108.7059</v>
      </c>
      <c r="F3614" t="n">
        <v>0.0433</v>
      </c>
    </row>
    <row r="3615">
      <c r="A3615" t="n">
        <v>2001786</v>
      </c>
      <c r="B3615" t="n">
        <v>2</v>
      </c>
      <c r="C3615" t="n">
        <v>1786</v>
      </c>
      <c r="D3615" t="n">
        <v>1</v>
      </c>
      <c r="E3615" t="n">
        <v>108.7234</v>
      </c>
      <c r="F3615" t="n">
        <v>0.04331</v>
      </c>
    </row>
    <row r="3616">
      <c r="A3616" t="n">
        <v>2001787</v>
      </c>
      <c r="B3616" t="n">
        <v>2</v>
      </c>
      <c r="C3616" t="n">
        <v>1787</v>
      </c>
      <c r="D3616" t="n">
        <v>1</v>
      </c>
      <c r="E3616" t="n">
        <v>108.7409</v>
      </c>
      <c r="F3616" t="n">
        <v>0.04331</v>
      </c>
    </row>
    <row r="3617">
      <c r="A3617" t="n">
        <v>2001788</v>
      </c>
      <c r="B3617" t="n">
        <v>2</v>
      </c>
      <c r="C3617" t="n">
        <v>1788</v>
      </c>
      <c r="D3617" t="n">
        <v>1</v>
      </c>
      <c r="E3617" t="n">
        <v>108.7583</v>
      </c>
      <c r="F3617" t="n">
        <v>0.04331</v>
      </c>
    </row>
    <row r="3618">
      <c r="A3618" t="n">
        <v>2001789</v>
      </c>
      <c r="B3618" t="n">
        <v>2</v>
      </c>
      <c r="C3618" t="n">
        <v>1789</v>
      </c>
      <c r="D3618" t="n">
        <v>1</v>
      </c>
      <c r="E3618" t="n">
        <v>108.7758</v>
      </c>
      <c r="F3618" t="n">
        <v>0.04332</v>
      </c>
    </row>
    <row r="3619">
      <c r="A3619" t="n">
        <v>2001790</v>
      </c>
      <c r="B3619" t="n">
        <v>2</v>
      </c>
      <c r="C3619" t="n">
        <v>1790</v>
      </c>
      <c r="D3619" t="n">
        <v>1</v>
      </c>
      <c r="E3619" t="n">
        <v>108.7933</v>
      </c>
      <c r="F3619" t="n">
        <v>0.04332</v>
      </c>
    </row>
    <row r="3620">
      <c r="A3620" t="n">
        <v>2001791</v>
      </c>
      <c r="B3620" t="n">
        <v>2</v>
      </c>
      <c r="C3620" t="n">
        <v>1791</v>
      </c>
      <c r="D3620" t="n">
        <v>1</v>
      </c>
      <c r="E3620" t="n">
        <v>108.8108</v>
      </c>
      <c r="F3620" t="n">
        <v>0.04333</v>
      </c>
    </row>
    <row r="3621">
      <c r="A3621" t="n">
        <v>2001792</v>
      </c>
      <c r="B3621" t="n">
        <v>2</v>
      </c>
      <c r="C3621" t="n">
        <v>1792</v>
      </c>
      <c r="D3621" t="n">
        <v>1</v>
      </c>
      <c r="E3621" t="n">
        <v>108.8282</v>
      </c>
      <c r="F3621" t="n">
        <v>0.04333</v>
      </c>
    </row>
    <row r="3622">
      <c r="A3622" t="n">
        <v>2001793</v>
      </c>
      <c r="B3622" t="n">
        <v>2</v>
      </c>
      <c r="C3622" t="n">
        <v>1793</v>
      </c>
      <c r="D3622" t="n">
        <v>1</v>
      </c>
      <c r="E3622" t="n">
        <v>108.8457</v>
      </c>
      <c r="F3622" t="n">
        <v>0.04333</v>
      </c>
    </row>
    <row r="3623">
      <c r="A3623" t="n">
        <v>2001794</v>
      </c>
      <c r="B3623" t="n">
        <v>2</v>
      </c>
      <c r="C3623" t="n">
        <v>1794</v>
      </c>
      <c r="D3623" t="n">
        <v>1</v>
      </c>
      <c r="E3623" t="n">
        <v>108.8632</v>
      </c>
      <c r="F3623" t="n">
        <v>0.04334</v>
      </c>
    </row>
    <row r="3624">
      <c r="A3624" t="n">
        <v>2001795</v>
      </c>
      <c r="B3624" t="n">
        <v>2</v>
      </c>
      <c r="C3624" t="n">
        <v>1795</v>
      </c>
      <c r="D3624" t="n">
        <v>1</v>
      </c>
      <c r="E3624" t="n">
        <v>108.8806</v>
      </c>
      <c r="F3624" t="n">
        <v>0.04334</v>
      </c>
    </row>
    <row r="3625">
      <c r="A3625" t="n">
        <v>2001796</v>
      </c>
      <c r="B3625" t="n">
        <v>2</v>
      </c>
      <c r="C3625" t="n">
        <v>1796</v>
      </c>
      <c r="D3625" t="n">
        <v>1</v>
      </c>
      <c r="E3625" t="n">
        <v>108.8981</v>
      </c>
      <c r="F3625" t="n">
        <v>0.04335</v>
      </c>
    </row>
    <row r="3626">
      <c r="A3626" t="n">
        <v>2001797</v>
      </c>
      <c r="B3626" t="n">
        <v>2</v>
      </c>
      <c r="C3626" t="n">
        <v>1797</v>
      </c>
      <c r="D3626" t="n">
        <v>1</v>
      </c>
      <c r="E3626" t="n">
        <v>108.9155</v>
      </c>
      <c r="F3626" t="n">
        <v>0.04335</v>
      </c>
    </row>
    <row r="3627">
      <c r="A3627" t="n">
        <v>2001798</v>
      </c>
      <c r="B3627" t="n">
        <v>2</v>
      </c>
      <c r="C3627" t="n">
        <v>1798</v>
      </c>
      <c r="D3627" t="n">
        <v>1</v>
      </c>
      <c r="E3627" t="n">
        <v>108.9329</v>
      </c>
      <c r="F3627" t="n">
        <v>0.04335</v>
      </c>
    </row>
    <row r="3628">
      <c r="A3628" t="n">
        <v>2001799</v>
      </c>
      <c r="B3628" t="n">
        <v>2</v>
      </c>
      <c r="C3628" t="n">
        <v>1799</v>
      </c>
      <c r="D3628" t="n">
        <v>1</v>
      </c>
      <c r="E3628" t="n">
        <v>108.9504</v>
      </c>
      <c r="F3628" t="n">
        <v>0.04336</v>
      </c>
    </row>
    <row r="3629">
      <c r="A3629" t="n">
        <v>2001800</v>
      </c>
      <c r="B3629" t="n">
        <v>2</v>
      </c>
      <c r="C3629" t="n">
        <v>1800</v>
      </c>
      <c r="D3629" t="n">
        <v>1</v>
      </c>
      <c r="E3629" t="n">
        <v>108.9678</v>
      </c>
      <c r="F3629" t="n">
        <v>0.04336</v>
      </c>
    </row>
    <row r="3630">
      <c r="A3630" t="n">
        <v>2001801</v>
      </c>
      <c r="B3630" t="n">
        <v>2</v>
      </c>
      <c r="C3630" t="n">
        <v>1801</v>
      </c>
      <c r="D3630" t="n">
        <v>1</v>
      </c>
      <c r="E3630" t="n">
        <v>108.9852</v>
      </c>
      <c r="F3630" t="n">
        <v>0.04337</v>
      </c>
    </row>
    <row r="3631">
      <c r="A3631" t="n">
        <v>2001802</v>
      </c>
      <c r="B3631" t="n">
        <v>2</v>
      </c>
      <c r="C3631" t="n">
        <v>1802</v>
      </c>
      <c r="D3631" t="n">
        <v>1</v>
      </c>
      <c r="E3631" t="n">
        <v>109.0026</v>
      </c>
      <c r="F3631" t="n">
        <v>0.04337</v>
      </c>
    </row>
    <row r="3632">
      <c r="A3632" t="n">
        <v>2001803</v>
      </c>
      <c r="B3632" t="n">
        <v>2</v>
      </c>
      <c r="C3632" t="n">
        <v>1803</v>
      </c>
      <c r="D3632" t="n">
        <v>1</v>
      </c>
      <c r="E3632" t="n">
        <v>109.02</v>
      </c>
      <c r="F3632" t="n">
        <v>0.04337</v>
      </c>
    </row>
    <row r="3633">
      <c r="A3633" t="n">
        <v>2001804</v>
      </c>
      <c r="B3633" t="n">
        <v>2</v>
      </c>
      <c r="C3633" t="n">
        <v>1804</v>
      </c>
      <c r="D3633" t="n">
        <v>1</v>
      </c>
      <c r="E3633" t="n">
        <v>109.0374</v>
      </c>
      <c r="F3633" t="n">
        <v>0.04338</v>
      </c>
    </row>
    <row r="3634">
      <c r="A3634" t="n">
        <v>2001805</v>
      </c>
      <c r="B3634" t="n">
        <v>2</v>
      </c>
      <c r="C3634" t="n">
        <v>1805</v>
      </c>
      <c r="D3634" t="n">
        <v>1</v>
      </c>
      <c r="E3634" t="n">
        <v>109.0548</v>
      </c>
      <c r="F3634" t="n">
        <v>0.04338</v>
      </c>
    </row>
    <row r="3635">
      <c r="A3635" t="n">
        <v>2001806</v>
      </c>
      <c r="B3635" t="n">
        <v>2</v>
      </c>
      <c r="C3635" t="n">
        <v>1806</v>
      </c>
      <c r="D3635" t="n">
        <v>1</v>
      </c>
      <c r="E3635" t="n">
        <v>109.0722</v>
      </c>
      <c r="F3635" t="n">
        <v>0.04339</v>
      </c>
    </row>
    <row r="3636">
      <c r="A3636" t="n">
        <v>2001807</v>
      </c>
      <c r="B3636" t="n">
        <v>2</v>
      </c>
      <c r="C3636" t="n">
        <v>1807</v>
      </c>
      <c r="D3636" t="n">
        <v>1</v>
      </c>
      <c r="E3636" t="n">
        <v>109.0896</v>
      </c>
      <c r="F3636" t="n">
        <v>0.04339</v>
      </c>
    </row>
    <row r="3637">
      <c r="A3637" t="n">
        <v>2001808</v>
      </c>
      <c r="B3637" t="n">
        <v>2</v>
      </c>
      <c r="C3637" t="n">
        <v>1808</v>
      </c>
      <c r="D3637" t="n">
        <v>1</v>
      </c>
      <c r="E3637" t="n">
        <v>109.107</v>
      </c>
      <c r="F3637" t="n">
        <v>0.04339</v>
      </c>
    </row>
    <row r="3638">
      <c r="A3638" t="n">
        <v>2001809</v>
      </c>
      <c r="B3638" t="n">
        <v>2</v>
      </c>
      <c r="C3638" t="n">
        <v>1809</v>
      </c>
      <c r="D3638" t="n">
        <v>1</v>
      </c>
      <c r="E3638" t="n">
        <v>109.1244</v>
      </c>
      <c r="F3638" t="n">
        <v>0.0434</v>
      </c>
    </row>
    <row r="3639">
      <c r="A3639" t="n">
        <v>2001810</v>
      </c>
      <c r="B3639" t="n">
        <v>2</v>
      </c>
      <c r="C3639" t="n">
        <v>1810</v>
      </c>
      <c r="D3639" t="n">
        <v>1</v>
      </c>
      <c r="E3639" t="n">
        <v>109.1417</v>
      </c>
      <c r="F3639" t="n">
        <v>0.0434</v>
      </c>
    </row>
    <row r="3640">
      <c r="A3640" t="n">
        <v>2001811</v>
      </c>
      <c r="B3640" t="n">
        <v>2</v>
      </c>
      <c r="C3640" t="n">
        <v>1811</v>
      </c>
      <c r="D3640" t="n">
        <v>1</v>
      </c>
      <c r="E3640" t="n">
        <v>109.1591</v>
      </c>
      <c r="F3640" t="n">
        <v>0.04341</v>
      </c>
    </row>
    <row r="3641">
      <c r="A3641" t="n">
        <v>2001812</v>
      </c>
      <c r="B3641" t="n">
        <v>2</v>
      </c>
      <c r="C3641" t="n">
        <v>1812</v>
      </c>
      <c r="D3641" t="n">
        <v>1</v>
      </c>
      <c r="E3641" t="n">
        <v>109.1764</v>
      </c>
      <c r="F3641" t="n">
        <v>0.04341</v>
      </c>
    </row>
    <row r="3642">
      <c r="A3642" t="n">
        <v>2001813</v>
      </c>
      <c r="B3642" t="n">
        <v>2</v>
      </c>
      <c r="C3642" t="n">
        <v>1813</v>
      </c>
      <c r="D3642" t="n">
        <v>1</v>
      </c>
      <c r="E3642" t="n">
        <v>109.1938</v>
      </c>
      <c r="F3642" t="n">
        <v>0.04341</v>
      </c>
    </row>
    <row r="3643">
      <c r="A3643" t="n">
        <v>2001814</v>
      </c>
      <c r="B3643" t="n">
        <v>2</v>
      </c>
      <c r="C3643" t="n">
        <v>1814</v>
      </c>
      <c r="D3643" t="n">
        <v>1</v>
      </c>
      <c r="E3643" t="n">
        <v>109.2112</v>
      </c>
      <c r="F3643" t="n">
        <v>0.04342</v>
      </c>
    </row>
    <row r="3644">
      <c r="A3644" t="n">
        <v>2001815</v>
      </c>
      <c r="B3644" t="n">
        <v>2</v>
      </c>
      <c r="C3644" t="n">
        <v>1815</v>
      </c>
      <c r="D3644" t="n">
        <v>1</v>
      </c>
      <c r="E3644" t="n">
        <v>109.2285</v>
      </c>
      <c r="F3644" t="n">
        <v>0.04342</v>
      </c>
    </row>
    <row r="3645">
      <c r="A3645" t="n">
        <v>2001816</v>
      </c>
      <c r="B3645" t="n">
        <v>2</v>
      </c>
      <c r="C3645" t="n">
        <v>1816</v>
      </c>
      <c r="D3645" t="n">
        <v>1</v>
      </c>
      <c r="E3645" t="n">
        <v>109.2458</v>
      </c>
      <c r="F3645" t="n">
        <v>0.04343</v>
      </c>
    </row>
    <row r="3646">
      <c r="A3646" t="n">
        <v>2001817</v>
      </c>
      <c r="B3646" t="n">
        <v>2</v>
      </c>
      <c r="C3646" t="n">
        <v>1817</v>
      </c>
      <c r="D3646" t="n">
        <v>1</v>
      </c>
      <c r="E3646" t="n">
        <v>109.2632</v>
      </c>
      <c r="F3646" t="n">
        <v>0.04343</v>
      </c>
    </row>
    <row r="3647">
      <c r="A3647" t="n">
        <v>2001818</v>
      </c>
      <c r="B3647" t="n">
        <v>2</v>
      </c>
      <c r="C3647" t="n">
        <v>1818</v>
      </c>
      <c r="D3647" t="n">
        <v>1</v>
      </c>
      <c r="E3647" t="n">
        <v>109.2805</v>
      </c>
      <c r="F3647" t="n">
        <v>0.04343</v>
      </c>
    </row>
    <row r="3648">
      <c r="A3648" t="n">
        <v>2001819</v>
      </c>
      <c r="B3648" t="n">
        <v>2</v>
      </c>
      <c r="C3648" t="n">
        <v>1819</v>
      </c>
      <c r="D3648" t="n">
        <v>1</v>
      </c>
      <c r="E3648" t="n">
        <v>109.2978</v>
      </c>
      <c r="F3648" t="n">
        <v>0.04344</v>
      </c>
    </row>
    <row r="3649">
      <c r="A3649" t="n">
        <v>2001820</v>
      </c>
      <c r="B3649" t="n">
        <v>2</v>
      </c>
      <c r="C3649" t="n">
        <v>1820</v>
      </c>
      <c r="D3649" t="n">
        <v>1</v>
      </c>
      <c r="E3649" t="n">
        <v>109.3151</v>
      </c>
      <c r="F3649" t="n">
        <v>0.04344</v>
      </c>
    </row>
    <row r="3650">
      <c r="A3650" t="n">
        <v>2001821</v>
      </c>
      <c r="B3650" t="n">
        <v>2</v>
      </c>
      <c r="C3650" t="n">
        <v>1821</v>
      </c>
      <c r="D3650" t="n">
        <v>1</v>
      </c>
      <c r="E3650" t="n">
        <v>109.3324</v>
      </c>
      <c r="F3650" t="n">
        <v>0.04345</v>
      </c>
    </row>
    <row r="3651">
      <c r="A3651" t="n">
        <v>2001822</v>
      </c>
      <c r="B3651" t="n">
        <v>2</v>
      </c>
      <c r="C3651" t="n">
        <v>1822</v>
      </c>
      <c r="D3651" t="n">
        <v>1</v>
      </c>
      <c r="E3651" t="n">
        <v>109.3498</v>
      </c>
      <c r="F3651" t="n">
        <v>0.04345</v>
      </c>
    </row>
    <row r="3652">
      <c r="A3652" t="n">
        <v>2001823</v>
      </c>
      <c r="B3652" t="n">
        <v>2</v>
      </c>
      <c r="C3652" t="n">
        <v>1823</v>
      </c>
      <c r="D3652" t="n">
        <v>1</v>
      </c>
      <c r="E3652" t="n">
        <v>109.3671</v>
      </c>
      <c r="F3652" t="n">
        <v>0.04345</v>
      </c>
    </row>
    <row r="3653">
      <c r="A3653" t="n">
        <v>2001824</v>
      </c>
      <c r="B3653" t="n">
        <v>2</v>
      </c>
      <c r="C3653" t="n">
        <v>1824</v>
      </c>
      <c r="D3653" t="n">
        <v>1</v>
      </c>
      <c r="E3653" t="n">
        <v>109.3844</v>
      </c>
      <c r="F3653" t="n">
        <v>0.04346</v>
      </c>
    </row>
    <row r="3654">
      <c r="A3654" t="n">
        <v>2001825</v>
      </c>
      <c r="B3654" t="n">
        <v>2</v>
      </c>
      <c r="C3654" t="n">
        <v>1825</v>
      </c>
      <c r="D3654" t="n">
        <v>1</v>
      </c>
      <c r="E3654" t="n">
        <v>109.4016</v>
      </c>
      <c r="F3654" t="n">
        <v>0.04346</v>
      </c>
    </row>
    <row r="3655">
      <c r="A3655" t="n">
        <v>2001826</v>
      </c>
      <c r="B3655" t="n">
        <v>2</v>
      </c>
      <c r="C3655" t="n">
        <v>1826</v>
      </c>
      <c r="D3655" t="n">
        <v>1</v>
      </c>
      <c r="E3655" t="n">
        <v>109.4189</v>
      </c>
      <c r="F3655" t="n">
        <v>0.04346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k</t>
        </is>
      </c>
      <c r="B1" t="inlineStr">
        <is>
          <t>sexo</t>
        </is>
      </c>
      <c r="C1" t="inlineStr">
        <is>
          <t>chave</t>
        </is>
      </c>
      <c r="D1" t="inlineStr">
        <is>
          <t>l</t>
        </is>
      </c>
      <c r="E1" t="inlineStr">
        <is>
          <t>m</t>
        </is>
      </c>
      <c r="F1" t="inlineStr">
        <is>
          <t>s</t>
        </is>
      </c>
    </row>
    <row r="2">
      <c r="A2" t="n">
        <v>1000061</v>
      </c>
      <c r="B2" t="n">
        <v>1</v>
      </c>
      <c r="C2" t="n">
        <v>61</v>
      </c>
      <c r="D2" t="n">
        <v>1</v>
      </c>
      <c r="E2" t="n">
        <v>110.2647</v>
      </c>
      <c r="F2" t="n">
        <v>0.04164</v>
      </c>
    </row>
    <row r="3">
      <c r="A3" t="n">
        <v>1000062</v>
      </c>
      <c r="B3" t="n">
        <v>1</v>
      </c>
      <c r="C3" t="n">
        <v>62</v>
      </c>
      <c r="D3" t="n">
        <v>1</v>
      </c>
      <c r="E3" t="n">
        <v>110.8006</v>
      </c>
      <c r="F3" t="n">
        <v>0.04172</v>
      </c>
    </row>
    <row r="4">
      <c r="A4" t="n">
        <v>1000063</v>
      </c>
      <c r="B4" t="n">
        <v>1</v>
      </c>
      <c r="C4" t="n">
        <v>63</v>
      </c>
      <c r="D4" t="n">
        <v>1</v>
      </c>
      <c r="E4" t="n">
        <v>111.3338</v>
      </c>
      <c r="F4" t="n">
        <v>0.0418</v>
      </c>
    </row>
    <row r="5">
      <c r="A5" t="n">
        <v>1000064</v>
      </c>
      <c r="B5" t="n">
        <v>1</v>
      </c>
      <c r="C5" t="n">
        <v>64</v>
      </c>
      <c r="D5" t="n">
        <v>1</v>
      </c>
      <c r="E5" t="n">
        <v>111.8636</v>
      </c>
      <c r="F5" t="n">
        <v>0.04187</v>
      </c>
    </row>
    <row r="6">
      <c r="A6" t="n">
        <v>1000065</v>
      </c>
      <c r="B6" t="n">
        <v>1</v>
      </c>
      <c r="C6" t="n">
        <v>65</v>
      </c>
      <c r="D6" t="n">
        <v>1</v>
      </c>
      <c r="E6" t="n">
        <v>112.3895</v>
      </c>
      <c r="F6" t="n">
        <v>0.04195</v>
      </c>
    </row>
    <row r="7">
      <c r="A7" t="n">
        <v>1000066</v>
      </c>
      <c r="B7" t="n">
        <v>1</v>
      </c>
      <c r="C7" t="n">
        <v>66</v>
      </c>
      <c r="D7" t="n">
        <v>1</v>
      </c>
      <c r="E7" t="n">
        <v>112.911</v>
      </c>
      <c r="F7" t="n">
        <v>0.04203</v>
      </c>
    </row>
    <row r="8">
      <c r="A8" t="n">
        <v>1000067</v>
      </c>
      <c r="B8" t="n">
        <v>1</v>
      </c>
      <c r="C8" t="n">
        <v>67</v>
      </c>
      <c r="D8" t="n">
        <v>1</v>
      </c>
      <c r="E8" t="n">
        <v>113.428</v>
      </c>
      <c r="F8" t="n">
        <v>0.04211</v>
      </c>
    </row>
    <row r="9">
      <c r="A9" t="n">
        <v>1000068</v>
      </c>
      <c r="B9" t="n">
        <v>1</v>
      </c>
      <c r="C9" t="n">
        <v>68</v>
      </c>
      <c r="D9" t="n">
        <v>1</v>
      </c>
      <c r="E9" t="n">
        <v>113.941</v>
      </c>
      <c r="F9" t="n">
        <v>0.04218</v>
      </c>
    </row>
    <row r="10">
      <c r="A10" t="n">
        <v>1000069</v>
      </c>
      <c r="B10" t="n">
        <v>1</v>
      </c>
      <c r="C10" t="n">
        <v>69</v>
      </c>
      <c r="D10" t="n">
        <v>1</v>
      </c>
      <c r="E10" t="n">
        <v>114.45</v>
      </c>
      <c r="F10" t="n">
        <v>0.04226</v>
      </c>
    </row>
    <row r="11">
      <c r="A11" t="n">
        <v>1000070</v>
      </c>
      <c r="B11" t="n">
        <v>1</v>
      </c>
      <c r="C11" t="n">
        <v>70</v>
      </c>
      <c r="D11" t="n">
        <v>1</v>
      </c>
      <c r="E11" t="n">
        <v>114.9547</v>
      </c>
      <c r="F11" t="n">
        <v>0.04234</v>
      </c>
    </row>
    <row r="12">
      <c r="A12" t="n">
        <v>1000071</v>
      </c>
      <c r="B12" t="n">
        <v>1</v>
      </c>
      <c r="C12" t="n">
        <v>71</v>
      </c>
      <c r="D12" t="n">
        <v>1</v>
      </c>
      <c r="E12" t="n">
        <v>115.4549</v>
      </c>
      <c r="F12" t="n">
        <v>0.04241</v>
      </c>
    </row>
    <row r="13">
      <c r="A13" t="n">
        <v>1000072</v>
      </c>
      <c r="B13" t="n">
        <v>1</v>
      </c>
      <c r="C13" t="n">
        <v>72</v>
      </c>
      <c r="D13" t="n">
        <v>1</v>
      </c>
      <c r="E13" t="n">
        <v>115.9509</v>
      </c>
      <c r="F13" t="n">
        <v>0.04249</v>
      </c>
    </row>
    <row r="14">
      <c r="A14" t="n">
        <v>1000073</v>
      </c>
      <c r="B14" t="n">
        <v>1</v>
      </c>
      <c r="C14" t="n">
        <v>73</v>
      </c>
      <c r="D14" t="n">
        <v>1</v>
      </c>
      <c r="E14" t="n">
        <v>116.4432</v>
      </c>
      <c r="F14" t="n">
        <v>0.04257</v>
      </c>
    </row>
    <row r="15">
      <c r="A15" t="n">
        <v>1000074</v>
      </c>
      <c r="B15" t="n">
        <v>1</v>
      </c>
      <c r="C15" t="n">
        <v>74</v>
      </c>
      <c r="D15" t="n">
        <v>1</v>
      </c>
      <c r="E15" t="n">
        <v>116.9325</v>
      </c>
      <c r="F15" t="n">
        <v>0.04264</v>
      </c>
    </row>
    <row r="16">
      <c r="A16" t="n">
        <v>1000075</v>
      </c>
      <c r="B16" t="n">
        <v>1</v>
      </c>
      <c r="C16" t="n">
        <v>75</v>
      </c>
      <c r="D16" t="n">
        <v>1</v>
      </c>
      <c r="E16" t="n">
        <v>117.4196</v>
      </c>
      <c r="F16" t="n">
        <v>0.04272</v>
      </c>
    </row>
    <row r="17">
      <c r="A17" t="n">
        <v>1000076</v>
      </c>
      <c r="B17" t="n">
        <v>1</v>
      </c>
      <c r="C17" t="n">
        <v>76</v>
      </c>
      <c r="D17" t="n">
        <v>1</v>
      </c>
      <c r="E17" t="n">
        <v>117.9046</v>
      </c>
      <c r="F17" t="n">
        <v>0.0428</v>
      </c>
    </row>
    <row r="18">
      <c r="A18" t="n">
        <v>1000077</v>
      </c>
      <c r="B18" t="n">
        <v>1</v>
      </c>
      <c r="C18" t="n">
        <v>77</v>
      </c>
      <c r="D18" t="n">
        <v>1</v>
      </c>
      <c r="E18" t="n">
        <v>118.388</v>
      </c>
      <c r="F18" t="n">
        <v>0.04287</v>
      </c>
    </row>
    <row r="19">
      <c r="A19" t="n">
        <v>1000078</v>
      </c>
      <c r="B19" t="n">
        <v>1</v>
      </c>
      <c r="C19" t="n">
        <v>78</v>
      </c>
      <c r="D19" t="n">
        <v>1</v>
      </c>
      <c r="E19" t="n">
        <v>118.87</v>
      </c>
      <c r="F19" t="n">
        <v>0.04295</v>
      </c>
    </row>
    <row r="20">
      <c r="A20" t="n">
        <v>1000079</v>
      </c>
      <c r="B20" t="n">
        <v>1</v>
      </c>
      <c r="C20" t="n">
        <v>79</v>
      </c>
      <c r="D20" t="n">
        <v>1</v>
      </c>
      <c r="E20" t="n">
        <v>119.3508</v>
      </c>
      <c r="F20" t="n">
        <v>0.04303</v>
      </c>
    </row>
    <row r="21">
      <c r="A21" t="n">
        <v>1000080</v>
      </c>
      <c r="B21" t="n">
        <v>1</v>
      </c>
      <c r="C21" t="n">
        <v>80</v>
      </c>
      <c r="D21" t="n">
        <v>1</v>
      </c>
      <c r="E21" t="n">
        <v>119.8303</v>
      </c>
      <c r="F21" t="n">
        <v>0.04311</v>
      </c>
    </row>
    <row r="22">
      <c r="A22" t="n">
        <v>1000081</v>
      </c>
      <c r="B22" t="n">
        <v>1</v>
      </c>
      <c r="C22" t="n">
        <v>81</v>
      </c>
      <c r="D22" t="n">
        <v>1</v>
      </c>
      <c r="E22" t="n">
        <v>120.3085</v>
      </c>
      <c r="F22" t="n">
        <v>0.04318</v>
      </c>
    </row>
    <row r="23">
      <c r="A23" t="n">
        <v>1000082</v>
      </c>
      <c r="B23" t="n">
        <v>1</v>
      </c>
      <c r="C23" t="n">
        <v>82</v>
      </c>
      <c r="D23" t="n">
        <v>1</v>
      </c>
      <c r="E23" t="n">
        <v>120.7853</v>
      </c>
      <c r="F23" t="n">
        <v>0.04326</v>
      </c>
    </row>
    <row r="24">
      <c r="A24" t="n">
        <v>1000083</v>
      </c>
      <c r="B24" t="n">
        <v>1</v>
      </c>
      <c r="C24" t="n">
        <v>83</v>
      </c>
      <c r="D24" t="n">
        <v>1</v>
      </c>
      <c r="E24" t="n">
        <v>121.2604</v>
      </c>
      <c r="F24" t="n">
        <v>0.04334</v>
      </c>
    </row>
    <row r="25">
      <c r="A25" t="n">
        <v>1000084</v>
      </c>
      <c r="B25" t="n">
        <v>1</v>
      </c>
      <c r="C25" t="n">
        <v>84</v>
      </c>
      <c r="D25" t="n">
        <v>1</v>
      </c>
      <c r="E25" t="n">
        <v>121.7338</v>
      </c>
      <c r="F25" t="n">
        <v>0.04342</v>
      </c>
    </row>
    <row r="26">
      <c r="A26" t="n">
        <v>1000085</v>
      </c>
      <c r="B26" t="n">
        <v>1</v>
      </c>
      <c r="C26" t="n">
        <v>85</v>
      </c>
      <c r="D26" t="n">
        <v>1</v>
      </c>
      <c r="E26" t="n">
        <v>122.2053</v>
      </c>
      <c r="F26" t="n">
        <v>0.0435</v>
      </c>
    </row>
    <row r="27">
      <c r="A27" t="n">
        <v>1000086</v>
      </c>
      <c r="B27" t="n">
        <v>1</v>
      </c>
      <c r="C27" t="n">
        <v>86</v>
      </c>
      <c r="D27" t="n">
        <v>1</v>
      </c>
      <c r="E27" t="n">
        <v>122.675</v>
      </c>
      <c r="F27" t="n">
        <v>0.04358</v>
      </c>
    </row>
    <row r="28">
      <c r="A28" t="n">
        <v>1000087</v>
      </c>
      <c r="B28" t="n">
        <v>1</v>
      </c>
      <c r="C28" t="n">
        <v>87</v>
      </c>
      <c r="D28" t="n">
        <v>1</v>
      </c>
      <c r="E28" t="n">
        <v>123.1429</v>
      </c>
      <c r="F28" t="n">
        <v>0.04366</v>
      </c>
    </row>
    <row r="29">
      <c r="A29" t="n">
        <v>1000088</v>
      </c>
      <c r="B29" t="n">
        <v>1</v>
      </c>
      <c r="C29" t="n">
        <v>88</v>
      </c>
      <c r="D29" t="n">
        <v>1</v>
      </c>
      <c r="E29" t="n">
        <v>123.6092</v>
      </c>
      <c r="F29" t="n">
        <v>0.04374</v>
      </c>
    </row>
    <row r="30">
      <c r="A30" t="n">
        <v>1000089</v>
      </c>
      <c r="B30" t="n">
        <v>1</v>
      </c>
      <c r="C30" t="n">
        <v>89</v>
      </c>
      <c r="D30" t="n">
        <v>1</v>
      </c>
      <c r="E30" t="n">
        <v>124.0736</v>
      </c>
      <c r="F30" t="n">
        <v>0.04382</v>
      </c>
    </row>
    <row r="31">
      <c r="A31" t="n">
        <v>1000090</v>
      </c>
      <c r="B31" t="n">
        <v>1</v>
      </c>
      <c r="C31" t="n">
        <v>90</v>
      </c>
      <c r="D31" t="n">
        <v>1</v>
      </c>
      <c r="E31" t="n">
        <v>124.5361</v>
      </c>
      <c r="F31" t="n">
        <v>0.0439</v>
      </c>
    </row>
    <row r="32">
      <c r="A32" t="n">
        <v>1000091</v>
      </c>
      <c r="B32" t="n">
        <v>1</v>
      </c>
      <c r="C32" t="n">
        <v>91</v>
      </c>
      <c r="D32" t="n">
        <v>1</v>
      </c>
      <c r="E32" t="n">
        <v>124.9964</v>
      </c>
      <c r="F32" t="n">
        <v>0.04398</v>
      </c>
    </row>
    <row r="33">
      <c r="A33" t="n">
        <v>1000092</v>
      </c>
      <c r="B33" t="n">
        <v>1</v>
      </c>
      <c r="C33" t="n">
        <v>92</v>
      </c>
      <c r="D33" t="n">
        <v>1</v>
      </c>
      <c r="E33" t="n">
        <v>125.4545</v>
      </c>
      <c r="F33" t="n">
        <v>0.04406</v>
      </c>
    </row>
    <row r="34">
      <c r="A34" t="n">
        <v>1000093</v>
      </c>
      <c r="B34" t="n">
        <v>1</v>
      </c>
      <c r="C34" t="n">
        <v>93</v>
      </c>
      <c r="D34" t="n">
        <v>1</v>
      </c>
      <c r="E34" t="n">
        <v>125.9104</v>
      </c>
      <c r="F34" t="n">
        <v>0.04414</v>
      </c>
    </row>
    <row r="35">
      <c r="A35" t="n">
        <v>1000094</v>
      </c>
      <c r="B35" t="n">
        <v>1</v>
      </c>
      <c r="C35" t="n">
        <v>94</v>
      </c>
      <c r="D35" t="n">
        <v>1</v>
      </c>
      <c r="E35" t="n">
        <v>126.364</v>
      </c>
      <c r="F35" t="n">
        <v>0.04422</v>
      </c>
    </row>
    <row r="36">
      <c r="A36" t="n">
        <v>1000095</v>
      </c>
      <c r="B36" t="n">
        <v>1</v>
      </c>
      <c r="C36" t="n">
        <v>95</v>
      </c>
      <c r="D36" t="n">
        <v>1</v>
      </c>
      <c r="E36" t="n">
        <v>126.8156</v>
      </c>
      <c r="F36" t="n">
        <v>0.0443</v>
      </c>
    </row>
    <row r="37">
      <c r="A37" t="n">
        <v>1000096</v>
      </c>
      <c r="B37" t="n">
        <v>1</v>
      </c>
      <c r="C37" t="n">
        <v>96</v>
      </c>
      <c r="D37" t="n">
        <v>1</v>
      </c>
      <c r="E37" t="n">
        <v>127.2651</v>
      </c>
      <c r="F37" t="n">
        <v>0.04438</v>
      </c>
    </row>
    <row r="38">
      <c r="A38" t="n">
        <v>1000097</v>
      </c>
      <c r="B38" t="n">
        <v>1</v>
      </c>
      <c r="C38" t="n">
        <v>97</v>
      </c>
      <c r="D38" t="n">
        <v>1</v>
      </c>
      <c r="E38" t="n">
        <v>127.7129</v>
      </c>
      <c r="F38" t="n">
        <v>0.04446</v>
      </c>
    </row>
    <row r="39">
      <c r="A39" t="n">
        <v>1000098</v>
      </c>
      <c r="B39" t="n">
        <v>1</v>
      </c>
      <c r="C39" t="n">
        <v>98</v>
      </c>
      <c r="D39" t="n">
        <v>1</v>
      </c>
      <c r="E39" t="n">
        <v>128.159</v>
      </c>
      <c r="F39" t="n">
        <v>0.04454</v>
      </c>
    </row>
    <row r="40">
      <c r="A40" t="n">
        <v>1000099</v>
      </c>
      <c r="B40" t="n">
        <v>1</v>
      </c>
      <c r="C40" t="n">
        <v>99</v>
      </c>
      <c r="D40" t="n">
        <v>1</v>
      </c>
      <c r="E40" t="n">
        <v>128.6034</v>
      </c>
      <c r="F40" t="n">
        <v>0.04462</v>
      </c>
    </row>
    <row r="41">
      <c r="A41" t="n">
        <v>1000100</v>
      </c>
      <c r="B41" t="n">
        <v>1</v>
      </c>
      <c r="C41" t="n">
        <v>100</v>
      </c>
      <c r="D41" t="n">
        <v>1</v>
      </c>
      <c r="E41" t="n">
        <v>129.0466</v>
      </c>
      <c r="F41" t="n">
        <v>0.0447</v>
      </c>
    </row>
    <row r="42">
      <c r="A42" t="n">
        <v>1000101</v>
      </c>
      <c r="B42" t="n">
        <v>1</v>
      </c>
      <c r="C42" t="n">
        <v>101</v>
      </c>
      <c r="D42" t="n">
        <v>1</v>
      </c>
      <c r="E42" t="n">
        <v>129.4887</v>
      </c>
      <c r="F42" t="n">
        <v>0.04478</v>
      </c>
    </row>
    <row r="43">
      <c r="A43" t="n">
        <v>1000102</v>
      </c>
      <c r="B43" t="n">
        <v>1</v>
      </c>
      <c r="C43" t="n">
        <v>102</v>
      </c>
      <c r="D43" t="n">
        <v>1</v>
      </c>
      <c r="E43" t="n">
        <v>129.93</v>
      </c>
      <c r="F43" t="n">
        <v>0.04487</v>
      </c>
    </row>
    <row r="44">
      <c r="A44" t="n">
        <v>1000103</v>
      </c>
      <c r="B44" t="n">
        <v>1</v>
      </c>
      <c r="C44" t="n">
        <v>103</v>
      </c>
      <c r="D44" t="n">
        <v>1</v>
      </c>
      <c r="E44" t="n">
        <v>130.3705</v>
      </c>
      <c r="F44" t="n">
        <v>0.04495</v>
      </c>
    </row>
    <row r="45">
      <c r="A45" t="n">
        <v>1000104</v>
      </c>
      <c r="B45" t="n">
        <v>1</v>
      </c>
      <c r="C45" t="n">
        <v>104</v>
      </c>
      <c r="D45" t="n">
        <v>1</v>
      </c>
      <c r="E45" t="n">
        <v>130.8103</v>
      </c>
      <c r="F45" t="n">
        <v>0.04503</v>
      </c>
    </row>
    <row r="46">
      <c r="A46" t="n">
        <v>1000105</v>
      </c>
      <c r="B46" t="n">
        <v>1</v>
      </c>
      <c r="C46" t="n">
        <v>105</v>
      </c>
      <c r="D46" t="n">
        <v>1</v>
      </c>
      <c r="E46" t="n">
        <v>131.2495</v>
      </c>
      <c r="F46" t="n">
        <v>0.04511</v>
      </c>
    </row>
    <row r="47">
      <c r="A47" t="n">
        <v>1000106</v>
      </c>
      <c r="B47" t="n">
        <v>1</v>
      </c>
      <c r="C47" t="n">
        <v>106</v>
      </c>
      <c r="D47" t="n">
        <v>1</v>
      </c>
      <c r="E47" t="n">
        <v>131.6884</v>
      </c>
      <c r="F47" t="n">
        <v>0.04519</v>
      </c>
    </row>
    <row r="48">
      <c r="A48" t="n">
        <v>1000107</v>
      </c>
      <c r="B48" t="n">
        <v>1</v>
      </c>
      <c r="C48" t="n">
        <v>107</v>
      </c>
      <c r="D48" t="n">
        <v>1</v>
      </c>
      <c r="E48" t="n">
        <v>132.1269</v>
      </c>
      <c r="F48" t="n">
        <v>0.04527</v>
      </c>
    </row>
    <row r="49">
      <c r="A49" t="n">
        <v>1000108</v>
      </c>
      <c r="B49" t="n">
        <v>1</v>
      </c>
      <c r="C49" t="n">
        <v>108</v>
      </c>
      <c r="D49" t="n">
        <v>1</v>
      </c>
      <c r="E49" t="n">
        <v>132.5652</v>
      </c>
      <c r="F49" t="n">
        <v>0.04535</v>
      </c>
    </row>
    <row r="50">
      <c r="A50" t="n">
        <v>1000109</v>
      </c>
      <c r="B50" t="n">
        <v>1</v>
      </c>
      <c r="C50" t="n">
        <v>109</v>
      </c>
      <c r="D50" t="n">
        <v>1</v>
      </c>
      <c r="E50" t="n">
        <v>133.0031</v>
      </c>
      <c r="F50" t="n">
        <v>0.04543</v>
      </c>
    </row>
    <row r="51">
      <c r="A51" t="n">
        <v>1000110</v>
      </c>
      <c r="B51" t="n">
        <v>1</v>
      </c>
      <c r="C51" t="n">
        <v>110</v>
      </c>
      <c r="D51" t="n">
        <v>1</v>
      </c>
      <c r="E51" t="n">
        <v>133.4404</v>
      </c>
      <c r="F51" t="n">
        <v>0.04551</v>
      </c>
    </row>
    <row r="52">
      <c r="A52" t="n">
        <v>1000111</v>
      </c>
      <c r="B52" t="n">
        <v>1</v>
      </c>
      <c r="C52" t="n">
        <v>111</v>
      </c>
      <c r="D52" t="n">
        <v>1</v>
      </c>
      <c r="E52" t="n">
        <v>133.877</v>
      </c>
      <c r="F52" t="n">
        <v>0.04559</v>
      </c>
    </row>
    <row r="53">
      <c r="A53" t="n">
        <v>1000112</v>
      </c>
      <c r="B53" t="n">
        <v>1</v>
      </c>
      <c r="C53" t="n">
        <v>112</v>
      </c>
      <c r="D53" t="n">
        <v>1</v>
      </c>
      <c r="E53" t="n">
        <v>134.313</v>
      </c>
      <c r="F53" t="n">
        <v>0.04566</v>
      </c>
    </row>
    <row r="54">
      <c r="A54" t="n">
        <v>1000113</v>
      </c>
      <c r="B54" t="n">
        <v>1</v>
      </c>
      <c r="C54" t="n">
        <v>113</v>
      </c>
      <c r="D54" t="n">
        <v>1</v>
      </c>
      <c r="E54" t="n">
        <v>134.7483</v>
      </c>
      <c r="F54" t="n">
        <v>0.04574</v>
      </c>
    </row>
    <row r="55">
      <c r="A55" t="n">
        <v>1000114</v>
      </c>
      <c r="B55" t="n">
        <v>1</v>
      </c>
      <c r="C55" t="n">
        <v>114</v>
      </c>
      <c r="D55" t="n">
        <v>1</v>
      </c>
      <c r="E55" t="n">
        <v>135.1829</v>
      </c>
      <c r="F55" t="n">
        <v>0.04582</v>
      </c>
    </row>
    <row r="56">
      <c r="A56" t="n">
        <v>1000115</v>
      </c>
      <c r="B56" t="n">
        <v>1</v>
      </c>
      <c r="C56" t="n">
        <v>115</v>
      </c>
      <c r="D56" t="n">
        <v>1</v>
      </c>
      <c r="E56" t="n">
        <v>135.6168</v>
      </c>
      <c r="F56" t="n">
        <v>0.04589</v>
      </c>
    </row>
    <row r="57">
      <c r="A57" t="n">
        <v>1000116</v>
      </c>
      <c r="B57" t="n">
        <v>1</v>
      </c>
      <c r="C57" t="n">
        <v>116</v>
      </c>
      <c r="D57" t="n">
        <v>1</v>
      </c>
      <c r="E57" t="n">
        <v>136.0501</v>
      </c>
      <c r="F57" t="n">
        <v>0.04597</v>
      </c>
    </row>
    <row r="58">
      <c r="A58" t="n">
        <v>1000117</v>
      </c>
      <c r="B58" t="n">
        <v>1</v>
      </c>
      <c r="C58" t="n">
        <v>117</v>
      </c>
      <c r="D58" t="n">
        <v>1</v>
      </c>
      <c r="E58" t="n">
        <v>136.4829</v>
      </c>
      <c r="F58" t="n">
        <v>0.04604</v>
      </c>
    </row>
    <row r="59">
      <c r="A59" t="n">
        <v>1000118</v>
      </c>
      <c r="B59" t="n">
        <v>1</v>
      </c>
      <c r="C59" t="n">
        <v>118</v>
      </c>
      <c r="D59" t="n">
        <v>1</v>
      </c>
      <c r="E59" t="n">
        <v>136.9153</v>
      </c>
      <c r="F59" t="n">
        <v>0.04612</v>
      </c>
    </row>
    <row r="60">
      <c r="A60" t="n">
        <v>1000119</v>
      </c>
      <c r="B60" t="n">
        <v>1</v>
      </c>
      <c r="C60" t="n">
        <v>119</v>
      </c>
      <c r="D60" t="n">
        <v>1</v>
      </c>
      <c r="E60" t="n">
        <v>137.3474</v>
      </c>
      <c r="F60" t="n">
        <v>0.04619</v>
      </c>
    </row>
    <row r="61">
      <c r="A61" t="n">
        <v>1000120</v>
      </c>
      <c r="B61" t="n">
        <v>1</v>
      </c>
      <c r="C61" t="n">
        <v>120</v>
      </c>
      <c r="D61" t="n">
        <v>1</v>
      </c>
      <c r="E61" t="n">
        <v>137.7795</v>
      </c>
      <c r="F61" t="n">
        <v>0.04626</v>
      </c>
    </row>
    <row r="62">
      <c r="A62" t="n">
        <v>1000121</v>
      </c>
      <c r="B62" t="n">
        <v>1</v>
      </c>
      <c r="C62" t="n">
        <v>121</v>
      </c>
      <c r="D62" t="n">
        <v>1</v>
      </c>
      <c r="E62" t="n">
        <v>138.2119</v>
      </c>
      <c r="F62" t="n">
        <v>0.04633</v>
      </c>
    </row>
    <row r="63">
      <c r="A63" t="n">
        <v>1000122</v>
      </c>
      <c r="B63" t="n">
        <v>1</v>
      </c>
      <c r="C63" t="n">
        <v>122</v>
      </c>
      <c r="D63" t="n">
        <v>1</v>
      </c>
      <c r="E63" t="n">
        <v>138.6452</v>
      </c>
      <c r="F63" t="n">
        <v>0.0464</v>
      </c>
    </row>
    <row r="64">
      <c r="A64" t="n">
        <v>1000123</v>
      </c>
      <c r="B64" t="n">
        <v>1</v>
      </c>
      <c r="C64" t="n">
        <v>123</v>
      </c>
      <c r="D64" t="n">
        <v>1</v>
      </c>
      <c r="E64" t="n">
        <v>139.0797</v>
      </c>
      <c r="F64" t="n">
        <v>0.04647</v>
      </c>
    </row>
    <row r="65">
      <c r="A65" t="n">
        <v>1000124</v>
      </c>
      <c r="B65" t="n">
        <v>1</v>
      </c>
      <c r="C65" t="n">
        <v>124</v>
      </c>
      <c r="D65" t="n">
        <v>1</v>
      </c>
      <c r="E65" t="n">
        <v>139.5158</v>
      </c>
      <c r="F65" t="n">
        <v>0.04654</v>
      </c>
    </row>
    <row r="66">
      <c r="A66" t="n">
        <v>1000125</v>
      </c>
      <c r="B66" t="n">
        <v>1</v>
      </c>
      <c r="C66" t="n">
        <v>125</v>
      </c>
      <c r="D66" t="n">
        <v>1</v>
      </c>
      <c r="E66" t="n">
        <v>139.954</v>
      </c>
      <c r="F66" t="n">
        <v>0.04661</v>
      </c>
    </row>
    <row r="67">
      <c r="A67" t="n">
        <v>1000126</v>
      </c>
      <c r="B67" t="n">
        <v>1</v>
      </c>
      <c r="C67" t="n">
        <v>126</v>
      </c>
      <c r="D67" t="n">
        <v>1</v>
      </c>
      <c r="E67" t="n">
        <v>140.3948</v>
      </c>
      <c r="F67" t="n">
        <v>0.04667</v>
      </c>
    </row>
    <row r="68">
      <c r="A68" t="n">
        <v>1000127</v>
      </c>
      <c r="B68" t="n">
        <v>1</v>
      </c>
      <c r="C68" t="n">
        <v>127</v>
      </c>
      <c r="D68" t="n">
        <v>1</v>
      </c>
      <c r="E68" t="n">
        <v>140.8387</v>
      </c>
      <c r="F68" t="n">
        <v>0.04674</v>
      </c>
    </row>
    <row r="69">
      <c r="A69" t="n">
        <v>1000128</v>
      </c>
      <c r="B69" t="n">
        <v>1</v>
      </c>
      <c r="C69" t="n">
        <v>128</v>
      </c>
      <c r="D69" t="n">
        <v>1</v>
      </c>
      <c r="E69" t="n">
        <v>141.2859</v>
      </c>
      <c r="F69" t="n">
        <v>0.0468</v>
      </c>
    </row>
    <row r="70">
      <c r="A70" t="n">
        <v>1000129</v>
      </c>
      <c r="B70" t="n">
        <v>1</v>
      </c>
      <c r="C70" t="n">
        <v>129</v>
      </c>
      <c r="D70" t="n">
        <v>1</v>
      </c>
      <c r="E70" t="n">
        <v>141.7368</v>
      </c>
      <c r="F70" t="n">
        <v>0.04686</v>
      </c>
    </row>
    <row r="71">
      <c r="A71" t="n">
        <v>1000130</v>
      </c>
      <c r="B71" t="n">
        <v>1</v>
      </c>
      <c r="C71" t="n">
        <v>130</v>
      </c>
      <c r="D71" t="n">
        <v>1</v>
      </c>
      <c r="E71" t="n">
        <v>142.1916</v>
      </c>
      <c r="F71" t="n">
        <v>0.04692</v>
      </c>
    </row>
    <row r="72">
      <c r="A72" t="n">
        <v>1000131</v>
      </c>
      <c r="B72" t="n">
        <v>1</v>
      </c>
      <c r="C72" t="n">
        <v>131</v>
      </c>
      <c r="D72" t="n">
        <v>1</v>
      </c>
      <c r="E72" t="n">
        <v>142.6501</v>
      </c>
      <c r="F72" t="n">
        <v>0.04698</v>
      </c>
    </row>
    <row r="73">
      <c r="A73" t="n">
        <v>1000132</v>
      </c>
      <c r="B73" t="n">
        <v>1</v>
      </c>
      <c r="C73" t="n">
        <v>132</v>
      </c>
      <c r="D73" t="n">
        <v>1</v>
      </c>
      <c r="E73" t="n">
        <v>143.1126</v>
      </c>
      <c r="F73" t="n">
        <v>0.04703</v>
      </c>
    </row>
    <row r="74">
      <c r="A74" t="n">
        <v>1000133</v>
      </c>
      <c r="B74" t="n">
        <v>1</v>
      </c>
      <c r="C74" t="n">
        <v>133</v>
      </c>
      <c r="D74" t="n">
        <v>1</v>
      </c>
      <c r="E74" t="n">
        <v>143.5795</v>
      </c>
      <c r="F74" t="n">
        <v>0.04709</v>
      </c>
    </row>
    <row r="75">
      <c r="A75" t="n">
        <v>1000134</v>
      </c>
      <c r="B75" t="n">
        <v>1</v>
      </c>
      <c r="C75" t="n">
        <v>134</v>
      </c>
      <c r="D75" t="n">
        <v>1</v>
      </c>
      <c r="E75" t="n">
        <v>144.0511</v>
      </c>
      <c r="F75" t="n">
        <v>0.04714</v>
      </c>
    </row>
    <row r="76">
      <c r="A76" t="n">
        <v>1000135</v>
      </c>
      <c r="B76" t="n">
        <v>1</v>
      </c>
      <c r="C76" t="n">
        <v>135</v>
      </c>
      <c r="D76" t="n">
        <v>1</v>
      </c>
      <c r="E76" t="n">
        <v>144.5276</v>
      </c>
      <c r="F76" t="n">
        <v>0.04719</v>
      </c>
    </row>
    <row r="77">
      <c r="A77" t="n">
        <v>1000136</v>
      </c>
      <c r="B77" t="n">
        <v>1</v>
      </c>
      <c r="C77" t="n">
        <v>136</v>
      </c>
      <c r="D77" t="n">
        <v>1</v>
      </c>
      <c r="E77" t="n">
        <v>145.0093</v>
      </c>
      <c r="F77" t="n">
        <v>0.04723</v>
      </c>
    </row>
    <row r="78">
      <c r="A78" t="n">
        <v>1000137</v>
      </c>
      <c r="B78" t="n">
        <v>1</v>
      </c>
      <c r="C78" t="n">
        <v>137</v>
      </c>
      <c r="D78" t="n">
        <v>1</v>
      </c>
      <c r="E78" t="n">
        <v>145.4964</v>
      </c>
      <c r="F78" t="n">
        <v>0.04728</v>
      </c>
    </row>
    <row r="79">
      <c r="A79" t="n">
        <v>1000138</v>
      </c>
      <c r="B79" t="n">
        <v>1</v>
      </c>
      <c r="C79" t="n">
        <v>138</v>
      </c>
      <c r="D79" t="n">
        <v>1</v>
      </c>
      <c r="E79" t="n">
        <v>145.9891</v>
      </c>
      <c r="F79" t="n">
        <v>0.04732</v>
      </c>
    </row>
    <row r="80">
      <c r="A80" t="n">
        <v>1000139</v>
      </c>
      <c r="B80" t="n">
        <v>1</v>
      </c>
      <c r="C80" t="n">
        <v>139</v>
      </c>
      <c r="D80" t="n">
        <v>1</v>
      </c>
      <c r="E80" t="n">
        <v>146.4878</v>
      </c>
      <c r="F80" t="n">
        <v>0.04736</v>
      </c>
    </row>
    <row r="81">
      <c r="A81" t="n">
        <v>1000140</v>
      </c>
      <c r="B81" t="n">
        <v>1</v>
      </c>
      <c r="C81" t="n">
        <v>140</v>
      </c>
      <c r="D81" t="n">
        <v>1</v>
      </c>
      <c r="E81" t="n">
        <v>146.9927</v>
      </c>
      <c r="F81" t="n">
        <v>0.0474</v>
      </c>
    </row>
    <row r="82">
      <c r="A82" t="n">
        <v>1000141</v>
      </c>
      <c r="B82" t="n">
        <v>1</v>
      </c>
      <c r="C82" t="n">
        <v>141</v>
      </c>
      <c r="D82" t="n">
        <v>1</v>
      </c>
      <c r="E82" t="n">
        <v>147.5041</v>
      </c>
      <c r="F82" t="n">
        <v>0.04744</v>
      </c>
    </row>
    <row r="83">
      <c r="A83" t="n">
        <v>1000142</v>
      </c>
      <c r="B83" t="n">
        <v>1</v>
      </c>
      <c r="C83" t="n">
        <v>142</v>
      </c>
      <c r="D83" t="n">
        <v>1</v>
      </c>
      <c r="E83" t="n">
        <v>148.0224</v>
      </c>
      <c r="F83" t="n">
        <v>0.04747</v>
      </c>
    </row>
    <row r="84">
      <c r="A84" t="n">
        <v>1000143</v>
      </c>
      <c r="B84" t="n">
        <v>1</v>
      </c>
      <c r="C84" t="n">
        <v>143</v>
      </c>
      <c r="D84" t="n">
        <v>1</v>
      </c>
      <c r="E84" t="n">
        <v>148.5478</v>
      </c>
      <c r="F84" t="n">
        <v>0.0475</v>
      </c>
    </row>
    <row r="85">
      <c r="A85" t="n">
        <v>1000144</v>
      </c>
      <c r="B85" t="n">
        <v>1</v>
      </c>
      <c r="C85" t="n">
        <v>144</v>
      </c>
      <c r="D85" t="n">
        <v>1</v>
      </c>
      <c r="E85" t="n">
        <v>149.0807</v>
      </c>
      <c r="F85" t="n">
        <v>0.04753</v>
      </c>
    </row>
    <row r="86">
      <c r="A86" t="n">
        <v>1000145</v>
      </c>
      <c r="B86" t="n">
        <v>1</v>
      </c>
      <c r="C86" t="n">
        <v>145</v>
      </c>
      <c r="D86" t="n">
        <v>1</v>
      </c>
      <c r="E86" t="n">
        <v>149.6212</v>
      </c>
      <c r="F86" t="n">
        <v>0.04755</v>
      </c>
    </row>
    <row r="87">
      <c r="A87" t="n">
        <v>1000146</v>
      </c>
      <c r="B87" t="n">
        <v>1</v>
      </c>
      <c r="C87" t="n">
        <v>146</v>
      </c>
      <c r="D87" t="n">
        <v>1</v>
      </c>
      <c r="E87" t="n">
        <v>150.1694</v>
      </c>
      <c r="F87" t="n">
        <v>0.04758</v>
      </c>
    </row>
    <row r="88">
      <c r="A88" t="n">
        <v>1000147</v>
      </c>
      <c r="B88" t="n">
        <v>1</v>
      </c>
      <c r="C88" t="n">
        <v>147</v>
      </c>
      <c r="D88" t="n">
        <v>1</v>
      </c>
      <c r="E88" t="n">
        <v>150.7256</v>
      </c>
      <c r="F88" t="n">
        <v>0.04759</v>
      </c>
    </row>
    <row r="89">
      <c r="A89" t="n">
        <v>1000148</v>
      </c>
      <c r="B89" t="n">
        <v>1</v>
      </c>
      <c r="C89" t="n">
        <v>148</v>
      </c>
      <c r="D89" t="n">
        <v>1</v>
      </c>
      <c r="E89" t="n">
        <v>151.2899</v>
      </c>
      <c r="F89" t="n">
        <v>0.04761</v>
      </c>
    </row>
    <row r="90">
      <c r="A90" t="n">
        <v>1000149</v>
      </c>
      <c r="B90" t="n">
        <v>1</v>
      </c>
      <c r="C90" t="n">
        <v>149</v>
      </c>
      <c r="D90" t="n">
        <v>1</v>
      </c>
      <c r="E90" t="n">
        <v>151.8623</v>
      </c>
      <c r="F90" t="n">
        <v>0.04762</v>
      </c>
    </row>
    <row r="91">
      <c r="A91" t="n">
        <v>1000150</v>
      </c>
      <c r="B91" t="n">
        <v>1</v>
      </c>
      <c r="C91" t="n">
        <v>150</v>
      </c>
      <c r="D91" t="n">
        <v>1</v>
      </c>
      <c r="E91" t="n">
        <v>152.4425</v>
      </c>
      <c r="F91" t="n">
        <v>0.04763</v>
      </c>
    </row>
    <row r="92">
      <c r="A92" t="n">
        <v>1000151</v>
      </c>
      <c r="B92" t="n">
        <v>1</v>
      </c>
      <c r="C92" t="n">
        <v>151</v>
      </c>
      <c r="D92" t="n">
        <v>1</v>
      </c>
      <c r="E92" t="n">
        <v>153.0298</v>
      </c>
      <c r="F92" t="n">
        <v>0.04763</v>
      </c>
    </row>
    <row r="93">
      <c r="A93" t="n">
        <v>1000152</v>
      </c>
      <c r="B93" t="n">
        <v>1</v>
      </c>
      <c r="C93" t="n">
        <v>152</v>
      </c>
      <c r="D93" t="n">
        <v>1</v>
      </c>
      <c r="E93" t="n">
        <v>153.6234</v>
      </c>
      <c r="F93" t="n">
        <v>0.04764</v>
      </c>
    </row>
    <row r="94">
      <c r="A94" t="n">
        <v>1000153</v>
      </c>
      <c r="B94" t="n">
        <v>1</v>
      </c>
      <c r="C94" t="n">
        <v>153</v>
      </c>
      <c r="D94" t="n">
        <v>1</v>
      </c>
      <c r="E94" t="n">
        <v>154.2223</v>
      </c>
      <c r="F94" t="n">
        <v>0.04763</v>
      </c>
    </row>
    <row r="95">
      <c r="A95" t="n">
        <v>1000154</v>
      </c>
      <c r="B95" t="n">
        <v>1</v>
      </c>
      <c r="C95" t="n">
        <v>154</v>
      </c>
      <c r="D95" t="n">
        <v>1</v>
      </c>
      <c r="E95" t="n">
        <v>154.8258</v>
      </c>
      <c r="F95" t="n">
        <v>0.04763</v>
      </c>
    </row>
    <row r="96">
      <c r="A96" t="n">
        <v>1000155</v>
      </c>
      <c r="B96" t="n">
        <v>1</v>
      </c>
      <c r="C96" t="n">
        <v>155</v>
      </c>
      <c r="D96" t="n">
        <v>1</v>
      </c>
      <c r="E96" t="n">
        <v>155.4329</v>
      </c>
      <c r="F96" t="n">
        <v>0.04762</v>
      </c>
    </row>
    <row r="97">
      <c r="A97" t="n">
        <v>1000156</v>
      </c>
      <c r="B97" t="n">
        <v>1</v>
      </c>
      <c r="C97" t="n">
        <v>156</v>
      </c>
      <c r="D97" t="n">
        <v>1</v>
      </c>
      <c r="E97" t="n">
        <v>156.0426</v>
      </c>
      <c r="F97" t="n">
        <v>0.0476</v>
      </c>
    </row>
    <row r="98">
      <c r="A98" t="n">
        <v>1000157</v>
      </c>
      <c r="B98" t="n">
        <v>1</v>
      </c>
      <c r="C98" t="n">
        <v>157</v>
      </c>
      <c r="D98" t="n">
        <v>1</v>
      </c>
      <c r="E98" t="n">
        <v>156.6539</v>
      </c>
      <c r="F98" t="n">
        <v>0.04758</v>
      </c>
    </row>
    <row r="99">
      <c r="A99" t="n">
        <v>1000158</v>
      </c>
      <c r="B99" t="n">
        <v>1</v>
      </c>
      <c r="C99" t="n">
        <v>158</v>
      </c>
      <c r="D99" t="n">
        <v>1</v>
      </c>
      <c r="E99" t="n">
        <v>157.266</v>
      </c>
      <c r="F99" t="n">
        <v>0.04756</v>
      </c>
    </row>
    <row r="100">
      <c r="A100" t="n">
        <v>1000159</v>
      </c>
      <c r="B100" t="n">
        <v>1</v>
      </c>
      <c r="C100" t="n">
        <v>159</v>
      </c>
      <c r="D100" t="n">
        <v>1</v>
      </c>
      <c r="E100" t="n">
        <v>157.8775</v>
      </c>
      <c r="F100" t="n">
        <v>0.04754</v>
      </c>
    </row>
    <row r="101">
      <c r="A101" t="n">
        <v>1000160</v>
      </c>
      <c r="B101" t="n">
        <v>1</v>
      </c>
      <c r="C101" t="n">
        <v>160</v>
      </c>
      <c r="D101" t="n">
        <v>1</v>
      </c>
      <c r="E101" t="n">
        <v>158.4871</v>
      </c>
      <c r="F101" t="n">
        <v>0.04751</v>
      </c>
    </row>
    <row r="102">
      <c r="A102" t="n">
        <v>1000161</v>
      </c>
      <c r="B102" t="n">
        <v>1</v>
      </c>
      <c r="C102" t="n">
        <v>161</v>
      </c>
      <c r="D102" t="n">
        <v>1</v>
      </c>
      <c r="E102" t="n">
        <v>159.0937</v>
      </c>
      <c r="F102" t="n">
        <v>0.04747</v>
      </c>
    </row>
    <row r="103">
      <c r="A103" t="n">
        <v>1000162</v>
      </c>
      <c r="B103" t="n">
        <v>1</v>
      </c>
      <c r="C103" t="n">
        <v>162</v>
      </c>
      <c r="D103" t="n">
        <v>1</v>
      </c>
      <c r="E103" t="n">
        <v>159.6962</v>
      </c>
      <c r="F103" t="n">
        <v>0.04744</v>
      </c>
    </row>
    <row r="104">
      <c r="A104" t="n">
        <v>1000163</v>
      </c>
      <c r="B104" t="n">
        <v>1</v>
      </c>
      <c r="C104" t="n">
        <v>163</v>
      </c>
      <c r="D104" t="n">
        <v>1</v>
      </c>
      <c r="E104" t="n">
        <v>160.2939</v>
      </c>
      <c r="F104" t="n">
        <v>0.0474</v>
      </c>
    </row>
    <row r="105">
      <c r="A105" t="n">
        <v>1000164</v>
      </c>
      <c r="B105" t="n">
        <v>1</v>
      </c>
      <c r="C105" t="n">
        <v>164</v>
      </c>
      <c r="D105" t="n">
        <v>1</v>
      </c>
      <c r="E105" t="n">
        <v>160.8861</v>
      </c>
      <c r="F105" t="n">
        <v>0.04735</v>
      </c>
    </row>
    <row r="106">
      <c r="A106" t="n">
        <v>1000165</v>
      </c>
      <c r="B106" t="n">
        <v>1</v>
      </c>
      <c r="C106" t="n">
        <v>165</v>
      </c>
      <c r="D106" t="n">
        <v>1</v>
      </c>
      <c r="E106" t="n">
        <v>161.472</v>
      </c>
      <c r="F106" t="n">
        <v>0.0473</v>
      </c>
    </row>
    <row r="107">
      <c r="A107" t="n">
        <v>1000166</v>
      </c>
      <c r="B107" t="n">
        <v>1</v>
      </c>
      <c r="C107" t="n">
        <v>166</v>
      </c>
      <c r="D107" t="n">
        <v>1</v>
      </c>
      <c r="E107" t="n">
        <v>162.0505</v>
      </c>
      <c r="F107" t="n">
        <v>0.04725</v>
      </c>
    </row>
    <row r="108">
      <c r="A108" t="n">
        <v>1000167</v>
      </c>
      <c r="B108" t="n">
        <v>1</v>
      </c>
      <c r="C108" t="n">
        <v>167</v>
      </c>
      <c r="D108" t="n">
        <v>1</v>
      </c>
      <c r="E108" t="n">
        <v>162.6207</v>
      </c>
      <c r="F108" t="n">
        <v>0.0472</v>
      </c>
    </row>
    <row r="109">
      <c r="A109" t="n">
        <v>1000168</v>
      </c>
      <c r="B109" t="n">
        <v>1</v>
      </c>
      <c r="C109" t="n">
        <v>168</v>
      </c>
      <c r="D109" t="n">
        <v>1</v>
      </c>
      <c r="E109" t="n">
        <v>163.1816</v>
      </c>
      <c r="F109" t="n">
        <v>0.04714</v>
      </c>
    </row>
    <row r="110">
      <c r="A110" t="n">
        <v>1000169</v>
      </c>
      <c r="B110" t="n">
        <v>1</v>
      </c>
      <c r="C110" t="n">
        <v>169</v>
      </c>
      <c r="D110" t="n">
        <v>1</v>
      </c>
      <c r="E110" t="n">
        <v>163.7321</v>
      </c>
      <c r="F110" t="n">
        <v>0.04707</v>
      </c>
    </row>
    <row r="111">
      <c r="A111" t="n">
        <v>1000170</v>
      </c>
      <c r="B111" t="n">
        <v>1</v>
      </c>
      <c r="C111" t="n">
        <v>170</v>
      </c>
      <c r="D111" t="n">
        <v>1</v>
      </c>
      <c r="E111" t="n">
        <v>164.2717</v>
      </c>
      <c r="F111" t="n">
        <v>0.04701</v>
      </c>
    </row>
    <row r="112">
      <c r="A112" t="n">
        <v>1000171</v>
      </c>
      <c r="B112" t="n">
        <v>1</v>
      </c>
      <c r="C112" t="n">
        <v>171</v>
      </c>
      <c r="D112" t="n">
        <v>1</v>
      </c>
      <c r="E112" t="n">
        <v>164.7994</v>
      </c>
      <c r="F112" t="n">
        <v>0.04694</v>
      </c>
    </row>
    <row r="113">
      <c r="A113" t="n">
        <v>1000172</v>
      </c>
      <c r="B113" t="n">
        <v>1</v>
      </c>
      <c r="C113" t="n">
        <v>172</v>
      </c>
      <c r="D113" t="n">
        <v>1</v>
      </c>
      <c r="E113" t="n">
        <v>165.3145</v>
      </c>
      <c r="F113" t="n">
        <v>0.04687</v>
      </c>
    </row>
    <row r="114">
      <c r="A114" t="n">
        <v>1000173</v>
      </c>
      <c r="B114" t="n">
        <v>1</v>
      </c>
      <c r="C114" t="n">
        <v>173</v>
      </c>
      <c r="D114" t="n">
        <v>1</v>
      </c>
      <c r="E114" t="n">
        <v>165.8165</v>
      </c>
      <c r="F114" t="n">
        <v>0.04679</v>
      </c>
    </row>
    <row r="115">
      <c r="A115" t="n">
        <v>1000174</v>
      </c>
      <c r="B115" t="n">
        <v>1</v>
      </c>
      <c r="C115" t="n">
        <v>174</v>
      </c>
      <c r="D115" t="n">
        <v>1</v>
      </c>
      <c r="E115" t="n">
        <v>166.305</v>
      </c>
      <c r="F115" t="n">
        <v>0.04671</v>
      </c>
    </row>
    <row r="116">
      <c r="A116" t="n">
        <v>1000175</v>
      </c>
      <c r="B116" t="n">
        <v>1</v>
      </c>
      <c r="C116" t="n">
        <v>175</v>
      </c>
      <c r="D116" t="n">
        <v>1</v>
      </c>
      <c r="E116" t="n">
        <v>166.7799</v>
      </c>
      <c r="F116" t="n">
        <v>0.04663</v>
      </c>
    </row>
    <row r="117">
      <c r="A117" t="n">
        <v>1000176</v>
      </c>
      <c r="B117" t="n">
        <v>1</v>
      </c>
      <c r="C117" t="n">
        <v>176</v>
      </c>
      <c r="D117" t="n">
        <v>1</v>
      </c>
      <c r="E117" t="n">
        <v>167.2415</v>
      </c>
      <c r="F117" t="n">
        <v>0.04655</v>
      </c>
    </row>
    <row r="118">
      <c r="A118" t="n">
        <v>1000177</v>
      </c>
      <c r="B118" t="n">
        <v>1</v>
      </c>
      <c r="C118" t="n">
        <v>177</v>
      </c>
      <c r="D118" t="n">
        <v>1</v>
      </c>
      <c r="E118" t="n">
        <v>167.6899</v>
      </c>
      <c r="F118" t="n">
        <v>0.04646</v>
      </c>
    </row>
    <row r="119">
      <c r="A119" t="n">
        <v>1000178</v>
      </c>
      <c r="B119" t="n">
        <v>1</v>
      </c>
      <c r="C119" t="n">
        <v>178</v>
      </c>
      <c r="D119" t="n">
        <v>1</v>
      </c>
      <c r="E119" t="n">
        <v>168.1255</v>
      </c>
      <c r="F119" t="n">
        <v>0.04637</v>
      </c>
    </row>
    <row r="120">
      <c r="A120" t="n">
        <v>1000179</v>
      </c>
      <c r="B120" t="n">
        <v>1</v>
      </c>
      <c r="C120" t="n">
        <v>179</v>
      </c>
      <c r="D120" t="n">
        <v>1</v>
      </c>
      <c r="E120" t="n">
        <v>168.5482</v>
      </c>
      <c r="F120" t="n">
        <v>0.04628</v>
      </c>
    </row>
    <row r="121">
      <c r="A121" t="n">
        <v>1000180</v>
      </c>
      <c r="B121" t="n">
        <v>1</v>
      </c>
      <c r="C121" t="n">
        <v>180</v>
      </c>
      <c r="D121" t="n">
        <v>1</v>
      </c>
      <c r="E121" t="n">
        <v>168.958</v>
      </c>
      <c r="F121" t="n">
        <v>0.04619</v>
      </c>
    </row>
    <row r="122">
      <c r="A122" t="n">
        <v>1000181</v>
      </c>
      <c r="B122" t="n">
        <v>1</v>
      </c>
      <c r="C122" t="n">
        <v>181</v>
      </c>
      <c r="D122" t="n">
        <v>1</v>
      </c>
      <c r="E122" t="n">
        <v>169.3549</v>
      </c>
      <c r="F122" t="n">
        <v>0.04609</v>
      </c>
    </row>
    <row r="123">
      <c r="A123" t="n">
        <v>1000182</v>
      </c>
      <c r="B123" t="n">
        <v>1</v>
      </c>
      <c r="C123" t="n">
        <v>182</v>
      </c>
      <c r="D123" t="n">
        <v>1</v>
      </c>
      <c r="E123" t="n">
        <v>169.7389</v>
      </c>
      <c r="F123" t="n">
        <v>0.04599</v>
      </c>
    </row>
    <row r="124">
      <c r="A124" t="n">
        <v>1000183</v>
      </c>
      <c r="B124" t="n">
        <v>1</v>
      </c>
      <c r="C124" t="n">
        <v>183</v>
      </c>
      <c r="D124" t="n">
        <v>1</v>
      </c>
      <c r="E124" t="n">
        <v>170.1099</v>
      </c>
      <c r="F124" t="n">
        <v>0.04589</v>
      </c>
    </row>
    <row r="125">
      <c r="A125" t="n">
        <v>1000184</v>
      </c>
      <c r="B125" t="n">
        <v>1</v>
      </c>
      <c r="C125" t="n">
        <v>184</v>
      </c>
      <c r="D125" t="n">
        <v>1</v>
      </c>
      <c r="E125" t="n">
        <v>170.468</v>
      </c>
      <c r="F125" t="n">
        <v>0.04579</v>
      </c>
    </row>
    <row r="126">
      <c r="A126" t="n">
        <v>1000185</v>
      </c>
      <c r="B126" t="n">
        <v>1</v>
      </c>
      <c r="C126" t="n">
        <v>185</v>
      </c>
      <c r="D126" t="n">
        <v>1</v>
      </c>
      <c r="E126" t="n">
        <v>170.8136</v>
      </c>
      <c r="F126" t="n">
        <v>0.04569</v>
      </c>
    </row>
    <row r="127">
      <c r="A127" t="n">
        <v>1000186</v>
      </c>
      <c r="B127" t="n">
        <v>1</v>
      </c>
      <c r="C127" t="n">
        <v>186</v>
      </c>
      <c r="D127" t="n">
        <v>1</v>
      </c>
      <c r="E127" t="n">
        <v>171.1468</v>
      </c>
      <c r="F127" t="n">
        <v>0.04559</v>
      </c>
    </row>
    <row r="128">
      <c r="A128" t="n">
        <v>1000187</v>
      </c>
      <c r="B128" t="n">
        <v>1</v>
      </c>
      <c r="C128" t="n">
        <v>187</v>
      </c>
      <c r="D128" t="n">
        <v>1</v>
      </c>
      <c r="E128" t="n">
        <v>171.468</v>
      </c>
      <c r="F128" t="n">
        <v>0.04548</v>
      </c>
    </row>
    <row r="129">
      <c r="A129" t="n">
        <v>1000188</v>
      </c>
      <c r="B129" t="n">
        <v>1</v>
      </c>
      <c r="C129" t="n">
        <v>188</v>
      </c>
      <c r="D129" t="n">
        <v>1</v>
      </c>
      <c r="E129" t="n">
        <v>171.7773</v>
      </c>
      <c r="F129" t="n">
        <v>0.04538</v>
      </c>
    </row>
    <row r="130">
      <c r="A130" t="n">
        <v>1000189</v>
      </c>
      <c r="B130" t="n">
        <v>1</v>
      </c>
      <c r="C130" t="n">
        <v>189</v>
      </c>
      <c r="D130" t="n">
        <v>1</v>
      </c>
      <c r="E130" t="n">
        <v>172.0748</v>
      </c>
      <c r="F130" t="n">
        <v>0.04527</v>
      </c>
    </row>
    <row r="131">
      <c r="A131" t="n">
        <v>1000190</v>
      </c>
      <c r="B131" t="n">
        <v>1</v>
      </c>
      <c r="C131" t="n">
        <v>190</v>
      </c>
      <c r="D131" t="n">
        <v>1</v>
      </c>
      <c r="E131" t="n">
        <v>172.3606</v>
      </c>
      <c r="F131" t="n">
        <v>0.04516</v>
      </c>
    </row>
    <row r="132">
      <c r="A132" t="n">
        <v>1000191</v>
      </c>
      <c r="B132" t="n">
        <v>1</v>
      </c>
      <c r="C132" t="n">
        <v>191</v>
      </c>
      <c r="D132" t="n">
        <v>1</v>
      </c>
      <c r="E132" t="n">
        <v>172.6345</v>
      </c>
      <c r="F132" t="n">
        <v>0.04506</v>
      </c>
    </row>
    <row r="133">
      <c r="A133" t="n">
        <v>1000192</v>
      </c>
      <c r="B133" t="n">
        <v>1</v>
      </c>
      <c r="C133" t="n">
        <v>192</v>
      </c>
      <c r="D133" t="n">
        <v>1</v>
      </c>
      <c r="E133" t="n">
        <v>172.8967</v>
      </c>
      <c r="F133" t="n">
        <v>0.04495</v>
      </c>
    </row>
    <row r="134">
      <c r="A134" t="n">
        <v>1000193</v>
      </c>
      <c r="B134" t="n">
        <v>1</v>
      </c>
      <c r="C134" t="n">
        <v>193</v>
      </c>
      <c r="D134" t="n">
        <v>1</v>
      </c>
      <c r="E134" t="n">
        <v>173.147</v>
      </c>
      <c r="F134" t="n">
        <v>0.04484</v>
      </c>
    </row>
    <row r="135">
      <c r="A135" t="n">
        <v>1000194</v>
      </c>
      <c r="B135" t="n">
        <v>1</v>
      </c>
      <c r="C135" t="n">
        <v>194</v>
      </c>
      <c r="D135" t="n">
        <v>1</v>
      </c>
      <c r="E135" t="n">
        <v>173.3856</v>
      </c>
      <c r="F135" t="n">
        <v>0.04473</v>
      </c>
    </row>
    <row r="136">
      <c r="A136" t="n">
        <v>1000195</v>
      </c>
      <c r="B136" t="n">
        <v>1</v>
      </c>
      <c r="C136" t="n">
        <v>195</v>
      </c>
      <c r="D136" t="n">
        <v>1</v>
      </c>
      <c r="E136" t="n">
        <v>173.6126</v>
      </c>
      <c r="F136" t="n">
        <v>0.04462</v>
      </c>
    </row>
    <row r="137">
      <c r="A137" t="n">
        <v>1000196</v>
      </c>
      <c r="B137" t="n">
        <v>1</v>
      </c>
      <c r="C137" t="n">
        <v>196</v>
      </c>
      <c r="D137" t="n">
        <v>1</v>
      </c>
      <c r="E137" t="n">
        <v>173.828</v>
      </c>
      <c r="F137" t="n">
        <v>0.04451</v>
      </c>
    </row>
    <row r="138">
      <c r="A138" t="n">
        <v>1000197</v>
      </c>
      <c r="B138" t="n">
        <v>1</v>
      </c>
      <c r="C138" t="n">
        <v>197</v>
      </c>
      <c r="D138" t="n">
        <v>1</v>
      </c>
      <c r="E138" t="n">
        <v>174.0321</v>
      </c>
      <c r="F138" t="n">
        <v>0.0444</v>
      </c>
    </row>
    <row r="139">
      <c r="A139" t="n">
        <v>1000198</v>
      </c>
      <c r="B139" t="n">
        <v>1</v>
      </c>
      <c r="C139" t="n">
        <v>198</v>
      </c>
      <c r="D139" t="n">
        <v>1</v>
      </c>
      <c r="E139" t="n">
        <v>174.2251</v>
      </c>
      <c r="F139" t="n">
        <v>0.04429</v>
      </c>
    </row>
    <row r="140">
      <c r="A140" t="n">
        <v>1000199</v>
      </c>
      <c r="B140" t="n">
        <v>1</v>
      </c>
      <c r="C140" t="n">
        <v>199</v>
      </c>
      <c r="D140" t="n">
        <v>1</v>
      </c>
      <c r="E140" t="n">
        <v>174.4071</v>
      </c>
      <c r="F140" t="n">
        <v>0.04418</v>
      </c>
    </row>
    <row r="141">
      <c r="A141" t="n">
        <v>1000200</v>
      </c>
      <c r="B141" t="n">
        <v>1</v>
      </c>
      <c r="C141" t="n">
        <v>200</v>
      </c>
      <c r="D141" t="n">
        <v>1</v>
      </c>
      <c r="E141" t="n">
        <v>174.5784</v>
      </c>
      <c r="F141" t="n">
        <v>0.04407</v>
      </c>
    </row>
    <row r="142">
      <c r="A142" t="n">
        <v>1000201</v>
      </c>
      <c r="B142" t="n">
        <v>1</v>
      </c>
      <c r="C142" t="n">
        <v>201</v>
      </c>
      <c r="D142" t="n">
        <v>1</v>
      </c>
      <c r="E142" t="n">
        <v>174.7392</v>
      </c>
      <c r="F142" t="n">
        <v>0.04396</v>
      </c>
    </row>
    <row r="143">
      <c r="A143" t="n">
        <v>1000202</v>
      </c>
      <c r="B143" t="n">
        <v>1</v>
      </c>
      <c r="C143" t="n">
        <v>202</v>
      </c>
      <c r="D143" t="n">
        <v>1</v>
      </c>
      <c r="E143" t="n">
        <v>174.8896</v>
      </c>
      <c r="F143" t="n">
        <v>0.04385</v>
      </c>
    </row>
    <row r="144">
      <c r="A144" t="n">
        <v>1000203</v>
      </c>
      <c r="B144" t="n">
        <v>1</v>
      </c>
      <c r="C144" t="n">
        <v>203</v>
      </c>
      <c r="D144" t="n">
        <v>1</v>
      </c>
      <c r="E144" t="n">
        <v>175.0301</v>
      </c>
      <c r="F144" t="n">
        <v>0.04375</v>
      </c>
    </row>
    <row r="145">
      <c r="A145" t="n">
        <v>1000204</v>
      </c>
      <c r="B145" t="n">
        <v>1</v>
      </c>
      <c r="C145" t="n">
        <v>204</v>
      </c>
      <c r="D145" t="n">
        <v>1</v>
      </c>
      <c r="E145" t="n">
        <v>175.1609</v>
      </c>
      <c r="F145" t="n">
        <v>0.04364</v>
      </c>
    </row>
    <row r="146">
      <c r="A146" t="n">
        <v>1000205</v>
      </c>
      <c r="B146" t="n">
        <v>1</v>
      </c>
      <c r="C146" t="n">
        <v>205</v>
      </c>
      <c r="D146" t="n">
        <v>1</v>
      </c>
      <c r="E146" t="n">
        <v>175.2824</v>
      </c>
      <c r="F146" t="n">
        <v>0.04353</v>
      </c>
    </row>
    <row r="147">
      <c r="A147" t="n">
        <v>1000206</v>
      </c>
      <c r="B147" t="n">
        <v>1</v>
      </c>
      <c r="C147" t="n">
        <v>206</v>
      </c>
      <c r="D147" t="n">
        <v>1</v>
      </c>
      <c r="E147" t="n">
        <v>175.3951</v>
      </c>
      <c r="F147" t="n">
        <v>0.04343</v>
      </c>
    </row>
    <row r="148">
      <c r="A148" t="n">
        <v>1000207</v>
      </c>
      <c r="B148" t="n">
        <v>1</v>
      </c>
      <c r="C148" t="n">
        <v>207</v>
      </c>
      <c r="D148" t="n">
        <v>1</v>
      </c>
      <c r="E148" t="n">
        <v>175.4995</v>
      </c>
      <c r="F148" t="n">
        <v>0.04332</v>
      </c>
    </row>
    <row r="149">
      <c r="A149" t="n">
        <v>1000208</v>
      </c>
      <c r="B149" t="n">
        <v>1</v>
      </c>
      <c r="C149" t="n">
        <v>208</v>
      </c>
      <c r="D149" t="n">
        <v>1</v>
      </c>
      <c r="E149" t="n">
        <v>175.5959</v>
      </c>
      <c r="F149" t="n">
        <v>0.04322</v>
      </c>
    </row>
    <row r="150">
      <c r="A150" t="n">
        <v>1000209</v>
      </c>
      <c r="B150" t="n">
        <v>1</v>
      </c>
      <c r="C150" t="n">
        <v>209</v>
      </c>
      <c r="D150" t="n">
        <v>1</v>
      </c>
      <c r="E150" t="n">
        <v>175.685</v>
      </c>
      <c r="F150" t="n">
        <v>0.04311</v>
      </c>
    </row>
    <row r="151">
      <c r="A151" t="n">
        <v>1000210</v>
      </c>
      <c r="B151" t="n">
        <v>1</v>
      </c>
      <c r="C151" t="n">
        <v>210</v>
      </c>
      <c r="D151" t="n">
        <v>1</v>
      </c>
      <c r="E151" t="n">
        <v>175.7672</v>
      </c>
      <c r="F151" t="n">
        <v>0.04301</v>
      </c>
    </row>
    <row r="152">
      <c r="A152" t="n">
        <v>1000211</v>
      </c>
      <c r="B152" t="n">
        <v>1</v>
      </c>
      <c r="C152" t="n">
        <v>211</v>
      </c>
      <c r="D152" t="n">
        <v>1</v>
      </c>
      <c r="E152" t="n">
        <v>175.8432</v>
      </c>
      <c r="F152" t="n">
        <v>0.04291</v>
      </c>
    </row>
    <row r="153">
      <c r="A153" t="n">
        <v>1000212</v>
      </c>
      <c r="B153" t="n">
        <v>1</v>
      </c>
      <c r="C153" t="n">
        <v>212</v>
      </c>
      <c r="D153" t="n">
        <v>1</v>
      </c>
      <c r="E153" t="n">
        <v>175.9133</v>
      </c>
      <c r="F153" t="n">
        <v>0.04281</v>
      </c>
    </row>
    <row r="154">
      <c r="A154" t="n">
        <v>1000213</v>
      </c>
      <c r="B154" t="n">
        <v>1</v>
      </c>
      <c r="C154" t="n">
        <v>213</v>
      </c>
      <c r="D154" t="n">
        <v>1</v>
      </c>
      <c r="E154" t="n">
        <v>175.9781</v>
      </c>
      <c r="F154" t="n">
        <v>0.04271</v>
      </c>
    </row>
    <row r="155">
      <c r="A155" t="n">
        <v>1000214</v>
      </c>
      <c r="B155" t="n">
        <v>1</v>
      </c>
      <c r="C155" t="n">
        <v>214</v>
      </c>
      <c r="D155" t="n">
        <v>1</v>
      </c>
      <c r="E155" t="n">
        <v>176.038</v>
      </c>
      <c r="F155" t="n">
        <v>0.04261</v>
      </c>
    </row>
    <row r="156">
      <c r="A156" t="n">
        <v>1000215</v>
      </c>
      <c r="B156" t="n">
        <v>1</v>
      </c>
      <c r="C156" t="n">
        <v>215</v>
      </c>
      <c r="D156" t="n">
        <v>1</v>
      </c>
      <c r="E156" t="n">
        <v>176.0935</v>
      </c>
      <c r="F156" t="n">
        <v>0.04251</v>
      </c>
    </row>
    <row r="157">
      <c r="A157" t="n">
        <v>1000216</v>
      </c>
      <c r="B157" t="n">
        <v>1</v>
      </c>
      <c r="C157" t="n">
        <v>216</v>
      </c>
      <c r="D157" t="n">
        <v>1</v>
      </c>
      <c r="E157" t="n">
        <v>176.1449</v>
      </c>
      <c r="F157" t="n">
        <v>0.04241</v>
      </c>
    </row>
    <row r="158">
      <c r="A158" t="n">
        <v>1000217</v>
      </c>
      <c r="B158" t="n">
        <v>1</v>
      </c>
      <c r="C158" t="n">
        <v>217</v>
      </c>
      <c r="D158" t="n">
        <v>1</v>
      </c>
      <c r="E158" t="n">
        <v>176.1925</v>
      </c>
      <c r="F158" t="n">
        <v>0.04232</v>
      </c>
    </row>
    <row r="159">
      <c r="A159" t="n">
        <v>1000218</v>
      </c>
      <c r="B159" t="n">
        <v>1</v>
      </c>
      <c r="C159" t="n">
        <v>218</v>
      </c>
      <c r="D159" t="n">
        <v>1</v>
      </c>
      <c r="E159" t="n">
        <v>176.2368</v>
      </c>
      <c r="F159" t="n">
        <v>0.04222</v>
      </c>
    </row>
    <row r="160">
      <c r="A160" t="n">
        <v>1000219</v>
      </c>
      <c r="B160" t="n">
        <v>1</v>
      </c>
      <c r="C160" t="n">
        <v>219</v>
      </c>
      <c r="D160" t="n">
        <v>1</v>
      </c>
      <c r="E160" t="n">
        <v>176.2779</v>
      </c>
      <c r="F160" t="n">
        <v>0.04213</v>
      </c>
    </row>
    <row r="161">
      <c r="A161" t="n">
        <v>1000220</v>
      </c>
      <c r="B161" t="n">
        <v>1</v>
      </c>
      <c r="C161" t="n">
        <v>220</v>
      </c>
      <c r="D161" t="n">
        <v>1</v>
      </c>
      <c r="E161" t="n">
        <v>176.3162</v>
      </c>
      <c r="F161" t="n">
        <v>0.04204</v>
      </c>
    </row>
    <row r="162">
      <c r="A162" t="n">
        <v>1000221</v>
      </c>
      <c r="B162" t="n">
        <v>1</v>
      </c>
      <c r="C162" t="n">
        <v>221</v>
      </c>
      <c r="D162" t="n">
        <v>1</v>
      </c>
      <c r="E162" t="n">
        <v>176.3518</v>
      </c>
      <c r="F162" t="n">
        <v>0.04195</v>
      </c>
    </row>
    <row r="163">
      <c r="A163" t="n">
        <v>1000222</v>
      </c>
      <c r="B163" t="n">
        <v>1</v>
      </c>
      <c r="C163" t="n">
        <v>222</v>
      </c>
      <c r="D163" t="n">
        <v>1</v>
      </c>
      <c r="E163" t="n">
        <v>176.3851</v>
      </c>
      <c r="F163" t="n">
        <v>0.04185</v>
      </c>
    </row>
    <row r="164">
      <c r="A164" t="n">
        <v>1000223</v>
      </c>
      <c r="B164" t="n">
        <v>1</v>
      </c>
      <c r="C164" t="n">
        <v>223</v>
      </c>
      <c r="D164" t="n">
        <v>1</v>
      </c>
      <c r="E164" t="n">
        <v>176.4162</v>
      </c>
      <c r="F164" t="n">
        <v>0.04177</v>
      </c>
    </row>
    <row r="165">
      <c r="A165" t="n">
        <v>1000224</v>
      </c>
      <c r="B165" t="n">
        <v>1</v>
      </c>
      <c r="C165" t="n">
        <v>224</v>
      </c>
      <c r="D165" t="n">
        <v>1</v>
      </c>
      <c r="E165" t="n">
        <v>176.4453</v>
      </c>
      <c r="F165" t="n">
        <v>0.04168</v>
      </c>
    </row>
    <row r="166">
      <c r="A166" t="n">
        <v>1000225</v>
      </c>
      <c r="B166" t="n">
        <v>1</v>
      </c>
      <c r="C166" t="n">
        <v>225</v>
      </c>
      <c r="D166" t="n">
        <v>1</v>
      </c>
      <c r="E166" t="n">
        <v>176.4724</v>
      </c>
      <c r="F166" t="n">
        <v>0.04159</v>
      </c>
    </row>
    <row r="167">
      <c r="A167" t="n">
        <v>1000226</v>
      </c>
      <c r="B167" t="n">
        <v>1</v>
      </c>
      <c r="C167" t="n">
        <v>226</v>
      </c>
      <c r="D167" t="n">
        <v>1</v>
      </c>
      <c r="E167" t="n">
        <v>176.4976</v>
      </c>
      <c r="F167" t="n">
        <v>0.0415</v>
      </c>
    </row>
    <row r="168">
      <c r="A168" t="n">
        <v>1000227</v>
      </c>
      <c r="B168" t="n">
        <v>1</v>
      </c>
      <c r="C168" t="n">
        <v>227</v>
      </c>
      <c r="D168" t="n">
        <v>1</v>
      </c>
      <c r="E168" t="n">
        <v>176.5211</v>
      </c>
      <c r="F168" t="n">
        <v>0.04142</v>
      </c>
    </row>
    <row r="169">
      <c r="A169" t="n">
        <v>1000228</v>
      </c>
      <c r="B169" t="n">
        <v>1</v>
      </c>
      <c r="C169" t="n">
        <v>228</v>
      </c>
      <c r="D169" t="n">
        <v>1</v>
      </c>
      <c r="E169" t="n">
        <v>176.5432</v>
      </c>
      <c r="F169" t="n">
        <v>0.04134</v>
      </c>
    </row>
    <row r="170">
      <c r="A170" t="n">
        <v>2000061</v>
      </c>
      <c r="B170" t="n">
        <v>2</v>
      </c>
      <c r="C170" t="n">
        <v>61</v>
      </c>
      <c r="D170" t="n">
        <v>1</v>
      </c>
      <c r="E170" t="n">
        <v>109.6016</v>
      </c>
      <c r="F170" t="n">
        <v>0.04355</v>
      </c>
    </row>
    <row r="171">
      <c r="A171" t="n">
        <v>2000062</v>
      </c>
      <c r="B171" t="n">
        <v>2</v>
      </c>
      <c r="C171" t="n">
        <v>62</v>
      </c>
      <c r="D171" t="n">
        <v>1</v>
      </c>
      <c r="E171" t="n">
        <v>110.1258</v>
      </c>
      <c r="F171" t="n">
        <v>0.04364</v>
      </c>
    </row>
    <row r="172">
      <c r="A172" t="n">
        <v>2000063</v>
      </c>
      <c r="B172" t="n">
        <v>2</v>
      </c>
      <c r="C172" t="n">
        <v>63</v>
      </c>
      <c r="D172" t="n">
        <v>1</v>
      </c>
      <c r="E172" t="n">
        <v>110.6451</v>
      </c>
      <c r="F172" t="n">
        <v>0.04373</v>
      </c>
    </row>
    <row r="173">
      <c r="A173" t="n">
        <v>2000064</v>
      </c>
      <c r="B173" t="n">
        <v>2</v>
      </c>
      <c r="C173" t="n">
        <v>64</v>
      </c>
      <c r="D173" t="n">
        <v>1</v>
      </c>
      <c r="E173" t="n">
        <v>111.1596</v>
      </c>
      <c r="F173" t="n">
        <v>0.04382</v>
      </c>
    </row>
    <row r="174">
      <c r="A174" t="n">
        <v>2000065</v>
      </c>
      <c r="B174" t="n">
        <v>2</v>
      </c>
      <c r="C174" t="n">
        <v>65</v>
      </c>
      <c r="D174" t="n">
        <v>1</v>
      </c>
      <c r="E174" t="n">
        <v>111.6696</v>
      </c>
      <c r="F174" t="n">
        <v>0.0439</v>
      </c>
    </row>
    <row r="175">
      <c r="A175" t="n">
        <v>2000066</v>
      </c>
      <c r="B175" t="n">
        <v>2</v>
      </c>
      <c r="C175" t="n">
        <v>66</v>
      </c>
      <c r="D175" t="n">
        <v>1</v>
      </c>
      <c r="E175" t="n">
        <v>112.1753</v>
      </c>
      <c r="F175" t="n">
        <v>0.04399</v>
      </c>
    </row>
    <row r="176">
      <c r="A176" t="n">
        <v>2000067</v>
      </c>
      <c r="B176" t="n">
        <v>2</v>
      </c>
      <c r="C176" t="n">
        <v>67</v>
      </c>
      <c r="D176" t="n">
        <v>1</v>
      </c>
      <c r="E176" t="n">
        <v>112.6767</v>
      </c>
      <c r="F176" t="n">
        <v>0.04407</v>
      </c>
    </row>
    <row r="177">
      <c r="A177" t="n">
        <v>2000068</v>
      </c>
      <c r="B177" t="n">
        <v>2</v>
      </c>
      <c r="C177" t="n">
        <v>68</v>
      </c>
      <c r="D177" t="n">
        <v>1</v>
      </c>
      <c r="E177" t="n">
        <v>113.174</v>
      </c>
      <c r="F177" t="n">
        <v>0.04415</v>
      </c>
    </row>
    <row r="178">
      <c r="A178" t="n">
        <v>2000069</v>
      </c>
      <c r="B178" t="n">
        <v>2</v>
      </c>
      <c r="C178" t="n">
        <v>69</v>
      </c>
      <c r="D178" t="n">
        <v>1</v>
      </c>
      <c r="E178" t="n">
        <v>113.6672</v>
      </c>
      <c r="F178" t="n">
        <v>0.04423</v>
      </c>
    </row>
    <row r="179">
      <c r="A179" t="n">
        <v>2000070</v>
      </c>
      <c r="B179" t="n">
        <v>2</v>
      </c>
      <c r="C179" t="n">
        <v>70</v>
      </c>
      <c r="D179" t="n">
        <v>1</v>
      </c>
      <c r="E179" t="n">
        <v>114.1565</v>
      </c>
      <c r="F179" t="n">
        <v>0.04431</v>
      </c>
    </row>
    <row r="180">
      <c r="A180" t="n">
        <v>2000071</v>
      </c>
      <c r="B180" t="n">
        <v>2</v>
      </c>
      <c r="C180" t="n">
        <v>71</v>
      </c>
      <c r="D180" t="n">
        <v>1</v>
      </c>
      <c r="E180" t="n">
        <v>114.6421</v>
      </c>
      <c r="F180" t="n">
        <v>0.04439</v>
      </c>
    </row>
    <row r="181">
      <c r="A181" t="n">
        <v>2000072</v>
      </c>
      <c r="B181" t="n">
        <v>2</v>
      </c>
      <c r="C181" t="n">
        <v>72</v>
      </c>
      <c r="D181" t="n">
        <v>1</v>
      </c>
      <c r="E181" t="n">
        <v>115.1244</v>
      </c>
      <c r="F181" t="n">
        <v>0.04447</v>
      </c>
    </row>
    <row r="182">
      <c r="A182" t="n">
        <v>2000073</v>
      </c>
      <c r="B182" t="n">
        <v>2</v>
      </c>
      <c r="C182" t="n">
        <v>73</v>
      </c>
      <c r="D182" t="n">
        <v>1</v>
      </c>
      <c r="E182" t="n">
        <v>115.6039</v>
      </c>
      <c r="F182" t="n">
        <v>0.04454</v>
      </c>
    </row>
    <row r="183">
      <c r="A183" t="n">
        <v>2000074</v>
      </c>
      <c r="B183" t="n">
        <v>2</v>
      </c>
      <c r="C183" t="n">
        <v>74</v>
      </c>
      <c r="D183" t="n">
        <v>1</v>
      </c>
      <c r="E183" t="n">
        <v>116.0812</v>
      </c>
      <c r="F183" t="n">
        <v>0.04461</v>
      </c>
    </row>
    <row r="184">
      <c r="A184" t="n">
        <v>2000075</v>
      </c>
      <c r="B184" t="n">
        <v>2</v>
      </c>
      <c r="C184" t="n">
        <v>75</v>
      </c>
      <c r="D184" t="n">
        <v>1</v>
      </c>
      <c r="E184" t="n">
        <v>116.5568</v>
      </c>
      <c r="F184" t="n">
        <v>0.04469</v>
      </c>
    </row>
    <row r="185">
      <c r="A185" t="n">
        <v>2000076</v>
      </c>
      <c r="B185" t="n">
        <v>2</v>
      </c>
      <c r="C185" t="n">
        <v>76</v>
      </c>
      <c r="D185" t="n">
        <v>1</v>
      </c>
      <c r="E185" t="n">
        <v>117.0311</v>
      </c>
      <c r="F185" t="n">
        <v>0.04475</v>
      </c>
    </row>
    <row r="186">
      <c r="A186" t="n">
        <v>2000077</v>
      </c>
      <c r="B186" t="n">
        <v>2</v>
      </c>
      <c r="C186" t="n">
        <v>77</v>
      </c>
      <c r="D186" t="n">
        <v>1</v>
      </c>
      <c r="E186" t="n">
        <v>117.5044</v>
      </c>
      <c r="F186" t="n">
        <v>0.04482</v>
      </c>
    </row>
    <row r="187">
      <c r="A187" t="n">
        <v>2000078</v>
      </c>
      <c r="B187" t="n">
        <v>2</v>
      </c>
      <c r="C187" t="n">
        <v>78</v>
      </c>
      <c r="D187" t="n">
        <v>1</v>
      </c>
      <c r="E187" t="n">
        <v>117.9769</v>
      </c>
      <c r="F187" t="n">
        <v>0.04489</v>
      </c>
    </row>
    <row r="188">
      <c r="A188" t="n">
        <v>2000079</v>
      </c>
      <c r="B188" t="n">
        <v>2</v>
      </c>
      <c r="C188" t="n">
        <v>79</v>
      </c>
      <c r="D188" t="n">
        <v>1</v>
      </c>
      <c r="E188" t="n">
        <v>118.4489</v>
      </c>
      <c r="F188" t="n">
        <v>0.04495</v>
      </c>
    </row>
    <row r="189">
      <c r="A189" t="n">
        <v>2000080</v>
      </c>
      <c r="B189" t="n">
        <v>2</v>
      </c>
      <c r="C189" t="n">
        <v>80</v>
      </c>
      <c r="D189" t="n">
        <v>1</v>
      </c>
      <c r="E189" t="n">
        <v>118.9208</v>
      </c>
      <c r="F189" t="n">
        <v>0.04502</v>
      </c>
    </row>
    <row r="190">
      <c r="A190" t="n">
        <v>2000081</v>
      </c>
      <c r="B190" t="n">
        <v>2</v>
      </c>
      <c r="C190" t="n">
        <v>81</v>
      </c>
      <c r="D190" t="n">
        <v>1</v>
      </c>
      <c r="E190" t="n">
        <v>119.3926</v>
      </c>
      <c r="F190" t="n">
        <v>0.04508</v>
      </c>
    </row>
    <row r="191">
      <c r="A191" t="n">
        <v>2000082</v>
      </c>
      <c r="B191" t="n">
        <v>2</v>
      </c>
      <c r="C191" t="n">
        <v>82</v>
      </c>
      <c r="D191" t="n">
        <v>1</v>
      </c>
      <c r="E191" t="n">
        <v>119.8648</v>
      </c>
      <c r="F191" t="n">
        <v>0.04514</v>
      </c>
    </row>
    <row r="192">
      <c r="A192" t="n">
        <v>2000083</v>
      </c>
      <c r="B192" t="n">
        <v>2</v>
      </c>
      <c r="C192" t="n">
        <v>83</v>
      </c>
      <c r="D192" t="n">
        <v>1</v>
      </c>
      <c r="E192" t="n">
        <v>120.3374</v>
      </c>
      <c r="F192" t="n">
        <v>0.0452</v>
      </c>
    </row>
    <row r="193">
      <c r="A193" t="n">
        <v>2000084</v>
      </c>
      <c r="B193" t="n">
        <v>2</v>
      </c>
      <c r="C193" t="n">
        <v>84</v>
      </c>
      <c r="D193" t="n">
        <v>1</v>
      </c>
      <c r="E193" t="n">
        <v>120.8105</v>
      </c>
      <c r="F193" t="n">
        <v>0.04525</v>
      </c>
    </row>
    <row r="194">
      <c r="A194" t="n">
        <v>2000085</v>
      </c>
      <c r="B194" t="n">
        <v>2</v>
      </c>
      <c r="C194" t="n">
        <v>85</v>
      </c>
      <c r="D194" t="n">
        <v>1</v>
      </c>
      <c r="E194" t="n">
        <v>121.2843</v>
      </c>
      <c r="F194" t="n">
        <v>0.04531</v>
      </c>
    </row>
    <row r="195">
      <c r="A195" t="n">
        <v>2000086</v>
      </c>
      <c r="B195" t="n">
        <v>2</v>
      </c>
      <c r="C195" t="n">
        <v>86</v>
      </c>
      <c r="D195" t="n">
        <v>1</v>
      </c>
      <c r="E195" t="n">
        <v>121.7587</v>
      </c>
      <c r="F195" t="n">
        <v>0.04536</v>
      </c>
    </row>
    <row r="196">
      <c r="A196" t="n">
        <v>2000087</v>
      </c>
      <c r="B196" t="n">
        <v>2</v>
      </c>
      <c r="C196" t="n">
        <v>87</v>
      </c>
      <c r="D196" t="n">
        <v>1</v>
      </c>
      <c r="E196" t="n">
        <v>122.2338</v>
      </c>
      <c r="F196" t="n">
        <v>0.04542</v>
      </c>
    </row>
    <row r="197">
      <c r="A197" t="n">
        <v>2000088</v>
      </c>
      <c r="B197" t="n">
        <v>2</v>
      </c>
      <c r="C197" t="n">
        <v>88</v>
      </c>
      <c r="D197" t="n">
        <v>1</v>
      </c>
      <c r="E197" t="n">
        <v>122.7098</v>
      </c>
      <c r="F197" t="n">
        <v>0.04547</v>
      </c>
    </row>
    <row r="198">
      <c r="A198" t="n">
        <v>2000089</v>
      </c>
      <c r="B198" t="n">
        <v>2</v>
      </c>
      <c r="C198" t="n">
        <v>89</v>
      </c>
      <c r="D198" t="n">
        <v>1</v>
      </c>
      <c r="E198" t="n">
        <v>123.1868</v>
      </c>
      <c r="F198" t="n">
        <v>0.04551</v>
      </c>
    </row>
    <row r="199">
      <c r="A199" t="n">
        <v>2000090</v>
      </c>
      <c r="B199" t="n">
        <v>2</v>
      </c>
      <c r="C199" t="n">
        <v>90</v>
      </c>
      <c r="D199" t="n">
        <v>1</v>
      </c>
      <c r="E199" t="n">
        <v>123.6646</v>
      </c>
      <c r="F199" t="n">
        <v>0.04556</v>
      </c>
    </row>
    <row r="200">
      <c r="A200" t="n">
        <v>2000091</v>
      </c>
      <c r="B200" t="n">
        <v>2</v>
      </c>
      <c r="C200" t="n">
        <v>91</v>
      </c>
      <c r="D200" t="n">
        <v>1</v>
      </c>
      <c r="E200" t="n">
        <v>124.1435</v>
      </c>
      <c r="F200" t="n">
        <v>0.04561</v>
      </c>
    </row>
    <row r="201">
      <c r="A201" t="n">
        <v>2000092</v>
      </c>
      <c r="B201" t="n">
        <v>2</v>
      </c>
      <c r="C201" t="n">
        <v>92</v>
      </c>
      <c r="D201" t="n">
        <v>1</v>
      </c>
      <c r="E201" t="n">
        <v>124.6234</v>
      </c>
      <c r="F201" t="n">
        <v>0.04565</v>
      </c>
    </row>
    <row r="202">
      <c r="A202" t="n">
        <v>2000093</v>
      </c>
      <c r="B202" t="n">
        <v>2</v>
      </c>
      <c r="C202" t="n">
        <v>93</v>
      </c>
      <c r="D202" t="n">
        <v>1</v>
      </c>
      <c r="E202" t="n">
        <v>125.1045</v>
      </c>
      <c r="F202" t="n">
        <v>0.04569</v>
      </c>
    </row>
    <row r="203">
      <c r="A203" t="n">
        <v>2000094</v>
      </c>
      <c r="B203" t="n">
        <v>2</v>
      </c>
      <c r="C203" t="n">
        <v>94</v>
      </c>
      <c r="D203" t="n">
        <v>1</v>
      </c>
      <c r="E203" t="n">
        <v>125.5869</v>
      </c>
      <c r="F203" t="n">
        <v>0.04573</v>
      </c>
    </row>
    <row r="204">
      <c r="A204" t="n">
        <v>2000095</v>
      </c>
      <c r="B204" t="n">
        <v>2</v>
      </c>
      <c r="C204" t="n">
        <v>95</v>
      </c>
      <c r="D204" t="n">
        <v>1</v>
      </c>
      <c r="E204" t="n">
        <v>126.0706</v>
      </c>
      <c r="F204" t="n">
        <v>0.04577</v>
      </c>
    </row>
    <row r="205">
      <c r="A205" t="n">
        <v>2000096</v>
      </c>
      <c r="B205" t="n">
        <v>2</v>
      </c>
      <c r="C205" t="n">
        <v>96</v>
      </c>
      <c r="D205" t="n">
        <v>1</v>
      </c>
      <c r="E205" t="n">
        <v>126.5558</v>
      </c>
      <c r="F205" t="n">
        <v>0.04581</v>
      </c>
    </row>
    <row r="206">
      <c r="A206" t="n">
        <v>2000097</v>
      </c>
      <c r="B206" t="n">
        <v>2</v>
      </c>
      <c r="C206" t="n">
        <v>97</v>
      </c>
      <c r="D206" t="n">
        <v>1</v>
      </c>
      <c r="E206" t="n">
        <v>127.0424</v>
      </c>
      <c r="F206" t="n">
        <v>0.04585</v>
      </c>
    </row>
    <row r="207">
      <c r="A207" t="n">
        <v>2000098</v>
      </c>
      <c r="B207" t="n">
        <v>2</v>
      </c>
      <c r="C207" t="n">
        <v>98</v>
      </c>
      <c r="D207" t="n">
        <v>1</v>
      </c>
      <c r="E207" t="n">
        <v>127.5304</v>
      </c>
      <c r="F207" t="n">
        <v>0.04588</v>
      </c>
    </row>
    <row r="208">
      <c r="A208" t="n">
        <v>2000099</v>
      </c>
      <c r="B208" t="n">
        <v>2</v>
      </c>
      <c r="C208" t="n">
        <v>99</v>
      </c>
      <c r="D208" t="n">
        <v>1</v>
      </c>
      <c r="E208" t="n">
        <v>128.0199</v>
      </c>
      <c r="F208" t="n">
        <v>0.04591</v>
      </c>
    </row>
    <row r="209">
      <c r="A209" t="n">
        <v>2000100</v>
      </c>
      <c r="B209" t="n">
        <v>2</v>
      </c>
      <c r="C209" t="n">
        <v>100</v>
      </c>
      <c r="D209" t="n">
        <v>1</v>
      </c>
      <c r="E209" t="n">
        <v>128.5109</v>
      </c>
      <c r="F209" t="n">
        <v>0.04594</v>
      </c>
    </row>
    <row r="210">
      <c r="A210" t="n">
        <v>2000101</v>
      </c>
      <c r="B210" t="n">
        <v>2</v>
      </c>
      <c r="C210" t="n">
        <v>101</v>
      </c>
      <c r="D210" t="n">
        <v>1</v>
      </c>
      <c r="E210" t="n">
        <v>129.0035</v>
      </c>
      <c r="F210" t="n">
        <v>0.04597</v>
      </c>
    </row>
    <row r="211">
      <c r="A211" t="n">
        <v>2000102</v>
      </c>
      <c r="B211" t="n">
        <v>2</v>
      </c>
      <c r="C211" t="n">
        <v>102</v>
      </c>
      <c r="D211" t="n">
        <v>1</v>
      </c>
      <c r="E211" t="n">
        <v>129.4975</v>
      </c>
      <c r="F211" t="n">
        <v>0.046</v>
      </c>
    </row>
    <row r="212">
      <c r="A212" t="n">
        <v>2000103</v>
      </c>
      <c r="B212" t="n">
        <v>2</v>
      </c>
      <c r="C212" t="n">
        <v>103</v>
      </c>
      <c r="D212" t="n">
        <v>1</v>
      </c>
      <c r="E212" t="n">
        <v>129.9932</v>
      </c>
      <c r="F212" t="n">
        <v>0.04602</v>
      </c>
    </row>
    <row r="213">
      <c r="A213" t="n">
        <v>2000104</v>
      </c>
      <c r="B213" t="n">
        <v>2</v>
      </c>
      <c r="C213" t="n">
        <v>104</v>
      </c>
      <c r="D213" t="n">
        <v>1</v>
      </c>
      <c r="E213" t="n">
        <v>130.4904</v>
      </c>
      <c r="F213" t="n">
        <v>0.04604</v>
      </c>
    </row>
    <row r="214">
      <c r="A214" t="n">
        <v>2000105</v>
      </c>
      <c r="B214" t="n">
        <v>2</v>
      </c>
      <c r="C214" t="n">
        <v>105</v>
      </c>
      <c r="D214" t="n">
        <v>1</v>
      </c>
      <c r="E214" t="n">
        <v>130.9891</v>
      </c>
      <c r="F214" t="n">
        <v>0.04607</v>
      </c>
    </row>
    <row r="215">
      <c r="A215" t="n">
        <v>2000106</v>
      </c>
      <c r="B215" t="n">
        <v>2</v>
      </c>
      <c r="C215" t="n">
        <v>106</v>
      </c>
      <c r="D215" t="n">
        <v>1</v>
      </c>
      <c r="E215" t="n">
        <v>131.4895</v>
      </c>
      <c r="F215" t="n">
        <v>0.04608</v>
      </c>
    </row>
    <row r="216">
      <c r="A216" t="n">
        <v>2000107</v>
      </c>
      <c r="B216" t="n">
        <v>2</v>
      </c>
      <c r="C216" t="n">
        <v>107</v>
      </c>
      <c r="D216" t="n">
        <v>1</v>
      </c>
      <c r="E216" t="n">
        <v>131.9912</v>
      </c>
      <c r="F216" t="n">
        <v>0.0461</v>
      </c>
    </row>
    <row r="217">
      <c r="A217" t="n">
        <v>2000108</v>
      </c>
      <c r="B217" t="n">
        <v>2</v>
      </c>
      <c r="C217" t="n">
        <v>108</v>
      </c>
      <c r="D217" t="n">
        <v>1</v>
      </c>
      <c r="E217" t="n">
        <v>132.4944</v>
      </c>
      <c r="F217" t="n">
        <v>0.04612</v>
      </c>
    </row>
    <row r="218">
      <c r="A218" t="n">
        <v>2000109</v>
      </c>
      <c r="B218" t="n">
        <v>2</v>
      </c>
      <c r="C218" t="n">
        <v>109</v>
      </c>
      <c r="D218" t="n">
        <v>1</v>
      </c>
      <c r="E218" t="n">
        <v>132.9989</v>
      </c>
      <c r="F218" t="n">
        <v>0.04613</v>
      </c>
    </row>
    <row r="219">
      <c r="A219" t="n">
        <v>2000110</v>
      </c>
      <c r="B219" t="n">
        <v>2</v>
      </c>
      <c r="C219" t="n">
        <v>110</v>
      </c>
      <c r="D219" t="n">
        <v>1</v>
      </c>
      <c r="E219" t="n">
        <v>133.5046</v>
      </c>
      <c r="F219" t="n">
        <v>0.04614</v>
      </c>
    </row>
    <row r="220">
      <c r="A220" t="n">
        <v>2000111</v>
      </c>
      <c r="B220" t="n">
        <v>2</v>
      </c>
      <c r="C220" t="n">
        <v>111</v>
      </c>
      <c r="D220" t="n">
        <v>1</v>
      </c>
      <c r="E220" t="n">
        <v>134.0118</v>
      </c>
      <c r="F220" t="n">
        <v>0.04615</v>
      </c>
    </row>
    <row r="221">
      <c r="A221" t="n">
        <v>2000112</v>
      </c>
      <c r="B221" t="n">
        <v>2</v>
      </c>
      <c r="C221" t="n">
        <v>112</v>
      </c>
      <c r="D221" t="n">
        <v>1</v>
      </c>
      <c r="E221" t="n">
        <v>134.5202</v>
      </c>
      <c r="F221" t="n">
        <v>0.04616</v>
      </c>
    </row>
    <row r="222">
      <c r="A222" t="n">
        <v>2000113</v>
      </c>
      <c r="B222" t="n">
        <v>2</v>
      </c>
      <c r="C222" t="n">
        <v>113</v>
      </c>
      <c r="D222" t="n">
        <v>1</v>
      </c>
      <c r="E222" t="n">
        <v>135.0299</v>
      </c>
      <c r="F222" t="n">
        <v>0.04616</v>
      </c>
    </row>
    <row r="223">
      <c r="A223" t="n">
        <v>2000114</v>
      </c>
      <c r="B223" t="n">
        <v>2</v>
      </c>
      <c r="C223" t="n">
        <v>114</v>
      </c>
      <c r="D223" t="n">
        <v>1</v>
      </c>
      <c r="E223" t="n">
        <v>135.541</v>
      </c>
      <c r="F223" t="n">
        <v>0.04617</v>
      </c>
    </row>
    <row r="224">
      <c r="A224" t="n">
        <v>2000115</v>
      </c>
      <c r="B224" t="n">
        <v>2</v>
      </c>
      <c r="C224" t="n">
        <v>115</v>
      </c>
      <c r="D224" t="n">
        <v>1</v>
      </c>
      <c r="E224" t="n">
        <v>136.0533</v>
      </c>
      <c r="F224" t="n">
        <v>0.04617</v>
      </c>
    </row>
    <row r="225">
      <c r="A225" t="n">
        <v>2000116</v>
      </c>
      <c r="B225" t="n">
        <v>2</v>
      </c>
      <c r="C225" t="n">
        <v>116</v>
      </c>
      <c r="D225" t="n">
        <v>1</v>
      </c>
      <c r="E225" t="n">
        <v>136.567</v>
      </c>
      <c r="F225" t="n">
        <v>0.04616</v>
      </c>
    </row>
    <row r="226">
      <c r="A226" t="n">
        <v>2000117</v>
      </c>
      <c r="B226" t="n">
        <v>2</v>
      </c>
      <c r="C226" t="n">
        <v>117</v>
      </c>
      <c r="D226" t="n">
        <v>1</v>
      </c>
      <c r="E226" t="n">
        <v>137.0821</v>
      </c>
      <c r="F226" t="n">
        <v>0.04616</v>
      </c>
    </row>
    <row r="227">
      <c r="A227" t="n">
        <v>2000118</v>
      </c>
      <c r="B227" t="n">
        <v>2</v>
      </c>
      <c r="C227" t="n">
        <v>118</v>
      </c>
      <c r="D227" t="n">
        <v>1</v>
      </c>
      <c r="E227" t="n">
        <v>137.5987</v>
      </c>
      <c r="F227" t="n">
        <v>0.04616</v>
      </c>
    </row>
    <row r="228">
      <c r="A228" t="n">
        <v>2000119</v>
      </c>
      <c r="B228" t="n">
        <v>2</v>
      </c>
      <c r="C228" t="n">
        <v>119</v>
      </c>
      <c r="D228" t="n">
        <v>1</v>
      </c>
      <c r="E228" t="n">
        <v>138.1167</v>
      </c>
      <c r="F228" t="n">
        <v>0.04615</v>
      </c>
    </row>
    <row r="229">
      <c r="A229" t="n">
        <v>2000120</v>
      </c>
      <c r="B229" t="n">
        <v>2</v>
      </c>
      <c r="C229" t="n">
        <v>120</v>
      </c>
      <c r="D229" t="n">
        <v>1</v>
      </c>
      <c r="E229" t="n">
        <v>138.6363</v>
      </c>
      <c r="F229" t="n">
        <v>0.04614</v>
      </c>
    </row>
    <row r="230">
      <c r="A230" t="n">
        <v>2000121</v>
      </c>
      <c r="B230" t="n">
        <v>2</v>
      </c>
      <c r="C230" t="n">
        <v>121</v>
      </c>
      <c r="D230" t="n">
        <v>1</v>
      </c>
      <c r="E230" t="n">
        <v>139.1575</v>
      </c>
      <c r="F230" t="n">
        <v>0.04612</v>
      </c>
    </row>
    <row r="231">
      <c r="A231" t="n">
        <v>2000122</v>
      </c>
      <c r="B231" t="n">
        <v>2</v>
      </c>
      <c r="C231" t="n">
        <v>122</v>
      </c>
      <c r="D231" t="n">
        <v>1</v>
      </c>
      <c r="E231" t="n">
        <v>139.6803</v>
      </c>
      <c r="F231" t="n">
        <v>0.04611</v>
      </c>
    </row>
    <row r="232">
      <c r="A232" t="n">
        <v>2000123</v>
      </c>
      <c r="B232" t="n">
        <v>2</v>
      </c>
      <c r="C232" t="n">
        <v>123</v>
      </c>
      <c r="D232" t="n">
        <v>1</v>
      </c>
      <c r="E232" t="n">
        <v>140.2049</v>
      </c>
      <c r="F232" t="n">
        <v>0.04609</v>
      </c>
    </row>
    <row r="233">
      <c r="A233" t="n">
        <v>2000124</v>
      </c>
      <c r="B233" t="n">
        <v>2</v>
      </c>
      <c r="C233" t="n">
        <v>124</v>
      </c>
      <c r="D233" t="n">
        <v>1</v>
      </c>
      <c r="E233" t="n">
        <v>140.7313</v>
      </c>
      <c r="F233" t="n">
        <v>0.04607</v>
      </c>
    </row>
    <row r="234">
      <c r="A234" t="n">
        <v>2000125</v>
      </c>
      <c r="B234" t="n">
        <v>2</v>
      </c>
      <c r="C234" t="n">
        <v>125</v>
      </c>
      <c r="D234" t="n">
        <v>1</v>
      </c>
      <c r="E234" t="n">
        <v>141.2594</v>
      </c>
      <c r="F234" t="n">
        <v>0.04605</v>
      </c>
    </row>
    <row r="235">
      <c r="A235" t="n">
        <v>2000126</v>
      </c>
      <c r="B235" t="n">
        <v>2</v>
      </c>
      <c r="C235" t="n">
        <v>126</v>
      </c>
      <c r="D235" t="n">
        <v>1</v>
      </c>
      <c r="E235" t="n">
        <v>141.7892</v>
      </c>
      <c r="F235" t="n">
        <v>0.04603</v>
      </c>
    </row>
    <row r="236">
      <c r="A236" t="n">
        <v>2000127</v>
      </c>
      <c r="B236" t="n">
        <v>2</v>
      </c>
      <c r="C236" t="n">
        <v>127</v>
      </c>
      <c r="D236" t="n">
        <v>1</v>
      </c>
      <c r="E236" t="n">
        <v>142.3206</v>
      </c>
      <c r="F236" t="n">
        <v>0.046</v>
      </c>
    </row>
    <row r="237">
      <c r="A237" t="n">
        <v>2000128</v>
      </c>
      <c r="B237" t="n">
        <v>2</v>
      </c>
      <c r="C237" t="n">
        <v>128</v>
      </c>
      <c r="D237" t="n">
        <v>1</v>
      </c>
      <c r="E237" t="n">
        <v>142.8534</v>
      </c>
      <c r="F237" t="n">
        <v>0.04597</v>
      </c>
    </row>
    <row r="238">
      <c r="A238" t="n">
        <v>2000129</v>
      </c>
      <c r="B238" t="n">
        <v>2</v>
      </c>
      <c r="C238" t="n">
        <v>129</v>
      </c>
      <c r="D238" t="n">
        <v>1</v>
      </c>
      <c r="E238" t="n">
        <v>143.3874</v>
      </c>
      <c r="F238" t="n">
        <v>0.04594</v>
      </c>
    </row>
    <row r="239">
      <c r="A239" t="n">
        <v>2000130</v>
      </c>
      <c r="B239" t="n">
        <v>2</v>
      </c>
      <c r="C239" t="n">
        <v>130</v>
      </c>
      <c r="D239" t="n">
        <v>1</v>
      </c>
      <c r="E239" t="n">
        <v>143.9222</v>
      </c>
      <c r="F239" t="n">
        <v>0.04591</v>
      </c>
    </row>
    <row r="240">
      <c r="A240" t="n">
        <v>2000131</v>
      </c>
      <c r="B240" t="n">
        <v>2</v>
      </c>
      <c r="C240" t="n">
        <v>131</v>
      </c>
      <c r="D240" t="n">
        <v>1</v>
      </c>
      <c r="E240" t="n">
        <v>144.4575</v>
      </c>
      <c r="F240" t="n">
        <v>0.04588</v>
      </c>
    </row>
    <row r="241">
      <c r="A241" t="n">
        <v>2000132</v>
      </c>
      <c r="B241" t="n">
        <v>2</v>
      </c>
      <c r="C241" t="n">
        <v>132</v>
      </c>
      <c r="D241" t="n">
        <v>1</v>
      </c>
      <c r="E241" t="n">
        <v>144.9929</v>
      </c>
      <c r="F241" t="n">
        <v>0.04584</v>
      </c>
    </row>
    <row r="242">
      <c r="A242" t="n">
        <v>2000133</v>
      </c>
      <c r="B242" t="n">
        <v>2</v>
      </c>
      <c r="C242" t="n">
        <v>133</v>
      </c>
      <c r="D242" t="n">
        <v>1</v>
      </c>
      <c r="E242" t="n">
        <v>145.528</v>
      </c>
      <c r="F242" t="n">
        <v>0.0458</v>
      </c>
    </row>
    <row r="243">
      <c r="A243" t="n">
        <v>2000134</v>
      </c>
      <c r="B243" t="n">
        <v>2</v>
      </c>
      <c r="C243" t="n">
        <v>134</v>
      </c>
      <c r="D243" t="n">
        <v>1</v>
      </c>
      <c r="E243" t="n">
        <v>146.0622</v>
      </c>
      <c r="F243" t="n">
        <v>0.04576</v>
      </c>
    </row>
    <row r="244">
      <c r="A244" t="n">
        <v>2000135</v>
      </c>
      <c r="B244" t="n">
        <v>2</v>
      </c>
      <c r="C244" t="n">
        <v>135</v>
      </c>
      <c r="D244" t="n">
        <v>1</v>
      </c>
      <c r="E244" t="n">
        <v>146.5951</v>
      </c>
      <c r="F244" t="n">
        <v>0.04571</v>
      </c>
    </row>
    <row r="245">
      <c r="A245" t="n">
        <v>2000136</v>
      </c>
      <c r="B245" t="n">
        <v>2</v>
      </c>
      <c r="C245" t="n">
        <v>136</v>
      </c>
      <c r="D245" t="n">
        <v>1</v>
      </c>
      <c r="E245" t="n">
        <v>147.1262</v>
      </c>
      <c r="F245" t="n">
        <v>0.04567</v>
      </c>
    </row>
    <row r="246">
      <c r="A246" t="n">
        <v>2000137</v>
      </c>
      <c r="B246" t="n">
        <v>2</v>
      </c>
      <c r="C246" t="n">
        <v>137</v>
      </c>
      <c r="D246" t="n">
        <v>1</v>
      </c>
      <c r="E246" t="n">
        <v>147.6548</v>
      </c>
      <c r="F246" t="n">
        <v>0.04562</v>
      </c>
    </row>
    <row r="247">
      <c r="A247" t="n">
        <v>2000138</v>
      </c>
      <c r="B247" t="n">
        <v>2</v>
      </c>
      <c r="C247" t="n">
        <v>138</v>
      </c>
      <c r="D247" t="n">
        <v>1</v>
      </c>
      <c r="E247" t="n">
        <v>148.1804</v>
      </c>
      <c r="F247" t="n">
        <v>0.04557</v>
      </c>
    </row>
    <row r="248">
      <c r="A248" t="n">
        <v>2000139</v>
      </c>
      <c r="B248" t="n">
        <v>2</v>
      </c>
      <c r="C248" t="n">
        <v>139</v>
      </c>
      <c r="D248" t="n">
        <v>1</v>
      </c>
      <c r="E248" t="n">
        <v>148.7023</v>
      </c>
      <c r="F248" t="n">
        <v>0.04552</v>
      </c>
    </row>
    <row r="249">
      <c r="A249" t="n">
        <v>2000140</v>
      </c>
      <c r="B249" t="n">
        <v>2</v>
      </c>
      <c r="C249" t="n">
        <v>140</v>
      </c>
      <c r="D249" t="n">
        <v>1</v>
      </c>
      <c r="E249" t="n">
        <v>149.2197</v>
      </c>
      <c r="F249" t="n">
        <v>0.04546</v>
      </c>
    </row>
    <row r="250">
      <c r="A250" t="n">
        <v>2000141</v>
      </c>
      <c r="B250" t="n">
        <v>2</v>
      </c>
      <c r="C250" t="n">
        <v>141</v>
      </c>
      <c r="D250" t="n">
        <v>1</v>
      </c>
      <c r="E250" t="n">
        <v>149.7322</v>
      </c>
      <c r="F250" t="n">
        <v>0.04541</v>
      </c>
    </row>
    <row r="251">
      <c r="A251" t="n">
        <v>2000142</v>
      </c>
      <c r="B251" t="n">
        <v>2</v>
      </c>
      <c r="C251" t="n">
        <v>142</v>
      </c>
      <c r="D251" t="n">
        <v>1</v>
      </c>
      <c r="E251" t="n">
        <v>150.239</v>
      </c>
      <c r="F251" t="n">
        <v>0.04535</v>
      </c>
    </row>
    <row r="252">
      <c r="A252" t="n">
        <v>2000143</v>
      </c>
      <c r="B252" t="n">
        <v>2</v>
      </c>
      <c r="C252" t="n">
        <v>143</v>
      </c>
      <c r="D252" t="n">
        <v>1</v>
      </c>
      <c r="E252" t="n">
        <v>150.7394</v>
      </c>
      <c r="F252" t="n">
        <v>0.04529</v>
      </c>
    </row>
    <row r="253">
      <c r="A253" t="n">
        <v>2000144</v>
      </c>
      <c r="B253" t="n">
        <v>2</v>
      </c>
      <c r="C253" t="n">
        <v>144</v>
      </c>
      <c r="D253" t="n">
        <v>1</v>
      </c>
      <c r="E253" t="n">
        <v>151.2327</v>
      </c>
      <c r="F253" t="n">
        <v>0.04523</v>
      </c>
    </row>
    <row r="254">
      <c r="A254" t="n">
        <v>2000145</v>
      </c>
      <c r="B254" t="n">
        <v>2</v>
      </c>
      <c r="C254" t="n">
        <v>145</v>
      </c>
      <c r="D254" t="n">
        <v>1</v>
      </c>
      <c r="E254" t="n">
        <v>151.7182</v>
      </c>
      <c r="F254" t="n">
        <v>0.04516</v>
      </c>
    </row>
    <row r="255">
      <c r="A255" t="n">
        <v>2000146</v>
      </c>
      <c r="B255" t="n">
        <v>2</v>
      </c>
      <c r="C255" t="n">
        <v>146</v>
      </c>
      <c r="D255" t="n">
        <v>1</v>
      </c>
      <c r="E255" t="n">
        <v>152.1951</v>
      </c>
      <c r="F255" t="n">
        <v>0.0451</v>
      </c>
    </row>
    <row r="256">
      <c r="A256" t="n">
        <v>2000147</v>
      </c>
      <c r="B256" t="n">
        <v>2</v>
      </c>
      <c r="C256" t="n">
        <v>147</v>
      </c>
      <c r="D256" t="n">
        <v>1</v>
      </c>
      <c r="E256" t="n">
        <v>152.6628</v>
      </c>
      <c r="F256" t="n">
        <v>0.04503</v>
      </c>
    </row>
    <row r="257">
      <c r="A257" t="n">
        <v>2000148</v>
      </c>
      <c r="B257" t="n">
        <v>2</v>
      </c>
      <c r="C257" t="n">
        <v>148</v>
      </c>
      <c r="D257" t="n">
        <v>1</v>
      </c>
      <c r="E257" t="n">
        <v>153.1206</v>
      </c>
      <c r="F257" t="n">
        <v>0.04497</v>
      </c>
    </row>
    <row r="258">
      <c r="A258" t="n">
        <v>2000149</v>
      </c>
      <c r="B258" t="n">
        <v>2</v>
      </c>
      <c r="C258" t="n">
        <v>149</v>
      </c>
      <c r="D258" t="n">
        <v>1</v>
      </c>
      <c r="E258" t="n">
        <v>153.5678</v>
      </c>
      <c r="F258" t="n">
        <v>0.0449</v>
      </c>
    </row>
    <row r="259">
      <c r="A259" t="n">
        <v>2000150</v>
      </c>
      <c r="B259" t="n">
        <v>2</v>
      </c>
      <c r="C259" t="n">
        <v>150</v>
      </c>
      <c r="D259" t="n">
        <v>1</v>
      </c>
      <c r="E259" t="n">
        <v>154.0041</v>
      </c>
      <c r="F259" t="n">
        <v>0.04483</v>
      </c>
    </row>
    <row r="260">
      <c r="A260" t="n">
        <v>2000151</v>
      </c>
      <c r="B260" t="n">
        <v>2</v>
      </c>
      <c r="C260" t="n">
        <v>151</v>
      </c>
      <c r="D260" t="n">
        <v>1</v>
      </c>
      <c r="E260" t="n">
        <v>154.429</v>
      </c>
      <c r="F260" t="n">
        <v>0.04476</v>
      </c>
    </row>
    <row r="261">
      <c r="A261" t="n">
        <v>2000152</v>
      </c>
      <c r="B261" t="n">
        <v>2</v>
      </c>
      <c r="C261" t="n">
        <v>152</v>
      </c>
      <c r="D261" t="n">
        <v>1</v>
      </c>
      <c r="E261" t="n">
        <v>154.8423</v>
      </c>
      <c r="F261" t="n">
        <v>0.04468</v>
      </c>
    </row>
    <row r="262">
      <c r="A262" t="n">
        <v>2000153</v>
      </c>
      <c r="B262" t="n">
        <v>2</v>
      </c>
      <c r="C262" t="n">
        <v>153</v>
      </c>
      <c r="D262" t="n">
        <v>1</v>
      </c>
      <c r="E262" t="n">
        <v>155.2437</v>
      </c>
      <c r="F262" t="n">
        <v>0.04461</v>
      </c>
    </row>
    <row r="263">
      <c r="A263" t="n">
        <v>2000154</v>
      </c>
      <c r="B263" t="n">
        <v>2</v>
      </c>
      <c r="C263" t="n">
        <v>154</v>
      </c>
      <c r="D263" t="n">
        <v>1</v>
      </c>
      <c r="E263" t="n">
        <v>155.633</v>
      </c>
      <c r="F263" t="n">
        <v>0.04454</v>
      </c>
    </row>
    <row r="264">
      <c r="A264" t="n">
        <v>2000155</v>
      </c>
      <c r="B264" t="n">
        <v>2</v>
      </c>
      <c r="C264" t="n">
        <v>155</v>
      </c>
      <c r="D264" t="n">
        <v>1</v>
      </c>
      <c r="E264" t="n">
        <v>156.0101</v>
      </c>
      <c r="F264" t="n">
        <v>0.04446</v>
      </c>
    </row>
    <row r="265">
      <c r="A265" t="n">
        <v>2000156</v>
      </c>
      <c r="B265" t="n">
        <v>2</v>
      </c>
      <c r="C265" t="n">
        <v>156</v>
      </c>
      <c r="D265" t="n">
        <v>1</v>
      </c>
      <c r="E265" t="n">
        <v>156.3748</v>
      </c>
      <c r="F265" t="n">
        <v>0.04439</v>
      </c>
    </row>
    <row r="266">
      <c r="A266" t="n">
        <v>2000157</v>
      </c>
      <c r="B266" t="n">
        <v>2</v>
      </c>
      <c r="C266" t="n">
        <v>157</v>
      </c>
      <c r="D266" t="n">
        <v>1</v>
      </c>
      <c r="E266" t="n">
        <v>156.7269</v>
      </c>
      <c r="F266" t="n">
        <v>0.04431</v>
      </c>
    </row>
    <row r="267">
      <c r="A267" t="n">
        <v>2000158</v>
      </c>
      <c r="B267" t="n">
        <v>2</v>
      </c>
      <c r="C267" t="n">
        <v>158</v>
      </c>
      <c r="D267" t="n">
        <v>1</v>
      </c>
      <c r="E267" t="n">
        <v>157.0666</v>
      </c>
      <c r="F267" t="n">
        <v>0.04423</v>
      </c>
    </row>
    <row r="268">
      <c r="A268" t="n">
        <v>2000159</v>
      </c>
      <c r="B268" t="n">
        <v>2</v>
      </c>
      <c r="C268" t="n">
        <v>159</v>
      </c>
      <c r="D268" t="n">
        <v>1</v>
      </c>
      <c r="E268" t="n">
        <v>157.3936</v>
      </c>
      <c r="F268" t="n">
        <v>0.04415</v>
      </c>
    </row>
    <row r="269">
      <c r="A269" t="n">
        <v>2000160</v>
      </c>
      <c r="B269" t="n">
        <v>2</v>
      </c>
      <c r="C269" t="n">
        <v>160</v>
      </c>
      <c r="D269" t="n">
        <v>1</v>
      </c>
      <c r="E269" t="n">
        <v>157.7082</v>
      </c>
      <c r="F269" t="n">
        <v>0.04408</v>
      </c>
    </row>
    <row r="270">
      <c r="A270" t="n">
        <v>2000161</v>
      </c>
      <c r="B270" t="n">
        <v>2</v>
      </c>
      <c r="C270" t="n">
        <v>161</v>
      </c>
      <c r="D270" t="n">
        <v>1</v>
      </c>
      <c r="E270" t="n">
        <v>158.0102</v>
      </c>
      <c r="F270" t="n">
        <v>0.044</v>
      </c>
    </row>
    <row r="271">
      <c r="A271" t="n">
        <v>2000162</v>
      </c>
      <c r="B271" t="n">
        <v>2</v>
      </c>
      <c r="C271" t="n">
        <v>162</v>
      </c>
      <c r="D271" t="n">
        <v>1</v>
      </c>
      <c r="E271" t="n">
        <v>158.2997</v>
      </c>
      <c r="F271" t="n">
        <v>0.04392</v>
      </c>
    </row>
    <row r="272">
      <c r="A272" t="n">
        <v>2000163</v>
      </c>
      <c r="B272" t="n">
        <v>2</v>
      </c>
      <c r="C272" t="n">
        <v>163</v>
      </c>
      <c r="D272" t="n">
        <v>1</v>
      </c>
      <c r="E272" t="n">
        <v>158.5771</v>
      </c>
      <c r="F272" t="n">
        <v>0.04384</v>
      </c>
    </row>
    <row r="273">
      <c r="A273" t="n">
        <v>2000164</v>
      </c>
      <c r="B273" t="n">
        <v>2</v>
      </c>
      <c r="C273" t="n">
        <v>164</v>
      </c>
      <c r="D273" t="n">
        <v>1</v>
      </c>
      <c r="E273" t="n">
        <v>158.8425</v>
      </c>
      <c r="F273" t="n">
        <v>0.04376</v>
      </c>
    </row>
    <row r="274">
      <c r="A274" t="n">
        <v>2000165</v>
      </c>
      <c r="B274" t="n">
        <v>2</v>
      </c>
      <c r="C274" t="n">
        <v>165</v>
      </c>
      <c r="D274" t="n">
        <v>1</v>
      </c>
      <c r="E274" t="n">
        <v>159.0961</v>
      </c>
      <c r="F274" t="n">
        <v>0.04369</v>
      </c>
    </row>
    <row r="275">
      <c r="A275" t="n">
        <v>2000166</v>
      </c>
      <c r="B275" t="n">
        <v>2</v>
      </c>
      <c r="C275" t="n">
        <v>166</v>
      </c>
      <c r="D275" t="n">
        <v>1</v>
      </c>
      <c r="E275" t="n">
        <v>159.3382</v>
      </c>
      <c r="F275" t="n">
        <v>0.04361</v>
      </c>
    </row>
    <row r="276">
      <c r="A276" t="n">
        <v>2000167</v>
      </c>
      <c r="B276" t="n">
        <v>2</v>
      </c>
      <c r="C276" t="n">
        <v>167</v>
      </c>
      <c r="D276" t="n">
        <v>1</v>
      </c>
      <c r="E276" t="n">
        <v>159.5691</v>
      </c>
      <c r="F276" t="n">
        <v>0.04353</v>
      </c>
    </row>
    <row r="277">
      <c r="A277" t="n">
        <v>2000168</v>
      </c>
      <c r="B277" t="n">
        <v>2</v>
      </c>
      <c r="C277" t="n">
        <v>168</v>
      </c>
      <c r="D277" t="n">
        <v>1</v>
      </c>
      <c r="E277" t="n">
        <v>159.789</v>
      </c>
      <c r="F277" t="n">
        <v>0.04345</v>
      </c>
    </row>
    <row r="278">
      <c r="A278" t="n">
        <v>2000169</v>
      </c>
      <c r="B278" t="n">
        <v>2</v>
      </c>
      <c r="C278" t="n">
        <v>169</v>
      </c>
      <c r="D278" t="n">
        <v>1</v>
      </c>
      <c r="E278" t="n">
        <v>159.9983</v>
      </c>
      <c r="F278" t="n">
        <v>0.04337</v>
      </c>
    </row>
    <row r="279">
      <c r="A279" t="n">
        <v>2000170</v>
      </c>
      <c r="B279" t="n">
        <v>2</v>
      </c>
      <c r="C279" t="n">
        <v>170</v>
      </c>
      <c r="D279" t="n">
        <v>1</v>
      </c>
      <c r="E279" t="n">
        <v>160.1971</v>
      </c>
      <c r="F279" t="n">
        <v>0.0433</v>
      </c>
    </row>
    <row r="280">
      <c r="A280" t="n">
        <v>2000171</v>
      </c>
      <c r="B280" t="n">
        <v>2</v>
      </c>
      <c r="C280" t="n">
        <v>171</v>
      </c>
      <c r="D280" t="n">
        <v>1</v>
      </c>
      <c r="E280" t="n">
        <v>160.3857</v>
      </c>
      <c r="F280" t="n">
        <v>0.04322</v>
      </c>
    </row>
    <row r="281">
      <c r="A281" t="n">
        <v>2000172</v>
      </c>
      <c r="B281" t="n">
        <v>2</v>
      </c>
      <c r="C281" t="n">
        <v>172</v>
      </c>
      <c r="D281" t="n">
        <v>1</v>
      </c>
      <c r="E281" t="n">
        <v>160.5643</v>
      </c>
      <c r="F281" t="n">
        <v>0.04314</v>
      </c>
    </row>
    <row r="282">
      <c r="A282" t="n">
        <v>2000173</v>
      </c>
      <c r="B282" t="n">
        <v>2</v>
      </c>
      <c r="C282" t="n">
        <v>173</v>
      </c>
      <c r="D282" t="n">
        <v>1</v>
      </c>
      <c r="E282" t="n">
        <v>160.7332</v>
      </c>
      <c r="F282" t="n">
        <v>0.04307</v>
      </c>
    </row>
    <row r="283">
      <c r="A283" t="n">
        <v>2000174</v>
      </c>
      <c r="B283" t="n">
        <v>2</v>
      </c>
      <c r="C283" t="n">
        <v>174</v>
      </c>
      <c r="D283" t="n">
        <v>1</v>
      </c>
      <c r="E283" t="n">
        <v>160.8927</v>
      </c>
      <c r="F283" t="n">
        <v>0.04299</v>
      </c>
    </row>
    <row r="284">
      <c r="A284" t="n">
        <v>2000175</v>
      </c>
      <c r="B284" t="n">
        <v>2</v>
      </c>
      <c r="C284" t="n">
        <v>175</v>
      </c>
      <c r="D284" t="n">
        <v>1</v>
      </c>
      <c r="E284" t="n">
        <v>161.043</v>
      </c>
      <c r="F284" t="n">
        <v>0.04292</v>
      </c>
    </row>
    <row r="285">
      <c r="A285" t="n">
        <v>2000176</v>
      </c>
      <c r="B285" t="n">
        <v>2</v>
      </c>
      <c r="C285" t="n">
        <v>176</v>
      </c>
      <c r="D285" t="n">
        <v>1</v>
      </c>
      <c r="E285" t="n">
        <v>161.1845</v>
      </c>
      <c r="F285" t="n">
        <v>0.04284</v>
      </c>
    </row>
    <row r="286">
      <c r="A286" t="n">
        <v>2000177</v>
      </c>
      <c r="B286" t="n">
        <v>2</v>
      </c>
      <c r="C286" t="n">
        <v>177</v>
      </c>
      <c r="D286" t="n">
        <v>1</v>
      </c>
      <c r="E286" t="n">
        <v>161.3176</v>
      </c>
      <c r="F286" t="n">
        <v>0.04277</v>
      </c>
    </row>
    <row r="287">
      <c r="A287" t="n">
        <v>2000178</v>
      </c>
      <c r="B287" t="n">
        <v>2</v>
      </c>
      <c r="C287" t="n">
        <v>178</v>
      </c>
      <c r="D287" t="n">
        <v>1</v>
      </c>
      <c r="E287" t="n">
        <v>161.4425</v>
      </c>
      <c r="F287" t="n">
        <v>0.0427</v>
      </c>
    </row>
    <row r="288">
      <c r="A288" t="n">
        <v>2000179</v>
      </c>
      <c r="B288" t="n">
        <v>2</v>
      </c>
      <c r="C288" t="n">
        <v>179</v>
      </c>
      <c r="D288" t="n">
        <v>1</v>
      </c>
      <c r="E288" t="n">
        <v>161.5596</v>
      </c>
      <c r="F288" t="n">
        <v>0.04263</v>
      </c>
    </row>
    <row r="289">
      <c r="A289" t="n">
        <v>2000180</v>
      </c>
      <c r="B289" t="n">
        <v>2</v>
      </c>
      <c r="C289" t="n">
        <v>180</v>
      </c>
      <c r="D289" t="n">
        <v>1</v>
      </c>
      <c r="E289" t="n">
        <v>161.6692</v>
      </c>
      <c r="F289" t="n">
        <v>0.04255</v>
      </c>
    </row>
    <row r="290">
      <c r="A290" t="n">
        <v>2000181</v>
      </c>
      <c r="B290" t="n">
        <v>2</v>
      </c>
      <c r="C290" t="n">
        <v>181</v>
      </c>
      <c r="D290" t="n">
        <v>1</v>
      </c>
      <c r="E290" t="n">
        <v>161.7717</v>
      </c>
      <c r="F290" t="n">
        <v>0.04248</v>
      </c>
    </row>
    <row r="291">
      <c r="A291" t="n">
        <v>2000182</v>
      </c>
      <c r="B291" t="n">
        <v>2</v>
      </c>
      <c r="C291" t="n">
        <v>182</v>
      </c>
      <c r="D291" t="n">
        <v>1</v>
      </c>
      <c r="E291" t="n">
        <v>161.8673</v>
      </c>
      <c r="F291" t="n">
        <v>0.04241</v>
      </c>
    </row>
    <row r="292">
      <c r="A292" t="n">
        <v>2000183</v>
      </c>
      <c r="B292" t="n">
        <v>2</v>
      </c>
      <c r="C292" t="n">
        <v>183</v>
      </c>
      <c r="D292" t="n">
        <v>1</v>
      </c>
      <c r="E292" t="n">
        <v>161.9564</v>
      </c>
      <c r="F292" t="n">
        <v>0.04235</v>
      </c>
    </row>
    <row r="293">
      <c r="A293" t="n">
        <v>2000184</v>
      </c>
      <c r="B293" t="n">
        <v>2</v>
      </c>
      <c r="C293" t="n">
        <v>184</v>
      </c>
      <c r="D293" t="n">
        <v>1</v>
      </c>
      <c r="E293" t="n">
        <v>162.0393</v>
      </c>
      <c r="F293" t="n">
        <v>0.04228</v>
      </c>
    </row>
    <row r="294">
      <c r="A294" t="n">
        <v>2000185</v>
      </c>
      <c r="B294" t="n">
        <v>2</v>
      </c>
      <c r="C294" t="n">
        <v>185</v>
      </c>
      <c r="D294" t="n">
        <v>1</v>
      </c>
      <c r="E294" t="n">
        <v>162.1164</v>
      </c>
      <c r="F294" t="n">
        <v>0.04221</v>
      </c>
    </row>
    <row r="295">
      <c r="A295" t="n">
        <v>2000186</v>
      </c>
      <c r="B295" t="n">
        <v>2</v>
      </c>
      <c r="C295" t="n">
        <v>186</v>
      </c>
      <c r="D295" t="n">
        <v>1</v>
      </c>
      <c r="E295" t="n">
        <v>162.188</v>
      </c>
      <c r="F295" t="n">
        <v>0.04214</v>
      </c>
    </row>
    <row r="296">
      <c r="A296" t="n">
        <v>2000187</v>
      </c>
      <c r="B296" t="n">
        <v>2</v>
      </c>
      <c r="C296" t="n">
        <v>187</v>
      </c>
      <c r="D296" t="n">
        <v>1</v>
      </c>
      <c r="E296" t="n">
        <v>162.2542</v>
      </c>
      <c r="F296" t="n">
        <v>0.04208</v>
      </c>
    </row>
    <row r="297">
      <c r="A297" t="n">
        <v>2000188</v>
      </c>
      <c r="B297" t="n">
        <v>2</v>
      </c>
      <c r="C297" t="n">
        <v>188</v>
      </c>
      <c r="D297" t="n">
        <v>1</v>
      </c>
      <c r="E297" t="n">
        <v>162.3154</v>
      </c>
      <c r="F297" t="n">
        <v>0.04201</v>
      </c>
    </row>
    <row r="298">
      <c r="A298" t="n">
        <v>2000189</v>
      </c>
      <c r="B298" t="n">
        <v>2</v>
      </c>
      <c r="C298" t="n">
        <v>189</v>
      </c>
      <c r="D298" t="n">
        <v>1</v>
      </c>
      <c r="E298" t="n">
        <v>162.3719</v>
      </c>
      <c r="F298" t="n">
        <v>0.04195</v>
      </c>
    </row>
    <row r="299">
      <c r="A299" t="n">
        <v>2000190</v>
      </c>
      <c r="B299" t="n">
        <v>2</v>
      </c>
      <c r="C299" t="n">
        <v>190</v>
      </c>
      <c r="D299" t="n">
        <v>1</v>
      </c>
      <c r="E299" t="n">
        <v>162.4239</v>
      </c>
      <c r="F299" t="n">
        <v>0.04189</v>
      </c>
    </row>
    <row r="300">
      <c r="A300" t="n">
        <v>2000191</v>
      </c>
      <c r="B300" t="n">
        <v>2</v>
      </c>
      <c r="C300" t="n">
        <v>191</v>
      </c>
      <c r="D300" t="n">
        <v>1</v>
      </c>
      <c r="E300" t="n">
        <v>162.4717</v>
      </c>
      <c r="F300" t="n">
        <v>0.04182</v>
      </c>
    </row>
    <row r="301">
      <c r="A301" t="n">
        <v>2000192</v>
      </c>
      <c r="B301" t="n">
        <v>2</v>
      </c>
      <c r="C301" t="n">
        <v>192</v>
      </c>
      <c r="D301" t="n">
        <v>1</v>
      </c>
      <c r="E301" t="n">
        <v>162.5156</v>
      </c>
      <c r="F301" t="n">
        <v>0.04176</v>
      </c>
    </row>
    <row r="302">
      <c r="A302" t="n">
        <v>2000193</v>
      </c>
      <c r="B302" t="n">
        <v>2</v>
      </c>
      <c r="C302" t="n">
        <v>193</v>
      </c>
      <c r="D302" t="n">
        <v>1</v>
      </c>
      <c r="E302" t="n">
        <v>162.556</v>
      </c>
      <c r="F302" t="n">
        <v>0.0417</v>
      </c>
    </row>
    <row r="303">
      <c r="A303" t="n">
        <v>2000194</v>
      </c>
      <c r="B303" t="n">
        <v>2</v>
      </c>
      <c r="C303" t="n">
        <v>194</v>
      </c>
      <c r="D303" t="n">
        <v>1</v>
      </c>
      <c r="E303" t="n">
        <v>162.5933</v>
      </c>
      <c r="F303" t="n">
        <v>0.04164</v>
      </c>
    </row>
    <row r="304">
      <c r="A304" t="n">
        <v>2000195</v>
      </c>
      <c r="B304" t="n">
        <v>2</v>
      </c>
      <c r="C304" t="n">
        <v>195</v>
      </c>
      <c r="D304" t="n">
        <v>1</v>
      </c>
      <c r="E304" t="n">
        <v>162.6276</v>
      </c>
      <c r="F304" t="n">
        <v>0.04158</v>
      </c>
    </row>
    <row r="305">
      <c r="A305" t="n">
        <v>2000196</v>
      </c>
      <c r="B305" t="n">
        <v>2</v>
      </c>
      <c r="C305" t="n">
        <v>196</v>
      </c>
      <c r="D305" t="n">
        <v>1</v>
      </c>
      <c r="E305" t="n">
        <v>162.6594</v>
      </c>
      <c r="F305" t="n">
        <v>0.04152</v>
      </c>
    </row>
    <row r="306">
      <c r="A306" t="n">
        <v>2000197</v>
      </c>
      <c r="B306" t="n">
        <v>2</v>
      </c>
      <c r="C306" t="n">
        <v>197</v>
      </c>
      <c r="D306" t="n">
        <v>1</v>
      </c>
      <c r="E306" t="n">
        <v>162.689</v>
      </c>
      <c r="F306" t="n">
        <v>0.04147</v>
      </c>
    </row>
    <row r="307">
      <c r="A307" t="n">
        <v>2000198</v>
      </c>
      <c r="B307" t="n">
        <v>2</v>
      </c>
      <c r="C307" t="n">
        <v>198</v>
      </c>
      <c r="D307" t="n">
        <v>1</v>
      </c>
      <c r="E307" t="n">
        <v>162.7165</v>
      </c>
      <c r="F307" t="n">
        <v>0.04141</v>
      </c>
    </row>
    <row r="308">
      <c r="A308" t="n">
        <v>2000199</v>
      </c>
      <c r="B308" t="n">
        <v>2</v>
      </c>
      <c r="C308" t="n">
        <v>199</v>
      </c>
      <c r="D308" t="n">
        <v>1</v>
      </c>
      <c r="E308" t="n">
        <v>162.7425</v>
      </c>
      <c r="F308" t="n">
        <v>0.04136</v>
      </c>
    </row>
    <row r="309">
      <c r="A309" t="n">
        <v>2000200</v>
      </c>
      <c r="B309" t="n">
        <v>2</v>
      </c>
      <c r="C309" t="n">
        <v>200</v>
      </c>
      <c r="D309" t="n">
        <v>1</v>
      </c>
      <c r="E309" t="n">
        <v>162.767</v>
      </c>
      <c r="F309" t="n">
        <v>0.0413</v>
      </c>
    </row>
    <row r="310">
      <c r="A310" t="n">
        <v>2000201</v>
      </c>
      <c r="B310" t="n">
        <v>2</v>
      </c>
      <c r="C310" t="n">
        <v>201</v>
      </c>
      <c r="D310" t="n">
        <v>1</v>
      </c>
      <c r="E310" t="n">
        <v>162.7904</v>
      </c>
      <c r="F310" t="n">
        <v>0.04125</v>
      </c>
    </row>
    <row r="311">
      <c r="A311" t="n">
        <v>2000202</v>
      </c>
      <c r="B311" t="n">
        <v>2</v>
      </c>
      <c r="C311" t="n">
        <v>202</v>
      </c>
      <c r="D311" t="n">
        <v>1</v>
      </c>
      <c r="E311" t="n">
        <v>162.8126</v>
      </c>
      <c r="F311" t="n">
        <v>0.04119</v>
      </c>
    </row>
    <row r="312">
      <c r="A312" t="n">
        <v>2000203</v>
      </c>
      <c r="B312" t="n">
        <v>2</v>
      </c>
      <c r="C312" t="n">
        <v>203</v>
      </c>
      <c r="D312" t="n">
        <v>1</v>
      </c>
      <c r="E312" t="n">
        <v>162.834</v>
      </c>
      <c r="F312" t="n">
        <v>0.04114</v>
      </c>
    </row>
    <row r="313">
      <c r="A313" t="n">
        <v>2000204</v>
      </c>
      <c r="B313" t="n">
        <v>2</v>
      </c>
      <c r="C313" t="n">
        <v>204</v>
      </c>
      <c r="D313" t="n">
        <v>1</v>
      </c>
      <c r="E313" t="n">
        <v>162.8545</v>
      </c>
      <c r="F313" t="n">
        <v>0.04109</v>
      </c>
    </row>
    <row r="314">
      <c r="A314" t="n">
        <v>2000205</v>
      </c>
      <c r="B314" t="n">
        <v>2</v>
      </c>
      <c r="C314" t="n">
        <v>205</v>
      </c>
      <c r="D314" t="n">
        <v>1</v>
      </c>
      <c r="E314" t="n">
        <v>162.8743</v>
      </c>
      <c r="F314" t="n">
        <v>0.04104</v>
      </c>
    </row>
    <row r="315">
      <c r="A315" t="n">
        <v>2000206</v>
      </c>
      <c r="B315" t="n">
        <v>2</v>
      </c>
      <c r="C315" t="n">
        <v>206</v>
      </c>
      <c r="D315" t="n">
        <v>1</v>
      </c>
      <c r="E315" t="n">
        <v>162.8935</v>
      </c>
      <c r="F315" t="n">
        <v>0.04099</v>
      </c>
    </row>
    <row r="316">
      <c r="A316" t="n">
        <v>2000207</v>
      </c>
      <c r="B316" t="n">
        <v>2</v>
      </c>
      <c r="C316" t="n">
        <v>207</v>
      </c>
      <c r="D316" t="n">
        <v>1</v>
      </c>
      <c r="E316" t="n">
        <v>162.912</v>
      </c>
      <c r="F316" t="n">
        <v>0.04094</v>
      </c>
    </row>
    <row r="317">
      <c r="A317" t="n">
        <v>2000208</v>
      </c>
      <c r="B317" t="n">
        <v>2</v>
      </c>
      <c r="C317" t="n">
        <v>208</v>
      </c>
      <c r="D317" t="n">
        <v>1</v>
      </c>
      <c r="E317" t="n">
        <v>162.93</v>
      </c>
      <c r="F317" t="n">
        <v>0.04089</v>
      </c>
    </row>
    <row r="318">
      <c r="A318" t="n">
        <v>2000209</v>
      </c>
      <c r="B318" t="n">
        <v>2</v>
      </c>
      <c r="C318" t="n">
        <v>209</v>
      </c>
      <c r="D318" t="n">
        <v>1</v>
      </c>
      <c r="E318" t="n">
        <v>162.9476</v>
      </c>
      <c r="F318" t="n">
        <v>0.04084</v>
      </c>
    </row>
    <row r="319">
      <c r="A319" t="n">
        <v>2000210</v>
      </c>
      <c r="B319" t="n">
        <v>2</v>
      </c>
      <c r="C319" t="n">
        <v>210</v>
      </c>
      <c r="D319" t="n">
        <v>1</v>
      </c>
      <c r="E319" t="n">
        <v>162.9649</v>
      </c>
      <c r="F319" t="n">
        <v>0.0408</v>
      </c>
    </row>
    <row r="320">
      <c r="A320" t="n">
        <v>2000211</v>
      </c>
      <c r="B320" t="n">
        <v>2</v>
      </c>
      <c r="C320" t="n">
        <v>211</v>
      </c>
      <c r="D320" t="n">
        <v>1</v>
      </c>
      <c r="E320" t="n">
        <v>162.9817</v>
      </c>
      <c r="F320" t="n">
        <v>0.04075</v>
      </c>
    </row>
    <row r="321">
      <c r="A321" t="n">
        <v>2000212</v>
      </c>
      <c r="B321" t="n">
        <v>2</v>
      </c>
      <c r="C321" t="n">
        <v>212</v>
      </c>
      <c r="D321" t="n">
        <v>1</v>
      </c>
      <c r="E321" t="n">
        <v>162.9983</v>
      </c>
      <c r="F321" t="n">
        <v>0.04071</v>
      </c>
    </row>
    <row r="322">
      <c r="A322" t="n">
        <v>2000213</v>
      </c>
      <c r="B322" t="n">
        <v>2</v>
      </c>
      <c r="C322" t="n">
        <v>213</v>
      </c>
      <c r="D322" t="n">
        <v>1</v>
      </c>
      <c r="E322" t="n">
        <v>163.0144</v>
      </c>
      <c r="F322" t="n">
        <v>0.04066</v>
      </c>
    </row>
    <row r="323">
      <c r="A323" t="n">
        <v>2000214</v>
      </c>
      <c r="B323" t="n">
        <v>2</v>
      </c>
      <c r="C323" t="n">
        <v>214</v>
      </c>
      <c r="D323" t="n">
        <v>1</v>
      </c>
      <c r="E323" t="n">
        <v>163.03</v>
      </c>
      <c r="F323" t="n">
        <v>0.04062</v>
      </c>
    </row>
    <row r="324">
      <c r="A324" t="n">
        <v>2000215</v>
      </c>
      <c r="B324" t="n">
        <v>2</v>
      </c>
      <c r="C324" t="n">
        <v>215</v>
      </c>
      <c r="D324" t="n">
        <v>1</v>
      </c>
      <c r="E324" t="n">
        <v>163.0451</v>
      </c>
      <c r="F324" t="n">
        <v>0.04058</v>
      </c>
    </row>
    <row r="325">
      <c r="A325" t="n">
        <v>2000216</v>
      </c>
      <c r="B325" t="n">
        <v>2</v>
      </c>
      <c r="C325" t="n">
        <v>216</v>
      </c>
      <c r="D325" t="n">
        <v>1</v>
      </c>
      <c r="E325" t="n">
        <v>163.0595</v>
      </c>
      <c r="F325" t="n">
        <v>0.04053</v>
      </c>
    </row>
    <row r="326">
      <c r="A326" t="n">
        <v>2000217</v>
      </c>
      <c r="B326" t="n">
        <v>2</v>
      </c>
      <c r="C326" t="n">
        <v>217</v>
      </c>
      <c r="D326" t="n">
        <v>1</v>
      </c>
      <c r="E326" t="n">
        <v>163.0733</v>
      </c>
      <c r="F326" t="n">
        <v>0.04049</v>
      </c>
    </row>
    <row r="327">
      <c r="A327" t="n">
        <v>2000218</v>
      </c>
      <c r="B327" t="n">
        <v>2</v>
      </c>
      <c r="C327" t="n">
        <v>218</v>
      </c>
      <c r="D327" t="n">
        <v>1</v>
      </c>
      <c r="E327" t="n">
        <v>163.0862</v>
      </c>
      <c r="F327" t="n">
        <v>0.04045</v>
      </c>
    </row>
    <row r="328">
      <c r="A328" t="n">
        <v>2000219</v>
      </c>
      <c r="B328" t="n">
        <v>2</v>
      </c>
      <c r="C328" t="n">
        <v>219</v>
      </c>
      <c r="D328" t="n">
        <v>1</v>
      </c>
      <c r="E328" t="n">
        <v>163.0982</v>
      </c>
      <c r="F328" t="n">
        <v>0.04041</v>
      </c>
    </row>
    <row r="329">
      <c r="A329" t="n">
        <v>2000220</v>
      </c>
      <c r="B329" t="n">
        <v>2</v>
      </c>
      <c r="C329" t="n">
        <v>220</v>
      </c>
      <c r="D329" t="n">
        <v>1</v>
      </c>
      <c r="E329" t="n">
        <v>163.1092</v>
      </c>
      <c r="F329" t="n">
        <v>0.04037</v>
      </c>
    </row>
    <row r="330">
      <c r="A330" t="n">
        <v>2000221</v>
      </c>
      <c r="B330" t="n">
        <v>2</v>
      </c>
      <c r="C330" t="n">
        <v>221</v>
      </c>
      <c r="D330" t="n">
        <v>1</v>
      </c>
      <c r="E330" t="n">
        <v>163.1192</v>
      </c>
      <c r="F330" t="n">
        <v>0.04034</v>
      </c>
    </row>
    <row r="331">
      <c r="A331" t="n">
        <v>2000222</v>
      </c>
      <c r="B331" t="n">
        <v>2</v>
      </c>
      <c r="C331" t="n">
        <v>222</v>
      </c>
      <c r="D331" t="n">
        <v>1</v>
      </c>
      <c r="E331" t="n">
        <v>163.1279</v>
      </c>
      <c r="F331" t="n">
        <v>0.0403</v>
      </c>
    </row>
    <row r="332">
      <c r="A332" t="n">
        <v>2000223</v>
      </c>
      <c r="B332" t="n">
        <v>2</v>
      </c>
      <c r="C332" t="n">
        <v>223</v>
      </c>
      <c r="D332" t="n">
        <v>1</v>
      </c>
      <c r="E332" t="n">
        <v>163.1355</v>
      </c>
      <c r="F332" t="n">
        <v>0.04026</v>
      </c>
    </row>
    <row r="333">
      <c r="A333" t="n">
        <v>2000224</v>
      </c>
      <c r="B333" t="n">
        <v>2</v>
      </c>
      <c r="C333" t="n">
        <v>224</v>
      </c>
      <c r="D333" t="n">
        <v>1</v>
      </c>
      <c r="E333" t="n">
        <v>163.1418</v>
      </c>
      <c r="F333" t="n">
        <v>0.04023</v>
      </c>
    </row>
    <row r="334">
      <c r="A334" t="n">
        <v>2000225</v>
      </c>
      <c r="B334" t="n">
        <v>2</v>
      </c>
      <c r="C334" t="n">
        <v>225</v>
      </c>
      <c r="D334" t="n">
        <v>1</v>
      </c>
      <c r="E334" t="n">
        <v>163.1469</v>
      </c>
      <c r="F334" t="n">
        <v>0.04019</v>
      </c>
    </row>
    <row r="335">
      <c r="A335" t="n">
        <v>2000226</v>
      </c>
      <c r="B335" t="n">
        <v>2</v>
      </c>
      <c r="C335" t="n">
        <v>226</v>
      </c>
      <c r="D335" t="n">
        <v>1</v>
      </c>
      <c r="E335" t="n">
        <v>163.1508</v>
      </c>
      <c r="F335" t="n">
        <v>0.04016</v>
      </c>
    </row>
    <row r="336">
      <c r="A336" t="n">
        <v>2000227</v>
      </c>
      <c r="B336" t="n">
        <v>2</v>
      </c>
      <c r="C336" t="n">
        <v>227</v>
      </c>
      <c r="D336" t="n">
        <v>1</v>
      </c>
      <c r="E336" t="n">
        <v>163.1534</v>
      </c>
      <c r="F336" t="n">
        <v>0.04012</v>
      </c>
    </row>
    <row r="337">
      <c r="A337" t="n">
        <v>2000228</v>
      </c>
      <c r="B337" t="n">
        <v>2</v>
      </c>
      <c r="C337" t="n">
        <v>228</v>
      </c>
      <c r="D337" t="n">
        <v>1</v>
      </c>
      <c r="E337" t="n">
        <v>163.1548</v>
      </c>
      <c r="F337" t="n">
        <v>0.04009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6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</t>
        </is>
      </c>
      <c r="B1" t="inlineStr">
        <is>
          <t>sexo</t>
        </is>
      </c>
      <c r="C1" t="inlineStr">
        <is>
          <t>chave</t>
        </is>
      </c>
      <c r="D1" t="inlineStr">
        <is>
          <t>l</t>
        </is>
      </c>
      <c r="E1" t="inlineStr">
        <is>
          <t>m</t>
        </is>
      </c>
      <c r="F1" t="inlineStr">
        <is>
          <t>s</t>
        </is>
      </c>
    </row>
    <row r="2">
      <c r="A2" t="n">
        <v>1000000</v>
      </c>
      <c r="B2" t="n">
        <v>1</v>
      </c>
      <c r="C2" t="n">
        <v>0</v>
      </c>
      <c r="D2" t="n">
        <v>0.3487</v>
      </c>
      <c r="E2" t="n">
        <v>3.3464</v>
      </c>
      <c r="F2" t="n">
        <v>0.14602</v>
      </c>
    </row>
    <row r="3">
      <c r="A3" t="n">
        <v>1000001</v>
      </c>
      <c r="B3" t="n">
        <v>1</v>
      </c>
      <c r="C3" t="n">
        <v>1</v>
      </c>
      <c r="D3" t="n">
        <v>0.3127</v>
      </c>
      <c r="E3" t="n">
        <v>3.3174</v>
      </c>
      <c r="F3" t="n">
        <v>0.14693</v>
      </c>
    </row>
    <row r="4">
      <c r="A4" t="n">
        <v>1000002</v>
      </c>
      <c r="B4" t="n">
        <v>1</v>
      </c>
      <c r="C4" t="n">
        <v>2</v>
      </c>
      <c r="D4" t="n">
        <v>0.3029</v>
      </c>
      <c r="E4" t="n">
        <v>3.337</v>
      </c>
      <c r="F4" t="n">
        <v>0.14676</v>
      </c>
    </row>
    <row r="5">
      <c r="A5" t="n">
        <v>1000003</v>
      </c>
      <c r="B5" t="n">
        <v>1</v>
      </c>
      <c r="C5" t="n">
        <v>3</v>
      </c>
      <c r="D5" t="n">
        <v>0.2959</v>
      </c>
      <c r="E5" t="n">
        <v>3.3627</v>
      </c>
      <c r="F5" t="n">
        <v>0.14647</v>
      </c>
    </row>
    <row r="6">
      <c r="A6" t="n">
        <v>1000004</v>
      </c>
      <c r="B6" t="n">
        <v>1</v>
      </c>
      <c r="C6" t="n">
        <v>4</v>
      </c>
      <c r="D6" t="n">
        <v>0.2903</v>
      </c>
      <c r="E6" t="n">
        <v>3.3915</v>
      </c>
      <c r="F6" t="n">
        <v>0.14611</v>
      </c>
    </row>
    <row r="7">
      <c r="A7" t="n">
        <v>1000005</v>
      </c>
      <c r="B7" t="n">
        <v>1</v>
      </c>
      <c r="C7" t="n">
        <v>5</v>
      </c>
      <c r="D7" t="n">
        <v>0.2855</v>
      </c>
      <c r="E7" t="n">
        <v>3.4223</v>
      </c>
      <c r="F7" t="n">
        <v>0.14571</v>
      </c>
    </row>
    <row r="8">
      <c r="A8" t="n">
        <v>1000006</v>
      </c>
      <c r="B8" t="n">
        <v>1</v>
      </c>
      <c r="C8" t="n">
        <v>6</v>
      </c>
      <c r="D8" t="n">
        <v>0.2813</v>
      </c>
      <c r="E8" t="n">
        <v>3.4545</v>
      </c>
      <c r="F8" t="n">
        <v>0.14528</v>
      </c>
    </row>
    <row r="9">
      <c r="A9" t="n">
        <v>1000007</v>
      </c>
      <c r="B9" t="n">
        <v>1</v>
      </c>
      <c r="C9" t="n">
        <v>7</v>
      </c>
      <c r="D9" t="n">
        <v>0.2776</v>
      </c>
      <c r="E9" t="n">
        <v>3.4879</v>
      </c>
      <c r="F9" t="n">
        <v>0.14483</v>
      </c>
    </row>
    <row r="10">
      <c r="A10" t="n">
        <v>1000008</v>
      </c>
      <c r="B10" t="n">
        <v>1</v>
      </c>
      <c r="C10" t="n">
        <v>8</v>
      </c>
      <c r="D10" t="n">
        <v>0.2742</v>
      </c>
      <c r="E10" t="n">
        <v>3.5222</v>
      </c>
      <c r="F10" t="n">
        <v>0.14436</v>
      </c>
    </row>
    <row r="11">
      <c r="A11" t="n">
        <v>1000009</v>
      </c>
      <c r="B11" t="n">
        <v>1</v>
      </c>
      <c r="C11" t="n">
        <v>9</v>
      </c>
      <c r="D11" t="n">
        <v>0.2711</v>
      </c>
      <c r="E11" t="n">
        <v>3.5576</v>
      </c>
      <c r="F11" t="n">
        <v>0.14388</v>
      </c>
    </row>
    <row r="12">
      <c r="A12" t="n">
        <v>1000010</v>
      </c>
      <c r="B12" t="n">
        <v>1</v>
      </c>
      <c r="C12" t="n">
        <v>10</v>
      </c>
      <c r="D12" t="n">
        <v>0.2681</v>
      </c>
      <c r="E12" t="n">
        <v>3.5941</v>
      </c>
      <c r="F12" t="n">
        <v>0.14339</v>
      </c>
    </row>
    <row r="13">
      <c r="A13" t="n">
        <v>1000011</v>
      </c>
      <c r="B13" t="n">
        <v>1</v>
      </c>
      <c r="C13" t="n">
        <v>11</v>
      </c>
      <c r="D13" t="n">
        <v>0.2654</v>
      </c>
      <c r="E13" t="n">
        <v>3.6319</v>
      </c>
      <c r="F13" t="n">
        <v>0.1429</v>
      </c>
    </row>
    <row r="14">
      <c r="A14" t="n">
        <v>1000012</v>
      </c>
      <c r="B14" t="n">
        <v>1</v>
      </c>
      <c r="C14" t="n">
        <v>12</v>
      </c>
      <c r="D14" t="n">
        <v>0.2628</v>
      </c>
      <c r="E14" t="n">
        <v>3.671</v>
      </c>
      <c r="F14" t="n">
        <v>0.14241</v>
      </c>
    </row>
    <row r="15">
      <c r="A15" t="n">
        <v>1000013</v>
      </c>
      <c r="B15" t="n">
        <v>1</v>
      </c>
      <c r="C15" t="n">
        <v>13</v>
      </c>
      <c r="D15" t="n">
        <v>0.2604</v>
      </c>
      <c r="E15" t="n">
        <v>3.7113</v>
      </c>
      <c r="F15" t="n">
        <v>0.14192</v>
      </c>
    </row>
    <row r="16">
      <c r="A16" t="n">
        <v>1000014</v>
      </c>
      <c r="B16" t="n">
        <v>1</v>
      </c>
      <c r="C16" t="n">
        <v>14</v>
      </c>
      <c r="D16" t="n">
        <v>0.2581</v>
      </c>
      <c r="E16" t="n">
        <v>3.7529</v>
      </c>
      <c r="F16" t="n">
        <v>0.14142</v>
      </c>
    </row>
    <row r="17">
      <c r="A17" t="n">
        <v>1000015</v>
      </c>
      <c r="B17" t="n">
        <v>1</v>
      </c>
      <c r="C17" t="n">
        <v>15</v>
      </c>
      <c r="D17" t="n">
        <v>0.2558</v>
      </c>
      <c r="E17" t="n">
        <v>3.7956</v>
      </c>
      <c r="F17" t="n">
        <v>0.14093</v>
      </c>
    </row>
    <row r="18">
      <c r="A18" t="n">
        <v>1000016</v>
      </c>
      <c r="B18" t="n">
        <v>1</v>
      </c>
      <c r="C18" t="n">
        <v>16</v>
      </c>
      <c r="D18" t="n">
        <v>0.2537</v>
      </c>
      <c r="E18" t="n">
        <v>3.8389</v>
      </c>
      <c r="F18" t="n">
        <v>0.14044</v>
      </c>
    </row>
    <row r="19">
      <c r="A19" t="n">
        <v>1000017</v>
      </c>
      <c r="B19" t="n">
        <v>1</v>
      </c>
      <c r="C19" t="n">
        <v>17</v>
      </c>
      <c r="D19" t="n">
        <v>0.2517</v>
      </c>
      <c r="E19" t="n">
        <v>3.8828</v>
      </c>
      <c r="F19" t="n">
        <v>0.13996</v>
      </c>
    </row>
    <row r="20">
      <c r="A20" t="n">
        <v>1000018</v>
      </c>
      <c r="B20" t="n">
        <v>1</v>
      </c>
      <c r="C20" t="n">
        <v>18</v>
      </c>
      <c r="D20" t="n">
        <v>0.2497</v>
      </c>
      <c r="E20" t="n">
        <v>3.927</v>
      </c>
      <c r="F20" t="n">
        <v>0.13948</v>
      </c>
    </row>
    <row r="21">
      <c r="A21" t="n">
        <v>1000019</v>
      </c>
      <c r="B21" t="n">
        <v>1</v>
      </c>
      <c r="C21" t="n">
        <v>19</v>
      </c>
      <c r="D21" t="n">
        <v>0.2478</v>
      </c>
      <c r="E21" t="n">
        <v>3.9714</v>
      </c>
      <c r="F21" t="n">
        <v>0.139</v>
      </c>
    </row>
    <row r="22">
      <c r="A22" t="n">
        <v>1000020</v>
      </c>
      <c r="B22" t="n">
        <v>1</v>
      </c>
      <c r="C22" t="n">
        <v>20</v>
      </c>
      <c r="D22" t="n">
        <v>0.246</v>
      </c>
      <c r="E22" t="n">
        <v>4.0158</v>
      </c>
      <c r="F22" t="n">
        <v>0.13853</v>
      </c>
    </row>
    <row r="23">
      <c r="A23" t="n">
        <v>1000021</v>
      </c>
      <c r="B23" t="n">
        <v>1</v>
      </c>
      <c r="C23" t="n">
        <v>21</v>
      </c>
      <c r="D23" t="n">
        <v>0.2442</v>
      </c>
      <c r="E23" t="n">
        <v>4.0603</v>
      </c>
      <c r="F23" t="n">
        <v>0.13807</v>
      </c>
    </row>
    <row r="24">
      <c r="A24" t="n">
        <v>1000022</v>
      </c>
      <c r="B24" t="n">
        <v>1</v>
      </c>
      <c r="C24" t="n">
        <v>22</v>
      </c>
      <c r="D24" t="n">
        <v>0.2425</v>
      </c>
      <c r="E24" t="n">
        <v>4.1046</v>
      </c>
      <c r="F24" t="n">
        <v>0.13761</v>
      </c>
    </row>
    <row r="25">
      <c r="A25" t="n">
        <v>1000023</v>
      </c>
      <c r="B25" t="n">
        <v>1</v>
      </c>
      <c r="C25" t="n">
        <v>23</v>
      </c>
      <c r="D25" t="n">
        <v>0.2408</v>
      </c>
      <c r="E25" t="n">
        <v>4.1489</v>
      </c>
      <c r="F25" t="n">
        <v>0.13715</v>
      </c>
    </row>
    <row r="26">
      <c r="A26" t="n">
        <v>1000024</v>
      </c>
      <c r="B26" t="n">
        <v>1</v>
      </c>
      <c r="C26" t="n">
        <v>24</v>
      </c>
      <c r="D26" t="n">
        <v>0.2392</v>
      </c>
      <c r="E26" t="n">
        <v>4.193</v>
      </c>
      <c r="F26" t="n">
        <v>0.1367</v>
      </c>
    </row>
    <row r="27">
      <c r="A27" t="n">
        <v>1000025</v>
      </c>
      <c r="B27" t="n">
        <v>1</v>
      </c>
      <c r="C27" t="n">
        <v>25</v>
      </c>
      <c r="D27" t="n">
        <v>0.2376</v>
      </c>
      <c r="E27" t="n">
        <v>4.2369</v>
      </c>
      <c r="F27" t="n">
        <v>0.13626</v>
      </c>
    </row>
    <row r="28">
      <c r="A28" t="n">
        <v>1000026</v>
      </c>
      <c r="B28" t="n">
        <v>1</v>
      </c>
      <c r="C28" t="n">
        <v>26</v>
      </c>
      <c r="D28" t="n">
        <v>0.2361</v>
      </c>
      <c r="E28" t="n">
        <v>4.2806</v>
      </c>
      <c r="F28" t="n">
        <v>0.13582</v>
      </c>
    </row>
    <row r="29">
      <c r="A29" t="n">
        <v>1000027</v>
      </c>
      <c r="B29" t="n">
        <v>1</v>
      </c>
      <c r="C29" t="n">
        <v>27</v>
      </c>
      <c r="D29" t="n">
        <v>0.2346</v>
      </c>
      <c r="E29" t="n">
        <v>4.324</v>
      </c>
      <c r="F29" t="n">
        <v>0.13539</v>
      </c>
    </row>
    <row r="30">
      <c r="A30" t="n">
        <v>1000028</v>
      </c>
      <c r="B30" t="n">
        <v>1</v>
      </c>
      <c r="C30" t="n">
        <v>28</v>
      </c>
      <c r="D30" t="n">
        <v>0.2331</v>
      </c>
      <c r="E30" t="n">
        <v>4.3671</v>
      </c>
      <c r="F30" t="n">
        <v>0.13497</v>
      </c>
    </row>
    <row r="31">
      <c r="A31" t="n">
        <v>1000029</v>
      </c>
      <c r="B31" t="n">
        <v>1</v>
      </c>
      <c r="C31" t="n">
        <v>29</v>
      </c>
      <c r="D31" t="n">
        <v>0.2317</v>
      </c>
      <c r="E31" t="n">
        <v>4.41</v>
      </c>
      <c r="F31" t="n">
        <v>0.13455</v>
      </c>
    </row>
    <row r="32">
      <c r="A32" t="n">
        <v>1000030</v>
      </c>
      <c r="B32" t="n">
        <v>1</v>
      </c>
      <c r="C32" t="n">
        <v>30</v>
      </c>
      <c r="D32" t="n">
        <v>0.2303</v>
      </c>
      <c r="E32" t="n">
        <v>4.4525</v>
      </c>
      <c r="F32" t="n">
        <v>0.13413</v>
      </c>
    </row>
    <row r="33">
      <c r="A33" t="n">
        <v>1000031</v>
      </c>
      <c r="B33" t="n">
        <v>1</v>
      </c>
      <c r="C33" t="n">
        <v>31</v>
      </c>
      <c r="D33" t="n">
        <v>0.229</v>
      </c>
      <c r="E33" t="n">
        <v>4.4946</v>
      </c>
      <c r="F33" t="n">
        <v>0.13372</v>
      </c>
    </row>
    <row r="34">
      <c r="A34" t="n">
        <v>1000032</v>
      </c>
      <c r="B34" t="n">
        <v>1</v>
      </c>
      <c r="C34" t="n">
        <v>32</v>
      </c>
      <c r="D34" t="n">
        <v>0.2276</v>
      </c>
      <c r="E34" t="n">
        <v>4.5363</v>
      </c>
      <c r="F34" t="n">
        <v>0.13332</v>
      </c>
    </row>
    <row r="35">
      <c r="A35" t="n">
        <v>1000033</v>
      </c>
      <c r="B35" t="n">
        <v>1</v>
      </c>
      <c r="C35" t="n">
        <v>33</v>
      </c>
      <c r="D35" t="n">
        <v>0.2263</v>
      </c>
      <c r="E35" t="n">
        <v>4.5776</v>
      </c>
      <c r="F35" t="n">
        <v>0.13292</v>
      </c>
    </row>
    <row r="36">
      <c r="A36" t="n">
        <v>1000034</v>
      </c>
      <c r="B36" t="n">
        <v>1</v>
      </c>
      <c r="C36" t="n">
        <v>34</v>
      </c>
      <c r="D36" t="n">
        <v>0.225</v>
      </c>
      <c r="E36" t="n">
        <v>4.6185</v>
      </c>
      <c r="F36" t="n">
        <v>0.13253</v>
      </c>
    </row>
    <row r="37">
      <c r="A37" t="n">
        <v>1000035</v>
      </c>
      <c r="B37" t="n">
        <v>1</v>
      </c>
      <c r="C37" t="n">
        <v>35</v>
      </c>
      <c r="D37" t="n">
        <v>0.2237</v>
      </c>
      <c r="E37" t="n">
        <v>4.659</v>
      </c>
      <c r="F37" t="n">
        <v>0.13215</v>
      </c>
    </row>
    <row r="38">
      <c r="A38" t="n">
        <v>1000036</v>
      </c>
      <c r="B38" t="n">
        <v>1</v>
      </c>
      <c r="C38" t="n">
        <v>36</v>
      </c>
      <c r="D38" t="n">
        <v>0.2225</v>
      </c>
      <c r="E38" t="n">
        <v>4.699</v>
      </c>
      <c r="F38" t="n">
        <v>0.13177</v>
      </c>
    </row>
    <row r="39">
      <c r="A39" t="n">
        <v>1000037</v>
      </c>
      <c r="B39" t="n">
        <v>1</v>
      </c>
      <c r="C39" t="n">
        <v>37</v>
      </c>
      <c r="D39" t="n">
        <v>0.2213</v>
      </c>
      <c r="E39" t="n">
        <v>4.7386</v>
      </c>
      <c r="F39" t="n">
        <v>0.13139</v>
      </c>
    </row>
    <row r="40">
      <c r="A40" t="n">
        <v>1000038</v>
      </c>
      <c r="B40" t="n">
        <v>1</v>
      </c>
      <c r="C40" t="n">
        <v>38</v>
      </c>
      <c r="D40" t="n">
        <v>0.2201</v>
      </c>
      <c r="E40" t="n">
        <v>4.7778</v>
      </c>
      <c r="F40" t="n">
        <v>0.13102</v>
      </c>
    </row>
    <row r="41">
      <c r="A41" t="n">
        <v>1000039</v>
      </c>
      <c r="B41" t="n">
        <v>1</v>
      </c>
      <c r="C41" t="n">
        <v>39</v>
      </c>
      <c r="D41" t="n">
        <v>0.2189</v>
      </c>
      <c r="E41" t="n">
        <v>4.8166</v>
      </c>
      <c r="F41" t="n">
        <v>0.13066</v>
      </c>
    </row>
    <row r="42">
      <c r="A42" t="n">
        <v>1000040</v>
      </c>
      <c r="B42" t="n">
        <v>1</v>
      </c>
      <c r="C42" t="n">
        <v>40</v>
      </c>
      <c r="D42" t="n">
        <v>0.2178</v>
      </c>
      <c r="E42" t="n">
        <v>4.8549</v>
      </c>
      <c r="F42" t="n">
        <v>0.1303</v>
      </c>
    </row>
    <row r="43">
      <c r="A43" t="n">
        <v>1000041</v>
      </c>
      <c r="B43" t="n">
        <v>1</v>
      </c>
      <c r="C43" t="n">
        <v>41</v>
      </c>
      <c r="D43" t="n">
        <v>0.2166</v>
      </c>
      <c r="E43" t="n">
        <v>4.8928</v>
      </c>
      <c r="F43" t="n">
        <v>0.12994</v>
      </c>
    </row>
    <row r="44">
      <c r="A44" t="n">
        <v>1000042</v>
      </c>
      <c r="B44" t="n">
        <v>1</v>
      </c>
      <c r="C44" t="n">
        <v>42</v>
      </c>
      <c r="D44" t="n">
        <v>0.2155</v>
      </c>
      <c r="E44" t="n">
        <v>4.9303</v>
      </c>
      <c r="F44" t="n">
        <v>0.1296</v>
      </c>
    </row>
    <row r="45">
      <c r="A45" t="n">
        <v>1000043</v>
      </c>
      <c r="B45" t="n">
        <v>1</v>
      </c>
      <c r="C45" t="n">
        <v>43</v>
      </c>
      <c r="D45" t="n">
        <v>0.2144</v>
      </c>
      <c r="E45" t="n">
        <v>4.9674</v>
      </c>
      <c r="F45" t="n">
        <v>0.12925</v>
      </c>
    </row>
    <row r="46">
      <c r="A46" t="n">
        <v>1000044</v>
      </c>
      <c r="B46" t="n">
        <v>1</v>
      </c>
      <c r="C46" t="n">
        <v>44</v>
      </c>
      <c r="D46" t="n">
        <v>0.2133</v>
      </c>
      <c r="E46" t="n">
        <v>5.0041</v>
      </c>
      <c r="F46" t="n">
        <v>0.12891</v>
      </c>
    </row>
    <row r="47">
      <c r="A47" t="n">
        <v>1000045</v>
      </c>
      <c r="B47" t="n">
        <v>1</v>
      </c>
      <c r="C47" t="n">
        <v>45</v>
      </c>
      <c r="D47" t="n">
        <v>0.2122</v>
      </c>
      <c r="E47" t="n">
        <v>5.0404</v>
      </c>
      <c r="F47" t="n">
        <v>0.12858</v>
      </c>
    </row>
    <row r="48">
      <c r="A48" t="n">
        <v>1000046</v>
      </c>
      <c r="B48" t="n">
        <v>1</v>
      </c>
      <c r="C48" t="n">
        <v>46</v>
      </c>
      <c r="D48" t="n">
        <v>0.2112</v>
      </c>
      <c r="E48" t="n">
        <v>5.0763</v>
      </c>
      <c r="F48" t="n">
        <v>0.12825</v>
      </c>
    </row>
    <row r="49">
      <c r="A49" t="n">
        <v>1000047</v>
      </c>
      <c r="B49" t="n">
        <v>1</v>
      </c>
      <c r="C49" t="n">
        <v>47</v>
      </c>
      <c r="D49" t="n">
        <v>0.2101</v>
      </c>
      <c r="E49" t="n">
        <v>5.1118</v>
      </c>
      <c r="F49" t="n">
        <v>0.12792</v>
      </c>
    </row>
    <row r="50">
      <c r="A50" t="n">
        <v>1000048</v>
      </c>
      <c r="B50" t="n">
        <v>1</v>
      </c>
      <c r="C50" t="n">
        <v>48</v>
      </c>
      <c r="D50" t="n">
        <v>0.2091</v>
      </c>
      <c r="E50" t="n">
        <v>5.1469</v>
      </c>
      <c r="F50" t="n">
        <v>0.1276</v>
      </c>
    </row>
    <row r="51">
      <c r="A51" t="n">
        <v>1000049</v>
      </c>
      <c r="B51" t="n">
        <v>1</v>
      </c>
      <c r="C51" t="n">
        <v>49</v>
      </c>
      <c r="D51" t="n">
        <v>0.2081</v>
      </c>
      <c r="E51" t="n">
        <v>5.1817</v>
      </c>
      <c r="F51" t="n">
        <v>0.12729</v>
      </c>
    </row>
    <row r="52">
      <c r="A52" t="n">
        <v>1000050</v>
      </c>
      <c r="B52" t="n">
        <v>1</v>
      </c>
      <c r="C52" t="n">
        <v>50</v>
      </c>
      <c r="D52" t="n">
        <v>0.2071</v>
      </c>
      <c r="E52" t="n">
        <v>5.2161</v>
      </c>
      <c r="F52" t="n">
        <v>0.12698</v>
      </c>
    </row>
    <row r="53">
      <c r="A53" t="n">
        <v>1000051</v>
      </c>
      <c r="B53" t="n">
        <v>1</v>
      </c>
      <c r="C53" t="n">
        <v>51</v>
      </c>
      <c r="D53" t="n">
        <v>0.2061</v>
      </c>
      <c r="E53" t="n">
        <v>5.2501</v>
      </c>
      <c r="F53" t="n">
        <v>0.12667</v>
      </c>
    </row>
    <row r="54">
      <c r="A54" t="n">
        <v>1000052</v>
      </c>
      <c r="B54" t="n">
        <v>1</v>
      </c>
      <c r="C54" t="n">
        <v>52</v>
      </c>
      <c r="D54" t="n">
        <v>0.2052</v>
      </c>
      <c r="E54" t="n">
        <v>5.2837</v>
      </c>
      <c r="F54" t="n">
        <v>0.12637</v>
      </c>
    </row>
    <row r="55">
      <c r="A55" t="n">
        <v>1000053</v>
      </c>
      <c r="B55" t="n">
        <v>1</v>
      </c>
      <c r="C55" t="n">
        <v>53</v>
      </c>
      <c r="D55" t="n">
        <v>0.2042</v>
      </c>
      <c r="E55" t="n">
        <v>5.3171</v>
      </c>
      <c r="F55" t="n">
        <v>0.12607</v>
      </c>
    </row>
    <row r="56">
      <c r="A56" t="n">
        <v>1000054</v>
      </c>
      <c r="B56" t="n">
        <v>1</v>
      </c>
      <c r="C56" t="n">
        <v>54</v>
      </c>
      <c r="D56" t="n">
        <v>0.2032</v>
      </c>
      <c r="E56" t="n">
        <v>5.35</v>
      </c>
      <c r="F56" t="n">
        <v>0.12577</v>
      </c>
    </row>
    <row r="57">
      <c r="A57" t="n">
        <v>1000055</v>
      </c>
      <c r="B57" t="n">
        <v>1</v>
      </c>
      <c r="C57" t="n">
        <v>55</v>
      </c>
      <c r="D57" t="n">
        <v>0.2023</v>
      </c>
      <c r="E57" t="n">
        <v>5.3826</v>
      </c>
      <c r="F57" t="n">
        <v>0.12548</v>
      </c>
    </row>
    <row r="58">
      <c r="A58" t="n">
        <v>1000056</v>
      </c>
      <c r="B58" t="n">
        <v>1</v>
      </c>
      <c r="C58" t="n">
        <v>56</v>
      </c>
      <c r="D58" t="n">
        <v>0.2014</v>
      </c>
      <c r="E58" t="n">
        <v>5.4149</v>
      </c>
      <c r="F58" t="n">
        <v>0.1252</v>
      </c>
    </row>
    <row r="59">
      <c r="A59" t="n">
        <v>1000057</v>
      </c>
      <c r="B59" t="n">
        <v>1</v>
      </c>
      <c r="C59" t="n">
        <v>57</v>
      </c>
      <c r="D59" t="n">
        <v>0.2005</v>
      </c>
      <c r="E59" t="n">
        <v>5.4468</v>
      </c>
      <c r="F59" t="n">
        <v>0.12491</v>
      </c>
    </row>
    <row r="60">
      <c r="A60" t="n">
        <v>1000058</v>
      </c>
      <c r="B60" t="n">
        <v>1</v>
      </c>
      <c r="C60" t="n">
        <v>58</v>
      </c>
      <c r="D60" t="n">
        <v>0.1996</v>
      </c>
      <c r="E60" t="n">
        <v>5.4784</v>
      </c>
      <c r="F60" t="n">
        <v>0.12463</v>
      </c>
    </row>
    <row r="61">
      <c r="A61" t="n">
        <v>1000059</v>
      </c>
      <c r="B61" t="n">
        <v>1</v>
      </c>
      <c r="C61" t="n">
        <v>59</v>
      </c>
      <c r="D61" t="n">
        <v>0.1987</v>
      </c>
      <c r="E61" t="n">
        <v>5.5097</v>
      </c>
      <c r="F61" t="n">
        <v>0.12436</v>
      </c>
    </row>
    <row r="62">
      <c r="A62" t="n">
        <v>1000060</v>
      </c>
      <c r="B62" t="n">
        <v>1</v>
      </c>
      <c r="C62" t="n">
        <v>60</v>
      </c>
      <c r="D62" t="n">
        <v>0.1978</v>
      </c>
      <c r="E62" t="n">
        <v>5.5407</v>
      </c>
      <c r="F62" t="n">
        <v>0.12409</v>
      </c>
    </row>
    <row r="63">
      <c r="A63" t="n">
        <v>1000061</v>
      </c>
      <c r="B63" t="n">
        <v>1</v>
      </c>
      <c r="C63" t="n">
        <v>61</v>
      </c>
      <c r="D63" t="n">
        <v>0.1969</v>
      </c>
      <c r="E63" t="n">
        <v>5.5714</v>
      </c>
      <c r="F63" t="n">
        <v>0.12382</v>
      </c>
    </row>
    <row r="64">
      <c r="A64" t="n">
        <v>1000062</v>
      </c>
      <c r="B64" t="n">
        <v>1</v>
      </c>
      <c r="C64" t="n">
        <v>62</v>
      </c>
      <c r="D64" t="n">
        <v>0.196</v>
      </c>
      <c r="E64" t="n">
        <v>5.6018</v>
      </c>
      <c r="F64" t="n">
        <v>0.12356</v>
      </c>
    </row>
    <row r="65">
      <c r="A65" t="n">
        <v>1000063</v>
      </c>
      <c r="B65" t="n">
        <v>1</v>
      </c>
      <c r="C65" t="n">
        <v>63</v>
      </c>
      <c r="D65" t="n">
        <v>0.1952</v>
      </c>
      <c r="E65" t="n">
        <v>5.6319</v>
      </c>
      <c r="F65" t="n">
        <v>0.1233</v>
      </c>
    </row>
    <row r="66">
      <c r="A66" t="n">
        <v>1000064</v>
      </c>
      <c r="B66" t="n">
        <v>1</v>
      </c>
      <c r="C66" t="n">
        <v>64</v>
      </c>
      <c r="D66" t="n">
        <v>0.1943</v>
      </c>
      <c r="E66" t="n">
        <v>5.6617</v>
      </c>
      <c r="F66" t="n">
        <v>0.12304</v>
      </c>
    </row>
    <row r="67">
      <c r="A67" t="n">
        <v>1000065</v>
      </c>
      <c r="B67" t="n">
        <v>1</v>
      </c>
      <c r="C67" t="n">
        <v>65</v>
      </c>
      <c r="D67" t="n">
        <v>0.1935</v>
      </c>
      <c r="E67" t="n">
        <v>5.6912</v>
      </c>
      <c r="F67" t="n">
        <v>0.12279</v>
      </c>
    </row>
    <row r="68">
      <c r="A68" t="n">
        <v>1000066</v>
      </c>
      <c r="B68" t="n">
        <v>1</v>
      </c>
      <c r="C68" t="n">
        <v>66</v>
      </c>
      <c r="D68" t="n">
        <v>0.1926</v>
      </c>
      <c r="E68" t="n">
        <v>5.7205</v>
      </c>
      <c r="F68" t="n">
        <v>0.12254</v>
      </c>
    </row>
    <row r="69">
      <c r="A69" t="n">
        <v>1000067</v>
      </c>
      <c r="B69" t="n">
        <v>1</v>
      </c>
      <c r="C69" t="n">
        <v>67</v>
      </c>
      <c r="D69" t="n">
        <v>0.1918</v>
      </c>
      <c r="E69" t="n">
        <v>5.7494</v>
      </c>
      <c r="F69" t="n">
        <v>0.12229</v>
      </c>
    </row>
    <row r="70">
      <c r="A70" t="n">
        <v>1000068</v>
      </c>
      <c r="B70" t="n">
        <v>1</v>
      </c>
      <c r="C70" t="n">
        <v>68</v>
      </c>
      <c r="D70" t="n">
        <v>0.191</v>
      </c>
      <c r="E70" t="n">
        <v>5.7781</v>
      </c>
      <c r="F70" t="n">
        <v>0.12205</v>
      </c>
    </row>
    <row r="71">
      <c r="A71" t="n">
        <v>1000069</v>
      </c>
      <c r="B71" t="n">
        <v>1</v>
      </c>
      <c r="C71" t="n">
        <v>69</v>
      </c>
      <c r="D71" t="n">
        <v>0.1902</v>
      </c>
      <c r="E71" t="n">
        <v>5.8065</v>
      </c>
      <c r="F71" t="n">
        <v>0.12181</v>
      </c>
    </row>
    <row r="72">
      <c r="A72" t="n">
        <v>1000070</v>
      </c>
      <c r="B72" t="n">
        <v>1</v>
      </c>
      <c r="C72" t="n">
        <v>70</v>
      </c>
      <c r="D72" t="n">
        <v>0.1894</v>
      </c>
      <c r="E72" t="n">
        <v>5.8346</v>
      </c>
      <c r="F72" t="n">
        <v>0.12157</v>
      </c>
    </row>
    <row r="73">
      <c r="A73" t="n">
        <v>1000071</v>
      </c>
      <c r="B73" t="n">
        <v>1</v>
      </c>
      <c r="C73" t="n">
        <v>71</v>
      </c>
      <c r="D73" t="n">
        <v>0.1886</v>
      </c>
      <c r="E73" t="n">
        <v>5.8625</v>
      </c>
      <c r="F73" t="n">
        <v>0.12134</v>
      </c>
    </row>
    <row r="74">
      <c r="A74" t="n">
        <v>1000072</v>
      </c>
      <c r="B74" t="n">
        <v>1</v>
      </c>
      <c r="C74" t="n">
        <v>72</v>
      </c>
      <c r="D74" t="n">
        <v>0.1878</v>
      </c>
      <c r="E74" t="n">
        <v>5.8901</v>
      </c>
      <c r="F74" t="n">
        <v>0.12111</v>
      </c>
    </row>
    <row r="75">
      <c r="A75" t="n">
        <v>1000073</v>
      </c>
      <c r="B75" t="n">
        <v>1</v>
      </c>
      <c r="C75" t="n">
        <v>73</v>
      </c>
      <c r="D75" t="n">
        <v>0.187</v>
      </c>
      <c r="E75" t="n">
        <v>5.9174</v>
      </c>
      <c r="F75" t="n">
        <v>0.12088</v>
      </c>
    </row>
    <row r="76">
      <c r="A76" t="n">
        <v>1000074</v>
      </c>
      <c r="B76" t="n">
        <v>1</v>
      </c>
      <c r="C76" t="n">
        <v>74</v>
      </c>
      <c r="D76" t="n">
        <v>0.1863</v>
      </c>
      <c r="E76" t="n">
        <v>5.9445</v>
      </c>
      <c r="F76" t="n">
        <v>0.12066</v>
      </c>
    </row>
    <row r="77">
      <c r="A77" t="n">
        <v>1000075</v>
      </c>
      <c r="B77" t="n">
        <v>1</v>
      </c>
      <c r="C77" t="n">
        <v>75</v>
      </c>
      <c r="D77" t="n">
        <v>0.1855</v>
      </c>
      <c r="E77" t="n">
        <v>5.9713</v>
      </c>
      <c r="F77" t="n">
        <v>0.12044</v>
      </c>
    </row>
    <row r="78">
      <c r="A78" t="n">
        <v>1000076</v>
      </c>
      <c r="B78" t="n">
        <v>1</v>
      </c>
      <c r="C78" t="n">
        <v>76</v>
      </c>
      <c r="D78" t="n">
        <v>0.1847</v>
      </c>
      <c r="E78" t="n">
        <v>5.9979</v>
      </c>
      <c r="F78" t="n">
        <v>0.12022</v>
      </c>
    </row>
    <row r="79">
      <c r="A79" t="n">
        <v>1000077</v>
      </c>
      <c r="B79" t="n">
        <v>1</v>
      </c>
      <c r="C79" t="n">
        <v>77</v>
      </c>
      <c r="D79" t="n">
        <v>0.184</v>
      </c>
      <c r="E79" t="n">
        <v>6.0242</v>
      </c>
      <c r="F79" t="n">
        <v>0.12001</v>
      </c>
    </row>
    <row r="80">
      <c r="A80" t="n">
        <v>1000078</v>
      </c>
      <c r="B80" t="n">
        <v>1</v>
      </c>
      <c r="C80" t="n">
        <v>78</v>
      </c>
      <c r="D80" t="n">
        <v>0.1832</v>
      </c>
      <c r="E80" t="n">
        <v>6.0503</v>
      </c>
      <c r="F80" t="n">
        <v>0.1198</v>
      </c>
    </row>
    <row r="81">
      <c r="A81" t="n">
        <v>1000079</v>
      </c>
      <c r="B81" t="n">
        <v>1</v>
      </c>
      <c r="C81" t="n">
        <v>79</v>
      </c>
      <c r="D81" t="n">
        <v>0.1825</v>
      </c>
      <c r="E81" t="n">
        <v>6.0762</v>
      </c>
      <c r="F81" t="n">
        <v>0.11959</v>
      </c>
    </row>
    <row r="82">
      <c r="A82" t="n">
        <v>1000080</v>
      </c>
      <c r="B82" t="n">
        <v>1</v>
      </c>
      <c r="C82" t="n">
        <v>80</v>
      </c>
      <c r="D82" t="n">
        <v>0.1818</v>
      </c>
      <c r="E82" t="n">
        <v>6.1018</v>
      </c>
      <c r="F82" t="n">
        <v>0.11939</v>
      </c>
    </row>
    <row r="83">
      <c r="A83" t="n">
        <v>1000081</v>
      </c>
      <c r="B83" t="n">
        <v>1</v>
      </c>
      <c r="C83" t="n">
        <v>81</v>
      </c>
      <c r="D83" t="n">
        <v>0.181</v>
      </c>
      <c r="E83" t="n">
        <v>6.1272</v>
      </c>
      <c r="F83" t="n">
        <v>0.11918</v>
      </c>
    </row>
    <row r="84">
      <c r="A84" t="n">
        <v>1000082</v>
      </c>
      <c r="B84" t="n">
        <v>1</v>
      </c>
      <c r="C84" t="n">
        <v>82</v>
      </c>
      <c r="D84" t="n">
        <v>0.1803</v>
      </c>
      <c r="E84" t="n">
        <v>6.1523</v>
      </c>
      <c r="F84" t="n">
        <v>0.11899</v>
      </c>
    </row>
    <row r="85">
      <c r="A85" t="n">
        <v>1000083</v>
      </c>
      <c r="B85" t="n">
        <v>1</v>
      </c>
      <c r="C85" t="n">
        <v>83</v>
      </c>
      <c r="D85" t="n">
        <v>0.1796</v>
      </c>
      <c r="E85" t="n">
        <v>6.1772</v>
      </c>
      <c r="F85" t="n">
        <v>0.11879</v>
      </c>
    </row>
    <row r="86">
      <c r="A86" t="n">
        <v>1000084</v>
      </c>
      <c r="B86" t="n">
        <v>1</v>
      </c>
      <c r="C86" t="n">
        <v>84</v>
      </c>
      <c r="D86" t="n">
        <v>0.1789</v>
      </c>
      <c r="E86" t="n">
        <v>6.2019</v>
      </c>
      <c r="F86" t="n">
        <v>0.1186</v>
      </c>
    </row>
    <row r="87">
      <c r="A87" t="n">
        <v>1000085</v>
      </c>
      <c r="B87" t="n">
        <v>1</v>
      </c>
      <c r="C87" t="n">
        <v>85</v>
      </c>
      <c r="D87" t="n">
        <v>0.1782</v>
      </c>
      <c r="E87" t="n">
        <v>6.2264</v>
      </c>
      <c r="F87" t="n">
        <v>0.11841</v>
      </c>
    </row>
    <row r="88">
      <c r="A88" t="n">
        <v>1000086</v>
      </c>
      <c r="B88" t="n">
        <v>1</v>
      </c>
      <c r="C88" t="n">
        <v>86</v>
      </c>
      <c r="D88" t="n">
        <v>0.1775</v>
      </c>
      <c r="E88" t="n">
        <v>6.2507</v>
      </c>
      <c r="F88" t="n">
        <v>0.11822</v>
      </c>
    </row>
    <row r="89">
      <c r="A89" t="n">
        <v>1000087</v>
      </c>
      <c r="B89" t="n">
        <v>1</v>
      </c>
      <c r="C89" t="n">
        <v>87</v>
      </c>
      <c r="D89" t="n">
        <v>0.1768</v>
      </c>
      <c r="E89" t="n">
        <v>6.2748</v>
      </c>
      <c r="F89" t="n">
        <v>0.11803</v>
      </c>
    </row>
    <row r="90">
      <c r="A90" t="n">
        <v>1000088</v>
      </c>
      <c r="B90" t="n">
        <v>1</v>
      </c>
      <c r="C90" t="n">
        <v>88</v>
      </c>
      <c r="D90" t="n">
        <v>0.1761</v>
      </c>
      <c r="E90" t="n">
        <v>6.2986</v>
      </c>
      <c r="F90" t="n">
        <v>0.11785</v>
      </c>
    </row>
    <row r="91">
      <c r="A91" t="n">
        <v>1000089</v>
      </c>
      <c r="B91" t="n">
        <v>1</v>
      </c>
      <c r="C91" t="n">
        <v>89</v>
      </c>
      <c r="D91" t="n">
        <v>0.1754</v>
      </c>
      <c r="E91" t="n">
        <v>6.3223</v>
      </c>
      <c r="F91" t="n">
        <v>0.11767</v>
      </c>
    </row>
    <row r="92">
      <c r="A92" t="n">
        <v>1000090</v>
      </c>
      <c r="B92" t="n">
        <v>1</v>
      </c>
      <c r="C92" t="n">
        <v>90</v>
      </c>
      <c r="D92" t="n">
        <v>0.1747</v>
      </c>
      <c r="E92" t="n">
        <v>6.3457</v>
      </c>
      <c r="F92" t="n">
        <v>0.1175</v>
      </c>
    </row>
    <row r="93">
      <c r="A93" t="n">
        <v>1000091</v>
      </c>
      <c r="B93" t="n">
        <v>1</v>
      </c>
      <c r="C93" t="n">
        <v>91</v>
      </c>
      <c r="D93" t="n">
        <v>0.174</v>
      </c>
      <c r="E93" t="n">
        <v>6.369</v>
      </c>
      <c r="F93" t="n">
        <v>0.11732</v>
      </c>
    </row>
    <row r="94">
      <c r="A94" t="n">
        <v>1000092</v>
      </c>
      <c r="B94" t="n">
        <v>1</v>
      </c>
      <c r="C94" t="n">
        <v>92</v>
      </c>
      <c r="D94" t="n">
        <v>0.1734</v>
      </c>
      <c r="E94" t="n">
        <v>6.3921</v>
      </c>
      <c r="F94" t="n">
        <v>0.11715</v>
      </c>
    </row>
    <row r="95">
      <c r="A95" t="n">
        <v>1000093</v>
      </c>
      <c r="B95" t="n">
        <v>1</v>
      </c>
      <c r="C95" t="n">
        <v>93</v>
      </c>
      <c r="D95" t="n">
        <v>0.1727</v>
      </c>
      <c r="E95" t="n">
        <v>6.4149</v>
      </c>
      <c r="F95" t="n">
        <v>0.11698</v>
      </c>
    </row>
    <row r="96">
      <c r="A96" t="n">
        <v>1000094</v>
      </c>
      <c r="B96" t="n">
        <v>1</v>
      </c>
      <c r="C96" t="n">
        <v>94</v>
      </c>
      <c r="D96" t="n">
        <v>0.172</v>
      </c>
      <c r="E96" t="n">
        <v>6.4376</v>
      </c>
      <c r="F96" t="n">
        <v>0.11682</v>
      </c>
    </row>
    <row r="97">
      <c r="A97" t="n">
        <v>1000095</v>
      </c>
      <c r="B97" t="n">
        <v>1</v>
      </c>
      <c r="C97" t="n">
        <v>95</v>
      </c>
      <c r="D97" t="n">
        <v>0.1714</v>
      </c>
      <c r="E97" t="n">
        <v>6.4601</v>
      </c>
      <c r="F97" t="n">
        <v>0.11666</v>
      </c>
    </row>
    <row r="98">
      <c r="A98" t="n">
        <v>1000096</v>
      </c>
      <c r="B98" t="n">
        <v>1</v>
      </c>
      <c r="C98" t="n">
        <v>96</v>
      </c>
      <c r="D98" t="n">
        <v>0.1707</v>
      </c>
      <c r="E98" t="n">
        <v>6.4824</v>
      </c>
      <c r="F98" t="n">
        <v>0.11649</v>
      </c>
    </row>
    <row r="99">
      <c r="A99" t="n">
        <v>1000097</v>
      </c>
      <c r="B99" t="n">
        <v>1</v>
      </c>
      <c r="C99" t="n">
        <v>97</v>
      </c>
      <c r="D99" t="n">
        <v>0.1701</v>
      </c>
      <c r="E99" t="n">
        <v>6.5046</v>
      </c>
      <c r="F99" t="n">
        <v>0.11634</v>
      </c>
    </row>
    <row r="100">
      <c r="A100" t="n">
        <v>1000098</v>
      </c>
      <c r="B100" t="n">
        <v>1</v>
      </c>
      <c r="C100" t="n">
        <v>98</v>
      </c>
      <c r="D100" t="n">
        <v>0.1694</v>
      </c>
      <c r="E100" t="n">
        <v>6.5265</v>
      </c>
      <c r="F100" t="n">
        <v>0.11618</v>
      </c>
    </row>
    <row r="101">
      <c r="A101" t="n">
        <v>1000099</v>
      </c>
      <c r="B101" t="n">
        <v>1</v>
      </c>
      <c r="C101" t="n">
        <v>99</v>
      </c>
      <c r="D101" t="n">
        <v>0.1688</v>
      </c>
      <c r="E101" t="n">
        <v>6.5483</v>
      </c>
      <c r="F101" t="n">
        <v>0.11603</v>
      </c>
    </row>
    <row r="102">
      <c r="A102" t="n">
        <v>1000100</v>
      </c>
      <c r="B102" t="n">
        <v>1</v>
      </c>
      <c r="C102" t="n">
        <v>100</v>
      </c>
      <c r="D102" t="n">
        <v>0.1682</v>
      </c>
      <c r="E102" t="n">
        <v>6.5699</v>
      </c>
      <c r="F102" t="n">
        <v>0.11588</v>
      </c>
    </row>
    <row r="103">
      <c r="A103" t="n">
        <v>1000101</v>
      </c>
      <c r="B103" t="n">
        <v>1</v>
      </c>
      <c r="C103" t="n">
        <v>101</v>
      </c>
      <c r="D103" t="n">
        <v>0.1675</v>
      </c>
      <c r="E103" t="n">
        <v>6.5914</v>
      </c>
      <c r="F103" t="n">
        <v>0.11573</v>
      </c>
    </row>
    <row r="104">
      <c r="A104" t="n">
        <v>1000102</v>
      </c>
      <c r="B104" t="n">
        <v>1</v>
      </c>
      <c r="C104" t="n">
        <v>102</v>
      </c>
      <c r="D104" t="n">
        <v>0.1669</v>
      </c>
      <c r="E104" t="n">
        <v>6.6126</v>
      </c>
      <c r="F104" t="n">
        <v>0.11558</v>
      </c>
    </row>
    <row r="105">
      <c r="A105" t="n">
        <v>1000103</v>
      </c>
      <c r="B105" t="n">
        <v>1</v>
      </c>
      <c r="C105" t="n">
        <v>103</v>
      </c>
      <c r="D105" t="n">
        <v>0.1663</v>
      </c>
      <c r="E105" t="n">
        <v>6.6338</v>
      </c>
      <c r="F105" t="n">
        <v>0.11544</v>
      </c>
    </row>
    <row r="106">
      <c r="A106" t="n">
        <v>1000104</v>
      </c>
      <c r="B106" t="n">
        <v>1</v>
      </c>
      <c r="C106" t="n">
        <v>104</v>
      </c>
      <c r="D106" t="n">
        <v>0.1657</v>
      </c>
      <c r="E106" t="n">
        <v>6.6547</v>
      </c>
      <c r="F106" t="n">
        <v>0.1153</v>
      </c>
    </row>
    <row r="107">
      <c r="A107" t="n">
        <v>1000105</v>
      </c>
      <c r="B107" t="n">
        <v>1</v>
      </c>
      <c r="C107" t="n">
        <v>105</v>
      </c>
      <c r="D107" t="n">
        <v>0.1651</v>
      </c>
      <c r="E107" t="n">
        <v>6.6755</v>
      </c>
      <c r="F107" t="n">
        <v>0.11516</v>
      </c>
    </row>
    <row r="108">
      <c r="A108" t="n">
        <v>1000106</v>
      </c>
      <c r="B108" t="n">
        <v>1</v>
      </c>
      <c r="C108" t="n">
        <v>106</v>
      </c>
      <c r="D108" t="n">
        <v>0.1644</v>
      </c>
      <c r="E108" t="n">
        <v>6.6962</v>
      </c>
      <c r="F108" t="n">
        <v>0.11502</v>
      </c>
    </row>
    <row r="109">
      <c r="A109" t="n">
        <v>1000107</v>
      </c>
      <c r="B109" t="n">
        <v>1</v>
      </c>
      <c r="C109" t="n">
        <v>107</v>
      </c>
      <c r="D109" t="n">
        <v>0.1638</v>
      </c>
      <c r="E109" t="n">
        <v>6.7166</v>
      </c>
      <c r="F109" t="n">
        <v>0.11489</v>
      </c>
    </row>
    <row r="110">
      <c r="A110" t="n">
        <v>1000108</v>
      </c>
      <c r="B110" t="n">
        <v>1</v>
      </c>
      <c r="C110" t="n">
        <v>108</v>
      </c>
      <c r="D110" t="n">
        <v>0.1632</v>
      </c>
      <c r="E110" t="n">
        <v>6.737</v>
      </c>
      <c r="F110" t="n">
        <v>0.11476</v>
      </c>
    </row>
    <row r="111">
      <c r="A111" t="n">
        <v>1000109</v>
      </c>
      <c r="B111" t="n">
        <v>1</v>
      </c>
      <c r="C111" t="n">
        <v>109</v>
      </c>
      <c r="D111" t="n">
        <v>0.1626</v>
      </c>
      <c r="E111" t="n">
        <v>6.7572</v>
      </c>
      <c r="F111" t="n">
        <v>0.11463</v>
      </c>
    </row>
    <row r="112">
      <c r="A112" t="n">
        <v>1000110</v>
      </c>
      <c r="B112" t="n">
        <v>1</v>
      </c>
      <c r="C112" t="n">
        <v>110</v>
      </c>
      <c r="D112" t="n">
        <v>0.162</v>
      </c>
      <c r="E112" t="n">
        <v>6.7772</v>
      </c>
      <c r="F112" t="n">
        <v>0.1145</v>
      </c>
    </row>
    <row r="113">
      <c r="A113" t="n">
        <v>1000111</v>
      </c>
      <c r="B113" t="n">
        <v>1</v>
      </c>
      <c r="C113" t="n">
        <v>111</v>
      </c>
      <c r="D113" t="n">
        <v>0.1614</v>
      </c>
      <c r="E113" t="n">
        <v>6.7971</v>
      </c>
      <c r="F113" t="n">
        <v>0.11438</v>
      </c>
    </row>
    <row r="114">
      <c r="A114" t="n">
        <v>1000112</v>
      </c>
      <c r="B114" t="n">
        <v>1</v>
      </c>
      <c r="C114" t="n">
        <v>112</v>
      </c>
      <c r="D114" t="n">
        <v>0.1609</v>
      </c>
      <c r="E114" t="n">
        <v>6.8168</v>
      </c>
      <c r="F114" t="n">
        <v>0.11425</v>
      </c>
    </row>
    <row r="115">
      <c r="A115" t="n">
        <v>1000113</v>
      </c>
      <c r="B115" t="n">
        <v>1</v>
      </c>
      <c r="C115" t="n">
        <v>113</v>
      </c>
      <c r="D115" t="n">
        <v>0.1603</v>
      </c>
      <c r="E115" t="n">
        <v>6.8365</v>
      </c>
      <c r="F115" t="n">
        <v>0.11413</v>
      </c>
    </row>
    <row r="116">
      <c r="A116" t="n">
        <v>1000114</v>
      </c>
      <c r="B116" t="n">
        <v>1</v>
      </c>
      <c r="C116" t="n">
        <v>114</v>
      </c>
      <c r="D116" t="n">
        <v>0.1597</v>
      </c>
      <c r="E116" t="n">
        <v>6.8559</v>
      </c>
      <c r="F116" t="n">
        <v>0.11401</v>
      </c>
    </row>
    <row r="117">
      <c r="A117" t="n">
        <v>1000115</v>
      </c>
      <c r="B117" t="n">
        <v>1</v>
      </c>
      <c r="C117" t="n">
        <v>115</v>
      </c>
      <c r="D117" t="n">
        <v>0.1591</v>
      </c>
      <c r="E117" t="n">
        <v>6.8753</v>
      </c>
      <c r="F117" t="n">
        <v>0.1139</v>
      </c>
    </row>
    <row r="118">
      <c r="A118" t="n">
        <v>1000116</v>
      </c>
      <c r="B118" t="n">
        <v>1</v>
      </c>
      <c r="C118" t="n">
        <v>116</v>
      </c>
      <c r="D118" t="n">
        <v>0.1585</v>
      </c>
      <c r="E118" t="n">
        <v>6.8945</v>
      </c>
      <c r="F118" t="n">
        <v>0.11378</v>
      </c>
    </row>
    <row r="119">
      <c r="A119" t="n">
        <v>1000117</v>
      </c>
      <c r="B119" t="n">
        <v>1</v>
      </c>
      <c r="C119" t="n">
        <v>117</v>
      </c>
      <c r="D119" t="n">
        <v>0.158</v>
      </c>
      <c r="E119" t="n">
        <v>6.9135</v>
      </c>
      <c r="F119" t="n">
        <v>0.11367</v>
      </c>
    </row>
    <row r="120">
      <c r="A120" t="n">
        <v>1000118</v>
      </c>
      <c r="B120" t="n">
        <v>1</v>
      </c>
      <c r="C120" t="n">
        <v>118</v>
      </c>
      <c r="D120" t="n">
        <v>0.1574</v>
      </c>
      <c r="E120" t="n">
        <v>6.9325</v>
      </c>
      <c r="F120" t="n">
        <v>0.11356</v>
      </c>
    </row>
    <row r="121">
      <c r="A121" t="n">
        <v>1000119</v>
      </c>
      <c r="B121" t="n">
        <v>1</v>
      </c>
      <c r="C121" t="n">
        <v>119</v>
      </c>
      <c r="D121" t="n">
        <v>0.1568</v>
      </c>
      <c r="E121" t="n">
        <v>6.9513</v>
      </c>
      <c r="F121" t="n">
        <v>0.11345</v>
      </c>
    </row>
    <row r="122">
      <c r="A122" t="n">
        <v>1000120</v>
      </c>
      <c r="B122" t="n">
        <v>1</v>
      </c>
      <c r="C122" t="n">
        <v>120</v>
      </c>
      <c r="D122" t="n">
        <v>0.1563</v>
      </c>
      <c r="E122" t="n">
        <v>6.9699</v>
      </c>
      <c r="F122" t="n">
        <v>0.11334</v>
      </c>
    </row>
    <row r="123">
      <c r="A123" t="n">
        <v>1000121</v>
      </c>
      <c r="B123" t="n">
        <v>1</v>
      </c>
      <c r="C123" t="n">
        <v>121</v>
      </c>
      <c r="D123" t="n">
        <v>0.1557</v>
      </c>
      <c r="E123" t="n">
        <v>6.9885</v>
      </c>
      <c r="F123" t="n">
        <v>0.11324</v>
      </c>
    </row>
    <row r="124">
      <c r="A124" t="n">
        <v>1000122</v>
      </c>
      <c r="B124" t="n">
        <v>1</v>
      </c>
      <c r="C124" t="n">
        <v>122</v>
      </c>
      <c r="D124" t="n">
        <v>0.1551</v>
      </c>
      <c r="E124" t="n">
        <v>7.0069</v>
      </c>
      <c r="F124" t="n">
        <v>0.11313</v>
      </c>
    </row>
    <row r="125">
      <c r="A125" t="n">
        <v>1000123</v>
      </c>
      <c r="B125" t="n">
        <v>1</v>
      </c>
      <c r="C125" t="n">
        <v>123</v>
      </c>
      <c r="D125" t="n">
        <v>0.1546</v>
      </c>
      <c r="E125" t="n">
        <v>7.0252</v>
      </c>
      <c r="F125" t="n">
        <v>0.11303</v>
      </c>
    </row>
    <row r="126">
      <c r="A126" t="n">
        <v>1000124</v>
      </c>
      <c r="B126" t="n">
        <v>1</v>
      </c>
      <c r="C126" t="n">
        <v>124</v>
      </c>
      <c r="D126" t="n">
        <v>0.154</v>
      </c>
      <c r="E126" t="n">
        <v>7.0434</v>
      </c>
      <c r="F126" t="n">
        <v>0.11293</v>
      </c>
    </row>
    <row r="127">
      <c r="A127" t="n">
        <v>1000125</v>
      </c>
      <c r="B127" t="n">
        <v>1</v>
      </c>
      <c r="C127" t="n">
        <v>125</v>
      </c>
      <c r="D127" t="n">
        <v>0.1535</v>
      </c>
      <c r="E127" t="n">
        <v>7.0615</v>
      </c>
      <c r="F127" t="n">
        <v>0.11283</v>
      </c>
    </row>
    <row r="128">
      <c r="A128" t="n">
        <v>1000126</v>
      </c>
      <c r="B128" t="n">
        <v>1</v>
      </c>
      <c r="C128" t="n">
        <v>126</v>
      </c>
      <c r="D128" t="n">
        <v>0.1529</v>
      </c>
      <c r="E128" t="n">
        <v>7.0794</v>
      </c>
      <c r="F128" t="n">
        <v>0.11274</v>
      </c>
    </row>
    <row r="129">
      <c r="A129" t="n">
        <v>1000127</v>
      </c>
      <c r="B129" t="n">
        <v>1</v>
      </c>
      <c r="C129" t="n">
        <v>127</v>
      </c>
      <c r="D129" t="n">
        <v>0.1524</v>
      </c>
      <c r="E129" t="n">
        <v>7.0972</v>
      </c>
      <c r="F129" t="n">
        <v>0.11265</v>
      </c>
    </row>
    <row r="130">
      <c r="A130" t="n">
        <v>1000128</v>
      </c>
      <c r="B130" t="n">
        <v>1</v>
      </c>
      <c r="C130" t="n">
        <v>128</v>
      </c>
      <c r="D130" t="n">
        <v>0.1519</v>
      </c>
      <c r="E130" t="n">
        <v>7.1149</v>
      </c>
      <c r="F130" t="n">
        <v>0.11255</v>
      </c>
    </row>
    <row r="131">
      <c r="A131" t="n">
        <v>1000129</v>
      </c>
      <c r="B131" t="n">
        <v>1</v>
      </c>
      <c r="C131" t="n">
        <v>129</v>
      </c>
      <c r="D131" t="n">
        <v>0.1513</v>
      </c>
      <c r="E131" t="n">
        <v>7.1325</v>
      </c>
      <c r="F131" t="n">
        <v>0.11246</v>
      </c>
    </row>
    <row r="132">
      <c r="A132" t="n">
        <v>1000130</v>
      </c>
      <c r="B132" t="n">
        <v>1</v>
      </c>
      <c r="C132" t="n">
        <v>130</v>
      </c>
      <c r="D132" t="n">
        <v>0.1508</v>
      </c>
      <c r="E132" t="n">
        <v>7.15</v>
      </c>
      <c r="F132" t="n">
        <v>0.11237</v>
      </c>
    </row>
    <row r="133">
      <c r="A133" t="n">
        <v>1000131</v>
      </c>
      <c r="B133" t="n">
        <v>1</v>
      </c>
      <c r="C133" t="n">
        <v>131</v>
      </c>
      <c r="D133" t="n">
        <v>0.1502</v>
      </c>
      <c r="E133" t="n">
        <v>7.1674</v>
      </c>
      <c r="F133" t="n">
        <v>0.11229</v>
      </c>
    </row>
    <row r="134">
      <c r="A134" t="n">
        <v>1000132</v>
      </c>
      <c r="B134" t="n">
        <v>1</v>
      </c>
      <c r="C134" t="n">
        <v>132</v>
      </c>
      <c r="D134" t="n">
        <v>0.1497</v>
      </c>
      <c r="E134" t="n">
        <v>7.1846</v>
      </c>
      <c r="F134" t="n">
        <v>0.1122</v>
      </c>
    </row>
    <row r="135">
      <c r="A135" t="n">
        <v>1000133</v>
      </c>
      <c r="B135" t="n">
        <v>1</v>
      </c>
      <c r="C135" t="n">
        <v>133</v>
      </c>
      <c r="D135" t="n">
        <v>0.1492</v>
      </c>
      <c r="E135" t="n">
        <v>7.2018</v>
      </c>
      <c r="F135" t="n">
        <v>0.11212</v>
      </c>
    </row>
    <row r="136">
      <c r="A136" t="n">
        <v>1000134</v>
      </c>
      <c r="B136" t="n">
        <v>1</v>
      </c>
      <c r="C136" t="n">
        <v>134</v>
      </c>
      <c r="D136" t="n">
        <v>0.1487</v>
      </c>
      <c r="E136" t="n">
        <v>7.2188</v>
      </c>
      <c r="F136" t="n">
        <v>0.11204</v>
      </c>
    </row>
    <row r="137">
      <c r="A137" t="n">
        <v>1000135</v>
      </c>
      <c r="B137" t="n">
        <v>1</v>
      </c>
      <c r="C137" t="n">
        <v>135</v>
      </c>
      <c r="D137" t="n">
        <v>0.1481</v>
      </c>
      <c r="E137" t="n">
        <v>7.2357</v>
      </c>
      <c r="F137" t="n">
        <v>0.11196</v>
      </c>
    </row>
    <row r="138">
      <c r="A138" t="n">
        <v>1000136</v>
      </c>
      <c r="B138" t="n">
        <v>1</v>
      </c>
      <c r="C138" t="n">
        <v>136</v>
      </c>
      <c r="D138" t="n">
        <v>0.1476</v>
      </c>
      <c r="E138" t="n">
        <v>7.2525</v>
      </c>
      <c r="F138" t="n">
        <v>0.11188</v>
      </c>
    </row>
    <row r="139">
      <c r="A139" t="n">
        <v>1000137</v>
      </c>
      <c r="B139" t="n">
        <v>1</v>
      </c>
      <c r="C139" t="n">
        <v>137</v>
      </c>
      <c r="D139" t="n">
        <v>0.1471</v>
      </c>
      <c r="E139" t="n">
        <v>7.2692</v>
      </c>
      <c r="F139" t="n">
        <v>0.1118</v>
      </c>
    </row>
    <row r="140">
      <c r="A140" t="n">
        <v>1000138</v>
      </c>
      <c r="B140" t="n">
        <v>1</v>
      </c>
      <c r="C140" t="n">
        <v>138</v>
      </c>
      <c r="D140" t="n">
        <v>0.1466</v>
      </c>
      <c r="E140" t="n">
        <v>7.2858</v>
      </c>
      <c r="F140" t="n">
        <v>0.11172</v>
      </c>
    </row>
    <row r="141">
      <c r="A141" t="n">
        <v>1000139</v>
      </c>
      <c r="B141" t="n">
        <v>1</v>
      </c>
      <c r="C141" t="n">
        <v>139</v>
      </c>
      <c r="D141" t="n">
        <v>0.1461</v>
      </c>
      <c r="E141" t="n">
        <v>7.3023</v>
      </c>
      <c r="F141" t="n">
        <v>0.11165</v>
      </c>
    </row>
    <row r="142">
      <c r="A142" t="n">
        <v>1000140</v>
      </c>
      <c r="B142" t="n">
        <v>1</v>
      </c>
      <c r="C142" t="n">
        <v>140</v>
      </c>
      <c r="D142" t="n">
        <v>0.1456</v>
      </c>
      <c r="E142" t="n">
        <v>7.3187</v>
      </c>
      <c r="F142" t="n">
        <v>0.11158</v>
      </c>
    </row>
    <row r="143">
      <c r="A143" t="n">
        <v>1000141</v>
      </c>
      <c r="B143" t="n">
        <v>1</v>
      </c>
      <c r="C143" t="n">
        <v>141</v>
      </c>
      <c r="D143" t="n">
        <v>0.1451</v>
      </c>
      <c r="E143" t="n">
        <v>7.335</v>
      </c>
      <c r="F143" t="n">
        <v>0.1115</v>
      </c>
    </row>
    <row r="144">
      <c r="A144" t="n">
        <v>1000142</v>
      </c>
      <c r="B144" t="n">
        <v>1</v>
      </c>
      <c r="C144" t="n">
        <v>142</v>
      </c>
      <c r="D144" t="n">
        <v>0.1446</v>
      </c>
      <c r="E144" t="n">
        <v>7.3512</v>
      </c>
      <c r="F144" t="n">
        <v>0.11143</v>
      </c>
    </row>
    <row r="145">
      <c r="A145" t="n">
        <v>1000143</v>
      </c>
      <c r="B145" t="n">
        <v>1</v>
      </c>
      <c r="C145" t="n">
        <v>143</v>
      </c>
      <c r="D145" t="n">
        <v>0.1441</v>
      </c>
      <c r="E145" t="n">
        <v>7.3673</v>
      </c>
      <c r="F145" t="n">
        <v>0.11137</v>
      </c>
    </row>
    <row r="146">
      <c r="A146" t="n">
        <v>1000144</v>
      </c>
      <c r="B146" t="n">
        <v>1</v>
      </c>
      <c r="C146" t="n">
        <v>144</v>
      </c>
      <c r="D146" t="n">
        <v>0.1436</v>
      </c>
      <c r="E146" t="n">
        <v>7.3833</v>
      </c>
      <c r="F146" t="n">
        <v>0.1113</v>
      </c>
    </row>
    <row r="147">
      <c r="A147" t="n">
        <v>1000145</v>
      </c>
      <c r="B147" t="n">
        <v>1</v>
      </c>
      <c r="C147" t="n">
        <v>145</v>
      </c>
      <c r="D147" t="n">
        <v>0.1431</v>
      </c>
      <c r="E147" t="n">
        <v>7.3992</v>
      </c>
      <c r="F147" t="n">
        <v>0.11123</v>
      </c>
    </row>
    <row r="148">
      <c r="A148" t="n">
        <v>1000146</v>
      </c>
      <c r="B148" t="n">
        <v>1</v>
      </c>
      <c r="C148" t="n">
        <v>146</v>
      </c>
      <c r="D148" t="n">
        <v>0.1426</v>
      </c>
      <c r="E148" t="n">
        <v>7.415</v>
      </c>
      <c r="F148" t="n">
        <v>0.11117</v>
      </c>
    </row>
    <row r="149">
      <c r="A149" t="n">
        <v>1000147</v>
      </c>
      <c r="B149" t="n">
        <v>1</v>
      </c>
      <c r="C149" t="n">
        <v>147</v>
      </c>
      <c r="D149" t="n">
        <v>0.1421</v>
      </c>
      <c r="E149" t="n">
        <v>7.4307</v>
      </c>
      <c r="F149" t="n">
        <v>0.11111</v>
      </c>
    </row>
    <row r="150">
      <c r="A150" t="n">
        <v>1000148</v>
      </c>
      <c r="B150" t="n">
        <v>1</v>
      </c>
      <c r="C150" t="n">
        <v>148</v>
      </c>
      <c r="D150" t="n">
        <v>0.1416</v>
      </c>
      <c r="E150" t="n">
        <v>7.4463</v>
      </c>
      <c r="F150" t="n">
        <v>0.11104</v>
      </c>
    </row>
    <row r="151">
      <c r="A151" t="n">
        <v>1000149</v>
      </c>
      <c r="B151" t="n">
        <v>1</v>
      </c>
      <c r="C151" t="n">
        <v>149</v>
      </c>
      <c r="D151" t="n">
        <v>0.1411</v>
      </c>
      <c r="E151" t="n">
        <v>7.4618</v>
      </c>
      <c r="F151" t="n">
        <v>0.11098</v>
      </c>
    </row>
    <row r="152">
      <c r="A152" t="n">
        <v>1000150</v>
      </c>
      <c r="B152" t="n">
        <v>1</v>
      </c>
      <c r="C152" t="n">
        <v>150</v>
      </c>
      <c r="D152" t="n">
        <v>0.1406</v>
      </c>
      <c r="E152" t="n">
        <v>7.4772</v>
      </c>
      <c r="F152" t="n">
        <v>0.11092</v>
      </c>
    </row>
    <row r="153">
      <c r="A153" t="n">
        <v>1000151</v>
      </c>
      <c r="B153" t="n">
        <v>1</v>
      </c>
      <c r="C153" t="n">
        <v>151</v>
      </c>
      <c r="D153" t="n">
        <v>0.1401</v>
      </c>
      <c r="E153" t="n">
        <v>7.4925</v>
      </c>
      <c r="F153" t="n">
        <v>0.11087</v>
      </c>
    </row>
    <row r="154">
      <c r="A154" t="n">
        <v>1000152</v>
      </c>
      <c r="B154" t="n">
        <v>1</v>
      </c>
      <c r="C154" t="n">
        <v>152</v>
      </c>
      <c r="D154" t="n">
        <v>0.1396</v>
      </c>
      <c r="E154" t="n">
        <v>7.5077</v>
      </c>
      <c r="F154" t="n">
        <v>0.11081</v>
      </c>
    </row>
    <row r="155">
      <c r="A155" t="n">
        <v>1000153</v>
      </c>
      <c r="B155" t="n">
        <v>1</v>
      </c>
      <c r="C155" t="n">
        <v>153</v>
      </c>
      <c r="D155" t="n">
        <v>0.1391</v>
      </c>
      <c r="E155" t="n">
        <v>7.5228</v>
      </c>
      <c r="F155" t="n">
        <v>0.11075</v>
      </c>
    </row>
    <row r="156">
      <c r="A156" t="n">
        <v>1000154</v>
      </c>
      <c r="B156" t="n">
        <v>1</v>
      </c>
      <c r="C156" t="n">
        <v>154</v>
      </c>
      <c r="D156" t="n">
        <v>0.1387</v>
      </c>
      <c r="E156" t="n">
        <v>7.5379</v>
      </c>
      <c r="F156" t="n">
        <v>0.1107</v>
      </c>
    </row>
    <row r="157">
      <c r="A157" t="n">
        <v>1000155</v>
      </c>
      <c r="B157" t="n">
        <v>1</v>
      </c>
      <c r="C157" t="n">
        <v>155</v>
      </c>
      <c r="D157" t="n">
        <v>0.1382</v>
      </c>
      <c r="E157" t="n">
        <v>7.5528</v>
      </c>
      <c r="F157" t="n">
        <v>0.11065</v>
      </c>
    </row>
    <row r="158">
      <c r="A158" t="n">
        <v>1000156</v>
      </c>
      <c r="B158" t="n">
        <v>1</v>
      </c>
      <c r="C158" t="n">
        <v>156</v>
      </c>
      <c r="D158" t="n">
        <v>0.1377</v>
      </c>
      <c r="E158" t="n">
        <v>7.5677</v>
      </c>
      <c r="F158" t="n">
        <v>0.11059</v>
      </c>
    </row>
    <row r="159">
      <c r="A159" t="n">
        <v>1000157</v>
      </c>
      <c r="B159" t="n">
        <v>1</v>
      </c>
      <c r="C159" t="n">
        <v>157</v>
      </c>
      <c r="D159" t="n">
        <v>0.1372</v>
      </c>
      <c r="E159" t="n">
        <v>7.5824</v>
      </c>
      <c r="F159" t="n">
        <v>0.11054</v>
      </c>
    </row>
    <row r="160">
      <c r="A160" t="n">
        <v>1000158</v>
      </c>
      <c r="B160" t="n">
        <v>1</v>
      </c>
      <c r="C160" t="n">
        <v>158</v>
      </c>
      <c r="D160" t="n">
        <v>0.1368</v>
      </c>
      <c r="E160" t="n">
        <v>7.5971</v>
      </c>
      <c r="F160" t="n">
        <v>0.11049</v>
      </c>
    </row>
    <row r="161">
      <c r="A161" t="n">
        <v>1000159</v>
      </c>
      <c r="B161" t="n">
        <v>1</v>
      </c>
      <c r="C161" t="n">
        <v>159</v>
      </c>
      <c r="D161" t="n">
        <v>0.1363</v>
      </c>
      <c r="E161" t="n">
        <v>7.6117</v>
      </c>
      <c r="F161" t="n">
        <v>0.11044</v>
      </c>
    </row>
    <row r="162">
      <c r="A162" t="n">
        <v>1000160</v>
      </c>
      <c r="B162" t="n">
        <v>1</v>
      </c>
      <c r="C162" t="n">
        <v>160</v>
      </c>
      <c r="D162" t="n">
        <v>0.1358</v>
      </c>
      <c r="E162" t="n">
        <v>7.6262</v>
      </c>
      <c r="F162" t="n">
        <v>0.1104</v>
      </c>
    </row>
    <row r="163">
      <c r="A163" t="n">
        <v>1000161</v>
      </c>
      <c r="B163" t="n">
        <v>1</v>
      </c>
      <c r="C163" t="n">
        <v>161</v>
      </c>
      <c r="D163" t="n">
        <v>0.1354</v>
      </c>
      <c r="E163" t="n">
        <v>7.6406</v>
      </c>
      <c r="F163" t="n">
        <v>0.11035</v>
      </c>
    </row>
    <row r="164">
      <c r="A164" t="n">
        <v>1000162</v>
      </c>
      <c r="B164" t="n">
        <v>1</v>
      </c>
      <c r="C164" t="n">
        <v>162</v>
      </c>
      <c r="D164" t="n">
        <v>0.1349</v>
      </c>
      <c r="E164" t="n">
        <v>7.655</v>
      </c>
      <c r="F164" t="n">
        <v>0.11031</v>
      </c>
    </row>
    <row r="165">
      <c r="A165" t="n">
        <v>1000163</v>
      </c>
      <c r="B165" t="n">
        <v>1</v>
      </c>
      <c r="C165" t="n">
        <v>163</v>
      </c>
      <c r="D165" t="n">
        <v>0.1344</v>
      </c>
      <c r="E165" t="n">
        <v>7.6692</v>
      </c>
      <c r="F165" t="n">
        <v>0.11026</v>
      </c>
    </row>
    <row r="166">
      <c r="A166" t="n">
        <v>1000164</v>
      </c>
      <c r="B166" t="n">
        <v>1</v>
      </c>
      <c r="C166" t="n">
        <v>164</v>
      </c>
      <c r="D166" t="n">
        <v>0.134</v>
      </c>
      <c r="E166" t="n">
        <v>7.6834</v>
      </c>
      <c r="F166" t="n">
        <v>0.11022</v>
      </c>
    </row>
    <row r="167">
      <c r="A167" t="n">
        <v>1000165</v>
      </c>
      <c r="B167" t="n">
        <v>1</v>
      </c>
      <c r="C167" t="n">
        <v>165</v>
      </c>
      <c r="D167" t="n">
        <v>0.1335</v>
      </c>
      <c r="E167" t="n">
        <v>7.6975</v>
      </c>
      <c r="F167" t="n">
        <v>0.11018</v>
      </c>
    </row>
    <row r="168">
      <c r="A168" t="n">
        <v>1000166</v>
      </c>
      <c r="B168" t="n">
        <v>1</v>
      </c>
      <c r="C168" t="n">
        <v>166</v>
      </c>
      <c r="D168" t="n">
        <v>0.1331</v>
      </c>
      <c r="E168" t="n">
        <v>7.7115</v>
      </c>
      <c r="F168" t="n">
        <v>0.11013</v>
      </c>
    </row>
    <row r="169">
      <c r="A169" t="n">
        <v>1000167</v>
      </c>
      <c r="B169" t="n">
        <v>1</v>
      </c>
      <c r="C169" t="n">
        <v>167</v>
      </c>
      <c r="D169" t="n">
        <v>0.1326</v>
      </c>
      <c r="E169" t="n">
        <v>7.7255</v>
      </c>
      <c r="F169" t="n">
        <v>0.11009</v>
      </c>
    </row>
    <row r="170">
      <c r="A170" t="n">
        <v>1000168</v>
      </c>
      <c r="B170" t="n">
        <v>1</v>
      </c>
      <c r="C170" t="n">
        <v>168</v>
      </c>
      <c r="D170" t="n">
        <v>0.1322</v>
      </c>
      <c r="E170" t="n">
        <v>7.7394</v>
      </c>
      <c r="F170" t="n">
        <v>0.11005</v>
      </c>
    </row>
    <row r="171">
      <c r="A171" t="n">
        <v>1000169</v>
      </c>
      <c r="B171" t="n">
        <v>1</v>
      </c>
      <c r="C171" t="n">
        <v>169</v>
      </c>
      <c r="D171" t="n">
        <v>0.1317</v>
      </c>
      <c r="E171" t="n">
        <v>7.7532</v>
      </c>
      <c r="F171" t="n">
        <v>0.11002</v>
      </c>
    </row>
    <row r="172">
      <c r="A172" t="n">
        <v>1000170</v>
      </c>
      <c r="B172" t="n">
        <v>1</v>
      </c>
      <c r="C172" t="n">
        <v>170</v>
      </c>
      <c r="D172" t="n">
        <v>0.1313</v>
      </c>
      <c r="E172" t="n">
        <v>7.7669</v>
      </c>
      <c r="F172" t="n">
        <v>0.10998</v>
      </c>
    </row>
    <row r="173">
      <c r="A173" t="n">
        <v>1000171</v>
      </c>
      <c r="B173" t="n">
        <v>1</v>
      </c>
      <c r="C173" t="n">
        <v>171</v>
      </c>
      <c r="D173" t="n">
        <v>0.1308</v>
      </c>
      <c r="E173" t="n">
        <v>7.7805</v>
      </c>
      <c r="F173" t="n">
        <v>0.10994</v>
      </c>
    </row>
    <row r="174">
      <c r="A174" t="n">
        <v>1000172</v>
      </c>
      <c r="B174" t="n">
        <v>1</v>
      </c>
      <c r="C174" t="n">
        <v>172</v>
      </c>
      <c r="D174" t="n">
        <v>0.1304</v>
      </c>
      <c r="E174" t="n">
        <v>7.7941</v>
      </c>
      <c r="F174" t="n">
        <v>0.10991</v>
      </c>
    </row>
    <row r="175">
      <c r="A175" t="n">
        <v>1000173</v>
      </c>
      <c r="B175" t="n">
        <v>1</v>
      </c>
      <c r="C175" t="n">
        <v>173</v>
      </c>
      <c r="D175" t="n">
        <v>0.1299</v>
      </c>
      <c r="E175" t="n">
        <v>7.8076</v>
      </c>
      <c r="F175" t="n">
        <v>0.10987</v>
      </c>
    </row>
    <row r="176">
      <c r="A176" t="n">
        <v>1000174</v>
      </c>
      <c r="B176" t="n">
        <v>1</v>
      </c>
      <c r="C176" t="n">
        <v>174</v>
      </c>
      <c r="D176" t="n">
        <v>0.1295</v>
      </c>
      <c r="E176" t="n">
        <v>7.821</v>
      </c>
      <c r="F176" t="n">
        <v>0.10984</v>
      </c>
    </row>
    <row r="177">
      <c r="A177" t="n">
        <v>1000175</v>
      </c>
      <c r="B177" t="n">
        <v>1</v>
      </c>
      <c r="C177" t="n">
        <v>175</v>
      </c>
      <c r="D177" t="n">
        <v>0.129</v>
      </c>
      <c r="E177" t="n">
        <v>7.8344</v>
      </c>
      <c r="F177" t="n">
        <v>0.1098</v>
      </c>
    </row>
    <row r="178">
      <c r="A178" t="n">
        <v>1000176</v>
      </c>
      <c r="B178" t="n">
        <v>1</v>
      </c>
      <c r="C178" t="n">
        <v>176</v>
      </c>
      <c r="D178" t="n">
        <v>0.1286</v>
      </c>
      <c r="E178" t="n">
        <v>7.8477</v>
      </c>
      <c r="F178" t="n">
        <v>0.10977</v>
      </c>
    </row>
    <row r="179">
      <c r="A179" t="n">
        <v>1000177</v>
      </c>
      <c r="B179" t="n">
        <v>1</v>
      </c>
      <c r="C179" t="n">
        <v>177</v>
      </c>
      <c r="D179" t="n">
        <v>0.1282</v>
      </c>
      <c r="E179" t="n">
        <v>7.8609</v>
      </c>
      <c r="F179" t="n">
        <v>0.10974</v>
      </c>
    </row>
    <row r="180">
      <c r="A180" t="n">
        <v>1000178</v>
      </c>
      <c r="B180" t="n">
        <v>1</v>
      </c>
      <c r="C180" t="n">
        <v>178</v>
      </c>
      <c r="D180" t="n">
        <v>0.1277</v>
      </c>
      <c r="E180" t="n">
        <v>7.8741</v>
      </c>
      <c r="F180" t="n">
        <v>0.10971</v>
      </c>
    </row>
    <row r="181">
      <c r="A181" t="n">
        <v>1000179</v>
      </c>
      <c r="B181" t="n">
        <v>1</v>
      </c>
      <c r="C181" t="n">
        <v>179</v>
      </c>
      <c r="D181" t="n">
        <v>0.1273</v>
      </c>
      <c r="E181" t="n">
        <v>7.8871</v>
      </c>
      <c r="F181" t="n">
        <v>0.10968</v>
      </c>
    </row>
    <row r="182">
      <c r="A182" t="n">
        <v>1000180</v>
      </c>
      <c r="B182" t="n">
        <v>1</v>
      </c>
      <c r="C182" t="n">
        <v>180</v>
      </c>
      <c r="D182" t="n">
        <v>0.1269</v>
      </c>
      <c r="E182" t="n">
        <v>7.9002</v>
      </c>
      <c r="F182" t="n">
        <v>0.10965</v>
      </c>
    </row>
    <row r="183">
      <c r="A183" t="n">
        <v>1000181</v>
      </c>
      <c r="B183" t="n">
        <v>1</v>
      </c>
      <c r="C183" t="n">
        <v>181</v>
      </c>
      <c r="D183" t="n">
        <v>0.1264</v>
      </c>
      <c r="E183" t="n">
        <v>7.9131</v>
      </c>
      <c r="F183" t="n">
        <v>0.10962</v>
      </c>
    </row>
    <row r="184">
      <c r="A184" t="n">
        <v>1000182</v>
      </c>
      <c r="B184" t="n">
        <v>1</v>
      </c>
      <c r="C184" t="n">
        <v>182</v>
      </c>
      <c r="D184" t="n">
        <v>0.126</v>
      </c>
      <c r="E184" t="n">
        <v>7.926</v>
      </c>
      <c r="F184" t="n">
        <v>0.10959</v>
      </c>
    </row>
    <row r="185">
      <c r="A185" t="n">
        <v>1000183</v>
      </c>
      <c r="B185" t="n">
        <v>1</v>
      </c>
      <c r="C185" t="n">
        <v>183</v>
      </c>
      <c r="D185" t="n">
        <v>0.1256</v>
      </c>
      <c r="E185" t="n">
        <v>7.9389</v>
      </c>
      <c r="F185" t="n">
        <v>0.10957</v>
      </c>
    </row>
    <row r="186">
      <c r="A186" t="n">
        <v>1000184</v>
      </c>
      <c r="B186" t="n">
        <v>1</v>
      </c>
      <c r="C186" t="n">
        <v>184</v>
      </c>
      <c r="D186" t="n">
        <v>0.1251</v>
      </c>
      <c r="E186" t="n">
        <v>7.9516</v>
      </c>
      <c r="F186" t="n">
        <v>0.10954</v>
      </c>
    </row>
    <row r="187">
      <c r="A187" t="n">
        <v>1000185</v>
      </c>
      <c r="B187" t="n">
        <v>1</v>
      </c>
      <c r="C187" t="n">
        <v>185</v>
      </c>
      <c r="D187" t="n">
        <v>0.1247</v>
      </c>
      <c r="E187" t="n">
        <v>7.9643</v>
      </c>
      <c r="F187" t="n">
        <v>0.10951</v>
      </c>
    </row>
    <row r="188">
      <c r="A188" t="n">
        <v>1000186</v>
      </c>
      <c r="B188" t="n">
        <v>1</v>
      </c>
      <c r="C188" t="n">
        <v>186</v>
      </c>
      <c r="D188" t="n">
        <v>0.1243</v>
      </c>
      <c r="E188" t="n">
        <v>7.977</v>
      </c>
      <c r="F188" t="n">
        <v>0.10949</v>
      </c>
    </row>
    <row r="189">
      <c r="A189" t="n">
        <v>1000187</v>
      </c>
      <c r="B189" t="n">
        <v>1</v>
      </c>
      <c r="C189" t="n">
        <v>187</v>
      </c>
      <c r="D189" t="n">
        <v>0.1239</v>
      </c>
      <c r="E189" t="n">
        <v>7.9895</v>
      </c>
      <c r="F189" t="n">
        <v>0.10946</v>
      </c>
    </row>
    <row r="190">
      <c r="A190" t="n">
        <v>1000188</v>
      </c>
      <c r="B190" t="n">
        <v>1</v>
      </c>
      <c r="C190" t="n">
        <v>188</v>
      </c>
      <c r="D190" t="n">
        <v>0.1235</v>
      </c>
      <c r="E190" t="n">
        <v>8.0021</v>
      </c>
      <c r="F190" t="n">
        <v>0.10944</v>
      </c>
    </row>
    <row r="191">
      <c r="A191" t="n">
        <v>1000189</v>
      </c>
      <c r="B191" t="n">
        <v>1</v>
      </c>
      <c r="C191" t="n">
        <v>189</v>
      </c>
      <c r="D191" t="n">
        <v>0.123</v>
      </c>
      <c r="E191" t="n">
        <v>8.0145</v>
      </c>
      <c r="F191" t="n">
        <v>0.10942</v>
      </c>
    </row>
    <row r="192">
      <c r="A192" t="n">
        <v>1000190</v>
      </c>
      <c r="B192" t="n">
        <v>1</v>
      </c>
      <c r="C192" t="n">
        <v>190</v>
      </c>
      <c r="D192" t="n">
        <v>0.1226</v>
      </c>
      <c r="E192" t="n">
        <v>8.026899999999999</v>
      </c>
      <c r="F192" t="n">
        <v>0.1094</v>
      </c>
    </row>
    <row r="193">
      <c r="A193" t="n">
        <v>1000191</v>
      </c>
      <c r="B193" t="n">
        <v>1</v>
      </c>
      <c r="C193" t="n">
        <v>191</v>
      </c>
      <c r="D193" t="n">
        <v>0.1222</v>
      </c>
      <c r="E193" t="n">
        <v>8.039199999999999</v>
      </c>
      <c r="F193" t="n">
        <v>0.10937</v>
      </c>
    </row>
    <row r="194">
      <c r="A194" t="n">
        <v>1000192</v>
      </c>
      <c r="B194" t="n">
        <v>1</v>
      </c>
      <c r="C194" t="n">
        <v>192</v>
      </c>
      <c r="D194" t="n">
        <v>0.1218</v>
      </c>
      <c r="E194" t="n">
        <v>8.051500000000001</v>
      </c>
      <c r="F194" t="n">
        <v>0.10935</v>
      </c>
    </row>
    <row r="195">
      <c r="A195" t="n">
        <v>1000193</v>
      </c>
      <c r="B195" t="n">
        <v>1</v>
      </c>
      <c r="C195" t="n">
        <v>193</v>
      </c>
      <c r="D195" t="n">
        <v>0.1214</v>
      </c>
      <c r="E195" t="n">
        <v>8.063700000000001</v>
      </c>
      <c r="F195" t="n">
        <v>0.10933</v>
      </c>
    </row>
    <row r="196">
      <c r="A196" t="n">
        <v>1000194</v>
      </c>
      <c r="B196" t="n">
        <v>1</v>
      </c>
      <c r="C196" t="n">
        <v>194</v>
      </c>
      <c r="D196" t="n">
        <v>0.121</v>
      </c>
      <c r="E196" t="n">
        <v>8.075900000000001</v>
      </c>
      <c r="F196" t="n">
        <v>0.10931</v>
      </c>
    </row>
    <row r="197">
      <c r="A197" t="n">
        <v>1000195</v>
      </c>
      <c r="B197" t="n">
        <v>1</v>
      </c>
      <c r="C197" t="n">
        <v>195</v>
      </c>
      <c r="D197" t="n">
        <v>0.1206</v>
      </c>
      <c r="E197" t="n">
        <v>8.087899999999999</v>
      </c>
      <c r="F197" t="n">
        <v>0.10929</v>
      </c>
    </row>
    <row r="198">
      <c r="A198" t="n">
        <v>1000196</v>
      </c>
      <c r="B198" t="n">
        <v>1</v>
      </c>
      <c r="C198" t="n">
        <v>196</v>
      </c>
      <c r="D198" t="n">
        <v>0.1201</v>
      </c>
      <c r="E198" t="n">
        <v>8.1</v>
      </c>
      <c r="F198" t="n">
        <v>0.10927</v>
      </c>
    </row>
    <row r="199">
      <c r="A199" t="n">
        <v>1000197</v>
      </c>
      <c r="B199" t="n">
        <v>1</v>
      </c>
      <c r="C199" t="n">
        <v>197</v>
      </c>
      <c r="D199" t="n">
        <v>0.1197</v>
      </c>
      <c r="E199" t="n">
        <v>8.112</v>
      </c>
      <c r="F199" t="n">
        <v>0.10925</v>
      </c>
    </row>
    <row r="200">
      <c r="A200" t="n">
        <v>1000198</v>
      </c>
      <c r="B200" t="n">
        <v>1</v>
      </c>
      <c r="C200" t="n">
        <v>198</v>
      </c>
      <c r="D200" t="n">
        <v>0.1193</v>
      </c>
      <c r="E200" t="n">
        <v>8.123900000000001</v>
      </c>
      <c r="F200" t="n">
        <v>0.10924</v>
      </c>
    </row>
    <row r="201">
      <c r="A201" t="n">
        <v>1000199</v>
      </c>
      <c r="B201" t="n">
        <v>1</v>
      </c>
      <c r="C201" t="n">
        <v>199</v>
      </c>
      <c r="D201" t="n">
        <v>0.1189</v>
      </c>
      <c r="E201" t="n">
        <v>8.1357</v>
      </c>
      <c r="F201" t="n">
        <v>0.10922</v>
      </c>
    </row>
    <row r="202">
      <c r="A202" t="n">
        <v>1000200</v>
      </c>
      <c r="B202" t="n">
        <v>1</v>
      </c>
      <c r="C202" t="n">
        <v>200</v>
      </c>
      <c r="D202" t="n">
        <v>0.1185</v>
      </c>
      <c r="E202" t="n">
        <v>8.147500000000001</v>
      </c>
      <c r="F202" t="n">
        <v>0.1092</v>
      </c>
    </row>
    <row r="203">
      <c r="A203" t="n">
        <v>1000201</v>
      </c>
      <c r="B203" t="n">
        <v>1</v>
      </c>
      <c r="C203" t="n">
        <v>201</v>
      </c>
      <c r="D203" t="n">
        <v>0.1181</v>
      </c>
      <c r="E203" t="n">
        <v>8.1593</v>
      </c>
      <c r="F203" t="n">
        <v>0.10919</v>
      </c>
    </row>
    <row r="204">
      <c r="A204" t="n">
        <v>1000202</v>
      </c>
      <c r="B204" t="n">
        <v>1</v>
      </c>
      <c r="C204" t="n">
        <v>202</v>
      </c>
      <c r="D204" t="n">
        <v>0.1177</v>
      </c>
      <c r="E204" t="n">
        <v>8.170999999999999</v>
      </c>
      <c r="F204" t="n">
        <v>0.10917</v>
      </c>
    </row>
    <row r="205">
      <c r="A205" t="n">
        <v>1000203</v>
      </c>
      <c r="B205" t="n">
        <v>1</v>
      </c>
      <c r="C205" t="n">
        <v>203</v>
      </c>
      <c r="D205" t="n">
        <v>0.1173</v>
      </c>
      <c r="E205" t="n">
        <v>8.182600000000001</v>
      </c>
      <c r="F205" t="n">
        <v>0.10915</v>
      </c>
    </row>
    <row r="206">
      <c r="A206" t="n">
        <v>1000204</v>
      </c>
      <c r="B206" t="n">
        <v>1</v>
      </c>
      <c r="C206" t="n">
        <v>204</v>
      </c>
      <c r="D206" t="n">
        <v>0.1169</v>
      </c>
      <c r="E206" t="n">
        <v>8.1942</v>
      </c>
      <c r="F206" t="n">
        <v>0.10914</v>
      </c>
    </row>
    <row r="207">
      <c r="A207" t="n">
        <v>1000205</v>
      </c>
      <c r="B207" t="n">
        <v>1</v>
      </c>
      <c r="C207" t="n">
        <v>205</v>
      </c>
      <c r="D207" t="n">
        <v>0.1165</v>
      </c>
      <c r="E207" t="n">
        <v>8.2058</v>
      </c>
      <c r="F207" t="n">
        <v>0.10913</v>
      </c>
    </row>
    <row r="208">
      <c r="A208" t="n">
        <v>1000206</v>
      </c>
      <c r="B208" t="n">
        <v>1</v>
      </c>
      <c r="C208" t="n">
        <v>206</v>
      </c>
      <c r="D208" t="n">
        <v>0.1161</v>
      </c>
      <c r="E208" t="n">
        <v>8.2173</v>
      </c>
      <c r="F208" t="n">
        <v>0.10911</v>
      </c>
    </row>
    <row r="209">
      <c r="A209" t="n">
        <v>1000207</v>
      </c>
      <c r="B209" t="n">
        <v>1</v>
      </c>
      <c r="C209" t="n">
        <v>207</v>
      </c>
      <c r="D209" t="n">
        <v>0.1157</v>
      </c>
      <c r="E209" t="n">
        <v>8.2287</v>
      </c>
      <c r="F209" t="n">
        <v>0.1091</v>
      </c>
    </row>
    <row r="210">
      <c r="A210" t="n">
        <v>1000208</v>
      </c>
      <c r="B210" t="n">
        <v>1</v>
      </c>
      <c r="C210" t="n">
        <v>208</v>
      </c>
      <c r="D210" t="n">
        <v>0.1153</v>
      </c>
      <c r="E210" t="n">
        <v>8.2401</v>
      </c>
      <c r="F210" t="n">
        <v>0.10908</v>
      </c>
    </row>
    <row r="211">
      <c r="A211" t="n">
        <v>1000209</v>
      </c>
      <c r="B211" t="n">
        <v>1</v>
      </c>
      <c r="C211" t="n">
        <v>209</v>
      </c>
      <c r="D211" t="n">
        <v>0.1149</v>
      </c>
      <c r="E211" t="n">
        <v>8.2514</v>
      </c>
      <c r="F211" t="n">
        <v>0.10907</v>
      </c>
    </row>
    <row r="212">
      <c r="A212" t="n">
        <v>1000210</v>
      </c>
      <c r="B212" t="n">
        <v>1</v>
      </c>
      <c r="C212" t="n">
        <v>210</v>
      </c>
      <c r="D212" t="n">
        <v>0.1145</v>
      </c>
      <c r="E212" t="n">
        <v>8.262700000000001</v>
      </c>
      <c r="F212" t="n">
        <v>0.10906</v>
      </c>
    </row>
    <row r="213">
      <c r="A213" t="n">
        <v>1000211</v>
      </c>
      <c r="B213" t="n">
        <v>1</v>
      </c>
      <c r="C213" t="n">
        <v>211</v>
      </c>
      <c r="D213" t="n">
        <v>0.1142</v>
      </c>
      <c r="E213" t="n">
        <v>8.273899999999999</v>
      </c>
      <c r="F213" t="n">
        <v>0.10905</v>
      </c>
    </row>
    <row r="214">
      <c r="A214" t="n">
        <v>1000212</v>
      </c>
      <c r="B214" t="n">
        <v>1</v>
      </c>
      <c r="C214" t="n">
        <v>212</v>
      </c>
      <c r="D214" t="n">
        <v>0.1138</v>
      </c>
      <c r="E214" t="n">
        <v>8.2851</v>
      </c>
      <c r="F214" t="n">
        <v>0.10903</v>
      </c>
    </row>
    <row r="215">
      <c r="A215" t="n">
        <v>1000213</v>
      </c>
      <c r="B215" t="n">
        <v>1</v>
      </c>
      <c r="C215" t="n">
        <v>213</v>
      </c>
      <c r="D215" t="n">
        <v>0.1134</v>
      </c>
      <c r="E215" t="n">
        <v>8.2963</v>
      </c>
      <c r="F215" t="n">
        <v>0.10902</v>
      </c>
    </row>
    <row r="216">
      <c r="A216" t="n">
        <v>1000214</v>
      </c>
      <c r="B216" t="n">
        <v>1</v>
      </c>
      <c r="C216" t="n">
        <v>214</v>
      </c>
      <c r="D216" t="n">
        <v>0.113</v>
      </c>
      <c r="E216" t="n">
        <v>8.307399999999999</v>
      </c>
      <c r="F216" t="n">
        <v>0.10901</v>
      </c>
    </row>
    <row r="217">
      <c r="A217" t="n">
        <v>1000215</v>
      </c>
      <c r="B217" t="n">
        <v>1</v>
      </c>
      <c r="C217" t="n">
        <v>215</v>
      </c>
      <c r="D217" t="n">
        <v>0.1126</v>
      </c>
      <c r="E217" t="n">
        <v>8.3184</v>
      </c>
      <c r="F217" t="n">
        <v>0.109</v>
      </c>
    </row>
    <row r="218">
      <c r="A218" t="n">
        <v>1000216</v>
      </c>
      <c r="B218" t="n">
        <v>1</v>
      </c>
      <c r="C218" t="n">
        <v>216</v>
      </c>
      <c r="D218" t="n">
        <v>0.1122</v>
      </c>
      <c r="E218" t="n">
        <v>8.3294</v>
      </c>
      <c r="F218" t="n">
        <v>0.10899</v>
      </c>
    </row>
    <row r="219">
      <c r="A219" t="n">
        <v>1000217</v>
      </c>
      <c r="B219" t="n">
        <v>1</v>
      </c>
      <c r="C219" t="n">
        <v>217</v>
      </c>
      <c r="D219" t="n">
        <v>0.1118</v>
      </c>
      <c r="E219" t="n">
        <v>8.340400000000001</v>
      </c>
      <c r="F219" t="n">
        <v>0.10898</v>
      </c>
    </row>
    <row r="220">
      <c r="A220" t="n">
        <v>1000218</v>
      </c>
      <c r="B220" t="n">
        <v>1</v>
      </c>
      <c r="C220" t="n">
        <v>218</v>
      </c>
      <c r="D220" t="n">
        <v>0.1115</v>
      </c>
      <c r="E220" t="n">
        <v>8.3513</v>
      </c>
      <c r="F220" t="n">
        <v>0.10897</v>
      </c>
    </row>
    <row r="221">
      <c r="A221" t="n">
        <v>1000219</v>
      </c>
      <c r="B221" t="n">
        <v>1</v>
      </c>
      <c r="C221" t="n">
        <v>219</v>
      </c>
      <c r="D221" t="n">
        <v>0.1111</v>
      </c>
      <c r="E221" t="n">
        <v>8.3621</v>
      </c>
      <c r="F221" t="n">
        <v>0.10896</v>
      </c>
    </row>
    <row r="222">
      <c r="A222" t="n">
        <v>1000220</v>
      </c>
      <c r="B222" t="n">
        <v>1</v>
      </c>
      <c r="C222" t="n">
        <v>220</v>
      </c>
      <c r="D222" t="n">
        <v>0.1107</v>
      </c>
      <c r="E222" t="n">
        <v>8.3729</v>
      </c>
      <c r="F222" t="n">
        <v>0.10895</v>
      </c>
    </row>
    <row r="223">
      <c r="A223" t="n">
        <v>1000221</v>
      </c>
      <c r="B223" t="n">
        <v>1</v>
      </c>
      <c r="C223" t="n">
        <v>221</v>
      </c>
      <c r="D223" t="n">
        <v>0.1103</v>
      </c>
      <c r="E223" t="n">
        <v>8.383699999999999</v>
      </c>
      <c r="F223" t="n">
        <v>0.10894</v>
      </c>
    </row>
    <row r="224">
      <c r="A224" t="n">
        <v>1000222</v>
      </c>
      <c r="B224" t="n">
        <v>1</v>
      </c>
      <c r="C224" t="n">
        <v>222</v>
      </c>
      <c r="D224" t="n">
        <v>0.1099</v>
      </c>
      <c r="E224" t="n">
        <v>8.394399999999999</v>
      </c>
      <c r="F224" t="n">
        <v>0.10894</v>
      </c>
    </row>
    <row r="225">
      <c r="A225" t="n">
        <v>1000223</v>
      </c>
      <c r="B225" t="n">
        <v>1</v>
      </c>
      <c r="C225" t="n">
        <v>223</v>
      </c>
      <c r="D225" t="n">
        <v>0.1096</v>
      </c>
      <c r="E225" t="n">
        <v>8.405099999999999</v>
      </c>
      <c r="F225" t="n">
        <v>0.10893</v>
      </c>
    </row>
    <row r="226">
      <c r="A226" t="n">
        <v>1000224</v>
      </c>
      <c r="B226" t="n">
        <v>1</v>
      </c>
      <c r="C226" t="n">
        <v>224</v>
      </c>
      <c r="D226" t="n">
        <v>0.1092</v>
      </c>
      <c r="E226" t="n">
        <v>8.415699999999999</v>
      </c>
      <c r="F226" t="n">
        <v>0.10892</v>
      </c>
    </row>
    <row r="227">
      <c r="A227" t="n">
        <v>1000225</v>
      </c>
      <c r="B227" t="n">
        <v>1</v>
      </c>
      <c r="C227" t="n">
        <v>225</v>
      </c>
      <c r="D227" t="n">
        <v>0.1088</v>
      </c>
      <c r="E227" t="n">
        <v>8.426299999999999</v>
      </c>
      <c r="F227" t="n">
        <v>0.10891</v>
      </c>
    </row>
    <row r="228">
      <c r="A228" t="n">
        <v>1000226</v>
      </c>
      <c r="B228" t="n">
        <v>1</v>
      </c>
      <c r="C228" t="n">
        <v>226</v>
      </c>
      <c r="D228" t="n">
        <v>0.1084</v>
      </c>
      <c r="E228" t="n">
        <v>8.4369</v>
      </c>
      <c r="F228" t="n">
        <v>0.10891</v>
      </c>
    </row>
    <row r="229">
      <c r="A229" t="n">
        <v>1000227</v>
      </c>
      <c r="B229" t="n">
        <v>1</v>
      </c>
      <c r="C229" t="n">
        <v>227</v>
      </c>
      <c r="D229" t="n">
        <v>0.1081</v>
      </c>
      <c r="E229" t="n">
        <v>8.4474</v>
      </c>
      <c r="F229" t="n">
        <v>0.1089</v>
      </c>
    </row>
    <row r="230">
      <c r="A230" t="n">
        <v>1000228</v>
      </c>
      <c r="B230" t="n">
        <v>1</v>
      </c>
      <c r="C230" t="n">
        <v>228</v>
      </c>
      <c r="D230" t="n">
        <v>0.1077</v>
      </c>
      <c r="E230" t="n">
        <v>8.457800000000001</v>
      </c>
      <c r="F230" t="n">
        <v>0.10889</v>
      </c>
    </row>
    <row r="231">
      <c r="A231" t="n">
        <v>1000229</v>
      </c>
      <c r="B231" t="n">
        <v>1</v>
      </c>
      <c r="C231" t="n">
        <v>229</v>
      </c>
      <c r="D231" t="n">
        <v>0.1073</v>
      </c>
      <c r="E231" t="n">
        <v>8.468299999999999</v>
      </c>
      <c r="F231" t="n">
        <v>0.10889</v>
      </c>
    </row>
    <row r="232">
      <c r="A232" t="n">
        <v>1000230</v>
      </c>
      <c r="B232" t="n">
        <v>1</v>
      </c>
      <c r="C232" t="n">
        <v>230</v>
      </c>
      <c r="D232" t="n">
        <v>0.107</v>
      </c>
      <c r="E232" t="n">
        <v>8.4787</v>
      </c>
      <c r="F232" t="n">
        <v>0.10888</v>
      </c>
    </row>
    <row r="233">
      <c r="A233" t="n">
        <v>1000231</v>
      </c>
      <c r="B233" t="n">
        <v>1</v>
      </c>
      <c r="C233" t="n">
        <v>231</v>
      </c>
      <c r="D233" t="n">
        <v>0.1066</v>
      </c>
      <c r="E233" t="n">
        <v>8.489000000000001</v>
      </c>
      <c r="F233" t="n">
        <v>0.10887</v>
      </c>
    </row>
    <row r="234">
      <c r="A234" t="n">
        <v>1000232</v>
      </c>
      <c r="B234" t="n">
        <v>1</v>
      </c>
      <c r="C234" t="n">
        <v>232</v>
      </c>
      <c r="D234" t="n">
        <v>0.1062</v>
      </c>
      <c r="E234" t="n">
        <v>8.4993</v>
      </c>
      <c r="F234" t="n">
        <v>0.10887</v>
      </c>
    </row>
    <row r="235">
      <c r="A235" t="n">
        <v>1000233</v>
      </c>
      <c r="B235" t="n">
        <v>1</v>
      </c>
      <c r="C235" t="n">
        <v>233</v>
      </c>
      <c r="D235" t="n">
        <v>0.1059</v>
      </c>
      <c r="E235" t="n">
        <v>8.509600000000001</v>
      </c>
      <c r="F235" t="n">
        <v>0.10886</v>
      </c>
    </row>
    <row r="236">
      <c r="A236" t="n">
        <v>1000234</v>
      </c>
      <c r="B236" t="n">
        <v>1</v>
      </c>
      <c r="C236" t="n">
        <v>234</v>
      </c>
      <c r="D236" t="n">
        <v>0.1055</v>
      </c>
      <c r="E236" t="n">
        <v>8.5198</v>
      </c>
      <c r="F236" t="n">
        <v>0.10886</v>
      </c>
    </row>
    <row r="237">
      <c r="A237" t="n">
        <v>1000235</v>
      </c>
      <c r="B237" t="n">
        <v>1</v>
      </c>
      <c r="C237" t="n">
        <v>235</v>
      </c>
      <c r="D237" t="n">
        <v>0.1051</v>
      </c>
      <c r="E237" t="n">
        <v>8.529999999999999</v>
      </c>
      <c r="F237" t="n">
        <v>0.10885</v>
      </c>
    </row>
    <row r="238">
      <c r="A238" t="n">
        <v>1000236</v>
      </c>
      <c r="B238" t="n">
        <v>1</v>
      </c>
      <c r="C238" t="n">
        <v>236</v>
      </c>
      <c r="D238" t="n">
        <v>0.1048</v>
      </c>
      <c r="E238" t="n">
        <v>8.540100000000001</v>
      </c>
      <c r="F238" t="n">
        <v>0.10885</v>
      </c>
    </row>
    <row r="239">
      <c r="A239" t="n">
        <v>1000237</v>
      </c>
      <c r="B239" t="n">
        <v>1</v>
      </c>
      <c r="C239" t="n">
        <v>237</v>
      </c>
      <c r="D239" t="n">
        <v>0.1044</v>
      </c>
      <c r="E239" t="n">
        <v>8.5502</v>
      </c>
      <c r="F239" t="n">
        <v>0.10884</v>
      </c>
    </row>
    <row r="240">
      <c r="A240" t="n">
        <v>1000238</v>
      </c>
      <c r="B240" t="n">
        <v>1</v>
      </c>
      <c r="C240" t="n">
        <v>238</v>
      </c>
      <c r="D240" t="n">
        <v>0.104</v>
      </c>
      <c r="E240" t="n">
        <v>8.5603</v>
      </c>
      <c r="F240" t="n">
        <v>0.10884</v>
      </c>
    </row>
    <row r="241">
      <c r="A241" t="n">
        <v>1000239</v>
      </c>
      <c r="B241" t="n">
        <v>1</v>
      </c>
      <c r="C241" t="n">
        <v>239</v>
      </c>
      <c r="D241" t="n">
        <v>0.1037</v>
      </c>
      <c r="E241" t="n">
        <v>8.570399999999999</v>
      </c>
      <c r="F241" t="n">
        <v>0.10884</v>
      </c>
    </row>
    <row r="242">
      <c r="A242" t="n">
        <v>1000240</v>
      </c>
      <c r="B242" t="n">
        <v>1</v>
      </c>
      <c r="C242" t="n">
        <v>240</v>
      </c>
      <c r="D242" t="n">
        <v>0.1033</v>
      </c>
      <c r="E242" t="n">
        <v>8.580399999999999</v>
      </c>
      <c r="F242" t="n">
        <v>0.10883</v>
      </c>
    </row>
    <row r="243">
      <c r="A243" t="n">
        <v>1000241</v>
      </c>
      <c r="B243" t="n">
        <v>1</v>
      </c>
      <c r="C243" t="n">
        <v>241</v>
      </c>
      <c r="D243" t="n">
        <v>0.103</v>
      </c>
      <c r="E243" t="n">
        <v>8.590299999999999</v>
      </c>
      <c r="F243" t="n">
        <v>0.10883</v>
      </c>
    </row>
    <row r="244">
      <c r="A244" t="n">
        <v>1000242</v>
      </c>
      <c r="B244" t="n">
        <v>1</v>
      </c>
      <c r="C244" t="n">
        <v>242</v>
      </c>
      <c r="D244" t="n">
        <v>0.1026</v>
      </c>
      <c r="E244" t="n">
        <v>8.600300000000001</v>
      </c>
      <c r="F244" t="n">
        <v>0.10882</v>
      </c>
    </row>
    <row r="245">
      <c r="A245" t="n">
        <v>1000243</v>
      </c>
      <c r="B245" t="n">
        <v>1</v>
      </c>
      <c r="C245" t="n">
        <v>243</v>
      </c>
      <c r="D245" t="n">
        <v>0.1023</v>
      </c>
      <c r="E245" t="n">
        <v>8.610200000000001</v>
      </c>
      <c r="F245" t="n">
        <v>0.10882</v>
      </c>
    </row>
    <row r="246">
      <c r="A246" t="n">
        <v>1000244</v>
      </c>
      <c r="B246" t="n">
        <v>1</v>
      </c>
      <c r="C246" t="n">
        <v>244</v>
      </c>
      <c r="D246" t="n">
        <v>0.1019</v>
      </c>
      <c r="E246" t="n">
        <v>8.619999999999999</v>
      </c>
      <c r="F246" t="n">
        <v>0.10882</v>
      </c>
    </row>
    <row r="247">
      <c r="A247" t="n">
        <v>1000245</v>
      </c>
      <c r="B247" t="n">
        <v>1</v>
      </c>
      <c r="C247" t="n">
        <v>245</v>
      </c>
      <c r="D247" t="n">
        <v>0.1015</v>
      </c>
      <c r="E247" t="n">
        <v>8.629899999999999</v>
      </c>
      <c r="F247" t="n">
        <v>0.10882</v>
      </c>
    </row>
    <row r="248">
      <c r="A248" t="n">
        <v>1000246</v>
      </c>
      <c r="B248" t="n">
        <v>1</v>
      </c>
      <c r="C248" t="n">
        <v>246</v>
      </c>
      <c r="D248" t="n">
        <v>0.1012</v>
      </c>
      <c r="E248" t="n">
        <v>8.639699999999999</v>
      </c>
      <c r="F248" t="n">
        <v>0.10881</v>
      </c>
    </row>
    <row r="249">
      <c r="A249" t="n">
        <v>1000247</v>
      </c>
      <c r="B249" t="n">
        <v>1</v>
      </c>
      <c r="C249" t="n">
        <v>247</v>
      </c>
      <c r="D249" t="n">
        <v>0.1008</v>
      </c>
      <c r="E249" t="n">
        <v>8.6494</v>
      </c>
      <c r="F249" t="n">
        <v>0.10881</v>
      </c>
    </row>
    <row r="250">
      <c r="A250" t="n">
        <v>1000248</v>
      </c>
      <c r="B250" t="n">
        <v>1</v>
      </c>
      <c r="C250" t="n">
        <v>248</v>
      </c>
      <c r="D250" t="n">
        <v>0.1005</v>
      </c>
      <c r="E250" t="n">
        <v>8.6592</v>
      </c>
      <c r="F250" t="n">
        <v>0.10881</v>
      </c>
    </row>
    <row r="251">
      <c r="A251" t="n">
        <v>1000249</v>
      </c>
      <c r="B251" t="n">
        <v>1</v>
      </c>
      <c r="C251" t="n">
        <v>249</v>
      </c>
      <c r="D251" t="n">
        <v>0.1001</v>
      </c>
      <c r="E251" t="n">
        <v>8.668900000000001</v>
      </c>
      <c r="F251" t="n">
        <v>0.10881</v>
      </c>
    </row>
    <row r="252">
      <c r="A252" t="n">
        <v>1000250</v>
      </c>
      <c r="B252" t="n">
        <v>1</v>
      </c>
      <c r="C252" t="n">
        <v>250</v>
      </c>
      <c r="D252" t="n">
        <v>0.0998</v>
      </c>
      <c r="E252" t="n">
        <v>8.6785</v>
      </c>
      <c r="F252" t="n">
        <v>0.10881</v>
      </c>
    </row>
    <row r="253">
      <c r="A253" t="n">
        <v>1000251</v>
      </c>
      <c r="B253" t="n">
        <v>1</v>
      </c>
      <c r="C253" t="n">
        <v>251</v>
      </c>
      <c r="D253" t="n">
        <v>0.0994</v>
      </c>
      <c r="E253" t="n">
        <v>8.6882</v>
      </c>
      <c r="F253" t="n">
        <v>0.1088</v>
      </c>
    </row>
    <row r="254">
      <c r="A254" t="n">
        <v>1000252</v>
      </c>
      <c r="B254" t="n">
        <v>1</v>
      </c>
      <c r="C254" t="n">
        <v>252</v>
      </c>
      <c r="D254" t="n">
        <v>0.09909999999999999</v>
      </c>
      <c r="E254" t="n">
        <v>8.697800000000001</v>
      </c>
      <c r="F254" t="n">
        <v>0.1088</v>
      </c>
    </row>
    <row r="255">
      <c r="A255" t="n">
        <v>1000253</v>
      </c>
      <c r="B255" t="n">
        <v>1</v>
      </c>
      <c r="C255" t="n">
        <v>253</v>
      </c>
      <c r="D255" t="n">
        <v>0.0987</v>
      </c>
      <c r="E255" t="n">
        <v>8.7073</v>
      </c>
      <c r="F255" t="n">
        <v>0.1088</v>
      </c>
    </row>
    <row r="256">
      <c r="A256" t="n">
        <v>1000254</v>
      </c>
      <c r="B256" t="n">
        <v>1</v>
      </c>
      <c r="C256" t="n">
        <v>254</v>
      </c>
      <c r="D256" t="n">
        <v>0.0984</v>
      </c>
      <c r="E256" t="n">
        <v>8.716900000000001</v>
      </c>
      <c r="F256" t="n">
        <v>0.1088</v>
      </c>
    </row>
    <row r="257">
      <c r="A257" t="n">
        <v>1000255</v>
      </c>
      <c r="B257" t="n">
        <v>1</v>
      </c>
      <c r="C257" t="n">
        <v>255</v>
      </c>
      <c r="D257" t="n">
        <v>0.09810000000000001</v>
      </c>
      <c r="E257" t="n">
        <v>8.7264</v>
      </c>
      <c r="F257" t="n">
        <v>0.1088</v>
      </c>
    </row>
    <row r="258">
      <c r="A258" t="n">
        <v>1000256</v>
      </c>
      <c r="B258" t="n">
        <v>1</v>
      </c>
      <c r="C258" t="n">
        <v>256</v>
      </c>
      <c r="D258" t="n">
        <v>0.0977</v>
      </c>
      <c r="E258" t="n">
        <v>8.735900000000001</v>
      </c>
      <c r="F258" t="n">
        <v>0.1088</v>
      </c>
    </row>
    <row r="259">
      <c r="A259" t="n">
        <v>1000257</v>
      </c>
      <c r="B259" t="n">
        <v>1</v>
      </c>
      <c r="C259" t="n">
        <v>257</v>
      </c>
      <c r="D259" t="n">
        <v>0.0974</v>
      </c>
      <c r="E259" t="n">
        <v>8.7453</v>
      </c>
      <c r="F259" t="n">
        <v>0.1088</v>
      </c>
    </row>
    <row r="260">
      <c r="A260" t="n">
        <v>1000258</v>
      </c>
      <c r="B260" t="n">
        <v>1</v>
      </c>
      <c r="C260" t="n">
        <v>258</v>
      </c>
      <c r="D260" t="n">
        <v>0.097</v>
      </c>
      <c r="E260" t="n">
        <v>8.754799999999999</v>
      </c>
      <c r="F260" t="n">
        <v>0.1088</v>
      </c>
    </row>
    <row r="261">
      <c r="A261" t="n">
        <v>1000259</v>
      </c>
      <c r="B261" t="n">
        <v>1</v>
      </c>
      <c r="C261" t="n">
        <v>259</v>
      </c>
      <c r="D261" t="n">
        <v>0.09669999999999999</v>
      </c>
      <c r="E261" t="n">
        <v>8.764200000000001</v>
      </c>
      <c r="F261" t="n">
        <v>0.1088</v>
      </c>
    </row>
    <row r="262">
      <c r="A262" t="n">
        <v>1000260</v>
      </c>
      <c r="B262" t="n">
        <v>1</v>
      </c>
      <c r="C262" t="n">
        <v>260</v>
      </c>
      <c r="D262" t="n">
        <v>0.0963</v>
      </c>
      <c r="E262" t="n">
        <v>8.7735</v>
      </c>
      <c r="F262" t="n">
        <v>0.1088</v>
      </c>
    </row>
    <row r="263">
      <c r="A263" t="n">
        <v>1000261</v>
      </c>
      <c r="B263" t="n">
        <v>1</v>
      </c>
      <c r="C263" t="n">
        <v>261</v>
      </c>
      <c r="D263" t="n">
        <v>0.096</v>
      </c>
      <c r="E263" t="n">
        <v>8.7829</v>
      </c>
      <c r="F263" t="n">
        <v>0.1088</v>
      </c>
    </row>
    <row r="264">
      <c r="A264" t="n">
        <v>1000262</v>
      </c>
      <c r="B264" t="n">
        <v>1</v>
      </c>
      <c r="C264" t="n">
        <v>262</v>
      </c>
      <c r="D264" t="n">
        <v>0.09569999999999999</v>
      </c>
      <c r="E264" t="n">
        <v>8.792199999999999</v>
      </c>
      <c r="F264" t="n">
        <v>0.1088</v>
      </c>
    </row>
    <row r="265">
      <c r="A265" t="n">
        <v>1000263</v>
      </c>
      <c r="B265" t="n">
        <v>1</v>
      </c>
      <c r="C265" t="n">
        <v>263</v>
      </c>
      <c r="D265" t="n">
        <v>0.0953</v>
      </c>
      <c r="E265" t="n">
        <v>8.801500000000001</v>
      </c>
      <c r="F265" t="n">
        <v>0.1088</v>
      </c>
    </row>
    <row r="266">
      <c r="A266" t="n">
        <v>1000264</v>
      </c>
      <c r="B266" t="n">
        <v>1</v>
      </c>
      <c r="C266" t="n">
        <v>264</v>
      </c>
      <c r="D266" t="n">
        <v>0.095</v>
      </c>
      <c r="E266" t="n">
        <v>8.810700000000001</v>
      </c>
      <c r="F266" t="n">
        <v>0.1088</v>
      </c>
    </row>
    <row r="267">
      <c r="A267" t="n">
        <v>1000265</v>
      </c>
      <c r="B267" t="n">
        <v>1</v>
      </c>
      <c r="C267" t="n">
        <v>265</v>
      </c>
      <c r="D267" t="n">
        <v>0.09470000000000001</v>
      </c>
      <c r="E267" t="n">
        <v>8.82</v>
      </c>
      <c r="F267" t="n">
        <v>0.1088</v>
      </c>
    </row>
    <row r="268">
      <c r="A268" t="n">
        <v>1000266</v>
      </c>
      <c r="B268" t="n">
        <v>1</v>
      </c>
      <c r="C268" t="n">
        <v>266</v>
      </c>
      <c r="D268" t="n">
        <v>0.09429999999999999</v>
      </c>
      <c r="E268" t="n">
        <v>8.8292</v>
      </c>
      <c r="F268" t="n">
        <v>0.1088</v>
      </c>
    </row>
    <row r="269">
      <c r="A269" t="n">
        <v>1000267</v>
      </c>
      <c r="B269" t="n">
        <v>1</v>
      </c>
      <c r="C269" t="n">
        <v>267</v>
      </c>
      <c r="D269" t="n">
        <v>0.094</v>
      </c>
      <c r="E269" t="n">
        <v>8.8384</v>
      </c>
      <c r="F269" t="n">
        <v>0.1088</v>
      </c>
    </row>
    <row r="270">
      <c r="A270" t="n">
        <v>1000268</v>
      </c>
      <c r="B270" t="n">
        <v>1</v>
      </c>
      <c r="C270" t="n">
        <v>268</v>
      </c>
      <c r="D270" t="n">
        <v>0.09370000000000001</v>
      </c>
      <c r="E270" t="n">
        <v>8.8475</v>
      </c>
      <c r="F270" t="n">
        <v>0.1088</v>
      </c>
    </row>
    <row r="271">
      <c r="A271" t="n">
        <v>1000269</v>
      </c>
      <c r="B271" t="n">
        <v>1</v>
      </c>
      <c r="C271" t="n">
        <v>269</v>
      </c>
      <c r="D271" t="n">
        <v>0.09329999999999999</v>
      </c>
      <c r="E271" t="n">
        <v>8.8567</v>
      </c>
      <c r="F271" t="n">
        <v>0.1088</v>
      </c>
    </row>
    <row r="272">
      <c r="A272" t="n">
        <v>1000270</v>
      </c>
      <c r="B272" t="n">
        <v>1</v>
      </c>
      <c r="C272" t="n">
        <v>270</v>
      </c>
      <c r="D272" t="n">
        <v>0.093</v>
      </c>
      <c r="E272" t="n">
        <v>8.8658</v>
      </c>
      <c r="F272" t="n">
        <v>0.1088</v>
      </c>
    </row>
    <row r="273">
      <c r="A273" t="n">
        <v>1000271</v>
      </c>
      <c r="B273" t="n">
        <v>1</v>
      </c>
      <c r="C273" t="n">
        <v>271</v>
      </c>
      <c r="D273" t="n">
        <v>0.0927</v>
      </c>
      <c r="E273" t="n">
        <v>8.8748</v>
      </c>
      <c r="F273" t="n">
        <v>0.1088</v>
      </c>
    </row>
    <row r="274">
      <c r="A274" t="n">
        <v>1000272</v>
      </c>
      <c r="B274" t="n">
        <v>1</v>
      </c>
      <c r="C274" t="n">
        <v>272</v>
      </c>
      <c r="D274" t="n">
        <v>0.09229999999999999</v>
      </c>
      <c r="E274" t="n">
        <v>8.883900000000001</v>
      </c>
      <c r="F274" t="n">
        <v>0.10881</v>
      </c>
    </row>
    <row r="275">
      <c r="A275" t="n">
        <v>1000273</v>
      </c>
      <c r="B275" t="n">
        <v>1</v>
      </c>
      <c r="C275" t="n">
        <v>273</v>
      </c>
      <c r="D275" t="n">
        <v>0.092</v>
      </c>
      <c r="E275" t="n">
        <v>8.892899999999999</v>
      </c>
      <c r="F275" t="n">
        <v>0.10881</v>
      </c>
    </row>
    <row r="276">
      <c r="A276" t="n">
        <v>1000274</v>
      </c>
      <c r="B276" t="n">
        <v>1</v>
      </c>
      <c r="C276" t="n">
        <v>274</v>
      </c>
      <c r="D276" t="n">
        <v>0.0917</v>
      </c>
      <c r="E276" t="n">
        <v>8.901899999999999</v>
      </c>
      <c r="F276" t="n">
        <v>0.10881</v>
      </c>
    </row>
    <row r="277">
      <c r="A277" t="n">
        <v>1000275</v>
      </c>
      <c r="B277" t="n">
        <v>1</v>
      </c>
      <c r="C277" t="n">
        <v>275</v>
      </c>
      <c r="D277" t="n">
        <v>0.09130000000000001</v>
      </c>
      <c r="E277" t="n">
        <v>8.9109</v>
      </c>
      <c r="F277" t="n">
        <v>0.10881</v>
      </c>
    </row>
    <row r="278">
      <c r="A278" t="n">
        <v>1000276</v>
      </c>
      <c r="B278" t="n">
        <v>1</v>
      </c>
      <c r="C278" t="n">
        <v>276</v>
      </c>
      <c r="D278" t="n">
        <v>0.091</v>
      </c>
      <c r="E278" t="n">
        <v>8.9199</v>
      </c>
      <c r="F278" t="n">
        <v>0.10881</v>
      </c>
    </row>
    <row r="279">
      <c r="A279" t="n">
        <v>1000277</v>
      </c>
      <c r="B279" t="n">
        <v>1</v>
      </c>
      <c r="C279" t="n">
        <v>277</v>
      </c>
      <c r="D279" t="n">
        <v>0.0907</v>
      </c>
      <c r="E279" t="n">
        <v>8.928800000000001</v>
      </c>
      <c r="F279" t="n">
        <v>0.10882</v>
      </c>
    </row>
    <row r="280">
      <c r="A280" t="n">
        <v>1000278</v>
      </c>
      <c r="B280" t="n">
        <v>1</v>
      </c>
      <c r="C280" t="n">
        <v>278</v>
      </c>
      <c r="D280" t="n">
        <v>0.09039999999999999</v>
      </c>
      <c r="E280" t="n">
        <v>8.9377</v>
      </c>
      <c r="F280" t="n">
        <v>0.10882</v>
      </c>
    </row>
    <row r="281">
      <c r="A281" t="n">
        <v>1000279</v>
      </c>
      <c r="B281" t="n">
        <v>1</v>
      </c>
      <c r="C281" t="n">
        <v>279</v>
      </c>
      <c r="D281" t="n">
        <v>0.09</v>
      </c>
      <c r="E281" t="n">
        <v>8.9466</v>
      </c>
      <c r="F281" t="n">
        <v>0.10882</v>
      </c>
    </row>
    <row r="282">
      <c r="A282" t="n">
        <v>1000280</v>
      </c>
      <c r="B282" t="n">
        <v>1</v>
      </c>
      <c r="C282" t="n">
        <v>280</v>
      </c>
      <c r="D282" t="n">
        <v>0.0897</v>
      </c>
      <c r="E282" t="n">
        <v>8.955500000000001</v>
      </c>
      <c r="F282" t="n">
        <v>0.10882</v>
      </c>
    </row>
    <row r="283">
      <c r="A283" t="n">
        <v>1000281</v>
      </c>
      <c r="B283" t="n">
        <v>1</v>
      </c>
      <c r="C283" t="n">
        <v>281</v>
      </c>
      <c r="D283" t="n">
        <v>0.08939999999999999</v>
      </c>
      <c r="E283" t="n">
        <v>8.9643</v>
      </c>
      <c r="F283" t="n">
        <v>0.10882</v>
      </c>
    </row>
    <row r="284">
      <c r="A284" t="n">
        <v>1000282</v>
      </c>
      <c r="B284" t="n">
        <v>1</v>
      </c>
      <c r="C284" t="n">
        <v>282</v>
      </c>
      <c r="D284" t="n">
        <v>0.0891</v>
      </c>
      <c r="E284" t="n">
        <v>8.973100000000001</v>
      </c>
      <c r="F284" t="n">
        <v>0.10883</v>
      </c>
    </row>
    <row r="285">
      <c r="A285" t="n">
        <v>1000283</v>
      </c>
      <c r="B285" t="n">
        <v>1</v>
      </c>
      <c r="C285" t="n">
        <v>283</v>
      </c>
      <c r="D285" t="n">
        <v>0.0887</v>
      </c>
      <c r="E285" t="n">
        <v>8.9819</v>
      </c>
      <c r="F285" t="n">
        <v>0.10883</v>
      </c>
    </row>
    <row r="286">
      <c r="A286" t="n">
        <v>1000284</v>
      </c>
      <c r="B286" t="n">
        <v>1</v>
      </c>
      <c r="C286" t="n">
        <v>284</v>
      </c>
      <c r="D286" t="n">
        <v>0.08840000000000001</v>
      </c>
      <c r="E286" t="n">
        <v>8.9907</v>
      </c>
      <c r="F286" t="n">
        <v>0.10883</v>
      </c>
    </row>
    <row r="287">
      <c r="A287" t="n">
        <v>1000285</v>
      </c>
      <c r="B287" t="n">
        <v>1</v>
      </c>
      <c r="C287" t="n">
        <v>285</v>
      </c>
      <c r="D287" t="n">
        <v>0.0881</v>
      </c>
      <c r="E287" t="n">
        <v>8.999499999999999</v>
      </c>
      <c r="F287" t="n">
        <v>0.10884</v>
      </c>
    </row>
    <row r="288">
      <c r="A288" t="n">
        <v>1000286</v>
      </c>
      <c r="B288" t="n">
        <v>1</v>
      </c>
      <c r="C288" t="n">
        <v>286</v>
      </c>
      <c r="D288" t="n">
        <v>0.0878</v>
      </c>
      <c r="E288" t="n">
        <v>9.0082</v>
      </c>
      <c r="F288" t="n">
        <v>0.10884</v>
      </c>
    </row>
    <row r="289">
      <c r="A289" t="n">
        <v>1000287</v>
      </c>
      <c r="B289" t="n">
        <v>1</v>
      </c>
      <c r="C289" t="n">
        <v>287</v>
      </c>
      <c r="D289" t="n">
        <v>0.08749999999999999</v>
      </c>
      <c r="E289" t="n">
        <v>9.0169</v>
      </c>
      <c r="F289" t="n">
        <v>0.10884</v>
      </c>
    </row>
    <row r="290">
      <c r="A290" t="n">
        <v>1000288</v>
      </c>
      <c r="B290" t="n">
        <v>1</v>
      </c>
      <c r="C290" t="n">
        <v>288</v>
      </c>
      <c r="D290" t="n">
        <v>0.0871</v>
      </c>
      <c r="E290" t="n">
        <v>9.025600000000001</v>
      </c>
      <c r="F290" t="n">
        <v>0.10884</v>
      </c>
    </row>
    <row r="291">
      <c r="A291" t="n">
        <v>1000289</v>
      </c>
      <c r="B291" t="n">
        <v>1</v>
      </c>
      <c r="C291" t="n">
        <v>289</v>
      </c>
      <c r="D291" t="n">
        <v>0.0868</v>
      </c>
      <c r="E291" t="n">
        <v>9.0342</v>
      </c>
      <c r="F291" t="n">
        <v>0.10885</v>
      </c>
    </row>
    <row r="292">
      <c r="A292" t="n">
        <v>1000290</v>
      </c>
      <c r="B292" t="n">
        <v>1</v>
      </c>
      <c r="C292" t="n">
        <v>290</v>
      </c>
      <c r="D292" t="n">
        <v>0.08649999999999999</v>
      </c>
      <c r="E292" t="n">
        <v>9.042899999999999</v>
      </c>
      <c r="F292" t="n">
        <v>0.10885</v>
      </c>
    </row>
    <row r="293">
      <c r="A293" t="n">
        <v>1000291</v>
      </c>
      <c r="B293" t="n">
        <v>1</v>
      </c>
      <c r="C293" t="n">
        <v>291</v>
      </c>
      <c r="D293" t="n">
        <v>0.0862</v>
      </c>
      <c r="E293" t="n">
        <v>9.051500000000001</v>
      </c>
      <c r="F293" t="n">
        <v>0.10885</v>
      </c>
    </row>
    <row r="294">
      <c r="A294" t="n">
        <v>1000292</v>
      </c>
      <c r="B294" t="n">
        <v>1</v>
      </c>
      <c r="C294" t="n">
        <v>292</v>
      </c>
      <c r="D294" t="n">
        <v>0.0859</v>
      </c>
      <c r="E294" t="n">
        <v>9.0601</v>
      </c>
      <c r="F294" t="n">
        <v>0.10886</v>
      </c>
    </row>
    <row r="295">
      <c r="A295" t="n">
        <v>1000293</v>
      </c>
      <c r="B295" t="n">
        <v>1</v>
      </c>
      <c r="C295" t="n">
        <v>293</v>
      </c>
      <c r="D295" t="n">
        <v>0.0856</v>
      </c>
      <c r="E295" t="n">
        <v>9.0687</v>
      </c>
      <c r="F295" t="n">
        <v>0.10886</v>
      </c>
    </row>
    <row r="296">
      <c r="A296" t="n">
        <v>1000294</v>
      </c>
      <c r="B296" t="n">
        <v>1</v>
      </c>
      <c r="C296" t="n">
        <v>294</v>
      </c>
      <c r="D296" t="n">
        <v>0.0852</v>
      </c>
      <c r="E296" t="n">
        <v>9.077199999999999</v>
      </c>
      <c r="F296" t="n">
        <v>0.10887</v>
      </c>
    </row>
    <row r="297">
      <c r="A297" t="n">
        <v>1000295</v>
      </c>
      <c r="B297" t="n">
        <v>1</v>
      </c>
      <c r="C297" t="n">
        <v>295</v>
      </c>
      <c r="D297" t="n">
        <v>0.0849</v>
      </c>
      <c r="E297" t="n">
        <v>9.085800000000001</v>
      </c>
      <c r="F297" t="n">
        <v>0.10887</v>
      </c>
    </row>
    <row r="298">
      <c r="A298" t="n">
        <v>1000296</v>
      </c>
      <c r="B298" t="n">
        <v>1</v>
      </c>
      <c r="C298" t="n">
        <v>296</v>
      </c>
      <c r="D298" t="n">
        <v>0.08459999999999999</v>
      </c>
      <c r="E298" t="n">
        <v>9.0943</v>
      </c>
      <c r="F298" t="n">
        <v>0.10887</v>
      </c>
    </row>
    <row r="299">
      <c r="A299" t="n">
        <v>1000297</v>
      </c>
      <c r="B299" t="n">
        <v>1</v>
      </c>
      <c r="C299" t="n">
        <v>297</v>
      </c>
      <c r="D299" t="n">
        <v>0.0843</v>
      </c>
      <c r="E299" t="n">
        <v>9.1028</v>
      </c>
      <c r="F299" t="n">
        <v>0.10888</v>
      </c>
    </row>
    <row r="300">
      <c r="A300" t="n">
        <v>1000298</v>
      </c>
      <c r="B300" t="n">
        <v>1</v>
      </c>
      <c r="C300" t="n">
        <v>298</v>
      </c>
      <c r="D300" t="n">
        <v>0.08400000000000001</v>
      </c>
      <c r="E300" t="n">
        <v>9.1113</v>
      </c>
      <c r="F300" t="n">
        <v>0.10888</v>
      </c>
    </row>
    <row r="301">
      <c r="A301" t="n">
        <v>1000299</v>
      </c>
      <c r="B301" t="n">
        <v>1</v>
      </c>
      <c r="C301" t="n">
        <v>299</v>
      </c>
      <c r="D301" t="n">
        <v>0.0837</v>
      </c>
      <c r="E301" t="n">
        <v>9.1198</v>
      </c>
      <c r="F301" t="n">
        <v>0.10888</v>
      </c>
    </row>
    <row r="302">
      <c r="A302" t="n">
        <v>1000300</v>
      </c>
      <c r="B302" t="n">
        <v>1</v>
      </c>
      <c r="C302" t="n">
        <v>300</v>
      </c>
      <c r="D302" t="n">
        <v>0.0834</v>
      </c>
      <c r="E302" t="n">
        <v>9.1282</v>
      </c>
      <c r="F302" t="n">
        <v>0.10889</v>
      </c>
    </row>
    <row r="303">
      <c r="A303" t="n">
        <v>1000301</v>
      </c>
      <c r="B303" t="n">
        <v>1</v>
      </c>
      <c r="C303" t="n">
        <v>301</v>
      </c>
      <c r="D303" t="n">
        <v>0.08309999999999999</v>
      </c>
      <c r="E303" t="n">
        <v>9.1366</v>
      </c>
      <c r="F303" t="n">
        <v>0.10889</v>
      </c>
    </row>
    <row r="304">
      <c r="A304" t="n">
        <v>1000302</v>
      </c>
      <c r="B304" t="n">
        <v>1</v>
      </c>
      <c r="C304" t="n">
        <v>302</v>
      </c>
      <c r="D304" t="n">
        <v>0.0827</v>
      </c>
      <c r="E304" t="n">
        <v>9.145</v>
      </c>
      <c r="F304" t="n">
        <v>0.1089</v>
      </c>
    </row>
    <row r="305">
      <c r="A305" t="n">
        <v>1000303</v>
      </c>
      <c r="B305" t="n">
        <v>1</v>
      </c>
      <c r="C305" t="n">
        <v>303</v>
      </c>
      <c r="D305" t="n">
        <v>0.0824</v>
      </c>
      <c r="E305" t="n">
        <v>9.1534</v>
      </c>
      <c r="F305" t="n">
        <v>0.1089</v>
      </c>
    </row>
    <row r="306">
      <c r="A306" t="n">
        <v>1000304</v>
      </c>
      <c r="B306" t="n">
        <v>1</v>
      </c>
      <c r="C306" t="n">
        <v>304</v>
      </c>
      <c r="D306" t="n">
        <v>0.08210000000000001</v>
      </c>
      <c r="E306" t="n">
        <v>9.161799999999999</v>
      </c>
      <c r="F306" t="n">
        <v>0.1089</v>
      </c>
    </row>
    <row r="307">
      <c r="A307" t="n">
        <v>1000305</v>
      </c>
      <c r="B307" t="n">
        <v>1</v>
      </c>
      <c r="C307" t="n">
        <v>305</v>
      </c>
      <c r="D307" t="n">
        <v>0.0818</v>
      </c>
      <c r="E307" t="n">
        <v>9.1701</v>
      </c>
      <c r="F307" t="n">
        <v>0.10891</v>
      </c>
    </row>
    <row r="308">
      <c r="A308" t="n">
        <v>1000306</v>
      </c>
      <c r="B308" t="n">
        <v>1</v>
      </c>
      <c r="C308" t="n">
        <v>306</v>
      </c>
      <c r="D308" t="n">
        <v>0.0815</v>
      </c>
      <c r="E308" t="n">
        <v>9.1785</v>
      </c>
      <c r="F308" t="n">
        <v>0.10891</v>
      </c>
    </row>
    <row r="309">
      <c r="A309" t="n">
        <v>1000307</v>
      </c>
      <c r="B309" t="n">
        <v>1</v>
      </c>
      <c r="C309" t="n">
        <v>307</v>
      </c>
      <c r="D309" t="n">
        <v>0.08119999999999999</v>
      </c>
      <c r="E309" t="n">
        <v>9.1868</v>
      </c>
      <c r="F309" t="n">
        <v>0.10892</v>
      </c>
    </row>
    <row r="310">
      <c r="A310" t="n">
        <v>1000308</v>
      </c>
      <c r="B310" t="n">
        <v>1</v>
      </c>
      <c r="C310" t="n">
        <v>308</v>
      </c>
      <c r="D310" t="n">
        <v>0.0809</v>
      </c>
      <c r="E310" t="n">
        <v>9.1951</v>
      </c>
      <c r="F310" t="n">
        <v>0.10892</v>
      </c>
    </row>
    <row r="311">
      <c r="A311" t="n">
        <v>1000309</v>
      </c>
      <c r="B311" t="n">
        <v>1</v>
      </c>
      <c r="C311" t="n">
        <v>309</v>
      </c>
      <c r="D311" t="n">
        <v>0.0806</v>
      </c>
      <c r="E311" t="n">
        <v>9.2034</v>
      </c>
      <c r="F311" t="n">
        <v>0.10893</v>
      </c>
    </row>
    <row r="312">
      <c r="A312" t="n">
        <v>1000310</v>
      </c>
      <c r="B312" t="n">
        <v>1</v>
      </c>
      <c r="C312" t="n">
        <v>310</v>
      </c>
      <c r="D312" t="n">
        <v>0.0803</v>
      </c>
      <c r="E312" t="n">
        <v>9.2117</v>
      </c>
      <c r="F312" t="n">
        <v>0.10893</v>
      </c>
    </row>
    <row r="313">
      <c r="A313" t="n">
        <v>1000311</v>
      </c>
      <c r="B313" t="n">
        <v>1</v>
      </c>
      <c r="C313" t="n">
        <v>311</v>
      </c>
      <c r="D313" t="n">
        <v>0.08</v>
      </c>
      <c r="E313" t="n">
        <v>9.219900000000001</v>
      </c>
      <c r="F313" t="n">
        <v>0.10894</v>
      </c>
    </row>
    <row r="314">
      <c r="A314" t="n">
        <v>1000312</v>
      </c>
      <c r="B314" t="n">
        <v>1</v>
      </c>
      <c r="C314" t="n">
        <v>312</v>
      </c>
      <c r="D314" t="n">
        <v>0.07969999999999999</v>
      </c>
      <c r="E314" t="n">
        <v>9.228199999999999</v>
      </c>
      <c r="F314" t="n">
        <v>0.10894</v>
      </c>
    </row>
    <row r="315">
      <c r="A315" t="n">
        <v>1000313</v>
      </c>
      <c r="B315" t="n">
        <v>1</v>
      </c>
      <c r="C315" t="n">
        <v>313</v>
      </c>
      <c r="D315" t="n">
        <v>0.0794</v>
      </c>
      <c r="E315" t="n">
        <v>9.2364</v>
      </c>
      <c r="F315" t="n">
        <v>0.10894</v>
      </c>
    </row>
    <row r="316">
      <c r="A316" t="n">
        <v>1000314</v>
      </c>
      <c r="B316" t="n">
        <v>1</v>
      </c>
      <c r="C316" t="n">
        <v>314</v>
      </c>
      <c r="D316" t="n">
        <v>0.0791</v>
      </c>
      <c r="E316" t="n">
        <v>9.2446</v>
      </c>
      <c r="F316" t="n">
        <v>0.10895</v>
      </c>
    </row>
    <row r="317">
      <c r="A317" t="n">
        <v>1000315</v>
      </c>
      <c r="B317" t="n">
        <v>1</v>
      </c>
      <c r="C317" t="n">
        <v>315</v>
      </c>
      <c r="D317" t="n">
        <v>0.0788</v>
      </c>
      <c r="E317" t="n">
        <v>9.252800000000001</v>
      </c>
      <c r="F317" t="n">
        <v>0.10895</v>
      </c>
    </row>
    <row r="318">
      <c r="A318" t="n">
        <v>1000316</v>
      </c>
      <c r="B318" t="n">
        <v>1</v>
      </c>
      <c r="C318" t="n">
        <v>316</v>
      </c>
      <c r="D318" t="n">
        <v>0.0785</v>
      </c>
      <c r="E318" t="n">
        <v>9.260999999999999</v>
      </c>
      <c r="F318" t="n">
        <v>0.10896</v>
      </c>
    </row>
    <row r="319">
      <c r="A319" t="n">
        <v>1000317</v>
      </c>
      <c r="B319" t="n">
        <v>1</v>
      </c>
      <c r="C319" t="n">
        <v>317</v>
      </c>
      <c r="D319" t="n">
        <v>0.07820000000000001</v>
      </c>
      <c r="E319" t="n">
        <v>9.2691</v>
      </c>
      <c r="F319" t="n">
        <v>0.10896</v>
      </c>
    </row>
    <row r="320">
      <c r="A320" t="n">
        <v>1000318</v>
      </c>
      <c r="B320" t="n">
        <v>1</v>
      </c>
      <c r="C320" t="n">
        <v>318</v>
      </c>
      <c r="D320" t="n">
        <v>0.0779</v>
      </c>
      <c r="E320" t="n">
        <v>9.2773</v>
      </c>
      <c r="F320" t="n">
        <v>0.10897</v>
      </c>
    </row>
    <row r="321">
      <c r="A321" t="n">
        <v>1000319</v>
      </c>
      <c r="B321" t="n">
        <v>1</v>
      </c>
      <c r="C321" t="n">
        <v>319</v>
      </c>
      <c r="D321" t="n">
        <v>0.0776</v>
      </c>
      <c r="E321" t="n">
        <v>9.285399999999999</v>
      </c>
      <c r="F321" t="n">
        <v>0.10897</v>
      </c>
    </row>
    <row r="322">
      <c r="A322" t="n">
        <v>1000320</v>
      </c>
      <c r="B322" t="n">
        <v>1</v>
      </c>
      <c r="C322" t="n">
        <v>320</v>
      </c>
      <c r="D322" t="n">
        <v>0.07729999999999999</v>
      </c>
      <c r="E322" t="n">
        <v>9.2935</v>
      </c>
      <c r="F322" t="n">
        <v>0.10898</v>
      </c>
    </row>
    <row r="323">
      <c r="A323" t="n">
        <v>1000321</v>
      </c>
      <c r="B323" t="n">
        <v>1</v>
      </c>
      <c r="C323" t="n">
        <v>321</v>
      </c>
      <c r="D323" t="n">
        <v>0.077</v>
      </c>
      <c r="E323" t="n">
        <v>9.301600000000001</v>
      </c>
      <c r="F323" t="n">
        <v>0.10898</v>
      </c>
    </row>
    <row r="324">
      <c r="A324" t="n">
        <v>1000322</v>
      </c>
      <c r="B324" t="n">
        <v>1</v>
      </c>
      <c r="C324" t="n">
        <v>322</v>
      </c>
      <c r="D324" t="n">
        <v>0.0767</v>
      </c>
      <c r="E324" t="n">
        <v>9.309699999999999</v>
      </c>
      <c r="F324" t="n">
        <v>0.10899</v>
      </c>
    </row>
    <row r="325">
      <c r="A325" t="n">
        <v>1000323</v>
      </c>
      <c r="B325" t="n">
        <v>1</v>
      </c>
      <c r="C325" t="n">
        <v>323</v>
      </c>
      <c r="D325" t="n">
        <v>0.0764</v>
      </c>
      <c r="E325" t="n">
        <v>9.3178</v>
      </c>
      <c r="F325" t="n">
        <v>0.10899</v>
      </c>
    </row>
    <row r="326">
      <c r="A326" t="n">
        <v>1000324</v>
      </c>
      <c r="B326" t="n">
        <v>1</v>
      </c>
      <c r="C326" t="n">
        <v>324</v>
      </c>
      <c r="D326" t="n">
        <v>0.0761</v>
      </c>
      <c r="E326" t="n">
        <v>9.325799999999999</v>
      </c>
      <c r="F326" t="n">
        <v>0.109</v>
      </c>
    </row>
    <row r="327">
      <c r="A327" t="n">
        <v>1000325</v>
      </c>
      <c r="B327" t="n">
        <v>1</v>
      </c>
      <c r="C327" t="n">
        <v>325</v>
      </c>
      <c r="D327" t="n">
        <v>0.07580000000000001</v>
      </c>
      <c r="E327" t="n">
        <v>9.3339</v>
      </c>
      <c r="F327" t="n">
        <v>0.10901</v>
      </c>
    </row>
    <row r="328">
      <c r="A328" t="n">
        <v>1000326</v>
      </c>
      <c r="B328" t="n">
        <v>1</v>
      </c>
      <c r="C328" t="n">
        <v>326</v>
      </c>
      <c r="D328" t="n">
        <v>0.0755</v>
      </c>
      <c r="E328" t="n">
        <v>9.341900000000001</v>
      </c>
      <c r="F328" t="n">
        <v>0.10901</v>
      </c>
    </row>
    <row r="329">
      <c r="A329" t="n">
        <v>1000327</v>
      </c>
      <c r="B329" t="n">
        <v>1</v>
      </c>
      <c r="C329" t="n">
        <v>327</v>
      </c>
      <c r="D329" t="n">
        <v>0.0752</v>
      </c>
      <c r="E329" t="n">
        <v>9.3499</v>
      </c>
      <c r="F329" t="n">
        <v>0.10902</v>
      </c>
    </row>
    <row r="330">
      <c r="A330" t="n">
        <v>1000328</v>
      </c>
      <c r="B330" t="n">
        <v>1</v>
      </c>
      <c r="C330" t="n">
        <v>328</v>
      </c>
      <c r="D330" t="n">
        <v>0.07489999999999999</v>
      </c>
      <c r="E330" t="n">
        <v>9.357900000000001</v>
      </c>
      <c r="F330" t="n">
        <v>0.10902</v>
      </c>
    </row>
    <row r="331">
      <c r="A331" t="n">
        <v>1000329</v>
      </c>
      <c r="B331" t="n">
        <v>1</v>
      </c>
      <c r="C331" t="n">
        <v>329</v>
      </c>
      <c r="D331" t="n">
        <v>0.0746</v>
      </c>
      <c r="E331" t="n">
        <v>9.3659</v>
      </c>
      <c r="F331" t="n">
        <v>0.10903</v>
      </c>
    </row>
    <row r="332">
      <c r="A332" t="n">
        <v>1000330</v>
      </c>
      <c r="B332" t="n">
        <v>1</v>
      </c>
      <c r="C332" t="n">
        <v>330</v>
      </c>
      <c r="D332" t="n">
        <v>0.07439999999999999</v>
      </c>
      <c r="E332" t="n">
        <v>9.373900000000001</v>
      </c>
      <c r="F332" t="n">
        <v>0.10903</v>
      </c>
    </row>
    <row r="333">
      <c r="A333" t="n">
        <v>1000331</v>
      </c>
      <c r="B333" t="n">
        <v>1</v>
      </c>
      <c r="C333" t="n">
        <v>331</v>
      </c>
      <c r="D333" t="n">
        <v>0.0741</v>
      </c>
      <c r="E333" t="n">
        <v>9.3819</v>
      </c>
      <c r="F333" t="n">
        <v>0.10904</v>
      </c>
    </row>
    <row r="334">
      <c r="A334" t="n">
        <v>1000332</v>
      </c>
      <c r="B334" t="n">
        <v>1</v>
      </c>
      <c r="C334" t="n">
        <v>332</v>
      </c>
      <c r="D334" t="n">
        <v>0.0738</v>
      </c>
      <c r="E334" t="n">
        <v>9.389799999999999</v>
      </c>
      <c r="F334" t="n">
        <v>0.10904</v>
      </c>
    </row>
    <row r="335">
      <c r="A335" t="n">
        <v>1000333</v>
      </c>
      <c r="B335" t="n">
        <v>1</v>
      </c>
      <c r="C335" t="n">
        <v>333</v>
      </c>
      <c r="D335" t="n">
        <v>0.0735</v>
      </c>
      <c r="E335" t="n">
        <v>9.3978</v>
      </c>
      <c r="F335" t="n">
        <v>0.10905</v>
      </c>
    </row>
    <row r="336">
      <c r="A336" t="n">
        <v>1000334</v>
      </c>
      <c r="B336" t="n">
        <v>1</v>
      </c>
      <c r="C336" t="n">
        <v>334</v>
      </c>
      <c r="D336" t="n">
        <v>0.0732</v>
      </c>
      <c r="E336" t="n">
        <v>9.4057</v>
      </c>
      <c r="F336" t="n">
        <v>0.10905</v>
      </c>
    </row>
    <row r="337">
      <c r="A337" t="n">
        <v>1000335</v>
      </c>
      <c r="B337" t="n">
        <v>1</v>
      </c>
      <c r="C337" t="n">
        <v>335</v>
      </c>
      <c r="D337" t="n">
        <v>0.07290000000000001</v>
      </c>
      <c r="E337" t="n">
        <v>9.413600000000001</v>
      </c>
      <c r="F337" t="n">
        <v>0.10906</v>
      </c>
    </row>
    <row r="338">
      <c r="A338" t="n">
        <v>1000336</v>
      </c>
      <c r="B338" t="n">
        <v>1</v>
      </c>
      <c r="C338" t="n">
        <v>336</v>
      </c>
      <c r="D338" t="n">
        <v>0.0726</v>
      </c>
      <c r="E338" t="n">
        <v>9.4215</v>
      </c>
      <c r="F338" t="n">
        <v>0.10907</v>
      </c>
    </row>
    <row r="339">
      <c r="A339" t="n">
        <v>1000337</v>
      </c>
      <c r="B339" t="n">
        <v>1</v>
      </c>
      <c r="C339" t="n">
        <v>337</v>
      </c>
      <c r="D339" t="n">
        <v>0.0723</v>
      </c>
      <c r="E339" t="n">
        <v>9.429399999999999</v>
      </c>
      <c r="F339" t="n">
        <v>0.10907</v>
      </c>
    </row>
    <row r="340">
      <c r="A340" t="n">
        <v>1000338</v>
      </c>
      <c r="B340" t="n">
        <v>1</v>
      </c>
      <c r="C340" t="n">
        <v>338</v>
      </c>
      <c r="D340" t="n">
        <v>0.07199999999999999</v>
      </c>
      <c r="E340" t="n">
        <v>9.4373</v>
      </c>
      <c r="F340" t="n">
        <v>0.10908</v>
      </c>
    </row>
    <row r="341">
      <c r="A341" t="n">
        <v>1000339</v>
      </c>
      <c r="B341" t="n">
        <v>1</v>
      </c>
      <c r="C341" t="n">
        <v>339</v>
      </c>
      <c r="D341" t="n">
        <v>0.0718</v>
      </c>
      <c r="E341" t="n">
        <v>9.4452</v>
      </c>
      <c r="F341" t="n">
        <v>0.10908</v>
      </c>
    </row>
    <row r="342">
      <c r="A342" t="n">
        <v>1000340</v>
      </c>
      <c r="B342" t="n">
        <v>1</v>
      </c>
      <c r="C342" t="n">
        <v>340</v>
      </c>
      <c r="D342" t="n">
        <v>0.07149999999999999</v>
      </c>
      <c r="E342" t="n">
        <v>9.452999999999999</v>
      </c>
      <c r="F342" t="n">
        <v>0.10909</v>
      </c>
    </row>
    <row r="343">
      <c r="A343" t="n">
        <v>1000341</v>
      </c>
      <c r="B343" t="n">
        <v>1</v>
      </c>
      <c r="C343" t="n">
        <v>341</v>
      </c>
      <c r="D343" t="n">
        <v>0.0712</v>
      </c>
      <c r="E343" t="n">
        <v>9.460900000000001</v>
      </c>
      <c r="F343" t="n">
        <v>0.1091</v>
      </c>
    </row>
    <row r="344">
      <c r="A344" t="n">
        <v>1000342</v>
      </c>
      <c r="B344" t="n">
        <v>1</v>
      </c>
      <c r="C344" t="n">
        <v>342</v>
      </c>
      <c r="D344" t="n">
        <v>0.0709</v>
      </c>
      <c r="E344" t="n">
        <v>9.4687</v>
      </c>
      <c r="F344" t="n">
        <v>0.1091</v>
      </c>
    </row>
    <row r="345">
      <c r="A345" t="n">
        <v>1000343</v>
      </c>
      <c r="B345" t="n">
        <v>1</v>
      </c>
      <c r="C345" t="n">
        <v>343</v>
      </c>
      <c r="D345" t="n">
        <v>0.0706</v>
      </c>
      <c r="E345" t="n">
        <v>9.4765</v>
      </c>
      <c r="F345" t="n">
        <v>0.10911</v>
      </c>
    </row>
    <row r="346">
      <c r="A346" t="n">
        <v>1000344</v>
      </c>
      <c r="B346" t="n">
        <v>1</v>
      </c>
      <c r="C346" t="n">
        <v>344</v>
      </c>
      <c r="D346" t="n">
        <v>0.0703</v>
      </c>
      <c r="E346" t="n">
        <v>9.484400000000001</v>
      </c>
      <c r="F346" t="n">
        <v>0.10911</v>
      </c>
    </row>
    <row r="347">
      <c r="A347" t="n">
        <v>1000345</v>
      </c>
      <c r="B347" t="n">
        <v>1</v>
      </c>
      <c r="C347" t="n">
        <v>345</v>
      </c>
      <c r="D347" t="n">
        <v>0.0701</v>
      </c>
      <c r="E347" t="n">
        <v>9.4922</v>
      </c>
      <c r="F347" t="n">
        <v>0.10912</v>
      </c>
    </row>
    <row r="348">
      <c r="A348" t="n">
        <v>1000346</v>
      </c>
      <c r="B348" t="n">
        <v>1</v>
      </c>
      <c r="C348" t="n">
        <v>346</v>
      </c>
      <c r="D348" t="n">
        <v>0.0698</v>
      </c>
      <c r="E348" t="n">
        <v>9.4999</v>
      </c>
      <c r="F348" t="n">
        <v>0.10913</v>
      </c>
    </row>
    <row r="349">
      <c r="A349" t="n">
        <v>1000347</v>
      </c>
      <c r="B349" t="n">
        <v>1</v>
      </c>
      <c r="C349" t="n">
        <v>347</v>
      </c>
      <c r="D349" t="n">
        <v>0.06950000000000001</v>
      </c>
      <c r="E349" t="n">
        <v>9.5077</v>
      </c>
      <c r="F349" t="n">
        <v>0.10913</v>
      </c>
    </row>
    <row r="350">
      <c r="A350" t="n">
        <v>1000348</v>
      </c>
      <c r="B350" t="n">
        <v>1</v>
      </c>
      <c r="C350" t="n">
        <v>348</v>
      </c>
      <c r="D350" t="n">
        <v>0.0692</v>
      </c>
      <c r="E350" t="n">
        <v>9.515499999999999</v>
      </c>
      <c r="F350" t="n">
        <v>0.10914</v>
      </c>
    </row>
    <row r="351">
      <c r="A351" t="n">
        <v>1000349</v>
      </c>
      <c r="B351" t="n">
        <v>1</v>
      </c>
      <c r="C351" t="n">
        <v>349</v>
      </c>
      <c r="D351" t="n">
        <v>0.0689</v>
      </c>
      <c r="E351" t="n">
        <v>9.523199999999999</v>
      </c>
      <c r="F351" t="n">
        <v>0.10915</v>
      </c>
    </row>
    <row r="352">
      <c r="A352" t="n">
        <v>1000350</v>
      </c>
      <c r="B352" t="n">
        <v>1</v>
      </c>
      <c r="C352" t="n">
        <v>350</v>
      </c>
      <c r="D352" t="n">
        <v>0.06859999999999999</v>
      </c>
      <c r="E352" t="n">
        <v>9.531000000000001</v>
      </c>
      <c r="F352" t="n">
        <v>0.10915</v>
      </c>
    </row>
    <row r="353">
      <c r="A353" t="n">
        <v>1000351</v>
      </c>
      <c r="B353" t="n">
        <v>1</v>
      </c>
      <c r="C353" t="n">
        <v>351</v>
      </c>
      <c r="D353" t="n">
        <v>0.0684</v>
      </c>
      <c r="E353" t="n">
        <v>9.5387</v>
      </c>
      <c r="F353" t="n">
        <v>0.10916</v>
      </c>
    </row>
    <row r="354">
      <c r="A354" t="n">
        <v>1000352</v>
      </c>
      <c r="B354" t="n">
        <v>1</v>
      </c>
      <c r="C354" t="n">
        <v>352</v>
      </c>
      <c r="D354" t="n">
        <v>0.06809999999999999</v>
      </c>
      <c r="E354" t="n">
        <v>9.5464</v>
      </c>
      <c r="F354" t="n">
        <v>0.10916</v>
      </c>
    </row>
    <row r="355">
      <c r="A355" t="n">
        <v>1000353</v>
      </c>
      <c r="B355" t="n">
        <v>1</v>
      </c>
      <c r="C355" t="n">
        <v>353</v>
      </c>
      <c r="D355" t="n">
        <v>0.0678</v>
      </c>
      <c r="E355" t="n">
        <v>9.5542</v>
      </c>
      <c r="F355" t="n">
        <v>0.10917</v>
      </c>
    </row>
    <row r="356">
      <c r="A356" t="n">
        <v>1000354</v>
      </c>
      <c r="B356" t="n">
        <v>1</v>
      </c>
      <c r="C356" t="n">
        <v>354</v>
      </c>
      <c r="D356" t="n">
        <v>0.0675</v>
      </c>
      <c r="E356" t="n">
        <v>9.5619</v>
      </c>
      <c r="F356" t="n">
        <v>0.10918</v>
      </c>
    </row>
    <row r="357">
      <c r="A357" t="n">
        <v>1000355</v>
      </c>
      <c r="B357" t="n">
        <v>1</v>
      </c>
      <c r="C357" t="n">
        <v>355</v>
      </c>
      <c r="D357" t="n">
        <v>0.0672</v>
      </c>
      <c r="E357" t="n">
        <v>9.569599999999999</v>
      </c>
      <c r="F357" t="n">
        <v>0.10918</v>
      </c>
    </row>
    <row r="358">
      <c r="A358" t="n">
        <v>1000356</v>
      </c>
      <c r="B358" t="n">
        <v>1</v>
      </c>
      <c r="C358" t="n">
        <v>356</v>
      </c>
      <c r="D358" t="n">
        <v>0.067</v>
      </c>
      <c r="E358" t="n">
        <v>9.577199999999999</v>
      </c>
      <c r="F358" t="n">
        <v>0.10919</v>
      </c>
    </row>
    <row r="359">
      <c r="A359" t="n">
        <v>1000357</v>
      </c>
      <c r="B359" t="n">
        <v>1</v>
      </c>
      <c r="C359" t="n">
        <v>357</v>
      </c>
      <c r="D359" t="n">
        <v>0.0667</v>
      </c>
      <c r="E359" t="n">
        <v>9.584899999999999</v>
      </c>
      <c r="F359" t="n">
        <v>0.1092</v>
      </c>
    </row>
    <row r="360">
      <c r="A360" t="n">
        <v>1000358</v>
      </c>
      <c r="B360" t="n">
        <v>1</v>
      </c>
      <c r="C360" t="n">
        <v>358</v>
      </c>
      <c r="D360" t="n">
        <v>0.0664</v>
      </c>
      <c r="E360" t="n">
        <v>9.592599999999999</v>
      </c>
      <c r="F360" t="n">
        <v>0.1092</v>
      </c>
    </row>
    <row r="361">
      <c r="A361" t="n">
        <v>1000359</v>
      </c>
      <c r="B361" t="n">
        <v>1</v>
      </c>
      <c r="C361" t="n">
        <v>359</v>
      </c>
      <c r="D361" t="n">
        <v>0.06610000000000001</v>
      </c>
      <c r="E361" t="n">
        <v>9.600199999999999</v>
      </c>
      <c r="F361" t="n">
        <v>0.10921</v>
      </c>
    </row>
    <row r="362">
      <c r="A362" t="n">
        <v>1000360</v>
      </c>
      <c r="B362" t="n">
        <v>1</v>
      </c>
      <c r="C362" t="n">
        <v>360</v>
      </c>
      <c r="D362" t="n">
        <v>0.0659</v>
      </c>
      <c r="E362" t="n">
        <v>9.607900000000001</v>
      </c>
      <c r="F362" t="n">
        <v>0.10922</v>
      </c>
    </row>
    <row r="363">
      <c r="A363" t="n">
        <v>1000361</v>
      </c>
      <c r="B363" t="n">
        <v>1</v>
      </c>
      <c r="C363" t="n">
        <v>361</v>
      </c>
      <c r="D363" t="n">
        <v>0.06560000000000001</v>
      </c>
      <c r="E363" t="n">
        <v>9.615500000000001</v>
      </c>
      <c r="F363" t="n">
        <v>0.10922</v>
      </c>
    </row>
    <row r="364">
      <c r="A364" t="n">
        <v>1000362</v>
      </c>
      <c r="B364" t="n">
        <v>1</v>
      </c>
      <c r="C364" t="n">
        <v>362</v>
      </c>
      <c r="D364" t="n">
        <v>0.0653</v>
      </c>
      <c r="E364" t="n">
        <v>9.623100000000001</v>
      </c>
      <c r="F364" t="n">
        <v>0.10923</v>
      </c>
    </row>
    <row r="365">
      <c r="A365" t="n">
        <v>1000363</v>
      </c>
      <c r="B365" t="n">
        <v>1</v>
      </c>
      <c r="C365" t="n">
        <v>363</v>
      </c>
      <c r="D365" t="n">
        <v>0.065</v>
      </c>
      <c r="E365" t="n">
        <v>9.630800000000001</v>
      </c>
      <c r="F365" t="n">
        <v>0.10924</v>
      </c>
    </row>
    <row r="366">
      <c r="A366" t="n">
        <v>1000364</v>
      </c>
      <c r="B366" t="n">
        <v>1</v>
      </c>
      <c r="C366" t="n">
        <v>364</v>
      </c>
      <c r="D366" t="n">
        <v>0.0648</v>
      </c>
      <c r="E366" t="n">
        <v>9.638400000000001</v>
      </c>
      <c r="F366" t="n">
        <v>0.10925</v>
      </c>
    </row>
    <row r="367">
      <c r="A367" t="n">
        <v>1000365</v>
      </c>
      <c r="B367" t="n">
        <v>1</v>
      </c>
      <c r="C367" t="n">
        <v>365</v>
      </c>
      <c r="D367" t="n">
        <v>0.0645</v>
      </c>
      <c r="E367" t="n">
        <v>9.646000000000001</v>
      </c>
      <c r="F367" t="n">
        <v>0.10925</v>
      </c>
    </row>
    <row r="368">
      <c r="A368" t="n">
        <v>1000366</v>
      </c>
      <c r="B368" t="n">
        <v>1</v>
      </c>
      <c r="C368" t="n">
        <v>366</v>
      </c>
      <c r="D368" t="n">
        <v>0.06419999999999999</v>
      </c>
      <c r="E368" t="n">
        <v>9.653499999999999</v>
      </c>
      <c r="F368" t="n">
        <v>0.10926</v>
      </c>
    </row>
    <row r="369">
      <c r="A369" t="n">
        <v>1000367</v>
      </c>
      <c r="B369" t="n">
        <v>1</v>
      </c>
      <c r="C369" t="n">
        <v>367</v>
      </c>
      <c r="D369" t="n">
        <v>0.064</v>
      </c>
      <c r="E369" t="n">
        <v>9.661099999999999</v>
      </c>
      <c r="F369" t="n">
        <v>0.10927</v>
      </c>
    </row>
    <row r="370">
      <c r="A370" t="n">
        <v>1000368</v>
      </c>
      <c r="B370" t="n">
        <v>1</v>
      </c>
      <c r="C370" t="n">
        <v>368</v>
      </c>
      <c r="D370" t="n">
        <v>0.06370000000000001</v>
      </c>
      <c r="E370" t="n">
        <v>9.668699999999999</v>
      </c>
      <c r="F370" t="n">
        <v>0.10927</v>
      </c>
    </row>
    <row r="371">
      <c r="A371" t="n">
        <v>1000369</v>
      </c>
      <c r="B371" t="n">
        <v>1</v>
      </c>
      <c r="C371" t="n">
        <v>369</v>
      </c>
      <c r="D371" t="n">
        <v>0.0634</v>
      </c>
      <c r="E371" t="n">
        <v>9.676299999999999</v>
      </c>
      <c r="F371" t="n">
        <v>0.10928</v>
      </c>
    </row>
    <row r="372">
      <c r="A372" t="n">
        <v>1000370</v>
      </c>
      <c r="B372" t="n">
        <v>1</v>
      </c>
      <c r="C372" t="n">
        <v>370</v>
      </c>
      <c r="D372" t="n">
        <v>0.0631</v>
      </c>
      <c r="E372" t="n">
        <v>9.6838</v>
      </c>
      <c r="F372" t="n">
        <v>0.10929</v>
      </c>
    </row>
    <row r="373">
      <c r="A373" t="n">
        <v>1000371</v>
      </c>
      <c r="B373" t="n">
        <v>1</v>
      </c>
      <c r="C373" t="n">
        <v>371</v>
      </c>
      <c r="D373" t="n">
        <v>0.0629</v>
      </c>
      <c r="E373" t="n">
        <v>9.6914</v>
      </c>
      <c r="F373" t="n">
        <v>0.1093</v>
      </c>
    </row>
    <row r="374">
      <c r="A374" t="n">
        <v>1000372</v>
      </c>
      <c r="B374" t="n">
        <v>1</v>
      </c>
      <c r="C374" t="n">
        <v>372</v>
      </c>
      <c r="D374" t="n">
        <v>0.0626</v>
      </c>
      <c r="E374" t="n">
        <v>9.6989</v>
      </c>
      <c r="F374" t="n">
        <v>0.1093</v>
      </c>
    </row>
    <row r="375">
      <c r="A375" t="n">
        <v>1000373</v>
      </c>
      <c r="B375" t="n">
        <v>1</v>
      </c>
      <c r="C375" t="n">
        <v>373</v>
      </c>
      <c r="D375" t="n">
        <v>0.0623</v>
      </c>
      <c r="E375" t="n">
        <v>9.7064</v>
      </c>
      <c r="F375" t="n">
        <v>0.10931</v>
      </c>
    </row>
    <row r="376">
      <c r="A376" t="n">
        <v>1000374</v>
      </c>
      <c r="B376" t="n">
        <v>1</v>
      </c>
      <c r="C376" t="n">
        <v>374</v>
      </c>
      <c r="D376" t="n">
        <v>0.0621</v>
      </c>
      <c r="E376" t="n">
        <v>9.713900000000001</v>
      </c>
      <c r="F376" t="n">
        <v>0.10932</v>
      </c>
    </row>
    <row r="377">
      <c r="A377" t="n">
        <v>1000375</v>
      </c>
      <c r="B377" t="n">
        <v>1</v>
      </c>
      <c r="C377" t="n">
        <v>375</v>
      </c>
      <c r="D377" t="n">
        <v>0.0618</v>
      </c>
      <c r="E377" t="n">
        <v>9.721399999999999</v>
      </c>
      <c r="F377" t="n">
        <v>0.10933</v>
      </c>
    </row>
    <row r="378">
      <c r="A378" t="n">
        <v>1000376</v>
      </c>
      <c r="B378" t="n">
        <v>1</v>
      </c>
      <c r="C378" t="n">
        <v>376</v>
      </c>
      <c r="D378" t="n">
        <v>0.0615</v>
      </c>
      <c r="E378" t="n">
        <v>9.728899999999999</v>
      </c>
      <c r="F378" t="n">
        <v>0.10933</v>
      </c>
    </row>
    <row r="379">
      <c r="A379" t="n">
        <v>1000377</v>
      </c>
      <c r="B379" t="n">
        <v>1</v>
      </c>
      <c r="C379" t="n">
        <v>377</v>
      </c>
      <c r="D379" t="n">
        <v>0.0613</v>
      </c>
      <c r="E379" t="n">
        <v>9.7364</v>
      </c>
      <c r="F379" t="n">
        <v>0.10934</v>
      </c>
    </row>
    <row r="380">
      <c r="A380" t="n">
        <v>1000378</v>
      </c>
      <c r="B380" t="n">
        <v>1</v>
      </c>
      <c r="C380" t="n">
        <v>378</v>
      </c>
      <c r="D380" t="n">
        <v>0.061</v>
      </c>
      <c r="E380" t="n">
        <v>9.7439</v>
      </c>
      <c r="F380" t="n">
        <v>0.10935</v>
      </c>
    </row>
    <row r="381">
      <c r="A381" t="n">
        <v>1000379</v>
      </c>
      <c r="B381" t="n">
        <v>1</v>
      </c>
      <c r="C381" t="n">
        <v>379</v>
      </c>
      <c r="D381" t="n">
        <v>0.0607</v>
      </c>
      <c r="E381" t="n">
        <v>9.7514</v>
      </c>
      <c r="F381" t="n">
        <v>0.10936</v>
      </c>
    </row>
    <row r="382">
      <c r="A382" t="n">
        <v>1000380</v>
      </c>
      <c r="B382" t="n">
        <v>1</v>
      </c>
      <c r="C382" t="n">
        <v>380</v>
      </c>
      <c r="D382" t="n">
        <v>0.0605</v>
      </c>
      <c r="E382" t="n">
        <v>9.758800000000001</v>
      </c>
      <c r="F382" t="n">
        <v>0.10936</v>
      </c>
    </row>
    <row r="383">
      <c r="A383" t="n">
        <v>1000381</v>
      </c>
      <c r="B383" t="n">
        <v>1</v>
      </c>
      <c r="C383" t="n">
        <v>381</v>
      </c>
      <c r="D383" t="n">
        <v>0.0602</v>
      </c>
      <c r="E383" t="n">
        <v>9.766299999999999</v>
      </c>
      <c r="F383" t="n">
        <v>0.10937</v>
      </c>
    </row>
    <row r="384">
      <c r="A384" t="n">
        <v>1000382</v>
      </c>
      <c r="B384" t="n">
        <v>1</v>
      </c>
      <c r="C384" t="n">
        <v>382</v>
      </c>
      <c r="D384" t="n">
        <v>0.0599</v>
      </c>
      <c r="E384" t="n">
        <v>9.7738</v>
      </c>
      <c r="F384" t="n">
        <v>0.10938</v>
      </c>
    </row>
    <row r="385">
      <c r="A385" t="n">
        <v>1000383</v>
      </c>
      <c r="B385" t="n">
        <v>1</v>
      </c>
      <c r="C385" t="n">
        <v>383</v>
      </c>
      <c r="D385" t="n">
        <v>0.0597</v>
      </c>
      <c r="E385" t="n">
        <v>9.7812</v>
      </c>
      <c r="F385" t="n">
        <v>0.10939</v>
      </c>
    </row>
    <row r="386">
      <c r="A386" t="n">
        <v>1000384</v>
      </c>
      <c r="B386" t="n">
        <v>1</v>
      </c>
      <c r="C386" t="n">
        <v>384</v>
      </c>
      <c r="D386" t="n">
        <v>0.0594</v>
      </c>
      <c r="E386" t="n">
        <v>9.788600000000001</v>
      </c>
      <c r="F386" t="n">
        <v>0.10939</v>
      </c>
    </row>
    <row r="387">
      <c r="A387" t="n">
        <v>1000385</v>
      </c>
      <c r="B387" t="n">
        <v>1</v>
      </c>
      <c r="C387" t="n">
        <v>385</v>
      </c>
      <c r="D387" t="n">
        <v>0.0591</v>
      </c>
      <c r="E387" t="n">
        <v>9.795999999999999</v>
      </c>
      <c r="F387" t="n">
        <v>0.1094</v>
      </c>
    </row>
    <row r="388">
      <c r="A388" t="n">
        <v>1000386</v>
      </c>
      <c r="B388" t="n">
        <v>1</v>
      </c>
      <c r="C388" t="n">
        <v>386</v>
      </c>
      <c r="D388" t="n">
        <v>0.0589</v>
      </c>
      <c r="E388" t="n">
        <v>9.8035</v>
      </c>
      <c r="F388" t="n">
        <v>0.10941</v>
      </c>
    </row>
    <row r="389">
      <c r="A389" t="n">
        <v>1000387</v>
      </c>
      <c r="B389" t="n">
        <v>1</v>
      </c>
      <c r="C389" t="n">
        <v>387</v>
      </c>
      <c r="D389" t="n">
        <v>0.0586</v>
      </c>
      <c r="E389" t="n">
        <v>9.8109</v>
      </c>
      <c r="F389" t="n">
        <v>0.10942</v>
      </c>
    </row>
    <row r="390">
      <c r="A390" t="n">
        <v>1000388</v>
      </c>
      <c r="B390" t="n">
        <v>1</v>
      </c>
      <c r="C390" t="n">
        <v>388</v>
      </c>
      <c r="D390" t="n">
        <v>0.0583</v>
      </c>
      <c r="E390" t="n">
        <v>9.818300000000001</v>
      </c>
      <c r="F390" t="n">
        <v>0.10943</v>
      </c>
    </row>
    <row r="391">
      <c r="A391" t="n">
        <v>1000389</v>
      </c>
      <c r="B391" t="n">
        <v>1</v>
      </c>
      <c r="C391" t="n">
        <v>389</v>
      </c>
      <c r="D391" t="n">
        <v>0.0581</v>
      </c>
      <c r="E391" t="n">
        <v>9.825699999999999</v>
      </c>
      <c r="F391" t="n">
        <v>0.10943</v>
      </c>
    </row>
    <row r="392">
      <c r="A392" t="n">
        <v>1000390</v>
      </c>
      <c r="B392" t="n">
        <v>1</v>
      </c>
      <c r="C392" t="n">
        <v>390</v>
      </c>
      <c r="D392" t="n">
        <v>0.0578</v>
      </c>
      <c r="E392" t="n">
        <v>9.833</v>
      </c>
      <c r="F392" t="n">
        <v>0.10944</v>
      </c>
    </row>
    <row r="393">
      <c r="A393" t="n">
        <v>1000391</v>
      </c>
      <c r="B393" t="n">
        <v>1</v>
      </c>
      <c r="C393" t="n">
        <v>391</v>
      </c>
      <c r="D393" t="n">
        <v>0.0576</v>
      </c>
      <c r="E393" t="n">
        <v>9.840400000000001</v>
      </c>
      <c r="F393" t="n">
        <v>0.10945</v>
      </c>
    </row>
    <row r="394">
      <c r="A394" t="n">
        <v>1000392</v>
      </c>
      <c r="B394" t="n">
        <v>1</v>
      </c>
      <c r="C394" t="n">
        <v>392</v>
      </c>
      <c r="D394" t="n">
        <v>0.0573</v>
      </c>
      <c r="E394" t="n">
        <v>9.847799999999999</v>
      </c>
      <c r="F394" t="n">
        <v>0.10946</v>
      </c>
    </row>
    <row r="395">
      <c r="A395" t="n">
        <v>1000393</v>
      </c>
      <c r="B395" t="n">
        <v>1</v>
      </c>
      <c r="C395" t="n">
        <v>393</v>
      </c>
      <c r="D395" t="n">
        <v>0.057</v>
      </c>
      <c r="E395" t="n">
        <v>9.8551</v>
      </c>
      <c r="F395" t="n">
        <v>0.10947</v>
      </c>
    </row>
    <row r="396">
      <c r="A396" t="n">
        <v>1000394</v>
      </c>
      <c r="B396" t="n">
        <v>1</v>
      </c>
      <c r="C396" t="n">
        <v>394</v>
      </c>
      <c r="D396" t="n">
        <v>0.0568</v>
      </c>
      <c r="E396" t="n">
        <v>9.862500000000001</v>
      </c>
      <c r="F396" t="n">
        <v>0.10948</v>
      </c>
    </row>
    <row r="397">
      <c r="A397" t="n">
        <v>1000395</v>
      </c>
      <c r="B397" t="n">
        <v>1</v>
      </c>
      <c r="C397" t="n">
        <v>395</v>
      </c>
      <c r="D397" t="n">
        <v>0.0565</v>
      </c>
      <c r="E397" t="n">
        <v>9.869899999999999</v>
      </c>
      <c r="F397" t="n">
        <v>0.10948</v>
      </c>
    </row>
    <row r="398">
      <c r="A398" t="n">
        <v>1000396</v>
      </c>
      <c r="B398" t="n">
        <v>1</v>
      </c>
      <c r="C398" t="n">
        <v>396</v>
      </c>
      <c r="D398" t="n">
        <v>0.0563</v>
      </c>
      <c r="E398" t="n">
        <v>9.8772</v>
      </c>
      <c r="F398" t="n">
        <v>0.10949</v>
      </c>
    </row>
    <row r="399">
      <c r="A399" t="n">
        <v>1000397</v>
      </c>
      <c r="B399" t="n">
        <v>1</v>
      </c>
      <c r="C399" t="n">
        <v>397</v>
      </c>
      <c r="D399" t="n">
        <v>0.056</v>
      </c>
      <c r="E399" t="n">
        <v>9.884499999999999</v>
      </c>
      <c r="F399" t="n">
        <v>0.1095</v>
      </c>
    </row>
    <row r="400">
      <c r="A400" t="n">
        <v>1000398</v>
      </c>
      <c r="B400" t="n">
        <v>1</v>
      </c>
      <c r="C400" t="n">
        <v>398</v>
      </c>
      <c r="D400" t="n">
        <v>0.0557</v>
      </c>
      <c r="E400" t="n">
        <v>9.8918</v>
      </c>
      <c r="F400" t="n">
        <v>0.10951</v>
      </c>
    </row>
    <row r="401">
      <c r="A401" t="n">
        <v>1000399</v>
      </c>
      <c r="B401" t="n">
        <v>1</v>
      </c>
      <c r="C401" t="n">
        <v>399</v>
      </c>
      <c r="D401" t="n">
        <v>0.0555</v>
      </c>
      <c r="E401" t="n">
        <v>9.8992</v>
      </c>
      <c r="F401" t="n">
        <v>0.10952</v>
      </c>
    </row>
    <row r="402">
      <c r="A402" t="n">
        <v>1000400</v>
      </c>
      <c r="B402" t="n">
        <v>1</v>
      </c>
      <c r="C402" t="n">
        <v>400</v>
      </c>
      <c r="D402" t="n">
        <v>0.0552</v>
      </c>
      <c r="E402" t="n">
        <v>9.906499999999999</v>
      </c>
      <c r="F402" t="n">
        <v>0.10953</v>
      </c>
    </row>
    <row r="403">
      <c r="A403" t="n">
        <v>1000401</v>
      </c>
      <c r="B403" t="n">
        <v>1</v>
      </c>
      <c r="C403" t="n">
        <v>401</v>
      </c>
      <c r="D403" t="n">
        <v>0.055</v>
      </c>
      <c r="E403" t="n">
        <v>9.9138</v>
      </c>
      <c r="F403" t="n">
        <v>0.10954</v>
      </c>
    </row>
    <row r="404">
      <c r="A404" t="n">
        <v>1000402</v>
      </c>
      <c r="B404" t="n">
        <v>1</v>
      </c>
      <c r="C404" t="n">
        <v>402</v>
      </c>
      <c r="D404" t="n">
        <v>0.0547</v>
      </c>
      <c r="E404" t="n">
        <v>9.921099999999999</v>
      </c>
      <c r="F404" t="n">
        <v>0.10954</v>
      </c>
    </row>
    <row r="405">
      <c r="A405" t="n">
        <v>1000403</v>
      </c>
      <c r="B405" t="n">
        <v>1</v>
      </c>
      <c r="C405" t="n">
        <v>403</v>
      </c>
      <c r="D405" t="n">
        <v>0.0545</v>
      </c>
      <c r="E405" t="n">
        <v>9.9284</v>
      </c>
      <c r="F405" t="n">
        <v>0.10955</v>
      </c>
    </row>
    <row r="406">
      <c r="A406" t="n">
        <v>1000404</v>
      </c>
      <c r="B406" t="n">
        <v>1</v>
      </c>
      <c r="C406" t="n">
        <v>404</v>
      </c>
      <c r="D406" t="n">
        <v>0.0542</v>
      </c>
      <c r="E406" t="n">
        <v>9.935700000000001</v>
      </c>
      <c r="F406" t="n">
        <v>0.10956</v>
      </c>
    </row>
    <row r="407">
      <c r="A407" t="n">
        <v>1000405</v>
      </c>
      <c r="B407" t="n">
        <v>1</v>
      </c>
      <c r="C407" t="n">
        <v>405</v>
      </c>
      <c r="D407" t="n">
        <v>0.054</v>
      </c>
      <c r="E407" t="n">
        <v>9.9429</v>
      </c>
      <c r="F407" t="n">
        <v>0.10957</v>
      </c>
    </row>
    <row r="408">
      <c r="A408" t="n">
        <v>1000406</v>
      </c>
      <c r="B408" t="n">
        <v>1</v>
      </c>
      <c r="C408" t="n">
        <v>406</v>
      </c>
      <c r="D408" t="n">
        <v>0.0537</v>
      </c>
      <c r="E408" t="n">
        <v>9.950200000000001</v>
      </c>
      <c r="F408" t="n">
        <v>0.10958</v>
      </c>
    </row>
    <row r="409">
      <c r="A409" t="n">
        <v>1000407</v>
      </c>
      <c r="B409" t="n">
        <v>1</v>
      </c>
      <c r="C409" t="n">
        <v>407</v>
      </c>
      <c r="D409" t="n">
        <v>0.0534</v>
      </c>
      <c r="E409" t="n">
        <v>9.9575</v>
      </c>
      <c r="F409" t="n">
        <v>0.10959</v>
      </c>
    </row>
    <row r="410">
      <c r="A410" t="n">
        <v>1000408</v>
      </c>
      <c r="B410" t="n">
        <v>1</v>
      </c>
      <c r="C410" t="n">
        <v>408</v>
      </c>
      <c r="D410" t="n">
        <v>0.0532</v>
      </c>
      <c r="E410" t="n">
        <v>9.964700000000001</v>
      </c>
      <c r="F410" t="n">
        <v>0.1096</v>
      </c>
    </row>
    <row r="411">
      <c r="A411" t="n">
        <v>1000409</v>
      </c>
      <c r="B411" t="n">
        <v>1</v>
      </c>
      <c r="C411" t="n">
        <v>409</v>
      </c>
      <c r="D411" t="n">
        <v>0.0529</v>
      </c>
      <c r="E411" t="n">
        <v>9.972</v>
      </c>
      <c r="F411" t="n">
        <v>0.10961</v>
      </c>
    </row>
    <row r="412">
      <c r="A412" t="n">
        <v>1000410</v>
      </c>
      <c r="B412" t="n">
        <v>1</v>
      </c>
      <c r="C412" t="n">
        <v>410</v>
      </c>
      <c r="D412" t="n">
        <v>0.0527</v>
      </c>
      <c r="E412" t="n">
        <v>9.979200000000001</v>
      </c>
      <c r="F412" t="n">
        <v>0.10961</v>
      </c>
    </row>
    <row r="413">
      <c r="A413" t="n">
        <v>1000411</v>
      </c>
      <c r="B413" t="n">
        <v>1</v>
      </c>
      <c r="C413" t="n">
        <v>411</v>
      </c>
      <c r="D413" t="n">
        <v>0.0524</v>
      </c>
      <c r="E413" t="n">
        <v>9.986499999999999</v>
      </c>
      <c r="F413" t="n">
        <v>0.10962</v>
      </c>
    </row>
    <row r="414">
      <c r="A414" t="n">
        <v>1000412</v>
      </c>
      <c r="B414" t="n">
        <v>1</v>
      </c>
      <c r="C414" t="n">
        <v>412</v>
      </c>
      <c r="D414" t="n">
        <v>0.0522</v>
      </c>
      <c r="E414" t="n">
        <v>9.9937</v>
      </c>
      <c r="F414" t="n">
        <v>0.10963</v>
      </c>
    </row>
    <row r="415">
      <c r="A415" t="n">
        <v>1000413</v>
      </c>
      <c r="B415" t="n">
        <v>1</v>
      </c>
      <c r="C415" t="n">
        <v>413</v>
      </c>
      <c r="D415" t="n">
        <v>0.0519</v>
      </c>
      <c r="E415" t="n">
        <v>10.0009</v>
      </c>
      <c r="F415" t="n">
        <v>0.10964</v>
      </c>
    </row>
    <row r="416">
      <c r="A416" t="n">
        <v>1000414</v>
      </c>
      <c r="B416" t="n">
        <v>1</v>
      </c>
      <c r="C416" t="n">
        <v>414</v>
      </c>
      <c r="D416" t="n">
        <v>0.0517</v>
      </c>
      <c r="E416" t="n">
        <v>10.0082</v>
      </c>
      <c r="F416" t="n">
        <v>0.10965</v>
      </c>
    </row>
    <row r="417">
      <c r="A417" t="n">
        <v>1000415</v>
      </c>
      <c r="B417" t="n">
        <v>1</v>
      </c>
      <c r="C417" t="n">
        <v>415</v>
      </c>
      <c r="D417" t="n">
        <v>0.0514</v>
      </c>
      <c r="E417" t="n">
        <v>10.0154</v>
      </c>
      <c r="F417" t="n">
        <v>0.10966</v>
      </c>
    </row>
    <row r="418">
      <c r="A418" t="n">
        <v>1000416</v>
      </c>
      <c r="B418" t="n">
        <v>1</v>
      </c>
      <c r="C418" t="n">
        <v>416</v>
      </c>
      <c r="D418" t="n">
        <v>0.0512</v>
      </c>
      <c r="E418" t="n">
        <v>10.0226</v>
      </c>
      <c r="F418" t="n">
        <v>0.10967</v>
      </c>
    </row>
    <row r="419">
      <c r="A419" t="n">
        <v>1000417</v>
      </c>
      <c r="B419" t="n">
        <v>1</v>
      </c>
      <c r="C419" t="n">
        <v>417</v>
      </c>
      <c r="D419" t="n">
        <v>0.0509</v>
      </c>
      <c r="E419" t="n">
        <v>10.0298</v>
      </c>
      <c r="F419" t="n">
        <v>0.10968</v>
      </c>
    </row>
    <row r="420">
      <c r="A420" t="n">
        <v>1000418</v>
      </c>
      <c r="B420" t="n">
        <v>1</v>
      </c>
      <c r="C420" t="n">
        <v>418</v>
      </c>
      <c r="D420" t="n">
        <v>0.0507</v>
      </c>
      <c r="E420" t="n">
        <v>10.037</v>
      </c>
      <c r="F420" t="n">
        <v>0.10969</v>
      </c>
    </row>
    <row r="421">
      <c r="A421" t="n">
        <v>1000419</v>
      </c>
      <c r="B421" t="n">
        <v>1</v>
      </c>
      <c r="C421" t="n">
        <v>419</v>
      </c>
      <c r="D421" t="n">
        <v>0.0504</v>
      </c>
      <c r="E421" t="n">
        <v>10.0442</v>
      </c>
      <c r="F421" t="n">
        <v>0.1097</v>
      </c>
    </row>
    <row r="422">
      <c r="A422" t="n">
        <v>1000420</v>
      </c>
      <c r="B422" t="n">
        <v>1</v>
      </c>
      <c r="C422" t="n">
        <v>420</v>
      </c>
      <c r="D422" t="n">
        <v>0.0502</v>
      </c>
      <c r="E422" t="n">
        <v>10.0514</v>
      </c>
      <c r="F422" t="n">
        <v>0.10971</v>
      </c>
    </row>
    <row r="423">
      <c r="A423" t="n">
        <v>1000421</v>
      </c>
      <c r="B423" t="n">
        <v>1</v>
      </c>
      <c r="C423" t="n">
        <v>421</v>
      </c>
      <c r="D423" t="n">
        <v>0.0499</v>
      </c>
      <c r="E423" t="n">
        <v>10.0586</v>
      </c>
      <c r="F423" t="n">
        <v>0.10971</v>
      </c>
    </row>
    <row r="424">
      <c r="A424" t="n">
        <v>1000422</v>
      </c>
      <c r="B424" t="n">
        <v>1</v>
      </c>
      <c r="C424" t="n">
        <v>422</v>
      </c>
      <c r="D424" t="n">
        <v>0.0497</v>
      </c>
      <c r="E424" t="n">
        <v>10.0657</v>
      </c>
      <c r="F424" t="n">
        <v>0.10972</v>
      </c>
    </row>
    <row r="425">
      <c r="A425" t="n">
        <v>1000423</v>
      </c>
      <c r="B425" t="n">
        <v>1</v>
      </c>
      <c r="C425" t="n">
        <v>423</v>
      </c>
      <c r="D425" t="n">
        <v>0.0494</v>
      </c>
      <c r="E425" t="n">
        <v>10.0729</v>
      </c>
      <c r="F425" t="n">
        <v>0.10973</v>
      </c>
    </row>
    <row r="426">
      <c r="A426" t="n">
        <v>1000424</v>
      </c>
      <c r="B426" t="n">
        <v>1</v>
      </c>
      <c r="C426" t="n">
        <v>424</v>
      </c>
      <c r="D426" t="n">
        <v>0.0492</v>
      </c>
      <c r="E426" t="n">
        <v>10.0801</v>
      </c>
      <c r="F426" t="n">
        <v>0.10974</v>
      </c>
    </row>
    <row r="427">
      <c r="A427" t="n">
        <v>1000425</v>
      </c>
      <c r="B427" t="n">
        <v>1</v>
      </c>
      <c r="C427" t="n">
        <v>425</v>
      </c>
      <c r="D427" t="n">
        <v>0.0489</v>
      </c>
      <c r="E427" t="n">
        <v>10.0872</v>
      </c>
      <c r="F427" t="n">
        <v>0.10975</v>
      </c>
    </row>
    <row r="428">
      <c r="A428" t="n">
        <v>1000426</v>
      </c>
      <c r="B428" t="n">
        <v>1</v>
      </c>
      <c r="C428" t="n">
        <v>426</v>
      </c>
      <c r="D428" t="n">
        <v>0.0487</v>
      </c>
      <c r="E428" t="n">
        <v>10.0944</v>
      </c>
      <c r="F428" t="n">
        <v>0.10976</v>
      </c>
    </row>
    <row r="429">
      <c r="A429" t="n">
        <v>1000427</v>
      </c>
      <c r="B429" t="n">
        <v>1</v>
      </c>
      <c r="C429" t="n">
        <v>427</v>
      </c>
      <c r="D429" t="n">
        <v>0.0484</v>
      </c>
      <c r="E429" t="n">
        <v>10.1015</v>
      </c>
      <c r="F429" t="n">
        <v>0.10977</v>
      </c>
    </row>
    <row r="430">
      <c r="A430" t="n">
        <v>1000428</v>
      </c>
      <c r="B430" t="n">
        <v>1</v>
      </c>
      <c r="C430" t="n">
        <v>428</v>
      </c>
      <c r="D430" t="n">
        <v>0.0482</v>
      </c>
      <c r="E430" t="n">
        <v>10.1087</v>
      </c>
      <c r="F430" t="n">
        <v>0.10978</v>
      </c>
    </row>
    <row r="431">
      <c r="A431" t="n">
        <v>1000429</v>
      </c>
      <c r="B431" t="n">
        <v>1</v>
      </c>
      <c r="C431" t="n">
        <v>429</v>
      </c>
      <c r="D431" t="n">
        <v>0.0479</v>
      </c>
      <c r="E431" t="n">
        <v>10.1158</v>
      </c>
      <c r="F431" t="n">
        <v>0.10979</v>
      </c>
    </row>
    <row r="432">
      <c r="A432" t="n">
        <v>1000430</v>
      </c>
      <c r="B432" t="n">
        <v>1</v>
      </c>
      <c r="C432" t="n">
        <v>430</v>
      </c>
      <c r="D432" t="n">
        <v>0.0477</v>
      </c>
      <c r="E432" t="n">
        <v>10.123</v>
      </c>
      <c r="F432" t="n">
        <v>0.1098</v>
      </c>
    </row>
    <row r="433">
      <c r="A433" t="n">
        <v>1000431</v>
      </c>
      <c r="B433" t="n">
        <v>1</v>
      </c>
      <c r="C433" t="n">
        <v>431</v>
      </c>
      <c r="D433" t="n">
        <v>0.0475</v>
      </c>
      <c r="E433" t="n">
        <v>10.1301</v>
      </c>
      <c r="F433" t="n">
        <v>0.10981</v>
      </c>
    </row>
    <row r="434">
      <c r="A434" t="n">
        <v>1000432</v>
      </c>
      <c r="B434" t="n">
        <v>1</v>
      </c>
      <c r="C434" t="n">
        <v>432</v>
      </c>
      <c r="D434" t="n">
        <v>0.0472</v>
      </c>
      <c r="E434" t="n">
        <v>10.1372</v>
      </c>
      <c r="F434" t="n">
        <v>0.10982</v>
      </c>
    </row>
    <row r="435">
      <c r="A435" t="n">
        <v>1000433</v>
      </c>
      <c r="B435" t="n">
        <v>1</v>
      </c>
      <c r="C435" t="n">
        <v>433</v>
      </c>
      <c r="D435" t="n">
        <v>0.047</v>
      </c>
      <c r="E435" t="n">
        <v>10.1443</v>
      </c>
      <c r="F435" t="n">
        <v>0.10983</v>
      </c>
    </row>
    <row r="436">
      <c r="A436" t="n">
        <v>1000434</v>
      </c>
      <c r="B436" t="n">
        <v>1</v>
      </c>
      <c r="C436" t="n">
        <v>434</v>
      </c>
      <c r="D436" t="n">
        <v>0.0467</v>
      </c>
      <c r="E436" t="n">
        <v>10.1515</v>
      </c>
      <c r="F436" t="n">
        <v>0.10984</v>
      </c>
    </row>
    <row r="437">
      <c r="A437" t="n">
        <v>1000435</v>
      </c>
      <c r="B437" t="n">
        <v>1</v>
      </c>
      <c r="C437" t="n">
        <v>435</v>
      </c>
      <c r="D437" t="n">
        <v>0.0465</v>
      </c>
      <c r="E437" t="n">
        <v>10.1586</v>
      </c>
      <c r="F437" t="n">
        <v>0.10985</v>
      </c>
    </row>
    <row r="438">
      <c r="A438" t="n">
        <v>1000436</v>
      </c>
      <c r="B438" t="n">
        <v>1</v>
      </c>
      <c r="C438" t="n">
        <v>436</v>
      </c>
      <c r="D438" t="n">
        <v>0.0462</v>
      </c>
      <c r="E438" t="n">
        <v>10.1657</v>
      </c>
      <c r="F438" t="n">
        <v>0.10986</v>
      </c>
    </row>
    <row r="439">
      <c r="A439" t="n">
        <v>1000437</v>
      </c>
      <c r="B439" t="n">
        <v>1</v>
      </c>
      <c r="C439" t="n">
        <v>437</v>
      </c>
      <c r="D439" t="n">
        <v>0.046</v>
      </c>
      <c r="E439" t="n">
        <v>10.1728</v>
      </c>
      <c r="F439" t="n">
        <v>0.10987</v>
      </c>
    </row>
    <row r="440">
      <c r="A440" t="n">
        <v>1000438</v>
      </c>
      <c r="B440" t="n">
        <v>1</v>
      </c>
      <c r="C440" t="n">
        <v>438</v>
      </c>
      <c r="D440" t="n">
        <v>0.0458</v>
      </c>
      <c r="E440" t="n">
        <v>10.1799</v>
      </c>
      <c r="F440" t="n">
        <v>0.10988</v>
      </c>
    </row>
    <row r="441">
      <c r="A441" t="n">
        <v>1000439</v>
      </c>
      <c r="B441" t="n">
        <v>1</v>
      </c>
      <c r="C441" t="n">
        <v>439</v>
      </c>
      <c r="D441" t="n">
        <v>0.0455</v>
      </c>
      <c r="E441" t="n">
        <v>10.187</v>
      </c>
      <c r="F441" t="n">
        <v>0.10989</v>
      </c>
    </row>
    <row r="442">
      <c r="A442" t="n">
        <v>1000440</v>
      </c>
      <c r="B442" t="n">
        <v>1</v>
      </c>
      <c r="C442" t="n">
        <v>440</v>
      </c>
      <c r="D442" t="n">
        <v>0.0453</v>
      </c>
      <c r="E442" t="n">
        <v>10.1941</v>
      </c>
      <c r="F442" t="n">
        <v>0.1099</v>
      </c>
    </row>
    <row r="443">
      <c r="A443" t="n">
        <v>1000441</v>
      </c>
      <c r="B443" t="n">
        <v>1</v>
      </c>
      <c r="C443" t="n">
        <v>441</v>
      </c>
      <c r="D443" t="n">
        <v>0.045</v>
      </c>
      <c r="E443" t="n">
        <v>10.2011</v>
      </c>
      <c r="F443" t="n">
        <v>0.10991</v>
      </c>
    </row>
    <row r="444">
      <c r="A444" t="n">
        <v>1000442</v>
      </c>
      <c r="B444" t="n">
        <v>1</v>
      </c>
      <c r="C444" t="n">
        <v>442</v>
      </c>
      <c r="D444" t="n">
        <v>0.0448</v>
      </c>
      <c r="E444" t="n">
        <v>10.2082</v>
      </c>
      <c r="F444" t="n">
        <v>0.10992</v>
      </c>
    </row>
    <row r="445">
      <c r="A445" t="n">
        <v>1000443</v>
      </c>
      <c r="B445" t="n">
        <v>1</v>
      </c>
      <c r="C445" t="n">
        <v>443</v>
      </c>
      <c r="D445" t="n">
        <v>0.0445</v>
      </c>
      <c r="E445" t="n">
        <v>10.2153</v>
      </c>
      <c r="F445" t="n">
        <v>0.10993</v>
      </c>
    </row>
    <row r="446">
      <c r="A446" t="n">
        <v>1000444</v>
      </c>
      <c r="B446" t="n">
        <v>1</v>
      </c>
      <c r="C446" t="n">
        <v>444</v>
      </c>
      <c r="D446" t="n">
        <v>0.0443</v>
      </c>
      <c r="E446" t="n">
        <v>10.2224</v>
      </c>
      <c r="F446" t="n">
        <v>0.10994</v>
      </c>
    </row>
    <row r="447">
      <c r="A447" t="n">
        <v>1000445</v>
      </c>
      <c r="B447" t="n">
        <v>1</v>
      </c>
      <c r="C447" t="n">
        <v>445</v>
      </c>
      <c r="D447" t="n">
        <v>0.0441</v>
      </c>
      <c r="E447" t="n">
        <v>10.2294</v>
      </c>
      <c r="F447" t="n">
        <v>0.10995</v>
      </c>
    </row>
    <row r="448">
      <c r="A448" t="n">
        <v>1000446</v>
      </c>
      <c r="B448" t="n">
        <v>1</v>
      </c>
      <c r="C448" t="n">
        <v>446</v>
      </c>
      <c r="D448" t="n">
        <v>0.0438</v>
      </c>
      <c r="E448" t="n">
        <v>10.2365</v>
      </c>
      <c r="F448" t="n">
        <v>0.10996</v>
      </c>
    </row>
    <row r="449">
      <c r="A449" t="n">
        <v>1000447</v>
      </c>
      <c r="B449" t="n">
        <v>1</v>
      </c>
      <c r="C449" t="n">
        <v>447</v>
      </c>
      <c r="D449" t="n">
        <v>0.0436</v>
      </c>
      <c r="E449" t="n">
        <v>10.2435</v>
      </c>
      <c r="F449" t="n">
        <v>0.10997</v>
      </c>
    </row>
    <row r="450">
      <c r="A450" t="n">
        <v>1000448</v>
      </c>
      <c r="B450" t="n">
        <v>1</v>
      </c>
      <c r="C450" t="n">
        <v>448</v>
      </c>
      <c r="D450" t="n">
        <v>0.0433</v>
      </c>
      <c r="E450" t="n">
        <v>10.2506</v>
      </c>
      <c r="F450" t="n">
        <v>0.10998</v>
      </c>
    </row>
    <row r="451">
      <c r="A451" t="n">
        <v>1000449</v>
      </c>
      <c r="B451" t="n">
        <v>1</v>
      </c>
      <c r="C451" t="n">
        <v>449</v>
      </c>
      <c r="D451" t="n">
        <v>0.0431</v>
      </c>
      <c r="E451" t="n">
        <v>10.2576</v>
      </c>
      <c r="F451" t="n">
        <v>0.10999</v>
      </c>
    </row>
    <row r="452">
      <c r="A452" t="n">
        <v>1000450</v>
      </c>
      <c r="B452" t="n">
        <v>1</v>
      </c>
      <c r="C452" t="n">
        <v>450</v>
      </c>
      <c r="D452" t="n">
        <v>0.0429</v>
      </c>
      <c r="E452" t="n">
        <v>10.2647</v>
      </c>
      <c r="F452" t="n">
        <v>0.11</v>
      </c>
    </row>
    <row r="453">
      <c r="A453" t="n">
        <v>1000451</v>
      </c>
      <c r="B453" t="n">
        <v>1</v>
      </c>
      <c r="C453" t="n">
        <v>451</v>
      </c>
      <c r="D453" t="n">
        <v>0.0426</v>
      </c>
      <c r="E453" t="n">
        <v>10.2717</v>
      </c>
      <c r="F453" t="n">
        <v>0.11001</v>
      </c>
    </row>
    <row r="454">
      <c r="A454" t="n">
        <v>1000452</v>
      </c>
      <c r="B454" t="n">
        <v>1</v>
      </c>
      <c r="C454" t="n">
        <v>452</v>
      </c>
      <c r="D454" t="n">
        <v>0.0424</v>
      </c>
      <c r="E454" t="n">
        <v>10.2788</v>
      </c>
      <c r="F454" t="n">
        <v>0.11002</v>
      </c>
    </row>
    <row r="455">
      <c r="A455" t="n">
        <v>1000453</v>
      </c>
      <c r="B455" t="n">
        <v>1</v>
      </c>
      <c r="C455" t="n">
        <v>453</v>
      </c>
      <c r="D455" t="n">
        <v>0.0422</v>
      </c>
      <c r="E455" t="n">
        <v>10.2858</v>
      </c>
      <c r="F455" t="n">
        <v>0.11003</v>
      </c>
    </row>
    <row r="456">
      <c r="A456" t="n">
        <v>1000454</v>
      </c>
      <c r="B456" t="n">
        <v>1</v>
      </c>
      <c r="C456" t="n">
        <v>454</v>
      </c>
      <c r="D456" t="n">
        <v>0.0419</v>
      </c>
      <c r="E456" t="n">
        <v>10.2928</v>
      </c>
      <c r="F456" t="n">
        <v>0.11005</v>
      </c>
    </row>
    <row r="457">
      <c r="A457" t="n">
        <v>1000455</v>
      </c>
      <c r="B457" t="n">
        <v>1</v>
      </c>
      <c r="C457" t="n">
        <v>455</v>
      </c>
      <c r="D457" t="n">
        <v>0.0417</v>
      </c>
      <c r="E457" t="n">
        <v>10.2998</v>
      </c>
      <c r="F457" t="n">
        <v>0.11006</v>
      </c>
    </row>
    <row r="458">
      <c r="A458" t="n">
        <v>1000456</v>
      </c>
      <c r="B458" t="n">
        <v>1</v>
      </c>
      <c r="C458" t="n">
        <v>456</v>
      </c>
      <c r="D458" t="n">
        <v>0.0414</v>
      </c>
      <c r="E458" t="n">
        <v>10.3069</v>
      </c>
      <c r="F458" t="n">
        <v>0.11007</v>
      </c>
    </row>
    <row r="459">
      <c r="A459" t="n">
        <v>1000457</v>
      </c>
      <c r="B459" t="n">
        <v>1</v>
      </c>
      <c r="C459" t="n">
        <v>457</v>
      </c>
      <c r="D459" t="n">
        <v>0.0412</v>
      </c>
      <c r="E459" t="n">
        <v>10.3139</v>
      </c>
      <c r="F459" t="n">
        <v>0.11008</v>
      </c>
    </row>
    <row r="460">
      <c r="A460" t="n">
        <v>1000458</v>
      </c>
      <c r="B460" t="n">
        <v>1</v>
      </c>
      <c r="C460" t="n">
        <v>458</v>
      </c>
      <c r="D460" t="n">
        <v>0.041</v>
      </c>
      <c r="E460" t="n">
        <v>10.3209</v>
      </c>
      <c r="F460" t="n">
        <v>0.11009</v>
      </c>
    </row>
    <row r="461">
      <c r="A461" t="n">
        <v>1000459</v>
      </c>
      <c r="B461" t="n">
        <v>1</v>
      </c>
      <c r="C461" t="n">
        <v>459</v>
      </c>
      <c r="D461" t="n">
        <v>0.0407</v>
      </c>
      <c r="E461" t="n">
        <v>10.3279</v>
      </c>
      <c r="F461" t="n">
        <v>0.1101</v>
      </c>
    </row>
    <row r="462">
      <c r="A462" t="n">
        <v>1000460</v>
      </c>
      <c r="B462" t="n">
        <v>1</v>
      </c>
      <c r="C462" t="n">
        <v>460</v>
      </c>
      <c r="D462" t="n">
        <v>0.0405</v>
      </c>
      <c r="E462" t="n">
        <v>10.3349</v>
      </c>
      <c r="F462" t="n">
        <v>0.11011</v>
      </c>
    </row>
    <row r="463">
      <c r="A463" t="n">
        <v>1000461</v>
      </c>
      <c r="B463" t="n">
        <v>1</v>
      </c>
      <c r="C463" t="n">
        <v>461</v>
      </c>
      <c r="D463" t="n">
        <v>0.0403</v>
      </c>
      <c r="E463" t="n">
        <v>10.3419</v>
      </c>
      <c r="F463" t="n">
        <v>0.11012</v>
      </c>
    </row>
    <row r="464">
      <c r="A464" t="n">
        <v>1000462</v>
      </c>
      <c r="B464" t="n">
        <v>1</v>
      </c>
      <c r="C464" t="n">
        <v>462</v>
      </c>
      <c r="D464" t="n">
        <v>0.04</v>
      </c>
      <c r="E464" t="n">
        <v>10.3489</v>
      </c>
      <c r="F464" t="n">
        <v>0.11013</v>
      </c>
    </row>
    <row r="465">
      <c r="A465" t="n">
        <v>1000463</v>
      </c>
      <c r="B465" t="n">
        <v>1</v>
      </c>
      <c r="C465" t="n">
        <v>463</v>
      </c>
      <c r="D465" t="n">
        <v>0.0398</v>
      </c>
      <c r="E465" t="n">
        <v>10.3559</v>
      </c>
      <c r="F465" t="n">
        <v>0.11014</v>
      </c>
    </row>
    <row r="466">
      <c r="A466" t="n">
        <v>1000464</v>
      </c>
      <c r="B466" t="n">
        <v>1</v>
      </c>
      <c r="C466" t="n">
        <v>464</v>
      </c>
      <c r="D466" t="n">
        <v>0.0396</v>
      </c>
      <c r="E466" t="n">
        <v>10.3629</v>
      </c>
      <c r="F466" t="n">
        <v>0.11015</v>
      </c>
    </row>
    <row r="467">
      <c r="A467" t="n">
        <v>1000465</v>
      </c>
      <c r="B467" t="n">
        <v>1</v>
      </c>
      <c r="C467" t="n">
        <v>465</v>
      </c>
      <c r="D467" t="n">
        <v>0.0393</v>
      </c>
      <c r="E467" t="n">
        <v>10.3699</v>
      </c>
      <c r="F467" t="n">
        <v>0.11016</v>
      </c>
    </row>
    <row r="468">
      <c r="A468" t="n">
        <v>1000466</v>
      </c>
      <c r="B468" t="n">
        <v>1</v>
      </c>
      <c r="C468" t="n">
        <v>466</v>
      </c>
      <c r="D468" t="n">
        <v>0.0391</v>
      </c>
      <c r="E468" t="n">
        <v>10.3769</v>
      </c>
      <c r="F468" t="n">
        <v>0.11017</v>
      </c>
    </row>
    <row r="469">
      <c r="A469" t="n">
        <v>1000467</v>
      </c>
      <c r="B469" t="n">
        <v>1</v>
      </c>
      <c r="C469" t="n">
        <v>467</v>
      </c>
      <c r="D469" t="n">
        <v>0.0389</v>
      </c>
      <c r="E469" t="n">
        <v>10.3839</v>
      </c>
      <c r="F469" t="n">
        <v>0.11019</v>
      </c>
    </row>
    <row r="470">
      <c r="A470" t="n">
        <v>1000468</v>
      </c>
      <c r="B470" t="n">
        <v>1</v>
      </c>
      <c r="C470" t="n">
        <v>468</v>
      </c>
      <c r="D470" t="n">
        <v>0.0386</v>
      </c>
      <c r="E470" t="n">
        <v>10.3908</v>
      </c>
      <c r="F470" t="n">
        <v>0.1102</v>
      </c>
    </row>
    <row r="471">
      <c r="A471" t="n">
        <v>1000469</v>
      </c>
      <c r="B471" t="n">
        <v>1</v>
      </c>
      <c r="C471" t="n">
        <v>469</v>
      </c>
      <c r="D471" t="n">
        <v>0.0384</v>
      </c>
      <c r="E471" t="n">
        <v>10.3978</v>
      </c>
      <c r="F471" t="n">
        <v>0.11021</v>
      </c>
    </row>
    <row r="472">
      <c r="A472" t="n">
        <v>1000470</v>
      </c>
      <c r="B472" t="n">
        <v>1</v>
      </c>
      <c r="C472" t="n">
        <v>470</v>
      </c>
      <c r="D472" t="n">
        <v>0.0382</v>
      </c>
      <c r="E472" t="n">
        <v>10.4048</v>
      </c>
      <c r="F472" t="n">
        <v>0.11022</v>
      </c>
    </row>
    <row r="473">
      <c r="A473" t="n">
        <v>1000471</v>
      </c>
      <c r="B473" t="n">
        <v>1</v>
      </c>
      <c r="C473" t="n">
        <v>471</v>
      </c>
      <c r="D473" t="n">
        <v>0.0379</v>
      </c>
      <c r="E473" t="n">
        <v>10.4118</v>
      </c>
      <c r="F473" t="n">
        <v>0.11023</v>
      </c>
    </row>
    <row r="474">
      <c r="A474" t="n">
        <v>1000472</v>
      </c>
      <c r="B474" t="n">
        <v>1</v>
      </c>
      <c r="C474" t="n">
        <v>472</v>
      </c>
      <c r="D474" t="n">
        <v>0.0377</v>
      </c>
      <c r="E474" t="n">
        <v>10.4187</v>
      </c>
      <c r="F474" t="n">
        <v>0.11024</v>
      </c>
    </row>
    <row r="475">
      <c r="A475" t="n">
        <v>1000473</v>
      </c>
      <c r="B475" t="n">
        <v>1</v>
      </c>
      <c r="C475" t="n">
        <v>473</v>
      </c>
      <c r="D475" t="n">
        <v>0.0375</v>
      </c>
      <c r="E475" t="n">
        <v>10.4257</v>
      </c>
      <c r="F475" t="n">
        <v>0.11025</v>
      </c>
    </row>
    <row r="476">
      <c r="A476" t="n">
        <v>1000474</v>
      </c>
      <c r="B476" t="n">
        <v>1</v>
      </c>
      <c r="C476" t="n">
        <v>474</v>
      </c>
      <c r="D476" t="n">
        <v>0.0373</v>
      </c>
      <c r="E476" t="n">
        <v>10.4326</v>
      </c>
      <c r="F476" t="n">
        <v>0.11026</v>
      </c>
    </row>
    <row r="477">
      <c r="A477" t="n">
        <v>1000475</v>
      </c>
      <c r="B477" t="n">
        <v>1</v>
      </c>
      <c r="C477" t="n">
        <v>475</v>
      </c>
      <c r="D477" t="n">
        <v>0.037</v>
      </c>
      <c r="E477" t="n">
        <v>10.4396</v>
      </c>
      <c r="F477" t="n">
        <v>0.11027</v>
      </c>
    </row>
    <row r="478">
      <c r="A478" t="n">
        <v>1000476</v>
      </c>
      <c r="B478" t="n">
        <v>1</v>
      </c>
      <c r="C478" t="n">
        <v>476</v>
      </c>
      <c r="D478" t="n">
        <v>0.0368</v>
      </c>
      <c r="E478" t="n">
        <v>10.4465</v>
      </c>
      <c r="F478" t="n">
        <v>0.11029</v>
      </c>
    </row>
    <row r="479">
      <c r="A479" t="n">
        <v>1000477</v>
      </c>
      <c r="B479" t="n">
        <v>1</v>
      </c>
      <c r="C479" t="n">
        <v>477</v>
      </c>
      <c r="D479" t="n">
        <v>0.0366</v>
      </c>
      <c r="E479" t="n">
        <v>10.4535</v>
      </c>
      <c r="F479" t="n">
        <v>0.1103</v>
      </c>
    </row>
    <row r="480">
      <c r="A480" t="n">
        <v>1000478</v>
      </c>
      <c r="B480" t="n">
        <v>1</v>
      </c>
      <c r="C480" t="n">
        <v>478</v>
      </c>
      <c r="D480" t="n">
        <v>0.0363</v>
      </c>
      <c r="E480" t="n">
        <v>10.4604</v>
      </c>
      <c r="F480" t="n">
        <v>0.11031</v>
      </c>
    </row>
    <row r="481">
      <c r="A481" t="n">
        <v>1000479</v>
      </c>
      <c r="B481" t="n">
        <v>1</v>
      </c>
      <c r="C481" t="n">
        <v>479</v>
      </c>
      <c r="D481" t="n">
        <v>0.0361</v>
      </c>
      <c r="E481" t="n">
        <v>10.4674</v>
      </c>
      <c r="F481" t="n">
        <v>0.11032</v>
      </c>
    </row>
    <row r="482">
      <c r="A482" t="n">
        <v>1000480</v>
      </c>
      <c r="B482" t="n">
        <v>1</v>
      </c>
      <c r="C482" t="n">
        <v>480</v>
      </c>
      <c r="D482" t="n">
        <v>0.0359</v>
      </c>
      <c r="E482" t="n">
        <v>10.4743</v>
      </c>
      <c r="F482" t="n">
        <v>0.11033</v>
      </c>
    </row>
    <row r="483">
      <c r="A483" t="n">
        <v>1000481</v>
      </c>
      <c r="B483" t="n">
        <v>1</v>
      </c>
      <c r="C483" t="n">
        <v>481</v>
      </c>
      <c r="D483" t="n">
        <v>0.0357</v>
      </c>
      <c r="E483" t="n">
        <v>10.4813</v>
      </c>
      <c r="F483" t="n">
        <v>0.11034</v>
      </c>
    </row>
    <row r="484">
      <c r="A484" t="n">
        <v>1000482</v>
      </c>
      <c r="B484" t="n">
        <v>1</v>
      </c>
      <c r="C484" t="n">
        <v>482</v>
      </c>
      <c r="D484" t="n">
        <v>0.0354</v>
      </c>
      <c r="E484" t="n">
        <v>10.4882</v>
      </c>
      <c r="F484" t="n">
        <v>0.11035</v>
      </c>
    </row>
    <row r="485">
      <c r="A485" t="n">
        <v>1000483</v>
      </c>
      <c r="B485" t="n">
        <v>1</v>
      </c>
      <c r="C485" t="n">
        <v>483</v>
      </c>
      <c r="D485" t="n">
        <v>0.0352</v>
      </c>
      <c r="E485" t="n">
        <v>10.4951</v>
      </c>
      <c r="F485" t="n">
        <v>0.11037</v>
      </c>
    </row>
    <row r="486">
      <c r="A486" t="n">
        <v>1000484</v>
      </c>
      <c r="B486" t="n">
        <v>1</v>
      </c>
      <c r="C486" t="n">
        <v>484</v>
      </c>
      <c r="D486" t="n">
        <v>0.035</v>
      </c>
      <c r="E486" t="n">
        <v>10.502</v>
      </c>
      <c r="F486" t="n">
        <v>0.11038</v>
      </c>
    </row>
    <row r="487">
      <c r="A487" t="n">
        <v>1000485</v>
      </c>
      <c r="B487" t="n">
        <v>1</v>
      </c>
      <c r="C487" t="n">
        <v>485</v>
      </c>
      <c r="D487" t="n">
        <v>0.0347</v>
      </c>
      <c r="E487" t="n">
        <v>10.509</v>
      </c>
      <c r="F487" t="n">
        <v>0.11039</v>
      </c>
    </row>
    <row r="488">
      <c r="A488" t="n">
        <v>1000486</v>
      </c>
      <c r="B488" t="n">
        <v>1</v>
      </c>
      <c r="C488" t="n">
        <v>486</v>
      </c>
      <c r="D488" t="n">
        <v>0.0345</v>
      </c>
      <c r="E488" t="n">
        <v>10.5159</v>
      </c>
      <c r="F488" t="n">
        <v>0.1104</v>
      </c>
    </row>
    <row r="489">
      <c r="A489" t="n">
        <v>1000487</v>
      </c>
      <c r="B489" t="n">
        <v>1</v>
      </c>
      <c r="C489" t="n">
        <v>487</v>
      </c>
      <c r="D489" t="n">
        <v>0.0343</v>
      </c>
      <c r="E489" t="n">
        <v>10.5228</v>
      </c>
      <c r="F489" t="n">
        <v>0.11041</v>
      </c>
    </row>
    <row r="490">
      <c r="A490" t="n">
        <v>1000488</v>
      </c>
      <c r="B490" t="n">
        <v>1</v>
      </c>
      <c r="C490" t="n">
        <v>488</v>
      </c>
      <c r="D490" t="n">
        <v>0.0341</v>
      </c>
      <c r="E490" t="n">
        <v>10.5297</v>
      </c>
      <c r="F490" t="n">
        <v>0.11042</v>
      </c>
    </row>
    <row r="491">
      <c r="A491" t="n">
        <v>1000489</v>
      </c>
      <c r="B491" t="n">
        <v>1</v>
      </c>
      <c r="C491" t="n">
        <v>489</v>
      </c>
      <c r="D491" t="n">
        <v>0.0338</v>
      </c>
      <c r="E491" t="n">
        <v>10.5366</v>
      </c>
      <c r="F491" t="n">
        <v>0.11044</v>
      </c>
    </row>
    <row r="492">
      <c r="A492" t="n">
        <v>1000490</v>
      </c>
      <c r="B492" t="n">
        <v>1</v>
      </c>
      <c r="C492" t="n">
        <v>490</v>
      </c>
      <c r="D492" t="n">
        <v>0.0336</v>
      </c>
      <c r="E492" t="n">
        <v>10.5435</v>
      </c>
      <c r="F492" t="n">
        <v>0.11045</v>
      </c>
    </row>
    <row r="493">
      <c r="A493" t="n">
        <v>1000491</v>
      </c>
      <c r="B493" t="n">
        <v>1</v>
      </c>
      <c r="C493" t="n">
        <v>491</v>
      </c>
      <c r="D493" t="n">
        <v>0.0334</v>
      </c>
      <c r="E493" t="n">
        <v>10.5505</v>
      </c>
      <c r="F493" t="n">
        <v>0.11046</v>
      </c>
    </row>
    <row r="494">
      <c r="A494" t="n">
        <v>1000492</v>
      </c>
      <c r="B494" t="n">
        <v>1</v>
      </c>
      <c r="C494" t="n">
        <v>492</v>
      </c>
      <c r="D494" t="n">
        <v>0.0332</v>
      </c>
      <c r="E494" t="n">
        <v>10.5574</v>
      </c>
      <c r="F494" t="n">
        <v>0.11047</v>
      </c>
    </row>
    <row r="495">
      <c r="A495" t="n">
        <v>1000493</v>
      </c>
      <c r="B495" t="n">
        <v>1</v>
      </c>
      <c r="C495" t="n">
        <v>493</v>
      </c>
      <c r="D495" t="n">
        <v>0.0329</v>
      </c>
      <c r="E495" t="n">
        <v>10.5643</v>
      </c>
      <c r="F495" t="n">
        <v>0.11048</v>
      </c>
    </row>
    <row r="496">
      <c r="A496" t="n">
        <v>1000494</v>
      </c>
      <c r="B496" t="n">
        <v>1</v>
      </c>
      <c r="C496" t="n">
        <v>494</v>
      </c>
      <c r="D496" t="n">
        <v>0.0327</v>
      </c>
      <c r="E496" t="n">
        <v>10.5712</v>
      </c>
      <c r="F496" t="n">
        <v>0.1105</v>
      </c>
    </row>
    <row r="497">
      <c r="A497" t="n">
        <v>1000495</v>
      </c>
      <c r="B497" t="n">
        <v>1</v>
      </c>
      <c r="C497" t="n">
        <v>495</v>
      </c>
      <c r="D497" t="n">
        <v>0.0325</v>
      </c>
      <c r="E497" t="n">
        <v>10.578</v>
      </c>
      <c r="F497" t="n">
        <v>0.11051</v>
      </c>
    </row>
    <row r="498">
      <c r="A498" t="n">
        <v>1000496</v>
      </c>
      <c r="B498" t="n">
        <v>1</v>
      </c>
      <c r="C498" t="n">
        <v>496</v>
      </c>
      <c r="D498" t="n">
        <v>0.0323</v>
      </c>
      <c r="E498" t="n">
        <v>10.5849</v>
      </c>
      <c r="F498" t="n">
        <v>0.11052</v>
      </c>
    </row>
    <row r="499">
      <c r="A499" t="n">
        <v>1000497</v>
      </c>
      <c r="B499" t="n">
        <v>1</v>
      </c>
      <c r="C499" t="n">
        <v>497</v>
      </c>
      <c r="D499" t="n">
        <v>0.032</v>
      </c>
      <c r="E499" t="n">
        <v>10.5918</v>
      </c>
      <c r="F499" t="n">
        <v>0.11053</v>
      </c>
    </row>
    <row r="500">
      <c r="A500" t="n">
        <v>1000498</v>
      </c>
      <c r="B500" t="n">
        <v>1</v>
      </c>
      <c r="C500" t="n">
        <v>498</v>
      </c>
      <c r="D500" t="n">
        <v>0.0318</v>
      </c>
      <c r="E500" t="n">
        <v>10.5987</v>
      </c>
      <c r="F500" t="n">
        <v>0.11054</v>
      </c>
    </row>
    <row r="501">
      <c r="A501" t="n">
        <v>1000499</v>
      </c>
      <c r="B501" t="n">
        <v>1</v>
      </c>
      <c r="C501" t="n">
        <v>499</v>
      </c>
      <c r="D501" t="n">
        <v>0.0316</v>
      </c>
      <c r="E501" t="n">
        <v>10.6056</v>
      </c>
      <c r="F501" t="n">
        <v>0.11056</v>
      </c>
    </row>
    <row r="502">
      <c r="A502" t="n">
        <v>1000500</v>
      </c>
      <c r="B502" t="n">
        <v>1</v>
      </c>
      <c r="C502" t="n">
        <v>500</v>
      </c>
      <c r="D502" t="n">
        <v>0.0314</v>
      </c>
      <c r="E502" t="n">
        <v>10.6125</v>
      </c>
      <c r="F502" t="n">
        <v>0.11057</v>
      </c>
    </row>
    <row r="503">
      <c r="A503" t="n">
        <v>1000501</v>
      </c>
      <c r="B503" t="n">
        <v>1</v>
      </c>
      <c r="C503" t="n">
        <v>501</v>
      </c>
      <c r="D503" t="n">
        <v>0.0312</v>
      </c>
      <c r="E503" t="n">
        <v>10.6193</v>
      </c>
      <c r="F503" t="n">
        <v>0.11058</v>
      </c>
    </row>
    <row r="504">
      <c r="A504" t="n">
        <v>1000502</v>
      </c>
      <c r="B504" t="n">
        <v>1</v>
      </c>
      <c r="C504" t="n">
        <v>502</v>
      </c>
      <c r="D504" t="n">
        <v>0.0309</v>
      </c>
      <c r="E504" t="n">
        <v>10.6262</v>
      </c>
      <c r="F504" t="n">
        <v>0.11059</v>
      </c>
    </row>
    <row r="505">
      <c r="A505" t="n">
        <v>1000503</v>
      </c>
      <c r="B505" t="n">
        <v>1</v>
      </c>
      <c r="C505" t="n">
        <v>503</v>
      </c>
      <c r="D505" t="n">
        <v>0.0307</v>
      </c>
      <c r="E505" t="n">
        <v>10.6331</v>
      </c>
      <c r="F505" t="n">
        <v>0.1106</v>
      </c>
    </row>
    <row r="506">
      <c r="A506" t="n">
        <v>1000504</v>
      </c>
      <c r="B506" t="n">
        <v>1</v>
      </c>
      <c r="C506" t="n">
        <v>504</v>
      </c>
      <c r="D506" t="n">
        <v>0.0305</v>
      </c>
      <c r="E506" t="n">
        <v>10.6399</v>
      </c>
      <c r="F506" t="n">
        <v>0.11062</v>
      </c>
    </row>
    <row r="507">
      <c r="A507" t="n">
        <v>1000505</v>
      </c>
      <c r="B507" t="n">
        <v>1</v>
      </c>
      <c r="C507" t="n">
        <v>505</v>
      </c>
      <c r="D507" t="n">
        <v>0.0303</v>
      </c>
      <c r="E507" t="n">
        <v>10.6468</v>
      </c>
      <c r="F507" t="n">
        <v>0.11063</v>
      </c>
    </row>
    <row r="508">
      <c r="A508" t="n">
        <v>1000506</v>
      </c>
      <c r="B508" t="n">
        <v>1</v>
      </c>
      <c r="C508" t="n">
        <v>506</v>
      </c>
      <c r="D508" t="n">
        <v>0.03</v>
      </c>
      <c r="E508" t="n">
        <v>10.6537</v>
      </c>
      <c r="F508" t="n">
        <v>0.11064</v>
      </c>
    </row>
    <row r="509">
      <c r="A509" t="n">
        <v>1000507</v>
      </c>
      <c r="B509" t="n">
        <v>1</v>
      </c>
      <c r="C509" t="n">
        <v>507</v>
      </c>
      <c r="D509" t="n">
        <v>0.0298</v>
      </c>
      <c r="E509" t="n">
        <v>10.6605</v>
      </c>
      <c r="F509" t="n">
        <v>0.11065</v>
      </c>
    </row>
    <row r="510">
      <c r="A510" t="n">
        <v>1000508</v>
      </c>
      <c r="B510" t="n">
        <v>1</v>
      </c>
      <c r="C510" t="n">
        <v>508</v>
      </c>
      <c r="D510" t="n">
        <v>0.0296</v>
      </c>
      <c r="E510" t="n">
        <v>10.6674</v>
      </c>
      <c r="F510" t="n">
        <v>0.11067</v>
      </c>
    </row>
    <row r="511">
      <c r="A511" t="n">
        <v>1000509</v>
      </c>
      <c r="B511" t="n">
        <v>1</v>
      </c>
      <c r="C511" t="n">
        <v>509</v>
      </c>
      <c r="D511" t="n">
        <v>0.0294</v>
      </c>
      <c r="E511" t="n">
        <v>10.6742</v>
      </c>
      <c r="F511" t="n">
        <v>0.11068</v>
      </c>
    </row>
    <row r="512">
      <c r="A512" t="n">
        <v>1000510</v>
      </c>
      <c r="B512" t="n">
        <v>1</v>
      </c>
      <c r="C512" t="n">
        <v>510</v>
      </c>
      <c r="D512" t="n">
        <v>0.0292</v>
      </c>
      <c r="E512" t="n">
        <v>10.6811</v>
      </c>
      <c r="F512" t="n">
        <v>0.11069</v>
      </c>
    </row>
    <row r="513">
      <c r="A513" t="n">
        <v>1000511</v>
      </c>
      <c r="B513" t="n">
        <v>1</v>
      </c>
      <c r="C513" t="n">
        <v>511</v>
      </c>
      <c r="D513" t="n">
        <v>0.0289</v>
      </c>
      <c r="E513" t="n">
        <v>10.6879</v>
      </c>
      <c r="F513" t="n">
        <v>0.1107</v>
      </c>
    </row>
    <row r="514">
      <c r="A514" t="n">
        <v>1000512</v>
      </c>
      <c r="B514" t="n">
        <v>1</v>
      </c>
      <c r="C514" t="n">
        <v>512</v>
      </c>
      <c r="D514" t="n">
        <v>0.0287</v>
      </c>
      <c r="E514" t="n">
        <v>10.6948</v>
      </c>
      <c r="F514" t="n">
        <v>0.11072</v>
      </c>
    </row>
    <row r="515">
      <c r="A515" t="n">
        <v>1000513</v>
      </c>
      <c r="B515" t="n">
        <v>1</v>
      </c>
      <c r="C515" t="n">
        <v>513</v>
      </c>
      <c r="D515" t="n">
        <v>0.0285</v>
      </c>
      <c r="E515" t="n">
        <v>10.7016</v>
      </c>
      <c r="F515" t="n">
        <v>0.11073</v>
      </c>
    </row>
    <row r="516">
      <c r="A516" t="n">
        <v>1000514</v>
      </c>
      <c r="B516" t="n">
        <v>1</v>
      </c>
      <c r="C516" t="n">
        <v>514</v>
      </c>
      <c r="D516" t="n">
        <v>0.0283</v>
      </c>
      <c r="E516" t="n">
        <v>10.7084</v>
      </c>
      <c r="F516" t="n">
        <v>0.11074</v>
      </c>
    </row>
    <row r="517">
      <c r="A517" t="n">
        <v>1000515</v>
      </c>
      <c r="B517" t="n">
        <v>1</v>
      </c>
      <c r="C517" t="n">
        <v>515</v>
      </c>
      <c r="D517" t="n">
        <v>0.0281</v>
      </c>
      <c r="E517" t="n">
        <v>10.7153</v>
      </c>
      <c r="F517" t="n">
        <v>0.11075</v>
      </c>
    </row>
    <row r="518">
      <c r="A518" t="n">
        <v>1000516</v>
      </c>
      <c r="B518" t="n">
        <v>1</v>
      </c>
      <c r="C518" t="n">
        <v>516</v>
      </c>
      <c r="D518" t="n">
        <v>0.0279</v>
      </c>
      <c r="E518" t="n">
        <v>10.7221</v>
      </c>
      <c r="F518" t="n">
        <v>0.11077</v>
      </c>
    </row>
    <row r="519">
      <c r="A519" t="n">
        <v>1000517</v>
      </c>
      <c r="B519" t="n">
        <v>1</v>
      </c>
      <c r="C519" t="n">
        <v>517</v>
      </c>
      <c r="D519" t="n">
        <v>0.0276</v>
      </c>
      <c r="E519" t="n">
        <v>10.7289</v>
      </c>
      <c r="F519" t="n">
        <v>0.11078</v>
      </c>
    </row>
    <row r="520">
      <c r="A520" t="n">
        <v>1000518</v>
      </c>
      <c r="B520" t="n">
        <v>1</v>
      </c>
      <c r="C520" t="n">
        <v>518</v>
      </c>
      <c r="D520" t="n">
        <v>0.0274</v>
      </c>
      <c r="E520" t="n">
        <v>10.7357</v>
      </c>
      <c r="F520" t="n">
        <v>0.11079</v>
      </c>
    </row>
    <row r="521">
      <c r="A521" t="n">
        <v>1000519</v>
      </c>
      <c r="B521" t="n">
        <v>1</v>
      </c>
      <c r="C521" t="n">
        <v>519</v>
      </c>
      <c r="D521" t="n">
        <v>0.0272</v>
      </c>
      <c r="E521" t="n">
        <v>10.7426</v>
      </c>
      <c r="F521" t="n">
        <v>0.11081</v>
      </c>
    </row>
    <row r="522">
      <c r="A522" t="n">
        <v>1000520</v>
      </c>
      <c r="B522" t="n">
        <v>1</v>
      </c>
      <c r="C522" t="n">
        <v>520</v>
      </c>
      <c r="D522" t="n">
        <v>0.027</v>
      </c>
      <c r="E522" t="n">
        <v>10.7494</v>
      </c>
      <c r="F522" t="n">
        <v>0.11082</v>
      </c>
    </row>
    <row r="523">
      <c r="A523" t="n">
        <v>1000521</v>
      </c>
      <c r="B523" t="n">
        <v>1</v>
      </c>
      <c r="C523" t="n">
        <v>521</v>
      </c>
      <c r="D523" t="n">
        <v>0.0268</v>
      </c>
      <c r="E523" t="n">
        <v>10.7562</v>
      </c>
      <c r="F523" t="n">
        <v>0.11083</v>
      </c>
    </row>
    <row r="524">
      <c r="A524" t="n">
        <v>1000522</v>
      </c>
      <c r="B524" t="n">
        <v>1</v>
      </c>
      <c r="C524" t="n">
        <v>522</v>
      </c>
      <c r="D524" t="n">
        <v>0.0266</v>
      </c>
      <c r="E524" t="n">
        <v>10.763</v>
      </c>
      <c r="F524" t="n">
        <v>0.11084</v>
      </c>
    </row>
    <row r="525">
      <c r="A525" t="n">
        <v>1000523</v>
      </c>
      <c r="B525" t="n">
        <v>1</v>
      </c>
      <c r="C525" t="n">
        <v>523</v>
      </c>
      <c r="D525" t="n">
        <v>0.0263</v>
      </c>
      <c r="E525" t="n">
        <v>10.7698</v>
      </c>
      <c r="F525" t="n">
        <v>0.11086</v>
      </c>
    </row>
    <row r="526">
      <c r="A526" t="n">
        <v>1000524</v>
      </c>
      <c r="B526" t="n">
        <v>1</v>
      </c>
      <c r="C526" t="n">
        <v>524</v>
      </c>
      <c r="D526" t="n">
        <v>0.0261</v>
      </c>
      <c r="E526" t="n">
        <v>10.7766</v>
      </c>
      <c r="F526" t="n">
        <v>0.11087</v>
      </c>
    </row>
    <row r="527">
      <c r="A527" t="n">
        <v>1000525</v>
      </c>
      <c r="B527" t="n">
        <v>1</v>
      </c>
      <c r="C527" t="n">
        <v>525</v>
      </c>
      <c r="D527" t="n">
        <v>0.0259</v>
      </c>
      <c r="E527" t="n">
        <v>10.7835</v>
      </c>
      <c r="F527" t="n">
        <v>0.11088</v>
      </c>
    </row>
    <row r="528">
      <c r="A528" t="n">
        <v>1000526</v>
      </c>
      <c r="B528" t="n">
        <v>1</v>
      </c>
      <c r="C528" t="n">
        <v>526</v>
      </c>
      <c r="D528" t="n">
        <v>0.0257</v>
      </c>
      <c r="E528" t="n">
        <v>10.7903</v>
      </c>
      <c r="F528" t="n">
        <v>0.1109</v>
      </c>
    </row>
    <row r="529">
      <c r="A529" t="n">
        <v>1000527</v>
      </c>
      <c r="B529" t="n">
        <v>1</v>
      </c>
      <c r="C529" t="n">
        <v>527</v>
      </c>
      <c r="D529" t="n">
        <v>0.0255</v>
      </c>
      <c r="E529" t="n">
        <v>10.7971</v>
      </c>
      <c r="F529" t="n">
        <v>0.11091</v>
      </c>
    </row>
    <row r="530">
      <c r="A530" t="n">
        <v>1000528</v>
      </c>
      <c r="B530" t="n">
        <v>1</v>
      </c>
      <c r="C530" t="n">
        <v>528</v>
      </c>
      <c r="D530" t="n">
        <v>0.0253</v>
      </c>
      <c r="E530" t="n">
        <v>10.8039</v>
      </c>
      <c r="F530" t="n">
        <v>0.11092</v>
      </c>
    </row>
    <row r="531">
      <c r="A531" t="n">
        <v>1000529</v>
      </c>
      <c r="B531" t="n">
        <v>1</v>
      </c>
      <c r="C531" t="n">
        <v>529</v>
      </c>
      <c r="D531" t="n">
        <v>0.025</v>
      </c>
      <c r="E531" t="n">
        <v>10.8107</v>
      </c>
      <c r="F531" t="n">
        <v>0.11094</v>
      </c>
    </row>
    <row r="532">
      <c r="A532" t="n">
        <v>1000530</v>
      </c>
      <c r="B532" t="n">
        <v>1</v>
      </c>
      <c r="C532" t="n">
        <v>530</v>
      </c>
      <c r="D532" t="n">
        <v>0.0248</v>
      </c>
      <c r="E532" t="n">
        <v>10.8174</v>
      </c>
      <c r="F532" t="n">
        <v>0.11095</v>
      </c>
    </row>
    <row r="533">
      <c r="A533" t="n">
        <v>1000531</v>
      </c>
      <c r="B533" t="n">
        <v>1</v>
      </c>
      <c r="C533" t="n">
        <v>531</v>
      </c>
      <c r="D533" t="n">
        <v>0.0246</v>
      </c>
      <c r="E533" t="n">
        <v>10.8242</v>
      </c>
      <c r="F533" t="n">
        <v>0.11096</v>
      </c>
    </row>
    <row r="534">
      <c r="A534" t="n">
        <v>1000532</v>
      </c>
      <c r="B534" t="n">
        <v>1</v>
      </c>
      <c r="C534" t="n">
        <v>532</v>
      </c>
      <c r="D534" t="n">
        <v>0.0244</v>
      </c>
      <c r="E534" t="n">
        <v>10.831</v>
      </c>
      <c r="F534" t="n">
        <v>0.11098</v>
      </c>
    </row>
    <row r="535">
      <c r="A535" t="n">
        <v>1000533</v>
      </c>
      <c r="B535" t="n">
        <v>1</v>
      </c>
      <c r="C535" t="n">
        <v>533</v>
      </c>
      <c r="D535" t="n">
        <v>0.0242</v>
      </c>
      <c r="E535" t="n">
        <v>10.8378</v>
      </c>
      <c r="F535" t="n">
        <v>0.11099</v>
      </c>
    </row>
    <row r="536">
      <c r="A536" t="n">
        <v>1000534</v>
      </c>
      <c r="B536" t="n">
        <v>1</v>
      </c>
      <c r="C536" t="n">
        <v>534</v>
      </c>
      <c r="D536" t="n">
        <v>0.024</v>
      </c>
      <c r="E536" t="n">
        <v>10.8446</v>
      </c>
      <c r="F536" t="n">
        <v>0.111</v>
      </c>
    </row>
    <row r="537">
      <c r="A537" t="n">
        <v>1000535</v>
      </c>
      <c r="B537" t="n">
        <v>1</v>
      </c>
      <c r="C537" t="n">
        <v>535</v>
      </c>
      <c r="D537" t="n">
        <v>0.0238</v>
      </c>
      <c r="E537" t="n">
        <v>10.8514</v>
      </c>
      <c r="F537" t="n">
        <v>0.11102</v>
      </c>
    </row>
    <row r="538">
      <c r="A538" t="n">
        <v>1000536</v>
      </c>
      <c r="B538" t="n">
        <v>1</v>
      </c>
      <c r="C538" t="n">
        <v>536</v>
      </c>
      <c r="D538" t="n">
        <v>0.0236</v>
      </c>
      <c r="E538" t="n">
        <v>10.8582</v>
      </c>
      <c r="F538" t="n">
        <v>0.11103</v>
      </c>
    </row>
    <row r="539">
      <c r="A539" t="n">
        <v>1000537</v>
      </c>
      <c r="B539" t="n">
        <v>1</v>
      </c>
      <c r="C539" t="n">
        <v>537</v>
      </c>
      <c r="D539" t="n">
        <v>0.0233</v>
      </c>
      <c r="E539" t="n">
        <v>10.8649</v>
      </c>
      <c r="F539" t="n">
        <v>0.11104</v>
      </c>
    </row>
    <row r="540">
      <c r="A540" t="n">
        <v>1000538</v>
      </c>
      <c r="B540" t="n">
        <v>1</v>
      </c>
      <c r="C540" t="n">
        <v>538</v>
      </c>
      <c r="D540" t="n">
        <v>0.0231</v>
      </c>
      <c r="E540" t="n">
        <v>10.8717</v>
      </c>
      <c r="F540" t="n">
        <v>0.11106</v>
      </c>
    </row>
    <row r="541">
      <c r="A541" t="n">
        <v>1000539</v>
      </c>
      <c r="B541" t="n">
        <v>1</v>
      </c>
      <c r="C541" t="n">
        <v>539</v>
      </c>
      <c r="D541" t="n">
        <v>0.0229</v>
      </c>
      <c r="E541" t="n">
        <v>10.8785</v>
      </c>
      <c r="F541" t="n">
        <v>0.11107</v>
      </c>
    </row>
    <row r="542">
      <c r="A542" t="n">
        <v>1000540</v>
      </c>
      <c r="B542" t="n">
        <v>1</v>
      </c>
      <c r="C542" t="n">
        <v>540</v>
      </c>
      <c r="D542" t="n">
        <v>0.0227</v>
      </c>
      <c r="E542" t="n">
        <v>10.8852</v>
      </c>
      <c r="F542" t="n">
        <v>0.11108</v>
      </c>
    </row>
    <row r="543">
      <c r="A543" t="n">
        <v>1000541</v>
      </c>
      <c r="B543" t="n">
        <v>1</v>
      </c>
      <c r="C543" t="n">
        <v>541</v>
      </c>
      <c r="D543" t="n">
        <v>0.0225</v>
      </c>
      <c r="E543" t="n">
        <v>10.892</v>
      </c>
      <c r="F543" t="n">
        <v>0.1111</v>
      </c>
    </row>
    <row r="544">
      <c r="A544" t="n">
        <v>1000542</v>
      </c>
      <c r="B544" t="n">
        <v>1</v>
      </c>
      <c r="C544" t="n">
        <v>542</v>
      </c>
      <c r="D544" t="n">
        <v>0.0223</v>
      </c>
      <c r="E544" t="n">
        <v>10.8988</v>
      </c>
      <c r="F544" t="n">
        <v>0.11111</v>
      </c>
    </row>
    <row r="545">
      <c r="A545" t="n">
        <v>1000543</v>
      </c>
      <c r="B545" t="n">
        <v>1</v>
      </c>
      <c r="C545" t="n">
        <v>543</v>
      </c>
      <c r="D545" t="n">
        <v>0.0221</v>
      </c>
      <c r="E545" t="n">
        <v>10.9055</v>
      </c>
      <c r="F545" t="n">
        <v>0.11113</v>
      </c>
    </row>
    <row r="546">
      <c r="A546" t="n">
        <v>1000544</v>
      </c>
      <c r="B546" t="n">
        <v>1</v>
      </c>
      <c r="C546" t="n">
        <v>544</v>
      </c>
      <c r="D546" t="n">
        <v>0.0219</v>
      </c>
      <c r="E546" t="n">
        <v>10.9123</v>
      </c>
      <c r="F546" t="n">
        <v>0.11114</v>
      </c>
    </row>
    <row r="547">
      <c r="A547" t="n">
        <v>1000545</v>
      </c>
      <c r="B547" t="n">
        <v>1</v>
      </c>
      <c r="C547" t="n">
        <v>545</v>
      </c>
      <c r="D547" t="n">
        <v>0.0217</v>
      </c>
      <c r="E547" t="n">
        <v>10.9191</v>
      </c>
      <c r="F547" t="n">
        <v>0.11115</v>
      </c>
    </row>
    <row r="548">
      <c r="A548" t="n">
        <v>1000546</v>
      </c>
      <c r="B548" t="n">
        <v>1</v>
      </c>
      <c r="C548" t="n">
        <v>546</v>
      </c>
      <c r="D548" t="n">
        <v>0.0214</v>
      </c>
      <c r="E548" t="n">
        <v>10.9258</v>
      </c>
      <c r="F548" t="n">
        <v>0.11117</v>
      </c>
    </row>
    <row r="549">
      <c r="A549" t="n">
        <v>1000547</v>
      </c>
      <c r="B549" t="n">
        <v>1</v>
      </c>
      <c r="C549" t="n">
        <v>547</v>
      </c>
      <c r="D549" t="n">
        <v>0.0212</v>
      </c>
      <c r="E549" t="n">
        <v>10.9326</v>
      </c>
      <c r="F549" t="n">
        <v>0.11118</v>
      </c>
    </row>
    <row r="550">
      <c r="A550" t="n">
        <v>1000548</v>
      </c>
      <c r="B550" t="n">
        <v>1</v>
      </c>
      <c r="C550" t="n">
        <v>548</v>
      </c>
      <c r="D550" t="n">
        <v>0.021</v>
      </c>
      <c r="E550" t="n">
        <v>10.9393</v>
      </c>
      <c r="F550" t="n">
        <v>0.1112</v>
      </c>
    </row>
    <row r="551">
      <c r="A551" t="n">
        <v>1000549</v>
      </c>
      <c r="B551" t="n">
        <v>1</v>
      </c>
      <c r="C551" t="n">
        <v>549</v>
      </c>
      <c r="D551" t="n">
        <v>0.0208</v>
      </c>
      <c r="E551" t="n">
        <v>10.9461</v>
      </c>
      <c r="F551" t="n">
        <v>0.11121</v>
      </c>
    </row>
    <row r="552">
      <c r="A552" t="n">
        <v>1000550</v>
      </c>
      <c r="B552" t="n">
        <v>1</v>
      </c>
      <c r="C552" t="n">
        <v>550</v>
      </c>
      <c r="D552" t="n">
        <v>0.0206</v>
      </c>
      <c r="E552" t="n">
        <v>10.9528</v>
      </c>
      <c r="F552" t="n">
        <v>0.11122</v>
      </c>
    </row>
    <row r="553">
      <c r="A553" t="n">
        <v>1000551</v>
      </c>
      <c r="B553" t="n">
        <v>1</v>
      </c>
      <c r="C553" t="n">
        <v>551</v>
      </c>
      <c r="D553" t="n">
        <v>0.0204</v>
      </c>
      <c r="E553" t="n">
        <v>10.9596</v>
      </c>
      <c r="F553" t="n">
        <v>0.11124</v>
      </c>
    </row>
    <row r="554">
      <c r="A554" t="n">
        <v>1000552</v>
      </c>
      <c r="B554" t="n">
        <v>1</v>
      </c>
      <c r="C554" t="n">
        <v>552</v>
      </c>
      <c r="D554" t="n">
        <v>0.0202</v>
      </c>
      <c r="E554" t="n">
        <v>10.9663</v>
      </c>
      <c r="F554" t="n">
        <v>0.11125</v>
      </c>
    </row>
    <row r="555">
      <c r="A555" t="n">
        <v>1000553</v>
      </c>
      <c r="B555" t="n">
        <v>1</v>
      </c>
      <c r="C555" t="n">
        <v>553</v>
      </c>
      <c r="D555" t="n">
        <v>0.02</v>
      </c>
      <c r="E555" t="n">
        <v>10.973</v>
      </c>
      <c r="F555" t="n">
        <v>0.11127</v>
      </c>
    </row>
    <row r="556">
      <c r="A556" t="n">
        <v>1000554</v>
      </c>
      <c r="B556" t="n">
        <v>1</v>
      </c>
      <c r="C556" t="n">
        <v>554</v>
      </c>
      <c r="D556" t="n">
        <v>0.0198</v>
      </c>
      <c r="E556" t="n">
        <v>10.9798</v>
      </c>
      <c r="F556" t="n">
        <v>0.11128</v>
      </c>
    </row>
    <row r="557">
      <c r="A557" t="n">
        <v>1000555</v>
      </c>
      <c r="B557" t="n">
        <v>1</v>
      </c>
      <c r="C557" t="n">
        <v>555</v>
      </c>
      <c r="D557" t="n">
        <v>0.0196</v>
      </c>
      <c r="E557" t="n">
        <v>10.9865</v>
      </c>
      <c r="F557" t="n">
        <v>0.11129</v>
      </c>
    </row>
    <row r="558">
      <c r="A558" t="n">
        <v>1000556</v>
      </c>
      <c r="B558" t="n">
        <v>1</v>
      </c>
      <c r="C558" t="n">
        <v>556</v>
      </c>
      <c r="D558" t="n">
        <v>0.0194</v>
      </c>
      <c r="E558" t="n">
        <v>10.9932</v>
      </c>
      <c r="F558" t="n">
        <v>0.11131</v>
      </c>
    </row>
    <row r="559">
      <c r="A559" t="n">
        <v>1000557</v>
      </c>
      <c r="B559" t="n">
        <v>1</v>
      </c>
      <c r="C559" t="n">
        <v>557</v>
      </c>
      <c r="D559" t="n">
        <v>0.0192</v>
      </c>
      <c r="E559" t="n">
        <v>11</v>
      </c>
      <c r="F559" t="n">
        <v>0.11132</v>
      </c>
    </row>
    <row r="560">
      <c r="A560" t="n">
        <v>1000558</v>
      </c>
      <c r="B560" t="n">
        <v>1</v>
      </c>
      <c r="C560" t="n">
        <v>558</v>
      </c>
      <c r="D560" t="n">
        <v>0.0189</v>
      </c>
      <c r="E560" t="n">
        <v>11.0067</v>
      </c>
      <c r="F560" t="n">
        <v>0.11134</v>
      </c>
    </row>
    <row r="561">
      <c r="A561" t="n">
        <v>1000559</v>
      </c>
      <c r="B561" t="n">
        <v>1</v>
      </c>
      <c r="C561" t="n">
        <v>559</v>
      </c>
      <c r="D561" t="n">
        <v>0.0187</v>
      </c>
      <c r="E561" t="n">
        <v>11.0134</v>
      </c>
      <c r="F561" t="n">
        <v>0.11135</v>
      </c>
    </row>
    <row r="562">
      <c r="A562" t="n">
        <v>1000560</v>
      </c>
      <c r="B562" t="n">
        <v>1</v>
      </c>
      <c r="C562" t="n">
        <v>560</v>
      </c>
      <c r="D562" t="n">
        <v>0.0185</v>
      </c>
      <c r="E562" t="n">
        <v>11.0202</v>
      </c>
      <c r="F562" t="n">
        <v>0.11137</v>
      </c>
    </row>
    <row r="563">
      <c r="A563" t="n">
        <v>1000561</v>
      </c>
      <c r="B563" t="n">
        <v>1</v>
      </c>
      <c r="C563" t="n">
        <v>561</v>
      </c>
      <c r="D563" t="n">
        <v>0.0183</v>
      </c>
      <c r="E563" t="n">
        <v>11.0269</v>
      </c>
      <c r="F563" t="n">
        <v>0.11138</v>
      </c>
    </row>
    <row r="564">
      <c r="A564" t="n">
        <v>1000562</v>
      </c>
      <c r="B564" t="n">
        <v>1</v>
      </c>
      <c r="C564" t="n">
        <v>562</v>
      </c>
      <c r="D564" t="n">
        <v>0.0181</v>
      </c>
      <c r="E564" t="n">
        <v>11.0336</v>
      </c>
      <c r="F564" t="n">
        <v>0.11139</v>
      </c>
    </row>
    <row r="565">
      <c r="A565" t="n">
        <v>1000563</v>
      </c>
      <c r="B565" t="n">
        <v>1</v>
      </c>
      <c r="C565" t="n">
        <v>563</v>
      </c>
      <c r="D565" t="n">
        <v>0.0179</v>
      </c>
      <c r="E565" t="n">
        <v>11.0403</v>
      </c>
      <c r="F565" t="n">
        <v>0.11141</v>
      </c>
    </row>
    <row r="566">
      <c r="A566" t="n">
        <v>1000564</v>
      </c>
      <c r="B566" t="n">
        <v>1</v>
      </c>
      <c r="C566" t="n">
        <v>564</v>
      </c>
      <c r="D566" t="n">
        <v>0.0177</v>
      </c>
      <c r="E566" t="n">
        <v>11.047</v>
      </c>
      <c r="F566" t="n">
        <v>0.11142</v>
      </c>
    </row>
    <row r="567">
      <c r="A567" t="n">
        <v>1000565</v>
      </c>
      <c r="B567" t="n">
        <v>1</v>
      </c>
      <c r="C567" t="n">
        <v>565</v>
      </c>
      <c r="D567" t="n">
        <v>0.0175</v>
      </c>
      <c r="E567" t="n">
        <v>11.0537</v>
      </c>
      <c r="F567" t="n">
        <v>0.11144</v>
      </c>
    </row>
    <row r="568">
      <c r="A568" t="n">
        <v>1000566</v>
      </c>
      <c r="B568" t="n">
        <v>1</v>
      </c>
      <c r="C568" t="n">
        <v>566</v>
      </c>
      <c r="D568" t="n">
        <v>0.0173</v>
      </c>
      <c r="E568" t="n">
        <v>11.0605</v>
      </c>
      <c r="F568" t="n">
        <v>0.11145</v>
      </c>
    </row>
    <row r="569">
      <c r="A569" t="n">
        <v>1000567</v>
      </c>
      <c r="B569" t="n">
        <v>1</v>
      </c>
      <c r="C569" t="n">
        <v>567</v>
      </c>
      <c r="D569" t="n">
        <v>0.0171</v>
      </c>
      <c r="E569" t="n">
        <v>11.0672</v>
      </c>
      <c r="F569" t="n">
        <v>0.11147</v>
      </c>
    </row>
    <row r="570">
      <c r="A570" t="n">
        <v>1000568</v>
      </c>
      <c r="B570" t="n">
        <v>1</v>
      </c>
      <c r="C570" t="n">
        <v>568</v>
      </c>
      <c r="D570" t="n">
        <v>0.0169</v>
      </c>
      <c r="E570" t="n">
        <v>11.0739</v>
      </c>
      <c r="F570" t="n">
        <v>0.11148</v>
      </c>
    </row>
    <row r="571">
      <c r="A571" t="n">
        <v>1000569</v>
      </c>
      <c r="B571" t="n">
        <v>1</v>
      </c>
      <c r="C571" t="n">
        <v>569</v>
      </c>
      <c r="D571" t="n">
        <v>0.0167</v>
      </c>
      <c r="E571" t="n">
        <v>11.0806</v>
      </c>
      <c r="F571" t="n">
        <v>0.1115</v>
      </c>
    </row>
    <row r="572">
      <c r="A572" t="n">
        <v>1000570</v>
      </c>
      <c r="B572" t="n">
        <v>1</v>
      </c>
      <c r="C572" t="n">
        <v>570</v>
      </c>
      <c r="D572" t="n">
        <v>0.0165</v>
      </c>
      <c r="E572" t="n">
        <v>11.0873</v>
      </c>
      <c r="F572" t="n">
        <v>0.11151</v>
      </c>
    </row>
    <row r="573">
      <c r="A573" t="n">
        <v>1000571</v>
      </c>
      <c r="B573" t="n">
        <v>1</v>
      </c>
      <c r="C573" t="n">
        <v>571</v>
      </c>
      <c r="D573" t="n">
        <v>0.0163</v>
      </c>
      <c r="E573" t="n">
        <v>11.094</v>
      </c>
      <c r="F573" t="n">
        <v>0.11153</v>
      </c>
    </row>
    <row r="574">
      <c r="A574" t="n">
        <v>1000572</v>
      </c>
      <c r="B574" t="n">
        <v>1</v>
      </c>
      <c r="C574" t="n">
        <v>572</v>
      </c>
      <c r="D574" t="n">
        <v>0.0161</v>
      </c>
      <c r="E574" t="n">
        <v>11.1007</v>
      </c>
      <c r="F574" t="n">
        <v>0.11154</v>
      </c>
    </row>
    <row r="575">
      <c r="A575" t="n">
        <v>1000573</v>
      </c>
      <c r="B575" t="n">
        <v>1</v>
      </c>
      <c r="C575" t="n">
        <v>573</v>
      </c>
      <c r="D575" t="n">
        <v>0.0159</v>
      </c>
      <c r="E575" t="n">
        <v>11.1074</v>
      </c>
      <c r="F575" t="n">
        <v>0.11156</v>
      </c>
    </row>
    <row r="576">
      <c r="A576" t="n">
        <v>1000574</v>
      </c>
      <c r="B576" t="n">
        <v>1</v>
      </c>
      <c r="C576" t="n">
        <v>574</v>
      </c>
      <c r="D576" t="n">
        <v>0.0157</v>
      </c>
      <c r="E576" t="n">
        <v>11.1141</v>
      </c>
      <c r="F576" t="n">
        <v>0.11157</v>
      </c>
    </row>
    <row r="577">
      <c r="A577" t="n">
        <v>1000575</v>
      </c>
      <c r="B577" t="n">
        <v>1</v>
      </c>
      <c r="C577" t="n">
        <v>575</v>
      </c>
      <c r="D577" t="n">
        <v>0.0155</v>
      </c>
      <c r="E577" t="n">
        <v>11.1208</v>
      </c>
      <c r="F577" t="n">
        <v>0.11159</v>
      </c>
    </row>
    <row r="578">
      <c r="A578" t="n">
        <v>1000576</v>
      </c>
      <c r="B578" t="n">
        <v>1</v>
      </c>
      <c r="C578" t="n">
        <v>576</v>
      </c>
      <c r="D578" t="n">
        <v>0.0153</v>
      </c>
      <c r="E578" t="n">
        <v>11.1275</v>
      </c>
      <c r="F578" t="n">
        <v>0.1116</v>
      </c>
    </row>
    <row r="579">
      <c r="A579" t="n">
        <v>1000577</v>
      </c>
      <c r="B579" t="n">
        <v>1</v>
      </c>
      <c r="C579" t="n">
        <v>577</v>
      </c>
      <c r="D579" t="n">
        <v>0.0151</v>
      </c>
      <c r="E579" t="n">
        <v>11.1342</v>
      </c>
      <c r="F579" t="n">
        <v>0.11162</v>
      </c>
    </row>
    <row r="580">
      <c r="A580" t="n">
        <v>1000578</v>
      </c>
      <c r="B580" t="n">
        <v>1</v>
      </c>
      <c r="C580" t="n">
        <v>578</v>
      </c>
      <c r="D580" t="n">
        <v>0.0149</v>
      </c>
      <c r="E580" t="n">
        <v>11.1409</v>
      </c>
      <c r="F580" t="n">
        <v>0.11163</v>
      </c>
    </row>
    <row r="581">
      <c r="A581" t="n">
        <v>1000579</v>
      </c>
      <c r="B581" t="n">
        <v>1</v>
      </c>
      <c r="C581" t="n">
        <v>579</v>
      </c>
      <c r="D581" t="n">
        <v>0.0147</v>
      </c>
      <c r="E581" t="n">
        <v>11.1476</v>
      </c>
      <c r="F581" t="n">
        <v>0.11165</v>
      </c>
    </row>
    <row r="582">
      <c r="A582" t="n">
        <v>1000580</v>
      </c>
      <c r="B582" t="n">
        <v>1</v>
      </c>
      <c r="C582" t="n">
        <v>580</v>
      </c>
      <c r="D582" t="n">
        <v>0.0144</v>
      </c>
      <c r="E582" t="n">
        <v>11.1543</v>
      </c>
      <c r="F582" t="n">
        <v>0.11166</v>
      </c>
    </row>
    <row r="583">
      <c r="A583" t="n">
        <v>1000581</v>
      </c>
      <c r="B583" t="n">
        <v>1</v>
      </c>
      <c r="C583" t="n">
        <v>581</v>
      </c>
      <c r="D583" t="n">
        <v>0.0142</v>
      </c>
      <c r="E583" t="n">
        <v>11.161</v>
      </c>
      <c r="F583" t="n">
        <v>0.11168</v>
      </c>
    </row>
    <row r="584">
      <c r="A584" t="n">
        <v>1000582</v>
      </c>
      <c r="B584" t="n">
        <v>1</v>
      </c>
      <c r="C584" t="n">
        <v>582</v>
      </c>
      <c r="D584" t="n">
        <v>0.014</v>
      </c>
      <c r="E584" t="n">
        <v>11.1676</v>
      </c>
      <c r="F584" t="n">
        <v>0.11169</v>
      </c>
    </row>
    <row r="585">
      <c r="A585" t="n">
        <v>1000583</v>
      </c>
      <c r="B585" t="n">
        <v>1</v>
      </c>
      <c r="C585" t="n">
        <v>583</v>
      </c>
      <c r="D585" t="n">
        <v>0.0138</v>
      </c>
      <c r="E585" t="n">
        <v>11.1743</v>
      </c>
      <c r="F585" t="n">
        <v>0.11171</v>
      </c>
    </row>
    <row r="586">
      <c r="A586" t="n">
        <v>1000584</v>
      </c>
      <c r="B586" t="n">
        <v>1</v>
      </c>
      <c r="C586" t="n">
        <v>584</v>
      </c>
      <c r="D586" t="n">
        <v>0.0136</v>
      </c>
      <c r="E586" t="n">
        <v>11.181</v>
      </c>
      <c r="F586" t="n">
        <v>0.11172</v>
      </c>
    </row>
    <row r="587">
      <c r="A587" t="n">
        <v>1000585</v>
      </c>
      <c r="B587" t="n">
        <v>1</v>
      </c>
      <c r="C587" t="n">
        <v>585</v>
      </c>
      <c r="D587" t="n">
        <v>0.0134</v>
      </c>
      <c r="E587" t="n">
        <v>11.1877</v>
      </c>
      <c r="F587" t="n">
        <v>0.11174</v>
      </c>
    </row>
    <row r="588">
      <c r="A588" t="n">
        <v>1000586</v>
      </c>
      <c r="B588" t="n">
        <v>1</v>
      </c>
      <c r="C588" t="n">
        <v>586</v>
      </c>
      <c r="D588" t="n">
        <v>0.0132</v>
      </c>
      <c r="E588" t="n">
        <v>11.1944</v>
      </c>
      <c r="F588" t="n">
        <v>0.11175</v>
      </c>
    </row>
    <row r="589">
      <c r="A589" t="n">
        <v>1000587</v>
      </c>
      <c r="B589" t="n">
        <v>1</v>
      </c>
      <c r="C589" t="n">
        <v>587</v>
      </c>
      <c r="D589" t="n">
        <v>0.013</v>
      </c>
      <c r="E589" t="n">
        <v>11.2011</v>
      </c>
      <c r="F589" t="n">
        <v>0.11177</v>
      </c>
    </row>
    <row r="590">
      <c r="A590" t="n">
        <v>1000588</v>
      </c>
      <c r="B590" t="n">
        <v>1</v>
      </c>
      <c r="C590" t="n">
        <v>588</v>
      </c>
      <c r="D590" t="n">
        <v>0.0128</v>
      </c>
      <c r="E590" t="n">
        <v>11.2077</v>
      </c>
      <c r="F590" t="n">
        <v>0.11178</v>
      </c>
    </row>
    <row r="591">
      <c r="A591" t="n">
        <v>1000589</v>
      </c>
      <c r="B591" t="n">
        <v>1</v>
      </c>
      <c r="C591" t="n">
        <v>589</v>
      </c>
      <c r="D591" t="n">
        <v>0.0126</v>
      </c>
      <c r="E591" t="n">
        <v>11.2144</v>
      </c>
      <c r="F591" t="n">
        <v>0.1118</v>
      </c>
    </row>
    <row r="592">
      <c r="A592" t="n">
        <v>1000590</v>
      </c>
      <c r="B592" t="n">
        <v>1</v>
      </c>
      <c r="C592" t="n">
        <v>590</v>
      </c>
      <c r="D592" t="n">
        <v>0.0124</v>
      </c>
      <c r="E592" t="n">
        <v>11.2211</v>
      </c>
      <c r="F592" t="n">
        <v>0.11182</v>
      </c>
    </row>
    <row r="593">
      <c r="A593" t="n">
        <v>1000591</v>
      </c>
      <c r="B593" t="n">
        <v>1</v>
      </c>
      <c r="C593" t="n">
        <v>591</v>
      </c>
      <c r="D593" t="n">
        <v>0.0122</v>
      </c>
      <c r="E593" t="n">
        <v>11.2278</v>
      </c>
      <c r="F593" t="n">
        <v>0.11183</v>
      </c>
    </row>
    <row r="594">
      <c r="A594" t="n">
        <v>1000592</v>
      </c>
      <c r="B594" t="n">
        <v>1</v>
      </c>
      <c r="C594" t="n">
        <v>592</v>
      </c>
      <c r="D594" t="n">
        <v>0.012</v>
      </c>
      <c r="E594" t="n">
        <v>11.2345</v>
      </c>
      <c r="F594" t="n">
        <v>0.11185</v>
      </c>
    </row>
    <row r="595">
      <c r="A595" t="n">
        <v>1000593</v>
      </c>
      <c r="B595" t="n">
        <v>1</v>
      </c>
      <c r="C595" t="n">
        <v>593</v>
      </c>
      <c r="D595" t="n">
        <v>0.0118</v>
      </c>
      <c r="E595" t="n">
        <v>11.2411</v>
      </c>
      <c r="F595" t="n">
        <v>0.11186</v>
      </c>
    </row>
    <row r="596">
      <c r="A596" t="n">
        <v>1000594</v>
      </c>
      <c r="B596" t="n">
        <v>1</v>
      </c>
      <c r="C596" t="n">
        <v>594</v>
      </c>
      <c r="D596" t="n">
        <v>0.0116</v>
      </c>
      <c r="E596" t="n">
        <v>11.2478</v>
      </c>
      <c r="F596" t="n">
        <v>0.11188</v>
      </c>
    </row>
    <row r="597">
      <c r="A597" t="n">
        <v>1000595</v>
      </c>
      <c r="B597" t="n">
        <v>1</v>
      </c>
      <c r="C597" t="n">
        <v>595</v>
      </c>
      <c r="D597" t="n">
        <v>0.0114</v>
      </c>
      <c r="E597" t="n">
        <v>11.2545</v>
      </c>
      <c r="F597" t="n">
        <v>0.11189</v>
      </c>
    </row>
    <row r="598">
      <c r="A598" t="n">
        <v>1000596</v>
      </c>
      <c r="B598" t="n">
        <v>1</v>
      </c>
      <c r="C598" t="n">
        <v>596</v>
      </c>
      <c r="D598" t="n">
        <v>0.0112</v>
      </c>
      <c r="E598" t="n">
        <v>11.2612</v>
      </c>
      <c r="F598" t="n">
        <v>0.11191</v>
      </c>
    </row>
    <row r="599">
      <c r="A599" t="n">
        <v>1000597</v>
      </c>
      <c r="B599" t="n">
        <v>1</v>
      </c>
      <c r="C599" t="n">
        <v>597</v>
      </c>
      <c r="D599" t="n">
        <v>0.0111</v>
      </c>
      <c r="E599" t="n">
        <v>11.2678</v>
      </c>
      <c r="F599" t="n">
        <v>0.11192</v>
      </c>
    </row>
    <row r="600">
      <c r="A600" t="n">
        <v>1000598</v>
      </c>
      <c r="B600" t="n">
        <v>1</v>
      </c>
      <c r="C600" t="n">
        <v>598</v>
      </c>
      <c r="D600" t="n">
        <v>0.0109</v>
      </c>
      <c r="E600" t="n">
        <v>11.2745</v>
      </c>
      <c r="F600" t="n">
        <v>0.11194</v>
      </c>
    </row>
    <row r="601">
      <c r="A601" t="n">
        <v>1000599</v>
      </c>
      <c r="B601" t="n">
        <v>1</v>
      </c>
      <c r="C601" t="n">
        <v>599</v>
      </c>
      <c r="D601" t="n">
        <v>0.0107</v>
      </c>
      <c r="E601" t="n">
        <v>11.2812</v>
      </c>
      <c r="F601" t="n">
        <v>0.11196</v>
      </c>
    </row>
    <row r="602">
      <c r="A602" t="n">
        <v>1000600</v>
      </c>
      <c r="B602" t="n">
        <v>1</v>
      </c>
      <c r="C602" t="n">
        <v>600</v>
      </c>
      <c r="D602" t="n">
        <v>0.0105</v>
      </c>
      <c r="E602" t="n">
        <v>11.2878</v>
      </c>
      <c r="F602" t="n">
        <v>0.11197</v>
      </c>
    </row>
    <row r="603">
      <c r="A603" t="n">
        <v>1000601</v>
      </c>
      <c r="B603" t="n">
        <v>1</v>
      </c>
      <c r="C603" t="n">
        <v>601</v>
      </c>
      <c r="D603" t="n">
        <v>0.0103</v>
      </c>
      <c r="E603" t="n">
        <v>11.2945</v>
      </c>
      <c r="F603" t="n">
        <v>0.11199</v>
      </c>
    </row>
    <row r="604">
      <c r="A604" t="n">
        <v>1000602</v>
      </c>
      <c r="B604" t="n">
        <v>1</v>
      </c>
      <c r="C604" t="n">
        <v>602</v>
      </c>
      <c r="D604" t="n">
        <v>0.0101</v>
      </c>
      <c r="E604" t="n">
        <v>11.3012</v>
      </c>
      <c r="F604" t="n">
        <v>0.112</v>
      </c>
    </row>
    <row r="605">
      <c r="A605" t="n">
        <v>1000603</v>
      </c>
      <c r="B605" t="n">
        <v>1</v>
      </c>
      <c r="C605" t="n">
        <v>603</v>
      </c>
      <c r="D605" t="n">
        <v>0.009900000000000001</v>
      </c>
      <c r="E605" t="n">
        <v>11.3078</v>
      </c>
      <c r="F605" t="n">
        <v>0.11202</v>
      </c>
    </row>
    <row r="606">
      <c r="A606" t="n">
        <v>1000604</v>
      </c>
      <c r="B606" t="n">
        <v>1</v>
      </c>
      <c r="C606" t="n">
        <v>604</v>
      </c>
      <c r="D606" t="n">
        <v>0.0097</v>
      </c>
      <c r="E606" t="n">
        <v>11.3145</v>
      </c>
      <c r="F606" t="n">
        <v>0.11204</v>
      </c>
    </row>
    <row r="607">
      <c r="A607" t="n">
        <v>1000605</v>
      </c>
      <c r="B607" t="n">
        <v>1</v>
      </c>
      <c r="C607" t="n">
        <v>605</v>
      </c>
      <c r="D607" t="n">
        <v>0.0095</v>
      </c>
      <c r="E607" t="n">
        <v>11.3212</v>
      </c>
      <c r="F607" t="n">
        <v>0.11205</v>
      </c>
    </row>
    <row r="608">
      <c r="A608" t="n">
        <v>1000606</v>
      </c>
      <c r="B608" t="n">
        <v>1</v>
      </c>
      <c r="C608" t="n">
        <v>606</v>
      </c>
      <c r="D608" t="n">
        <v>0.009299999999999999</v>
      </c>
      <c r="E608" t="n">
        <v>11.3278</v>
      </c>
      <c r="F608" t="n">
        <v>0.11207</v>
      </c>
    </row>
    <row r="609">
      <c r="A609" t="n">
        <v>1000607</v>
      </c>
      <c r="B609" t="n">
        <v>1</v>
      </c>
      <c r="C609" t="n">
        <v>607</v>
      </c>
      <c r="D609" t="n">
        <v>0.0091</v>
      </c>
      <c r="E609" t="n">
        <v>11.3345</v>
      </c>
      <c r="F609" t="n">
        <v>0.11208</v>
      </c>
    </row>
    <row r="610">
      <c r="A610" t="n">
        <v>1000608</v>
      </c>
      <c r="B610" t="n">
        <v>1</v>
      </c>
      <c r="C610" t="n">
        <v>608</v>
      </c>
      <c r="D610" t="n">
        <v>0.0089</v>
      </c>
      <c r="E610" t="n">
        <v>11.3412</v>
      </c>
      <c r="F610" t="n">
        <v>0.1121</v>
      </c>
    </row>
    <row r="611">
      <c r="A611" t="n">
        <v>1000609</v>
      </c>
      <c r="B611" t="n">
        <v>1</v>
      </c>
      <c r="C611" t="n">
        <v>609</v>
      </c>
      <c r="D611" t="n">
        <v>0.008699999999999999</v>
      </c>
      <c r="E611" t="n">
        <v>11.3478</v>
      </c>
      <c r="F611" t="n">
        <v>0.11212</v>
      </c>
    </row>
    <row r="612">
      <c r="A612" t="n">
        <v>1000610</v>
      </c>
      <c r="B612" t="n">
        <v>1</v>
      </c>
      <c r="C612" t="n">
        <v>610</v>
      </c>
      <c r="D612" t="n">
        <v>0.008500000000000001</v>
      </c>
      <c r="E612" t="n">
        <v>11.3545</v>
      </c>
      <c r="F612" t="n">
        <v>0.11213</v>
      </c>
    </row>
    <row r="613">
      <c r="A613" t="n">
        <v>1000611</v>
      </c>
      <c r="B613" t="n">
        <v>1</v>
      </c>
      <c r="C613" t="n">
        <v>611</v>
      </c>
      <c r="D613" t="n">
        <v>0.0083</v>
      </c>
      <c r="E613" t="n">
        <v>11.3612</v>
      </c>
      <c r="F613" t="n">
        <v>0.11215</v>
      </c>
    </row>
    <row r="614">
      <c r="A614" t="n">
        <v>1000612</v>
      </c>
      <c r="B614" t="n">
        <v>1</v>
      </c>
      <c r="C614" t="n">
        <v>612</v>
      </c>
      <c r="D614" t="n">
        <v>0.0081</v>
      </c>
      <c r="E614" t="n">
        <v>11.3678</v>
      </c>
      <c r="F614" t="n">
        <v>0.11216</v>
      </c>
    </row>
    <row r="615">
      <c r="A615" t="n">
        <v>1000613</v>
      </c>
      <c r="B615" t="n">
        <v>1</v>
      </c>
      <c r="C615" t="n">
        <v>613</v>
      </c>
      <c r="D615" t="n">
        <v>0.007900000000000001</v>
      </c>
      <c r="E615" t="n">
        <v>11.3745</v>
      </c>
      <c r="F615" t="n">
        <v>0.11218</v>
      </c>
    </row>
    <row r="616">
      <c r="A616" t="n">
        <v>1000614</v>
      </c>
      <c r="B616" t="n">
        <v>1</v>
      </c>
      <c r="C616" t="n">
        <v>614</v>
      </c>
      <c r="D616" t="n">
        <v>0.0077</v>
      </c>
      <c r="E616" t="n">
        <v>11.3811</v>
      </c>
      <c r="F616" t="n">
        <v>0.1122</v>
      </c>
    </row>
    <row r="617">
      <c r="A617" t="n">
        <v>1000615</v>
      </c>
      <c r="B617" t="n">
        <v>1</v>
      </c>
      <c r="C617" t="n">
        <v>615</v>
      </c>
      <c r="D617" t="n">
        <v>0.0075</v>
      </c>
      <c r="E617" t="n">
        <v>11.3878</v>
      </c>
      <c r="F617" t="n">
        <v>0.11221</v>
      </c>
    </row>
    <row r="618">
      <c r="A618" t="n">
        <v>1000616</v>
      </c>
      <c r="B618" t="n">
        <v>1</v>
      </c>
      <c r="C618" t="n">
        <v>616</v>
      </c>
      <c r="D618" t="n">
        <v>0.0073</v>
      </c>
      <c r="E618" t="n">
        <v>11.3945</v>
      </c>
      <c r="F618" t="n">
        <v>0.11223</v>
      </c>
    </row>
    <row r="619">
      <c r="A619" t="n">
        <v>1000617</v>
      </c>
      <c r="B619" t="n">
        <v>1</v>
      </c>
      <c r="C619" t="n">
        <v>617</v>
      </c>
      <c r="D619" t="n">
        <v>0.0071</v>
      </c>
      <c r="E619" t="n">
        <v>11.4011</v>
      </c>
      <c r="F619" t="n">
        <v>0.11224</v>
      </c>
    </row>
    <row r="620">
      <c r="A620" t="n">
        <v>1000618</v>
      </c>
      <c r="B620" t="n">
        <v>1</v>
      </c>
      <c r="C620" t="n">
        <v>618</v>
      </c>
      <c r="D620" t="n">
        <v>0.0069</v>
      </c>
      <c r="E620" t="n">
        <v>11.4078</v>
      </c>
      <c r="F620" t="n">
        <v>0.11226</v>
      </c>
    </row>
    <row r="621">
      <c r="A621" t="n">
        <v>1000619</v>
      </c>
      <c r="B621" t="n">
        <v>1</v>
      </c>
      <c r="C621" t="n">
        <v>619</v>
      </c>
      <c r="D621" t="n">
        <v>0.0067</v>
      </c>
      <c r="E621" t="n">
        <v>11.4144</v>
      </c>
      <c r="F621" t="n">
        <v>0.11228</v>
      </c>
    </row>
    <row r="622">
      <c r="A622" t="n">
        <v>1000620</v>
      </c>
      <c r="B622" t="n">
        <v>1</v>
      </c>
      <c r="C622" t="n">
        <v>620</v>
      </c>
      <c r="D622" t="n">
        <v>0.0066</v>
      </c>
      <c r="E622" t="n">
        <v>11.4211</v>
      </c>
      <c r="F622" t="n">
        <v>0.11229</v>
      </c>
    </row>
    <row r="623">
      <c r="A623" t="n">
        <v>1000621</v>
      </c>
      <c r="B623" t="n">
        <v>1</v>
      </c>
      <c r="C623" t="n">
        <v>621</v>
      </c>
      <c r="D623" t="n">
        <v>0.0064</v>
      </c>
      <c r="E623" t="n">
        <v>11.4277</v>
      </c>
      <c r="F623" t="n">
        <v>0.11231</v>
      </c>
    </row>
    <row r="624">
      <c r="A624" t="n">
        <v>1000622</v>
      </c>
      <c r="B624" t="n">
        <v>1</v>
      </c>
      <c r="C624" t="n">
        <v>622</v>
      </c>
      <c r="D624" t="n">
        <v>0.0062</v>
      </c>
      <c r="E624" t="n">
        <v>11.4344</v>
      </c>
      <c r="F624" t="n">
        <v>0.11233</v>
      </c>
    </row>
    <row r="625">
      <c r="A625" t="n">
        <v>1000623</v>
      </c>
      <c r="B625" t="n">
        <v>1</v>
      </c>
      <c r="C625" t="n">
        <v>623</v>
      </c>
      <c r="D625" t="n">
        <v>0.006</v>
      </c>
      <c r="E625" t="n">
        <v>11.441</v>
      </c>
      <c r="F625" t="n">
        <v>0.11234</v>
      </c>
    </row>
    <row r="626">
      <c r="A626" t="n">
        <v>1000624</v>
      </c>
      <c r="B626" t="n">
        <v>1</v>
      </c>
      <c r="C626" t="n">
        <v>624</v>
      </c>
      <c r="D626" t="n">
        <v>0.0058</v>
      </c>
      <c r="E626" t="n">
        <v>11.4477</v>
      </c>
      <c r="F626" t="n">
        <v>0.11236</v>
      </c>
    </row>
    <row r="627">
      <c r="A627" t="n">
        <v>1000625</v>
      </c>
      <c r="B627" t="n">
        <v>1</v>
      </c>
      <c r="C627" t="n">
        <v>625</v>
      </c>
      <c r="D627" t="n">
        <v>0.0056</v>
      </c>
      <c r="E627" t="n">
        <v>11.4543</v>
      </c>
      <c r="F627" t="n">
        <v>0.11238</v>
      </c>
    </row>
    <row r="628">
      <c r="A628" t="n">
        <v>1000626</v>
      </c>
      <c r="B628" t="n">
        <v>1</v>
      </c>
      <c r="C628" t="n">
        <v>626</v>
      </c>
      <c r="D628" t="n">
        <v>0.0054</v>
      </c>
      <c r="E628" t="n">
        <v>11.461</v>
      </c>
      <c r="F628" t="n">
        <v>0.11239</v>
      </c>
    </row>
    <row r="629">
      <c r="A629" t="n">
        <v>1000627</v>
      </c>
      <c r="B629" t="n">
        <v>1</v>
      </c>
      <c r="C629" t="n">
        <v>627</v>
      </c>
      <c r="D629" t="n">
        <v>0.0052</v>
      </c>
      <c r="E629" t="n">
        <v>11.4676</v>
      </c>
      <c r="F629" t="n">
        <v>0.11241</v>
      </c>
    </row>
    <row r="630">
      <c r="A630" t="n">
        <v>1000628</v>
      </c>
      <c r="B630" t="n">
        <v>1</v>
      </c>
      <c r="C630" t="n">
        <v>628</v>
      </c>
      <c r="D630" t="n">
        <v>0.005</v>
      </c>
      <c r="E630" t="n">
        <v>11.4743</v>
      </c>
      <c r="F630" t="n">
        <v>0.11243</v>
      </c>
    </row>
    <row r="631">
      <c r="A631" t="n">
        <v>1000629</v>
      </c>
      <c r="B631" t="n">
        <v>1</v>
      </c>
      <c r="C631" t="n">
        <v>629</v>
      </c>
      <c r="D631" t="n">
        <v>0.0048</v>
      </c>
      <c r="E631" t="n">
        <v>11.4809</v>
      </c>
      <c r="F631" t="n">
        <v>0.11244</v>
      </c>
    </row>
    <row r="632">
      <c r="A632" t="n">
        <v>1000630</v>
      </c>
      <c r="B632" t="n">
        <v>1</v>
      </c>
      <c r="C632" t="n">
        <v>630</v>
      </c>
      <c r="D632" t="n">
        <v>0.0046</v>
      </c>
      <c r="E632" t="n">
        <v>11.4876</v>
      </c>
      <c r="F632" t="n">
        <v>0.11246</v>
      </c>
    </row>
    <row r="633">
      <c r="A633" t="n">
        <v>1000631</v>
      </c>
      <c r="B633" t="n">
        <v>1</v>
      </c>
      <c r="C633" t="n">
        <v>631</v>
      </c>
      <c r="D633" t="n">
        <v>0.0044</v>
      </c>
      <c r="E633" t="n">
        <v>11.4942</v>
      </c>
      <c r="F633" t="n">
        <v>0.11248</v>
      </c>
    </row>
    <row r="634">
      <c r="A634" t="n">
        <v>1000632</v>
      </c>
      <c r="B634" t="n">
        <v>1</v>
      </c>
      <c r="C634" t="n">
        <v>632</v>
      </c>
      <c r="D634" t="n">
        <v>0.0043</v>
      </c>
      <c r="E634" t="n">
        <v>11.5009</v>
      </c>
      <c r="F634" t="n">
        <v>0.11249</v>
      </c>
    </row>
    <row r="635">
      <c r="A635" t="n">
        <v>1000633</v>
      </c>
      <c r="B635" t="n">
        <v>1</v>
      </c>
      <c r="C635" t="n">
        <v>633</v>
      </c>
      <c r="D635" t="n">
        <v>0.0041</v>
      </c>
      <c r="E635" t="n">
        <v>11.5075</v>
      </c>
      <c r="F635" t="n">
        <v>0.11251</v>
      </c>
    </row>
    <row r="636">
      <c r="A636" t="n">
        <v>1000634</v>
      </c>
      <c r="B636" t="n">
        <v>1</v>
      </c>
      <c r="C636" t="n">
        <v>634</v>
      </c>
      <c r="D636" t="n">
        <v>0.0039</v>
      </c>
      <c r="E636" t="n">
        <v>11.5142</v>
      </c>
      <c r="F636" t="n">
        <v>0.11253</v>
      </c>
    </row>
    <row r="637">
      <c r="A637" t="n">
        <v>1000635</v>
      </c>
      <c r="B637" t="n">
        <v>1</v>
      </c>
      <c r="C637" t="n">
        <v>635</v>
      </c>
      <c r="D637" t="n">
        <v>0.0037</v>
      </c>
      <c r="E637" t="n">
        <v>11.5208</v>
      </c>
      <c r="F637" t="n">
        <v>0.11254</v>
      </c>
    </row>
    <row r="638">
      <c r="A638" t="n">
        <v>1000636</v>
      </c>
      <c r="B638" t="n">
        <v>1</v>
      </c>
      <c r="C638" t="n">
        <v>636</v>
      </c>
      <c r="D638" t="n">
        <v>0.0035</v>
      </c>
      <c r="E638" t="n">
        <v>11.5274</v>
      </c>
      <c r="F638" t="n">
        <v>0.11256</v>
      </c>
    </row>
    <row r="639">
      <c r="A639" t="n">
        <v>1000637</v>
      </c>
      <c r="B639" t="n">
        <v>1</v>
      </c>
      <c r="C639" t="n">
        <v>637</v>
      </c>
      <c r="D639" t="n">
        <v>0.0033</v>
      </c>
      <c r="E639" t="n">
        <v>11.5341</v>
      </c>
      <c r="F639" t="n">
        <v>0.11258</v>
      </c>
    </row>
    <row r="640">
      <c r="A640" t="n">
        <v>1000638</v>
      </c>
      <c r="B640" t="n">
        <v>1</v>
      </c>
      <c r="C640" t="n">
        <v>638</v>
      </c>
      <c r="D640" t="n">
        <v>0.0031</v>
      </c>
      <c r="E640" t="n">
        <v>11.5407</v>
      </c>
      <c r="F640" t="n">
        <v>0.11259</v>
      </c>
    </row>
    <row r="641">
      <c r="A641" t="n">
        <v>1000639</v>
      </c>
      <c r="B641" t="n">
        <v>1</v>
      </c>
      <c r="C641" t="n">
        <v>639</v>
      </c>
      <c r="D641" t="n">
        <v>0.0029</v>
      </c>
      <c r="E641" t="n">
        <v>11.5474</v>
      </c>
      <c r="F641" t="n">
        <v>0.11261</v>
      </c>
    </row>
    <row r="642">
      <c r="A642" t="n">
        <v>1000640</v>
      </c>
      <c r="B642" t="n">
        <v>1</v>
      </c>
      <c r="C642" t="n">
        <v>640</v>
      </c>
      <c r="D642" t="n">
        <v>0.0027</v>
      </c>
      <c r="E642" t="n">
        <v>11.554</v>
      </c>
      <c r="F642" t="n">
        <v>0.11263</v>
      </c>
    </row>
    <row r="643">
      <c r="A643" t="n">
        <v>1000641</v>
      </c>
      <c r="B643" t="n">
        <v>1</v>
      </c>
      <c r="C643" t="n">
        <v>641</v>
      </c>
      <c r="D643" t="n">
        <v>0.0025</v>
      </c>
      <c r="E643" t="n">
        <v>11.5606</v>
      </c>
      <c r="F643" t="n">
        <v>0.11265</v>
      </c>
    </row>
    <row r="644">
      <c r="A644" t="n">
        <v>1000642</v>
      </c>
      <c r="B644" t="n">
        <v>1</v>
      </c>
      <c r="C644" t="n">
        <v>642</v>
      </c>
      <c r="D644" t="n">
        <v>0.0024</v>
      </c>
      <c r="E644" t="n">
        <v>11.5673</v>
      </c>
      <c r="F644" t="n">
        <v>0.11266</v>
      </c>
    </row>
    <row r="645">
      <c r="A645" t="n">
        <v>1000643</v>
      </c>
      <c r="B645" t="n">
        <v>1</v>
      </c>
      <c r="C645" t="n">
        <v>643</v>
      </c>
      <c r="D645" t="n">
        <v>0.0022</v>
      </c>
      <c r="E645" t="n">
        <v>11.5739</v>
      </c>
      <c r="F645" t="n">
        <v>0.11268</v>
      </c>
    </row>
    <row r="646">
      <c r="A646" t="n">
        <v>1000644</v>
      </c>
      <c r="B646" t="n">
        <v>1</v>
      </c>
      <c r="C646" t="n">
        <v>644</v>
      </c>
      <c r="D646" t="n">
        <v>0.002</v>
      </c>
      <c r="E646" t="n">
        <v>11.5806</v>
      </c>
      <c r="F646" t="n">
        <v>0.1127</v>
      </c>
    </row>
    <row r="647">
      <c r="A647" t="n">
        <v>1000645</v>
      </c>
      <c r="B647" t="n">
        <v>1</v>
      </c>
      <c r="C647" t="n">
        <v>645</v>
      </c>
      <c r="D647" t="n">
        <v>0.0018</v>
      </c>
      <c r="E647" t="n">
        <v>11.5872</v>
      </c>
      <c r="F647" t="n">
        <v>0.11271</v>
      </c>
    </row>
    <row r="648">
      <c r="A648" t="n">
        <v>1000646</v>
      </c>
      <c r="B648" t="n">
        <v>1</v>
      </c>
      <c r="C648" t="n">
        <v>646</v>
      </c>
      <c r="D648" t="n">
        <v>0.0016</v>
      </c>
      <c r="E648" t="n">
        <v>11.5938</v>
      </c>
      <c r="F648" t="n">
        <v>0.11273</v>
      </c>
    </row>
    <row r="649">
      <c r="A649" t="n">
        <v>1000647</v>
      </c>
      <c r="B649" t="n">
        <v>1</v>
      </c>
      <c r="C649" t="n">
        <v>647</v>
      </c>
      <c r="D649" t="n">
        <v>0.0014</v>
      </c>
      <c r="E649" t="n">
        <v>11.6005</v>
      </c>
      <c r="F649" t="n">
        <v>0.11275</v>
      </c>
    </row>
    <row r="650">
      <c r="A650" t="n">
        <v>1000648</v>
      </c>
      <c r="B650" t="n">
        <v>1</v>
      </c>
      <c r="C650" t="n">
        <v>648</v>
      </c>
      <c r="D650" t="n">
        <v>0.0012</v>
      </c>
      <c r="E650" t="n">
        <v>11.6071</v>
      </c>
      <c r="F650" t="n">
        <v>0.11276</v>
      </c>
    </row>
    <row r="651">
      <c r="A651" t="n">
        <v>1000649</v>
      </c>
      <c r="B651" t="n">
        <v>1</v>
      </c>
      <c r="C651" t="n">
        <v>649</v>
      </c>
      <c r="D651" t="n">
        <v>0.001</v>
      </c>
      <c r="E651" t="n">
        <v>11.6137</v>
      </c>
      <c r="F651" t="n">
        <v>0.11278</v>
      </c>
    </row>
    <row r="652">
      <c r="A652" t="n">
        <v>1000650</v>
      </c>
      <c r="B652" t="n">
        <v>1</v>
      </c>
      <c r="C652" t="n">
        <v>650</v>
      </c>
      <c r="D652" t="n">
        <v>0.0008</v>
      </c>
      <c r="E652" t="n">
        <v>11.6204</v>
      </c>
      <c r="F652" t="n">
        <v>0.1128</v>
      </c>
    </row>
    <row r="653">
      <c r="A653" t="n">
        <v>1000651</v>
      </c>
      <c r="B653" t="n">
        <v>1</v>
      </c>
      <c r="C653" t="n">
        <v>651</v>
      </c>
      <c r="D653" t="n">
        <v>0.0007</v>
      </c>
      <c r="E653" t="n">
        <v>11.627</v>
      </c>
      <c r="F653" t="n">
        <v>0.11282</v>
      </c>
    </row>
    <row r="654">
      <c r="A654" t="n">
        <v>1000652</v>
      </c>
      <c r="B654" t="n">
        <v>1</v>
      </c>
      <c r="C654" t="n">
        <v>652</v>
      </c>
      <c r="D654" t="n">
        <v>0.0005</v>
      </c>
      <c r="E654" t="n">
        <v>11.6336</v>
      </c>
      <c r="F654" t="n">
        <v>0.11283</v>
      </c>
    </row>
    <row r="655">
      <c r="A655" t="n">
        <v>1000653</v>
      </c>
      <c r="B655" t="n">
        <v>1</v>
      </c>
      <c r="C655" t="n">
        <v>653</v>
      </c>
      <c r="D655" t="n">
        <v>0.0003</v>
      </c>
      <c r="E655" t="n">
        <v>11.6403</v>
      </c>
      <c r="F655" t="n">
        <v>0.11285</v>
      </c>
    </row>
    <row r="656">
      <c r="A656" t="n">
        <v>1000654</v>
      </c>
      <c r="B656" t="n">
        <v>1</v>
      </c>
      <c r="C656" t="n">
        <v>654</v>
      </c>
      <c r="D656" t="n">
        <v>0.0001</v>
      </c>
      <c r="E656" t="n">
        <v>11.6469</v>
      </c>
      <c r="F656" t="n">
        <v>0.11287</v>
      </c>
    </row>
    <row r="657">
      <c r="A657" t="n">
        <v>1000655</v>
      </c>
      <c r="B657" t="n">
        <v>1</v>
      </c>
      <c r="C657" t="n">
        <v>655</v>
      </c>
      <c r="D657" t="n">
        <v>-0.0001</v>
      </c>
      <c r="E657" t="n">
        <v>11.6535</v>
      </c>
      <c r="F657" t="n">
        <v>0.11289</v>
      </c>
    </row>
    <row r="658">
      <c r="A658" t="n">
        <v>1000656</v>
      </c>
      <c r="B658" t="n">
        <v>1</v>
      </c>
      <c r="C658" t="n">
        <v>656</v>
      </c>
      <c r="D658" t="n">
        <v>-0.0003</v>
      </c>
      <c r="E658" t="n">
        <v>11.6601</v>
      </c>
      <c r="F658" t="n">
        <v>0.1129</v>
      </c>
    </row>
    <row r="659">
      <c r="A659" t="n">
        <v>1000657</v>
      </c>
      <c r="B659" t="n">
        <v>1</v>
      </c>
      <c r="C659" t="n">
        <v>657</v>
      </c>
      <c r="D659" t="n">
        <v>-0.0005</v>
      </c>
      <c r="E659" t="n">
        <v>11.6668</v>
      </c>
      <c r="F659" t="n">
        <v>0.11292</v>
      </c>
    </row>
    <row r="660">
      <c r="A660" t="n">
        <v>1000658</v>
      </c>
      <c r="B660" t="n">
        <v>1</v>
      </c>
      <c r="C660" t="n">
        <v>658</v>
      </c>
      <c r="D660" t="n">
        <v>-0.0005999999999999999</v>
      </c>
      <c r="E660" t="n">
        <v>11.6734</v>
      </c>
      <c r="F660" t="n">
        <v>0.11294</v>
      </c>
    </row>
    <row r="661">
      <c r="A661" t="n">
        <v>1000659</v>
      </c>
      <c r="B661" t="n">
        <v>1</v>
      </c>
      <c r="C661" t="n">
        <v>659</v>
      </c>
      <c r="D661" t="n">
        <v>-0.0008</v>
      </c>
      <c r="E661" t="n">
        <v>11.68</v>
      </c>
      <c r="F661" t="n">
        <v>0.11296</v>
      </c>
    </row>
    <row r="662">
      <c r="A662" t="n">
        <v>1000660</v>
      </c>
      <c r="B662" t="n">
        <v>1</v>
      </c>
      <c r="C662" t="n">
        <v>660</v>
      </c>
      <c r="D662" t="n">
        <v>-0.001</v>
      </c>
      <c r="E662" t="n">
        <v>11.6866</v>
      </c>
      <c r="F662" t="n">
        <v>0.11297</v>
      </c>
    </row>
    <row r="663">
      <c r="A663" t="n">
        <v>1000661</v>
      </c>
      <c r="B663" t="n">
        <v>1</v>
      </c>
      <c r="C663" t="n">
        <v>661</v>
      </c>
      <c r="D663" t="n">
        <v>-0.0012</v>
      </c>
      <c r="E663" t="n">
        <v>11.6933</v>
      </c>
      <c r="F663" t="n">
        <v>0.11299</v>
      </c>
    </row>
    <row r="664">
      <c r="A664" t="n">
        <v>1000662</v>
      </c>
      <c r="B664" t="n">
        <v>1</v>
      </c>
      <c r="C664" t="n">
        <v>662</v>
      </c>
      <c r="D664" t="n">
        <v>-0.0014</v>
      </c>
      <c r="E664" t="n">
        <v>11.6999</v>
      </c>
      <c r="F664" t="n">
        <v>0.11301</v>
      </c>
    </row>
    <row r="665">
      <c r="A665" t="n">
        <v>1000663</v>
      </c>
      <c r="B665" t="n">
        <v>1</v>
      </c>
      <c r="C665" t="n">
        <v>663</v>
      </c>
      <c r="D665" t="n">
        <v>-0.0016</v>
      </c>
      <c r="E665" t="n">
        <v>11.7065</v>
      </c>
      <c r="F665" t="n">
        <v>0.11303</v>
      </c>
    </row>
    <row r="666">
      <c r="A666" t="n">
        <v>1000664</v>
      </c>
      <c r="B666" t="n">
        <v>1</v>
      </c>
      <c r="C666" t="n">
        <v>664</v>
      </c>
      <c r="D666" t="n">
        <v>-0.0018</v>
      </c>
      <c r="E666" t="n">
        <v>11.7131</v>
      </c>
      <c r="F666" t="n">
        <v>0.11304</v>
      </c>
    </row>
    <row r="667">
      <c r="A667" t="n">
        <v>1000665</v>
      </c>
      <c r="B667" t="n">
        <v>1</v>
      </c>
      <c r="C667" t="n">
        <v>665</v>
      </c>
      <c r="D667" t="n">
        <v>-0.0019</v>
      </c>
      <c r="E667" t="n">
        <v>11.7198</v>
      </c>
      <c r="F667" t="n">
        <v>0.11306</v>
      </c>
    </row>
    <row r="668">
      <c r="A668" t="n">
        <v>1000666</v>
      </c>
      <c r="B668" t="n">
        <v>1</v>
      </c>
      <c r="C668" t="n">
        <v>666</v>
      </c>
      <c r="D668" t="n">
        <v>-0.0021</v>
      </c>
      <c r="E668" t="n">
        <v>11.7264</v>
      </c>
      <c r="F668" t="n">
        <v>0.11308</v>
      </c>
    </row>
    <row r="669">
      <c r="A669" t="n">
        <v>1000667</v>
      </c>
      <c r="B669" t="n">
        <v>1</v>
      </c>
      <c r="C669" t="n">
        <v>667</v>
      </c>
      <c r="D669" t="n">
        <v>-0.0023</v>
      </c>
      <c r="E669" t="n">
        <v>11.733</v>
      </c>
      <c r="F669" t="n">
        <v>0.1131</v>
      </c>
    </row>
    <row r="670">
      <c r="A670" t="n">
        <v>1000668</v>
      </c>
      <c r="B670" t="n">
        <v>1</v>
      </c>
      <c r="C670" t="n">
        <v>668</v>
      </c>
      <c r="D670" t="n">
        <v>-0.0025</v>
      </c>
      <c r="E670" t="n">
        <v>11.7396</v>
      </c>
      <c r="F670" t="n">
        <v>0.11311</v>
      </c>
    </row>
    <row r="671">
      <c r="A671" t="n">
        <v>1000669</v>
      </c>
      <c r="B671" t="n">
        <v>1</v>
      </c>
      <c r="C671" t="n">
        <v>669</v>
      </c>
      <c r="D671" t="n">
        <v>-0.0027</v>
      </c>
      <c r="E671" t="n">
        <v>11.7462</v>
      </c>
      <c r="F671" t="n">
        <v>0.11313</v>
      </c>
    </row>
    <row r="672">
      <c r="A672" t="n">
        <v>1000670</v>
      </c>
      <c r="B672" t="n">
        <v>1</v>
      </c>
      <c r="C672" t="n">
        <v>670</v>
      </c>
      <c r="D672" t="n">
        <v>-0.0029</v>
      </c>
      <c r="E672" t="n">
        <v>11.7528</v>
      </c>
      <c r="F672" t="n">
        <v>0.11315</v>
      </c>
    </row>
    <row r="673">
      <c r="A673" t="n">
        <v>1000671</v>
      </c>
      <c r="B673" t="n">
        <v>1</v>
      </c>
      <c r="C673" t="n">
        <v>671</v>
      </c>
      <c r="D673" t="n">
        <v>-0.003</v>
      </c>
      <c r="E673" t="n">
        <v>11.7595</v>
      </c>
      <c r="F673" t="n">
        <v>0.11317</v>
      </c>
    </row>
    <row r="674">
      <c r="A674" t="n">
        <v>1000672</v>
      </c>
      <c r="B674" t="n">
        <v>1</v>
      </c>
      <c r="C674" t="n">
        <v>672</v>
      </c>
      <c r="D674" t="n">
        <v>-0.0032</v>
      </c>
      <c r="E674" t="n">
        <v>11.7661</v>
      </c>
      <c r="F674" t="n">
        <v>0.11318</v>
      </c>
    </row>
    <row r="675">
      <c r="A675" t="n">
        <v>1000673</v>
      </c>
      <c r="B675" t="n">
        <v>1</v>
      </c>
      <c r="C675" t="n">
        <v>673</v>
      </c>
      <c r="D675" t="n">
        <v>-0.0034</v>
      </c>
      <c r="E675" t="n">
        <v>11.7727</v>
      </c>
      <c r="F675" t="n">
        <v>0.1132</v>
      </c>
    </row>
    <row r="676">
      <c r="A676" t="n">
        <v>1000674</v>
      </c>
      <c r="B676" t="n">
        <v>1</v>
      </c>
      <c r="C676" t="n">
        <v>674</v>
      </c>
      <c r="D676" t="n">
        <v>-0.0036</v>
      </c>
      <c r="E676" t="n">
        <v>11.7793</v>
      </c>
      <c r="F676" t="n">
        <v>0.11322</v>
      </c>
    </row>
    <row r="677">
      <c r="A677" t="n">
        <v>1000675</v>
      </c>
      <c r="B677" t="n">
        <v>1</v>
      </c>
      <c r="C677" t="n">
        <v>675</v>
      </c>
      <c r="D677" t="n">
        <v>-0.0038</v>
      </c>
      <c r="E677" t="n">
        <v>11.7859</v>
      </c>
      <c r="F677" t="n">
        <v>0.11324</v>
      </c>
    </row>
    <row r="678">
      <c r="A678" t="n">
        <v>1000676</v>
      </c>
      <c r="B678" t="n">
        <v>1</v>
      </c>
      <c r="C678" t="n">
        <v>676</v>
      </c>
      <c r="D678" t="n">
        <v>-0.004</v>
      </c>
      <c r="E678" t="n">
        <v>11.7925</v>
      </c>
      <c r="F678" t="n">
        <v>0.11326</v>
      </c>
    </row>
    <row r="679">
      <c r="A679" t="n">
        <v>1000677</v>
      </c>
      <c r="B679" t="n">
        <v>1</v>
      </c>
      <c r="C679" t="n">
        <v>677</v>
      </c>
      <c r="D679" t="n">
        <v>-0.0041</v>
      </c>
      <c r="E679" t="n">
        <v>11.7991</v>
      </c>
      <c r="F679" t="n">
        <v>0.11327</v>
      </c>
    </row>
    <row r="680">
      <c r="A680" t="n">
        <v>1000678</v>
      </c>
      <c r="B680" t="n">
        <v>1</v>
      </c>
      <c r="C680" t="n">
        <v>678</v>
      </c>
      <c r="D680" t="n">
        <v>-0.0043</v>
      </c>
      <c r="E680" t="n">
        <v>11.8057</v>
      </c>
      <c r="F680" t="n">
        <v>0.11329</v>
      </c>
    </row>
    <row r="681">
      <c r="A681" t="n">
        <v>1000679</v>
      </c>
      <c r="B681" t="n">
        <v>1</v>
      </c>
      <c r="C681" t="n">
        <v>679</v>
      </c>
      <c r="D681" t="n">
        <v>-0.0045</v>
      </c>
      <c r="E681" t="n">
        <v>11.8124</v>
      </c>
      <c r="F681" t="n">
        <v>0.11331</v>
      </c>
    </row>
    <row r="682">
      <c r="A682" t="n">
        <v>1000680</v>
      </c>
      <c r="B682" t="n">
        <v>1</v>
      </c>
      <c r="C682" t="n">
        <v>680</v>
      </c>
      <c r="D682" t="n">
        <v>-0.0047</v>
      </c>
      <c r="E682" t="n">
        <v>11.819</v>
      </c>
      <c r="F682" t="n">
        <v>0.11333</v>
      </c>
    </row>
    <row r="683">
      <c r="A683" t="n">
        <v>1000681</v>
      </c>
      <c r="B683" t="n">
        <v>1</v>
      </c>
      <c r="C683" t="n">
        <v>681</v>
      </c>
      <c r="D683" t="n">
        <v>-0.0049</v>
      </c>
      <c r="E683" t="n">
        <v>11.8256</v>
      </c>
      <c r="F683" t="n">
        <v>0.11335</v>
      </c>
    </row>
    <row r="684">
      <c r="A684" t="n">
        <v>1000682</v>
      </c>
      <c r="B684" t="n">
        <v>1</v>
      </c>
      <c r="C684" t="n">
        <v>682</v>
      </c>
      <c r="D684" t="n">
        <v>-0.0051</v>
      </c>
      <c r="E684" t="n">
        <v>11.8322</v>
      </c>
      <c r="F684" t="n">
        <v>0.11336</v>
      </c>
    </row>
    <row r="685">
      <c r="A685" t="n">
        <v>1000683</v>
      </c>
      <c r="B685" t="n">
        <v>1</v>
      </c>
      <c r="C685" t="n">
        <v>683</v>
      </c>
      <c r="D685" t="n">
        <v>-0.0052</v>
      </c>
      <c r="E685" t="n">
        <v>11.8388</v>
      </c>
      <c r="F685" t="n">
        <v>0.11338</v>
      </c>
    </row>
    <row r="686">
      <c r="A686" t="n">
        <v>1000684</v>
      </c>
      <c r="B686" t="n">
        <v>1</v>
      </c>
      <c r="C686" t="n">
        <v>684</v>
      </c>
      <c r="D686" t="n">
        <v>-0.0054</v>
      </c>
      <c r="E686" t="n">
        <v>11.8454</v>
      </c>
      <c r="F686" t="n">
        <v>0.1134</v>
      </c>
    </row>
    <row r="687">
      <c r="A687" t="n">
        <v>1000685</v>
      </c>
      <c r="B687" t="n">
        <v>1</v>
      </c>
      <c r="C687" t="n">
        <v>685</v>
      </c>
      <c r="D687" t="n">
        <v>-0.0056</v>
      </c>
      <c r="E687" t="n">
        <v>11.852</v>
      </c>
      <c r="F687" t="n">
        <v>0.11342</v>
      </c>
    </row>
    <row r="688">
      <c r="A688" t="n">
        <v>1000686</v>
      </c>
      <c r="B688" t="n">
        <v>1</v>
      </c>
      <c r="C688" t="n">
        <v>686</v>
      </c>
      <c r="D688" t="n">
        <v>-0.0058</v>
      </c>
      <c r="E688" t="n">
        <v>11.8586</v>
      </c>
      <c r="F688" t="n">
        <v>0.11344</v>
      </c>
    </row>
    <row r="689">
      <c r="A689" t="n">
        <v>1000687</v>
      </c>
      <c r="B689" t="n">
        <v>1</v>
      </c>
      <c r="C689" t="n">
        <v>687</v>
      </c>
      <c r="D689" t="n">
        <v>-0.006</v>
      </c>
      <c r="E689" t="n">
        <v>11.8652</v>
      </c>
      <c r="F689" t="n">
        <v>0.11345</v>
      </c>
    </row>
    <row r="690">
      <c r="A690" t="n">
        <v>1000688</v>
      </c>
      <c r="B690" t="n">
        <v>1</v>
      </c>
      <c r="C690" t="n">
        <v>688</v>
      </c>
      <c r="D690" t="n">
        <v>-0.0061</v>
      </c>
      <c r="E690" t="n">
        <v>11.8718</v>
      </c>
      <c r="F690" t="n">
        <v>0.11347</v>
      </c>
    </row>
    <row r="691">
      <c r="A691" t="n">
        <v>1000689</v>
      </c>
      <c r="B691" t="n">
        <v>1</v>
      </c>
      <c r="C691" t="n">
        <v>689</v>
      </c>
      <c r="D691" t="n">
        <v>-0.0063</v>
      </c>
      <c r="E691" t="n">
        <v>11.8784</v>
      </c>
      <c r="F691" t="n">
        <v>0.11349</v>
      </c>
    </row>
    <row r="692">
      <c r="A692" t="n">
        <v>1000690</v>
      </c>
      <c r="B692" t="n">
        <v>1</v>
      </c>
      <c r="C692" t="n">
        <v>690</v>
      </c>
      <c r="D692" t="n">
        <v>-0.0065</v>
      </c>
      <c r="E692" t="n">
        <v>11.885</v>
      </c>
      <c r="F692" t="n">
        <v>0.11351</v>
      </c>
    </row>
    <row r="693">
      <c r="A693" t="n">
        <v>1000691</v>
      </c>
      <c r="B693" t="n">
        <v>1</v>
      </c>
      <c r="C693" t="n">
        <v>691</v>
      </c>
      <c r="D693" t="n">
        <v>-0.0067</v>
      </c>
      <c r="E693" t="n">
        <v>11.8916</v>
      </c>
      <c r="F693" t="n">
        <v>0.11353</v>
      </c>
    </row>
    <row r="694">
      <c r="A694" t="n">
        <v>1000692</v>
      </c>
      <c r="B694" t="n">
        <v>1</v>
      </c>
      <c r="C694" t="n">
        <v>692</v>
      </c>
      <c r="D694" t="n">
        <v>-0.0069</v>
      </c>
      <c r="E694" t="n">
        <v>11.8982</v>
      </c>
      <c r="F694" t="n">
        <v>0.11354</v>
      </c>
    </row>
    <row r="695">
      <c r="A695" t="n">
        <v>1000693</v>
      </c>
      <c r="B695" t="n">
        <v>1</v>
      </c>
      <c r="C695" t="n">
        <v>693</v>
      </c>
      <c r="D695" t="n">
        <v>-0.007</v>
      </c>
      <c r="E695" t="n">
        <v>11.9048</v>
      </c>
      <c r="F695" t="n">
        <v>0.11356</v>
      </c>
    </row>
    <row r="696">
      <c r="A696" t="n">
        <v>1000694</v>
      </c>
      <c r="B696" t="n">
        <v>1</v>
      </c>
      <c r="C696" t="n">
        <v>694</v>
      </c>
      <c r="D696" t="n">
        <v>-0.0072</v>
      </c>
      <c r="E696" t="n">
        <v>11.9114</v>
      </c>
      <c r="F696" t="n">
        <v>0.11358</v>
      </c>
    </row>
    <row r="697">
      <c r="A697" t="n">
        <v>1000695</v>
      </c>
      <c r="B697" t="n">
        <v>1</v>
      </c>
      <c r="C697" t="n">
        <v>695</v>
      </c>
      <c r="D697" t="n">
        <v>-0.0074</v>
      </c>
      <c r="E697" t="n">
        <v>11.918</v>
      </c>
      <c r="F697" t="n">
        <v>0.1136</v>
      </c>
    </row>
    <row r="698">
      <c r="A698" t="n">
        <v>1000696</v>
      </c>
      <c r="B698" t="n">
        <v>1</v>
      </c>
      <c r="C698" t="n">
        <v>696</v>
      </c>
      <c r="D698" t="n">
        <v>-0.0076</v>
      </c>
      <c r="E698" t="n">
        <v>11.9246</v>
      </c>
      <c r="F698" t="n">
        <v>0.11362</v>
      </c>
    </row>
    <row r="699">
      <c r="A699" t="n">
        <v>1000697</v>
      </c>
      <c r="B699" t="n">
        <v>1</v>
      </c>
      <c r="C699" t="n">
        <v>697</v>
      </c>
      <c r="D699" t="n">
        <v>-0.0078</v>
      </c>
      <c r="E699" t="n">
        <v>11.9312</v>
      </c>
      <c r="F699" t="n">
        <v>0.11364</v>
      </c>
    </row>
    <row r="700">
      <c r="A700" t="n">
        <v>1000698</v>
      </c>
      <c r="B700" t="n">
        <v>1</v>
      </c>
      <c r="C700" t="n">
        <v>698</v>
      </c>
      <c r="D700" t="n">
        <v>-0.007900000000000001</v>
      </c>
      <c r="E700" t="n">
        <v>11.9378</v>
      </c>
      <c r="F700" t="n">
        <v>0.11365</v>
      </c>
    </row>
    <row r="701">
      <c r="A701" t="n">
        <v>1000699</v>
      </c>
      <c r="B701" t="n">
        <v>1</v>
      </c>
      <c r="C701" t="n">
        <v>699</v>
      </c>
      <c r="D701" t="n">
        <v>-0.0081</v>
      </c>
      <c r="E701" t="n">
        <v>11.9444</v>
      </c>
      <c r="F701" t="n">
        <v>0.11367</v>
      </c>
    </row>
    <row r="702">
      <c r="A702" t="n">
        <v>1000700</v>
      </c>
      <c r="B702" t="n">
        <v>1</v>
      </c>
      <c r="C702" t="n">
        <v>700</v>
      </c>
      <c r="D702" t="n">
        <v>-0.0083</v>
      </c>
      <c r="E702" t="n">
        <v>11.951</v>
      </c>
      <c r="F702" t="n">
        <v>0.11369</v>
      </c>
    </row>
    <row r="703">
      <c r="A703" t="n">
        <v>1000701</v>
      </c>
      <c r="B703" t="n">
        <v>1</v>
      </c>
      <c r="C703" t="n">
        <v>701</v>
      </c>
      <c r="D703" t="n">
        <v>-0.008500000000000001</v>
      </c>
      <c r="E703" t="n">
        <v>11.9576</v>
      </c>
      <c r="F703" t="n">
        <v>0.11371</v>
      </c>
    </row>
    <row r="704">
      <c r="A704" t="n">
        <v>1000702</v>
      </c>
      <c r="B704" t="n">
        <v>1</v>
      </c>
      <c r="C704" t="n">
        <v>702</v>
      </c>
      <c r="D704" t="n">
        <v>-0.008699999999999999</v>
      </c>
      <c r="E704" t="n">
        <v>11.9642</v>
      </c>
      <c r="F704" t="n">
        <v>0.11373</v>
      </c>
    </row>
    <row r="705">
      <c r="A705" t="n">
        <v>1000703</v>
      </c>
      <c r="B705" t="n">
        <v>1</v>
      </c>
      <c r="C705" t="n">
        <v>703</v>
      </c>
      <c r="D705" t="n">
        <v>-0.008800000000000001</v>
      </c>
      <c r="E705" t="n">
        <v>11.9707</v>
      </c>
      <c r="F705" t="n">
        <v>0.11375</v>
      </c>
    </row>
    <row r="706">
      <c r="A706" t="n">
        <v>1000704</v>
      </c>
      <c r="B706" t="n">
        <v>1</v>
      </c>
      <c r="C706" t="n">
        <v>704</v>
      </c>
      <c r="D706" t="n">
        <v>-0.008999999999999999</v>
      </c>
      <c r="E706" t="n">
        <v>11.9773</v>
      </c>
      <c r="F706" t="n">
        <v>0.11376</v>
      </c>
    </row>
    <row r="707">
      <c r="A707" t="n">
        <v>1000705</v>
      </c>
      <c r="B707" t="n">
        <v>1</v>
      </c>
      <c r="C707" t="n">
        <v>705</v>
      </c>
      <c r="D707" t="n">
        <v>-0.0092</v>
      </c>
      <c r="E707" t="n">
        <v>11.9839</v>
      </c>
      <c r="F707" t="n">
        <v>0.11378</v>
      </c>
    </row>
    <row r="708">
      <c r="A708" t="n">
        <v>1000706</v>
      </c>
      <c r="B708" t="n">
        <v>1</v>
      </c>
      <c r="C708" t="n">
        <v>706</v>
      </c>
      <c r="D708" t="n">
        <v>-0.0094</v>
      </c>
      <c r="E708" t="n">
        <v>11.9905</v>
      </c>
      <c r="F708" t="n">
        <v>0.1138</v>
      </c>
    </row>
    <row r="709">
      <c r="A709" t="n">
        <v>1000707</v>
      </c>
      <c r="B709" t="n">
        <v>1</v>
      </c>
      <c r="C709" t="n">
        <v>707</v>
      </c>
      <c r="D709" t="n">
        <v>-0.0095</v>
      </c>
      <c r="E709" t="n">
        <v>11.9971</v>
      </c>
      <c r="F709" t="n">
        <v>0.11382</v>
      </c>
    </row>
    <row r="710">
      <c r="A710" t="n">
        <v>1000708</v>
      </c>
      <c r="B710" t="n">
        <v>1</v>
      </c>
      <c r="C710" t="n">
        <v>708</v>
      </c>
      <c r="D710" t="n">
        <v>-0.0097</v>
      </c>
      <c r="E710" t="n">
        <v>12.0037</v>
      </c>
      <c r="F710" t="n">
        <v>0.11384</v>
      </c>
    </row>
    <row r="711">
      <c r="A711" t="n">
        <v>1000709</v>
      </c>
      <c r="B711" t="n">
        <v>1</v>
      </c>
      <c r="C711" t="n">
        <v>709</v>
      </c>
      <c r="D711" t="n">
        <v>-0.009900000000000001</v>
      </c>
      <c r="E711" t="n">
        <v>12.0103</v>
      </c>
      <c r="F711" t="n">
        <v>0.11386</v>
      </c>
    </row>
    <row r="712">
      <c r="A712" t="n">
        <v>1000710</v>
      </c>
      <c r="B712" t="n">
        <v>1</v>
      </c>
      <c r="C712" t="n">
        <v>710</v>
      </c>
      <c r="D712" t="n">
        <v>-0.0101</v>
      </c>
      <c r="E712" t="n">
        <v>12.0168</v>
      </c>
      <c r="F712" t="n">
        <v>0.11388</v>
      </c>
    </row>
    <row r="713">
      <c r="A713" t="n">
        <v>1000711</v>
      </c>
      <c r="B713" t="n">
        <v>1</v>
      </c>
      <c r="C713" t="n">
        <v>711</v>
      </c>
      <c r="D713" t="n">
        <v>-0.0102</v>
      </c>
      <c r="E713" t="n">
        <v>12.0234</v>
      </c>
      <c r="F713" t="n">
        <v>0.11389</v>
      </c>
    </row>
    <row r="714">
      <c r="A714" t="n">
        <v>1000712</v>
      </c>
      <c r="B714" t="n">
        <v>1</v>
      </c>
      <c r="C714" t="n">
        <v>712</v>
      </c>
      <c r="D714" t="n">
        <v>-0.0104</v>
      </c>
      <c r="E714" t="n">
        <v>12.03</v>
      </c>
      <c r="F714" t="n">
        <v>0.11391</v>
      </c>
    </row>
    <row r="715">
      <c r="A715" t="n">
        <v>1000713</v>
      </c>
      <c r="B715" t="n">
        <v>1</v>
      </c>
      <c r="C715" t="n">
        <v>713</v>
      </c>
      <c r="D715" t="n">
        <v>-0.0106</v>
      </c>
      <c r="E715" t="n">
        <v>12.0366</v>
      </c>
      <c r="F715" t="n">
        <v>0.11393</v>
      </c>
    </row>
    <row r="716">
      <c r="A716" t="n">
        <v>1000714</v>
      </c>
      <c r="B716" t="n">
        <v>1</v>
      </c>
      <c r="C716" t="n">
        <v>714</v>
      </c>
      <c r="D716" t="n">
        <v>-0.0108</v>
      </c>
      <c r="E716" t="n">
        <v>12.0431</v>
      </c>
      <c r="F716" t="n">
        <v>0.11395</v>
      </c>
    </row>
    <row r="717">
      <c r="A717" t="n">
        <v>1000715</v>
      </c>
      <c r="B717" t="n">
        <v>1</v>
      </c>
      <c r="C717" t="n">
        <v>715</v>
      </c>
      <c r="D717" t="n">
        <v>-0.011</v>
      </c>
      <c r="E717" t="n">
        <v>12.0497</v>
      </c>
      <c r="F717" t="n">
        <v>0.11397</v>
      </c>
    </row>
    <row r="718">
      <c r="A718" t="n">
        <v>1000716</v>
      </c>
      <c r="B718" t="n">
        <v>1</v>
      </c>
      <c r="C718" t="n">
        <v>716</v>
      </c>
      <c r="D718" t="n">
        <v>-0.0111</v>
      </c>
      <c r="E718" t="n">
        <v>12.0563</v>
      </c>
      <c r="F718" t="n">
        <v>0.11399</v>
      </c>
    </row>
    <row r="719">
      <c r="A719" t="n">
        <v>1000717</v>
      </c>
      <c r="B719" t="n">
        <v>1</v>
      </c>
      <c r="C719" t="n">
        <v>717</v>
      </c>
      <c r="D719" t="n">
        <v>-0.0113</v>
      </c>
      <c r="E719" t="n">
        <v>12.0629</v>
      </c>
      <c r="F719" t="n">
        <v>0.11401</v>
      </c>
    </row>
    <row r="720">
      <c r="A720" t="n">
        <v>1000718</v>
      </c>
      <c r="B720" t="n">
        <v>1</v>
      </c>
      <c r="C720" t="n">
        <v>718</v>
      </c>
      <c r="D720" t="n">
        <v>-0.0115</v>
      </c>
      <c r="E720" t="n">
        <v>12.0694</v>
      </c>
      <c r="F720" t="n">
        <v>0.11403</v>
      </c>
    </row>
    <row r="721">
      <c r="A721" t="n">
        <v>1000719</v>
      </c>
      <c r="B721" t="n">
        <v>1</v>
      </c>
      <c r="C721" t="n">
        <v>719</v>
      </c>
      <c r="D721" t="n">
        <v>-0.0117</v>
      </c>
      <c r="E721" t="n">
        <v>12.076</v>
      </c>
      <c r="F721" t="n">
        <v>0.11404</v>
      </c>
    </row>
    <row r="722">
      <c r="A722" t="n">
        <v>1000720</v>
      </c>
      <c r="B722" t="n">
        <v>1</v>
      </c>
      <c r="C722" t="n">
        <v>720</v>
      </c>
      <c r="D722" t="n">
        <v>-0.0118</v>
      </c>
      <c r="E722" t="n">
        <v>12.0826</v>
      </c>
      <c r="F722" t="n">
        <v>0.11406</v>
      </c>
    </row>
    <row r="723">
      <c r="A723" t="n">
        <v>1000721</v>
      </c>
      <c r="B723" t="n">
        <v>1</v>
      </c>
      <c r="C723" t="n">
        <v>721</v>
      </c>
      <c r="D723" t="n">
        <v>-0.012</v>
      </c>
      <c r="E723" t="n">
        <v>12.0891</v>
      </c>
      <c r="F723" t="n">
        <v>0.11408</v>
      </c>
    </row>
    <row r="724">
      <c r="A724" t="n">
        <v>1000722</v>
      </c>
      <c r="B724" t="n">
        <v>1</v>
      </c>
      <c r="C724" t="n">
        <v>722</v>
      </c>
      <c r="D724" t="n">
        <v>-0.0122</v>
      </c>
      <c r="E724" t="n">
        <v>12.0957</v>
      </c>
      <c r="F724" t="n">
        <v>0.1141</v>
      </c>
    </row>
    <row r="725">
      <c r="A725" t="n">
        <v>1000723</v>
      </c>
      <c r="B725" t="n">
        <v>1</v>
      </c>
      <c r="C725" t="n">
        <v>723</v>
      </c>
      <c r="D725" t="n">
        <v>-0.0124</v>
      </c>
      <c r="E725" t="n">
        <v>12.1023</v>
      </c>
      <c r="F725" t="n">
        <v>0.11412</v>
      </c>
    </row>
    <row r="726">
      <c r="A726" t="n">
        <v>1000724</v>
      </c>
      <c r="B726" t="n">
        <v>1</v>
      </c>
      <c r="C726" t="n">
        <v>724</v>
      </c>
      <c r="D726" t="n">
        <v>-0.0125</v>
      </c>
      <c r="E726" t="n">
        <v>12.1088</v>
      </c>
      <c r="F726" t="n">
        <v>0.11414</v>
      </c>
    </row>
    <row r="727">
      <c r="A727" t="n">
        <v>1000725</v>
      </c>
      <c r="B727" t="n">
        <v>1</v>
      </c>
      <c r="C727" t="n">
        <v>725</v>
      </c>
      <c r="D727" t="n">
        <v>-0.0127</v>
      </c>
      <c r="E727" t="n">
        <v>12.1154</v>
      </c>
      <c r="F727" t="n">
        <v>0.11416</v>
      </c>
    </row>
    <row r="728">
      <c r="A728" t="n">
        <v>1000726</v>
      </c>
      <c r="B728" t="n">
        <v>1</v>
      </c>
      <c r="C728" t="n">
        <v>726</v>
      </c>
      <c r="D728" t="n">
        <v>-0.0129</v>
      </c>
      <c r="E728" t="n">
        <v>12.122</v>
      </c>
      <c r="F728" t="n">
        <v>0.11418</v>
      </c>
    </row>
    <row r="729">
      <c r="A729" t="n">
        <v>1000727</v>
      </c>
      <c r="B729" t="n">
        <v>1</v>
      </c>
      <c r="C729" t="n">
        <v>727</v>
      </c>
      <c r="D729" t="n">
        <v>-0.0131</v>
      </c>
      <c r="E729" t="n">
        <v>12.1285</v>
      </c>
      <c r="F729" t="n">
        <v>0.1142</v>
      </c>
    </row>
    <row r="730">
      <c r="A730" t="n">
        <v>1000728</v>
      </c>
      <c r="B730" t="n">
        <v>1</v>
      </c>
      <c r="C730" t="n">
        <v>728</v>
      </c>
      <c r="D730" t="n">
        <v>-0.0132</v>
      </c>
      <c r="E730" t="n">
        <v>12.1351</v>
      </c>
      <c r="F730" t="n">
        <v>0.11421</v>
      </c>
    </row>
    <row r="731">
      <c r="A731" t="n">
        <v>1000729</v>
      </c>
      <c r="B731" t="n">
        <v>1</v>
      </c>
      <c r="C731" t="n">
        <v>729</v>
      </c>
      <c r="D731" t="n">
        <v>-0.0134</v>
      </c>
      <c r="E731" t="n">
        <v>12.1416</v>
      </c>
      <c r="F731" t="n">
        <v>0.11423</v>
      </c>
    </row>
    <row r="732">
      <c r="A732" t="n">
        <v>1000730</v>
      </c>
      <c r="B732" t="n">
        <v>1</v>
      </c>
      <c r="C732" t="n">
        <v>730</v>
      </c>
      <c r="D732" t="n">
        <v>-0.0136</v>
      </c>
      <c r="E732" t="n">
        <v>12.1482</v>
      </c>
      <c r="F732" t="n">
        <v>0.11425</v>
      </c>
    </row>
    <row r="733">
      <c r="A733" t="n">
        <v>1000731</v>
      </c>
      <c r="B733" t="n">
        <v>1</v>
      </c>
      <c r="C733" t="n">
        <v>731</v>
      </c>
      <c r="D733" t="n">
        <v>-0.0137</v>
      </c>
      <c r="E733" t="n">
        <v>12.1548</v>
      </c>
      <c r="F733" t="n">
        <v>0.11427</v>
      </c>
    </row>
    <row r="734">
      <c r="A734" t="n">
        <v>1000732</v>
      </c>
      <c r="B734" t="n">
        <v>1</v>
      </c>
      <c r="C734" t="n">
        <v>732</v>
      </c>
      <c r="D734" t="n">
        <v>-0.0139</v>
      </c>
      <c r="E734" t="n">
        <v>12.1613</v>
      </c>
      <c r="F734" t="n">
        <v>0.11429</v>
      </c>
    </row>
    <row r="735">
      <c r="A735" t="n">
        <v>1000733</v>
      </c>
      <c r="B735" t="n">
        <v>1</v>
      </c>
      <c r="C735" t="n">
        <v>733</v>
      </c>
      <c r="D735" t="n">
        <v>-0.0141</v>
      </c>
      <c r="E735" t="n">
        <v>12.1679</v>
      </c>
      <c r="F735" t="n">
        <v>0.11431</v>
      </c>
    </row>
    <row r="736">
      <c r="A736" t="n">
        <v>1000734</v>
      </c>
      <c r="B736" t="n">
        <v>1</v>
      </c>
      <c r="C736" t="n">
        <v>734</v>
      </c>
      <c r="D736" t="n">
        <v>-0.0143</v>
      </c>
      <c r="E736" t="n">
        <v>12.1744</v>
      </c>
      <c r="F736" t="n">
        <v>0.11433</v>
      </c>
    </row>
    <row r="737">
      <c r="A737" t="n">
        <v>1000735</v>
      </c>
      <c r="B737" t="n">
        <v>1</v>
      </c>
      <c r="C737" t="n">
        <v>735</v>
      </c>
      <c r="D737" t="n">
        <v>-0.0144</v>
      </c>
      <c r="E737" t="n">
        <v>12.181</v>
      </c>
      <c r="F737" t="n">
        <v>0.11435</v>
      </c>
    </row>
    <row r="738">
      <c r="A738" t="n">
        <v>1000736</v>
      </c>
      <c r="B738" t="n">
        <v>1</v>
      </c>
      <c r="C738" t="n">
        <v>736</v>
      </c>
      <c r="D738" t="n">
        <v>-0.0146</v>
      </c>
      <c r="E738" t="n">
        <v>12.1875</v>
      </c>
      <c r="F738" t="n">
        <v>0.11437</v>
      </c>
    </row>
    <row r="739">
      <c r="A739" t="n">
        <v>1000737</v>
      </c>
      <c r="B739" t="n">
        <v>1</v>
      </c>
      <c r="C739" t="n">
        <v>737</v>
      </c>
      <c r="D739" t="n">
        <v>-0.0148</v>
      </c>
      <c r="E739" t="n">
        <v>12.1941</v>
      </c>
      <c r="F739" t="n">
        <v>0.11439</v>
      </c>
    </row>
    <row r="740">
      <c r="A740" t="n">
        <v>1000738</v>
      </c>
      <c r="B740" t="n">
        <v>1</v>
      </c>
      <c r="C740" t="n">
        <v>738</v>
      </c>
      <c r="D740" t="n">
        <v>-0.015</v>
      </c>
      <c r="E740" t="n">
        <v>12.2006</v>
      </c>
      <c r="F740" t="n">
        <v>0.1144</v>
      </c>
    </row>
    <row r="741">
      <c r="A741" t="n">
        <v>1000739</v>
      </c>
      <c r="B741" t="n">
        <v>1</v>
      </c>
      <c r="C741" t="n">
        <v>739</v>
      </c>
      <c r="D741" t="n">
        <v>-0.0151</v>
      </c>
      <c r="E741" t="n">
        <v>12.2072</v>
      </c>
      <c r="F741" t="n">
        <v>0.11442</v>
      </c>
    </row>
    <row r="742">
      <c r="A742" t="n">
        <v>1000740</v>
      </c>
      <c r="B742" t="n">
        <v>1</v>
      </c>
      <c r="C742" t="n">
        <v>740</v>
      </c>
      <c r="D742" t="n">
        <v>-0.0153</v>
      </c>
      <c r="E742" t="n">
        <v>12.2137</v>
      </c>
      <c r="F742" t="n">
        <v>0.11444</v>
      </c>
    </row>
    <row r="743">
      <c r="A743" t="n">
        <v>1000741</v>
      </c>
      <c r="B743" t="n">
        <v>1</v>
      </c>
      <c r="C743" t="n">
        <v>741</v>
      </c>
      <c r="D743" t="n">
        <v>-0.0155</v>
      </c>
      <c r="E743" t="n">
        <v>12.2202</v>
      </c>
      <c r="F743" t="n">
        <v>0.11446</v>
      </c>
    </row>
    <row r="744">
      <c r="A744" t="n">
        <v>1000742</v>
      </c>
      <c r="B744" t="n">
        <v>1</v>
      </c>
      <c r="C744" t="n">
        <v>742</v>
      </c>
      <c r="D744" t="n">
        <v>-0.0156</v>
      </c>
      <c r="E744" t="n">
        <v>12.2268</v>
      </c>
      <c r="F744" t="n">
        <v>0.11448</v>
      </c>
    </row>
    <row r="745">
      <c r="A745" t="n">
        <v>1000743</v>
      </c>
      <c r="B745" t="n">
        <v>1</v>
      </c>
      <c r="C745" t="n">
        <v>743</v>
      </c>
      <c r="D745" t="n">
        <v>-0.0158</v>
      </c>
      <c r="E745" t="n">
        <v>12.2333</v>
      </c>
      <c r="F745" t="n">
        <v>0.1145</v>
      </c>
    </row>
    <row r="746">
      <c r="A746" t="n">
        <v>1000744</v>
      </c>
      <c r="B746" t="n">
        <v>1</v>
      </c>
      <c r="C746" t="n">
        <v>744</v>
      </c>
      <c r="D746" t="n">
        <v>-0.016</v>
      </c>
      <c r="E746" t="n">
        <v>12.2398</v>
      </c>
      <c r="F746" t="n">
        <v>0.11452</v>
      </c>
    </row>
    <row r="747">
      <c r="A747" t="n">
        <v>1000745</v>
      </c>
      <c r="B747" t="n">
        <v>1</v>
      </c>
      <c r="C747" t="n">
        <v>745</v>
      </c>
      <c r="D747" t="n">
        <v>-0.0162</v>
      </c>
      <c r="E747" t="n">
        <v>12.2464</v>
      </c>
      <c r="F747" t="n">
        <v>0.11454</v>
      </c>
    </row>
    <row r="748">
      <c r="A748" t="n">
        <v>1000746</v>
      </c>
      <c r="B748" t="n">
        <v>1</v>
      </c>
      <c r="C748" t="n">
        <v>746</v>
      </c>
      <c r="D748" t="n">
        <v>-0.0163</v>
      </c>
      <c r="E748" t="n">
        <v>12.2529</v>
      </c>
      <c r="F748" t="n">
        <v>0.11456</v>
      </c>
    </row>
    <row r="749">
      <c r="A749" t="n">
        <v>1000747</v>
      </c>
      <c r="B749" t="n">
        <v>1</v>
      </c>
      <c r="C749" t="n">
        <v>747</v>
      </c>
      <c r="D749" t="n">
        <v>-0.0165</v>
      </c>
      <c r="E749" t="n">
        <v>12.2594</v>
      </c>
      <c r="F749" t="n">
        <v>0.11458</v>
      </c>
    </row>
    <row r="750">
      <c r="A750" t="n">
        <v>1000748</v>
      </c>
      <c r="B750" t="n">
        <v>1</v>
      </c>
      <c r="C750" t="n">
        <v>748</v>
      </c>
      <c r="D750" t="n">
        <v>-0.0167</v>
      </c>
      <c r="E750" t="n">
        <v>12.266</v>
      </c>
      <c r="F750" t="n">
        <v>0.1146</v>
      </c>
    </row>
    <row r="751">
      <c r="A751" t="n">
        <v>1000749</v>
      </c>
      <c r="B751" t="n">
        <v>1</v>
      </c>
      <c r="C751" t="n">
        <v>749</v>
      </c>
      <c r="D751" t="n">
        <v>-0.0168</v>
      </c>
      <c r="E751" t="n">
        <v>12.2725</v>
      </c>
      <c r="F751" t="n">
        <v>0.11462</v>
      </c>
    </row>
    <row r="752">
      <c r="A752" t="n">
        <v>1000750</v>
      </c>
      <c r="B752" t="n">
        <v>1</v>
      </c>
      <c r="C752" t="n">
        <v>750</v>
      </c>
      <c r="D752" t="n">
        <v>-0.017</v>
      </c>
      <c r="E752" t="n">
        <v>12.279</v>
      </c>
      <c r="F752" t="n">
        <v>0.11464</v>
      </c>
    </row>
    <row r="753">
      <c r="A753" t="n">
        <v>1000751</v>
      </c>
      <c r="B753" t="n">
        <v>1</v>
      </c>
      <c r="C753" t="n">
        <v>751</v>
      </c>
      <c r="D753" t="n">
        <v>-0.0172</v>
      </c>
      <c r="E753" t="n">
        <v>12.2855</v>
      </c>
      <c r="F753" t="n">
        <v>0.11465</v>
      </c>
    </row>
    <row r="754">
      <c r="A754" t="n">
        <v>1000752</v>
      </c>
      <c r="B754" t="n">
        <v>1</v>
      </c>
      <c r="C754" t="n">
        <v>752</v>
      </c>
      <c r="D754" t="n">
        <v>-0.0174</v>
      </c>
      <c r="E754" t="n">
        <v>12.292</v>
      </c>
      <c r="F754" t="n">
        <v>0.11467</v>
      </c>
    </row>
    <row r="755">
      <c r="A755" t="n">
        <v>1000753</v>
      </c>
      <c r="B755" t="n">
        <v>1</v>
      </c>
      <c r="C755" t="n">
        <v>753</v>
      </c>
      <c r="D755" t="n">
        <v>-0.0175</v>
      </c>
      <c r="E755" t="n">
        <v>12.2986</v>
      </c>
      <c r="F755" t="n">
        <v>0.11469</v>
      </c>
    </row>
    <row r="756">
      <c r="A756" t="n">
        <v>1000754</v>
      </c>
      <c r="B756" t="n">
        <v>1</v>
      </c>
      <c r="C756" t="n">
        <v>754</v>
      </c>
      <c r="D756" t="n">
        <v>-0.0177</v>
      </c>
      <c r="E756" t="n">
        <v>12.3051</v>
      </c>
      <c r="F756" t="n">
        <v>0.11471</v>
      </c>
    </row>
    <row r="757">
      <c r="A757" t="n">
        <v>1000755</v>
      </c>
      <c r="B757" t="n">
        <v>1</v>
      </c>
      <c r="C757" t="n">
        <v>755</v>
      </c>
      <c r="D757" t="n">
        <v>-0.0179</v>
      </c>
      <c r="E757" t="n">
        <v>12.3116</v>
      </c>
      <c r="F757" t="n">
        <v>0.11473</v>
      </c>
    </row>
    <row r="758">
      <c r="A758" t="n">
        <v>1000756</v>
      </c>
      <c r="B758" t="n">
        <v>1</v>
      </c>
      <c r="C758" t="n">
        <v>756</v>
      </c>
      <c r="D758" t="n">
        <v>-0.018</v>
      </c>
      <c r="E758" t="n">
        <v>12.3181</v>
      </c>
      <c r="F758" t="n">
        <v>0.11475</v>
      </c>
    </row>
    <row r="759">
      <c r="A759" t="n">
        <v>1000757</v>
      </c>
      <c r="B759" t="n">
        <v>1</v>
      </c>
      <c r="C759" t="n">
        <v>757</v>
      </c>
      <c r="D759" t="n">
        <v>-0.0182</v>
      </c>
      <c r="E759" t="n">
        <v>12.3246</v>
      </c>
      <c r="F759" t="n">
        <v>0.11477</v>
      </c>
    </row>
    <row r="760">
      <c r="A760" t="n">
        <v>1000758</v>
      </c>
      <c r="B760" t="n">
        <v>1</v>
      </c>
      <c r="C760" t="n">
        <v>758</v>
      </c>
      <c r="D760" t="n">
        <v>-0.0184</v>
      </c>
      <c r="E760" t="n">
        <v>12.3311</v>
      </c>
      <c r="F760" t="n">
        <v>0.11479</v>
      </c>
    </row>
    <row r="761">
      <c r="A761" t="n">
        <v>1000759</v>
      </c>
      <c r="B761" t="n">
        <v>1</v>
      </c>
      <c r="C761" t="n">
        <v>759</v>
      </c>
      <c r="D761" t="n">
        <v>-0.0185</v>
      </c>
      <c r="E761" t="n">
        <v>12.3376</v>
      </c>
      <c r="F761" t="n">
        <v>0.11481</v>
      </c>
    </row>
    <row r="762">
      <c r="A762" t="n">
        <v>1000760</v>
      </c>
      <c r="B762" t="n">
        <v>1</v>
      </c>
      <c r="C762" t="n">
        <v>760</v>
      </c>
      <c r="D762" t="n">
        <v>-0.0187</v>
      </c>
      <c r="E762" t="n">
        <v>12.3441</v>
      </c>
      <c r="F762" t="n">
        <v>0.11483</v>
      </c>
    </row>
    <row r="763">
      <c r="A763" t="n">
        <v>1000761</v>
      </c>
      <c r="B763" t="n">
        <v>1</v>
      </c>
      <c r="C763" t="n">
        <v>761</v>
      </c>
      <c r="D763" t="n">
        <v>-0.0189</v>
      </c>
      <c r="E763" t="n">
        <v>12.3506</v>
      </c>
      <c r="F763" t="n">
        <v>0.11485</v>
      </c>
    </row>
    <row r="764">
      <c r="A764" t="n">
        <v>1000762</v>
      </c>
      <c r="B764" t="n">
        <v>1</v>
      </c>
      <c r="C764" t="n">
        <v>762</v>
      </c>
      <c r="D764" t="n">
        <v>-0.0191</v>
      </c>
      <c r="E764" t="n">
        <v>12.3571</v>
      </c>
      <c r="F764" t="n">
        <v>0.11487</v>
      </c>
    </row>
    <row r="765">
      <c r="A765" t="n">
        <v>1000763</v>
      </c>
      <c r="B765" t="n">
        <v>1</v>
      </c>
      <c r="C765" t="n">
        <v>763</v>
      </c>
      <c r="D765" t="n">
        <v>-0.0192</v>
      </c>
      <c r="E765" t="n">
        <v>12.3636</v>
      </c>
      <c r="F765" t="n">
        <v>0.11489</v>
      </c>
    </row>
    <row r="766">
      <c r="A766" t="n">
        <v>1000764</v>
      </c>
      <c r="B766" t="n">
        <v>1</v>
      </c>
      <c r="C766" t="n">
        <v>764</v>
      </c>
      <c r="D766" t="n">
        <v>-0.0194</v>
      </c>
      <c r="E766" t="n">
        <v>12.3701</v>
      </c>
      <c r="F766" t="n">
        <v>0.11491</v>
      </c>
    </row>
    <row r="767">
      <c r="A767" t="n">
        <v>1000765</v>
      </c>
      <c r="B767" t="n">
        <v>1</v>
      </c>
      <c r="C767" t="n">
        <v>765</v>
      </c>
      <c r="D767" t="n">
        <v>-0.0196</v>
      </c>
      <c r="E767" t="n">
        <v>12.3766</v>
      </c>
      <c r="F767" t="n">
        <v>0.11493</v>
      </c>
    </row>
    <row r="768">
      <c r="A768" t="n">
        <v>1000766</v>
      </c>
      <c r="B768" t="n">
        <v>1</v>
      </c>
      <c r="C768" t="n">
        <v>766</v>
      </c>
      <c r="D768" t="n">
        <v>-0.0197</v>
      </c>
      <c r="E768" t="n">
        <v>12.383</v>
      </c>
      <c r="F768" t="n">
        <v>0.11495</v>
      </c>
    </row>
    <row r="769">
      <c r="A769" t="n">
        <v>1000767</v>
      </c>
      <c r="B769" t="n">
        <v>1</v>
      </c>
      <c r="C769" t="n">
        <v>767</v>
      </c>
      <c r="D769" t="n">
        <v>-0.0199</v>
      </c>
      <c r="E769" t="n">
        <v>12.3895</v>
      </c>
      <c r="F769" t="n">
        <v>0.11497</v>
      </c>
    </row>
    <row r="770">
      <c r="A770" t="n">
        <v>1000768</v>
      </c>
      <c r="B770" t="n">
        <v>1</v>
      </c>
      <c r="C770" t="n">
        <v>768</v>
      </c>
      <c r="D770" t="n">
        <v>-0.0201</v>
      </c>
      <c r="E770" t="n">
        <v>12.396</v>
      </c>
      <c r="F770" t="n">
        <v>0.11498</v>
      </c>
    </row>
    <row r="771">
      <c r="A771" t="n">
        <v>1000769</v>
      </c>
      <c r="B771" t="n">
        <v>1</v>
      </c>
      <c r="C771" t="n">
        <v>769</v>
      </c>
      <c r="D771" t="n">
        <v>-0.0202</v>
      </c>
      <c r="E771" t="n">
        <v>12.4025</v>
      </c>
      <c r="F771" t="n">
        <v>0.115</v>
      </c>
    </row>
    <row r="772">
      <c r="A772" t="n">
        <v>1000770</v>
      </c>
      <c r="B772" t="n">
        <v>1</v>
      </c>
      <c r="C772" t="n">
        <v>770</v>
      </c>
      <c r="D772" t="n">
        <v>-0.0204</v>
      </c>
      <c r="E772" t="n">
        <v>12.409</v>
      </c>
      <c r="F772" t="n">
        <v>0.11502</v>
      </c>
    </row>
    <row r="773">
      <c r="A773" t="n">
        <v>1000771</v>
      </c>
      <c r="B773" t="n">
        <v>1</v>
      </c>
      <c r="C773" t="n">
        <v>771</v>
      </c>
      <c r="D773" t="n">
        <v>-0.0206</v>
      </c>
      <c r="E773" t="n">
        <v>12.4154</v>
      </c>
      <c r="F773" t="n">
        <v>0.11504</v>
      </c>
    </row>
    <row r="774">
      <c r="A774" t="n">
        <v>1000772</v>
      </c>
      <c r="B774" t="n">
        <v>1</v>
      </c>
      <c r="C774" t="n">
        <v>772</v>
      </c>
      <c r="D774" t="n">
        <v>-0.0207</v>
      </c>
      <c r="E774" t="n">
        <v>12.4219</v>
      </c>
      <c r="F774" t="n">
        <v>0.11506</v>
      </c>
    </row>
    <row r="775">
      <c r="A775" t="n">
        <v>1000773</v>
      </c>
      <c r="B775" t="n">
        <v>1</v>
      </c>
      <c r="C775" t="n">
        <v>773</v>
      </c>
      <c r="D775" t="n">
        <v>-0.0209</v>
      </c>
      <c r="E775" t="n">
        <v>12.4284</v>
      </c>
      <c r="F775" t="n">
        <v>0.11508</v>
      </c>
    </row>
    <row r="776">
      <c r="A776" t="n">
        <v>1000774</v>
      </c>
      <c r="B776" t="n">
        <v>1</v>
      </c>
      <c r="C776" t="n">
        <v>774</v>
      </c>
      <c r="D776" t="n">
        <v>-0.0211</v>
      </c>
      <c r="E776" t="n">
        <v>12.4348</v>
      </c>
      <c r="F776" t="n">
        <v>0.1151</v>
      </c>
    </row>
    <row r="777">
      <c r="A777" t="n">
        <v>1000775</v>
      </c>
      <c r="B777" t="n">
        <v>1</v>
      </c>
      <c r="C777" t="n">
        <v>775</v>
      </c>
      <c r="D777" t="n">
        <v>-0.0212</v>
      </c>
      <c r="E777" t="n">
        <v>12.4413</v>
      </c>
      <c r="F777" t="n">
        <v>0.11512</v>
      </c>
    </row>
    <row r="778">
      <c r="A778" t="n">
        <v>1000776</v>
      </c>
      <c r="B778" t="n">
        <v>1</v>
      </c>
      <c r="C778" t="n">
        <v>776</v>
      </c>
      <c r="D778" t="n">
        <v>-0.0214</v>
      </c>
      <c r="E778" t="n">
        <v>12.4477</v>
      </c>
      <c r="F778" t="n">
        <v>0.11514</v>
      </c>
    </row>
    <row r="779">
      <c r="A779" t="n">
        <v>1000777</v>
      </c>
      <c r="B779" t="n">
        <v>1</v>
      </c>
      <c r="C779" t="n">
        <v>777</v>
      </c>
      <c r="D779" t="n">
        <v>-0.0216</v>
      </c>
      <c r="E779" t="n">
        <v>12.4542</v>
      </c>
      <c r="F779" t="n">
        <v>0.11516</v>
      </c>
    </row>
    <row r="780">
      <c r="A780" t="n">
        <v>1000778</v>
      </c>
      <c r="B780" t="n">
        <v>1</v>
      </c>
      <c r="C780" t="n">
        <v>778</v>
      </c>
      <c r="D780" t="n">
        <v>-0.0217</v>
      </c>
      <c r="E780" t="n">
        <v>12.4606</v>
      </c>
      <c r="F780" t="n">
        <v>0.11518</v>
      </c>
    </row>
    <row r="781">
      <c r="A781" t="n">
        <v>1000779</v>
      </c>
      <c r="B781" t="n">
        <v>1</v>
      </c>
      <c r="C781" t="n">
        <v>779</v>
      </c>
      <c r="D781" t="n">
        <v>-0.0219</v>
      </c>
      <c r="E781" t="n">
        <v>12.4671</v>
      </c>
      <c r="F781" t="n">
        <v>0.1152</v>
      </c>
    </row>
    <row r="782">
      <c r="A782" t="n">
        <v>1000780</v>
      </c>
      <c r="B782" t="n">
        <v>1</v>
      </c>
      <c r="C782" t="n">
        <v>780</v>
      </c>
      <c r="D782" t="n">
        <v>-0.0221</v>
      </c>
      <c r="E782" t="n">
        <v>12.4735</v>
      </c>
      <c r="F782" t="n">
        <v>0.11522</v>
      </c>
    </row>
    <row r="783">
      <c r="A783" t="n">
        <v>1000781</v>
      </c>
      <c r="B783" t="n">
        <v>1</v>
      </c>
      <c r="C783" t="n">
        <v>781</v>
      </c>
      <c r="D783" t="n">
        <v>-0.0222</v>
      </c>
      <c r="E783" t="n">
        <v>12.48</v>
      </c>
      <c r="F783" t="n">
        <v>0.11524</v>
      </c>
    </row>
    <row r="784">
      <c r="A784" t="n">
        <v>1000782</v>
      </c>
      <c r="B784" t="n">
        <v>1</v>
      </c>
      <c r="C784" t="n">
        <v>782</v>
      </c>
      <c r="D784" t="n">
        <v>-0.0224</v>
      </c>
      <c r="E784" t="n">
        <v>12.4864</v>
      </c>
      <c r="F784" t="n">
        <v>0.11526</v>
      </c>
    </row>
    <row r="785">
      <c r="A785" t="n">
        <v>1000783</v>
      </c>
      <c r="B785" t="n">
        <v>1</v>
      </c>
      <c r="C785" t="n">
        <v>783</v>
      </c>
      <c r="D785" t="n">
        <v>-0.0226</v>
      </c>
      <c r="E785" t="n">
        <v>12.4929</v>
      </c>
      <c r="F785" t="n">
        <v>0.11528</v>
      </c>
    </row>
    <row r="786">
      <c r="A786" t="n">
        <v>1000784</v>
      </c>
      <c r="B786" t="n">
        <v>1</v>
      </c>
      <c r="C786" t="n">
        <v>784</v>
      </c>
      <c r="D786" t="n">
        <v>-0.0227</v>
      </c>
      <c r="E786" t="n">
        <v>12.4993</v>
      </c>
      <c r="F786" t="n">
        <v>0.1153</v>
      </c>
    </row>
    <row r="787">
      <c r="A787" t="n">
        <v>1000785</v>
      </c>
      <c r="B787" t="n">
        <v>1</v>
      </c>
      <c r="C787" t="n">
        <v>785</v>
      </c>
      <c r="D787" t="n">
        <v>-0.0229</v>
      </c>
      <c r="E787" t="n">
        <v>12.5057</v>
      </c>
      <c r="F787" t="n">
        <v>0.11532</v>
      </c>
    </row>
    <row r="788">
      <c r="A788" t="n">
        <v>1000786</v>
      </c>
      <c r="B788" t="n">
        <v>1</v>
      </c>
      <c r="C788" t="n">
        <v>786</v>
      </c>
      <c r="D788" t="n">
        <v>-0.0231</v>
      </c>
      <c r="E788" t="n">
        <v>12.5121</v>
      </c>
      <c r="F788" t="n">
        <v>0.11534</v>
      </c>
    </row>
    <row r="789">
      <c r="A789" t="n">
        <v>1000787</v>
      </c>
      <c r="B789" t="n">
        <v>1</v>
      </c>
      <c r="C789" t="n">
        <v>787</v>
      </c>
      <c r="D789" t="n">
        <v>-0.0232</v>
      </c>
      <c r="E789" t="n">
        <v>12.5186</v>
      </c>
      <c r="F789" t="n">
        <v>0.11536</v>
      </c>
    </row>
    <row r="790">
      <c r="A790" t="n">
        <v>1000788</v>
      </c>
      <c r="B790" t="n">
        <v>1</v>
      </c>
      <c r="C790" t="n">
        <v>788</v>
      </c>
      <c r="D790" t="n">
        <v>-0.0234</v>
      </c>
      <c r="E790" t="n">
        <v>12.525</v>
      </c>
      <c r="F790" t="n">
        <v>0.11538</v>
      </c>
    </row>
    <row r="791">
      <c r="A791" t="n">
        <v>1000789</v>
      </c>
      <c r="B791" t="n">
        <v>1</v>
      </c>
      <c r="C791" t="n">
        <v>789</v>
      </c>
      <c r="D791" t="n">
        <v>-0.0236</v>
      </c>
      <c r="E791" t="n">
        <v>12.5314</v>
      </c>
      <c r="F791" t="n">
        <v>0.1154</v>
      </c>
    </row>
    <row r="792">
      <c r="A792" t="n">
        <v>1000790</v>
      </c>
      <c r="B792" t="n">
        <v>1</v>
      </c>
      <c r="C792" t="n">
        <v>790</v>
      </c>
      <c r="D792" t="n">
        <v>-0.0237</v>
      </c>
      <c r="E792" t="n">
        <v>12.5378</v>
      </c>
      <c r="F792" t="n">
        <v>0.11542</v>
      </c>
    </row>
    <row r="793">
      <c r="A793" t="n">
        <v>1000791</v>
      </c>
      <c r="B793" t="n">
        <v>1</v>
      </c>
      <c r="C793" t="n">
        <v>791</v>
      </c>
      <c r="D793" t="n">
        <v>-0.0239</v>
      </c>
      <c r="E793" t="n">
        <v>12.5442</v>
      </c>
      <c r="F793" t="n">
        <v>0.11544</v>
      </c>
    </row>
    <row r="794">
      <c r="A794" t="n">
        <v>1000792</v>
      </c>
      <c r="B794" t="n">
        <v>1</v>
      </c>
      <c r="C794" t="n">
        <v>792</v>
      </c>
      <c r="D794" t="n">
        <v>-0.0241</v>
      </c>
      <c r="E794" t="n">
        <v>12.5506</v>
      </c>
      <c r="F794" t="n">
        <v>0.11545</v>
      </c>
    </row>
    <row r="795">
      <c r="A795" t="n">
        <v>1000793</v>
      </c>
      <c r="B795" t="n">
        <v>1</v>
      </c>
      <c r="C795" t="n">
        <v>793</v>
      </c>
      <c r="D795" t="n">
        <v>-0.0242</v>
      </c>
      <c r="E795" t="n">
        <v>12.557</v>
      </c>
      <c r="F795" t="n">
        <v>0.11547</v>
      </c>
    </row>
    <row r="796">
      <c r="A796" t="n">
        <v>1000794</v>
      </c>
      <c r="B796" t="n">
        <v>1</v>
      </c>
      <c r="C796" t="n">
        <v>794</v>
      </c>
      <c r="D796" t="n">
        <v>-0.0244</v>
      </c>
      <c r="E796" t="n">
        <v>12.5634</v>
      </c>
      <c r="F796" t="n">
        <v>0.11549</v>
      </c>
    </row>
    <row r="797">
      <c r="A797" t="n">
        <v>1000795</v>
      </c>
      <c r="B797" t="n">
        <v>1</v>
      </c>
      <c r="C797" t="n">
        <v>795</v>
      </c>
      <c r="D797" t="n">
        <v>-0.0246</v>
      </c>
      <c r="E797" t="n">
        <v>12.5698</v>
      </c>
      <c r="F797" t="n">
        <v>0.11551</v>
      </c>
    </row>
    <row r="798">
      <c r="A798" t="n">
        <v>1000796</v>
      </c>
      <c r="B798" t="n">
        <v>1</v>
      </c>
      <c r="C798" t="n">
        <v>796</v>
      </c>
      <c r="D798" t="n">
        <v>-0.0247</v>
      </c>
      <c r="E798" t="n">
        <v>12.5762</v>
      </c>
      <c r="F798" t="n">
        <v>0.11553</v>
      </c>
    </row>
    <row r="799">
      <c r="A799" t="n">
        <v>1000797</v>
      </c>
      <c r="B799" t="n">
        <v>1</v>
      </c>
      <c r="C799" t="n">
        <v>797</v>
      </c>
      <c r="D799" t="n">
        <v>-0.0249</v>
      </c>
      <c r="E799" t="n">
        <v>12.5826</v>
      </c>
      <c r="F799" t="n">
        <v>0.11555</v>
      </c>
    </row>
    <row r="800">
      <c r="A800" t="n">
        <v>1000798</v>
      </c>
      <c r="B800" t="n">
        <v>1</v>
      </c>
      <c r="C800" t="n">
        <v>798</v>
      </c>
      <c r="D800" t="n">
        <v>-0.025</v>
      </c>
      <c r="E800" t="n">
        <v>12.589</v>
      </c>
      <c r="F800" t="n">
        <v>0.11557</v>
      </c>
    </row>
    <row r="801">
      <c r="A801" t="n">
        <v>1000799</v>
      </c>
      <c r="B801" t="n">
        <v>1</v>
      </c>
      <c r="C801" t="n">
        <v>799</v>
      </c>
      <c r="D801" t="n">
        <v>-0.0252</v>
      </c>
      <c r="E801" t="n">
        <v>12.5954</v>
      </c>
      <c r="F801" t="n">
        <v>0.11559</v>
      </c>
    </row>
    <row r="802">
      <c r="A802" t="n">
        <v>1000800</v>
      </c>
      <c r="B802" t="n">
        <v>1</v>
      </c>
      <c r="C802" t="n">
        <v>800</v>
      </c>
      <c r="D802" t="n">
        <v>-0.0254</v>
      </c>
      <c r="E802" t="n">
        <v>12.6018</v>
      </c>
      <c r="F802" t="n">
        <v>0.11561</v>
      </c>
    </row>
    <row r="803">
      <c r="A803" t="n">
        <v>1000801</v>
      </c>
      <c r="B803" t="n">
        <v>1</v>
      </c>
      <c r="C803" t="n">
        <v>801</v>
      </c>
      <c r="D803" t="n">
        <v>-0.0255</v>
      </c>
      <c r="E803" t="n">
        <v>12.6082</v>
      </c>
      <c r="F803" t="n">
        <v>0.11563</v>
      </c>
    </row>
    <row r="804">
      <c r="A804" t="n">
        <v>1000802</v>
      </c>
      <c r="B804" t="n">
        <v>1</v>
      </c>
      <c r="C804" t="n">
        <v>802</v>
      </c>
      <c r="D804" t="n">
        <v>-0.0257</v>
      </c>
      <c r="E804" t="n">
        <v>12.6145</v>
      </c>
      <c r="F804" t="n">
        <v>0.11565</v>
      </c>
    </row>
    <row r="805">
      <c r="A805" t="n">
        <v>1000803</v>
      </c>
      <c r="B805" t="n">
        <v>1</v>
      </c>
      <c r="C805" t="n">
        <v>803</v>
      </c>
      <c r="D805" t="n">
        <v>-0.0259</v>
      </c>
      <c r="E805" t="n">
        <v>12.6209</v>
      </c>
      <c r="F805" t="n">
        <v>0.11567</v>
      </c>
    </row>
    <row r="806">
      <c r="A806" t="n">
        <v>1000804</v>
      </c>
      <c r="B806" t="n">
        <v>1</v>
      </c>
      <c r="C806" t="n">
        <v>804</v>
      </c>
      <c r="D806" t="n">
        <v>-0.026</v>
      </c>
      <c r="E806" t="n">
        <v>12.6273</v>
      </c>
      <c r="F806" t="n">
        <v>0.11569</v>
      </c>
    </row>
    <row r="807">
      <c r="A807" t="n">
        <v>1000805</v>
      </c>
      <c r="B807" t="n">
        <v>1</v>
      </c>
      <c r="C807" t="n">
        <v>805</v>
      </c>
      <c r="D807" t="n">
        <v>-0.0262</v>
      </c>
      <c r="E807" t="n">
        <v>12.6336</v>
      </c>
      <c r="F807" t="n">
        <v>0.11571</v>
      </c>
    </row>
    <row r="808">
      <c r="A808" t="n">
        <v>1000806</v>
      </c>
      <c r="B808" t="n">
        <v>1</v>
      </c>
      <c r="C808" t="n">
        <v>806</v>
      </c>
      <c r="D808" t="n">
        <v>-0.0264</v>
      </c>
      <c r="E808" t="n">
        <v>12.64</v>
      </c>
      <c r="F808" t="n">
        <v>0.11573</v>
      </c>
    </row>
    <row r="809">
      <c r="A809" t="n">
        <v>1000807</v>
      </c>
      <c r="B809" t="n">
        <v>1</v>
      </c>
      <c r="C809" t="n">
        <v>807</v>
      </c>
      <c r="D809" t="n">
        <v>-0.0265</v>
      </c>
      <c r="E809" t="n">
        <v>12.6464</v>
      </c>
      <c r="F809" t="n">
        <v>0.11575</v>
      </c>
    </row>
    <row r="810">
      <c r="A810" t="n">
        <v>1000808</v>
      </c>
      <c r="B810" t="n">
        <v>1</v>
      </c>
      <c r="C810" t="n">
        <v>808</v>
      </c>
      <c r="D810" t="n">
        <v>-0.0267</v>
      </c>
      <c r="E810" t="n">
        <v>12.6527</v>
      </c>
      <c r="F810" t="n">
        <v>0.11577</v>
      </c>
    </row>
    <row r="811">
      <c r="A811" t="n">
        <v>1000809</v>
      </c>
      <c r="B811" t="n">
        <v>1</v>
      </c>
      <c r="C811" t="n">
        <v>809</v>
      </c>
      <c r="D811" t="n">
        <v>-0.0268</v>
      </c>
      <c r="E811" t="n">
        <v>12.6591</v>
      </c>
      <c r="F811" t="n">
        <v>0.11579</v>
      </c>
    </row>
    <row r="812">
      <c r="A812" t="n">
        <v>1000810</v>
      </c>
      <c r="B812" t="n">
        <v>1</v>
      </c>
      <c r="C812" t="n">
        <v>810</v>
      </c>
      <c r="D812" t="n">
        <v>-0.027</v>
      </c>
      <c r="E812" t="n">
        <v>12.6654</v>
      </c>
      <c r="F812" t="n">
        <v>0.11581</v>
      </c>
    </row>
    <row r="813">
      <c r="A813" t="n">
        <v>1000811</v>
      </c>
      <c r="B813" t="n">
        <v>1</v>
      </c>
      <c r="C813" t="n">
        <v>811</v>
      </c>
      <c r="D813" t="n">
        <v>-0.0272</v>
      </c>
      <c r="E813" t="n">
        <v>12.6718</v>
      </c>
      <c r="F813" t="n">
        <v>0.11583</v>
      </c>
    </row>
    <row r="814">
      <c r="A814" t="n">
        <v>1000812</v>
      </c>
      <c r="B814" t="n">
        <v>1</v>
      </c>
      <c r="C814" t="n">
        <v>812</v>
      </c>
      <c r="D814" t="n">
        <v>-0.0273</v>
      </c>
      <c r="E814" t="n">
        <v>12.6781</v>
      </c>
      <c r="F814" t="n">
        <v>0.11585</v>
      </c>
    </row>
    <row r="815">
      <c r="A815" t="n">
        <v>1000813</v>
      </c>
      <c r="B815" t="n">
        <v>1</v>
      </c>
      <c r="C815" t="n">
        <v>813</v>
      </c>
      <c r="D815" t="n">
        <v>-0.0275</v>
      </c>
      <c r="E815" t="n">
        <v>12.6844</v>
      </c>
      <c r="F815" t="n">
        <v>0.11587</v>
      </c>
    </row>
    <row r="816">
      <c r="A816" t="n">
        <v>1000814</v>
      </c>
      <c r="B816" t="n">
        <v>1</v>
      </c>
      <c r="C816" t="n">
        <v>814</v>
      </c>
      <c r="D816" t="n">
        <v>-0.0277</v>
      </c>
      <c r="E816" t="n">
        <v>12.6908</v>
      </c>
      <c r="F816" t="n">
        <v>0.11589</v>
      </c>
    </row>
    <row r="817">
      <c r="A817" t="n">
        <v>1000815</v>
      </c>
      <c r="B817" t="n">
        <v>1</v>
      </c>
      <c r="C817" t="n">
        <v>815</v>
      </c>
      <c r="D817" t="n">
        <v>-0.0278</v>
      </c>
      <c r="E817" t="n">
        <v>12.6971</v>
      </c>
      <c r="F817" t="n">
        <v>0.11591</v>
      </c>
    </row>
    <row r="818">
      <c r="A818" t="n">
        <v>1000816</v>
      </c>
      <c r="B818" t="n">
        <v>1</v>
      </c>
      <c r="C818" t="n">
        <v>816</v>
      </c>
      <c r="D818" t="n">
        <v>-0.028</v>
      </c>
      <c r="E818" t="n">
        <v>12.7034</v>
      </c>
      <c r="F818" t="n">
        <v>0.11593</v>
      </c>
    </row>
    <row r="819">
      <c r="A819" t="n">
        <v>1000817</v>
      </c>
      <c r="B819" t="n">
        <v>1</v>
      </c>
      <c r="C819" t="n">
        <v>817</v>
      </c>
      <c r="D819" t="n">
        <v>-0.0281</v>
      </c>
      <c r="E819" t="n">
        <v>12.7098</v>
      </c>
      <c r="F819" t="n">
        <v>0.11595</v>
      </c>
    </row>
    <row r="820">
      <c r="A820" t="n">
        <v>1000818</v>
      </c>
      <c r="B820" t="n">
        <v>1</v>
      </c>
      <c r="C820" t="n">
        <v>818</v>
      </c>
      <c r="D820" t="n">
        <v>-0.0283</v>
      </c>
      <c r="E820" t="n">
        <v>12.7161</v>
      </c>
      <c r="F820" t="n">
        <v>0.11597</v>
      </c>
    </row>
    <row r="821">
      <c r="A821" t="n">
        <v>1000819</v>
      </c>
      <c r="B821" t="n">
        <v>1</v>
      </c>
      <c r="C821" t="n">
        <v>819</v>
      </c>
      <c r="D821" t="n">
        <v>-0.0285</v>
      </c>
      <c r="E821" t="n">
        <v>12.7224</v>
      </c>
      <c r="F821" t="n">
        <v>0.11599</v>
      </c>
    </row>
    <row r="822">
      <c r="A822" t="n">
        <v>1000820</v>
      </c>
      <c r="B822" t="n">
        <v>1</v>
      </c>
      <c r="C822" t="n">
        <v>820</v>
      </c>
      <c r="D822" t="n">
        <v>-0.0286</v>
      </c>
      <c r="E822" t="n">
        <v>12.7287</v>
      </c>
      <c r="F822" t="n">
        <v>0.11601</v>
      </c>
    </row>
    <row r="823">
      <c r="A823" t="n">
        <v>1000821</v>
      </c>
      <c r="B823" t="n">
        <v>1</v>
      </c>
      <c r="C823" t="n">
        <v>821</v>
      </c>
      <c r="D823" t="n">
        <v>-0.0288</v>
      </c>
      <c r="E823" t="n">
        <v>12.735</v>
      </c>
      <c r="F823" t="n">
        <v>0.11602</v>
      </c>
    </row>
    <row r="824">
      <c r="A824" t="n">
        <v>1000822</v>
      </c>
      <c r="B824" t="n">
        <v>1</v>
      </c>
      <c r="C824" t="n">
        <v>822</v>
      </c>
      <c r="D824" t="n">
        <v>-0.0289</v>
      </c>
      <c r="E824" t="n">
        <v>12.7413</v>
      </c>
      <c r="F824" t="n">
        <v>0.11604</v>
      </c>
    </row>
    <row r="825">
      <c r="A825" t="n">
        <v>1000823</v>
      </c>
      <c r="B825" t="n">
        <v>1</v>
      </c>
      <c r="C825" t="n">
        <v>823</v>
      </c>
      <c r="D825" t="n">
        <v>-0.0291</v>
      </c>
      <c r="E825" t="n">
        <v>12.7476</v>
      </c>
      <c r="F825" t="n">
        <v>0.11606</v>
      </c>
    </row>
    <row r="826">
      <c r="A826" t="n">
        <v>1000824</v>
      </c>
      <c r="B826" t="n">
        <v>1</v>
      </c>
      <c r="C826" t="n">
        <v>824</v>
      </c>
      <c r="D826" t="n">
        <v>-0.0293</v>
      </c>
      <c r="E826" t="n">
        <v>12.7539</v>
      </c>
      <c r="F826" t="n">
        <v>0.11608</v>
      </c>
    </row>
    <row r="827">
      <c r="A827" t="n">
        <v>1000825</v>
      </c>
      <c r="B827" t="n">
        <v>1</v>
      </c>
      <c r="C827" t="n">
        <v>825</v>
      </c>
      <c r="D827" t="n">
        <v>-0.0294</v>
      </c>
      <c r="E827" t="n">
        <v>12.7602</v>
      </c>
      <c r="F827" t="n">
        <v>0.1161</v>
      </c>
    </row>
    <row r="828">
      <c r="A828" t="n">
        <v>1000826</v>
      </c>
      <c r="B828" t="n">
        <v>1</v>
      </c>
      <c r="C828" t="n">
        <v>826</v>
      </c>
      <c r="D828" t="n">
        <v>-0.0296</v>
      </c>
      <c r="E828" t="n">
        <v>12.7665</v>
      </c>
      <c r="F828" t="n">
        <v>0.11612</v>
      </c>
    </row>
    <row r="829">
      <c r="A829" t="n">
        <v>1000827</v>
      </c>
      <c r="B829" t="n">
        <v>1</v>
      </c>
      <c r="C829" t="n">
        <v>827</v>
      </c>
      <c r="D829" t="n">
        <v>-0.0297</v>
      </c>
      <c r="E829" t="n">
        <v>12.7728</v>
      </c>
      <c r="F829" t="n">
        <v>0.11614</v>
      </c>
    </row>
    <row r="830">
      <c r="A830" t="n">
        <v>1000828</v>
      </c>
      <c r="B830" t="n">
        <v>1</v>
      </c>
      <c r="C830" t="n">
        <v>828</v>
      </c>
      <c r="D830" t="n">
        <v>-0.0299</v>
      </c>
      <c r="E830" t="n">
        <v>12.7791</v>
      </c>
      <c r="F830" t="n">
        <v>0.11616</v>
      </c>
    </row>
    <row r="831">
      <c r="A831" t="n">
        <v>1000829</v>
      </c>
      <c r="B831" t="n">
        <v>1</v>
      </c>
      <c r="C831" t="n">
        <v>829</v>
      </c>
      <c r="D831" t="n">
        <v>-0.0301</v>
      </c>
      <c r="E831" t="n">
        <v>12.7854</v>
      </c>
      <c r="F831" t="n">
        <v>0.11618</v>
      </c>
    </row>
    <row r="832">
      <c r="A832" t="n">
        <v>1000830</v>
      </c>
      <c r="B832" t="n">
        <v>1</v>
      </c>
      <c r="C832" t="n">
        <v>830</v>
      </c>
      <c r="D832" t="n">
        <v>-0.0302</v>
      </c>
      <c r="E832" t="n">
        <v>12.7916</v>
      </c>
      <c r="F832" t="n">
        <v>0.1162</v>
      </c>
    </row>
    <row r="833">
      <c r="A833" t="n">
        <v>1000831</v>
      </c>
      <c r="B833" t="n">
        <v>1</v>
      </c>
      <c r="C833" t="n">
        <v>831</v>
      </c>
      <c r="D833" t="n">
        <v>-0.0304</v>
      </c>
      <c r="E833" t="n">
        <v>12.7979</v>
      </c>
      <c r="F833" t="n">
        <v>0.11622</v>
      </c>
    </row>
    <row r="834">
      <c r="A834" t="n">
        <v>1000832</v>
      </c>
      <c r="B834" t="n">
        <v>1</v>
      </c>
      <c r="C834" t="n">
        <v>832</v>
      </c>
      <c r="D834" t="n">
        <v>-0.0305</v>
      </c>
      <c r="E834" t="n">
        <v>12.8042</v>
      </c>
      <c r="F834" t="n">
        <v>0.11624</v>
      </c>
    </row>
    <row r="835">
      <c r="A835" t="n">
        <v>1000833</v>
      </c>
      <c r="B835" t="n">
        <v>1</v>
      </c>
      <c r="C835" t="n">
        <v>833</v>
      </c>
      <c r="D835" t="n">
        <v>-0.0307</v>
      </c>
      <c r="E835" t="n">
        <v>12.8104</v>
      </c>
      <c r="F835" t="n">
        <v>0.11626</v>
      </c>
    </row>
    <row r="836">
      <c r="A836" t="n">
        <v>1000834</v>
      </c>
      <c r="B836" t="n">
        <v>1</v>
      </c>
      <c r="C836" t="n">
        <v>834</v>
      </c>
      <c r="D836" t="n">
        <v>-0.0309</v>
      </c>
      <c r="E836" t="n">
        <v>12.8167</v>
      </c>
      <c r="F836" t="n">
        <v>0.11628</v>
      </c>
    </row>
    <row r="837">
      <c r="A837" t="n">
        <v>1000835</v>
      </c>
      <c r="B837" t="n">
        <v>1</v>
      </c>
      <c r="C837" t="n">
        <v>835</v>
      </c>
      <c r="D837" t="n">
        <v>-0.031</v>
      </c>
      <c r="E837" t="n">
        <v>12.823</v>
      </c>
      <c r="F837" t="n">
        <v>0.1163</v>
      </c>
    </row>
    <row r="838">
      <c r="A838" t="n">
        <v>1000836</v>
      </c>
      <c r="B838" t="n">
        <v>1</v>
      </c>
      <c r="C838" t="n">
        <v>836</v>
      </c>
      <c r="D838" t="n">
        <v>-0.0312</v>
      </c>
      <c r="E838" t="n">
        <v>12.8292</v>
      </c>
      <c r="F838" t="n">
        <v>0.11632</v>
      </c>
    </row>
    <row r="839">
      <c r="A839" t="n">
        <v>1000837</v>
      </c>
      <c r="B839" t="n">
        <v>1</v>
      </c>
      <c r="C839" t="n">
        <v>837</v>
      </c>
      <c r="D839" t="n">
        <v>-0.0313</v>
      </c>
      <c r="E839" t="n">
        <v>12.8355</v>
      </c>
      <c r="F839" t="n">
        <v>0.11634</v>
      </c>
    </row>
    <row r="840">
      <c r="A840" t="n">
        <v>1000838</v>
      </c>
      <c r="B840" t="n">
        <v>1</v>
      </c>
      <c r="C840" t="n">
        <v>838</v>
      </c>
      <c r="D840" t="n">
        <v>-0.0315</v>
      </c>
      <c r="E840" t="n">
        <v>12.8417</v>
      </c>
      <c r="F840" t="n">
        <v>0.11636</v>
      </c>
    </row>
    <row r="841">
      <c r="A841" t="n">
        <v>1000839</v>
      </c>
      <c r="B841" t="n">
        <v>1</v>
      </c>
      <c r="C841" t="n">
        <v>839</v>
      </c>
      <c r="D841" t="n">
        <v>-0.0317</v>
      </c>
      <c r="E841" t="n">
        <v>12.848</v>
      </c>
      <c r="F841" t="n">
        <v>0.11638</v>
      </c>
    </row>
    <row r="842">
      <c r="A842" t="n">
        <v>1000840</v>
      </c>
      <c r="B842" t="n">
        <v>1</v>
      </c>
      <c r="C842" t="n">
        <v>840</v>
      </c>
      <c r="D842" t="n">
        <v>-0.0318</v>
      </c>
      <c r="E842" t="n">
        <v>12.8542</v>
      </c>
      <c r="F842" t="n">
        <v>0.1164</v>
      </c>
    </row>
    <row r="843">
      <c r="A843" t="n">
        <v>1000841</v>
      </c>
      <c r="B843" t="n">
        <v>1</v>
      </c>
      <c r="C843" t="n">
        <v>841</v>
      </c>
      <c r="D843" t="n">
        <v>-0.032</v>
      </c>
      <c r="E843" t="n">
        <v>12.8604</v>
      </c>
      <c r="F843" t="n">
        <v>0.11642</v>
      </c>
    </row>
    <row r="844">
      <c r="A844" t="n">
        <v>1000842</v>
      </c>
      <c r="B844" t="n">
        <v>1</v>
      </c>
      <c r="C844" t="n">
        <v>842</v>
      </c>
      <c r="D844" t="n">
        <v>-0.0321</v>
      </c>
      <c r="E844" t="n">
        <v>12.8667</v>
      </c>
      <c r="F844" t="n">
        <v>0.11644</v>
      </c>
    </row>
    <row r="845">
      <c r="A845" t="n">
        <v>1000843</v>
      </c>
      <c r="B845" t="n">
        <v>1</v>
      </c>
      <c r="C845" t="n">
        <v>843</v>
      </c>
      <c r="D845" t="n">
        <v>-0.0323</v>
      </c>
      <c r="E845" t="n">
        <v>12.8729</v>
      </c>
      <c r="F845" t="n">
        <v>0.11646</v>
      </c>
    </row>
    <row r="846">
      <c r="A846" t="n">
        <v>1000844</v>
      </c>
      <c r="B846" t="n">
        <v>1</v>
      </c>
      <c r="C846" t="n">
        <v>844</v>
      </c>
      <c r="D846" t="n">
        <v>-0.0324</v>
      </c>
      <c r="E846" t="n">
        <v>12.8791</v>
      </c>
      <c r="F846" t="n">
        <v>0.11647</v>
      </c>
    </row>
    <row r="847">
      <c r="A847" t="n">
        <v>1000845</v>
      </c>
      <c r="B847" t="n">
        <v>1</v>
      </c>
      <c r="C847" t="n">
        <v>845</v>
      </c>
      <c r="D847" t="n">
        <v>-0.0326</v>
      </c>
      <c r="E847" t="n">
        <v>12.8853</v>
      </c>
      <c r="F847" t="n">
        <v>0.11649</v>
      </c>
    </row>
    <row r="848">
      <c r="A848" t="n">
        <v>1000846</v>
      </c>
      <c r="B848" t="n">
        <v>1</v>
      </c>
      <c r="C848" t="n">
        <v>846</v>
      </c>
      <c r="D848" t="n">
        <v>-0.0328</v>
      </c>
      <c r="E848" t="n">
        <v>12.8915</v>
      </c>
      <c r="F848" t="n">
        <v>0.11651</v>
      </c>
    </row>
    <row r="849">
      <c r="A849" t="n">
        <v>1000847</v>
      </c>
      <c r="B849" t="n">
        <v>1</v>
      </c>
      <c r="C849" t="n">
        <v>847</v>
      </c>
      <c r="D849" t="n">
        <v>-0.0329</v>
      </c>
      <c r="E849" t="n">
        <v>12.8978</v>
      </c>
      <c r="F849" t="n">
        <v>0.11653</v>
      </c>
    </row>
    <row r="850">
      <c r="A850" t="n">
        <v>1000848</v>
      </c>
      <c r="B850" t="n">
        <v>1</v>
      </c>
      <c r="C850" t="n">
        <v>848</v>
      </c>
      <c r="D850" t="n">
        <v>-0.0331</v>
      </c>
      <c r="E850" t="n">
        <v>12.904</v>
      </c>
      <c r="F850" t="n">
        <v>0.11655</v>
      </c>
    </row>
    <row r="851">
      <c r="A851" t="n">
        <v>1000849</v>
      </c>
      <c r="B851" t="n">
        <v>1</v>
      </c>
      <c r="C851" t="n">
        <v>849</v>
      </c>
      <c r="D851" t="n">
        <v>-0.0332</v>
      </c>
      <c r="E851" t="n">
        <v>12.9102</v>
      </c>
      <c r="F851" t="n">
        <v>0.11657</v>
      </c>
    </row>
    <row r="852">
      <c r="A852" t="n">
        <v>1000850</v>
      </c>
      <c r="B852" t="n">
        <v>1</v>
      </c>
      <c r="C852" t="n">
        <v>850</v>
      </c>
      <c r="D852" t="n">
        <v>-0.0334</v>
      </c>
      <c r="E852" t="n">
        <v>12.9164</v>
      </c>
      <c r="F852" t="n">
        <v>0.11659</v>
      </c>
    </row>
    <row r="853">
      <c r="A853" t="n">
        <v>1000851</v>
      </c>
      <c r="B853" t="n">
        <v>1</v>
      </c>
      <c r="C853" t="n">
        <v>851</v>
      </c>
      <c r="D853" t="n">
        <v>-0.0336</v>
      </c>
      <c r="E853" t="n">
        <v>12.9226</v>
      </c>
      <c r="F853" t="n">
        <v>0.11661</v>
      </c>
    </row>
    <row r="854">
      <c r="A854" t="n">
        <v>1000852</v>
      </c>
      <c r="B854" t="n">
        <v>1</v>
      </c>
      <c r="C854" t="n">
        <v>852</v>
      </c>
      <c r="D854" t="n">
        <v>-0.0337</v>
      </c>
      <c r="E854" t="n">
        <v>12.9288</v>
      </c>
      <c r="F854" t="n">
        <v>0.11663</v>
      </c>
    </row>
    <row r="855">
      <c r="A855" t="n">
        <v>1000853</v>
      </c>
      <c r="B855" t="n">
        <v>1</v>
      </c>
      <c r="C855" t="n">
        <v>853</v>
      </c>
      <c r="D855" t="n">
        <v>-0.0339</v>
      </c>
      <c r="E855" t="n">
        <v>12.935</v>
      </c>
      <c r="F855" t="n">
        <v>0.11665</v>
      </c>
    </row>
    <row r="856">
      <c r="A856" t="n">
        <v>1000854</v>
      </c>
      <c r="B856" t="n">
        <v>1</v>
      </c>
      <c r="C856" t="n">
        <v>854</v>
      </c>
      <c r="D856" t="n">
        <v>-0.034</v>
      </c>
      <c r="E856" t="n">
        <v>12.9411</v>
      </c>
      <c r="F856" t="n">
        <v>0.11667</v>
      </c>
    </row>
    <row r="857">
      <c r="A857" t="n">
        <v>1000855</v>
      </c>
      <c r="B857" t="n">
        <v>1</v>
      </c>
      <c r="C857" t="n">
        <v>855</v>
      </c>
      <c r="D857" t="n">
        <v>-0.0342</v>
      </c>
      <c r="E857" t="n">
        <v>12.9473</v>
      </c>
      <c r="F857" t="n">
        <v>0.11669</v>
      </c>
    </row>
    <row r="858">
      <c r="A858" t="n">
        <v>1000856</v>
      </c>
      <c r="B858" t="n">
        <v>1</v>
      </c>
      <c r="C858" t="n">
        <v>856</v>
      </c>
      <c r="D858" t="n">
        <v>-0.0343</v>
      </c>
      <c r="E858" t="n">
        <v>12.9535</v>
      </c>
      <c r="F858" t="n">
        <v>0.11671</v>
      </c>
    </row>
    <row r="859">
      <c r="A859" t="n">
        <v>1000857</v>
      </c>
      <c r="B859" t="n">
        <v>1</v>
      </c>
      <c r="C859" t="n">
        <v>857</v>
      </c>
      <c r="D859" t="n">
        <v>-0.0345</v>
      </c>
      <c r="E859" t="n">
        <v>12.9597</v>
      </c>
      <c r="F859" t="n">
        <v>0.11673</v>
      </c>
    </row>
    <row r="860">
      <c r="A860" t="n">
        <v>1000858</v>
      </c>
      <c r="B860" t="n">
        <v>1</v>
      </c>
      <c r="C860" t="n">
        <v>858</v>
      </c>
      <c r="D860" t="n">
        <v>-0.0346</v>
      </c>
      <c r="E860" t="n">
        <v>12.9658</v>
      </c>
      <c r="F860" t="n">
        <v>0.11675</v>
      </c>
    </row>
    <row r="861">
      <c r="A861" t="n">
        <v>1000859</v>
      </c>
      <c r="B861" t="n">
        <v>1</v>
      </c>
      <c r="C861" t="n">
        <v>859</v>
      </c>
      <c r="D861" t="n">
        <v>-0.0348</v>
      </c>
      <c r="E861" t="n">
        <v>12.972</v>
      </c>
      <c r="F861" t="n">
        <v>0.11677</v>
      </c>
    </row>
    <row r="862">
      <c r="A862" t="n">
        <v>1000860</v>
      </c>
      <c r="B862" t="n">
        <v>1</v>
      </c>
      <c r="C862" t="n">
        <v>860</v>
      </c>
      <c r="D862" t="n">
        <v>-0.035</v>
      </c>
      <c r="E862" t="n">
        <v>12.9782</v>
      </c>
      <c r="F862" t="n">
        <v>0.11679</v>
      </c>
    </row>
    <row r="863">
      <c r="A863" t="n">
        <v>1000861</v>
      </c>
      <c r="B863" t="n">
        <v>1</v>
      </c>
      <c r="C863" t="n">
        <v>861</v>
      </c>
      <c r="D863" t="n">
        <v>-0.0351</v>
      </c>
      <c r="E863" t="n">
        <v>12.9843</v>
      </c>
      <c r="F863" t="n">
        <v>0.11681</v>
      </c>
    </row>
    <row r="864">
      <c r="A864" t="n">
        <v>1000862</v>
      </c>
      <c r="B864" t="n">
        <v>1</v>
      </c>
      <c r="C864" t="n">
        <v>862</v>
      </c>
      <c r="D864" t="n">
        <v>-0.0353</v>
      </c>
      <c r="E864" t="n">
        <v>12.9905</v>
      </c>
      <c r="F864" t="n">
        <v>0.11683</v>
      </c>
    </row>
    <row r="865">
      <c r="A865" t="n">
        <v>1000863</v>
      </c>
      <c r="B865" t="n">
        <v>1</v>
      </c>
      <c r="C865" t="n">
        <v>863</v>
      </c>
      <c r="D865" t="n">
        <v>-0.0354</v>
      </c>
      <c r="E865" t="n">
        <v>12.9966</v>
      </c>
      <c r="F865" t="n">
        <v>0.11684</v>
      </c>
    </row>
    <row r="866">
      <c r="A866" t="n">
        <v>1000864</v>
      </c>
      <c r="B866" t="n">
        <v>1</v>
      </c>
      <c r="C866" t="n">
        <v>864</v>
      </c>
      <c r="D866" t="n">
        <v>-0.0356</v>
      </c>
      <c r="E866" t="n">
        <v>13.0028</v>
      </c>
      <c r="F866" t="n">
        <v>0.11686</v>
      </c>
    </row>
    <row r="867">
      <c r="A867" t="n">
        <v>1000865</v>
      </c>
      <c r="B867" t="n">
        <v>1</v>
      </c>
      <c r="C867" t="n">
        <v>865</v>
      </c>
      <c r="D867" t="n">
        <v>-0.0357</v>
      </c>
      <c r="E867" t="n">
        <v>13.0089</v>
      </c>
      <c r="F867" t="n">
        <v>0.11688</v>
      </c>
    </row>
    <row r="868">
      <c r="A868" t="n">
        <v>1000866</v>
      </c>
      <c r="B868" t="n">
        <v>1</v>
      </c>
      <c r="C868" t="n">
        <v>866</v>
      </c>
      <c r="D868" t="n">
        <v>-0.0359</v>
      </c>
      <c r="E868" t="n">
        <v>13.0151</v>
      </c>
      <c r="F868" t="n">
        <v>0.1169</v>
      </c>
    </row>
    <row r="869">
      <c r="A869" t="n">
        <v>1000867</v>
      </c>
      <c r="B869" t="n">
        <v>1</v>
      </c>
      <c r="C869" t="n">
        <v>867</v>
      </c>
      <c r="D869" t="n">
        <v>-0.0361</v>
      </c>
      <c r="E869" t="n">
        <v>13.0212</v>
      </c>
      <c r="F869" t="n">
        <v>0.11692</v>
      </c>
    </row>
    <row r="870">
      <c r="A870" t="n">
        <v>1000868</v>
      </c>
      <c r="B870" t="n">
        <v>1</v>
      </c>
      <c r="C870" t="n">
        <v>868</v>
      </c>
      <c r="D870" t="n">
        <v>-0.0362</v>
      </c>
      <c r="E870" t="n">
        <v>13.0273</v>
      </c>
      <c r="F870" t="n">
        <v>0.11694</v>
      </c>
    </row>
    <row r="871">
      <c r="A871" t="n">
        <v>1000869</v>
      </c>
      <c r="B871" t="n">
        <v>1</v>
      </c>
      <c r="C871" t="n">
        <v>869</v>
      </c>
      <c r="D871" t="n">
        <v>-0.0364</v>
      </c>
      <c r="E871" t="n">
        <v>13.0334</v>
      </c>
      <c r="F871" t="n">
        <v>0.11696</v>
      </c>
    </row>
    <row r="872">
      <c r="A872" t="n">
        <v>1000870</v>
      </c>
      <c r="B872" t="n">
        <v>1</v>
      </c>
      <c r="C872" t="n">
        <v>870</v>
      </c>
      <c r="D872" t="n">
        <v>-0.0365</v>
      </c>
      <c r="E872" t="n">
        <v>13.0396</v>
      </c>
      <c r="F872" t="n">
        <v>0.11698</v>
      </c>
    </row>
    <row r="873">
      <c r="A873" t="n">
        <v>1000871</v>
      </c>
      <c r="B873" t="n">
        <v>1</v>
      </c>
      <c r="C873" t="n">
        <v>871</v>
      </c>
      <c r="D873" t="n">
        <v>-0.0367</v>
      </c>
      <c r="E873" t="n">
        <v>13.0457</v>
      </c>
      <c r="F873" t="n">
        <v>0.117</v>
      </c>
    </row>
    <row r="874">
      <c r="A874" t="n">
        <v>1000872</v>
      </c>
      <c r="B874" t="n">
        <v>1</v>
      </c>
      <c r="C874" t="n">
        <v>872</v>
      </c>
      <c r="D874" t="n">
        <v>-0.0368</v>
      </c>
      <c r="E874" t="n">
        <v>13.0518</v>
      </c>
      <c r="F874" t="n">
        <v>0.11702</v>
      </c>
    </row>
    <row r="875">
      <c r="A875" t="n">
        <v>1000873</v>
      </c>
      <c r="B875" t="n">
        <v>1</v>
      </c>
      <c r="C875" t="n">
        <v>873</v>
      </c>
      <c r="D875" t="n">
        <v>-0.037</v>
      </c>
      <c r="E875" t="n">
        <v>13.0579</v>
      </c>
      <c r="F875" t="n">
        <v>0.11704</v>
      </c>
    </row>
    <row r="876">
      <c r="A876" t="n">
        <v>1000874</v>
      </c>
      <c r="B876" t="n">
        <v>1</v>
      </c>
      <c r="C876" t="n">
        <v>874</v>
      </c>
      <c r="D876" t="n">
        <v>-0.0371</v>
      </c>
      <c r="E876" t="n">
        <v>13.064</v>
      </c>
      <c r="F876" t="n">
        <v>0.11706</v>
      </c>
    </row>
    <row r="877">
      <c r="A877" t="n">
        <v>1000875</v>
      </c>
      <c r="B877" t="n">
        <v>1</v>
      </c>
      <c r="C877" t="n">
        <v>875</v>
      </c>
      <c r="D877" t="n">
        <v>-0.0373</v>
      </c>
      <c r="E877" t="n">
        <v>13.0701</v>
      </c>
      <c r="F877" t="n">
        <v>0.11708</v>
      </c>
    </row>
    <row r="878">
      <c r="A878" t="n">
        <v>1000876</v>
      </c>
      <c r="B878" t="n">
        <v>1</v>
      </c>
      <c r="C878" t="n">
        <v>876</v>
      </c>
      <c r="D878" t="n">
        <v>-0.0374</v>
      </c>
      <c r="E878" t="n">
        <v>13.0762</v>
      </c>
      <c r="F878" t="n">
        <v>0.1171</v>
      </c>
    </row>
    <row r="879">
      <c r="A879" t="n">
        <v>1000877</v>
      </c>
      <c r="B879" t="n">
        <v>1</v>
      </c>
      <c r="C879" t="n">
        <v>877</v>
      </c>
      <c r="D879" t="n">
        <v>-0.0376</v>
      </c>
      <c r="E879" t="n">
        <v>13.0823</v>
      </c>
      <c r="F879" t="n">
        <v>0.11712</v>
      </c>
    </row>
    <row r="880">
      <c r="A880" t="n">
        <v>1000878</v>
      </c>
      <c r="B880" t="n">
        <v>1</v>
      </c>
      <c r="C880" t="n">
        <v>878</v>
      </c>
      <c r="D880" t="n">
        <v>-0.0378</v>
      </c>
      <c r="E880" t="n">
        <v>13.0884</v>
      </c>
      <c r="F880" t="n">
        <v>0.11713</v>
      </c>
    </row>
    <row r="881">
      <c r="A881" t="n">
        <v>1000879</v>
      </c>
      <c r="B881" t="n">
        <v>1</v>
      </c>
      <c r="C881" t="n">
        <v>879</v>
      </c>
      <c r="D881" t="n">
        <v>-0.0379</v>
      </c>
      <c r="E881" t="n">
        <v>13.0945</v>
      </c>
      <c r="F881" t="n">
        <v>0.11715</v>
      </c>
    </row>
    <row r="882">
      <c r="A882" t="n">
        <v>1000880</v>
      </c>
      <c r="B882" t="n">
        <v>1</v>
      </c>
      <c r="C882" t="n">
        <v>880</v>
      </c>
      <c r="D882" t="n">
        <v>-0.0381</v>
      </c>
      <c r="E882" t="n">
        <v>13.1006</v>
      </c>
      <c r="F882" t="n">
        <v>0.11717</v>
      </c>
    </row>
    <row r="883">
      <c r="A883" t="n">
        <v>1000881</v>
      </c>
      <c r="B883" t="n">
        <v>1</v>
      </c>
      <c r="C883" t="n">
        <v>881</v>
      </c>
      <c r="D883" t="n">
        <v>-0.0382</v>
      </c>
      <c r="E883" t="n">
        <v>13.1067</v>
      </c>
      <c r="F883" t="n">
        <v>0.11719</v>
      </c>
    </row>
    <row r="884">
      <c r="A884" t="n">
        <v>1000882</v>
      </c>
      <c r="B884" t="n">
        <v>1</v>
      </c>
      <c r="C884" t="n">
        <v>882</v>
      </c>
      <c r="D884" t="n">
        <v>-0.0384</v>
      </c>
      <c r="E884" t="n">
        <v>13.1127</v>
      </c>
      <c r="F884" t="n">
        <v>0.11721</v>
      </c>
    </row>
    <row r="885">
      <c r="A885" t="n">
        <v>1000883</v>
      </c>
      <c r="B885" t="n">
        <v>1</v>
      </c>
      <c r="C885" t="n">
        <v>883</v>
      </c>
      <c r="D885" t="n">
        <v>-0.0385</v>
      </c>
      <c r="E885" t="n">
        <v>13.1188</v>
      </c>
      <c r="F885" t="n">
        <v>0.11723</v>
      </c>
    </row>
    <row r="886">
      <c r="A886" t="n">
        <v>1000884</v>
      </c>
      <c r="B886" t="n">
        <v>1</v>
      </c>
      <c r="C886" t="n">
        <v>884</v>
      </c>
      <c r="D886" t="n">
        <v>-0.0387</v>
      </c>
      <c r="E886" t="n">
        <v>13.1249</v>
      </c>
      <c r="F886" t="n">
        <v>0.11725</v>
      </c>
    </row>
    <row r="887">
      <c r="A887" t="n">
        <v>1000885</v>
      </c>
      <c r="B887" t="n">
        <v>1</v>
      </c>
      <c r="C887" t="n">
        <v>885</v>
      </c>
      <c r="D887" t="n">
        <v>-0.0388</v>
      </c>
      <c r="E887" t="n">
        <v>13.131</v>
      </c>
      <c r="F887" t="n">
        <v>0.11727</v>
      </c>
    </row>
    <row r="888">
      <c r="A888" t="n">
        <v>1000886</v>
      </c>
      <c r="B888" t="n">
        <v>1</v>
      </c>
      <c r="C888" t="n">
        <v>886</v>
      </c>
      <c r="D888" t="n">
        <v>-0.039</v>
      </c>
      <c r="E888" t="n">
        <v>13.137</v>
      </c>
      <c r="F888" t="n">
        <v>0.11729</v>
      </c>
    </row>
    <row r="889">
      <c r="A889" t="n">
        <v>1000887</v>
      </c>
      <c r="B889" t="n">
        <v>1</v>
      </c>
      <c r="C889" t="n">
        <v>887</v>
      </c>
      <c r="D889" t="n">
        <v>-0.0391</v>
      </c>
      <c r="E889" t="n">
        <v>13.1431</v>
      </c>
      <c r="F889" t="n">
        <v>0.11731</v>
      </c>
    </row>
    <row r="890">
      <c r="A890" t="n">
        <v>1000888</v>
      </c>
      <c r="B890" t="n">
        <v>1</v>
      </c>
      <c r="C890" t="n">
        <v>888</v>
      </c>
      <c r="D890" t="n">
        <v>-0.0393</v>
      </c>
      <c r="E890" t="n">
        <v>13.1491</v>
      </c>
      <c r="F890" t="n">
        <v>0.11733</v>
      </c>
    </row>
    <row r="891">
      <c r="A891" t="n">
        <v>1000889</v>
      </c>
      <c r="B891" t="n">
        <v>1</v>
      </c>
      <c r="C891" t="n">
        <v>889</v>
      </c>
      <c r="D891" t="n">
        <v>-0.0394</v>
      </c>
      <c r="E891" t="n">
        <v>13.1552</v>
      </c>
      <c r="F891" t="n">
        <v>0.11735</v>
      </c>
    </row>
    <row r="892">
      <c r="A892" t="n">
        <v>1000890</v>
      </c>
      <c r="B892" t="n">
        <v>1</v>
      </c>
      <c r="C892" t="n">
        <v>890</v>
      </c>
      <c r="D892" t="n">
        <v>-0.0396</v>
      </c>
      <c r="E892" t="n">
        <v>13.1612</v>
      </c>
      <c r="F892" t="n">
        <v>0.11737</v>
      </c>
    </row>
    <row r="893">
      <c r="A893" t="n">
        <v>1000891</v>
      </c>
      <c r="B893" t="n">
        <v>1</v>
      </c>
      <c r="C893" t="n">
        <v>891</v>
      </c>
      <c r="D893" t="n">
        <v>-0.0397</v>
      </c>
      <c r="E893" t="n">
        <v>13.1673</v>
      </c>
      <c r="F893" t="n">
        <v>0.11739</v>
      </c>
    </row>
    <row r="894">
      <c r="A894" t="n">
        <v>1000892</v>
      </c>
      <c r="B894" t="n">
        <v>1</v>
      </c>
      <c r="C894" t="n">
        <v>892</v>
      </c>
      <c r="D894" t="n">
        <v>-0.0399</v>
      </c>
      <c r="E894" t="n">
        <v>13.1733</v>
      </c>
      <c r="F894" t="n">
        <v>0.1174</v>
      </c>
    </row>
    <row r="895">
      <c r="A895" t="n">
        <v>1000893</v>
      </c>
      <c r="B895" t="n">
        <v>1</v>
      </c>
      <c r="C895" t="n">
        <v>893</v>
      </c>
      <c r="D895" t="n">
        <v>-0.0401</v>
      </c>
      <c r="E895" t="n">
        <v>13.1793</v>
      </c>
      <c r="F895" t="n">
        <v>0.11742</v>
      </c>
    </row>
    <row r="896">
      <c r="A896" t="n">
        <v>1000894</v>
      </c>
      <c r="B896" t="n">
        <v>1</v>
      </c>
      <c r="C896" t="n">
        <v>894</v>
      </c>
      <c r="D896" t="n">
        <v>-0.0402</v>
      </c>
      <c r="E896" t="n">
        <v>13.1854</v>
      </c>
      <c r="F896" t="n">
        <v>0.11744</v>
      </c>
    </row>
    <row r="897">
      <c r="A897" t="n">
        <v>1000895</v>
      </c>
      <c r="B897" t="n">
        <v>1</v>
      </c>
      <c r="C897" t="n">
        <v>895</v>
      </c>
      <c r="D897" t="n">
        <v>-0.0404</v>
      </c>
      <c r="E897" t="n">
        <v>13.1914</v>
      </c>
      <c r="F897" t="n">
        <v>0.11746</v>
      </c>
    </row>
    <row r="898">
      <c r="A898" t="n">
        <v>1000896</v>
      </c>
      <c r="B898" t="n">
        <v>1</v>
      </c>
      <c r="C898" t="n">
        <v>896</v>
      </c>
      <c r="D898" t="n">
        <v>-0.0405</v>
      </c>
      <c r="E898" t="n">
        <v>13.1974</v>
      </c>
      <c r="F898" t="n">
        <v>0.11748</v>
      </c>
    </row>
    <row r="899">
      <c r="A899" t="n">
        <v>1000897</v>
      </c>
      <c r="B899" t="n">
        <v>1</v>
      </c>
      <c r="C899" t="n">
        <v>897</v>
      </c>
      <c r="D899" t="n">
        <v>-0.0407</v>
      </c>
      <c r="E899" t="n">
        <v>13.2034</v>
      </c>
      <c r="F899" t="n">
        <v>0.1175</v>
      </c>
    </row>
    <row r="900">
      <c r="A900" t="n">
        <v>1000898</v>
      </c>
      <c r="B900" t="n">
        <v>1</v>
      </c>
      <c r="C900" t="n">
        <v>898</v>
      </c>
      <c r="D900" t="n">
        <v>-0.0408</v>
      </c>
      <c r="E900" t="n">
        <v>13.2095</v>
      </c>
      <c r="F900" t="n">
        <v>0.11752</v>
      </c>
    </row>
    <row r="901">
      <c r="A901" t="n">
        <v>1000899</v>
      </c>
      <c r="B901" t="n">
        <v>1</v>
      </c>
      <c r="C901" t="n">
        <v>899</v>
      </c>
      <c r="D901" t="n">
        <v>-0.041</v>
      </c>
      <c r="E901" t="n">
        <v>13.2155</v>
      </c>
      <c r="F901" t="n">
        <v>0.11754</v>
      </c>
    </row>
    <row r="902">
      <c r="A902" t="n">
        <v>1000900</v>
      </c>
      <c r="B902" t="n">
        <v>1</v>
      </c>
      <c r="C902" t="n">
        <v>900</v>
      </c>
      <c r="D902" t="n">
        <v>-0.0411</v>
      </c>
      <c r="E902" t="n">
        <v>13.2215</v>
      </c>
      <c r="F902" t="n">
        <v>0.11756</v>
      </c>
    </row>
    <row r="903">
      <c r="A903" t="n">
        <v>1000901</v>
      </c>
      <c r="B903" t="n">
        <v>1</v>
      </c>
      <c r="C903" t="n">
        <v>901</v>
      </c>
      <c r="D903" t="n">
        <v>-0.0413</v>
      </c>
      <c r="E903" t="n">
        <v>13.2275</v>
      </c>
      <c r="F903" t="n">
        <v>0.11758</v>
      </c>
    </row>
    <row r="904">
      <c r="A904" t="n">
        <v>1000902</v>
      </c>
      <c r="B904" t="n">
        <v>1</v>
      </c>
      <c r="C904" t="n">
        <v>902</v>
      </c>
      <c r="D904" t="n">
        <v>-0.0414</v>
      </c>
      <c r="E904" t="n">
        <v>13.2335</v>
      </c>
      <c r="F904" t="n">
        <v>0.1176</v>
      </c>
    </row>
    <row r="905">
      <c r="A905" t="n">
        <v>1000903</v>
      </c>
      <c r="B905" t="n">
        <v>1</v>
      </c>
      <c r="C905" t="n">
        <v>903</v>
      </c>
      <c r="D905" t="n">
        <v>-0.0416</v>
      </c>
      <c r="E905" t="n">
        <v>13.2395</v>
      </c>
      <c r="F905" t="n">
        <v>0.11762</v>
      </c>
    </row>
    <row r="906">
      <c r="A906" t="n">
        <v>1000904</v>
      </c>
      <c r="B906" t="n">
        <v>1</v>
      </c>
      <c r="C906" t="n">
        <v>904</v>
      </c>
      <c r="D906" t="n">
        <v>-0.0417</v>
      </c>
      <c r="E906" t="n">
        <v>13.2455</v>
      </c>
      <c r="F906" t="n">
        <v>0.11763</v>
      </c>
    </row>
    <row r="907">
      <c r="A907" t="n">
        <v>1000905</v>
      </c>
      <c r="B907" t="n">
        <v>1</v>
      </c>
      <c r="C907" t="n">
        <v>905</v>
      </c>
      <c r="D907" t="n">
        <v>-0.0419</v>
      </c>
      <c r="E907" t="n">
        <v>13.2515</v>
      </c>
      <c r="F907" t="n">
        <v>0.11765</v>
      </c>
    </row>
    <row r="908">
      <c r="A908" t="n">
        <v>1000906</v>
      </c>
      <c r="B908" t="n">
        <v>1</v>
      </c>
      <c r="C908" t="n">
        <v>906</v>
      </c>
      <c r="D908" t="n">
        <v>-0.042</v>
      </c>
      <c r="E908" t="n">
        <v>13.2575</v>
      </c>
      <c r="F908" t="n">
        <v>0.11767</v>
      </c>
    </row>
    <row r="909">
      <c r="A909" t="n">
        <v>1000907</v>
      </c>
      <c r="B909" t="n">
        <v>1</v>
      </c>
      <c r="C909" t="n">
        <v>907</v>
      </c>
      <c r="D909" t="n">
        <v>-0.0422</v>
      </c>
      <c r="E909" t="n">
        <v>13.2634</v>
      </c>
      <c r="F909" t="n">
        <v>0.11769</v>
      </c>
    </row>
    <row r="910">
      <c r="A910" t="n">
        <v>1000908</v>
      </c>
      <c r="B910" t="n">
        <v>1</v>
      </c>
      <c r="C910" t="n">
        <v>908</v>
      </c>
      <c r="D910" t="n">
        <v>-0.0423</v>
      </c>
      <c r="E910" t="n">
        <v>13.2694</v>
      </c>
      <c r="F910" t="n">
        <v>0.11771</v>
      </c>
    </row>
    <row r="911">
      <c r="A911" t="n">
        <v>1000909</v>
      </c>
      <c r="B911" t="n">
        <v>1</v>
      </c>
      <c r="C911" t="n">
        <v>909</v>
      </c>
      <c r="D911" t="n">
        <v>-0.0425</v>
      </c>
      <c r="E911" t="n">
        <v>13.2754</v>
      </c>
      <c r="F911" t="n">
        <v>0.11773</v>
      </c>
    </row>
    <row r="912">
      <c r="A912" t="n">
        <v>1000910</v>
      </c>
      <c r="B912" t="n">
        <v>1</v>
      </c>
      <c r="C912" t="n">
        <v>910</v>
      </c>
      <c r="D912" t="n">
        <v>-0.0426</v>
      </c>
      <c r="E912" t="n">
        <v>13.2814</v>
      </c>
      <c r="F912" t="n">
        <v>0.11775</v>
      </c>
    </row>
    <row r="913">
      <c r="A913" t="n">
        <v>1000911</v>
      </c>
      <c r="B913" t="n">
        <v>1</v>
      </c>
      <c r="C913" t="n">
        <v>911</v>
      </c>
      <c r="D913" t="n">
        <v>-0.0428</v>
      </c>
      <c r="E913" t="n">
        <v>13.2873</v>
      </c>
      <c r="F913" t="n">
        <v>0.11777</v>
      </c>
    </row>
    <row r="914">
      <c r="A914" t="n">
        <v>1000912</v>
      </c>
      <c r="B914" t="n">
        <v>1</v>
      </c>
      <c r="C914" t="n">
        <v>912</v>
      </c>
      <c r="D914" t="n">
        <v>-0.0429</v>
      </c>
      <c r="E914" t="n">
        <v>13.2933</v>
      </c>
      <c r="F914" t="n">
        <v>0.11779</v>
      </c>
    </row>
    <row r="915">
      <c r="A915" t="n">
        <v>1000913</v>
      </c>
      <c r="B915" t="n">
        <v>1</v>
      </c>
      <c r="C915" t="n">
        <v>913</v>
      </c>
      <c r="D915" t="n">
        <v>-0.0431</v>
      </c>
      <c r="E915" t="n">
        <v>13.2993</v>
      </c>
      <c r="F915" t="n">
        <v>0.11781</v>
      </c>
    </row>
    <row r="916">
      <c r="A916" t="n">
        <v>1000914</v>
      </c>
      <c r="B916" t="n">
        <v>1</v>
      </c>
      <c r="C916" t="n">
        <v>914</v>
      </c>
      <c r="D916" t="n">
        <v>-0.0432</v>
      </c>
      <c r="E916" t="n">
        <v>13.3052</v>
      </c>
      <c r="F916" t="n">
        <v>0.11783</v>
      </c>
    </row>
    <row r="917">
      <c r="A917" t="n">
        <v>1000915</v>
      </c>
      <c r="B917" t="n">
        <v>1</v>
      </c>
      <c r="C917" t="n">
        <v>915</v>
      </c>
      <c r="D917" t="n">
        <v>-0.0434</v>
      </c>
      <c r="E917" t="n">
        <v>13.3112</v>
      </c>
      <c r="F917" t="n">
        <v>0.11785</v>
      </c>
    </row>
    <row r="918">
      <c r="A918" t="n">
        <v>1000916</v>
      </c>
      <c r="B918" t="n">
        <v>1</v>
      </c>
      <c r="C918" t="n">
        <v>916</v>
      </c>
      <c r="D918" t="n">
        <v>-0.0435</v>
      </c>
      <c r="E918" t="n">
        <v>13.3171</v>
      </c>
      <c r="F918" t="n">
        <v>0.11786</v>
      </c>
    </row>
    <row r="919">
      <c r="A919" t="n">
        <v>1000917</v>
      </c>
      <c r="B919" t="n">
        <v>1</v>
      </c>
      <c r="C919" t="n">
        <v>917</v>
      </c>
      <c r="D919" t="n">
        <v>-0.0437</v>
      </c>
      <c r="E919" t="n">
        <v>13.3231</v>
      </c>
      <c r="F919" t="n">
        <v>0.11788</v>
      </c>
    </row>
    <row r="920">
      <c r="A920" t="n">
        <v>1000918</v>
      </c>
      <c r="B920" t="n">
        <v>1</v>
      </c>
      <c r="C920" t="n">
        <v>918</v>
      </c>
      <c r="D920" t="n">
        <v>-0.0438</v>
      </c>
      <c r="E920" t="n">
        <v>13.329</v>
      </c>
      <c r="F920" t="n">
        <v>0.1179</v>
      </c>
    </row>
    <row r="921">
      <c r="A921" t="n">
        <v>1000919</v>
      </c>
      <c r="B921" t="n">
        <v>1</v>
      </c>
      <c r="C921" t="n">
        <v>919</v>
      </c>
      <c r="D921" t="n">
        <v>-0.044</v>
      </c>
      <c r="E921" t="n">
        <v>13.335</v>
      </c>
      <c r="F921" t="n">
        <v>0.11792</v>
      </c>
    </row>
    <row r="922">
      <c r="A922" t="n">
        <v>1000920</v>
      </c>
      <c r="B922" t="n">
        <v>1</v>
      </c>
      <c r="C922" t="n">
        <v>920</v>
      </c>
      <c r="D922" t="n">
        <v>-0.0441</v>
      </c>
      <c r="E922" t="n">
        <v>13.3409</v>
      </c>
      <c r="F922" t="n">
        <v>0.11794</v>
      </c>
    </row>
    <row r="923">
      <c r="A923" t="n">
        <v>1000921</v>
      </c>
      <c r="B923" t="n">
        <v>1</v>
      </c>
      <c r="C923" t="n">
        <v>921</v>
      </c>
      <c r="D923" t="n">
        <v>-0.0443</v>
      </c>
      <c r="E923" t="n">
        <v>13.3468</v>
      </c>
      <c r="F923" t="n">
        <v>0.11796</v>
      </c>
    </row>
    <row r="924">
      <c r="A924" t="n">
        <v>1000922</v>
      </c>
      <c r="B924" t="n">
        <v>1</v>
      </c>
      <c r="C924" t="n">
        <v>922</v>
      </c>
      <c r="D924" t="n">
        <v>-0.0444</v>
      </c>
      <c r="E924" t="n">
        <v>13.3528</v>
      </c>
      <c r="F924" t="n">
        <v>0.11798</v>
      </c>
    </row>
    <row r="925">
      <c r="A925" t="n">
        <v>1000923</v>
      </c>
      <c r="B925" t="n">
        <v>1</v>
      </c>
      <c r="C925" t="n">
        <v>923</v>
      </c>
      <c r="D925" t="n">
        <v>-0.0446</v>
      </c>
      <c r="E925" t="n">
        <v>13.3587</v>
      </c>
      <c r="F925" t="n">
        <v>0.118</v>
      </c>
    </row>
    <row r="926">
      <c r="A926" t="n">
        <v>1000924</v>
      </c>
      <c r="B926" t="n">
        <v>1</v>
      </c>
      <c r="C926" t="n">
        <v>924</v>
      </c>
      <c r="D926" t="n">
        <v>-0.0447</v>
      </c>
      <c r="E926" t="n">
        <v>13.3646</v>
      </c>
      <c r="F926" t="n">
        <v>0.11802</v>
      </c>
    </row>
    <row r="927">
      <c r="A927" t="n">
        <v>1000925</v>
      </c>
      <c r="B927" t="n">
        <v>1</v>
      </c>
      <c r="C927" t="n">
        <v>925</v>
      </c>
      <c r="D927" t="n">
        <v>-0.0449</v>
      </c>
      <c r="E927" t="n">
        <v>13.3705</v>
      </c>
      <c r="F927" t="n">
        <v>0.11804</v>
      </c>
    </row>
    <row r="928">
      <c r="A928" t="n">
        <v>1000926</v>
      </c>
      <c r="B928" t="n">
        <v>1</v>
      </c>
      <c r="C928" t="n">
        <v>926</v>
      </c>
      <c r="D928" t="n">
        <v>-0.045</v>
      </c>
      <c r="E928" t="n">
        <v>13.3765</v>
      </c>
      <c r="F928" t="n">
        <v>0.11805</v>
      </c>
    </row>
    <row r="929">
      <c r="A929" t="n">
        <v>1000927</v>
      </c>
      <c r="B929" t="n">
        <v>1</v>
      </c>
      <c r="C929" t="n">
        <v>927</v>
      </c>
      <c r="D929" t="n">
        <v>-0.0452</v>
      </c>
      <c r="E929" t="n">
        <v>13.3824</v>
      </c>
      <c r="F929" t="n">
        <v>0.11807</v>
      </c>
    </row>
    <row r="930">
      <c r="A930" t="n">
        <v>1000928</v>
      </c>
      <c r="B930" t="n">
        <v>1</v>
      </c>
      <c r="C930" t="n">
        <v>928</v>
      </c>
      <c r="D930" t="n">
        <v>-0.0453</v>
      </c>
      <c r="E930" t="n">
        <v>13.3883</v>
      </c>
      <c r="F930" t="n">
        <v>0.11809</v>
      </c>
    </row>
    <row r="931">
      <c r="A931" t="n">
        <v>1000929</v>
      </c>
      <c r="B931" t="n">
        <v>1</v>
      </c>
      <c r="C931" t="n">
        <v>929</v>
      </c>
      <c r="D931" t="n">
        <v>-0.0455</v>
      </c>
      <c r="E931" t="n">
        <v>13.3942</v>
      </c>
      <c r="F931" t="n">
        <v>0.11811</v>
      </c>
    </row>
    <row r="932">
      <c r="A932" t="n">
        <v>1000930</v>
      </c>
      <c r="B932" t="n">
        <v>1</v>
      </c>
      <c r="C932" t="n">
        <v>930</v>
      </c>
      <c r="D932" t="n">
        <v>-0.0456</v>
      </c>
      <c r="E932" t="n">
        <v>13.4001</v>
      </c>
      <c r="F932" t="n">
        <v>0.11813</v>
      </c>
    </row>
    <row r="933">
      <c r="A933" t="n">
        <v>1000931</v>
      </c>
      <c r="B933" t="n">
        <v>1</v>
      </c>
      <c r="C933" t="n">
        <v>931</v>
      </c>
      <c r="D933" t="n">
        <v>-0.0458</v>
      </c>
      <c r="E933" t="n">
        <v>13.406</v>
      </c>
      <c r="F933" t="n">
        <v>0.11815</v>
      </c>
    </row>
    <row r="934">
      <c r="A934" t="n">
        <v>1000932</v>
      </c>
      <c r="B934" t="n">
        <v>1</v>
      </c>
      <c r="C934" t="n">
        <v>932</v>
      </c>
      <c r="D934" t="n">
        <v>-0.0459</v>
      </c>
      <c r="E934" t="n">
        <v>13.4119</v>
      </c>
      <c r="F934" t="n">
        <v>0.11817</v>
      </c>
    </row>
    <row r="935">
      <c r="A935" t="n">
        <v>1000933</v>
      </c>
      <c r="B935" t="n">
        <v>1</v>
      </c>
      <c r="C935" t="n">
        <v>933</v>
      </c>
      <c r="D935" t="n">
        <v>-0.0461</v>
      </c>
      <c r="E935" t="n">
        <v>13.4178</v>
      </c>
      <c r="F935" t="n">
        <v>0.11819</v>
      </c>
    </row>
    <row r="936">
      <c r="A936" t="n">
        <v>1000934</v>
      </c>
      <c r="B936" t="n">
        <v>1</v>
      </c>
      <c r="C936" t="n">
        <v>934</v>
      </c>
      <c r="D936" t="n">
        <v>-0.0462</v>
      </c>
      <c r="E936" t="n">
        <v>13.4237</v>
      </c>
      <c r="F936" t="n">
        <v>0.11821</v>
      </c>
    </row>
    <row r="937">
      <c r="A937" t="n">
        <v>1000935</v>
      </c>
      <c r="B937" t="n">
        <v>1</v>
      </c>
      <c r="C937" t="n">
        <v>935</v>
      </c>
      <c r="D937" t="n">
        <v>-0.0464</v>
      </c>
      <c r="E937" t="n">
        <v>13.4296</v>
      </c>
      <c r="F937" t="n">
        <v>0.11823</v>
      </c>
    </row>
    <row r="938">
      <c r="A938" t="n">
        <v>1000936</v>
      </c>
      <c r="B938" t="n">
        <v>1</v>
      </c>
      <c r="C938" t="n">
        <v>936</v>
      </c>
      <c r="D938" t="n">
        <v>-0.0465</v>
      </c>
      <c r="E938" t="n">
        <v>13.4354</v>
      </c>
      <c r="F938" t="n">
        <v>0.11825</v>
      </c>
    </row>
    <row r="939">
      <c r="A939" t="n">
        <v>1000937</v>
      </c>
      <c r="B939" t="n">
        <v>1</v>
      </c>
      <c r="C939" t="n">
        <v>937</v>
      </c>
      <c r="D939" t="n">
        <v>-0.0466</v>
      </c>
      <c r="E939" t="n">
        <v>13.4413</v>
      </c>
      <c r="F939" t="n">
        <v>0.11826</v>
      </c>
    </row>
    <row r="940">
      <c r="A940" t="n">
        <v>1000938</v>
      </c>
      <c r="B940" t="n">
        <v>1</v>
      </c>
      <c r="C940" t="n">
        <v>938</v>
      </c>
      <c r="D940" t="n">
        <v>-0.0468</v>
      </c>
      <c r="E940" t="n">
        <v>13.4472</v>
      </c>
      <c r="F940" t="n">
        <v>0.11828</v>
      </c>
    </row>
    <row r="941">
      <c r="A941" t="n">
        <v>1000939</v>
      </c>
      <c r="B941" t="n">
        <v>1</v>
      </c>
      <c r="C941" t="n">
        <v>939</v>
      </c>
      <c r="D941" t="n">
        <v>-0.0469</v>
      </c>
      <c r="E941" t="n">
        <v>13.4531</v>
      </c>
      <c r="F941" t="n">
        <v>0.1183</v>
      </c>
    </row>
    <row r="942">
      <c r="A942" t="n">
        <v>1000940</v>
      </c>
      <c r="B942" t="n">
        <v>1</v>
      </c>
      <c r="C942" t="n">
        <v>940</v>
      </c>
      <c r="D942" t="n">
        <v>-0.0471</v>
      </c>
      <c r="E942" t="n">
        <v>13.4589</v>
      </c>
      <c r="F942" t="n">
        <v>0.11832</v>
      </c>
    </row>
    <row r="943">
      <c r="A943" t="n">
        <v>1000941</v>
      </c>
      <c r="B943" t="n">
        <v>1</v>
      </c>
      <c r="C943" t="n">
        <v>941</v>
      </c>
      <c r="D943" t="n">
        <v>-0.0472</v>
      </c>
      <c r="E943" t="n">
        <v>13.4648</v>
      </c>
      <c r="F943" t="n">
        <v>0.11834</v>
      </c>
    </row>
    <row r="944">
      <c r="A944" t="n">
        <v>1000942</v>
      </c>
      <c r="B944" t="n">
        <v>1</v>
      </c>
      <c r="C944" t="n">
        <v>942</v>
      </c>
      <c r="D944" t="n">
        <v>-0.0474</v>
      </c>
      <c r="E944" t="n">
        <v>13.4707</v>
      </c>
      <c r="F944" t="n">
        <v>0.11836</v>
      </c>
    </row>
    <row r="945">
      <c r="A945" t="n">
        <v>1000943</v>
      </c>
      <c r="B945" t="n">
        <v>1</v>
      </c>
      <c r="C945" t="n">
        <v>943</v>
      </c>
      <c r="D945" t="n">
        <v>-0.0475</v>
      </c>
      <c r="E945" t="n">
        <v>13.4765</v>
      </c>
      <c r="F945" t="n">
        <v>0.11838</v>
      </c>
    </row>
    <row r="946">
      <c r="A946" t="n">
        <v>1000944</v>
      </c>
      <c r="B946" t="n">
        <v>1</v>
      </c>
      <c r="C946" t="n">
        <v>944</v>
      </c>
      <c r="D946" t="n">
        <v>-0.0477</v>
      </c>
      <c r="E946" t="n">
        <v>13.4824</v>
      </c>
      <c r="F946" t="n">
        <v>0.1184</v>
      </c>
    </row>
    <row r="947">
      <c r="A947" t="n">
        <v>1000945</v>
      </c>
      <c r="B947" t="n">
        <v>1</v>
      </c>
      <c r="C947" t="n">
        <v>945</v>
      </c>
      <c r="D947" t="n">
        <v>-0.0478</v>
      </c>
      <c r="E947" t="n">
        <v>13.4883</v>
      </c>
      <c r="F947" t="n">
        <v>0.11842</v>
      </c>
    </row>
    <row r="948">
      <c r="A948" t="n">
        <v>1000946</v>
      </c>
      <c r="B948" t="n">
        <v>1</v>
      </c>
      <c r="C948" t="n">
        <v>946</v>
      </c>
      <c r="D948" t="n">
        <v>-0.048</v>
      </c>
      <c r="E948" t="n">
        <v>13.4941</v>
      </c>
      <c r="F948" t="n">
        <v>0.11843</v>
      </c>
    </row>
    <row r="949">
      <c r="A949" t="n">
        <v>1000947</v>
      </c>
      <c r="B949" t="n">
        <v>1</v>
      </c>
      <c r="C949" t="n">
        <v>947</v>
      </c>
      <c r="D949" t="n">
        <v>-0.0481</v>
      </c>
      <c r="E949" t="n">
        <v>13.5</v>
      </c>
      <c r="F949" t="n">
        <v>0.11845</v>
      </c>
    </row>
    <row r="950">
      <c r="A950" t="n">
        <v>1000948</v>
      </c>
      <c r="B950" t="n">
        <v>1</v>
      </c>
      <c r="C950" t="n">
        <v>948</v>
      </c>
      <c r="D950" t="n">
        <v>-0.0483</v>
      </c>
      <c r="E950" t="n">
        <v>13.5058</v>
      </c>
      <c r="F950" t="n">
        <v>0.11847</v>
      </c>
    </row>
    <row r="951">
      <c r="A951" t="n">
        <v>1000949</v>
      </c>
      <c r="B951" t="n">
        <v>1</v>
      </c>
      <c r="C951" t="n">
        <v>949</v>
      </c>
      <c r="D951" t="n">
        <v>-0.0484</v>
      </c>
      <c r="E951" t="n">
        <v>13.5116</v>
      </c>
      <c r="F951" t="n">
        <v>0.11849</v>
      </c>
    </row>
    <row r="952">
      <c r="A952" t="n">
        <v>1000950</v>
      </c>
      <c r="B952" t="n">
        <v>1</v>
      </c>
      <c r="C952" t="n">
        <v>950</v>
      </c>
      <c r="D952" t="n">
        <v>-0.0486</v>
      </c>
      <c r="E952" t="n">
        <v>13.5175</v>
      </c>
      <c r="F952" t="n">
        <v>0.11851</v>
      </c>
    </row>
    <row r="953">
      <c r="A953" t="n">
        <v>1000951</v>
      </c>
      <c r="B953" t="n">
        <v>1</v>
      </c>
      <c r="C953" t="n">
        <v>951</v>
      </c>
      <c r="D953" t="n">
        <v>-0.0487</v>
      </c>
      <c r="E953" t="n">
        <v>13.5233</v>
      </c>
      <c r="F953" t="n">
        <v>0.11853</v>
      </c>
    </row>
    <row r="954">
      <c r="A954" t="n">
        <v>1000952</v>
      </c>
      <c r="B954" t="n">
        <v>1</v>
      </c>
      <c r="C954" t="n">
        <v>952</v>
      </c>
      <c r="D954" t="n">
        <v>-0.0489</v>
      </c>
      <c r="E954" t="n">
        <v>13.5291</v>
      </c>
      <c r="F954" t="n">
        <v>0.11855</v>
      </c>
    </row>
    <row r="955">
      <c r="A955" t="n">
        <v>1000953</v>
      </c>
      <c r="B955" t="n">
        <v>1</v>
      </c>
      <c r="C955" t="n">
        <v>953</v>
      </c>
      <c r="D955" t="n">
        <v>-0.049</v>
      </c>
      <c r="E955" t="n">
        <v>13.535</v>
      </c>
      <c r="F955" t="n">
        <v>0.11857</v>
      </c>
    </row>
    <row r="956">
      <c r="A956" t="n">
        <v>1000954</v>
      </c>
      <c r="B956" t="n">
        <v>1</v>
      </c>
      <c r="C956" t="n">
        <v>954</v>
      </c>
      <c r="D956" t="n">
        <v>-0.0491</v>
      </c>
      <c r="E956" t="n">
        <v>13.5408</v>
      </c>
      <c r="F956" t="n">
        <v>0.11859</v>
      </c>
    </row>
    <row r="957">
      <c r="A957" t="n">
        <v>1000955</v>
      </c>
      <c r="B957" t="n">
        <v>1</v>
      </c>
      <c r="C957" t="n">
        <v>955</v>
      </c>
      <c r="D957" t="n">
        <v>-0.0493</v>
      </c>
      <c r="E957" t="n">
        <v>13.5466</v>
      </c>
      <c r="F957" t="n">
        <v>0.1186</v>
      </c>
    </row>
    <row r="958">
      <c r="A958" t="n">
        <v>1000956</v>
      </c>
      <c r="B958" t="n">
        <v>1</v>
      </c>
      <c r="C958" t="n">
        <v>956</v>
      </c>
      <c r="D958" t="n">
        <v>-0.0494</v>
      </c>
      <c r="E958" t="n">
        <v>13.5524</v>
      </c>
      <c r="F958" t="n">
        <v>0.11862</v>
      </c>
    </row>
    <row r="959">
      <c r="A959" t="n">
        <v>1000957</v>
      </c>
      <c r="B959" t="n">
        <v>1</v>
      </c>
      <c r="C959" t="n">
        <v>957</v>
      </c>
      <c r="D959" t="n">
        <v>-0.0496</v>
      </c>
      <c r="E959" t="n">
        <v>13.5583</v>
      </c>
      <c r="F959" t="n">
        <v>0.11864</v>
      </c>
    </row>
    <row r="960">
      <c r="A960" t="n">
        <v>1000958</v>
      </c>
      <c r="B960" t="n">
        <v>1</v>
      </c>
      <c r="C960" t="n">
        <v>958</v>
      </c>
      <c r="D960" t="n">
        <v>-0.0497</v>
      </c>
      <c r="E960" t="n">
        <v>13.5641</v>
      </c>
      <c r="F960" t="n">
        <v>0.11866</v>
      </c>
    </row>
    <row r="961">
      <c r="A961" t="n">
        <v>1000959</v>
      </c>
      <c r="B961" t="n">
        <v>1</v>
      </c>
      <c r="C961" t="n">
        <v>959</v>
      </c>
      <c r="D961" t="n">
        <v>-0.0499</v>
      </c>
      <c r="E961" t="n">
        <v>13.5699</v>
      </c>
      <c r="F961" t="n">
        <v>0.11868</v>
      </c>
    </row>
    <row r="962">
      <c r="A962" t="n">
        <v>1000960</v>
      </c>
      <c r="B962" t="n">
        <v>1</v>
      </c>
      <c r="C962" t="n">
        <v>960</v>
      </c>
      <c r="D962" t="n">
        <v>-0.05</v>
      </c>
      <c r="E962" t="n">
        <v>13.5757</v>
      </c>
      <c r="F962" t="n">
        <v>0.1187</v>
      </c>
    </row>
    <row r="963">
      <c r="A963" t="n">
        <v>1000961</v>
      </c>
      <c r="B963" t="n">
        <v>1</v>
      </c>
      <c r="C963" t="n">
        <v>961</v>
      </c>
      <c r="D963" t="n">
        <v>-0.0502</v>
      </c>
      <c r="E963" t="n">
        <v>13.5815</v>
      </c>
      <c r="F963" t="n">
        <v>0.11872</v>
      </c>
    </row>
    <row r="964">
      <c r="A964" t="n">
        <v>1000962</v>
      </c>
      <c r="B964" t="n">
        <v>1</v>
      </c>
      <c r="C964" t="n">
        <v>962</v>
      </c>
      <c r="D964" t="n">
        <v>-0.0503</v>
      </c>
      <c r="E964" t="n">
        <v>13.5873</v>
      </c>
      <c r="F964" t="n">
        <v>0.11874</v>
      </c>
    </row>
    <row r="965">
      <c r="A965" t="n">
        <v>1000963</v>
      </c>
      <c r="B965" t="n">
        <v>1</v>
      </c>
      <c r="C965" t="n">
        <v>963</v>
      </c>
      <c r="D965" t="n">
        <v>-0.0505</v>
      </c>
      <c r="E965" t="n">
        <v>13.5931</v>
      </c>
      <c r="F965" t="n">
        <v>0.11876</v>
      </c>
    </row>
    <row r="966">
      <c r="A966" t="n">
        <v>1000964</v>
      </c>
      <c r="B966" t="n">
        <v>1</v>
      </c>
      <c r="C966" t="n">
        <v>964</v>
      </c>
      <c r="D966" t="n">
        <v>-0.0506</v>
      </c>
      <c r="E966" t="n">
        <v>13.5989</v>
      </c>
      <c r="F966" t="n">
        <v>0.11877</v>
      </c>
    </row>
    <row r="967">
      <c r="A967" t="n">
        <v>1000965</v>
      </c>
      <c r="B967" t="n">
        <v>1</v>
      </c>
      <c r="C967" t="n">
        <v>965</v>
      </c>
      <c r="D967" t="n">
        <v>-0.0507</v>
      </c>
      <c r="E967" t="n">
        <v>13.6047</v>
      </c>
      <c r="F967" t="n">
        <v>0.11879</v>
      </c>
    </row>
    <row r="968">
      <c r="A968" t="n">
        <v>1000966</v>
      </c>
      <c r="B968" t="n">
        <v>1</v>
      </c>
      <c r="C968" t="n">
        <v>966</v>
      </c>
      <c r="D968" t="n">
        <v>-0.0509</v>
      </c>
      <c r="E968" t="n">
        <v>13.6105</v>
      </c>
      <c r="F968" t="n">
        <v>0.11881</v>
      </c>
    </row>
    <row r="969">
      <c r="A969" t="n">
        <v>1000967</v>
      </c>
      <c r="B969" t="n">
        <v>1</v>
      </c>
      <c r="C969" t="n">
        <v>967</v>
      </c>
      <c r="D969" t="n">
        <v>-0.051</v>
      </c>
      <c r="E969" t="n">
        <v>13.6163</v>
      </c>
      <c r="F969" t="n">
        <v>0.11883</v>
      </c>
    </row>
    <row r="970">
      <c r="A970" t="n">
        <v>1000968</v>
      </c>
      <c r="B970" t="n">
        <v>1</v>
      </c>
      <c r="C970" t="n">
        <v>968</v>
      </c>
      <c r="D970" t="n">
        <v>-0.0512</v>
      </c>
      <c r="E970" t="n">
        <v>13.622</v>
      </c>
      <c r="F970" t="n">
        <v>0.11885</v>
      </c>
    </row>
    <row r="971">
      <c r="A971" t="n">
        <v>1000969</v>
      </c>
      <c r="B971" t="n">
        <v>1</v>
      </c>
      <c r="C971" t="n">
        <v>969</v>
      </c>
      <c r="D971" t="n">
        <v>-0.0513</v>
      </c>
      <c r="E971" t="n">
        <v>13.6278</v>
      </c>
      <c r="F971" t="n">
        <v>0.11887</v>
      </c>
    </row>
    <row r="972">
      <c r="A972" t="n">
        <v>1000970</v>
      </c>
      <c r="B972" t="n">
        <v>1</v>
      </c>
      <c r="C972" t="n">
        <v>970</v>
      </c>
      <c r="D972" t="n">
        <v>-0.0515</v>
      </c>
      <c r="E972" t="n">
        <v>13.6336</v>
      </c>
      <c r="F972" t="n">
        <v>0.11889</v>
      </c>
    </row>
    <row r="973">
      <c r="A973" t="n">
        <v>1000971</v>
      </c>
      <c r="B973" t="n">
        <v>1</v>
      </c>
      <c r="C973" t="n">
        <v>971</v>
      </c>
      <c r="D973" t="n">
        <v>-0.0516</v>
      </c>
      <c r="E973" t="n">
        <v>13.6394</v>
      </c>
      <c r="F973" t="n">
        <v>0.11891</v>
      </c>
    </row>
    <row r="974">
      <c r="A974" t="n">
        <v>1000972</v>
      </c>
      <c r="B974" t="n">
        <v>1</v>
      </c>
      <c r="C974" t="n">
        <v>972</v>
      </c>
      <c r="D974" t="n">
        <v>-0.0518</v>
      </c>
      <c r="E974" t="n">
        <v>13.6452</v>
      </c>
      <c r="F974" t="n">
        <v>0.11892</v>
      </c>
    </row>
    <row r="975">
      <c r="A975" t="n">
        <v>1000973</v>
      </c>
      <c r="B975" t="n">
        <v>1</v>
      </c>
      <c r="C975" t="n">
        <v>973</v>
      </c>
      <c r="D975" t="n">
        <v>-0.0519</v>
      </c>
      <c r="E975" t="n">
        <v>13.6509</v>
      </c>
      <c r="F975" t="n">
        <v>0.11894</v>
      </c>
    </row>
    <row r="976">
      <c r="A976" t="n">
        <v>1000974</v>
      </c>
      <c r="B976" t="n">
        <v>1</v>
      </c>
      <c r="C976" t="n">
        <v>974</v>
      </c>
      <c r="D976" t="n">
        <v>-0.052</v>
      </c>
      <c r="E976" t="n">
        <v>13.6567</v>
      </c>
      <c r="F976" t="n">
        <v>0.11896</v>
      </c>
    </row>
    <row r="977">
      <c r="A977" t="n">
        <v>1000975</v>
      </c>
      <c r="B977" t="n">
        <v>1</v>
      </c>
      <c r="C977" t="n">
        <v>975</v>
      </c>
      <c r="D977" t="n">
        <v>-0.0522</v>
      </c>
      <c r="E977" t="n">
        <v>13.6625</v>
      </c>
      <c r="F977" t="n">
        <v>0.11898</v>
      </c>
    </row>
    <row r="978">
      <c r="A978" t="n">
        <v>1000976</v>
      </c>
      <c r="B978" t="n">
        <v>1</v>
      </c>
      <c r="C978" t="n">
        <v>976</v>
      </c>
      <c r="D978" t="n">
        <v>-0.0523</v>
      </c>
      <c r="E978" t="n">
        <v>13.6682</v>
      </c>
      <c r="F978" t="n">
        <v>0.119</v>
      </c>
    </row>
    <row r="979">
      <c r="A979" t="n">
        <v>1000977</v>
      </c>
      <c r="B979" t="n">
        <v>1</v>
      </c>
      <c r="C979" t="n">
        <v>977</v>
      </c>
      <c r="D979" t="n">
        <v>-0.0525</v>
      </c>
      <c r="E979" t="n">
        <v>13.674</v>
      </c>
      <c r="F979" t="n">
        <v>0.11902</v>
      </c>
    </row>
    <row r="980">
      <c r="A980" t="n">
        <v>1000978</v>
      </c>
      <c r="B980" t="n">
        <v>1</v>
      </c>
      <c r="C980" t="n">
        <v>978</v>
      </c>
      <c r="D980" t="n">
        <v>-0.0526</v>
      </c>
      <c r="E980" t="n">
        <v>13.6797</v>
      </c>
      <c r="F980" t="n">
        <v>0.11904</v>
      </c>
    </row>
    <row r="981">
      <c r="A981" t="n">
        <v>1000979</v>
      </c>
      <c r="B981" t="n">
        <v>1</v>
      </c>
      <c r="C981" t="n">
        <v>979</v>
      </c>
      <c r="D981" t="n">
        <v>-0.0528</v>
      </c>
      <c r="E981" t="n">
        <v>13.6855</v>
      </c>
      <c r="F981" t="n">
        <v>0.11906</v>
      </c>
    </row>
    <row r="982">
      <c r="A982" t="n">
        <v>1000980</v>
      </c>
      <c r="B982" t="n">
        <v>1</v>
      </c>
      <c r="C982" t="n">
        <v>980</v>
      </c>
      <c r="D982" t="n">
        <v>-0.0529</v>
      </c>
      <c r="E982" t="n">
        <v>13.6912</v>
      </c>
      <c r="F982" t="n">
        <v>0.11907</v>
      </c>
    </row>
    <row r="983">
      <c r="A983" t="n">
        <v>1000981</v>
      </c>
      <c r="B983" t="n">
        <v>1</v>
      </c>
      <c r="C983" t="n">
        <v>981</v>
      </c>
      <c r="D983" t="n">
        <v>-0.053</v>
      </c>
      <c r="E983" t="n">
        <v>13.697</v>
      </c>
      <c r="F983" t="n">
        <v>0.11909</v>
      </c>
    </row>
    <row r="984">
      <c r="A984" t="n">
        <v>1000982</v>
      </c>
      <c r="B984" t="n">
        <v>1</v>
      </c>
      <c r="C984" t="n">
        <v>982</v>
      </c>
      <c r="D984" t="n">
        <v>-0.0532</v>
      </c>
      <c r="E984" t="n">
        <v>13.7027</v>
      </c>
      <c r="F984" t="n">
        <v>0.11911</v>
      </c>
    </row>
    <row r="985">
      <c r="A985" t="n">
        <v>1000983</v>
      </c>
      <c r="B985" t="n">
        <v>1</v>
      </c>
      <c r="C985" t="n">
        <v>983</v>
      </c>
      <c r="D985" t="n">
        <v>-0.0533</v>
      </c>
      <c r="E985" t="n">
        <v>13.7085</v>
      </c>
      <c r="F985" t="n">
        <v>0.11913</v>
      </c>
    </row>
    <row r="986">
      <c r="A986" t="n">
        <v>1000984</v>
      </c>
      <c r="B986" t="n">
        <v>1</v>
      </c>
      <c r="C986" t="n">
        <v>984</v>
      </c>
      <c r="D986" t="n">
        <v>-0.0535</v>
      </c>
      <c r="E986" t="n">
        <v>13.7142</v>
      </c>
      <c r="F986" t="n">
        <v>0.11915</v>
      </c>
    </row>
    <row r="987">
      <c r="A987" t="n">
        <v>1000985</v>
      </c>
      <c r="B987" t="n">
        <v>1</v>
      </c>
      <c r="C987" t="n">
        <v>985</v>
      </c>
      <c r="D987" t="n">
        <v>-0.0536</v>
      </c>
      <c r="E987" t="n">
        <v>13.7199</v>
      </c>
      <c r="F987" t="n">
        <v>0.11917</v>
      </c>
    </row>
    <row r="988">
      <c r="A988" t="n">
        <v>1000986</v>
      </c>
      <c r="B988" t="n">
        <v>1</v>
      </c>
      <c r="C988" t="n">
        <v>986</v>
      </c>
      <c r="D988" t="n">
        <v>-0.0538</v>
      </c>
      <c r="E988" t="n">
        <v>13.7257</v>
      </c>
      <c r="F988" t="n">
        <v>0.11919</v>
      </c>
    </row>
    <row r="989">
      <c r="A989" t="n">
        <v>1000987</v>
      </c>
      <c r="B989" t="n">
        <v>1</v>
      </c>
      <c r="C989" t="n">
        <v>987</v>
      </c>
      <c r="D989" t="n">
        <v>-0.0539</v>
      </c>
      <c r="E989" t="n">
        <v>13.7314</v>
      </c>
      <c r="F989" t="n">
        <v>0.1192</v>
      </c>
    </row>
    <row r="990">
      <c r="A990" t="n">
        <v>1000988</v>
      </c>
      <c r="B990" t="n">
        <v>1</v>
      </c>
      <c r="C990" t="n">
        <v>988</v>
      </c>
      <c r="D990" t="n">
        <v>-0.054</v>
      </c>
      <c r="E990" t="n">
        <v>13.7371</v>
      </c>
      <c r="F990" t="n">
        <v>0.11922</v>
      </c>
    </row>
    <row r="991">
      <c r="A991" t="n">
        <v>1000989</v>
      </c>
      <c r="B991" t="n">
        <v>1</v>
      </c>
      <c r="C991" t="n">
        <v>989</v>
      </c>
      <c r="D991" t="n">
        <v>-0.0542</v>
      </c>
      <c r="E991" t="n">
        <v>13.7429</v>
      </c>
      <c r="F991" t="n">
        <v>0.11924</v>
      </c>
    </row>
    <row r="992">
      <c r="A992" t="n">
        <v>1000990</v>
      </c>
      <c r="B992" t="n">
        <v>1</v>
      </c>
      <c r="C992" t="n">
        <v>990</v>
      </c>
      <c r="D992" t="n">
        <v>-0.0543</v>
      </c>
      <c r="E992" t="n">
        <v>13.7486</v>
      </c>
      <c r="F992" t="n">
        <v>0.11926</v>
      </c>
    </row>
    <row r="993">
      <c r="A993" t="n">
        <v>1000991</v>
      </c>
      <c r="B993" t="n">
        <v>1</v>
      </c>
      <c r="C993" t="n">
        <v>991</v>
      </c>
      <c r="D993" t="n">
        <v>-0.0545</v>
      </c>
      <c r="E993" t="n">
        <v>13.7543</v>
      </c>
      <c r="F993" t="n">
        <v>0.11928</v>
      </c>
    </row>
    <row r="994">
      <c r="A994" t="n">
        <v>1000992</v>
      </c>
      <c r="B994" t="n">
        <v>1</v>
      </c>
      <c r="C994" t="n">
        <v>992</v>
      </c>
      <c r="D994" t="n">
        <v>-0.0546</v>
      </c>
      <c r="E994" t="n">
        <v>13.76</v>
      </c>
      <c r="F994" t="n">
        <v>0.1193</v>
      </c>
    </row>
    <row r="995">
      <c r="A995" t="n">
        <v>1000993</v>
      </c>
      <c r="B995" t="n">
        <v>1</v>
      </c>
      <c r="C995" t="n">
        <v>993</v>
      </c>
      <c r="D995" t="n">
        <v>-0.0548</v>
      </c>
      <c r="E995" t="n">
        <v>13.7657</v>
      </c>
      <c r="F995" t="n">
        <v>0.11932</v>
      </c>
    </row>
    <row r="996">
      <c r="A996" t="n">
        <v>1000994</v>
      </c>
      <c r="B996" t="n">
        <v>1</v>
      </c>
      <c r="C996" t="n">
        <v>994</v>
      </c>
      <c r="D996" t="n">
        <v>-0.0549</v>
      </c>
      <c r="E996" t="n">
        <v>13.7715</v>
      </c>
      <c r="F996" t="n">
        <v>0.11933</v>
      </c>
    </row>
    <row r="997">
      <c r="A997" t="n">
        <v>1000995</v>
      </c>
      <c r="B997" t="n">
        <v>1</v>
      </c>
      <c r="C997" t="n">
        <v>995</v>
      </c>
      <c r="D997" t="n">
        <v>-0.055</v>
      </c>
      <c r="E997" t="n">
        <v>13.7772</v>
      </c>
      <c r="F997" t="n">
        <v>0.11935</v>
      </c>
    </row>
    <row r="998">
      <c r="A998" t="n">
        <v>1000996</v>
      </c>
      <c r="B998" t="n">
        <v>1</v>
      </c>
      <c r="C998" t="n">
        <v>996</v>
      </c>
      <c r="D998" t="n">
        <v>-0.0552</v>
      </c>
      <c r="E998" t="n">
        <v>13.7829</v>
      </c>
      <c r="F998" t="n">
        <v>0.11937</v>
      </c>
    </row>
    <row r="999">
      <c r="A999" t="n">
        <v>1000997</v>
      </c>
      <c r="B999" t="n">
        <v>1</v>
      </c>
      <c r="C999" t="n">
        <v>997</v>
      </c>
      <c r="D999" t="n">
        <v>-0.0553</v>
      </c>
      <c r="E999" t="n">
        <v>13.7886</v>
      </c>
      <c r="F999" t="n">
        <v>0.11939</v>
      </c>
    </row>
    <row r="1000">
      <c r="A1000" t="n">
        <v>1000998</v>
      </c>
      <c r="B1000" t="n">
        <v>1</v>
      </c>
      <c r="C1000" t="n">
        <v>998</v>
      </c>
      <c r="D1000" t="n">
        <v>-0.0555</v>
      </c>
      <c r="E1000" t="n">
        <v>13.7943</v>
      </c>
      <c r="F1000" t="n">
        <v>0.11941</v>
      </c>
    </row>
    <row r="1001">
      <c r="A1001" t="n">
        <v>1000999</v>
      </c>
      <c r="B1001" t="n">
        <v>1</v>
      </c>
      <c r="C1001" t="n">
        <v>999</v>
      </c>
      <c r="D1001" t="n">
        <v>-0.0556</v>
      </c>
      <c r="E1001" t="n">
        <v>13.8</v>
      </c>
      <c r="F1001" t="n">
        <v>0.11943</v>
      </c>
    </row>
    <row r="1002">
      <c r="A1002" t="n">
        <v>1001000</v>
      </c>
      <c r="B1002" t="n">
        <v>1</v>
      </c>
      <c r="C1002" t="n">
        <v>1000</v>
      </c>
      <c r="D1002" t="n">
        <v>-0.0558</v>
      </c>
      <c r="E1002" t="n">
        <v>13.8057</v>
      </c>
      <c r="F1002" t="n">
        <v>0.11945</v>
      </c>
    </row>
    <row r="1003">
      <c r="A1003" t="n">
        <v>1001001</v>
      </c>
      <c r="B1003" t="n">
        <v>1</v>
      </c>
      <c r="C1003" t="n">
        <v>1001</v>
      </c>
      <c r="D1003" t="n">
        <v>-0.0559</v>
      </c>
      <c r="E1003" t="n">
        <v>13.8114</v>
      </c>
      <c r="F1003" t="n">
        <v>0.11946</v>
      </c>
    </row>
    <row r="1004">
      <c r="A1004" t="n">
        <v>1001002</v>
      </c>
      <c r="B1004" t="n">
        <v>1</v>
      </c>
      <c r="C1004" t="n">
        <v>1002</v>
      </c>
      <c r="D1004" t="n">
        <v>-0.056</v>
      </c>
      <c r="E1004" t="n">
        <v>13.8171</v>
      </c>
      <c r="F1004" t="n">
        <v>0.11948</v>
      </c>
    </row>
    <row r="1005">
      <c r="A1005" t="n">
        <v>1001003</v>
      </c>
      <c r="B1005" t="n">
        <v>1</v>
      </c>
      <c r="C1005" t="n">
        <v>1003</v>
      </c>
      <c r="D1005" t="n">
        <v>-0.0562</v>
      </c>
      <c r="E1005" t="n">
        <v>13.8228</v>
      </c>
      <c r="F1005" t="n">
        <v>0.1195</v>
      </c>
    </row>
    <row r="1006">
      <c r="A1006" t="n">
        <v>1001004</v>
      </c>
      <c r="B1006" t="n">
        <v>1</v>
      </c>
      <c r="C1006" t="n">
        <v>1004</v>
      </c>
      <c r="D1006" t="n">
        <v>-0.0563</v>
      </c>
      <c r="E1006" t="n">
        <v>13.8285</v>
      </c>
      <c r="F1006" t="n">
        <v>0.11952</v>
      </c>
    </row>
    <row r="1007">
      <c r="A1007" t="n">
        <v>1001005</v>
      </c>
      <c r="B1007" t="n">
        <v>1</v>
      </c>
      <c r="C1007" t="n">
        <v>1005</v>
      </c>
      <c r="D1007" t="n">
        <v>-0.0565</v>
      </c>
      <c r="E1007" t="n">
        <v>13.8341</v>
      </c>
      <c r="F1007" t="n">
        <v>0.11954</v>
      </c>
    </row>
    <row r="1008">
      <c r="A1008" t="n">
        <v>1001006</v>
      </c>
      <c r="B1008" t="n">
        <v>1</v>
      </c>
      <c r="C1008" t="n">
        <v>1006</v>
      </c>
      <c r="D1008" t="n">
        <v>-0.0566</v>
      </c>
      <c r="E1008" t="n">
        <v>13.8398</v>
      </c>
      <c r="F1008" t="n">
        <v>0.11956</v>
      </c>
    </row>
    <row r="1009">
      <c r="A1009" t="n">
        <v>1001007</v>
      </c>
      <c r="B1009" t="n">
        <v>1</v>
      </c>
      <c r="C1009" t="n">
        <v>1007</v>
      </c>
      <c r="D1009" t="n">
        <v>-0.0567</v>
      </c>
      <c r="E1009" t="n">
        <v>13.8455</v>
      </c>
      <c r="F1009" t="n">
        <v>0.11957</v>
      </c>
    </row>
    <row r="1010">
      <c r="A1010" t="n">
        <v>1001008</v>
      </c>
      <c r="B1010" t="n">
        <v>1</v>
      </c>
      <c r="C1010" t="n">
        <v>1008</v>
      </c>
      <c r="D1010" t="n">
        <v>-0.0569</v>
      </c>
      <c r="E1010" t="n">
        <v>13.8512</v>
      </c>
      <c r="F1010" t="n">
        <v>0.11959</v>
      </c>
    </row>
    <row r="1011">
      <c r="A1011" t="n">
        <v>1001009</v>
      </c>
      <c r="B1011" t="n">
        <v>1</v>
      </c>
      <c r="C1011" t="n">
        <v>1009</v>
      </c>
      <c r="D1011" t="n">
        <v>-0.057</v>
      </c>
      <c r="E1011" t="n">
        <v>13.8569</v>
      </c>
      <c r="F1011" t="n">
        <v>0.11961</v>
      </c>
    </row>
    <row r="1012">
      <c r="A1012" t="n">
        <v>1001010</v>
      </c>
      <c r="B1012" t="n">
        <v>1</v>
      </c>
      <c r="C1012" t="n">
        <v>1010</v>
      </c>
      <c r="D1012" t="n">
        <v>-0.0572</v>
      </c>
      <c r="E1012" t="n">
        <v>13.8625</v>
      </c>
      <c r="F1012" t="n">
        <v>0.11963</v>
      </c>
    </row>
    <row r="1013">
      <c r="A1013" t="n">
        <v>1001011</v>
      </c>
      <c r="B1013" t="n">
        <v>1</v>
      </c>
      <c r="C1013" t="n">
        <v>1011</v>
      </c>
      <c r="D1013" t="n">
        <v>-0.0573</v>
      </c>
      <c r="E1013" t="n">
        <v>13.8682</v>
      </c>
      <c r="F1013" t="n">
        <v>0.11965</v>
      </c>
    </row>
    <row r="1014">
      <c r="A1014" t="n">
        <v>1001012</v>
      </c>
      <c r="B1014" t="n">
        <v>1</v>
      </c>
      <c r="C1014" t="n">
        <v>1012</v>
      </c>
      <c r="D1014" t="n">
        <v>-0.0574</v>
      </c>
      <c r="E1014" t="n">
        <v>13.8739</v>
      </c>
      <c r="F1014" t="n">
        <v>0.11967</v>
      </c>
    </row>
    <row r="1015">
      <c r="A1015" t="n">
        <v>1001013</v>
      </c>
      <c r="B1015" t="n">
        <v>1</v>
      </c>
      <c r="C1015" t="n">
        <v>1013</v>
      </c>
      <c r="D1015" t="n">
        <v>-0.0576</v>
      </c>
      <c r="E1015" t="n">
        <v>13.8796</v>
      </c>
      <c r="F1015" t="n">
        <v>0.11968</v>
      </c>
    </row>
    <row r="1016">
      <c r="A1016" t="n">
        <v>1001014</v>
      </c>
      <c r="B1016" t="n">
        <v>1</v>
      </c>
      <c r="C1016" t="n">
        <v>1014</v>
      </c>
      <c r="D1016" t="n">
        <v>-0.0577</v>
      </c>
      <c r="E1016" t="n">
        <v>13.8852</v>
      </c>
      <c r="F1016" t="n">
        <v>0.1197</v>
      </c>
    </row>
    <row r="1017">
      <c r="A1017" t="n">
        <v>1001015</v>
      </c>
      <c r="B1017" t="n">
        <v>1</v>
      </c>
      <c r="C1017" t="n">
        <v>1015</v>
      </c>
      <c r="D1017" t="n">
        <v>-0.0579</v>
      </c>
      <c r="E1017" t="n">
        <v>13.8909</v>
      </c>
      <c r="F1017" t="n">
        <v>0.11972</v>
      </c>
    </row>
    <row r="1018">
      <c r="A1018" t="n">
        <v>1001016</v>
      </c>
      <c r="B1018" t="n">
        <v>1</v>
      </c>
      <c r="C1018" t="n">
        <v>1016</v>
      </c>
      <c r="D1018" t="n">
        <v>-0.058</v>
      </c>
      <c r="E1018" t="n">
        <v>13.8966</v>
      </c>
      <c r="F1018" t="n">
        <v>0.11974</v>
      </c>
    </row>
    <row r="1019">
      <c r="A1019" t="n">
        <v>1001017</v>
      </c>
      <c r="B1019" t="n">
        <v>1</v>
      </c>
      <c r="C1019" t="n">
        <v>1017</v>
      </c>
      <c r="D1019" t="n">
        <v>-0.0581</v>
      </c>
      <c r="E1019" t="n">
        <v>13.9022</v>
      </c>
      <c r="F1019" t="n">
        <v>0.11976</v>
      </c>
    </row>
    <row r="1020">
      <c r="A1020" t="n">
        <v>1001018</v>
      </c>
      <c r="B1020" t="n">
        <v>1</v>
      </c>
      <c r="C1020" t="n">
        <v>1018</v>
      </c>
      <c r="D1020" t="n">
        <v>-0.0583</v>
      </c>
      <c r="E1020" t="n">
        <v>13.9079</v>
      </c>
      <c r="F1020" t="n">
        <v>0.11978</v>
      </c>
    </row>
    <row r="1021">
      <c r="A1021" t="n">
        <v>1001019</v>
      </c>
      <c r="B1021" t="n">
        <v>1</v>
      </c>
      <c r="C1021" t="n">
        <v>1019</v>
      </c>
      <c r="D1021" t="n">
        <v>-0.0584</v>
      </c>
      <c r="E1021" t="n">
        <v>13.9135</v>
      </c>
      <c r="F1021" t="n">
        <v>0.11979</v>
      </c>
    </row>
    <row r="1022">
      <c r="A1022" t="n">
        <v>1001020</v>
      </c>
      <c r="B1022" t="n">
        <v>1</v>
      </c>
      <c r="C1022" t="n">
        <v>1020</v>
      </c>
      <c r="D1022" t="n">
        <v>-0.0586</v>
      </c>
      <c r="E1022" t="n">
        <v>13.9192</v>
      </c>
      <c r="F1022" t="n">
        <v>0.11981</v>
      </c>
    </row>
    <row r="1023">
      <c r="A1023" t="n">
        <v>1001021</v>
      </c>
      <c r="B1023" t="n">
        <v>1</v>
      </c>
      <c r="C1023" t="n">
        <v>1021</v>
      </c>
      <c r="D1023" t="n">
        <v>-0.0587</v>
      </c>
      <c r="E1023" t="n">
        <v>13.9248</v>
      </c>
      <c r="F1023" t="n">
        <v>0.11983</v>
      </c>
    </row>
    <row r="1024">
      <c r="A1024" t="n">
        <v>1001022</v>
      </c>
      <c r="B1024" t="n">
        <v>1</v>
      </c>
      <c r="C1024" t="n">
        <v>1022</v>
      </c>
      <c r="D1024" t="n">
        <v>-0.0588</v>
      </c>
      <c r="E1024" t="n">
        <v>13.9305</v>
      </c>
      <c r="F1024" t="n">
        <v>0.11985</v>
      </c>
    </row>
    <row r="1025">
      <c r="A1025" t="n">
        <v>1001023</v>
      </c>
      <c r="B1025" t="n">
        <v>1</v>
      </c>
      <c r="C1025" t="n">
        <v>1023</v>
      </c>
      <c r="D1025" t="n">
        <v>-0.059</v>
      </c>
      <c r="E1025" t="n">
        <v>13.9361</v>
      </c>
      <c r="F1025" t="n">
        <v>0.11987</v>
      </c>
    </row>
    <row r="1026">
      <c r="A1026" t="n">
        <v>1001024</v>
      </c>
      <c r="B1026" t="n">
        <v>1</v>
      </c>
      <c r="C1026" t="n">
        <v>1024</v>
      </c>
      <c r="D1026" t="n">
        <v>-0.0591</v>
      </c>
      <c r="E1026" t="n">
        <v>13.9418</v>
      </c>
      <c r="F1026" t="n">
        <v>0.11988</v>
      </c>
    </row>
    <row r="1027">
      <c r="A1027" t="n">
        <v>1001025</v>
      </c>
      <c r="B1027" t="n">
        <v>1</v>
      </c>
      <c r="C1027" t="n">
        <v>1025</v>
      </c>
      <c r="D1027" t="n">
        <v>-0.0593</v>
      </c>
      <c r="E1027" t="n">
        <v>13.9474</v>
      </c>
      <c r="F1027" t="n">
        <v>0.1199</v>
      </c>
    </row>
    <row r="1028">
      <c r="A1028" t="n">
        <v>1001026</v>
      </c>
      <c r="B1028" t="n">
        <v>1</v>
      </c>
      <c r="C1028" t="n">
        <v>1026</v>
      </c>
      <c r="D1028" t="n">
        <v>-0.0594</v>
      </c>
      <c r="E1028" t="n">
        <v>13.9531</v>
      </c>
      <c r="F1028" t="n">
        <v>0.11992</v>
      </c>
    </row>
    <row r="1029">
      <c r="A1029" t="n">
        <v>1001027</v>
      </c>
      <c r="B1029" t="n">
        <v>1</v>
      </c>
      <c r="C1029" t="n">
        <v>1027</v>
      </c>
      <c r="D1029" t="n">
        <v>-0.0595</v>
      </c>
      <c r="E1029" t="n">
        <v>13.9587</v>
      </c>
      <c r="F1029" t="n">
        <v>0.11994</v>
      </c>
    </row>
    <row r="1030">
      <c r="A1030" t="n">
        <v>1001028</v>
      </c>
      <c r="B1030" t="n">
        <v>1</v>
      </c>
      <c r="C1030" t="n">
        <v>1028</v>
      </c>
      <c r="D1030" t="n">
        <v>-0.0597</v>
      </c>
      <c r="E1030" t="n">
        <v>13.9644</v>
      </c>
      <c r="F1030" t="n">
        <v>0.11996</v>
      </c>
    </row>
    <row r="1031">
      <c r="A1031" t="n">
        <v>1001029</v>
      </c>
      <c r="B1031" t="n">
        <v>1</v>
      </c>
      <c r="C1031" t="n">
        <v>1029</v>
      </c>
      <c r="D1031" t="n">
        <v>-0.0598</v>
      </c>
      <c r="E1031" t="n">
        <v>13.97</v>
      </c>
      <c r="F1031" t="n">
        <v>0.11998</v>
      </c>
    </row>
    <row r="1032">
      <c r="A1032" t="n">
        <v>1001030</v>
      </c>
      <c r="B1032" t="n">
        <v>1</v>
      </c>
      <c r="C1032" t="n">
        <v>1030</v>
      </c>
      <c r="D1032" t="n">
        <v>-0.06</v>
      </c>
      <c r="E1032" t="n">
        <v>13.9756</v>
      </c>
      <c r="F1032" t="n">
        <v>0.11999</v>
      </c>
    </row>
    <row r="1033">
      <c r="A1033" t="n">
        <v>1001031</v>
      </c>
      <c r="B1033" t="n">
        <v>1</v>
      </c>
      <c r="C1033" t="n">
        <v>1031</v>
      </c>
      <c r="D1033" t="n">
        <v>-0.0601</v>
      </c>
      <c r="E1033" t="n">
        <v>13.9813</v>
      </c>
      <c r="F1033" t="n">
        <v>0.12001</v>
      </c>
    </row>
    <row r="1034">
      <c r="A1034" t="n">
        <v>1001032</v>
      </c>
      <c r="B1034" t="n">
        <v>1</v>
      </c>
      <c r="C1034" t="n">
        <v>1032</v>
      </c>
      <c r="D1034" t="n">
        <v>-0.0602</v>
      </c>
      <c r="E1034" t="n">
        <v>13.9869</v>
      </c>
      <c r="F1034" t="n">
        <v>0.12003</v>
      </c>
    </row>
    <row r="1035">
      <c r="A1035" t="n">
        <v>1001033</v>
      </c>
      <c r="B1035" t="n">
        <v>1</v>
      </c>
      <c r="C1035" t="n">
        <v>1033</v>
      </c>
      <c r="D1035" t="n">
        <v>-0.0604</v>
      </c>
      <c r="E1035" t="n">
        <v>13.9925</v>
      </c>
      <c r="F1035" t="n">
        <v>0.12005</v>
      </c>
    </row>
    <row r="1036">
      <c r="A1036" t="n">
        <v>1001034</v>
      </c>
      <c r="B1036" t="n">
        <v>1</v>
      </c>
      <c r="C1036" t="n">
        <v>1034</v>
      </c>
      <c r="D1036" t="n">
        <v>-0.0605</v>
      </c>
      <c r="E1036" t="n">
        <v>13.9982</v>
      </c>
      <c r="F1036" t="n">
        <v>0.12007</v>
      </c>
    </row>
    <row r="1037">
      <c r="A1037" t="n">
        <v>1001035</v>
      </c>
      <c r="B1037" t="n">
        <v>1</v>
      </c>
      <c r="C1037" t="n">
        <v>1035</v>
      </c>
      <c r="D1037" t="n">
        <v>-0.0607</v>
      </c>
      <c r="E1037" t="n">
        <v>14.0038</v>
      </c>
      <c r="F1037" t="n">
        <v>0.12008</v>
      </c>
    </row>
    <row r="1038">
      <c r="A1038" t="n">
        <v>1001036</v>
      </c>
      <c r="B1038" t="n">
        <v>1</v>
      </c>
      <c r="C1038" t="n">
        <v>1036</v>
      </c>
      <c r="D1038" t="n">
        <v>-0.0608</v>
      </c>
      <c r="E1038" t="n">
        <v>14.0094</v>
      </c>
      <c r="F1038" t="n">
        <v>0.1201</v>
      </c>
    </row>
    <row r="1039">
      <c r="A1039" t="n">
        <v>1001037</v>
      </c>
      <c r="B1039" t="n">
        <v>1</v>
      </c>
      <c r="C1039" t="n">
        <v>1037</v>
      </c>
      <c r="D1039" t="n">
        <v>-0.0609</v>
      </c>
      <c r="E1039" t="n">
        <v>14.015</v>
      </c>
      <c r="F1039" t="n">
        <v>0.12012</v>
      </c>
    </row>
    <row r="1040">
      <c r="A1040" t="n">
        <v>1001038</v>
      </c>
      <c r="B1040" t="n">
        <v>1</v>
      </c>
      <c r="C1040" t="n">
        <v>1038</v>
      </c>
      <c r="D1040" t="n">
        <v>-0.0611</v>
      </c>
      <c r="E1040" t="n">
        <v>14.0207</v>
      </c>
      <c r="F1040" t="n">
        <v>0.12014</v>
      </c>
    </row>
    <row r="1041">
      <c r="A1041" t="n">
        <v>1001039</v>
      </c>
      <c r="B1041" t="n">
        <v>1</v>
      </c>
      <c r="C1041" t="n">
        <v>1039</v>
      </c>
      <c r="D1041" t="n">
        <v>-0.0612</v>
      </c>
      <c r="E1041" t="n">
        <v>14.0263</v>
      </c>
      <c r="F1041" t="n">
        <v>0.12016</v>
      </c>
    </row>
    <row r="1042">
      <c r="A1042" t="n">
        <v>1001040</v>
      </c>
      <c r="B1042" t="n">
        <v>1</v>
      </c>
      <c r="C1042" t="n">
        <v>1040</v>
      </c>
      <c r="D1042" t="n">
        <v>-0.0613</v>
      </c>
      <c r="E1042" t="n">
        <v>14.0319</v>
      </c>
      <c r="F1042" t="n">
        <v>0.12017</v>
      </c>
    </row>
    <row r="1043">
      <c r="A1043" t="n">
        <v>1001041</v>
      </c>
      <c r="B1043" t="n">
        <v>1</v>
      </c>
      <c r="C1043" t="n">
        <v>1041</v>
      </c>
      <c r="D1043" t="n">
        <v>-0.0615</v>
      </c>
      <c r="E1043" t="n">
        <v>14.0375</v>
      </c>
      <c r="F1043" t="n">
        <v>0.12019</v>
      </c>
    </row>
    <row r="1044">
      <c r="A1044" t="n">
        <v>1001042</v>
      </c>
      <c r="B1044" t="n">
        <v>1</v>
      </c>
      <c r="C1044" t="n">
        <v>1042</v>
      </c>
      <c r="D1044" t="n">
        <v>-0.0616</v>
      </c>
      <c r="E1044" t="n">
        <v>14.0431</v>
      </c>
      <c r="F1044" t="n">
        <v>0.12021</v>
      </c>
    </row>
    <row r="1045">
      <c r="A1045" t="n">
        <v>1001043</v>
      </c>
      <c r="B1045" t="n">
        <v>1</v>
      </c>
      <c r="C1045" t="n">
        <v>1043</v>
      </c>
      <c r="D1045" t="n">
        <v>-0.0618</v>
      </c>
      <c r="E1045" t="n">
        <v>14.0488</v>
      </c>
      <c r="F1045" t="n">
        <v>0.12023</v>
      </c>
    </row>
    <row r="1046">
      <c r="A1046" t="n">
        <v>1001044</v>
      </c>
      <c r="B1046" t="n">
        <v>1</v>
      </c>
      <c r="C1046" t="n">
        <v>1044</v>
      </c>
      <c r="D1046" t="n">
        <v>-0.0619</v>
      </c>
      <c r="E1046" t="n">
        <v>14.0544</v>
      </c>
      <c r="F1046" t="n">
        <v>0.12025</v>
      </c>
    </row>
    <row r="1047">
      <c r="A1047" t="n">
        <v>1001045</v>
      </c>
      <c r="B1047" t="n">
        <v>1</v>
      </c>
      <c r="C1047" t="n">
        <v>1045</v>
      </c>
      <c r="D1047" t="n">
        <v>-0.062</v>
      </c>
      <c r="E1047" t="n">
        <v>14.06</v>
      </c>
      <c r="F1047" t="n">
        <v>0.12026</v>
      </c>
    </row>
    <row r="1048">
      <c r="A1048" t="n">
        <v>1001046</v>
      </c>
      <c r="B1048" t="n">
        <v>1</v>
      </c>
      <c r="C1048" t="n">
        <v>1046</v>
      </c>
      <c r="D1048" t="n">
        <v>-0.0622</v>
      </c>
      <c r="E1048" t="n">
        <v>14.0656</v>
      </c>
      <c r="F1048" t="n">
        <v>0.12028</v>
      </c>
    </row>
    <row r="1049">
      <c r="A1049" t="n">
        <v>1001047</v>
      </c>
      <c r="B1049" t="n">
        <v>1</v>
      </c>
      <c r="C1049" t="n">
        <v>1047</v>
      </c>
      <c r="D1049" t="n">
        <v>-0.0623</v>
      </c>
      <c r="E1049" t="n">
        <v>14.0712</v>
      </c>
      <c r="F1049" t="n">
        <v>0.1203</v>
      </c>
    </row>
    <row r="1050">
      <c r="A1050" t="n">
        <v>1001048</v>
      </c>
      <c r="B1050" t="n">
        <v>1</v>
      </c>
      <c r="C1050" t="n">
        <v>1048</v>
      </c>
      <c r="D1050" t="n">
        <v>-0.0624</v>
      </c>
      <c r="E1050" t="n">
        <v>14.0768</v>
      </c>
      <c r="F1050" t="n">
        <v>0.12032</v>
      </c>
    </row>
    <row r="1051">
      <c r="A1051" t="n">
        <v>1001049</v>
      </c>
      <c r="B1051" t="n">
        <v>1</v>
      </c>
      <c r="C1051" t="n">
        <v>1049</v>
      </c>
      <c r="D1051" t="n">
        <v>-0.0626</v>
      </c>
      <c r="E1051" t="n">
        <v>14.0824</v>
      </c>
      <c r="F1051" t="n">
        <v>0.12033</v>
      </c>
    </row>
    <row r="1052">
      <c r="A1052" t="n">
        <v>1001050</v>
      </c>
      <c r="B1052" t="n">
        <v>1</v>
      </c>
      <c r="C1052" t="n">
        <v>1050</v>
      </c>
      <c r="D1052" t="n">
        <v>-0.06270000000000001</v>
      </c>
      <c r="E1052" t="n">
        <v>14.088</v>
      </c>
      <c r="F1052" t="n">
        <v>0.12035</v>
      </c>
    </row>
    <row r="1053">
      <c r="A1053" t="n">
        <v>1001051</v>
      </c>
      <c r="B1053" t="n">
        <v>1</v>
      </c>
      <c r="C1053" t="n">
        <v>1051</v>
      </c>
      <c r="D1053" t="n">
        <v>-0.0629</v>
      </c>
      <c r="E1053" t="n">
        <v>14.0936</v>
      </c>
      <c r="F1053" t="n">
        <v>0.12037</v>
      </c>
    </row>
    <row r="1054">
      <c r="A1054" t="n">
        <v>1001052</v>
      </c>
      <c r="B1054" t="n">
        <v>1</v>
      </c>
      <c r="C1054" t="n">
        <v>1052</v>
      </c>
      <c r="D1054" t="n">
        <v>-0.063</v>
      </c>
      <c r="E1054" t="n">
        <v>14.0992</v>
      </c>
      <c r="F1054" t="n">
        <v>0.12039</v>
      </c>
    </row>
    <row r="1055">
      <c r="A1055" t="n">
        <v>1001053</v>
      </c>
      <c r="B1055" t="n">
        <v>1</v>
      </c>
      <c r="C1055" t="n">
        <v>1053</v>
      </c>
      <c r="D1055" t="n">
        <v>-0.0631</v>
      </c>
      <c r="E1055" t="n">
        <v>14.1048</v>
      </c>
      <c r="F1055" t="n">
        <v>0.12041</v>
      </c>
    </row>
    <row r="1056">
      <c r="A1056" t="n">
        <v>1001054</v>
      </c>
      <c r="B1056" t="n">
        <v>1</v>
      </c>
      <c r="C1056" t="n">
        <v>1054</v>
      </c>
      <c r="D1056" t="n">
        <v>-0.0633</v>
      </c>
      <c r="E1056" t="n">
        <v>14.1104</v>
      </c>
      <c r="F1056" t="n">
        <v>0.12042</v>
      </c>
    </row>
    <row r="1057">
      <c r="A1057" t="n">
        <v>1001055</v>
      </c>
      <c r="B1057" t="n">
        <v>1</v>
      </c>
      <c r="C1057" t="n">
        <v>1055</v>
      </c>
      <c r="D1057" t="n">
        <v>-0.0634</v>
      </c>
      <c r="E1057" t="n">
        <v>14.116</v>
      </c>
      <c r="F1057" t="n">
        <v>0.12044</v>
      </c>
    </row>
    <row r="1058">
      <c r="A1058" t="n">
        <v>1001056</v>
      </c>
      <c r="B1058" t="n">
        <v>1</v>
      </c>
      <c r="C1058" t="n">
        <v>1056</v>
      </c>
      <c r="D1058" t="n">
        <v>-0.0635</v>
      </c>
      <c r="E1058" t="n">
        <v>14.1216</v>
      </c>
      <c r="F1058" t="n">
        <v>0.12046</v>
      </c>
    </row>
    <row r="1059">
      <c r="A1059" t="n">
        <v>1001057</v>
      </c>
      <c r="B1059" t="n">
        <v>1</v>
      </c>
      <c r="C1059" t="n">
        <v>1057</v>
      </c>
      <c r="D1059" t="n">
        <v>-0.06370000000000001</v>
      </c>
      <c r="E1059" t="n">
        <v>14.1272</v>
      </c>
      <c r="F1059" t="n">
        <v>0.12048</v>
      </c>
    </row>
    <row r="1060">
      <c r="A1060" t="n">
        <v>1001058</v>
      </c>
      <c r="B1060" t="n">
        <v>1</v>
      </c>
      <c r="C1060" t="n">
        <v>1058</v>
      </c>
      <c r="D1060" t="n">
        <v>-0.0638</v>
      </c>
      <c r="E1060" t="n">
        <v>14.1328</v>
      </c>
      <c r="F1060" t="n">
        <v>0.1205</v>
      </c>
    </row>
    <row r="1061">
      <c r="A1061" t="n">
        <v>1001059</v>
      </c>
      <c r="B1061" t="n">
        <v>1</v>
      </c>
      <c r="C1061" t="n">
        <v>1059</v>
      </c>
      <c r="D1061" t="n">
        <v>-0.0639</v>
      </c>
      <c r="E1061" t="n">
        <v>14.1384</v>
      </c>
      <c r="F1061" t="n">
        <v>0.12051</v>
      </c>
    </row>
    <row r="1062">
      <c r="A1062" t="n">
        <v>1001060</v>
      </c>
      <c r="B1062" t="n">
        <v>1</v>
      </c>
      <c r="C1062" t="n">
        <v>1060</v>
      </c>
      <c r="D1062" t="n">
        <v>-0.0641</v>
      </c>
      <c r="E1062" t="n">
        <v>14.144</v>
      </c>
      <c r="F1062" t="n">
        <v>0.12053</v>
      </c>
    </row>
    <row r="1063">
      <c r="A1063" t="n">
        <v>1001061</v>
      </c>
      <c r="B1063" t="n">
        <v>1</v>
      </c>
      <c r="C1063" t="n">
        <v>1061</v>
      </c>
      <c r="D1063" t="n">
        <v>-0.06419999999999999</v>
      </c>
      <c r="E1063" t="n">
        <v>14.1495</v>
      </c>
      <c r="F1063" t="n">
        <v>0.12055</v>
      </c>
    </row>
    <row r="1064">
      <c r="A1064" t="n">
        <v>1001062</v>
      </c>
      <c r="B1064" t="n">
        <v>1</v>
      </c>
      <c r="C1064" t="n">
        <v>1062</v>
      </c>
      <c r="D1064" t="n">
        <v>-0.0644</v>
      </c>
      <c r="E1064" t="n">
        <v>14.1551</v>
      </c>
      <c r="F1064" t="n">
        <v>0.12057</v>
      </c>
    </row>
    <row r="1065">
      <c r="A1065" t="n">
        <v>1001063</v>
      </c>
      <c r="B1065" t="n">
        <v>1</v>
      </c>
      <c r="C1065" t="n">
        <v>1063</v>
      </c>
      <c r="D1065" t="n">
        <v>-0.0645</v>
      </c>
      <c r="E1065" t="n">
        <v>14.1607</v>
      </c>
      <c r="F1065" t="n">
        <v>0.12058</v>
      </c>
    </row>
    <row r="1066">
      <c r="A1066" t="n">
        <v>1001064</v>
      </c>
      <c r="B1066" t="n">
        <v>1</v>
      </c>
      <c r="C1066" t="n">
        <v>1064</v>
      </c>
      <c r="D1066" t="n">
        <v>-0.0646</v>
      </c>
      <c r="E1066" t="n">
        <v>14.1663</v>
      </c>
      <c r="F1066" t="n">
        <v>0.1206</v>
      </c>
    </row>
    <row r="1067">
      <c r="A1067" t="n">
        <v>1001065</v>
      </c>
      <c r="B1067" t="n">
        <v>1</v>
      </c>
      <c r="C1067" t="n">
        <v>1065</v>
      </c>
      <c r="D1067" t="n">
        <v>-0.0648</v>
      </c>
      <c r="E1067" t="n">
        <v>14.1719</v>
      </c>
      <c r="F1067" t="n">
        <v>0.12062</v>
      </c>
    </row>
    <row r="1068">
      <c r="A1068" t="n">
        <v>1001066</v>
      </c>
      <c r="B1068" t="n">
        <v>1</v>
      </c>
      <c r="C1068" t="n">
        <v>1066</v>
      </c>
      <c r="D1068" t="n">
        <v>-0.0649</v>
      </c>
      <c r="E1068" t="n">
        <v>14.1775</v>
      </c>
      <c r="F1068" t="n">
        <v>0.12064</v>
      </c>
    </row>
    <row r="1069">
      <c r="A1069" t="n">
        <v>1001067</v>
      </c>
      <c r="B1069" t="n">
        <v>1</v>
      </c>
      <c r="C1069" t="n">
        <v>1067</v>
      </c>
      <c r="D1069" t="n">
        <v>-0.065</v>
      </c>
      <c r="E1069" t="n">
        <v>14.183</v>
      </c>
      <c r="F1069" t="n">
        <v>0.12065</v>
      </c>
    </row>
    <row r="1070">
      <c r="A1070" t="n">
        <v>1001068</v>
      </c>
      <c r="B1070" t="n">
        <v>1</v>
      </c>
      <c r="C1070" t="n">
        <v>1068</v>
      </c>
      <c r="D1070" t="n">
        <v>-0.06519999999999999</v>
      </c>
      <c r="E1070" t="n">
        <v>14.1886</v>
      </c>
      <c r="F1070" t="n">
        <v>0.12067</v>
      </c>
    </row>
    <row r="1071">
      <c r="A1071" t="n">
        <v>1001069</v>
      </c>
      <c r="B1071" t="n">
        <v>1</v>
      </c>
      <c r="C1071" t="n">
        <v>1069</v>
      </c>
      <c r="D1071" t="n">
        <v>-0.0653</v>
      </c>
      <c r="E1071" t="n">
        <v>14.1942</v>
      </c>
      <c r="F1071" t="n">
        <v>0.12069</v>
      </c>
    </row>
    <row r="1072">
      <c r="A1072" t="n">
        <v>1001070</v>
      </c>
      <c r="B1072" t="n">
        <v>1</v>
      </c>
      <c r="C1072" t="n">
        <v>1070</v>
      </c>
      <c r="D1072" t="n">
        <v>-0.0654</v>
      </c>
      <c r="E1072" t="n">
        <v>14.1998</v>
      </c>
      <c r="F1072" t="n">
        <v>0.12071</v>
      </c>
    </row>
    <row r="1073">
      <c r="A1073" t="n">
        <v>1001071</v>
      </c>
      <c r="B1073" t="n">
        <v>1</v>
      </c>
      <c r="C1073" t="n">
        <v>1071</v>
      </c>
      <c r="D1073" t="n">
        <v>-0.06560000000000001</v>
      </c>
      <c r="E1073" t="n">
        <v>14.2053</v>
      </c>
      <c r="F1073" t="n">
        <v>0.12073</v>
      </c>
    </row>
    <row r="1074">
      <c r="A1074" t="n">
        <v>1001072</v>
      </c>
      <c r="B1074" t="n">
        <v>1</v>
      </c>
      <c r="C1074" t="n">
        <v>1072</v>
      </c>
      <c r="D1074" t="n">
        <v>-0.06569999999999999</v>
      </c>
      <c r="E1074" t="n">
        <v>14.2109</v>
      </c>
      <c r="F1074" t="n">
        <v>0.12074</v>
      </c>
    </row>
    <row r="1075">
      <c r="A1075" t="n">
        <v>1001073</v>
      </c>
      <c r="B1075" t="n">
        <v>1</v>
      </c>
      <c r="C1075" t="n">
        <v>1073</v>
      </c>
      <c r="D1075" t="n">
        <v>-0.0658</v>
      </c>
      <c r="E1075" t="n">
        <v>14.2165</v>
      </c>
      <c r="F1075" t="n">
        <v>0.12076</v>
      </c>
    </row>
    <row r="1076">
      <c r="A1076" t="n">
        <v>1001074</v>
      </c>
      <c r="B1076" t="n">
        <v>1</v>
      </c>
      <c r="C1076" t="n">
        <v>1074</v>
      </c>
      <c r="D1076" t="n">
        <v>-0.066</v>
      </c>
      <c r="E1076" t="n">
        <v>14.2221</v>
      </c>
      <c r="F1076" t="n">
        <v>0.12078</v>
      </c>
    </row>
    <row r="1077">
      <c r="A1077" t="n">
        <v>1001075</v>
      </c>
      <c r="B1077" t="n">
        <v>1</v>
      </c>
      <c r="C1077" t="n">
        <v>1075</v>
      </c>
      <c r="D1077" t="n">
        <v>-0.06610000000000001</v>
      </c>
      <c r="E1077" t="n">
        <v>14.2276</v>
      </c>
      <c r="F1077" t="n">
        <v>0.1208</v>
      </c>
    </row>
    <row r="1078">
      <c r="A1078" t="n">
        <v>1001076</v>
      </c>
      <c r="B1078" t="n">
        <v>1</v>
      </c>
      <c r="C1078" t="n">
        <v>1076</v>
      </c>
      <c r="D1078" t="n">
        <v>-0.0663</v>
      </c>
      <c r="E1078" t="n">
        <v>14.2332</v>
      </c>
      <c r="F1078" t="n">
        <v>0.12081</v>
      </c>
    </row>
    <row r="1079">
      <c r="A1079" t="n">
        <v>1001077</v>
      </c>
      <c r="B1079" t="n">
        <v>1</v>
      </c>
      <c r="C1079" t="n">
        <v>1077</v>
      </c>
      <c r="D1079" t="n">
        <v>-0.0664</v>
      </c>
      <c r="E1079" t="n">
        <v>14.2388</v>
      </c>
      <c r="F1079" t="n">
        <v>0.12083</v>
      </c>
    </row>
    <row r="1080">
      <c r="A1080" t="n">
        <v>1001078</v>
      </c>
      <c r="B1080" t="n">
        <v>1</v>
      </c>
      <c r="C1080" t="n">
        <v>1078</v>
      </c>
      <c r="D1080" t="n">
        <v>-0.0665</v>
      </c>
      <c r="E1080" t="n">
        <v>14.2443</v>
      </c>
      <c r="F1080" t="n">
        <v>0.12085</v>
      </c>
    </row>
    <row r="1081">
      <c r="A1081" t="n">
        <v>1001079</v>
      </c>
      <c r="B1081" t="n">
        <v>1</v>
      </c>
      <c r="C1081" t="n">
        <v>1079</v>
      </c>
      <c r="D1081" t="n">
        <v>-0.0667</v>
      </c>
      <c r="E1081" t="n">
        <v>14.2499</v>
      </c>
      <c r="F1081" t="n">
        <v>0.12087</v>
      </c>
    </row>
    <row r="1082">
      <c r="A1082" t="n">
        <v>1001080</v>
      </c>
      <c r="B1082" t="n">
        <v>1</v>
      </c>
      <c r="C1082" t="n">
        <v>1080</v>
      </c>
      <c r="D1082" t="n">
        <v>-0.0668</v>
      </c>
      <c r="E1082" t="n">
        <v>14.2554</v>
      </c>
      <c r="F1082" t="n">
        <v>0.12088</v>
      </c>
    </row>
    <row r="1083">
      <c r="A1083" t="n">
        <v>1001081</v>
      </c>
      <c r="B1083" t="n">
        <v>1</v>
      </c>
      <c r="C1083" t="n">
        <v>1081</v>
      </c>
      <c r="D1083" t="n">
        <v>-0.0669</v>
      </c>
      <c r="E1083" t="n">
        <v>14.261</v>
      </c>
      <c r="F1083" t="n">
        <v>0.1209</v>
      </c>
    </row>
    <row r="1084">
      <c r="A1084" t="n">
        <v>1001082</v>
      </c>
      <c r="B1084" t="n">
        <v>1</v>
      </c>
      <c r="C1084" t="n">
        <v>1082</v>
      </c>
      <c r="D1084" t="n">
        <v>-0.06710000000000001</v>
      </c>
      <c r="E1084" t="n">
        <v>14.2666</v>
      </c>
      <c r="F1084" t="n">
        <v>0.12092</v>
      </c>
    </row>
    <row r="1085">
      <c r="A1085" t="n">
        <v>1001083</v>
      </c>
      <c r="B1085" t="n">
        <v>1</v>
      </c>
      <c r="C1085" t="n">
        <v>1083</v>
      </c>
      <c r="D1085" t="n">
        <v>-0.0672</v>
      </c>
      <c r="E1085" t="n">
        <v>14.2721</v>
      </c>
      <c r="F1085" t="n">
        <v>0.12094</v>
      </c>
    </row>
    <row r="1086">
      <c r="A1086" t="n">
        <v>1001084</v>
      </c>
      <c r="B1086" t="n">
        <v>1</v>
      </c>
      <c r="C1086" t="n">
        <v>1084</v>
      </c>
      <c r="D1086" t="n">
        <v>-0.0673</v>
      </c>
      <c r="E1086" t="n">
        <v>14.2777</v>
      </c>
      <c r="F1086" t="n">
        <v>0.12095</v>
      </c>
    </row>
    <row r="1087">
      <c r="A1087" t="n">
        <v>1001085</v>
      </c>
      <c r="B1087" t="n">
        <v>1</v>
      </c>
      <c r="C1087" t="n">
        <v>1085</v>
      </c>
      <c r="D1087" t="n">
        <v>-0.0675</v>
      </c>
      <c r="E1087" t="n">
        <v>14.2832</v>
      </c>
      <c r="F1087" t="n">
        <v>0.12097</v>
      </c>
    </row>
    <row r="1088">
      <c r="A1088" t="n">
        <v>1001086</v>
      </c>
      <c r="B1088" t="n">
        <v>1</v>
      </c>
      <c r="C1088" t="n">
        <v>1086</v>
      </c>
      <c r="D1088" t="n">
        <v>-0.06759999999999999</v>
      </c>
      <c r="E1088" t="n">
        <v>14.2888</v>
      </c>
      <c r="F1088" t="n">
        <v>0.12099</v>
      </c>
    </row>
    <row r="1089">
      <c r="A1089" t="n">
        <v>1001087</v>
      </c>
      <c r="B1089" t="n">
        <v>1</v>
      </c>
      <c r="C1089" t="n">
        <v>1087</v>
      </c>
      <c r="D1089" t="n">
        <v>-0.0677</v>
      </c>
      <c r="E1089" t="n">
        <v>14.2944</v>
      </c>
      <c r="F1089" t="n">
        <v>0.12101</v>
      </c>
    </row>
    <row r="1090">
      <c r="A1090" t="n">
        <v>1001088</v>
      </c>
      <c r="B1090" t="n">
        <v>1</v>
      </c>
      <c r="C1090" t="n">
        <v>1088</v>
      </c>
      <c r="D1090" t="n">
        <v>-0.0679</v>
      </c>
      <c r="E1090" t="n">
        <v>14.2999</v>
      </c>
      <c r="F1090" t="n">
        <v>0.12102</v>
      </c>
    </row>
    <row r="1091">
      <c r="A1091" t="n">
        <v>1001089</v>
      </c>
      <c r="B1091" t="n">
        <v>1</v>
      </c>
      <c r="C1091" t="n">
        <v>1089</v>
      </c>
      <c r="D1091" t="n">
        <v>-0.068</v>
      </c>
      <c r="E1091" t="n">
        <v>14.3055</v>
      </c>
      <c r="F1091" t="n">
        <v>0.12104</v>
      </c>
    </row>
    <row r="1092">
      <c r="A1092" t="n">
        <v>1001090</v>
      </c>
      <c r="B1092" t="n">
        <v>1</v>
      </c>
      <c r="C1092" t="n">
        <v>1090</v>
      </c>
      <c r="D1092" t="n">
        <v>-0.06809999999999999</v>
      </c>
      <c r="E1092" t="n">
        <v>14.311</v>
      </c>
      <c r="F1092" t="n">
        <v>0.12106</v>
      </c>
    </row>
    <row r="1093">
      <c r="A1093" t="n">
        <v>1001091</v>
      </c>
      <c r="B1093" t="n">
        <v>1</v>
      </c>
      <c r="C1093" t="n">
        <v>1091</v>
      </c>
      <c r="D1093" t="n">
        <v>-0.0683</v>
      </c>
      <c r="E1093" t="n">
        <v>14.3166</v>
      </c>
      <c r="F1093" t="n">
        <v>0.12108</v>
      </c>
    </row>
    <row r="1094">
      <c r="A1094" t="n">
        <v>1001092</v>
      </c>
      <c r="B1094" t="n">
        <v>1</v>
      </c>
      <c r="C1094" t="n">
        <v>1092</v>
      </c>
      <c r="D1094" t="n">
        <v>-0.0684</v>
      </c>
      <c r="E1094" t="n">
        <v>14.3221</v>
      </c>
      <c r="F1094" t="n">
        <v>0.12109</v>
      </c>
    </row>
    <row r="1095">
      <c r="A1095" t="n">
        <v>1001093</v>
      </c>
      <c r="B1095" t="n">
        <v>1</v>
      </c>
      <c r="C1095" t="n">
        <v>1093</v>
      </c>
      <c r="D1095" t="n">
        <v>-0.06850000000000001</v>
      </c>
      <c r="E1095" t="n">
        <v>14.3277</v>
      </c>
      <c r="F1095" t="n">
        <v>0.12111</v>
      </c>
    </row>
    <row r="1096">
      <c r="A1096" t="n">
        <v>1001094</v>
      </c>
      <c r="B1096" t="n">
        <v>1</v>
      </c>
      <c r="C1096" t="n">
        <v>1094</v>
      </c>
      <c r="D1096" t="n">
        <v>-0.0687</v>
      </c>
      <c r="E1096" t="n">
        <v>14.3332</v>
      </c>
      <c r="F1096" t="n">
        <v>0.12113</v>
      </c>
    </row>
    <row r="1097">
      <c r="A1097" t="n">
        <v>1001095</v>
      </c>
      <c r="B1097" t="n">
        <v>1</v>
      </c>
      <c r="C1097" t="n">
        <v>1095</v>
      </c>
      <c r="D1097" t="n">
        <v>-0.0688</v>
      </c>
      <c r="E1097" t="n">
        <v>14.3387</v>
      </c>
      <c r="F1097" t="n">
        <v>0.12115</v>
      </c>
    </row>
    <row r="1098">
      <c r="A1098" t="n">
        <v>1001096</v>
      </c>
      <c r="B1098" t="n">
        <v>1</v>
      </c>
      <c r="C1098" t="n">
        <v>1096</v>
      </c>
      <c r="D1098" t="n">
        <v>-0.0689</v>
      </c>
      <c r="E1098" t="n">
        <v>14.3443</v>
      </c>
      <c r="F1098" t="n">
        <v>0.12116</v>
      </c>
    </row>
    <row r="1099">
      <c r="A1099" t="n">
        <v>1001097</v>
      </c>
      <c r="B1099" t="n">
        <v>1</v>
      </c>
      <c r="C1099" t="n">
        <v>1097</v>
      </c>
      <c r="D1099" t="n">
        <v>-0.06909999999999999</v>
      </c>
      <c r="E1099" t="n">
        <v>14.3498</v>
      </c>
      <c r="F1099" t="n">
        <v>0.12118</v>
      </c>
    </row>
    <row r="1100">
      <c r="A1100" t="n">
        <v>1001098</v>
      </c>
      <c r="B1100" t="n">
        <v>1</v>
      </c>
      <c r="C1100" t="n">
        <v>1098</v>
      </c>
      <c r="D1100" t="n">
        <v>-0.0692</v>
      </c>
      <c r="E1100" t="n">
        <v>14.3554</v>
      </c>
      <c r="F1100" t="n">
        <v>0.1212</v>
      </c>
    </row>
    <row r="1101">
      <c r="A1101" t="n">
        <v>1001099</v>
      </c>
      <c r="B1101" t="n">
        <v>1</v>
      </c>
      <c r="C1101" t="n">
        <v>1099</v>
      </c>
      <c r="D1101" t="n">
        <v>-0.0693</v>
      </c>
      <c r="E1101" t="n">
        <v>14.3609</v>
      </c>
      <c r="F1101" t="n">
        <v>0.12121</v>
      </c>
    </row>
    <row r="1102">
      <c r="A1102" t="n">
        <v>1001100</v>
      </c>
      <c r="B1102" t="n">
        <v>1</v>
      </c>
      <c r="C1102" t="n">
        <v>1100</v>
      </c>
      <c r="D1102" t="n">
        <v>-0.06950000000000001</v>
      </c>
      <c r="E1102" t="n">
        <v>14.3665</v>
      </c>
      <c r="F1102" t="n">
        <v>0.12123</v>
      </c>
    </row>
    <row r="1103">
      <c r="A1103" t="n">
        <v>1001101</v>
      </c>
      <c r="B1103" t="n">
        <v>1</v>
      </c>
      <c r="C1103" t="n">
        <v>1101</v>
      </c>
      <c r="D1103" t="n">
        <v>-0.0696</v>
      </c>
      <c r="E1103" t="n">
        <v>14.372</v>
      </c>
      <c r="F1103" t="n">
        <v>0.12125</v>
      </c>
    </row>
    <row r="1104">
      <c r="A1104" t="n">
        <v>1001102</v>
      </c>
      <c r="B1104" t="n">
        <v>1</v>
      </c>
      <c r="C1104" t="n">
        <v>1102</v>
      </c>
      <c r="D1104" t="n">
        <v>-0.0697</v>
      </c>
      <c r="E1104" t="n">
        <v>14.3775</v>
      </c>
      <c r="F1104" t="n">
        <v>0.12127</v>
      </c>
    </row>
    <row r="1105">
      <c r="A1105" t="n">
        <v>1001103</v>
      </c>
      <c r="B1105" t="n">
        <v>1</v>
      </c>
      <c r="C1105" t="n">
        <v>1103</v>
      </c>
      <c r="D1105" t="n">
        <v>-0.0699</v>
      </c>
      <c r="E1105" t="n">
        <v>14.3831</v>
      </c>
      <c r="F1105" t="n">
        <v>0.12128</v>
      </c>
    </row>
    <row r="1106">
      <c r="A1106" t="n">
        <v>1001104</v>
      </c>
      <c r="B1106" t="n">
        <v>1</v>
      </c>
      <c r="C1106" t="n">
        <v>1104</v>
      </c>
      <c r="D1106" t="n">
        <v>-0.07000000000000001</v>
      </c>
      <c r="E1106" t="n">
        <v>14.3886</v>
      </c>
      <c r="F1106" t="n">
        <v>0.1213</v>
      </c>
    </row>
    <row r="1107">
      <c r="A1107" t="n">
        <v>1001105</v>
      </c>
      <c r="B1107" t="n">
        <v>1</v>
      </c>
      <c r="C1107" t="n">
        <v>1105</v>
      </c>
      <c r="D1107" t="n">
        <v>-0.0701</v>
      </c>
      <c r="E1107" t="n">
        <v>14.3942</v>
      </c>
      <c r="F1107" t="n">
        <v>0.12132</v>
      </c>
    </row>
    <row r="1108">
      <c r="A1108" t="n">
        <v>1001106</v>
      </c>
      <c r="B1108" t="n">
        <v>1</v>
      </c>
      <c r="C1108" t="n">
        <v>1106</v>
      </c>
      <c r="D1108" t="n">
        <v>-0.0703</v>
      </c>
      <c r="E1108" t="n">
        <v>14.3997</v>
      </c>
      <c r="F1108" t="n">
        <v>0.12134</v>
      </c>
    </row>
    <row r="1109">
      <c r="A1109" t="n">
        <v>1001107</v>
      </c>
      <c r="B1109" t="n">
        <v>1</v>
      </c>
      <c r="C1109" t="n">
        <v>1107</v>
      </c>
      <c r="D1109" t="n">
        <v>-0.0704</v>
      </c>
      <c r="E1109" t="n">
        <v>14.4052</v>
      </c>
      <c r="F1109" t="n">
        <v>0.12135</v>
      </c>
    </row>
    <row r="1110">
      <c r="A1110" t="n">
        <v>1001108</v>
      </c>
      <c r="B1110" t="n">
        <v>1</v>
      </c>
      <c r="C1110" t="n">
        <v>1108</v>
      </c>
      <c r="D1110" t="n">
        <v>-0.07049999999999999</v>
      </c>
      <c r="E1110" t="n">
        <v>14.4108</v>
      </c>
      <c r="F1110" t="n">
        <v>0.12137</v>
      </c>
    </row>
    <row r="1111">
      <c r="A1111" t="n">
        <v>1001109</v>
      </c>
      <c r="B1111" t="n">
        <v>1</v>
      </c>
      <c r="C1111" t="n">
        <v>1109</v>
      </c>
      <c r="D1111" t="n">
        <v>-0.0707</v>
      </c>
      <c r="E1111" t="n">
        <v>14.4163</v>
      </c>
      <c r="F1111" t="n">
        <v>0.12139</v>
      </c>
    </row>
    <row r="1112">
      <c r="A1112" t="n">
        <v>1001110</v>
      </c>
      <c r="B1112" t="n">
        <v>1</v>
      </c>
      <c r="C1112" t="n">
        <v>1110</v>
      </c>
      <c r="D1112" t="n">
        <v>-0.0708</v>
      </c>
      <c r="E1112" t="n">
        <v>14.4218</v>
      </c>
      <c r="F1112" t="n">
        <v>0.12141</v>
      </c>
    </row>
    <row r="1113">
      <c r="A1113" t="n">
        <v>1001111</v>
      </c>
      <c r="B1113" t="n">
        <v>1</v>
      </c>
      <c r="C1113" t="n">
        <v>1111</v>
      </c>
      <c r="D1113" t="n">
        <v>-0.0709</v>
      </c>
      <c r="E1113" t="n">
        <v>14.4274</v>
      </c>
      <c r="F1113" t="n">
        <v>0.12142</v>
      </c>
    </row>
    <row r="1114">
      <c r="A1114" t="n">
        <v>1001112</v>
      </c>
      <c r="B1114" t="n">
        <v>1</v>
      </c>
      <c r="C1114" t="n">
        <v>1112</v>
      </c>
      <c r="D1114" t="n">
        <v>-0.0711</v>
      </c>
      <c r="E1114" t="n">
        <v>14.4329</v>
      </c>
      <c r="F1114" t="n">
        <v>0.12144</v>
      </c>
    </row>
    <row r="1115">
      <c r="A1115" t="n">
        <v>1001113</v>
      </c>
      <c r="B1115" t="n">
        <v>1</v>
      </c>
      <c r="C1115" t="n">
        <v>1113</v>
      </c>
      <c r="D1115" t="n">
        <v>-0.0712</v>
      </c>
      <c r="E1115" t="n">
        <v>14.4384</v>
      </c>
      <c r="F1115" t="n">
        <v>0.12146</v>
      </c>
    </row>
    <row r="1116">
      <c r="A1116" t="n">
        <v>1001114</v>
      </c>
      <c r="B1116" t="n">
        <v>1</v>
      </c>
      <c r="C1116" t="n">
        <v>1114</v>
      </c>
      <c r="D1116" t="n">
        <v>-0.0713</v>
      </c>
      <c r="E1116" t="n">
        <v>14.4439</v>
      </c>
      <c r="F1116" t="n">
        <v>0.12147</v>
      </c>
    </row>
    <row r="1117">
      <c r="A1117" t="n">
        <v>1001115</v>
      </c>
      <c r="B1117" t="n">
        <v>1</v>
      </c>
      <c r="C1117" t="n">
        <v>1115</v>
      </c>
      <c r="D1117" t="n">
        <v>-0.07149999999999999</v>
      </c>
      <c r="E1117" t="n">
        <v>14.4495</v>
      </c>
      <c r="F1117" t="n">
        <v>0.12149</v>
      </c>
    </row>
    <row r="1118">
      <c r="A1118" t="n">
        <v>1001116</v>
      </c>
      <c r="B1118" t="n">
        <v>1</v>
      </c>
      <c r="C1118" t="n">
        <v>1116</v>
      </c>
      <c r="D1118" t="n">
        <v>-0.0716</v>
      </c>
      <c r="E1118" t="n">
        <v>14.455</v>
      </c>
      <c r="F1118" t="n">
        <v>0.12151</v>
      </c>
    </row>
    <row r="1119">
      <c r="A1119" t="n">
        <v>1001117</v>
      </c>
      <c r="B1119" t="n">
        <v>1</v>
      </c>
      <c r="C1119" t="n">
        <v>1117</v>
      </c>
      <c r="D1119" t="n">
        <v>-0.0717</v>
      </c>
      <c r="E1119" t="n">
        <v>14.4605</v>
      </c>
      <c r="F1119" t="n">
        <v>0.12153</v>
      </c>
    </row>
    <row r="1120">
      <c r="A1120" t="n">
        <v>1001118</v>
      </c>
      <c r="B1120" t="n">
        <v>1</v>
      </c>
      <c r="C1120" t="n">
        <v>1118</v>
      </c>
      <c r="D1120" t="n">
        <v>-0.0718</v>
      </c>
      <c r="E1120" t="n">
        <v>14.4661</v>
      </c>
      <c r="F1120" t="n">
        <v>0.12154</v>
      </c>
    </row>
    <row r="1121">
      <c r="A1121" t="n">
        <v>1001119</v>
      </c>
      <c r="B1121" t="n">
        <v>1</v>
      </c>
      <c r="C1121" t="n">
        <v>1119</v>
      </c>
      <c r="D1121" t="n">
        <v>-0.07199999999999999</v>
      </c>
      <c r="E1121" t="n">
        <v>14.4716</v>
      </c>
      <c r="F1121" t="n">
        <v>0.12156</v>
      </c>
    </row>
    <row r="1122">
      <c r="A1122" t="n">
        <v>1001120</v>
      </c>
      <c r="B1122" t="n">
        <v>1</v>
      </c>
      <c r="C1122" t="n">
        <v>1120</v>
      </c>
      <c r="D1122" t="n">
        <v>-0.0721</v>
      </c>
      <c r="E1122" t="n">
        <v>14.4771</v>
      </c>
      <c r="F1122" t="n">
        <v>0.12158</v>
      </c>
    </row>
    <row r="1123">
      <c r="A1123" t="n">
        <v>1001121</v>
      </c>
      <c r="B1123" t="n">
        <v>1</v>
      </c>
      <c r="C1123" t="n">
        <v>1121</v>
      </c>
      <c r="D1123" t="n">
        <v>-0.0722</v>
      </c>
      <c r="E1123" t="n">
        <v>14.4826</v>
      </c>
      <c r="F1123" t="n">
        <v>0.12159</v>
      </c>
    </row>
    <row r="1124">
      <c r="A1124" t="n">
        <v>1001122</v>
      </c>
      <c r="B1124" t="n">
        <v>1</v>
      </c>
      <c r="C1124" t="n">
        <v>1122</v>
      </c>
      <c r="D1124" t="n">
        <v>-0.07240000000000001</v>
      </c>
      <c r="E1124" t="n">
        <v>14.4881</v>
      </c>
      <c r="F1124" t="n">
        <v>0.12161</v>
      </c>
    </row>
    <row r="1125">
      <c r="A1125" t="n">
        <v>1001123</v>
      </c>
      <c r="B1125" t="n">
        <v>1</v>
      </c>
      <c r="C1125" t="n">
        <v>1123</v>
      </c>
      <c r="D1125" t="n">
        <v>-0.0725</v>
      </c>
      <c r="E1125" t="n">
        <v>14.4937</v>
      </c>
      <c r="F1125" t="n">
        <v>0.12163</v>
      </c>
    </row>
    <row r="1126">
      <c r="A1126" t="n">
        <v>1001124</v>
      </c>
      <c r="B1126" t="n">
        <v>1</v>
      </c>
      <c r="C1126" t="n">
        <v>1124</v>
      </c>
      <c r="D1126" t="n">
        <v>-0.0726</v>
      </c>
      <c r="E1126" t="n">
        <v>14.4992</v>
      </c>
      <c r="F1126" t="n">
        <v>0.12165</v>
      </c>
    </row>
    <row r="1127">
      <c r="A1127" t="n">
        <v>1001125</v>
      </c>
      <c r="B1127" t="n">
        <v>1</v>
      </c>
      <c r="C1127" t="n">
        <v>1125</v>
      </c>
      <c r="D1127" t="n">
        <v>-0.0728</v>
      </c>
      <c r="E1127" t="n">
        <v>14.5047</v>
      </c>
      <c r="F1127" t="n">
        <v>0.12166</v>
      </c>
    </row>
    <row r="1128">
      <c r="A1128" t="n">
        <v>1001126</v>
      </c>
      <c r="B1128" t="n">
        <v>1</v>
      </c>
      <c r="C1128" t="n">
        <v>1126</v>
      </c>
      <c r="D1128" t="n">
        <v>-0.07290000000000001</v>
      </c>
      <c r="E1128" t="n">
        <v>14.5102</v>
      </c>
      <c r="F1128" t="n">
        <v>0.12168</v>
      </c>
    </row>
    <row r="1129">
      <c r="A1129" t="n">
        <v>1001127</v>
      </c>
      <c r="B1129" t="n">
        <v>1</v>
      </c>
      <c r="C1129" t="n">
        <v>1127</v>
      </c>
      <c r="D1129" t="n">
        <v>-0.073</v>
      </c>
      <c r="E1129" t="n">
        <v>14.5158</v>
      </c>
      <c r="F1129" t="n">
        <v>0.1217</v>
      </c>
    </row>
    <row r="1130">
      <c r="A1130" t="n">
        <v>1001128</v>
      </c>
      <c r="B1130" t="n">
        <v>1</v>
      </c>
      <c r="C1130" t="n">
        <v>1128</v>
      </c>
      <c r="D1130" t="n">
        <v>-0.0732</v>
      </c>
      <c r="E1130" t="n">
        <v>14.5213</v>
      </c>
      <c r="F1130" t="n">
        <v>0.12171</v>
      </c>
    </row>
    <row r="1131">
      <c r="A1131" t="n">
        <v>1001129</v>
      </c>
      <c r="B1131" t="n">
        <v>1</v>
      </c>
      <c r="C1131" t="n">
        <v>1129</v>
      </c>
      <c r="D1131" t="n">
        <v>-0.0733</v>
      </c>
      <c r="E1131" t="n">
        <v>14.5268</v>
      </c>
      <c r="F1131" t="n">
        <v>0.12173</v>
      </c>
    </row>
    <row r="1132">
      <c r="A1132" t="n">
        <v>1001130</v>
      </c>
      <c r="B1132" t="n">
        <v>1</v>
      </c>
      <c r="C1132" t="n">
        <v>1130</v>
      </c>
      <c r="D1132" t="n">
        <v>-0.07340000000000001</v>
      </c>
      <c r="E1132" t="n">
        <v>14.5323</v>
      </c>
      <c r="F1132" t="n">
        <v>0.12175</v>
      </c>
    </row>
    <row r="1133">
      <c r="A1133" t="n">
        <v>1001131</v>
      </c>
      <c r="B1133" t="n">
        <v>1</v>
      </c>
      <c r="C1133" t="n">
        <v>1131</v>
      </c>
      <c r="D1133" t="n">
        <v>-0.0736</v>
      </c>
      <c r="E1133" t="n">
        <v>14.5378</v>
      </c>
      <c r="F1133" t="n">
        <v>0.12177</v>
      </c>
    </row>
    <row r="1134">
      <c r="A1134" t="n">
        <v>1001132</v>
      </c>
      <c r="B1134" t="n">
        <v>1</v>
      </c>
      <c r="C1134" t="n">
        <v>1132</v>
      </c>
      <c r="D1134" t="n">
        <v>-0.0737</v>
      </c>
      <c r="E1134" t="n">
        <v>14.5433</v>
      </c>
      <c r="F1134" t="n">
        <v>0.12178</v>
      </c>
    </row>
    <row r="1135">
      <c r="A1135" t="n">
        <v>1001133</v>
      </c>
      <c r="B1135" t="n">
        <v>1</v>
      </c>
      <c r="C1135" t="n">
        <v>1133</v>
      </c>
      <c r="D1135" t="n">
        <v>-0.0738</v>
      </c>
      <c r="E1135" t="n">
        <v>14.5489</v>
      </c>
      <c r="F1135" t="n">
        <v>0.1218</v>
      </c>
    </row>
    <row r="1136">
      <c r="A1136" t="n">
        <v>1001134</v>
      </c>
      <c r="B1136" t="n">
        <v>1</v>
      </c>
      <c r="C1136" t="n">
        <v>1134</v>
      </c>
      <c r="D1136" t="n">
        <v>-0.07389999999999999</v>
      </c>
      <c r="E1136" t="n">
        <v>14.5544</v>
      </c>
      <c r="F1136" t="n">
        <v>0.12182</v>
      </c>
    </row>
    <row r="1137">
      <c r="A1137" t="n">
        <v>1001135</v>
      </c>
      <c r="B1137" t="n">
        <v>1</v>
      </c>
      <c r="C1137" t="n">
        <v>1135</v>
      </c>
      <c r="D1137" t="n">
        <v>-0.0741</v>
      </c>
      <c r="E1137" t="n">
        <v>14.5599</v>
      </c>
      <c r="F1137" t="n">
        <v>0.12183</v>
      </c>
    </row>
    <row r="1138">
      <c r="A1138" t="n">
        <v>1001136</v>
      </c>
      <c r="B1138" t="n">
        <v>1</v>
      </c>
      <c r="C1138" t="n">
        <v>1136</v>
      </c>
      <c r="D1138" t="n">
        <v>-0.0742</v>
      </c>
      <c r="E1138" t="n">
        <v>14.5654</v>
      </c>
      <c r="F1138" t="n">
        <v>0.12185</v>
      </c>
    </row>
    <row r="1139">
      <c r="A1139" t="n">
        <v>1001137</v>
      </c>
      <c r="B1139" t="n">
        <v>1</v>
      </c>
      <c r="C1139" t="n">
        <v>1137</v>
      </c>
      <c r="D1139" t="n">
        <v>-0.0743</v>
      </c>
      <c r="E1139" t="n">
        <v>14.5709</v>
      </c>
      <c r="F1139" t="n">
        <v>0.12187</v>
      </c>
    </row>
    <row r="1140">
      <c r="A1140" t="n">
        <v>1001138</v>
      </c>
      <c r="B1140" t="n">
        <v>1</v>
      </c>
      <c r="C1140" t="n">
        <v>1138</v>
      </c>
      <c r="D1140" t="n">
        <v>-0.0745</v>
      </c>
      <c r="E1140" t="n">
        <v>14.5764</v>
      </c>
      <c r="F1140" t="n">
        <v>0.12189</v>
      </c>
    </row>
    <row r="1141">
      <c r="A1141" t="n">
        <v>1001139</v>
      </c>
      <c r="B1141" t="n">
        <v>1</v>
      </c>
      <c r="C1141" t="n">
        <v>1139</v>
      </c>
      <c r="D1141" t="n">
        <v>-0.0746</v>
      </c>
      <c r="E1141" t="n">
        <v>14.5819</v>
      </c>
      <c r="F1141" t="n">
        <v>0.1219</v>
      </c>
    </row>
    <row r="1142">
      <c r="A1142" t="n">
        <v>1001140</v>
      </c>
      <c r="B1142" t="n">
        <v>1</v>
      </c>
      <c r="C1142" t="n">
        <v>1140</v>
      </c>
      <c r="D1142" t="n">
        <v>-0.0747</v>
      </c>
      <c r="E1142" t="n">
        <v>14.5875</v>
      </c>
      <c r="F1142" t="n">
        <v>0.12192</v>
      </c>
    </row>
    <row r="1143">
      <c r="A1143" t="n">
        <v>1001141</v>
      </c>
      <c r="B1143" t="n">
        <v>1</v>
      </c>
      <c r="C1143" t="n">
        <v>1141</v>
      </c>
      <c r="D1143" t="n">
        <v>-0.07489999999999999</v>
      </c>
      <c r="E1143" t="n">
        <v>14.593</v>
      </c>
      <c r="F1143" t="n">
        <v>0.12194</v>
      </c>
    </row>
    <row r="1144">
      <c r="A1144" t="n">
        <v>1001142</v>
      </c>
      <c r="B1144" t="n">
        <v>1</v>
      </c>
      <c r="C1144" t="n">
        <v>1142</v>
      </c>
      <c r="D1144" t="n">
        <v>-0.075</v>
      </c>
      <c r="E1144" t="n">
        <v>14.5985</v>
      </c>
      <c r="F1144" t="n">
        <v>0.12195</v>
      </c>
    </row>
    <row r="1145">
      <c r="A1145" t="n">
        <v>1001143</v>
      </c>
      <c r="B1145" t="n">
        <v>1</v>
      </c>
      <c r="C1145" t="n">
        <v>1143</v>
      </c>
      <c r="D1145" t="n">
        <v>-0.0751</v>
      </c>
      <c r="E1145" t="n">
        <v>14.604</v>
      </c>
      <c r="F1145" t="n">
        <v>0.12197</v>
      </c>
    </row>
    <row r="1146">
      <c r="A1146" t="n">
        <v>1001144</v>
      </c>
      <c r="B1146" t="n">
        <v>1</v>
      </c>
      <c r="C1146" t="n">
        <v>1144</v>
      </c>
      <c r="D1146" t="n">
        <v>-0.0752</v>
      </c>
      <c r="E1146" t="n">
        <v>14.6095</v>
      </c>
      <c r="F1146" t="n">
        <v>0.12199</v>
      </c>
    </row>
    <row r="1147">
      <c r="A1147" t="n">
        <v>1001145</v>
      </c>
      <c r="B1147" t="n">
        <v>1</v>
      </c>
      <c r="C1147" t="n">
        <v>1145</v>
      </c>
      <c r="D1147" t="n">
        <v>-0.07539999999999999</v>
      </c>
      <c r="E1147" t="n">
        <v>14.615</v>
      </c>
      <c r="F1147" t="n">
        <v>0.122</v>
      </c>
    </row>
    <row r="1148">
      <c r="A1148" t="n">
        <v>1001146</v>
      </c>
      <c r="B1148" t="n">
        <v>1</v>
      </c>
      <c r="C1148" t="n">
        <v>1146</v>
      </c>
      <c r="D1148" t="n">
        <v>-0.0755</v>
      </c>
      <c r="E1148" t="n">
        <v>14.6205</v>
      </c>
      <c r="F1148" t="n">
        <v>0.12202</v>
      </c>
    </row>
    <row r="1149">
      <c r="A1149" t="n">
        <v>1001147</v>
      </c>
      <c r="B1149" t="n">
        <v>1</v>
      </c>
      <c r="C1149" t="n">
        <v>1147</v>
      </c>
      <c r="D1149" t="n">
        <v>-0.0756</v>
      </c>
      <c r="E1149" t="n">
        <v>14.626</v>
      </c>
      <c r="F1149" t="n">
        <v>0.12204</v>
      </c>
    </row>
    <row r="1150">
      <c r="A1150" t="n">
        <v>1001148</v>
      </c>
      <c r="B1150" t="n">
        <v>1</v>
      </c>
      <c r="C1150" t="n">
        <v>1148</v>
      </c>
      <c r="D1150" t="n">
        <v>-0.07580000000000001</v>
      </c>
      <c r="E1150" t="n">
        <v>14.6315</v>
      </c>
      <c r="F1150" t="n">
        <v>0.12206</v>
      </c>
    </row>
    <row r="1151">
      <c r="A1151" t="n">
        <v>1001149</v>
      </c>
      <c r="B1151" t="n">
        <v>1</v>
      </c>
      <c r="C1151" t="n">
        <v>1149</v>
      </c>
      <c r="D1151" t="n">
        <v>-0.0759</v>
      </c>
      <c r="E1151" t="n">
        <v>14.6371</v>
      </c>
      <c r="F1151" t="n">
        <v>0.12207</v>
      </c>
    </row>
    <row r="1152">
      <c r="A1152" t="n">
        <v>1001150</v>
      </c>
      <c r="B1152" t="n">
        <v>1</v>
      </c>
      <c r="C1152" t="n">
        <v>1150</v>
      </c>
      <c r="D1152" t="n">
        <v>-0.076</v>
      </c>
      <c r="E1152" t="n">
        <v>14.6426</v>
      </c>
      <c r="F1152" t="n">
        <v>0.12209</v>
      </c>
    </row>
    <row r="1153">
      <c r="A1153" t="n">
        <v>1001151</v>
      </c>
      <c r="B1153" t="n">
        <v>1</v>
      </c>
      <c r="C1153" t="n">
        <v>1151</v>
      </c>
      <c r="D1153" t="n">
        <v>-0.0762</v>
      </c>
      <c r="E1153" t="n">
        <v>14.6481</v>
      </c>
      <c r="F1153" t="n">
        <v>0.12211</v>
      </c>
    </row>
    <row r="1154">
      <c r="A1154" t="n">
        <v>1001152</v>
      </c>
      <c r="B1154" t="n">
        <v>1</v>
      </c>
      <c r="C1154" t="n">
        <v>1152</v>
      </c>
      <c r="D1154" t="n">
        <v>-0.07630000000000001</v>
      </c>
      <c r="E1154" t="n">
        <v>14.6536</v>
      </c>
      <c r="F1154" t="n">
        <v>0.12212</v>
      </c>
    </row>
    <row r="1155">
      <c r="A1155" t="n">
        <v>1001153</v>
      </c>
      <c r="B1155" t="n">
        <v>1</v>
      </c>
      <c r="C1155" t="n">
        <v>1153</v>
      </c>
      <c r="D1155" t="n">
        <v>-0.0764</v>
      </c>
      <c r="E1155" t="n">
        <v>14.6591</v>
      </c>
      <c r="F1155" t="n">
        <v>0.12214</v>
      </c>
    </row>
    <row r="1156">
      <c r="A1156" t="n">
        <v>1001154</v>
      </c>
      <c r="B1156" t="n">
        <v>1</v>
      </c>
      <c r="C1156" t="n">
        <v>1154</v>
      </c>
      <c r="D1156" t="n">
        <v>-0.0765</v>
      </c>
      <c r="E1156" t="n">
        <v>14.6646</v>
      </c>
      <c r="F1156" t="n">
        <v>0.12216</v>
      </c>
    </row>
    <row r="1157">
      <c r="A1157" t="n">
        <v>1001155</v>
      </c>
      <c r="B1157" t="n">
        <v>1</v>
      </c>
      <c r="C1157" t="n">
        <v>1155</v>
      </c>
      <c r="D1157" t="n">
        <v>-0.0767</v>
      </c>
      <c r="E1157" t="n">
        <v>14.6701</v>
      </c>
      <c r="F1157" t="n">
        <v>0.12217</v>
      </c>
    </row>
    <row r="1158">
      <c r="A1158" t="n">
        <v>1001156</v>
      </c>
      <c r="B1158" t="n">
        <v>1</v>
      </c>
      <c r="C1158" t="n">
        <v>1156</v>
      </c>
      <c r="D1158" t="n">
        <v>-0.07679999999999999</v>
      </c>
      <c r="E1158" t="n">
        <v>14.6756</v>
      </c>
      <c r="F1158" t="n">
        <v>0.12219</v>
      </c>
    </row>
    <row r="1159">
      <c r="A1159" t="n">
        <v>1001157</v>
      </c>
      <c r="B1159" t="n">
        <v>1</v>
      </c>
      <c r="C1159" t="n">
        <v>1157</v>
      </c>
      <c r="D1159" t="n">
        <v>-0.0769</v>
      </c>
      <c r="E1159" t="n">
        <v>14.6811</v>
      </c>
      <c r="F1159" t="n">
        <v>0.12221</v>
      </c>
    </row>
    <row r="1160">
      <c r="A1160" t="n">
        <v>1001158</v>
      </c>
      <c r="B1160" t="n">
        <v>1</v>
      </c>
      <c r="C1160" t="n">
        <v>1158</v>
      </c>
      <c r="D1160" t="n">
        <v>-0.0771</v>
      </c>
      <c r="E1160" t="n">
        <v>14.6866</v>
      </c>
      <c r="F1160" t="n">
        <v>0.12222</v>
      </c>
    </row>
    <row r="1161">
      <c r="A1161" t="n">
        <v>1001159</v>
      </c>
      <c r="B1161" t="n">
        <v>1</v>
      </c>
      <c r="C1161" t="n">
        <v>1159</v>
      </c>
      <c r="D1161" t="n">
        <v>-0.0772</v>
      </c>
      <c r="E1161" t="n">
        <v>14.6921</v>
      </c>
      <c r="F1161" t="n">
        <v>0.12224</v>
      </c>
    </row>
    <row r="1162">
      <c r="A1162" t="n">
        <v>1001160</v>
      </c>
      <c r="B1162" t="n">
        <v>1</v>
      </c>
      <c r="C1162" t="n">
        <v>1160</v>
      </c>
      <c r="D1162" t="n">
        <v>-0.07729999999999999</v>
      </c>
      <c r="E1162" t="n">
        <v>14.6976</v>
      </c>
      <c r="F1162" t="n">
        <v>0.12226</v>
      </c>
    </row>
    <row r="1163">
      <c r="A1163" t="n">
        <v>1001161</v>
      </c>
      <c r="B1163" t="n">
        <v>1</v>
      </c>
      <c r="C1163" t="n">
        <v>1161</v>
      </c>
      <c r="D1163" t="n">
        <v>-0.0774</v>
      </c>
      <c r="E1163" t="n">
        <v>14.7032</v>
      </c>
      <c r="F1163" t="n">
        <v>0.12228</v>
      </c>
    </row>
    <row r="1164">
      <c r="A1164" t="n">
        <v>1001162</v>
      </c>
      <c r="B1164" t="n">
        <v>1</v>
      </c>
      <c r="C1164" t="n">
        <v>1162</v>
      </c>
      <c r="D1164" t="n">
        <v>-0.0776</v>
      </c>
      <c r="E1164" t="n">
        <v>14.7087</v>
      </c>
      <c r="F1164" t="n">
        <v>0.12229</v>
      </c>
    </row>
    <row r="1165">
      <c r="A1165" t="n">
        <v>1001163</v>
      </c>
      <c r="B1165" t="n">
        <v>1</v>
      </c>
      <c r="C1165" t="n">
        <v>1163</v>
      </c>
      <c r="D1165" t="n">
        <v>-0.07770000000000001</v>
      </c>
      <c r="E1165" t="n">
        <v>14.7142</v>
      </c>
      <c r="F1165" t="n">
        <v>0.12231</v>
      </c>
    </row>
    <row r="1166">
      <c r="A1166" t="n">
        <v>1001164</v>
      </c>
      <c r="B1166" t="n">
        <v>1</v>
      </c>
      <c r="C1166" t="n">
        <v>1164</v>
      </c>
      <c r="D1166" t="n">
        <v>-0.07779999999999999</v>
      </c>
      <c r="E1166" t="n">
        <v>14.7197</v>
      </c>
      <c r="F1166" t="n">
        <v>0.12233</v>
      </c>
    </row>
    <row r="1167">
      <c r="A1167" t="n">
        <v>1001165</v>
      </c>
      <c r="B1167" t="n">
        <v>1</v>
      </c>
      <c r="C1167" t="n">
        <v>1165</v>
      </c>
      <c r="D1167" t="n">
        <v>-0.078</v>
      </c>
      <c r="E1167" t="n">
        <v>14.7252</v>
      </c>
      <c r="F1167" t="n">
        <v>0.12234</v>
      </c>
    </row>
    <row r="1168">
      <c r="A1168" t="n">
        <v>1001166</v>
      </c>
      <c r="B1168" t="n">
        <v>1</v>
      </c>
      <c r="C1168" t="n">
        <v>1166</v>
      </c>
      <c r="D1168" t="n">
        <v>-0.0781</v>
      </c>
      <c r="E1168" t="n">
        <v>14.7307</v>
      </c>
      <c r="F1168" t="n">
        <v>0.12236</v>
      </c>
    </row>
    <row r="1169">
      <c r="A1169" t="n">
        <v>1001167</v>
      </c>
      <c r="B1169" t="n">
        <v>1</v>
      </c>
      <c r="C1169" t="n">
        <v>1167</v>
      </c>
      <c r="D1169" t="n">
        <v>-0.07820000000000001</v>
      </c>
      <c r="E1169" t="n">
        <v>14.7362</v>
      </c>
      <c r="F1169" t="n">
        <v>0.12238</v>
      </c>
    </row>
    <row r="1170">
      <c r="A1170" t="n">
        <v>1001168</v>
      </c>
      <c r="B1170" t="n">
        <v>1</v>
      </c>
      <c r="C1170" t="n">
        <v>1168</v>
      </c>
      <c r="D1170" t="n">
        <v>-0.07829999999999999</v>
      </c>
      <c r="E1170" t="n">
        <v>14.7417</v>
      </c>
      <c r="F1170" t="n">
        <v>0.12239</v>
      </c>
    </row>
    <row r="1171">
      <c r="A1171" t="n">
        <v>1001169</v>
      </c>
      <c r="B1171" t="n">
        <v>1</v>
      </c>
      <c r="C1171" t="n">
        <v>1169</v>
      </c>
      <c r="D1171" t="n">
        <v>-0.0785</v>
      </c>
      <c r="E1171" t="n">
        <v>14.7472</v>
      </c>
      <c r="F1171" t="n">
        <v>0.12241</v>
      </c>
    </row>
    <row r="1172">
      <c r="A1172" t="n">
        <v>1001170</v>
      </c>
      <c r="B1172" t="n">
        <v>1</v>
      </c>
      <c r="C1172" t="n">
        <v>1170</v>
      </c>
      <c r="D1172" t="n">
        <v>-0.0786</v>
      </c>
      <c r="E1172" t="n">
        <v>14.7527</v>
      </c>
      <c r="F1172" t="n">
        <v>0.12243</v>
      </c>
    </row>
    <row r="1173">
      <c r="A1173" t="n">
        <v>1001171</v>
      </c>
      <c r="B1173" t="n">
        <v>1</v>
      </c>
      <c r="C1173" t="n">
        <v>1171</v>
      </c>
      <c r="D1173" t="n">
        <v>-0.07870000000000001</v>
      </c>
      <c r="E1173" t="n">
        <v>14.7582</v>
      </c>
      <c r="F1173" t="n">
        <v>0.12244</v>
      </c>
    </row>
    <row r="1174">
      <c r="A1174" t="n">
        <v>1001172</v>
      </c>
      <c r="B1174" t="n">
        <v>1</v>
      </c>
      <c r="C1174" t="n">
        <v>1172</v>
      </c>
      <c r="D1174" t="n">
        <v>-0.0788</v>
      </c>
      <c r="E1174" t="n">
        <v>14.7637</v>
      </c>
      <c r="F1174" t="n">
        <v>0.12246</v>
      </c>
    </row>
    <row r="1175">
      <c r="A1175" t="n">
        <v>1001173</v>
      </c>
      <c r="B1175" t="n">
        <v>1</v>
      </c>
      <c r="C1175" t="n">
        <v>1173</v>
      </c>
      <c r="D1175" t="n">
        <v>-0.079</v>
      </c>
      <c r="E1175" t="n">
        <v>14.7692</v>
      </c>
      <c r="F1175" t="n">
        <v>0.12248</v>
      </c>
    </row>
    <row r="1176">
      <c r="A1176" t="n">
        <v>1001174</v>
      </c>
      <c r="B1176" t="n">
        <v>1</v>
      </c>
      <c r="C1176" t="n">
        <v>1174</v>
      </c>
      <c r="D1176" t="n">
        <v>-0.0791</v>
      </c>
      <c r="E1176" t="n">
        <v>14.7747</v>
      </c>
      <c r="F1176" t="n">
        <v>0.12249</v>
      </c>
    </row>
    <row r="1177">
      <c r="A1177" t="n">
        <v>1001175</v>
      </c>
      <c r="B1177" t="n">
        <v>1</v>
      </c>
      <c r="C1177" t="n">
        <v>1175</v>
      </c>
      <c r="D1177" t="n">
        <v>-0.07920000000000001</v>
      </c>
      <c r="E1177" t="n">
        <v>14.7802</v>
      </c>
      <c r="F1177" t="n">
        <v>0.12251</v>
      </c>
    </row>
    <row r="1178">
      <c r="A1178" t="n">
        <v>1001176</v>
      </c>
      <c r="B1178" t="n">
        <v>1</v>
      </c>
      <c r="C1178" t="n">
        <v>1176</v>
      </c>
      <c r="D1178" t="n">
        <v>-0.0794</v>
      </c>
      <c r="E1178" t="n">
        <v>14.7857</v>
      </c>
      <c r="F1178" t="n">
        <v>0.12253</v>
      </c>
    </row>
    <row r="1179">
      <c r="A1179" t="n">
        <v>1001177</v>
      </c>
      <c r="B1179" t="n">
        <v>1</v>
      </c>
      <c r="C1179" t="n">
        <v>1177</v>
      </c>
      <c r="D1179" t="n">
        <v>-0.0795</v>
      </c>
      <c r="E1179" t="n">
        <v>14.7912</v>
      </c>
      <c r="F1179" t="n">
        <v>0.12254</v>
      </c>
    </row>
    <row r="1180">
      <c r="A1180" t="n">
        <v>1001178</v>
      </c>
      <c r="B1180" t="n">
        <v>1</v>
      </c>
      <c r="C1180" t="n">
        <v>1178</v>
      </c>
      <c r="D1180" t="n">
        <v>-0.0796</v>
      </c>
      <c r="E1180" t="n">
        <v>14.7967</v>
      </c>
      <c r="F1180" t="n">
        <v>0.12256</v>
      </c>
    </row>
    <row r="1181">
      <c r="A1181" t="n">
        <v>1001179</v>
      </c>
      <c r="B1181" t="n">
        <v>1</v>
      </c>
      <c r="C1181" t="n">
        <v>1179</v>
      </c>
      <c r="D1181" t="n">
        <v>-0.07969999999999999</v>
      </c>
      <c r="E1181" t="n">
        <v>14.8022</v>
      </c>
      <c r="F1181" t="n">
        <v>0.12258</v>
      </c>
    </row>
    <row r="1182">
      <c r="A1182" t="n">
        <v>1001180</v>
      </c>
      <c r="B1182" t="n">
        <v>1</v>
      </c>
      <c r="C1182" t="n">
        <v>1180</v>
      </c>
      <c r="D1182" t="n">
        <v>-0.0799</v>
      </c>
      <c r="E1182" t="n">
        <v>14.8077</v>
      </c>
      <c r="F1182" t="n">
        <v>0.12259</v>
      </c>
    </row>
    <row r="1183">
      <c r="A1183" t="n">
        <v>1001181</v>
      </c>
      <c r="B1183" t="n">
        <v>1</v>
      </c>
      <c r="C1183" t="n">
        <v>1181</v>
      </c>
      <c r="D1183" t="n">
        <v>-0.08</v>
      </c>
      <c r="E1183" t="n">
        <v>14.8132</v>
      </c>
      <c r="F1183" t="n">
        <v>0.12261</v>
      </c>
    </row>
    <row r="1184">
      <c r="A1184" t="n">
        <v>1001182</v>
      </c>
      <c r="B1184" t="n">
        <v>1</v>
      </c>
      <c r="C1184" t="n">
        <v>1182</v>
      </c>
      <c r="D1184" t="n">
        <v>-0.0801</v>
      </c>
      <c r="E1184" t="n">
        <v>14.8187</v>
      </c>
      <c r="F1184" t="n">
        <v>0.12263</v>
      </c>
    </row>
    <row r="1185">
      <c r="A1185" t="n">
        <v>1001183</v>
      </c>
      <c r="B1185" t="n">
        <v>1</v>
      </c>
      <c r="C1185" t="n">
        <v>1183</v>
      </c>
      <c r="D1185" t="n">
        <v>-0.08019999999999999</v>
      </c>
      <c r="E1185" t="n">
        <v>14.8242</v>
      </c>
      <c r="F1185" t="n">
        <v>0.12265</v>
      </c>
    </row>
    <row r="1186">
      <c r="A1186" t="n">
        <v>1001184</v>
      </c>
      <c r="B1186" t="n">
        <v>1</v>
      </c>
      <c r="C1186" t="n">
        <v>1184</v>
      </c>
      <c r="D1186" t="n">
        <v>-0.0804</v>
      </c>
      <c r="E1186" t="n">
        <v>14.8297</v>
      </c>
      <c r="F1186" t="n">
        <v>0.12266</v>
      </c>
    </row>
    <row r="1187">
      <c r="A1187" t="n">
        <v>1001185</v>
      </c>
      <c r="B1187" t="n">
        <v>1</v>
      </c>
      <c r="C1187" t="n">
        <v>1185</v>
      </c>
      <c r="D1187" t="n">
        <v>-0.0805</v>
      </c>
      <c r="E1187" t="n">
        <v>14.8352</v>
      </c>
      <c r="F1187" t="n">
        <v>0.12268</v>
      </c>
    </row>
    <row r="1188">
      <c r="A1188" t="n">
        <v>1001186</v>
      </c>
      <c r="B1188" t="n">
        <v>1</v>
      </c>
      <c r="C1188" t="n">
        <v>1186</v>
      </c>
      <c r="D1188" t="n">
        <v>-0.0806</v>
      </c>
      <c r="E1188" t="n">
        <v>14.8407</v>
      </c>
      <c r="F1188" t="n">
        <v>0.1227</v>
      </c>
    </row>
    <row r="1189">
      <c r="A1189" t="n">
        <v>1001187</v>
      </c>
      <c r="B1189" t="n">
        <v>1</v>
      </c>
      <c r="C1189" t="n">
        <v>1187</v>
      </c>
      <c r="D1189" t="n">
        <v>-0.0808</v>
      </c>
      <c r="E1189" t="n">
        <v>14.8462</v>
      </c>
      <c r="F1189" t="n">
        <v>0.12271</v>
      </c>
    </row>
    <row r="1190">
      <c r="A1190" t="n">
        <v>1001188</v>
      </c>
      <c r="B1190" t="n">
        <v>1</v>
      </c>
      <c r="C1190" t="n">
        <v>1188</v>
      </c>
      <c r="D1190" t="n">
        <v>-0.0809</v>
      </c>
      <c r="E1190" t="n">
        <v>14.8517</v>
      </c>
      <c r="F1190" t="n">
        <v>0.12273</v>
      </c>
    </row>
    <row r="1191">
      <c r="A1191" t="n">
        <v>1001189</v>
      </c>
      <c r="B1191" t="n">
        <v>1</v>
      </c>
      <c r="C1191" t="n">
        <v>1189</v>
      </c>
      <c r="D1191" t="n">
        <v>-0.081</v>
      </c>
      <c r="E1191" t="n">
        <v>14.8572</v>
      </c>
      <c r="F1191" t="n">
        <v>0.12275</v>
      </c>
    </row>
    <row r="1192">
      <c r="A1192" t="n">
        <v>1001190</v>
      </c>
      <c r="B1192" t="n">
        <v>1</v>
      </c>
      <c r="C1192" t="n">
        <v>1190</v>
      </c>
      <c r="D1192" t="n">
        <v>-0.08110000000000001</v>
      </c>
      <c r="E1192" t="n">
        <v>14.8627</v>
      </c>
      <c r="F1192" t="n">
        <v>0.12276</v>
      </c>
    </row>
    <row r="1193">
      <c r="A1193" t="n">
        <v>1001191</v>
      </c>
      <c r="B1193" t="n">
        <v>1</v>
      </c>
      <c r="C1193" t="n">
        <v>1191</v>
      </c>
      <c r="D1193" t="n">
        <v>-0.0813</v>
      </c>
      <c r="E1193" t="n">
        <v>14.8682</v>
      </c>
      <c r="F1193" t="n">
        <v>0.12278</v>
      </c>
    </row>
    <row r="1194">
      <c r="A1194" t="n">
        <v>1001192</v>
      </c>
      <c r="B1194" t="n">
        <v>1</v>
      </c>
      <c r="C1194" t="n">
        <v>1192</v>
      </c>
      <c r="D1194" t="n">
        <v>-0.0814</v>
      </c>
      <c r="E1194" t="n">
        <v>14.8737</v>
      </c>
      <c r="F1194" t="n">
        <v>0.1228</v>
      </c>
    </row>
    <row r="1195">
      <c r="A1195" t="n">
        <v>1001193</v>
      </c>
      <c r="B1195" t="n">
        <v>1</v>
      </c>
      <c r="C1195" t="n">
        <v>1193</v>
      </c>
      <c r="D1195" t="n">
        <v>-0.0815</v>
      </c>
      <c r="E1195" t="n">
        <v>14.8792</v>
      </c>
      <c r="F1195" t="n">
        <v>0.12281</v>
      </c>
    </row>
    <row r="1196">
      <c r="A1196" t="n">
        <v>1001194</v>
      </c>
      <c r="B1196" t="n">
        <v>1</v>
      </c>
      <c r="C1196" t="n">
        <v>1194</v>
      </c>
      <c r="D1196" t="n">
        <v>-0.08160000000000001</v>
      </c>
      <c r="E1196" t="n">
        <v>14.8847</v>
      </c>
      <c r="F1196" t="n">
        <v>0.12283</v>
      </c>
    </row>
    <row r="1197">
      <c r="A1197" t="n">
        <v>1001195</v>
      </c>
      <c r="B1197" t="n">
        <v>1</v>
      </c>
      <c r="C1197" t="n">
        <v>1195</v>
      </c>
      <c r="D1197" t="n">
        <v>-0.0818</v>
      </c>
      <c r="E1197" t="n">
        <v>14.8902</v>
      </c>
      <c r="F1197" t="n">
        <v>0.12285</v>
      </c>
    </row>
    <row r="1198">
      <c r="A1198" t="n">
        <v>1001196</v>
      </c>
      <c r="B1198" t="n">
        <v>1</v>
      </c>
      <c r="C1198" t="n">
        <v>1196</v>
      </c>
      <c r="D1198" t="n">
        <v>-0.0819</v>
      </c>
      <c r="E1198" t="n">
        <v>14.8957</v>
      </c>
      <c r="F1198" t="n">
        <v>0.12286</v>
      </c>
    </row>
    <row r="1199">
      <c r="A1199" t="n">
        <v>1001197</v>
      </c>
      <c r="B1199" t="n">
        <v>1</v>
      </c>
      <c r="C1199" t="n">
        <v>1197</v>
      </c>
      <c r="D1199" t="n">
        <v>-0.082</v>
      </c>
      <c r="E1199" t="n">
        <v>14.9012</v>
      </c>
      <c r="F1199" t="n">
        <v>0.12288</v>
      </c>
    </row>
    <row r="1200">
      <c r="A1200" t="n">
        <v>1001198</v>
      </c>
      <c r="B1200" t="n">
        <v>1</v>
      </c>
      <c r="C1200" t="n">
        <v>1198</v>
      </c>
      <c r="D1200" t="n">
        <v>-0.08210000000000001</v>
      </c>
      <c r="E1200" t="n">
        <v>14.9067</v>
      </c>
      <c r="F1200" t="n">
        <v>0.1229</v>
      </c>
    </row>
    <row r="1201">
      <c r="A1201" t="n">
        <v>1001199</v>
      </c>
      <c r="B1201" t="n">
        <v>1</v>
      </c>
      <c r="C1201" t="n">
        <v>1199</v>
      </c>
      <c r="D1201" t="n">
        <v>-0.0823</v>
      </c>
      <c r="E1201" t="n">
        <v>14.9122</v>
      </c>
      <c r="F1201" t="n">
        <v>0.12291</v>
      </c>
    </row>
    <row r="1202">
      <c r="A1202" t="n">
        <v>1001200</v>
      </c>
      <c r="B1202" t="n">
        <v>1</v>
      </c>
      <c r="C1202" t="n">
        <v>1200</v>
      </c>
      <c r="D1202" t="n">
        <v>-0.0824</v>
      </c>
      <c r="E1202" t="n">
        <v>14.9177</v>
      </c>
      <c r="F1202" t="n">
        <v>0.12293</v>
      </c>
    </row>
    <row r="1203">
      <c r="A1203" t="n">
        <v>1001201</v>
      </c>
      <c r="B1203" t="n">
        <v>1</v>
      </c>
      <c r="C1203" t="n">
        <v>1201</v>
      </c>
      <c r="D1203" t="n">
        <v>-0.0825</v>
      </c>
      <c r="E1203" t="n">
        <v>14.9232</v>
      </c>
      <c r="F1203" t="n">
        <v>0.12295</v>
      </c>
    </row>
    <row r="1204">
      <c r="A1204" t="n">
        <v>1001202</v>
      </c>
      <c r="B1204" t="n">
        <v>1</v>
      </c>
      <c r="C1204" t="n">
        <v>1202</v>
      </c>
      <c r="D1204" t="n">
        <v>-0.08260000000000001</v>
      </c>
      <c r="E1204" t="n">
        <v>14.9287</v>
      </c>
      <c r="F1204" t="n">
        <v>0.12296</v>
      </c>
    </row>
    <row r="1205">
      <c r="A1205" t="n">
        <v>1001203</v>
      </c>
      <c r="B1205" t="n">
        <v>1</v>
      </c>
      <c r="C1205" t="n">
        <v>1203</v>
      </c>
      <c r="D1205" t="n">
        <v>-0.0828</v>
      </c>
      <c r="E1205" t="n">
        <v>14.9342</v>
      </c>
      <c r="F1205" t="n">
        <v>0.12298</v>
      </c>
    </row>
    <row r="1206">
      <c r="A1206" t="n">
        <v>1001204</v>
      </c>
      <c r="B1206" t="n">
        <v>1</v>
      </c>
      <c r="C1206" t="n">
        <v>1204</v>
      </c>
      <c r="D1206" t="n">
        <v>-0.0829</v>
      </c>
      <c r="E1206" t="n">
        <v>14.9397</v>
      </c>
      <c r="F1206" t="n">
        <v>0.123</v>
      </c>
    </row>
    <row r="1207">
      <c r="A1207" t="n">
        <v>1001205</v>
      </c>
      <c r="B1207" t="n">
        <v>1</v>
      </c>
      <c r="C1207" t="n">
        <v>1205</v>
      </c>
      <c r="D1207" t="n">
        <v>-0.083</v>
      </c>
      <c r="E1207" t="n">
        <v>14.9452</v>
      </c>
      <c r="F1207" t="n">
        <v>0.12301</v>
      </c>
    </row>
    <row r="1208">
      <c r="A1208" t="n">
        <v>1001206</v>
      </c>
      <c r="B1208" t="n">
        <v>1</v>
      </c>
      <c r="C1208" t="n">
        <v>1206</v>
      </c>
      <c r="D1208" t="n">
        <v>-0.08309999999999999</v>
      </c>
      <c r="E1208" t="n">
        <v>14.9507</v>
      </c>
      <c r="F1208" t="n">
        <v>0.12303</v>
      </c>
    </row>
    <row r="1209">
      <c r="A1209" t="n">
        <v>1001207</v>
      </c>
      <c r="B1209" t="n">
        <v>1</v>
      </c>
      <c r="C1209" t="n">
        <v>1207</v>
      </c>
      <c r="D1209" t="n">
        <v>-0.0833</v>
      </c>
      <c r="E1209" t="n">
        <v>14.9562</v>
      </c>
      <c r="F1209" t="n">
        <v>0.12305</v>
      </c>
    </row>
    <row r="1210">
      <c r="A1210" t="n">
        <v>1001208</v>
      </c>
      <c r="B1210" t="n">
        <v>1</v>
      </c>
      <c r="C1210" t="n">
        <v>1208</v>
      </c>
      <c r="D1210" t="n">
        <v>-0.0834</v>
      </c>
      <c r="E1210" t="n">
        <v>14.9617</v>
      </c>
      <c r="F1210" t="n">
        <v>0.12306</v>
      </c>
    </row>
    <row r="1211">
      <c r="A1211" t="n">
        <v>1001209</v>
      </c>
      <c r="B1211" t="n">
        <v>1</v>
      </c>
      <c r="C1211" t="n">
        <v>1209</v>
      </c>
      <c r="D1211" t="n">
        <v>-0.0835</v>
      </c>
      <c r="E1211" t="n">
        <v>14.9672</v>
      </c>
      <c r="F1211" t="n">
        <v>0.12308</v>
      </c>
    </row>
    <row r="1212">
      <c r="A1212" t="n">
        <v>1001210</v>
      </c>
      <c r="B1212" t="n">
        <v>1</v>
      </c>
      <c r="C1212" t="n">
        <v>1210</v>
      </c>
      <c r="D1212" t="n">
        <v>-0.08359999999999999</v>
      </c>
      <c r="E1212" t="n">
        <v>14.9727</v>
      </c>
      <c r="F1212" t="n">
        <v>0.1231</v>
      </c>
    </row>
    <row r="1213">
      <c r="A1213" t="n">
        <v>1001211</v>
      </c>
      <c r="B1213" t="n">
        <v>1</v>
      </c>
      <c r="C1213" t="n">
        <v>1211</v>
      </c>
      <c r="D1213" t="n">
        <v>-0.0838</v>
      </c>
      <c r="E1213" t="n">
        <v>14.9782</v>
      </c>
      <c r="F1213" t="n">
        <v>0.12311</v>
      </c>
    </row>
    <row r="1214">
      <c r="A1214" t="n">
        <v>1001212</v>
      </c>
      <c r="B1214" t="n">
        <v>1</v>
      </c>
      <c r="C1214" t="n">
        <v>1212</v>
      </c>
      <c r="D1214" t="n">
        <v>-0.0839</v>
      </c>
      <c r="E1214" t="n">
        <v>14.9837</v>
      </c>
      <c r="F1214" t="n">
        <v>0.12313</v>
      </c>
    </row>
    <row r="1215">
      <c r="A1215" t="n">
        <v>1001213</v>
      </c>
      <c r="B1215" t="n">
        <v>1</v>
      </c>
      <c r="C1215" t="n">
        <v>1213</v>
      </c>
      <c r="D1215" t="n">
        <v>-0.08400000000000001</v>
      </c>
      <c r="E1215" t="n">
        <v>14.9892</v>
      </c>
      <c r="F1215" t="n">
        <v>0.12315</v>
      </c>
    </row>
    <row r="1216">
      <c r="A1216" t="n">
        <v>1001214</v>
      </c>
      <c r="B1216" t="n">
        <v>1</v>
      </c>
      <c r="C1216" t="n">
        <v>1214</v>
      </c>
      <c r="D1216" t="n">
        <v>-0.08409999999999999</v>
      </c>
      <c r="E1216" t="n">
        <v>14.9947</v>
      </c>
      <c r="F1216" t="n">
        <v>0.12316</v>
      </c>
    </row>
    <row r="1217">
      <c r="A1217" t="n">
        <v>1001215</v>
      </c>
      <c r="B1217" t="n">
        <v>1</v>
      </c>
      <c r="C1217" t="n">
        <v>1215</v>
      </c>
      <c r="D1217" t="n">
        <v>-0.0843</v>
      </c>
      <c r="E1217" t="n">
        <v>15.0002</v>
      </c>
      <c r="F1217" t="n">
        <v>0.12318</v>
      </c>
    </row>
    <row r="1218">
      <c r="A1218" t="n">
        <v>1001216</v>
      </c>
      <c r="B1218" t="n">
        <v>1</v>
      </c>
      <c r="C1218" t="n">
        <v>1216</v>
      </c>
      <c r="D1218" t="n">
        <v>-0.0844</v>
      </c>
      <c r="E1218" t="n">
        <v>15.0057</v>
      </c>
      <c r="F1218" t="n">
        <v>0.1232</v>
      </c>
    </row>
    <row r="1219">
      <c r="A1219" t="n">
        <v>1001217</v>
      </c>
      <c r="B1219" t="n">
        <v>1</v>
      </c>
      <c r="C1219" t="n">
        <v>1217</v>
      </c>
      <c r="D1219" t="n">
        <v>-0.08450000000000001</v>
      </c>
      <c r="E1219" t="n">
        <v>15.0112</v>
      </c>
      <c r="F1219" t="n">
        <v>0.12321</v>
      </c>
    </row>
    <row r="1220">
      <c r="A1220" t="n">
        <v>1001218</v>
      </c>
      <c r="B1220" t="n">
        <v>1</v>
      </c>
      <c r="C1220" t="n">
        <v>1218</v>
      </c>
      <c r="D1220" t="n">
        <v>-0.08459999999999999</v>
      </c>
      <c r="E1220" t="n">
        <v>15.0167</v>
      </c>
      <c r="F1220" t="n">
        <v>0.12323</v>
      </c>
    </row>
    <row r="1221">
      <c r="A1221" t="n">
        <v>1001219</v>
      </c>
      <c r="B1221" t="n">
        <v>1</v>
      </c>
      <c r="C1221" t="n">
        <v>1219</v>
      </c>
      <c r="D1221" t="n">
        <v>-0.0848</v>
      </c>
      <c r="E1221" t="n">
        <v>15.0222</v>
      </c>
      <c r="F1221" t="n">
        <v>0.12325</v>
      </c>
    </row>
    <row r="1222">
      <c r="A1222" t="n">
        <v>1001220</v>
      </c>
      <c r="B1222" t="n">
        <v>1</v>
      </c>
      <c r="C1222" t="n">
        <v>1220</v>
      </c>
      <c r="D1222" t="n">
        <v>-0.0849</v>
      </c>
      <c r="E1222" t="n">
        <v>15.0277</v>
      </c>
      <c r="F1222" t="n">
        <v>0.12326</v>
      </c>
    </row>
    <row r="1223">
      <c r="A1223" t="n">
        <v>1001221</v>
      </c>
      <c r="B1223" t="n">
        <v>1</v>
      </c>
      <c r="C1223" t="n">
        <v>1221</v>
      </c>
      <c r="D1223" t="n">
        <v>-0.08500000000000001</v>
      </c>
      <c r="E1223" t="n">
        <v>15.0332</v>
      </c>
      <c r="F1223" t="n">
        <v>0.12328</v>
      </c>
    </row>
    <row r="1224">
      <c r="A1224" t="n">
        <v>1001222</v>
      </c>
      <c r="B1224" t="n">
        <v>1</v>
      </c>
      <c r="C1224" t="n">
        <v>1222</v>
      </c>
      <c r="D1224" t="n">
        <v>-0.0851</v>
      </c>
      <c r="E1224" t="n">
        <v>15.0387</v>
      </c>
      <c r="F1224" t="n">
        <v>0.1233</v>
      </c>
    </row>
    <row r="1225">
      <c r="A1225" t="n">
        <v>1001223</v>
      </c>
      <c r="B1225" t="n">
        <v>1</v>
      </c>
      <c r="C1225" t="n">
        <v>1223</v>
      </c>
      <c r="D1225" t="n">
        <v>-0.0853</v>
      </c>
      <c r="E1225" t="n">
        <v>15.0442</v>
      </c>
      <c r="F1225" t="n">
        <v>0.12331</v>
      </c>
    </row>
    <row r="1226">
      <c r="A1226" t="n">
        <v>1001224</v>
      </c>
      <c r="B1226" t="n">
        <v>1</v>
      </c>
      <c r="C1226" t="n">
        <v>1224</v>
      </c>
      <c r="D1226" t="n">
        <v>-0.0854</v>
      </c>
      <c r="E1226" t="n">
        <v>15.0497</v>
      </c>
      <c r="F1226" t="n">
        <v>0.12333</v>
      </c>
    </row>
    <row r="1227">
      <c r="A1227" t="n">
        <v>1001225</v>
      </c>
      <c r="B1227" t="n">
        <v>1</v>
      </c>
      <c r="C1227" t="n">
        <v>1225</v>
      </c>
      <c r="D1227" t="n">
        <v>-0.08550000000000001</v>
      </c>
      <c r="E1227" t="n">
        <v>15.0552</v>
      </c>
      <c r="F1227" t="n">
        <v>0.12335</v>
      </c>
    </row>
    <row r="1228">
      <c r="A1228" t="n">
        <v>1001226</v>
      </c>
      <c r="B1228" t="n">
        <v>1</v>
      </c>
      <c r="C1228" t="n">
        <v>1226</v>
      </c>
      <c r="D1228" t="n">
        <v>-0.0856</v>
      </c>
      <c r="E1228" t="n">
        <v>15.0607</v>
      </c>
      <c r="F1228" t="n">
        <v>0.12336</v>
      </c>
    </row>
    <row r="1229">
      <c r="A1229" t="n">
        <v>1001227</v>
      </c>
      <c r="B1229" t="n">
        <v>1</v>
      </c>
      <c r="C1229" t="n">
        <v>1227</v>
      </c>
      <c r="D1229" t="n">
        <v>-0.0858</v>
      </c>
      <c r="E1229" t="n">
        <v>15.0662</v>
      </c>
      <c r="F1229" t="n">
        <v>0.12338</v>
      </c>
    </row>
    <row r="1230">
      <c r="A1230" t="n">
        <v>1001228</v>
      </c>
      <c r="B1230" t="n">
        <v>1</v>
      </c>
      <c r="C1230" t="n">
        <v>1228</v>
      </c>
      <c r="D1230" t="n">
        <v>-0.0859</v>
      </c>
      <c r="E1230" t="n">
        <v>15.0717</v>
      </c>
      <c r="F1230" t="n">
        <v>0.1234</v>
      </c>
    </row>
    <row r="1231">
      <c r="A1231" t="n">
        <v>1001229</v>
      </c>
      <c r="B1231" t="n">
        <v>1</v>
      </c>
      <c r="C1231" t="n">
        <v>1229</v>
      </c>
      <c r="D1231" t="n">
        <v>-0.08599999999999999</v>
      </c>
      <c r="E1231" t="n">
        <v>15.0772</v>
      </c>
      <c r="F1231" t="n">
        <v>0.12342</v>
      </c>
    </row>
    <row r="1232">
      <c r="A1232" t="n">
        <v>1001230</v>
      </c>
      <c r="B1232" t="n">
        <v>1</v>
      </c>
      <c r="C1232" t="n">
        <v>1230</v>
      </c>
      <c r="D1232" t="n">
        <v>-0.0861</v>
      </c>
      <c r="E1232" t="n">
        <v>15.0827</v>
      </c>
      <c r="F1232" t="n">
        <v>0.12343</v>
      </c>
    </row>
    <row r="1233">
      <c r="A1233" t="n">
        <v>1001231</v>
      </c>
      <c r="B1233" t="n">
        <v>1</v>
      </c>
      <c r="C1233" t="n">
        <v>1231</v>
      </c>
      <c r="D1233" t="n">
        <v>-0.0863</v>
      </c>
      <c r="E1233" t="n">
        <v>15.0882</v>
      </c>
      <c r="F1233" t="n">
        <v>0.12345</v>
      </c>
    </row>
    <row r="1234">
      <c r="A1234" t="n">
        <v>1001232</v>
      </c>
      <c r="B1234" t="n">
        <v>1</v>
      </c>
      <c r="C1234" t="n">
        <v>1232</v>
      </c>
      <c r="D1234" t="n">
        <v>-0.0864</v>
      </c>
      <c r="E1234" t="n">
        <v>15.0937</v>
      </c>
      <c r="F1234" t="n">
        <v>0.12347</v>
      </c>
    </row>
    <row r="1235">
      <c r="A1235" t="n">
        <v>1001233</v>
      </c>
      <c r="B1235" t="n">
        <v>1</v>
      </c>
      <c r="C1235" t="n">
        <v>1233</v>
      </c>
      <c r="D1235" t="n">
        <v>-0.08649999999999999</v>
      </c>
      <c r="E1235" t="n">
        <v>15.0992</v>
      </c>
      <c r="F1235" t="n">
        <v>0.12348</v>
      </c>
    </row>
    <row r="1236">
      <c r="A1236" t="n">
        <v>1001234</v>
      </c>
      <c r="B1236" t="n">
        <v>1</v>
      </c>
      <c r="C1236" t="n">
        <v>1234</v>
      </c>
      <c r="D1236" t="n">
        <v>-0.0866</v>
      </c>
      <c r="E1236" t="n">
        <v>15.1047</v>
      </c>
      <c r="F1236" t="n">
        <v>0.1235</v>
      </c>
    </row>
    <row r="1237">
      <c r="A1237" t="n">
        <v>1001235</v>
      </c>
      <c r="B1237" t="n">
        <v>1</v>
      </c>
      <c r="C1237" t="n">
        <v>1235</v>
      </c>
      <c r="D1237" t="n">
        <v>-0.0868</v>
      </c>
      <c r="E1237" t="n">
        <v>15.1102</v>
      </c>
      <c r="F1237" t="n">
        <v>0.12352</v>
      </c>
    </row>
    <row r="1238">
      <c r="A1238" t="n">
        <v>1001236</v>
      </c>
      <c r="B1238" t="n">
        <v>1</v>
      </c>
      <c r="C1238" t="n">
        <v>1236</v>
      </c>
      <c r="D1238" t="n">
        <v>-0.08690000000000001</v>
      </c>
      <c r="E1238" t="n">
        <v>15.1157</v>
      </c>
      <c r="F1238" t="n">
        <v>0.12353</v>
      </c>
    </row>
    <row r="1239">
      <c r="A1239" t="n">
        <v>1001237</v>
      </c>
      <c r="B1239" t="n">
        <v>1</v>
      </c>
      <c r="C1239" t="n">
        <v>1237</v>
      </c>
      <c r="D1239" t="n">
        <v>-0.08699999999999999</v>
      </c>
      <c r="E1239" t="n">
        <v>15.1212</v>
      </c>
      <c r="F1239" t="n">
        <v>0.12355</v>
      </c>
    </row>
    <row r="1240">
      <c r="A1240" t="n">
        <v>1001238</v>
      </c>
      <c r="B1240" t="n">
        <v>1</v>
      </c>
      <c r="C1240" t="n">
        <v>1238</v>
      </c>
      <c r="D1240" t="n">
        <v>-0.0871</v>
      </c>
      <c r="E1240" t="n">
        <v>15.1267</v>
      </c>
      <c r="F1240" t="n">
        <v>0.12357</v>
      </c>
    </row>
    <row r="1241">
      <c r="A1241" t="n">
        <v>1001239</v>
      </c>
      <c r="B1241" t="n">
        <v>1</v>
      </c>
      <c r="C1241" t="n">
        <v>1239</v>
      </c>
      <c r="D1241" t="n">
        <v>-0.0872</v>
      </c>
      <c r="E1241" t="n">
        <v>15.1322</v>
      </c>
      <c r="F1241" t="n">
        <v>0.12358</v>
      </c>
    </row>
    <row r="1242">
      <c r="A1242" t="n">
        <v>1001240</v>
      </c>
      <c r="B1242" t="n">
        <v>1</v>
      </c>
      <c r="C1242" t="n">
        <v>1240</v>
      </c>
      <c r="D1242" t="n">
        <v>-0.08740000000000001</v>
      </c>
      <c r="E1242" t="n">
        <v>15.1377</v>
      </c>
      <c r="F1242" t="n">
        <v>0.1236</v>
      </c>
    </row>
    <row r="1243">
      <c r="A1243" t="n">
        <v>1001241</v>
      </c>
      <c r="B1243" t="n">
        <v>1</v>
      </c>
      <c r="C1243" t="n">
        <v>1241</v>
      </c>
      <c r="D1243" t="n">
        <v>-0.08749999999999999</v>
      </c>
      <c r="E1243" t="n">
        <v>15.1432</v>
      </c>
      <c r="F1243" t="n">
        <v>0.12362</v>
      </c>
    </row>
    <row r="1244">
      <c r="A1244" t="n">
        <v>1001242</v>
      </c>
      <c r="B1244" t="n">
        <v>1</v>
      </c>
      <c r="C1244" t="n">
        <v>1242</v>
      </c>
      <c r="D1244" t="n">
        <v>-0.0876</v>
      </c>
      <c r="E1244" t="n">
        <v>15.1487</v>
      </c>
      <c r="F1244" t="n">
        <v>0.12363</v>
      </c>
    </row>
    <row r="1245">
      <c r="A1245" t="n">
        <v>1001243</v>
      </c>
      <c r="B1245" t="n">
        <v>1</v>
      </c>
      <c r="C1245" t="n">
        <v>1243</v>
      </c>
      <c r="D1245" t="n">
        <v>-0.0877</v>
      </c>
      <c r="E1245" t="n">
        <v>15.1542</v>
      </c>
      <c r="F1245" t="n">
        <v>0.12365</v>
      </c>
    </row>
    <row r="1246">
      <c r="A1246" t="n">
        <v>1001244</v>
      </c>
      <c r="B1246" t="n">
        <v>1</v>
      </c>
      <c r="C1246" t="n">
        <v>1244</v>
      </c>
      <c r="D1246" t="n">
        <v>-0.08790000000000001</v>
      </c>
      <c r="E1246" t="n">
        <v>15.1596</v>
      </c>
      <c r="F1246" t="n">
        <v>0.12367</v>
      </c>
    </row>
    <row r="1247">
      <c r="A1247" t="n">
        <v>1001245</v>
      </c>
      <c r="B1247" t="n">
        <v>1</v>
      </c>
      <c r="C1247" t="n">
        <v>1245</v>
      </c>
      <c r="D1247" t="n">
        <v>-0.08799999999999999</v>
      </c>
      <c r="E1247" t="n">
        <v>15.1651</v>
      </c>
      <c r="F1247" t="n">
        <v>0.12368</v>
      </c>
    </row>
    <row r="1248">
      <c r="A1248" t="n">
        <v>1001246</v>
      </c>
      <c r="B1248" t="n">
        <v>1</v>
      </c>
      <c r="C1248" t="n">
        <v>1246</v>
      </c>
      <c r="D1248" t="n">
        <v>-0.0881</v>
      </c>
      <c r="E1248" t="n">
        <v>15.1706</v>
      </c>
      <c r="F1248" t="n">
        <v>0.1237</v>
      </c>
    </row>
    <row r="1249">
      <c r="A1249" t="n">
        <v>1001247</v>
      </c>
      <c r="B1249" t="n">
        <v>1</v>
      </c>
      <c r="C1249" t="n">
        <v>1247</v>
      </c>
      <c r="D1249" t="n">
        <v>-0.0882</v>
      </c>
      <c r="E1249" t="n">
        <v>15.1761</v>
      </c>
      <c r="F1249" t="n">
        <v>0.12372</v>
      </c>
    </row>
    <row r="1250">
      <c r="A1250" t="n">
        <v>1001248</v>
      </c>
      <c r="B1250" t="n">
        <v>1</v>
      </c>
      <c r="C1250" t="n">
        <v>1248</v>
      </c>
      <c r="D1250" t="n">
        <v>-0.0883</v>
      </c>
      <c r="E1250" t="n">
        <v>15.1816</v>
      </c>
      <c r="F1250" t="n">
        <v>0.12373</v>
      </c>
    </row>
    <row r="1251">
      <c r="A1251" t="n">
        <v>1001249</v>
      </c>
      <c r="B1251" t="n">
        <v>1</v>
      </c>
      <c r="C1251" t="n">
        <v>1249</v>
      </c>
      <c r="D1251" t="n">
        <v>-0.0885</v>
      </c>
      <c r="E1251" t="n">
        <v>15.1871</v>
      </c>
      <c r="F1251" t="n">
        <v>0.12375</v>
      </c>
    </row>
    <row r="1252">
      <c r="A1252" t="n">
        <v>1001250</v>
      </c>
      <c r="B1252" t="n">
        <v>1</v>
      </c>
      <c r="C1252" t="n">
        <v>1250</v>
      </c>
      <c r="D1252" t="n">
        <v>-0.0886</v>
      </c>
      <c r="E1252" t="n">
        <v>15.1926</v>
      </c>
      <c r="F1252" t="n">
        <v>0.12377</v>
      </c>
    </row>
    <row r="1253">
      <c r="A1253" t="n">
        <v>1001251</v>
      </c>
      <c r="B1253" t="n">
        <v>1</v>
      </c>
      <c r="C1253" t="n">
        <v>1251</v>
      </c>
      <c r="D1253" t="n">
        <v>-0.0887</v>
      </c>
      <c r="E1253" t="n">
        <v>15.1981</v>
      </c>
      <c r="F1253" t="n">
        <v>0.12379</v>
      </c>
    </row>
    <row r="1254">
      <c r="A1254" t="n">
        <v>1001252</v>
      </c>
      <c r="B1254" t="n">
        <v>1</v>
      </c>
      <c r="C1254" t="n">
        <v>1252</v>
      </c>
      <c r="D1254" t="n">
        <v>-0.0888</v>
      </c>
      <c r="E1254" t="n">
        <v>15.2036</v>
      </c>
      <c r="F1254" t="n">
        <v>0.1238</v>
      </c>
    </row>
    <row r="1255">
      <c r="A1255" t="n">
        <v>1001253</v>
      </c>
      <c r="B1255" t="n">
        <v>1</v>
      </c>
      <c r="C1255" t="n">
        <v>1253</v>
      </c>
      <c r="D1255" t="n">
        <v>-0.089</v>
      </c>
      <c r="E1255" t="n">
        <v>15.2091</v>
      </c>
      <c r="F1255" t="n">
        <v>0.12382</v>
      </c>
    </row>
    <row r="1256">
      <c r="A1256" t="n">
        <v>1001254</v>
      </c>
      <c r="B1256" t="n">
        <v>1</v>
      </c>
      <c r="C1256" t="n">
        <v>1254</v>
      </c>
      <c r="D1256" t="n">
        <v>-0.0891</v>
      </c>
      <c r="E1256" t="n">
        <v>15.2146</v>
      </c>
      <c r="F1256" t="n">
        <v>0.12384</v>
      </c>
    </row>
    <row r="1257">
      <c r="A1257" t="n">
        <v>1001255</v>
      </c>
      <c r="B1257" t="n">
        <v>1</v>
      </c>
      <c r="C1257" t="n">
        <v>1255</v>
      </c>
      <c r="D1257" t="n">
        <v>-0.0892</v>
      </c>
      <c r="E1257" t="n">
        <v>15.2201</v>
      </c>
      <c r="F1257" t="n">
        <v>0.12385</v>
      </c>
    </row>
    <row r="1258">
      <c r="A1258" t="n">
        <v>1001256</v>
      </c>
      <c r="B1258" t="n">
        <v>1</v>
      </c>
      <c r="C1258" t="n">
        <v>1256</v>
      </c>
      <c r="D1258" t="n">
        <v>-0.0893</v>
      </c>
      <c r="E1258" t="n">
        <v>15.2256</v>
      </c>
      <c r="F1258" t="n">
        <v>0.12387</v>
      </c>
    </row>
    <row r="1259">
      <c r="A1259" t="n">
        <v>1001257</v>
      </c>
      <c r="B1259" t="n">
        <v>1</v>
      </c>
      <c r="C1259" t="n">
        <v>1257</v>
      </c>
      <c r="D1259" t="n">
        <v>-0.08939999999999999</v>
      </c>
      <c r="E1259" t="n">
        <v>15.2311</v>
      </c>
      <c r="F1259" t="n">
        <v>0.12389</v>
      </c>
    </row>
    <row r="1260">
      <c r="A1260" t="n">
        <v>1001258</v>
      </c>
      <c r="B1260" t="n">
        <v>1</v>
      </c>
      <c r="C1260" t="n">
        <v>1258</v>
      </c>
      <c r="D1260" t="n">
        <v>-0.0896</v>
      </c>
      <c r="E1260" t="n">
        <v>15.2366</v>
      </c>
      <c r="F1260" t="n">
        <v>0.1239</v>
      </c>
    </row>
    <row r="1261">
      <c r="A1261" t="n">
        <v>1001259</v>
      </c>
      <c r="B1261" t="n">
        <v>1</v>
      </c>
      <c r="C1261" t="n">
        <v>1259</v>
      </c>
      <c r="D1261" t="n">
        <v>-0.0897</v>
      </c>
      <c r="E1261" t="n">
        <v>15.2421</v>
      </c>
      <c r="F1261" t="n">
        <v>0.12392</v>
      </c>
    </row>
    <row r="1262">
      <c r="A1262" t="n">
        <v>1001260</v>
      </c>
      <c r="B1262" t="n">
        <v>1</v>
      </c>
      <c r="C1262" t="n">
        <v>1260</v>
      </c>
      <c r="D1262" t="n">
        <v>-0.0898</v>
      </c>
      <c r="E1262" t="n">
        <v>15.2476</v>
      </c>
      <c r="F1262" t="n">
        <v>0.12394</v>
      </c>
    </row>
    <row r="1263">
      <c r="A1263" t="n">
        <v>1001261</v>
      </c>
      <c r="B1263" t="n">
        <v>1</v>
      </c>
      <c r="C1263" t="n">
        <v>1261</v>
      </c>
      <c r="D1263" t="n">
        <v>-0.08989999999999999</v>
      </c>
      <c r="E1263" t="n">
        <v>15.2531</v>
      </c>
      <c r="F1263" t="n">
        <v>0.12395</v>
      </c>
    </row>
    <row r="1264">
      <c r="A1264" t="n">
        <v>1001262</v>
      </c>
      <c r="B1264" t="n">
        <v>1</v>
      </c>
      <c r="C1264" t="n">
        <v>1262</v>
      </c>
      <c r="D1264" t="n">
        <v>-0.0901</v>
      </c>
      <c r="E1264" t="n">
        <v>15.2586</v>
      </c>
      <c r="F1264" t="n">
        <v>0.12397</v>
      </c>
    </row>
    <row r="1265">
      <c r="A1265" t="n">
        <v>1001263</v>
      </c>
      <c r="B1265" t="n">
        <v>1</v>
      </c>
      <c r="C1265" t="n">
        <v>1263</v>
      </c>
      <c r="D1265" t="n">
        <v>-0.0902</v>
      </c>
      <c r="E1265" t="n">
        <v>15.2641</v>
      </c>
      <c r="F1265" t="n">
        <v>0.12399</v>
      </c>
    </row>
    <row r="1266">
      <c r="A1266" t="n">
        <v>1001264</v>
      </c>
      <c r="B1266" t="n">
        <v>1</v>
      </c>
      <c r="C1266" t="n">
        <v>1264</v>
      </c>
      <c r="D1266" t="n">
        <v>-0.09030000000000001</v>
      </c>
      <c r="E1266" t="n">
        <v>15.2696</v>
      </c>
      <c r="F1266" t="n">
        <v>0.12401</v>
      </c>
    </row>
    <row r="1267">
      <c r="A1267" t="n">
        <v>1001265</v>
      </c>
      <c r="B1267" t="n">
        <v>1</v>
      </c>
      <c r="C1267" t="n">
        <v>1265</v>
      </c>
      <c r="D1267" t="n">
        <v>-0.09039999999999999</v>
      </c>
      <c r="E1267" t="n">
        <v>15.2751</v>
      </c>
      <c r="F1267" t="n">
        <v>0.12402</v>
      </c>
    </row>
    <row r="1268">
      <c r="A1268" t="n">
        <v>1001266</v>
      </c>
      <c r="B1268" t="n">
        <v>1</v>
      </c>
      <c r="C1268" t="n">
        <v>1266</v>
      </c>
      <c r="D1268" t="n">
        <v>-0.0905</v>
      </c>
      <c r="E1268" t="n">
        <v>15.2806</v>
      </c>
      <c r="F1268" t="n">
        <v>0.12404</v>
      </c>
    </row>
    <row r="1269">
      <c r="A1269" t="n">
        <v>1001267</v>
      </c>
      <c r="B1269" t="n">
        <v>1</v>
      </c>
      <c r="C1269" t="n">
        <v>1267</v>
      </c>
      <c r="D1269" t="n">
        <v>-0.0907</v>
      </c>
      <c r="E1269" t="n">
        <v>15.2861</v>
      </c>
      <c r="F1269" t="n">
        <v>0.12406</v>
      </c>
    </row>
    <row r="1270">
      <c r="A1270" t="n">
        <v>1001268</v>
      </c>
      <c r="B1270" t="n">
        <v>1</v>
      </c>
      <c r="C1270" t="n">
        <v>1268</v>
      </c>
      <c r="D1270" t="n">
        <v>-0.09080000000000001</v>
      </c>
      <c r="E1270" t="n">
        <v>15.2916</v>
      </c>
      <c r="F1270" t="n">
        <v>0.12407</v>
      </c>
    </row>
    <row r="1271">
      <c r="A1271" t="n">
        <v>1001269</v>
      </c>
      <c r="B1271" t="n">
        <v>1</v>
      </c>
      <c r="C1271" t="n">
        <v>1269</v>
      </c>
      <c r="D1271" t="n">
        <v>-0.09089999999999999</v>
      </c>
      <c r="E1271" t="n">
        <v>15.2971</v>
      </c>
      <c r="F1271" t="n">
        <v>0.12409</v>
      </c>
    </row>
    <row r="1272">
      <c r="A1272" t="n">
        <v>1001270</v>
      </c>
      <c r="B1272" t="n">
        <v>1</v>
      </c>
      <c r="C1272" t="n">
        <v>1270</v>
      </c>
      <c r="D1272" t="n">
        <v>-0.091</v>
      </c>
      <c r="E1272" t="n">
        <v>15.3026</v>
      </c>
      <c r="F1272" t="n">
        <v>0.12411</v>
      </c>
    </row>
    <row r="1273">
      <c r="A1273" t="n">
        <v>1001271</v>
      </c>
      <c r="B1273" t="n">
        <v>1</v>
      </c>
      <c r="C1273" t="n">
        <v>1271</v>
      </c>
      <c r="D1273" t="n">
        <v>-0.0912</v>
      </c>
      <c r="E1273" t="n">
        <v>15.3081</v>
      </c>
      <c r="F1273" t="n">
        <v>0.12412</v>
      </c>
    </row>
    <row r="1274">
      <c r="A1274" t="n">
        <v>1001272</v>
      </c>
      <c r="B1274" t="n">
        <v>1</v>
      </c>
      <c r="C1274" t="n">
        <v>1272</v>
      </c>
      <c r="D1274" t="n">
        <v>-0.09130000000000001</v>
      </c>
      <c r="E1274" t="n">
        <v>15.3135</v>
      </c>
      <c r="F1274" t="n">
        <v>0.12414</v>
      </c>
    </row>
    <row r="1275">
      <c r="A1275" t="n">
        <v>1001273</v>
      </c>
      <c r="B1275" t="n">
        <v>1</v>
      </c>
      <c r="C1275" t="n">
        <v>1273</v>
      </c>
      <c r="D1275" t="n">
        <v>-0.0914</v>
      </c>
      <c r="E1275" t="n">
        <v>15.319</v>
      </c>
      <c r="F1275" t="n">
        <v>0.12416</v>
      </c>
    </row>
    <row r="1276">
      <c r="A1276" t="n">
        <v>1001274</v>
      </c>
      <c r="B1276" t="n">
        <v>1</v>
      </c>
      <c r="C1276" t="n">
        <v>1274</v>
      </c>
      <c r="D1276" t="n">
        <v>-0.0915</v>
      </c>
      <c r="E1276" t="n">
        <v>15.3245</v>
      </c>
      <c r="F1276" t="n">
        <v>0.12418</v>
      </c>
    </row>
    <row r="1277">
      <c r="A1277" t="n">
        <v>1001275</v>
      </c>
      <c r="B1277" t="n">
        <v>1</v>
      </c>
      <c r="C1277" t="n">
        <v>1275</v>
      </c>
      <c r="D1277" t="n">
        <v>-0.0916</v>
      </c>
      <c r="E1277" t="n">
        <v>15.33</v>
      </c>
      <c r="F1277" t="n">
        <v>0.12419</v>
      </c>
    </row>
    <row r="1278">
      <c r="A1278" t="n">
        <v>1001276</v>
      </c>
      <c r="B1278" t="n">
        <v>1</v>
      </c>
      <c r="C1278" t="n">
        <v>1276</v>
      </c>
      <c r="D1278" t="n">
        <v>-0.09180000000000001</v>
      </c>
      <c r="E1278" t="n">
        <v>15.3355</v>
      </c>
      <c r="F1278" t="n">
        <v>0.12421</v>
      </c>
    </row>
    <row r="1279">
      <c r="A1279" t="n">
        <v>1001277</v>
      </c>
      <c r="B1279" t="n">
        <v>1</v>
      </c>
      <c r="C1279" t="n">
        <v>1277</v>
      </c>
      <c r="D1279" t="n">
        <v>-0.0919</v>
      </c>
      <c r="E1279" t="n">
        <v>15.341</v>
      </c>
      <c r="F1279" t="n">
        <v>0.12423</v>
      </c>
    </row>
    <row r="1280">
      <c r="A1280" t="n">
        <v>1001278</v>
      </c>
      <c r="B1280" t="n">
        <v>1</v>
      </c>
      <c r="C1280" t="n">
        <v>1278</v>
      </c>
      <c r="D1280" t="n">
        <v>-0.092</v>
      </c>
      <c r="E1280" t="n">
        <v>15.3465</v>
      </c>
      <c r="F1280" t="n">
        <v>0.12424</v>
      </c>
    </row>
    <row r="1281">
      <c r="A1281" t="n">
        <v>1001279</v>
      </c>
      <c r="B1281" t="n">
        <v>1</v>
      </c>
      <c r="C1281" t="n">
        <v>1279</v>
      </c>
      <c r="D1281" t="n">
        <v>-0.0921</v>
      </c>
      <c r="E1281" t="n">
        <v>15.352</v>
      </c>
      <c r="F1281" t="n">
        <v>0.12426</v>
      </c>
    </row>
    <row r="1282">
      <c r="A1282" t="n">
        <v>1001280</v>
      </c>
      <c r="B1282" t="n">
        <v>1</v>
      </c>
      <c r="C1282" t="n">
        <v>1280</v>
      </c>
      <c r="D1282" t="n">
        <v>-0.0922</v>
      </c>
      <c r="E1282" t="n">
        <v>15.3575</v>
      </c>
      <c r="F1282" t="n">
        <v>0.12428</v>
      </c>
    </row>
    <row r="1283">
      <c r="A1283" t="n">
        <v>1001281</v>
      </c>
      <c r="B1283" t="n">
        <v>1</v>
      </c>
      <c r="C1283" t="n">
        <v>1281</v>
      </c>
      <c r="D1283" t="n">
        <v>-0.0924</v>
      </c>
      <c r="E1283" t="n">
        <v>15.363</v>
      </c>
      <c r="F1283" t="n">
        <v>0.1243</v>
      </c>
    </row>
    <row r="1284">
      <c r="A1284" t="n">
        <v>1001282</v>
      </c>
      <c r="B1284" t="n">
        <v>1</v>
      </c>
      <c r="C1284" t="n">
        <v>1282</v>
      </c>
      <c r="D1284" t="n">
        <v>-0.0925</v>
      </c>
      <c r="E1284" t="n">
        <v>15.3685</v>
      </c>
      <c r="F1284" t="n">
        <v>0.12431</v>
      </c>
    </row>
    <row r="1285">
      <c r="A1285" t="n">
        <v>1001283</v>
      </c>
      <c r="B1285" t="n">
        <v>1</v>
      </c>
      <c r="C1285" t="n">
        <v>1283</v>
      </c>
      <c r="D1285" t="n">
        <v>-0.0926</v>
      </c>
      <c r="E1285" t="n">
        <v>15.374</v>
      </c>
      <c r="F1285" t="n">
        <v>0.12433</v>
      </c>
    </row>
    <row r="1286">
      <c r="A1286" t="n">
        <v>1001284</v>
      </c>
      <c r="B1286" t="n">
        <v>1</v>
      </c>
      <c r="C1286" t="n">
        <v>1284</v>
      </c>
      <c r="D1286" t="n">
        <v>-0.0927</v>
      </c>
      <c r="E1286" t="n">
        <v>15.3795</v>
      </c>
      <c r="F1286" t="n">
        <v>0.12435</v>
      </c>
    </row>
    <row r="1287">
      <c r="A1287" t="n">
        <v>1001285</v>
      </c>
      <c r="B1287" t="n">
        <v>1</v>
      </c>
      <c r="C1287" t="n">
        <v>1285</v>
      </c>
      <c r="D1287" t="n">
        <v>-0.09279999999999999</v>
      </c>
      <c r="E1287" t="n">
        <v>15.385</v>
      </c>
      <c r="F1287" t="n">
        <v>0.12436</v>
      </c>
    </row>
    <row r="1288">
      <c r="A1288" t="n">
        <v>1001286</v>
      </c>
      <c r="B1288" t="n">
        <v>1</v>
      </c>
      <c r="C1288" t="n">
        <v>1286</v>
      </c>
      <c r="D1288" t="n">
        <v>-0.093</v>
      </c>
      <c r="E1288" t="n">
        <v>15.3905</v>
      </c>
      <c r="F1288" t="n">
        <v>0.12438</v>
      </c>
    </row>
    <row r="1289">
      <c r="A1289" t="n">
        <v>1001287</v>
      </c>
      <c r="B1289" t="n">
        <v>1</v>
      </c>
      <c r="C1289" t="n">
        <v>1287</v>
      </c>
      <c r="D1289" t="n">
        <v>-0.0931</v>
      </c>
      <c r="E1289" t="n">
        <v>15.396</v>
      </c>
      <c r="F1289" t="n">
        <v>0.1244</v>
      </c>
    </row>
    <row r="1290">
      <c r="A1290" t="n">
        <v>1001288</v>
      </c>
      <c r="B1290" t="n">
        <v>1</v>
      </c>
      <c r="C1290" t="n">
        <v>1288</v>
      </c>
      <c r="D1290" t="n">
        <v>-0.09320000000000001</v>
      </c>
      <c r="E1290" t="n">
        <v>15.4015</v>
      </c>
      <c r="F1290" t="n">
        <v>0.12442</v>
      </c>
    </row>
    <row r="1291">
      <c r="A1291" t="n">
        <v>1001289</v>
      </c>
      <c r="B1291" t="n">
        <v>1</v>
      </c>
      <c r="C1291" t="n">
        <v>1289</v>
      </c>
      <c r="D1291" t="n">
        <v>-0.09329999999999999</v>
      </c>
      <c r="E1291" t="n">
        <v>15.407</v>
      </c>
      <c r="F1291" t="n">
        <v>0.12443</v>
      </c>
    </row>
    <row r="1292">
      <c r="A1292" t="n">
        <v>1001290</v>
      </c>
      <c r="B1292" t="n">
        <v>1</v>
      </c>
      <c r="C1292" t="n">
        <v>1290</v>
      </c>
      <c r="D1292" t="n">
        <v>-0.0934</v>
      </c>
      <c r="E1292" t="n">
        <v>15.4125</v>
      </c>
      <c r="F1292" t="n">
        <v>0.12445</v>
      </c>
    </row>
    <row r="1293">
      <c r="A1293" t="n">
        <v>1001291</v>
      </c>
      <c r="B1293" t="n">
        <v>1</v>
      </c>
      <c r="C1293" t="n">
        <v>1291</v>
      </c>
      <c r="D1293" t="n">
        <v>-0.0936</v>
      </c>
      <c r="E1293" t="n">
        <v>15.4179</v>
      </c>
      <c r="F1293" t="n">
        <v>0.12447</v>
      </c>
    </row>
    <row r="1294">
      <c r="A1294" t="n">
        <v>1001292</v>
      </c>
      <c r="B1294" t="n">
        <v>1</v>
      </c>
      <c r="C1294" t="n">
        <v>1292</v>
      </c>
      <c r="D1294" t="n">
        <v>-0.09370000000000001</v>
      </c>
      <c r="E1294" t="n">
        <v>15.4234</v>
      </c>
      <c r="F1294" t="n">
        <v>0.12448</v>
      </c>
    </row>
    <row r="1295">
      <c r="A1295" t="n">
        <v>1001293</v>
      </c>
      <c r="B1295" t="n">
        <v>1</v>
      </c>
      <c r="C1295" t="n">
        <v>1293</v>
      </c>
      <c r="D1295" t="n">
        <v>-0.09379999999999999</v>
      </c>
      <c r="E1295" t="n">
        <v>15.4289</v>
      </c>
      <c r="F1295" t="n">
        <v>0.1245</v>
      </c>
    </row>
    <row r="1296">
      <c r="A1296" t="n">
        <v>1001294</v>
      </c>
      <c r="B1296" t="n">
        <v>1</v>
      </c>
      <c r="C1296" t="n">
        <v>1294</v>
      </c>
      <c r="D1296" t="n">
        <v>-0.0939</v>
      </c>
      <c r="E1296" t="n">
        <v>15.4344</v>
      </c>
      <c r="F1296" t="n">
        <v>0.12452</v>
      </c>
    </row>
    <row r="1297">
      <c r="A1297" t="n">
        <v>1001295</v>
      </c>
      <c r="B1297" t="n">
        <v>1</v>
      </c>
      <c r="C1297" t="n">
        <v>1295</v>
      </c>
      <c r="D1297" t="n">
        <v>-0.094</v>
      </c>
      <c r="E1297" t="n">
        <v>15.4399</v>
      </c>
      <c r="F1297" t="n">
        <v>0.12454</v>
      </c>
    </row>
    <row r="1298">
      <c r="A1298" t="n">
        <v>1001296</v>
      </c>
      <c r="B1298" t="n">
        <v>1</v>
      </c>
      <c r="C1298" t="n">
        <v>1296</v>
      </c>
      <c r="D1298" t="n">
        <v>-0.09420000000000001</v>
      </c>
      <c r="E1298" t="n">
        <v>15.4454</v>
      </c>
      <c r="F1298" t="n">
        <v>0.12455</v>
      </c>
    </row>
    <row r="1299">
      <c r="A1299" t="n">
        <v>1001297</v>
      </c>
      <c r="B1299" t="n">
        <v>1</v>
      </c>
      <c r="C1299" t="n">
        <v>1297</v>
      </c>
      <c r="D1299" t="n">
        <v>-0.09429999999999999</v>
      </c>
      <c r="E1299" t="n">
        <v>15.4509</v>
      </c>
      <c r="F1299" t="n">
        <v>0.12457</v>
      </c>
    </row>
    <row r="1300">
      <c r="A1300" t="n">
        <v>1001298</v>
      </c>
      <c r="B1300" t="n">
        <v>1</v>
      </c>
      <c r="C1300" t="n">
        <v>1298</v>
      </c>
      <c r="D1300" t="n">
        <v>-0.0944</v>
      </c>
      <c r="E1300" t="n">
        <v>15.4564</v>
      </c>
      <c r="F1300" t="n">
        <v>0.12459</v>
      </c>
    </row>
    <row r="1301">
      <c r="A1301" t="n">
        <v>1001299</v>
      </c>
      <c r="B1301" t="n">
        <v>1</v>
      </c>
      <c r="C1301" t="n">
        <v>1299</v>
      </c>
      <c r="D1301" t="n">
        <v>-0.0945</v>
      </c>
      <c r="E1301" t="n">
        <v>15.4619</v>
      </c>
      <c r="F1301" t="n">
        <v>0.12461</v>
      </c>
    </row>
    <row r="1302">
      <c r="A1302" t="n">
        <v>1001300</v>
      </c>
      <c r="B1302" t="n">
        <v>1</v>
      </c>
      <c r="C1302" t="n">
        <v>1300</v>
      </c>
      <c r="D1302" t="n">
        <v>-0.0946</v>
      </c>
      <c r="E1302" t="n">
        <v>15.4674</v>
      </c>
      <c r="F1302" t="n">
        <v>0.12462</v>
      </c>
    </row>
    <row r="1303">
      <c r="A1303" t="n">
        <v>1001301</v>
      </c>
      <c r="B1303" t="n">
        <v>1</v>
      </c>
      <c r="C1303" t="n">
        <v>1301</v>
      </c>
      <c r="D1303" t="n">
        <v>-0.0948</v>
      </c>
      <c r="E1303" t="n">
        <v>15.4729</v>
      </c>
      <c r="F1303" t="n">
        <v>0.12464</v>
      </c>
    </row>
    <row r="1304">
      <c r="A1304" t="n">
        <v>1001302</v>
      </c>
      <c r="B1304" t="n">
        <v>1</v>
      </c>
      <c r="C1304" t="n">
        <v>1302</v>
      </c>
      <c r="D1304" t="n">
        <v>-0.0949</v>
      </c>
      <c r="E1304" t="n">
        <v>15.4784</v>
      </c>
      <c r="F1304" t="n">
        <v>0.12466</v>
      </c>
    </row>
    <row r="1305">
      <c r="A1305" t="n">
        <v>1001303</v>
      </c>
      <c r="B1305" t="n">
        <v>1</v>
      </c>
      <c r="C1305" t="n">
        <v>1303</v>
      </c>
      <c r="D1305" t="n">
        <v>-0.095</v>
      </c>
      <c r="E1305" t="n">
        <v>15.4839</v>
      </c>
      <c r="F1305" t="n">
        <v>0.12467</v>
      </c>
    </row>
    <row r="1306">
      <c r="A1306" t="n">
        <v>1001304</v>
      </c>
      <c r="B1306" t="n">
        <v>1</v>
      </c>
      <c r="C1306" t="n">
        <v>1304</v>
      </c>
      <c r="D1306" t="n">
        <v>-0.0951</v>
      </c>
      <c r="E1306" t="n">
        <v>15.4894</v>
      </c>
      <c r="F1306" t="n">
        <v>0.12469</v>
      </c>
    </row>
    <row r="1307">
      <c r="A1307" t="n">
        <v>1001305</v>
      </c>
      <c r="B1307" t="n">
        <v>1</v>
      </c>
      <c r="C1307" t="n">
        <v>1305</v>
      </c>
      <c r="D1307" t="n">
        <v>-0.09520000000000001</v>
      </c>
      <c r="E1307" t="n">
        <v>15.4948</v>
      </c>
      <c r="F1307" t="n">
        <v>0.12471</v>
      </c>
    </row>
    <row r="1308">
      <c r="A1308" t="n">
        <v>1001306</v>
      </c>
      <c r="B1308" t="n">
        <v>1</v>
      </c>
      <c r="C1308" t="n">
        <v>1306</v>
      </c>
      <c r="D1308" t="n">
        <v>-0.0954</v>
      </c>
      <c r="E1308" t="n">
        <v>15.5003</v>
      </c>
      <c r="F1308" t="n">
        <v>0.12473</v>
      </c>
    </row>
    <row r="1309">
      <c r="A1309" t="n">
        <v>1001307</v>
      </c>
      <c r="B1309" t="n">
        <v>1</v>
      </c>
      <c r="C1309" t="n">
        <v>1307</v>
      </c>
      <c r="D1309" t="n">
        <v>-0.0955</v>
      </c>
      <c r="E1309" t="n">
        <v>15.5058</v>
      </c>
      <c r="F1309" t="n">
        <v>0.12474</v>
      </c>
    </row>
    <row r="1310">
      <c r="A1310" t="n">
        <v>1001308</v>
      </c>
      <c r="B1310" t="n">
        <v>1</v>
      </c>
      <c r="C1310" t="n">
        <v>1308</v>
      </c>
      <c r="D1310" t="n">
        <v>-0.0956</v>
      </c>
      <c r="E1310" t="n">
        <v>15.5113</v>
      </c>
      <c r="F1310" t="n">
        <v>0.12476</v>
      </c>
    </row>
    <row r="1311">
      <c r="A1311" t="n">
        <v>1001309</v>
      </c>
      <c r="B1311" t="n">
        <v>1</v>
      </c>
      <c r="C1311" t="n">
        <v>1309</v>
      </c>
      <c r="D1311" t="n">
        <v>-0.09569999999999999</v>
      </c>
      <c r="E1311" t="n">
        <v>15.5168</v>
      </c>
      <c r="F1311" t="n">
        <v>0.12478</v>
      </c>
    </row>
    <row r="1312">
      <c r="A1312" t="n">
        <v>1001310</v>
      </c>
      <c r="B1312" t="n">
        <v>1</v>
      </c>
      <c r="C1312" t="n">
        <v>1310</v>
      </c>
      <c r="D1312" t="n">
        <v>-0.0958</v>
      </c>
      <c r="E1312" t="n">
        <v>15.5223</v>
      </c>
      <c r="F1312" t="n">
        <v>0.1248</v>
      </c>
    </row>
    <row r="1313">
      <c r="A1313" t="n">
        <v>1001311</v>
      </c>
      <c r="B1313" t="n">
        <v>1</v>
      </c>
      <c r="C1313" t="n">
        <v>1311</v>
      </c>
      <c r="D1313" t="n">
        <v>-0.0959</v>
      </c>
      <c r="E1313" t="n">
        <v>15.5278</v>
      </c>
      <c r="F1313" t="n">
        <v>0.12481</v>
      </c>
    </row>
    <row r="1314">
      <c r="A1314" t="n">
        <v>1001312</v>
      </c>
      <c r="B1314" t="n">
        <v>1</v>
      </c>
      <c r="C1314" t="n">
        <v>1312</v>
      </c>
      <c r="D1314" t="n">
        <v>-0.0961</v>
      </c>
      <c r="E1314" t="n">
        <v>15.5333</v>
      </c>
      <c r="F1314" t="n">
        <v>0.12483</v>
      </c>
    </row>
    <row r="1315">
      <c r="A1315" t="n">
        <v>1001313</v>
      </c>
      <c r="B1315" t="n">
        <v>1</v>
      </c>
      <c r="C1315" t="n">
        <v>1313</v>
      </c>
      <c r="D1315" t="n">
        <v>-0.09619999999999999</v>
      </c>
      <c r="E1315" t="n">
        <v>15.5388</v>
      </c>
      <c r="F1315" t="n">
        <v>0.12485</v>
      </c>
    </row>
    <row r="1316">
      <c r="A1316" t="n">
        <v>1001314</v>
      </c>
      <c r="B1316" t="n">
        <v>1</v>
      </c>
      <c r="C1316" t="n">
        <v>1314</v>
      </c>
      <c r="D1316" t="n">
        <v>-0.0963</v>
      </c>
      <c r="E1316" t="n">
        <v>15.5443</v>
      </c>
      <c r="F1316" t="n">
        <v>0.12487</v>
      </c>
    </row>
    <row r="1317">
      <c r="A1317" t="n">
        <v>1001315</v>
      </c>
      <c r="B1317" t="n">
        <v>1</v>
      </c>
      <c r="C1317" t="n">
        <v>1315</v>
      </c>
      <c r="D1317" t="n">
        <v>-0.0964</v>
      </c>
      <c r="E1317" t="n">
        <v>15.5498</v>
      </c>
      <c r="F1317" t="n">
        <v>0.12488</v>
      </c>
    </row>
    <row r="1318">
      <c r="A1318" t="n">
        <v>1001316</v>
      </c>
      <c r="B1318" t="n">
        <v>1</v>
      </c>
      <c r="C1318" t="n">
        <v>1316</v>
      </c>
      <c r="D1318" t="n">
        <v>-0.0965</v>
      </c>
      <c r="E1318" t="n">
        <v>15.5552</v>
      </c>
      <c r="F1318" t="n">
        <v>0.1249</v>
      </c>
    </row>
    <row r="1319">
      <c r="A1319" t="n">
        <v>1001317</v>
      </c>
      <c r="B1319" t="n">
        <v>1</v>
      </c>
      <c r="C1319" t="n">
        <v>1317</v>
      </c>
      <c r="D1319" t="n">
        <v>-0.09669999999999999</v>
      </c>
      <c r="E1319" t="n">
        <v>15.5607</v>
      </c>
      <c r="F1319" t="n">
        <v>0.12492</v>
      </c>
    </row>
    <row r="1320">
      <c r="A1320" t="n">
        <v>1001318</v>
      </c>
      <c r="B1320" t="n">
        <v>1</v>
      </c>
      <c r="C1320" t="n">
        <v>1318</v>
      </c>
      <c r="D1320" t="n">
        <v>-0.0968</v>
      </c>
      <c r="E1320" t="n">
        <v>15.5662</v>
      </c>
      <c r="F1320" t="n">
        <v>0.12494</v>
      </c>
    </row>
    <row r="1321">
      <c r="A1321" t="n">
        <v>1001319</v>
      </c>
      <c r="B1321" t="n">
        <v>1</v>
      </c>
      <c r="C1321" t="n">
        <v>1319</v>
      </c>
      <c r="D1321" t="n">
        <v>-0.0969</v>
      </c>
      <c r="E1321" t="n">
        <v>15.5717</v>
      </c>
      <c r="F1321" t="n">
        <v>0.12495</v>
      </c>
    </row>
    <row r="1322">
      <c r="A1322" t="n">
        <v>1001320</v>
      </c>
      <c r="B1322" t="n">
        <v>1</v>
      </c>
      <c r="C1322" t="n">
        <v>1320</v>
      </c>
      <c r="D1322" t="n">
        <v>-0.097</v>
      </c>
      <c r="E1322" t="n">
        <v>15.5772</v>
      </c>
      <c r="F1322" t="n">
        <v>0.12497</v>
      </c>
    </row>
    <row r="1323">
      <c r="A1323" t="n">
        <v>1001321</v>
      </c>
      <c r="B1323" t="n">
        <v>1</v>
      </c>
      <c r="C1323" t="n">
        <v>1321</v>
      </c>
      <c r="D1323" t="n">
        <v>-0.09710000000000001</v>
      </c>
      <c r="E1323" t="n">
        <v>15.5827</v>
      </c>
      <c r="F1323" t="n">
        <v>0.12499</v>
      </c>
    </row>
    <row r="1324">
      <c r="A1324" t="n">
        <v>1001322</v>
      </c>
      <c r="B1324" t="n">
        <v>1</v>
      </c>
      <c r="C1324" t="n">
        <v>1322</v>
      </c>
      <c r="D1324" t="n">
        <v>-0.09719999999999999</v>
      </c>
      <c r="E1324" t="n">
        <v>15.5882</v>
      </c>
      <c r="F1324" t="n">
        <v>0.12501</v>
      </c>
    </row>
    <row r="1325">
      <c r="A1325" t="n">
        <v>1001323</v>
      </c>
      <c r="B1325" t="n">
        <v>1</v>
      </c>
      <c r="C1325" t="n">
        <v>1323</v>
      </c>
      <c r="D1325" t="n">
        <v>-0.0974</v>
      </c>
      <c r="E1325" t="n">
        <v>15.5937</v>
      </c>
      <c r="F1325" t="n">
        <v>0.12502</v>
      </c>
    </row>
    <row r="1326">
      <c r="A1326" t="n">
        <v>1001324</v>
      </c>
      <c r="B1326" t="n">
        <v>1</v>
      </c>
      <c r="C1326" t="n">
        <v>1324</v>
      </c>
      <c r="D1326" t="n">
        <v>-0.0975</v>
      </c>
      <c r="E1326" t="n">
        <v>15.5992</v>
      </c>
      <c r="F1326" t="n">
        <v>0.12504</v>
      </c>
    </row>
    <row r="1327">
      <c r="A1327" t="n">
        <v>1001325</v>
      </c>
      <c r="B1327" t="n">
        <v>1</v>
      </c>
      <c r="C1327" t="n">
        <v>1325</v>
      </c>
      <c r="D1327" t="n">
        <v>-0.09760000000000001</v>
      </c>
      <c r="E1327" t="n">
        <v>15.6047</v>
      </c>
      <c r="F1327" t="n">
        <v>0.12506</v>
      </c>
    </row>
    <row r="1328">
      <c r="A1328" t="n">
        <v>1001326</v>
      </c>
      <c r="B1328" t="n">
        <v>1</v>
      </c>
      <c r="C1328" t="n">
        <v>1326</v>
      </c>
      <c r="D1328" t="n">
        <v>-0.0977</v>
      </c>
      <c r="E1328" t="n">
        <v>15.6101</v>
      </c>
      <c r="F1328" t="n">
        <v>0.12508</v>
      </c>
    </row>
    <row r="1329">
      <c r="A1329" t="n">
        <v>1001327</v>
      </c>
      <c r="B1329" t="n">
        <v>1</v>
      </c>
      <c r="C1329" t="n">
        <v>1327</v>
      </c>
      <c r="D1329" t="n">
        <v>-0.0978</v>
      </c>
      <c r="E1329" t="n">
        <v>15.6156</v>
      </c>
      <c r="F1329" t="n">
        <v>0.1251</v>
      </c>
    </row>
    <row r="1330">
      <c r="A1330" t="n">
        <v>1001328</v>
      </c>
      <c r="B1330" t="n">
        <v>1</v>
      </c>
      <c r="C1330" t="n">
        <v>1328</v>
      </c>
      <c r="D1330" t="n">
        <v>-0.098</v>
      </c>
      <c r="E1330" t="n">
        <v>15.6211</v>
      </c>
      <c r="F1330" t="n">
        <v>0.12511</v>
      </c>
    </row>
    <row r="1331">
      <c r="A1331" t="n">
        <v>1001329</v>
      </c>
      <c r="B1331" t="n">
        <v>1</v>
      </c>
      <c r="C1331" t="n">
        <v>1329</v>
      </c>
      <c r="D1331" t="n">
        <v>-0.09810000000000001</v>
      </c>
      <c r="E1331" t="n">
        <v>15.6266</v>
      </c>
      <c r="F1331" t="n">
        <v>0.12513</v>
      </c>
    </row>
    <row r="1332">
      <c r="A1332" t="n">
        <v>1001330</v>
      </c>
      <c r="B1332" t="n">
        <v>1</v>
      </c>
      <c r="C1332" t="n">
        <v>1330</v>
      </c>
      <c r="D1332" t="n">
        <v>-0.0982</v>
      </c>
      <c r="E1332" t="n">
        <v>15.6321</v>
      </c>
      <c r="F1332" t="n">
        <v>0.12515</v>
      </c>
    </row>
    <row r="1333">
      <c r="A1333" t="n">
        <v>1001331</v>
      </c>
      <c r="B1333" t="n">
        <v>1</v>
      </c>
      <c r="C1333" t="n">
        <v>1331</v>
      </c>
      <c r="D1333" t="n">
        <v>-0.0983</v>
      </c>
      <c r="E1333" t="n">
        <v>15.6376</v>
      </c>
      <c r="F1333" t="n">
        <v>0.12517</v>
      </c>
    </row>
    <row r="1334">
      <c r="A1334" t="n">
        <v>1001332</v>
      </c>
      <c r="B1334" t="n">
        <v>1</v>
      </c>
      <c r="C1334" t="n">
        <v>1332</v>
      </c>
      <c r="D1334" t="n">
        <v>-0.0984</v>
      </c>
      <c r="E1334" t="n">
        <v>15.6431</v>
      </c>
      <c r="F1334" t="n">
        <v>0.12518</v>
      </c>
    </row>
    <row r="1335">
      <c r="A1335" t="n">
        <v>1001333</v>
      </c>
      <c r="B1335" t="n">
        <v>1</v>
      </c>
      <c r="C1335" t="n">
        <v>1333</v>
      </c>
      <c r="D1335" t="n">
        <v>-0.0985</v>
      </c>
      <c r="E1335" t="n">
        <v>15.6486</v>
      </c>
      <c r="F1335" t="n">
        <v>0.1252</v>
      </c>
    </row>
    <row r="1336">
      <c r="A1336" t="n">
        <v>1001334</v>
      </c>
      <c r="B1336" t="n">
        <v>1</v>
      </c>
      <c r="C1336" t="n">
        <v>1334</v>
      </c>
      <c r="D1336" t="n">
        <v>-0.0987</v>
      </c>
      <c r="E1336" t="n">
        <v>15.654</v>
      </c>
      <c r="F1336" t="n">
        <v>0.12522</v>
      </c>
    </row>
    <row r="1337">
      <c r="A1337" t="n">
        <v>1001335</v>
      </c>
      <c r="B1337" t="n">
        <v>1</v>
      </c>
      <c r="C1337" t="n">
        <v>1335</v>
      </c>
      <c r="D1337" t="n">
        <v>-0.0988</v>
      </c>
      <c r="E1337" t="n">
        <v>15.6595</v>
      </c>
      <c r="F1337" t="n">
        <v>0.12524</v>
      </c>
    </row>
    <row r="1338">
      <c r="A1338" t="n">
        <v>1001336</v>
      </c>
      <c r="B1338" t="n">
        <v>1</v>
      </c>
      <c r="C1338" t="n">
        <v>1336</v>
      </c>
      <c r="D1338" t="n">
        <v>-0.0989</v>
      </c>
      <c r="E1338" t="n">
        <v>15.665</v>
      </c>
      <c r="F1338" t="n">
        <v>0.12526</v>
      </c>
    </row>
    <row r="1339">
      <c r="A1339" t="n">
        <v>1001337</v>
      </c>
      <c r="B1339" t="n">
        <v>1</v>
      </c>
      <c r="C1339" t="n">
        <v>1337</v>
      </c>
      <c r="D1339" t="n">
        <v>-0.099</v>
      </c>
      <c r="E1339" t="n">
        <v>15.6705</v>
      </c>
      <c r="F1339" t="n">
        <v>0.12527</v>
      </c>
    </row>
    <row r="1340">
      <c r="A1340" t="n">
        <v>1001338</v>
      </c>
      <c r="B1340" t="n">
        <v>1</v>
      </c>
      <c r="C1340" t="n">
        <v>1338</v>
      </c>
      <c r="D1340" t="n">
        <v>-0.09909999999999999</v>
      </c>
      <c r="E1340" t="n">
        <v>15.676</v>
      </c>
      <c r="F1340" t="n">
        <v>0.12529</v>
      </c>
    </row>
    <row r="1341">
      <c r="A1341" t="n">
        <v>1001339</v>
      </c>
      <c r="B1341" t="n">
        <v>1</v>
      </c>
      <c r="C1341" t="n">
        <v>1339</v>
      </c>
      <c r="D1341" t="n">
        <v>-0.0992</v>
      </c>
      <c r="E1341" t="n">
        <v>15.6815</v>
      </c>
      <c r="F1341" t="n">
        <v>0.12531</v>
      </c>
    </row>
    <row r="1342">
      <c r="A1342" t="n">
        <v>1001340</v>
      </c>
      <c r="B1342" t="n">
        <v>1</v>
      </c>
      <c r="C1342" t="n">
        <v>1340</v>
      </c>
      <c r="D1342" t="n">
        <v>-0.0994</v>
      </c>
      <c r="E1342" t="n">
        <v>15.687</v>
      </c>
      <c r="F1342" t="n">
        <v>0.12533</v>
      </c>
    </row>
    <row r="1343">
      <c r="A1343" t="n">
        <v>1001341</v>
      </c>
      <c r="B1343" t="n">
        <v>1</v>
      </c>
      <c r="C1343" t="n">
        <v>1341</v>
      </c>
      <c r="D1343" t="n">
        <v>-0.09950000000000001</v>
      </c>
      <c r="E1343" t="n">
        <v>15.6924</v>
      </c>
      <c r="F1343" t="n">
        <v>0.12534</v>
      </c>
    </row>
    <row r="1344">
      <c r="A1344" t="n">
        <v>1001342</v>
      </c>
      <c r="B1344" t="n">
        <v>1</v>
      </c>
      <c r="C1344" t="n">
        <v>1342</v>
      </c>
      <c r="D1344" t="n">
        <v>-0.09959999999999999</v>
      </c>
      <c r="E1344" t="n">
        <v>15.6979</v>
      </c>
      <c r="F1344" t="n">
        <v>0.12536</v>
      </c>
    </row>
    <row r="1345">
      <c r="A1345" t="n">
        <v>1001343</v>
      </c>
      <c r="B1345" t="n">
        <v>1</v>
      </c>
      <c r="C1345" t="n">
        <v>1343</v>
      </c>
      <c r="D1345" t="n">
        <v>-0.0997</v>
      </c>
      <c r="E1345" t="n">
        <v>15.7034</v>
      </c>
      <c r="F1345" t="n">
        <v>0.12538</v>
      </c>
    </row>
    <row r="1346">
      <c r="A1346" t="n">
        <v>1001344</v>
      </c>
      <c r="B1346" t="n">
        <v>1</v>
      </c>
      <c r="C1346" t="n">
        <v>1344</v>
      </c>
      <c r="D1346" t="n">
        <v>-0.0998</v>
      </c>
      <c r="E1346" t="n">
        <v>15.7089</v>
      </c>
      <c r="F1346" t="n">
        <v>0.1254</v>
      </c>
    </row>
    <row r="1347">
      <c r="A1347" t="n">
        <v>1001345</v>
      </c>
      <c r="B1347" t="n">
        <v>1</v>
      </c>
      <c r="C1347" t="n">
        <v>1345</v>
      </c>
      <c r="D1347" t="n">
        <v>-0.0999</v>
      </c>
      <c r="E1347" t="n">
        <v>15.7144</v>
      </c>
      <c r="F1347" t="n">
        <v>0.12542</v>
      </c>
    </row>
    <row r="1348">
      <c r="A1348" t="n">
        <v>1001346</v>
      </c>
      <c r="B1348" t="n">
        <v>1</v>
      </c>
      <c r="C1348" t="n">
        <v>1346</v>
      </c>
      <c r="D1348" t="n">
        <v>-0.1001</v>
      </c>
      <c r="E1348" t="n">
        <v>15.7199</v>
      </c>
      <c r="F1348" t="n">
        <v>0.12543</v>
      </c>
    </row>
    <row r="1349">
      <c r="A1349" t="n">
        <v>1001347</v>
      </c>
      <c r="B1349" t="n">
        <v>1</v>
      </c>
      <c r="C1349" t="n">
        <v>1347</v>
      </c>
      <c r="D1349" t="n">
        <v>-0.1002</v>
      </c>
      <c r="E1349" t="n">
        <v>15.7253</v>
      </c>
      <c r="F1349" t="n">
        <v>0.12545</v>
      </c>
    </row>
    <row r="1350">
      <c r="A1350" t="n">
        <v>1001348</v>
      </c>
      <c r="B1350" t="n">
        <v>1</v>
      </c>
      <c r="C1350" t="n">
        <v>1348</v>
      </c>
      <c r="D1350" t="n">
        <v>-0.1003</v>
      </c>
      <c r="E1350" t="n">
        <v>15.7308</v>
      </c>
      <c r="F1350" t="n">
        <v>0.12547</v>
      </c>
    </row>
    <row r="1351">
      <c r="A1351" t="n">
        <v>1001349</v>
      </c>
      <c r="B1351" t="n">
        <v>1</v>
      </c>
      <c r="C1351" t="n">
        <v>1349</v>
      </c>
      <c r="D1351" t="n">
        <v>-0.1004</v>
      </c>
      <c r="E1351" t="n">
        <v>15.7363</v>
      </c>
      <c r="F1351" t="n">
        <v>0.12549</v>
      </c>
    </row>
    <row r="1352">
      <c r="A1352" t="n">
        <v>1001350</v>
      </c>
      <c r="B1352" t="n">
        <v>1</v>
      </c>
      <c r="C1352" t="n">
        <v>1350</v>
      </c>
      <c r="D1352" t="n">
        <v>-0.1005</v>
      </c>
      <c r="E1352" t="n">
        <v>15.7418</v>
      </c>
      <c r="F1352" t="n">
        <v>0.12551</v>
      </c>
    </row>
    <row r="1353">
      <c r="A1353" t="n">
        <v>1001351</v>
      </c>
      <c r="B1353" t="n">
        <v>1</v>
      </c>
      <c r="C1353" t="n">
        <v>1351</v>
      </c>
      <c r="D1353" t="n">
        <v>-0.1006</v>
      </c>
      <c r="E1353" t="n">
        <v>15.7473</v>
      </c>
      <c r="F1353" t="n">
        <v>0.12552</v>
      </c>
    </row>
    <row r="1354">
      <c r="A1354" t="n">
        <v>1001352</v>
      </c>
      <c r="B1354" t="n">
        <v>1</v>
      </c>
      <c r="C1354" t="n">
        <v>1352</v>
      </c>
      <c r="D1354" t="n">
        <v>-0.1008</v>
      </c>
      <c r="E1354" t="n">
        <v>15.7528</v>
      </c>
      <c r="F1354" t="n">
        <v>0.12554</v>
      </c>
    </row>
    <row r="1355">
      <c r="A1355" t="n">
        <v>1001353</v>
      </c>
      <c r="B1355" t="n">
        <v>1</v>
      </c>
      <c r="C1355" t="n">
        <v>1353</v>
      </c>
      <c r="D1355" t="n">
        <v>-0.1009</v>
      </c>
      <c r="E1355" t="n">
        <v>15.7582</v>
      </c>
      <c r="F1355" t="n">
        <v>0.12556</v>
      </c>
    </row>
    <row r="1356">
      <c r="A1356" t="n">
        <v>1001354</v>
      </c>
      <c r="B1356" t="n">
        <v>1</v>
      </c>
      <c r="C1356" t="n">
        <v>1354</v>
      </c>
      <c r="D1356" t="n">
        <v>-0.101</v>
      </c>
      <c r="E1356" t="n">
        <v>15.7637</v>
      </c>
      <c r="F1356" t="n">
        <v>0.12558</v>
      </c>
    </row>
    <row r="1357">
      <c r="A1357" t="n">
        <v>1001355</v>
      </c>
      <c r="B1357" t="n">
        <v>1</v>
      </c>
      <c r="C1357" t="n">
        <v>1355</v>
      </c>
      <c r="D1357" t="n">
        <v>-0.1011</v>
      </c>
      <c r="E1357" t="n">
        <v>15.7692</v>
      </c>
      <c r="F1357" t="n">
        <v>0.1256</v>
      </c>
    </row>
    <row r="1358">
      <c r="A1358" t="n">
        <v>1001356</v>
      </c>
      <c r="B1358" t="n">
        <v>1</v>
      </c>
      <c r="C1358" t="n">
        <v>1356</v>
      </c>
      <c r="D1358" t="n">
        <v>-0.1012</v>
      </c>
      <c r="E1358" t="n">
        <v>15.7747</v>
      </c>
      <c r="F1358" t="n">
        <v>0.12561</v>
      </c>
    </row>
    <row r="1359">
      <c r="A1359" t="n">
        <v>1001357</v>
      </c>
      <c r="B1359" t="n">
        <v>1</v>
      </c>
      <c r="C1359" t="n">
        <v>1357</v>
      </c>
      <c r="D1359" t="n">
        <v>-0.1013</v>
      </c>
      <c r="E1359" t="n">
        <v>15.7802</v>
      </c>
      <c r="F1359" t="n">
        <v>0.12563</v>
      </c>
    </row>
    <row r="1360">
      <c r="A1360" t="n">
        <v>1001358</v>
      </c>
      <c r="B1360" t="n">
        <v>1</v>
      </c>
      <c r="C1360" t="n">
        <v>1358</v>
      </c>
      <c r="D1360" t="n">
        <v>-0.1015</v>
      </c>
      <c r="E1360" t="n">
        <v>15.7856</v>
      </c>
      <c r="F1360" t="n">
        <v>0.12565</v>
      </c>
    </row>
    <row r="1361">
      <c r="A1361" t="n">
        <v>1001359</v>
      </c>
      <c r="B1361" t="n">
        <v>1</v>
      </c>
      <c r="C1361" t="n">
        <v>1359</v>
      </c>
      <c r="D1361" t="n">
        <v>-0.1016</v>
      </c>
      <c r="E1361" t="n">
        <v>15.7911</v>
      </c>
      <c r="F1361" t="n">
        <v>0.12567</v>
      </c>
    </row>
    <row r="1362">
      <c r="A1362" t="n">
        <v>1001360</v>
      </c>
      <c r="B1362" t="n">
        <v>1</v>
      </c>
      <c r="C1362" t="n">
        <v>1360</v>
      </c>
      <c r="D1362" t="n">
        <v>-0.1017</v>
      </c>
      <c r="E1362" t="n">
        <v>15.7966</v>
      </c>
      <c r="F1362" t="n">
        <v>0.12569</v>
      </c>
    </row>
    <row r="1363">
      <c r="A1363" t="n">
        <v>1001361</v>
      </c>
      <c r="B1363" t="n">
        <v>1</v>
      </c>
      <c r="C1363" t="n">
        <v>1361</v>
      </c>
      <c r="D1363" t="n">
        <v>-0.1018</v>
      </c>
      <c r="E1363" t="n">
        <v>15.8021</v>
      </c>
      <c r="F1363" t="n">
        <v>0.1257</v>
      </c>
    </row>
    <row r="1364">
      <c r="A1364" t="n">
        <v>1001362</v>
      </c>
      <c r="B1364" t="n">
        <v>1</v>
      </c>
      <c r="C1364" t="n">
        <v>1362</v>
      </c>
      <c r="D1364" t="n">
        <v>-0.1019</v>
      </c>
      <c r="E1364" t="n">
        <v>15.8076</v>
      </c>
      <c r="F1364" t="n">
        <v>0.12572</v>
      </c>
    </row>
    <row r="1365">
      <c r="A1365" t="n">
        <v>1001363</v>
      </c>
      <c r="B1365" t="n">
        <v>1</v>
      </c>
      <c r="C1365" t="n">
        <v>1363</v>
      </c>
      <c r="D1365" t="n">
        <v>-0.102</v>
      </c>
      <c r="E1365" t="n">
        <v>15.813</v>
      </c>
      <c r="F1365" t="n">
        <v>0.12574</v>
      </c>
    </row>
    <row r="1366">
      <c r="A1366" t="n">
        <v>1001364</v>
      </c>
      <c r="B1366" t="n">
        <v>1</v>
      </c>
      <c r="C1366" t="n">
        <v>1364</v>
      </c>
      <c r="D1366" t="n">
        <v>-0.1022</v>
      </c>
      <c r="E1366" t="n">
        <v>15.8185</v>
      </c>
      <c r="F1366" t="n">
        <v>0.12576</v>
      </c>
    </row>
    <row r="1367">
      <c r="A1367" t="n">
        <v>1001365</v>
      </c>
      <c r="B1367" t="n">
        <v>1</v>
      </c>
      <c r="C1367" t="n">
        <v>1365</v>
      </c>
      <c r="D1367" t="n">
        <v>-0.1023</v>
      </c>
      <c r="E1367" t="n">
        <v>15.824</v>
      </c>
      <c r="F1367" t="n">
        <v>0.12578</v>
      </c>
    </row>
    <row r="1368">
      <c r="A1368" t="n">
        <v>1001366</v>
      </c>
      <c r="B1368" t="n">
        <v>1</v>
      </c>
      <c r="C1368" t="n">
        <v>1366</v>
      </c>
      <c r="D1368" t="n">
        <v>-0.1024</v>
      </c>
      <c r="E1368" t="n">
        <v>15.8295</v>
      </c>
      <c r="F1368" t="n">
        <v>0.1258</v>
      </c>
    </row>
    <row r="1369">
      <c r="A1369" t="n">
        <v>1001367</v>
      </c>
      <c r="B1369" t="n">
        <v>1</v>
      </c>
      <c r="C1369" t="n">
        <v>1367</v>
      </c>
      <c r="D1369" t="n">
        <v>-0.1025</v>
      </c>
      <c r="E1369" t="n">
        <v>15.835</v>
      </c>
      <c r="F1369" t="n">
        <v>0.12581</v>
      </c>
    </row>
    <row r="1370">
      <c r="A1370" t="n">
        <v>1001368</v>
      </c>
      <c r="B1370" t="n">
        <v>1</v>
      </c>
      <c r="C1370" t="n">
        <v>1368</v>
      </c>
      <c r="D1370" t="n">
        <v>-0.1026</v>
      </c>
      <c r="E1370" t="n">
        <v>15.8404</v>
      </c>
      <c r="F1370" t="n">
        <v>0.12583</v>
      </c>
    </row>
    <row r="1371">
      <c r="A1371" t="n">
        <v>1001369</v>
      </c>
      <c r="B1371" t="n">
        <v>1</v>
      </c>
      <c r="C1371" t="n">
        <v>1369</v>
      </c>
      <c r="D1371" t="n">
        <v>-0.1027</v>
      </c>
      <c r="E1371" t="n">
        <v>15.8459</v>
      </c>
      <c r="F1371" t="n">
        <v>0.12585</v>
      </c>
    </row>
    <row r="1372">
      <c r="A1372" t="n">
        <v>1001370</v>
      </c>
      <c r="B1372" t="n">
        <v>1</v>
      </c>
      <c r="C1372" t="n">
        <v>1370</v>
      </c>
      <c r="D1372" t="n">
        <v>-0.1028</v>
      </c>
      <c r="E1372" t="n">
        <v>15.8514</v>
      </c>
      <c r="F1372" t="n">
        <v>0.12587</v>
      </c>
    </row>
    <row r="1373">
      <c r="A1373" t="n">
        <v>1001371</v>
      </c>
      <c r="B1373" t="n">
        <v>1</v>
      </c>
      <c r="C1373" t="n">
        <v>1371</v>
      </c>
      <c r="D1373" t="n">
        <v>-0.103</v>
      </c>
      <c r="E1373" t="n">
        <v>15.8569</v>
      </c>
      <c r="F1373" t="n">
        <v>0.12589</v>
      </c>
    </row>
    <row r="1374">
      <c r="A1374" t="n">
        <v>1001372</v>
      </c>
      <c r="B1374" t="n">
        <v>1</v>
      </c>
      <c r="C1374" t="n">
        <v>1372</v>
      </c>
      <c r="D1374" t="n">
        <v>-0.1031</v>
      </c>
      <c r="E1374" t="n">
        <v>15.8623</v>
      </c>
      <c r="F1374" t="n">
        <v>0.12591</v>
      </c>
    </row>
    <row r="1375">
      <c r="A1375" t="n">
        <v>1001373</v>
      </c>
      <c r="B1375" t="n">
        <v>1</v>
      </c>
      <c r="C1375" t="n">
        <v>1373</v>
      </c>
      <c r="D1375" t="n">
        <v>-0.1032</v>
      </c>
      <c r="E1375" t="n">
        <v>15.8678</v>
      </c>
      <c r="F1375" t="n">
        <v>0.12592</v>
      </c>
    </row>
    <row r="1376">
      <c r="A1376" t="n">
        <v>1001374</v>
      </c>
      <c r="B1376" t="n">
        <v>1</v>
      </c>
      <c r="C1376" t="n">
        <v>1374</v>
      </c>
      <c r="D1376" t="n">
        <v>-0.1033</v>
      </c>
      <c r="E1376" t="n">
        <v>15.8733</v>
      </c>
      <c r="F1376" t="n">
        <v>0.12594</v>
      </c>
    </row>
    <row r="1377">
      <c r="A1377" t="n">
        <v>1001375</v>
      </c>
      <c r="B1377" t="n">
        <v>1</v>
      </c>
      <c r="C1377" t="n">
        <v>1375</v>
      </c>
      <c r="D1377" t="n">
        <v>-0.1034</v>
      </c>
      <c r="E1377" t="n">
        <v>15.8788</v>
      </c>
      <c r="F1377" t="n">
        <v>0.12596</v>
      </c>
    </row>
    <row r="1378">
      <c r="A1378" t="n">
        <v>1001376</v>
      </c>
      <c r="B1378" t="n">
        <v>1</v>
      </c>
      <c r="C1378" t="n">
        <v>1376</v>
      </c>
      <c r="D1378" t="n">
        <v>-0.1035</v>
      </c>
      <c r="E1378" t="n">
        <v>15.8842</v>
      </c>
      <c r="F1378" t="n">
        <v>0.12598</v>
      </c>
    </row>
    <row r="1379">
      <c r="A1379" t="n">
        <v>1001377</v>
      </c>
      <c r="B1379" t="n">
        <v>1</v>
      </c>
      <c r="C1379" t="n">
        <v>1377</v>
      </c>
      <c r="D1379" t="n">
        <v>-0.1037</v>
      </c>
      <c r="E1379" t="n">
        <v>15.8897</v>
      </c>
      <c r="F1379" t="n">
        <v>0.126</v>
      </c>
    </row>
    <row r="1380">
      <c r="A1380" t="n">
        <v>1001378</v>
      </c>
      <c r="B1380" t="n">
        <v>1</v>
      </c>
      <c r="C1380" t="n">
        <v>1378</v>
      </c>
      <c r="D1380" t="n">
        <v>-0.1038</v>
      </c>
      <c r="E1380" t="n">
        <v>15.8952</v>
      </c>
      <c r="F1380" t="n">
        <v>0.12602</v>
      </c>
    </row>
    <row r="1381">
      <c r="A1381" t="n">
        <v>1001379</v>
      </c>
      <c r="B1381" t="n">
        <v>1</v>
      </c>
      <c r="C1381" t="n">
        <v>1379</v>
      </c>
      <c r="D1381" t="n">
        <v>-0.1039</v>
      </c>
      <c r="E1381" t="n">
        <v>15.9007</v>
      </c>
      <c r="F1381" t="n">
        <v>0.12603</v>
      </c>
    </row>
    <row r="1382">
      <c r="A1382" t="n">
        <v>1001380</v>
      </c>
      <c r="B1382" t="n">
        <v>1</v>
      </c>
      <c r="C1382" t="n">
        <v>1380</v>
      </c>
      <c r="D1382" t="n">
        <v>-0.104</v>
      </c>
      <c r="E1382" t="n">
        <v>15.9061</v>
      </c>
      <c r="F1382" t="n">
        <v>0.12605</v>
      </c>
    </row>
    <row r="1383">
      <c r="A1383" t="n">
        <v>1001381</v>
      </c>
      <c r="B1383" t="n">
        <v>1</v>
      </c>
      <c r="C1383" t="n">
        <v>1381</v>
      </c>
      <c r="D1383" t="n">
        <v>-0.1041</v>
      </c>
      <c r="E1383" t="n">
        <v>15.9116</v>
      </c>
      <c r="F1383" t="n">
        <v>0.12607</v>
      </c>
    </row>
    <row r="1384">
      <c r="A1384" t="n">
        <v>1001382</v>
      </c>
      <c r="B1384" t="n">
        <v>1</v>
      </c>
      <c r="C1384" t="n">
        <v>1382</v>
      </c>
      <c r="D1384" t="n">
        <v>-0.1042</v>
      </c>
      <c r="E1384" t="n">
        <v>15.9171</v>
      </c>
      <c r="F1384" t="n">
        <v>0.12609</v>
      </c>
    </row>
    <row r="1385">
      <c r="A1385" t="n">
        <v>1001383</v>
      </c>
      <c r="B1385" t="n">
        <v>1</v>
      </c>
      <c r="C1385" t="n">
        <v>1383</v>
      </c>
      <c r="D1385" t="n">
        <v>-0.1043</v>
      </c>
      <c r="E1385" t="n">
        <v>15.9226</v>
      </c>
      <c r="F1385" t="n">
        <v>0.12611</v>
      </c>
    </row>
    <row r="1386">
      <c r="A1386" t="n">
        <v>1001384</v>
      </c>
      <c r="B1386" t="n">
        <v>1</v>
      </c>
      <c r="C1386" t="n">
        <v>1384</v>
      </c>
      <c r="D1386" t="n">
        <v>-0.1045</v>
      </c>
      <c r="E1386" t="n">
        <v>15.928</v>
      </c>
      <c r="F1386" t="n">
        <v>0.12613</v>
      </c>
    </row>
    <row r="1387">
      <c r="A1387" t="n">
        <v>1001385</v>
      </c>
      <c r="B1387" t="n">
        <v>1</v>
      </c>
      <c r="C1387" t="n">
        <v>1385</v>
      </c>
      <c r="D1387" t="n">
        <v>-0.1046</v>
      </c>
      <c r="E1387" t="n">
        <v>15.9335</v>
      </c>
      <c r="F1387" t="n">
        <v>0.12615</v>
      </c>
    </row>
    <row r="1388">
      <c r="A1388" t="n">
        <v>1001386</v>
      </c>
      <c r="B1388" t="n">
        <v>1</v>
      </c>
      <c r="C1388" t="n">
        <v>1386</v>
      </c>
      <c r="D1388" t="n">
        <v>-0.1047</v>
      </c>
      <c r="E1388" t="n">
        <v>15.939</v>
      </c>
      <c r="F1388" t="n">
        <v>0.12616</v>
      </c>
    </row>
    <row r="1389">
      <c r="A1389" t="n">
        <v>1001387</v>
      </c>
      <c r="B1389" t="n">
        <v>1</v>
      </c>
      <c r="C1389" t="n">
        <v>1387</v>
      </c>
      <c r="D1389" t="n">
        <v>-0.1048</v>
      </c>
      <c r="E1389" t="n">
        <v>15.9445</v>
      </c>
      <c r="F1389" t="n">
        <v>0.12618</v>
      </c>
    </row>
    <row r="1390">
      <c r="A1390" t="n">
        <v>1001388</v>
      </c>
      <c r="B1390" t="n">
        <v>1</v>
      </c>
      <c r="C1390" t="n">
        <v>1388</v>
      </c>
      <c r="D1390" t="n">
        <v>-0.1049</v>
      </c>
      <c r="E1390" t="n">
        <v>15.9499</v>
      </c>
      <c r="F1390" t="n">
        <v>0.1262</v>
      </c>
    </row>
    <row r="1391">
      <c r="A1391" t="n">
        <v>1001389</v>
      </c>
      <c r="B1391" t="n">
        <v>1</v>
      </c>
      <c r="C1391" t="n">
        <v>1389</v>
      </c>
      <c r="D1391" t="n">
        <v>-0.105</v>
      </c>
      <c r="E1391" t="n">
        <v>15.9554</v>
      </c>
      <c r="F1391" t="n">
        <v>0.12622</v>
      </c>
    </row>
    <row r="1392">
      <c r="A1392" t="n">
        <v>1001390</v>
      </c>
      <c r="B1392" t="n">
        <v>1</v>
      </c>
      <c r="C1392" t="n">
        <v>1390</v>
      </c>
      <c r="D1392" t="n">
        <v>-0.1051</v>
      </c>
      <c r="E1392" t="n">
        <v>15.9609</v>
      </c>
      <c r="F1392" t="n">
        <v>0.12624</v>
      </c>
    </row>
    <row r="1393">
      <c r="A1393" t="n">
        <v>1001391</v>
      </c>
      <c r="B1393" t="n">
        <v>1</v>
      </c>
      <c r="C1393" t="n">
        <v>1391</v>
      </c>
      <c r="D1393" t="n">
        <v>-0.1053</v>
      </c>
      <c r="E1393" t="n">
        <v>15.9664</v>
      </c>
      <c r="F1393" t="n">
        <v>0.12626</v>
      </c>
    </row>
    <row r="1394">
      <c r="A1394" t="n">
        <v>1001392</v>
      </c>
      <c r="B1394" t="n">
        <v>1</v>
      </c>
      <c r="C1394" t="n">
        <v>1392</v>
      </c>
      <c r="D1394" t="n">
        <v>-0.1054</v>
      </c>
      <c r="E1394" t="n">
        <v>15.9718</v>
      </c>
      <c r="F1394" t="n">
        <v>0.12627</v>
      </c>
    </row>
    <row r="1395">
      <c r="A1395" t="n">
        <v>1001393</v>
      </c>
      <c r="B1395" t="n">
        <v>1</v>
      </c>
      <c r="C1395" t="n">
        <v>1393</v>
      </c>
      <c r="D1395" t="n">
        <v>-0.1055</v>
      </c>
      <c r="E1395" t="n">
        <v>15.9773</v>
      </c>
      <c r="F1395" t="n">
        <v>0.12629</v>
      </c>
    </row>
    <row r="1396">
      <c r="A1396" t="n">
        <v>1001394</v>
      </c>
      <c r="B1396" t="n">
        <v>1</v>
      </c>
      <c r="C1396" t="n">
        <v>1394</v>
      </c>
      <c r="D1396" t="n">
        <v>-0.1056</v>
      </c>
      <c r="E1396" t="n">
        <v>15.9828</v>
      </c>
      <c r="F1396" t="n">
        <v>0.12631</v>
      </c>
    </row>
    <row r="1397">
      <c r="A1397" t="n">
        <v>1001395</v>
      </c>
      <c r="B1397" t="n">
        <v>1</v>
      </c>
      <c r="C1397" t="n">
        <v>1395</v>
      </c>
      <c r="D1397" t="n">
        <v>-0.1057</v>
      </c>
      <c r="E1397" t="n">
        <v>15.9882</v>
      </c>
      <c r="F1397" t="n">
        <v>0.12633</v>
      </c>
    </row>
    <row r="1398">
      <c r="A1398" t="n">
        <v>1001396</v>
      </c>
      <c r="B1398" t="n">
        <v>1</v>
      </c>
      <c r="C1398" t="n">
        <v>1396</v>
      </c>
      <c r="D1398" t="n">
        <v>-0.1058</v>
      </c>
      <c r="E1398" t="n">
        <v>15.9937</v>
      </c>
      <c r="F1398" t="n">
        <v>0.12635</v>
      </c>
    </row>
    <row r="1399">
      <c r="A1399" t="n">
        <v>1001397</v>
      </c>
      <c r="B1399" t="n">
        <v>1</v>
      </c>
      <c r="C1399" t="n">
        <v>1397</v>
      </c>
      <c r="D1399" t="n">
        <v>-0.1059</v>
      </c>
      <c r="E1399" t="n">
        <v>15.9992</v>
      </c>
      <c r="F1399" t="n">
        <v>0.12637</v>
      </c>
    </row>
    <row r="1400">
      <c r="A1400" t="n">
        <v>1001398</v>
      </c>
      <c r="B1400" t="n">
        <v>1</v>
      </c>
      <c r="C1400" t="n">
        <v>1398</v>
      </c>
      <c r="D1400" t="n">
        <v>-0.1061</v>
      </c>
      <c r="E1400" t="n">
        <v>16.0047</v>
      </c>
      <c r="F1400" t="n">
        <v>0.12639</v>
      </c>
    </row>
    <row r="1401">
      <c r="A1401" t="n">
        <v>1001399</v>
      </c>
      <c r="B1401" t="n">
        <v>1</v>
      </c>
      <c r="C1401" t="n">
        <v>1399</v>
      </c>
      <c r="D1401" t="n">
        <v>-0.1062</v>
      </c>
      <c r="E1401" t="n">
        <v>16.0101</v>
      </c>
      <c r="F1401" t="n">
        <v>0.12641</v>
      </c>
    </row>
    <row r="1402">
      <c r="A1402" t="n">
        <v>1001400</v>
      </c>
      <c r="B1402" t="n">
        <v>1</v>
      </c>
      <c r="C1402" t="n">
        <v>1400</v>
      </c>
      <c r="D1402" t="n">
        <v>-0.1063</v>
      </c>
      <c r="E1402" t="n">
        <v>16.0156</v>
      </c>
      <c r="F1402" t="n">
        <v>0.12642</v>
      </c>
    </row>
    <row r="1403">
      <c r="A1403" t="n">
        <v>1001401</v>
      </c>
      <c r="B1403" t="n">
        <v>1</v>
      </c>
      <c r="C1403" t="n">
        <v>1401</v>
      </c>
      <c r="D1403" t="n">
        <v>-0.1064</v>
      </c>
      <c r="E1403" t="n">
        <v>16.0211</v>
      </c>
      <c r="F1403" t="n">
        <v>0.12644</v>
      </c>
    </row>
    <row r="1404">
      <c r="A1404" t="n">
        <v>1001402</v>
      </c>
      <c r="B1404" t="n">
        <v>1</v>
      </c>
      <c r="C1404" t="n">
        <v>1402</v>
      </c>
      <c r="D1404" t="n">
        <v>-0.1065</v>
      </c>
      <c r="E1404" t="n">
        <v>16.0265</v>
      </c>
      <c r="F1404" t="n">
        <v>0.12646</v>
      </c>
    </row>
    <row r="1405">
      <c r="A1405" t="n">
        <v>1001403</v>
      </c>
      <c r="B1405" t="n">
        <v>1</v>
      </c>
      <c r="C1405" t="n">
        <v>1403</v>
      </c>
      <c r="D1405" t="n">
        <v>-0.1066</v>
      </c>
      <c r="E1405" t="n">
        <v>16.032</v>
      </c>
      <c r="F1405" t="n">
        <v>0.12648</v>
      </c>
    </row>
    <row r="1406">
      <c r="A1406" t="n">
        <v>1001404</v>
      </c>
      <c r="B1406" t="n">
        <v>1</v>
      </c>
      <c r="C1406" t="n">
        <v>1404</v>
      </c>
      <c r="D1406" t="n">
        <v>-0.1067</v>
      </c>
      <c r="E1406" t="n">
        <v>16.0375</v>
      </c>
      <c r="F1406" t="n">
        <v>0.1265</v>
      </c>
    </row>
    <row r="1407">
      <c r="A1407" t="n">
        <v>1001405</v>
      </c>
      <c r="B1407" t="n">
        <v>1</v>
      </c>
      <c r="C1407" t="n">
        <v>1405</v>
      </c>
      <c r="D1407" t="n">
        <v>-0.1068</v>
      </c>
      <c r="E1407" t="n">
        <v>16.043</v>
      </c>
      <c r="F1407" t="n">
        <v>0.12652</v>
      </c>
    </row>
    <row r="1408">
      <c r="A1408" t="n">
        <v>1001406</v>
      </c>
      <c r="B1408" t="n">
        <v>1</v>
      </c>
      <c r="C1408" t="n">
        <v>1406</v>
      </c>
      <c r="D1408" t="n">
        <v>-0.107</v>
      </c>
      <c r="E1408" t="n">
        <v>16.0484</v>
      </c>
      <c r="F1408" t="n">
        <v>0.12654</v>
      </c>
    </row>
    <row r="1409">
      <c r="A1409" t="n">
        <v>1001407</v>
      </c>
      <c r="B1409" t="n">
        <v>1</v>
      </c>
      <c r="C1409" t="n">
        <v>1407</v>
      </c>
      <c r="D1409" t="n">
        <v>-0.1071</v>
      </c>
      <c r="E1409" t="n">
        <v>16.0539</v>
      </c>
      <c r="F1409" t="n">
        <v>0.12656</v>
      </c>
    </row>
    <row r="1410">
      <c r="A1410" t="n">
        <v>1001408</v>
      </c>
      <c r="B1410" t="n">
        <v>1</v>
      </c>
      <c r="C1410" t="n">
        <v>1408</v>
      </c>
      <c r="D1410" t="n">
        <v>-0.1072</v>
      </c>
      <c r="E1410" t="n">
        <v>16.0594</v>
      </c>
      <c r="F1410" t="n">
        <v>0.12657</v>
      </c>
    </row>
    <row r="1411">
      <c r="A1411" t="n">
        <v>1001409</v>
      </c>
      <c r="B1411" t="n">
        <v>1</v>
      </c>
      <c r="C1411" t="n">
        <v>1409</v>
      </c>
      <c r="D1411" t="n">
        <v>-0.1073</v>
      </c>
      <c r="E1411" t="n">
        <v>16.0648</v>
      </c>
      <c r="F1411" t="n">
        <v>0.12659</v>
      </c>
    </row>
    <row r="1412">
      <c r="A1412" t="n">
        <v>1001410</v>
      </c>
      <c r="B1412" t="n">
        <v>1</v>
      </c>
      <c r="C1412" t="n">
        <v>1410</v>
      </c>
      <c r="D1412" t="n">
        <v>-0.1074</v>
      </c>
      <c r="E1412" t="n">
        <v>16.0703</v>
      </c>
      <c r="F1412" t="n">
        <v>0.12661</v>
      </c>
    </row>
    <row r="1413">
      <c r="A1413" t="n">
        <v>1001411</v>
      </c>
      <c r="B1413" t="n">
        <v>1</v>
      </c>
      <c r="C1413" t="n">
        <v>1411</v>
      </c>
      <c r="D1413" t="n">
        <v>-0.1075</v>
      </c>
      <c r="E1413" t="n">
        <v>16.0758</v>
      </c>
      <c r="F1413" t="n">
        <v>0.12663</v>
      </c>
    </row>
    <row r="1414">
      <c r="A1414" t="n">
        <v>1001412</v>
      </c>
      <c r="B1414" t="n">
        <v>1</v>
      </c>
      <c r="C1414" t="n">
        <v>1412</v>
      </c>
      <c r="D1414" t="n">
        <v>-0.1076</v>
      </c>
      <c r="E1414" t="n">
        <v>16.0812</v>
      </c>
      <c r="F1414" t="n">
        <v>0.12665</v>
      </c>
    </row>
    <row r="1415">
      <c r="A1415" t="n">
        <v>1001413</v>
      </c>
      <c r="B1415" t="n">
        <v>1</v>
      </c>
      <c r="C1415" t="n">
        <v>1413</v>
      </c>
      <c r="D1415" t="n">
        <v>-0.1078</v>
      </c>
      <c r="E1415" t="n">
        <v>16.0867</v>
      </c>
      <c r="F1415" t="n">
        <v>0.12667</v>
      </c>
    </row>
    <row r="1416">
      <c r="A1416" t="n">
        <v>1001414</v>
      </c>
      <c r="B1416" t="n">
        <v>1</v>
      </c>
      <c r="C1416" t="n">
        <v>1414</v>
      </c>
      <c r="D1416" t="n">
        <v>-0.1079</v>
      </c>
      <c r="E1416" t="n">
        <v>16.0922</v>
      </c>
      <c r="F1416" t="n">
        <v>0.12669</v>
      </c>
    </row>
    <row r="1417">
      <c r="A1417" t="n">
        <v>1001415</v>
      </c>
      <c r="B1417" t="n">
        <v>1</v>
      </c>
      <c r="C1417" t="n">
        <v>1415</v>
      </c>
      <c r="D1417" t="n">
        <v>-0.108</v>
      </c>
      <c r="E1417" t="n">
        <v>16.0976</v>
      </c>
      <c r="F1417" t="n">
        <v>0.12671</v>
      </c>
    </row>
    <row r="1418">
      <c r="A1418" t="n">
        <v>1001416</v>
      </c>
      <c r="B1418" t="n">
        <v>1</v>
      </c>
      <c r="C1418" t="n">
        <v>1416</v>
      </c>
      <c r="D1418" t="n">
        <v>-0.1081</v>
      </c>
      <c r="E1418" t="n">
        <v>16.1031</v>
      </c>
      <c r="F1418" t="n">
        <v>0.12673</v>
      </c>
    </row>
    <row r="1419">
      <c r="A1419" t="n">
        <v>1001417</v>
      </c>
      <c r="B1419" t="n">
        <v>1</v>
      </c>
      <c r="C1419" t="n">
        <v>1417</v>
      </c>
      <c r="D1419" t="n">
        <v>-0.1082</v>
      </c>
      <c r="E1419" t="n">
        <v>16.1086</v>
      </c>
      <c r="F1419" t="n">
        <v>0.12674</v>
      </c>
    </row>
    <row r="1420">
      <c r="A1420" t="n">
        <v>1001418</v>
      </c>
      <c r="B1420" t="n">
        <v>1</v>
      </c>
      <c r="C1420" t="n">
        <v>1418</v>
      </c>
      <c r="D1420" t="n">
        <v>-0.1083</v>
      </c>
      <c r="E1420" t="n">
        <v>16.114</v>
      </c>
      <c r="F1420" t="n">
        <v>0.12676</v>
      </c>
    </row>
    <row r="1421">
      <c r="A1421" t="n">
        <v>1001419</v>
      </c>
      <c r="B1421" t="n">
        <v>1</v>
      </c>
      <c r="C1421" t="n">
        <v>1419</v>
      </c>
      <c r="D1421" t="n">
        <v>-0.1084</v>
      </c>
      <c r="E1421" t="n">
        <v>16.1195</v>
      </c>
      <c r="F1421" t="n">
        <v>0.12678</v>
      </c>
    </row>
    <row r="1422">
      <c r="A1422" t="n">
        <v>1001420</v>
      </c>
      <c r="B1422" t="n">
        <v>1</v>
      </c>
      <c r="C1422" t="n">
        <v>1420</v>
      </c>
      <c r="D1422" t="n">
        <v>-0.1085</v>
      </c>
      <c r="E1422" t="n">
        <v>16.125</v>
      </c>
      <c r="F1422" t="n">
        <v>0.1268</v>
      </c>
    </row>
    <row r="1423">
      <c r="A1423" t="n">
        <v>1001421</v>
      </c>
      <c r="B1423" t="n">
        <v>1</v>
      </c>
      <c r="C1423" t="n">
        <v>1421</v>
      </c>
      <c r="D1423" t="n">
        <v>-0.1087</v>
      </c>
      <c r="E1423" t="n">
        <v>16.1304</v>
      </c>
      <c r="F1423" t="n">
        <v>0.12682</v>
      </c>
    </row>
    <row r="1424">
      <c r="A1424" t="n">
        <v>1001422</v>
      </c>
      <c r="B1424" t="n">
        <v>1</v>
      </c>
      <c r="C1424" t="n">
        <v>1422</v>
      </c>
      <c r="D1424" t="n">
        <v>-0.1088</v>
      </c>
      <c r="E1424" t="n">
        <v>16.1359</v>
      </c>
      <c r="F1424" t="n">
        <v>0.12684</v>
      </c>
    </row>
    <row r="1425">
      <c r="A1425" t="n">
        <v>1001423</v>
      </c>
      <c r="B1425" t="n">
        <v>1</v>
      </c>
      <c r="C1425" t="n">
        <v>1423</v>
      </c>
      <c r="D1425" t="n">
        <v>-0.1089</v>
      </c>
      <c r="E1425" t="n">
        <v>16.1414</v>
      </c>
      <c r="F1425" t="n">
        <v>0.12686</v>
      </c>
    </row>
    <row r="1426">
      <c r="A1426" t="n">
        <v>1001424</v>
      </c>
      <c r="B1426" t="n">
        <v>1</v>
      </c>
      <c r="C1426" t="n">
        <v>1424</v>
      </c>
      <c r="D1426" t="n">
        <v>-0.109</v>
      </c>
      <c r="E1426" t="n">
        <v>16.1468</v>
      </c>
      <c r="F1426" t="n">
        <v>0.12688</v>
      </c>
    </row>
    <row r="1427">
      <c r="A1427" t="n">
        <v>1001425</v>
      </c>
      <c r="B1427" t="n">
        <v>1</v>
      </c>
      <c r="C1427" t="n">
        <v>1425</v>
      </c>
      <c r="D1427" t="n">
        <v>-0.1091</v>
      </c>
      <c r="E1427" t="n">
        <v>16.1523</v>
      </c>
      <c r="F1427" t="n">
        <v>0.1269</v>
      </c>
    </row>
    <row r="1428">
      <c r="A1428" t="n">
        <v>1001426</v>
      </c>
      <c r="B1428" t="n">
        <v>1</v>
      </c>
      <c r="C1428" t="n">
        <v>1426</v>
      </c>
      <c r="D1428" t="n">
        <v>-0.1092</v>
      </c>
      <c r="E1428" t="n">
        <v>16.1578</v>
      </c>
      <c r="F1428" t="n">
        <v>0.12692</v>
      </c>
    </row>
    <row r="1429">
      <c r="A1429" t="n">
        <v>1001427</v>
      </c>
      <c r="B1429" t="n">
        <v>1</v>
      </c>
      <c r="C1429" t="n">
        <v>1427</v>
      </c>
      <c r="D1429" t="n">
        <v>-0.1093</v>
      </c>
      <c r="E1429" t="n">
        <v>16.1632</v>
      </c>
      <c r="F1429" t="n">
        <v>0.12693</v>
      </c>
    </row>
    <row r="1430">
      <c r="A1430" t="n">
        <v>1001428</v>
      </c>
      <c r="B1430" t="n">
        <v>1</v>
      </c>
      <c r="C1430" t="n">
        <v>1428</v>
      </c>
      <c r="D1430" t="n">
        <v>-0.1094</v>
      </c>
      <c r="E1430" t="n">
        <v>16.1687</v>
      </c>
      <c r="F1430" t="n">
        <v>0.12695</v>
      </c>
    </row>
    <row r="1431">
      <c r="A1431" t="n">
        <v>1001429</v>
      </c>
      <c r="B1431" t="n">
        <v>1</v>
      </c>
      <c r="C1431" t="n">
        <v>1429</v>
      </c>
      <c r="D1431" t="n">
        <v>-0.1096</v>
      </c>
      <c r="E1431" t="n">
        <v>16.1742</v>
      </c>
      <c r="F1431" t="n">
        <v>0.12697</v>
      </c>
    </row>
    <row r="1432">
      <c r="A1432" t="n">
        <v>1001430</v>
      </c>
      <c r="B1432" t="n">
        <v>1</v>
      </c>
      <c r="C1432" t="n">
        <v>1430</v>
      </c>
      <c r="D1432" t="n">
        <v>-0.1097</v>
      </c>
      <c r="E1432" t="n">
        <v>16.1796</v>
      </c>
      <c r="F1432" t="n">
        <v>0.12699</v>
      </c>
    </row>
    <row r="1433">
      <c r="A1433" t="n">
        <v>1001431</v>
      </c>
      <c r="B1433" t="n">
        <v>1</v>
      </c>
      <c r="C1433" t="n">
        <v>1431</v>
      </c>
      <c r="D1433" t="n">
        <v>-0.1098</v>
      </c>
      <c r="E1433" t="n">
        <v>16.1851</v>
      </c>
      <c r="F1433" t="n">
        <v>0.12701</v>
      </c>
    </row>
    <row r="1434">
      <c r="A1434" t="n">
        <v>1001432</v>
      </c>
      <c r="B1434" t="n">
        <v>1</v>
      </c>
      <c r="C1434" t="n">
        <v>1432</v>
      </c>
      <c r="D1434" t="n">
        <v>-0.1099</v>
      </c>
      <c r="E1434" t="n">
        <v>16.1906</v>
      </c>
      <c r="F1434" t="n">
        <v>0.12703</v>
      </c>
    </row>
    <row r="1435">
      <c r="A1435" t="n">
        <v>1001433</v>
      </c>
      <c r="B1435" t="n">
        <v>1</v>
      </c>
      <c r="C1435" t="n">
        <v>1433</v>
      </c>
      <c r="D1435" t="n">
        <v>-0.11</v>
      </c>
      <c r="E1435" t="n">
        <v>16.196</v>
      </c>
      <c r="F1435" t="n">
        <v>0.12705</v>
      </c>
    </row>
    <row r="1436">
      <c r="A1436" t="n">
        <v>1001434</v>
      </c>
      <c r="B1436" t="n">
        <v>1</v>
      </c>
      <c r="C1436" t="n">
        <v>1434</v>
      </c>
      <c r="D1436" t="n">
        <v>-0.1101</v>
      </c>
      <c r="E1436" t="n">
        <v>16.2015</v>
      </c>
      <c r="F1436" t="n">
        <v>0.12707</v>
      </c>
    </row>
    <row r="1437">
      <c r="A1437" t="n">
        <v>1001435</v>
      </c>
      <c r="B1437" t="n">
        <v>1</v>
      </c>
      <c r="C1437" t="n">
        <v>1435</v>
      </c>
      <c r="D1437" t="n">
        <v>-0.1102</v>
      </c>
      <c r="E1437" t="n">
        <v>16.2069</v>
      </c>
      <c r="F1437" t="n">
        <v>0.12709</v>
      </c>
    </row>
    <row r="1438">
      <c r="A1438" t="n">
        <v>1001436</v>
      </c>
      <c r="B1438" t="n">
        <v>1</v>
      </c>
      <c r="C1438" t="n">
        <v>1436</v>
      </c>
      <c r="D1438" t="n">
        <v>-0.1103</v>
      </c>
      <c r="E1438" t="n">
        <v>16.2124</v>
      </c>
      <c r="F1438" t="n">
        <v>0.12711</v>
      </c>
    </row>
    <row r="1439">
      <c r="A1439" t="n">
        <v>1001437</v>
      </c>
      <c r="B1439" t="n">
        <v>1</v>
      </c>
      <c r="C1439" t="n">
        <v>1437</v>
      </c>
      <c r="D1439" t="n">
        <v>-0.1105</v>
      </c>
      <c r="E1439" t="n">
        <v>16.2179</v>
      </c>
      <c r="F1439" t="n">
        <v>0.12713</v>
      </c>
    </row>
    <row r="1440">
      <c r="A1440" t="n">
        <v>1001438</v>
      </c>
      <c r="B1440" t="n">
        <v>1</v>
      </c>
      <c r="C1440" t="n">
        <v>1438</v>
      </c>
      <c r="D1440" t="n">
        <v>-0.1106</v>
      </c>
      <c r="E1440" t="n">
        <v>16.2233</v>
      </c>
      <c r="F1440" t="n">
        <v>0.12715</v>
      </c>
    </row>
    <row r="1441">
      <c r="A1441" t="n">
        <v>1001439</v>
      </c>
      <c r="B1441" t="n">
        <v>1</v>
      </c>
      <c r="C1441" t="n">
        <v>1439</v>
      </c>
      <c r="D1441" t="n">
        <v>-0.1107</v>
      </c>
      <c r="E1441" t="n">
        <v>16.2288</v>
      </c>
      <c r="F1441" t="n">
        <v>0.12717</v>
      </c>
    </row>
    <row r="1442">
      <c r="A1442" t="n">
        <v>1001440</v>
      </c>
      <c r="B1442" t="n">
        <v>1</v>
      </c>
      <c r="C1442" t="n">
        <v>1440</v>
      </c>
      <c r="D1442" t="n">
        <v>-0.1108</v>
      </c>
      <c r="E1442" t="n">
        <v>16.2343</v>
      </c>
      <c r="F1442" t="n">
        <v>0.12718</v>
      </c>
    </row>
    <row r="1443">
      <c r="A1443" t="n">
        <v>1001441</v>
      </c>
      <c r="B1443" t="n">
        <v>1</v>
      </c>
      <c r="C1443" t="n">
        <v>1441</v>
      </c>
      <c r="D1443" t="n">
        <v>-0.1109</v>
      </c>
      <c r="E1443" t="n">
        <v>16.2397</v>
      </c>
      <c r="F1443" t="n">
        <v>0.1272</v>
      </c>
    </row>
    <row r="1444">
      <c r="A1444" t="n">
        <v>1001442</v>
      </c>
      <c r="B1444" t="n">
        <v>1</v>
      </c>
      <c r="C1444" t="n">
        <v>1442</v>
      </c>
      <c r="D1444" t="n">
        <v>-0.111</v>
      </c>
      <c r="E1444" t="n">
        <v>16.2452</v>
      </c>
      <c r="F1444" t="n">
        <v>0.12722</v>
      </c>
    </row>
    <row r="1445">
      <c r="A1445" t="n">
        <v>1001443</v>
      </c>
      <c r="B1445" t="n">
        <v>1</v>
      </c>
      <c r="C1445" t="n">
        <v>1443</v>
      </c>
      <c r="D1445" t="n">
        <v>-0.1111</v>
      </c>
      <c r="E1445" t="n">
        <v>16.2506</v>
      </c>
      <c r="F1445" t="n">
        <v>0.12724</v>
      </c>
    </row>
    <row r="1446">
      <c r="A1446" t="n">
        <v>1001444</v>
      </c>
      <c r="B1446" t="n">
        <v>1</v>
      </c>
      <c r="C1446" t="n">
        <v>1444</v>
      </c>
      <c r="D1446" t="n">
        <v>-0.1112</v>
      </c>
      <c r="E1446" t="n">
        <v>16.2561</v>
      </c>
      <c r="F1446" t="n">
        <v>0.12726</v>
      </c>
    </row>
    <row r="1447">
      <c r="A1447" t="n">
        <v>1001445</v>
      </c>
      <c r="B1447" t="n">
        <v>1</v>
      </c>
      <c r="C1447" t="n">
        <v>1445</v>
      </c>
      <c r="D1447" t="n">
        <v>-0.1113</v>
      </c>
      <c r="E1447" t="n">
        <v>16.2616</v>
      </c>
      <c r="F1447" t="n">
        <v>0.12728</v>
      </c>
    </row>
    <row r="1448">
      <c r="A1448" t="n">
        <v>1001446</v>
      </c>
      <c r="B1448" t="n">
        <v>1</v>
      </c>
      <c r="C1448" t="n">
        <v>1446</v>
      </c>
      <c r="D1448" t="n">
        <v>-0.1115</v>
      </c>
      <c r="E1448" t="n">
        <v>16.267</v>
      </c>
      <c r="F1448" t="n">
        <v>0.1273</v>
      </c>
    </row>
    <row r="1449">
      <c r="A1449" t="n">
        <v>1001447</v>
      </c>
      <c r="B1449" t="n">
        <v>1</v>
      </c>
      <c r="C1449" t="n">
        <v>1447</v>
      </c>
      <c r="D1449" t="n">
        <v>-0.1116</v>
      </c>
      <c r="E1449" t="n">
        <v>16.2725</v>
      </c>
      <c r="F1449" t="n">
        <v>0.12732</v>
      </c>
    </row>
    <row r="1450">
      <c r="A1450" t="n">
        <v>1001448</v>
      </c>
      <c r="B1450" t="n">
        <v>1</v>
      </c>
      <c r="C1450" t="n">
        <v>1448</v>
      </c>
      <c r="D1450" t="n">
        <v>-0.1117</v>
      </c>
      <c r="E1450" t="n">
        <v>16.2779</v>
      </c>
      <c r="F1450" t="n">
        <v>0.12734</v>
      </c>
    </row>
    <row r="1451">
      <c r="A1451" t="n">
        <v>1001449</v>
      </c>
      <c r="B1451" t="n">
        <v>1</v>
      </c>
      <c r="C1451" t="n">
        <v>1449</v>
      </c>
      <c r="D1451" t="n">
        <v>-0.1118</v>
      </c>
      <c r="E1451" t="n">
        <v>16.2834</v>
      </c>
      <c r="F1451" t="n">
        <v>0.12736</v>
      </c>
    </row>
    <row r="1452">
      <c r="A1452" t="n">
        <v>1001450</v>
      </c>
      <c r="B1452" t="n">
        <v>1</v>
      </c>
      <c r="C1452" t="n">
        <v>1450</v>
      </c>
      <c r="D1452" t="n">
        <v>-0.1119</v>
      </c>
      <c r="E1452" t="n">
        <v>16.2889</v>
      </c>
      <c r="F1452" t="n">
        <v>0.12738</v>
      </c>
    </row>
    <row r="1453">
      <c r="A1453" t="n">
        <v>1001451</v>
      </c>
      <c r="B1453" t="n">
        <v>1</v>
      </c>
      <c r="C1453" t="n">
        <v>1451</v>
      </c>
      <c r="D1453" t="n">
        <v>-0.112</v>
      </c>
      <c r="E1453" t="n">
        <v>16.2943</v>
      </c>
      <c r="F1453" t="n">
        <v>0.1274</v>
      </c>
    </row>
    <row r="1454">
      <c r="A1454" t="n">
        <v>1001452</v>
      </c>
      <c r="B1454" t="n">
        <v>1</v>
      </c>
      <c r="C1454" t="n">
        <v>1452</v>
      </c>
      <c r="D1454" t="n">
        <v>-0.1121</v>
      </c>
      <c r="E1454" t="n">
        <v>16.2998</v>
      </c>
      <c r="F1454" t="n">
        <v>0.12742</v>
      </c>
    </row>
    <row r="1455">
      <c r="A1455" t="n">
        <v>1001453</v>
      </c>
      <c r="B1455" t="n">
        <v>1</v>
      </c>
      <c r="C1455" t="n">
        <v>1453</v>
      </c>
      <c r="D1455" t="n">
        <v>-0.1122</v>
      </c>
      <c r="E1455" t="n">
        <v>16.3053</v>
      </c>
      <c r="F1455" t="n">
        <v>0.12744</v>
      </c>
    </row>
    <row r="1456">
      <c r="A1456" t="n">
        <v>1001454</v>
      </c>
      <c r="B1456" t="n">
        <v>1</v>
      </c>
      <c r="C1456" t="n">
        <v>1454</v>
      </c>
      <c r="D1456" t="n">
        <v>-0.1123</v>
      </c>
      <c r="E1456" t="n">
        <v>16.3107</v>
      </c>
      <c r="F1456" t="n">
        <v>0.12746</v>
      </c>
    </row>
    <row r="1457">
      <c r="A1457" t="n">
        <v>1001455</v>
      </c>
      <c r="B1457" t="n">
        <v>1</v>
      </c>
      <c r="C1457" t="n">
        <v>1455</v>
      </c>
      <c r="D1457" t="n">
        <v>-0.1125</v>
      </c>
      <c r="E1457" t="n">
        <v>16.3162</v>
      </c>
      <c r="F1457" t="n">
        <v>0.12747</v>
      </c>
    </row>
    <row r="1458">
      <c r="A1458" t="n">
        <v>1001456</v>
      </c>
      <c r="B1458" t="n">
        <v>1</v>
      </c>
      <c r="C1458" t="n">
        <v>1456</v>
      </c>
      <c r="D1458" t="n">
        <v>-0.1126</v>
      </c>
      <c r="E1458" t="n">
        <v>16.3216</v>
      </c>
      <c r="F1458" t="n">
        <v>0.12749</v>
      </c>
    </row>
    <row r="1459">
      <c r="A1459" t="n">
        <v>1001457</v>
      </c>
      <c r="B1459" t="n">
        <v>1</v>
      </c>
      <c r="C1459" t="n">
        <v>1457</v>
      </c>
      <c r="D1459" t="n">
        <v>-0.1127</v>
      </c>
      <c r="E1459" t="n">
        <v>16.3271</v>
      </c>
      <c r="F1459" t="n">
        <v>0.12751</v>
      </c>
    </row>
    <row r="1460">
      <c r="A1460" t="n">
        <v>1001458</v>
      </c>
      <c r="B1460" t="n">
        <v>1</v>
      </c>
      <c r="C1460" t="n">
        <v>1458</v>
      </c>
      <c r="D1460" t="n">
        <v>-0.1128</v>
      </c>
      <c r="E1460" t="n">
        <v>16.3325</v>
      </c>
      <c r="F1460" t="n">
        <v>0.12753</v>
      </c>
    </row>
    <row r="1461">
      <c r="A1461" t="n">
        <v>1001459</v>
      </c>
      <c r="B1461" t="n">
        <v>1</v>
      </c>
      <c r="C1461" t="n">
        <v>1459</v>
      </c>
      <c r="D1461" t="n">
        <v>-0.1129</v>
      </c>
      <c r="E1461" t="n">
        <v>16.338</v>
      </c>
      <c r="F1461" t="n">
        <v>0.12755</v>
      </c>
    </row>
    <row r="1462">
      <c r="A1462" t="n">
        <v>1001460</v>
      </c>
      <c r="B1462" t="n">
        <v>1</v>
      </c>
      <c r="C1462" t="n">
        <v>1460</v>
      </c>
      <c r="D1462" t="n">
        <v>-0.113</v>
      </c>
      <c r="E1462" t="n">
        <v>16.3435</v>
      </c>
      <c r="F1462" t="n">
        <v>0.12757</v>
      </c>
    </row>
    <row r="1463">
      <c r="A1463" t="n">
        <v>1001461</v>
      </c>
      <c r="B1463" t="n">
        <v>1</v>
      </c>
      <c r="C1463" t="n">
        <v>1461</v>
      </c>
      <c r="D1463" t="n">
        <v>-0.1131</v>
      </c>
      <c r="E1463" t="n">
        <v>16.3489</v>
      </c>
      <c r="F1463" t="n">
        <v>0.12759</v>
      </c>
    </row>
    <row r="1464">
      <c r="A1464" t="n">
        <v>1001462</v>
      </c>
      <c r="B1464" t="n">
        <v>1</v>
      </c>
      <c r="C1464" t="n">
        <v>1462</v>
      </c>
      <c r="D1464" t="n">
        <v>-0.1132</v>
      </c>
      <c r="E1464" t="n">
        <v>16.3544</v>
      </c>
      <c r="F1464" t="n">
        <v>0.12761</v>
      </c>
    </row>
    <row r="1465">
      <c r="A1465" t="n">
        <v>1001463</v>
      </c>
      <c r="B1465" t="n">
        <v>1</v>
      </c>
      <c r="C1465" t="n">
        <v>1463</v>
      </c>
      <c r="D1465" t="n">
        <v>-0.1133</v>
      </c>
      <c r="E1465" t="n">
        <v>16.3598</v>
      </c>
      <c r="F1465" t="n">
        <v>0.12763</v>
      </c>
    </row>
    <row r="1466">
      <c r="A1466" t="n">
        <v>1001464</v>
      </c>
      <c r="B1466" t="n">
        <v>1</v>
      </c>
      <c r="C1466" t="n">
        <v>1464</v>
      </c>
      <c r="D1466" t="n">
        <v>-0.1134</v>
      </c>
      <c r="E1466" t="n">
        <v>16.3653</v>
      </c>
      <c r="F1466" t="n">
        <v>0.12765</v>
      </c>
    </row>
    <row r="1467">
      <c r="A1467" t="n">
        <v>1001465</v>
      </c>
      <c r="B1467" t="n">
        <v>1</v>
      </c>
      <c r="C1467" t="n">
        <v>1465</v>
      </c>
      <c r="D1467" t="n">
        <v>-0.1136</v>
      </c>
      <c r="E1467" t="n">
        <v>16.3708</v>
      </c>
      <c r="F1467" t="n">
        <v>0.12767</v>
      </c>
    </row>
    <row r="1468">
      <c r="A1468" t="n">
        <v>1001466</v>
      </c>
      <c r="B1468" t="n">
        <v>1</v>
      </c>
      <c r="C1468" t="n">
        <v>1466</v>
      </c>
      <c r="D1468" t="n">
        <v>-0.1137</v>
      </c>
      <c r="E1468" t="n">
        <v>16.3762</v>
      </c>
      <c r="F1468" t="n">
        <v>0.12769</v>
      </c>
    </row>
    <row r="1469">
      <c r="A1469" t="n">
        <v>1001467</v>
      </c>
      <c r="B1469" t="n">
        <v>1</v>
      </c>
      <c r="C1469" t="n">
        <v>1467</v>
      </c>
      <c r="D1469" t="n">
        <v>-0.1138</v>
      </c>
      <c r="E1469" t="n">
        <v>16.3817</v>
      </c>
      <c r="F1469" t="n">
        <v>0.12771</v>
      </c>
    </row>
    <row r="1470">
      <c r="A1470" t="n">
        <v>1001468</v>
      </c>
      <c r="B1470" t="n">
        <v>1</v>
      </c>
      <c r="C1470" t="n">
        <v>1468</v>
      </c>
      <c r="D1470" t="n">
        <v>-0.1139</v>
      </c>
      <c r="E1470" t="n">
        <v>16.3871</v>
      </c>
      <c r="F1470" t="n">
        <v>0.12773</v>
      </c>
    </row>
    <row r="1471">
      <c r="A1471" t="n">
        <v>1001469</v>
      </c>
      <c r="B1471" t="n">
        <v>1</v>
      </c>
      <c r="C1471" t="n">
        <v>1469</v>
      </c>
      <c r="D1471" t="n">
        <v>-0.114</v>
      </c>
      <c r="E1471" t="n">
        <v>16.3926</v>
      </c>
      <c r="F1471" t="n">
        <v>0.12775</v>
      </c>
    </row>
    <row r="1472">
      <c r="A1472" t="n">
        <v>1001470</v>
      </c>
      <c r="B1472" t="n">
        <v>1</v>
      </c>
      <c r="C1472" t="n">
        <v>1470</v>
      </c>
      <c r="D1472" t="n">
        <v>-0.1141</v>
      </c>
      <c r="E1472" t="n">
        <v>16.3981</v>
      </c>
      <c r="F1472" t="n">
        <v>0.12777</v>
      </c>
    </row>
    <row r="1473">
      <c r="A1473" t="n">
        <v>1001471</v>
      </c>
      <c r="B1473" t="n">
        <v>1</v>
      </c>
      <c r="C1473" t="n">
        <v>1471</v>
      </c>
      <c r="D1473" t="n">
        <v>-0.1142</v>
      </c>
      <c r="E1473" t="n">
        <v>16.4035</v>
      </c>
      <c r="F1473" t="n">
        <v>0.12779</v>
      </c>
    </row>
    <row r="1474">
      <c r="A1474" t="n">
        <v>1001472</v>
      </c>
      <c r="B1474" t="n">
        <v>1</v>
      </c>
      <c r="C1474" t="n">
        <v>1472</v>
      </c>
      <c r="D1474" t="n">
        <v>-0.1143</v>
      </c>
      <c r="E1474" t="n">
        <v>16.409</v>
      </c>
      <c r="F1474" t="n">
        <v>0.12781</v>
      </c>
    </row>
    <row r="1475">
      <c r="A1475" t="n">
        <v>1001473</v>
      </c>
      <c r="B1475" t="n">
        <v>1</v>
      </c>
      <c r="C1475" t="n">
        <v>1473</v>
      </c>
      <c r="D1475" t="n">
        <v>-0.1144</v>
      </c>
      <c r="E1475" t="n">
        <v>16.4144</v>
      </c>
      <c r="F1475" t="n">
        <v>0.12783</v>
      </c>
    </row>
    <row r="1476">
      <c r="A1476" t="n">
        <v>1001474</v>
      </c>
      <c r="B1476" t="n">
        <v>1</v>
      </c>
      <c r="C1476" t="n">
        <v>1474</v>
      </c>
      <c r="D1476" t="n">
        <v>-0.1146</v>
      </c>
      <c r="E1476" t="n">
        <v>16.4199</v>
      </c>
      <c r="F1476" t="n">
        <v>0.12785</v>
      </c>
    </row>
    <row r="1477">
      <c r="A1477" t="n">
        <v>1001475</v>
      </c>
      <c r="B1477" t="n">
        <v>1</v>
      </c>
      <c r="C1477" t="n">
        <v>1475</v>
      </c>
      <c r="D1477" t="n">
        <v>-0.1147</v>
      </c>
      <c r="E1477" t="n">
        <v>16.4253</v>
      </c>
      <c r="F1477" t="n">
        <v>0.12787</v>
      </c>
    </row>
    <row r="1478">
      <c r="A1478" t="n">
        <v>1001476</v>
      </c>
      <c r="B1478" t="n">
        <v>1</v>
      </c>
      <c r="C1478" t="n">
        <v>1476</v>
      </c>
      <c r="D1478" t="n">
        <v>-0.1148</v>
      </c>
      <c r="E1478" t="n">
        <v>16.4308</v>
      </c>
      <c r="F1478" t="n">
        <v>0.12789</v>
      </c>
    </row>
    <row r="1479">
      <c r="A1479" t="n">
        <v>1001477</v>
      </c>
      <c r="B1479" t="n">
        <v>1</v>
      </c>
      <c r="C1479" t="n">
        <v>1477</v>
      </c>
      <c r="D1479" t="n">
        <v>-0.1149</v>
      </c>
      <c r="E1479" t="n">
        <v>16.4363</v>
      </c>
      <c r="F1479" t="n">
        <v>0.12791</v>
      </c>
    </row>
    <row r="1480">
      <c r="A1480" t="n">
        <v>1001478</v>
      </c>
      <c r="B1480" t="n">
        <v>1</v>
      </c>
      <c r="C1480" t="n">
        <v>1478</v>
      </c>
      <c r="D1480" t="n">
        <v>-0.115</v>
      </c>
      <c r="E1480" t="n">
        <v>16.4417</v>
      </c>
      <c r="F1480" t="n">
        <v>0.12793</v>
      </c>
    </row>
    <row r="1481">
      <c r="A1481" t="n">
        <v>1001479</v>
      </c>
      <c r="B1481" t="n">
        <v>1</v>
      </c>
      <c r="C1481" t="n">
        <v>1479</v>
      </c>
      <c r="D1481" t="n">
        <v>-0.1151</v>
      </c>
      <c r="E1481" t="n">
        <v>16.4472</v>
      </c>
      <c r="F1481" t="n">
        <v>0.12795</v>
      </c>
    </row>
    <row r="1482">
      <c r="A1482" t="n">
        <v>1001480</v>
      </c>
      <c r="B1482" t="n">
        <v>1</v>
      </c>
      <c r="C1482" t="n">
        <v>1480</v>
      </c>
      <c r="D1482" t="n">
        <v>-0.1152</v>
      </c>
      <c r="E1482" t="n">
        <v>16.4526</v>
      </c>
      <c r="F1482" t="n">
        <v>0.12797</v>
      </c>
    </row>
    <row r="1483">
      <c r="A1483" t="n">
        <v>1001481</v>
      </c>
      <c r="B1483" t="n">
        <v>1</v>
      </c>
      <c r="C1483" t="n">
        <v>1481</v>
      </c>
      <c r="D1483" t="n">
        <v>-0.1153</v>
      </c>
      <c r="E1483" t="n">
        <v>16.4581</v>
      </c>
      <c r="F1483" t="n">
        <v>0.12799</v>
      </c>
    </row>
    <row r="1484">
      <c r="A1484" t="n">
        <v>1001482</v>
      </c>
      <c r="B1484" t="n">
        <v>1</v>
      </c>
      <c r="C1484" t="n">
        <v>1482</v>
      </c>
      <c r="D1484" t="n">
        <v>-0.1154</v>
      </c>
      <c r="E1484" t="n">
        <v>16.4635</v>
      </c>
      <c r="F1484" t="n">
        <v>0.12801</v>
      </c>
    </row>
    <row r="1485">
      <c r="A1485" t="n">
        <v>1001483</v>
      </c>
      <c r="B1485" t="n">
        <v>1</v>
      </c>
      <c r="C1485" t="n">
        <v>1483</v>
      </c>
      <c r="D1485" t="n">
        <v>-0.1155</v>
      </c>
      <c r="E1485" t="n">
        <v>16.469</v>
      </c>
      <c r="F1485" t="n">
        <v>0.12803</v>
      </c>
    </row>
    <row r="1486">
      <c r="A1486" t="n">
        <v>1001484</v>
      </c>
      <c r="B1486" t="n">
        <v>1</v>
      </c>
      <c r="C1486" t="n">
        <v>1484</v>
      </c>
      <c r="D1486" t="n">
        <v>-0.1156</v>
      </c>
      <c r="E1486" t="n">
        <v>16.4745</v>
      </c>
      <c r="F1486" t="n">
        <v>0.12804</v>
      </c>
    </row>
    <row r="1487">
      <c r="A1487" t="n">
        <v>1001485</v>
      </c>
      <c r="B1487" t="n">
        <v>1</v>
      </c>
      <c r="C1487" t="n">
        <v>1485</v>
      </c>
      <c r="D1487" t="n">
        <v>-0.1158</v>
      </c>
      <c r="E1487" t="n">
        <v>16.4799</v>
      </c>
      <c r="F1487" t="n">
        <v>0.12806</v>
      </c>
    </row>
    <row r="1488">
      <c r="A1488" t="n">
        <v>1001486</v>
      </c>
      <c r="B1488" t="n">
        <v>1</v>
      </c>
      <c r="C1488" t="n">
        <v>1486</v>
      </c>
      <c r="D1488" t="n">
        <v>-0.1159</v>
      </c>
      <c r="E1488" t="n">
        <v>16.4854</v>
      </c>
      <c r="F1488" t="n">
        <v>0.12808</v>
      </c>
    </row>
    <row r="1489">
      <c r="A1489" t="n">
        <v>1001487</v>
      </c>
      <c r="B1489" t="n">
        <v>1</v>
      </c>
      <c r="C1489" t="n">
        <v>1487</v>
      </c>
      <c r="D1489" t="n">
        <v>-0.116</v>
      </c>
      <c r="E1489" t="n">
        <v>16.4908</v>
      </c>
      <c r="F1489" t="n">
        <v>0.1281</v>
      </c>
    </row>
    <row r="1490">
      <c r="A1490" t="n">
        <v>1001488</v>
      </c>
      <c r="B1490" t="n">
        <v>1</v>
      </c>
      <c r="C1490" t="n">
        <v>1488</v>
      </c>
      <c r="D1490" t="n">
        <v>-0.1161</v>
      </c>
      <c r="E1490" t="n">
        <v>16.4963</v>
      </c>
      <c r="F1490" t="n">
        <v>0.12812</v>
      </c>
    </row>
    <row r="1491">
      <c r="A1491" t="n">
        <v>1001489</v>
      </c>
      <c r="B1491" t="n">
        <v>1</v>
      </c>
      <c r="C1491" t="n">
        <v>1489</v>
      </c>
      <c r="D1491" t="n">
        <v>-0.1162</v>
      </c>
      <c r="E1491" t="n">
        <v>16.5017</v>
      </c>
      <c r="F1491" t="n">
        <v>0.12814</v>
      </c>
    </row>
    <row r="1492">
      <c r="A1492" t="n">
        <v>1001490</v>
      </c>
      <c r="B1492" t="n">
        <v>1</v>
      </c>
      <c r="C1492" t="n">
        <v>1490</v>
      </c>
      <c r="D1492" t="n">
        <v>-0.1163</v>
      </c>
      <c r="E1492" t="n">
        <v>16.5072</v>
      </c>
      <c r="F1492" t="n">
        <v>0.12816</v>
      </c>
    </row>
    <row r="1493">
      <c r="A1493" t="n">
        <v>1001491</v>
      </c>
      <c r="B1493" t="n">
        <v>1</v>
      </c>
      <c r="C1493" t="n">
        <v>1491</v>
      </c>
      <c r="D1493" t="n">
        <v>-0.1164</v>
      </c>
      <c r="E1493" t="n">
        <v>16.5126</v>
      </c>
      <c r="F1493" t="n">
        <v>0.12818</v>
      </c>
    </row>
    <row r="1494">
      <c r="A1494" t="n">
        <v>1001492</v>
      </c>
      <c r="B1494" t="n">
        <v>1</v>
      </c>
      <c r="C1494" t="n">
        <v>1492</v>
      </c>
      <c r="D1494" t="n">
        <v>-0.1165</v>
      </c>
      <c r="E1494" t="n">
        <v>16.5181</v>
      </c>
      <c r="F1494" t="n">
        <v>0.1282</v>
      </c>
    </row>
    <row r="1495">
      <c r="A1495" t="n">
        <v>1001493</v>
      </c>
      <c r="B1495" t="n">
        <v>1</v>
      </c>
      <c r="C1495" t="n">
        <v>1493</v>
      </c>
      <c r="D1495" t="n">
        <v>-0.1166</v>
      </c>
      <c r="E1495" t="n">
        <v>16.5236</v>
      </c>
      <c r="F1495" t="n">
        <v>0.12822</v>
      </c>
    </row>
    <row r="1496">
      <c r="A1496" t="n">
        <v>1001494</v>
      </c>
      <c r="B1496" t="n">
        <v>1</v>
      </c>
      <c r="C1496" t="n">
        <v>1494</v>
      </c>
      <c r="D1496" t="n">
        <v>-0.1167</v>
      </c>
      <c r="E1496" t="n">
        <v>16.529</v>
      </c>
      <c r="F1496" t="n">
        <v>0.12824</v>
      </c>
    </row>
    <row r="1497">
      <c r="A1497" t="n">
        <v>1001495</v>
      </c>
      <c r="B1497" t="n">
        <v>1</v>
      </c>
      <c r="C1497" t="n">
        <v>1495</v>
      </c>
      <c r="D1497" t="n">
        <v>-0.1168</v>
      </c>
      <c r="E1497" t="n">
        <v>16.5345</v>
      </c>
      <c r="F1497" t="n">
        <v>0.12826</v>
      </c>
    </row>
    <row r="1498">
      <c r="A1498" t="n">
        <v>1001496</v>
      </c>
      <c r="B1498" t="n">
        <v>1</v>
      </c>
      <c r="C1498" t="n">
        <v>1496</v>
      </c>
      <c r="D1498" t="n">
        <v>-0.117</v>
      </c>
      <c r="E1498" t="n">
        <v>16.5399</v>
      </c>
      <c r="F1498" t="n">
        <v>0.12828</v>
      </c>
    </row>
    <row r="1499">
      <c r="A1499" t="n">
        <v>1001497</v>
      </c>
      <c r="B1499" t="n">
        <v>1</v>
      </c>
      <c r="C1499" t="n">
        <v>1497</v>
      </c>
      <c r="D1499" t="n">
        <v>-0.1171</v>
      </c>
      <c r="E1499" t="n">
        <v>16.5454</v>
      </c>
      <c r="F1499" t="n">
        <v>0.1283</v>
      </c>
    </row>
    <row r="1500">
      <c r="A1500" t="n">
        <v>1001498</v>
      </c>
      <c r="B1500" t="n">
        <v>1</v>
      </c>
      <c r="C1500" t="n">
        <v>1498</v>
      </c>
      <c r="D1500" t="n">
        <v>-0.1172</v>
      </c>
      <c r="E1500" t="n">
        <v>16.5508</v>
      </c>
      <c r="F1500" t="n">
        <v>0.12832</v>
      </c>
    </row>
    <row r="1501">
      <c r="A1501" t="n">
        <v>1001499</v>
      </c>
      <c r="B1501" t="n">
        <v>1</v>
      </c>
      <c r="C1501" t="n">
        <v>1499</v>
      </c>
      <c r="D1501" t="n">
        <v>-0.1173</v>
      </c>
      <c r="E1501" t="n">
        <v>16.5563</v>
      </c>
      <c r="F1501" t="n">
        <v>0.12834</v>
      </c>
    </row>
    <row r="1502">
      <c r="A1502" t="n">
        <v>1001500</v>
      </c>
      <c r="B1502" t="n">
        <v>1</v>
      </c>
      <c r="C1502" t="n">
        <v>1500</v>
      </c>
      <c r="D1502" t="n">
        <v>-0.1174</v>
      </c>
      <c r="E1502" t="n">
        <v>16.5618</v>
      </c>
      <c r="F1502" t="n">
        <v>0.12836</v>
      </c>
    </row>
    <row r="1503">
      <c r="A1503" t="n">
        <v>1001501</v>
      </c>
      <c r="B1503" t="n">
        <v>1</v>
      </c>
      <c r="C1503" t="n">
        <v>1501</v>
      </c>
      <c r="D1503" t="n">
        <v>-0.1175</v>
      </c>
      <c r="E1503" t="n">
        <v>16.5672</v>
      </c>
      <c r="F1503" t="n">
        <v>0.12838</v>
      </c>
    </row>
    <row r="1504">
      <c r="A1504" t="n">
        <v>1001502</v>
      </c>
      <c r="B1504" t="n">
        <v>1</v>
      </c>
      <c r="C1504" t="n">
        <v>1502</v>
      </c>
      <c r="D1504" t="n">
        <v>-0.1176</v>
      </c>
      <c r="E1504" t="n">
        <v>16.5727</v>
      </c>
      <c r="F1504" t="n">
        <v>0.1284</v>
      </c>
    </row>
    <row r="1505">
      <c r="A1505" t="n">
        <v>1001503</v>
      </c>
      <c r="B1505" t="n">
        <v>1</v>
      </c>
      <c r="C1505" t="n">
        <v>1503</v>
      </c>
      <c r="D1505" t="n">
        <v>-0.1177</v>
      </c>
      <c r="E1505" t="n">
        <v>16.5781</v>
      </c>
      <c r="F1505" t="n">
        <v>0.12842</v>
      </c>
    </row>
    <row r="1506">
      <c r="A1506" t="n">
        <v>1001504</v>
      </c>
      <c r="B1506" t="n">
        <v>1</v>
      </c>
      <c r="C1506" t="n">
        <v>1504</v>
      </c>
      <c r="D1506" t="n">
        <v>-0.1178</v>
      </c>
      <c r="E1506" t="n">
        <v>16.5836</v>
      </c>
      <c r="F1506" t="n">
        <v>0.12844</v>
      </c>
    </row>
    <row r="1507">
      <c r="A1507" t="n">
        <v>1001505</v>
      </c>
      <c r="B1507" t="n">
        <v>1</v>
      </c>
      <c r="C1507" t="n">
        <v>1505</v>
      </c>
      <c r="D1507" t="n">
        <v>-0.1179</v>
      </c>
      <c r="E1507" t="n">
        <v>16.589</v>
      </c>
      <c r="F1507" t="n">
        <v>0.12846</v>
      </c>
    </row>
    <row r="1508">
      <c r="A1508" t="n">
        <v>1001506</v>
      </c>
      <c r="B1508" t="n">
        <v>1</v>
      </c>
      <c r="C1508" t="n">
        <v>1506</v>
      </c>
      <c r="D1508" t="n">
        <v>-0.118</v>
      </c>
      <c r="E1508" t="n">
        <v>16.5945</v>
      </c>
      <c r="F1508" t="n">
        <v>0.12848</v>
      </c>
    </row>
    <row r="1509">
      <c r="A1509" t="n">
        <v>1001507</v>
      </c>
      <c r="B1509" t="n">
        <v>1</v>
      </c>
      <c r="C1509" t="n">
        <v>1507</v>
      </c>
      <c r="D1509" t="n">
        <v>-0.1182</v>
      </c>
      <c r="E1509" t="n">
        <v>16.5999</v>
      </c>
      <c r="F1509" t="n">
        <v>0.1285</v>
      </c>
    </row>
    <row r="1510">
      <c r="A1510" t="n">
        <v>1001508</v>
      </c>
      <c r="B1510" t="n">
        <v>1</v>
      </c>
      <c r="C1510" t="n">
        <v>1508</v>
      </c>
      <c r="D1510" t="n">
        <v>-0.1183</v>
      </c>
      <c r="E1510" t="n">
        <v>16.6054</v>
      </c>
      <c r="F1510" t="n">
        <v>0.12852</v>
      </c>
    </row>
    <row r="1511">
      <c r="A1511" t="n">
        <v>1001509</v>
      </c>
      <c r="B1511" t="n">
        <v>1</v>
      </c>
      <c r="C1511" t="n">
        <v>1509</v>
      </c>
      <c r="D1511" t="n">
        <v>-0.1184</v>
      </c>
      <c r="E1511" t="n">
        <v>16.6109</v>
      </c>
      <c r="F1511" t="n">
        <v>0.12854</v>
      </c>
    </row>
    <row r="1512">
      <c r="A1512" t="n">
        <v>1001510</v>
      </c>
      <c r="B1512" t="n">
        <v>1</v>
      </c>
      <c r="C1512" t="n">
        <v>1510</v>
      </c>
      <c r="D1512" t="n">
        <v>-0.1185</v>
      </c>
      <c r="E1512" t="n">
        <v>16.6163</v>
      </c>
      <c r="F1512" t="n">
        <v>0.12856</v>
      </c>
    </row>
    <row r="1513">
      <c r="A1513" t="n">
        <v>1001511</v>
      </c>
      <c r="B1513" t="n">
        <v>1</v>
      </c>
      <c r="C1513" t="n">
        <v>1511</v>
      </c>
      <c r="D1513" t="n">
        <v>-0.1186</v>
      </c>
      <c r="E1513" t="n">
        <v>16.6218</v>
      </c>
      <c r="F1513" t="n">
        <v>0.12858</v>
      </c>
    </row>
    <row r="1514">
      <c r="A1514" t="n">
        <v>1001512</v>
      </c>
      <c r="B1514" t="n">
        <v>1</v>
      </c>
      <c r="C1514" t="n">
        <v>1512</v>
      </c>
      <c r="D1514" t="n">
        <v>-0.1187</v>
      </c>
      <c r="E1514" t="n">
        <v>16.6272</v>
      </c>
      <c r="F1514" t="n">
        <v>0.1286</v>
      </c>
    </row>
    <row r="1515">
      <c r="A1515" t="n">
        <v>1001513</v>
      </c>
      <c r="B1515" t="n">
        <v>1</v>
      </c>
      <c r="C1515" t="n">
        <v>1513</v>
      </c>
      <c r="D1515" t="n">
        <v>-0.1188</v>
      </c>
      <c r="E1515" t="n">
        <v>16.6327</v>
      </c>
      <c r="F1515" t="n">
        <v>0.12863</v>
      </c>
    </row>
    <row r="1516">
      <c r="A1516" t="n">
        <v>1001514</v>
      </c>
      <c r="B1516" t="n">
        <v>1</v>
      </c>
      <c r="C1516" t="n">
        <v>1514</v>
      </c>
      <c r="D1516" t="n">
        <v>-0.1189</v>
      </c>
      <c r="E1516" t="n">
        <v>16.6381</v>
      </c>
      <c r="F1516" t="n">
        <v>0.12865</v>
      </c>
    </row>
    <row r="1517">
      <c r="A1517" t="n">
        <v>1001515</v>
      </c>
      <c r="B1517" t="n">
        <v>1</v>
      </c>
      <c r="C1517" t="n">
        <v>1515</v>
      </c>
      <c r="D1517" t="n">
        <v>-0.119</v>
      </c>
      <c r="E1517" t="n">
        <v>16.6436</v>
      </c>
      <c r="F1517" t="n">
        <v>0.12867</v>
      </c>
    </row>
    <row r="1518">
      <c r="A1518" t="n">
        <v>1001516</v>
      </c>
      <c r="B1518" t="n">
        <v>1</v>
      </c>
      <c r="C1518" t="n">
        <v>1516</v>
      </c>
      <c r="D1518" t="n">
        <v>-0.1191</v>
      </c>
      <c r="E1518" t="n">
        <v>16.649</v>
      </c>
      <c r="F1518" t="n">
        <v>0.12869</v>
      </c>
    </row>
    <row r="1519">
      <c r="A1519" t="n">
        <v>1001517</v>
      </c>
      <c r="B1519" t="n">
        <v>1</v>
      </c>
      <c r="C1519" t="n">
        <v>1517</v>
      </c>
      <c r="D1519" t="n">
        <v>-0.1192</v>
      </c>
      <c r="E1519" t="n">
        <v>16.6545</v>
      </c>
      <c r="F1519" t="n">
        <v>0.12871</v>
      </c>
    </row>
    <row r="1520">
      <c r="A1520" t="n">
        <v>1001518</v>
      </c>
      <c r="B1520" t="n">
        <v>1</v>
      </c>
      <c r="C1520" t="n">
        <v>1518</v>
      </c>
      <c r="D1520" t="n">
        <v>-0.1193</v>
      </c>
      <c r="E1520" t="n">
        <v>16.6599</v>
      </c>
      <c r="F1520" t="n">
        <v>0.12873</v>
      </c>
    </row>
    <row r="1521">
      <c r="A1521" t="n">
        <v>1001519</v>
      </c>
      <c r="B1521" t="n">
        <v>1</v>
      </c>
      <c r="C1521" t="n">
        <v>1519</v>
      </c>
      <c r="D1521" t="n">
        <v>-0.1195</v>
      </c>
      <c r="E1521" t="n">
        <v>16.6654</v>
      </c>
      <c r="F1521" t="n">
        <v>0.12875</v>
      </c>
    </row>
    <row r="1522">
      <c r="A1522" t="n">
        <v>1001520</v>
      </c>
      <c r="B1522" t="n">
        <v>1</v>
      </c>
      <c r="C1522" t="n">
        <v>1520</v>
      </c>
      <c r="D1522" t="n">
        <v>-0.1196</v>
      </c>
      <c r="E1522" t="n">
        <v>16.6709</v>
      </c>
      <c r="F1522" t="n">
        <v>0.12877</v>
      </c>
    </row>
    <row r="1523">
      <c r="A1523" t="n">
        <v>1001521</v>
      </c>
      <c r="B1523" t="n">
        <v>1</v>
      </c>
      <c r="C1523" t="n">
        <v>1521</v>
      </c>
      <c r="D1523" t="n">
        <v>-0.1197</v>
      </c>
      <c r="E1523" t="n">
        <v>16.6763</v>
      </c>
      <c r="F1523" t="n">
        <v>0.12879</v>
      </c>
    </row>
    <row r="1524">
      <c r="A1524" t="n">
        <v>1001522</v>
      </c>
      <c r="B1524" t="n">
        <v>1</v>
      </c>
      <c r="C1524" t="n">
        <v>1522</v>
      </c>
      <c r="D1524" t="n">
        <v>-0.1198</v>
      </c>
      <c r="E1524" t="n">
        <v>16.6818</v>
      </c>
      <c r="F1524" t="n">
        <v>0.12881</v>
      </c>
    </row>
    <row r="1525">
      <c r="A1525" t="n">
        <v>1001523</v>
      </c>
      <c r="B1525" t="n">
        <v>1</v>
      </c>
      <c r="C1525" t="n">
        <v>1523</v>
      </c>
      <c r="D1525" t="n">
        <v>-0.1199</v>
      </c>
      <c r="E1525" t="n">
        <v>16.6872</v>
      </c>
      <c r="F1525" t="n">
        <v>0.12883</v>
      </c>
    </row>
    <row r="1526">
      <c r="A1526" t="n">
        <v>1001524</v>
      </c>
      <c r="B1526" t="n">
        <v>1</v>
      </c>
      <c r="C1526" t="n">
        <v>1524</v>
      </c>
      <c r="D1526" t="n">
        <v>-0.12</v>
      </c>
      <c r="E1526" t="n">
        <v>16.6927</v>
      </c>
      <c r="F1526" t="n">
        <v>0.12885</v>
      </c>
    </row>
    <row r="1527">
      <c r="A1527" t="n">
        <v>1001525</v>
      </c>
      <c r="B1527" t="n">
        <v>1</v>
      </c>
      <c r="C1527" t="n">
        <v>1525</v>
      </c>
      <c r="D1527" t="n">
        <v>-0.1201</v>
      </c>
      <c r="E1527" t="n">
        <v>16.6981</v>
      </c>
      <c r="F1527" t="n">
        <v>0.12887</v>
      </c>
    </row>
    <row r="1528">
      <c r="A1528" t="n">
        <v>1001526</v>
      </c>
      <c r="B1528" t="n">
        <v>1</v>
      </c>
      <c r="C1528" t="n">
        <v>1526</v>
      </c>
      <c r="D1528" t="n">
        <v>-0.1202</v>
      </c>
      <c r="E1528" t="n">
        <v>16.7036</v>
      </c>
      <c r="F1528" t="n">
        <v>0.12889</v>
      </c>
    </row>
    <row r="1529">
      <c r="A1529" t="n">
        <v>1001527</v>
      </c>
      <c r="B1529" t="n">
        <v>1</v>
      </c>
      <c r="C1529" t="n">
        <v>1527</v>
      </c>
      <c r="D1529" t="n">
        <v>-0.1203</v>
      </c>
      <c r="E1529" t="n">
        <v>16.709</v>
      </c>
      <c r="F1529" t="n">
        <v>0.12891</v>
      </c>
    </row>
    <row r="1530">
      <c r="A1530" t="n">
        <v>1001528</v>
      </c>
      <c r="B1530" t="n">
        <v>1</v>
      </c>
      <c r="C1530" t="n">
        <v>1528</v>
      </c>
      <c r="D1530" t="n">
        <v>-0.1204</v>
      </c>
      <c r="E1530" t="n">
        <v>16.7145</v>
      </c>
      <c r="F1530" t="n">
        <v>0.12893</v>
      </c>
    </row>
    <row r="1531">
      <c r="A1531" t="n">
        <v>1001529</v>
      </c>
      <c r="B1531" t="n">
        <v>1</v>
      </c>
      <c r="C1531" t="n">
        <v>1529</v>
      </c>
      <c r="D1531" t="n">
        <v>-0.1205</v>
      </c>
      <c r="E1531" t="n">
        <v>16.72</v>
      </c>
      <c r="F1531" t="n">
        <v>0.12895</v>
      </c>
    </row>
    <row r="1532">
      <c r="A1532" t="n">
        <v>1001530</v>
      </c>
      <c r="B1532" t="n">
        <v>1</v>
      </c>
      <c r="C1532" t="n">
        <v>1530</v>
      </c>
      <c r="D1532" t="n">
        <v>-0.1206</v>
      </c>
      <c r="E1532" t="n">
        <v>16.7254</v>
      </c>
      <c r="F1532" t="n">
        <v>0.12897</v>
      </c>
    </row>
    <row r="1533">
      <c r="A1533" t="n">
        <v>1001531</v>
      </c>
      <c r="B1533" t="n">
        <v>1</v>
      </c>
      <c r="C1533" t="n">
        <v>1531</v>
      </c>
      <c r="D1533" t="n">
        <v>-0.1207</v>
      </c>
      <c r="E1533" t="n">
        <v>16.7309</v>
      </c>
      <c r="F1533" t="n">
        <v>0.12899</v>
      </c>
    </row>
    <row r="1534">
      <c r="A1534" t="n">
        <v>1001532</v>
      </c>
      <c r="B1534" t="n">
        <v>1</v>
      </c>
      <c r="C1534" t="n">
        <v>1532</v>
      </c>
      <c r="D1534" t="n">
        <v>-0.1208</v>
      </c>
      <c r="E1534" t="n">
        <v>16.7363</v>
      </c>
      <c r="F1534" t="n">
        <v>0.12901</v>
      </c>
    </row>
    <row r="1535">
      <c r="A1535" t="n">
        <v>1001533</v>
      </c>
      <c r="B1535" t="n">
        <v>1</v>
      </c>
      <c r="C1535" t="n">
        <v>1533</v>
      </c>
      <c r="D1535" t="n">
        <v>-0.121</v>
      </c>
      <c r="E1535" t="n">
        <v>16.7418</v>
      </c>
      <c r="F1535" t="n">
        <v>0.12903</v>
      </c>
    </row>
    <row r="1536">
      <c r="A1536" t="n">
        <v>1001534</v>
      </c>
      <c r="B1536" t="n">
        <v>1</v>
      </c>
      <c r="C1536" t="n">
        <v>1534</v>
      </c>
      <c r="D1536" t="n">
        <v>-0.1211</v>
      </c>
      <c r="E1536" t="n">
        <v>16.7472</v>
      </c>
      <c r="F1536" t="n">
        <v>0.12905</v>
      </c>
    </row>
    <row r="1537">
      <c r="A1537" t="n">
        <v>1001535</v>
      </c>
      <c r="B1537" t="n">
        <v>1</v>
      </c>
      <c r="C1537" t="n">
        <v>1535</v>
      </c>
      <c r="D1537" t="n">
        <v>-0.1212</v>
      </c>
      <c r="E1537" t="n">
        <v>16.7527</v>
      </c>
      <c r="F1537" t="n">
        <v>0.12907</v>
      </c>
    </row>
    <row r="1538">
      <c r="A1538" t="n">
        <v>1001536</v>
      </c>
      <c r="B1538" t="n">
        <v>1</v>
      </c>
      <c r="C1538" t="n">
        <v>1536</v>
      </c>
      <c r="D1538" t="n">
        <v>-0.1213</v>
      </c>
      <c r="E1538" t="n">
        <v>16.7581</v>
      </c>
      <c r="F1538" t="n">
        <v>0.12909</v>
      </c>
    </row>
    <row r="1539">
      <c r="A1539" t="n">
        <v>1001537</v>
      </c>
      <c r="B1539" t="n">
        <v>1</v>
      </c>
      <c r="C1539" t="n">
        <v>1537</v>
      </c>
      <c r="D1539" t="n">
        <v>-0.1214</v>
      </c>
      <c r="E1539" t="n">
        <v>16.7636</v>
      </c>
      <c r="F1539" t="n">
        <v>0.12911</v>
      </c>
    </row>
    <row r="1540">
      <c r="A1540" t="n">
        <v>1001538</v>
      </c>
      <c r="B1540" t="n">
        <v>1</v>
      </c>
      <c r="C1540" t="n">
        <v>1538</v>
      </c>
      <c r="D1540" t="n">
        <v>-0.1215</v>
      </c>
      <c r="E1540" t="n">
        <v>16.769</v>
      </c>
      <c r="F1540" t="n">
        <v>0.12913</v>
      </c>
    </row>
    <row r="1541">
      <c r="A1541" t="n">
        <v>1001539</v>
      </c>
      <c r="B1541" t="n">
        <v>1</v>
      </c>
      <c r="C1541" t="n">
        <v>1539</v>
      </c>
      <c r="D1541" t="n">
        <v>-0.1216</v>
      </c>
      <c r="E1541" t="n">
        <v>16.7745</v>
      </c>
      <c r="F1541" t="n">
        <v>0.12915</v>
      </c>
    </row>
    <row r="1542">
      <c r="A1542" t="n">
        <v>1001540</v>
      </c>
      <c r="B1542" t="n">
        <v>1</v>
      </c>
      <c r="C1542" t="n">
        <v>1540</v>
      </c>
      <c r="D1542" t="n">
        <v>-0.1217</v>
      </c>
      <c r="E1542" t="n">
        <v>16.78</v>
      </c>
      <c r="F1542" t="n">
        <v>0.12917</v>
      </c>
    </row>
    <row r="1543">
      <c r="A1543" t="n">
        <v>1001541</v>
      </c>
      <c r="B1543" t="n">
        <v>1</v>
      </c>
      <c r="C1543" t="n">
        <v>1541</v>
      </c>
      <c r="D1543" t="n">
        <v>-0.1218</v>
      </c>
      <c r="E1543" t="n">
        <v>16.7854</v>
      </c>
      <c r="F1543" t="n">
        <v>0.12919</v>
      </c>
    </row>
    <row r="1544">
      <c r="A1544" t="n">
        <v>1001542</v>
      </c>
      <c r="B1544" t="n">
        <v>1</v>
      </c>
      <c r="C1544" t="n">
        <v>1542</v>
      </c>
      <c r="D1544" t="n">
        <v>-0.1219</v>
      </c>
      <c r="E1544" t="n">
        <v>16.7909</v>
      </c>
      <c r="F1544" t="n">
        <v>0.12921</v>
      </c>
    </row>
    <row r="1545">
      <c r="A1545" t="n">
        <v>1001543</v>
      </c>
      <c r="B1545" t="n">
        <v>1</v>
      </c>
      <c r="C1545" t="n">
        <v>1543</v>
      </c>
      <c r="D1545" t="n">
        <v>-0.122</v>
      </c>
      <c r="E1545" t="n">
        <v>16.7963</v>
      </c>
      <c r="F1545" t="n">
        <v>0.12923</v>
      </c>
    </row>
    <row r="1546">
      <c r="A1546" t="n">
        <v>1001544</v>
      </c>
      <c r="B1546" t="n">
        <v>1</v>
      </c>
      <c r="C1546" t="n">
        <v>1544</v>
      </c>
      <c r="D1546" t="n">
        <v>-0.1221</v>
      </c>
      <c r="E1546" t="n">
        <v>16.8018</v>
      </c>
      <c r="F1546" t="n">
        <v>0.12925</v>
      </c>
    </row>
    <row r="1547">
      <c r="A1547" t="n">
        <v>1001545</v>
      </c>
      <c r="B1547" t="n">
        <v>1</v>
      </c>
      <c r="C1547" t="n">
        <v>1545</v>
      </c>
      <c r="D1547" t="n">
        <v>-0.1222</v>
      </c>
      <c r="E1547" t="n">
        <v>16.8072</v>
      </c>
      <c r="F1547" t="n">
        <v>0.12928</v>
      </c>
    </row>
    <row r="1548">
      <c r="A1548" t="n">
        <v>1001546</v>
      </c>
      <c r="B1548" t="n">
        <v>1</v>
      </c>
      <c r="C1548" t="n">
        <v>1546</v>
      </c>
      <c r="D1548" t="n">
        <v>-0.1223</v>
      </c>
      <c r="E1548" t="n">
        <v>16.8127</v>
      </c>
      <c r="F1548" t="n">
        <v>0.1293</v>
      </c>
    </row>
    <row r="1549">
      <c r="A1549" t="n">
        <v>1001547</v>
      </c>
      <c r="B1549" t="n">
        <v>1</v>
      </c>
      <c r="C1549" t="n">
        <v>1547</v>
      </c>
      <c r="D1549" t="n">
        <v>-0.1225</v>
      </c>
      <c r="E1549" t="n">
        <v>16.8181</v>
      </c>
      <c r="F1549" t="n">
        <v>0.12932</v>
      </c>
    </row>
    <row r="1550">
      <c r="A1550" t="n">
        <v>1001548</v>
      </c>
      <c r="B1550" t="n">
        <v>1</v>
      </c>
      <c r="C1550" t="n">
        <v>1548</v>
      </c>
      <c r="D1550" t="n">
        <v>-0.1226</v>
      </c>
      <c r="E1550" t="n">
        <v>16.8236</v>
      </c>
      <c r="F1550" t="n">
        <v>0.12934</v>
      </c>
    </row>
    <row r="1551">
      <c r="A1551" t="n">
        <v>1001549</v>
      </c>
      <c r="B1551" t="n">
        <v>1</v>
      </c>
      <c r="C1551" t="n">
        <v>1549</v>
      </c>
      <c r="D1551" t="n">
        <v>-0.1227</v>
      </c>
      <c r="E1551" t="n">
        <v>16.829</v>
      </c>
      <c r="F1551" t="n">
        <v>0.12936</v>
      </c>
    </row>
    <row r="1552">
      <c r="A1552" t="n">
        <v>1001550</v>
      </c>
      <c r="B1552" t="n">
        <v>1</v>
      </c>
      <c r="C1552" t="n">
        <v>1550</v>
      </c>
      <c r="D1552" t="n">
        <v>-0.1228</v>
      </c>
      <c r="E1552" t="n">
        <v>16.8345</v>
      </c>
      <c r="F1552" t="n">
        <v>0.12938</v>
      </c>
    </row>
    <row r="1553">
      <c r="A1553" t="n">
        <v>1001551</v>
      </c>
      <c r="B1553" t="n">
        <v>1</v>
      </c>
      <c r="C1553" t="n">
        <v>1551</v>
      </c>
      <c r="D1553" t="n">
        <v>-0.1229</v>
      </c>
      <c r="E1553" t="n">
        <v>16.84</v>
      </c>
      <c r="F1553" t="n">
        <v>0.1294</v>
      </c>
    </row>
    <row r="1554">
      <c r="A1554" t="n">
        <v>1001552</v>
      </c>
      <c r="B1554" t="n">
        <v>1</v>
      </c>
      <c r="C1554" t="n">
        <v>1552</v>
      </c>
      <c r="D1554" t="n">
        <v>-0.123</v>
      </c>
      <c r="E1554" t="n">
        <v>16.8454</v>
      </c>
      <c r="F1554" t="n">
        <v>0.12942</v>
      </c>
    </row>
    <row r="1555">
      <c r="A1555" t="n">
        <v>1001553</v>
      </c>
      <c r="B1555" t="n">
        <v>1</v>
      </c>
      <c r="C1555" t="n">
        <v>1553</v>
      </c>
      <c r="D1555" t="n">
        <v>-0.1231</v>
      </c>
      <c r="E1555" t="n">
        <v>16.8509</v>
      </c>
      <c r="F1555" t="n">
        <v>0.12944</v>
      </c>
    </row>
    <row r="1556">
      <c r="A1556" t="n">
        <v>1001554</v>
      </c>
      <c r="B1556" t="n">
        <v>1</v>
      </c>
      <c r="C1556" t="n">
        <v>1554</v>
      </c>
      <c r="D1556" t="n">
        <v>-0.1232</v>
      </c>
      <c r="E1556" t="n">
        <v>16.8563</v>
      </c>
      <c r="F1556" t="n">
        <v>0.12946</v>
      </c>
    </row>
    <row r="1557">
      <c r="A1557" t="n">
        <v>1001555</v>
      </c>
      <c r="B1557" t="n">
        <v>1</v>
      </c>
      <c r="C1557" t="n">
        <v>1555</v>
      </c>
      <c r="D1557" t="n">
        <v>-0.1233</v>
      </c>
      <c r="E1557" t="n">
        <v>16.8618</v>
      </c>
      <c r="F1557" t="n">
        <v>0.12948</v>
      </c>
    </row>
    <row r="1558">
      <c r="A1558" t="n">
        <v>1001556</v>
      </c>
      <c r="B1558" t="n">
        <v>1</v>
      </c>
      <c r="C1558" t="n">
        <v>1556</v>
      </c>
      <c r="D1558" t="n">
        <v>-0.1234</v>
      </c>
      <c r="E1558" t="n">
        <v>16.8672</v>
      </c>
      <c r="F1558" t="n">
        <v>0.1295</v>
      </c>
    </row>
    <row r="1559">
      <c r="A1559" t="n">
        <v>1001557</v>
      </c>
      <c r="B1559" t="n">
        <v>1</v>
      </c>
      <c r="C1559" t="n">
        <v>1557</v>
      </c>
      <c r="D1559" t="n">
        <v>-0.1235</v>
      </c>
      <c r="E1559" t="n">
        <v>16.8727</v>
      </c>
      <c r="F1559" t="n">
        <v>0.12952</v>
      </c>
    </row>
    <row r="1560">
      <c r="A1560" t="n">
        <v>1001558</v>
      </c>
      <c r="B1560" t="n">
        <v>1</v>
      </c>
      <c r="C1560" t="n">
        <v>1558</v>
      </c>
      <c r="D1560" t="n">
        <v>-0.1236</v>
      </c>
      <c r="E1560" t="n">
        <v>16.8781</v>
      </c>
      <c r="F1560" t="n">
        <v>0.12954</v>
      </c>
    </row>
    <row r="1561">
      <c r="A1561" t="n">
        <v>1001559</v>
      </c>
      <c r="B1561" t="n">
        <v>1</v>
      </c>
      <c r="C1561" t="n">
        <v>1559</v>
      </c>
      <c r="D1561" t="n">
        <v>-0.1237</v>
      </c>
      <c r="E1561" t="n">
        <v>16.8836</v>
      </c>
      <c r="F1561" t="n">
        <v>0.12956</v>
      </c>
    </row>
    <row r="1562">
      <c r="A1562" t="n">
        <v>1001560</v>
      </c>
      <c r="B1562" t="n">
        <v>1</v>
      </c>
      <c r="C1562" t="n">
        <v>1560</v>
      </c>
      <c r="D1562" t="n">
        <v>-0.1238</v>
      </c>
      <c r="E1562" t="n">
        <v>16.8891</v>
      </c>
      <c r="F1562" t="n">
        <v>0.12958</v>
      </c>
    </row>
    <row r="1563">
      <c r="A1563" t="n">
        <v>1001561</v>
      </c>
      <c r="B1563" t="n">
        <v>1</v>
      </c>
      <c r="C1563" t="n">
        <v>1561</v>
      </c>
      <c r="D1563" t="n">
        <v>-0.1239</v>
      </c>
      <c r="E1563" t="n">
        <v>16.8945</v>
      </c>
      <c r="F1563" t="n">
        <v>0.1296</v>
      </c>
    </row>
    <row r="1564">
      <c r="A1564" t="n">
        <v>1001562</v>
      </c>
      <c r="B1564" t="n">
        <v>1</v>
      </c>
      <c r="C1564" t="n">
        <v>1562</v>
      </c>
      <c r="D1564" t="n">
        <v>-0.124</v>
      </c>
      <c r="E1564" t="n">
        <v>16.9</v>
      </c>
      <c r="F1564" t="n">
        <v>0.12962</v>
      </c>
    </row>
    <row r="1565">
      <c r="A1565" t="n">
        <v>1001563</v>
      </c>
      <c r="B1565" t="n">
        <v>1</v>
      </c>
      <c r="C1565" t="n">
        <v>1563</v>
      </c>
      <c r="D1565" t="n">
        <v>-0.1242</v>
      </c>
      <c r="E1565" t="n">
        <v>16.9054</v>
      </c>
      <c r="F1565" t="n">
        <v>0.12965</v>
      </c>
    </row>
    <row r="1566">
      <c r="A1566" t="n">
        <v>1001564</v>
      </c>
      <c r="B1566" t="n">
        <v>1</v>
      </c>
      <c r="C1566" t="n">
        <v>1564</v>
      </c>
      <c r="D1566" t="n">
        <v>-0.1243</v>
      </c>
      <c r="E1566" t="n">
        <v>16.9109</v>
      </c>
      <c r="F1566" t="n">
        <v>0.12967</v>
      </c>
    </row>
    <row r="1567">
      <c r="A1567" t="n">
        <v>1001565</v>
      </c>
      <c r="B1567" t="n">
        <v>1</v>
      </c>
      <c r="C1567" t="n">
        <v>1565</v>
      </c>
      <c r="D1567" t="n">
        <v>-0.1244</v>
      </c>
      <c r="E1567" t="n">
        <v>16.9163</v>
      </c>
      <c r="F1567" t="n">
        <v>0.12969</v>
      </c>
    </row>
    <row r="1568">
      <c r="A1568" t="n">
        <v>1001566</v>
      </c>
      <c r="B1568" t="n">
        <v>1</v>
      </c>
      <c r="C1568" t="n">
        <v>1566</v>
      </c>
      <c r="D1568" t="n">
        <v>-0.1245</v>
      </c>
      <c r="E1568" t="n">
        <v>16.9218</v>
      </c>
      <c r="F1568" t="n">
        <v>0.12971</v>
      </c>
    </row>
    <row r="1569">
      <c r="A1569" t="n">
        <v>1001567</v>
      </c>
      <c r="B1569" t="n">
        <v>1</v>
      </c>
      <c r="C1569" t="n">
        <v>1567</v>
      </c>
      <c r="D1569" t="n">
        <v>-0.1246</v>
      </c>
      <c r="E1569" t="n">
        <v>16.9272</v>
      </c>
      <c r="F1569" t="n">
        <v>0.12973</v>
      </c>
    </row>
    <row r="1570">
      <c r="A1570" t="n">
        <v>1001568</v>
      </c>
      <c r="B1570" t="n">
        <v>1</v>
      </c>
      <c r="C1570" t="n">
        <v>1568</v>
      </c>
      <c r="D1570" t="n">
        <v>-0.1247</v>
      </c>
      <c r="E1570" t="n">
        <v>16.9327</v>
      </c>
      <c r="F1570" t="n">
        <v>0.12975</v>
      </c>
    </row>
    <row r="1571">
      <c r="A1571" t="n">
        <v>1001569</v>
      </c>
      <c r="B1571" t="n">
        <v>1</v>
      </c>
      <c r="C1571" t="n">
        <v>1569</v>
      </c>
      <c r="D1571" t="n">
        <v>-0.1248</v>
      </c>
      <c r="E1571" t="n">
        <v>16.9382</v>
      </c>
      <c r="F1571" t="n">
        <v>0.12977</v>
      </c>
    </row>
    <row r="1572">
      <c r="A1572" t="n">
        <v>1001570</v>
      </c>
      <c r="B1572" t="n">
        <v>1</v>
      </c>
      <c r="C1572" t="n">
        <v>1570</v>
      </c>
      <c r="D1572" t="n">
        <v>-0.1249</v>
      </c>
      <c r="E1572" t="n">
        <v>16.9436</v>
      </c>
      <c r="F1572" t="n">
        <v>0.12979</v>
      </c>
    </row>
    <row r="1573">
      <c r="A1573" t="n">
        <v>1001571</v>
      </c>
      <c r="B1573" t="n">
        <v>1</v>
      </c>
      <c r="C1573" t="n">
        <v>1571</v>
      </c>
      <c r="D1573" t="n">
        <v>-0.125</v>
      </c>
      <c r="E1573" t="n">
        <v>16.9491</v>
      </c>
      <c r="F1573" t="n">
        <v>0.12981</v>
      </c>
    </row>
    <row r="1574">
      <c r="A1574" t="n">
        <v>1001572</v>
      </c>
      <c r="B1574" t="n">
        <v>1</v>
      </c>
      <c r="C1574" t="n">
        <v>1572</v>
      </c>
      <c r="D1574" t="n">
        <v>-0.1251</v>
      </c>
      <c r="E1574" t="n">
        <v>16.9545</v>
      </c>
      <c r="F1574" t="n">
        <v>0.12983</v>
      </c>
    </row>
    <row r="1575">
      <c r="A1575" t="n">
        <v>1001573</v>
      </c>
      <c r="B1575" t="n">
        <v>1</v>
      </c>
      <c r="C1575" t="n">
        <v>1573</v>
      </c>
      <c r="D1575" t="n">
        <v>-0.1252</v>
      </c>
      <c r="E1575" t="n">
        <v>16.96</v>
      </c>
      <c r="F1575" t="n">
        <v>0.12985</v>
      </c>
    </row>
    <row r="1576">
      <c r="A1576" t="n">
        <v>1001574</v>
      </c>
      <c r="B1576" t="n">
        <v>1</v>
      </c>
      <c r="C1576" t="n">
        <v>1574</v>
      </c>
      <c r="D1576" t="n">
        <v>-0.1253</v>
      </c>
      <c r="E1576" t="n">
        <v>16.9654</v>
      </c>
      <c r="F1576" t="n">
        <v>0.12987</v>
      </c>
    </row>
    <row r="1577">
      <c r="A1577" t="n">
        <v>1001575</v>
      </c>
      <c r="B1577" t="n">
        <v>1</v>
      </c>
      <c r="C1577" t="n">
        <v>1575</v>
      </c>
      <c r="D1577" t="n">
        <v>-0.1254</v>
      </c>
      <c r="E1577" t="n">
        <v>16.9709</v>
      </c>
      <c r="F1577" t="n">
        <v>0.12989</v>
      </c>
    </row>
    <row r="1578">
      <c r="A1578" t="n">
        <v>1001576</v>
      </c>
      <c r="B1578" t="n">
        <v>1</v>
      </c>
      <c r="C1578" t="n">
        <v>1576</v>
      </c>
      <c r="D1578" t="n">
        <v>-0.1255</v>
      </c>
      <c r="E1578" t="n">
        <v>16.9763</v>
      </c>
      <c r="F1578" t="n">
        <v>0.12991</v>
      </c>
    </row>
    <row r="1579">
      <c r="A1579" t="n">
        <v>1001577</v>
      </c>
      <c r="B1579" t="n">
        <v>1</v>
      </c>
      <c r="C1579" t="n">
        <v>1577</v>
      </c>
      <c r="D1579" t="n">
        <v>-0.1256</v>
      </c>
      <c r="E1579" t="n">
        <v>16.9818</v>
      </c>
      <c r="F1579" t="n">
        <v>0.12993</v>
      </c>
    </row>
    <row r="1580">
      <c r="A1580" t="n">
        <v>1001578</v>
      </c>
      <c r="B1580" t="n">
        <v>1</v>
      </c>
      <c r="C1580" t="n">
        <v>1578</v>
      </c>
      <c r="D1580" t="n">
        <v>-0.1257</v>
      </c>
      <c r="E1580" t="n">
        <v>16.9873</v>
      </c>
      <c r="F1580" t="n">
        <v>0.12996</v>
      </c>
    </row>
    <row r="1581">
      <c r="A1581" t="n">
        <v>1001579</v>
      </c>
      <c r="B1581" t="n">
        <v>1</v>
      </c>
      <c r="C1581" t="n">
        <v>1579</v>
      </c>
      <c r="D1581" t="n">
        <v>-0.1258</v>
      </c>
      <c r="E1581" t="n">
        <v>16.9927</v>
      </c>
      <c r="F1581" t="n">
        <v>0.12998</v>
      </c>
    </row>
    <row r="1582">
      <c r="A1582" t="n">
        <v>1001580</v>
      </c>
      <c r="B1582" t="n">
        <v>1</v>
      </c>
      <c r="C1582" t="n">
        <v>1580</v>
      </c>
      <c r="D1582" t="n">
        <v>-0.1259</v>
      </c>
      <c r="E1582" t="n">
        <v>16.9982</v>
      </c>
      <c r="F1582" t="n">
        <v>0.13</v>
      </c>
    </row>
    <row r="1583">
      <c r="A1583" t="n">
        <v>1001581</v>
      </c>
      <c r="B1583" t="n">
        <v>1</v>
      </c>
      <c r="C1583" t="n">
        <v>1581</v>
      </c>
      <c r="D1583" t="n">
        <v>-0.126</v>
      </c>
      <c r="E1583" t="n">
        <v>17.0036</v>
      </c>
      <c r="F1583" t="n">
        <v>0.13002</v>
      </c>
    </row>
    <row r="1584">
      <c r="A1584" t="n">
        <v>1001582</v>
      </c>
      <c r="B1584" t="n">
        <v>1</v>
      </c>
      <c r="C1584" t="n">
        <v>1582</v>
      </c>
      <c r="D1584" t="n">
        <v>-0.1262</v>
      </c>
      <c r="E1584" t="n">
        <v>17.0091</v>
      </c>
      <c r="F1584" t="n">
        <v>0.13004</v>
      </c>
    </row>
    <row r="1585">
      <c r="A1585" t="n">
        <v>1001583</v>
      </c>
      <c r="B1585" t="n">
        <v>1</v>
      </c>
      <c r="C1585" t="n">
        <v>1583</v>
      </c>
      <c r="D1585" t="n">
        <v>-0.1263</v>
      </c>
      <c r="E1585" t="n">
        <v>17.0145</v>
      </c>
      <c r="F1585" t="n">
        <v>0.13006</v>
      </c>
    </row>
    <row r="1586">
      <c r="A1586" t="n">
        <v>1001584</v>
      </c>
      <c r="B1586" t="n">
        <v>1</v>
      </c>
      <c r="C1586" t="n">
        <v>1584</v>
      </c>
      <c r="D1586" t="n">
        <v>-0.1264</v>
      </c>
      <c r="E1586" t="n">
        <v>17.02</v>
      </c>
      <c r="F1586" t="n">
        <v>0.13008</v>
      </c>
    </row>
    <row r="1587">
      <c r="A1587" t="n">
        <v>1001585</v>
      </c>
      <c r="B1587" t="n">
        <v>1</v>
      </c>
      <c r="C1587" t="n">
        <v>1585</v>
      </c>
      <c r="D1587" t="n">
        <v>-0.1265</v>
      </c>
      <c r="E1587" t="n">
        <v>17.0255</v>
      </c>
      <c r="F1587" t="n">
        <v>0.1301</v>
      </c>
    </row>
    <row r="1588">
      <c r="A1588" t="n">
        <v>1001586</v>
      </c>
      <c r="B1588" t="n">
        <v>1</v>
      </c>
      <c r="C1588" t="n">
        <v>1586</v>
      </c>
      <c r="D1588" t="n">
        <v>-0.1266</v>
      </c>
      <c r="E1588" t="n">
        <v>17.0309</v>
      </c>
      <c r="F1588" t="n">
        <v>0.13012</v>
      </c>
    </row>
    <row r="1589">
      <c r="A1589" t="n">
        <v>1001587</v>
      </c>
      <c r="B1589" t="n">
        <v>1</v>
      </c>
      <c r="C1589" t="n">
        <v>1587</v>
      </c>
      <c r="D1589" t="n">
        <v>-0.1267</v>
      </c>
      <c r="E1589" t="n">
        <v>17.0364</v>
      </c>
      <c r="F1589" t="n">
        <v>0.13014</v>
      </c>
    </row>
    <row r="1590">
      <c r="A1590" t="n">
        <v>1001588</v>
      </c>
      <c r="B1590" t="n">
        <v>1</v>
      </c>
      <c r="C1590" t="n">
        <v>1588</v>
      </c>
      <c r="D1590" t="n">
        <v>-0.1268</v>
      </c>
      <c r="E1590" t="n">
        <v>17.0418</v>
      </c>
      <c r="F1590" t="n">
        <v>0.13016</v>
      </c>
    </row>
    <row r="1591">
      <c r="A1591" t="n">
        <v>1001589</v>
      </c>
      <c r="B1591" t="n">
        <v>1</v>
      </c>
      <c r="C1591" t="n">
        <v>1589</v>
      </c>
      <c r="D1591" t="n">
        <v>-0.1269</v>
      </c>
      <c r="E1591" t="n">
        <v>17.0473</v>
      </c>
      <c r="F1591" t="n">
        <v>0.13018</v>
      </c>
    </row>
    <row r="1592">
      <c r="A1592" t="n">
        <v>1001590</v>
      </c>
      <c r="B1592" t="n">
        <v>1</v>
      </c>
      <c r="C1592" t="n">
        <v>1590</v>
      </c>
      <c r="D1592" t="n">
        <v>-0.127</v>
      </c>
      <c r="E1592" t="n">
        <v>17.0527</v>
      </c>
      <c r="F1592" t="n">
        <v>0.1302</v>
      </c>
    </row>
    <row r="1593">
      <c r="A1593" t="n">
        <v>1001591</v>
      </c>
      <c r="B1593" t="n">
        <v>1</v>
      </c>
      <c r="C1593" t="n">
        <v>1591</v>
      </c>
      <c r="D1593" t="n">
        <v>-0.1271</v>
      </c>
      <c r="E1593" t="n">
        <v>17.0582</v>
      </c>
      <c r="F1593" t="n">
        <v>0.13023</v>
      </c>
    </row>
    <row r="1594">
      <c r="A1594" t="n">
        <v>1001592</v>
      </c>
      <c r="B1594" t="n">
        <v>1</v>
      </c>
      <c r="C1594" t="n">
        <v>1592</v>
      </c>
      <c r="D1594" t="n">
        <v>-0.1272</v>
      </c>
      <c r="E1594" t="n">
        <v>17.0636</v>
      </c>
      <c r="F1594" t="n">
        <v>0.13025</v>
      </c>
    </row>
    <row r="1595">
      <c r="A1595" t="n">
        <v>1001593</v>
      </c>
      <c r="B1595" t="n">
        <v>1</v>
      </c>
      <c r="C1595" t="n">
        <v>1593</v>
      </c>
      <c r="D1595" t="n">
        <v>-0.1273</v>
      </c>
      <c r="E1595" t="n">
        <v>17.0691</v>
      </c>
      <c r="F1595" t="n">
        <v>0.13027</v>
      </c>
    </row>
    <row r="1596">
      <c r="A1596" t="n">
        <v>1001594</v>
      </c>
      <c r="B1596" t="n">
        <v>1</v>
      </c>
      <c r="C1596" t="n">
        <v>1594</v>
      </c>
      <c r="D1596" t="n">
        <v>-0.1274</v>
      </c>
      <c r="E1596" t="n">
        <v>17.0746</v>
      </c>
      <c r="F1596" t="n">
        <v>0.13029</v>
      </c>
    </row>
    <row r="1597">
      <c r="A1597" t="n">
        <v>1001595</v>
      </c>
      <c r="B1597" t="n">
        <v>1</v>
      </c>
      <c r="C1597" t="n">
        <v>1595</v>
      </c>
      <c r="D1597" t="n">
        <v>-0.1275</v>
      </c>
      <c r="E1597" t="n">
        <v>17.08</v>
      </c>
      <c r="F1597" t="n">
        <v>0.13031</v>
      </c>
    </row>
    <row r="1598">
      <c r="A1598" t="n">
        <v>1001596</v>
      </c>
      <c r="B1598" t="n">
        <v>1</v>
      </c>
      <c r="C1598" t="n">
        <v>1596</v>
      </c>
      <c r="D1598" t="n">
        <v>-0.1276</v>
      </c>
      <c r="E1598" t="n">
        <v>17.0855</v>
      </c>
      <c r="F1598" t="n">
        <v>0.13033</v>
      </c>
    </row>
    <row r="1599">
      <c r="A1599" t="n">
        <v>1001597</v>
      </c>
      <c r="B1599" t="n">
        <v>1</v>
      </c>
      <c r="C1599" t="n">
        <v>1597</v>
      </c>
      <c r="D1599" t="n">
        <v>-0.1277</v>
      </c>
      <c r="E1599" t="n">
        <v>17.0909</v>
      </c>
      <c r="F1599" t="n">
        <v>0.13035</v>
      </c>
    </row>
    <row r="1600">
      <c r="A1600" t="n">
        <v>1001598</v>
      </c>
      <c r="B1600" t="n">
        <v>1</v>
      </c>
      <c r="C1600" t="n">
        <v>1598</v>
      </c>
      <c r="D1600" t="n">
        <v>-0.1278</v>
      </c>
      <c r="E1600" t="n">
        <v>17.0964</v>
      </c>
      <c r="F1600" t="n">
        <v>0.13037</v>
      </c>
    </row>
    <row r="1601">
      <c r="A1601" t="n">
        <v>1001599</v>
      </c>
      <c r="B1601" t="n">
        <v>1</v>
      </c>
      <c r="C1601" t="n">
        <v>1599</v>
      </c>
      <c r="D1601" t="n">
        <v>-0.1279</v>
      </c>
      <c r="E1601" t="n">
        <v>17.1018</v>
      </c>
      <c r="F1601" t="n">
        <v>0.13039</v>
      </c>
    </row>
    <row r="1602">
      <c r="A1602" t="n">
        <v>1001600</v>
      </c>
      <c r="B1602" t="n">
        <v>1</v>
      </c>
      <c r="C1602" t="n">
        <v>1600</v>
      </c>
      <c r="D1602" t="n">
        <v>-0.128</v>
      </c>
      <c r="E1602" t="n">
        <v>17.1073</v>
      </c>
      <c r="F1602" t="n">
        <v>0.13041</v>
      </c>
    </row>
    <row r="1603">
      <c r="A1603" t="n">
        <v>1001601</v>
      </c>
      <c r="B1603" t="n">
        <v>1</v>
      </c>
      <c r="C1603" t="n">
        <v>1601</v>
      </c>
      <c r="D1603" t="n">
        <v>-0.1281</v>
      </c>
      <c r="E1603" t="n">
        <v>17.1127</v>
      </c>
      <c r="F1603" t="n">
        <v>0.13043</v>
      </c>
    </row>
    <row r="1604">
      <c r="A1604" t="n">
        <v>1001602</v>
      </c>
      <c r="B1604" t="n">
        <v>1</v>
      </c>
      <c r="C1604" t="n">
        <v>1602</v>
      </c>
      <c r="D1604" t="n">
        <v>-0.1282</v>
      </c>
      <c r="E1604" t="n">
        <v>17.1182</v>
      </c>
      <c r="F1604" t="n">
        <v>0.13045</v>
      </c>
    </row>
    <row r="1605">
      <c r="A1605" t="n">
        <v>1001603</v>
      </c>
      <c r="B1605" t="n">
        <v>1</v>
      </c>
      <c r="C1605" t="n">
        <v>1603</v>
      </c>
      <c r="D1605" t="n">
        <v>-0.1283</v>
      </c>
      <c r="E1605" t="n">
        <v>17.1237</v>
      </c>
      <c r="F1605" t="n">
        <v>0.13047</v>
      </c>
    </row>
    <row r="1606">
      <c r="A1606" t="n">
        <v>1001604</v>
      </c>
      <c r="B1606" t="n">
        <v>1</v>
      </c>
      <c r="C1606" t="n">
        <v>1604</v>
      </c>
      <c r="D1606" t="n">
        <v>-0.1285</v>
      </c>
      <c r="E1606" t="n">
        <v>17.1291</v>
      </c>
      <c r="F1606" t="n">
        <v>0.1305</v>
      </c>
    </row>
    <row r="1607">
      <c r="A1607" t="n">
        <v>1001605</v>
      </c>
      <c r="B1607" t="n">
        <v>1</v>
      </c>
      <c r="C1607" t="n">
        <v>1605</v>
      </c>
      <c r="D1607" t="n">
        <v>-0.1286</v>
      </c>
      <c r="E1607" t="n">
        <v>17.1346</v>
      </c>
      <c r="F1607" t="n">
        <v>0.13052</v>
      </c>
    </row>
    <row r="1608">
      <c r="A1608" t="n">
        <v>1001606</v>
      </c>
      <c r="B1608" t="n">
        <v>1</v>
      </c>
      <c r="C1608" t="n">
        <v>1606</v>
      </c>
      <c r="D1608" t="n">
        <v>-0.1287</v>
      </c>
      <c r="E1608" t="n">
        <v>17.14</v>
      </c>
      <c r="F1608" t="n">
        <v>0.13054</v>
      </c>
    </row>
    <row r="1609">
      <c r="A1609" t="n">
        <v>1001607</v>
      </c>
      <c r="B1609" t="n">
        <v>1</v>
      </c>
      <c r="C1609" t="n">
        <v>1607</v>
      </c>
      <c r="D1609" t="n">
        <v>-0.1288</v>
      </c>
      <c r="E1609" t="n">
        <v>17.1455</v>
      </c>
      <c r="F1609" t="n">
        <v>0.13056</v>
      </c>
    </row>
    <row r="1610">
      <c r="A1610" t="n">
        <v>1001608</v>
      </c>
      <c r="B1610" t="n">
        <v>1</v>
      </c>
      <c r="C1610" t="n">
        <v>1608</v>
      </c>
      <c r="D1610" t="n">
        <v>-0.1289</v>
      </c>
      <c r="E1610" t="n">
        <v>17.1509</v>
      </c>
      <c r="F1610" t="n">
        <v>0.13058</v>
      </c>
    </row>
    <row r="1611">
      <c r="A1611" t="n">
        <v>1001609</v>
      </c>
      <c r="B1611" t="n">
        <v>1</v>
      </c>
      <c r="C1611" t="n">
        <v>1609</v>
      </c>
      <c r="D1611" t="n">
        <v>-0.129</v>
      </c>
      <c r="E1611" t="n">
        <v>17.1564</v>
      </c>
      <c r="F1611" t="n">
        <v>0.1306</v>
      </c>
    </row>
    <row r="1612">
      <c r="A1612" t="n">
        <v>1001610</v>
      </c>
      <c r="B1612" t="n">
        <v>1</v>
      </c>
      <c r="C1612" t="n">
        <v>1610</v>
      </c>
      <c r="D1612" t="n">
        <v>-0.1291</v>
      </c>
      <c r="E1612" t="n">
        <v>17.1618</v>
      </c>
      <c r="F1612" t="n">
        <v>0.13062</v>
      </c>
    </row>
    <row r="1613">
      <c r="A1613" t="n">
        <v>1001611</v>
      </c>
      <c r="B1613" t="n">
        <v>1</v>
      </c>
      <c r="C1613" t="n">
        <v>1611</v>
      </c>
      <c r="D1613" t="n">
        <v>-0.1292</v>
      </c>
      <c r="E1613" t="n">
        <v>17.1673</v>
      </c>
      <c r="F1613" t="n">
        <v>0.13064</v>
      </c>
    </row>
    <row r="1614">
      <c r="A1614" t="n">
        <v>1001612</v>
      </c>
      <c r="B1614" t="n">
        <v>1</v>
      </c>
      <c r="C1614" t="n">
        <v>1612</v>
      </c>
      <c r="D1614" t="n">
        <v>-0.1293</v>
      </c>
      <c r="E1614" t="n">
        <v>17.1728</v>
      </c>
      <c r="F1614" t="n">
        <v>0.13066</v>
      </c>
    </row>
    <row r="1615">
      <c r="A1615" t="n">
        <v>1001613</v>
      </c>
      <c r="B1615" t="n">
        <v>1</v>
      </c>
      <c r="C1615" t="n">
        <v>1613</v>
      </c>
      <c r="D1615" t="n">
        <v>-0.1294</v>
      </c>
      <c r="E1615" t="n">
        <v>17.1782</v>
      </c>
      <c r="F1615" t="n">
        <v>0.13068</v>
      </c>
    </row>
    <row r="1616">
      <c r="A1616" t="n">
        <v>1001614</v>
      </c>
      <c r="B1616" t="n">
        <v>1</v>
      </c>
      <c r="C1616" t="n">
        <v>1614</v>
      </c>
      <c r="D1616" t="n">
        <v>-0.1295</v>
      </c>
      <c r="E1616" t="n">
        <v>17.1837</v>
      </c>
      <c r="F1616" t="n">
        <v>0.1307</v>
      </c>
    </row>
    <row r="1617">
      <c r="A1617" t="n">
        <v>1001615</v>
      </c>
      <c r="B1617" t="n">
        <v>1</v>
      </c>
      <c r="C1617" t="n">
        <v>1615</v>
      </c>
      <c r="D1617" t="n">
        <v>-0.1296</v>
      </c>
      <c r="E1617" t="n">
        <v>17.1891</v>
      </c>
      <c r="F1617" t="n">
        <v>0.13073</v>
      </c>
    </row>
    <row r="1618">
      <c r="A1618" t="n">
        <v>1001616</v>
      </c>
      <c r="B1618" t="n">
        <v>1</v>
      </c>
      <c r="C1618" t="n">
        <v>1616</v>
      </c>
      <c r="D1618" t="n">
        <v>-0.1297</v>
      </c>
      <c r="E1618" t="n">
        <v>17.1946</v>
      </c>
      <c r="F1618" t="n">
        <v>0.13075</v>
      </c>
    </row>
    <row r="1619">
      <c r="A1619" t="n">
        <v>1001617</v>
      </c>
      <c r="B1619" t="n">
        <v>1</v>
      </c>
      <c r="C1619" t="n">
        <v>1617</v>
      </c>
      <c r="D1619" t="n">
        <v>-0.1298</v>
      </c>
      <c r="E1619" t="n">
        <v>17.2</v>
      </c>
      <c r="F1619" t="n">
        <v>0.13077</v>
      </c>
    </row>
    <row r="1620">
      <c r="A1620" t="n">
        <v>1001618</v>
      </c>
      <c r="B1620" t="n">
        <v>1</v>
      </c>
      <c r="C1620" t="n">
        <v>1618</v>
      </c>
      <c r="D1620" t="n">
        <v>-0.1299</v>
      </c>
      <c r="E1620" t="n">
        <v>17.2055</v>
      </c>
      <c r="F1620" t="n">
        <v>0.13079</v>
      </c>
    </row>
    <row r="1621">
      <c r="A1621" t="n">
        <v>1001619</v>
      </c>
      <c r="B1621" t="n">
        <v>1</v>
      </c>
      <c r="C1621" t="n">
        <v>1619</v>
      </c>
      <c r="D1621" t="n">
        <v>-0.13</v>
      </c>
      <c r="E1621" t="n">
        <v>17.2109</v>
      </c>
      <c r="F1621" t="n">
        <v>0.13081</v>
      </c>
    </row>
    <row r="1622">
      <c r="A1622" t="n">
        <v>1001620</v>
      </c>
      <c r="B1622" t="n">
        <v>1</v>
      </c>
      <c r="C1622" t="n">
        <v>1620</v>
      </c>
      <c r="D1622" t="n">
        <v>-0.1301</v>
      </c>
      <c r="E1622" t="n">
        <v>17.2164</v>
      </c>
      <c r="F1622" t="n">
        <v>0.13083</v>
      </c>
    </row>
    <row r="1623">
      <c r="A1623" t="n">
        <v>1001621</v>
      </c>
      <c r="B1623" t="n">
        <v>1</v>
      </c>
      <c r="C1623" t="n">
        <v>1621</v>
      </c>
      <c r="D1623" t="n">
        <v>-0.1302</v>
      </c>
      <c r="E1623" t="n">
        <v>17.2218</v>
      </c>
      <c r="F1623" t="n">
        <v>0.13085</v>
      </c>
    </row>
    <row r="1624">
      <c r="A1624" t="n">
        <v>1001622</v>
      </c>
      <c r="B1624" t="n">
        <v>1</v>
      </c>
      <c r="C1624" t="n">
        <v>1622</v>
      </c>
      <c r="D1624" t="n">
        <v>-0.1303</v>
      </c>
      <c r="E1624" t="n">
        <v>17.2273</v>
      </c>
      <c r="F1624" t="n">
        <v>0.13087</v>
      </c>
    </row>
    <row r="1625">
      <c r="A1625" t="n">
        <v>1001623</v>
      </c>
      <c r="B1625" t="n">
        <v>1</v>
      </c>
      <c r="C1625" t="n">
        <v>1623</v>
      </c>
      <c r="D1625" t="n">
        <v>-0.1304</v>
      </c>
      <c r="E1625" t="n">
        <v>17.2328</v>
      </c>
      <c r="F1625" t="n">
        <v>0.13089</v>
      </c>
    </row>
    <row r="1626">
      <c r="A1626" t="n">
        <v>1001624</v>
      </c>
      <c r="B1626" t="n">
        <v>1</v>
      </c>
      <c r="C1626" t="n">
        <v>1624</v>
      </c>
      <c r="D1626" t="n">
        <v>-0.1305</v>
      </c>
      <c r="E1626" t="n">
        <v>17.2382</v>
      </c>
      <c r="F1626" t="n">
        <v>0.13091</v>
      </c>
    </row>
    <row r="1627">
      <c r="A1627" t="n">
        <v>1001625</v>
      </c>
      <c r="B1627" t="n">
        <v>1</v>
      </c>
      <c r="C1627" t="n">
        <v>1625</v>
      </c>
      <c r="D1627" t="n">
        <v>-0.1306</v>
      </c>
      <c r="E1627" t="n">
        <v>17.2437</v>
      </c>
      <c r="F1627" t="n">
        <v>0.13093</v>
      </c>
    </row>
    <row r="1628">
      <c r="A1628" t="n">
        <v>1001626</v>
      </c>
      <c r="B1628" t="n">
        <v>1</v>
      </c>
      <c r="C1628" t="n">
        <v>1626</v>
      </c>
      <c r="D1628" t="n">
        <v>-0.1307</v>
      </c>
      <c r="E1628" t="n">
        <v>17.2491</v>
      </c>
      <c r="F1628" t="n">
        <v>0.13096</v>
      </c>
    </row>
    <row r="1629">
      <c r="A1629" t="n">
        <v>1001627</v>
      </c>
      <c r="B1629" t="n">
        <v>1</v>
      </c>
      <c r="C1629" t="n">
        <v>1627</v>
      </c>
      <c r="D1629" t="n">
        <v>-0.1308</v>
      </c>
      <c r="E1629" t="n">
        <v>17.2546</v>
      </c>
      <c r="F1629" t="n">
        <v>0.13098</v>
      </c>
    </row>
    <row r="1630">
      <c r="A1630" t="n">
        <v>1001628</v>
      </c>
      <c r="B1630" t="n">
        <v>1</v>
      </c>
      <c r="C1630" t="n">
        <v>1628</v>
      </c>
      <c r="D1630" t="n">
        <v>-0.1309</v>
      </c>
      <c r="E1630" t="n">
        <v>17.26</v>
      </c>
      <c r="F1630" t="n">
        <v>0.131</v>
      </c>
    </row>
    <row r="1631">
      <c r="A1631" t="n">
        <v>1001629</v>
      </c>
      <c r="B1631" t="n">
        <v>1</v>
      </c>
      <c r="C1631" t="n">
        <v>1629</v>
      </c>
      <c r="D1631" t="n">
        <v>-0.131</v>
      </c>
      <c r="E1631" t="n">
        <v>17.2655</v>
      </c>
      <c r="F1631" t="n">
        <v>0.13102</v>
      </c>
    </row>
    <row r="1632">
      <c r="A1632" t="n">
        <v>1001630</v>
      </c>
      <c r="B1632" t="n">
        <v>1</v>
      </c>
      <c r="C1632" t="n">
        <v>1630</v>
      </c>
      <c r="D1632" t="n">
        <v>-0.1311</v>
      </c>
      <c r="E1632" t="n">
        <v>17.2709</v>
      </c>
      <c r="F1632" t="n">
        <v>0.13104</v>
      </c>
    </row>
    <row r="1633">
      <c r="A1633" t="n">
        <v>1001631</v>
      </c>
      <c r="B1633" t="n">
        <v>1</v>
      </c>
      <c r="C1633" t="n">
        <v>1631</v>
      </c>
      <c r="D1633" t="n">
        <v>-0.1312</v>
      </c>
      <c r="E1633" t="n">
        <v>17.2764</v>
      </c>
      <c r="F1633" t="n">
        <v>0.13106</v>
      </c>
    </row>
    <row r="1634">
      <c r="A1634" t="n">
        <v>1001632</v>
      </c>
      <c r="B1634" t="n">
        <v>1</v>
      </c>
      <c r="C1634" t="n">
        <v>1632</v>
      </c>
      <c r="D1634" t="n">
        <v>-0.1314</v>
      </c>
      <c r="E1634" t="n">
        <v>17.2818</v>
      </c>
      <c r="F1634" t="n">
        <v>0.13108</v>
      </c>
    </row>
    <row r="1635">
      <c r="A1635" t="n">
        <v>1001633</v>
      </c>
      <c r="B1635" t="n">
        <v>1</v>
      </c>
      <c r="C1635" t="n">
        <v>1633</v>
      </c>
      <c r="D1635" t="n">
        <v>-0.1315</v>
      </c>
      <c r="E1635" t="n">
        <v>17.2873</v>
      </c>
      <c r="F1635" t="n">
        <v>0.1311</v>
      </c>
    </row>
    <row r="1636">
      <c r="A1636" t="n">
        <v>1001634</v>
      </c>
      <c r="B1636" t="n">
        <v>1</v>
      </c>
      <c r="C1636" t="n">
        <v>1634</v>
      </c>
      <c r="D1636" t="n">
        <v>-0.1316</v>
      </c>
      <c r="E1636" t="n">
        <v>17.2927</v>
      </c>
      <c r="F1636" t="n">
        <v>0.13112</v>
      </c>
    </row>
    <row r="1637">
      <c r="A1637" t="n">
        <v>1001635</v>
      </c>
      <c r="B1637" t="n">
        <v>1</v>
      </c>
      <c r="C1637" t="n">
        <v>1635</v>
      </c>
      <c r="D1637" t="n">
        <v>-0.1317</v>
      </c>
      <c r="E1637" t="n">
        <v>17.2982</v>
      </c>
      <c r="F1637" t="n">
        <v>0.13114</v>
      </c>
    </row>
    <row r="1638">
      <c r="A1638" t="n">
        <v>1001636</v>
      </c>
      <c r="B1638" t="n">
        <v>1</v>
      </c>
      <c r="C1638" t="n">
        <v>1636</v>
      </c>
      <c r="D1638" t="n">
        <v>-0.1318</v>
      </c>
      <c r="E1638" t="n">
        <v>17.3037</v>
      </c>
      <c r="F1638" t="n">
        <v>0.13117</v>
      </c>
    </row>
    <row r="1639">
      <c r="A1639" t="n">
        <v>1001637</v>
      </c>
      <c r="B1639" t="n">
        <v>1</v>
      </c>
      <c r="C1639" t="n">
        <v>1637</v>
      </c>
      <c r="D1639" t="n">
        <v>-0.1319</v>
      </c>
      <c r="E1639" t="n">
        <v>17.3091</v>
      </c>
      <c r="F1639" t="n">
        <v>0.13119</v>
      </c>
    </row>
    <row r="1640">
      <c r="A1640" t="n">
        <v>1001638</v>
      </c>
      <c r="B1640" t="n">
        <v>1</v>
      </c>
      <c r="C1640" t="n">
        <v>1638</v>
      </c>
      <c r="D1640" t="n">
        <v>-0.132</v>
      </c>
      <c r="E1640" t="n">
        <v>17.3146</v>
      </c>
      <c r="F1640" t="n">
        <v>0.13121</v>
      </c>
    </row>
    <row r="1641">
      <c r="A1641" t="n">
        <v>1001639</v>
      </c>
      <c r="B1641" t="n">
        <v>1</v>
      </c>
      <c r="C1641" t="n">
        <v>1639</v>
      </c>
      <c r="D1641" t="n">
        <v>-0.1321</v>
      </c>
      <c r="E1641" t="n">
        <v>17.32</v>
      </c>
      <c r="F1641" t="n">
        <v>0.13123</v>
      </c>
    </row>
    <row r="1642">
      <c r="A1642" t="n">
        <v>1001640</v>
      </c>
      <c r="B1642" t="n">
        <v>1</v>
      </c>
      <c r="C1642" t="n">
        <v>1640</v>
      </c>
      <c r="D1642" t="n">
        <v>-0.1322</v>
      </c>
      <c r="E1642" t="n">
        <v>17.3255</v>
      </c>
      <c r="F1642" t="n">
        <v>0.13125</v>
      </c>
    </row>
    <row r="1643">
      <c r="A1643" t="n">
        <v>1001641</v>
      </c>
      <c r="B1643" t="n">
        <v>1</v>
      </c>
      <c r="C1643" t="n">
        <v>1641</v>
      </c>
      <c r="D1643" t="n">
        <v>-0.1323</v>
      </c>
      <c r="E1643" t="n">
        <v>17.3309</v>
      </c>
      <c r="F1643" t="n">
        <v>0.13127</v>
      </c>
    </row>
    <row r="1644">
      <c r="A1644" t="n">
        <v>1001642</v>
      </c>
      <c r="B1644" t="n">
        <v>1</v>
      </c>
      <c r="C1644" t="n">
        <v>1642</v>
      </c>
      <c r="D1644" t="n">
        <v>-0.1324</v>
      </c>
      <c r="E1644" t="n">
        <v>17.3364</v>
      </c>
      <c r="F1644" t="n">
        <v>0.13129</v>
      </c>
    </row>
    <row r="1645">
      <c r="A1645" t="n">
        <v>1001643</v>
      </c>
      <c r="B1645" t="n">
        <v>1</v>
      </c>
      <c r="C1645" t="n">
        <v>1643</v>
      </c>
      <c r="D1645" t="n">
        <v>-0.1325</v>
      </c>
      <c r="E1645" t="n">
        <v>17.3418</v>
      </c>
      <c r="F1645" t="n">
        <v>0.13131</v>
      </c>
    </row>
    <row r="1646">
      <c r="A1646" t="n">
        <v>1001644</v>
      </c>
      <c r="B1646" t="n">
        <v>1</v>
      </c>
      <c r="C1646" t="n">
        <v>1644</v>
      </c>
      <c r="D1646" t="n">
        <v>-0.1326</v>
      </c>
      <c r="E1646" t="n">
        <v>17.3473</v>
      </c>
      <c r="F1646" t="n">
        <v>0.13133</v>
      </c>
    </row>
    <row r="1647">
      <c r="A1647" t="n">
        <v>1001645</v>
      </c>
      <c r="B1647" t="n">
        <v>1</v>
      </c>
      <c r="C1647" t="n">
        <v>1645</v>
      </c>
      <c r="D1647" t="n">
        <v>-0.1327</v>
      </c>
      <c r="E1647" t="n">
        <v>17.3527</v>
      </c>
      <c r="F1647" t="n">
        <v>0.13135</v>
      </c>
    </row>
    <row r="1648">
      <c r="A1648" t="n">
        <v>1001646</v>
      </c>
      <c r="B1648" t="n">
        <v>1</v>
      </c>
      <c r="C1648" t="n">
        <v>1646</v>
      </c>
      <c r="D1648" t="n">
        <v>-0.1328</v>
      </c>
      <c r="E1648" t="n">
        <v>17.3582</v>
      </c>
      <c r="F1648" t="n">
        <v>0.13137</v>
      </c>
    </row>
    <row r="1649">
      <c r="A1649" t="n">
        <v>1001647</v>
      </c>
      <c r="B1649" t="n">
        <v>1</v>
      </c>
      <c r="C1649" t="n">
        <v>1647</v>
      </c>
      <c r="D1649" t="n">
        <v>-0.1329</v>
      </c>
      <c r="E1649" t="n">
        <v>17.3636</v>
      </c>
      <c r="F1649" t="n">
        <v>0.1314</v>
      </c>
    </row>
    <row r="1650">
      <c r="A1650" t="n">
        <v>1001648</v>
      </c>
      <c r="B1650" t="n">
        <v>1</v>
      </c>
      <c r="C1650" t="n">
        <v>1648</v>
      </c>
      <c r="D1650" t="n">
        <v>-0.133</v>
      </c>
      <c r="E1650" t="n">
        <v>17.3691</v>
      </c>
      <c r="F1650" t="n">
        <v>0.13142</v>
      </c>
    </row>
    <row r="1651">
      <c r="A1651" t="n">
        <v>1001649</v>
      </c>
      <c r="B1651" t="n">
        <v>1</v>
      </c>
      <c r="C1651" t="n">
        <v>1649</v>
      </c>
      <c r="D1651" t="n">
        <v>-0.1331</v>
      </c>
      <c r="E1651" t="n">
        <v>17.3745</v>
      </c>
      <c r="F1651" t="n">
        <v>0.13144</v>
      </c>
    </row>
    <row r="1652">
      <c r="A1652" t="n">
        <v>1001650</v>
      </c>
      <c r="B1652" t="n">
        <v>1</v>
      </c>
      <c r="C1652" t="n">
        <v>1650</v>
      </c>
      <c r="D1652" t="n">
        <v>-0.1332</v>
      </c>
      <c r="E1652" t="n">
        <v>17.38</v>
      </c>
      <c r="F1652" t="n">
        <v>0.13146</v>
      </c>
    </row>
    <row r="1653">
      <c r="A1653" t="n">
        <v>1001651</v>
      </c>
      <c r="B1653" t="n">
        <v>1</v>
      </c>
      <c r="C1653" t="n">
        <v>1651</v>
      </c>
      <c r="D1653" t="n">
        <v>-0.1333</v>
      </c>
      <c r="E1653" t="n">
        <v>17.3854</v>
      </c>
      <c r="F1653" t="n">
        <v>0.13148</v>
      </c>
    </row>
    <row r="1654">
      <c r="A1654" t="n">
        <v>1001652</v>
      </c>
      <c r="B1654" t="n">
        <v>1</v>
      </c>
      <c r="C1654" t="n">
        <v>1652</v>
      </c>
      <c r="D1654" t="n">
        <v>-0.1334</v>
      </c>
      <c r="E1654" t="n">
        <v>17.3909</v>
      </c>
      <c r="F1654" t="n">
        <v>0.1315</v>
      </c>
    </row>
    <row r="1655">
      <c r="A1655" t="n">
        <v>1001653</v>
      </c>
      <c r="B1655" t="n">
        <v>1</v>
      </c>
      <c r="C1655" t="n">
        <v>1653</v>
      </c>
      <c r="D1655" t="n">
        <v>-0.1335</v>
      </c>
      <c r="E1655" t="n">
        <v>17.3963</v>
      </c>
      <c r="F1655" t="n">
        <v>0.13152</v>
      </c>
    </row>
    <row r="1656">
      <c r="A1656" t="n">
        <v>1001654</v>
      </c>
      <c r="B1656" t="n">
        <v>1</v>
      </c>
      <c r="C1656" t="n">
        <v>1654</v>
      </c>
      <c r="D1656" t="n">
        <v>-0.1336</v>
      </c>
      <c r="E1656" t="n">
        <v>17.4018</v>
      </c>
      <c r="F1656" t="n">
        <v>0.13154</v>
      </c>
    </row>
    <row r="1657">
      <c r="A1657" t="n">
        <v>1001655</v>
      </c>
      <c r="B1657" t="n">
        <v>1</v>
      </c>
      <c r="C1657" t="n">
        <v>1655</v>
      </c>
      <c r="D1657" t="n">
        <v>-0.1337</v>
      </c>
      <c r="E1657" t="n">
        <v>17.4072</v>
      </c>
      <c r="F1657" t="n">
        <v>0.13156</v>
      </c>
    </row>
    <row r="1658">
      <c r="A1658" t="n">
        <v>1001656</v>
      </c>
      <c r="B1658" t="n">
        <v>1</v>
      </c>
      <c r="C1658" t="n">
        <v>1656</v>
      </c>
      <c r="D1658" t="n">
        <v>-0.1338</v>
      </c>
      <c r="E1658" t="n">
        <v>17.4127</v>
      </c>
      <c r="F1658" t="n">
        <v>0.13159</v>
      </c>
    </row>
    <row r="1659">
      <c r="A1659" t="n">
        <v>1001657</v>
      </c>
      <c r="B1659" t="n">
        <v>1</v>
      </c>
      <c r="C1659" t="n">
        <v>1657</v>
      </c>
      <c r="D1659" t="n">
        <v>-0.1339</v>
      </c>
      <c r="E1659" t="n">
        <v>17.4181</v>
      </c>
      <c r="F1659" t="n">
        <v>0.13161</v>
      </c>
    </row>
    <row r="1660">
      <c r="A1660" t="n">
        <v>1001658</v>
      </c>
      <c r="B1660" t="n">
        <v>1</v>
      </c>
      <c r="C1660" t="n">
        <v>1658</v>
      </c>
      <c r="D1660" t="n">
        <v>-0.134</v>
      </c>
      <c r="E1660" t="n">
        <v>17.4236</v>
      </c>
      <c r="F1660" t="n">
        <v>0.13163</v>
      </c>
    </row>
    <row r="1661">
      <c r="A1661" t="n">
        <v>1001659</v>
      </c>
      <c r="B1661" t="n">
        <v>1</v>
      </c>
      <c r="C1661" t="n">
        <v>1659</v>
      </c>
      <c r="D1661" t="n">
        <v>-0.1341</v>
      </c>
      <c r="E1661" t="n">
        <v>17.429</v>
      </c>
      <c r="F1661" t="n">
        <v>0.13165</v>
      </c>
    </row>
    <row r="1662">
      <c r="A1662" t="n">
        <v>1001660</v>
      </c>
      <c r="B1662" t="n">
        <v>1</v>
      </c>
      <c r="C1662" t="n">
        <v>1660</v>
      </c>
      <c r="D1662" t="n">
        <v>-0.1342</v>
      </c>
      <c r="E1662" t="n">
        <v>17.4345</v>
      </c>
      <c r="F1662" t="n">
        <v>0.13167</v>
      </c>
    </row>
    <row r="1663">
      <c r="A1663" t="n">
        <v>1001661</v>
      </c>
      <c r="B1663" t="n">
        <v>1</v>
      </c>
      <c r="C1663" t="n">
        <v>1661</v>
      </c>
      <c r="D1663" t="n">
        <v>-0.1343</v>
      </c>
      <c r="E1663" t="n">
        <v>17.4399</v>
      </c>
      <c r="F1663" t="n">
        <v>0.13169</v>
      </c>
    </row>
    <row r="1664">
      <c r="A1664" t="n">
        <v>1001662</v>
      </c>
      <c r="B1664" t="n">
        <v>1</v>
      </c>
      <c r="C1664" t="n">
        <v>1662</v>
      </c>
      <c r="D1664" t="n">
        <v>-0.1344</v>
      </c>
      <c r="E1664" t="n">
        <v>17.4454</v>
      </c>
      <c r="F1664" t="n">
        <v>0.13171</v>
      </c>
    </row>
    <row r="1665">
      <c r="A1665" t="n">
        <v>1001663</v>
      </c>
      <c r="B1665" t="n">
        <v>1</v>
      </c>
      <c r="C1665" t="n">
        <v>1663</v>
      </c>
      <c r="D1665" t="n">
        <v>-0.1345</v>
      </c>
      <c r="E1665" t="n">
        <v>17.4508</v>
      </c>
      <c r="F1665" t="n">
        <v>0.13173</v>
      </c>
    </row>
    <row r="1666">
      <c r="A1666" t="n">
        <v>1001664</v>
      </c>
      <c r="B1666" t="n">
        <v>1</v>
      </c>
      <c r="C1666" t="n">
        <v>1664</v>
      </c>
      <c r="D1666" t="n">
        <v>-0.1346</v>
      </c>
      <c r="E1666" t="n">
        <v>17.4563</v>
      </c>
      <c r="F1666" t="n">
        <v>0.13175</v>
      </c>
    </row>
    <row r="1667">
      <c r="A1667" t="n">
        <v>1001665</v>
      </c>
      <c r="B1667" t="n">
        <v>1</v>
      </c>
      <c r="C1667" t="n">
        <v>1665</v>
      </c>
      <c r="D1667" t="n">
        <v>-0.1347</v>
      </c>
      <c r="E1667" t="n">
        <v>17.4617</v>
      </c>
      <c r="F1667" t="n">
        <v>0.13177</v>
      </c>
    </row>
    <row r="1668">
      <c r="A1668" t="n">
        <v>1001666</v>
      </c>
      <c r="B1668" t="n">
        <v>1</v>
      </c>
      <c r="C1668" t="n">
        <v>1666</v>
      </c>
      <c r="D1668" t="n">
        <v>-0.1348</v>
      </c>
      <c r="E1668" t="n">
        <v>17.4672</v>
      </c>
      <c r="F1668" t="n">
        <v>0.1318</v>
      </c>
    </row>
    <row r="1669">
      <c r="A1669" t="n">
        <v>1001667</v>
      </c>
      <c r="B1669" t="n">
        <v>1</v>
      </c>
      <c r="C1669" t="n">
        <v>1667</v>
      </c>
      <c r="D1669" t="n">
        <v>-0.1349</v>
      </c>
      <c r="E1669" t="n">
        <v>17.4726</v>
      </c>
      <c r="F1669" t="n">
        <v>0.13182</v>
      </c>
    </row>
    <row r="1670">
      <c r="A1670" t="n">
        <v>1001668</v>
      </c>
      <c r="B1670" t="n">
        <v>1</v>
      </c>
      <c r="C1670" t="n">
        <v>1668</v>
      </c>
      <c r="D1670" t="n">
        <v>-0.135</v>
      </c>
      <c r="E1670" t="n">
        <v>17.4781</v>
      </c>
      <c r="F1670" t="n">
        <v>0.13184</v>
      </c>
    </row>
    <row r="1671">
      <c r="A1671" t="n">
        <v>1001669</v>
      </c>
      <c r="B1671" t="n">
        <v>1</v>
      </c>
      <c r="C1671" t="n">
        <v>1669</v>
      </c>
      <c r="D1671" t="n">
        <v>-0.1351</v>
      </c>
      <c r="E1671" t="n">
        <v>17.4835</v>
      </c>
      <c r="F1671" t="n">
        <v>0.13186</v>
      </c>
    </row>
    <row r="1672">
      <c r="A1672" t="n">
        <v>1001670</v>
      </c>
      <c r="B1672" t="n">
        <v>1</v>
      </c>
      <c r="C1672" t="n">
        <v>1670</v>
      </c>
      <c r="D1672" t="n">
        <v>-0.1352</v>
      </c>
      <c r="E1672" t="n">
        <v>17.489</v>
      </c>
      <c r="F1672" t="n">
        <v>0.13188</v>
      </c>
    </row>
    <row r="1673">
      <c r="A1673" t="n">
        <v>1001671</v>
      </c>
      <c r="B1673" t="n">
        <v>1</v>
      </c>
      <c r="C1673" t="n">
        <v>1671</v>
      </c>
      <c r="D1673" t="n">
        <v>-0.1353</v>
      </c>
      <c r="E1673" t="n">
        <v>17.4944</v>
      </c>
      <c r="F1673" t="n">
        <v>0.1319</v>
      </c>
    </row>
    <row r="1674">
      <c r="A1674" t="n">
        <v>1001672</v>
      </c>
      <c r="B1674" t="n">
        <v>1</v>
      </c>
      <c r="C1674" t="n">
        <v>1672</v>
      </c>
      <c r="D1674" t="n">
        <v>-0.1354</v>
      </c>
      <c r="E1674" t="n">
        <v>17.4999</v>
      </c>
      <c r="F1674" t="n">
        <v>0.13192</v>
      </c>
    </row>
    <row r="1675">
      <c r="A1675" t="n">
        <v>1001673</v>
      </c>
      <c r="B1675" t="n">
        <v>1</v>
      </c>
      <c r="C1675" t="n">
        <v>1673</v>
      </c>
      <c r="D1675" t="n">
        <v>-0.1355</v>
      </c>
      <c r="E1675" t="n">
        <v>17.5053</v>
      </c>
      <c r="F1675" t="n">
        <v>0.13194</v>
      </c>
    </row>
    <row r="1676">
      <c r="A1676" t="n">
        <v>1001674</v>
      </c>
      <c r="B1676" t="n">
        <v>1</v>
      </c>
      <c r="C1676" t="n">
        <v>1674</v>
      </c>
      <c r="D1676" t="n">
        <v>-0.1356</v>
      </c>
      <c r="E1676" t="n">
        <v>17.5107</v>
      </c>
      <c r="F1676" t="n">
        <v>0.13196</v>
      </c>
    </row>
    <row r="1677">
      <c r="A1677" t="n">
        <v>1001675</v>
      </c>
      <c r="B1677" t="n">
        <v>1</v>
      </c>
      <c r="C1677" t="n">
        <v>1675</v>
      </c>
      <c r="D1677" t="n">
        <v>-0.1357</v>
      </c>
      <c r="E1677" t="n">
        <v>17.5162</v>
      </c>
      <c r="F1677" t="n">
        <v>0.13199</v>
      </c>
    </row>
    <row r="1678">
      <c r="A1678" t="n">
        <v>1001676</v>
      </c>
      <c r="B1678" t="n">
        <v>1</v>
      </c>
      <c r="C1678" t="n">
        <v>1676</v>
      </c>
      <c r="D1678" t="n">
        <v>-0.1358</v>
      </c>
      <c r="E1678" t="n">
        <v>17.5216</v>
      </c>
      <c r="F1678" t="n">
        <v>0.13201</v>
      </c>
    </row>
    <row r="1679">
      <c r="A1679" t="n">
        <v>1001677</v>
      </c>
      <c r="B1679" t="n">
        <v>1</v>
      </c>
      <c r="C1679" t="n">
        <v>1677</v>
      </c>
      <c r="D1679" t="n">
        <v>-0.1359</v>
      </c>
      <c r="E1679" t="n">
        <v>17.5271</v>
      </c>
      <c r="F1679" t="n">
        <v>0.13203</v>
      </c>
    </row>
    <row r="1680">
      <c r="A1680" t="n">
        <v>1001678</v>
      </c>
      <c r="B1680" t="n">
        <v>1</v>
      </c>
      <c r="C1680" t="n">
        <v>1678</v>
      </c>
      <c r="D1680" t="n">
        <v>-0.136</v>
      </c>
      <c r="E1680" t="n">
        <v>17.5325</v>
      </c>
      <c r="F1680" t="n">
        <v>0.13205</v>
      </c>
    </row>
    <row r="1681">
      <c r="A1681" t="n">
        <v>1001679</v>
      </c>
      <c r="B1681" t="n">
        <v>1</v>
      </c>
      <c r="C1681" t="n">
        <v>1679</v>
      </c>
      <c r="D1681" t="n">
        <v>-0.1361</v>
      </c>
      <c r="E1681" t="n">
        <v>17.538</v>
      </c>
      <c r="F1681" t="n">
        <v>0.13207</v>
      </c>
    </row>
    <row r="1682">
      <c r="A1682" t="n">
        <v>1001680</v>
      </c>
      <c r="B1682" t="n">
        <v>1</v>
      </c>
      <c r="C1682" t="n">
        <v>1680</v>
      </c>
      <c r="D1682" t="n">
        <v>-0.1362</v>
      </c>
      <c r="E1682" t="n">
        <v>17.5434</v>
      </c>
      <c r="F1682" t="n">
        <v>0.13209</v>
      </c>
    </row>
    <row r="1683">
      <c r="A1683" t="n">
        <v>1001681</v>
      </c>
      <c r="B1683" t="n">
        <v>1</v>
      </c>
      <c r="C1683" t="n">
        <v>1681</v>
      </c>
      <c r="D1683" t="n">
        <v>-0.1363</v>
      </c>
      <c r="E1683" t="n">
        <v>17.5489</v>
      </c>
      <c r="F1683" t="n">
        <v>0.13211</v>
      </c>
    </row>
    <row r="1684">
      <c r="A1684" t="n">
        <v>1001682</v>
      </c>
      <c r="B1684" t="n">
        <v>1</v>
      </c>
      <c r="C1684" t="n">
        <v>1682</v>
      </c>
      <c r="D1684" t="n">
        <v>-0.1364</v>
      </c>
      <c r="E1684" t="n">
        <v>17.5543</v>
      </c>
      <c r="F1684" t="n">
        <v>0.13213</v>
      </c>
    </row>
    <row r="1685">
      <c r="A1685" t="n">
        <v>1001683</v>
      </c>
      <c r="B1685" t="n">
        <v>1</v>
      </c>
      <c r="C1685" t="n">
        <v>1683</v>
      </c>
      <c r="D1685" t="n">
        <v>-0.1365</v>
      </c>
      <c r="E1685" t="n">
        <v>17.5598</v>
      </c>
      <c r="F1685" t="n">
        <v>0.13215</v>
      </c>
    </row>
    <row r="1686">
      <c r="A1686" t="n">
        <v>1001684</v>
      </c>
      <c r="B1686" t="n">
        <v>1</v>
      </c>
      <c r="C1686" t="n">
        <v>1684</v>
      </c>
      <c r="D1686" t="n">
        <v>-0.1366</v>
      </c>
      <c r="E1686" t="n">
        <v>17.5652</v>
      </c>
      <c r="F1686" t="n">
        <v>0.13218</v>
      </c>
    </row>
    <row r="1687">
      <c r="A1687" t="n">
        <v>1001685</v>
      </c>
      <c r="B1687" t="n">
        <v>1</v>
      </c>
      <c r="C1687" t="n">
        <v>1685</v>
      </c>
      <c r="D1687" t="n">
        <v>-0.1367</v>
      </c>
      <c r="E1687" t="n">
        <v>17.5706</v>
      </c>
      <c r="F1687" t="n">
        <v>0.1322</v>
      </c>
    </row>
    <row r="1688">
      <c r="A1688" t="n">
        <v>1001686</v>
      </c>
      <c r="B1688" t="n">
        <v>1</v>
      </c>
      <c r="C1688" t="n">
        <v>1686</v>
      </c>
      <c r="D1688" t="n">
        <v>-0.1368</v>
      </c>
      <c r="E1688" t="n">
        <v>17.5761</v>
      </c>
      <c r="F1688" t="n">
        <v>0.13222</v>
      </c>
    </row>
    <row r="1689">
      <c r="A1689" t="n">
        <v>1001687</v>
      </c>
      <c r="B1689" t="n">
        <v>1</v>
      </c>
      <c r="C1689" t="n">
        <v>1687</v>
      </c>
      <c r="D1689" t="n">
        <v>-0.1369</v>
      </c>
      <c r="E1689" t="n">
        <v>17.5815</v>
      </c>
      <c r="F1689" t="n">
        <v>0.13224</v>
      </c>
    </row>
    <row r="1690">
      <c r="A1690" t="n">
        <v>1001688</v>
      </c>
      <c r="B1690" t="n">
        <v>1</v>
      </c>
      <c r="C1690" t="n">
        <v>1688</v>
      </c>
      <c r="D1690" t="n">
        <v>-0.137</v>
      </c>
      <c r="E1690" t="n">
        <v>17.587</v>
      </c>
      <c r="F1690" t="n">
        <v>0.13226</v>
      </c>
    </row>
    <row r="1691">
      <c r="A1691" t="n">
        <v>1001689</v>
      </c>
      <c r="B1691" t="n">
        <v>1</v>
      </c>
      <c r="C1691" t="n">
        <v>1689</v>
      </c>
      <c r="D1691" t="n">
        <v>-0.1371</v>
      </c>
      <c r="E1691" t="n">
        <v>17.5924</v>
      </c>
      <c r="F1691" t="n">
        <v>0.13228</v>
      </c>
    </row>
    <row r="1692">
      <c r="A1692" t="n">
        <v>1001690</v>
      </c>
      <c r="B1692" t="n">
        <v>1</v>
      </c>
      <c r="C1692" t="n">
        <v>1690</v>
      </c>
      <c r="D1692" t="n">
        <v>-0.1373</v>
      </c>
      <c r="E1692" t="n">
        <v>17.5979</v>
      </c>
      <c r="F1692" t="n">
        <v>0.1323</v>
      </c>
    </row>
    <row r="1693">
      <c r="A1693" t="n">
        <v>1001691</v>
      </c>
      <c r="B1693" t="n">
        <v>1</v>
      </c>
      <c r="C1693" t="n">
        <v>1691</v>
      </c>
      <c r="D1693" t="n">
        <v>-0.1374</v>
      </c>
      <c r="E1693" t="n">
        <v>17.6033</v>
      </c>
      <c r="F1693" t="n">
        <v>0.13232</v>
      </c>
    </row>
    <row r="1694">
      <c r="A1694" t="n">
        <v>1001692</v>
      </c>
      <c r="B1694" t="n">
        <v>1</v>
      </c>
      <c r="C1694" t="n">
        <v>1692</v>
      </c>
      <c r="D1694" t="n">
        <v>-0.1375</v>
      </c>
      <c r="E1694" t="n">
        <v>17.6087</v>
      </c>
      <c r="F1694" t="n">
        <v>0.13234</v>
      </c>
    </row>
    <row r="1695">
      <c r="A1695" t="n">
        <v>1001693</v>
      </c>
      <c r="B1695" t="n">
        <v>1</v>
      </c>
      <c r="C1695" t="n">
        <v>1693</v>
      </c>
      <c r="D1695" t="n">
        <v>-0.1376</v>
      </c>
      <c r="E1695" t="n">
        <v>17.6142</v>
      </c>
      <c r="F1695" t="n">
        <v>0.13237</v>
      </c>
    </row>
    <row r="1696">
      <c r="A1696" t="n">
        <v>1001694</v>
      </c>
      <c r="B1696" t="n">
        <v>1</v>
      </c>
      <c r="C1696" t="n">
        <v>1694</v>
      </c>
      <c r="D1696" t="n">
        <v>-0.1377</v>
      </c>
      <c r="E1696" t="n">
        <v>17.6196</v>
      </c>
      <c r="F1696" t="n">
        <v>0.13239</v>
      </c>
    </row>
    <row r="1697">
      <c r="A1697" t="n">
        <v>1001695</v>
      </c>
      <c r="B1697" t="n">
        <v>1</v>
      </c>
      <c r="C1697" t="n">
        <v>1695</v>
      </c>
      <c r="D1697" t="n">
        <v>-0.1378</v>
      </c>
      <c r="E1697" t="n">
        <v>17.6251</v>
      </c>
      <c r="F1697" t="n">
        <v>0.13241</v>
      </c>
    </row>
    <row r="1698">
      <c r="A1698" t="n">
        <v>1001696</v>
      </c>
      <c r="B1698" t="n">
        <v>1</v>
      </c>
      <c r="C1698" t="n">
        <v>1696</v>
      </c>
      <c r="D1698" t="n">
        <v>-0.1379</v>
      </c>
      <c r="E1698" t="n">
        <v>17.6305</v>
      </c>
      <c r="F1698" t="n">
        <v>0.13243</v>
      </c>
    </row>
    <row r="1699">
      <c r="A1699" t="n">
        <v>1001697</v>
      </c>
      <c r="B1699" t="n">
        <v>1</v>
      </c>
      <c r="C1699" t="n">
        <v>1697</v>
      </c>
      <c r="D1699" t="n">
        <v>-0.138</v>
      </c>
      <c r="E1699" t="n">
        <v>17.636</v>
      </c>
      <c r="F1699" t="n">
        <v>0.13245</v>
      </c>
    </row>
    <row r="1700">
      <c r="A1700" t="n">
        <v>1001698</v>
      </c>
      <c r="B1700" t="n">
        <v>1</v>
      </c>
      <c r="C1700" t="n">
        <v>1698</v>
      </c>
      <c r="D1700" t="n">
        <v>-0.1381</v>
      </c>
      <c r="E1700" t="n">
        <v>17.6414</v>
      </c>
      <c r="F1700" t="n">
        <v>0.13247</v>
      </c>
    </row>
    <row r="1701">
      <c r="A1701" t="n">
        <v>1001699</v>
      </c>
      <c r="B1701" t="n">
        <v>1</v>
      </c>
      <c r="C1701" t="n">
        <v>1699</v>
      </c>
      <c r="D1701" t="n">
        <v>-0.1382</v>
      </c>
      <c r="E1701" t="n">
        <v>17.6468</v>
      </c>
      <c r="F1701" t="n">
        <v>0.13249</v>
      </c>
    </row>
    <row r="1702">
      <c r="A1702" t="n">
        <v>1001700</v>
      </c>
      <c r="B1702" t="n">
        <v>1</v>
      </c>
      <c r="C1702" t="n">
        <v>1700</v>
      </c>
      <c r="D1702" t="n">
        <v>-0.1383</v>
      </c>
      <c r="E1702" t="n">
        <v>17.6523</v>
      </c>
      <c r="F1702" t="n">
        <v>0.13251</v>
      </c>
    </row>
    <row r="1703">
      <c r="A1703" t="n">
        <v>1001701</v>
      </c>
      <c r="B1703" t="n">
        <v>1</v>
      </c>
      <c r="C1703" t="n">
        <v>1701</v>
      </c>
      <c r="D1703" t="n">
        <v>-0.1384</v>
      </c>
      <c r="E1703" t="n">
        <v>17.6577</v>
      </c>
      <c r="F1703" t="n">
        <v>0.13253</v>
      </c>
    </row>
    <row r="1704">
      <c r="A1704" t="n">
        <v>1001702</v>
      </c>
      <c r="B1704" t="n">
        <v>1</v>
      </c>
      <c r="C1704" t="n">
        <v>1702</v>
      </c>
      <c r="D1704" t="n">
        <v>-0.1385</v>
      </c>
      <c r="E1704" t="n">
        <v>17.6632</v>
      </c>
      <c r="F1704" t="n">
        <v>0.13256</v>
      </c>
    </row>
    <row r="1705">
      <c r="A1705" t="n">
        <v>1001703</v>
      </c>
      <c r="B1705" t="n">
        <v>1</v>
      </c>
      <c r="C1705" t="n">
        <v>1703</v>
      </c>
      <c r="D1705" t="n">
        <v>-0.1386</v>
      </c>
      <c r="E1705" t="n">
        <v>17.6686</v>
      </c>
      <c r="F1705" t="n">
        <v>0.13258</v>
      </c>
    </row>
    <row r="1706">
      <c r="A1706" t="n">
        <v>1001704</v>
      </c>
      <c r="B1706" t="n">
        <v>1</v>
      </c>
      <c r="C1706" t="n">
        <v>1704</v>
      </c>
      <c r="D1706" t="n">
        <v>-0.1387</v>
      </c>
      <c r="E1706" t="n">
        <v>17.674</v>
      </c>
      <c r="F1706" t="n">
        <v>0.1326</v>
      </c>
    </row>
    <row r="1707">
      <c r="A1707" t="n">
        <v>1001705</v>
      </c>
      <c r="B1707" t="n">
        <v>1</v>
      </c>
      <c r="C1707" t="n">
        <v>1705</v>
      </c>
      <c r="D1707" t="n">
        <v>-0.1388</v>
      </c>
      <c r="E1707" t="n">
        <v>17.6795</v>
      </c>
      <c r="F1707" t="n">
        <v>0.13262</v>
      </c>
    </row>
    <row r="1708">
      <c r="A1708" t="n">
        <v>1001706</v>
      </c>
      <c r="B1708" t="n">
        <v>1</v>
      </c>
      <c r="C1708" t="n">
        <v>1706</v>
      </c>
      <c r="D1708" t="n">
        <v>-0.1389</v>
      </c>
      <c r="E1708" t="n">
        <v>17.6849</v>
      </c>
      <c r="F1708" t="n">
        <v>0.13264</v>
      </c>
    </row>
    <row r="1709">
      <c r="A1709" t="n">
        <v>1001707</v>
      </c>
      <c r="B1709" t="n">
        <v>1</v>
      </c>
      <c r="C1709" t="n">
        <v>1707</v>
      </c>
      <c r="D1709" t="n">
        <v>-0.139</v>
      </c>
      <c r="E1709" t="n">
        <v>17.6904</v>
      </c>
      <c r="F1709" t="n">
        <v>0.13266</v>
      </c>
    </row>
    <row r="1710">
      <c r="A1710" t="n">
        <v>1001708</v>
      </c>
      <c r="B1710" t="n">
        <v>1</v>
      </c>
      <c r="C1710" t="n">
        <v>1708</v>
      </c>
      <c r="D1710" t="n">
        <v>-0.1391</v>
      </c>
      <c r="E1710" t="n">
        <v>17.6958</v>
      </c>
      <c r="F1710" t="n">
        <v>0.13268</v>
      </c>
    </row>
    <row r="1711">
      <c r="A1711" t="n">
        <v>1001709</v>
      </c>
      <c r="B1711" t="n">
        <v>1</v>
      </c>
      <c r="C1711" t="n">
        <v>1709</v>
      </c>
      <c r="D1711" t="n">
        <v>-0.1392</v>
      </c>
      <c r="E1711" t="n">
        <v>17.7012</v>
      </c>
      <c r="F1711" t="n">
        <v>0.1327</v>
      </c>
    </row>
    <row r="1712">
      <c r="A1712" t="n">
        <v>1001710</v>
      </c>
      <c r="B1712" t="n">
        <v>1</v>
      </c>
      <c r="C1712" t="n">
        <v>1710</v>
      </c>
      <c r="D1712" t="n">
        <v>-0.1393</v>
      </c>
      <c r="E1712" t="n">
        <v>17.7067</v>
      </c>
      <c r="F1712" t="n">
        <v>0.13272</v>
      </c>
    </row>
    <row r="1713">
      <c r="A1713" t="n">
        <v>1001711</v>
      </c>
      <c r="B1713" t="n">
        <v>1</v>
      </c>
      <c r="C1713" t="n">
        <v>1711</v>
      </c>
      <c r="D1713" t="n">
        <v>-0.1394</v>
      </c>
      <c r="E1713" t="n">
        <v>17.7121</v>
      </c>
      <c r="F1713" t="n">
        <v>0.13275</v>
      </c>
    </row>
    <row r="1714">
      <c r="A1714" t="n">
        <v>1001712</v>
      </c>
      <c r="B1714" t="n">
        <v>1</v>
      </c>
      <c r="C1714" t="n">
        <v>1712</v>
      </c>
      <c r="D1714" t="n">
        <v>-0.1395</v>
      </c>
      <c r="E1714" t="n">
        <v>17.7175</v>
      </c>
      <c r="F1714" t="n">
        <v>0.13277</v>
      </c>
    </row>
    <row r="1715">
      <c r="A1715" t="n">
        <v>1001713</v>
      </c>
      <c r="B1715" t="n">
        <v>1</v>
      </c>
      <c r="C1715" t="n">
        <v>1713</v>
      </c>
      <c r="D1715" t="n">
        <v>-0.1396</v>
      </c>
      <c r="E1715" t="n">
        <v>17.723</v>
      </c>
      <c r="F1715" t="n">
        <v>0.13279</v>
      </c>
    </row>
    <row r="1716">
      <c r="A1716" t="n">
        <v>1001714</v>
      </c>
      <c r="B1716" t="n">
        <v>1</v>
      </c>
      <c r="C1716" t="n">
        <v>1714</v>
      </c>
      <c r="D1716" t="n">
        <v>-0.1397</v>
      </c>
      <c r="E1716" t="n">
        <v>17.7284</v>
      </c>
      <c r="F1716" t="n">
        <v>0.13281</v>
      </c>
    </row>
    <row r="1717">
      <c r="A1717" t="n">
        <v>1001715</v>
      </c>
      <c r="B1717" t="n">
        <v>1</v>
      </c>
      <c r="C1717" t="n">
        <v>1715</v>
      </c>
      <c r="D1717" t="n">
        <v>-0.1398</v>
      </c>
      <c r="E1717" t="n">
        <v>17.7339</v>
      </c>
      <c r="F1717" t="n">
        <v>0.13283</v>
      </c>
    </row>
    <row r="1718">
      <c r="A1718" t="n">
        <v>1001716</v>
      </c>
      <c r="B1718" t="n">
        <v>1</v>
      </c>
      <c r="C1718" t="n">
        <v>1716</v>
      </c>
      <c r="D1718" t="n">
        <v>-0.1399</v>
      </c>
      <c r="E1718" t="n">
        <v>17.7393</v>
      </c>
      <c r="F1718" t="n">
        <v>0.13285</v>
      </c>
    </row>
    <row r="1719">
      <c r="A1719" t="n">
        <v>1001717</v>
      </c>
      <c r="B1719" t="n">
        <v>1</v>
      </c>
      <c r="C1719" t="n">
        <v>1717</v>
      </c>
      <c r="D1719" t="n">
        <v>-0.14</v>
      </c>
      <c r="E1719" t="n">
        <v>17.7447</v>
      </c>
      <c r="F1719" t="n">
        <v>0.13287</v>
      </c>
    </row>
    <row r="1720">
      <c r="A1720" t="n">
        <v>1001718</v>
      </c>
      <c r="B1720" t="n">
        <v>1</v>
      </c>
      <c r="C1720" t="n">
        <v>1718</v>
      </c>
      <c r="D1720" t="n">
        <v>-0.1401</v>
      </c>
      <c r="E1720" t="n">
        <v>17.7502</v>
      </c>
      <c r="F1720" t="n">
        <v>0.13289</v>
      </c>
    </row>
    <row r="1721">
      <c r="A1721" t="n">
        <v>1001719</v>
      </c>
      <c r="B1721" t="n">
        <v>1</v>
      </c>
      <c r="C1721" t="n">
        <v>1719</v>
      </c>
      <c r="D1721" t="n">
        <v>-0.1402</v>
      </c>
      <c r="E1721" t="n">
        <v>17.7556</v>
      </c>
      <c r="F1721" t="n">
        <v>0.13291</v>
      </c>
    </row>
    <row r="1722">
      <c r="A1722" t="n">
        <v>1001720</v>
      </c>
      <c r="B1722" t="n">
        <v>1</v>
      </c>
      <c r="C1722" t="n">
        <v>1720</v>
      </c>
      <c r="D1722" t="n">
        <v>-0.1403</v>
      </c>
      <c r="E1722" t="n">
        <v>17.761</v>
      </c>
      <c r="F1722" t="n">
        <v>0.13294</v>
      </c>
    </row>
    <row r="1723">
      <c r="A1723" t="n">
        <v>1001721</v>
      </c>
      <c r="B1723" t="n">
        <v>1</v>
      </c>
      <c r="C1723" t="n">
        <v>1721</v>
      </c>
      <c r="D1723" t="n">
        <v>-0.1404</v>
      </c>
      <c r="E1723" t="n">
        <v>17.7665</v>
      </c>
      <c r="F1723" t="n">
        <v>0.13296</v>
      </c>
    </row>
    <row r="1724">
      <c r="A1724" t="n">
        <v>1001722</v>
      </c>
      <c r="B1724" t="n">
        <v>1</v>
      </c>
      <c r="C1724" t="n">
        <v>1722</v>
      </c>
      <c r="D1724" t="n">
        <v>-0.1404</v>
      </c>
      <c r="E1724" t="n">
        <v>17.7719</v>
      </c>
      <c r="F1724" t="n">
        <v>0.13298</v>
      </c>
    </row>
    <row r="1725">
      <c r="A1725" t="n">
        <v>1001723</v>
      </c>
      <c r="B1725" t="n">
        <v>1</v>
      </c>
      <c r="C1725" t="n">
        <v>1723</v>
      </c>
      <c r="D1725" t="n">
        <v>-0.1405</v>
      </c>
      <c r="E1725" t="n">
        <v>17.7773</v>
      </c>
      <c r="F1725" t="n">
        <v>0.133</v>
      </c>
    </row>
    <row r="1726">
      <c r="A1726" t="n">
        <v>1001724</v>
      </c>
      <c r="B1726" t="n">
        <v>1</v>
      </c>
      <c r="C1726" t="n">
        <v>1724</v>
      </c>
      <c r="D1726" t="n">
        <v>-0.1406</v>
      </c>
      <c r="E1726" t="n">
        <v>17.7828</v>
      </c>
      <c r="F1726" t="n">
        <v>0.13302</v>
      </c>
    </row>
    <row r="1727">
      <c r="A1727" t="n">
        <v>1001725</v>
      </c>
      <c r="B1727" t="n">
        <v>1</v>
      </c>
      <c r="C1727" t="n">
        <v>1725</v>
      </c>
      <c r="D1727" t="n">
        <v>-0.1407</v>
      </c>
      <c r="E1727" t="n">
        <v>17.7882</v>
      </c>
      <c r="F1727" t="n">
        <v>0.13304</v>
      </c>
    </row>
    <row r="1728">
      <c r="A1728" t="n">
        <v>1001726</v>
      </c>
      <c r="B1728" t="n">
        <v>1</v>
      </c>
      <c r="C1728" t="n">
        <v>1726</v>
      </c>
      <c r="D1728" t="n">
        <v>-0.1408</v>
      </c>
      <c r="E1728" t="n">
        <v>17.7936</v>
      </c>
      <c r="F1728" t="n">
        <v>0.13306</v>
      </c>
    </row>
    <row r="1729">
      <c r="A1729" t="n">
        <v>1001727</v>
      </c>
      <c r="B1729" t="n">
        <v>1</v>
      </c>
      <c r="C1729" t="n">
        <v>1727</v>
      </c>
      <c r="D1729" t="n">
        <v>-0.1409</v>
      </c>
      <c r="E1729" t="n">
        <v>17.7991</v>
      </c>
      <c r="F1729" t="n">
        <v>0.13308</v>
      </c>
    </row>
    <row r="1730">
      <c r="A1730" t="n">
        <v>1001728</v>
      </c>
      <c r="B1730" t="n">
        <v>1</v>
      </c>
      <c r="C1730" t="n">
        <v>1728</v>
      </c>
      <c r="D1730" t="n">
        <v>-0.141</v>
      </c>
      <c r="E1730" t="n">
        <v>17.8045</v>
      </c>
      <c r="F1730" t="n">
        <v>0.1331</v>
      </c>
    </row>
    <row r="1731">
      <c r="A1731" t="n">
        <v>1001729</v>
      </c>
      <c r="B1731" t="n">
        <v>1</v>
      </c>
      <c r="C1731" t="n">
        <v>1729</v>
      </c>
      <c r="D1731" t="n">
        <v>-0.1411</v>
      </c>
      <c r="E1731" t="n">
        <v>17.8099</v>
      </c>
      <c r="F1731" t="n">
        <v>0.13313</v>
      </c>
    </row>
    <row r="1732">
      <c r="A1732" t="n">
        <v>1001730</v>
      </c>
      <c r="B1732" t="n">
        <v>1</v>
      </c>
      <c r="C1732" t="n">
        <v>1730</v>
      </c>
      <c r="D1732" t="n">
        <v>-0.1412</v>
      </c>
      <c r="E1732" t="n">
        <v>17.8154</v>
      </c>
      <c r="F1732" t="n">
        <v>0.13315</v>
      </c>
    </row>
    <row r="1733">
      <c r="A1733" t="n">
        <v>1001731</v>
      </c>
      <c r="B1733" t="n">
        <v>1</v>
      </c>
      <c r="C1733" t="n">
        <v>1731</v>
      </c>
      <c r="D1733" t="n">
        <v>-0.1413</v>
      </c>
      <c r="E1733" t="n">
        <v>17.8208</v>
      </c>
      <c r="F1733" t="n">
        <v>0.13317</v>
      </c>
    </row>
    <row r="1734">
      <c r="A1734" t="n">
        <v>1001732</v>
      </c>
      <c r="B1734" t="n">
        <v>1</v>
      </c>
      <c r="C1734" t="n">
        <v>1732</v>
      </c>
      <c r="D1734" t="n">
        <v>-0.1414</v>
      </c>
      <c r="E1734" t="n">
        <v>17.8262</v>
      </c>
      <c r="F1734" t="n">
        <v>0.13319</v>
      </c>
    </row>
    <row r="1735">
      <c r="A1735" t="n">
        <v>1001733</v>
      </c>
      <c r="B1735" t="n">
        <v>1</v>
      </c>
      <c r="C1735" t="n">
        <v>1733</v>
      </c>
      <c r="D1735" t="n">
        <v>-0.1415</v>
      </c>
      <c r="E1735" t="n">
        <v>17.8317</v>
      </c>
      <c r="F1735" t="n">
        <v>0.13321</v>
      </c>
    </row>
    <row r="1736">
      <c r="A1736" t="n">
        <v>1001734</v>
      </c>
      <c r="B1736" t="n">
        <v>1</v>
      </c>
      <c r="C1736" t="n">
        <v>1734</v>
      </c>
      <c r="D1736" t="n">
        <v>-0.1416</v>
      </c>
      <c r="E1736" t="n">
        <v>17.8371</v>
      </c>
      <c r="F1736" t="n">
        <v>0.13323</v>
      </c>
    </row>
    <row r="1737">
      <c r="A1737" t="n">
        <v>1001735</v>
      </c>
      <c r="B1737" t="n">
        <v>1</v>
      </c>
      <c r="C1737" t="n">
        <v>1735</v>
      </c>
      <c r="D1737" t="n">
        <v>-0.1417</v>
      </c>
      <c r="E1737" t="n">
        <v>17.8425</v>
      </c>
      <c r="F1737" t="n">
        <v>0.13325</v>
      </c>
    </row>
    <row r="1738">
      <c r="A1738" t="n">
        <v>1001736</v>
      </c>
      <c r="B1738" t="n">
        <v>1</v>
      </c>
      <c r="C1738" t="n">
        <v>1736</v>
      </c>
      <c r="D1738" t="n">
        <v>-0.1418</v>
      </c>
      <c r="E1738" t="n">
        <v>17.848</v>
      </c>
      <c r="F1738" t="n">
        <v>0.13327</v>
      </c>
    </row>
    <row r="1739">
      <c r="A1739" t="n">
        <v>1001737</v>
      </c>
      <c r="B1739" t="n">
        <v>1</v>
      </c>
      <c r="C1739" t="n">
        <v>1737</v>
      </c>
      <c r="D1739" t="n">
        <v>-0.1419</v>
      </c>
      <c r="E1739" t="n">
        <v>17.8534</v>
      </c>
      <c r="F1739" t="n">
        <v>0.13329</v>
      </c>
    </row>
    <row r="1740">
      <c r="A1740" t="n">
        <v>1001738</v>
      </c>
      <c r="B1740" t="n">
        <v>1</v>
      </c>
      <c r="C1740" t="n">
        <v>1738</v>
      </c>
      <c r="D1740" t="n">
        <v>-0.142</v>
      </c>
      <c r="E1740" t="n">
        <v>17.8588</v>
      </c>
      <c r="F1740" t="n">
        <v>0.13332</v>
      </c>
    </row>
    <row r="1741">
      <c r="A1741" t="n">
        <v>1001739</v>
      </c>
      <c r="B1741" t="n">
        <v>1</v>
      </c>
      <c r="C1741" t="n">
        <v>1739</v>
      </c>
      <c r="D1741" t="n">
        <v>-0.1421</v>
      </c>
      <c r="E1741" t="n">
        <v>17.8642</v>
      </c>
      <c r="F1741" t="n">
        <v>0.13334</v>
      </c>
    </row>
    <row r="1742">
      <c r="A1742" t="n">
        <v>1001740</v>
      </c>
      <c r="B1742" t="n">
        <v>1</v>
      </c>
      <c r="C1742" t="n">
        <v>1740</v>
      </c>
      <c r="D1742" t="n">
        <v>-0.1422</v>
      </c>
      <c r="E1742" t="n">
        <v>17.8697</v>
      </c>
      <c r="F1742" t="n">
        <v>0.13336</v>
      </c>
    </row>
    <row r="1743">
      <c r="A1743" t="n">
        <v>1001741</v>
      </c>
      <c r="B1743" t="n">
        <v>1</v>
      </c>
      <c r="C1743" t="n">
        <v>1741</v>
      </c>
      <c r="D1743" t="n">
        <v>-0.1423</v>
      </c>
      <c r="E1743" t="n">
        <v>17.8751</v>
      </c>
      <c r="F1743" t="n">
        <v>0.13338</v>
      </c>
    </row>
    <row r="1744">
      <c r="A1744" t="n">
        <v>1001742</v>
      </c>
      <c r="B1744" t="n">
        <v>1</v>
      </c>
      <c r="C1744" t="n">
        <v>1742</v>
      </c>
      <c r="D1744" t="n">
        <v>-0.1424</v>
      </c>
      <c r="E1744" t="n">
        <v>17.8805</v>
      </c>
      <c r="F1744" t="n">
        <v>0.1334</v>
      </c>
    </row>
    <row r="1745">
      <c r="A1745" t="n">
        <v>1001743</v>
      </c>
      <c r="B1745" t="n">
        <v>1</v>
      </c>
      <c r="C1745" t="n">
        <v>1743</v>
      </c>
      <c r="D1745" t="n">
        <v>-0.1425</v>
      </c>
      <c r="E1745" t="n">
        <v>17.886</v>
      </c>
      <c r="F1745" t="n">
        <v>0.13342</v>
      </c>
    </row>
    <row r="1746">
      <c r="A1746" t="n">
        <v>1001744</v>
      </c>
      <c r="B1746" t="n">
        <v>1</v>
      </c>
      <c r="C1746" t="n">
        <v>1744</v>
      </c>
      <c r="D1746" t="n">
        <v>-0.1426</v>
      </c>
      <c r="E1746" t="n">
        <v>17.8914</v>
      </c>
      <c r="F1746" t="n">
        <v>0.13344</v>
      </c>
    </row>
    <row r="1747">
      <c r="A1747" t="n">
        <v>1001745</v>
      </c>
      <c r="B1747" t="n">
        <v>1</v>
      </c>
      <c r="C1747" t="n">
        <v>1745</v>
      </c>
      <c r="D1747" t="n">
        <v>-0.1427</v>
      </c>
      <c r="E1747" t="n">
        <v>17.8968</v>
      </c>
      <c r="F1747" t="n">
        <v>0.13346</v>
      </c>
    </row>
    <row r="1748">
      <c r="A1748" t="n">
        <v>1001746</v>
      </c>
      <c r="B1748" t="n">
        <v>1</v>
      </c>
      <c r="C1748" t="n">
        <v>1746</v>
      </c>
      <c r="D1748" t="n">
        <v>-0.1428</v>
      </c>
      <c r="E1748" t="n">
        <v>17.9022</v>
      </c>
      <c r="F1748" t="n">
        <v>0.13348</v>
      </c>
    </row>
    <row r="1749">
      <c r="A1749" t="n">
        <v>1001747</v>
      </c>
      <c r="B1749" t="n">
        <v>1</v>
      </c>
      <c r="C1749" t="n">
        <v>1747</v>
      </c>
      <c r="D1749" t="n">
        <v>-0.1429</v>
      </c>
      <c r="E1749" t="n">
        <v>17.9077</v>
      </c>
      <c r="F1749" t="n">
        <v>0.13351</v>
      </c>
    </row>
    <row r="1750">
      <c r="A1750" t="n">
        <v>1001748</v>
      </c>
      <c r="B1750" t="n">
        <v>1</v>
      </c>
      <c r="C1750" t="n">
        <v>1748</v>
      </c>
      <c r="D1750" t="n">
        <v>-0.143</v>
      </c>
      <c r="E1750" t="n">
        <v>17.9131</v>
      </c>
      <c r="F1750" t="n">
        <v>0.13353</v>
      </c>
    </row>
    <row r="1751">
      <c r="A1751" t="n">
        <v>1001749</v>
      </c>
      <c r="B1751" t="n">
        <v>1</v>
      </c>
      <c r="C1751" t="n">
        <v>1749</v>
      </c>
      <c r="D1751" t="n">
        <v>-0.1431</v>
      </c>
      <c r="E1751" t="n">
        <v>17.9185</v>
      </c>
      <c r="F1751" t="n">
        <v>0.13355</v>
      </c>
    </row>
    <row r="1752">
      <c r="A1752" t="n">
        <v>1001750</v>
      </c>
      <c r="B1752" t="n">
        <v>1</v>
      </c>
      <c r="C1752" t="n">
        <v>1750</v>
      </c>
      <c r="D1752" t="n">
        <v>-0.1432</v>
      </c>
      <c r="E1752" t="n">
        <v>17.924</v>
      </c>
      <c r="F1752" t="n">
        <v>0.13357</v>
      </c>
    </row>
    <row r="1753">
      <c r="A1753" t="n">
        <v>1001751</v>
      </c>
      <c r="B1753" t="n">
        <v>1</v>
      </c>
      <c r="C1753" t="n">
        <v>1751</v>
      </c>
      <c r="D1753" t="n">
        <v>-0.1433</v>
      </c>
      <c r="E1753" t="n">
        <v>17.9294</v>
      </c>
      <c r="F1753" t="n">
        <v>0.13359</v>
      </c>
    </row>
    <row r="1754">
      <c r="A1754" t="n">
        <v>1001752</v>
      </c>
      <c r="B1754" t="n">
        <v>1</v>
      </c>
      <c r="C1754" t="n">
        <v>1752</v>
      </c>
      <c r="D1754" t="n">
        <v>-0.1434</v>
      </c>
      <c r="E1754" t="n">
        <v>17.9348</v>
      </c>
      <c r="F1754" t="n">
        <v>0.13361</v>
      </c>
    </row>
    <row r="1755">
      <c r="A1755" t="n">
        <v>1001753</v>
      </c>
      <c r="B1755" t="n">
        <v>1</v>
      </c>
      <c r="C1755" t="n">
        <v>1753</v>
      </c>
      <c r="D1755" t="n">
        <v>-0.1435</v>
      </c>
      <c r="E1755" t="n">
        <v>17.9402</v>
      </c>
      <c r="F1755" t="n">
        <v>0.13363</v>
      </c>
    </row>
    <row r="1756">
      <c r="A1756" t="n">
        <v>1001754</v>
      </c>
      <c r="B1756" t="n">
        <v>1</v>
      </c>
      <c r="C1756" t="n">
        <v>1754</v>
      </c>
      <c r="D1756" t="n">
        <v>-0.1436</v>
      </c>
      <c r="E1756" t="n">
        <v>17.9457</v>
      </c>
      <c r="F1756" t="n">
        <v>0.13365</v>
      </c>
    </row>
    <row r="1757">
      <c r="A1757" t="n">
        <v>1001755</v>
      </c>
      <c r="B1757" t="n">
        <v>1</v>
      </c>
      <c r="C1757" t="n">
        <v>1755</v>
      </c>
      <c r="D1757" t="n">
        <v>-0.1437</v>
      </c>
      <c r="E1757" t="n">
        <v>17.9511</v>
      </c>
      <c r="F1757" t="n">
        <v>0.13367</v>
      </c>
    </row>
    <row r="1758">
      <c r="A1758" t="n">
        <v>1001756</v>
      </c>
      <c r="B1758" t="n">
        <v>1</v>
      </c>
      <c r="C1758" t="n">
        <v>1756</v>
      </c>
      <c r="D1758" t="n">
        <v>-0.1438</v>
      </c>
      <c r="E1758" t="n">
        <v>17.9565</v>
      </c>
      <c r="F1758" t="n">
        <v>0.1337</v>
      </c>
    </row>
    <row r="1759">
      <c r="A1759" t="n">
        <v>1001757</v>
      </c>
      <c r="B1759" t="n">
        <v>1</v>
      </c>
      <c r="C1759" t="n">
        <v>1757</v>
      </c>
      <c r="D1759" t="n">
        <v>-0.1439</v>
      </c>
      <c r="E1759" t="n">
        <v>17.9619</v>
      </c>
      <c r="F1759" t="n">
        <v>0.13372</v>
      </c>
    </row>
    <row r="1760">
      <c r="A1760" t="n">
        <v>1001758</v>
      </c>
      <c r="B1760" t="n">
        <v>1</v>
      </c>
      <c r="C1760" t="n">
        <v>1758</v>
      </c>
      <c r="D1760" t="n">
        <v>-0.144</v>
      </c>
      <c r="E1760" t="n">
        <v>17.9674</v>
      </c>
      <c r="F1760" t="n">
        <v>0.13374</v>
      </c>
    </row>
    <row r="1761">
      <c r="A1761" t="n">
        <v>1001759</v>
      </c>
      <c r="B1761" t="n">
        <v>1</v>
      </c>
      <c r="C1761" t="n">
        <v>1759</v>
      </c>
      <c r="D1761" t="n">
        <v>-0.1441</v>
      </c>
      <c r="E1761" t="n">
        <v>17.9728</v>
      </c>
      <c r="F1761" t="n">
        <v>0.13376</v>
      </c>
    </row>
    <row r="1762">
      <c r="A1762" t="n">
        <v>1001760</v>
      </c>
      <c r="B1762" t="n">
        <v>1</v>
      </c>
      <c r="C1762" t="n">
        <v>1760</v>
      </c>
      <c r="D1762" t="n">
        <v>-0.1442</v>
      </c>
      <c r="E1762" t="n">
        <v>17.9782</v>
      </c>
      <c r="F1762" t="n">
        <v>0.13378</v>
      </c>
    </row>
    <row r="1763">
      <c r="A1763" t="n">
        <v>1001761</v>
      </c>
      <c r="B1763" t="n">
        <v>1</v>
      </c>
      <c r="C1763" t="n">
        <v>1761</v>
      </c>
      <c r="D1763" t="n">
        <v>-0.1443</v>
      </c>
      <c r="E1763" t="n">
        <v>17.9836</v>
      </c>
      <c r="F1763" t="n">
        <v>0.1338</v>
      </c>
    </row>
    <row r="1764">
      <c r="A1764" t="n">
        <v>1001762</v>
      </c>
      <c r="B1764" t="n">
        <v>1</v>
      </c>
      <c r="C1764" t="n">
        <v>1762</v>
      </c>
      <c r="D1764" t="n">
        <v>-0.1444</v>
      </c>
      <c r="E1764" t="n">
        <v>17.989</v>
      </c>
      <c r="F1764" t="n">
        <v>0.13382</v>
      </c>
    </row>
    <row r="1765">
      <c r="A1765" t="n">
        <v>1001763</v>
      </c>
      <c r="B1765" t="n">
        <v>1</v>
      </c>
      <c r="C1765" t="n">
        <v>1763</v>
      </c>
      <c r="D1765" t="n">
        <v>-0.1445</v>
      </c>
      <c r="E1765" t="n">
        <v>17.9945</v>
      </c>
      <c r="F1765" t="n">
        <v>0.13384</v>
      </c>
    </row>
    <row r="1766">
      <c r="A1766" t="n">
        <v>1001764</v>
      </c>
      <c r="B1766" t="n">
        <v>1</v>
      </c>
      <c r="C1766" t="n">
        <v>1764</v>
      </c>
      <c r="D1766" t="n">
        <v>-0.1446</v>
      </c>
      <c r="E1766" t="n">
        <v>17.9999</v>
      </c>
      <c r="F1766" t="n">
        <v>0.13386</v>
      </c>
    </row>
    <row r="1767">
      <c r="A1767" t="n">
        <v>1001765</v>
      </c>
      <c r="B1767" t="n">
        <v>1</v>
      </c>
      <c r="C1767" t="n">
        <v>1765</v>
      </c>
      <c r="D1767" t="n">
        <v>-0.1447</v>
      </c>
      <c r="E1767" t="n">
        <v>18.0053</v>
      </c>
      <c r="F1767" t="n">
        <v>0.13389</v>
      </c>
    </row>
    <row r="1768">
      <c r="A1768" t="n">
        <v>1001766</v>
      </c>
      <c r="B1768" t="n">
        <v>1</v>
      </c>
      <c r="C1768" t="n">
        <v>1766</v>
      </c>
      <c r="D1768" t="n">
        <v>-0.1448</v>
      </c>
      <c r="E1768" t="n">
        <v>18.0107</v>
      </c>
      <c r="F1768" t="n">
        <v>0.13391</v>
      </c>
    </row>
    <row r="1769">
      <c r="A1769" t="n">
        <v>1001767</v>
      </c>
      <c r="B1769" t="n">
        <v>1</v>
      </c>
      <c r="C1769" t="n">
        <v>1767</v>
      </c>
      <c r="D1769" t="n">
        <v>-0.1449</v>
      </c>
      <c r="E1769" t="n">
        <v>18.0162</v>
      </c>
      <c r="F1769" t="n">
        <v>0.13393</v>
      </c>
    </row>
    <row r="1770">
      <c r="A1770" t="n">
        <v>1001768</v>
      </c>
      <c r="B1770" t="n">
        <v>1</v>
      </c>
      <c r="C1770" t="n">
        <v>1768</v>
      </c>
      <c r="D1770" t="n">
        <v>-0.145</v>
      </c>
      <c r="E1770" t="n">
        <v>18.0216</v>
      </c>
      <c r="F1770" t="n">
        <v>0.13395</v>
      </c>
    </row>
    <row r="1771">
      <c r="A1771" t="n">
        <v>1001769</v>
      </c>
      <c r="B1771" t="n">
        <v>1</v>
      </c>
      <c r="C1771" t="n">
        <v>1769</v>
      </c>
      <c r="D1771" t="n">
        <v>-0.1451</v>
      </c>
      <c r="E1771" t="n">
        <v>18.027</v>
      </c>
      <c r="F1771" t="n">
        <v>0.13397</v>
      </c>
    </row>
    <row r="1772">
      <c r="A1772" t="n">
        <v>1001770</v>
      </c>
      <c r="B1772" t="n">
        <v>1</v>
      </c>
      <c r="C1772" t="n">
        <v>1770</v>
      </c>
      <c r="D1772" t="n">
        <v>-0.1452</v>
      </c>
      <c r="E1772" t="n">
        <v>18.0324</v>
      </c>
      <c r="F1772" t="n">
        <v>0.13399</v>
      </c>
    </row>
    <row r="1773">
      <c r="A1773" t="n">
        <v>1001771</v>
      </c>
      <c r="B1773" t="n">
        <v>1</v>
      </c>
      <c r="C1773" t="n">
        <v>1771</v>
      </c>
      <c r="D1773" t="n">
        <v>-0.1453</v>
      </c>
      <c r="E1773" t="n">
        <v>18.0378</v>
      </c>
      <c r="F1773" t="n">
        <v>0.13401</v>
      </c>
    </row>
    <row r="1774">
      <c r="A1774" t="n">
        <v>1001772</v>
      </c>
      <c r="B1774" t="n">
        <v>1</v>
      </c>
      <c r="C1774" t="n">
        <v>1772</v>
      </c>
      <c r="D1774" t="n">
        <v>-0.1454</v>
      </c>
      <c r="E1774" t="n">
        <v>18.0432</v>
      </c>
      <c r="F1774" t="n">
        <v>0.13403</v>
      </c>
    </row>
    <row r="1775">
      <c r="A1775" t="n">
        <v>1001773</v>
      </c>
      <c r="B1775" t="n">
        <v>1</v>
      </c>
      <c r="C1775" t="n">
        <v>1773</v>
      </c>
      <c r="D1775" t="n">
        <v>-0.1455</v>
      </c>
      <c r="E1775" t="n">
        <v>18.0487</v>
      </c>
      <c r="F1775" t="n">
        <v>0.13405</v>
      </c>
    </row>
    <row r="1776">
      <c r="A1776" t="n">
        <v>1001774</v>
      </c>
      <c r="B1776" t="n">
        <v>1</v>
      </c>
      <c r="C1776" t="n">
        <v>1774</v>
      </c>
      <c r="D1776" t="n">
        <v>-0.1456</v>
      </c>
      <c r="E1776" t="n">
        <v>18.0541</v>
      </c>
      <c r="F1776" t="n">
        <v>0.13408</v>
      </c>
    </row>
    <row r="1777">
      <c r="A1777" t="n">
        <v>1001775</v>
      </c>
      <c r="B1777" t="n">
        <v>1</v>
      </c>
      <c r="C1777" t="n">
        <v>1775</v>
      </c>
      <c r="D1777" t="n">
        <v>-0.1457</v>
      </c>
      <c r="E1777" t="n">
        <v>18.0595</v>
      </c>
      <c r="F1777" t="n">
        <v>0.1341</v>
      </c>
    </row>
    <row r="1778">
      <c r="A1778" t="n">
        <v>1001776</v>
      </c>
      <c r="B1778" t="n">
        <v>1</v>
      </c>
      <c r="C1778" t="n">
        <v>1776</v>
      </c>
      <c r="D1778" t="n">
        <v>-0.1458</v>
      </c>
      <c r="E1778" t="n">
        <v>18.0649</v>
      </c>
      <c r="F1778" t="n">
        <v>0.13412</v>
      </c>
    </row>
    <row r="1779">
      <c r="A1779" t="n">
        <v>1001777</v>
      </c>
      <c r="B1779" t="n">
        <v>1</v>
      </c>
      <c r="C1779" t="n">
        <v>1777</v>
      </c>
      <c r="D1779" t="n">
        <v>-0.1459</v>
      </c>
      <c r="E1779" t="n">
        <v>18.0703</v>
      </c>
      <c r="F1779" t="n">
        <v>0.13414</v>
      </c>
    </row>
    <row r="1780">
      <c r="A1780" t="n">
        <v>1001778</v>
      </c>
      <c r="B1780" t="n">
        <v>1</v>
      </c>
      <c r="C1780" t="n">
        <v>1778</v>
      </c>
      <c r="D1780" t="n">
        <v>-0.146</v>
      </c>
      <c r="E1780" t="n">
        <v>18.0758</v>
      </c>
      <c r="F1780" t="n">
        <v>0.13416</v>
      </c>
    </row>
    <row r="1781">
      <c r="A1781" t="n">
        <v>1001779</v>
      </c>
      <c r="B1781" t="n">
        <v>1</v>
      </c>
      <c r="C1781" t="n">
        <v>1779</v>
      </c>
      <c r="D1781" t="n">
        <v>-0.1461</v>
      </c>
      <c r="E1781" t="n">
        <v>18.0812</v>
      </c>
      <c r="F1781" t="n">
        <v>0.13418</v>
      </c>
    </row>
    <row r="1782">
      <c r="A1782" t="n">
        <v>1001780</v>
      </c>
      <c r="B1782" t="n">
        <v>1</v>
      </c>
      <c r="C1782" t="n">
        <v>1780</v>
      </c>
      <c r="D1782" t="n">
        <v>-0.1462</v>
      </c>
      <c r="E1782" t="n">
        <v>18.0866</v>
      </c>
      <c r="F1782" t="n">
        <v>0.1342</v>
      </c>
    </row>
    <row r="1783">
      <c r="A1783" t="n">
        <v>1001781</v>
      </c>
      <c r="B1783" t="n">
        <v>1</v>
      </c>
      <c r="C1783" t="n">
        <v>1781</v>
      </c>
      <c r="D1783" t="n">
        <v>-0.1462</v>
      </c>
      <c r="E1783" t="n">
        <v>18.092</v>
      </c>
      <c r="F1783" t="n">
        <v>0.13422</v>
      </c>
    </row>
    <row r="1784">
      <c r="A1784" t="n">
        <v>1001782</v>
      </c>
      <c r="B1784" t="n">
        <v>1</v>
      </c>
      <c r="C1784" t="n">
        <v>1782</v>
      </c>
      <c r="D1784" t="n">
        <v>-0.1463</v>
      </c>
      <c r="E1784" t="n">
        <v>18.0974</v>
      </c>
      <c r="F1784" t="n">
        <v>0.13424</v>
      </c>
    </row>
    <row r="1785">
      <c r="A1785" t="n">
        <v>1001783</v>
      </c>
      <c r="B1785" t="n">
        <v>1</v>
      </c>
      <c r="C1785" t="n">
        <v>1783</v>
      </c>
      <c r="D1785" t="n">
        <v>-0.1464</v>
      </c>
      <c r="E1785" t="n">
        <v>18.1028</v>
      </c>
      <c r="F1785" t="n">
        <v>0.13426</v>
      </c>
    </row>
    <row r="1786">
      <c r="A1786" t="n">
        <v>1001784</v>
      </c>
      <c r="B1786" t="n">
        <v>1</v>
      </c>
      <c r="C1786" t="n">
        <v>1784</v>
      </c>
      <c r="D1786" t="n">
        <v>-0.1465</v>
      </c>
      <c r="E1786" t="n">
        <v>18.1082</v>
      </c>
      <c r="F1786" t="n">
        <v>0.13429</v>
      </c>
    </row>
    <row r="1787">
      <c r="A1787" t="n">
        <v>1001785</v>
      </c>
      <c r="B1787" t="n">
        <v>1</v>
      </c>
      <c r="C1787" t="n">
        <v>1785</v>
      </c>
      <c r="D1787" t="n">
        <v>-0.1466</v>
      </c>
      <c r="E1787" t="n">
        <v>18.1137</v>
      </c>
      <c r="F1787" t="n">
        <v>0.13431</v>
      </c>
    </row>
    <row r="1788">
      <c r="A1788" t="n">
        <v>1001786</v>
      </c>
      <c r="B1788" t="n">
        <v>1</v>
      </c>
      <c r="C1788" t="n">
        <v>1786</v>
      </c>
      <c r="D1788" t="n">
        <v>-0.1467</v>
      </c>
      <c r="E1788" t="n">
        <v>18.1191</v>
      </c>
      <c r="F1788" t="n">
        <v>0.13433</v>
      </c>
    </row>
    <row r="1789">
      <c r="A1789" t="n">
        <v>1001787</v>
      </c>
      <c r="B1789" t="n">
        <v>1</v>
      </c>
      <c r="C1789" t="n">
        <v>1787</v>
      </c>
      <c r="D1789" t="n">
        <v>-0.1468</v>
      </c>
      <c r="E1789" t="n">
        <v>18.1245</v>
      </c>
      <c r="F1789" t="n">
        <v>0.13435</v>
      </c>
    </row>
    <row r="1790">
      <c r="A1790" t="n">
        <v>1001788</v>
      </c>
      <c r="B1790" t="n">
        <v>1</v>
      </c>
      <c r="C1790" t="n">
        <v>1788</v>
      </c>
      <c r="D1790" t="n">
        <v>-0.1469</v>
      </c>
      <c r="E1790" t="n">
        <v>18.1299</v>
      </c>
      <c r="F1790" t="n">
        <v>0.13437</v>
      </c>
    </row>
    <row r="1791">
      <c r="A1791" t="n">
        <v>1001789</v>
      </c>
      <c r="B1791" t="n">
        <v>1</v>
      </c>
      <c r="C1791" t="n">
        <v>1789</v>
      </c>
      <c r="D1791" t="n">
        <v>-0.147</v>
      </c>
      <c r="E1791" t="n">
        <v>18.1353</v>
      </c>
      <c r="F1791" t="n">
        <v>0.13439</v>
      </c>
    </row>
    <row r="1792">
      <c r="A1792" t="n">
        <v>1001790</v>
      </c>
      <c r="B1792" t="n">
        <v>1</v>
      </c>
      <c r="C1792" t="n">
        <v>1790</v>
      </c>
      <c r="D1792" t="n">
        <v>-0.1471</v>
      </c>
      <c r="E1792" t="n">
        <v>18.1407</v>
      </c>
      <c r="F1792" t="n">
        <v>0.13441</v>
      </c>
    </row>
    <row r="1793">
      <c r="A1793" t="n">
        <v>1001791</v>
      </c>
      <c r="B1793" t="n">
        <v>1</v>
      </c>
      <c r="C1793" t="n">
        <v>1791</v>
      </c>
      <c r="D1793" t="n">
        <v>-0.1472</v>
      </c>
      <c r="E1793" t="n">
        <v>18.1461</v>
      </c>
      <c r="F1793" t="n">
        <v>0.13443</v>
      </c>
    </row>
    <row r="1794">
      <c r="A1794" t="n">
        <v>1001792</v>
      </c>
      <c r="B1794" t="n">
        <v>1</v>
      </c>
      <c r="C1794" t="n">
        <v>1792</v>
      </c>
      <c r="D1794" t="n">
        <v>-0.1473</v>
      </c>
      <c r="E1794" t="n">
        <v>18.1515</v>
      </c>
      <c r="F1794" t="n">
        <v>0.13445</v>
      </c>
    </row>
    <row r="1795">
      <c r="A1795" t="n">
        <v>1001793</v>
      </c>
      <c r="B1795" t="n">
        <v>1</v>
      </c>
      <c r="C1795" t="n">
        <v>1793</v>
      </c>
      <c r="D1795" t="n">
        <v>-0.1474</v>
      </c>
      <c r="E1795" t="n">
        <v>18.157</v>
      </c>
      <c r="F1795" t="n">
        <v>0.13448</v>
      </c>
    </row>
    <row r="1796">
      <c r="A1796" t="n">
        <v>1001794</v>
      </c>
      <c r="B1796" t="n">
        <v>1</v>
      </c>
      <c r="C1796" t="n">
        <v>1794</v>
      </c>
      <c r="D1796" t="n">
        <v>-0.1475</v>
      </c>
      <c r="E1796" t="n">
        <v>18.1624</v>
      </c>
      <c r="F1796" t="n">
        <v>0.1345</v>
      </c>
    </row>
    <row r="1797">
      <c r="A1797" t="n">
        <v>1001795</v>
      </c>
      <c r="B1797" t="n">
        <v>1</v>
      </c>
      <c r="C1797" t="n">
        <v>1795</v>
      </c>
      <c r="D1797" t="n">
        <v>-0.1476</v>
      </c>
      <c r="E1797" t="n">
        <v>18.1678</v>
      </c>
      <c r="F1797" t="n">
        <v>0.13452</v>
      </c>
    </row>
    <row r="1798">
      <c r="A1798" t="n">
        <v>1001796</v>
      </c>
      <c r="B1798" t="n">
        <v>1</v>
      </c>
      <c r="C1798" t="n">
        <v>1796</v>
      </c>
      <c r="D1798" t="n">
        <v>-0.1477</v>
      </c>
      <c r="E1798" t="n">
        <v>18.1732</v>
      </c>
      <c r="F1798" t="n">
        <v>0.13454</v>
      </c>
    </row>
    <row r="1799">
      <c r="A1799" t="n">
        <v>1001797</v>
      </c>
      <c r="B1799" t="n">
        <v>1</v>
      </c>
      <c r="C1799" t="n">
        <v>1797</v>
      </c>
      <c r="D1799" t="n">
        <v>-0.1478</v>
      </c>
      <c r="E1799" t="n">
        <v>18.1786</v>
      </c>
      <c r="F1799" t="n">
        <v>0.13456</v>
      </c>
    </row>
    <row r="1800">
      <c r="A1800" t="n">
        <v>1001798</v>
      </c>
      <c r="B1800" t="n">
        <v>1</v>
      </c>
      <c r="C1800" t="n">
        <v>1798</v>
      </c>
      <c r="D1800" t="n">
        <v>-0.1479</v>
      </c>
      <c r="E1800" t="n">
        <v>18.184</v>
      </c>
      <c r="F1800" t="n">
        <v>0.13458</v>
      </c>
    </row>
    <row r="1801">
      <c r="A1801" t="n">
        <v>1001799</v>
      </c>
      <c r="B1801" t="n">
        <v>1</v>
      </c>
      <c r="C1801" t="n">
        <v>1799</v>
      </c>
      <c r="D1801" t="n">
        <v>-0.148</v>
      </c>
      <c r="E1801" t="n">
        <v>18.1894</v>
      </c>
      <c r="F1801" t="n">
        <v>0.1346</v>
      </c>
    </row>
    <row r="1802">
      <c r="A1802" t="n">
        <v>1001800</v>
      </c>
      <c r="B1802" t="n">
        <v>1</v>
      </c>
      <c r="C1802" t="n">
        <v>1800</v>
      </c>
      <c r="D1802" t="n">
        <v>-0.1481</v>
      </c>
      <c r="E1802" t="n">
        <v>18.1948</v>
      </c>
      <c r="F1802" t="n">
        <v>0.13462</v>
      </c>
    </row>
    <row r="1803">
      <c r="A1803" t="n">
        <v>1001801</v>
      </c>
      <c r="B1803" t="n">
        <v>1</v>
      </c>
      <c r="C1803" t="n">
        <v>1801</v>
      </c>
      <c r="D1803" t="n">
        <v>-0.1482</v>
      </c>
      <c r="E1803" t="n">
        <v>18.2002</v>
      </c>
      <c r="F1803" t="n">
        <v>0.13464</v>
      </c>
    </row>
    <row r="1804">
      <c r="A1804" t="n">
        <v>1001802</v>
      </c>
      <c r="B1804" t="n">
        <v>1</v>
      </c>
      <c r="C1804" t="n">
        <v>1802</v>
      </c>
      <c r="D1804" t="n">
        <v>-0.1483</v>
      </c>
      <c r="E1804" t="n">
        <v>18.2056</v>
      </c>
      <c r="F1804" t="n">
        <v>0.13466</v>
      </c>
    </row>
    <row r="1805">
      <c r="A1805" t="n">
        <v>1001803</v>
      </c>
      <c r="B1805" t="n">
        <v>1</v>
      </c>
      <c r="C1805" t="n">
        <v>1803</v>
      </c>
      <c r="D1805" t="n">
        <v>-0.1484</v>
      </c>
      <c r="E1805" t="n">
        <v>18.211</v>
      </c>
      <c r="F1805" t="n">
        <v>0.13469</v>
      </c>
    </row>
    <row r="1806">
      <c r="A1806" t="n">
        <v>1001804</v>
      </c>
      <c r="B1806" t="n">
        <v>1</v>
      </c>
      <c r="C1806" t="n">
        <v>1804</v>
      </c>
      <c r="D1806" t="n">
        <v>-0.1485</v>
      </c>
      <c r="E1806" t="n">
        <v>18.2164</v>
      </c>
      <c r="F1806" t="n">
        <v>0.13471</v>
      </c>
    </row>
    <row r="1807">
      <c r="A1807" t="n">
        <v>1001805</v>
      </c>
      <c r="B1807" t="n">
        <v>1</v>
      </c>
      <c r="C1807" t="n">
        <v>1805</v>
      </c>
      <c r="D1807" t="n">
        <v>-0.1486</v>
      </c>
      <c r="E1807" t="n">
        <v>18.2218</v>
      </c>
      <c r="F1807" t="n">
        <v>0.13473</v>
      </c>
    </row>
    <row r="1808">
      <c r="A1808" t="n">
        <v>1001806</v>
      </c>
      <c r="B1808" t="n">
        <v>1</v>
      </c>
      <c r="C1808" t="n">
        <v>1806</v>
      </c>
      <c r="D1808" t="n">
        <v>-0.1487</v>
      </c>
      <c r="E1808" t="n">
        <v>18.2272</v>
      </c>
      <c r="F1808" t="n">
        <v>0.13475</v>
      </c>
    </row>
    <row r="1809">
      <c r="A1809" t="n">
        <v>1001807</v>
      </c>
      <c r="B1809" t="n">
        <v>1</v>
      </c>
      <c r="C1809" t="n">
        <v>1807</v>
      </c>
      <c r="D1809" t="n">
        <v>-0.1488</v>
      </c>
      <c r="E1809" t="n">
        <v>18.2327</v>
      </c>
      <c r="F1809" t="n">
        <v>0.13477</v>
      </c>
    </row>
    <row r="1810">
      <c r="A1810" t="n">
        <v>1001808</v>
      </c>
      <c r="B1810" t="n">
        <v>1</v>
      </c>
      <c r="C1810" t="n">
        <v>1808</v>
      </c>
      <c r="D1810" t="n">
        <v>-0.1489</v>
      </c>
      <c r="E1810" t="n">
        <v>18.2381</v>
      </c>
      <c r="F1810" t="n">
        <v>0.13479</v>
      </c>
    </row>
    <row r="1811">
      <c r="A1811" t="n">
        <v>1001809</v>
      </c>
      <c r="B1811" t="n">
        <v>1</v>
      </c>
      <c r="C1811" t="n">
        <v>1809</v>
      </c>
      <c r="D1811" t="n">
        <v>-0.149</v>
      </c>
      <c r="E1811" t="n">
        <v>18.2435</v>
      </c>
      <c r="F1811" t="n">
        <v>0.13481</v>
      </c>
    </row>
    <row r="1812">
      <c r="A1812" t="n">
        <v>1001810</v>
      </c>
      <c r="B1812" t="n">
        <v>1</v>
      </c>
      <c r="C1812" t="n">
        <v>1810</v>
      </c>
      <c r="D1812" t="n">
        <v>-0.1491</v>
      </c>
      <c r="E1812" t="n">
        <v>18.2489</v>
      </c>
      <c r="F1812" t="n">
        <v>0.13483</v>
      </c>
    </row>
    <row r="1813">
      <c r="A1813" t="n">
        <v>1001811</v>
      </c>
      <c r="B1813" t="n">
        <v>1</v>
      </c>
      <c r="C1813" t="n">
        <v>1811</v>
      </c>
      <c r="D1813" t="n">
        <v>-0.1491</v>
      </c>
      <c r="E1813" t="n">
        <v>18.2543</v>
      </c>
      <c r="F1813" t="n">
        <v>0.13485</v>
      </c>
    </row>
    <row r="1814">
      <c r="A1814" t="n">
        <v>1001812</v>
      </c>
      <c r="B1814" t="n">
        <v>1</v>
      </c>
      <c r="C1814" t="n">
        <v>1812</v>
      </c>
      <c r="D1814" t="n">
        <v>-0.1492</v>
      </c>
      <c r="E1814" t="n">
        <v>18.2597</v>
      </c>
      <c r="F1814" t="n">
        <v>0.13487</v>
      </c>
    </row>
    <row r="1815">
      <c r="A1815" t="n">
        <v>1001813</v>
      </c>
      <c r="B1815" t="n">
        <v>1</v>
      </c>
      <c r="C1815" t="n">
        <v>1813</v>
      </c>
      <c r="D1815" t="n">
        <v>-0.1493</v>
      </c>
      <c r="E1815" t="n">
        <v>18.2651</v>
      </c>
      <c r="F1815" t="n">
        <v>0.1349</v>
      </c>
    </row>
    <row r="1816">
      <c r="A1816" t="n">
        <v>1001814</v>
      </c>
      <c r="B1816" t="n">
        <v>1</v>
      </c>
      <c r="C1816" t="n">
        <v>1814</v>
      </c>
      <c r="D1816" t="n">
        <v>-0.1494</v>
      </c>
      <c r="E1816" t="n">
        <v>18.2705</v>
      </c>
      <c r="F1816" t="n">
        <v>0.13492</v>
      </c>
    </row>
    <row r="1817">
      <c r="A1817" t="n">
        <v>1001815</v>
      </c>
      <c r="B1817" t="n">
        <v>1</v>
      </c>
      <c r="C1817" t="n">
        <v>1815</v>
      </c>
      <c r="D1817" t="n">
        <v>-0.1495</v>
      </c>
      <c r="E1817" t="n">
        <v>18.2759</v>
      </c>
      <c r="F1817" t="n">
        <v>0.13494</v>
      </c>
    </row>
    <row r="1818">
      <c r="A1818" t="n">
        <v>1001816</v>
      </c>
      <c r="B1818" t="n">
        <v>1</v>
      </c>
      <c r="C1818" t="n">
        <v>1816</v>
      </c>
      <c r="D1818" t="n">
        <v>-0.1496</v>
      </c>
      <c r="E1818" t="n">
        <v>18.2813</v>
      </c>
      <c r="F1818" t="n">
        <v>0.13496</v>
      </c>
    </row>
    <row r="1819">
      <c r="A1819" t="n">
        <v>1001817</v>
      </c>
      <c r="B1819" t="n">
        <v>1</v>
      </c>
      <c r="C1819" t="n">
        <v>1817</v>
      </c>
      <c r="D1819" t="n">
        <v>-0.1497</v>
      </c>
      <c r="E1819" t="n">
        <v>18.2867</v>
      </c>
      <c r="F1819" t="n">
        <v>0.13498</v>
      </c>
    </row>
    <row r="1820">
      <c r="A1820" t="n">
        <v>1001818</v>
      </c>
      <c r="B1820" t="n">
        <v>1</v>
      </c>
      <c r="C1820" t="n">
        <v>1818</v>
      </c>
      <c r="D1820" t="n">
        <v>-0.1498</v>
      </c>
      <c r="E1820" t="n">
        <v>18.2921</v>
      </c>
      <c r="F1820" t="n">
        <v>0.135</v>
      </c>
    </row>
    <row r="1821">
      <c r="A1821" t="n">
        <v>1001819</v>
      </c>
      <c r="B1821" t="n">
        <v>1</v>
      </c>
      <c r="C1821" t="n">
        <v>1819</v>
      </c>
      <c r="D1821" t="n">
        <v>-0.1499</v>
      </c>
      <c r="E1821" t="n">
        <v>18.2975</v>
      </c>
      <c r="F1821" t="n">
        <v>0.13502</v>
      </c>
    </row>
    <row r="1822">
      <c r="A1822" t="n">
        <v>1001820</v>
      </c>
      <c r="B1822" t="n">
        <v>1</v>
      </c>
      <c r="C1822" t="n">
        <v>1820</v>
      </c>
      <c r="D1822" t="n">
        <v>-0.15</v>
      </c>
      <c r="E1822" t="n">
        <v>18.3029</v>
      </c>
      <c r="F1822" t="n">
        <v>0.13504</v>
      </c>
    </row>
    <row r="1823">
      <c r="A1823" t="n">
        <v>1001821</v>
      </c>
      <c r="B1823" t="n">
        <v>1</v>
      </c>
      <c r="C1823" t="n">
        <v>1821</v>
      </c>
      <c r="D1823" t="n">
        <v>-0.1501</v>
      </c>
      <c r="E1823" t="n">
        <v>18.3083</v>
      </c>
      <c r="F1823" t="n">
        <v>0.13506</v>
      </c>
    </row>
    <row r="1824">
      <c r="A1824" t="n">
        <v>1001822</v>
      </c>
      <c r="B1824" t="n">
        <v>1</v>
      </c>
      <c r="C1824" t="n">
        <v>1822</v>
      </c>
      <c r="D1824" t="n">
        <v>-0.1502</v>
      </c>
      <c r="E1824" t="n">
        <v>18.3137</v>
      </c>
      <c r="F1824" t="n">
        <v>0.13508</v>
      </c>
    </row>
    <row r="1825">
      <c r="A1825" t="n">
        <v>1001823</v>
      </c>
      <c r="B1825" t="n">
        <v>1</v>
      </c>
      <c r="C1825" t="n">
        <v>1823</v>
      </c>
      <c r="D1825" t="n">
        <v>-0.1503</v>
      </c>
      <c r="E1825" t="n">
        <v>18.319</v>
      </c>
      <c r="F1825" t="n">
        <v>0.13511</v>
      </c>
    </row>
    <row r="1826">
      <c r="A1826" t="n">
        <v>1001824</v>
      </c>
      <c r="B1826" t="n">
        <v>1</v>
      </c>
      <c r="C1826" t="n">
        <v>1824</v>
      </c>
      <c r="D1826" t="n">
        <v>-0.1504</v>
      </c>
      <c r="E1826" t="n">
        <v>18.3244</v>
      </c>
      <c r="F1826" t="n">
        <v>0.13513</v>
      </c>
    </row>
    <row r="1827">
      <c r="A1827" t="n">
        <v>1001825</v>
      </c>
      <c r="B1827" t="n">
        <v>1</v>
      </c>
      <c r="C1827" t="n">
        <v>1825</v>
      </c>
      <c r="D1827" t="n">
        <v>-0.1505</v>
      </c>
      <c r="E1827" t="n">
        <v>18.3298</v>
      </c>
      <c r="F1827" t="n">
        <v>0.13515</v>
      </c>
    </row>
    <row r="1828">
      <c r="A1828" t="n">
        <v>1001826</v>
      </c>
      <c r="B1828" t="n">
        <v>1</v>
      </c>
      <c r="C1828" t="n">
        <v>1826</v>
      </c>
      <c r="D1828" t="n">
        <v>-0.1506</v>
      </c>
      <c r="E1828" t="n">
        <v>18.3352</v>
      </c>
      <c r="F1828" t="n">
        <v>0.13517</v>
      </c>
    </row>
    <row r="1829">
      <c r="A1829" t="n">
        <v>2000000</v>
      </c>
      <c r="B1829" t="n">
        <v>2</v>
      </c>
      <c r="C1829" t="n">
        <v>0</v>
      </c>
      <c r="D1829" t="n">
        <v>0.3809</v>
      </c>
      <c r="E1829" t="n">
        <v>3.2322</v>
      </c>
      <c r="F1829" t="n">
        <v>0.14171</v>
      </c>
    </row>
    <row r="1830">
      <c r="A1830" t="n">
        <v>2000001</v>
      </c>
      <c r="B1830" t="n">
        <v>2</v>
      </c>
      <c r="C1830" t="n">
        <v>1</v>
      </c>
      <c r="D1830" t="n">
        <v>0.3259</v>
      </c>
      <c r="E1830" t="n">
        <v>3.1957</v>
      </c>
      <c r="F1830" t="n">
        <v>0.14578</v>
      </c>
    </row>
    <row r="1831">
      <c r="A1831" t="n">
        <v>2000002</v>
      </c>
      <c r="B1831" t="n">
        <v>2</v>
      </c>
      <c r="C1831" t="n">
        <v>2</v>
      </c>
      <c r="D1831" t="n">
        <v>0.3101</v>
      </c>
      <c r="E1831" t="n">
        <v>3.2104</v>
      </c>
      <c r="F1831" t="n">
        <v>0.14637</v>
      </c>
    </row>
    <row r="1832">
      <c r="A1832" t="n">
        <v>2000003</v>
      </c>
      <c r="B1832" t="n">
        <v>2</v>
      </c>
      <c r="C1832" t="n">
        <v>3</v>
      </c>
      <c r="D1832" t="n">
        <v>0.2986</v>
      </c>
      <c r="E1832" t="n">
        <v>3.2315</v>
      </c>
      <c r="F1832" t="n">
        <v>0.14657</v>
      </c>
    </row>
    <row r="1833">
      <c r="A1833" t="n">
        <v>2000004</v>
      </c>
      <c r="B1833" t="n">
        <v>2</v>
      </c>
      <c r="C1833" t="n">
        <v>4</v>
      </c>
      <c r="D1833" t="n">
        <v>0.2891</v>
      </c>
      <c r="E1833" t="n">
        <v>3.2558</v>
      </c>
      <c r="F1833" t="n">
        <v>0.14658</v>
      </c>
    </row>
    <row r="1834">
      <c r="A1834" t="n">
        <v>2000005</v>
      </c>
      <c r="B1834" t="n">
        <v>2</v>
      </c>
      <c r="C1834" t="n">
        <v>5</v>
      </c>
      <c r="D1834" t="n">
        <v>0.281</v>
      </c>
      <c r="E1834" t="n">
        <v>3.2821</v>
      </c>
      <c r="F1834" t="n">
        <v>0.14646</v>
      </c>
    </row>
    <row r="1835">
      <c r="A1835" t="n">
        <v>2000006</v>
      </c>
      <c r="B1835" t="n">
        <v>2</v>
      </c>
      <c r="C1835" t="n">
        <v>6</v>
      </c>
      <c r="D1835" t="n">
        <v>0.2737</v>
      </c>
      <c r="E1835" t="n">
        <v>3.3099</v>
      </c>
      <c r="F1835" t="n">
        <v>0.14626</v>
      </c>
    </row>
    <row r="1836">
      <c r="A1836" t="n">
        <v>2000007</v>
      </c>
      <c r="B1836" t="n">
        <v>2</v>
      </c>
      <c r="C1836" t="n">
        <v>7</v>
      </c>
      <c r="D1836" t="n">
        <v>0.2671</v>
      </c>
      <c r="E1836" t="n">
        <v>3.3388</v>
      </c>
      <c r="F1836" t="n">
        <v>0.146</v>
      </c>
    </row>
    <row r="1837">
      <c r="A1837" t="n">
        <v>2000008</v>
      </c>
      <c r="B1837" t="n">
        <v>2</v>
      </c>
      <c r="C1837" t="n">
        <v>8</v>
      </c>
      <c r="D1837" t="n">
        <v>0.2609</v>
      </c>
      <c r="E1837" t="n">
        <v>3.3687</v>
      </c>
      <c r="F1837" t="n">
        <v>0.14569</v>
      </c>
    </row>
    <row r="1838">
      <c r="A1838" t="n">
        <v>2000009</v>
      </c>
      <c r="B1838" t="n">
        <v>2</v>
      </c>
      <c r="C1838" t="n">
        <v>9</v>
      </c>
      <c r="D1838" t="n">
        <v>0.2551</v>
      </c>
      <c r="E1838" t="n">
        <v>3.3995</v>
      </c>
      <c r="F1838" t="n">
        <v>0.14534</v>
      </c>
    </row>
    <row r="1839">
      <c r="A1839" t="n">
        <v>2000010</v>
      </c>
      <c r="B1839" t="n">
        <v>2</v>
      </c>
      <c r="C1839" t="n">
        <v>10</v>
      </c>
      <c r="D1839" t="n">
        <v>0.2497</v>
      </c>
      <c r="E1839" t="n">
        <v>3.4314</v>
      </c>
      <c r="F1839" t="n">
        <v>0.14498</v>
      </c>
    </row>
    <row r="1840">
      <c r="A1840" t="n">
        <v>2000011</v>
      </c>
      <c r="B1840" t="n">
        <v>2</v>
      </c>
      <c r="C1840" t="n">
        <v>11</v>
      </c>
      <c r="D1840" t="n">
        <v>0.2446</v>
      </c>
      <c r="E1840" t="n">
        <v>3.4643</v>
      </c>
      <c r="F1840" t="n">
        <v>0.14459</v>
      </c>
    </row>
    <row r="1841">
      <c r="A1841" t="n">
        <v>2000012</v>
      </c>
      <c r="B1841" t="n">
        <v>2</v>
      </c>
      <c r="C1841" t="n">
        <v>12</v>
      </c>
      <c r="D1841" t="n">
        <v>0.2397</v>
      </c>
      <c r="E1841" t="n">
        <v>3.4983</v>
      </c>
      <c r="F1841" t="n">
        <v>0.1442</v>
      </c>
    </row>
    <row r="1842">
      <c r="A1842" t="n">
        <v>2000013</v>
      </c>
      <c r="B1842" t="n">
        <v>2</v>
      </c>
      <c r="C1842" t="n">
        <v>13</v>
      </c>
      <c r="D1842" t="n">
        <v>0.2349</v>
      </c>
      <c r="E1842" t="n">
        <v>3.5333</v>
      </c>
      <c r="F1842" t="n">
        <v>0.1438</v>
      </c>
    </row>
    <row r="1843">
      <c r="A1843" t="n">
        <v>2000014</v>
      </c>
      <c r="B1843" t="n">
        <v>2</v>
      </c>
      <c r="C1843" t="n">
        <v>14</v>
      </c>
      <c r="D1843" t="n">
        <v>0.2304</v>
      </c>
      <c r="E1843" t="n">
        <v>3.5693</v>
      </c>
      <c r="F1843" t="n">
        <v>0.14339</v>
      </c>
    </row>
    <row r="1844">
      <c r="A1844" t="n">
        <v>2000015</v>
      </c>
      <c r="B1844" t="n">
        <v>2</v>
      </c>
      <c r="C1844" t="n">
        <v>15</v>
      </c>
      <c r="D1844" t="n">
        <v>0.226</v>
      </c>
      <c r="E1844" t="n">
        <v>3.6063</v>
      </c>
      <c r="F1844" t="n">
        <v>0.14299</v>
      </c>
    </row>
    <row r="1845">
      <c r="A1845" t="n">
        <v>2000016</v>
      </c>
      <c r="B1845" t="n">
        <v>2</v>
      </c>
      <c r="C1845" t="n">
        <v>16</v>
      </c>
      <c r="D1845" t="n">
        <v>0.2218</v>
      </c>
      <c r="E1845" t="n">
        <v>3.6438</v>
      </c>
      <c r="F1845" t="n">
        <v>0.14258</v>
      </c>
    </row>
    <row r="1846">
      <c r="A1846" t="n">
        <v>2000017</v>
      </c>
      <c r="B1846" t="n">
        <v>2</v>
      </c>
      <c r="C1846" t="n">
        <v>17</v>
      </c>
      <c r="D1846" t="n">
        <v>0.2177</v>
      </c>
      <c r="E1846" t="n">
        <v>3.6818</v>
      </c>
      <c r="F1846" t="n">
        <v>0.14218</v>
      </c>
    </row>
    <row r="1847">
      <c r="A1847" t="n">
        <v>2000018</v>
      </c>
      <c r="B1847" t="n">
        <v>2</v>
      </c>
      <c r="C1847" t="n">
        <v>18</v>
      </c>
      <c r="D1847" t="n">
        <v>0.2137</v>
      </c>
      <c r="E1847" t="n">
        <v>3.7201</v>
      </c>
      <c r="F1847" t="n">
        <v>0.14177</v>
      </c>
    </row>
    <row r="1848">
      <c r="A1848" t="n">
        <v>2000019</v>
      </c>
      <c r="B1848" t="n">
        <v>2</v>
      </c>
      <c r="C1848" t="n">
        <v>19</v>
      </c>
      <c r="D1848" t="n">
        <v>0.2099</v>
      </c>
      <c r="E1848" t="n">
        <v>3.7584</v>
      </c>
      <c r="F1848" t="n">
        <v>0.14138</v>
      </c>
    </row>
    <row r="1849">
      <c r="A1849" t="n">
        <v>2000020</v>
      </c>
      <c r="B1849" t="n">
        <v>2</v>
      </c>
      <c r="C1849" t="n">
        <v>20</v>
      </c>
      <c r="D1849" t="n">
        <v>0.2061</v>
      </c>
      <c r="E1849" t="n">
        <v>3.7968</v>
      </c>
      <c r="F1849" t="n">
        <v>0.14098</v>
      </c>
    </row>
    <row r="1850">
      <c r="A1850" t="n">
        <v>2000021</v>
      </c>
      <c r="B1850" t="n">
        <v>2</v>
      </c>
      <c r="C1850" t="n">
        <v>21</v>
      </c>
      <c r="D1850" t="n">
        <v>0.2024</v>
      </c>
      <c r="E1850" t="n">
        <v>3.8352</v>
      </c>
      <c r="F1850" t="n">
        <v>0.1406</v>
      </c>
    </row>
    <row r="1851">
      <c r="A1851" t="n">
        <v>2000022</v>
      </c>
      <c r="B1851" t="n">
        <v>2</v>
      </c>
      <c r="C1851" t="n">
        <v>22</v>
      </c>
      <c r="D1851" t="n">
        <v>0.1989</v>
      </c>
      <c r="E1851" t="n">
        <v>3.8735</v>
      </c>
      <c r="F1851" t="n">
        <v>0.14021</v>
      </c>
    </row>
    <row r="1852">
      <c r="A1852" t="n">
        <v>2000023</v>
      </c>
      <c r="B1852" t="n">
        <v>2</v>
      </c>
      <c r="C1852" t="n">
        <v>23</v>
      </c>
      <c r="D1852" t="n">
        <v>0.1954</v>
      </c>
      <c r="E1852" t="n">
        <v>3.9116</v>
      </c>
      <c r="F1852" t="n">
        <v>0.13984</v>
      </c>
    </row>
    <row r="1853">
      <c r="A1853" t="n">
        <v>2000024</v>
      </c>
      <c r="B1853" t="n">
        <v>2</v>
      </c>
      <c r="C1853" t="n">
        <v>24</v>
      </c>
      <c r="D1853" t="n">
        <v>0.1919</v>
      </c>
      <c r="E1853" t="n">
        <v>3.9495</v>
      </c>
      <c r="F1853" t="n">
        <v>0.13947</v>
      </c>
    </row>
    <row r="1854">
      <c r="A1854" t="n">
        <v>2000025</v>
      </c>
      <c r="B1854" t="n">
        <v>2</v>
      </c>
      <c r="C1854" t="n">
        <v>25</v>
      </c>
      <c r="D1854" t="n">
        <v>0.1886</v>
      </c>
      <c r="E1854" t="n">
        <v>3.9872</v>
      </c>
      <c r="F1854" t="n">
        <v>0.1391</v>
      </c>
    </row>
    <row r="1855">
      <c r="A1855" t="n">
        <v>2000026</v>
      </c>
      <c r="B1855" t="n">
        <v>2</v>
      </c>
      <c r="C1855" t="n">
        <v>26</v>
      </c>
      <c r="D1855" t="n">
        <v>0.1853</v>
      </c>
      <c r="E1855" t="n">
        <v>4.0247</v>
      </c>
      <c r="F1855" t="n">
        <v>0.13875</v>
      </c>
    </row>
    <row r="1856">
      <c r="A1856" t="n">
        <v>2000027</v>
      </c>
      <c r="B1856" t="n">
        <v>2</v>
      </c>
      <c r="C1856" t="n">
        <v>27</v>
      </c>
      <c r="D1856" t="n">
        <v>0.1821</v>
      </c>
      <c r="E1856" t="n">
        <v>4.0618</v>
      </c>
      <c r="F1856" t="n">
        <v>0.1384</v>
      </c>
    </row>
    <row r="1857">
      <c r="A1857" t="n">
        <v>2000028</v>
      </c>
      <c r="B1857" t="n">
        <v>2</v>
      </c>
      <c r="C1857" t="n">
        <v>28</v>
      </c>
      <c r="D1857" t="n">
        <v>0.1789</v>
      </c>
      <c r="E1857" t="n">
        <v>4.0987</v>
      </c>
      <c r="F1857" t="n">
        <v>0.13805</v>
      </c>
    </row>
    <row r="1858">
      <c r="A1858" t="n">
        <v>2000029</v>
      </c>
      <c r="B1858" t="n">
        <v>2</v>
      </c>
      <c r="C1858" t="n">
        <v>29</v>
      </c>
      <c r="D1858" t="n">
        <v>0.1758</v>
      </c>
      <c r="E1858" t="n">
        <v>4.1353</v>
      </c>
      <c r="F1858" t="n">
        <v>0.13771</v>
      </c>
    </row>
    <row r="1859">
      <c r="A1859" t="n">
        <v>2000030</v>
      </c>
      <c r="B1859" t="n">
        <v>2</v>
      </c>
      <c r="C1859" t="n">
        <v>30</v>
      </c>
      <c r="D1859" t="n">
        <v>0.1727</v>
      </c>
      <c r="E1859" t="n">
        <v>4.1716</v>
      </c>
      <c r="F1859" t="n">
        <v>0.13738</v>
      </c>
    </row>
    <row r="1860">
      <c r="A1860" t="n">
        <v>2000031</v>
      </c>
      <c r="B1860" t="n">
        <v>2</v>
      </c>
      <c r="C1860" t="n">
        <v>31</v>
      </c>
      <c r="D1860" t="n">
        <v>0.1697</v>
      </c>
      <c r="E1860" t="n">
        <v>4.2075</v>
      </c>
      <c r="F1860" t="n">
        <v>0.13706</v>
      </c>
    </row>
    <row r="1861">
      <c r="A1861" t="n">
        <v>2000032</v>
      </c>
      <c r="B1861" t="n">
        <v>2</v>
      </c>
      <c r="C1861" t="n">
        <v>32</v>
      </c>
      <c r="D1861" t="n">
        <v>0.1668</v>
      </c>
      <c r="E1861" t="n">
        <v>4.2431</v>
      </c>
      <c r="F1861" t="n">
        <v>0.13674</v>
      </c>
    </row>
    <row r="1862">
      <c r="A1862" t="n">
        <v>2000033</v>
      </c>
      <c r="B1862" t="n">
        <v>2</v>
      </c>
      <c r="C1862" t="n">
        <v>33</v>
      </c>
      <c r="D1862" t="n">
        <v>0.1638</v>
      </c>
      <c r="E1862" t="n">
        <v>4.2783</v>
      </c>
      <c r="F1862" t="n">
        <v>0.13643</v>
      </c>
    </row>
    <row r="1863">
      <c r="A1863" t="n">
        <v>2000034</v>
      </c>
      <c r="B1863" t="n">
        <v>2</v>
      </c>
      <c r="C1863" t="n">
        <v>34</v>
      </c>
      <c r="D1863" t="n">
        <v>0.161</v>
      </c>
      <c r="E1863" t="n">
        <v>4.3131</v>
      </c>
      <c r="F1863" t="n">
        <v>0.13613</v>
      </c>
    </row>
    <row r="1864">
      <c r="A1864" t="n">
        <v>2000035</v>
      </c>
      <c r="B1864" t="n">
        <v>2</v>
      </c>
      <c r="C1864" t="n">
        <v>35</v>
      </c>
      <c r="D1864" t="n">
        <v>0.1582</v>
      </c>
      <c r="E1864" t="n">
        <v>4.3476</v>
      </c>
      <c r="F1864" t="n">
        <v>0.13583</v>
      </c>
    </row>
    <row r="1865">
      <c r="A1865" t="n">
        <v>2000036</v>
      </c>
      <c r="B1865" t="n">
        <v>2</v>
      </c>
      <c r="C1865" t="n">
        <v>36</v>
      </c>
      <c r="D1865" t="n">
        <v>0.1554</v>
      </c>
      <c r="E1865" t="n">
        <v>4.3818</v>
      </c>
      <c r="F1865" t="n">
        <v>0.13554</v>
      </c>
    </row>
    <row r="1866">
      <c r="A1866" t="n">
        <v>2000037</v>
      </c>
      <c r="B1866" t="n">
        <v>2</v>
      </c>
      <c r="C1866" t="n">
        <v>37</v>
      </c>
      <c r="D1866" t="n">
        <v>0.1526</v>
      </c>
      <c r="E1866" t="n">
        <v>4.4155</v>
      </c>
      <c r="F1866" t="n">
        <v>0.13526</v>
      </c>
    </row>
    <row r="1867">
      <c r="A1867" t="n">
        <v>2000038</v>
      </c>
      <c r="B1867" t="n">
        <v>2</v>
      </c>
      <c r="C1867" t="n">
        <v>38</v>
      </c>
      <c r="D1867" t="n">
        <v>0.1499</v>
      </c>
      <c r="E1867" t="n">
        <v>4.449</v>
      </c>
      <c r="F1867" t="n">
        <v>0.13498</v>
      </c>
    </row>
    <row r="1868">
      <c r="A1868" t="n">
        <v>2000039</v>
      </c>
      <c r="B1868" t="n">
        <v>2</v>
      </c>
      <c r="C1868" t="n">
        <v>39</v>
      </c>
      <c r="D1868" t="n">
        <v>0.1473</v>
      </c>
      <c r="E1868" t="n">
        <v>4.482</v>
      </c>
      <c r="F1868" t="n">
        <v>0.1347</v>
      </c>
    </row>
    <row r="1869">
      <c r="A1869" t="n">
        <v>2000040</v>
      </c>
      <c r="B1869" t="n">
        <v>2</v>
      </c>
      <c r="C1869" t="n">
        <v>40</v>
      </c>
      <c r="D1869" t="n">
        <v>0.1446</v>
      </c>
      <c r="E1869" t="n">
        <v>4.5148</v>
      </c>
      <c r="F1869" t="n">
        <v>0.13444</v>
      </c>
    </row>
    <row r="1870">
      <c r="A1870" t="n">
        <v>2000041</v>
      </c>
      <c r="B1870" t="n">
        <v>2</v>
      </c>
      <c r="C1870" t="n">
        <v>41</v>
      </c>
      <c r="D1870" t="n">
        <v>0.142</v>
      </c>
      <c r="E1870" t="n">
        <v>4.5472</v>
      </c>
      <c r="F1870" t="n">
        <v>0.13418</v>
      </c>
    </row>
    <row r="1871">
      <c r="A1871" t="n">
        <v>2000042</v>
      </c>
      <c r="B1871" t="n">
        <v>2</v>
      </c>
      <c r="C1871" t="n">
        <v>42</v>
      </c>
      <c r="D1871" t="n">
        <v>0.1395</v>
      </c>
      <c r="E1871" t="n">
        <v>4.5793</v>
      </c>
      <c r="F1871" t="n">
        <v>0.13392</v>
      </c>
    </row>
    <row r="1872">
      <c r="A1872" t="n">
        <v>2000043</v>
      </c>
      <c r="B1872" t="n">
        <v>2</v>
      </c>
      <c r="C1872" t="n">
        <v>43</v>
      </c>
      <c r="D1872" t="n">
        <v>0.1369</v>
      </c>
      <c r="E1872" t="n">
        <v>4.611</v>
      </c>
      <c r="F1872" t="n">
        <v>0.13367</v>
      </c>
    </row>
    <row r="1873">
      <c r="A1873" t="n">
        <v>2000044</v>
      </c>
      <c r="B1873" t="n">
        <v>2</v>
      </c>
      <c r="C1873" t="n">
        <v>44</v>
      </c>
      <c r="D1873" t="n">
        <v>0.1344</v>
      </c>
      <c r="E1873" t="n">
        <v>4.6425</v>
      </c>
      <c r="F1873" t="n">
        <v>0.13342</v>
      </c>
    </row>
    <row r="1874">
      <c r="A1874" t="n">
        <v>2000045</v>
      </c>
      <c r="B1874" t="n">
        <v>2</v>
      </c>
      <c r="C1874" t="n">
        <v>45</v>
      </c>
      <c r="D1874" t="n">
        <v>0.132</v>
      </c>
      <c r="E1874" t="n">
        <v>4.6736</v>
      </c>
      <c r="F1874" t="n">
        <v>0.13318</v>
      </c>
    </row>
    <row r="1875">
      <c r="A1875" t="n">
        <v>2000046</v>
      </c>
      <c r="B1875" t="n">
        <v>2</v>
      </c>
      <c r="C1875" t="n">
        <v>46</v>
      </c>
      <c r="D1875" t="n">
        <v>0.1295</v>
      </c>
      <c r="E1875" t="n">
        <v>4.7044</v>
      </c>
      <c r="F1875" t="n">
        <v>0.13295</v>
      </c>
    </row>
    <row r="1876">
      <c r="A1876" t="n">
        <v>2000047</v>
      </c>
      <c r="B1876" t="n">
        <v>2</v>
      </c>
      <c r="C1876" t="n">
        <v>47</v>
      </c>
      <c r="D1876" t="n">
        <v>0.1271</v>
      </c>
      <c r="E1876" t="n">
        <v>4.7349</v>
      </c>
      <c r="F1876" t="n">
        <v>0.13272</v>
      </c>
    </row>
    <row r="1877">
      <c r="A1877" t="n">
        <v>2000048</v>
      </c>
      <c r="B1877" t="n">
        <v>2</v>
      </c>
      <c r="C1877" t="n">
        <v>48</v>
      </c>
      <c r="D1877" t="n">
        <v>0.1247</v>
      </c>
      <c r="E1877" t="n">
        <v>4.7651</v>
      </c>
      <c r="F1877" t="n">
        <v>0.1325</v>
      </c>
    </row>
    <row r="1878">
      <c r="A1878" t="n">
        <v>2000049</v>
      </c>
      <c r="B1878" t="n">
        <v>2</v>
      </c>
      <c r="C1878" t="n">
        <v>49</v>
      </c>
      <c r="D1878" t="n">
        <v>0.1224</v>
      </c>
      <c r="E1878" t="n">
        <v>4.795</v>
      </c>
      <c r="F1878" t="n">
        <v>0.13228</v>
      </c>
    </row>
    <row r="1879">
      <c r="A1879" t="n">
        <v>2000050</v>
      </c>
      <c r="B1879" t="n">
        <v>2</v>
      </c>
      <c r="C1879" t="n">
        <v>50</v>
      </c>
      <c r="D1879" t="n">
        <v>0.12</v>
      </c>
      <c r="E1879" t="n">
        <v>4.8245</v>
      </c>
      <c r="F1879" t="n">
        <v>0.13206</v>
      </c>
    </row>
    <row r="1880">
      <c r="A1880" t="n">
        <v>2000051</v>
      </c>
      <c r="B1880" t="n">
        <v>2</v>
      </c>
      <c r="C1880" t="n">
        <v>51</v>
      </c>
      <c r="D1880" t="n">
        <v>0.1177</v>
      </c>
      <c r="E1880" t="n">
        <v>4.8538</v>
      </c>
      <c r="F1880" t="n">
        <v>0.13185</v>
      </c>
    </row>
    <row r="1881">
      <c r="A1881" t="n">
        <v>2000052</v>
      </c>
      <c r="B1881" t="n">
        <v>2</v>
      </c>
      <c r="C1881" t="n">
        <v>52</v>
      </c>
      <c r="D1881" t="n">
        <v>0.1154</v>
      </c>
      <c r="E1881" t="n">
        <v>4.8828</v>
      </c>
      <c r="F1881" t="n">
        <v>0.13165</v>
      </c>
    </row>
    <row r="1882">
      <c r="A1882" t="n">
        <v>2000053</v>
      </c>
      <c r="B1882" t="n">
        <v>2</v>
      </c>
      <c r="C1882" t="n">
        <v>53</v>
      </c>
      <c r="D1882" t="n">
        <v>0.1132</v>
      </c>
      <c r="E1882" t="n">
        <v>4.9115</v>
      </c>
      <c r="F1882" t="n">
        <v>0.13145</v>
      </c>
    </row>
    <row r="1883">
      <c r="A1883" t="n">
        <v>2000054</v>
      </c>
      <c r="B1883" t="n">
        <v>2</v>
      </c>
      <c r="C1883" t="n">
        <v>54</v>
      </c>
      <c r="D1883" t="n">
        <v>0.1109</v>
      </c>
      <c r="E1883" t="n">
        <v>4.9399</v>
      </c>
      <c r="F1883" t="n">
        <v>0.13125</v>
      </c>
    </row>
    <row r="1884">
      <c r="A1884" t="n">
        <v>2000055</v>
      </c>
      <c r="B1884" t="n">
        <v>2</v>
      </c>
      <c r="C1884" t="n">
        <v>55</v>
      </c>
      <c r="D1884" t="n">
        <v>0.1087</v>
      </c>
      <c r="E1884" t="n">
        <v>4.968</v>
      </c>
      <c r="F1884" t="n">
        <v>0.13106</v>
      </c>
    </row>
    <row r="1885">
      <c r="A1885" t="n">
        <v>2000056</v>
      </c>
      <c r="B1885" t="n">
        <v>2</v>
      </c>
      <c r="C1885" t="n">
        <v>56</v>
      </c>
      <c r="D1885" t="n">
        <v>0.1065</v>
      </c>
      <c r="E1885" t="n">
        <v>4.9959</v>
      </c>
      <c r="F1885" t="n">
        <v>0.13087</v>
      </c>
    </row>
    <row r="1886">
      <c r="A1886" t="n">
        <v>2000057</v>
      </c>
      <c r="B1886" t="n">
        <v>2</v>
      </c>
      <c r="C1886" t="n">
        <v>57</v>
      </c>
      <c r="D1886" t="n">
        <v>0.1044</v>
      </c>
      <c r="E1886" t="n">
        <v>5.0235</v>
      </c>
      <c r="F1886" t="n">
        <v>0.13068</v>
      </c>
    </row>
    <row r="1887">
      <c r="A1887" t="n">
        <v>2000058</v>
      </c>
      <c r="B1887" t="n">
        <v>2</v>
      </c>
      <c r="C1887" t="n">
        <v>58</v>
      </c>
      <c r="D1887" t="n">
        <v>0.1022</v>
      </c>
      <c r="E1887" t="n">
        <v>5.0509</v>
      </c>
      <c r="F1887" t="n">
        <v>0.1305</v>
      </c>
    </row>
    <row r="1888">
      <c r="A1888" t="n">
        <v>2000059</v>
      </c>
      <c r="B1888" t="n">
        <v>2</v>
      </c>
      <c r="C1888" t="n">
        <v>59</v>
      </c>
      <c r="D1888" t="n">
        <v>0.1001</v>
      </c>
      <c r="E1888" t="n">
        <v>5.078</v>
      </c>
      <c r="F1888" t="n">
        <v>0.13033</v>
      </c>
    </row>
    <row r="1889">
      <c r="A1889" t="n">
        <v>2000060</v>
      </c>
      <c r="B1889" t="n">
        <v>2</v>
      </c>
      <c r="C1889" t="n">
        <v>60</v>
      </c>
      <c r="D1889" t="n">
        <v>0.098</v>
      </c>
      <c r="E1889" t="n">
        <v>5.1049</v>
      </c>
      <c r="F1889" t="n">
        <v>0.13015</v>
      </c>
    </row>
    <row r="1890">
      <c r="A1890" t="n">
        <v>2000061</v>
      </c>
      <c r="B1890" t="n">
        <v>2</v>
      </c>
      <c r="C1890" t="n">
        <v>61</v>
      </c>
      <c r="D1890" t="n">
        <v>0.0959</v>
      </c>
      <c r="E1890" t="n">
        <v>5.1315</v>
      </c>
      <c r="F1890" t="n">
        <v>0.12998</v>
      </c>
    </row>
    <row r="1891">
      <c r="A1891" t="n">
        <v>2000062</v>
      </c>
      <c r="B1891" t="n">
        <v>2</v>
      </c>
      <c r="C1891" t="n">
        <v>62</v>
      </c>
      <c r="D1891" t="n">
        <v>0.09379999999999999</v>
      </c>
      <c r="E1891" t="n">
        <v>5.158</v>
      </c>
      <c r="F1891" t="n">
        <v>0.12982</v>
      </c>
    </row>
    <row r="1892">
      <c r="A1892" t="n">
        <v>2000063</v>
      </c>
      <c r="B1892" t="n">
        <v>2</v>
      </c>
      <c r="C1892" t="n">
        <v>63</v>
      </c>
      <c r="D1892" t="n">
        <v>0.09180000000000001</v>
      </c>
      <c r="E1892" t="n">
        <v>5.1842</v>
      </c>
      <c r="F1892" t="n">
        <v>0.12966</v>
      </c>
    </row>
    <row r="1893">
      <c r="A1893" t="n">
        <v>2000064</v>
      </c>
      <c r="B1893" t="n">
        <v>2</v>
      </c>
      <c r="C1893" t="n">
        <v>64</v>
      </c>
      <c r="D1893" t="n">
        <v>0.0897</v>
      </c>
      <c r="E1893" t="n">
        <v>5.2102</v>
      </c>
      <c r="F1893" t="n">
        <v>0.1295</v>
      </c>
    </row>
    <row r="1894">
      <c r="A1894" t="n">
        <v>2000065</v>
      </c>
      <c r="B1894" t="n">
        <v>2</v>
      </c>
      <c r="C1894" t="n">
        <v>65</v>
      </c>
      <c r="D1894" t="n">
        <v>0.0877</v>
      </c>
      <c r="E1894" t="n">
        <v>5.236</v>
      </c>
      <c r="F1894" t="n">
        <v>0.12934</v>
      </c>
    </row>
    <row r="1895">
      <c r="A1895" t="n">
        <v>2000066</v>
      </c>
      <c r="B1895" t="n">
        <v>2</v>
      </c>
      <c r="C1895" t="n">
        <v>66</v>
      </c>
      <c r="D1895" t="n">
        <v>0.0857</v>
      </c>
      <c r="E1895" t="n">
        <v>5.2616</v>
      </c>
      <c r="F1895" t="n">
        <v>0.12919</v>
      </c>
    </row>
    <row r="1896">
      <c r="A1896" t="n">
        <v>2000067</v>
      </c>
      <c r="B1896" t="n">
        <v>2</v>
      </c>
      <c r="C1896" t="n">
        <v>67</v>
      </c>
      <c r="D1896" t="n">
        <v>0.0838</v>
      </c>
      <c r="E1896" t="n">
        <v>5.287</v>
      </c>
      <c r="F1896" t="n">
        <v>0.12904</v>
      </c>
    </row>
    <row r="1897">
      <c r="A1897" t="n">
        <v>2000068</v>
      </c>
      <c r="B1897" t="n">
        <v>2</v>
      </c>
      <c r="C1897" t="n">
        <v>68</v>
      </c>
      <c r="D1897" t="n">
        <v>0.0818</v>
      </c>
      <c r="E1897" t="n">
        <v>5.3121</v>
      </c>
      <c r="F1897" t="n">
        <v>0.12889</v>
      </c>
    </row>
    <row r="1898">
      <c r="A1898" t="n">
        <v>2000069</v>
      </c>
      <c r="B1898" t="n">
        <v>2</v>
      </c>
      <c r="C1898" t="n">
        <v>69</v>
      </c>
      <c r="D1898" t="n">
        <v>0.0798</v>
      </c>
      <c r="E1898" t="n">
        <v>5.337</v>
      </c>
      <c r="F1898" t="n">
        <v>0.12875</v>
      </c>
    </row>
    <row r="1899">
      <c r="A1899" t="n">
        <v>2000070</v>
      </c>
      <c r="B1899" t="n">
        <v>2</v>
      </c>
      <c r="C1899" t="n">
        <v>70</v>
      </c>
      <c r="D1899" t="n">
        <v>0.0779</v>
      </c>
      <c r="E1899" t="n">
        <v>5.3618</v>
      </c>
      <c r="F1899" t="n">
        <v>0.12861</v>
      </c>
    </row>
    <row r="1900">
      <c r="A1900" t="n">
        <v>2000071</v>
      </c>
      <c r="B1900" t="n">
        <v>2</v>
      </c>
      <c r="C1900" t="n">
        <v>71</v>
      </c>
      <c r="D1900" t="n">
        <v>0.076</v>
      </c>
      <c r="E1900" t="n">
        <v>5.3863</v>
      </c>
      <c r="F1900" t="n">
        <v>0.12847</v>
      </c>
    </row>
    <row r="1901">
      <c r="A1901" t="n">
        <v>2000072</v>
      </c>
      <c r="B1901" t="n">
        <v>2</v>
      </c>
      <c r="C1901" t="n">
        <v>72</v>
      </c>
      <c r="D1901" t="n">
        <v>0.0741</v>
      </c>
      <c r="E1901" t="n">
        <v>5.4107</v>
      </c>
      <c r="F1901" t="n">
        <v>0.12834</v>
      </c>
    </row>
    <row r="1902">
      <c r="A1902" t="n">
        <v>2000073</v>
      </c>
      <c r="B1902" t="n">
        <v>2</v>
      </c>
      <c r="C1902" t="n">
        <v>73</v>
      </c>
      <c r="D1902" t="n">
        <v>0.0722</v>
      </c>
      <c r="E1902" t="n">
        <v>5.4348</v>
      </c>
      <c r="F1902" t="n">
        <v>0.12821</v>
      </c>
    </row>
    <row r="1903">
      <c r="A1903" t="n">
        <v>2000074</v>
      </c>
      <c r="B1903" t="n">
        <v>2</v>
      </c>
      <c r="C1903" t="n">
        <v>74</v>
      </c>
      <c r="D1903" t="n">
        <v>0.0704</v>
      </c>
      <c r="E1903" t="n">
        <v>5.4587</v>
      </c>
      <c r="F1903" t="n">
        <v>0.12808</v>
      </c>
    </row>
    <row r="1904">
      <c r="A1904" t="n">
        <v>2000075</v>
      </c>
      <c r="B1904" t="n">
        <v>2</v>
      </c>
      <c r="C1904" t="n">
        <v>75</v>
      </c>
      <c r="D1904" t="n">
        <v>0.06850000000000001</v>
      </c>
      <c r="E1904" t="n">
        <v>5.4825</v>
      </c>
      <c r="F1904" t="n">
        <v>0.12795</v>
      </c>
    </row>
    <row r="1905">
      <c r="A1905" t="n">
        <v>2000076</v>
      </c>
      <c r="B1905" t="n">
        <v>2</v>
      </c>
      <c r="C1905" t="n">
        <v>76</v>
      </c>
      <c r="D1905" t="n">
        <v>0.0667</v>
      </c>
      <c r="E1905" t="n">
        <v>5.5061</v>
      </c>
      <c r="F1905" t="n">
        <v>0.12783</v>
      </c>
    </row>
    <row r="1906">
      <c r="A1906" t="n">
        <v>2000077</v>
      </c>
      <c r="B1906" t="n">
        <v>2</v>
      </c>
      <c r="C1906" t="n">
        <v>77</v>
      </c>
      <c r="D1906" t="n">
        <v>0.0648</v>
      </c>
      <c r="E1906" t="n">
        <v>5.5295</v>
      </c>
      <c r="F1906" t="n">
        <v>0.1277</v>
      </c>
    </row>
    <row r="1907">
      <c r="A1907" t="n">
        <v>2000078</v>
      </c>
      <c r="B1907" t="n">
        <v>2</v>
      </c>
      <c r="C1907" t="n">
        <v>78</v>
      </c>
      <c r="D1907" t="n">
        <v>0.063</v>
      </c>
      <c r="E1907" t="n">
        <v>5.5527</v>
      </c>
      <c r="F1907" t="n">
        <v>0.12758</v>
      </c>
    </row>
    <row r="1908">
      <c r="A1908" t="n">
        <v>2000079</v>
      </c>
      <c r="B1908" t="n">
        <v>2</v>
      </c>
      <c r="C1908" t="n">
        <v>79</v>
      </c>
      <c r="D1908" t="n">
        <v>0.0612</v>
      </c>
      <c r="E1908" t="n">
        <v>5.5757</v>
      </c>
      <c r="F1908" t="n">
        <v>0.12747</v>
      </c>
    </row>
    <row r="1909">
      <c r="A1909" t="n">
        <v>2000080</v>
      </c>
      <c r="B1909" t="n">
        <v>2</v>
      </c>
      <c r="C1909" t="n">
        <v>80</v>
      </c>
      <c r="D1909" t="n">
        <v>0.0595</v>
      </c>
      <c r="E1909" t="n">
        <v>5.5986</v>
      </c>
      <c r="F1909" t="n">
        <v>0.12735</v>
      </c>
    </row>
    <row r="1910">
      <c r="A1910" t="n">
        <v>2000081</v>
      </c>
      <c r="B1910" t="n">
        <v>2</v>
      </c>
      <c r="C1910" t="n">
        <v>81</v>
      </c>
      <c r="D1910" t="n">
        <v>0.0577</v>
      </c>
      <c r="E1910" t="n">
        <v>5.6213</v>
      </c>
      <c r="F1910" t="n">
        <v>0.12724</v>
      </c>
    </row>
    <row r="1911">
      <c r="A1911" t="n">
        <v>2000082</v>
      </c>
      <c r="B1911" t="n">
        <v>2</v>
      </c>
      <c r="C1911" t="n">
        <v>82</v>
      </c>
      <c r="D1911" t="n">
        <v>0.0559</v>
      </c>
      <c r="E1911" t="n">
        <v>5.6438</v>
      </c>
      <c r="F1911" t="n">
        <v>0.12713</v>
      </c>
    </row>
    <row r="1912">
      <c r="A1912" t="n">
        <v>2000083</v>
      </c>
      <c r="B1912" t="n">
        <v>2</v>
      </c>
      <c r="C1912" t="n">
        <v>83</v>
      </c>
      <c r="D1912" t="n">
        <v>0.0542</v>
      </c>
      <c r="E1912" t="n">
        <v>5.6662</v>
      </c>
      <c r="F1912" t="n">
        <v>0.12702</v>
      </c>
    </row>
    <row r="1913">
      <c r="A1913" t="n">
        <v>2000084</v>
      </c>
      <c r="B1913" t="n">
        <v>2</v>
      </c>
      <c r="C1913" t="n">
        <v>84</v>
      </c>
      <c r="D1913" t="n">
        <v>0.0525</v>
      </c>
      <c r="E1913" t="n">
        <v>5.6883</v>
      </c>
      <c r="F1913" t="n">
        <v>0.12691</v>
      </c>
    </row>
    <row r="1914">
      <c r="A1914" t="n">
        <v>2000085</v>
      </c>
      <c r="B1914" t="n">
        <v>2</v>
      </c>
      <c r="C1914" t="n">
        <v>85</v>
      </c>
      <c r="D1914" t="n">
        <v>0.0508</v>
      </c>
      <c r="E1914" t="n">
        <v>5.7104</v>
      </c>
      <c r="F1914" t="n">
        <v>0.12681</v>
      </c>
    </row>
    <row r="1915">
      <c r="A1915" t="n">
        <v>2000086</v>
      </c>
      <c r="B1915" t="n">
        <v>2</v>
      </c>
      <c r="C1915" t="n">
        <v>86</v>
      </c>
      <c r="D1915" t="n">
        <v>0.049</v>
      </c>
      <c r="E1915" t="n">
        <v>5.7322</v>
      </c>
      <c r="F1915" t="n">
        <v>0.12671</v>
      </c>
    </row>
    <row r="1916">
      <c r="A1916" t="n">
        <v>2000087</v>
      </c>
      <c r="B1916" t="n">
        <v>2</v>
      </c>
      <c r="C1916" t="n">
        <v>87</v>
      </c>
      <c r="D1916" t="n">
        <v>0.0474</v>
      </c>
      <c r="E1916" t="n">
        <v>5.7539</v>
      </c>
      <c r="F1916" t="n">
        <v>0.1266</v>
      </c>
    </row>
    <row r="1917">
      <c r="A1917" t="n">
        <v>2000088</v>
      </c>
      <c r="B1917" t="n">
        <v>2</v>
      </c>
      <c r="C1917" t="n">
        <v>88</v>
      </c>
      <c r="D1917" t="n">
        <v>0.0457</v>
      </c>
      <c r="E1917" t="n">
        <v>5.7755</v>
      </c>
      <c r="F1917" t="n">
        <v>0.12651</v>
      </c>
    </row>
    <row r="1918">
      <c r="A1918" t="n">
        <v>2000089</v>
      </c>
      <c r="B1918" t="n">
        <v>2</v>
      </c>
      <c r="C1918" t="n">
        <v>89</v>
      </c>
      <c r="D1918" t="n">
        <v>0.044</v>
      </c>
      <c r="E1918" t="n">
        <v>5.7969</v>
      </c>
      <c r="F1918" t="n">
        <v>0.12641</v>
      </c>
    </row>
    <row r="1919">
      <c r="A1919" t="n">
        <v>2000090</v>
      </c>
      <c r="B1919" t="n">
        <v>2</v>
      </c>
      <c r="C1919" t="n">
        <v>90</v>
      </c>
      <c r="D1919" t="n">
        <v>0.0424</v>
      </c>
      <c r="E1919" t="n">
        <v>5.8181</v>
      </c>
      <c r="F1919" t="n">
        <v>0.12631</v>
      </c>
    </row>
    <row r="1920">
      <c r="A1920" t="n">
        <v>2000091</v>
      </c>
      <c r="B1920" t="n">
        <v>2</v>
      </c>
      <c r="C1920" t="n">
        <v>91</v>
      </c>
      <c r="D1920" t="n">
        <v>0.0407</v>
      </c>
      <c r="E1920" t="n">
        <v>5.8393</v>
      </c>
      <c r="F1920" t="n">
        <v>0.12622</v>
      </c>
    </row>
    <row r="1921">
      <c r="A1921" t="n">
        <v>2000092</v>
      </c>
      <c r="B1921" t="n">
        <v>2</v>
      </c>
      <c r="C1921" t="n">
        <v>92</v>
      </c>
      <c r="D1921" t="n">
        <v>0.0391</v>
      </c>
      <c r="E1921" t="n">
        <v>5.8602</v>
      </c>
      <c r="F1921" t="n">
        <v>0.12613</v>
      </c>
    </row>
    <row r="1922">
      <c r="A1922" t="n">
        <v>2000093</v>
      </c>
      <c r="B1922" t="n">
        <v>2</v>
      </c>
      <c r="C1922" t="n">
        <v>93</v>
      </c>
      <c r="D1922" t="n">
        <v>0.0375</v>
      </c>
      <c r="E1922" t="n">
        <v>5.881</v>
      </c>
      <c r="F1922" t="n">
        <v>0.12604</v>
      </c>
    </row>
    <row r="1923">
      <c r="A1923" t="n">
        <v>2000094</v>
      </c>
      <c r="B1923" t="n">
        <v>2</v>
      </c>
      <c r="C1923" t="n">
        <v>94</v>
      </c>
      <c r="D1923" t="n">
        <v>0.0358</v>
      </c>
      <c r="E1923" t="n">
        <v>5.9017</v>
      </c>
      <c r="F1923" t="n">
        <v>0.12595</v>
      </c>
    </row>
    <row r="1924">
      <c r="A1924" t="n">
        <v>2000095</v>
      </c>
      <c r="B1924" t="n">
        <v>2</v>
      </c>
      <c r="C1924" t="n">
        <v>95</v>
      </c>
      <c r="D1924" t="n">
        <v>0.0342</v>
      </c>
      <c r="E1924" t="n">
        <v>5.9223</v>
      </c>
      <c r="F1924" t="n">
        <v>0.12586</v>
      </c>
    </row>
    <row r="1925">
      <c r="A1925" t="n">
        <v>2000096</v>
      </c>
      <c r="B1925" t="n">
        <v>2</v>
      </c>
      <c r="C1925" t="n">
        <v>96</v>
      </c>
      <c r="D1925" t="n">
        <v>0.0327</v>
      </c>
      <c r="E1925" t="n">
        <v>5.9427</v>
      </c>
      <c r="F1925" t="n">
        <v>0.12577</v>
      </c>
    </row>
    <row r="1926">
      <c r="A1926" t="n">
        <v>2000097</v>
      </c>
      <c r="B1926" t="n">
        <v>2</v>
      </c>
      <c r="C1926" t="n">
        <v>97</v>
      </c>
      <c r="D1926" t="n">
        <v>0.0311</v>
      </c>
      <c r="E1926" t="n">
        <v>5.9629</v>
      </c>
      <c r="F1926" t="n">
        <v>0.12569</v>
      </c>
    </row>
    <row r="1927">
      <c r="A1927" t="n">
        <v>2000098</v>
      </c>
      <c r="B1927" t="n">
        <v>2</v>
      </c>
      <c r="C1927" t="n">
        <v>98</v>
      </c>
      <c r="D1927" t="n">
        <v>0.0295</v>
      </c>
      <c r="E1927" t="n">
        <v>5.9831</v>
      </c>
      <c r="F1927" t="n">
        <v>0.12561</v>
      </c>
    </row>
    <row r="1928">
      <c r="A1928" t="n">
        <v>2000099</v>
      </c>
      <c r="B1928" t="n">
        <v>2</v>
      </c>
      <c r="C1928" t="n">
        <v>99</v>
      </c>
      <c r="D1928" t="n">
        <v>0.0279</v>
      </c>
      <c r="E1928" t="n">
        <v>6.0031</v>
      </c>
      <c r="F1928" t="n">
        <v>0.12553</v>
      </c>
    </row>
    <row r="1929">
      <c r="A1929" t="n">
        <v>2000100</v>
      </c>
      <c r="B1929" t="n">
        <v>2</v>
      </c>
      <c r="C1929" t="n">
        <v>100</v>
      </c>
      <c r="D1929" t="n">
        <v>0.0264</v>
      </c>
      <c r="E1929" t="n">
        <v>6.0229</v>
      </c>
      <c r="F1929" t="n">
        <v>0.12545</v>
      </c>
    </row>
    <row r="1930">
      <c r="A1930" t="n">
        <v>2000101</v>
      </c>
      <c r="B1930" t="n">
        <v>2</v>
      </c>
      <c r="C1930" t="n">
        <v>101</v>
      </c>
      <c r="D1930" t="n">
        <v>0.0249</v>
      </c>
      <c r="E1930" t="n">
        <v>6.0426</v>
      </c>
      <c r="F1930" t="n">
        <v>0.12537</v>
      </c>
    </row>
    <row r="1931">
      <c r="A1931" t="n">
        <v>2000102</v>
      </c>
      <c r="B1931" t="n">
        <v>2</v>
      </c>
      <c r="C1931" t="n">
        <v>102</v>
      </c>
      <c r="D1931" t="n">
        <v>0.0233</v>
      </c>
      <c r="E1931" t="n">
        <v>6.0622</v>
      </c>
      <c r="F1931" t="n">
        <v>0.12529</v>
      </c>
    </row>
    <row r="1932">
      <c r="A1932" t="n">
        <v>2000103</v>
      </c>
      <c r="B1932" t="n">
        <v>2</v>
      </c>
      <c r="C1932" t="n">
        <v>103</v>
      </c>
      <c r="D1932" t="n">
        <v>0.0218</v>
      </c>
      <c r="E1932" t="n">
        <v>6.0817</v>
      </c>
      <c r="F1932" t="n">
        <v>0.12522</v>
      </c>
    </row>
    <row r="1933">
      <c r="A1933" t="n">
        <v>2000104</v>
      </c>
      <c r="B1933" t="n">
        <v>2</v>
      </c>
      <c r="C1933" t="n">
        <v>104</v>
      </c>
      <c r="D1933" t="n">
        <v>0.0203</v>
      </c>
      <c r="E1933" t="n">
        <v>6.101</v>
      </c>
      <c r="F1933" t="n">
        <v>0.12514</v>
      </c>
    </row>
    <row r="1934">
      <c r="A1934" t="n">
        <v>2000105</v>
      </c>
      <c r="B1934" t="n">
        <v>2</v>
      </c>
      <c r="C1934" t="n">
        <v>105</v>
      </c>
      <c r="D1934" t="n">
        <v>0.0188</v>
      </c>
      <c r="E1934" t="n">
        <v>6.1202</v>
      </c>
      <c r="F1934" t="n">
        <v>0.12507</v>
      </c>
    </row>
    <row r="1935">
      <c r="A1935" t="n">
        <v>2000106</v>
      </c>
      <c r="B1935" t="n">
        <v>2</v>
      </c>
      <c r="C1935" t="n">
        <v>106</v>
      </c>
      <c r="D1935" t="n">
        <v>0.0173</v>
      </c>
      <c r="E1935" t="n">
        <v>6.1393</v>
      </c>
      <c r="F1935" t="n">
        <v>0.125</v>
      </c>
    </row>
    <row r="1936">
      <c r="A1936" t="n">
        <v>2000107</v>
      </c>
      <c r="B1936" t="n">
        <v>2</v>
      </c>
      <c r="C1936" t="n">
        <v>107</v>
      </c>
      <c r="D1936" t="n">
        <v>0.0158</v>
      </c>
      <c r="E1936" t="n">
        <v>6.1582</v>
      </c>
      <c r="F1936" t="n">
        <v>0.12493</v>
      </c>
    </row>
    <row r="1937">
      <c r="A1937" t="n">
        <v>2000108</v>
      </c>
      <c r="B1937" t="n">
        <v>2</v>
      </c>
      <c r="C1937" t="n">
        <v>108</v>
      </c>
      <c r="D1937" t="n">
        <v>0.0144</v>
      </c>
      <c r="E1937" t="n">
        <v>6.1771</v>
      </c>
      <c r="F1937" t="n">
        <v>0.12486</v>
      </c>
    </row>
    <row r="1938">
      <c r="A1938" t="n">
        <v>2000109</v>
      </c>
      <c r="B1938" t="n">
        <v>2</v>
      </c>
      <c r="C1938" t="n">
        <v>109</v>
      </c>
      <c r="D1938" t="n">
        <v>0.0129</v>
      </c>
      <c r="E1938" t="n">
        <v>6.1958</v>
      </c>
      <c r="F1938" t="n">
        <v>0.12479</v>
      </c>
    </row>
    <row r="1939">
      <c r="A1939" t="n">
        <v>2000110</v>
      </c>
      <c r="B1939" t="n">
        <v>2</v>
      </c>
      <c r="C1939" t="n">
        <v>110</v>
      </c>
      <c r="D1939" t="n">
        <v>0.0114</v>
      </c>
      <c r="E1939" t="n">
        <v>6.2143</v>
      </c>
      <c r="F1939" t="n">
        <v>0.12472</v>
      </c>
    </row>
    <row r="1940">
      <c r="A1940" t="n">
        <v>2000111</v>
      </c>
      <c r="B1940" t="n">
        <v>2</v>
      </c>
      <c r="C1940" t="n">
        <v>111</v>
      </c>
      <c r="D1940" t="n">
        <v>0.01</v>
      </c>
      <c r="E1940" t="n">
        <v>6.2328</v>
      </c>
      <c r="F1940" t="n">
        <v>0.12466</v>
      </c>
    </row>
    <row r="1941">
      <c r="A1941" t="n">
        <v>2000112</v>
      </c>
      <c r="B1941" t="n">
        <v>2</v>
      </c>
      <c r="C1941" t="n">
        <v>112</v>
      </c>
      <c r="D1941" t="n">
        <v>0.0086</v>
      </c>
      <c r="E1941" t="n">
        <v>6.2511</v>
      </c>
      <c r="F1941" t="n">
        <v>0.12459</v>
      </c>
    </row>
    <row r="1942">
      <c r="A1942" t="n">
        <v>2000113</v>
      </c>
      <c r="B1942" t="n">
        <v>2</v>
      </c>
      <c r="C1942" t="n">
        <v>113</v>
      </c>
      <c r="D1942" t="n">
        <v>0.0071</v>
      </c>
      <c r="E1942" t="n">
        <v>6.2693</v>
      </c>
      <c r="F1942" t="n">
        <v>0.12453</v>
      </c>
    </row>
    <row r="1943">
      <c r="A1943" t="n">
        <v>2000114</v>
      </c>
      <c r="B1943" t="n">
        <v>2</v>
      </c>
      <c r="C1943" t="n">
        <v>114</v>
      </c>
      <c r="D1943" t="n">
        <v>0.0057</v>
      </c>
      <c r="E1943" t="n">
        <v>6.2874</v>
      </c>
      <c r="F1943" t="n">
        <v>0.12447</v>
      </c>
    </row>
    <row r="1944">
      <c r="A1944" t="n">
        <v>2000115</v>
      </c>
      <c r="B1944" t="n">
        <v>2</v>
      </c>
      <c r="C1944" t="n">
        <v>115</v>
      </c>
      <c r="D1944" t="n">
        <v>0.0043</v>
      </c>
      <c r="E1944" t="n">
        <v>6.3054</v>
      </c>
      <c r="F1944" t="n">
        <v>0.12441</v>
      </c>
    </row>
    <row r="1945">
      <c r="A1945" t="n">
        <v>2000116</v>
      </c>
      <c r="B1945" t="n">
        <v>2</v>
      </c>
      <c r="C1945" t="n">
        <v>116</v>
      </c>
      <c r="D1945" t="n">
        <v>0.0029</v>
      </c>
      <c r="E1945" t="n">
        <v>6.3232</v>
      </c>
      <c r="F1945" t="n">
        <v>0.12435</v>
      </c>
    </row>
    <row r="1946">
      <c r="A1946" t="n">
        <v>2000117</v>
      </c>
      <c r="B1946" t="n">
        <v>2</v>
      </c>
      <c r="C1946" t="n">
        <v>117</v>
      </c>
      <c r="D1946" t="n">
        <v>0.0015</v>
      </c>
      <c r="E1946" t="n">
        <v>6.341</v>
      </c>
      <c r="F1946" t="n">
        <v>0.12429</v>
      </c>
    </row>
    <row r="1947">
      <c r="A1947" t="n">
        <v>2000118</v>
      </c>
      <c r="B1947" t="n">
        <v>2</v>
      </c>
      <c r="C1947" t="n">
        <v>118</v>
      </c>
      <c r="D1947" t="n">
        <v>0.0001</v>
      </c>
      <c r="E1947" t="n">
        <v>6.3586</v>
      </c>
      <c r="F1947" t="n">
        <v>0.12423</v>
      </c>
    </row>
    <row r="1948">
      <c r="A1948" t="n">
        <v>2000119</v>
      </c>
      <c r="B1948" t="n">
        <v>2</v>
      </c>
      <c r="C1948" t="n">
        <v>119</v>
      </c>
      <c r="D1948" t="n">
        <v>-0.0013</v>
      </c>
      <c r="E1948" t="n">
        <v>6.3761</v>
      </c>
      <c r="F1948" t="n">
        <v>0.12417</v>
      </c>
    </row>
    <row r="1949">
      <c r="A1949" t="n">
        <v>2000120</v>
      </c>
      <c r="B1949" t="n">
        <v>2</v>
      </c>
      <c r="C1949" t="n">
        <v>120</v>
      </c>
      <c r="D1949" t="n">
        <v>-0.0026</v>
      </c>
      <c r="E1949" t="n">
        <v>6.3935</v>
      </c>
      <c r="F1949" t="n">
        <v>0.12412</v>
      </c>
    </row>
    <row r="1950">
      <c r="A1950" t="n">
        <v>2000121</v>
      </c>
      <c r="B1950" t="n">
        <v>2</v>
      </c>
      <c r="C1950" t="n">
        <v>121</v>
      </c>
      <c r="D1950" t="n">
        <v>-0.004</v>
      </c>
      <c r="E1950" t="n">
        <v>6.4108</v>
      </c>
      <c r="F1950" t="n">
        <v>0.12406</v>
      </c>
    </row>
    <row r="1951">
      <c r="A1951" t="n">
        <v>2000122</v>
      </c>
      <c r="B1951" t="n">
        <v>2</v>
      </c>
      <c r="C1951" t="n">
        <v>122</v>
      </c>
      <c r="D1951" t="n">
        <v>-0.0053</v>
      </c>
      <c r="E1951" t="n">
        <v>6.428</v>
      </c>
      <c r="F1951" t="n">
        <v>0.12401</v>
      </c>
    </row>
    <row r="1952">
      <c r="A1952" t="n">
        <v>2000123</v>
      </c>
      <c r="B1952" t="n">
        <v>2</v>
      </c>
      <c r="C1952" t="n">
        <v>123</v>
      </c>
      <c r="D1952" t="n">
        <v>-0.0067</v>
      </c>
      <c r="E1952" t="n">
        <v>6.445</v>
      </c>
      <c r="F1952" t="n">
        <v>0.12395</v>
      </c>
    </row>
    <row r="1953">
      <c r="A1953" t="n">
        <v>2000124</v>
      </c>
      <c r="B1953" t="n">
        <v>2</v>
      </c>
      <c r="C1953" t="n">
        <v>124</v>
      </c>
      <c r="D1953" t="n">
        <v>-0.008</v>
      </c>
      <c r="E1953" t="n">
        <v>6.462</v>
      </c>
      <c r="F1953" t="n">
        <v>0.1239</v>
      </c>
    </row>
    <row r="1954">
      <c r="A1954" t="n">
        <v>2000125</v>
      </c>
      <c r="B1954" t="n">
        <v>2</v>
      </c>
      <c r="C1954" t="n">
        <v>125</v>
      </c>
      <c r="D1954" t="n">
        <v>-0.0094</v>
      </c>
      <c r="E1954" t="n">
        <v>6.4788</v>
      </c>
      <c r="F1954" t="n">
        <v>0.12385</v>
      </c>
    </row>
    <row r="1955">
      <c r="A1955" t="n">
        <v>2000126</v>
      </c>
      <c r="B1955" t="n">
        <v>2</v>
      </c>
      <c r="C1955" t="n">
        <v>126</v>
      </c>
      <c r="D1955" t="n">
        <v>-0.0107</v>
      </c>
      <c r="E1955" t="n">
        <v>6.4956</v>
      </c>
      <c r="F1955" t="n">
        <v>0.1238</v>
      </c>
    </row>
    <row r="1956">
      <c r="A1956" t="n">
        <v>2000127</v>
      </c>
      <c r="B1956" t="n">
        <v>2</v>
      </c>
      <c r="C1956" t="n">
        <v>127</v>
      </c>
      <c r="D1956" t="n">
        <v>-0.012</v>
      </c>
      <c r="E1956" t="n">
        <v>6.5122</v>
      </c>
      <c r="F1956" t="n">
        <v>0.12375</v>
      </c>
    </row>
    <row r="1957">
      <c r="A1957" t="n">
        <v>2000128</v>
      </c>
      <c r="B1957" t="n">
        <v>2</v>
      </c>
      <c r="C1957" t="n">
        <v>128</v>
      </c>
      <c r="D1957" t="n">
        <v>-0.0133</v>
      </c>
      <c r="E1957" t="n">
        <v>6.5288</v>
      </c>
      <c r="F1957" t="n">
        <v>0.1237</v>
      </c>
    </row>
    <row r="1958">
      <c r="A1958" t="n">
        <v>2000129</v>
      </c>
      <c r="B1958" t="n">
        <v>2</v>
      </c>
      <c r="C1958" t="n">
        <v>129</v>
      </c>
      <c r="D1958" t="n">
        <v>-0.0146</v>
      </c>
      <c r="E1958" t="n">
        <v>6.5452</v>
      </c>
      <c r="F1958" t="n">
        <v>0.12365</v>
      </c>
    </row>
    <row r="1959">
      <c r="A1959" t="n">
        <v>2000130</v>
      </c>
      <c r="B1959" t="n">
        <v>2</v>
      </c>
      <c r="C1959" t="n">
        <v>130</v>
      </c>
      <c r="D1959" t="n">
        <v>-0.0159</v>
      </c>
      <c r="E1959" t="n">
        <v>6.5615</v>
      </c>
      <c r="F1959" t="n">
        <v>0.1236</v>
      </c>
    </row>
    <row r="1960">
      <c r="A1960" t="n">
        <v>2000131</v>
      </c>
      <c r="B1960" t="n">
        <v>2</v>
      </c>
      <c r="C1960" t="n">
        <v>131</v>
      </c>
      <c r="D1960" t="n">
        <v>-0.0172</v>
      </c>
      <c r="E1960" t="n">
        <v>6.5777</v>
      </c>
      <c r="F1960" t="n">
        <v>0.12355</v>
      </c>
    </row>
    <row r="1961">
      <c r="A1961" t="n">
        <v>2000132</v>
      </c>
      <c r="B1961" t="n">
        <v>2</v>
      </c>
      <c r="C1961" t="n">
        <v>132</v>
      </c>
      <c r="D1961" t="n">
        <v>-0.0185</v>
      </c>
      <c r="E1961" t="n">
        <v>6.5939</v>
      </c>
      <c r="F1961" t="n">
        <v>0.12351</v>
      </c>
    </row>
    <row r="1962">
      <c r="A1962" t="n">
        <v>2000133</v>
      </c>
      <c r="B1962" t="n">
        <v>2</v>
      </c>
      <c r="C1962" t="n">
        <v>133</v>
      </c>
      <c r="D1962" t="n">
        <v>-0.0198</v>
      </c>
      <c r="E1962" t="n">
        <v>6.6099</v>
      </c>
      <c r="F1962" t="n">
        <v>0.12346</v>
      </c>
    </row>
    <row r="1963">
      <c r="A1963" t="n">
        <v>2000134</v>
      </c>
      <c r="B1963" t="n">
        <v>2</v>
      </c>
      <c r="C1963" t="n">
        <v>134</v>
      </c>
      <c r="D1963" t="n">
        <v>-0.021</v>
      </c>
      <c r="E1963" t="n">
        <v>6.6258</v>
      </c>
      <c r="F1963" t="n">
        <v>0.12342</v>
      </c>
    </row>
    <row r="1964">
      <c r="A1964" t="n">
        <v>2000135</v>
      </c>
      <c r="B1964" t="n">
        <v>2</v>
      </c>
      <c r="C1964" t="n">
        <v>135</v>
      </c>
      <c r="D1964" t="n">
        <v>-0.0223</v>
      </c>
      <c r="E1964" t="n">
        <v>6.6416</v>
      </c>
      <c r="F1964" t="n">
        <v>0.12337</v>
      </c>
    </row>
    <row r="1965">
      <c r="A1965" t="n">
        <v>2000136</v>
      </c>
      <c r="B1965" t="n">
        <v>2</v>
      </c>
      <c r="C1965" t="n">
        <v>136</v>
      </c>
      <c r="D1965" t="n">
        <v>-0.0235</v>
      </c>
      <c r="E1965" t="n">
        <v>6.6573</v>
      </c>
      <c r="F1965" t="n">
        <v>0.12333</v>
      </c>
    </row>
    <row r="1966">
      <c r="A1966" t="n">
        <v>2000137</v>
      </c>
      <c r="B1966" t="n">
        <v>2</v>
      </c>
      <c r="C1966" t="n">
        <v>137</v>
      </c>
      <c r="D1966" t="n">
        <v>-0.0248</v>
      </c>
      <c r="E1966" t="n">
        <v>6.6729</v>
      </c>
      <c r="F1966" t="n">
        <v>0.12329</v>
      </c>
    </row>
    <row r="1967">
      <c r="A1967" t="n">
        <v>2000138</v>
      </c>
      <c r="B1967" t="n">
        <v>2</v>
      </c>
      <c r="C1967" t="n">
        <v>138</v>
      </c>
      <c r="D1967" t="n">
        <v>-0.026</v>
      </c>
      <c r="E1967" t="n">
        <v>6.6884</v>
      </c>
      <c r="F1967" t="n">
        <v>0.12325</v>
      </c>
    </row>
    <row r="1968">
      <c r="A1968" t="n">
        <v>2000139</v>
      </c>
      <c r="B1968" t="n">
        <v>2</v>
      </c>
      <c r="C1968" t="n">
        <v>139</v>
      </c>
      <c r="D1968" t="n">
        <v>-0.0273</v>
      </c>
      <c r="E1968" t="n">
        <v>6.7039</v>
      </c>
      <c r="F1968" t="n">
        <v>0.12321</v>
      </c>
    </row>
    <row r="1969">
      <c r="A1969" t="n">
        <v>2000140</v>
      </c>
      <c r="B1969" t="n">
        <v>2</v>
      </c>
      <c r="C1969" t="n">
        <v>140</v>
      </c>
      <c r="D1969" t="n">
        <v>-0.0285</v>
      </c>
      <c r="E1969" t="n">
        <v>6.7192</v>
      </c>
      <c r="F1969" t="n">
        <v>0.12317</v>
      </c>
    </row>
    <row r="1970">
      <c r="A1970" t="n">
        <v>2000141</v>
      </c>
      <c r="B1970" t="n">
        <v>2</v>
      </c>
      <c r="C1970" t="n">
        <v>141</v>
      </c>
      <c r="D1970" t="n">
        <v>-0.0297</v>
      </c>
      <c r="E1970" t="n">
        <v>6.7344</v>
      </c>
      <c r="F1970" t="n">
        <v>0.12313</v>
      </c>
    </row>
    <row r="1971">
      <c r="A1971" t="n">
        <v>2000142</v>
      </c>
      <c r="B1971" t="n">
        <v>2</v>
      </c>
      <c r="C1971" t="n">
        <v>142</v>
      </c>
      <c r="D1971" t="n">
        <v>-0.0309</v>
      </c>
      <c r="E1971" t="n">
        <v>6.7495</v>
      </c>
      <c r="F1971" t="n">
        <v>0.12309</v>
      </c>
    </row>
    <row r="1972">
      <c r="A1972" t="n">
        <v>2000143</v>
      </c>
      <c r="B1972" t="n">
        <v>2</v>
      </c>
      <c r="C1972" t="n">
        <v>143</v>
      </c>
      <c r="D1972" t="n">
        <v>-0.0321</v>
      </c>
      <c r="E1972" t="n">
        <v>6.7646</v>
      </c>
      <c r="F1972" t="n">
        <v>0.12305</v>
      </c>
    </row>
    <row r="1973">
      <c r="A1973" t="n">
        <v>2000144</v>
      </c>
      <c r="B1973" t="n">
        <v>2</v>
      </c>
      <c r="C1973" t="n">
        <v>144</v>
      </c>
      <c r="D1973" t="n">
        <v>-0.0333</v>
      </c>
      <c r="E1973" t="n">
        <v>6.7795</v>
      </c>
      <c r="F1973" t="n">
        <v>0.12301</v>
      </c>
    </row>
    <row r="1974">
      <c r="A1974" t="n">
        <v>2000145</v>
      </c>
      <c r="B1974" t="n">
        <v>2</v>
      </c>
      <c r="C1974" t="n">
        <v>145</v>
      </c>
      <c r="D1974" t="n">
        <v>-0.0345</v>
      </c>
      <c r="E1974" t="n">
        <v>6.7944</v>
      </c>
      <c r="F1974" t="n">
        <v>0.12298</v>
      </c>
    </row>
    <row r="1975">
      <c r="A1975" t="n">
        <v>2000146</v>
      </c>
      <c r="B1975" t="n">
        <v>2</v>
      </c>
      <c r="C1975" t="n">
        <v>146</v>
      </c>
      <c r="D1975" t="n">
        <v>-0.0357</v>
      </c>
      <c r="E1975" t="n">
        <v>6.8091</v>
      </c>
      <c r="F1975" t="n">
        <v>0.12294</v>
      </c>
    </row>
    <row r="1976">
      <c r="A1976" t="n">
        <v>2000147</v>
      </c>
      <c r="B1976" t="n">
        <v>2</v>
      </c>
      <c r="C1976" t="n">
        <v>147</v>
      </c>
      <c r="D1976" t="n">
        <v>-0.0369</v>
      </c>
      <c r="E1976" t="n">
        <v>6.8238</v>
      </c>
      <c r="F1976" t="n">
        <v>0.12291</v>
      </c>
    </row>
    <row r="1977">
      <c r="A1977" t="n">
        <v>2000148</v>
      </c>
      <c r="B1977" t="n">
        <v>2</v>
      </c>
      <c r="C1977" t="n">
        <v>148</v>
      </c>
      <c r="D1977" t="n">
        <v>-0.0381</v>
      </c>
      <c r="E1977" t="n">
        <v>6.8384</v>
      </c>
      <c r="F1977" t="n">
        <v>0.12287</v>
      </c>
    </row>
    <row r="1978">
      <c r="A1978" t="n">
        <v>2000149</v>
      </c>
      <c r="B1978" t="n">
        <v>2</v>
      </c>
      <c r="C1978" t="n">
        <v>149</v>
      </c>
      <c r="D1978" t="n">
        <v>-0.0393</v>
      </c>
      <c r="E1978" t="n">
        <v>6.8529</v>
      </c>
      <c r="F1978" t="n">
        <v>0.12284</v>
      </c>
    </row>
    <row r="1979">
      <c r="A1979" t="n">
        <v>2000150</v>
      </c>
      <c r="B1979" t="n">
        <v>2</v>
      </c>
      <c r="C1979" t="n">
        <v>150</v>
      </c>
      <c r="D1979" t="n">
        <v>-0.0404</v>
      </c>
      <c r="E1979" t="n">
        <v>6.8673</v>
      </c>
      <c r="F1979" t="n">
        <v>0.12281</v>
      </c>
    </row>
    <row r="1980">
      <c r="A1980" t="n">
        <v>2000151</v>
      </c>
      <c r="B1980" t="n">
        <v>2</v>
      </c>
      <c r="C1980" t="n">
        <v>151</v>
      </c>
      <c r="D1980" t="n">
        <v>-0.0416</v>
      </c>
      <c r="E1980" t="n">
        <v>6.8816</v>
      </c>
      <c r="F1980" t="n">
        <v>0.12277</v>
      </c>
    </row>
    <row r="1981">
      <c r="A1981" t="n">
        <v>2000152</v>
      </c>
      <c r="B1981" t="n">
        <v>2</v>
      </c>
      <c r="C1981" t="n">
        <v>152</v>
      </c>
      <c r="D1981" t="n">
        <v>-0.0428</v>
      </c>
      <c r="E1981" t="n">
        <v>6.8959</v>
      </c>
      <c r="F1981" t="n">
        <v>0.12274</v>
      </c>
    </row>
    <row r="1982">
      <c r="A1982" t="n">
        <v>2000153</v>
      </c>
      <c r="B1982" t="n">
        <v>2</v>
      </c>
      <c r="C1982" t="n">
        <v>153</v>
      </c>
      <c r="D1982" t="n">
        <v>-0.0439</v>
      </c>
      <c r="E1982" t="n">
        <v>6.91</v>
      </c>
      <c r="F1982" t="n">
        <v>0.12271</v>
      </c>
    </row>
    <row r="1983">
      <c r="A1983" t="n">
        <v>2000154</v>
      </c>
      <c r="B1983" t="n">
        <v>2</v>
      </c>
      <c r="C1983" t="n">
        <v>154</v>
      </c>
      <c r="D1983" t="n">
        <v>-0.045</v>
      </c>
      <c r="E1983" t="n">
        <v>6.9241</v>
      </c>
      <c r="F1983" t="n">
        <v>0.12268</v>
      </c>
    </row>
    <row r="1984">
      <c r="A1984" t="n">
        <v>2000155</v>
      </c>
      <c r="B1984" t="n">
        <v>2</v>
      </c>
      <c r="C1984" t="n">
        <v>155</v>
      </c>
      <c r="D1984" t="n">
        <v>-0.0462</v>
      </c>
      <c r="E1984" t="n">
        <v>6.9381</v>
      </c>
      <c r="F1984" t="n">
        <v>0.12265</v>
      </c>
    </row>
    <row r="1985">
      <c r="A1985" t="n">
        <v>2000156</v>
      </c>
      <c r="B1985" t="n">
        <v>2</v>
      </c>
      <c r="C1985" t="n">
        <v>156</v>
      </c>
      <c r="D1985" t="n">
        <v>-0.0473</v>
      </c>
      <c r="E1985" t="n">
        <v>6.952</v>
      </c>
      <c r="F1985" t="n">
        <v>0.12262</v>
      </c>
    </row>
    <row r="1986">
      <c r="A1986" t="n">
        <v>2000157</v>
      </c>
      <c r="B1986" t="n">
        <v>2</v>
      </c>
      <c r="C1986" t="n">
        <v>157</v>
      </c>
      <c r="D1986" t="n">
        <v>-0.0484</v>
      </c>
      <c r="E1986" t="n">
        <v>6.9659</v>
      </c>
      <c r="F1986" t="n">
        <v>0.12259</v>
      </c>
    </row>
    <row r="1987">
      <c r="A1987" t="n">
        <v>2000158</v>
      </c>
      <c r="B1987" t="n">
        <v>2</v>
      </c>
      <c r="C1987" t="n">
        <v>158</v>
      </c>
      <c r="D1987" t="n">
        <v>-0.0496</v>
      </c>
      <c r="E1987" t="n">
        <v>6.9797</v>
      </c>
      <c r="F1987" t="n">
        <v>0.12256</v>
      </c>
    </row>
    <row r="1988">
      <c r="A1988" t="n">
        <v>2000159</v>
      </c>
      <c r="B1988" t="n">
        <v>2</v>
      </c>
      <c r="C1988" t="n">
        <v>159</v>
      </c>
      <c r="D1988" t="n">
        <v>-0.0507</v>
      </c>
      <c r="E1988" t="n">
        <v>6.9934</v>
      </c>
      <c r="F1988" t="n">
        <v>0.12254</v>
      </c>
    </row>
    <row r="1989">
      <c r="A1989" t="n">
        <v>2000160</v>
      </c>
      <c r="B1989" t="n">
        <v>2</v>
      </c>
      <c r="C1989" t="n">
        <v>160</v>
      </c>
      <c r="D1989" t="n">
        <v>-0.0518</v>
      </c>
      <c r="E1989" t="n">
        <v>7.007</v>
      </c>
      <c r="F1989" t="n">
        <v>0.12251</v>
      </c>
    </row>
    <row r="1990">
      <c r="A1990" t="n">
        <v>2000161</v>
      </c>
      <c r="B1990" t="n">
        <v>2</v>
      </c>
      <c r="C1990" t="n">
        <v>161</v>
      </c>
      <c r="D1990" t="n">
        <v>-0.0529</v>
      </c>
      <c r="E1990" t="n">
        <v>7.0205</v>
      </c>
      <c r="F1990" t="n">
        <v>0.12248</v>
      </c>
    </row>
    <row r="1991">
      <c r="A1991" t="n">
        <v>2000162</v>
      </c>
      <c r="B1991" t="n">
        <v>2</v>
      </c>
      <c r="C1991" t="n">
        <v>162</v>
      </c>
      <c r="D1991" t="n">
        <v>-0.054</v>
      </c>
      <c r="E1991" t="n">
        <v>7.034</v>
      </c>
      <c r="F1991" t="n">
        <v>0.12246</v>
      </c>
    </row>
    <row r="1992">
      <c r="A1992" t="n">
        <v>2000163</v>
      </c>
      <c r="B1992" t="n">
        <v>2</v>
      </c>
      <c r="C1992" t="n">
        <v>163</v>
      </c>
      <c r="D1992" t="n">
        <v>-0.0551</v>
      </c>
      <c r="E1992" t="n">
        <v>7.0474</v>
      </c>
      <c r="F1992" t="n">
        <v>0.12243</v>
      </c>
    </row>
    <row r="1993">
      <c r="A1993" t="n">
        <v>2000164</v>
      </c>
      <c r="B1993" t="n">
        <v>2</v>
      </c>
      <c r="C1993" t="n">
        <v>164</v>
      </c>
      <c r="D1993" t="n">
        <v>-0.0562</v>
      </c>
      <c r="E1993" t="n">
        <v>7.0607</v>
      </c>
      <c r="F1993" t="n">
        <v>0.12241</v>
      </c>
    </row>
    <row r="1994">
      <c r="A1994" t="n">
        <v>2000165</v>
      </c>
      <c r="B1994" t="n">
        <v>2</v>
      </c>
      <c r="C1994" t="n">
        <v>165</v>
      </c>
      <c r="D1994" t="n">
        <v>-0.0573</v>
      </c>
      <c r="E1994" t="n">
        <v>7.074</v>
      </c>
      <c r="F1994" t="n">
        <v>0.12238</v>
      </c>
    </row>
    <row r="1995">
      <c r="A1995" t="n">
        <v>2000166</v>
      </c>
      <c r="B1995" t="n">
        <v>2</v>
      </c>
      <c r="C1995" t="n">
        <v>166</v>
      </c>
      <c r="D1995" t="n">
        <v>-0.0583</v>
      </c>
      <c r="E1995" t="n">
        <v>7.0872</v>
      </c>
      <c r="F1995" t="n">
        <v>0.12236</v>
      </c>
    </row>
    <row r="1996">
      <c r="A1996" t="n">
        <v>2000167</v>
      </c>
      <c r="B1996" t="n">
        <v>2</v>
      </c>
      <c r="C1996" t="n">
        <v>167</v>
      </c>
      <c r="D1996" t="n">
        <v>-0.0594</v>
      </c>
      <c r="E1996" t="n">
        <v>7.1003</v>
      </c>
      <c r="F1996" t="n">
        <v>0.12234</v>
      </c>
    </row>
    <row r="1997">
      <c r="A1997" t="n">
        <v>2000168</v>
      </c>
      <c r="B1997" t="n">
        <v>2</v>
      </c>
      <c r="C1997" t="n">
        <v>168</v>
      </c>
      <c r="D1997" t="n">
        <v>-0.0605</v>
      </c>
      <c r="E1997" t="n">
        <v>7.1133</v>
      </c>
      <c r="F1997" t="n">
        <v>0.12231</v>
      </c>
    </row>
    <row r="1998">
      <c r="A1998" t="n">
        <v>2000169</v>
      </c>
      <c r="B1998" t="n">
        <v>2</v>
      </c>
      <c r="C1998" t="n">
        <v>169</v>
      </c>
      <c r="D1998" t="n">
        <v>-0.0615</v>
      </c>
      <c r="E1998" t="n">
        <v>7.1263</v>
      </c>
      <c r="F1998" t="n">
        <v>0.12229</v>
      </c>
    </row>
    <row r="1999">
      <c r="A1999" t="n">
        <v>2000170</v>
      </c>
      <c r="B1999" t="n">
        <v>2</v>
      </c>
      <c r="C1999" t="n">
        <v>170</v>
      </c>
      <c r="D1999" t="n">
        <v>-0.0626</v>
      </c>
      <c r="E1999" t="n">
        <v>7.1393</v>
      </c>
      <c r="F1999" t="n">
        <v>0.12227</v>
      </c>
    </row>
    <row r="2000">
      <c r="A2000" t="n">
        <v>2000171</v>
      </c>
      <c r="B2000" t="n">
        <v>2</v>
      </c>
      <c r="C2000" t="n">
        <v>171</v>
      </c>
      <c r="D2000" t="n">
        <v>-0.06370000000000001</v>
      </c>
      <c r="E2000" t="n">
        <v>7.1521</v>
      </c>
      <c r="F2000" t="n">
        <v>0.12225</v>
      </c>
    </row>
    <row r="2001">
      <c r="A2001" t="n">
        <v>2000172</v>
      </c>
      <c r="B2001" t="n">
        <v>2</v>
      </c>
      <c r="C2001" t="n">
        <v>172</v>
      </c>
      <c r="D2001" t="n">
        <v>-0.06469999999999999</v>
      </c>
      <c r="E2001" t="n">
        <v>7.1649</v>
      </c>
      <c r="F2001" t="n">
        <v>0.12223</v>
      </c>
    </row>
    <row r="2002">
      <c r="A2002" t="n">
        <v>2000173</v>
      </c>
      <c r="B2002" t="n">
        <v>2</v>
      </c>
      <c r="C2002" t="n">
        <v>173</v>
      </c>
      <c r="D2002" t="n">
        <v>-0.0658</v>
      </c>
      <c r="E2002" t="n">
        <v>7.1776</v>
      </c>
      <c r="F2002" t="n">
        <v>0.12221</v>
      </c>
    </row>
    <row r="2003">
      <c r="A2003" t="n">
        <v>2000174</v>
      </c>
      <c r="B2003" t="n">
        <v>2</v>
      </c>
      <c r="C2003" t="n">
        <v>174</v>
      </c>
      <c r="D2003" t="n">
        <v>-0.0668</v>
      </c>
      <c r="E2003" t="n">
        <v>7.1903</v>
      </c>
      <c r="F2003" t="n">
        <v>0.12219</v>
      </c>
    </row>
    <row r="2004">
      <c r="A2004" t="n">
        <v>2000175</v>
      </c>
      <c r="B2004" t="n">
        <v>2</v>
      </c>
      <c r="C2004" t="n">
        <v>175</v>
      </c>
      <c r="D2004" t="n">
        <v>-0.0678</v>
      </c>
      <c r="E2004" t="n">
        <v>7.2029</v>
      </c>
      <c r="F2004" t="n">
        <v>0.12217</v>
      </c>
    </row>
    <row r="2005">
      <c r="A2005" t="n">
        <v>2000176</v>
      </c>
      <c r="B2005" t="n">
        <v>2</v>
      </c>
      <c r="C2005" t="n">
        <v>176</v>
      </c>
      <c r="D2005" t="n">
        <v>-0.0689</v>
      </c>
      <c r="E2005" t="n">
        <v>7.2154</v>
      </c>
      <c r="F2005" t="n">
        <v>0.12215</v>
      </c>
    </row>
    <row r="2006">
      <c r="A2006" t="n">
        <v>2000177</v>
      </c>
      <c r="B2006" t="n">
        <v>2</v>
      </c>
      <c r="C2006" t="n">
        <v>177</v>
      </c>
      <c r="D2006" t="n">
        <v>-0.0699</v>
      </c>
      <c r="E2006" t="n">
        <v>7.2279</v>
      </c>
      <c r="F2006" t="n">
        <v>0.12214</v>
      </c>
    </row>
    <row r="2007">
      <c r="A2007" t="n">
        <v>2000178</v>
      </c>
      <c r="B2007" t="n">
        <v>2</v>
      </c>
      <c r="C2007" t="n">
        <v>178</v>
      </c>
      <c r="D2007" t="n">
        <v>-0.0709</v>
      </c>
      <c r="E2007" t="n">
        <v>7.2403</v>
      </c>
      <c r="F2007" t="n">
        <v>0.12212</v>
      </c>
    </row>
    <row r="2008">
      <c r="A2008" t="n">
        <v>2000179</v>
      </c>
      <c r="B2008" t="n">
        <v>2</v>
      </c>
      <c r="C2008" t="n">
        <v>179</v>
      </c>
      <c r="D2008" t="n">
        <v>-0.07190000000000001</v>
      </c>
      <c r="E2008" t="n">
        <v>7.2527</v>
      </c>
      <c r="F2008" t="n">
        <v>0.1221</v>
      </c>
    </row>
    <row r="2009">
      <c r="A2009" t="n">
        <v>2000180</v>
      </c>
      <c r="B2009" t="n">
        <v>2</v>
      </c>
      <c r="C2009" t="n">
        <v>180</v>
      </c>
      <c r="D2009" t="n">
        <v>-0.07290000000000001</v>
      </c>
      <c r="E2009" t="n">
        <v>7.265</v>
      </c>
      <c r="F2009" t="n">
        <v>0.12208</v>
      </c>
    </row>
    <row r="2010">
      <c r="A2010" t="n">
        <v>2000181</v>
      </c>
      <c r="B2010" t="n">
        <v>2</v>
      </c>
      <c r="C2010" t="n">
        <v>181</v>
      </c>
      <c r="D2010" t="n">
        <v>-0.07389999999999999</v>
      </c>
      <c r="E2010" t="n">
        <v>7.2772</v>
      </c>
      <c r="F2010" t="n">
        <v>0.12207</v>
      </c>
    </row>
    <row r="2011">
      <c r="A2011" t="n">
        <v>2000182</v>
      </c>
      <c r="B2011" t="n">
        <v>2</v>
      </c>
      <c r="C2011" t="n">
        <v>182</v>
      </c>
      <c r="D2011" t="n">
        <v>-0.07489999999999999</v>
      </c>
      <c r="E2011" t="n">
        <v>7.2894</v>
      </c>
      <c r="F2011" t="n">
        <v>0.12205</v>
      </c>
    </row>
    <row r="2012">
      <c r="A2012" t="n">
        <v>2000183</v>
      </c>
      <c r="B2012" t="n">
        <v>2</v>
      </c>
      <c r="C2012" t="n">
        <v>183</v>
      </c>
      <c r="D2012" t="n">
        <v>-0.0759</v>
      </c>
      <c r="E2012" t="n">
        <v>7.3016</v>
      </c>
      <c r="F2012" t="n">
        <v>0.12204</v>
      </c>
    </row>
    <row r="2013">
      <c r="A2013" t="n">
        <v>2000184</v>
      </c>
      <c r="B2013" t="n">
        <v>2</v>
      </c>
      <c r="C2013" t="n">
        <v>184</v>
      </c>
      <c r="D2013" t="n">
        <v>-0.0769</v>
      </c>
      <c r="E2013" t="n">
        <v>7.3136</v>
      </c>
      <c r="F2013" t="n">
        <v>0.12202</v>
      </c>
    </row>
    <row r="2014">
      <c r="A2014" t="n">
        <v>2000185</v>
      </c>
      <c r="B2014" t="n">
        <v>2</v>
      </c>
      <c r="C2014" t="n">
        <v>185</v>
      </c>
      <c r="D2014" t="n">
        <v>-0.0779</v>
      </c>
      <c r="E2014" t="n">
        <v>7.3256</v>
      </c>
      <c r="F2014" t="n">
        <v>0.12201</v>
      </c>
    </row>
    <row r="2015">
      <c r="A2015" t="n">
        <v>2000186</v>
      </c>
      <c r="B2015" t="n">
        <v>2</v>
      </c>
      <c r="C2015" t="n">
        <v>186</v>
      </c>
      <c r="D2015" t="n">
        <v>-0.0789</v>
      </c>
      <c r="E2015" t="n">
        <v>7.3376</v>
      </c>
      <c r="F2015" t="n">
        <v>0.122</v>
      </c>
    </row>
    <row r="2016">
      <c r="A2016" t="n">
        <v>2000187</v>
      </c>
      <c r="B2016" t="n">
        <v>2</v>
      </c>
      <c r="C2016" t="n">
        <v>187</v>
      </c>
      <c r="D2016" t="n">
        <v>-0.0799</v>
      </c>
      <c r="E2016" t="n">
        <v>7.3495</v>
      </c>
      <c r="F2016" t="n">
        <v>0.12198</v>
      </c>
    </row>
    <row r="2017">
      <c r="A2017" t="n">
        <v>2000188</v>
      </c>
      <c r="B2017" t="n">
        <v>2</v>
      </c>
      <c r="C2017" t="n">
        <v>188</v>
      </c>
      <c r="D2017" t="n">
        <v>-0.0808</v>
      </c>
      <c r="E2017" t="n">
        <v>7.3614</v>
      </c>
      <c r="F2017" t="n">
        <v>0.12197</v>
      </c>
    </row>
    <row r="2018">
      <c r="A2018" t="n">
        <v>2000189</v>
      </c>
      <c r="B2018" t="n">
        <v>2</v>
      </c>
      <c r="C2018" t="n">
        <v>189</v>
      </c>
      <c r="D2018" t="n">
        <v>-0.0818</v>
      </c>
      <c r="E2018" t="n">
        <v>7.3732</v>
      </c>
      <c r="F2018" t="n">
        <v>0.12196</v>
      </c>
    </row>
    <row r="2019">
      <c r="A2019" t="n">
        <v>2000190</v>
      </c>
      <c r="B2019" t="n">
        <v>2</v>
      </c>
      <c r="C2019" t="n">
        <v>190</v>
      </c>
      <c r="D2019" t="n">
        <v>-0.0828</v>
      </c>
      <c r="E2019" t="n">
        <v>7.3849</v>
      </c>
      <c r="F2019" t="n">
        <v>0.12195</v>
      </c>
    </row>
    <row r="2020">
      <c r="A2020" t="n">
        <v>2000191</v>
      </c>
      <c r="B2020" t="n">
        <v>2</v>
      </c>
      <c r="C2020" t="n">
        <v>191</v>
      </c>
      <c r="D2020" t="n">
        <v>-0.0837</v>
      </c>
      <c r="E2020" t="n">
        <v>7.3966</v>
      </c>
      <c r="F2020" t="n">
        <v>0.12194</v>
      </c>
    </row>
    <row r="2021">
      <c r="A2021" t="n">
        <v>2000192</v>
      </c>
      <c r="B2021" t="n">
        <v>2</v>
      </c>
      <c r="C2021" t="n">
        <v>192</v>
      </c>
      <c r="D2021" t="n">
        <v>-0.0847</v>
      </c>
      <c r="E2021" t="n">
        <v>7.4082</v>
      </c>
      <c r="F2021" t="n">
        <v>0.12192</v>
      </c>
    </row>
    <row r="2022">
      <c r="A2022" t="n">
        <v>2000193</v>
      </c>
      <c r="B2022" t="n">
        <v>2</v>
      </c>
      <c r="C2022" t="n">
        <v>193</v>
      </c>
      <c r="D2022" t="n">
        <v>-0.0857</v>
      </c>
      <c r="E2022" t="n">
        <v>7.4198</v>
      </c>
      <c r="F2022" t="n">
        <v>0.12191</v>
      </c>
    </row>
    <row r="2023">
      <c r="A2023" t="n">
        <v>2000194</v>
      </c>
      <c r="B2023" t="n">
        <v>2</v>
      </c>
      <c r="C2023" t="n">
        <v>194</v>
      </c>
      <c r="D2023" t="n">
        <v>-0.0866</v>
      </c>
      <c r="E2023" t="n">
        <v>7.4314</v>
      </c>
      <c r="F2023" t="n">
        <v>0.1219</v>
      </c>
    </row>
    <row r="2024">
      <c r="A2024" t="n">
        <v>2000195</v>
      </c>
      <c r="B2024" t="n">
        <v>2</v>
      </c>
      <c r="C2024" t="n">
        <v>195</v>
      </c>
      <c r="D2024" t="n">
        <v>-0.08749999999999999</v>
      </c>
      <c r="E2024" t="n">
        <v>7.4429</v>
      </c>
      <c r="F2024" t="n">
        <v>0.12189</v>
      </c>
    </row>
    <row r="2025">
      <c r="A2025" t="n">
        <v>2000196</v>
      </c>
      <c r="B2025" t="n">
        <v>2</v>
      </c>
      <c r="C2025" t="n">
        <v>196</v>
      </c>
      <c r="D2025" t="n">
        <v>-0.0885</v>
      </c>
      <c r="E2025" t="n">
        <v>7.4543</v>
      </c>
      <c r="F2025" t="n">
        <v>0.12188</v>
      </c>
    </row>
    <row r="2026">
      <c r="A2026" t="n">
        <v>2000197</v>
      </c>
      <c r="B2026" t="n">
        <v>2</v>
      </c>
      <c r="C2026" t="n">
        <v>197</v>
      </c>
      <c r="D2026" t="n">
        <v>-0.08939999999999999</v>
      </c>
      <c r="E2026" t="n">
        <v>7.4657</v>
      </c>
      <c r="F2026" t="n">
        <v>0.12188</v>
      </c>
    </row>
    <row r="2027">
      <c r="A2027" t="n">
        <v>2000198</v>
      </c>
      <c r="B2027" t="n">
        <v>2</v>
      </c>
      <c r="C2027" t="n">
        <v>198</v>
      </c>
      <c r="D2027" t="n">
        <v>-0.09039999999999999</v>
      </c>
      <c r="E2027" t="n">
        <v>7.477</v>
      </c>
      <c r="F2027" t="n">
        <v>0.12187</v>
      </c>
    </row>
    <row r="2028">
      <c r="A2028" t="n">
        <v>2000199</v>
      </c>
      <c r="B2028" t="n">
        <v>2</v>
      </c>
      <c r="C2028" t="n">
        <v>199</v>
      </c>
      <c r="D2028" t="n">
        <v>-0.09130000000000001</v>
      </c>
      <c r="E2028" t="n">
        <v>7.4883</v>
      </c>
      <c r="F2028" t="n">
        <v>0.12186</v>
      </c>
    </row>
    <row r="2029">
      <c r="A2029" t="n">
        <v>2000200</v>
      </c>
      <c r="B2029" t="n">
        <v>2</v>
      </c>
      <c r="C2029" t="n">
        <v>200</v>
      </c>
      <c r="D2029" t="n">
        <v>-0.0922</v>
      </c>
      <c r="E2029" t="n">
        <v>7.4995</v>
      </c>
      <c r="F2029" t="n">
        <v>0.12185</v>
      </c>
    </row>
    <row r="2030">
      <c r="A2030" t="n">
        <v>2000201</v>
      </c>
      <c r="B2030" t="n">
        <v>2</v>
      </c>
      <c r="C2030" t="n">
        <v>201</v>
      </c>
      <c r="D2030" t="n">
        <v>-0.0931</v>
      </c>
      <c r="E2030" t="n">
        <v>7.5107</v>
      </c>
      <c r="F2030" t="n">
        <v>0.12184</v>
      </c>
    </row>
    <row r="2031">
      <c r="A2031" t="n">
        <v>2000202</v>
      </c>
      <c r="B2031" t="n">
        <v>2</v>
      </c>
      <c r="C2031" t="n">
        <v>202</v>
      </c>
      <c r="D2031" t="n">
        <v>-0.094</v>
      </c>
      <c r="E2031" t="n">
        <v>7.5219</v>
      </c>
      <c r="F2031" t="n">
        <v>0.12184</v>
      </c>
    </row>
    <row r="2032">
      <c r="A2032" t="n">
        <v>2000203</v>
      </c>
      <c r="B2032" t="n">
        <v>2</v>
      </c>
      <c r="C2032" t="n">
        <v>203</v>
      </c>
      <c r="D2032" t="n">
        <v>-0.095</v>
      </c>
      <c r="E2032" t="n">
        <v>7.533</v>
      </c>
      <c r="F2032" t="n">
        <v>0.12183</v>
      </c>
    </row>
    <row r="2033">
      <c r="A2033" t="n">
        <v>2000204</v>
      </c>
      <c r="B2033" t="n">
        <v>2</v>
      </c>
      <c r="C2033" t="n">
        <v>204</v>
      </c>
      <c r="D2033" t="n">
        <v>-0.0959</v>
      </c>
      <c r="E2033" t="n">
        <v>7.544</v>
      </c>
      <c r="F2033" t="n">
        <v>0.12182</v>
      </c>
    </row>
    <row r="2034">
      <c r="A2034" t="n">
        <v>2000205</v>
      </c>
      <c r="B2034" t="n">
        <v>2</v>
      </c>
      <c r="C2034" t="n">
        <v>205</v>
      </c>
      <c r="D2034" t="n">
        <v>-0.0968</v>
      </c>
      <c r="E2034" t="n">
        <v>7.5551</v>
      </c>
      <c r="F2034" t="n">
        <v>0.12182</v>
      </c>
    </row>
    <row r="2035">
      <c r="A2035" t="n">
        <v>2000206</v>
      </c>
      <c r="B2035" t="n">
        <v>2</v>
      </c>
      <c r="C2035" t="n">
        <v>206</v>
      </c>
      <c r="D2035" t="n">
        <v>-0.0977</v>
      </c>
      <c r="E2035" t="n">
        <v>7.566</v>
      </c>
      <c r="F2035" t="n">
        <v>0.12181</v>
      </c>
    </row>
    <row r="2036">
      <c r="A2036" t="n">
        <v>2000207</v>
      </c>
      <c r="B2036" t="n">
        <v>2</v>
      </c>
      <c r="C2036" t="n">
        <v>207</v>
      </c>
      <c r="D2036" t="n">
        <v>-0.09859999999999999</v>
      </c>
      <c r="E2036" t="n">
        <v>7.5769</v>
      </c>
      <c r="F2036" t="n">
        <v>0.12181</v>
      </c>
    </row>
    <row r="2037">
      <c r="A2037" t="n">
        <v>2000208</v>
      </c>
      <c r="B2037" t="n">
        <v>2</v>
      </c>
      <c r="C2037" t="n">
        <v>208</v>
      </c>
      <c r="D2037" t="n">
        <v>-0.09950000000000001</v>
      </c>
      <c r="E2037" t="n">
        <v>7.5878</v>
      </c>
      <c r="F2037" t="n">
        <v>0.1218</v>
      </c>
    </row>
    <row r="2038">
      <c r="A2038" t="n">
        <v>2000209</v>
      </c>
      <c r="B2038" t="n">
        <v>2</v>
      </c>
      <c r="C2038" t="n">
        <v>209</v>
      </c>
      <c r="D2038" t="n">
        <v>-0.1003</v>
      </c>
      <c r="E2038" t="n">
        <v>7.5986</v>
      </c>
      <c r="F2038" t="n">
        <v>0.1218</v>
      </c>
    </row>
    <row r="2039">
      <c r="A2039" t="n">
        <v>2000210</v>
      </c>
      <c r="B2039" t="n">
        <v>2</v>
      </c>
      <c r="C2039" t="n">
        <v>210</v>
      </c>
      <c r="D2039" t="n">
        <v>-0.1012</v>
      </c>
      <c r="E2039" t="n">
        <v>7.6094</v>
      </c>
      <c r="F2039" t="n">
        <v>0.12179</v>
      </c>
    </row>
    <row r="2040">
      <c r="A2040" t="n">
        <v>2000211</v>
      </c>
      <c r="B2040" t="n">
        <v>2</v>
      </c>
      <c r="C2040" t="n">
        <v>211</v>
      </c>
      <c r="D2040" t="n">
        <v>-0.1021</v>
      </c>
      <c r="E2040" t="n">
        <v>7.6202</v>
      </c>
      <c r="F2040" t="n">
        <v>0.12179</v>
      </c>
    </row>
    <row r="2041">
      <c r="A2041" t="n">
        <v>2000212</v>
      </c>
      <c r="B2041" t="n">
        <v>2</v>
      </c>
      <c r="C2041" t="n">
        <v>212</v>
      </c>
      <c r="D2041" t="n">
        <v>-0.103</v>
      </c>
      <c r="E2041" t="n">
        <v>7.6309</v>
      </c>
      <c r="F2041" t="n">
        <v>0.12179</v>
      </c>
    </row>
    <row r="2042">
      <c r="A2042" t="n">
        <v>2000213</v>
      </c>
      <c r="B2042" t="n">
        <v>2</v>
      </c>
      <c r="C2042" t="n">
        <v>213</v>
      </c>
      <c r="D2042" t="n">
        <v>-0.1039</v>
      </c>
      <c r="E2042" t="n">
        <v>7.6416</v>
      </c>
      <c r="F2042" t="n">
        <v>0.12178</v>
      </c>
    </row>
    <row r="2043">
      <c r="A2043" t="n">
        <v>2000214</v>
      </c>
      <c r="B2043" t="n">
        <v>2</v>
      </c>
      <c r="C2043" t="n">
        <v>214</v>
      </c>
      <c r="D2043" t="n">
        <v>-0.1047</v>
      </c>
      <c r="E2043" t="n">
        <v>7.6522</v>
      </c>
      <c r="F2043" t="n">
        <v>0.12178</v>
      </c>
    </row>
    <row r="2044">
      <c r="A2044" t="n">
        <v>2000215</v>
      </c>
      <c r="B2044" t="n">
        <v>2</v>
      </c>
      <c r="C2044" t="n">
        <v>215</v>
      </c>
      <c r="D2044" t="n">
        <v>-0.1056</v>
      </c>
      <c r="E2044" t="n">
        <v>7.6628</v>
      </c>
      <c r="F2044" t="n">
        <v>0.12178</v>
      </c>
    </row>
    <row r="2045">
      <c r="A2045" t="n">
        <v>2000216</v>
      </c>
      <c r="B2045" t="n">
        <v>2</v>
      </c>
      <c r="C2045" t="n">
        <v>216</v>
      </c>
      <c r="D2045" t="n">
        <v>-0.1065</v>
      </c>
      <c r="E2045" t="n">
        <v>7.6733</v>
      </c>
      <c r="F2045" t="n">
        <v>0.12177</v>
      </c>
    </row>
    <row r="2046">
      <c r="A2046" t="n">
        <v>2000217</v>
      </c>
      <c r="B2046" t="n">
        <v>2</v>
      </c>
      <c r="C2046" t="n">
        <v>217</v>
      </c>
      <c r="D2046" t="n">
        <v>-0.1073</v>
      </c>
      <c r="E2046" t="n">
        <v>7.6838</v>
      </c>
      <c r="F2046" t="n">
        <v>0.12177</v>
      </c>
    </row>
    <row r="2047">
      <c r="A2047" t="n">
        <v>2000218</v>
      </c>
      <c r="B2047" t="n">
        <v>2</v>
      </c>
      <c r="C2047" t="n">
        <v>218</v>
      </c>
      <c r="D2047" t="n">
        <v>-0.1082</v>
      </c>
      <c r="E2047" t="n">
        <v>7.6943</v>
      </c>
      <c r="F2047" t="n">
        <v>0.12177</v>
      </c>
    </row>
    <row r="2048">
      <c r="A2048" t="n">
        <v>2000219</v>
      </c>
      <c r="B2048" t="n">
        <v>2</v>
      </c>
      <c r="C2048" t="n">
        <v>219</v>
      </c>
      <c r="D2048" t="n">
        <v>-0.109</v>
      </c>
      <c r="E2048" t="n">
        <v>7.7047</v>
      </c>
      <c r="F2048" t="n">
        <v>0.12177</v>
      </c>
    </row>
    <row r="2049">
      <c r="A2049" t="n">
        <v>2000220</v>
      </c>
      <c r="B2049" t="n">
        <v>2</v>
      </c>
      <c r="C2049" t="n">
        <v>220</v>
      </c>
      <c r="D2049" t="n">
        <v>-0.1099</v>
      </c>
      <c r="E2049" t="n">
        <v>7.7151</v>
      </c>
      <c r="F2049" t="n">
        <v>0.12177</v>
      </c>
    </row>
    <row r="2050">
      <c r="A2050" t="n">
        <v>2000221</v>
      </c>
      <c r="B2050" t="n">
        <v>2</v>
      </c>
      <c r="C2050" t="n">
        <v>221</v>
      </c>
      <c r="D2050" t="n">
        <v>-0.1107</v>
      </c>
      <c r="E2050" t="n">
        <v>7.7254</v>
      </c>
      <c r="F2050" t="n">
        <v>0.12177</v>
      </c>
    </row>
    <row r="2051">
      <c r="A2051" t="n">
        <v>2000222</v>
      </c>
      <c r="B2051" t="n">
        <v>2</v>
      </c>
      <c r="C2051" t="n">
        <v>222</v>
      </c>
      <c r="D2051" t="n">
        <v>-0.1116</v>
      </c>
      <c r="E2051" t="n">
        <v>7.7357</v>
      </c>
      <c r="F2051" t="n">
        <v>0.12177</v>
      </c>
    </row>
    <row r="2052">
      <c r="A2052" t="n">
        <v>2000223</v>
      </c>
      <c r="B2052" t="n">
        <v>2</v>
      </c>
      <c r="C2052" t="n">
        <v>223</v>
      </c>
      <c r="D2052" t="n">
        <v>-0.1124</v>
      </c>
      <c r="E2052" t="n">
        <v>7.746</v>
      </c>
      <c r="F2052" t="n">
        <v>0.12176</v>
      </c>
    </row>
    <row r="2053">
      <c r="A2053" t="n">
        <v>2000224</v>
      </c>
      <c r="B2053" t="n">
        <v>2</v>
      </c>
      <c r="C2053" t="n">
        <v>224</v>
      </c>
      <c r="D2053" t="n">
        <v>-0.1132</v>
      </c>
      <c r="E2053" t="n">
        <v>7.7562</v>
      </c>
      <c r="F2053" t="n">
        <v>0.12176</v>
      </c>
    </row>
    <row r="2054">
      <c r="A2054" t="n">
        <v>2000225</v>
      </c>
      <c r="B2054" t="n">
        <v>2</v>
      </c>
      <c r="C2054" t="n">
        <v>225</v>
      </c>
      <c r="D2054" t="n">
        <v>-0.1141</v>
      </c>
      <c r="E2054" t="n">
        <v>7.7664</v>
      </c>
      <c r="F2054" t="n">
        <v>0.12176</v>
      </c>
    </row>
    <row r="2055">
      <c r="A2055" t="n">
        <v>2000226</v>
      </c>
      <c r="B2055" t="n">
        <v>2</v>
      </c>
      <c r="C2055" t="n">
        <v>226</v>
      </c>
      <c r="D2055" t="n">
        <v>-0.1149</v>
      </c>
      <c r="E2055" t="n">
        <v>7.7766</v>
      </c>
      <c r="F2055" t="n">
        <v>0.12176</v>
      </c>
    </row>
    <row r="2056">
      <c r="A2056" t="n">
        <v>2000227</v>
      </c>
      <c r="B2056" t="n">
        <v>2</v>
      </c>
      <c r="C2056" t="n">
        <v>227</v>
      </c>
      <c r="D2056" t="n">
        <v>-0.1157</v>
      </c>
      <c r="E2056" t="n">
        <v>7.7867</v>
      </c>
      <c r="F2056" t="n">
        <v>0.12177</v>
      </c>
    </row>
    <row r="2057">
      <c r="A2057" t="n">
        <v>2000228</v>
      </c>
      <c r="B2057" t="n">
        <v>2</v>
      </c>
      <c r="C2057" t="n">
        <v>228</v>
      </c>
      <c r="D2057" t="n">
        <v>-0.1165</v>
      </c>
      <c r="E2057" t="n">
        <v>7.7968</v>
      </c>
      <c r="F2057" t="n">
        <v>0.12177</v>
      </c>
    </row>
    <row r="2058">
      <c r="A2058" t="n">
        <v>2000229</v>
      </c>
      <c r="B2058" t="n">
        <v>2</v>
      </c>
      <c r="C2058" t="n">
        <v>229</v>
      </c>
      <c r="D2058" t="n">
        <v>-0.1173</v>
      </c>
      <c r="E2058" t="n">
        <v>7.8068</v>
      </c>
      <c r="F2058" t="n">
        <v>0.12177</v>
      </c>
    </row>
    <row r="2059">
      <c r="A2059" t="n">
        <v>2000230</v>
      </c>
      <c r="B2059" t="n">
        <v>2</v>
      </c>
      <c r="C2059" t="n">
        <v>230</v>
      </c>
      <c r="D2059" t="n">
        <v>-0.1181</v>
      </c>
      <c r="E2059" t="n">
        <v>7.8169</v>
      </c>
      <c r="F2059" t="n">
        <v>0.12177</v>
      </c>
    </row>
    <row r="2060">
      <c r="A2060" t="n">
        <v>2000231</v>
      </c>
      <c r="B2060" t="n">
        <v>2</v>
      </c>
      <c r="C2060" t="n">
        <v>231</v>
      </c>
      <c r="D2060" t="n">
        <v>-0.119</v>
      </c>
      <c r="E2060" t="n">
        <v>7.8268</v>
      </c>
      <c r="F2060" t="n">
        <v>0.12177</v>
      </c>
    </row>
    <row r="2061">
      <c r="A2061" t="n">
        <v>2000232</v>
      </c>
      <c r="B2061" t="n">
        <v>2</v>
      </c>
      <c r="C2061" t="n">
        <v>232</v>
      </c>
      <c r="D2061" t="n">
        <v>-0.1198</v>
      </c>
      <c r="E2061" t="n">
        <v>7.8368</v>
      </c>
      <c r="F2061" t="n">
        <v>0.12177</v>
      </c>
    </row>
    <row r="2062">
      <c r="A2062" t="n">
        <v>2000233</v>
      </c>
      <c r="B2062" t="n">
        <v>2</v>
      </c>
      <c r="C2062" t="n">
        <v>233</v>
      </c>
      <c r="D2062" t="n">
        <v>-0.1206</v>
      </c>
      <c r="E2062" t="n">
        <v>7.8467</v>
      </c>
      <c r="F2062" t="n">
        <v>0.12177</v>
      </c>
    </row>
    <row r="2063">
      <c r="A2063" t="n">
        <v>2000234</v>
      </c>
      <c r="B2063" t="n">
        <v>2</v>
      </c>
      <c r="C2063" t="n">
        <v>234</v>
      </c>
      <c r="D2063" t="n">
        <v>-0.1214</v>
      </c>
      <c r="E2063" t="n">
        <v>7.8566</v>
      </c>
      <c r="F2063" t="n">
        <v>0.12178</v>
      </c>
    </row>
    <row r="2064">
      <c r="A2064" t="n">
        <v>2000235</v>
      </c>
      <c r="B2064" t="n">
        <v>2</v>
      </c>
      <c r="C2064" t="n">
        <v>235</v>
      </c>
      <c r="D2064" t="n">
        <v>-0.1222</v>
      </c>
      <c r="E2064" t="n">
        <v>7.8664</v>
      </c>
      <c r="F2064" t="n">
        <v>0.12178</v>
      </c>
    </row>
    <row r="2065">
      <c r="A2065" t="n">
        <v>2000236</v>
      </c>
      <c r="B2065" t="n">
        <v>2</v>
      </c>
      <c r="C2065" t="n">
        <v>236</v>
      </c>
      <c r="D2065" t="n">
        <v>-0.1229</v>
      </c>
      <c r="E2065" t="n">
        <v>7.8762</v>
      </c>
      <c r="F2065" t="n">
        <v>0.12178</v>
      </c>
    </row>
    <row r="2066">
      <c r="A2066" t="n">
        <v>2000237</v>
      </c>
      <c r="B2066" t="n">
        <v>2</v>
      </c>
      <c r="C2066" t="n">
        <v>237</v>
      </c>
      <c r="D2066" t="n">
        <v>-0.1237</v>
      </c>
      <c r="E2066" t="n">
        <v>7.886</v>
      </c>
      <c r="F2066" t="n">
        <v>0.12178</v>
      </c>
    </row>
    <row r="2067">
      <c r="A2067" t="n">
        <v>2000238</v>
      </c>
      <c r="B2067" t="n">
        <v>2</v>
      </c>
      <c r="C2067" t="n">
        <v>238</v>
      </c>
      <c r="D2067" t="n">
        <v>-0.1245</v>
      </c>
      <c r="E2067" t="n">
        <v>7.8957</v>
      </c>
      <c r="F2067" t="n">
        <v>0.12179</v>
      </c>
    </row>
    <row r="2068">
      <c r="A2068" t="n">
        <v>2000239</v>
      </c>
      <c r="B2068" t="n">
        <v>2</v>
      </c>
      <c r="C2068" t="n">
        <v>239</v>
      </c>
      <c r="D2068" t="n">
        <v>-0.1253</v>
      </c>
      <c r="E2068" t="n">
        <v>7.9054</v>
      </c>
      <c r="F2068" t="n">
        <v>0.12179</v>
      </c>
    </row>
    <row r="2069">
      <c r="A2069" t="n">
        <v>2000240</v>
      </c>
      <c r="B2069" t="n">
        <v>2</v>
      </c>
      <c r="C2069" t="n">
        <v>240</v>
      </c>
      <c r="D2069" t="n">
        <v>-0.1261</v>
      </c>
      <c r="E2069" t="n">
        <v>7.9151</v>
      </c>
      <c r="F2069" t="n">
        <v>0.12179</v>
      </c>
    </row>
    <row r="2070">
      <c r="A2070" t="n">
        <v>2000241</v>
      </c>
      <c r="B2070" t="n">
        <v>2</v>
      </c>
      <c r="C2070" t="n">
        <v>241</v>
      </c>
      <c r="D2070" t="n">
        <v>-0.1269</v>
      </c>
      <c r="E2070" t="n">
        <v>7.9247</v>
      </c>
      <c r="F2070" t="n">
        <v>0.1218</v>
      </c>
    </row>
    <row r="2071">
      <c r="A2071" t="n">
        <v>2000242</v>
      </c>
      <c r="B2071" t="n">
        <v>2</v>
      </c>
      <c r="C2071" t="n">
        <v>242</v>
      </c>
      <c r="D2071" t="n">
        <v>-0.1276</v>
      </c>
      <c r="E2071" t="n">
        <v>7.9343</v>
      </c>
      <c r="F2071" t="n">
        <v>0.1218</v>
      </c>
    </row>
    <row r="2072">
      <c r="A2072" t="n">
        <v>2000243</v>
      </c>
      <c r="B2072" t="n">
        <v>2</v>
      </c>
      <c r="C2072" t="n">
        <v>243</v>
      </c>
      <c r="D2072" t="n">
        <v>-0.1284</v>
      </c>
      <c r="E2072" t="n">
        <v>7.9439</v>
      </c>
      <c r="F2072" t="n">
        <v>0.1218</v>
      </c>
    </row>
    <row r="2073">
      <c r="A2073" t="n">
        <v>2000244</v>
      </c>
      <c r="B2073" t="n">
        <v>2</v>
      </c>
      <c r="C2073" t="n">
        <v>244</v>
      </c>
      <c r="D2073" t="n">
        <v>-0.1292</v>
      </c>
      <c r="E2073" t="n">
        <v>7.9534</v>
      </c>
      <c r="F2073" t="n">
        <v>0.12181</v>
      </c>
    </row>
    <row r="2074">
      <c r="A2074" t="n">
        <v>2000245</v>
      </c>
      <c r="B2074" t="n">
        <v>2</v>
      </c>
      <c r="C2074" t="n">
        <v>245</v>
      </c>
      <c r="D2074" t="n">
        <v>-0.1299</v>
      </c>
      <c r="E2074" t="n">
        <v>7.9629</v>
      </c>
      <c r="F2074" t="n">
        <v>0.12181</v>
      </c>
    </row>
    <row r="2075">
      <c r="A2075" t="n">
        <v>2000246</v>
      </c>
      <c r="B2075" t="n">
        <v>2</v>
      </c>
      <c r="C2075" t="n">
        <v>246</v>
      </c>
      <c r="D2075" t="n">
        <v>-0.1307</v>
      </c>
      <c r="E2075" t="n">
        <v>7.9724</v>
      </c>
      <c r="F2075" t="n">
        <v>0.12182</v>
      </c>
    </row>
    <row r="2076">
      <c r="A2076" t="n">
        <v>2000247</v>
      </c>
      <c r="B2076" t="n">
        <v>2</v>
      </c>
      <c r="C2076" t="n">
        <v>247</v>
      </c>
      <c r="D2076" t="n">
        <v>-0.1314</v>
      </c>
      <c r="E2076" t="n">
        <v>7.9819</v>
      </c>
      <c r="F2076" t="n">
        <v>0.12182</v>
      </c>
    </row>
    <row r="2077">
      <c r="A2077" t="n">
        <v>2000248</v>
      </c>
      <c r="B2077" t="n">
        <v>2</v>
      </c>
      <c r="C2077" t="n">
        <v>248</v>
      </c>
      <c r="D2077" t="n">
        <v>-0.1322</v>
      </c>
      <c r="E2077" t="n">
        <v>7.9913</v>
      </c>
      <c r="F2077" t="n">
        <v>0.12182</v>
      </c>
    </row>
    <row r="2078">
      <c r="A2078" t="n">
        <v>2000249</v>
      </c>
      <c r="B2078" t="n">
        <v>2</v>
      </c>
      <c r="C2078" t="n">
        <v>249</v>
      </c>
      <c r="D2078" t="n">
        <v>-0.1329</v>
      </c>
      <c r="E2078" t="n">
        <v>8.0007</v>
      </c>
      <c r="F2078" t="n">
        <v>0.12183</v>
      </c>
    </row>
    <row r="2079">
      <c r="A2079" t="n">
        <v>2000250</v>
      </c>
      <c r="B2079" t="n">
        <v>2</v>
      </c>
      <c r="C2079" t="n">
        <v>250</v>
      </c>
      <c r="D2079" t="n">
        <v>-0.1337</v>
      </c>
      <c r="E2079" t="n">
        <v>8.01</v>
      </c>
      <c r="F2079" t="n">
        <v>0.12183</v>
      </c>
    </row>
    <row r="2080">
      <c r="A2080" t="n">
        <v>2000251</v>
      </c>
      <c r="B2080" t="n">
        <v>2</v>
      </c>
      <c r="C2080" t="n">
        <v>251</v>
      </c>
      <c r="D2080" t="n">
        <v>-0.1344</v>
      </c>
      <c r="E2080" t="n">
        <v>8.019299999999999</v>
      </c>
      <c r="F2080" t="n">
        <v>0.12184</v>
      </c>
    </row>
    <row r="2081">
      <c r="A2081" t="n">
        <v>2000252</v>
      </c>
      <c r="B2081" t="n">
        <v>2</v>
      </c>
      <c r="C2081" t="n">
        <v>252</v>
      </c>
      <c r="D2081" t="n">
        <v>-0.1352</v>
      </c>
      <c r="E2081" t="n">
        <v>8.028600000000001</v>
      </c>
      <c r="F2081" t="n">
        <v>0.12185</v>
      </c>
    </row>
    <row r="2082">
      <c r="A2082" t="n">
        <v>2000253</v>
      </c>
      <c r="B2082" t="n">
        <v>2</v>
      </c>
      <c r="C2082" t="n">
        <v>253</v>
      </c>
      <c r="D2082" t="n">
        <v>-0.1359</v>
      </c>
      <c r="E2082" t="n">
        <v>8.0379</v>
      </c>
      <c r="F2082" t="n">
        <v>0.12185</v>
      </c>
    </row>
    <row r="2083">
      <c r="A2083" t="n">
        <v>2000254</v>
      </c>
      <c r="B2083" t="n">
        <v>2</v>
      </c>
      <c r="C2083" t="n">
        <v>254</v>
      </c>
      <c r="D2083" t="n">
        <v>-0.1367</v>
      </c>
      <c r="E2083" t="n">
        <v>8.0471</v>
      </c>
      <c r="F2083" t="n">
        <v>0.12186</v>
      </c>
    </row>
    <row r="2084">
      <c r="A2084" t="n">
        <v>2000255</v>
      </c>
      <c r="B2084" t="n">
        <v>2</v>
      </c>
      <c r="C2084" t="n">
        <v>255</v>
      </c>
      <c r="D2084" t="n">
        <v>-0.1374</v>
      </c>
      <c r="E2084" t="n">
        <v>8.0563</v>
      </c>
      <c r="F2084" t="n">
        <v>0.12186</v>
      </c>
    </row>
    <row r="2085">
      <c r="A2085" t="n">
        <v>2000256</v>
      </c>
      <c r="B2085" t="n">
        <v>2</v>
      </c>
      <c r="C2085" t="n">
        <v>256</v>
      </c>
      <c r="D2085" t="n">
        <v>-0.1381</v>
      </c>
      <c r="E2085" t="n">
        <v>8.0655</v>
      </c>
      <c r="F2085" t="n">
        <v>0.12187</v>
      </c>
    </row>
    <row r="2086">
      <c r="A2086" t="n">
        <v>2000257</v>
      </c>
      <c r="B2086" t="n">
        <v>2</v>
      </c>
      <c r="C2086" t="n">
        <v>257</v>
      </c>
      <c r="D2086" t="n">
        <v>-0.1388</v>
      </c>
      <c r="E2086" t="n">
        <v>8.0746</v>
      </c>
      <c r="F2086" t="n">
        <v>0.12187</v>
      </c>
    </row>
    <row r="2087">
      <c r="A2087" t="n">
        <v>2000258</v>
      </c>
      <c r="B2087" t="n">
        <v>2</v>
      </c>
      <c r="C2087" t="n">
        <v>258</v>
      </c>
      <c r="D2087" t="n">
        <v>-0.1396</v>
      </c>
      <c r="E2087" t="n">
        <v>8.0837</v>
      </c>
      <c r="F2087" t="n">
        <v>0.12188</v>
      </c>
    </row>
    <row r="2088">
      <c r="A2088" t="n">
        <v>2000259</v>
      </c>
      <c r="B2088" t="n">
        <v>2</v>
      </c>
      <c r="C2088" t="n">
        <v>259</v>
      </c>
      <c r="D2088" t="n">
        <v>-0.1403</v>
      </c>
      <c r="E2088" t="n">
        <v>8.0928</v>
      </c>
      <c r="F2088" t="n">
        <v>0.12189</v>
      </c>
    </row>
    <row r="2089">
      <c r="A2089" t="n">
        <v>2000260</v>
      </c>
      <c r="B2089" t="n">
        <v>2</v>
      </c>
      <c r="C2089" t="n">
        <v>260</v>
      </c>
      <c r="D2089" t="n">
        <v>-0.141</v>
      </c>
      <c r="E2089" t="n">
        <v>8.101900000000001</v>
      </c>
      <c r="F2089" t="n">
        <v>0.12189</v>
      </c>
    </row>
    <row r="2090">
      <c r="A2090" t="n">
        <v>2000261</v>
      </c>
      <c r="B2090" t="n">
        <v>2</v>
      </c>
      <c r="C2090" t="n">
        <v>261</v>
      </c>
      <c r="D2090" t="n">
        <v>-0.1417</v>
      </c>
      <c r="E2090" t="n">
        <v>8.110900000000001</v>
      </c>
      <c r="F2090" t="n">
        <v>0.1219</v>
      </c>
    </row>
    <row r="2091">
      <c r="A2091" t="n">
        <v>2000262</v>
      </c>
      <c r="B2091" t="n">
        <v>2</v>
      </c>
      <c r="C2091" t="n">
        <v>262</v>
      </c>
      <c r="D2091" t="n">
        <v>-0.1424</v>
      </c>
      <c r="E2091" t="n">
        <v>8.119899999999999</v>
      </c>
      <c r="F2091" t="n">
        <v>0.1219</v>
      </c>
    </row>
    <row r="2092">
      <c r="A2092" t="n">
        <v>2000263</v>
      </c>
      <c r="B2092" t="n">
        <v>2</v>
      </c>
      <c r="C2092" t="n">
        <v>263</v>
      </c>
      <c r="D2092" t="n">
        <v>-0.1431</v>
      </c>
      <c r="E2092" t="n">
        <v>8.1289</v>
      </c>
      <c r="F2092" t="n">
        <v>0.12191</v>
      </c>
    </row>
    <row r="2093">
      <c r="A2093" t="n">
        <v>2000264</v>
      </c>
      <c r="B2093" t="n">
        <v>2</v>
      </c>
      <c r="C2093" t="n">
        <v>264</v>
      </c>
      <c r="D2093" t="n">
        <v>-0.1438</v>
      </c>
      <c r="E2093" t="n">
        <v>8.1378</v>
      </c>
      <c r="F2093" t="n">
        <v>0.12192</v>
      </c>
    </row>
    <row r="2094">
      <c r="A2094" t="n">
        <v>2000265</v>
      </c>
      <c r="B2094" t="n">
        <v>2</v>
      </c>
      <c r="C2094" t="n">
        <v>265</v>
      </c>
      <c r="D2094" t="n">
        <v>-0.1445</v>
      </c>
      <c r="E2094" t="n">
        <v>8.146800000000001</v>
      </c>
      <c r="F2094" t="n">
        <v>0.12192</v>
      </c>
    </row>
    <row r="2095">
      <c r="A2095" t="n">
        <v>2000266</v>
      </c>
      <c r="B2095" t="n">
        <v>2</v>
      </c>
      <c r="C2095" t="n">
        <v>266</v>
      </c>
      <c r="D2095" t="n">
        <v>-0.1452</v>
      </c>
      <c r="E2095" t="n">
        <v>8.1557</v>
      </c>
      <c r="F2095" t="n">
        <v>0.12193</v>
      </c>
    </row>
    <row r="2096">
      <c r="A2096" t="n">
        <v>2000267</v>
      </c>
      <c r="B2096" t="n">
        <v>2</v>
      </c>
      <c r="C2096" t="n">
        <v>267</v>
      </c>
      <c r="D2096" t="n">
        <v>-0.1459</v>
      </c>
      <c r="E2096" t="n">
        <v>8.1645</v>
      </c>
      <c r="F2096" t="n">
        <v>0.12194</v>
      </c>
    </row>
    <row r="2097">
      <c r="A2097" t="n">
        <v>2000268</v>
      </c>
      <c r="B2097" t="n">
        <v>2</v>
      </c>
      <c r="C2097" t="n">
        <v>268</v>
      </c>
      <c r="D2097" t="n">
        <v>-0.1466</v>
      </c>
      <c r="E2097" t="n">
        <v>8.173400000000001</v>
      </c>
      <c r="F2097" t="n">
        <v>0.12194</v>
      </c>
    </row>
    <row r="2098">
      <c r="A2098" t="n">
        <v>2000269</v>
      </c>
      <c r="B2098" t="n">
        <v>2</v>
      </c>
      <c r="C2098" t="n">
        <v>269</v>
      </c>
      <c r="D2098" t="n">
        <v>-0.1473</v>
      </c>
      <c r="E2098" t="n">
        <v>8.1822</v>
      </c>
      <c r="F2098" t="n">
        <v>0.12195</v>
      </c>
    </row>
    <row r="2099">
      <c r="A2099" t="n">
        <v>2000270</v>
      </c>
      <c r="B2099" t="n">
        <v>2</v>
      </c>
      <c r="C2099" t="n">
        <v>270</v>
      </c>
      <c r="D2099" t="n">
        <v>-0.148</v>
      </c>
      <c r="E2099" t="n">
        <v>8.191000000000001</v>
      </c>
      <c r="F2099" t="n">
        <v>0.12196</v>
      </c>
    </row>
    <row r="2100">
      <c r="A2100" t="n">
        <v>2000271</v>
      </c>
      <c r="B2100" t="n">
        <v>2</v>
      </c>
      <c r="C2100" t="n">
        <v>271</v>
      </c>
      <c r="D2100" t="n">
        <v>-0.1487</v>
      </c>
      <c r="E2100" t="n">
        <v>8.1998</v>
      </c>
      <c r="F2100" t="n">
        <v>0.12197</v>
      </c>
    </row>
    <row r="2101">
      <c r="A2101" t="n">
        <v>2000272</v>
      </c>
      <c r="B2101" t="n">
        <v>2</v>
      </c>
      <c r="C2101" t="n">
        <v>272</v>
      </c>
      <c r="D2101" t="n">
        <v>-0.1494</v>
      </c>
      <c r="E2101" t="n">
        <v>8.208500000000001</v>
      </c>
      <c r="F2101" t="n">
        <v>0.12197</v>
      </c>
    </row>
    <row r="2102">
      <c r="A2102" t="n">
        <v>2000273</v>
      </c>
      <c r="B2102" t="n">
        <v>2</v>
      </c>
      <c r="C2102" t="n">
        <v>273</v>
      </c>
      <c r="D2102" t="n">
        <v>-0.1501</v>
      </c>
      <c r="E2102" t="n">
        <v>8.2172</v>
      </c>
      <c r="F2102" t="n">
        <v>0.12198</v>
      </c>
    </row>
    <row r="2103">
      <c r="A2103" t="n">
        <v>2000274</v>
      </c>
      <c r="B2103" t="n">
        <v>2</v>
      </c>
      <c r="C2103" t="n">
        <v>274</v>
      </c>
      <c r="D2103" t="n">
        <v>-0.1507</v>
      </c>
      <c r="E2103" t="n">
        <v>8.225899999999999</v>
      </c>
      <c r="F2103" t="n">
        <v>0.12199</v>
      </c>
    </row>
    <row r="2104">
      <c r="A2104" t="n">
        <v>2000275</v>
      </c>
      <c r="B2104" t="n">
        <v>2</v>
      </c>
      <c r="C2104" t="n">
        <v>275</v>
      </c>
      <c r="D2104" t="n">
        <v>-0.1514</v>
      </c>
      <c r="E2104" t="n">
        <v>8.2346</v>
      </c>
      <c r="F2104" t="n">
        <v>0.12199</v>
      </c>
    </row>
    <row r="2105">
      <c r="A2105" t="n">
        <v>2000276</v>
      </c>
      <c r="B2105" t="n">
        <v>2</v>
      </c>
      <c r="C2105" t="n">
        <v>276</v>
      </c>
      <c r="D2105" t="n">
        <v>-0.1521</v>
      </c>
      <c r="E2105" t="n">
        <v>8.2432</v>
      </c>
      <c r="F2105" t="n">
        <v>0.122</v>
      </c>
    </row>
    <row r="2106">
      <c r="A2106" t="n">
        <v>2000277</v>
      </c>
      <c r="B2106" t="n">
        <v>2</v>
      </c>
      <c r="C2106" t="n">
        <v>277</v>
      </c>
      <c r="D2106" t="n">
        <v>-0.1528</v>
      </c>
      <c r="E2106" t="n">
        <v>8.251899999999999</v>
      </c>
      <c r="F2106" t="n">
        <v>0.12201</v>
      </c>
    </row>
    <row r="2107">
      <c r="A2107" t="n">
        <v>2000278</v>
      </c>
      <c r="B2107" t="n">
        <v>2</v>
      </c>
      <c r="C2107" t="n">
        <v>278</v>
      </c>
      <c r="D2107" t="n">
        <v>-0.1534</v>
      </c>
      <c r="E2107" t="n">
        <v>8.2605</v>
      </c>
      <c r="F2107" t="n">
        <v>0.12202</v>
      </c>
    </row>
    <row r="2108">
      <c r="A2108" t="n">
        <v>2000279</v>
      </c>
      <c r="B2108" t="n">
        <v>2</v>
      </c>
      <c r="C2108" t="n">
        <v>279</v>
      </c>
      <c r="D2108" t="n">
        <v>-0.1541</v>
      </c>
      <c r="E2108" t="n">
        <v>8.269</v>
      </c>
      <c r="F2108" t="n">
        <v>0.12202</v>
      </c>
    </row>
    <row r="2109">
      <c r="A2109" t="n">
        <v>2000280</v>
      </c>
      <c r="B2109" t="n">
        <v>2</v>
      </c>
      <c r="C2109" t="n">
        <v>280</v>
      </c>
      <c r="D2109" t="n">
        <v>-0.1547</v>
      </c>
      <c r="E2109" t="n">
        <v>8.2776</v>
      </c>
      <c r="F2109" t="n">
        <v>0.12203</v>
      </c>
    </row>
    <row r="2110">
      <c r="A2110" t="n">
        <v>2000281</v>
      </c>
      <c r="B2110" t="n">
        <v>2</v>
      </c>
      <c r="C2110" t="n">
        <v>281</v>
      </c>
      <c r="D2110" t="n">
        <v>-0.1554</v>
      </c>
      <c r="E2110" t="n">
        <v>8.286099999999999</v>
      </c>
      <c r="F2110" t="n">
        <v>0.12204</v>
      </c>
    </row>
    <row r="2111">
      <c r="A2111" t="n">
        <v>2000282</v>
      </c>
      <c r="B2111" t="n">
        <v>2</v>
      </c>
      <c r="C2111" t="n">
        <v>282</v>
      </c>
      <c r="D2111" t="n">
        <v>-0.1561</v>
      </c>
      <c r="E2111" t="n">
        <v>8.294600000000001</v>
      </c>
      <c r="F2111" t="n">
        <v>0.12205</v>
      </c>
    </row>
    <row r="2112">
      <c r="A2112" t="n">
        <v>2000283</v>
      </c>
      <c r="B2112" t="n">
        <v>2</v>
      </c>
      <c r="C2112" t="n">
        <v>283</v>
      </c>
      <c r="D2112" t="n">
        <v>-0.1567</v>
      </c>
      <c r="E2112" t="n">
        <v>8.303100000000001</v>
      </c>
      <c r="F2112" t="n">
        <v>0.12206</v>
      </c>
    </row>
    <row r="2113">
      <c r="A2113" t="n">
        <v>2000284</v>
      </c>
      <c r="B2113" t="n">
        <v>2</v>
      </c>
      <c r="C2113" t="n">
        <v>284</v>
      </c>
      <c r="D2113" t="n">
        <v>-0.1574</v>
      </c>
      <c r="E2113" t="n">
        <v>8.3116</v>
      </c>
      <c r="F2113" t="n">
        <v>0.12206</v>
      </c>
    </row>
    <row r="2114">
      <c r="A2114" t="n">
        <v>2000285</v>
      </c>
      <c r="B2114" t="n">
        <v>2</v>
      </c>
      <c r="C2114" t="n">
        <v>285</v>
      </c>
      <c r="D2114" t="n">
        <v>-0.158</v>
      </c>
      <c r="E2114" t="n">
        <v>8.3201</v>
      </c>
      <c r="F2114" t="n">
        <v>0.12207</v>
      </c>
    </row>
    <row r="2115">
      <c r="A2115" t="n">
        <v>2000286</v>
      </c>
      <c r="B2115" t="n">
        <v>2</v>
      </c>
      <c r="C2115" t="n">
        <v>286</v>
      </c>
      <c r="D2115" t="n">
        <v>-0.1587</v>
      </c>
      <c r="E2115" t="n">
        <v>8.3285</v>
      </c>
      <c r="F2115" t="n">
        <v>0.12208</v>
      </c>
    </row>
    <row r="2116">
      <c r="A2116" t="n">
        <v>2000287</v>
      </c>
      <c r="B2116" t="n">
        <v>2</v>
      </c>
      <c r="C2116" t="n">
        <v>287</v>
      </c>
      <c r="D2116" t="n">
        <v>-0.1593</v>
      </c>
      <c r="E2116" t="n">
        <v>8.3369</v>
      </c>
      <c r="F2116" t="n">
        <v>0.12209</v>
      </c>
    </row>
    <row r="2117">
      <c r="A2117" t="n">
        <v>2000288</v>
      </c>
      <c r="B2117" t="n">
        <v>2</v>
      </c>
      <c r="C2117" t="n">
        <v>288</v>
      </c>
      <c r="D2117" t="n">
        <v>-0.1599</v>
      </c>
      <c r="E2117" t="n">
        <v>8.3453</v>
      </c>
      <c r="F2117" t="n">
        <v>0.12209</v>
      </c>
    </row>
    <row r="2118">
      <c r="A2118" t="n">
        <v>2000289</v>
      </c>
      <c r="B2118" t="n">
        <v>2</v>
      </c>
      <c r="C2118" t="n">
        <v>289</v>
      </c>
      <c r="D2118" t="n">
        <v>-0.1606</v>
      </c>
      <c r="E2118" t="n">
        <v>8.3536</v>
      </c>
      <c r="F2118" t="n">
        <v>0.1221</v>
      </c>
    </row>
    <row r="2119">
      <c r="A2119" t="n">
        <v>2000290</v>
      </c>
      <c r="B2119" t="n">
        <v>2</v>
      </c>
      <c r="C2119" t="n">
        <v>290</v>
      </c>
      <c r="D2119" t="n">
        <v>-0.1612</v>
      </c>
      <c r="E2119" t="n">
        <v>8.362</v>
      </c>
      <c r="F2119" t="n">
        <v>0.12211</v>
      </c>
    </row>
    <row r="2120">
      <c r="A2120" t="n">
        <v>2000291</v>
      </c>
      <c r="B2120" t="n">
        <v>2</v>
      </c>
      <c r="C2120" t="n">
        <v>291</v>
      </c>
      <c r="D2120" t="n">
        <v>-0.1618</v>
      </c>
      <c r="E2120" t="n">
        <v>8.3703</v>
      </c>
      <c r="F2120" t="n">
        <v>0.12212</v>
      </c>
    </row>
    <row r="2121">
      <c r="A2121" t="n">
        <v>2000292</v>
      </c>
      <c r="B2121" t="n">
        <v>2</v>
      </c>
      <c r="C2121" t="n">
        <v>292</v>
      </c>
      <c r="D2121" t="n">
        <v>-0.1625</v>
      </c>
      <c r="E2121" t="n">
        <v>8.3786</v>
      </c>
      <c r="F2121" t="n">
        <v>0.12213</v>
      </c>
    </row>
    <row r="2122">
      <c r="A2122" t="n">
        <v>2000293</v>
      </c>
      <c r="B2122" t="n">
        <v>2</v>
      </c>
      <c r="C2122" t="n">
        <v>293</v>
      </c>
      <c r="D2122" t="n">
        <v>-0.1631</v>
      </c>
      <c r="E2122" t="n">
        <v>8.386900000000001</v>
      </c>
      <c r="F2122" t="n">
        <v>0.12213</v>
      </c>
    </row>
    <row r="2123">
      <c r="A2123" t="n">
        <v>2000294</v>
      </c>
      <c r="B2123" t="n">
        <v>2</v>
      </c>
      <c r="C2123" t="n">
        <v>294</v>
      </c>
      <c r="D2123" t="n">
        <v>-0.1637</v>
      </c>
      <c r="E2123" t="n">
        <v>8.395200000000001</v>
      </c>
      <c r="F2123" t="n">
        <v>0.12214</v>
      </c>
    </row>
    <row r="2124">
      <c r="A2124" t="n">
        <v>2000295</v>
      </c>
      <c r="B2124" t="n">
        <v>2</v>
      </c>
      <c r="C2124" t="n">
        <v>295</v>
      </c>
      <c r="D2124" t="n">
        <v>-0.1643</v>
      </c>
      <c r="E2124" t="n">
        <v>8.403499999999999</v>
      </c>
      <c r="F2124" t="n">
        <v>0.12215</v>
      </c>
    </row>
    <row r="2125">
      <c r="A2125" t="n">
        <v>2000296</v>
      </c>
      <c r="B2125" t="n">
        <v>2</v>
      </c>
      <c r="C2125" t="n">
        <v>296</v>
      </c>
      <c r="D2125" t="n">
        <v>-0.165</v>
      </c>
      <c r="E2125" t="n">
        <v>8.4117</v>
      </c>
      <c r="F2125" t="n">
        <v>0.12216</v>
      </c>
    </row>
    <row r="2126">
      <c r="A2126" t="n">
        <v>2000297</v>
      </c>
      <c r="B2126" t="n">
        <v>2</v>
      </c>
      <c r="C2126" t="n">
        <v>297</v>
      </c>
      <c r="D2126" t="n">
        <v>-0.1656</v>
      </c>
      <c r="E2126" t="n">
        <v>8.4199</v>
      </c>
      <c r="F2126" t="n">
        <v>0.12217</v>
      </c>
    </row>
    <row r="2127">
      <c r="A2127" t="n">
        <v>2000298</v>
      </c>
      <c r="B2127" t="n">
        <v>2</v>
      </c>
      <c r="C2127" t="n">
        <v>298</v>
      </c>
      <c r="D2127" t="n">
        <v>-0.1662</v>
      </c>
      <c r="E2127" t="n">
        <v>8.428100000000001</v>
      </c>
      <c r="F2127" t="n">
        <v>0.12218</v>
      </c>
    </row>
    <row r="2128">
      <c r="A2128" t="n">
        <v>2000299</v>
      </c>
      <c r="B2128" t="n">
        <v>2</v>
      </c>
      <c r="C2128" t="n">
        <v>299</v>
      </c>
      <c r="D2128" t="n">
        <v>-0.1668</v>
      </c>
      <c r="E2128" t="n">
        <v>8.436299999999999</v>
      </c>
      <c r="F2128" t="n">
        <v>0.12218</v>
      </c>
    </row>
    <row r="2129">
      <c r="A2129" t="n">
        <v>2000300</v>
      </c>
      <c r="B2129" t="n">
        <v>2</v>
      </c>
      <c r="C2129" t="n">
        <v>300</v>
      </c>
      <c r="D2129" t="n">
        <v>-0.1674</v>
      </c>
      <c r="E2129" t="n">
        <v>8.4445</v>
      </c>
      <c r="F2129" t="n">
        <v>0.12219</v>
      </c>
    </row>
    <row r="2130">
      <c r="A2130" t="n">
        <v>2000301</v>
      </c>
      <c r="B2130" t="n">
        <v>2</v>
      </c>
      <c r="C2130" t="n">
        <v>301</v>
      </c>
      <c r="D2130" t="n">
        <v>-0.168</v>
      </c>
      <c r="E2130" t="n">
        <v>8.4526</v>
      </c>
      <c r="F2130" t="n">
        <v>0.1222</v>
      </c>
    </row>
    <row r="2131">
      <c r="A2131" t="n">
        <v>2000302</v>
      </c>
      <c r="B2131" t="n">
        <v>2</v>
      </c>
      <c r="C2131" t="n">
        <v>302</v>
      </c>
      <c r="D2131" t="n">
        <v>-0.1686</v>
      </c>
      <c r="E2131" t="n">
        <v>8.460699999999999</v>
      </c>
      <c r="F2131" t="n">
        <v>0.12221</v>
      </c>
    </row>
    <row r="2132">
      <c r="A2132" t="n">
        <v>2000303</v>
      </c>
      <c r="B2132" t="n">
        <v>2</v>
      </c>
      <c r="C2132" t="n">
        <v>303</v>
      </c>
      <c r="D2132" t="n">
        <v>-0.1692</v>
      </c>
      <c r="E2132" t="n">
        <v>8.4688</v>
      </c>
      <c r="F2132" t="n">
        <v>0.12222</v>
      </c>
    </row>
    <row r="2133">
      <c r="A2133" t="n">
        <v>2000304</v>
      </c>
      <c r="B2133" t="n">
        <v>2</v>
      </c>
      <c r="C2133" t="n">
        <v>304</v>
      </c>
      <c r="D2133" t="n">
        <v>-0.1698</v>
      </c>
      <c r="E2133" t="n">
        <v>8.476900000000001</v>
      </c>
      <c r="F2133" t="n">
        <v>0.12222</v>
      </c>
    </row>
    <row r="2134">
      <c r="A2134" t="n">
        <v>2000305</v>
      </c>
      <c r="B2134" t="n">
        <v>2</v>
      </c>
      <c r="C2134" t="n">
        <v>305</v>
      </c>
      <c r="D2134" t="n">
        <v>-0.1704</v>
      </c>
      <c r="E2134" t="n">
        <v>8.484999999999999</v>
      </c>
      <c r="F2134" t="n">
        <v>0.12223</v>
      </c>
    </row>
    <row r="2135">
      <c r="A2135" t="n">
        <v>2000306</v>
      </c>
      <c r="B2135" t="n">
        <v>2</v>
      </c>
      <c r="C2135" t="n">
        <v>306</v>
      </c>
      <c r="D2135" t="n">
        <v>-0.171</v>
      </c>
      <c r="E2135" t="n">
        <v>8.4931</v>
      </c>
      <c r="F2135" t="n">
        <v>0.12224</v>
      </c>
    </row>
    <row r="2136">
      <c r="A2136" t="n">
        <v>2000307</v>
      </c>
      <c r="B2136" t="n">
        <v>2</v>
      </c>
      <c r="C2136" t="n">
        <v>307</v>
      </c>
      <c r="D2136" t="n">
        <v>-0.1716</v>
      </c>
      <c r="E2136" t="n">
        <v>8.501099999999999</v>
      </c>
      <c r="F2136" t="n">
        <v>0.12225</v>
      </c>
    </row>
    <row r="2137">
      <c r="A2137" t="n">
        <v>2000308</v>
      </c>
      <c r="B2137" t="n">
        <v>2</v>
      </c>
      <c r="C2137" t="n">
        <v>308</v>
      </c>
      <c r="D2137" t="n">
        <v>-0.1722</v>
      </c>
      <c r="E2137" t="n">
        <v>8.5092</v>
      </c>
      <c r="F2137" t="n">
        <v>0.12226</v>
      </c>
    </row>
    <row r="2138">
      <c r="A2138" t="n">
        <v>2000309</v>
      </c>
      <c r="B2138" t="n">
        <v>2</v>
      </c>
      <c r="C2138" t="n">
        <v>309</v>
      </c>
      <c r="D2138" t="n">
        <v>-0.1728</v>
      </c>
      <c r="E2138" t="n">
        <v>8.517200000000001</v>
      </c>
      <c r="F2138" t="n">
        <v>0.12227</v>
      </c>
    </row>
    <row r="2139">
      <c r="A2139" t="n">
        <v>2000310</v>
      </c>
      <c r="B2139" t="n">
        <v>2</v>
      </c>
      <c r="C2139" t="n">
        <v>310</v>
      </c>
      <c r="D2139" t="n">
        <v>-0.1734</v>
      </c>
      <c r="E2139" t="n">
        <v>8.5252</v>
      </c>
      <c r="F2139" t="n">
        <v>0.12227</v>
      </c>
    </row>
    <row r="2140">
      <c r="A2140" t="n">
        <v>2000311</v>
      </c>
      <c r="B2140" t="n">
        <v>2</v>
      </c>
      <c r="C2140" t="n">
        <v>311</v>
      </c>
      <c r="D2140" t="n">
        <v>-0.174</v>
      </c>
      <c r="E2140" t="n">
        <v>8.533200000000001</v>
      </c>
      <c r="F2140" t="n">
        <v>0.12228</v>
      </c>
    </row>
    <row r="2141">
      <c r="A2141" t="n">
        <v>2000312</v>
      </c>
      <c r="B2141" t="n">
        <v>2</v>
      </c>
      <c r="C2141" t="n">
        <v>312</v>
      </c>
      <c r="D2141" t="n">
        <v>-0.1745</v>
      </c>
      <c r="E2141" t="n">
        <v>8.5411</v>
      </c>
      <c r="F2141" t="n">
        <v>0.12229</v>
      </c>
    </row>
    <row r="2142">
      <c r="A2142" t="n">
        <v>2000313</v>
      </c>
      <c r="B2142" t="n">
        <v>2</v>
      </c>
      <c r="C2142" t="n">
        <v>313</v>
      </c>
      <c r="D2142" t="n">
        <v>-0.1751</v>
      </c>
      <c r="E2142" t="n">
        <v>8.549099999999999</v>
      </c>
      <c r="F2142" t="n">
        <v>0.1223</v>
      </c>
    </row>
    <row r="2143">
      <c r="A2143" t="n">
        <v>2000314</v>
      </c>
      <c r="B2143" t="n">
        <v>2</v>
      </c>
      <c r="C2143" t="n">
        <v>314</v>
      </c>
      <c r="D2143" t="n">
        <v>-0.1757</v>
      </c>
      <c r="E2143" t="n">
        <v>8.557</v>
      </c>
      <c r="F2143" t="n">
        <v>0.12231</v>
      </c>
    </row>
    <row r="2144">
      <c r="A2144" t="n">
        <v>2000315</v>
      </c>
      <c r="B2144" t="n">
        <v>2</v>
      </c>
      <c r="C2144" t="n">
        <v>315</v>
      </c>
      <c r="D2144" t="n">
        <v>-0.1763</v>
      </c>
      <c r="E2144" t="n">
        <v>8.565</v>
      </c>
      <c r="F2144" t="n">
        <v>0.12231</v>
      </c>
    </row>
    <row r="2145">
      <c r="A2145" t="n">
        <v>2000316</v>
      </c>
      <c r="B2145" t="n">
        <v>2</v>
      </c>
      <c r="C2145" t="n">
        <v>316</v>
      </c>
      <c r="D2145" t="n">
        <v>-0.1768</v>
      </c>
      <c r="E2145" t="n">
        <v>8.572900000000001</v>
      </c>
      <c r="F2145" t="n">
        <v>0.12232</v>
      </c>
    </row>
    <row r="2146">
      <c r="A2146" t="n">
        <v>2000317</v>
      </c>
      <c r="B2146" t="n">
        <v>2</v>
      </c>
      <c r="C2146" t="n">
        <v>317</v>
      </c>
      <c r="D2146" t="n">
        <v>-0.1774</v>
      </c>
      <c r="E2146" t="n">
        <v>8.5808</v>
      </c>
      <c r="F2146" t="n">
        <v>0.12233</v>
      </c>
    </row>
    <row r="2147">
      <c r="A2147" t="n">
        <v>2000318</v>
      </c>
      <c r="B2147" t="n">
        <v>2</v>
      </c>
      <c r="C2147" t="n">
        <v>318</v>
      </c>
      <c r="D2147" t="n">
        <v>-0.178</v>
      </c>
      <c r="E2147" t="n">
        <v>8.588699999999999</v>
      </c>
      <c r="F2147" t="n">
        <v>0.12234</v>
      </c>
    </row>
    <row r="2148">
      <c r="A2148" t="n">
        <v>2000319</v>
      </c>
      <c r="B2148" t="n">
        <v>2</v>
      </c>
      <c r="C2148" t="n">
        <v>319</v>
      </c>
      <c r="D2148" t="n">
        <v>-0.1785</v>
      </c>
      <c r="E2148" t="n">
        <v>8.596500000000001</v>
      </c>
      <c r="F2148" t="n">
        <v>0.12235</v>
      </c>
    </row>
    <row r="2149">
      <c r="A2149" t="n">
        <v>2000320</v>
      </c>
      <c r="B2149" t="n">
        <v>2</v>
      </c>
      <c r="C2149" t="n">
        <v>320</v>
      </c>
      <c r="D2149" t="n">
        <v>-0.1791</v>
      </c>
      <c r="E2149" t="n">
        <v>8.6044</v>
      </c>
      <c r="F2149" t="n">
        <v>0.12235</v>
      </c>
    </row>
    <row r="2150">
      <c r="A2150" t="n">
        <v>2000321</v>
      </c>
      <c r="B2150" t="n">
        <v>2</v>
      </c>
      <c r="C2150" t="n">
        <v>321</v>
      </c>
      <c r="D2150" t="n">
        <v>-0.1797</v>
      </c>
      <c r="E2150" t="n">
        <v>8.6122</v>
      </c>
      <c r="F2150" t="n">
        <v>0.12236</v>
      </c>
    </row>
    <row r="2151">
      <c r="A2151" t="n">
        <v>2000322</v>
      </c>
      <c r="B2151" t="n">
        <v>2</v>
      </c>
      <c r="C2151" t="n">
        <v>322</v>
      </c>
      <c r="D2151" t="n">
        <v>-0.1802</v>
      </c>
      <c r="E2151" t="n">
        <v>8.620100000000001</v>
      </c>
      <c r="F2151" t="n">
        <v>0.12237</v>
      </c>
    </row>
    <row r="2152">
      <c r="A2152" t="n">
        <v>2000323</v>
      </c>
      <c r="B2152" t="n">
        <v>2</v>
      </c>
      <c r="C2152" t="n">
        <v>323</v>
      </c>
      <c r="D2152" t="n">
        <v>-0.1808</v>
      </c>
      <c r="E2152" t="n">
        <v>8.6279</v>
      </c>
      <c r="F2152" t="n">
        <v>0.12238</v>
      </c>
    </row>
    <row r="2153">
      <c r="A2153" t="n">
        <v>2000324</v>
      </c>
      <c r="B2153" t="n">
        <v>2</v>
      </c>
      <c r="C2153" t="n">
        <v>324</v>
      </c>
      <c r="D2153" t="n">
        <v>-0.1813</v>
      </c>
      <c r="E2153" t="n">
        <v>8.6357</v>
      </c>
      <c r="F2153" t="n">
        <v>0.12239</v>
      </c>
    </row>
    <row r="2154">
      <c r="A2154" t="n">
        <v>2000325</v>
      </c>
      <c r="B2154" t="n">
        <v>2</v>
      </c>
      <c r="C2154" t="n">
        <v>325</v>
      </c>
      <c r="D2154" t="n">
        <v>-0.1819</v>
      </c>
      <c r="E2154" t="n">
        <v>8.6435</v>
      </c>
      <c r="F2154" t="n">
        <v>0.12239</v>
      </c>
    </row>
    <row r="2155">
      <c r="A2155" t="n">
        <v>2000326</v>
      </c>
      <c r="B2155" t="n">
        <v>2</v>
      </c>
      <c r="C2155" t="n">
        <v>326</v>
      </c>
      <c r="D2155" t="n">
        <v>-0.1824</v>
      </c>
      <c r="E2155" t="n">
        <v>8.651199999999999</v>
      </c>
      <c r="F2155" t="n">
        <v>0.1224</v>
      </c>
    </row>
    <row r="2156">
      <c r="A2156" t="n">
        <v>2000327</v>
      </c>
      <c r="B2156" t="n">
        <v>2</v>
      </c>
      <c r="C2156" t="n">
        <v>327</v>
      </c>
      <c r="D2156" t="n">
        <v>-0.183</v>
      </c>
      <c r="E2156" t="n">
        <v>8.659000000000001</v>
      </c>
      <c r="F2156" t="n">
        <v>0.12241</v>
      </c>
    </row>
    <row r="2157">
      <c r="A2157" t="n">
        <v>2000328</v>
      </c>
      <c r="B2157" t="n">
        <v>2</v>
      </c>
      <c r="C2157" t="n">
        <v>328</v>
      </c>
      <c r="D2157" t="n">
        <v>-0.1835</v>
      </c>
      <c r="E2157" t="n">
        <v>8.666700000000001</v>
      </c>
      <c r="F2157" t="n">
        <v>0.12242</v>
      </c>
    </row>
    <row r="2158">
      <c r="A2158" t="n">
        <v>2000329</v>
      </c>
      <c r="B2158" t="n">
        <v>2</v>
      </c>
      <c r="C2158" t="n">
        <v>329</v>
      </c>
      <c r="D2158" t="n">
        <v>-0.1841</v>
      </c>
      <c r="E2158" t="n">
        <v>8.6745</v>
      </c>
      <c r="F2158" t="n">
        <v>0.12243</v>
      </c>
    </row>
    <row r="2159">
      <c r="A2159" t="n">
        <v>2000330</v>
      </c>
      <c r="B2159" t="n">
        <v>2</v>
      </c>
      <c r="C2159" t="n">
        <v>330</v>
      </c>
      <c r="D2159" t="n">
        <v>-0.1846</v>
      </c>
      <c r="E2159" t="n">
        <v>8.6822</v>
      </c>
      <c r="F2159" t="n">
        <v>0.12243</v>
      </c>
    </row>
    <row r="2160">
      <c r="A2160" t="n">
        <v>2000331</v>
      </c>
      <c r="B2160" t="n">
        <v>2</v>
      </c>
      <c r="C2160" t="n">
        <v>331</v>
      </c>
      <c r="D2160" t="n">
        <v>-0.1851</v>
      </c>
      <c r="E2160" t="n">
        <v>8.6899</v>
      </c>
      <c r="F2160" t="n">
        <v>0.12244</v>
      </c>
    </row>
    <row r="2161">
      <c r="A2161" t="n">
        <v>2000332</v>
      </c>
      <c r="B2161" t="n">
        <v>2</v>
      </c>
      <c r="C2161" t="n">
        <v>332</v>
      </c>
      <c r="D2161" t="n">
        <v>-0.1857</v>
      </c>
      <c r="E2161" t="n">
        <v>8.6976</v>
      </c>
      <c r="F2161" t="n">
        <v>0.12245</v>
      </c>
    </row>
    <row r="2162">
      <c r="A2162" t="n">
        <v>2000333</v>
      </c>
      <c r="B2162" t="n">
        <v>2</v>
      </c>
      <c r="C2162" t="n">
        <v>333</v>
      </c>
      <c r="D2162" t="n">
        <v>-0.1862</v>
      </c>
      <c r="E2162" t="n">
        <v>8.705299999999999</v>
      </c>
      <c r="F2162" t="n">
        <v>0.12246</v>
      </c>
    </row>
    <row r="2163">
      <c r="A2163" t="n">
        <v>2000334</v>
      </c>
      <c r="B2163" t="n">
        <v>2</v>
      </c>
      <c r="C2163" t="n">
        <v>334</v>
      </c>
      <c r="D2163" t="n">
        <v>-0.1867</v>
      </c>
      <c r="E2163" t="n">
        <v>8.712999999999999</v>
      </c>
      <c r="F2163" t="n">
        <v>0.12246</v>
      </c>
    </row>
    <row r="2164">
      <c r="A2164" t="n">
        <v>2000335</v>
      </c>
      <c r="B2164" t="n">
        <v>2</v>
      </c>
      <c r="C2164" t="n">
        <v>335</v>
      </c>
      <c r="D2164" t="n">
        <v>-0.1873</v>
      </c>
      <c r="E2164" t="n">
        <v>8.720700000000001</v>
      </c>
      <c r="F2164" t="n">
        <v>0.12247</v>
      </c>
    </row>
    <row r="2165">
      <c r="A2165" t="n">
        <v>2000336</v>
      </c>
      <c r="B2165" t="n">
        <v>2</v>
      </c>
      <c r="C2165" t="n">
        <v>336</v>
      </c>
      <c r="D2165" t="n">
        <v>-0.1878</v>
      </c>
      <c r="E2165" t="n">
        <v>8.728300000000001</v>
      </c>
      <c r="F2165" t="n">
        <v>0.12248</v>
      </c>
    </row>
    <row r="2166">
      <c r="A2166" t="n">
        <v>2000337</v>
      </c>
      <c r="B2166" t="n">
        <v>2</v>
      </c>
      <c r="C2166" t="n">
        <v>337</v>
      </c>
      <c r="D2166" t="n">
        <v>-0.1883</v>
      </c>
      <c r="E2166" t="n">
        <v>8.736000000000001</v>
      </c>
      <c r="F2166" t="n">
        <v>0.12249</v>
      </c>
    </row>
    <row r="2167">
      <c r="A2167" t="n">
        <v>2000338</v>
      </c>
      <c r="B2167" t="n">
        <v>2</v>
      </c>
      <c r="C2167" t="n">
        <v>338</v>
      </c>
      <c r="D2167" t="n">
        <v>-0.1889</v>
      </c>
      <c r="E2167" t="n">
        <v>8.743600000000001</v>
      </c>
      <c r="F2167" t="n">
        <v>0.12249</v>
      </c>
    </row>
    <row r="2168">
      <c r="A2168" t="n">
        <v>2000339</v>
      </c>
      <c r="B2168" t="n">
        <v>2</v>
      </c>
      <c r="C2168" t="n">
        <v>339</v>
      </c>
      <c r="D2168" t="n">
        <v>-0.1894</v>
      </c>
      <c r="E2168" t="n">
        <v>8.751200000000001</v>
      </c>
      <c r="F2168" t="n">
        <v>0.1225</v>
      </c>
    </row>
    <row r="2169">
      <c r="A2169" t="n">
        <v>2000340</v>
      </c>
      <c r="B2169" t="n">
        <v>2</v>
      </c>
      <c r="C2169" t="n">
        <v>340</v>
      </c>
      <c r="D2169" t="n">
        <v>-0.1899</v>
      </c>
      <c r="E2169" t="n">
        <v>8.758800000000001</v>
      </c>
      <c r="F2169" t="n">
        <v>0.12251</v>
      </c>
    </row>
    <row r="2170">
      <c r="A2170" t="n">
        <v>2000341</v>
      </c>
      <c r="B2170" t="n">
        <v>2</v>
      </c>
      <c r="C2170" t="n">
        <v>341</v>
      </c>
      <c r="D2170" t="n">
        <v>-0.1904</v>
      </c>
      <c r="E2170" t="n">
        <v>8.766400000000001</v>
      </c>
      <c r="F2170" t="n">
        <v>0.12252</v>
      </c>
    </row>
    <row r="2171">
      <c r="A2171" t="n">
        <v>2000342</v>
      </c>
      <c r="B2171" t="n">
        <v>2</v>
      </c>
      <c r="C2171" t="n">
        <v>342</v>
      </c>
      <c r="D2171" t="n">
        <v>-0.1909</v>
      </c>
      <c r="E2171" t="n">
        <v>8.773999999999999</v>
      </c>
      <c r="F2171" t="n">
        <v>0.12252</v>
      </c>
    </row>
    <row r="2172">
      <c r="A2172" t="n">
        <v>2000343</v>
      </c>
      <c r="B2172" t="n">
        <v>2</v>
      </c>
      <c r="C2172" t="n">
        <v>343</v>
      </c>
      <c r="D2172" t="n">
        <v>-0.1914</v>
      </c>
      <c r="E2172" t="n">
        <v>8.781599999999999</v>
      </c>
      <c r="F2172" t="n">
        <v>0.12253</v>
      </c>
    </row>
    <row r="2173">
      <c r="A2173" t="n">
        <v>2000344</v>
      </c>
      <c r="B2173" t="n">
        <v>2</v>
      </c>
      <c r="C2173" t="n">
        <v>344</v>
      </c>
      <c r="D2173" t="n">
        <v>-0.192</v>
      </c>
      <c r="E2173" t="n">
        <v>8.789199999999999</v>
      </c>
      <c r="F2173" t="n">
        <v>0.12254</v>
      </c>
    </row>
    <row r="2174">
      <c r="A2174" t="n">
        <v>2000345</v>
      </c>
      <c r="B2174" t="n">
        <v>2</v>
      </c>
      <c r="C2174" t="n">
        <v>345</v>
      </c>
      <c r="D2174" t="n">
        <v>-0.1925</v>
      </c>
      <c r="E2174" t="n">
        <v>8.796799999999999</v>
      </c>
      <c r="F2174" t="n">
        <v>0.12254</v>
      </c>
    </row>
    <row r="2175">
      <c r="A2175" t="n">
        <v>2000346</v>
      </c>
      <c r="B2175" t="n">
        <v>2</v>
      </c>
      <c r="C2175" t="n">
        <v>346</v>
      </c>
      <c r="D2175" t="n">
        <v>-0.193</v>
      </c>
      <c r="E2175" t="n">
        <v>8.8043</v>
      </c>
      <c r="F2175" t="n">
        <v>0.12255</v>
      </c>
    </row>
    <row r="2176">
      <c r="A2176" t="n">
        <v>2000347</v>
      </c>
      <c r="B2176" t="n">
        <v>2</v>
      </c>
      <c r="C2176" t="n">
        <v>347</v>
      </c>
      <c r="D2176" t="n">
        <v>-0.1935</v>
      </c>
      <c r="E2176" t="n">
        <v>8.8119</v>
      </c>
      <c r="F2176" t="n">
        <v>0.12256</v>
      </c>
    </row>
    <row r="2177">
      <c r="A2177" t="n">
        <v>2000348</v>
      </c>
      <c r="B2177" t="n">
        <v>2</v>
      </c>
      <c r="C2177" t="n">
        <v>348</v>
      </c>
      <c r="D2177" t="n">
        <v>-0.194</v>
      </c>
      <c r="E2177" t="n">
        <v>8.8194</v>
      </c>
      <c r="F2177" t="n">
        <v>0.12256</v>
      </c>
    </row>
    <row r="2178">
      <c r="A2178" t="n">
        <v>2000349</v>
      </c>
      <c r="B2178" t="n">
        <v>2</v>
      </c>
      <c r="C2178" t="n">
        <v>349</v>
      </c>
      <c r="D2178" t="n">
        <v>-0.1945</v>
      </c>
      <c r="E2178" t="n">
        <v>8.8269</v>
      </c>
      <c r="F2178" t="n">
        <v>0.12257</v>
      </c>
    </row>
    <row r="2179">
      <c r="A2179" t="n">
        <v>2000350</v>
      </c>
      <c r="B2179" t="n">
        <v>2</v>
      </c>
      <c r="C2179" t="n">
        <v>350</v>
      </c>
      <c r="D2179" t="n">
        <v>-0.195</v>
      </c>
      <c r="E2179" t="n">
        <v>8.8344</v>
      </c>
      <c r="F2179" t="n">
        <v>0.12258</v>
      </c>
    </row>
    <row r="2180">
      <c r="A2180" t="n">
        <v>2000351</v>
      </c>
      <c r="B2180" t="n">
        <v>2</v>
      </c>
      <c r="C2180" t="n">
        <v>351</v>
      </c>
      <c r="D2180" t="n">
        <v>-0.1955</v>
      </c>
      <c r="E2180" t="n">
        <v>8.842000000000001</v>
      </c>
      <c r="F2180" t="n">
        <v>0.12259</v>
      </c>
    </row>
    <row r="2181">
      <c r="A2181" t="n">
        <v>2000352</v>
      </c>
      <c r="B2181" t="n">
        <v>2</v>
      </c>
      <c r="C2181" t="n">
        <v>352</v>
      </c>
      <c r="D2181" t="n">
        <v>-0.196</v>
      </c>
      <c r="E2181" t="n">
        <v>8.849500000000001</v>
      </c>
      <c r="F2181" t="n">
        <v>0.12259</v>
      </c>
    </row>
    <row r="2182">
      <c r="A2182" t="n">
        <v>2000353</v>
      </c>
      <c r="B2182" t="n">
        <v>2</v>
      </c>
      <c r="C2182" t="n">
        <v>353</v>
      </c>
      <c r="D2182" t="n">
        <v>-0.1965</v>
      </c>
      <c r="E2182" t="n">
        <v>8.8569</v>
      </c>
      <c r="F2182" t="n">
        <v>0.1226</v>
      </c>
    </row>
    <row r="2183">
      <c r="A2183" t="n">
        <v>2000354</v>
      </c>
      <c r="B2183" t="n">
        <v>2</v>
      </c>
      <c r="C2183" t="n">
        <v>354</v>
      </c>
      <c r="D2183" t="n">
        <v>-0.197</v>
      </c>
      <c r="E2183" t="n">
        <v>8.8644</v>
      </c>
      <c r="F2183" t="n">
        <v>0.12261</v>
      </c>
    </row>
    <row r="2184">
      <c r="A2184" t="n">
        <v>2000355</v>
      </c>
      <c r="B2184" t="n">
        <v>2</v>
      </c>
      <c r="C2184" t="n">
        <v>355</v>
      </c>
      <c r="D2184" t="n">
        <v>-0.1974</v>
      </c>
      <c r="E2184" t="n">
        <v>8.8719</v>
      </c>
      <c r="F2184" t="n">
        <v>0.12261</v>
      </c>
    </row>
    <row r="2185">
      <c r="A2185" t="n">
        <v>2000356</v>
      </c>
      <c r="B2185" t="n">
        <v>2</v>
      </c>
      <c r="C2185" t="n">
        <v>356</v>
      </c>
      <c r="D2185" t="n">
        <v>-0.1979</v>
      </c>
      <c r="E2185" t="n">
        <v>8.8794</v>
      </c>
      <c r="F2185" t="n">
        <v>0.12262</v>
      </c>
    </row>
    <row r="2186">
      <c r="A2186" t="n">
        <v>2000357</v>
      </c>
      <c r="B2186" t="n">
        <v>2</v>
      </c>
      <c r="C2186" t="n">
        <v>357</v>
      </c>
      <c r="D2186" t="n">
        <v>-0.1984</v>
      </c>
      <c r="E2186" t="n">
        <v>8.886799999999999</v>
      </c>
      <c r="F2186" t="n">
        <v>0.12262</v>
      </c>
    </row>
    <row r="2187">
      <c r="A2187" t="n">
        <v>2000358</v>
      </c>
      <c r="B2187" t="n">
        <v>2</v>
      </c>
      <c r="C2187" t="n">
        <v>358</v>
      </c>
      <c r="D2187" t="n">
        <v>-0.1989</v>
      </c>
      <c r="E2187" t="n">
        <v>8.894299999999999</v>
      </c>
      <c r="F2187" t="n">
        <v>0.12263</v>
      </c>
    </row>
    <row r="2188">
      <c r="A2188" t="n">
        <v>2000359</v>
      </c>
      <c r="B2188" t="n">
        <v>2</v>
      </c>
      <c r="C2188" t="n">
        <v>359</v>
      </c>
      <c r="D2188" t="n">
        <v>-0.1994</v>
      </c>
      <c r="E2188" t="n">
        <v>8.9017</v>
      </c>
      <c r="F2188" t="n">
        <v>0.12264</v>
      </c>
    </row>
    <row r="2189">
      <c r="A2189" t="n">
        <v>2000360</v>
      </c>
      <c r="B2189" t="n">
        <v>2</v>
      </c>
      <c r="C2189" t="n">
        <v>360</v>
      </c>
      <c r="D2189" t="n">
        <v>-0.1999</v>
      </c>
      <c r="E2189" t="n">
        <v>8.9092</v>
      </c>
      <c r="F2189" t="n">
        <v>0.12264</v>
      </c>
    </row>
    <row r="2190">
      <c r="A2190" t="n">
        <v>2000361</v>
      </c>
      <c r="B2190" t="n">
        <v>2</v>
      </c>
      <c r="C2190" t="n">
        <v>361</v>
      </c>
      <c r="D2190" t="n">
        <v>-0.2003</v>
      </c>
      <c r="E2190" t="n">
        <v>8.916600000000001</v>
      </c>
      <c r="F2190" t="n">
        <v>0.12265</v>
      </c>
    </row>
    <row r="2191">
      <c r="A2191" t="n">
        <v>2000362</v>
      </c>
      <c r="B2191" t="n">
        <v>2</v>
      </c>
      <c r="C2191" t="n">
        <v>362</v>
      </c>
      <c r="D2191" t="n">
        <v>-0.2008</v>
      </c>
      <c r="E2191" t="n">
        <v>8.923999999999999</v>
      </c>
      <c r="F2191" t="n">
        <v>0.12266</v>
      </c>
    </row>
    <row r="2192">
      <c r="A2192" t="n">
        <v>2000363</v>
      </c>
      <c r="B2192" t="n">
        <v>2</v>
      </c>
      <c r="C2192" t="n">
        <v>363</v>
      </c>
      <c r="D2192" t="n">
        <v>-0.2013</v>
      </c>
      <c r="E2192" t="n">
        <v>8.9314</v>
      </c>
      <c r="F2192" t="n">
        <v>0.12266</v>
      </c>
    </row>
    <row r="2193">
      <c r="A2193" t="n">
        <v>2000364</v>
      </c>
      <c r="B2193" t="n">
        <v>2</v>
      </c>
      <c r="C2193" t="n">
        <v>364</v>
      </c>
      <c r="D2193" t="n">
        <v>-0.2018</v>
      </c>
      <c r="E2193" t="n">
        <v>8.938800000000001</v>
      </c>
      <c r="F2193" t="n">
        <v>0.12267</v>
      </c>
    </row>
    <row r="2194">
      <c r="A2194" t="n">
        <v>2000365</v>
      </c>
      <c r="B2194" t="n">
        <v>2</v>
      </c>
      <c r="C2194" t="n">
        <v>365</v>
      </c>
      <c r="D2194" t="n">
        <v>-0.2022</v>
      </c>
      <c r="E2194" t="n">
        <v>8.946199999999999</v>
      </c>
      <c r="F2194" t="n">
        <v>0.12267</v>
      </c>
    </row>
    <row r="2195">
      <c r="A2195" t="n">
        <v>2000366</v>
      </c>
      <c r="B2195" t="n">
        <v>2</v>
      </c>
      <c r="C2195" t="n">
        <v>366</v>
      </c>
      <c r="D2195" t="n">
        <v>-0.2027</v>
      </c>
      <c r="E2195" t="n">
        <v>8.9536</v>
      </c>
      <c r="F2195" t="n">
        <v>0.12268</v>
      </c>
    </row>
    <row r="2196">
      <c r="A2196" t="n">
        <v>2000367</v>
      </c>
      <c r="B2196" t="n">
        <v>2</v>
      </c>
      <c r="C2196" t="n">
        <v>367</v>
      </c>
      <c r="D2196" t="n">
        <v>-0.2032</v>
      </c>
      <c r="E2196" t="n">
        <v>8.961</v>
      </c>
      <c r="F2196" t="n">
        <v>0.12269</v>
      </c>
    </row>
    <row r="2197">
      <c r="A2197" t="n">
        <v>2000368</v>
      </c>
      <c r="B2197" t="n">
        <v>2</v>
      </c>
      <c r="C2197" t="n">
        <v>368</v>
      </c>
      <c r="D2197" t="n">
        <v>-0.2036</v>
      </c>
      <c r="E2197" t="n">
        <v>8.968400000000001</v>
      </c>
      <c r="F2197" t="n">
        <v>0.12269</v>
      </c>
    </row>
    <row r="2198">
      <c r="A2198" t="n">
        <v>2000369</v>
      </c>
      <c r="B2198" t="n">
        <v>2</v>
      </c>
      <c r="C2198" t="n">
        <v>369</v>
      </c>
      <c r="D2198" t="n">
        <v>-0.2041</v>
      </c>
      <c r="E2198" t="n">
        <v>8.9757</v>
      </c>
      <c r="F2198" t="n">
        <v>0.1227</v>
      </c>
    </row>
    <row r="2199">
      <c r="A2199" t="n">
        <v>2000370</v>
      </c>
      <c r="B2199" t="n">
        <v>2</v>
      </c>
      <c r="C2199" t="n">
        <v>370</v>
      </c>
      <c r="D2199" t="n">
        <v>-0.2046</v>
      </c>
      <c r="E2199" t="n">
        <v>8.9831</v>
      </c>
      <c r="F2199" t="n">
        <v>0.1227</v>
      </c>
    </row>
    <row r="2200">
      <c r="A2200" t="n">
        <v>2000371</v>
      </c>
      <c r="B2200" t="n">
        <v>2</v>
      </c>
      <c r="C2200" t="n">
        <v>371</v>
      </c>
      <c r="D2200" t="n">
        <v>-0.205</v>
      </c>
      <c r="E2200" t="n">
        <v>8.990399999999999</v>
      </c>
      <c r="F2200" t="n">
        <v>0.12271</v>
      </c>
    </row>
    <row r="2201">
      <c r="A2201" t="n">
        <v>2000372</v>
      </c>
      <c r="B2201" t="n">
        <v>2</v>
      </c>
      <c r="C2201" t="n">
        <v>372</v>
      </c>
      <c r="D2201" t="n">
        <v>-0.2055</v>
      </c>
      <c r="E2201" t="n">
        <v>8.9978</v>
      </c>
      <c r="F2201" t="n">
        <v>0.12272</v>
      </c>
    </row>
    <row r="2202">
      <c r="A2202" t="n">
        <v>2000373</v>
      </c>
      <c r="B2202" t="n">
        <v>2</v>
      </c>
      <c r="C2202" t="n">
        <v>373</v>
      </c>
      <c r="D2202" t="n">
        <v>-0.2059</v>
      </c>
      <c r="E2202" t="n">
        <v>9.005100000000001</v>
      </c>
      <c r="F2202" t="n">
        <v>0.12272</v>
      </c>
    </row>
    <row r="2203">
      <c r="A2203" t="n">
        <v>2000374</v>
      </c>
      <c r="B2203" t="n">
        <v>2</v>
      </c>
      <c r="C2203" t="n">
        <v>374</v>
      </c>
      <c r="D2203" t="n">
        <v>-0.2064</v>
      </c>
      <c r="E2203" t="n">
        <v>9.012499999999999</v>
      </c>
      <c r="F2203" t="n">
        <v>0.12273</v>
      </c>
    </row>
    <row r="2204">
      <c r="A2204" t="n">
        <v>2000375</v>
      </c>
      <c r="B2204" t="n">
        <v>2</v>
      </c>
      <c r="C2204" t="n">
        <v>375</v>
      </c>
      <c r="D2204" t="n">
        <v>-0.2068</v>
      </c>
      <c r="E2204" t="n">
        <v>9.0198</v>
      </c>
      <c r="F2204" t="n">
        <v>0.12273</v>
      </c>
    </row>
    <row r="2205">
      <c r="A2205" t="n">
        <v>2000376</v>
      </c>
      <c r="B2205" t="n">
        <v>2</v>
      </c>
      <c r="C2205" t="n">
        <v>376</v>
      </c>
      <c r="D2205" t="n">
        <v>-0.2073</v>
      </c>
      <c r="E2205" t="n">
        <v>9.027100000000001</v>
      </c>
      <c r="F2205" t="n">
        <v>0.12274</v>
      </c>
    </row>
    <row r="2206">
      <c r="A2206" t="n">
        <v>2000377</v>
      </c>
      <c r="B2206" t="n">
        <v>2</v>
      </c>
      <c r="C2206" t="n">
        <v>377</v>
      </c>
      <c r="D2206" t="n">
        <v>-0.2077</v>
      </c>
      <c r="E2206" t="n">
        <v>9.0344</v>
      </c>
      <c r="F2206" t="n">
        <v>0.12274</v>
      </c>
    </row>
    <row r="2207">
      <c r="A2207" t="n">
        <v>2000378</v>
      </c>
      <c r="B2207" t="n">
        <v>2</v>
      </c>
      <c r="C2207" t="n">
        <v>378</v>
      </c>
      <c r="D2207" t="n">
        <v>-0.2082</v>
      </c>
      <c r="E2207" t="n">
        <v>9.041700000000001</v>
      </c>
      <c r="F2207" t="n">
        <v>0.12275</v>
      </c>
    </row>
    <row r="2208">
      <c r="A2208" t="n">
        <v>2000379</v>
      </c>
      <c r="B2208" t="n">
        <v>2</v>
      </c>
      <c r="C2208" t="n">
        <v>379</v>
      </c>
      <c r="D2208" t="n">
        <v>-0.2086</v>
      </c>
      <c r="E2208" t="n">
        <v>9.048999999999999</v>
      </c>
      <c r="F2208" t="n">
        <v>0.12275</v>
      </c>
    </row>
    <row r="2209">
      <c r="A2209" t="n">
        <v>2000380</v>
      </c>
      <c r="B2209" t="n">
        <v>2</v>
      </c>
      <c r="C2209" t="n">
        <v>380</v>
      </c>
      <c r="D2209" t="n">
        <v>-0.2091</v>
      </c>
      <c r="E2209" t="n">
        <v>9.0563</v>
      </c>
      <c r="F2209" t="n">
        <v>0.12276</v>
      </c>
    </row>
    <row r="2210">
      <c r="A2210" t="n">
        <v>2000381</v>
      </c>
      <c r="B2210" t="n">
        <v>2</v>
      </c>
      <c r="C2210" t="n">
        <v>381</v>
      </c>
      <c r="D2210" t="n">
        <v>-0.2095</v>
      </c>
      <c r="E2210" t="n">
        <v>9.063599999999999</v>
      </c>
      <c r="F2210" t="n">
        <v>0.12276</v>
      </c>
    </row>
    <row r="2211">
      <c r="A2211" t="n">
        <v>2000382</v>
      </c>
      <c r="B2211" t="n">
        <v>2</v>
      </c>
      <c r="C2211" t="n">
        <v>382</v>
      </c>
      <c r="D2211" t="n">
        <v>-0.21</v>
      </c>
      <c r="E2211" t="n">
        <v>9.0709</v>
      </c>
      <c r="F2211" t="n">
        <v>0.12277</v>
      </c>
    </row>
    <row r="2212">
      <c r="A2212" t="n">
        <v>2000383</v>
      </c>
      <c r="B2212" t="n">
        <v>2</v>
      </c>
      <c r="C2212" t="n">
        <v>383</v>
      </c>
      <c r="D2212" t="n">
        <v>-0.2104</v>
      </c>
      <c r="E2212" t="n">
        <v>9.078200000000001</v>
      </c>
      <c r="F2212" t="n">
        <v>0.12277</v>
      </c>
    </row>
    <row r="2213">
      <c r="A2213" t="n">
        <v>2000384</v>
      </c>
      <c r="B2213" t="n">
        <v>2</v>
      </c>
      <c r="C2213" t="n">
        <v>384</v>
      </c>
      <c r="D2213" t="n">
        <v>-0.2108</v>
      </c>
      <c r="E2213" t="n">
        <v>9.0854</v>
      </c>
      <c r="F2213" t="n">
        <v>0.12278</v>
      </c>
    </row>
    <row r="2214">
      <c r="A2214" t="n">
        <v>2000385</v>
      </c>
      <c r="B2214" t="n">
        <v>2</v>
      </c>
      <c r="C2214" t="n">
        <v>385</v>
      </c>
      <c r="D2214" t="n">
        <v>-0.2113</v>
      </c>
      <c r="E2214" t="n">
        <v>9.092700000000001</v>
      </c>
      <c r="F2214" t="n">
        <v>0.12278</v>
      </c>
    </row>
    <row r="2215">
      <c r="A2215" t="n">
        <v>2000386</v>
      </c>
      <c r="B2215" t="n">
        <v>2</v>
      </c>
      <c r="C2215" t="n">
        <v>386</v>
      </c>
      <c r="D2215" t="n">
        <v>-0.2117</v>
      </c>
      <c r="E2215" t="n">
        <v>9.0999</v>
      </c>
      <c r="F2215" t="n">
        <v>0.12279</v>
      </c>
    </row>
    <row r="2216">
      <c r="A2216" t="n">
        <v>2000387</v>
      </c>
      <c r="B2216" t="n">
        <v>2</v>
      </c>
      <c r="C2216" t="n">
        <v>387</v>
      </c>
      <c r="D2216" t="n">
        <v>-0.2121</v>
      </c>
      <c r="E2216" t="n">
        <v>9.107200000000001</v>
      </c>
      <c r="F2216" t="n">
        <v>0.12279</v>
      </c>
    </row>
    <row r="2217">
      <c r="A2217" t="n">
        <v>2000388</v>
      </c>
      <c r="B2217" t="n">
        <v>2</v>
      </c>
      <c r="C2217" t="n">
        <v>388</v>
      </c>
      <c r="D2217" t="n">
        <v>-0.2126</v>
      </c>
      <c r="E2217" t="n">
        <v>9.1144</v>
      </c>
      <c r="F2217" t="n">
        <v>0.1228</v>
      </c>
    </row>
    <row r="2218">
      <c r="A2218" t="n">
        <v>2000389</v>
      </c>
      <c r="B2218" t="n">
        <v>2</v>
      </c>
      <c r="C2218" t="n">
        <v>389</v>
      </c>
      <c r="D2218" t="n">
        <v>-0.213</v>
      </c>
      <c r="E2218" t="n">
        <v>9.121700000000001</v>
      </c>
      <c r="F2218" t="n">
        <v>0.1228</v>
      </c>
    </row>
    <row r="2219">
      <c r="A2219" t="n">
        <v>2000390</v>
      </c>
      <c r="B2219" t="n">
        <v>2</v>
      </c>
      <c r="C2219" t="n">
        <v>390</v>
      </c>
      <c r="D2219" t="n">
        <v>-0.2134</v>
      </c>
      <c r="E2219" t="n">
        <v>9.1289</v>
      </c>
      <c r="F2219" t="n">
        <v>0.12281</v>
      </c>
    </row>
    <row r="2220">
      <c r="A2220" t="n">
        <v>2000391</v>
      </c>
      <c r="B2220" t="n">
        <v>2</v>
      </c>
      <c r="C2220" t="n">
        <v>391</v>
      </c>
      <c r="D2220" t="n">
        <v>-0.2139</v>
      </c>
      <c r="E2220" t="n">
        <v>9.136100000000001</v>
      </c>
      <c r="F2220" t="n">
        <v>0.12281</v>
      </c>
    </row>
    <row r="2221">
      <c r="A2221" t="n">
        <v>2000392</v>
      </c>
      <c r="B2221" t="n">
        <v>2</v>
      </c>
      <c r="C2221" t="n">
        <v>392</v>
      </c>
      <c r="D2221" t="n">
        <v>-0.2143</v>
      </c>
      <c r="E2221" t="n">
        <v>9.1434</v>
      </c>
      <c r="F2221" t="n">
        <v>0.12282</v>
      </c>
    </row>
    <row r="2222">
      <c r="A2222" t="n">
        <v>2000393</v>
      </c>
      <c r="B2222" t="n">
        <v>2</v>
      </c>
      <c r="C2222" t="n">
        <v>393</v>
      </c>
      <c r="D2222" t="n">
        <v>-0.2147</v>
      </c>
      <c r="E2222" t="n">
        <v>9.150600000000001</v>
      </c>
      <c r="F2222" t="n">
        <v>0.12282</v>
      </c>
    </row>
    <row r="2223">
      <c r="A2223" t="n">
        <v>2000394</v>
      </c>
      <c r="B2223" t="n">
        <v>2</v>
      </c>
      <c r="C2223" t="n">
        <v>394</v>
      </c>
      <c r="D2223" t="n">
        <v>-0.2151</v>
      </c>
      <c r="E2223" t="n">
        <v>9.1578</v>
      </c>
      <c r="F2223" t="n">
        <v>0.12282</v>
      </c>
    </row>
    <row r="2224">
      <c r="A2224" t="n">
        <v>2000395</v>
      </c>
      <c r="B2224" t="n">
        <v>2</v>
      </c>
      <c r="C2224" t="n">
        <v>395</v>
      </c>
      <c r="D2224" t="n">
        <v>-0.2155</v>
      </c>
      <c r="E2224" t="n">
        <v>9.164999999999999</v>
      </c>
      <c r="F2224" t="n">
        <v>0.12283</v>
      </c>
    </row>
    <row r="2225">
      <c r="A2225" t="n">
        <v>2000396</v>
      </c>
      <c r="B2225" t="n">
        <v>2</v>
      </c>
      <c r="C2225" t="n">
        <v>396</v>
      </c>
      <c r="D2225" t="n">
        <v>-0.216</v>
      </c>
      <c r="E2225" t="n">
        <v>9.1722</v>
      </c>
      <c r="F2225" t="n">
        <v>0.12283</v>
      </c>
    </row>
    <row r="2226">
      <c r="A2226" t="n">
        <v>2000397</v>
      </c>
      <c r="B2226" t="n">
        <v>2</v>
      </c>
      <c r="C2226" t="n">
        <v>397</v>
      </c>
      <c r="D2226" t="n">
        <v>-0.2164</v>
      </c>
      <c r="E2226" t="n">
        <v>9.179399999999999</v>
      </c>
      <c r="F2226" t="n">
        <v>0.12284</v>
      </c>
    </row>
    <row r="2227">
      <c r="A2227" t="n">
        <v>2000398</v>
      </c>
      <c r="B2227" t="n">
        <v>2</v>
      </c>
      <c r="C2227" t="n">
        <v>398</v>
      </c>
      <c r="D2227" t="n">
        <v>-0.2168</v>
      </c>
      <c r="E2227" t="n">
        <v>9.1866</v>
      </c>
      <c r="F2227" t="n">
        <v>0.12284</v>
      </c>
    </row>
    <row r="2228">
      <c r="A2228" t="n">
        <v>2000399</v>
      </c>
      <c r="B2228" t="n">
        <v>2</v>
      </c>
      <c r="C2228" t="n">
        <v>399</v>
      </c>
      <c r="D2228" t="n">
        <v>-0.2172</v>
      </c>
      <c r="E2228" t="n">
        <v>9.1938</v>
      </c>
      <c r="F2228" t="n">
        <v>0.12285</v>
      </c>
    </row>
    <row r="2229">
      <c r="A2229" t="n">
        <v>2000400</v>
      </c>
      <c r="B2229" t="n">
        <v>2</v>
      </c>
      <c r="C2229" t="n">
        <v>400</v>
      </c>
      <c r="D2229" t="n">
        <v>-0.2176</v>
      </c>
      <c r="E2229" t="n">
        <v>9.200900000000001</v>
      </c>
      <c r="F2229" t="n">
        <v>0.12285</v>
      </c>
    </row>
    <row r="2230">
      <c r="A2230" t="n">
        <v>2000401</v>
      </c>
      <c r="B2230" t="n">
        <v>2</v>
      </c>
      <c r="C2230" t="n">
        <v>401</v>
      </c>
      <c r="D2230" t="n">
        <v>-0.218</v>
      </c>
      <c r="E2230" t="n">
        <v>9.2081</v>
      </c>
      <c r="F2230" t="n">
        <v>0.12285</v>
      </c>
    </row>
    <row r="2231">
      <c r="A2231" t="n">
        <v>2000402</v>
      </c>
      <c r="B2231" t="n">
        <v>2</v>
      </c>
      <c r="C2231" t="n">
        <v>402</v>
      </c>
      <c r="D2231" t="n">
        <v>-0.2184</v>
      </c>
      <c r="E2231" t="n">
        <v>9.215299999999999</v>
      </c>
      <c r="F2231" t="n">
        <v>0.12286</v>
      </c>
    </row>
    <row r="2232">
      <c r="A2232" t="n">
        <v>2000403</v>
      </c>
      <c r="B2232" t="n">
        <v>2</v>
      </c>
      <c r="C2232" t="n">
        <v>403</v>
      </c>
      <c r="D2232" t="n">
        <v>-0.2188</v>
      </c>
      <c r="E2232" t="n">
        <v>9.2225</v>
      </c>
      <c r="F2232" t="n">
        <v>0.12286</v>
      </c>
    </row>
    <row r="2233">
      <c r="A2233" t="n">
        <v>2000404</v>
      </c>
      <c r="B2233" t="n">
        <v>2</v>
      </c>
      <c r="C2233" t="n">
        <v>404</v>
      </c>
      <c r="D2233" t="n">
        <v>-0.2192</v>
      </c>
      <c r="E2233" t="n">
        <v>9.2296</v>
      </c>
      <c r="F2233" t="n">
        <v>0.12287</v>
      </c>
    </row>
    <row r="2234">
      <c r="A2234" t="n">
        <v>2000405</v>
      </c>
      <c r="B2234" t="n">
        <v>2</v>
      </c>
      <c r="C2234" t="n">
        <v>405</v>
      </c>
      <c r="D2234" t="n">
        <v>-0.2196</v>
      </c>
      <c r="E2234" t="n">
        <v>9.236800000000001</v>
      </c>
      <c r="F2234" t="n">
        <v>0.12287</v>
      </c>
    </row>
    <row r="2235">
      <c r="A2235" t="n">
        <v>2000406</v>
      </c>
      <c r="B2235" t="n">
        <v>2</v>
      </c>
      <c r="C2235" t="n">
        <v>406</v>
      </c>
      <c r="D2235" t="n">
        <v>-0.22</v>
      </c>
      <c r="E2235" t="n">
        <v>9.2439</v>
      </c>
      <c r="F2235" t="n">
        <v>0.12287</v>
      </c>
    </row>
    <row r="2236">
      <c r="A2236" t="n">
        <v>2000407</v>
      </c>
      <c r="B2236" t="n">
        <v>2</v>
      </c>
      <c r="C2236" t="n">
        <v>407</v>
      </c>
      <c r="D2236" t="n">
        <v>-0.2204</v>
      </c>
      <c r="E2236" t="n">
        <v>9.251099999999999</v>
      </c>
      <c r="F2236" t="n">
        <v>0.12288</v>
      </c>
    </row>
    <row r="2237">
      <c r="A2237" t="n">
        <v>2000408</v>
      </c>
      <c r="B2237" t="n">
        <v>2</v>
      </c>
      <c r="C2237" t="n">
        <v>408</v>
      </c>
      <c r="D2237" t="n">
        <v>-0.2208</v>
      </c>
      <c r="E2237" t="n">
        <v>9.2582</v>
      </c>
      <c r="F2237" t="n">
        <v>0.12288</v>
      </c>
    </row>
    <row r="2238">
      <c r="A2238" t="n">
        <v>2000409</v>
      </c>
      <c r="B2238" t="n">
        <v>2</v>
      </c>
      <c r="C2238" t="n">
        <v>409</v>
      </c>
      <c r="D2238" t="n">
        <v>-0.2212</v>
      </c>
      <c r="E2238" t="n">
        <v>9.2654</v>
      </c>
      <c r="F2238" t="n">
        <v>0.12288</v>
      </c>
    </row>
    <row r="2239">
      <c r="A2239" t="n">
        <v>2000410</v>
      </c>
      <c r="B2239" t="n">
        <v>2</v>
      </c>
      <c r="C2239" t="n">
        <v>410</v>
      </c>
      <c r="D2239" t="n">
        <v>-0.2216</v>
      </c>
      <c r="E2239" t="n">
        <v>9.272500000000001</v>
      </c>
      <c r="F2239" t="n">
        <v>0.12289</v>
      </c>
    </row>
    <row r="2240">
      <c r="A2240" t="n">
        <v>2000411</v>
      </c>
      <c r="B2240" t="n">
        <v>2</v>
      </c>
      <c r="C2240" t="n">
        <v>411</v>
      </c>
      <c r="D2240" t="n">
        <v>-0.222</v>
      </c>
      <c r="E2240" t="n">
        <v>9.2796</v>
      </c>
      <c r="F2240" t="n">
        <v>0.12289</v>
      </c>
    </row>
    <row r="2241">
      <c r="A2241" t="n">
        <v>2000412</v>
      </c>
      <c r="B2241" t="n">
        <v>2</v>
      </c>
      <c r="C2241" t="n">
        <v>412</v>
      </c>
      <c r="D2241" t="n">
        <v>-0.2224</v>
      </c>
      <c r="E2241" t="n">
        <v>9.2867</v>
      </c>
      <c r="F2241" t="n">
        <v>0.12289</v>
      </c>
    </row>
    <row r="2242">
      <c r="A2242" t="n">
        <v>2000413</v>
      </c>
      <c r="B2242" t="n">
        <v>2</v>
      </c>
      <c r="C2242" t="n">
        <v>413</v>
      </c>
      <c r="D2242" t="n">
        <v>-0.2228</v>
      </c>
      <c r="E2242" t="n">
        <v>9.293900000000001</v>
      </c>
      <c r="F2242" t="n">
        <v>0.1229</v>
      </c>
    </row>
    <row r="2243">
      <c r="A2243" t="n">
        <v>2000414</v>
      </c>
      <c r="B2243" t="n">
        <v>2</v>
      </c>
      <c r="C2243" t="n">
        <v>414</v>
      </c>
      <c r="D2243" t="n">
        <v>-0.2232</v>
      </c>
      <c r="E2243" t="n">
        <v>9.301</v>
      </c>
      <c r="F2243" t="n">
        <v>0.1229</v>
      </c>
    </row>
    <row r="2244">
      <c r="A2244" t="n">
        <v>2000415</v>
      </c>
      <c r="B2244" t="n">
        <v>2</v>
      </c>
      <c r="C2244" t="n">
        <v>415</v>
      </c>
      <c r="D2244" t="n">
        <v>-0.2236</v>
      </c>
      <c r="E2244" t="n">
        <v>9.3081</v>
      </c>
      <c r="F2244" t="n">
        <v>0.1229</v>
      </c>
    </row>
    <row r="2245">
      <c r="A2245" t="n">
        <v>2000416</v>
      </c>
      <c r="B2245" t="n">
        <v>2</v>
      </c>
      <c r="C2245" t="n">
        <v>416</v>
      </c>
      <c r="D2245" t="n">
        <v>-0.224</v>
      </c>
      <c r="E2245" t="n">
        <v>9.315200000000001</v>
      </c>
      <c r="F2245" t="n">
        <v>0.12291</v>
      </c>
    </row>
    <row r="2246">
      <c r="A2246" t="n">
        <v>2000417</v>
      </c>
      <c r="B2246" t="n">
        <v>2</v>
      </c>
      <c r="C2246" t="n">
        <v>417</v>
      </c>
      <c r="D2246" t="n">
        <v>-0.2243</v>
      </c>
      <c r="E2246" t="n">
        <v>9.3223</v>
      </c>
      <c r="F2246" t="n">
        <v>0.12291</v>
      </c>
    </row>
    <row r="2247">
      <c r="A2247" t="n">
        <v>2000418</v>
      </c>
      <c r="B2247" t="n">
        <v>2</v>
      </c>
      <c r="C2247" t="n">
        <v>418</v>
      </c>
      <c r="D2247" t="n">
        <v>-0.2247</v>
      </c>
      <c r="E2247" t="n">
        <v>9.3294</v>
      </c>
      <c r="F2247" t="n">
        <v>0.12291</v>
      </c>
    </row>
    <row r="2248">
      <c r="A2248" t="n">
        <v>2000419</v>
      </c>
      <c r="B2248" t="n">
        <v>2</v>
      </c>
      <c r="C2248" t="n">
        <v>419</v>
      </c>
      <c r="D2248" t="n">
        <v>-0.2251</v>
      </c>
      <c r="E2248" t="n">
        <v>9.336499999999999</v>
      </c>
      <c r="F2248" t="n">
        <v>0.12292</v>
      </c>
    </row>
    <row r="2249">
      <c r="A2249" t="n">
        <v>2000420</v>
      </c>
      <c r="B2249" t="n">
        <v>2</v>
      </c>
      <c r="C2249" t="n">
        <v>420</v>
      </c>
      <c r="D2249" t="n">
        <v>-0.2255</v>
      </c>
      <c r="E2249" t="n">
        <v>9.3436</v>
      </c>
      <c r="F2249" t="n">
        <v>0.12292</v>
      </c>
    </row>
    <row r="2250">
      <c r="A2250" t="n">
        <v>2000421</v>
      </c>
      <c r="B2250" t="n">
        <v>2</v>
      </c>
      <c r="C2250" t="n">
        <v>421</v>
      </c>
      <c r="D2250" t="n">
        <v>-0.2259</v>
      </c>
      <c r="E2250" t="n">
        <v>9.3507</v>
      </c>
      <c r="F2250" t="n">
        <v>0.12292</v>
      </c>
    </row>
    <row r="2251">
      <c r="A2251" t="n">
        <v>2000422</v>
      </c>
      <c r="B2251" t="n">
        <v>2</v>
      </c>
      <c r="C2251" t="n">
        <v>422</v>
      </c>
      <c r="D2251" t="n">
        <v>-0.2262</v>
      </c>
      <c r="E2251" t="n">
        <v>9.357799999999999</v>
      </c>
      <c r="F2251" t="n">
        <v>0.12292</v>
      </c>
    </row>
    <row r="2252">
      <c r="A2252" t="n">
        <v>2000423</v>
      </c>
      <c r="B2252" t="n">
        <v>2</v>
      </c>
      <c r="C2252" t="n">
        <v>423</v>
      </c>
      <c r="D2252" t="n">
        <v>-0.2266</v>
      </c>
      <c r="E2252" t="n">
        <v>9.3649</v>
      </c>
      <c r="F2252" t="n">
        <v>0.12293</v>
      </c>
    </row>
    <row r="2253">
      <c r="A2253" t="n">
        <v>2000424</v>
      </c>
      <c r="B2253" t="n">
        <v>2</v>
      </c>
      <c r="C2253" t="n">
        <v>424</v>
      </c>
      <c r="D2253" t="n">
        <v>-0.227</v>
      </c>
      <c r="E2253" t="n">
        <v>9.372</v>
      </c>
      <c r="F2253" t="n">
        <v>0.12293</v>
      </c>
    </row>
    <row r="2254">
      <c r="A2254" t="n">
        <v>2000425</v>
      </c>
      <c r="B2254" t="n">
        <v>2</v>
      </c>
      <c r="C2254" t="n">
        <v>425</v>
      </c>
      <c r="D2254" t="n">
        <v>-0.2274</v>
      </c>
      <c r="E2254" t="n">
        <v>9.379</v>
      </c>
      <c r="F2254" t="n">
        <v>0.12293</v>
      </c>
    </row>
    <row r="2255">
      <c r="A2255" t="n">
        <v>2000426</v>
      </c>
      <c r="B2255" t="n">
        <v>2</v>
      </c>
      <c r="C2255" t="n">
        <v>426</v>
      </c>
      <c r="D2255" t="n">
        <v>-0.2277</v>
      </c>
      <c r="E2255" t="n">
        <v>9.386100000000001</v>
      </c>
      <c r="F2255" t="n">
        <v>0.12294</v>
      </c>
    </row>
    <row r="2256">
      <c r="A2256" t="n">
        <v>2000427</v>
      </c>
      <c r="B2256" t="n">
        <v>2</v>
      </c>
      <c r="C2256" t="n">
        <v>427</v>
      </c>
      <c r="D2256" t="n">
        <v>-0.2281</v>
      </c>
      <c r="E2256" t="n">
        <v>9.3932</v>
      </c>
      <c r="F2256" t="n">
        <v>0.12294</v>
      </c>
    </row>
    <row r="2257">
      <c r="A2257" t="n">
        <v>2000428</v>
      </c>
      <c r="B2257" t="n">
        <v>2</v>
      </c>
      <c r="C2257" t="n">
        <v>428</v>
      </c>
      <c r="D2257" t="n">
        <v>-0.2285</v>
      </c>
      <c r="E2257" t="n">
        <v>9.4002</v>
      </c>
      <c r="F2257" t="n">
        <v>0.12294</v>
      </c>
    </row>
    <row r="2258">
      <c r="A2258" t="n">
        <v>2000429</v>
      </c>
      <c r="B2258" t="n">
        <v>2</v>
      </c>
      <c r="C2258" t="n">
        <v>429</v>
      </c>
      <c r="D2258" t="n">
        <v>-0.2288</v>
      </c>
      <c r="E2258" t="n">
        <v>9.407299999999999</v>
      </c>
      <c r="F2258" t="n">
        <v>0.12294</v>
      </c>
    </row>
    <row r="2259">
      <c r="A2259" t="n">
        <v>2000430</v>
      </c>
      <c r="B2259" t="n">
        <v>2</v>
      </c>
      <c r="C2259" t="n">
        <v>430</v>
      </c>
      <c r="D2259" t="n">
        <v>-0.2292</v>
      </c>
      <c r="E2259" t="n">
        <v>9.414400000000001</v>
      </c>
      <c r="F2259" t="n">
        <v>0.12295</v>
      </c>
    </row>
    <row r="2260">
      <c r="A2260" t="n">
        <v>2000431</v>
      </c>
      <c r="B2260" t="n">
        <v>2</v>
      </c>
      <c r="C2260" t="n">
        <v>431</v>
      </c>
      <c r="D2260" t="n">
        <v>-0.2296</v>
      </c>
      <c r="E2260" t="n">
        <v>9.4214</v>
      </c>
      <c r="F2260" t="n">
        <v>0.12295</v>
      </c>
    </row>
    <row r="2261">
      <c r="A2261" t="n">
        <v>2000432</v>
      </c>
      <c r="B2261" t="n">
        <v>2</v>
      </c>
      <c r="C2261" t="n">
        <v>432</v>
      </c>
      <c r="D2261" t="n">
        <v>-0.2299</v>
      </c>
      <c r="E2261" t="n">
        <v>9.4285</v>
      </c>
      <c r="F2261" t="n">
        <v>0.12295</v>
      </c>
    </row>
    <row r="2262">
      <c r="A2262" t="n">
        <v>2000433</v>
      </c>
      <c r="B2262" t="n">
        <v>2</v>
      </c>
      <c r="C2262" t="n">
        <v>433</v>
      </c>
      <c r="D2262" t="n">
        <v>-0.2303</v>
      </c>
      <c r="E2262" t="n">
        <v>9.435499999999999</v>
      </c>
      <c r="F2262" t="n">
        <v>0.12295</v>
      </c>
    </row>
    <row r="2263">
      <c r="A2263" t="n">
        <v>2000434</v>
      </c>
      <c r="B2263" t="n">
        <v>2</v>
      </c>
      <c r="C2263" t="n">
        <v>434</v>
      </c>
      <c r="D2263" t="n">
        <v>-0.2307</v>
      </c>
      <c r="E2263" t="n">
        <v>9.442600000000001</v>
      </c>
      <c r="F2263" t="n">
        <v>0.12295</v>
      </c>
    </row>
    <row r="2264">
      <c r="A2264" t="n">
        <v>2000435</v>
      </c>
      <c r="B2264" t="n">
        <v>2</v>
      </c>
      <c r="C2264" t="n">
        <v>435</v>
      </c>
      <c r="D2264" t="n">
        <v>-0.231</v>
      </c>
      <c r="E2264" t="n">
        <v>9.4496</v>
      </c>
      <c r="F2264" t="n">
        <v>0.12296</v>
      </c>
    </row>
    <row r="2265">
      <c r="A2265" t="n">
        <v>2000436</v>
      </c>
      <c r="B2265" t="n">
        <v>2</v>
      </c>
      <c r="C2265" t="n">
        <v>436</v>
      </c>
      <c r="D2265" t="n">
        <v>-0.2314</v>
      </c>
      <c r="E2265" t="n">
        <v>9.4567</v>
      </c>
      <c r="F2265" t="n">
        <v>0.12296</v>
      </c>
    </row>
    <row r="2266">
      <c r="A2266" t="n">
        <v>2000437</v>
      </c>
      <c r="B2266" t="n">
        <v>2</v>
      </c>
      <c r="C2266" t="n">
        <v>437</v>
      </c>
      <c r="D2266" t="n">
        <v>-0.2317</v>
      </c>
      <c r="E2266" t="n">
        <v>9.463699999999999</v>
      </c>
      <c r="F2266" t="n">
        <v>0.12296</v>
      </c>
    </row>
    <row r="2267">
      <c r="A2267" t="n">
        <v>2000438</v>
      </c>
      <c r="B2267" t="n">
        <v>2</v>
      </c>
      <c r="C2267" t="n">
        <v>438</v>
      </c>
      <c r="D2267" t="n">
        <v>-0.2321</v>
      </c>
      <c r="E2267" t="n">
        <v>9.470700000000001</v>
      </c>
      <c r="F2267" t="n">
        <v>0.12296</v>
      </c>
    </row>
    <row r="2268">
      <c r="A2268" t="n">
        <v>2000439</v>
      </c>
      <c r="B2268" t="n">
        <v>2</v>
      </c>
      <c r="C2268" t="n">
        <v>439</v>
      </c>
      <c r="D2268" t="n">
        <v>-0.2324</v>
      </c>
      <c r="E2268" t="n">
        <v>9.4778</v>
      </c>
      <c r="F2268" t="n">
        <v>0.12296</v>
      </c>
    </row>
    <row r="2269">
      <c r="A2269" t="n">
        <v>2000440</v>
      </c>
      <c r="B2269" t="n">
        <v>2</v>
      </c>
      <c r="C2269" t="n">
        <v>440</v>
      </c>
      <c r="D2269" t="n">
        <v>-0.2328</v>
      </c>
      <c r="E2269" t="n">
        <v>9.4848</v>
      </c>
      <c r="F2269" t="n">
        <v>0.12297</v>
      </c>
    </row>
    <row r="2270">
      <c r="A2270" t="n">
        <v>2000441</v>
      </c>
      <c r="B2270" t="n">
        <v>2</v>
      </c>
      <c r="C2270" t="n">
        <v>441</v>
      </c>
      <c r="D2270" t="n">
        <v>-0.2331</v>
      </c>
      <c r="E2270" t="n">
        <v>9.4918</v>
      </c>
      <c r="F2270" t="n">
        <v>0.12297</v>
      </c>
    </row>
    <row r="2271">
      <c r="A2271" t="n">
        <v>2000442</v>
      </c>
      <c r="B2271" t="n">
        <v>2</v>
      </c>
      <c r="C2271" t="n">
        <v>442</v>
      </c>
      <c r="D2271" t="n">
        <v>-0.2335</v>
      </c>
      <c r="E2271" t="n">
        <v>9.498799999999999</v>
      </c>
      <c r="F2271" t="n">
        <v>0.12297</v>
      </c>
    </row>
    <row r="2272">
      <c r="A2272" t="n">
        <v>2000443</v>
      </c>
      <c r="B2272" t="n">
        <v>2</v>
      </c>
      <c r="C2272" t="n">
        <v>443</v>
      </c>
      <c r="D2272" t="n">
        <v>-0.2338</v>
      </c>
      <c r="E2272" t="n">
        <v>9.505800000000001</v>
      </c>
      <c r="F2272" t="n">
        <v>0.12297</v>
      </c>
    </row>
    <row r="2273">
      <c r="A2273" t="n">
        <v>2000444</v>
      </c>
      <c r="B2273" t="n">
        <v>2</v>
      </c>
      <c r="C2273" t="n">
        <v>444</v>
      </c>
      <c r="D2273" t="n">
        <v>-0.2342</v>
      </c>
      <c r="E2273" t="n">
        <v>9.5129</v>
      </c>
      <c r="F2273" t="n">
        <v>0.12297</v>
      </c>
    </row>
    <row r="2274">
      <c r="A2274" t="n">
        <v>2000445</v>
      </c>
      <c r="B2274" t="n">
        <v>2</v>
      </c>
      <c r="C2274" t="n">
        <v>445</v>
      </c>
      <c r="D2274" t="n">
        <v>-0.2345</v>
      </c>
      <c r="E2274" t="n">
        <v>9.5199</v>
      </c>
      <c r="F2274" t="n">
        <v>0.12298</v>
      </c>
    </row>
    <row r="2275">
      <c r="A2275" t="n">
        <v>2000446</v>
      </c>
      <c r="B2275" t="n">
        <v>2</v>
      </c>
      <c r="C2275" t="n">
        <v>446</v>
      </c>
      <c r="D2275" t="n">
        <v>-0.2349</v>
      </c>
      <c r="E2275" t="n">
        <v>9.526899999999999</v>
      </c>
      <c r="F2275" t="n">
        <v>0.12298</v>
      </c>
    </row>
    <row r="2276">
      <c r="A2276" t="n">
        <v>2000447</v>
      </c>
      <c r="B2276" t="n">
        <v>2</v>
      </c>
      <c r="C2276" t="n">
        <v>447</v>
      </c>
      <c r="D2276" t="n">
        <v>-0.2352</v>
      </c>
      <c r="E2276" t="n">
        <v>9.533899999999999</v>
      </c>
      <c r="F2276" t="n">
        <v>0.12298</v>
      </c>
    </row>
    <row r="2277">
      <c r="A2277" t="n">
        <v>2000448</v>
      </c>
      <c r="B2277" t="n">
        <v>2</v>
      </c>
      <c r="C2277" t="n">
        <v>448</v>
      </c>
      <c r="D2277" t="n">
        <v>-0.2355</v>
      </c>
      <c r="E2277" t="n">
        <v>9.540900000000001</v>
      </c>
      <c r="F2277" t="n">
        <v>0.12298</v>
      </c>
    </row>
    <row r="2278">
      <c r="A2278" t="n">
        <v>2000449</v>
      </c>
      <c r="B2278" t="n">
        <v>2</v>
      </c>
      <c r="C2278" t="n">
        <v>449</v>
      </c>
      <c r="D2278" t="n">
        <v>-0.2359</v>
      </c>
      <c r="E2278" t="n">
        <v>9.5479</v>
      </c>
      <c r="F2278" t="n">
        <v>0.12298</v>
      </c>
    </row>
    <row r="2279">
      <c r="A2279" t="n">
        <v>2000450</v>
      </c>
      <c r="B2279" t="n">
        <v>2</v>
      </c>
      <c r="C2279" t="n">
        <v>450</v>
      </c>
      <c r="D2279" t="n">
        <v>-0.2362</v>
      </c>
      <c r="E2279" t="n">
        <v>9.5549</v>
      </c>
      <c r="F2279" t="n">
        <v>0.12298</v>
      </c>
    </row>
    <row r="2280">
      <c r="A2280" t="n">
        <v>2000451</v>
      </c>
      <c r="B2280" t="n">
        <v>2</v>
      </c>
      <c r="C2280" t="n">
        <v>451</v>
      </c>
      <c r="D2280" t="n">
        <v>-0.2366</v>
      </c>
      <c r="E2280" t="n">
        <v>9.5619</v>
      </c>
      <c r="F2280" t="n">
        <v>0.12299</v>
      </c>
    </row>
    <row r="2281">
      <c r="A2281" t="n">
        <v>2000452</v>
      </c>
      <c r="B2281" t="n">
        <v>2</v>
      </c>
      <c r="C2281" t="n">
        <v>452</v>
      </c>
      <c r="D2281" t="n">
        <v>-0.2369</v>
      </c>
      <c r="E2281" t="n">
        <v>9.568899999999999</v>
      </c>
      <c r="F2281" t="n">
        <v>0.12299</v>
      </c>
    </row>
    <row r="2282">
      <c r="A2282" t="n">
        <v>2000453</v>
      </c>
      <c r="B2282" t="n">
        <v>2</v>
      </c>
      <c r="C2282" t="n">
        <v>453</v>
      </c>
      <c r="D2282" t="n">
        <v>-0.2372</v>
      </c>
      <c r="E2282" t="n">
        <v>9.575900000000001</v>
      </c>
      <c r="F2282" t="n">
        <v>0.12299</v>
      </c>
    </row>
    <row r="2283">
      <c r="A2283" t="n">
        <v>2000454</v>
      </c>
      <c r="B2283" t="n">
        <v>2</v>
      </c>
      <c r="C2283" t="n">
        <v>454</v>
      </c>
      <c r="D2283" t="n">
        <v>-0.2376</v>
      </c>
      <c r="E2283" t="n">
        <v>9.5829</v>
      </c>
      <c r="F2283" t="n">
        <v>0.12299</v>
      </c>
    </row>
    <row r="2284">
      <c r="A2284" t="n">
        <v>2000455</v>
      </c>
      <c r="B2284" t="n">
        <v>2</v>
      </c>
      <c r="C2284" t="n">
        <v>455</v>
      </c>
      <c r="D2284" t="n">
        <v>-0.2379</v>
      </c>
      <c r="E2284" t="n">
        <v>9.5898</v>
      </c>
      <c r="F2284" t="n">
        <v>0.12299</v>
      </c>
    </row>
    <row r="2285">
      <c r="A2285" t="n">
        <v>2000456</v>
      </c>
      <c r="B2285" t="n">
        <v>2</v>
      </c>
      <c r="C2285" t="n">
        <v>456</v>
      </c>
      <c r="D2285" t="n">
        <v>-0.2382</v>
      </c>
      <c r="E2285" t="n">
        <v>9.5968</v>
      </c>
      <c r="F2285" t="n">
        <v>0.12299</v>
      </c>
    </row>
    <row r="2286">
      <c r="A2286" t="n">
        <v>2000457</v>
      </c>
      <c r="B2286" t="n">
        <v>2</v>
      </c>
      <c r="C2286" t="n">
        <v>457</v>
      </c>
      <c r="D2286" t="n">
        <v>-0.2385</v>
      </c>
      <c r="E2286" t="n">
        <v>9.6038</v>
      </c>
      <c r="F2286" t="n">
        <v>0.12299</v>
      </c>
    </row>
    <row r="2287">
      <c r="A2287" t="n">
        <v>2000458</v>
      </c>
      <c r="B2287" t="n">
        <v>2</v>
      </c>
      <c r="C2287" t="n">
        <v>458</v>
      </c>
      <c r="D2287" t="n">
        <v>-0.2389</v>
      </c>
      <c r="E2287" t="n">
        <v>9.610799999999999</v>
      </c>
      <c r="F2287" t="n">
        <v>0.123</v>
      </c>
    </row>
    <row r="2288">
      <c r="A2288" t="n">
        <v>2000459</v>
      </c>
      <c r="B2288" t="n">
        <v>2</v>
      </c>
      <c r="C2288" t="n">
        <v>459</v>
      </c>
      <c r="D2288" t="n">
        <v>-0.2392</v>
      </c>
      <c r="E2288" t="n">
        <v>9.617800000000001</v>
      </c>
      <c r="F2288" t="n">
        <v>0.123</v>
      </c>
    </row>
    <row r="2289">
      <c r="A2289" t="n">
        <v>2000460</v>
      </c>
      <c r="B2289" t="n">
        <v>2</v>
      </c>
      <c r="C2289" t="n">
        <v>460</v>
      </c>
      <c r="D2289" t="n">
        <v>-0.2395</v>
      </c>
      <c r="E2289" t="n">
        <v>9.624700000000001</v>
      </c>
      <c r="F2289" t="n">
        <v>0.123</v>
      </c>
    </row>
    <row r="2290">
      <c r="A2290" t="n">
        <v>2000461</v>
      </c>
      <c r="B2290" t="n">
        <v>2</v>
      </c>
      <c r="C2290" t="n">
        <v>461</v>
      </c>
      <c r="D2290" t="n">
        <v>-0.2398</v>
      </c>
      <c r="E2290" t="n">
        <v>9.6317</v>
      </c>
      <c r="F2290" t="n">
        <v>0.123</v>
      </c>
    </row>
    <row r="2291">
      <c r="A2291" t="n">
        <v>2000462</v>
      </c>
      <c r="B2291" t="n">
        <v>2</v>
      </c>
      <c r="C2291" t="n">
        <v>462</v>
      </c>
      <c r="D2291" t="n">
        <v>-0.2402</v>
      </c>
      <c r="E2291" t="n">
        <v>9.6387</v>
      </c>
      <c r="F2291" t="n">
        <v>0.123</v>
      </c>
    </row>
    <row r="2292">
      <c r="A2292" t="n">
        <v>2000463</v>
      </c>
      <c r="B2292" t="n">
        <v>2</v>
      </c>
      <c r="C2292" t="n">
        <v>463</v>
      </c>
      <c r="D2292" t="n">
        <v>-0.2405</v>
      </c>
      <c r="E2292" t="n">
        <v>9.6457</v>
      </c>
      <c r="F2292" t="n">
        <v>0.123</v>
      </c>
    </row>
    <row r="2293">
      <c r="A2293" t="n">
        <v>2000464</v>
      </c>
      <c r="B2293" t="n">
        <v>2</v>
      </c>
      <c r="C2293" t="n">
        <v>464</v>
      </c>
      <c r="D2293" t="n">
        <v>-0.2408</v>
      </c>
      <c r="E2293" t="n">
        <v>9.6526</v>
      </c>
      <c r="F2293" t="n">
        <v>0.123</v>
      </c>
    </row>
    <row r="2294">
      <c r="A2294" t="n">
        <v>2000465</v>
      </c>
      <c r="B2294" t="n">
        <v>2</v>
      </c>
      <c r="C2294" t="n">
        <v>465</v>
      </c>
      <c r="D2294" t="n">
        <v>-0.2411</v>
      </c>
      <c r="E2294" t="n">
        <v>9.659599999999999</v>
      </c>
      <c r="F2294" t="n">
        <v>0.123</v>
      </c>
    </row>
    <row r="2295">
      <c r="A2295" t="n">
        <v>2000466</v>
      </c>
      <c r="B2295" t="n">
        <v>2</v>
      </c>
      <c r="C2295" t="n">
        <v>466</v>
      </c>
      <c r="D2295" t="n">
        <v>-0.2414</v>
      </c>
      <c r="E2295" t="n">
        <v>9.666499999999999</v>
      </c>
      <c r="F2295" t="n">
        <v>0.12301</v>
      </c>
    </row>
    <row r="2296">
      <c r="A2296" t="n">
        <v>2000467</v>
      </c>
      <c r="B2296" t="n">
        <v>2</v>
      </c>
      <c r="C2296" t="n">
        <v>467</v>
      </c>
      <c r="D2296" t="n">
        <v>-0.2418</v>
      </c>
      <c r="E2296" t="n">
        <v>9.673500000000001</v>
      </c>
      <c r="F2296" t="n">
        <v>0.12301</v>
      </c>
    </row>
    <row r="2297">
      <c r="A2297" t="n">
        <v>2000468</v>
      </c>
      <c r="B2297" t="n">
        <v>2</v>
      </c>
      <c r="C2297" t="n">
        <v>468</v>
      </c>
      <c r="D2297" t="n">
        <v>-0.2421</v>
      </c>
      <c r="E2297" t="n">
        <v>9.6805</v>
      </c>
      <c r="F2297" t="n">
        <v>0.12301</v>
      </c>
    </row>
    <row r="2298">
      <c r="A2298" t="n">
        <v>2000469</v>
      </c>
      <c r="B2298" t="n">
        <v>2</v>
      </c>
      <c r="C2298" t="n">
        <v>469</v>
      </c>
      <c r="D2298" t="n">
        <v>-0.2424</v>
      </c>
      <c r="E2298" t="n">
        <v>9.6874</v>
      </c>
      <c r="F2298" t="n">
        <v>0.12301</v>
      </c>
    </row>
    <row r="2299">
      <c r="A2299" t="n">
        <v>2000470</v>
      </c>
      <c r="B2299" t="n">
        <v>2</v>
      </c>
      <c r="C2299" t="n">
        <v>470</v>
      </c>
      <c r="D2299" t="n">
        <v>-0.2427</v>
      </c>
      <c r="E2299" t="n">
        <v>9.6944</v>
      </c>
      <c r="F2299" t="n">
        <v>0.12301</v>
      </c>
    </row>
    <row r="2300">
      <c r="A2300" t="n">
        <v>2000471</v>
      </c>
      <c r="B2300" t="n">
        <v>2</v>
      </c>
      <c r="C2300" t="n">
        <v>471</v>
      </c>
      <c r="D2300" t="n">
        <v>-0.243</v>
      </c>
      <c r="E2300" t="n">
        <v>9.7013</v>
      </c>
      <c r="F2300" t="n">
        <v>0.12301</v>
      </c>
    </row>
    <row r="2301">
      <c r="A2301" t="n">
        <v>2000472</v>
      </c>
      <c r="B2301" t="n">
        <v>2</v>
      </c>
      <c r="C2301" t="n">
        <v>472</v>
      </c>
      <c r="D2301" t="n">
        <v>-0.2433</v>
      </c>
      <c r="E2301" t="n">
        <v>9.708299999999999</v>
      </c>
      <c r="F2301" t="n">
        <v>0.12301</v>
      </c>
    </row>
    <row r="2302">
      <c r="A2302" t="n">
        <v>2000473</v>
      </c>
      <c r="B2302" t="n">
        <v>2</v>
      </c>
      <c r="C2302" t="n">
        <v>473</v>
      </c>
      <c r="D2302" t="n">
        <v>-0.2436</v>
      </c>
      <c r="E2302" t="n">
        <v>9.715199999999999</v>
      </c>
      <c r="F2302" t="n">
        <v>0.12301</v>
      </c>
    </row>
    <row r="2303">
      <c r="A2303" t="n">
        <v>2000474</v>
      </c>
      <c r="B2303" t="n">
        <v>2</v>
      </c>
      <c r="C2303" t="n">
        <v>474</v>
      </c>
      <c r="D2303" t="n">
        <v>-0.2439</v>
      </c>
      <c r="E2303" t="n">
        <v>9.722200000000001</v>
      </c>
      <c r="F2303" t="n">
        <v>0.12301</v>
      </c>
    </row>
    <row r="2304">
      <c r="A2304" t="n">
        <v>2000475</v>
      </c>
      <c r="B2304" t="n">
        <v>2</v>
      </c>
      <c r="C2304" t="n">
        <v>475</v>
      </c>
      <c r="D2304" t="n">
        <v>-0.2442</v>
      </c>
      <c r="E2304" t="n">
        <v>9.729100000000001</v>
      </c>
      <c r="F2304" t="n">
        <v>0.12302</v>
      </c>
    </row>
    <row r="2305">
      <c r="A2305" t="n">
        <v>2000476</v>
      </c>
      <c r="B2305" t="n">
        <v>2</v>
      </c>
      <c r="C2305" t="n">
        <v>476</v>
      </c>
      <c r="D2305" t="n">
        <v>-0.2446</v>
      </c>
      <c r="E2305" t="n">
        <v>9.7361</v>
      </c>
      <c r="F2305" t="n">
        <v>0.12302</v>
      </c>
    </row>
    <row r="2306">
      <c r="A2306" t="n">
        <v>2000477</v>
      </c>
      <c r="B2306" t="n">
        <v>2</v>
      </c>
      <c r="C2306" t="n">
        <v>477</v>
      </c>
      <c r="D2306" t="n">
        <v>-0.2449</v>
      </c>
      <c r="E2306" t="n">
        <v>9.743</v>
      </c>
      <c r="F2306" t="n">
        <v>0.12302</v>
      </c>
    </row>
    <row r="2307">
      <c r="A2307" t="n">
        <v>2000478</v>
      </c>
      <c r="B2307" t="n">
        <v>2</v>
      </c>
      <c r="C2307" t="n">
        <v>478</v>
      </c>
      <c r="D2307" t="n">
        <v>-0.2452</v>
      </c>
      <c r="E2307" t="n">
        <v>9.75</v>
      </c>
      <c r="F2307" t="n">
        <v>0.12302</v>
      </c>
    </row>
    <row r="2308">
      <c r="A2308" t="n">
        <v>2000479</v>
      </c>
      <c r="B2308" t="n">
        <v>2</v>
      </c>
      <c r="C2308" t="n">
        <v>479</v>
      </c>
      <c r="D2308" t="n">
        <v>-0.2455</v>
      </c>
      <c r="E2308" t="n">
        <v>9.7569</v>
      </c>
      <c r="F2308" t="n">
        <v>0.12302</v>
      </c>
    </row>
    <row r="2309">
      <c r="A2309" t="n">
        <v>2000480</v>
      </c>
      <c r="B2309" t="n">
        <v>2</v>
      </c>
      <c r="C2309" t="n">
        <v>480</v>
      </c>
      <c r="D2309" t="n">
        <v>-0.2458</v>
      </c>
      <c r="E2309" t="n">
        <v>9.7638</v>
      </c>
      <c r="F2309" t="n">
        <v>0.12302</v>
      </c>
    </row>
    <row r="2310">
      <c r="A2310" t="n">
        <v>2000481</v>
      </c>
      <c r="B2310" t="n">
        <v>2</v>
      </c>
      <c r="C2310" t="n">
        <v>481</v>
      </c>
      <c r="D2310" t="n">
        <v>-0.2461</v>
      </c>
      <c r="E2310" t="n">
        <v>9.770799999999999</v>
      </c>
      <c r="F2310" t="n">
        <v>0.12302</v>
      </c>
    </row>
    <row r="2311">
      <c r="A2311" t="n">
        <v>2000482</v>
      </c>
      <c r="B2311" t="n">
        <v>2</v>
      </c>
      <c r="C2311" t="n">
        <v>482</v>
      </c>
      <c r="D2311" t="n">
        <v>-0.2464</v>
      </c>
      <c r="E2311" t="n">
        <v>9.777699999999999</v>
      </c>
      <c r="F2311" t="n">
        <v>0.12302</v>
      </c>
    </row>
    <row r="2312">
      <c r="A2312" t="n">
        <v>2000483</v>
      </c>
      <c r="B2312" t="n">
        <v>2</v>
      </c>
      <c r="C2312" t="n">
        <v>483</v>
      </c>
      <c r="D2312" t="n">
        <v>-0.2467</v>
      </c>
      <c r="E2312" t="n">
        <v>9.784599999999999</v>
      </c>
      <c r="F2312" t="n">
        <v>0.12302</v>
      </c>
    </row>
    <row r="2313">
      <c r="A2313" t="n">
        <v>2000484</v>
      </c>
      <c r="B2313" t="n">
        <v>2</v>
      </c>
      <c r="C2313" t="n">
        <v>484</v>
      </c>
      <c r="D2313" t="n">
        <v>-0.247</v>
      </c>
      <c r="E2313" t="n">
        <v>9.791600000000001</v>
      </c>
      <c r="F2313" t="n">
        <v>0.12302</v>
      </c>
    </row>
    <row r="2314">
      <c r="A2314" t="n">
        <v>2000485</v>
      </c>
      <c r="B2314" t="n">
        <v>2</v>
      </c>
      <c r="C2314" t="n">
        <v>485</v>
      </c>
      <c r="D2314" t="n">
        <v>-0.2472</v>
      </c>
      <c r="E2314" t="n">
        <v>9.798500000000001</v>
      </c>
      <c r="F2314" t="n">
        <v>0.12303</v>
      </c>
    </row>
    <row r="2315">
      <c r="A2315" t="n">
        <v>2000486</v>
      </c>
      <c r="B2315" t="n">
        <v>2</v>
      </c>
      <c r="C2315" t="n">
        <v>486</v>
      </c>
      <c r="D2315" t="n">
        <v>-0.2475</v>
      </c>
      <c r="E2315" t="n">
        <v>9.805400000000001</v>
      </c>
      <c r="F2315" t="n">
        <v>0.12303</v>
      </c>
    </row>
    <row r="2316">
      <c r="A2316" t="n">
        <v>2000487</v>
      </c>
      <c r="B2316" t="n">
        <v>2</v>
      </c>
      <c r="C2316" t="n">
        <v>487</v>
      </c>
      <c r="D2316" t="n">
        <v>-0.2478</v>
      </c>
      <c r="E2316" t="n">
        <v>9.8124</v>
      </c>
      <c r="F2316" t="n">
        <v>0.12303</v>
      </c>
    </row>
    <row r="2317">
      <c r="A2317" t="n">
        <v>2000488</v>
      </c>
      <c r="B2317" t="n">
        <v>2</v>
      </c>
      <c r="C2317" t="n">
        <v>488</v>
      </c>
      <c r="D2317" t="n">
        <v>-0.2481</v>
      </c>
      <c r="E2317" t="n">
        <v>9.8193</v>
      </c>
      <c r="F2317" t="n">
        <v>0.12303</v>
      </c>
    </row>
    <row r="2318">
      <c r="A2318" t="n">
        <v>2000489</v>
      </c>
      <c r="B2318" t="n">
        <v>2</v>
      </c>
      <c r="C2318" t="n">
        <v>489</v>
      </c>
      <c r="D2318" t="n">
        <v>-0.2484</v>
      </c>
      <c r="E2318" t="n">
        <v>9.8262</v>
      </c>
      <c r="F2318" t="n">
        <v>0.12303</v>
      </c>
    </row>
    <row r="2319">
      <c r="A2319" t="n">
        <v>2000490</v>
      </c>
      <c r="B2319" t="n">
        <v>2</v>
      </c>
      <c r="C2319" t="n">
        <v>490</v>
      </c>
      <c r="D2319" t="n">
        <v>-0.2487</v>
      </c>
      <c r="E2319" t="n">
        <v>9.8331</v>
      </c>
      <c r="F2319" t="n">
        <v>0.12303</v>
      </c>
    </row>
    <row r="2320">
      <c r="A2320" t="n">
        <v>2000491</v>
      </c>
      <c r="B2320" t="n">
        <v>2</v>
      </c>
      <c r="C2320" t="n">
        <v>491</v>
      </c>
      <c r="D2320" t="n">
        <v>-0.249</v>
      </c>
      <c r="E2320" t="n">
        <v>9.8401</v>
      </c>
      <c r="F2320" t="n">
        <v>0.12303</v>
      </c>
    </row>
    <row r="2321">
      <c r="A2321" t="n">
        <v>2000492</v>
      </c>
      <c r="B2321" t="n">
        <v>2</v>
      </c>
      <c r="C2321" t="n">
        <v>492</v>
      </c>
      <c r="D2321" t="n">
        <v>-0.2493</v>
      </c>
      <c r="E2321" t="n">
        <v>9.847</v>
      </c>
      <c r="F2321" t="n">
        <v>0.12303</v>
      </c>
    </row>
    <row r="2322">
      <c r="A2322" t="n">
        <v>2000493</v>
      </c>
      <c r="B2322" t="n">
        <v>2</v>
      </c>
      <c r="C2322" t="n">
        <v>493</v>
      </c>
      <c r="D2322" t="n">
        <v>-0.2496</v>
      </c>
      <c r="E2322" t="n">
        <v>9.853899999999999</v>
      </c>
      <c r="F2322" t="n">
        <v>0.12303</v>
      </c>
    </row>
    <row r="2323">
      <c r="A2323" t="n">
        <v>2000494</v>
      </c>
      <c r="B2323" t="n">
        <v>2</v>
      </c>
      <c r="C2323" t="n">
        <v>494</v>
      </c>
      <c r="D2323" t="n">
        <v>-0.2499</v>
      </c>
      <c r="E2323" t="n">
        <v>9.860799999999999</v>
      </c>
      <c r="F2323" t="n">
        <v>0.12303</v>
      </c>
    </row>
    <row r="2324">
      <c r="A2324" t="n">
        <v>2000495</v>
      </c>
      <c r="B2324" t="n">
        <v>2</v>
      </c>
      <c r="C2324" t="n">
        <v>495</v>
      </c>
      <c r="D2324" t="n">
        <v>-0.2501</v>
      </c>
      <c r="E2324" t="n">
        <v>9.867699999999999</v>
      </c>
      <c r="F2324" t="n">
        <v>0.12303</v>
      </c>
    </row>
    <row r="2325">
      <c r="A2325" t="n">
        <v>2000496</v>
      </c>
      <c r="B2325" t="n">
        <v>2</v>
      </c>
      <c r="C2325" t="n">
        <v>496</v>
      </c>
      <c r="D2325" t="n">
        <v>-0.2504</v>
      </c>
      <c r="E2325" t="n">
        <v>9.874599999999999</v>
      </c>
      <c r="F2325" t="n">
        <v>0.12304</v>
      </c>
    </row>
    <row r="2326">
      <c r="A2326" t="n">
        <v>2000497</v>
      </c>
      <c r="B2326" t="n">
        <v>2</v>
      </c>
      <c r="C2326" t="n">
        <v>497</v>
      </c>
      <c r="D2326" t="n">
        <v>-0.2507</v>
      </c>
      <c r="E2326" t="n">
        <v>9.881600000000001</v>
      </c>
      <c r="F2326" t="n">
        <v>0.12304</v>
      </c>
    </row>
    <row r="2327">
      <c r="A2327" t="n">
        <v>2000498</v>
      </c>
      <c r="B2327" t="n">
        <v>2</v>
      </c>
      <c r="C2327" t="n">
        <v>498</v>
      </c>
      <c r="D2327" t="n">
        <v>-0.251</v>
      </c>
      <c r="E2327" t="n">
        <v>9.888500000000001</v>
      </c>
      <c r="F2327" t="n">
        <v>0.12304</v>
      </c>
    </row>
    <row r="2328">
      <c r="A2328" t="n">
        <v>2000499</v>
      </c>
      <c r="B2328" t="n">
        <v>2</v>
      </c>
      <c r="C2328" t="n">
        <v>499</v>
      </c>
      <c r="D2328" t="n">
        <v>-0.2513</v>
      </c>
      <c r="E2328" t="n">
        <v>9.8954</v>
      </c>
      <c r="F2328" t="n">
        <v>0.12304</v>
      </c>
    </row>
    <row r="2329">
      <c r="A2329" t="n">
        <v>2000500</v>
      </c>
      <c r="B2329" t="n">
        <v>2</v>
      </c>
      <c r="C2329" t="n">
        <v>500</v>
      </c>
      <c r="D2329" t="n">
        <v>-0.2515</v>
      </c>
      <c r="E2329" t="n">
        <v>9.9023</v>
      </c>
      <c r="F2329" t="n">
        <v>0.12304</v>
      </c>
    </row>
    <row r="2330">
      <c r="A2330" t="n">
        <v>2000501</v>
      </c>
      <c r="B2330" t="n">
        <v>2</v>
      </c>
      <c r="C2330" t="n">
        <v>501</v>
      </c>
      <c r="D2330" t="n">
        <v>-0.2518</v>
      </c>
      <c r="E2330" t="n">
        <v>9.9092</v>
      </c>
      <c r="F2330" t="n">
        <v>0.12304</v>
      </c>
    </row>
    <row r="2331">
      <c r="A2331" t="n">
        <v>2000502</v>
      </c>
      <c r="B2331" t="n">
        <v>2</v>
      </c>
      <c r="C2331" t="n">
        <v>502</v>
      </c>
      <c r="D2331" t="n">
        <v>-0.2521</v>
      </c>
      <c r="E2331" t="n">
        <v>9.9161</v>
      </c>
      <c r="F2331" t="n">
        <v>0.12304</v>
      </c>
    </row>
    <row r="2332">
      <c r="A2332" t="n">
        <v>2000503</v>
      </c>
      <c r="B2332" t="n">
        <v>2</v>
      </c>
      <c r="C2332" t="n">
        <v>503</v>
      </c>
      <c r="D2332" t="n">
        <v>-0.2524</v>
      </c>
      <c r="E2332" t="n">
        <v>9.923</v>
      </c>
      <c r="F2332" t="n">
        <v>0.12304</v>
      </c>
    </row>
    <row r="2333">
      <c r="A2333" t="n">
        <v>2000504</v>
      </c>
      <c r="B2333" t="n">
        <v>2</v>
      </c>
      <c r="C2333" t="n">
        <v>504</v>
      </c>
      <c r="D2333" t="n">
        <v>-0.2526</v>
      </c>
      <c r="E2333" t="n">
        <v>9.9299</v>
      </c>
      <c r="F2333" t="n">
        <v>0.12304</v>
      </c>
    </row>
    <row r="2334">
      <c r="A2334" t="n">
        <v>2000505</v>
      </c>
      <c r="B2334" t="n">
        <v>2</v>
      </c>
      <c r="C2334" t="n">
        <v>505</v>
      </c>
      <c r="D2334" t="n">
        <v>-0.2529</v>
      </c>
      <c r="E2334" t="n">
        <v>9.9368</v>
      </c>
      <c r="F2334" t="n">
        <v>0.12304</v>
      </c>
    </row>
    <row r="2335">
      <c r="A2335" t="n">
        <v>2000506</v>
      </c>
      <c r="B2335" t="n">
        <v>2</v>
      </c>
      <c r="C2335" t="n">
        <v>506</v>
      </c>
      <c r="D2335" t="n">
        <v>-0.2532</v>
      </c>
      <c r="E2335" t="n">
        <v>9.9437</v>
      </c>
      <c r="F2335" t="n">
        <v>0.12304</v>
      </c>
    </row>
    <row r="2336">
      <c r="A2336" t="n">
        <v>2000507</v>
      </c>
      <c r="B2336" t="n">
        <v>2</v>
      </c>
      <c r="C2336" t="n">
        <v>507</v>
      </c>
      <c r="D2336" t="n">
        <v>-0.2535</v>
      </c>
      <c r="E2336" t="n">
        <v>9.9506</v>
      </c>
      <c r="F2336" t="n">
        <v>0.12305</v>
      </c>
    </row>
    <row r="2337">
      <c r="A2337" t="n">
        <v>2000508</v>
      </c>
      <c r="B2337" t="n">
        <v>2</v>
      </c>
      <c r="C2337" t="n">
        <v>508</v>
      </c>
      <c r="D2337" t="n">
        <v>-0.2537</v>
      </c>
      <c r="E2337" t="n">
        <v>9.9575</v>
      </c>
      <c r="F2337" t="n">
        <v>0.12305</v>
      </c>
    </row>
    <row r="2338">
      <c r="A2338" t="n">
        <v>2000509</v>
      </c>
      <c r="B2338" t="n">
        <v>2</v>
      </c>
      <c r="C2338" t="n">
        <v>509</v>
      </c>
      <c r="D2338" t="n">
        <v>-0.254</v>
      </c>
      <c r="E2338" t="n">
        <v>9.964399999999999</v>
      </c>
      <c r="F2338" t="n">
        <v>0.12305</v>
      </c>
    </row>
    <row r="2339">
      <c r="A2339" t="n">
        <v>2000510</v>
      </c>
      <c r="B2339" t="n">
        <v>2</v>
      </c>
      <c r="C2339" t="n">
        <v>510</v>
      </c>
      <c r="D2339" t="n">
        <v>-0.2543</v>
      </c>
      <c r="E2339" t="n">
        <v>9.971299999999999</v>
      </c>
      <c r="F2339" t="n">
        <v>0.12305</v>
      </c>
    </row>
    <row r="2340">
      <c r="A2340" t="n">
        <v>2000511</v>
      </c>
      <c r="B2340" t="n">
        <v>2</v>
      </c>
      <c r="C2340" t="n">
        <v>511</v>
      </c>
      <c r="D2340" t="n">
        <v>-0.2545</v>
      </c>
      <c r="E2340" t="n">
        <v>9.978199999999999</v>
      </c>
      <c r="F2340" t="n">
        <v>0.12305</v>
      </c>
    </row>
    <row r="2341">
      <c r="A2341" t="n">
        <v>2000512</v>
      </c>
      <c r="B2341" t="n">
        <v>2</v>
      </c>
      <c r="C2341" t="n">
        <v>512</v>
      </c>
      <c r="D2341" t="n">
        <v>-0.2548</v>
      </c>
      <c r="E2341" t="n">
        <v>9.985099999999999</v>
      </c>
      <c r="F2341" t="n">
        <v>0.12305</v>
      </c>
    </row>
    <row r="2342">
      <c r="A2342" t="n">
        <v>2000513</v>
      </c>
      <c r="B2342" t="n">
        <v>2</v>
      </c>
      <c r="C2342" t="n">
        <v>513</v>
      </c>
      <c r="D2342" t="n">
        <v>-0.2551</v>
      </c>
      <c r="E2342" t="n">
        <v>9.992000000000001</v>
      </c>
      <c r="F2342" t="n">
        <v>0.12305</v>
      </c>
    </row>
    <row r="2343">
      <c r="A2343" t="n">
        <v>2000514</v>
      </c>
      <c r="B2343" t="n">
        <v>2</v>
      </c>
      <c r="C2343" t="n">
        <v>514</v>
      </c>
      <c r="D2343" t="n">
        <v>-0.2553</v>
      </c>
      <c r="E2343" t="n">
        <v>9.998900000000001</v>
      </c>
      <c r="F2343" t="n">
        <v>0.12305</v>
      </c>
    </row>
    <row r="2344">
      <c r="A2344" t="n">
        <v>2000515</v>
      </c>
      <c r="B2344" t="n">
        <v>2</v>
      </c>
      <c r="C2344" t="n">
        <v>515</v>
      </c>
      <c r="D2344" t="n">
        <v>-0.2556</v>
      </c>
      <c r="E2344" t="n">
        <v>10.0058</v>
      </c>
      <c r="F2344" t="n">
        <v>0.12305</v>
      </c>
    </row>
    <row r="2345">
      <c r="A2345" t="n">
        <v>2000516</v>
      </c>
      <c r="B2345" t="n">
        <v>2</v>
      </c>
      <c r="C2345" t="n">
        <v>516</v>
      </c>
      <c r="D2345" t="n">
        <v>-0.2558</v>
      </c>
      <c r="E2345" t="n">
        <v>10.0127</v>
      </c>
      <c r="F2345" t="n">
        <v>0.12305</v>
      </c>
    </row>
    <row r="2346">
      <c r="A2346" t="n">
        <v>2000517</v>
      </c>
      <c r="B2346" t="n">
        <v>2</v>
      </c>
      <c r="C2346" t="n">
        <v>517</v>
      </c>
      <c r="D2346" t="n">
        <v>-0.2561</v>
      </c>
      <c r="E2346" t="n">
        <v>10.0196</v>
      </c>
      <c r="F2346" t="n">
        <v>0.12305</v>
      </c>
    </row>
    <row r="2347">
      <c r="A2347" t="n">
        <v>2000518</v>
      </c>
      <c r="B2347" t="n">
        <v>2</v>
      </c>
      <c r="C2347" t="n">
        <v>518</v>
      </c>
      <c r="D2347" t="n">
        <v>-0.2564</v>
      </c>
      <c r="E2347" t="n">
        <v>10.0265</v>
      </c>
      <c r="F2347" t="n">
        <v>0.12306</v>
      </c>
    </row>
    <row r="2348">
      <c r="A2348" t="n">
        <v>2000519</v>
      </c>
      <c r="B2348" t="n">
        <v>2</v>
      </c>
      <c r="C2348" t="n">
        <v>519</v>
      </c>
      <c r="D2348" t="n">
        <v>-0.2566</v>
      </c>
      <c r="E2348" t="n">
        <v>10.0334</v>
      </c>
      <c r="F2348" t="n">
        <v>0.12306</v>
      </c>
    </row>
    <row r="2349">
      <c r="A2349" t="n">
        <v>2000520</v>
      </c>
      <c r="B2349" t="n">
        <v>2</v>
      </c>
      <c r="C2349" t="n">
        <v>520</v>
      </c>
      <c r="D2349" t="n">
        <v>-0.2569</v>
      </c>
      <c r="E2349" t="n">
        <v>10.0402</v>
      </c>
      <c r="F2349" t="n">
        <v>0.12306</v>
      </c>
    </row>
    <row r="2350">
      <c r="A2350" t="n">
        <v>2000521</v>
      </c>
      <c r="B2350" t="n">
        <v>2</v>
      </c>
      <c r="C2350" t="n">
        <v>521</v>
      </c>
      <c r="D2350" t="n">
        <v>-0.2571</v>
      </c>
      <c r="E2350" t="n">
        <v>10.0471</v>
      </c>
      <c r="F2350" t="n">
        <v>0.12306</v>
      </c>
    </row>
    <row r="2351">
      <c r="A2351" t="n">
        <v>2000522</v>
      </c>
      <c r="B2351" t="n">
        <v>2</v>
      </c>
      <c r="C2351" t="n">
        <v>522</v>
      </c>
      <c r="D2351" t="n">
        <v>-0.2574</v>
      </c>
      <c r="E2351" t="n">
        <v>10.054</v>
      </c>
      <c r="F2351" t="n">
        <v>0.12306</v>
      </c>
    </row>
    <row r="2352">
      <c r="A2352" t="n">
        <v>2000523</v>
      </c>
      <c r="B2352" t="n">
        <v>2</v>
      </c>
      <c r="C2352" t="n">
        <v>523</v>
      </c>
      <c r="D2352" t="n">
        <v>-0.2577</v>
      </c>
      <c r="E2352" t="n">
        <v>10.0609</v>
      </c>
      <c r="F2352" t="n">
        <v>0.12306</v>
      </c>
    </row>
    <row r="2353">
      <c r="A2353" t="n">
        <v>2000524</v>
      </c>
      <c r="B2353" t="n">
        <v>2</v>
      </c>
      <c r="C2353" t="n">
        <v>524</v>
      </c>
      <c r="D2353" t="n">
        <v>-0.2579</v>
      </c>
      <c r="E2353" t="n">
        <v>10.0678</v>
      </c>
      <c r="F2353" t="n">
        <v>0.12306</v>
      </c>
    </row>
    <row r="2354">
      <c r="A2354" t="n">
        <v>2000525</v>
      </c>
      <c r="B2354" t="n">
        <v>2</v>
      </c>
      <c r="C2354" t="n">
        <v>525</v>
      </c>
      <c r="D2354" t="n">
        <v>-0.2582</v>
      </c>
      <c r="E2354" t="n">
        <v>10.0746</v>
      </c>
      <c r="F2354" t="n">
        <v>0.12306</v>
      </c>
    </row>
    <row r="2355">
      <c r="A2355" t="n">
        <v>2000526</v>
      </c>
      <c r="B2355" t="n">
        <v>2</v>
      </c>
      <c r="C2355" t="n">
        <v>526</v>
      </c>
      <c r="D2355" t="n">
        <v>-0.2584</v>
      </c>
      <c r="E2355" t="n">
        <v>10.0815</v>
      </c>
      <c r="F2355" t="n">
        <v>0.12306</v>
      </c>
    </row>
    <row r="2356">
      <c r="A2356" t="n">
        <v>2000527</v>
      </c>
      <c r="B2356" t="n">
        <v>2</v>
      </c>
      <c r="C2356" t="n">
        <v>527</v>
      </c>
      <c r="D2356" t="n">
        <v>-0.2587</v>
      </c>
      <c r="E2356" t="n">
        <v>10.0884</v>
      </c>
      <c r="F2356" t="n">
        <v>0.12307</v>
      </c>
    </row>
    <row r="2357">
      <c r="A2357" t="n">
        <v>2000528</v>
      </c>
      <c r="B2357" t="n">
        <v>2</v>
      </c>
      <c r="C2357" t="n">
        <v>528</v>
      </c>
      <c r="D2357" t="n">
        <v>-0.2589</v>
      </c>
      <c r="E2357" t="n">
        <v>10.0953</v>
      </c>
      <c r="F2357" t="n">
        <v>0.12307</v>
      </c>
    </row>
    <row r="2358">
      <c r="A2358" t="n">
        <v>2000529</v>
      </c>
      <c r="B2358" t="n">
        <v>2</v>
      </c>
      <c r="C2358" t="n">
        <v>529</v>
      </c>
      <c r="D2358" t="n">
        <v>-0.2592</v>
      </c>
      <c r="E2358" t="n">
        <v>10.1021</v>
      </c>
      <c r="F2358" t="n">
        <v>0.12307</v>
      </c>
    </row>
    <row r="2359">
      <c r="A2359" t="n">
        <v>2000530</v>
      </c>
      <c r="B2359" t="n">
        <v>2</v>
      </c>
      <c r="C2359" t="n">
        <v>530</v>
      </c>
      <c r="D2359" t="n">
        <v>-0.2594</v>
      </c>
      <c r="E2359" t="n">
        <v>10.109</v>
      </c>
      <c r="F2359" t="n">
        <v>0.12307</v>
      </c>
    </row>
    <row r="2360">
      <c r="A2360" t="n">
        <v>2000531</v>
      </c>
      <c r="B2360" t="n">
        <v>2</v>
      </c>
      <c r="C2360" t="n">
        <v>531</v>
      </c>
      <c r="D2360" t="n">
        <v>-0.2597</v>
      </c>
      <c r="E2360" t="n">
        <v>10.1159</v>
      </c>
      <c r="F2360" t="n">
        <v>0.12307</v>
      </c>
    </row>
    <row r="2361">
      <c r="A2361" t="n">
        <v>2000532</v>
      </c>
      <c r="B2361" t="n">
        <v>2</v>
      </c>
      <c r="C2361" t="n">
        <v>532</v>
      </c>
      <c r="D2361" t="n">
        <v>-0.2599</v>
      </c>
      <c r="E2361" t="n">
        <v>10.1227</v>
      </c>
      <c r="F2361" t="n">
        <v>0.12307</v>
      </c>
    </row>
    <row r="2362">
      <c r="A2362" t="n">
        <v>2000533</v>
      </c>
      <c r="B2362" t="n">
        <v>2</v>
      </c>
      <c r="C2362" t="n">
        <v>533</v>
      </c>
      <c r="D2362" t="n">
        <v>-0.2601</v>
      </c>
      <c r="E2362" t="n">
        <v>10.1296</v>
      </c>
      <c r="F2362" t="n">
        <v>0.12307</v>
      </c>
    </row>
    <row r="2363">
      <c r="A2363" t="n">
        <v>2000534</v>
      </c>
      <c r="B2363" t="n">
        <v>2</v>
      </c>
      <c r="C2363" t="n">
        <v>534</v>
      </c>
      <c r="D2363" t="n">
        <v>-0.2604</v>
      </c>
      <c r="E2363" t="n">
        <v>10.1365</v>
      </c>
      <c r="F2363" t="n">
        <v>0.12307</v>
      </c>
    </row>
    <row r="2364">
      <c r="A2364" t="n">
        <v>2000535</v>
      </c>
      <c r="B2364" t="n">
        <v>2</v>
      </c>
      <c r="C2364" t="n">
        <v>535</v>
      </c>
      <c r="D2364" t="n">
        <v>-0.2606</v>
      </c>
      <c r="E2364" t="n">
        <v>10.1433</v>
      </c>
      <c r="F2364" t="n">
        <v>0.12308</v>
      </c>
    </row>
    <row r="2365">
      <c r="A2365" t="n">
        <v>2000536</v>
      </c>
      <c r="B2365" t="n">
        <v>2</v>
      </c>
      <c r="C2365" t="n">
        <v>536</v>
      </c>
      <c r="D2365" t="n">
        <v>-0.2609</v>
      </c>
      <c r="E2365" t="n">
        <v>10.1502</v>
      </c>
      <c r="F2365" t="n">
        <v>0.12308</v>
      </c>
    </row>
    <row r="2366">
      <c r="A2366" t="n">
        <v>2000537</v>
      </c>
      <c r="B2366" t="n">
        <v>2</v>
      </c>
      <c r="C2366" t="n">
        <v>537</v>
      </c>
      <c r="D2366" t="n">
        <v>-0.2611</v>
      </c>
      <c r="E2366" t="n">
        <v>10.157</v>
      </c>
      <c r="F2366" t="n">
        <v>0.12308</v>
      </c>
    </row>
    <row r="2367">
      <c r="A2367" t="n">
        <v>2000538</v>
      </c>
      <c r="B2367" t="n">
        <v>2</v>
      </c>
      <c r="C2367" t="n">
        <v>538</v>
      </c>
      <c r="D2367" t="n">
        <v>-0.2614</v>
      </c>
      <c r="E2367" t="n">
        <v>10.1639</v>
      </c>
      <c r="F2367" t="n">
        <v>0.12308</v>
      </c>
    </row>
    <row r="2368">
      <c r="A2368" t="n">
        <v>2000539</v>
      </c>
      <c r="B2368" t="n">
        <v>2</v>
      </c>
      <c r="C2368" t="n">
        <v>539</v>
      </c>
      <c r="D2368" t="n">
        <v>-0.2616</v>
      </c>
      <c r="E2368" t="n">
        <v>10.1707</v>
      </c>
      <c r="F2368" t="n">
        <v>0.12308</v>
      </c>
    </row>
    <row r="2369">
      <c r="A2369" t="n">
        <v>2000540</v>
      </c>
      <c r="B2369" t="n">
        <v>2</v>
      </c>
      <c r="C2369" t="n">
        <v>540</v>
      </c>
      <c r="D2369" t="n">
        <v>-0.2618</v>
      </c>
      <c r="E2369" t="n">
        <v>10.1776</v>
      </c>
      <c r="F2369" t="n">
        <v>0.12308</v>
      </c>
    </row>
    <row r="2370">
      <c r="A2370" t="n">
        <v>2000541</v>
      </c>
      <c r="B2370" t="n">
        <v>2</v>
      </c>
      <c r="C2370" t="n">
        <v>541</v>
      </c>
      <c r="D2370" t="n">
        <v>-0.2621</v>
      </c>
      <c r="E2370" t="n">
        <v>10.1845</v>
      </c>
      <c r="F2370" t="n">
        <v>0.12308</v>
      </c>
    </row>
    <row r="2371">
      <c r="A2371" t="n">
        <v>2000542</v>
      </c>
      <c r="B2371" t="n">
        <v>2</v>
      </c>
      <c r="C2371" t="n">
        <v>542</v>
      </c>
      <c r="D2371" t="n">
        <v>-0.2623</v>
      </c>
      <c r="E2371" t="n">
        <v>10.1913</v>
      </c>
      <c r="F2371" t="n">
        <v>0.12309</v>
      </c>
    </row>
    <row r="2372">
      <c r="A2372" t="n">
        <v>2000543</v>
      </c>
      <c r="B2372" t="n">
        <v>2</v>
      </c>
      <c r="C2372" t="n">
        <v>543</v>
      </c>
      <c r="D2372" t="n">
        <v>-0.2625</v>
      </c>
      <c r="E2372" t="n">
        <v>10.1982</v>
      </c>
      <c r="F2372" t="n">
        <v>0.12309</v>
      </c>
    </row>
    <row r="2373">
      <c r="A2373" t="n">
        <v>2000544</v>
      </c>
      <c r="B2373" t="n">
        <v>2</v>
      </c>
      <c r="C2373" t="n">
        <v>544</v>
      </c>
      <c r="D2373" t="n">
        <v>-0.2628</v>
      </c>
      <c r="E2373" t="n">
        <v>10.205</v>
      </c>
      <c r="F2373" t="n">
        <v>0.12309</v>
      </c>
    </row>
    <row r="2374">
      <c r="A2374" t="n">
        <v>2000545</v>
      </c>
      <c r="B2374" t="n">
        <v>2</v>
      </c>
      <c r="C2374" t="n">
        <v>545</v>
      </c>
      <c r="D2374" t="n">
        <v>-0.263</v>
      </c>
      <c r="E2374" t="n">
        <v>10.2119</v>
      </c>
      <c r="F2374" t="n">
        <v>0.12309</v>
      </c>
    </row>
    <row r="2375">
      <c r="A2375" t="n">
        <v>2000546</v>
      </c>
      <c r="B2375" t="n">
        <v>2</v>
      </c>
      <c r="C2375" t="n">
        <v>546</v>
      </c>
      <c r="D2375" t="n">
        <v>-0.2632</v>
      </c>
      <c r="E2375" t="n">
        <v>10.2187</v>
      </c>
      <c r="F2375" t="n">
        <v>0.12309</v>
      </c>
    </row>
    <row r="2376">
      <c r="A2376" t="n">
        <v>2000547</v>
      </c>
      <c r="B2376" t="n">
        <v>2</v>
      </c>
      <c r="C2376" t="n">
        <v>547</v>
      </c>
      <c r="D2376" t="n">
        <v>-0.2635</v>
      </c>
      <c r="E2376" t="n">
        <v>10.2255</v>
      </c>
      <c r="F2376" t="n">
        <v>0.12309</v>
      </c>
    </row>
    <row r="2377">
      <c r="A2377" t="n">
        <v>2000548</v>
      </c>
      <c r="B2377" t="n">
        <v>2</v>
      </c>
      <c r="C2377" t="n">
        <v>548</v>
      </c>
      <c r="D2377" t="n">
        <v>-0.2637</v>
      </c>
      <c r="E2377" t="n">
        <v>10.2324</v>
      </c>
      <c r="F2377" t="n">
        <v>0.12309</v>
      </c>
    </row>
    <row r="2378">
      <c r="A2378" t="n">
        <v>2000549</v>
      </c>
      <c r="B2378" t="n">
        <v>2</v>
      </c>
      <c r="C2378" t="n">
        <v>549</v>
      </c>
      <c r="D2378" t="n">
        <v>-0.2639</v>
      </c>
      <c r="E2378" t="n">
        <v>10.2392</v>
      </c>
      <c r="F2378" t="n">
        <v>0.1231</v>
      </c>
    </row>
    <row r="2379">
      <c r="A2379" t="n">
        <v>2000550</v>
      </c>
      <c r="B2379" t="n">
        <v>2</v>
      </c>
      <c r="C2379" t="n">
        <v>550</v>
      </c>
      <c r="D2379" t="n">
        <v>-0.2642</v>
      </c>
      <c r="E2379" t="n">
        <v>10.2461</v>
      </c>
      <c r="F2379" t="n">
        <v>0.1231</v>
      </c>
    </row>
    <row r="2380">
      <c r="A2380" t="n">
        <v>2000551</v>
      </c>
      <c r="B2380" t="n">
        <v>2</v>
      </c>
      <c r="C2380" t="n">
        <v>551</v>
      </c>
      <c r="D2380" t="n">
        <v>-0.2644</v>
      </c>
      <c r="E2380" t="n">
        <v>10.2529</v>
      </c>
      <c r="F2380" t="n">
        <v>0.1231</v>
      </c>
    </row>
    <row r="2381">
      <c r="A2381" t="n">
        <v>2000552</v>
      </c>
      <c r="B2381" t="n">
        <v>2</v>
      </c>
      <c r="C2381" t="n">
        <v>552</v>
      </c>
      <c r="D2381" t="n">
        <v>-0.2646</v>
      </c>
      <c r="E2381" t="n">
        <v>10.2597</v>
      </c>
      <c r="F2381" t="n">
        <v>0.1231</v>
      </c>
    </row>
    <row r="2382">
      <c r="A2382" t="n">
        <v>2000553</v>
      </c>
      <c r="B2382" t="n">
        <v>2</v>
      </c>
      <c r="C2382" t="n">
        <v>553</v>
      </c>
      <c r="D2382" t="n">
        <v>-0.2649</v>
      </c>
      <c r="E2382" t="n">
        <v>10.2666</v>
      </c>
      <c r="F2382" t="n">
        <v>0.1231</v>
      </c>
    </row>
    <row r="2383">
      <c r="A2383" t="n">
        <v>2000554</v>
      </c>
      <c r="B2383" t="n">
        <v>2</v>
      </c>
      <c r="C2383" t="n">
        <v>554</v>
      </c>
      <c r="D2383" t="n">
        <v>-0.2651</v>
      </c>
      <c r="E2383" t="n">
        <v>10.2734</v>
      </c>
      <c r="F2383" t="n">
        <v>0.1231</v>
      </c>
    </row>
    <row r="2384">
      <c r="A2384" t="n">
        <v>2000555</v>
      </c>
      <c r="B2384" t="n">
        <v>2</v>
      </c>
      <c r="C2384" t="n">
        <v>555</v>
      </c>
      <c r="D2384" t="n">
        <v>-0.2653</v>
      </c>
      <c r="E2384" t="n">
        <v>10.2803</v>
      </c>
      <c r="F2384" t="n">
        <v>0.12311</v>
      </c>
    </row>
    <row r="2385">
      <c r="A2385" t="n">
        <v>2000556</v>
      </c>
      <c r="B2385" t="n">
        <v>2</v>
      </c>
      <c r="C2385" t="n">
        <v>556</v>
      </c>
      <c r="D2385" t="n">
        <v>-0.2655</v>
      </c>
      <c r="E2385" t="n">
        <v>10.2871</v>
      </c>
      <c r="F2385" t="n">
        <v>0.12311</v>
      </c>
    </row>
    <row r="2386">
      <c r="A2386" t="n">
        <v>2000557</v>
      </c>
      <c r="B2386" t="n">
        <v>2</v>
      </c>
      <c r="C2386" t="n">
        <v>557</v>
      </c>
      <c r="D2386" t="n">
        <v>-0.2658</v>
      </c>
      <c r="E2386" t="n">
        <v>10.2939</v>
      </c>
      <c r="F2386" t="n">
        <v>0.12311</v>
      </c>
    </row>
    <row r="2387">
      <c r="A2387" t="n">
        <v>2000558</v>
      </c>
      <c r="B2387" t="n">
        <v>2</v>
      </c>
      <c r="C2387" t="n">
        <v>558</v>
      </c>
      <c r="D2387" t="n">
        <v>-0.266</v>
      </c>
      <c r="E2387" t="n">
        <v>10.3008</v>
      </c>
      <c r="F2387" t="n">
        <v>0.12311</v>
      </c>
    </row>
    <row r="2388">
      <c r="A2388" t="n">
        <v>2000559</v>
      </c>
      <c r="B2388" t="n">
        <v>2</v>
      </c>
      <c r="C2388" t="n">
        <v>559</v>
      </c>
      <c r="D2388" t="n">
        <v>-0.2662</v>
      </c>
      <c r="E2388" t="n">
        <v>10.3076</v>
      </c>
      <c r="F2388" t="n">
        <v>0.12311</v>
      </c>
    </row>
    <row r="2389">
      <c r="A2389" t="n">
        <v>2000560</v>
      </c>
      <c r="B2389" t="n">
        <v>2</v>
      </c>
      <c r="C2389" t="n">
        <v>560</v>
      </c>
      <c r="D2389" t="n">
        <v>-0.2664</v>
      </c>
      <c r="E2389" t="n">
        <v>10.3144</v>
      </c>
      <c r="F2389" t="n">
        <v>0.12311</v>
      </c>
    </row>
    <row r="2390">
      <c r="A2390" t="n">
        <v>2000561</v>
      </c>
      <c r="B2390" t="n">
        <v>2</v>
      </c>
      <c r="C2390" t="n">
        <v>561</v>
      </c>
      <c r="D2390" t="n">
        <v>-0.2666</v>
      </c>
      <c r="E2390" t="n">
        <v>10.3213</v>
      </c>
      <c r="F2390" t="n">
        <v>0.12312</v>
      </c>
    </row>
    <row r="2391">
      <c r="A2391" t="n">
        <v>2000562</v>
      </c>
      <c r="B2391" t="n">
        <v>2</v>
      </c>
      <c r="C2391" t="n">
        <v>562</v>
      </c>
      <c r="D2391" t="n">
        <v>-0.2669</v>
      </c>
      <c r="E2391" t="n">
        <v>10.3281</v>
      </c>
      <c r="F2391" t="n">
        <v>0.12312</v>
      </c>
    </row>
    <row r="2392">
      <c r="A2392" t="n">
        <v>2000563</v>
      </c>
      <c r="B2392" t="n">
        <v>2</v>
      </c>
      <c r="C2392" t="n">
        <v>563</v>
      </c>
      <c r="D2392" t="n">
        <v>-0.2671</v>
      </c>
      <c r="E2392" t="n">
        <v>10.3349</v>
      </c>
      <c r="F2392" t="n">
        <v>0.12312</v>
      </c>
    </row>
    <row r="2393">
      <c r="A2393" t="n">
        <v>2000564</v>
      </c>
      <c r="B2393" t="n">
        <v>2</v>
      </c>
      <c r="C2393" t="n">
        <v>564</v>
      </c>
      <c r="D2393" t="n">
        <v>-0.2673</v>
      </c>
      <c r="E2393" t="n">
        <v>10.3417</v>
      </c>
      <c r="F2393" t="n">
        <v>0.12312</v>
      </c>
    </row>
    <row r="2394">
      <c r="A2394" t="n">
        <v>2000565</v>
      </c>
      <c r="B2394" t="n">
        <v>2</v>
      </c>
      <c r="C2394" t="n">
        <v>565</v>
      </c>
      <c r="D2394" t="n">
        <v>-0.2675</v>
      </c>
      <c r="E2394" t="n">
        <v>10.3486</v>
      </c>
      <c r="F2394" t="n">
        <v>0.12312</v>
      </c>
    </row>
    <row r="2395">
      <c r="A2395" t="n">
        <v>2000566</v>
      </c>
      <c r="B2395" t="n">
        <v>2</v>
      </c>
      <c r="C2395" t="n">
        <v>566</v>
      </c>
      <c r="D2395" t="n">
        <v>-0.2677</v>
      </c>
      <c r="E2395" t="n">
        <v>10.3554</v>
      </c>
      <c r="F2395" t="n">
        <v>0.12313</v>
      </c>
    </row>
    <row r="2396">
      <c r="A2396" t="n">
        <v>2000567</v>
      </c>
      <c r="B2396" t="n">
        <v>2</v>
      </c>
      <c r="C2396" t="n">
        <v>567</v>
      </c>
      <c r="D2396" t="n">
        <v>-0.2679</v>
      </c>
      <c r="E2396" t="n">
        <v>10.3622</v>
      </c>
      <c r="F2396" t="n">
        <v>0.12313</v>
      </c>
    </row>
    <row r="2397">
      <c r="A2397" t="n">
        <v>2000568</v>
      </c>
      <c r="B2397" t="n">
        <v>2</v>
      </c>
      <c r="C2397" t="n">
        <v>568</v>
      </c>
      <c r="D2397" t="n">
        <v>-0.2682</v>
      </c>
      <c r="E2397" t="n">
        <v>10.369</v>
      </c>
      <c r="F2397" t="n">
        <v>0.12313</v>
      </c>
    </row>
    <row r="2398">
      <c r="A2398" t="n">
        <v>2000569</v>
      </c>
      <c r="B2398" t="n">
        <v>2</v>
      </c>
      <c r="C2398" t="n">
        <v>569</v>
      </c>
      <c r="D2398" t="n">
        <v>-0.2684</v>
      </c>
      <c r="E2398" t="n">
        <v>10.3759</v>
      </c>
      <c r="F2398" t="n">
        <v>0.12313</v>
      </c>
    </row>
    <row r="2399">
      <c r="A2399" t="n">
        <v>2000570</v>
      </c>
      <c r="B2399" t="n">
        <v>2</v>
      </c>
      <c r="C2399" t="n">
        <v>570</v>
      </c>
      <c r="D2399" t="n">
        <v>-0.2686</v>
      </c>
      <c r="E2399" t="n">
        <v>10.3827</v>
      </c>
      <c r="F2399" t="n">
        <v>0.12313</v>
      </c>
    </row>
    <row r="2400">
      <c r="A2400" t="n">
        <v>2000571</v>
      </c>
      <c r="B2400" t="n">
        <v>2</v>
      </c>
      <c r="C2400" t="n">
        <v>571</v>
      </c>
      <c r="D2400" t="n">
        <v>-0.2688</v>
      </c>
      <c r="E2400" t="n">
        <v>10.3895</v>
      </c>
      <c r="F2400" t="n">
        <v>0.12314</v>
      </c>
    </row>
    <row r="2401">
      <c r="A2401" t="n">
        <v>2000572</v>
      </c>
      <c r="B2401" t="n">
        <v>2</v>
      </c>
      <c r="C2401" t="n">
        <v>572</v>
      </c>
      <c r="D2401" t="n">
        <v>-0.269</v>
      </c>
      <c r="E2401" t="n">
        <v>10.3963</v>
      </c>
      <c r="F2401" t="n">
        <v>0.12314</v>
      </c>
    </row>
    <row r="2402">
      <c r="A2402" t="n">
        <v>2000573</v>
      </c>
      <c r="B2402" t="n">
        <v>2</v>
      </c>
      <c r="C2402" t="n">
        <v>573</v>
      </c>
      <c r="D2402" t="n">
        <v>-0.2692</v>
      </c>
      <c r="E2402" t="n">
        <v>10.4031</v>
      </c>
      <c r="F2402" t="n">
        <v>0.12314</v>
      </c>
    </row>
    <row r="2403">
      <c r="A2403" t="n">
        <v>2000574</v>
      </c>
      <c r="B2403" t="n">
        <v>2</v>
      </c>
      <c r="C2403" t="n">
        <v>574</v>
      </c>
      <c r="D2403" t="n">
        <v>-0.2694</v>
      </c>
      <c r="E2403" t="n">
        <v>10.41</v>
      </c>
      <c r="F2403" t="n">
        <v>0.12314</v>
      </c>
    </row>
    <row r="2404">
      <c r="A2404" t="n">
        <v>2000575</v>
      </c>
      <c r="B2404" t="n">
        <v>2</v>
      </c>
      <c r="C2404" t="n">
        <v>575</v>
      </c>
      <c r="D2404" t="n">
        <v>-0.2696</v>
      </c>
      <c r="E2404" t="n">
        <v>10.4168</v>
      </c>
      <c r="F2404" t="n">
        <v>0.12314</v>
      </c>
    </row>
    <row r="2405">
      <c r="A2405" t="n">
        <v>2000576</v>
      </c>
      <c r="B2405" t="n">
        <v>2</v>
      </c>
      <c r="C2405" t="n">
        <v>576</v>
      </c>
      <c r="D2405" t="n">
        <v>-0.2698</v>
      </c>
      <c r="E2405" t="n">
        <v>10.4236</v>
      </c>
      <c r="F2405" t="n">
        <v>0.12315</v>
      </c>
    </row>
    <row r="2406">
      <c r="A2406" t="n">
        <v>2000577</v>
      </c>
      <c r="B2406" t="n">
        <v>2</v>
      </c>
      <c r="C2406" t="n">
        <v>577</v>
      </c>
      <c r="D2406" t="n">
        <v>-0.27</v>
      </c>
      <c r="E2406" t="n">
        <v>10.4304</v>
      </c>
      <c r="F2406" t="n">
        <v>0.12315</v>
      </c>
    </row>
    <row r="2407">
      <c r="A2407" t="n">
        <v>2000578</v>
      </c>
      <c r="B2407" t="n">
        <v>2</v>
      </c>
      <c r="C2407" t="n">
        <v>578</v>
      </c>
      <c r="D2407" t="n">
        <v>-0.2702</v>
      </c>
      <c r="E2407" t="n">
        <v>10.4372</v>
      </c>
      <c r="F2407" t="n">
        <v>0.12315</v>
      </c>
    </row>
    <row r="2408">
      <c r="A2408" t="n">
        <v>2000579</v>
      </c>
      <c r="B2408" t="n">
        <v>2</v>
      </c>
      <c r="C2408" t="n">
        <v>579</v>
      </c>
      <c r="D2408" t="n">
        <v>-0.2705</v>
      </c>
      <c r="E2408" t="n">
        <v>10.444</v>
      </c>
      <c r="F2408" t="n">
        <v>0.12315</v>
      </c>
    </row>
    <row r="2409">
      <c r="A2409" t="n">
        <v>2000580</v>
      </c>
      <c r="B2409" t="n">
        <v>2</v>
      </c>
      <c r="C2409" t="n">
        <v>580</v>
      </c>
      <c r="D2409" t="n">
        <v>-0.2707</v>
      </c>
      <c r="E2409" t="n">
        <v>10.4508</v>
      </c>
      <c r="F2409" t="n">
        <v>0.12316</v>
      </c>
    </row>
    <row r="2410">
      <c r="A2410" t="n">
        <v>2000581</v>
      </c>
      <c r="B2410" t="n">
        <v>2</v>
      </c>
      <c r="C2410" t="n">
        <v>581</v>
      </c>
      <c r="D2410" t="n">
        <v>-0.2709</v>
      </c>
      <c r="E2410" t="n">
        <v>10.4577</v>
      </c>
      <c r="F2410" t="n">
        <v>0.12316</v>
      </c>
    </row>
    <row r="2411">
      <c r="A2411" t="n">
        <v>2000582</v>
      </c>
      <c r="B2411" t="n">
        <v>2</v>
      </c>
      <c r="C2411" t="n">
        <v>582</v>
      </c>
      <c r="D2411" t="n">
        <v>-0.2711</v>
      </c>
      <c r="E2411" t="n">
        <v>10.4645</v>
      </c>
      <c r="F2411" t="n">
        <v>0.12316</v>
      </c>
    </row>
    <row r="2412">
      <c r="A2412" t="n">
        <v>2000583</v>
      </c>
      <c r="B2412" t="n">
        <v>2</v>
      </c>
      <c r="C2412" t="n">
        <v>583</v>
      </c>
      <c r="D2412" t="n">
        <v>-0.2713</v>
      </c>
      <c r="E2412" t="n">
        <v>10.4713</v>
      </c>
      <c r="F2412" t="n">
        <v>0.12316</v>
      </c>
    </row>
    <row r="2413">
      <c r="A2413" t="n">
        <v>2000584</v>
      </c>
      <c r="B2413" t="n">
        <v>2</v>
      </c>
      <c r="C2413" t="n">
        <v>584</v>
      </c>
      <c r="D2413" t="n">
        <v>-0.2715</v>
      </c>
      <c r="E2413" t="n">
        <v>10.4781</v>
      </c>
      <c r="F2413" t="n">
        <v>0.12316</v>
      </c>
    </row>
    <row r="2414">
      <c r="A2414" t="n">
        <v>2000585</v>
      </c>
      <c r="B2414" t="n">
        <v>2</v>
      </c>
      <c r="C2414" t="n">
        <v>585</v>
      </c>
      <c r="D2414" t="n">
        <v>-0.2717</v>
      </c>
      <c r="E2414" t="n">
        <v>10.4849</v>
      </c>
      <c r="F2414" t="n">
        <v>0.12317</v>
      </c>
    </row>
    <row r="2415">
      <c r="A2415" t="n">
        <v>2000586</v>
      </c>
      <c r="B2415" t="n">
        <v>2</v>
      </c>
      <c r="C2415" t="n">
        <v>586</v>
      </c>
      <c r="D2415" t="n">
        <v>-0.2719</v>
      </c>
      <c r="E2415" t="n">
        <v>10.4917</v>
      </c>
      <c r="F2415" t="n">
        <v>0.12317</v>
      </c>
    </row>
    <row r="2416">
      <c r="A2416" t="n">
        <v>2000587</v>
      </c>
      <c r="B2416" t="n">
        <v>2</v>
      </c>
      <c r="C2416" t="n">
        <v>587</v>
      </c>
      <c r="D2416" t="n">
        <v>-0.2721</v>
      </c>
      <c r="E2416" t="n">
        <v>10.4985</v>
      </c>
      <c r="F2416" t="n">
        <v>0.12317</v>
      </c>
    </row>
    <row r="2417">
      <c r="A2417" t="n">
        <v>2000588</v>
      </c>
      <c r="B2417" t="n">
        <v>2</v>
      </c>
      <c r="C2417" t="n">
        <v>588</v>
      </c>
      <c r="D2417" t="n">
        <v>-0.2723</v>
      </c>
      <c r="E2417" t="n">
        <v>10.5053</v>
      </c>
      <c r="F2417" t="n">
        <v>0.12317</v>
      </c>
    </row>
    <row r="2418">
      <c r="A2418" t="n">
        <v>2000589</v>
      </c>
      <c r="B2418" t="n">
        <v>2</v>
      </c>
      <c r="C2418" t="n">
        <v>589</v>
      </c>
      <c r="D2418" t="n">
        <v>-0.2725</v>
      </c>
      <c r="E2418" t="n">
        <v>10.5121</v>
      </c>
      <c r="F2418" t="n">
        <v>0.12318</v>
      </c>
    </row>
    <row r="2419">
      <c r="A2419" t="n">
        <v>2000590</v>
      </c>
      <c r="B2419" t="n">
        <v>2</v>
      </c>
      <c r="C2419" t="n">
        <v>590</v>
      </c>
      <c r="D2419" t="n">
        <v>-0.2727</v>
      </c>
      <c r="E2419" t="n">
        <v>10.5189</v>
      </c>
      <c r="F2419" t="n">
        <v>0.12318</v>
      </c>
    </row>
    <row r="2420">
      <c r="A2420" t="n">
        <v>2000591</v>
      </c>
      <c r="B2420" t="n">
        <v>2</v>
      </c>
      <c r="C2420" t="n">
        <v>591</v>
      </c>
      <c r="D2420" t="n">
        <v>-0.2729</v>
      </c>
      <c r="E2420" t="n">
        <v>10.5257</v>
      </c>
      <c r="F2420" t="n">
        <v>0.12318</v>
      </c>
    </row>
    <row r="2421">
      <c r="A2421" t="n">
        <v>2000592</v>
      </c>
      <c r="B2421" t="n">
        <v>2</v>
      </c>
      <c r="C2421" t="n">
        <v>592</v>
      </c>
      <c r="D2421" t="n">
        <v>-0.273</v>
      </c>
      <c r="E2421" t="n">
        <v>10.5325</v>
      </c>
      <c r="F2421" t="n">
        <v>0.12319</v>
      </c>
    </row>
    <row r="2422">
      <c r="A2422" t="n">
        <v>2000593</v>
      </c>
      <c r="B2422" t="n">
        <v>2</v>
      </c>
      <c r="C2422" t="n">
        <v>593</v>
      </c>
      <c r="D2422" t="n">
        <v>-0.2732</v>
      </c>
      <c r="E2422" t="n">
        <v>10.5393</v>
      </c>
      <c r="F2422" t="n">
        <v>0.12319</v>
      </c>
    </row>
    <row r="2423">
      <c r="A2423" t="n">
        <v>2000594</v>
      </c>
      <c r="B2423" t="n">
        <v>2</v>
      </c>
      <c r="C2423" t="n">
        <v>594</v>
      </c>
      <c r="D2423" t="n">
        <v>-0.2734</v>
      </c>
      <c r="E2423" t="n">
        <v>10.5461</v>
      </c>
      <c r="F2423" t="n">
        <v>0.12319</v>
      </c>
    </row>
    <row r="2424">
      <c r="A2424" t="n">
        <v>2000595</v>
      </c>
      <c r="B2424" t="n">
        <v>2</v>
      </c>
      <c r="C2424" t="n">
        <v>595</v>
      </c>
      <c r="D2424" t="n">
        <v>-0.2736</v>
      </c>
      <c r="E2424" t="n">
        <v>10.5529</v>
      </c>
      <c r="F2424" t="n">
        <v>0.12319</v>
      </c>
    </row>
    <row r="2425">
      <c r="A2425" t="n">
        <v>2000596</v>
      </c>
      <c r="B2425" t="n">
        <v>2</v>
      </c>
      <c r="C2425" t="n">
        <v>596</v>
      </c>
      <c r="D2425" t="n">
        <v>-0.2738</v>
      </c>
      <c r="E2425" t="n">
        <v>10.5597</v>
      </c>
      <c r="F2425" t="n">
        <v>0.1232</v>
      </c>
    </row>
    <row r="2426">
      <c r="A2426" t="n">
        <v>2000597</v>
      </c>
      <c r="B2426" t="n">
        <v>2</v>
      </c>
      <c r="C2426" t="n">
        <v>597</v>
      </c>
      <c r="D2426" t="n">
        <v>-0.274</v>
      </c>
      <c r="E2426" t="n">
        <v>10.5665</v>
      </c>
      <c r="F2426" t="n">
        <v>0.1232</v>
      </c>
    </row>
    <row r="2427">
      <c r="A2427" t="n">
        <v>2000598</v>
      </c>
      <c r="B2427" t="n">
        <v>2</v>
      </c>
      <c r="C2427" t="n">
        <v>598</v>
      </c>
      <c r="D2427" t="n">
        <v>-0.2742</v>
      </c>
      <c r="E2427" t="n">
        <v>10.5733</v>
      </c>
      <c r="F2427" t="n">
        <v>0.1232</v>
      </c>
    </row>
    <row r="2428">
      <c r="A2428" t="n">
        <v>2000599</v>
      </c>
      <c r="B2428" t="n">
        <v>2</v>
      </c>
      <c r="C2428" t="n">
        <v>599</v>
      </c>
      <c r="D2428" t="n">
        <v>-0.2744</v>
      </c>
      <c r="E2428" t="n">
        <v>10.5801</v>
      </c>
      <c r="F2428" t="n">
        <v>0.1232</v>
      </c>
    </row>
    <row r="2429">
      <c r="A2429" t="n">
        <v>2000600</v>
      </c>
      <c r="B2429" t="n">
        <v>2</v>
      </c>
      <c r="C2429" t="n">
        <v>600</v>
      </c>
      <c r="D2429" t="n">
        <v>-0.2746</v>
      </c>
      <c r="E2429" t="n">
        <v>10.5869</v>
      </c>
      <c r="F2429" t="n">
        <v>0.12321</v>
      </c>
    </row>
    <row r="2430">
      <c r="A2430" t="n">
        <v>2000601</v>
      </c>
      <c r="B2430" t="n">
        <v>2</v>
      </c>
      <c r="C2430" t="n">
        <v>601</v>
      </c>
      <c r="D2430" t="n">
        <v>-0.2748</v>
      </c>
      <c r="E2430" t="n">
        <v>10.5937</v>
      </c>
      <c r="F2430" t="n">
        <v>0.12321</v>
      </c>
    </row>
    <row r="2431">
      <c r="A2431" t="n">
        <v>2000602</v>
      </c>
      <c r="B2431" t="n">
        <v>2</v>
      </c>
      <c r="C2431" t="n">
        <v>602</v>
      </c>
      <c r="D2431" t="n">
        <v>-0.275</v>
      </c>
      <c r="E2431" t="n">
        <v>10.6005</v>
      </c>
      <c r="F2431" t="n">
        <v>0.12321</v>
      </c>
    </row>
    <row r="2432">
      <c r="A2432" t="n">
        <v>2000603</v>
      </c>
      <c r="B2432" t="n">
        <v>2</v>
      </c>
      <c r="C2432" t="n">
        <v>603</v>
      </c>
      <c r="D2432" t="n">
        <v>-0.2751</v>
      </c>
      <c r="E2432" t="n">
        <v>10.6073</v>
      </c>
      <c r="F2432" t="n">
        <v>0.12322</v>
      </c>
    </row>
    <row r="2433">
      <c r="A2433" t="n">
        <v>2000604</v>
      </c>
      <c r="B2433" t="n">
        <v>2</v>
      </c>
      <c r="C2433" t="n">
        <v>604</v>
      </c>
      <c r="D2433" t="n">
        <v>-0.2753</v>
      </c>
      <c r="E2433" t="n">
        <v>10.6141</v>
      </c>
      <c r="F2433" t="n">
        <v>0.12322</v>
      </c>
    </row>
    <row r="2434">
      <c r="A2434" t="n">
        <v>2000605</v>
      </c>
      <c r="B2434" t="n">
        <v>2</v>
      </c>
      <c r="C2434" t="n">
        <v>605</v>
      </c>
      <c r="D2434" t="n">
        <v>-0.2755</v>
      </c>
      <c r="E2434" t="n">
        <v>10.6209</v>
      </c>
      <c r="F2434" t="n">
        <v>0.12322</v>
      </c>
    </row>
    <row r="2435">
      <c r="A2435" t="n">
        <v>2000606</v>
      </c>
      <c r="B2435" t="n">
        <v>2</v>
      </c>
      <c r="C2435" t="n">
        <v>606</v>
      </c>
      <c r="D2435" t="n">
        <v>-0.2757</v>
      </c>
      <c r="E2435" t="n">
        <v>10.6277</v>
      </c>
      <c r="F2435" t="n">
        <v>0.12323</v>
      </c>
    </row>
    <row r="2436">
      <c r="A2436" t="n">
        <v>2000607</v>
      </c>
      <c r="B2436" t="n">
        <v>2</v>
      </c>
      <c r="C2436" t="n">
        <v>607</v>
      </c>
      <c r="D2436" t="n">
        <v>-0.2759</v>
      </c>
      <c r="E2436" t="n">
        <v>10.6345</v>
      </c>
      <c r="F2436" t="n">
        <v>0.12323</v>
      </c>
    </row>
    <row r="2437">
      <c r="A2437" t="n">
        <v>2000608</v>
      </c>
      <c r="B2437" t="n">
        <v>2</v>
      </c>
      <c r="C2437" t="n">
        <v>608</v>
      </c>
      <c r="D2437" t="n">
        <v>-0.2761</v>
      </c>
      <c r="E2437" t="n">
        <v>10.6413</v>
      </c>
      <c r="F2437" t="n">
        <v>0.12323</v>
      </c>
    </row>
    <row r="2438">
      <c r="A2438" t="n">
        <v>2000609</v>
      </c>
      <c r="B2438" t="n">
        <v>2</v>
      </c>
      <c r="C2438" t="n">
        <v>609</v>
      </c>
      <c r="D2438" t="n">
        <v>-0.2763</v>
      </c>
      <c r="E2438" t="n">
        <v>10.6481</v>
      </c>
      <c r="F2438" t="n">
        <v>0.12324</v>
      </c>
    </row>
    <row r="2439">
      <c r="A2439" t="n">
        <v>2000610</v>
      </c>
      <c r="B2439" t="n">
        <v>2</v>
      </c>
      <c r="C2439" t="n">
        <v>610</v>
      </c>
      <c r="D2439" t="n">
        <v>-0.2764</v>
      </c>
      <c r="E2439" t="n">
        <v>10.6549</v>
      </c>
      <c r="F2439" t="n">
        <v>0.12324</v>
      </c>
    </row>
    <row r="2440">
      <c r="A2440" t="n">
        <v>2000611</v>
      </c>
      <c r="B2440" t="n">
        <v>2</v>
      </c>
      <c r="C2440" t="n">
        <v>611</v>
      </c>
      <c r="D2440" t="n">
        <v>-0.2766</v>
      </c>
      <c r="E2440" t="n">
        <v>10.6617</v>
      </c>
      <c r="F2440" t="n">
        <v>0.12324</v>
      </c>
    </row>
    <row r="2441">
      <c r="A2441" t="n">
        <v>2000612</v>
      </c>
      <c r="B2441" t="n">
        <v>2</v>
      </c>
      <c r="C2441" t="n">
        <v>612</v>
      </c>
      <c r="D2441" t="n">
        <v>-0.2768</v>
      </c>
      <c r="E2441" t="n">
        <v>10.6685</v>
      </c>
      <c r="F2441" t="n">
        <v>0.12325</v>
      </c>
    </row>
    <row r="2442">
      <c r="A2442" t="n">
        <v>2000613</v>
      </c>
      <c r="B2442" t="n">
        <v>2</v>
      </c>
      <c r="C2442" t="n">
        <v>613</v>
      </c>
      <c r="D2442" t="n">
        <v>-0.277</v>
      </c>
      <c r="E2442" t="n">
        <v>10.6753</v>
      </c>
      <c r="F2442" t="n">
        <v>0.12325</v>
      </c>
    </row>
    <row r="2443">
      <c r="A2443" t="n">
        <v>2000614</v>
      </c>
      <c r="B2443" t="n">
        <v>2</v>
      </c>
      <c r="C2443" t="n">
        <v>614</v>
      </c>
      <c r="D2443" t="n">
        <v>-0.2772</v>
      </c>
      <c r="E2443" t="n">
        <v>10.6821</v>
      </c>
      <c r="F2443" t="n">
        <v>0.12325</v>
      </c>
    </row>
    <row r="2444">
      <c r="A2444" t="n">
        <v>2000615</v>
      </c>
      <c r="B2444" t="n">
        <v>2</v>
      </c>
      <c r="C2444" t="n">
        <v>615</v>
      </c>
      <c r="D2444" t="n">
        <v>-0.2773</v>
      </c>
      <c r="E2444" t="n">
        <v>10.6889</v>
      </c>
      <c r="F2444" t="n">
        <v>0.12326</v>
      </c>
    </row>
    <row r="2445">
      <c r="A2445" t="n">
        <v>2000616</v>
      </c>
      <c r="B2445" t="n">
        <v>2</v>
      </c>
      <c r="C2445" t="n">
        <v>616</v>
      </c>
      <c r="D2445" t="n">
        <v>-0.2775</v>
      </c>
      <c r="E2445" t="n">
        <v>10.6957</v>
      </c>
      <c r="F2445" t="n">
        <v>0.12326</v>
      </c>
    </row>
    <row r="2446">
      <c r="A2446" t="n">
        <v>2000617</v>
      </c>
      <c r="B2446" t="n">
        <v>2</v>
      </c>
      <c r="C2446" t="n">
        <v>617</v>
      </c>
      <c r="D2446" t="n">
        <v>-0.2777</v>
      </c>
      <c r="E2446" t="n">
        <v>10.7025</v>
      </c>
      <c r="F2446" t="n">
        <v>0.12326</v>
      </c>
    </row>
    <row r="2447">
      <c r="A2447" t="n">
        <v>2000618</v>
      </c>
      <c r="B2447" t="n">
        <v>2</v>
      </c>
      <c r="C2447" t="n">
        <v>618</v>
      </c>
      <c r="D2447" t="n">
        <v>-0.2779</v>
      </c>
      <c r="E2447" t="n">
        <v>10.7093</v>
      </c>
      <c r="F2447" t="n">
        <v>0.12327</v>
      </c>
    </row>
    <row r="2448">
      <c r="A2448" t="n">
        <v>2000619</v>
      </c>
      <c r="B2448" t="n">
        <v>2</v>
      </c>
      <c r="C2448" t="n">
        <v>619</v>
      </c>
      <c r="D2448" t="n">
        <v>-0.278</v>
      </c>
      <c r="E2448" t="n">
        <v>10.7161</v>
      </c>
      <c r="F2448" t="n">
        <v>0.12327</v>
      </c>
    </row>
    <row r="2449">
      <c r="A2449" t="n">
        <v>2000620</v>
      </c>
      <c r="B2449" t="n">
        <v>2</v>
      </c>
      <c r="C2449" t="n">
        <v>620</v>
      </c>
      <c r="D2449" t="n">
        <v>-0.2782</v>
      </c>
      <c r="E2449" t="n">
        <v>10.7229</v>
      </c>
      <c r="F2449" t="n">
        <v>0.12327</v>
      </c>
    </row>
    <row r="2450">
      <c r="A2450" t="n">
        <v>2000621</v>
      </c>
      <c r="B2450" t="n">
        <v>2</v>
      </c>
      <c r="C2450" t="n">
        <v>621</v>
      </c>
      <c r="D2450" t="n">
        <v>-0.2784</v>
      </c>
      <c r="E2450" t="n">
        <v>10.7297</v>
      </c>
      <c r="F2450" t="n">
        <v>0.12328</v>
      </c>
    </row>
    <row r="2451">
      <c r="A2451" t="n">
        <v>2000622</v>
      </c>
      <c r="B2451" t="n">
        <v>2</v>
      </c>
      <c r="C2451" t="n">
        <v>622</v>
      </c>
      <c r="D2451" t="n">
        <v>-0.2786</v>
      </c>
      <c r="E2451" t="n">
        <v>10.7365</v>
      </c>
      <c r="F2451" t="n">
        <v>0.12328</v>
      </c>
    </row>
    <row r="2452">
      <c r="A2452" t="n">
        <v>2000623</v>
      </c>
      <c r="B2452" t="n">
        <v>2</v>
      </c>
      <c r="C2452" t="n">
        <v>623</v>
      </c>
      <c r="D2452" t="n">
        <v>-0.2787</v>
      </c>
      <c r="E2452" t="n">
        <v>10.7433</v>
      </c>
      <c r="F2452" t="n">
        <v>0.12328</v>
      </c>
    </row>
    <row r="2453">
      <c r="A2453" t="n">
        <v>2000624</v>
      </c>
      <c r="B2453" t="n">
        <v>2</v>
      </c>
      <c r="C2453" t="n">
        <v>624</v>
      </c>
      <c r="D2453" t="n">
        <v>-0.2789</v>
      </c>
      <c r="E2453" t="n">
        <v>10.7501</v>
      </c>
      <c r="F2453" t="n">
        <v>0.12329</v>
      </c>
    </row>
    <row r="2454">
      <c r="A2454" t="n">
        <v>2000625</v>
      </c>
      <c r="B2454" t="n">
        <v>2</v>
      </c>
      <c r="C2454" t="n">
        <v>625</v>
      </c>
      <c r="D2454" t="n">
        <v>-0.2791</v>
      </c>
      <c r="E2454" t="n">
        <v>10.7569</v>
      </c>
      <c r="F2454" t="n">
        <v>0.12329</v>
      </c>
    </row>
    <row r="2455">
      <c r="A2455" t="n">
        <v>2000626</v>
      </c>
      <c r="B2455" t="n">
        <v>2</v>
      </c>
      <c r="C2455" t="n">
        <v>626</v>
      </c>
      <c r="D2455" t="n">
        <v>-0.2793</v>
      </c>
      <c r="E2455" t="n">
        <v>10.7637</v>
      </c>
      <c r="F2455" t="n">
        <v>0.1233</v>
      </c>
    </row>
    <row r="2456">
      <c r="A2456" t="n">
        <v>2000627</v>
      </c>
      <c r="B2456" t="n">
        <v>2</v>
      </c>
      <c r="C2456" t="n">
        <v>627</v>
      </c>
      <c r="D2456" t="n">
        <v>-0.2794</v>
      </c>
      <c r="E2456" t="n">
        <v>10.7705</v>
      </c>
      <c r="F2456" t="n">
        <v>0.1233</v>
      </c>
    </row>
    <row r="2457">
      <c r="A2457" t="n">
        <v>2000628</v>
      </c>
      <c r="B2457" t="n">
        <v>2</v>
      </c>
      <c r="C2457" t="n">
        <v>628</v>
      </c>
      <c r="D2457" t="n">
        <v>-0.2796</v>
      </c>
      <c r="E2457" t="n">
        <v>10.7773</v>
      </c>
      <c r="F2457" t="n">
        <v>0.1233</v>
      </c>
    </row>
    <row r="2458">
      <c r="A2458" t="n">
        <v>2000629</v>
      </c>
      <c r="B2458" t="n">
        <v>2</v>
      </c>
      <c r="C2458" t="n">
        <v>629</v>
      </c>
      <c r="D2458" t="n">
        <v>-0.2798</v>
      </c>
      <c r="E2458" t="n">
        <v>10.7841</v>
      </c>
      <c r="F2458" t="n">
        <v>0.12331</v>
      </c>
    </row>
    <row r="2459">
      <c r="A2459" t="n">
        <v>2000630</v>
      </c>
      <c r="B2459" t="n">
        <v>2</v>
      </c>
      <c r="C2459" t="n">
        <v>630</v>
      </c>
      <c r="D2459" t="n">
        <v>-0.2799</v>
      </c>
      <c r="E2459" t="n">
        <v>10.7909</v>
      </c>
      <c r="F2459" t="n">
        <v>0.12331</v>
      </c>
    </row>
    <row r="2460">
      <c r="A2460" t="n">
        <v>2000631</v>
      </c>
      <c r="B2460" t="n">
        <v>2</v>
      </c>
      <c r="C2460" t="n">
        <v>631</v>
      </c>
      <c r="D2460" t="n">
        <v>-0.2801</v>
      </c>
      <c r="E2460" t="n">
        <v>10.7977</v>
      </c>
      <c r="F2460" t="n">
        <v>0.12332</v>
      </c>
    </row>
    <row r="2461">
      <c r="A2461" t="n">
        <v>2000632</v>
      </c>
      <c r="B2461" t="n">
        <v>2</v>
      </c>
      <c r="C2461" t="n">
        <v>632</v>
      </c>
      <c r="D2461" t="n">
        <v>-0.2803</v>
      </c>
      <c r="E2461" t="n">
        <v>10.8045</v>
      </c>
      <c r="F2461" t="n">
        <v>0.12332</v>
      </c>
    </row>
    <row r="2462">
      <c r="A2462" t="n">
        <v>2000633</v>
      </c>
      <c r="B2462" t="n">
        <v>2</v>
      </c>
      <c r="C2462" t="n">
        <v>633</v>
      </c>
      <c r="D2462" t="n">
        <v>-0.2804</v>
      </c>
      <c r="E2462" t="n">
        <v>10.8113</v>
      </c>
      <c r="F2462" t="n">
        <v>0.12332</v>
      </c>
    </row>
    <row r="2463">
      <c r="A2463" t="n">
        <v>2000634</v>
      </c>
      <c r="B2463" t="n">
        <v>2</v>
      </c>
      <c r="C2463" t="n">
        <v>634</v>
      </c>
      <c r="D2463" t="n">
        <v>-0.2806</v>
      </c>
      <c r="E2463" t="n">
        <v>10.8181</v>
      </c>
      <c r="F2463" t="n">
        <v>0.12333</v>
      </c>
    </row>
    <row r="2464">
      <c r="A2464" t="n">
        <v>2000635</v>
      </c>
      <c r="B2464" t="n">
        <v>2</v>
      </c>
      <c r="C2464" t="n">
        <v>635</v>
      </c>
      <c r="D2464" t="n">
        <v>-0.2808</v>
      </c>
      <c r="E2464" t="n">
        <v>10.8249</v>
      </c>
      <c r="F2464" t="n">
        <v>0.12333</v>
      </c>
    </row>
    <row r="2465">
      <c r="A2465" t="n">
        <v>2000636</v>
      </c>
      <c r="B2465" t="n">
        <v>2</v>
      </c>
      <c r="C2465" t="n">
        <v>636</v>
      </c>
      <c r="D2465" t="n">
        <v>-0.2809</v>
      </c>
      <c r="E2465" t="n">
        <v>10.8317</v>
      </c>
      <c r="F2465" t="n">
        <v>0.12334</v>
      </c>
    </row>
    <row r="2466">
      <c r="A2466" t="n">
        <v>2000637</v>
      </c>
      <c r="B2466" t="n">
        <v>2</v>
      </c>
      <c r="C2466" t="n">
        <v>637</v>
      </c>
      <c r="D2466" t="n">
        <v>-0.2811</v>
      </c>
      <c r="E2466" t="n">
        <v>10.8385</v>
      </c>
      <c r="F2466" t="n">
        <v>0.12334</v>
      </c>
    </row>
    <row r="2467">
      <c r="A2467" t="n">
        <v>2000638</v>
      </c>
      <c r="B2467" t="n">
        <v>2</v>
      </c>
      <c r="C2467" t="n">
        <v>638</v>
      </c>
      <c r="D2467" t="n">
        <v>-0.2813</v>
      </c>
      <c r="E2467" t="n">
        <v>10.8453</v>
      </c>
      <c r="F2467" t="n">
        <v>0.12335</v>
      </c>
    </row>
    <row r="2468">
      <c r="A2468" t="n">
        <v>2000639</v>
      </c>
      <c r="B2468" t="n">
        <v>2</v>
      </c>
      <c r="C2468" t="n">
        <v>639</v>
      </c>
      <c r="D2468" t="n">
        <v>-0.2814</v>
      </c>
      <c r="E2468" t="n">
        <v>10.8521</v>
      </c>
      <c r="F2468" t="n">
        <v>0.12335</v>
      </c>
    </row>
    <row r="2469">
      <c r="A2469" t="n">
        <v>2000640</v>
      </c>
      <c r="B2469" t="n">
        <v>2</v>
      </c>
      <c r="C2469" t="n">
        <v>640</v>
      </c>
      <c r="D2469" t="n">
        <v>-0.2816</v>
      </c>
      <c r="E2469" t="n">
        <v>10.8589</v>
      </c>
      <c r="F2469" t="n">
        <v>0.12336</v>
      </c>
    </row>
    <row r="2470">
      <c r="A2470" t="n">
        <v>2000641</v>
      </c>
      <c r="B2470" t="n">
        <v>2</v>
      </c>
      <c r="C2470" t="n">
        <v>641</v>
      </c>
      <c r="D2470" t="n">
        <v>-0.2818</v>
      </c>
      <c r="E2470" t="n">
        <v>10.8657</v>
      </c>
      <c r="F2470" t="n">
        <v>0.12336</v>
      </c>
    </row>
    <row r="2471">
      <c r="A2471" t="n">
        <v>2000642</v>
      </c>
      <c r="B2471" t="n">
        <v>2</v>
      </c>
      <c r="C2471" t="n">
        <v>642</v>
      </c>
      <c r="D2471" t="n">
        <v>-0.2819</v>
      </c>
      <c r="E2471" t="n">
        <v>10.8725</v>
      </c>
      <c r="F2471" t="n">
        <v>0.12336</v>
      </c>
    </row>
    <row r="2472">
      <c r="A2472" t="n">
        <v>2000643</v>
      </c>
      <c r="B2472" t="n">
        <v>2</v>
      </c>
      <c r="C2472" t="n">
        <v>643</v>
      </c>
      <c r="D2472" t="n">
        <v>-0.2821</v>
      </c>
      <c r="E2472" t="n">
        <v>10.8793</v>
      </c>
      <c r="F2472" t="n">
        <v>0.12337</v>
      </c>
    </row>
    <row r="2473">
      <c r="A2473" t="n">
        <v>2000644</v>
      </c>
      <c r="B2473" t="n">
        <v>2</v>
      </c>
      <c r="C2473" t="n">
        <v>644</v>
      </c>
      <c r="D2473" t="n">
        <v>-0.2822</v>
      </c>
      <c r="E2473" t="n">
        <v>10.8861</v>
      </c>
      <c r="F2473" t="n">
        <v>0.12337</v>
      </c>
    </row>
    <row r="2474">
      <c r="A2474" t="n">
        <v>2000645</v>
      </c>
      <c r="B2474" t="n">
        <v>2</v>
      </c>
      <c r="C2474" t="n">
        <v>645</v>
      </c>
      <c r="D2474" t="n">
        <v>-0.2824</v>
      </c>
      <c r="E2474" t="n">
        <v>10.8929</v>
      </c>
      <c r="F2474" t="n">
        <v>0.12338</v>
      </c>
    </row>
    <row r="2475">
      <c r="A2475" t="n">
        <v>2000646</v>
      </c>
      <c r="B2475" t="n">
        <v>2</v>
      </c>
      <c r="C2475" t="n">
        <v>646</v>
      </c>
      <c r="D2475" t="n">
        <v>-0.2826</v>
      </c>
      <c r="E2475" t="n">
        <v>10.8997</v>
      </c>
      <c r="F2475" t="n">
        <v>0.12338</v>
      </c>
    </row>
    <row r="2476">
      <c r="A2476" t="n">
        <v>2000647</v>
      </c>
      <c r="B2476" t="n">
        <v>2</v>
      </c>
      <c r="C2476" t="n">
        <v>647</v>
      </c>
      <c r="D2476" t="n">
        <v>-0.2827</v>
      </c>
      <c r="E2476" t="n">
        <v>10.9065</v>
      </c>
      <c r="F2476" t="n">
        <v>0.12339</v>
      </c>
    </row>
    <row r="2477">
      <c r="A2477" t="n">
        <v>2000648</v>
      </c>
      <c r="B2477" t="n">
        <v>2</v>
      </c>
      <c r="C2477" t="n">
        <v>648</v>
      </c>
      <c r="D2477" t="n">
        <v>-0.2829</v>
      </c>
      <c r="E2477" t="n">
        <v>10.9133</v>
      </c>
      <c r="F2477" t="n">
        <v>0.12339</v>
      </c>
    </row>
    <row r="2478">
      <c r="A2478" t="n">
        <v>2000649</v>
      </c>
      <c r="B2478" t="n">
        <v>2</v>
      </c>
      <c r="C2478" t="n">
        <v>649</v>
      </c>
      <c r="D2478" t="n">
        <v>-0.283</v>
      </c>
      <c r="E2478" t="n">
        <v>10.9202</v>
      </c>
      <c r="F2478" t="n">
        <v>0.1234</v>
      </c>
    </row>
    <row r="2479">
      <c r="A2479" t="n">
        <v>2000650</v>
      </c>
      <c r="B2479" t="n">
        <v>2</v>
      </c>
      <c r="C2479" t="n">
        <v>650</v>
      </c>
      <c r="D2479" t="n">
        <v>-0.2832</v>
      </c>
      <c r="E2479" t="n">
        <v>10.927</v>
      </c>
      <c r="F2479" t="n">
        <v>0.1234</v>
      </c>
    </row>
    <row r="2480">
      <c r="A2480" t="n">
        <v>2000651</v>
      </c>
      <c r="B2480" t="n">
        <v>2</v>
      </c>
      <c r="C2480" t="n">
        <v>651</v>
      </c>
      <c r="D2480" t="n">
        <v>-0.2834</v>
      </c>
      <c r="E2480" t="n">
        <v>10.9338</v>
      </c>
      <c r="F2480" t="n">
        <v>0.12341</v>
      </c>
    </row>
    <row r="2481">
      <c r="A2481" t="n">
        <v>2000652</v>
      </c>
      <c r="B2481" t="n">
        <v>2</v>
      </c>
      <c r="C2481" t="n">
        <v>652</v>
      </c>
      <c r="D2481" t="n">
        <v>-0.2835</v>
      </c>
      <c r="E2481" t="n">
        <v>10.9406</v>
      </c>
      <c r="F2481" t="n">
        <v>0.12341</v>
      </c>
    </row>
    <row r="2482">
      <c r="A2482" t="n">
        <v>2000653</v>
      </c>
      <c r="B2482" t="n">
        <v>2</v>
      </c>
      <c r="C2482" t="n">
        <v>653</v>
      </c>
      <c r="D2482" t="n">
        <v>-0.2837</v>
      </c>
      <c r="E2482" t="n">
        <v>10.9474</v>
      </c>
      <c r="F2482" t="n">
        <v>0.12342</v>
      </c>
    </row>
    <row r="2483">
      <c r="A2483" t="n">
        <v>2000654</v>
      </c>
      <c r="B2483" t="n">
        <v>2</v>
      </c>
      <c r="C2483" t="n">
        <v>654</v>
      </c>
      <c r="D2483" t="n">
        <v>-0.2838</v>
      </c>
      <c r="E2483" t="n">
        <v>10.9542</v>
      </c>
      <c r="F2483" t="n">
        <v>0.12342</v>
      </c>
    </row>
    <row r="2484">
      <c r="A2484" t="n">
        <v>2000655</v>
      </c>
      <c r="B2484" t="n">
        <v>2</v>
      </c>
      <c r="C2484" t="n">
        <v>655</v>
      </c>
      <c r="D2484" t="n">
        <v>-0.284</v>
      </c>
      <c r="E2484" t="n">
        <v>10.961</v>
      </c>
      <c r="F2484" t="n">
        <v>0.12343</v>
      </c>
    </row>
    <row r="2485">
      <c r="A2485" t="n">
        <v>2000656</v>
      </c>
      <c r="B2485" t="n">
        <v>2</v>
      </c>
      <c r="C2485" t="n">
        <v>656</v>
      </c>
      <c r="D2485" t="n">
        <v>-0.2841</v>
      </c>
      <c r="E2485" t="n">
        <v>10.9679</v>
      </c>
      <c r="F2485" t="n">
        <v>0.12343</v>
      </c>
    </row>
    <row r="2486">
      <c r="A2486" t="n">
        <v>2000657</v>
      </c>
      <c r="B2486" t="n">
        <v>2</v>
      </c>
      <c r="C2486" t="n">
        <v>657</v>
      </c>
      <c r="D2486" t="n">
        <v>-0.2843</v>
      </c>
      <c r="E2486" t="n">
        <v>10.9747</v>
      </c>
      <c r="F2486" t="n">
        <v>0.12344</v>
      </c>
    </row>
    <row r="2487">
      <c r="A2487" t="n">
        <v>2000658</v>
      </c>
      <c r="B2487" t="n">
        <v>2</v>
      </c>
      <c r="C2487" t="n">
        <v>658</v>
      </c>
      <c r="D2487" t="n">
        <v>-0.2844</v>
      </c>
      <c r="E2487" t="n">
        <v>10.9815</v>
      </c>
      <c r="F2487" t="n">
        <v>0.12344</v>
      </c>
    </row>
    <row r="2488">
      <c r="A2488" t="n">
        <v>2000659</v>
      </c>
      <c r="B2488" t="n">
        <v>2</v>
      </c>
      <c r="C2488" t="n">
        <v>659</v>
      </c>
      <c r="D2488" t="n">
        <v>-0.2846</v>
      </c>
      <c r="E2488" t="n">
        <v>10.9883</v>
      </c>
      <c r="F2488" t="n">
        <v>0.12345</v>
      </c>
    </row>
    <row r="2489">
      <c r="A2489" t="n">
        <v>2000660</v>
      </c>
      <c r="B2489" t="n">
        <v>2</v>
      </c>
      <c r="C2489" t="n">
        <v>660</v>
      </c>
      <c r="D2489" t="n">
        <v>-0.2847</v>
      </c>
      <c r="E2489" t="n">
        <v>10.9951</v>
      </c>
      <c r="F2489" t="n">
        <v>0.12345</v>
      </c>
    </row>
    <row r="2490">
      <c r="A2490" t="n">
        <v>2000661</v>
      </c>
      <c r="B2490" t="n">
        <v>2</v>
      </c>
      <c r="C2490" t="n">
        <v>661</v>
      </c>
      <c r="D2490" t="n">
        <v>-0.2849</v>
      </c>
      <c r="E2490" t="n">
        <v>11.0019</v>
      </c>
      <c r="F2490" t="n">
        <v>0.12346</v>
      </c>
    </row>
    <row r="2491">
      <c r="A2491" t="n">
        <v>2000662</v>
      </c>
      <c r="B2491" t="n">
        <v>2</v>
      </c>
      <c r="C2491" t="n">
        <v>662</v>
      </c>
      <c r="D2491" t="n">
        <v>-0.285</v>
      </c>
      <c r="E2491" t="n">
        <v>11.0088</v>
      </c>
      <c r="F2491" t="n">
        <v>0.12346</v>
      </c>
    </row>
    <row r="2492">
      <c r="A2492" t="n">
        <v>2000663</v>
      </c>
      <c r="B2492" t="n">
        <v>2</v>
      </c>
      <c r="C2492" t="n">
        <v>663</v>
      </c>
      <c r="D2492" t="n">
        <v>-0.2852</v>
      </c>
      <c r="E2492" t="n">
        <v>11.0156</v>
      </c>
      <c r="F2492" t="n">
        <v>0.12347</v>
      </c>
    </row>
    <row r="2493">
      <c r="A2493" t="n">
        <v>2000664</v>
      </c>
      <c r="B2493" t="n">
        <v>2</v>
      </c>
      <c r="C2493" t="n">
        <v>664</v>
      </c>
      <c r="D2493" t="n">
        <v>-0.2853</v>
      </c>
      <c r="E2493" t="n">
        <v>11.0224</v>
      </c>
      <c r="F2493" t="n">
        <v>0.12347</v>
      </c>
    </row>
    <row r="2494">
      <c r="A2494" t="n">
        <v>2000665</v>
      </c>
      <c r="B2494" t="n">
        <v>2</v>
      </c>
      <c r="C2494" t="n">
        <v>665</v>
      </c>
      <c r="D2494" t="n">
        <v>-0.2855</v>
      </c>
      <c r="E2494" t="n">
        <v>11.0292</v>
      </c>
      <c r="F2494" t="n">
        <v>0.12348</v>
      </c>
    </row>
    <row r="2495">
      <c r="A2495" t="n">
        <v>2000666</v>
      </c>
      <c r="B2495" t="n">
        <v>2</v>
      </c>
      <c r="C2495" t="n">
        <v>666</v>
      </c>
      <c r="D2495" t="n">
        <v>-0.2856</v>
      </c>
      <c r="E2495" t="n">
        <v>11.036</v>
      </c>
      <c r="F2495" t="n">
        <v>0.12348</v>
      </c>
    </row>
    <row r="2496">
      <c r="A2496" t="n">
        <v>2000667</v>
      </c>
      <c r="B2496" t="n">
        <v>2</v>
      </c>
      <c r="C2496" t="n">
        <v>667</v>
      </c>
      <c r="D2496" t="n">
        <v>-0.2858</v>
      </c>
      <c r="E2496" t="n">
        <v>11.0429</v>
      </c>
      <c r="F2496" t="n">
        <v>0.12349</v>
      </c>
    </row>
    <row r="2497">
      <c r="A2497" t="n">
        <v>2000668</v>
      </c>
      <c r="B2497" t="n">
        <v>2</v>
      </c>
      <c r="C2497" t="n">
        <v>668</v>
      </c>
      <c r="D2497" t="n">
        <v>-0.2859</v>
      </c>
      <c r="E2497" t="n">
        <v>11.0497</v>
      </c>
      <c r="F2497" t="n">
        <v>0.1235</v>
      </c>
    </row>
    <row r="2498">
      <c r="A2498" t="n">
        <v>2000669</v>
      </c>
      <c r="B2498" t="n">
        <v>2</v>
      </c>
      <c r="C2498" t="n">
        <v>669</v>
      </c>
      <c r="D2498" t="n">
        <v>-0.2861</v>
      </c>
      <c r="E2498" t="n">
        <v>11.0565</v>
      </c>
      <c r="F2498" t="n">
        <v>0.1235</v>
      </c>
    </row>
    <row r="2499">
      <c r="A2499" t="n">
        <v>2000670</v>
      </c>
      <c r="B2499" t="n">
        <v>2</v>
      </c>
      <c r="C2499" t="n">
        <v>670</v>
      </c>
      <c r="D2499" t="n">
        <v>-0.2862</v>
      </c>
      <c r="E2499" t="n">
        <v>11.0633</v>
      </c>
      <c r="F2499" t="n">
        <v>0.12351</v>
      </c>
    </row>
    <row r="2500">
      <c r="A2500" t="n">
        <v>2000671</v>
      </c>
      <c r="B2500" t="n">
        <v>2</v>
      </c>
      <c r="C2500" t="n">
        <v>671</v>
      </c>
      <c r="D2500" t="n">
        <v>-0.2864</v>
      </c>
      <c r="E2500" t="n">
        <v>11.0702</v>
      </c>
      <c r="F2500" t="n">
        <v>0.12351</v>
      </c>
    </row>
    <row r="2501">
      <c r="A2501" t="n">
        <v>2000672</v>
      </c>
      <c r="B2501" t="n">
        <v>2</v>
      </c>
      <c r="C2501" t="n">
        <v>672</v>
      </c>
      <c r="D2501" t="n">
        <v>-0.2865</v>
      </c>
      <c r="E2501" t="n">
        <v>11.077</v>
      </c>
      <c r="F2501" t="n">
        <v>0.12352</v>
      </c>
    </row>
    <row r="2502">
      <c r="A2502" t="n">
        <v>2000673</v>
      </c>
      <c r="B2502" t="n">
        <v>2</v>
      </c>
      <c r="C2502" t="n">
        <v>673</v>
      </c>
      <c r="D2502" t="n">
        <v>-0.2866</v>
      </c>
      <c r="E2502" t="n">
        <v>11.0838</v>
      </c>
      <c r="F2502" t="n">
        <v>0.12352</v>
      </c>
    </row>
    <row r="2503">
      <c r="A2503" t="n">
        <v>2000674</v>
      </c>
      <c r="B2503" t="n">
        <v>2</v>
      </c>
      <c r="C2503" t="n">
        <v>674</v>
      </c>
      <c r="D2503" t="n">
        <v>-0.2868</v>
      </c>
      <c r="E2503" t="n">
        <v>11.0906</v>
      </c>
      <c r="F2503" t="n">
        <v>0.12353</v>
      </c>
    </row>
    <row r="2504">
      <c r="A2504" t="n">
        <v>2000675</v>
      </c>
      <c r="B2504" t="n">
        <v>2</v>
      </c>
      <c r="C2504" t="n">
        <v>675</v>
      </c>
      <c r="D2504" t="n">
        <v>-0.2869</v>
      </c>
      <c r="E2504" t="n">
        <v>11.0975</v>
      </c>
      <c r="F2504" t="n">
        <v>0.12353</v>
      </c>
    </row>
    <row r="2505">
      <c r="A2505" t="n">
        <v>2000676</v>
      </c>
      <c r="B2505" t="n">
        <v>2</v>
      </c>
      <c r="C2505" t="n">
        <v>676</v>
      </c>
      <c r="D2505" t="n">
        <v>-0.2871</v>
      </c>
      <c r="E2505" t="n">
        <v>11.1043</v>
      </c>
      <c r="F2505" t="n">
        <v>0.12354</v>
      </c>
    </row>
    <row r="2506">
      <c r="A2506" t="n">
        <v>2000677</v>
      </c>
      <c r="B2506" t="n">
        <v>2</v>
      </c>
      <c r="C2506" t="n">
        <v>677</v>
      </c>
      <c r="D2506" t="n">
        <v>-0.2872</v>
      </c>
      <c r="E2506" t="n">
        <v>11.1111</v>
      </c>
      <c r="F2506" t="n">
        <v>0.12355</v>
      </c>
    </row>
    <row r="2507">
      <c r="A2507" t="n">
        <v>2000678</v>
      </c>
      <c r="B2507" t="n">
        <v>2</v>
      </c>
      <c r="C2507" t="n">
        <v>678</v>
      </c>
      <c r="D2507" t="n">
        <v>-0.2874</v>
      </c>
      <c r="E2507" t="n">
        <v>11.118</v>
      </c>
      <c r="F2507" t="n">
        <v>0.12355</v>
      </c>
    </row>
    <row r="2508">
      <c r="A2508" t="n">
        <v>2000679</v>
      </c>
      <c r="B2508" t="n">
        <v>2</v>
      </c>
      <c r="C2508" t="n">
        <v>679</v>
      </c>
      <c r="D2508" t="n">
        <v>-0.2875</v>
      </c>
      <c r="E2508" t="n">
        <v>11.1248</v>
      </c>
      <c r="F2508" t="n">
        <v>0.12356</v>
      </c>
    </row>
    <row r="2509">
      <c r="A2509" t="n">
        <v>2000680</v>
      </c>
      <c r="B2509" t="n">
        <v>2</v>
      </c>
      <c r="C2509" t="n">
        <v>680</v>
      </c>
      <c r="D2509" t="n">
        <v>-0.2876</v>
      </c>
      <c r="E2509" t="n">
        <v>11.1316</v>
      </c>
      <c r="F2509" t="n">
        <v>0.12356</v>
      </c>
    </row>
    <row r="2510">
      <c r="A2510" t="n">
        <v>2000681</v>
      </c>
      <c r="B2510" t="n">
        <v>2</v>
      </c>
      <c r="C2510" t="n">
        <v>681</v>
      </c>
      <c r="D2510" t="n">
        <v>-0.2878</v>
      </c>
      <c r="E2510" t="n">
        <v>11.1384</v>
      </c>
      <c r="F2510" t="n">
        <v>0.12357</v>
      </c>
    </row>
    <row r="2511">
      <c r="A2511" t="n">
        <v>2000682</v>
      </c>
      <c r="B2511" t="n">
        <v>2</v>
      </c>
      <c r="C2511" t="n">
        <v>682</v>
      </c>
      <c r="D2511" t="n">
        <v>-0.2879</v>
      </c>
      <c r="E2511" t="n">
        <v>11.1453</v>
      </c>
      <c r="F2511" t="n">
        <v>0.12358</v>
      </c>
    </row>
    <row r="2512">
      <c r="A2512" t="n">
        <v>2000683</v>
      </c>
      <c r="B2512" t="n">
        <v>2</v>
      </c>
      <c r="C2512" t="n">
        <v>683</v>
      </c>
      <c r="D2512" t="n">
        <v>-0.2881</v>
      </c>
      <c r="E2512" t="n">
        <v>11.1521</v>
      </c>
      <c r="F2512" t="n">
        <v>0.12358</v>
      </c>
    </row>
    <row r="2513">
      <c r="A2513" t="n">
        <v>2000684</v>
      </c>
      <c r="B2513" t="n">
        <v>2</v>
      </c>
      <c r="C2513" t="n">
        <v>684</v>
      </c>
      <c r="D2513" t="n">
        <v>-0.2882</v>
      </c>
      <c r="E2513" t="n">
        <v>11.1589</v>
      </c>
      <c r="F2513" t="n">
        <v>0.12359</v>
      </c>
    </row>
    <row r="2514">
      <c r="A2514" t="n">
        <v>2000685</v>
      </c>
      <c r="B2514" t="n">
        <v>2</v>
      </c>
      <c r="C2514" t="n">
        <v>685</v>
      </c>
      <c r="D2514" t="n">
        <v>-0.2883</v>
      </c>
      <c r="E2514" t="n">
        <v>11.1658</v>
      </c>
      <c r="F2514" t="n">
        <v>0.12359</v>
      </c>
    </row>
    <row r="2515">
      <c r="A2515" t="n">
        <v>2000686</v>
      </c>
      <c r="B2515" t="n">
        <v>2</v>
      </c>
      <c r="C2515" t="n">
        <v>686</v>
      </c>
      <c r="D2515" t="n">
        <v>-0.2885</v>
      </c>
      <c r="E2515" t="n">
        <v>11.1726</v>
      </c>
      <c r="F2515" t="n">
        <v>0.1236</v>
      </c>
    </row>
    <row r="2516">
      <c r="A2516" t="n">
        <v>2000687</v>
      </c>
      <c r="B2516" t="n">
        <v>2</v>
      </c>
      <c r="C2516" t="n">
        <v>687</v>
      </c>
      <c r="D2516" t="n">
        <v>-0.2886</v>
      </c>
      <c r="E2516" t="n">
        <v>11.1795</v>
      </c>
      <c r="F2516" t="n">
        <v>0.12361</v>
      </c>
    </row>
    <row r="2517">
      <c r="A2517" t="n">
        <v>2000688</v>
      </c>
      <c r="B2517" t="n">
        <v>2</v>
      </c>
      <c r="C2517" t="n">
        <v>688</v>
      </c>
      <c r="D2517" t="n">
        <v>-0.2887</v>
      </c>
      <c r="E2517" t="n">
        <v>11.1863</v>
      </c>
      <c r="F2517" t="n">
        <v>0.12361</v>
      </c>
    </row>
    <row r="2518">
      <c r="A2518" t="n">
        <v>2000689</v>
      </c>
      <c r="B2518" t="n">
        <v>2</v>
      </c>
      <c r="C2518" t="n">
        <v>689</v>
      </c>
      <c r="D2518" t="n">
        <v>-0.2889</v>
      </c>
      <c r="E2518" t="n">
        <v>11.1931</v>
      </c>
      <c r="F2518" t="n">
        <v>0.12362</v>
      </c>
    </row>
    <row r="2519">
      <c r="A2519" t="n">
        <v>2000690</v>
      </c>
      <c r="B2519" t="n">
        <v>2</v>
      </c>
      <c r="C2519" t="n">
        <v>690</v>
      </c>
      <c r="D2519" t="n">
        <v>-0.289</v>
      </c>
      <c r="E2519" t="n">
        <v>11.2</v>
      </c>
      <c r="F2519" t="n">
        <v>0.12362</v>
      </c>
    </row>
    <row r="2520">
      <c r="A2520" t="n">
        <v>2000691</v>
      </c>
      <c r="B2520" t="n">
        <v>2</v>
      </c>
      <c r="C2520" t="n">
        <v>691</v>
      </c>
      <c r="D2520" t="n">
        <v>-0.2891</v>
      </c>
      <c r="E2520" t="n">
        <v>11.2068</v>
      </c>
      <c r="F2520" t="n">
        <v>0.12363</v>
      </c>
    </row>
    <row r="2521">
      <c r="A2521" t="n">
        <v>2000692</v>
      </c>
      <c r="B2521" t="n">
        <v>2</v>
      </c>
      <c r="C2521" t="n">
        <v>692</v>
      </c>
      <c r="D2521" t="n">
        <v>-0.2893</v>
      </c>
      <c r="E2521" t="n">
        <v>11.2137</v>
      </c>
      <c r="F2521" t="n">
        <v>0.12364</v>
      </c>
    </row>
    <row r="2522">
      <c r="A2522" t="n">
        <v>2000693</v>
      </c>
      <c r="B2522" t="n">
        <v>2</v>
      </c>
      <c r="C2522" t="n">
        <v>693</v>
      </c>
      <c r="D2522" t="n">
        <v>-0.2894</v>
      </c>
      <c r="E2522" t="n">
        <v>11.2205</v>
      </c>
      <c r="F2522" t="n">
        <v>0.12364</v>
      </c>
    </row>
    <row r="2523">
      <c r="A2523" t="n">
        <v>2000694</v>
      </c>
      <c r="B2523" t="n">
        <v>2</v>
      </c>
      <c r="C2523" t="n">
        <v>694</v>
      </c>
      <c r="D2523" t="n">
        <v>-0.2895</v>
      </c>
      <c r="E2523" t="n">
        <v>11.2273</v>
      </c>
      <c r="F2523" t="n">
        <v>0.12365</v>
      </c>
    </row>
    <row r="2524">
      <c r="A2524" t="n">
        <v>2000695</v>
      </c>
      <c r="B2524" t="n">
        <v>2</v>
      </c>
      <c r="C2524" t="n">
        <v>695</v>
      </c>
      <c r="D2524" t="n">
        <v>-0.2897</v>
      </c>
      <c r="E2524" t="n">
        <v>11.2342</v>
      </c>
      <c r="F2524" t="n">
        <v>0.12366</v>
      </c>
    </row>
    <row r="2525">
      <c r="A2525" t="n">
        <v>2000696</v>
      </c>
      <c r="B2525" t="n">
        <v>2</v>
      </c>
      <c r="C2525" t="n">
        <v>696</v>
      </c>
      <c r="D2525" t="n">
        <v>-0.2898</v>
      </c>
      <c r="E2525" t="n">
        <v>11.241</v>
      </c>
      <c r="F2525" t="n">
        <v>0.12366</v>
      </c>
    </row>
    <row r="2526">
      <c r="A2526" t="n">
        <v>2000697</v>
      </c>
      <c r="B2526" t="n">
        <v>2</v>
      </c>
      <c r="C2526" t="n">
        <v>697</v>
      </c>
      <c r="D2526" t="n">
        <v>-0.2899</v>
      </c>
      <c r="E2526" t="n">
        <v>11.2479</v>
      </c>
      <c r="F2526" t="n">
        <v>0.12367</v>
      </c>
    </row>
    <row r="2527">
      <c r="A2527" t="n">
        <v>2000698</v>
      </c>
      <c r="B2527" t="n">
        <v>2</v>
      </c>
      <c r="C2527" t="n">
        <v>698</v>
      </c>
      <c r="D2527" t="n">
        <v>-0.2901</v>
      </c>
      <c r="E2527" t="n">
        <v>11.2547</v>
      </c>
      <c r="F2527" t="n">
        <v>0.12367</v>
      </c>
    </row>
    <row r="2528">
      <c r="A2528" t="n">
        <v>2000699</v>
      </c>
      <c r="B2528" t="n">
        <v>2</v>
      </c>
      <c r="C2528" t="n">
        <v>699</v>
      </c>
      <c r="D2528" t="n">
        <v>-0.2902</v>
      </c>
      <c r="E2528" t="n">
        <v>11.2616</v>
      </c>
      <c r="F2528" t="n">
        <v>0.12368</v>
      </c>
    </row>
    <row r="2529">
      <c r="A2529" t="n">
        <v>2000700</v>
      </c>
      <c r="B2529" t="n">
        <v>2</v>
      </c>
      <c r="C2529" t="n">
        <v>700</v>
      </c>
      <c r="D2529" t="n">
        <v>-0.2903</v>
      </c>
      <c r="E2529" t="n">
        <v>11.2684</v>
      </c>
      <c r="F2529" t="n">
        <v>0.12369</v>
      </c>
    </row>
    <row r="2530">
      <c r="A2530" t="n">
        <v>2000701</v>
      </c>
      <c r="B2530" t="n">
        <v>2</v>
      </c>
      <c r="C2530" t="n">
        <v>701</v>
      </c>
      <c r="D2530" t="n">
        <v>-0.2905</v>
      </c>
      <c r="E2530" t="n">
        <v>11.2753</v>
      </c>
      <c r="F2530" t="n">
        <v>0.12369</v>
      </c>
    </row>
    <row r="2531">
      <c r="A2531" t="n">
        <v>2000702</v>
      </c>
      <c r="B2531" t="n">
        <v>2</v>
      </c>
      <c r="C2531" t="n">
        <v>702</v>
      </c>
      <c r="D2531" t="n">
        <v>-0.2906</v>
      </c>
      <c r="E2531" t="n">
        <v>11.2821</v>
      </c>
      <c r="F2531" t="n">
        <v>0.1237</v>
      </c>
    </row>
    <row r="2532">
      <c r="A2532" t="n">
        <v>2000703</v>
      </c>
      <c r="B2532" t="n">
        <v>2</v>
      </c>
      <c r="C2532" t="n">
        <v>703</v>
      </c>
      <c r="D2532" t="n">
        <v>-0.2907</v>
      </c>
      <c r="E2532" t="n">
        <v>11.2889</v>
      </c>
      <c r="F2532" t="n">
        <v>0.12371</v>
      </c>
    </row>
    <row r="2533">
      <c r="A2533" t="n">
        <v>2000704</v>
      </c>
      <c r="B2533" t="n">
        <v>2</v>
      </c>
      <c r="C2533" t="n">
        <v>704</v>
      </c>
      <c r="D2533" t="n">
        <v>-0.2909</v>
      </c>
      <c r="E2533" t="n">
        <v>11.2958</v>
      </c>
      <c r="F2533" t="n">
        <v>0.12371</v>
      </c>
    </row>
    <row r="2534">
      <c r="A2534" t="n">
        <v>2000705</v>
      </c>
      <c r="B2534" t="n">
        <v>2</v>
      </c>
      <c r="C2534" t="n">
        <v>705</v>
      </c>
      <c r="D2534" t="n">
        <v>-0.291</v>
      </c>
      <c r="E2534" t="n">
        <v>11.3026</v>
      </c>
      <c r="F2534" t="n">
        <v>0.12372</v>
      </c>
    </row>
    <row r="2535">
      <c r="A2535" t="n">
        <v>2000706</v>
      </c>
      <c r="B2535" t="n">
        <v>2</v>
      </c>
      <c r="C2535" t="n">
        <v>706</v>
      </c>
      <c r="D2535" t="n">
        <v>-0.2911</v>
      </c>
      <c r="E2535" t="n">
        <v>11.3095</v>
      </c>
      <c r="F2535" t="n">
        <v>0.12373</v>
      </c>
    </row>
    <row r="2536">
      <c r="A2536" t="n">
        <v>2000707</v>
      </c>
      <c r="B2536" t="n">
        <v>2</v>
      </c>
      <c r="C2536" t="n">
        <v>707</v>
      </c>
      <c r="D2536" t="n">
        <v>-0.2912</v>
      </c>
      <c r="E2536" t="n">
        <v>11.3163</v>
      </c>
      <c r="F2536" t="n">
        <v>0.12373</v>
      </c>
    </row>
    <row r="2537">
      <c r="A2537" t="n">
        <v>2000708</v>
      </c>
      <c r="B2537" t="n">
        <v>2</v>
      </c>
      <c r="C2537" t="n">
        <v>708</v>
      </c>
      <c r="D2537" t="n">
        <v>-0.2914</v>
      </c>
      <c r="E2537" t="n">
        <v>11.3232</v>
      </c>
      <c r="F2537" t="n">
        <v>0.12374</v>
      </c>
    </row>
    <row r="2538">
      <c r="A2538" t="n">
        <v>2000709</v>
      </c>
      <c r="B2538" t="n">
        <v>2</v>
      </c>
      <c r="C2538" t="n">
        <v>709</v>
      </c>
      <c r="D2538" t="n">
        <v>-0.2915</v>
      </c>
      <c r="E2538" t="n">
        <v>11.33</v>
      </c>
      <c r="F2538" t="n">
        <v>0.12375</v>
      </c>
    </row>
    <row r="2539">
      <c r="A2539" t="n">
        <v>2000710</v>
      </c>
      <c r="B2539" t="n">
        <v>2</v>
      </c>
      <c r="C2539" t="n">
        <v>710</v>
      </c>
      <c r="D2539" t="n">
        <v>-0.2916</v>
      </c>
      <c r="E2539" t="n">
        <v>11.3369</v>
      </c>
      <c r="F2539" t="n">
        <v>0.12375</v>
      </c>
    </row>
    <row r="2540">
      <c r="A2540" t="n">
        <v>2000711</v>
      </c>
      <c r="B2540" t="n">
        <v>2</v>
      </c>
      <c r="C2540" t="n">
        <v>711</v>
      </c>
      <c r="D2540" t="n">
        <v>-0.2917</v>
      </c>
      <c r="E2540" t="n">
        <v>11.3438</v>
      </c>
      <c r="F2540" t="n">
        <v>0.12376</v>
      </c>
    </row>
    <row r="2541">
      <c r="A2541" t="n">
        <v>2000712</v>
      </c>
      <c r="B2541" t="n">
        <v>2</v>
      </c>
      <c r="C2541" t="n">
        <v>712</v>
      </c>
      <c r="D2541" t="n">
        <v>-0.2919</v>
      </c>
      <c r="E2541" t="n">
        <v>11.3506</v>
      </c>
      <c r="F2541" t="n">
        <v>0.12377</v>
      </c>
    </row>
    <row r="2542">
      <c r="A2542" t="n">
        <v>2000713</v>
      </c>
      <c r="B2542" t="n">
        <v>2</v>
      </c>
      <c r="C2542" t="n">
        <v>713</v>
      </c>
      <c r="D2542" t="n">
        <v>-0.292</v>
      </c>
      <c r="E2542" t="n">
        <v>11.3575</v>
      </c>
      <c r="F2542" t="n">
        <v>0.12377</v>
      </c>
    </row>
    <row r="2543">
      <c r="A2543" t="n">
        <v>2000714</v>
      </c>
      <c r="B2543" t="n">
        <v>2</v>
      </c>
      <c r="C2543" t="n">
        <v>714</v>
      </c>
      <c r="D2543" t="n">
        <v>-0.2921</v>
      </c>
      <c r="E2543" t="n">
        <v>11.3643</v>
      </c>
      <c r="F2543" t="n">
        <v>0.12378</v>
      </c>
    </row>
    <row r="2544">
      <c r="A2544" t="n">
        <v>2000715</v>
      </c>
      <c r="B2544" t="n">
        <v>2</v>
      </c>
      <c r="C2544" t="n">
        <v>715</v>
      </c>
      <c r="D2544" t="n">
        <v>-0.2922</v>
      </c>
      <c r="E2544" t="n">
        <v>11.3712</v>
      </c>
      <c r="F2544" t="n">
        <v>0.12379</v>
      </c>
    </row>
    <row r="2545">
      <c r="A2545" t="n">
        <v>2000716</v>
      </c>
      <c r="B2545" t="n">
        <v>2</v>
      </c>
      <c r="C2545" t="n">
        <v>716</v>
      </c>
      <c r="D2545" t="n">
        <v>-0.2924</v>
      </c>
      <c r="E2545" t="n">
        <v>11.378</v>
      </c>
      <c r="F2545" t="n">
        <v>0.12379</v>
      </c>
    </row>
    <row r="2546">
      <c r="A2546" t="n">
        <v>2000717</v>
      </c>
      <c r="B2546" t="n">
        <v>2</v>
      </c>
      <c r="C2546" t="n">
        <v>717</v>
      </c>
      <c r="D2546" t="n">
        <v>-0.2925</v>
      </c>
      <c r="E2546" t="n">
        <v>11.3849</v>
      </c>
      <c r="F2546" t="n">
        <v>0.1238</v>
      </c>
    </row>
    <row r="2547">
      <c r="A2547" t="n">
        <v>2000718</v>
      </c>
      <c r="B2547" t="n">
        <v>2</v>
      </c>
      <c r="C2547" t="n">
        <v>718</v>
      </c>
      <c r="D2547" t="n">
        <v>-0.2926</v>
      </c>
      <c r="E2547" t="n">
        <v>11.3917</v>
      </c>
      <c r="F2547" t="n">
        <v>0.12381</v>
      </c>
    </row>
    <row r="2548">
      <c r="A2548" t="n">
        <v>2000719</v>
      </c>
      <c r="B2548" t="n">
        <v>2</v>
      </c>
      <c r="C2548" t="n">
        <v>719</v>
      </c>
      <c r="D2548" t="n">
        <v>-0.2927</v>
      </c>
      <c r="E2548" t="n">
        <v>11.3986</v>
      </c>
      <c r="F2548" t="n">
        <v>0.12382</v>
      </c>
    </row>
    <row r="2549">
      <c r="A2549" t="n">
        <v>2000720</v>
      </c>
      <c r="B2549" t="n">
        <v>2</v>
      </c>
      <c r="C2549" t="n">
        <v>720</v>
      </c>
      <c r="D2549" t="n">
        <v>-0.2928</v>
      </c>
      <c r="E2549" t="n">
        <v>11.4055</v>
      </c>
      <c r="F2549" t="n">
        <v>0.12382</v>
      </c>
    </row>
    <row r="2550">
      <c r="A2550" t="n">
        <v>2000721</v>
      </c>
      <c r="B2550" t="n">
        <v>2</v>
      </c>
      <c r="C2550" t="n">
        <v>721</v>
      </c>
      <c r="D2550" t="n">
        <v>-0.293</v>
      </c>
      <c r="E2550" t="n">
        <v>11.4123</v>
      </c>
      <c r="F2550" t="n">
        <v>0.12383</v>
      </c>
    </row>
    <row r="2551">
      <c r="A2551" t="n">
        <v>2000722</v>
      </c>
      <c r="B2551" t="n">
        <v>2</v>
      </c>
      <c r="C2551" t="n">
        <v>722</v>
      </c>
      <c r="D2551" t="n">
        <v>-0.2931</v>
      </c>
      <c r="E2551" t="n">
        <v>11.4192</v>
      </c>
      <c r="F2551" t="n">
        <v>0.12384</v>
      </c>
    </row>
    <row r="2552">
      <c r="A2552" t="n">
        <v>2000723</v>
      </c>
      <c r="B2552" t="n">
        <v>2</v>
      </c>
      <c r="C2552" t="n">
        <v>723</v>
      </c>
      <c r="D2552" t="n">
        <v>-0.2932</v>
      </c>
      <c r="E2552" t="n">
        <v>11.426</v>
      </c>
      <c r="F2552" t="n">
        <v>0.12384</v>
      </c>
    </row>
    <row r="2553">
      <c r="A2553" t="n">
        <v>2000724</v>
      </c>
      <c r="B2553" t="n">
        <v>2</v>
      </c>
      <c r="C2553" t="n">
        <v>724</v>
      </c>
      <c r="D2553" t="n">
        <v>-0.2933</v>
      </c>
      <c r="E2553" t="n">
        <v>11.4329</v>
      </c>
      <c r="F2553" t="n">
        <v>0.12385</v>
      </c>
    </row>
    <row r="2554">
      <c r="A2554" t="n">
        <v>2000725</v>
      </c>
      <c r="B2554" t="n">
        <v>2</v>
      </c>
      <c r="C2554" t="n">
        <v>725</v>
      </c>
      <c r="D2554" t="n">
        <v>-0.2934</v>
      </c>
      <c r="E2554" t="n">
        <v>11.4397</v>
      </c>
      <c r="F2554" t="n">
        <v>0.12386</v>
      </c>
    </row>
    <row r="2555">
      <c r="A2555" t="n">
        <v>2000726</v>
      </c>
      <c r="B2555" t="n">
        <v>2</v>
      </c>
      <c r="C2555" t="n">
        <v>726</v>
      </c>
      <c r="D2555" t="n">
        <v>-0.2936</v>
      </c>
      <c r="E2555" t="n">
        <v>11.4466</v>
      </c>
      <c r="F2555" t="n">
        <v>0.12387</v>
      </c>
    </row>
    <row r="2556">
      <c r="A2556" t="n">
        <v>2000727</v>
      </c>
      <c r="B2556" t="n">
        <v>2</v>
      </c>
      <c r="C2556" t="n">
        <v>727</v>
      </c>
      <c r="D2556" t="n">
        <v>-0.2937</v>
      </c>
      <c r="E2556" t="n">
        <v>11.4535</v>
      </c>
      <c r="F2556" t="n">
        <v>0.12387</v>
      </c>
    </row>
    <row r="2557">
      <c r="A2557" t="n">
        <v>2000728</v>
      </c>
      <c r="B2557" t="n">
        <v>2</v>
      </c>
      <c r="C2557" t="n">
        <v>728</v>
      </c>
      <c r="D2557" t="n">
        <v>-0.2938</v>
      </c>
      <c r="E2557" t="n">
        <v>11.4603</v>
      </c>
      <c r="F2557" t="n">
        <v>0.12388</v>
      </c>
    </row>
    <row r="2558">
      <c r="A2558" t="n">
        <v>2000729</v>
      </c>
      <c r="B2558" t="n">
        <v>2</v>
      </c>
      <c r="C2558" t="n">
        <v>729</v>
      </c>
      <c r="D2558" t="n">
        <v>-0.2939</v>
      </c>
      <c r="E2558" t="n">
        <v>11.4672</v>
      </c>
      <c r="F2558" t="n">
        <v>0.12389</v>
      </c>
    </row>
    <row r="2559">
      <c r="A2559" t="n">
        <v>2000730</v>
      </c>
      <c r="B2559" t="n">
        <v>2</v>
      </c>
      <c r="C2559" t="n">
        <v>730</v>
      </c>
      <c r="D2559" t="n">
        <v>-0.294</v>
      </c>
      <c r="E2559" t="n">
        <v>11.4741</v>
      </c>
      <c r="F2559" t="n">
        <v>0.12389</v>
      </c>
    </row>
    <row r="2560">
      <c r="A2560" t="n">
        <v>2000731</v>
      </c>
      <c r="B2560" t="n">
        <v>2</v>
      </c>
      <c r="C2560" t="n">
        <v>731</v>
      </c>
      <c r="D2560" t="n">
        <v>-0.2942</v>
      </c>
      <c r="E2560" t="n">
        <v>11.4809</v>
      </c>
      <c r="F2560" t="n">
        <v>0.1239</v>
      </c>
    </row>
    <row r="2561">
      <c r="A2561" t="n">
        <v>2000732</v>
      </c>
      <c r="B2561" t="n">
        <v>2</v>
      </c>
      <c r="C2561" t="n">
        <v>732</v>
      </c>
      <c r="D2561" t="n">
        <v>-0.2943</v>
      </c>
      <c r="E2561" t="n">
        <v>11.4878</v>
      </c>
      <c r="F2561" t="n">
        <v>0.12391</v>
      </c>
    </row>
    <row r="2562">
      <c r="A2562" t="n">
        <v>2000733</v>
      </c>
      <c r="B2562" t="n">
        <v>2</v>
      </c>
      <c r="C2562" t="n">
        <v>733</v>
      </c>
      <c r="D2562" t="n">
        <v>-0.2944</v>
      </c>
      <c r="E2562" t="n">
        <v>11.4946</v>
      </c>
      <c r="F2562" t="n">
        <v>0.12392</v>
      </c>
    </row>
    <row r="2563">
      <c r="A2563" t="n">
        <v>2000734</v>
      </c>
      <c r="B2563" t="n">
        <v>2</v>
      </c>
      <c r="C2563" t="n">
        <v>734</v>
      </c>
      <c r="D2563" t="n">
        <v>-0.2945</v>
      </c>
      <c r="E2563" t="n">
        <v>11.5015</v>
      </c>
      <c r="F2563" t="n">
        <v>0.12392</v>
      </c>
    </row>
    <row r="2564">
      <c r="A2564" t="n">
        <v>2000735</v>
      </c>
      <c r="B2564" t="n">
        <v>2</v>
      </c>
      <c r="C2564" t="n">
        <v>735</v>
      </c>
      <c r="D2564" t="n">
        <v>-0.2946</v>
      </c>
      <c r="E2564" t="n">
        <v>11.5084</v>
      </c>
      <c r="F2564" t="n">
        <v>0.12393</v>
      </c>
    </row>
    <row r="2565">
      <c r="A2565" t="n">
        <v>2000736</v>
      </c>
      <c r="B2565" t="n">
        <v>2</v>
      </c>
      <c r="C2565" t="n">
        <v>736</v>
      </c>
      <c r="D2565" t="n">
        <v>-0.2947</v>
      </c>
      <c r="E2565" t="n">
        <v>11.5152</v>
      </c>
      <c r="F2565" t="n">
        <v>0.12394</v>
      </c>
    </row>
    <row r="2566">
      <c r="A2566" t="n">
        <v>2000737</v>
      </c>
      <c r="B2566" t="n">
        <v>2</v>
      </c>
      <c r="C2566" t="n">
        <v>737</v>
      </c>
      <c r="D2566" t="n">
        <v>-0.2948</v>
      </c>
      <c r="E2566" t="n">
        <v>11.5221</v>
      </c>
      <c r="F2566" t="n">
        <v>0.12395</v>
      </c>
    </row>
    <row r="2567">
      <c r="A2567" t="n">
        <v>2000738</v>
      </c>
      <c r="B2567" t="n">
        <v>2</v>
      </c>
      <c r="C2567" t="n">
        <v>738</v>
      </c>
      <c r="D2567" t="n">
        <v>-0.295</v>
      </c>
      <c r="E2567" t="n">
        <v>11.529</v>
      </c>
      <c r="F2567" t="n">
        <v>0.12395</v>
      </c>
    </row>
    <row r="2568">
      <c r="A2568" t="n">
        <v>2000739</v>
      </c>
      <c r="B2568" t="n">
        <v>2</v>
      </c>
      <c r="C2568" t="n">
        <v>739</v>
      </c>
      <c r="D2568" t="n">
        <v>-0.2951</v>
      </c>
      <c r="E2568" t="n">
        <v>11.5358</v>
      </c>
      <c r="F2568" t="n">
        <v>0.12396</v>
      </c>
    </row>
    <row r="2569">
      <c r="A2569" t="n">
        <v>2000740</v>
      </c>
      <c r="B2569" t="n">
        <v>2</v>
      </c>
      <c r="C2569" t="n">
        <v>740</v>
      </c>
      <c r="D2569" t="n">
        <v>-0.2952</v>
      </c>
      <c r="E2569" t="n">
        <v>11.5427</v>
      </c>
      <c r="F2569" t="n">
        <v>0.12397</v>
      </c>
    </row>
    <row r="2570">
      <c r="A2570" t="n">
        <v>2000741</v>
      </c>
      <c r="B2570" t="n">
        <v>2</v>
      </c>
      <c r="C2570" t="n">
        <v>741</v>
      </c>
      <c r="D2570" t="n">
        <v>-0.2953</v>
      </c>
      <c r="E2570" t="n">
        <v>11.5496</v>
      </c>
      <c r="F2570" t="n">
        <v>0.12398</v>
      </c>
    </row>
    <row r="2571">
      <c r="A2571" t="n">
        <v>2000742</v>
      </c>
      <c r="B2571" t="n">
        <v>2</v>
      </c>
      <c r="C2571" t="n">
        <v>742</v>
      </c>
      <c r="D2571" t="n">
        <v>-0.2954</v>
      </c>
      <c r="E2571" t="n">
        <v>11.5564</v>
      </c>
      <c r="F2571" t="n">
        <v>0.12399</v>
      </c>
    </row>
    <row r="2572">
      <c r="A2572" t="n">
        <v>2000743</v>
      </c>
      <c r="B2572" t="n">
        <v>2</v>
      </c>
      <c r="C2572" t="n">
        <v>743</v>
      </c>
      <c r="D2572" t="n">
        <v>-0.2955</v>
      </c>
      <c r="E2572" t="n">
        <v>11.5633</v>
      </c>
      <c r="F2572" t="n">
        <v>0.12399</v>
      </c>
    </row>
    <row r="2573">
      <c r="A2573" t="n">
        <v>2000744</v>
      </c>
      <c r="B2573" t="n">
        <v>2</v>
      </c>
      <c r="C2573" t="n">
        <v>744</v>
      </c>
      <c r="D2573" t="n">
        <v>-0.2956</v>
      </c>
      <c r="E2573" t="n">
        <v>11.5702</v>
      </c>
      <c r="F2573" t="n">
        <v>0.124</v>
      </c>
    </row>
    <row r="2574">
      <c r="A2574" t="n">
        <v>2000745</v>
      </c>
      <c r="B2574" t="n">
        <v>2</v>
      </c>
      <c r="C2574" t="n">
        <v>745</v>
      </c>
      <c r="D2574" t="n">
        <v>-0.2957</v>
      </c>
      <c r="E2574" t="n">
        <v>11.577</v>
      </c>
      <c r="F2574" t="n">
        <v>0.12401</v>
      </c>
    </row>
    <row r="2575">
      <c r="A2575" t="n">
        <v>2000746</v>
      </c>
      <c r="B2575" t="n">
        <v>2</v>
      </c>
      <c r="C2575" t="n">
        <v>746</v>
      </c>
      <c r="D2575" t="n">
        <v>-0.2959</v>
      </c>
      <c r="E2575" t="n">
        <v>11.5839</v>
      </c>
      <c r="F2575" t="n">
        <v>0.12402</v>
      </c>
    </row>
    <row r="2576">
      <c r="A2576" t="n">
        <v>2000747</v>
      </c>
      <c r="B2576" t="n">
        <v>2</v>
      </c>
      <c r="C2576" t="n">
        <v>747</v>
      </c>
      <c r="D2576" t="n">
        <v>-0.296</v>
      </c>
      <c r="E2576" t="n">
        <v>11.5907</v>
      </c>
      <c r="F2576" t="n">
        <v>0.12402</v>
      </c>
    </row>
    <row r="2577">
      <c r="A2577" t="n">
        <v>2000748</v>
      </c>
      <c r="B2577" t="n">
        <v>2</v>
      </c>
      <c r="C2577" t="n">
        <v>748</v>
      </c>
      <c r="D2577" t="n">
        <v>-0.2961</v>
      </c>
      <c r="E2577" t="n">
        <v>11.5976</v>
      </c>
      <c r="F2577" t="n">
        <v>0.12403</v>
      </c>
    </row>
    <row r="2578">
      <c r="A2578" t="n">
        <v>2000749</v>
      </c>
      <c r="B2578" t="n">
        <v>2</v>
      </c>
      <c r="C2578" t="n">
        <v>749</v>
      </c>
      <c r="D2578" t="n">
        <v>-0.2962</v>
      </c>
      <c r="E2578" t="n">
        <v>11.6045</v>
      </c>
      <c r="F2578" t="n">
        <v>0.12404</v>
      </c>
    </row>
    <row r="2579">
      <c r="A2579" t="n">
        <v>2000750</v>
      </c>
      <c r="B2579" t="n">
        <v>2</v>
      </c>
      <c r="C2579" t="n">
        <v>750</v>
      </c>
      <c r="D2579" t="n">
        <v>-0.2963</v>
      </c>
      <c r="E2579" t="n">
        <v>11.6113</v>
      </c>
      <c r="F2579" t="n">
        <v>0.12405</v>
      </c>
    </row>
    <row r="2580">
      <c r="A2580" t="n">
        <v>2000751</v>
      </c>
      <c r="B2580" t="n">
        <v>2</v>
      </c>
      <c r="C2580" t="n">
        <v>751</v>
      </c>
      <c r="D2580" t="n">
        <v>-0.2964</v>
      </c>
      <c r="E2580" t="n">
        <v>11.6182</v>
      </c>
      <c r="F2580" t="n">
        <v>0.12406</v>
      </c>
    </row>
    <row r="2581">
      <c r="A2581" t="n">
        <v>2000752</v>
      </c>
      <c r="B2581" t="n">
        <v>2</v>
      </c>
      <c r="C2581" t="n">
        <v>752</v>
      </c>
      <c r="D2581" t="n">
        <v>-0.2965</v>
      </c>
      <c r="E2581" t="n">
        <v>11.6251</v>
      </c>
      <c r="F2581" t="n">
        <v>0.12406</v>
      </c>
    </row>
    <row r="2582">
      <c r="A2582" t="n">
        <v>2000753</v>
      </c>
      <c r="B2582" t="n">
        <v>2</v>
      </c>
      <c r="C2582" t="n">
        <v>753</v>
      </c>
      <c r="D2582" t="n">
        <v>-0.2966</v>
      </c>
      <c r="E2582" t="n">
        <v>11.6319</v>
      </c>
      <c r="F2582" t="n">
        <v>0.12407</v>
      </c>
    </row>
    <row r="2583">
      <c r="A2583" t="n">
        <v>2000754</v>
      </c>
      <c r="B2583" t="n">
        <v>2</v>
      </c>
      <c r="C2583" t="n">
        <v>754</v>
      </c>
      <c r="D2583" t="n">
        <v>-0.2967</v>
      </c>
      <c r="E2583" t="n">
        <v>11.6388</v>
      </c>
      <c r="F2583" t="n">
        <v>0.12408</v>
      </c>
    </row>
    <row r="2584">
      <c r="A2584" t="n">
        <v>2000755</v>
      </c>
      <c r="B2584" t="n">
        <v>2</v>
      </c>
      <c r="C2584" t="n">
        <v>755</v>
      </c>
      <c r="D2584" t="n">
        <v>-0.2968</v>
      </c>
      <c r="E2584" t="n">
        <v>11.6456</v>
      </c>
      <c r="F2584" t="n">
        <v>0.12409</v>
      </c>
    </row>
    <row r="2585">
      <c r="A2585" t="n">
        <v>2000756</v>
      </c>
      <c r="B2585" t="n">
        <v>2</v>
      </c>
      <c r="C2585" t="n">
        <v>756</v>
      </c>
      <c r="D2585" t="n">
        <v>-0.2969</v>
      </c>
      <c r="E2585" t="n">
        <v>11.6525</v>
      </c>
      <c r="F2585" t="n">
        <v>0.1241</v>
      </c>
    </row>
    <row r="2586">
      <c r="A2586" t="n">
        <v>2000757</v>
      </c>
      <c r="B2586" t="n">
        <v>2</v>
      </c>
      <c r="C2586" t="n">
        <v>757</v>
      </c>
      <c r="D2586" t="n">
        <v>-0.297</v>
      </c>
      <c r="E2586" t="n">
        <v>11.6594</v>
      </c>
      <c r="F2586" t="n">
        <v>0.1241</v>
      </c>
    </row>
    <row r="2587">
      <c r="A2587" t="n">
        <v>2000758</v>
      </c>
      <c r="B2587" t="n">
        <v>2</v>
      </c>
      <c r="C2587" t="n">
        <v>758</v>
      </c>
      <c r="D2587" t="n">
        <v>-0.2972</v>
      </c>
      <c r="E2587" t="n">
        <v>11.6662</v>
      </c>
      <c r="F2587" t="n">
        <v>0.12411</v>
      </c>
    </row>
    <row r="2588">
      <c r="A2588" t="n">
        <v>2000759</v>
      </c>
      <c r="B2588" t="n">
        <v>2</v>
      </c>
      <c r="C2588" t="n">
        <v>759</v>
      </c>
      <c r="D2588" t="n">
        <v>-0.2973</v>
      </c>
      <c r="E2588" t="n">
        <v>11.6731</v>
      </c>
      <c r="F2588" t="n">
        <v>0.12412</v>
      </c>
    </row>
    <row r="2589">
      <c r="A2589" t="n">
        <v>2000760</v>
      </c>
      <c r="B2589" t="n">
        <v>2</v>
      </c>
      <c r="C2589" t="n">
        <v>760</v>
      </c>
      <c r="D2589" t="n">
        <v>-0.2974</v>
      </c>
      <c r="E2589" t="n">
        <v>11.6799</v>
      </c>
      <c r="F2589" t="n">
        <v>0.12413</v>
      </c>
    </row>
    <row r="2590">
      <c r="A2590" t="n">
        <v>2000761</v>
      </c>
      <c r="B2590" t="n">
        <v>2</v>
      </c>
      <c r="C2590" t="n">
        <v>761</v>
      </c>
      <c r="D2590" t="n">
        <v>-0.2975</v>
      </c>
      <c r="E2590" t="n">
        <v>11.6868</v>
      </c>
      <c r="F2590" t="n">
        <v>0.12414</v>
      </c>
    </row>
    <row r="2591">
      <c r="A2591" t="n">
        <v>2000762</v>
      </c>
      <c r="B2591" t="n">
        <v>2</v>
      </c>
      <c r="C2591" t="n">
        <v>762</v>
      </c>
      <c r="D2591" t="n">
        <v>-0.2976</v>
      </c>
      <c r="E2591" t="n">
        <v>11.6937</v>
      </c>
      <c r="F2591" t="n">
        <v>0.12415</v>
      </c>
    </row>
    <row r="2592">
      <c r="A2592" t="n">
        <v>2000763</v>
      </c>
      <c r="B2592" t="n">
        <v>2</v>
      </c>
      <c r="C2592" t="n">
        <v>763</v>
      </c>
      <c r="D2592" t="n">
        <v>-0.2977</v>
      </c>
      <c r="E2592" t="n">
        <v>11.7005</v>
      </c>
      <c r="F2592" t="n">
        <v>0.12415</v>
      </c>
    </row>
    <row r="2593">
      <c r="A2593" t="n">
        <v>2000764</v>
      </c>
      <c r="B2593" t="n">
        <v>2</v>
      </c>
      <c r="C2593" t="n">
        <v>764</v>
      </c>
      <c r="D2593" t="n">
        <v>-0.2978</v>
      </c>
      <c r="E2593" t="n">
        <v>11.7074</v>
      </c>
      <c r="F2593" t="n">
        <v>0.12416</v>
      </c>
    </row>
    <row r="2594">
      <c r="A2594" t="n">
        <v>2000765</v>
      </c>
      <c r="B2594" t="n">
        <v>2</v>
      </c>
      <c r="C2594" t="n">
        <v>765</v>
      </c>
      <c r="D2594" t="n">
        <v>-0.2979</v>
      </c>
      <c r="E2594" t="n">
        <v>11.7142</v>
      </c>
      <c r="F2594" t="n">
        <v>0.12417</v>
      </c>
    </row>
    <row r="2595">
      <c r="A2595" t="n">
        <v>2000766</v>
      </c>
      <c r="B2595" t="n">
        <v>2</v>
      </c>
      <c r="C2595" t="n">
        <v>766</v>
      </c>
      <c r="D2595" t="n">
        <v>-0.298</v>
      </c>
      <c r="E2595" t="n">
        <v>11.7211</v>
      </c>
      <c r="F2595" t="n">
        <v>0.12418</v>
      </c>
    </row>
    <row r="2596">
      <c r="A2596" t="n">
        <v>2000767</v>
      </c>
      <c r="B2596" t="n">
        <v>2</v>
      </c>
      <c r="C2596" t="n">
        <v>767</v>
      </c>
      <c r="D2596" t="n">
        <v>-0.2981</v>
      </c>
      <c r="E2596" t="n">
        <v>11.7279</v>
      </c>
      <c r="F2596" t="n">
        <v>0.12419</v>
      </c>
    </row>
    <row r="2597">
      <c r="A2597" t="n">
        <v>2000768</v>
      </c>
      <c r="B2597" t="n">
        <v>2</v>
      </c>
      <c r="C2597" t="n">
        <v>768</v>
      </c>
      <c r="D2597" t="n">
        <v>-0.2982</v>
      </c>
      <c r="E2597" t="n">
        <v>11.7348</v>
      </c>
      <c r="F2597" t="n">
        <v>0.1242</v>
      </c>
    </row>
    <row r="2598">
      <c r="A2598" t="n">
        <v>2000769</v>
      </c>
      <c r="B2598" t="n">
        <v>2</v>
      </c>
      <c r="C2598" t="n">
        <v>769</v>
      </c>
      <c r="D2598" t="n">
        <v>-0.2983</v>
      </c>
      <c r="E2598" t="n">
        <v>11.7416</v>
      </c>
      <c r="F2598" t="n">
        <v>0.12421</v>
      </c>
    </row>
    <row r="2599">
      <c r="A2599" t="n">
        <v>2000770</v>
      </c>
      <c r="B2599" t="n">
        <v>2</v>
      </c>
      <c r="C2599" t="n">
        <v>770</v>
      </c>
      <c r="D2599" t="n">
        <v>-0.2984</v>
      </c>
      <c r="E2599" t="n">
        <v>11.7485</v>
      </c>
      <c r="F2599" t="n">
        <v>0.12421</v>
      </c>
    </row>
    <row r="2600">
      <c r="A2600" t="n">
        <v>2000771</v>
      </c>
      <c r="B2600" t="n">
        <v>2</v>
      </c>
      <c r="C2600" t="n">
        <v>771</v>
      </c>
      <c r="D2600" t="n">
        <v>-0.2985</v>
      </c>
      <c r="E2600" t="n">
        <v>11.7553</v>
      </c>
      <c r="F2600" t="n">
        <v>0.12422</v>
      </c>
    </row>
    <row r="2601">
      <c r="A2601" t="n">
        <v>2000772</v>
      </c>
      <c r="B2601" t="n">
        <v>2</v>
      </c>
      <c r="C2601" t="n">
        <v>772</v>
      </c>
      <c r="D2601" t="n">
        <v>-0.2986</v>
      </c>
      <c r="E2601" t="n">
        <v>11.7622</v>
      </c>
      <c r="F2601" t="n">
        <v>0.12423</v>
      </c>
    </row>
    <row r="2602">
      <c r="A2602" t="n">
        <v>2000773</v>
      </c>
      <c r="B2602" t="n">
        <v>2</v>
      </c>
      <c r="C2602" t="n">
        <v>773</v>
      </c>
      <c r="D2602" t="n">
        <v>-0.2987</v>
      </c>
      <c r="E2602" t="n">
        <v>11.769</v>
      </c>
      <c r="F2602" t="n">
        <v>0.12424</v>
      </c>
    </row>
    <row r="2603">
      <c r="A2603" t="n">
        <v>2000774</v>
      </c>
      <c r="B2603" t="n">
        <v>2</v>
      </c>
      <c r="C2603" t="n">
        <v>774</v>
      </c>
      <c r="D2603" t="n">
        <v>-0.2988</v>
      </c>
      <c r="E2603" t="n">
        <v>11.7759</v>
      </c>
      <c r="F2603" t="n">
        <v>0.12425</v>
      </c>
    </row>
    <row r="2604">
      <c r="A2604" t="n">
        <v>2000775</v>
      </c>
      <c r="B2604" t="n">
        <v>2</v>
      </c>
      <c r="C2604" t="n">
        <v>775</v>
      </c>
      <c r="D2604" t="n">
        <v>-0.2989</v>
      </c>
      <c r="E2604" t="n">
        <v>11.7827</v>
      </c>
      <c r="F2604" t="n">
        <v>0.12426</v>
      </c>
    </row>
    <row r="2605">
      <c r="A2605" t="n">
        <v>2000776</v>
      </c>
      <c r="B2605" t="n">
        <v>2</v>
      </c>
      <c r="C2605" t="n">
        <v>776</v>
      </c>
      <c r="D2605" t="n">
        <v>-0.299</v>
      </c>
      <c r="E2605" t="n">
        <v>11.7896</v>
      </c>
      <c r="F2605" t="n">
        <v>0.12427</v>
      </c>
    </row>
    <row r="2606">
      <c r="A2606" t="n">
        <v>2000777</v>
      </c>
      <c r="B2606" t="n">
        <v>2</v>
      </c>
      <c r="C2606" t="n">
        <v>777</v>
      </c>
      <c r="D2606" t="n">
        <v>-0.2991</v>
      </c>
      <c r="E2606" t="n">
        <v>11.7964</v>
      </c>
      <c r="F2606" t="n">
        <v>0.12428</v>
      </c>
    </row>
    <row r="2607">
      <c r="A2607" t="n">
        <v>2000778</v>
      </c>
      <c r="B2607" t="n">
        <v>2</v>
      </c>
      <c r="C2607" t="n">
        <v>778</v>
      </c>
      <c r="D2607" t="n">
        <v>-0.2992</v>
      </c>
      <c r="E2607" t="n">
        <v>11.8033</v>
      </c>
      <c r="F2607" t="n">
        <v>0.12429</v>
      </c>
    </row>
    <row r="2608">
      <c r="A2608" t="n">
        <v>2000779</v>
      </c>
      <c r="B2608" t="n">
        <v>2</v>
      </c>
      <c r="C2608" t="n">
        <v>779</v>
      </c>
      <c r="D2608" t="n">
        <v>-0.2993</v>
      </c>
      <c r="E2608" t="n">
        <v>11.8101</v>
      </c>
      <c r="F2608" t="n">
        <v>0.12429</v>
      </c>
    </row>
    <row r="2609">
      <c r="A2609" t="n">
        <v>2000780</v>
      </c>
      <c r="B2609" t="n">
        <v>2</v>
      </c>
      <c r="C2609" t="n">
        <v>780</v>
      </c>
      <c r="D2609" t="n">
        <v>-0.2994</v>
      </c>
      <c r="E2609" t="n">
        <v>11.817</v>
      </c>
      <c r="F2609" t="n">
        <v>0.1243</v>
      </c>
    </row>
    <row r="2610">
      <c r="A2610" t="n">
        <v>2000781</v>
      </c>
      <c r="B2610" t="n">
        <v>2</v>
      </c>
      <c r="C2610" t="n">
        <v>781</v>
      </c>
      <c r="D2610" t="n">
        <v>-0.2995</v>
      </c>
      <c r="E2610" t="n">
        <v>11.8238</v>
      </c>
      <c r="F2610" t="n">
        <v>0.12431</v>
      </c>
    </row>
    <row r="2611">
      <c r="A2611" t="n">
        <v>2000782</v>
      </c>
      <c r="B2611" t="n">
        <v>2</v>
      </c>
      <c r="C2611" t="n">
        <v>782</v>
      </c>
      <c r="D2611" t="n">
        <v>-0.2996</v>
      </c>
      <c r="E2611" t="n">
        <v>11.8307</v>
      </c>
      <c r="F2611" t="n">
        <v>0.12432</v>
      </c>
    </row>
    <row r="2612">
      <c r="A2612" t="n">
        <v>2000783</v>
      </c>
      <c r="B2612" t="n">
        <v>2</v>
      </c>
      <c r="C2612" t="n">
        <v>783</v>
      </c>
      <c r="D2612" t="n">
        <v>-0.2997</v>
      </c>
      <c r="E2612" t="n">
        <v>11.8375</v>
      </c>
      <c r="F2612" t="n">
        <v>0.12433</v>
      </c>
    </row>
    <row r="2613">
      <c r="A2613" t="n">
        <v>2000784</v>
      </c>
      <c r="B2613" t="n">
        <v>2</v>
      </c>
      <c r="C2613" t="n">
        <v>784</v>
      </c>
      <c r="D2613" t="n">
        <v>-0.2998</v>
      </c>
      <c r="E2613" t="n">
        <v>11.8443</v>
      </c>
      <c r="F2613" t="n">
        <v>0.12434</v>
      </c>
    </row>
    <row r="2614">
      <c r="A2614" t="n">
        <v>2000785</v>
      </c>
      <c r="B2614" t="n">
        <v>2</v>
      </c>
      <c r="C2614" t="n">
        <v>785</v>
      </c>
      <c r="D2614" t="n">
        <v>-0.2999</v>
      </c>
      <c r="E2614" t="n">
        <v>11.8512</v>
      </c>
      <c r="F2614" t="n">
        <v>0.12435</v>
      </c>
    </row>
    <row r="2615">
      <c r="A2615" t="n">
        <v>2000786</v>
      </c>
      <c r="B2615" t="n">
        <v>2</v>
      </c>
      <c r="C2615" t="n">
        <v>786</v>
      </c>
      <c r="D2615" t="n">
        <v>-0.3</v>
      </c>
      <c r="E2615" t="n">
        <v>11.858</v>
      </c>
      <c r="F2615" t="n">
        <v>0.12436</v>
      </c>
    </row>
    <row r="2616">
      <c r="A2616" t="n">
        <v>2000787</v>
      </c>
      <c r="B2616" t="n">
        <v>2</v>
      </c>
      <c r="C2616" t="n">
        <v>787</v>
      </c>
      <c r="D2616" t="n">
        <v>-0.3001</v>
      </c>
      <c r="E2616" t="n">
        <v>11.8648</v>
      </c>
      <c r="F2616" t="n">
        <v>0.12437</v>
      </c>
    </row>
    <row r="2617">
      <c r="A2617" t="n">
        <v>2000788</v>
      </c>
      <c r="B2617" t="n">
        <v>2</v>
      </c>
      <c r="C2617" t="n">
        <v>788</v>
      </c>
      <c r="D2617" t="n">
        <v>-0.3002</v>
      </c>
      <c r="E2617" t="n">
        <v>11.8717</v>
      </c>
      <c r="F2617" t="n">
        <v>0.12438</v>
      </c>
    </row>
    <row r="2618">
      <c r="A2618" t="n">
        <v>2000789</v>
      </c>
      <c r="B2618" t="n">
        <v>2</v>
      </c>
      <c r="C2618" t="n">
        <v>789</v>
      </c>
      <c r="D2618" t="n">
        <v>-0.3003</v>
      </c>
      <c r="E2618" t="n">
        <v>11.8785</v>
      </c>
      <c r="F2618" t="n">
        <v>0.12439</v>
      </c>
    </row>
    <row r="2619">
      <c r="A2619" t="n">
        <v>2000790</v>
      </c>
      <c r="B2619" t="n">
        <v>2</v>
      </c>
      <c r="C2619" t="n">
        <v>790</v>
      </c>
      <c r="D2619" t="n">
        <v>-0.3004</v>
      </c>
      <c r="E2619" t="n">
        <v>11.8853</v>
      </c>
      <c r="F2619" t="n">
        <v>0.1244</v>
      </c>
    </row>
    <row r="2620">
      <c r="A2620" t="n">
        <v>2000791</v>
      </c>
      <c r="B2620" t="n">
        <v>2</v>
      </c>
      <c r="C2620" t="n">
        <v>791</v>
      </c>
      <c r="D2620" t="n">
        <v>-0.3005</v>
      </c>
      <c r="E2620" t="n">
        <v>11.8922</v>
      </c>
      <c r="F2620" t="n">
        <v>0.12441</v>
      </c>
    </row>
    <row r="2621">
      <c r="A2621" t="n">
        <v>2000792</v>
      </c>
      <c r="B2621" t="n">
        <v>2</v>
      </c>
      <c r="C2621" t="n">
        <v>792</v>
      </c>
      <c r="D2621" t="n">
        <v>-0.3006</v>
      </c>
      <c r="E2621" t="n">
        <v>11.899</v>
      </c>
      <c r="F2621" t="n">
        <v>0.12441</v>
      </c>
    </row>
    <row r="2622">
      <c r="A2622" t="n">
        <v>2000793</v>
      </c>
      <c r="B2622" t="n">
        <v>2</v>
      </c>
      <c r="C2622" t="n">
        <v>793</v>
      </c>
      <c r="D2622" t="n">
        <v>-0.3007</v>
      </c>
      <c r="E2622" t="n">
        <v>11.9058</v>
      </c>
      <c r="F2622" t="n">
        <v>0.12442</v>
      </c>
    </row>
    <row r="2623">
      <c r="A2623" t="n">
        <v>2000794</v>
      </c>
      <c r="B2623" t="n">
        <v>2</v>
      </c>
      <c r="C2623" t="n">
        <v>794</v>
      </c>
      <c r="D2623" t="n">
        <v>-0.3007</v>
      </c>
      <c r="E2623" t="n">
        <v>11.9126</v>
      </c>
      <c r="F2623" t="n">
        <v>0.12443</v>
      </c>
    </row>
    <row r="2624">
      <c r="A2624" t="n">
        <v>2000795</v>
      </c>
      <c r="B2624" t="n">
        <v>2</v>
      </c>
      <c r="C2624" t="n">
        <v>795</v>
      </c>
      <c r="D2624" t="n">
        <v>-0.3008</v>
      </c>
      <c r="E2624" t="n">
        <v>11.9194</v>
      </c>
      <c r="F2624" t="n">
        <v>0.12444</v>
      </c>
    </row>
    <row r="2625">
      <c r="A2625" t="n">
        <v>2000796</v>
      </c>
      <c r="B2625" t="n">
        <v>2</v>
      </c>
      <c r="C2625" t="n">
        <v>796</v>
      </c>
      <c r="D2625" t="n">
        <v>-0.3009</v>
      </c>
      <c r="E2625" t="n">
        <v>11.9263</v>
      </c>
      <c r="F2625" t="n">
        <v>0.12445</v>
      </c>
    </row>
    <row r="2626">
      <c r="A2626" t="n">
        <v>2000797</v>
      </c>
      <c r="B2626" t="n">
        <v>2</v>
      </c>
      <c r="C2626" t="n">
        <v>797</v>
      </c>
      <c r="D2626" t="n">
        <v>-0.301</v>
      </c>
      <c r="E2626" t="n">
        <v>11.9331</v>
      </c>
      <c r="F2626" t="n">
        <v>0.12446</v>
      </c>
    </row>
    <row r="2627">
      <c r="A2627" t="n">
        <v>2000798</v>
      </c>
      <c r="B2627" t="n">
        <v>2</v>
      </c>
      <c r="C2627" t="n">
        <v>798</v>
      </c>
      <c r="D2627" t="n">
        <v>-0.3011</v>
      </c>
      <c r="E2627" t="n">
        <v>11.9399</v>
      </c>
      <c r="F2627" t="n">
        <v>0.12447</v>
      </c>
    </row>
    <row r="2628">
      <c r="A2628" t="n">
        <v>2000799</v>
      </c>
      <c r="B2628" t="n">
        <v>2</v>
      </c>
      <c r="C2628" t="n">
        <v>799</v>
      </c>
      <c r="D2628" t="n">
        <v>-0.3012</v>
      </c>
      <c r="E2628" t="n">
        <v>11.9467</v>
      </c>
      <c r="F2628" t="n">
        <v>0.12448</v>
      </c>
    </row>
    <row r="2629">
      <c r="A2629" t="n">
        <v>2000800</v>
      </c>
      <c r="B2629" t="n">
        <v>2</v>
      </c>
      <c r="C2629" t="n">
        <v>800</v>
      </c>
      <c r="D2629" t="n">
        <v>-0.3013</v>
      </c>
      <c r="E2629" t="n">
        <v>11.9535</v>
      </c>
      <c r="F2629" t="n">
        <v>0.12449</v>
      </c>
    </row>
    <row r="2630">
      <c r="A2630" t="n">
        <v>2000801</v>
      </c>
      <c r="B2630" t="n">
        <v>2</v>
      </c>
      <c r="C2630" t="n">
        <v>801</v>
      </c>
      <c r="D2630" t="n">
        <v>-0.3014</v>
      </c>
      <c r="E2630" t="n">
        <v>11.9603</v>
      </c>
      <c r="F2630" t="n">
        <v>0.1245</v>
      </c>
    </row>
    <row r="2631">
      <c r="A2631" t="n">
        <v>2000802</v>
      </c>
      <c r="B2631" t="n">
        <v>2</v>
      </c>
      <c r="C2631" t="n">
        <v>802</v>
      </c>
      <c r="D2631" t="n">
        <v>-0.3015</v>
      </c>
      <c r="E2631" t="n">
        <v>11.9671</v>
      </c>
      <c r="F2631" t="n">
        <v>0.12451</v>
      </c>
    </row>
    <row r="2632">
      <c r="A2632" t="n">
        <v>2000803</v>
      </c>
      <c r="B2632" t="n">
        <v>2</v>
      </c>
      <c r="C2632" t="n">
        <v>803</v>
      </c>
      <c r="D2632" t="n">
        <v>-0.3016</v>
      </c>
      <c r="E2632" t="n">
        <v>11.9739</v>
      </c>
      <c r="F2632" t="n">
        <v>0.12452</v>
      </c>
    </row>
    <row r="2633">
      <c r="A2633" t="n">
        <v>2000804</v>
      </c>
      <c r="B2633" t="n">
        <v>2</v>
      </c>
      <c r="C2633" t="n">
        <v>804</v>
      </c>
      <c r="D2633" t="n">
        <v>-0.3017</v>
      </c>
      <c r="E2633" t="n">
        <v>11.9808</v>
      </c>
      <c r="F2633" t="n">
        <v>0.12453</v>
      </c>
    </row>
    <row r="2634">
      <c r="A2634" t="n">
        <v>2000805</v>
      </c>
      <c r="B2634" t="n">
        <v>2</v>
      </c>
      <c r="C2634" t="n">
        <v>805</v>
      </c>
      <c r="D2634" t="n">
        <v>-0.3018</v>
      </c>
      <c r="E2634" t="n">
        <v>11.9876</v>
      </c>
      <c r="F2634" t="n">
        <v>0.12454</v>
      </c>
    </row>
    <row r="2635">
      <c r="A2635" t="n">
        <v>2000806</v>
      </c>
      <c r="B2635" t="n">
        <v>2</v>
      </c>
      <c r="C2635" t="n">
        <v>806</v>
      </c>
      <c r="D2635" t="n">
        <v>-0.3019</v>
      </c>
      <c r="E2635" t="n">
        <v>11.9944</v>
      </c>
      <c r="F2635" t="n">
        <v>0.12455</v>
      </c>
    </row>
    <row r="2636">
      <c r="A2636" t="n">
        <v>2000807</v>
      </c>
      <c r="B2636" t="n">
        <v>2</v>
      </c>
      <c r="C2636" t="n">
        <v>807</v>
      </c>
      <c r="D2636" t="n">
        <v>-0.3019</v>
      </c>
      <c r="E2636" t="n">
        <v>12.0011</v>
      </c>
      <c r="F2636" t="n">
        <v>0.12456</v>
      </c>
    </row>
    <row r="2637">
      <c r="A2637" t="n">
        <v>2000808</v>
      </c>
      <c r="B2637" t="n">
        <v>2</v>
      </c>
      <c r="C2637" t="n">
        <v>808</v>
      </c>
      <c r="D2637" t="n">
        <v>-0.302</v>
      </c>
      <c r="E2637" t="n">
        <v>12.0079</v>
      </c>
      <c r="F2637" t="n">
        <v>0.12457</v>
      </c>
    </row>
    <row r="2638">
      <c r="A2638" t="n">
        <v>2000809</v>
      </c>
      <c r="B2638" t="n">
        <v>2</v>
      </c>
      <c r="C2638" t="n">
        <v>809</v>
      </c>
      <c r="D2638" t="n">
        <v>-0.3021</v>
      </c>
      <c r="E2638" t="n">
        <v>12.0147</v>
      </c>
      <c r="F2638" t="n">
        <v>0.12458</v>
      </c>
    </row>
    <row r="2639">
      <c r="A2639" t="n">
        <v>2000810</v>
      </c>
      <c r="B2639" t="n">
        <v>2</v>
      </c>
      <c r="C2639" t="n">
        <v>810</v>
      </c>
      <c r="D2639" t="n">
        <v>-0.3022</v>
      </c>
      <c r="E2639" t="n">
        <v>12.0215</v>
      </c>
      <c r="F2639" t="n">
        <v>0.12459</v>
      </c>
    </row>
    <row r="2640">
      <c r="A2640" t="n">
        <v>2000811</v>
      </c>
      <c r="B2640" t="n">
        <v>2</v>
      </c>
      <c r="C2640" t="n">
        <v>811</v>
      </c>
      <c r="D2640" t="n">
        <v>-0.3023</v>
      </c>
      <c r="E2640" t="n">
        <v>12.0283</v>
      </c>
      <c r="F2640" t="n">
        <v>0.1246</v>
      </c>
    </row>
    <row r="2641">
      <c r="A2641" t="n">
        <v>2000812</v>
      </c>
      <c r="B2641" t="n">
        <v>2</v>
      </c>
      <c r="C2641" t="n">
        <v>812</v>
      </c>
      <c r="D2641" t="n">
        <v>-0.3024</v>
      </c>
      <c r="E2641" t="n">
        <v>12.0351</v>
      </c>
      <c r="F2641" t="n">
        <v>0.12461</v>
      </c>
    </row>
    <row r="2642">
      <c r="A2642" t="n">
        <v>2000813</v>
      </c>
      <c r="B2642" t="n">
        <v>2</v>
      </c>
      <c r="C2642" t="n">
        <v>813</v>
      </c>
      <c r="D2642" t="n">
        <v>-0.3025</v>
      </c>
      <c r="E2642" t="n">
        <v>12.0419</v>
      </c>
      <c r="F2642" t="n">
        <v>0.12462</v>
      </c>
    </row>
    <row r="2643">
      <c r="A2643" t="n">
        <v>2000814</v>
      </c>
      <c r="B2643" t="n">
        <v>2</v>
      </c>
      <c r="C2643" t="n">
        <v>814</v>
      </c>
      <c r="D2643" t="n">
        <v>-0.3026</v>
      </c>
      <c r="E2643" t="n">
        <v>12.0487</v>
      </c>
      <c r="F2643" t="n">
        <v>0.12463</v>
      </c>
    </row>
    <row r="2644">
      <c r="A2644" t="n">
        <v>2000815</v>
      </c>
      <c r="B2644" t="n">
        <v>2</v>
      </c>
      <c r="C2644" t="n">
        <v>815</v>
      </c>
      <c r="D2644" t="n">
        <v>-0.3027</v>
      </c>
      <c r="E2644" t="n">
        <v>12.0554</v>
      </c>
      <c r="F2644" t="n">
        <v>0.12465</v>
      </c>
    </row>
    <row r="2645">
      <c r="A2645" t="n">
        <v>2000816</v>
      </c>
      <c r="B2645" t="n">
        <v>2</v>
      </c>
      <c r="C2645" t="n">
        <v>816</v>
      </c>
      <c r="D2645" t="n">
        <v>-0.3027</v>
      </c>
      <c r="E2645" t="n">
        <v>12.0622</v>
      </c>
      <c r="F2645" t="n">
        <v>0.12466</v>
      </c>
    </row>
    <row r="2646">
      <c r="A2646" t="n">
        <v>2000817</v>
      </c>
      <c r="B2646" t="n">
        <v>2</v>
      </c>
      <c r="C2646" t="n">
        <v>817</v>
      </c>
      <c r="D2646" t="n">
        <v>-0.3028</v>
      </c>
      <c r="E2646" t="n">
        <v>12.069</v>
      </c>
      <c r="F2646" t="n">
        <v>0.12467</v>
      </c>
    </row>
    <row r="2647">
      <c r="A2647" t="n">
        <v>2000818</v>
      </c>
      <c r="B2647" t="n">
        <v>2</v>
      </c>
      <c r="C2647" t="n">
        <v>818</v>
      </c>
      <c r="D2647" t="n">
        <v>-0.3029</v>
      </c>
      <c r="E2647" t="n">
        <v>12.0758</v>
      </c>
      <c r="F2647" t="n">
        <v>0.12468</v>
      </c>
    </row>
    <row r="2648">
      <c r="A2648" t="n">
        <v>2000819</v>
      </c>
      <c r="B2648" t="n">
        <v>2</v>
      </c>
      <c r="C2648" t="n">
        <v>819</v>
      </c>
      <c r="D2648" t="n">
        <v>-0.303</v>
      </c>
      <c r="E2648" t="n">
        <v>12.0825</v>
      </c>
      <c r="F2648" t="n">
        <v>0.12469</v>
      </c>
    </row>
    <row r="2649">
      <c r="A2649" t="n">
        <v>2000820</v>
      </c>
      <c r="B2649" t="n">
        <v>2</v>
      </c>
      <c r="C2649" t="n">
        <v>820</v>
      </c>
      <c r="D2649" t="n">
        <v>-0.3031</v>
      </c>
      <c r="E2649" t="n">
        <v>12.0893</v>
      </c>
      <c r="F2649" t="n">
        <v>0.1247</v>
      </c>
    </row>
    <row r="2650">
      <c r="A2650" t="n">
        <v>2000821</v>
      </c>
      <c r="B2650" t="n">
        <v>2</v>
      </c>
      <c r="C2650" t="n">
        <v>821</v>
      </c>
      <c r="D2650" t="n">
        <v>-0.3032</v>
      </c>
      <c r="E2650" t="n">
        <v>12.0961</v>
      </c>
      <c r="F2650" t="n">
        <v>0.12471</v>
      </c>
    </row>
    <row r="2651">
      <c r="A2651" t="n">
        <v>2000822</v>
      </c>
      <c r="B2651" t="n">
        <v>2</v>
      </c>
      <c r="C2651" t="n">
        <v>822</v>
      </c>
      <c r="D2651" t="n">
        <v>-0.3033</v>
      </c>
      <c r="E2651" t="n">
        <v>12.1028</v>
      </c>
      <c r="F2651" t="n">
        <v>0.12472</v>
      </c>
    </row>
    <row r="2652">
      <c r="A2652" t="n">
        <v>2000823</v>
      </c>
      <c r="B2652" t="n">
        <v>2</v>
      </c>
      <c r="C2652" t="n">
        <v>823</v>
      </c>
      <c r="D2652" t="n">
        <v>-0.3033</v>
      </c>
      <c r="E2652" t="n">
        <v>12.1096</v>
      </c>
      <c r="F2652" t="n">
        <v>0.12473</v>
      </c>
    </row>
    <row r="2653">
      <c r="A2653" t="n">
        <v>2000824</v>
      </c>
      <c r="B2653" t="n">
        <v>2</v>
      </c>
      <c r="C2653" t="n">
        <v>824</v>
      </c>
      <c r="D2653" t="n">
        <v>-0.3034</v>
      </c>
      <c r="E2653" t="n">
        <v>12.1163</v>
      </c>
      <c r="F2653" t="n">
        <v>0.12474</v>
      </c>
    </row>
    <row r="2654">
      <c r="A2654" t="n">
        <v>2000825</v>
      </c>
      <c r="B2654" t="n">
        <v>2</v>
      </c>
      <c r="C2654" t="n">
        <v>825</v>
      </c>
      <c r="D2654" t="n">
        <v>-0.3035</v>
      </c>
      <c r="E2654" t="n">
        <v>12.1231</v>
      </c>
      <c r="F2654" t="n">
        <v>0.12475</v>
      </c>
    </row>
    <row r="2655">
      <c r="A2655" t="n">
        <v>2000826</v>
      </c>
      <c r="B2655" t="n">
        <v>2</v>
      </c>
      <c r="C2655" t="n">
        <v>826</v>
      </c>
      <c r="D2655" t="n">
        <v>-0.3036</v>
      </c>
      <c r="E2655" t="n">
        <v>12.1298</v>
      </c>
      <c r="F2655" t="n">
        <v>0.12476</v>
      </c>
    </row>
    <row r="2656">
      <c r="A2656" t="n">
        <v>2000827</v>
      </c>
      <c r="B2656" t="n">
        <v>2</v>
      </c>
      <c r="C2656" t="n">
        <v>827</v>
      </c>
      <c r="D2656" t="n">
        <v>-0.3037</v>
      </c>
      <c r="E2656" t="n">
        <v>12.1366</v>
      </c>
      <c r="F2656" t="n">
        <v>0.12477</v>
      </c>
    </row>
    <row r="2657">
      <c r="A2657" t="n">
        <v>2000828</v>
      </c>
      <c r="B2657" t="n">
        <v>2</v>
      </c>
      <c r="C2657" t="n">
        <v>828</v>
      </c>
      <c r="D2657" t="n">
        <v>-0.3038</v>
      </c>
      <c r="E2657" t="n">
        <v>12.1433</v>
      </c>
      <c r="F2657" t="n">
        <v>0.12479</v>
      </c>
    </row>
    <row r="2658">
      <c r="A2658" t="n">
        <v>2000829</v>
      </c>
      <c r="B2658" t="n">
        <v>2</v>
      </c>
      <c r="C2658" t="n">
        <v>829</v>
      </c>
      <c r="D2658" t="n">
        <v>-0.3039</v>
      </c>
      <c r="E2658" t="n">
        <v>12.15</v>
      </c>
      <c r="F2658" t="n">
        <v>0.1248</v>
      </c>
    </row>
    <row r="2659">
      <c r="A2659" t="n">
        <v>2000830</v>
      </c>
      <c r="B2659" t="n">
        <v>2</v>
      </c>
      <c r="C2659" t="n">
        <v>830</v>
      </c>
      <c r="D2659" t="n">
        <v>-0.3039</v>
      </c>
      <c r="E2659" t="n">
        <v>12.1568</v>
      </c>
      <c r="F2659" t="n">
        <v>0.12481</v>
      </c>
    </row>
    <row r="2660">
      <c r="A2660" t="n">
        <v>2000831</v>
      </c>
      <c r="B2660" t="n">
        <v>2</v>
      </c>
      <c r="C2660" t="n">
        <v>831</v>
      </c>
      <c r="D2660" t="n">
        <v>-0.304</v>
      </c>
      <c r="E2660" t="n">
        <v>12.1635</v>
      </c>
      <c r="F2660" t="n">
        <v>0.12482</v>
      </c>
    </row>
    <row r="2661">
      <c r="A2661" t="n">
        <v>2000832</v>
      </c>
      <c r="B2661" t="n">
        <v>2</v>
      </c>
      <c r="C2661" t="n">
        <v>832</v>
      </c>
      <c r="D2661" t="n">
        <v>-0.3041</v>
      </c>
      <c r="E2661" t="n">
        <v>12.1702</v>
      </c>
      <c r="F2661" t="n">
        <v>0.12483</v>
      </c>
    </row>
    <row r="2662">
      <c r="A2662" t="n">
        <v>2000833</v>
      </c>
      <c r="B2662" t="n">
        <v>2</v>
      </c>
      <c r="C2662" t="n">
        <v>833</v>
      </c>
      <c r="D2662" t="n">
        <v>-0.3042</v>
      </c>
      <c r="E2662" t="n">
        <v>12.177</v>
      </c>
      <c r="F2662" t="n">
        <v>0.12484</v>
      </c>
    </row>
    <row r="2663">
      <c r="A2663" t="n">
        <v>2000834</v>
      </c>
      <c r="B2663" t="n">
        <v>2</v>
      </c>
      <c r="C2663" t="n">
        <v>834</v>
      </c>
      <c r="D2663" t="n">
        <v>-0.3043</v>
      </c>
      <c r="E2663" t="n">
        <v>12.1837</v>
      </c>
      <c r="F2663" t="n">
        <v>0.12485</v>
      </c>
    </row>
    <row r="2664">
      <c r="A2664" t="n">
        <v>2000835</v>
      </c>
      <c r="B2664" t="n">
        <v>2</v>
      </c>
      <c r="C2664" t="n">
        <v>835</v>
      </c>
      <c r="D2664" t="n">
        <v>-0.3044</v>
      </c>
      <c r="E2664" t="n">
        <v>12.1904</v>
      </c>
      <c r="F2664" t="n">
        <v>0.12486</v>
      </c>
    </row>
    <row r="2665">
      <c r="A2665" t="n">
        <v>2000836</v>
      </c>
      <c r="B2665" t="n">
        <v>2</v>
      </c>
      <c r="C2665" t="n">
        <v>836</v>
      </c>
      <c r="D2665" t="n">
        <v>-0.3044</v>
      </c>
      <c r="E2665" t="n">
        <v>12.1971</v>
      </c>
      <c r="F2665" t="n">
        <v>0.12487</v>
      </c>
    </row>
    <row r="2666">
      <c r="A2666" t="n">
        <v>2000837</v>
      </c>
      <c r="B2666" t="n">
        <v>2</v>
      </c>
      <c r="C2666" t="n">
        <v>837</v>
      </c>
      <c r="D2666" t="n">
        <v>-0.3045</v>
      </c>
      <c r="E2666" t="n">
        <v>12.2039</v>
      </c>
      <c r="F2666" t="n">
        <v>0.12489</v>
      </c>
    </row>
    <row r="2667">
      <c r="A2667" t="n">
        <v>2000838</v>
      </c>
      <c r="B2667" t="n">
        <v>2</v>
      </c>
      <c r="C2667" t="n">
        <v>838</v>
      </c>
      <c r="D2667" t="n">
        <v>-0.3046</v>
      </c>
      <c r="E2667" t="n">
        <v>12.2106</v>
      </c>
      <c r="F2667" t="n">
        <v>0.1249</v>
      </c>
    </row>
    <row r="2668">
      <c r="A2668" t="n">
        <v>2000839</v>
      </c>
      <c r="B2668" t="n">
        <v>2</v>
      </c>
      <c r="C2668" t="n">
        <v>839</v>
      </c>
      <c r="D2668" t="n">
        <v>-0.3047</v>
      </c>
      <c r="E2668" t="n">
        <v>12.2173</v>
      </c>
      <c r="F2668" t="n">
        <v>0.12491</v>
      </c>
    </row>
    <row r="2669">
      <c r="A2669" t="n">
        <v>2000840</v>
      </c>
      <c r="B2669" t="n">
        <v>2</v>
      </c>
      <c r="C2669" t="n">
        <v>840</v>
      </c>
      <c r="D2669" t="n">
        <v>-0.3048</v>
      </c>
      <c r="E2669" t="n">
        <v>12.224</v>
      </c>
      <c r="F2669" t="n">
        <v>0.12492</v>
      </c>
    </row>
    <row r="2670">
      <c r="A2670" t="n">
        <v>2000841</v>
      </c>
      <c r="B2670" t="n">
        <v>2</v>
      </c>
      <c r="C2670" t="n">
        <v>841</v>
      </c>
      <c r="D2670" t="n">
        <v>-0.3048</v>
      </c>
      <c r="E2670" t="n">
        <v>12.2307</v>
      </c>
      <c r="F2670" t="n">
        <v>0.12493</v>
      </c>
    </row>
    <row r="2671">
      <c r="A2671" t="n">
        <v>2000842</v>
      </c>
      <c r="B2671" t="n">
        <v>2</v>
      </c>
      <c r="C2671" t="n">
        <v>842</v>
      </c>
      <c r="D2671" t="n">
        <v>-0.3049</v>
      </c>
      <c r="E2671" t="n">
        <v>12.2374</v>
      </c>
      <c r="F2671" t="n">
        <v>0.12494</v>
      </c>
    </row>
    <row r="2672">
      <c r="A2672" t="n">
        <v>2000843</v>
      </c>
      <c r="B2672" t="n">
        <v>2</v>
      </c>
      <c r="C2672" t="n">
        <v>843</v>
      </c>
      <c r="D2672" t="n">
        <v>-0.305</v>
      </c>
      <c r="E2672" t="n">
        <v>12.2441</v>
      </c>
      <c r="F2672" t="n">
        <v>0.12495</v>
      </c>
    </row>
    <row r="2673">
      <c r="A2673" t="n">
        <v>2000844</v>
      </c>
      <c r="B2673" t="n">
        <v>2</v>
      </c>
      <c r="C2673" t="n">
        <v>844</v>
      </c>
      <c r="D2673" t="n">
        <v>-0.3051</v>
      </c>
      <c r="E2673" t="n">
        <v>12.2508</v>
      </c>
      <c r="F2673" t="n">
        <v>0.12497</v>
      </c>
    </row>
    <row r="2674">
      <c r="A2674" t="n">
        <v>2000845</v>
      </c>
      <c r="B2674" t="n">
        <v>2</v>
      </c>
      <c r="C2674" t="n">
        <v>845</v>
      </c>
      <c r="D2674" t="n">
        <v>-0.3052</v>
      </c>
      <c r="E2674" t="n">
        <v>12.2575</v>
      </c>
      <c r="F2674" t="n">
        <v>0.12498</v>
      </c>
    </row>
    <row r="2675">
      <c r="A2675" t="n">
        <v>2000846</v>
      </c>
      <c r="B2675" t="n">
        <v>2</v>
      </c>
      <c r="C2675" t="n">
        <v>846</v>
      </c>
      <c r="D2675" t="n">
        <v>-0.3052</v>
      </c>
      <c r="E2675" t="n">
        <v>12.2642</v>
      </c>
      <c r="F2675" t="n">
        <v>0.12499</v>
      </c>
    </row>
    <row r="2676">
      <c r="A2676" t="n">
        <v>2000847</v>
      </c>
      <c r="B2676" t="n">
        <v>2</v>
      </c>
      <c r="C2676" t="n">
        <v>847</v>
      </c>
      <c r="D2676" t="n">
        <v>-0.3053</v>
      </c>
      <c r="E2676" t="n">
        <v>12.2709</v>
      </c>
      <c r="F2676" t="n">
        <v>0.125</v>
      </c>
    </row>
    <row r="2677">
      <c r="A2677" t="n">
        <v>2000848</v>
      </c>
      <c r="B2677" t="n">
        <v>2</v>
      </c>
      <c r="C2677" t="n">
        <v>848</v>
      </c>
      <c r="D2677" t="n">
        <v>-0.3054</v>
      </c>
      <c r="E2677" t="n">
        <v>12.2775</v>
      </c>
      <c r="F2677" t="n">
        <v>0.12501</v>
      </c>
    </row>
    <row r="2678">
      <c r="A2678" t="n">
        <v>2000849</v>
      </c>
      <c r="B2678" t="n">
        <v>2</v>
      </c>
      <c r="C2678" t="n">
        <v>849</v>
      </c>
      <c r="D2678" t="n">
        <v>-0.3055</v>
      </c>
      <c r="E2678" t="n">
        <v>12.2842</v>
      </c>
      <c r="F2678" t="n">
        <v>0.12503</v>
      </c>
    </row>
    <row r="2679">
      <c r="A2679" t="n">
        <v>2000850</v>
      </c>
      <c r="B2679" t="n">
        <v>2</v>
      </c>
      <c r="C2679" t="n">
        <v>850</v>
      </c>
      <c r="D2679" t="n">
        <v>-0.3056</v>
      </c>
      <c r="E2679" t="n">
        <v>12.2909</v>
      </c>
      <c r="F2679" t="n">
        <v>0.12504</v>
      </c>
    </row>
    <row r="2680">
      <c r="A2680" t="n">
        <v>2000851</v>
      </c>
      <c r="B2680" t="n">
        <v>2</v>
      </c>
      <c r="C2680" t="n">
        <v>851</v>
      </c>
      <c r="D2680" t="n">
        <v>-0.3056</v>
      </c>
      <c r="E2680" t="n">
        <v>12.2976</v>
      </c>
      <c r="F2680" t="n">
        <v>0.12505</v>
      </c>
    </row>
    <row r="2681">
      <c r="A2681" t="n">
        <v>2000852</v>
      </c>
      <c r="B2681" t="n">
        <v>2</v>
      </c>
      <c r="C2681" t="n">
        <v>852</v>
      </c>
      <c r="D2681" t="n">
        <v>-0.3057</v>
      </c>
      <c r="E2681" t="n">
        <v>12.3042</v>
      </c>
      <c r="F2681" t="n">
        <v>0.12506</v>
      </c>
    </row>
    <row r="2682">
      <c r="A2682" t="n">
        <v>2000853</v>
      </c>
      <c r="B2682" t="n">
        <v>2</v>
      </c>
      <c r="C2682" t="n">
        <v>853</v>
      </c>
      <c r="D2682" t="n">
        <v>-0.3058</v>
      </c>
      <c r="E2682" t="n">
        <v>12.3109</v>
      </c>
      <c r="F2682" t="n">
        <v>0.12507</v>
      </c>
    </row>
    <row r="2683">
      <c r="A2683" t="n">
        <v>2000854</v>
      </c>
      <c r="B2683" t="n">
        <v>2</v>
      </c>
      <c r="C2683" t="n">
        <v>854</v>
      </c>
      <c r="D2683" t="n">
        <v>-0.3059</v>
      </c>
      <c r="E2683" t="n">
        <v>12.3176</v>
      </c>
      <c r="F2683" t="n">
        <v>0.12509</v>
      </c>
    </row>
    <row r="2684">
      <c r="A2684" t="n">
        <v>2000855</v>
      </c>
      <c r="B2684" t="n">
        <v>2</v>
      </c>
      <c r="C2684" t="n">
        <v>855</v>
      </c>
      <c r="D2684" t="n">
        <v>-0.3059</v>
      </c>
      <c r="E2684" t="n">
        <v>12.3242</v>
      </c>
      <c r="F2684" t="n">
        <v>0.1251</v>
      </c>
    </row>
    <row r="2685">
      <c r="A2685" t="n">
        <v>2000856</v>
      </c>
      <c r="B2685" t="n">
        <v>2</v>
      </c>
      <c r="C2685" t="n">
        <v>856</v>
      </c>
      <c r="D2685" t="n">
        <v>-0.306</v>
      </c>
      <c r="E2685" t="n">
        <v>12.3309</v>
      </c>
      <c r="F2685" t="n">
        <v>0.12511</v>
      </c>
    </row>
    <row r="2686">
      <c r="A2686" t="n">
        <v>2000857</v>
      </c>
      <c r="B2686" t="n">
        <v>2</v>
      </c>
      <c r="C2686" t="n">
        <v>857</v>
      </c>
      <c r="D2686" t="n">
        <v>-0.3061</v>
      </c>
      <c r="E2686" t="n">
        <v>12.3375</v>
      </c>
      <c r="F2686" t="n">
        <v>0.12512</v>
      </c>
    </row>
    <row r="2687">
      <c r="A2687" t="n">
        <v>2000858</v>
      </c>
      <c r="B2687" t="n">
        <v>2</v>
      </c>
      <c r="C2687" t="n">
        <v>858</v>
      </c>
      <c r="D2687" t="n">
        <v>-0.3062</v>
      </c>
      <c r="E2687" t="n">
        <v>12.3442</v>
      </c>
      <c r="F2687" t="n">
        <v>0.12513</v>
      </c>
    </row>
    <row r="2688">
      <c r="A2688" t="n">
        <v>2000859</v>
      </c>
      <c r="B2688" t="n">
        <v>2</v>
      </c>
      <c r="C2688" t="n">
        <v>859</v>
      </c>
      <c r="D2688" t="n">
        <v>-0.3063</v>
      </c>
      <c r="E2688" t="n">
        <v>12.3508</v>
      </c>
      <c r="F2688" t="n">
        <v>0.12515</v>
      </c>
    </row>
    <row r="2689">
      <c r="A2689" t="n">
        <v>2000860</v>
      </c>
      <c r="B2689" t="n">
        <v>2</v>
      </c>
      <c r="C2689" t="n">
        <v>860</v>
      </c>
      <c r="D2689" t="n">
        <v>-0.3063</v>
      </c>
      <c r="E2689" t="n">
        <v>12.3575</v>
      </c>
      <c r="F2689" t="n">
        <v>0.12516</v>
      </c>
    </row>
    <row r="2690">
      <c r="A2690" t="n">
        <v>2000861</v>
      </c>
      <c r="B2690" t="n">
        <v>2</v>
      </c>
      <c r="C2690" t="n">
        <v>861</v>
      </c>
      <c r="D2690" t="n">
        <v>-0.3064</v>
      </c>
      <c r="E2690" t="n">
        <v>12.3641</v>
      </c>
      <c r="F2690" t="n">
        <v>0.12517</v>
      </c>
    </row>
    <row r="2691">
      <c r="A2691" t="n">
        <v>2000862</v>
      </c>
      <c r="B2691" t="n">
        <v>2</v>
      </c>
      <c r="C2691" t="n">
        <v>862</v>
      </c>
      <c r="D2691" t="n">
        <v>-0.3065</v>
      </c>
      <c r="E2691" t="n">
        <v>12.3707</v>
      </c>
      <c r="F2691" t="n">
        <v>0.12518</v>
      </c>
    </row>
    <row r="2692">
      <c r="A2692" t="n">
        <v>2000863</v>
      </c>
      <c r="B2692" t="n">
        <v>2</v>
      </c>
      <c r="C2692" t="n">
        <v>863</v>
      </c>
      <c r="D2692" t="n">
        <v>-0.3066</v>
      </c>
      <c r="E2692" t="n">
        <v>12.3774</v>
      </c>
      <c r="F2692" t="n">
        <v>0.1252</v>
      </c>
    </row>
    <row r="2693">
      <c r="A2693" t="n">
        <v>2000864</v>
      </c>
      <c r="B2693" t="n">
        <v>2</v>
      </c>
      <c r="C2693" t="n">
        <v>864</v>
      </c>
      <c r="D2693" t="n">
        <v>-0.3066</v>
      </c>
      <c r="E2693" t="n">
        <v>12.384</v>
      </c>
      <c r="F2693" t="n">
        <v>0.12521</v>
      </c>
    </row>
    <row r="2694">
      <c r="A2694" t="n">
        <v>2000865</v>
      </c>
      <c r="B2694" t="n">
        <v>2</v>
      </c>
      <c r="C2694" t="n">
        <v>865</v>
      </c>
      <c r="D2694" t="n">
        <v>-0.3067</v>
      </c>
      <c r="E2694" t="n">
        <v>12.3906</v>
      </c>
      <c r="F2694" t="n">
        <v>0.12522</v>
      </c>
    </row>
    <row r="2695">
      <c r="A2695" t="n">
        <v>2000866</v>
      </c>
      <c r="B2695" t="n">
        <v>2</v>
      </c>
      <c r="C2695" t="n">
        <v>866</v>
      </c>
      <c r="D2695" t="n">
        <v>-0.3068</v>
      </c>
      <c r="E2695" t="n">
        <v>12.3973</v>
      </c>
      <c r="F2695" t="n">
        <v>0.12523</v>
      </c>
    </row>
    <row r="2696">
      <c r="A2696" t="n">
        <v>2000867</v>
      </c>
      <c r="B2696" t="n">
        <v>2</v>
      </c>
      <c r="C2696" t="n">
        <v>867</v>
      </c>
      <c r="D2696" t="n">
        <v>-0.3069</v>
      </c>
      <c r="E2696" t="n">
        <v>12.4039</v>
      </c>
      <c r="F2696" t="n">
        <v>0.12525</v>
      </c>
    </row>
    <row r="2697">
      <c r="A2697" t="n">
        <v>2000868</v>
      </c>
      <c r="B2697" t="n">
        <v>2</v>
      </c>
      <c r="C2697" t="n">
        <v>868</v>
      </c>
      <c r="D2697" t="n">
        <v>-0.3069</v>
      </c>
      <c r="E2697" t="n">
        <v>12.4105</v>
      </c>
      <c r="F2697" t="n">
        <v>0.12526</v>
      </c>
    </row>
    <row r="2698">
      <c r="A2698" t="n">
        <v>2000869</v>
      </c>
      <c r="B2698" t="n">
        <v>2</v>
      </c>
      <c r="C2698" t="n">
        <v>869</v>
      </c>
      <c r="D2698" t="n">
        <v>-0.307</v>
      </c>
      <c r="E2698" t="n">
        <v>12.4171</v>
      </c>
      <c r="F2698" t="n">
        <v>0.12527</v>
      </c>
    </row>
    <row r="2699">
      <c r="A2699" t="n">
        <v>2000870</v>
      </c>
      <c r="B2699" t="n">
        <v>2</v>
      </c>
      <c r="C2699" t="n">
        <v>870</v>
      </c>
      <c r="D2699" t="n">
        <v>-0.3071</v>
      </c>
      <c r="E2699" t="n">
        <v>12.4237</v>
      </c>
      <c r="F2699" t="n">
        <v>0.12528</v>
      </c>
    </row>
    <row r="2700">
      <c r="A2700" t="n">
        <v>2000871</v>
      </c>
      <c r="B2700" t="n">
        <v>2</v>
      </c>
      <c r="C2700" t="n">
        <v>871</v>
      </c>
      <c r="D2700" t="n">
        <v>-0.3072</v>
      </c>
      <c r="E2700" t="n">
        <v>12.4303</v>
      </c>
      <c r="F2700" t="n">
        <v>0.1253</v>
      </c>
    </row>
    <row r="2701">
      <c r="A2701" t="n">
        <v>2000872</v>
      </c>
      <c r="B2701" t="n">
        <v>2</v>
      </c>
      <c r="C2701" t="n">
        <v>872</v>
      </c>
      <c r="D2701" t="n">
        <v>-0.3072</v>
      </c>
      <c r="E2701" t="n">
        <v>12.4369</v>
      </c>
      <c r="F2701" t="n">
        <v>0.12531</v>
      </c>
    </row>
    <row r="2702">
      <c r="A2702" t="n">
        <v>2000873</v>
      </c>
      <c r="B2702" t="n">
        <v>2</v>
      </c>
      <c r="C2702" t="n">
        <v>873</v>
      </c>
      <c r="D2702" t="n">
        <v>-0.3073</v>
      </c>
      <c r="E2702" t="n">
        <v>12.4435</v>
      </c>
      <c r="F2702" t="n">
        <v>0.12532</v>
      </c>
    </row>
    <row r="2703">
      <c r="A2703" t="n">
        <v>2000874</v>
      </c>
      <c r="B2703" t="n">
        <v>2</v>
      </c>
      <c r="C2703" t="n">
        <v>874</v>
      </c>
      <c r="D2703" t="n">
        <v>-0.3074</v>
      </c>
      <c r="E2703" t="n">
        <v>12.4501</v>
      </c>
      <c r="F2703" t="n">
        <v>0.12533</v>
      </c>
    </row>
    <row r="2704">
      <c r="A2704" t="n">
        <v>2000875</v>
      </c>
      <c r="B2704" t="n">
        <v>2</v>
      </c>
      <c r="C2704" t="n">
        <v>875</v>
      </c>
      <c r="D2704" t="n">
        <v>-0.3074</v>
      </c>
      <c r="E2704" t="n">
        <v>12.4567</v>
      </c>
      <c r="F2704" t="n">
        <v>0.12535</v>
      </c>
    </row>
    <row r="2705">
      <c r="A2705" t="n">
        <v>2000876</v>
      </c>
      <c r="B2705" t="n">
        <v>2</v>
      </c>
      <c r="C2705" t="n">
        <v>876</v>
      </c>
      <c r="D2705" t="n">
        <v>-0.3075</v>
      </c>
      <c r="E2705" t="n">
        <v>12.4633</v>
      </c>
      <c r="F2705" t="n">
        <v>0.12536</v>
      </c>
    </row>
    <row r="2706">
      <c r="A2706" t="n">
        <v>2000877</v>
      </c>
      <c r="B2706" t="n">
        <v>2</v>
      </c>
      <c r="C2706" t="n">
        <v>877</v>
      </c>
      <c r="D2706" t="n">
        <v>-0.3076</v>
      </c>
      <c r="E2706" t="n">
        <v>12.4699</v>
      </c>
      <c r="F2706" t="n">
        <v>0.12537</v>
      </c>
    </row>
    <row r="2707">
      <c r="A2707" t="n">
        <v>2000878</v>
      </c>
      <c r="B2707" t="n">
        <v>2</v>
      </c>
      <c r="C2707" t="n">
        <v>878</v>
      </c>
      <c r="D2707" t="n">
        <v>-0.3077</v>
      </c>
      <c r="E2707" t="n">
        <v>12.4765</v>
      </c>
      <c r="F2707" t="n">
        <v>0.12539</v>
      </c>
    </row>
    <row r="2708">
      <c r="A2708" t="n">
        <v>2000879</v>
      </c>
      <c r="B2708" t="n">
        <v>2</v>
      </c>
      <c r="C2708" t="n">
        <v>879</v>
      </c>
      <c r="D2708" t="n">
        <v>-0.3077</v>
      </c>
      <c r="E2708" t="n">
        <v>12.4831</v>
      </c>
      <c r="F2708" t="n">
        <v>0.1254</v>
      </c>
    </row>
    <row r="2709">
      <c r="A2709" t="n">
        <v>2000880</v>
      </c>
      <c r="B2709" t="n">
        <v>2</v>
      </c>
      <c r="C2709" t="n">
        <v>880</v>
      </c>
      <c r="D2709" t="n">
        <v>-0.3078</v>
      </c>
      <c r="E2709" t="n">
        <v>12.4896</v>
      </c>
      <c r="F2709" t="n">
        <v>0.12541</v>
      </c>
    </row>
    <row r="2710">
      <c r="A2710" t="n">
        <v>2000881</v>
      </c>
      <c r="B2710" t="n">
        <v>2</v>
      </c>
      <c r="C2710" t="n">
        <v>881</v>
      </c>
      <c r="D2710" t="n">
        <v>-0.3079</v>
      </c>
      <c r="E2710" t="n">
        <v>12.4962</v>
      </c>
      <c r="F2710" t="n">
        <v>0.12543</v>
      </c>
    </row>
    <row r="2711">
      <c r="A2711" t="n">
        <v>2000882</v>
      </c>
      <c r="B2711" t="n">
        <v>2</v>
      </c>
      <c r="C2711" t="n">
        <v>882</v>
      </c>
      <c r="D2711" t="n">
        <v>-0.308</v>
      </c>
      <c r="E2711" t="n">
        <v>12.5028</v>
      </c>
      <c r="F2711" t="n">
        <v>0.12544</v>
      </c>
    </row>
    <row r="2712">
      <c r="A2712" t="n">
        <v>2000883</v>
      </c>
      <c r="B2712" t="n">
        <v>2</v>
      </c>
      <c r="C2712" t="n">
        <v>883</v>
      </c>
      <c r="D2712" t="n">
        <v>-0.308</v>
      </c>
      <c r="E2712" t="n">
        <v>12.5093</v>
      </c>
      <c r="F2712" t="n">
        <v>0.12545</v>
      </c>
    </row>
    <row r="2713">
      <c r="A2713" t="n">
        <v>2000884</v>
      </c>
      <c r="B2713" t="n">
        <v>2</v>
      </c>
      <c r="C2713" t="n">
        <v>884</v>
      </c>
      <c r="D2713" t="n">
        <v>-0.3081</v>
      </c>
      <c r="E2713" t="n">
        <v>12.5159</v>
      </c>
      <c r="F2713" t="n">
        <v>0.12547</v>
      </c>
    </row>
    <row r="2714">
      <c r="A2714" t="n">
        <v>2000885</v>
      </c>
      <c r="B2714" t="n">
        <v>2</v>
      </c>
      <c r="C2714" t="n">
        <v>885</v>
      </c>
      <c r="D2714" t="n">
        <v>-0.3082</v>
      </c>
      <c r="E2714" t="n">
        <v>12.5225</v>
      </c>
      <c r="F2714" t="n">
        <v>0.12548</v>
      </c>
    </row>
    <row r="2715">
      <c r="A2715" t="n">
        <v>2000886</v>
      </c>
      <c r="B2715" t="n">
        <v>2</v>
      </c>
      <c r="C2715" t="n">
        <v>886</v>
      </c>
      <c r="D2715" t="n">
        <v>-0.3082</v>
      </c>
      <c r="E2715" t="n">
        <v>12.529</v>
      </c>
      <c r="F2715" t="n">
        <v>0.12549</v>
      </c>
    </row>
    <row r="2716">
      <c r="A2716" t="n">
        <v>2000887</v>
      </c>
      <c r="B2716" t="n">
        <v>2</v>
      </c>
      <c r="C2716" t="n">
        <v>887</v>
      </c>
      <c r="D2716" t="n">
        <v>-0.3083</v>
      </c>
      <c r="E2716" t="n">
        <v>12.5356</v>
      </c>
      <c r="F2716" t="n">
        <v>0.12551</v>
      </c>
    </row>
    <row r="2717">
      <c r="A2717" t="n">
        <v>2000888</v>
      </c>
      <c r="B2717" t="n">
        <v>2</v>
      </c>
      <c r="C2717" t="n">
        <v>888</v>
      </c>
      <c r="D2717" t="n">
        <v>-0.3084</v>
      </c>
      <c r="E2717" t="n">
        <v>12.5421</v>
      </c>
      <c r="F2717" t="n">
        <v>0.12552</v>
      </c>
    </row>
    <row r="2718">
      <c r="A2718" t="n">
        <v>2000889</v>
      </c>
      <c r="B2718" t="n">
        <v>2</v>
      </c>
      <c r="C2718" t="n">
        <v>889</v>
      </c>
      <c r="D2718" t="n">
        <v>-0.3085</v>
      </c>
      <c r="E2718" t="n">
        <v>12.5487</v>
      </c>
      <c r="F2718" t="n">
        <v>0.12553</v>
      </c>
    </row>
    <row r="2719">
      <c r="A2719" t="n">
        <v>2000890</v>
      </c>
      <c r="B2719" t="n">
        <v>2</v>
      </c>
      <c r="C2719" t="n">
        <v>890</v>
      </c>
      <c r="D2719" t="n">
        <v>-0.3085</v>
      </c>
      <c r="E2719" t="n">
        <v>12.5552</v>
      </c>
      <c r="F2719" t="n">
        <v>0.12555</v>
      </c>
    </row>
    <row r="2720">
      <c r="A2720" t="n">
        <v>2000891</v>
      </c>
      <c r="B2720" t="n">
        <v>2</v>
      </c>
      <c r="C2720" t="n">
        <v>891</v>
      </c>
      <c r="D2720" t="n">
        <v>-0.3086</v>
      </c>
      <c r="E2720" t="n">
        <v>12.5617</v>
      </c>
      <c r="F2720" t="n">
        <v>0.12556</v>
      </c>
    </row>
    <row r="2721">
      <c r="A2721" t="n">
        <v>2000892</v>
      </c>
      <c r="B2721" t="n">
        <v>2</v>
      </c>
      <c r="C2721" t="n">
        <v>892</v>
      </c>
      <c r="D2721" t="n">
        <v>-0.3087</v>
      </c>
      <c r="E2721" t="n">
        <v>12.5683</v>
      </c>
      <c r="F2721" t="n">
        <v>0.12557</v>
      </c>
    </row>
    <row r="2722">
      <c r="A2722" t="n">
        <v>2000893</v>
      </c>
      <c r="B2722" t="n">
        <v>2</v>
      </c>
      <c r="C2722" t="n">
        <v>893</v>
      </c>
      <c r="D2722" t="n">
        <v>-0.3087</v>
      </c>
      <c r="E2722" t="n">
        <v>12.5748</v>
      </c>
      <c r="F2722" t="n">
        <v>0.12559</v>
      </c>
    </row>
    <row r="2723">
      <c r="A2723" t="n">
        <v>2000894</v>
      </c>
      <c r="B2723" t="n">
        <v>2</v>
      </c>
      <c r="C2723" t="n">
        <v>894</v>
      </c>
      <c r="D2723" t="n">
        <v>-0.3088</v>
      </c>
      <c r="E2723" t="n">
        <v>12.5813</v>
      </c>
      <c r="F2723" t="n">
        <v>0.1256</v>
      </c>
    </row>
    <row r="2724">
      <c r="A2724" t="n">
        <v>2000895</v>
      </c>
      <c r="B2724" t="n">
        <v>2</v>
      </c>
      <c r="C2724" t="n">
        <v>895</v>
      </c>
      <c r="D2724" t="n">
        <v>-0.3089</v>
      </c>
      <c r="E2724" t="n">
        <v>12.5879</v>
      </c>
      <c r="F2724" t="n">
        <v>0.12561</v>
      </c>
    </row>
    <row r="2725">
      <c r="A2725" t="n">
        <v>2000896</v>
      </c>
      <c r="B2725" t="n">
        <v>2</v>
      </c>
      <c r="C2725" t="n">
        <v>896</v>
      </c>
      <c r="D2725" t="n">
        <v>-0.3089</v>
      </c>
      <c r="E2725" t="n">
        <v>12.5944</v>
      </c>
      <c r="F2725" t="n">
        <v>0.12563</v>
      </c>
    </row>
    <row r="2726">
      <c r="A2726" t="n">
        <v>2000897</v>
      </c>
      <c r="B2726" t="n">
        <v>2</v>
      </c>
      <c r="C2726" t="n">
        <v>897</v>
      </c>
      <c r="D2726" t="n">
        <v>-0.309</v>
      </c>
      <c r="E2726" t="n">
        <v>12.6009</v>
      </c>
      <c r="F2726" t="n">
        <v>0.12564</v>
      </c>
    </row>
    <row r="2727">
      <c r="A2727" t="n">
        <v>2000898</v>
      </c>
      <c r="B2727" t="n">
        <v>2</v>
      </c>
      <c r="C2727" t="n">
        <v>898</v>
      </c>
      <c r="D2727" t="n">
        <v>-0.3091</v>
      </c>
      <c r="E2727" t="n">
        <v>12.6074</v>
      </c>
      <c r="F2727" t="n">
        <v>0.12566</v>
      </c>
    </row>
    <row r="2728">
      <c r="A2728" t="n">
        <v>2000899</v>
      </c>
      <c r="B2728" t="n">
        <v>2</v>
      </c>
      <c r="C2728" t="n">
        <v>899</v>
      </c>
      <c r="D2728" t="n">
        <v>-0.3091</v>
      </c>
      <c r="E2728" t="n">
        <v>12.6139</v>
      </c>
      <c r="F2728" t="n">
        <v>0.12567</v>
      </c>
    </row>
    <row r="2729">
      <c r="A2729" t="n">
        <v>2000900</v>
      </c>
      <c r="B2729" t="n">
        <v>2</v>
      </c>
      <c r="C2729" t="n">
        <v>900</v>
      </c>
      <c r="D2729" t="n">
        <v>-0.3092</v>
      </c>
      <c r="E2729" t="n">
        <v>12.6204</v>
      </c>
      <c r="F2729" t="n">
        <v>0.12568</v>
      </c>
    </row>
    <row r="2730">
      <c r="A2730" t="n">
        <v>2000901</v>
      </c>
      <c r="B2730" t="n">
        <v>2</v>
      </c>
      <c r="C2730" t="n">
        <v>901</v>
      </c>
      <c r="D2730" t="n">
        <v>-0.3093</v>
      </c>
      <c r="E2730" t="n">
        <v>12.6269</v>
      </c>
      <c r="F2730" t="n">
        <v>0.1257</v>
      </c>
    </row>
    <row r="2731">
      <c r="A2731" t="n">
        <v>2000902</v>
      </c>
      <c r="B2731" t="n">
        <v>2</v>
      </c>
      <c r="C2731" t="n">
        <v>902</v>
      </c>
      <c r="D2731" t="n">
        <v>-0.3093</v>
      </c>
      <c r="E2731" t="n">
        <v>12.6334</v>
      </c>
      <c r="F2731" t="n">
        <v>0.12571</v>
      </c>
    </row>
    <row r="2732">
      <c r="A2732" t="n">
        <v>2000903</v>
      </c>
      <c r="B2732" t="n">
        <v>2</v>
      </c>
      <c r="C2732" t="n">
        <v>903</v>
      </c>
      <c r="D2732" t="n">
        <v>-0.3094</v>
      </c>
      <c r="E2732" t="n">
        <v>12.6399</v>
      </c>
      <c r="F2732" t="n">
        <v>0.12573</v>
      </c>
    </row>
    <row r="2733">
      <c r="A2733" t="n">
        <v>2000904</v>
      </c>
      <c r="B2733" t="n">
        <v>2</v>
      </c>
      <c r="C2733" t="n">
        <v>904</v>
      </c>
      <c r="D2733" t="n">
        <v>-0.3095</v>
      </c>
      <c r="E2733" t="n">
        <v>12.6464</v>
      </c>
      <c r="F2733" t="n">
        <v>0.12574</v>
      </c>
    </row>
    <row r="2734">
      <c r="A2734" t="n">
        <v>2000905</v>
      </c>
      <c r="B2734" t="n">
        <v>2</v>
      </c>
      <c r="C2734" t="n">
        <v>905</v>
      </c>
      <c r="D2734" t="n">
        <v>-0.3095</v>
      </c>
      <c r="E2734" t="n">
        <v>12.6529</v>
      </c>
      <c r="F2734" t="n">
        <v>0.12575</v>
      </c>
    </row>
    <row r="2735">
      <c r="A2735" t="n">
        <v>2000906</v>
      </c>
      <c r="B2735" t="n">
        <v>2</v>
      </c>
      <c r="C2735" t="n">
        <v>906</v>
      </c>
      <c r="D2735" t="n">
        <v>-0.3096</v>
      </c>
      <c r="E2735" t="n">
        <v>12.6594</v>
      </c>
      <c r="F2735" t="n">
        <v>0.12577</v>
      </c>
    </row>
    <row r="2736">
      <c r="A2736" t="n">
        <v>2000907</v>
      </c>
      <c r="B2736" t="n">
        <v>2</v>
      </c>
      <c r="C2736" t="n">
        <v>907</v>
      </c>
      <c r="D2736" t="n">
        <v>-0.3097</v>
      </c>
      <c r="E2736" t="n">
        <v>12.6659</v>
      </c>
      <c r="F2736" t="n">
        <v>0.12578</v>
      </c>
    </row>
    <row r="2737">
      <c r="A2737" t="n">
        <v>2000908</v>
      </c>
      <c r="B2737" t="n">
        <v>2</v>
      </c>
      <c r="C2737" t="n">
        <v>908</v>
      </c>
      <c r="D2737" t="n">
        <v>-0.3097</v>
      </c>
      <c r="E2737" t="n">
        <v>12.6723</v>
      </c>
      <c r="F2737" t="n">
        <v>0.1258</v>
      </c>
    </row>
    <row r="2738">
      <c r="A2738" t="n">
        <v>2000909</v>
      </c>
      <c r="B2738" t="n">
        <v>2</v>
      </c>
      <c r="C2738" t="n">
        <v>909</v>
      </c>
      <c r="D2738" t="n">
        <v>-0.3098</v>
      </c>
      <c r="E2738" t="n">
        <v>12.6788</v>
      </c>
      <c r="F2738" t="n">
        <v>0.12581</v>
      </c>
    </row>
    <row r="2739">
      <c r="A2739" t="n">
        <v>2000910</v>
      </c>
      <c r="B2739" t="n">
        <v>2</v>
      </c>
      <c r="C2739" t="n">
        <v>910</v>
      </c>
      <c r="D2739" t="n">
        <v>-0.3099</v>
      </c>
      <c r="E2739" t="n">
        <v>12.6853</v>
      </c>
      <c r="F2739" t="n">
        <v>0.12583</v>
      </c>
    </row>
    <row r="2740">
      <c r="A2740" t="n">
        <v>2000911</v>
      </c>
      <c r="B2740" t="n">
        <v>2</v>
      </c>
      <c r="C2740" t="n">
        <v>911</v>
      </c>
      <c r="D2740" t="n">
        <v>-0.3099</v>
      </c>
      <c r="E2740" t="n">
        <v>12.6918</v>
      </c>
      <c r="F2740" t="n">
        <v>0.12584</v>
      </c>
    </row>
    <row r="2741">
      <c r="A2741" t="n">
        <v>2000912</v>
      </c>
      <c r="B2741" t="n">
        <v>2</v>
      </c>
      <c r="C2741" t="n">
        <v>912</v>
      </c>
      <c r="D2741" t="n">
        <v>-0.31</v>
      </c>
      <c r="E2741" t="n">
        <v>12.6982</v>
      </c>
      <c r="F2741" t="n">
        <v>0.12585</v>
      </c>
    </row>
    <row r="2742">
      <c r="A2742" t="n">
        <v>2000913</v>
      </c>
      <c r="B2742" t="n">
        <v>2</v>
      </c>
      <c r="C2742" t="n">
        <v>913</v>
      </c>
      <c r="D2742" t="n">
        <v>-0.3101</v>
      </c>
      <c r="E2742" t="n">
        <v>12.7047</v>
      </c>
      <c r="F2742" t="n">
        <v>0.12587</v>
      </c>
    </row>
    <row r="2743">
      <c r="A2743" t="n">
        <v>2000914</v>
      </c>
      <c r="B2743" t="n">
        <v>2</v>
      </c>
      <c r="C2743" t="n">
        <v>914</v>
      </c>
      <c r="D2743" t="n">
        <v>-0.3101</v>
      </c>
      <c r="E2743" t="n">
        <v>12.7111</v>
      </c>
      <c r="F2743" t="n">
        <v>0.12588</v>
      </c>
    </row>
    <row r="2744">
      <c r="A2744" t="n">
        <v>2000915</v>
      </c>
      <c r="B2744" t="n">
        <v>2</v>
      </c>
      <c r="C2744" t="n">
        <v>915</v>
      </c>
      <c r="D2744" t="n">
        <v>-0.3102</v>
      </c>
      <c r="E2744" t="n">
        <v>12.7176</v>
      </c>
      <c r="F2744" t="n">
        <v>0.1259</v>
      </c>
    </row>
    <row r="2745">
      <c r="A2745" t="n">
        <v>2000916</v>
      </c>
      <c r="B2745" t="n">
        <v>2</v>
      </c>
      <c r="C2745" t="n">
        <v>916</v>
      </c>
      <c r="D2745" t="n">
        <v>-0.3103</v>
      </c>
      <c r="E2745" t="n">
        <v>12.724</v>
      </c>
      <c r="F2745" t="n">
        <v>0.12591</v>
      </c>
    </row>
    <row r="2746">
      <c r="A2746" t="n">
        <v>2000917</v>
      </c>
      <c r="B2746" t="n">
        <v>2</v>
      </c>
      <c r="C2746" t="n">
        <v>917</v>
      </c>
      <c r="D2746" t="n">
        <v>-0.3103</v>
      </c>
      <c r="E2746" t="n">
        <v>12.7305</v>
      </c>
      <c r="F2746" t="n">
        <v>0.12593</v>
      </c>
    </row>
    <row r="2747">
      <c r="A2747" t="n">
        <v>2000918</v>
      </c>
      <c r="B2747" t="n">
        <v>2</v>
      </c>
      <c r="C2747" t="n">
        <v>918</v>
      </c>
      <c r="D2747" t="n">
        <v>-0.3104</v>
      </c>
      <c r="E2747" t="n">
        <v>12.7369</v>
      </c>
      <c r="F2747" t="n">
        <v>0.12594</v>
      </c>
    </row>
    <row r="2748">
      <c r="A2748" t="n">
        <v>2000919</v>
      </c>
      <c r="B2748" t="n">
        <v>2</v>
      </c>
      <c r="C2748" t="n">
        <v>919</v>
      </c>
      <c r="D2748" t="n">
        <v>-0.3105</v>
      </c>
      <c r="E2748" t="n">
        <v>12.7434</v>
      </c>
      <c r="F2748" t="n">
        <v>0.12596</v>
      </c>
    </row>
    <row r="2749">
      <c r="A2749" t="n">
        <v>2000920</v>
      </c>
      <c r="B2749" t="n">
        <v>2</v>
      </c>
      <c r="C2749" t="n">
        <v>920</v>
      </c>
      <c r="D2749" t="n">
        <v>-0.3105</v>
      </c>
      <c r="E2749" t="n">
        <v>12.7498</v>
      </c>
      <c r="F2749" t="n">
        <v>0.12597</v>
      </c>
    </row>
    <row r="2750">
      <c r="A2750" t="n">
        <v>2000921</v>
      </c>
      <c r="B2750" t="n">
        <v>2</v>
      </c>
      <c r="C2750" t="n">
        <v>921</v>
      </c>
      <c r="D2750" t="n">
        <v>-0.3106</v>
      </c>
      <c r="E2750" t="n">
        <v>12.7563</v>
      </c>
      <c r="F2750" t="n">
        <v>0.12599</v>
      </c>
    </row>
    <row r="2751">
      <c r="A2751" t="n">
        <v>2000922</v>
      </c>
      <c r="B2751" t="n">
        <v>2</v>
      </c>
      <c r="C2751" t="n">
        <v>922</v>
      </c>
      <c r="D2751" t="n">
        <v>-0.3107</v>
      </c>
      <c r="E2751" t="n">
        <v>12.7627</v>
      </c>
      <c r="F2751" t="n">
        <v>0.126</v>
      </c>
    </row>
    <row r="2752">
      <c r="A2752" t="n">
        <v>2000923</v>
      </c>
      <c r="B2752" t="n">
        <v>2</v>
      </c>
      <c r="C2752" t="n">
        <v>923</v>
      </c>
      <c r="D2752" t="n">
        <v>-0.3107</v>
      </c>
      <c r="E2752" t="n">
        <v>12.7691</v>
      </c>
      <c r="F2752" t="n">
        <v>0.12602</v>
      </c>
    </row>
    <row r="2753">
      <c r="A2753" t="n">
        <v>2000924</v>
      </c>
      <c r="B2753" t="n">
        <v>2</v>
      </c>
      <c r="C2753" t="n">
        <v>924</v>
      </c>
      <c r="D2753" t="n">
        <v>-0.3108</v>
      </c>
      <c r="E2753" t="n">
        <v>12.7755</v>
      </c>
      <c r="F2753" t="n">
        <v>0.12603</v>
      </c>
    </row>
    <row r="2754">
      <c r="A2754" t="n">
        <v>2000925</v>
      </c>
      <c r="B2754" t="n">
        <v>2</v>
      </c>
      <c r="C2754" t="n">
        <v>925</v>
      </c>
      <c r="D2754" t="n">
        <v>-0.3109</v>
      </c>
      <c r="E2754" t="n">
        <v>12.782</v>
      </c>
      <c r="F2754" t="n">
        <v>0.12605</v>
      </c>
    </row>
    <row r="2755">
      <c r="A2755" t="n">
        <v>2000926</v>
      </c>
      <c r="B2755" t="n">
        <v>2</v>
      </c>
      <c r="C2755" t="n">
        <v>926</v>
      </c>
      <c r="D2755" t="n">
        <v>-0.3109</v>
      </c>
      <c r="E2755" t="n">
        <v>12.7884</v>
      </c>
      <c r="F2755" t="n">
        <v>0.12606</v>
      </c>
    </row>
    <row r="2756">
      <c r="A2756" t="n">
        <v>2000927</v>
      </c>
      <c r="B2756" t="n">
        <v>2</v>
      </c>
      <c r="C2756" t="n">
        <v>927</v>
      </c>
      <c r="D2756" t="n">
        <v>-0.311</v>
      </c>
      <c r="E2756" t="n">
        <v>12.7948</v>
      </c>
      <c r="F2756" t="n">
        <v>0.12608</v>
      </c>
    </row>
    <row r="2757">
      <c r="A2757" t="n">
        <v>2000928</v>
      </c>
      <c r="B2757" t="n">
        <v>2</v>
      </c>
      <c r="C2757" t="n">
        <v>928</v>
      </c>
      <c r="D2757" t="n">
        <v>-0.311</v>
      </c>
      <c r="E2757" t="n">
        <v>12.8012</v>
      </c>
      <c r="F2757" t="n">
        <v>0.12609</v>
      </c>
    </row>
    <row r="2758">
      <c r="A2758" t="n">
        <v>2000929</v>
      </c>
      <c r="B2758" t="n">
        <v>2</v>
      </c>
      <c r="C2758" t="n">
        <v>929</v>
      </c>
      <c r="D2758" t="n">
        <v>-0.3111</v>
      </c>
      <c r="E2758" t="n">
        <v>12.8076</v>
      </c>
      <c r="F2758" t="n">
        <v>0.12611</v>
      </c>
    </row>
    <row r="2759">
      <c r="A2759" t="n">
        <v>2000930</v>
      </c>
      <c r="B2759" t="n">
        <v>2</v>
      </c>
      <c r="C2759" t="n">
        <v>930</v>
      </c>
      <c r="D2759" t="n">
        <v>-0.3112</v>
      </c>
      <c r="E2759" t="n">
        <v>12.814</v>
      </c>
      <c r="F2759" t="n">
        <v>0.12612</v>
      </c>
    </row>
    <row r="2760">
      <c r="A2760" t="n">
        <v>2000931</v>
      </c>
      <c r="B2760" t="n">
        <v>2</v>
      </c>
      <c r="C2760" t="n">
        <v>931</v>
      </c>
      <c r="D2760" t="n">
        <v>-0.3112</v>
      </c>
      <c r="E2760" t="n">
        <v>12.8204</v>
      </c>
      <c r="F2760" t="n">
        <v>0.12614</v>
      </c>
    </row>
    <row r="2761">
      <c r="A2761" t="n">
        <v>2000932</v>
      </c>
      <c r="B2761" t="n">
        <v>2</v>
      </c>
      <c r="C2761" t="n">
        <v>932</v>
      </c>
      <c r="D2761" t="n">
        <v>-0.3113</v>
      </c>
      <c r="E2761" t="n">
        <v>12.8268</v>
      </c>
      <c r="F2761" t="n">
        <v>0.12615</v>
      </c>
    </row>
    <row r="2762">
      <c r="A2762" t="n">
        <v>2000933</v>
      </c>
      <c r="B2762" t="n">
        <v>2</v>
      </c>
      <c r="C2762" t="n">
        <v>933</v>
      </c>
      <c r="D2762" t="n">
        <v>-0.3114</v>
      </c>
      <c r="E2762" t="n">
        <v>12.8332</v>
      </c>
      <c r="F2762" t="n">
        <v>0.12617</v>
      </c>
    </row>
    <row r="2763">
      <c r="A2763" t="n">
        <v>2000934</v>
      </c>
      <c r="B2763" t="n">
        <v>2</v>
      </c>
      <c r="C2763" t="n">
        <v>934</v>
      </c>
      <c r="D2763" t="n">
        <v>-0.3114</v>
      </c>
      <c r="E2763" t="n">
        <v>12.8396</v>
      </c>
      <c r="F2763" t="n">
        <v>0.12618</v>
      </c>
    </row>
    <row r="2764">
      <c r="A2764" t="n">
        <v>2000935</v>
      </c>
      <c r="B2764" t="n">
        <v>2</v>
      </c>
      <c r="C2764" t="n">
        <v>935</v>
      </c>
      <c r="D2764" t="n">
        <v>-0.3115</v>
      </c>
      <c r="E2764" t="n">
        <v>12.846</v>
      </c>
      <c r="F2764" t="n">
        <v>0.1262</v>
      </c>
    </row>
    <row r="2765">
      <c r="A2765" t="n">
        <v>2000936</v>
      </c>
      <c r="B2765" t="n">
        <v>2</v>
      </c>
      <c r="C2765" t="n">
        <v>936</v>
      </c>
      <c r="D2765" t="n">
        <v>-0.3116</v>
      </c>
      <c r="E2765" t="n">
        <v>12.8524</v>
      </c>
      <c r="F2765" t="n">
        <v>0.12621</v>
      </c>
    </row>
    <row r="2766">
      <c r="A2766" t="n">
        <v>2000937</v>
      </c>
      <c r="B2766" t="n">
        <v>2</v>
      </c>
      <c r="C2766" t="n">
        <v>937</v>
      </c>
      <c r="D2766" t="n">
        <v>-0.3116</v>
      </c>
      <c r="E2766" t="n">
        <v>12.8588</v>
      </c>
      <c r="F2766" t="n">
        <v>0.12623</v>
      </c>
    </row>
    <row r="2767">
      <c r="A2767" t="n">
        <v>2000938</v>
      </c>
      <c r="B2767" t="n">
        <v>2</v>
      </c>
      <c r="C2767" t="n">
        <v>938</v>
      </c>
      <c r="D2767" t="n">
        <v>-0.3117</v>
      </c>
      <c r="E2767" t="n">
        <v>12.8651</v>
      </c>
      <c r="F2767" t="n">
        <v>0.12625</v>
      </c>
    </row>
    <row r="2768">
      <c r="A2768" t="n">
        <v>2000939</v>
      </c>
      <c r="B2768" t="n">
        <v>2</v>
      </c>
      <c r="C2768" t="n">
        <v>939</v>
      </c>
      <c r="D2768" t="n">
        <v>-0.3117</v>
      </c>
      <c r="E2768" t="n">
        <v>12.8715</v>
      </c>
      <c r="F2768" t="n">
        <v>0.12626</v>
      </c>
    </row>
    <row r="2769">
      <c r="A2769" t="n">
        <v>2000940</v>
      </c>
      <c r="B2769" t="n">
        <v>2</v>
      </c>
      <c r="C2769" t="n">
        <v>940</v>
      </c>
      <c r="D2769" t="n">
        <v>-0.3118</v>
      </c>
      <c r="E2769" t="n">
        <v>12.8779</v>
      </c>
      <c r="F2769" t="n">
        <v>0.12628</v>
      </c>
    </row>
    <row r="2770">
      <c r="A2770" t="n">
        <v>2000941</v>
      </c>
      <c r="B2770" t="n">
        <v>2</v>
      </c>
      <c r="C2770" t="n">
        <v>941</v>
      </c>
      <c r="D2770" t="n">
        <v>-0.3119</v>
      </c>
      <c r="E2770" t="n">
        <v>12.8843</v>
      </c>
      <c r="F2770" t="n">
        <v>0.12629</v>
      </c>
    </row>
    <row r="2771">
      <c r="A2771" t="n">
        <v>2000942</v>
      </c>
      <c r="B2771" t="n">
        <v>2</v>
      </c>
      <c r="C2771" t="n">
        <v>942</v>
      </c>
      <c r="D2771" t="n">
        <v>-0.3119</v>
      </c>
      <c r="E2771" t="n">
        <v>12.8906</v>
      </c>
      <c r="F2771" t="n">
        <v>0.12631</v>
      </c>
    </row>
    <row r="2772">
      <c r="A2772" t="n">
        <v>2000943</v>
      </c>
      <c r="B2772" t="n">
        <v>2</v>
      </c>
      <c r="C2772" t="n">
        <v>943</v>
      </c>
      <c r="D2772" t="n">
        <v>-0.312</v>
      </c>
      <c r="E2772" t="n">
        <v>12.897</v>
      </c>
      <c r="F2772" t="n">
        <v>0.12632</v>
      </c>
    </row>
    <row r="2773">
      <c r="A2773" t="n">
        <v>2000944</v>
      </c>
      <c r="B2773" t="n">
        <v>2</v>
      </c>
      <c r="C2773" t="n">
        <v>944</v>
      </c>
      <c r="D2773" t="n">
        <v>-0.312</v>
      </c>
      <c r="E2773" t="n">
        <v>12.9033</v>
      </c>
      <c r="F2773" t="n">
        <v>0.12634</v>
      </c>
    </row>
    <row r="2774">
      <c r="A2774" t="n">
        <v>2000945</v>
      </c>
      <c r="B2774" t="n">
        <v>2</v>
      </c>
      <c r="C2774" t="n">
        <v>945</v>
      </c>
      <c r="D2774" t="n">
        <v>-0.3121</v>
      </c>
      <c r="E2774" t="n">
        <v>12.9097</v>
      </c>
      <c r="F2774" t="n">
        <v>0.12636</v>
      </c>
    </row>
    <row r="2775">
      <c r="A2775" t="n">
        <v>2000946</v>
      </c>
      <c r="B2775" t="n">
        <v>2</v>
      </c>
      <c r="C2775" t="n">
        <v>946</v>
      </c>
      <c r="D2775" t="n">
        <v>-0.3122</v>
      </c>
      <c r="E2775" t="n">
        <v>12.9161</v>
      </c>
      <c r="F2775" t="n">
        <v>0.12637</v>
      </c>
    </row>
    <row r="2776">
      <c r="A2776" t="n">
        <v>2000947</v>
      </c>
      <c r="B2776" t="n">
        <v>2</v>
      </c>
      <c r="C2776" t="n">
        <v>947</v>
      </c>
      <c r="D2776" t="n">
        <v>-0.3122</v>
      </c>
      <c r="E2776" t="n">
        <v>12.9224</v>
      </c>
      <c r="F2776" t="n">
        <v>0.12639</v>
      </c>
    </row>
    <row r="2777">
      <c r="A2777" t="n">
        <v>2000948</v>
      </c>
      <c r="B2777" t="n">
        <v>2</v>
      </c>
      <c r="C2777" t="n">
        <v>948</v>
      </c>
      <c r="D2777" t="n">
        <v>-0.3123</v>
      </c>
      <c r="E2777" t="n">
        <v>12.9288</v>
      </c>
      <c r="F2777" t="n">
        <v>0.1264</v>
      </c>
    </row>
    <row r="2778">
      <c r="A2778" t="n">
        <v>2000949</v>
      </c>
      <c r="B2778" t="n">
        <v>2</v>
      </c>
      <c r="C2778" t="n">
        <v>949</v>
      </c>
      <c r="D2778" t="n">
        <v>-0.3123</v>
      </c>
      <c r="E2778" t="n">
        <v>12.9351</v>
      </c>
      <c r="F2778" t="n">
        <v>0.12642</v>
      </c>
    </row>
    <row r="2779">
      <c r="A2779" t="n">
        <v>2000950</v>
      </c>
      <c r="B2779" t="n">
        <v>2</v>
      </c>
      <c r="C2779" t="n">
        <v>950</v>
      </c>
      <c r="D2779" t="n">
        <v>-0.3124</v>
      </c>
      <c r="E2779" t="n">
        <v>12.9415</v>
      </c>
      <c r="F2779" t="n">
        <v>0.12644</v>
      </c>
    </row>
    <row r="2780">
      <c r="A2780" t="n">
        <v>2000951</v>
      </c>
      <c r="B2780" t="n">
        <v>2</v>
      </c>
      <c r="C2780" t="n">
        <v>951</v>
      </c>
      <c r="D2780" t="n">
        <v>-0.3125</v>
      </c>
      <c r="E2780" t="n">
        <v>12.9478</v>
      </c>
      <c r="F2780" t="n">
        <v>0.12645</v>
      </c>
    </row>
    <row r="2781">
      <c r="A2781" t="n">
        <v>2000952</v>
      </c>
      <c r="B2781" t="n">
        <v>2</v>
      </c>
      <c r="C2781" t="n">
        <v>952</v>
      </c>
      <c r="D2781" t="n">
        <v>-0.3125</v>
      </c>
      <c r="E2781" t="n">
        <v>12.9541</v>
      </c>
      <c r="F2781" t="n">
        <v>0.12647</v>
      </c>
    </row>
    <row r="2782">
      <c r="A2782" t="n">
        <v>2000953</v>
      </c>
      <c r="B2782" t="n">
        <v>2</v>
      </c>
      <c r="C2782" t="n">
        <v>953</v>
      </c>
      <c r="D2782" t="n">
        <v>-0.3126</v>
      </c>
      <c r="E2782" t="n">
        <v>12.9605</v>
      </c>
      <c r="F2782" t="n">
        <v>0.12648</v>
      </c>
    </row>
    <row r="2783">
      <c r="A2783" t="n">
        <v>2000954</v>
      </c>
      <c r="B2783" t="n">
        <v>2</v>
      </c>
      <c r="C2783" t="n">
        <v>954</v>
      </c>
      <c r="D2783" t="n">
        <v>-0.3126</v>
      </c>
      <c r="E2783" t="n">
        <v>12.9668</v>
      </c>
      <c r="F2783" t="n">
        <v>0.1265</v>
      </c>
    </row>
    <row r="2784">
      <c r="A2784" t="n">
        <v>2000955</v>
      </c>
      <c r="B2784" t="n">
        <v>2</v>
      </c>
      <c r="C2784" t="n">
        <v>955</v>
      </c>
      <c r="D2784" t="n">
        <v>-0.3127</v>
      </c>
      <c r="E2784" t="n">
        <v>12.9732</v>
      </c>
      <c r="F2784" t="n">
        <v>0.12652</v>
      </c>
    </row>
    <row r="2785">
      <c r="A2785" t="n">
        <v>2000956</v>
      </c>
      <c r="B2785" t="n">
        <v>2</v>
      </c>
      <c r="C2785" t="n">
        <v>956</v>
      </c>
      <c r="D2785" t="n">
        <v>-0.3128</v>
      </c>
      <c r="E2785" t="n">
        <v>12.9795</v>
      </c>
      <c r="F2785" t="n">
        <v>0.12653</v>
      </c>
    </row>
    <row r="2786">
      <c r="A2786" t="n">
        <v>2000957</v>
      </c>
      <c r="B2786" t="n">
        <v>2</v>
      </c>
      <c r="C2786" t="n">
        <v>957</v>
      </c>
      <c r="D2786" t="n">
        <v>-0.3128</v>
      </c>
      <c r="E2786" t="n">
        <v>12.9858</v>
      </c>
      <c r="F2786" t="n">
        <v>0.12655</v>
      </c>
    </row>
    <row r="2787">
      <c r="A2787" t="n">
        <v>2000958</v>
      </c>
      <c r="B2787" t="n">
        <v>2</v>
      </c>
      <c r="C2787" t="n">
        <v>958</v>
      </c>
      <c r="D2787" t="n">
        <v>-0.3129</v>
      </c>
      <c r="E2787" t="n">
        <v>12.9921</v>
      </c>
      <c r="F2787" t="n">
        <v>0.12656</v>
      </c>
    </row>
    <row r="2788">
      <c r="A2788" t="n">
        <v>2000959</v>
      </c>
      <c r="B2788" t="n">
        <v>2</v>
      </c>
      <c r="C2788" t="n">
        <v>959</v>
      </c>
      <c r="D2788" t="n">
        <v>-0.3129</v>
      </c>
      <c r="E2788" t="n">
        <v>12.9985</v>
      </c>
      <c r="F2788" t="n">
        <v>0.12658</v>
      </c>
    </row>
    <row r="2789">
      <c r="A2789" t="n">
        <v>2000960</v>
      </c>
      <c r="B2789" t="n">
        <v>2</v>
      </c>
      <c r="C2789" t="n">
        <v>960</v>
      </c>
      <c r="D2789" t="n">
        <v>-0.313</v>
      </c>
      <c r="E2789" t="n">
        <v>13.0048</v>
      </c>
      <c r="F2789" t="n">
        <v>0.1266</v>
      </c>
    </row>
    <row r="2790">
      <c r="A2790" t="n">
        <v>2000961</v>
      </c>
      <c r="B2790" t="n">
        <v>2</v>
      </c>
      <c r="C2790" t="n">
        <v>961</v>
      </c>
      <c r="D2790" t="n">
        <v>-0.3131</v>
      </c>
      <c r="E2790" t="n">
        <v>13.0111</v>
      </c>
      <c r="F2790" t="n">
        <v>0.12661</v>
      </c>
    </row>
    <row r="2791">
      <c r="A2791" t="n">
        <v>2000962</v>
      </c>
      <c r="B2791" t="n">
        <v>2</v>
      </c>
      <c r="C2791" t="n">
        <v>962</v>
      </c>
      <c r="D2791" t="n">
        <v>-0.3131</v>
      </c>
      <c r="E2791" t="n">
        <v>13.0174</v>
      </c>
      <c r="F2791" t="n">
        <v>0.12663</v>
      </c>
    </row>
    <row r="2792">
      <c r="A2792" t="n">
        <v>2000963</v>
      </c>
      <c r="B2792" t="n">
        <v>2</v>
      </c>
      <c r="C2792" t="n">
        <v>963</v>
      </c>
      <c r="D2792" t="n">
        <v>-0.3132</v>
      </c>
      <c r="E2792" t="n">
        <v>13.0237</v>
      </c>
      <c r="F2792" t="n">
        <v>0.12665</v>
      </c>
    </row>
    <row r="2793">
      <c r="A2793" t="n">
        <v>2000964</v>
      </c>
      <c r="B2793" t="n">
        <v>2</v>
      </c>
      <c r="C2793" t="n">
        <v>964</v>
      </c>
      <c r="D2793" t="n">
        <v>-0.3132</v>
      </c>
      <c r="E2793" t="n">
        <v>13.03</v>
      </c>
      <c r="F2793" t="n">
        <v>0.12666</v>
      </c>
    </row>
    <row r="2794">
      <c r="A2794" t="n">
        <v>2000965</v>
      </c>
      <c r="B2794" t="n">
        <v>2</v>
      </c>
      <c r="C2794" t="n">
        <v>965</v>
      </c>
      <c r="D2794" t="n">
        <v>-0.3133</v>
      </c>
      <c r="E2794" t="n">
        <v>13.0363</v>
      </c>
      <c r="F2794" t="n">
        <v>0.12668</v>
      </c>
    </row>
    <row r="2795">
      <c r="A2795" t="n">
        <v>2000966</v>
      </c>
      <c r="B2795" t="n">
        <v>2</v>
      </c>
      <c r="C2795" t="n">
        <v>966</v>
      </c>
      <c r="D2795" t="n">
        <v>-0.3134</v>
      </c>
      <c r="E2795" t="n">
        <v>13.0427</v>
      </c>
      <c r="F2795" t="n">
        <v>0.1267</v>
      </c>
    </row>
    <row r="2796">
      <c r="A2796" t="n">
        <v>2000967</v>
      </c>
      <c r="B2796" t="n">
        <v>2</v>
      </c>
      <c r="C2796" t="n">
        <v>967</v>
      </c>
      <c r="D2796" t="n">
        <v>-0.3134</v>
      </c>
      <c r="E2796" t="n">
        <v>13.049</v>
      </c>
      <c r="F2796" t="n">
        <v>0.12671</v>
      </c>
    </row>
    <row r="2797">
      <c r="A2797" t="n">
        <v>2000968</v>
      </c>
      <c r="B2797" t="n">
        <v>2</v>
      </c>
      <c r="C2797" t="n">
        <v>968</v>
      </c>
      <c r="D2797" t="n">
        <v>-0.3135</v>
      </c>
      <c r="E2797" t="n">
        <v>13.0553</v>
      </c>
      <c r="F2797" t="n">
        <v>0.12673</v>
      </c>
    </row>
    <row r="2798">
      <c r="A2798" t="n">
        <v>2000969</v>
      </c>
      <c r="B2798" t="n">
        <v>2</v>
      </c>
      <c r="C2798" t="n">
        <v>969</v>
      </c>
      <c r="D2798" t="n">
        <v>-0.3135</v>
      </c>
      <c r="E2798" t="n">
        <v>13.0616</v>
      </c>
      <c r="F2798" t="n">
        <v>0.12675</v>
      </c>
    </row>
    <row r="2799">
      <c r="A2799" t="n">
        <v>2000970</v>
      </c>
      <c r="B2799" t="n">
        <v>2</v>
      </c>
      <c r="C2799" t="n">
        <v>970</v>
      </c>
      <c r="D2799" t="n">
        <v>-0.3136</v>
      </c>
      <c r="E2799" t="n">
        <v>13.0679</v>
      </c>
      <c r="F2799" t="n">
        <v>0.12676</v>
      </c>
    </row>
    <row r="2800">
      <c r="A2800" t="n">
        <v>2000971</v>
      </c>
      <c r="B2800" t="n">
        <v>2</v>
      </c>
      <c r="C2800" t="n">
        <v>971</v>
      </c>
      <c r="D2800" t="n">
        <v>-0.3136</v>
      </c>
      <c r="E2800" t="n">
        <v>13.0742</v>
      </c>
      <c r="F2800" t="n">
        <v>0.12678</v>
      </c>
    </row>
    <row r="2801">
      <c r="A2801" t="n">
        <v>2000972</v>
      </c>
      <c r="B2801" t="n">
        <v>2</v>
      </c>
      <c r="C2801" t="n">
        <v>972</v>
      </c>
      <c r="D2801" t="n">
        <v>-0.3137</v>
      </c>
      <c r="E2801" t="n">
        <v>13.0804</v>
      </c>
      <c r="F2801" t="n">
        <v>0.1268</v>
      </c>
    </row>
    <row r="2802">
      <c r="A2802" t="n">
        <v>2000973</v>
      </c>
      <c r="B2802" t="n">
        <v>2</v>
      </c>
      <c r="C2802" t="n">
        <v>973</v>
      </c>
      <c r="D2802" t="n">
        <v>-0.3138</v>
      </c>
      <c r="E2802" t="n">
        <v>13.0867</v>
      </c>
      <c r="F2802" t="n">
        <v>0.12681</v>
      </c>
    </row>
    <row r="2803">
      <c r="A2803" t="n">
        <v>2000974</v>
      </c>
      <c r="B2803" t="n">
        <v>2</v>
      </c>
      <c r="C2803" t="n">
        <v>974</v>
      </c>
      <c r="D2803" t="n">
        <v>-0.3138</v>
      </c>
      <c r="E2803" t="n">
        <v>13.093</v>
      </c>
      <c r="F2803" t="n">
        <v>0.12683</v>
      </c>
    </row>
    <row r="2804">
      <c r="A2804" t="n">
        <v>2000975</v>
      </c>
      <c r="B2804" t="n">
        <v>2</v>
      </c>
      <c r="C2804" t="n">
        <v>975</v>
      </c>
      <c r="D2804" t="n">
        <v>-0.3139</v>
      </c>
      <c r="E2804" t="n">
        <v>13.0993</v>
      </c>
      <c r="F2804" t="n">
        <v>0.12685</v>
      </c>
    </row>
    <row r="2805">
      <c r="A2805" t="n">
        <v>2000976</v>
      </c>
      <c r="B2805" t="n">
        <v>2</v>
      </c>
      <c r="C2805" t="n">
        <v>976</v>
      </c>
      <c r="D2805" t="n">
        <v>-0.3139</v>
      </c>
      <c r="E2805" t="n">
        <v>13.1056</v>
      </c>
      <c r="F2805" t="n">
        <v>0.12687</v>
      </c>
    </row>
    <row r="2806">
      <c r="A2806" t="n">
        <v>2000977</v>
      </c>
      <c r="B2806" t="n">
        <v>2</v>
      </c>
      <c r="C2806" t="n">
        <v>977</v>
      </c>
      <c r="D2806" t="n">
        <v>-0.314</v>
      </c>
      <c r="E2806" t="n">
        <v>13.1119</v>
      </c>
      <c r="F2806" t="n">
        <v>0.12688</v>
      </c>
    </row>
    <row r="2807">
      <c r="A2807" t="n">
        <v>2000978</v>
      </c>
      <c r="B2807" t="n">
        <v>2</v>
      </c>
      <c r="C2807" t="n">
        <v>978</v>
      </c>
      <c r="D2807" t="n">
        <v>-0.314</v>
      </c>
      <c r="E2807" t="n">
        <v>13.1182</v>
      </c>
      <c r="F2807" t="n">
        <v>0.1269</v>
      </c>
    </row>
    <row r="2808">
      <c r="A2808" t="n">
        <v>2000979</v>
      </c>
      <c r="B2808" t="n">
        <v>2</v>
      </c>
      <c r="C2808" t="n">
        <v>979</v>
      </c>
      <c r="D2808" t="n">
        <v>-0.3141</v>
      </c>
      <c r="E2808" t="n">
        <v>13.1245</v>
      </c>
      <c r="F2808" t="n">
        <v>0.12692</v>
      </c>
    </row>
    <row r="2809">
      <c r="A2809" t="n">
        <v>2000980</v>
      </c>
      <c r="B2809" t="n">
        <v>2</v>
      </c>
      <c r="C2809" t="n">
        <v>980</v>
      </c>
      <c r="D2809" t="n">
        <v>-0.3142</v>
      </c>
      <c r="E2809" t="n">
        <v>13.1307</v>
      </c>
      <c r="F2809" t="n">
        <v>0.12693</v>
      </c>
    </row>
    <row r="2810">
      <c r="A2810" t="n">
        <v>2000981</v>
      </c>
      <c r="B2810" t="n">
        <v>2</v>
      </c>
      <c r="C2810" t="n">
        <v>981</v>
      </c>
      <c r="D2810" t="n">
        <v>-0.3142</v>
      </c>
      <c r="E2810" t="n">
        <v>13.137</v>
      </c>
      <c r="F2810" t="n">
        <v>0.12695</v>
      </c>
    </row>
    <row r="2811">
      <c r="A2811" t="n">
        <v>2000982</v>
      </c>
      <c r="B2811" t="n">
        <v>2</v>
      </c>
      <c r="C2811" t="n">
        <v>982</v>
      </c>
      <c r="D2811" t="n">
        <v>-0.3143</v>
      </c>
      <c r="E2811" t="n">
        <v>13.1433</v>
      </c>
      <c r="F2811" t="n">
        <v>0.12697</v>
      </c>
    </row>
    <row r="2812">
      <c r="A2812" t="n">
        <v>2000983</v>
      </c>
      <c r="B2812" t="n">
        <v>2</v>
      </c>
      <c r="C2812" t="n">
        <v>983</v>
      </c>
      <c r="D2812" t="n">
        <v>-0.3143</v>
      </c>
      <c r="E2812" t="n">
        <v>13.1496</v>
      </c>
      <c r="F2812" t="n">
        <v>0.12699</v>
      </c>
    </row>
    <row r="2813">
      <c r="A2813" t="n">
        <v>2000984</v>
      </c>
      <c r="B2813" t="n">
        <v>2</v>
      </c>
      <c r="C2813" t="n">
        <v>984</v>
      </c>
      <c r="D2813" t="n">
        <v>-0.3144</v>
      </c>
      <c r="E2813" t="n">
        <v>13.1558</v>
      </c>
      <c r="F2813" t="n">
        <v>0.127</v>
      </c>
    </row>
    <row r="2814">
      <c r="A2814" t="n">
        <v>2000985</v>
      </c>
      <c r="B2814" t="n">
        <v>2</v>
      </c>
      <c r="C2814" t="n">
        <v>985</v>
      </c>
      <c r="D2814" t="n">
        <v>-0.3144</v>
      </c>
      <c r="E2814" t="n">
        <v>13.1621</v>
      </c>
      <c r="F2814" t="n">
        <v>0.12702</v>
      </c>
    </row>
    <row r="2815">
      <c r="A2815" t="n">
        <v>2000986</v>
      </c>
      <c r="B2815" t="n">
        <v>2</v>
      </c>
      <c r="C2815" t="n">
        <v>986</v>
      </c>
      <c r="D2815" t="n">
        <v>-0.3145</v>
      </c>
      <c r="E2815" t="n">
        <v>13.1684</v>
      </c>
      <c r="F2815" t="n">
        <v>0.12704</v>
      </c>
    </row>
    <row r="2816">
      <c r="A2816" t="n">
        <v>2000987</v>
      </c>
      <c r="B2816" t="n">
        <v>2</v>
      </c>
      <c r="C2816" t="n">
        <v>987</v>
      </c>
      <c r="D2816" t="n">
        <v>-0.3145</v>
      </c>
      <c r="E2816" t="n">
        <v>13.1746</v>
      </c>
      <c r="F2816" t="n">
        <v>0.12706</v>
      </c>
    </row>
    <row r="2817">
      <c r="A2817" t="n">
        <v>2000988</v>
      </c>
      <c r="B2817" t="n">
        <v>2</v>
      </c>
      <c r="C2817" t="n">
        <v>988</v>
      </c>
      <c r="D2817" t="n">
        <v>-0.3146</v>
      </c>
      <c r="E2817" t="n">
        <v>13.1809</v>
      </c>
      <c r="F2817" t="n">
        <v>0.12707</v>
      </c>
    </row>
    <row r="2818">
      <c r="A2818" t="n">
        <v>2000989</v>
      </c>
      <c r="B2818" t="n">
        <v>2</v>
      </c>
      <c r="C2818" t="n">
        <v>989</v>
      </c>
      <c r="D2818" t="n">
        <v>-0.3147</v>
      </c>
      <c r="E2818" t="n">
        <v>13.1872</v>
      </c>
      <c r="F2818" t="n">
        <v>0.12709</v>
      </c>
    </row>
    <row r="2819">
      <c r="A2819" t="n">
        <v>2000990</v>
      </c>
      <c r="B2819" t="n">
        <v>2</v>
      </c>
      <c r="C2819" t="n">
        <v>990</v>
      </c>
      <c r="D2819" t="n">
        <v>-0.3147</v>
      </c>
      <c r="E2819" t="n">
        <v>13.1934</v>
      </c>
      <c r="F2819" t="n">
        <v>0.12711</v>
      </c>
    </row>
    <row r="2820">
      <c r="A2820" t="n">
        <v>2000991</v>
      </c>
      <c r="B2820" t="n">
        <v>2</v>
      </c>
      <c r="C2820" t="n">
        <v>991</v>
      </c>
      <c r="D2820" t="n">
        <v>-0.3148</v>
      </c>
      <c r="E2820" t="n">
        <v>13.1997</v>
      </c>
      <c r="F2820" t="n">
        <v>0.12713</v>
      </c>
    </row>
    <row r="2821">
      <c r="A2821" t="n">
        <v>2000992</v>
      </c>
      <c r="B2821" t="n">
        <v>2</v>
      </c>
      <c r="C2821" t="n">
        <v>992</v>
      </c>
      <c r="D2821" t="n">
        <v>-0.3148</v>
      </c>
      <c r="E2821" t="n">
        <v>13.2059</v>
      </c>
      <c r="F2821" t="n">
        <v>0.12714</v>
      </c>
    </row>
    <row r="2822">
      <c r="A2822" t="n">
        <v>2000993</v>
      </c>
      <c r="B2822" t="n">
        <v>2</v>
      </c>
      <c r="C2822" t="n">
        <v>993</v>
      </c>
      <c r="D2822" t="n">
        <v>-0.3149</v>
      </c>
      <c r="E2822" t="n">
        <v>13.2122</v>
      </c>
      <c r="F2822" t="n">
        <v>0.12716</v>
      </c>
    </row>
    <row r="2823">
      <c r="A2823" t="n">
        <v>2000994</v>
      </c>
      <c r="B2823" t="n">
        <v>2</v>
      </c>
      <c r="C2823" t="n">
        <v>994</v>
      </c>
      <c r="D2823" t="n">
        <v>-0.3149</v>
      </c>
      <c r="E2823" t="n">
        <v>13.2185</v>
      </c>
      <c r="F2823" t="n">
        <v>0.12718</v>
      </c>
    </row>
    <row r="2824">
      <c r="A2824" t="n">
        <v>2000995</v>
      </c>
      <c r="B2824" t="n">
        <v>2</v>
      </c>
      <c r="C2824" t="n">
        <v>995</v>
      </c>
      <c r="D2824" t="n">
        <v>-0.315</v>
      </c>
      <c r="E2824" t="n">
        <v>13.2247</v>
      </c>
      <c r="F2824" t="n">
        <v>0.1272</v>
      </c>
    </row>
    <row r="2825">
      <c r="A2825" t="n">
        <v>2000996</v>
      </c>
      <c r="B2825" t="n">
        <v>2</v>
      </c>
      <c r="C2825" t="n">
        <v>996</v>
      </c>
      <c r="D2825" t="n">
        <v>-0.315</v>
      </c>
      <c r="E2825" t="n">
        <v>13.231</v>
      </c>
      <c r="F2825" t="n">
        <v>0.12721</v>
      </c>
    </row>
    <row r="2826">
      <c r="A2826" t="n">
        <v>2000997</v>
      </c>
      <c r="B2826" t="n">
        <v>2</v>
      </c>
      <c r="C2826" t="n">
        <v>997</v>
      </c>
      <c r="D2826" t="n">
        <v>-0.3151</v>
      </c>
      <c r="E2826" t="n">
        <v>13.2372</v>
      </c>
      <c r="F2826" t="n">
        <v>0.12723</v>
      </c>
    </row>
    <row r="2827">
      <c r="A2827" t="n">
        <v>2000998</v>
      </c>
      <c r="B2827" t="n">
        <v>2</v>
      </c>
      <c r="C2827" t="n">
        <v>998</v>
      </c>
      <c r="D2827" t="n">
        <v>-0.3152</v>
      </c>
      <c r="E2827" t="n">
        <v>13.2435</v>
      </c>
      <c r="F2827" t="n">
        <v>0.12725</v>
      </c>
    </row>
    <row r="2828">
      <c r="A2828" t="n">
        <v>2000999</v>
      </c>
      <c r="B2828" t="n">
        <v>2</v>
      </c>
      <c r="C2828" t="n">
        <v>999</v>
      </c>
      <c r="D2828" t="n">
        <v>-0.3152</v>
      </c>
      <c r="E2828" t="n">
        <v>13.2497</v>
      </c>
      <c r="F2828" t="n">
        <v>0.12727</v>
      </c>
    </row>
    <row r="2829">
      <c r="A2829" t="n">
        <v>2001000</v>
      </c>
      <c r="B2829" t="n">
        <v>2</v>
      </c>
      <c r="C2829" t="n">
        <v>1000</v>
      </c>
      <c r="D2829" t="n">
        <v>-0.3153</v>
      </c>
      <c r="E2829" t="n">
        <v>13.256</v>
      </c>
      <c r="F2829" t="n">
        <v>0.12729</v>
      </c>
    </row>
    <row r="2830">
      <c r="A2830" t="n">
        <v>2001001</v>
      </c>
      <c r="B2830" t="n">
        <v>2</v>
      </c>
      <c r="C2830" t="n">
        <v>1001</v>
      </c>
      <c r="D2830" t="n">
        <v>-0.3153</v>
      </c>
      <c r="E2830" t="n">
        <v>13.2622</v>
      </c>
      <c r="F2830" t="n">
        <v>0.1273</v>
      </c>
    </row>
    <row r="2831">
      <c r="A2831" t="n">
        <v>2001002</v>
      </c>
      <c r="B2831" t="n">
        <v>2</v>
      </c>
      <c r="C2831" t="n">
        <v>1002</v>
      </c>
      <c r="D2831" t="n">
        <v>-0.3154</v>
      </c>
      <c r="E2831" t="n">
        <v>13.2684</v>
      </c>
      <c r="F2831" t="n">
        <v>0.12732</v>
      </c>
    </row>
    <row r="2832">
      <c r="A2832" t="n">
        <v>2001003</v>
      </c>
      <c r="B2832" t="n">
        <v>2</v>
      </c>
      <c r="C2832" t="n">
        <v>1003</v>
      </c>
      <c r="D2832" t="n">
        <v>-0.3154</v>
      </c>
      <c r="E2832" t="n">
        <v>13.2747</v>
      </c>
      <c r="F2832" t="n">
        <v>0.12734</v>
      </c>
    </row>
    <row r="2833">
      <c r="A2833" t="n">
        <v>2001004</v>
      </c>
      <c r="B2833" t="n">
        <v>2</v>
      </c>
      <c r="C2833" t="n">
        <v>1004</v>
      </c>
      <c r="D2833" t="n">
        <v>-0.3155</v>
      </c>
      <c r="E2833" t="n">
        <v>13.2809</v>
      </c>
      <c r="F2833" t="n">
        <v>0.12736</v>
      </c>
    </row>
    <row r="2834">
      <c r="A2834" t="n">
        <v>2001005</v>
      </c>
      <c r="B2834" t="n">
        <v>2</v>
      </c>
      <c r="C2834" t="n">
        <v>1005</v>
      </c>
      <c r="D2834" t="n">
        <v>-0.3155</v>
      </c>
      <c r="E2834" t="n">
        <v>13.2872</v>
      </c>
      <c r="F2834" t="n">
        <v>0.12738</v>
      </c>
    </row>
    <row r="2835">
      <c r="A2835" t="n">
        <v>2001006</v>
      </c>
      <c r="B2835" t="n">
        <v>2</v>
      </c>
      <c r="C2835" t="n">
        <v>1006</v>
      </c>
      <c r="D2835" t="n">
        <v>-0.3156</v>
      </c>
      <c r="E2835" t="n">
        <v>13.2934</v>
      </c>
      <c r="F2835" t="n">
        <v>0.12739</v>
      </c>
    </row>
    <row r="2836">
      <c r="A2836" t="n">
        <v>2001007</v>
      </c>
      <c r="B2836" t="n">
        <v>2</v>
      </c>
      <c r="C2836" t="n">
        <v>1007</v>
      </c>
      <c r="D2836" t="n">
        <v>-0.3156</v>
      </c>
      <c r="E2836" t="n">
        <v>13.2996</v>
      </c>
      <c r="F2836" t="n">
        <v>0.12741</v>
      </c>
    </row>
    <row r="2837">
      <c r="A2837" t="n">
        <v>2001008</v>
      </c>
      <c r="B2837" t="n">
        <v>2</v>
      </c>
      <c r="C2837" t="n">
        <v>1008</v>
      </c>
      <c r="D2837" t="n">
        <v>-0.3157</v>
      </c>
      <c r="E2837" t="n">
        <v>13.3059</v>
      </c>
      <c r="F2837" t="n">
        <v>0.12743</v>
      </c>
    </row>
    <row r="2838">
      <c r="A2838" t="n">
        <v>2001009</v>
      </c>
      <c r="B2838" t="n">
        <v>2</v>
      </c>
      <c r="C2838" t="n">
        <v>1009</v>
      </c>
      <c r="D2838" t="n">
        <v>-0.3158</v>
      </c>
      <c r="E2838" t="n">
        <v>13.3121</v>
      </c>
      <c r="F2838" t="n">
        <v>0.12745</v>
      </c>
    </row>
    <row r="2839">
      <c r="A2839" t="n">
        <v>2001010</v>
      </c>
      <c r="B2839" t="n">
        <v>2</v>
      </c>
      <c r="C2839" t="n">
        <v>1010</v>
      </c>
      <c r="D2839" t="n">
        <v>-0.3158</v>
      </c>
      <c r="E2839" t="n">
        <v>13.3183</v>
      </c>
      <c r="F2839" t="n">
        <v>0.12747</v>
      </c>
    </row>
    <row r="2840">
      <c r="A2840" t="n">
        <v>2001011</v>
      </c>
      <c r="B2840" t="n">
        <v>2</v>
      </c>
      <c r="C2840" t="n">
        <v>1011</v>
      </c>
      <c r="D2840" t="n">
        <v>-0.3159</v>
      </c>
      <c r="E2840" t="n">
        <v>13.3246</v>
      </c>
      <c r="F2840" t="n">
        <v>0.12749</v>
      </c>
    </row>
    <row r="2841">
      <c r="A2841" t="n">
        <v>2001012</v>
      </c>
      <c r="B2841" t="n">
        <v>2</v>
      </c>
      <c r="C2841" t="n">
        <v>1012</v>
      </c>
      <c r="D2841" t="n">
        <v>-0.3159</v>
      </c>
      <c r="E2841" t="n">
        <v>13.3308</v>
      </c>
      <c r="F2841" t="n">
        <v>0.1275</v>
      </c>
    </row>
    <row r="2842">
      <c r="A2842" t="n">
        <v>2001013</v>
      </c>
      <c r="B2842" t="n">
        <v>2</v>
      </c>
      <c r="C2842" t="n">
        <v>1013</v>
      </c>
      <c r="D2842" t="n">
        <v>-0.316</v>
      </c>
      <c r="E2842" t="n">
        <v>13.337</v>
      </c>
      <c r="F2842" t="n">
        <v>0.12752</v>
      </c>
    </row>
    <row r="2843">
      <c r="A2843" t="n">
        <v>2001014</v>
      </c>
      <c r="B2843" t="n">
        <v>2</v>
      </c>
      <c r="C2843" t="n">
        <v>1014</v>
      </c>
      <c r="D2843" t="n">
        <v>-0.316</v>
      </c>
      <c r="E2843" t="n">
        <v>13.3433</v>
      </c>
      <c r="F2843" t="n">
        <v>0.12754</v>
      </c>
    </row>
    <row r="2844">
      <c r="A2844" t="n">
        <v>2001015</v>
      </c>
      <c r="B2844" t="n">
        <v>2</v>
      </c>
      <c r="C2844" t="n">
        <v>1015</v>
      </c>
      <c r="D2844" t="n">
        <v>-0.3161</v>
      </c>
      <c r="E2844" t="n">
        <v>13.3495</v>
      </c>
      <c r="F2844" t="n">
        <v>0.12756</v>
      </c>
    </row>
    <row r="2845">
      <c r="A2845" t="n">
        <v>2001016</v>
      </c>
      <c r="B2845" t="n">
        <v>2</v>
      </c>
      <c r="C2845" t="n">
        <v>1016</v>
      </c>
      <c r="D2845" t="n">
        <v>-0.3161</v>
      </c>
      <c r="E2845" t="n">
        <v>13.3557</v>
      </c>
      <c r="F2845" t="n">
        <v>0.12758</v>
      </c>
    </row>
    <row r="2846">
      <c r="A2846" t="n">
        <v>2001017</v>
      </c>
      <c r="B2846" t="n">
        <v>2</v>
      </c>
      <c r="C2846" t="n">
        <v>1017</v>
      </c>
      <c r="D2846" t="n">
        <v>-0.3162</v>
      </c>
      <c r="E2846" t="n">
        <v>13.3619</v>
      </c>
      <c r="F2846" t="n">
        <v>0.1276</v>
      </c>
    </row>
    <row r="2847">
      <c r="A2847" t="n">
        <v>2001018</v>
      </c>
      <c r="B2847" t="n">
        <v>2</v>
      </c>
      <c r="C2847" t="n">
        <v>1018</v>
      </c>
      <c r="D2847" t="n">
        <v>-0.3162</v>
      </c>
      <c r="E2847" t="n">
        <v>13.3682</v>
      </c>
      <c r="F2847" t="n">
        <v>0.12762</v>
      </c>
    </row>
    <row r="2848">
      <c r="A2848" t="n">
        <v>2001019</v>
      </c>
      <c r="B2848" t="n">
        <v>2</v>
      </c>
      <c r="C2848" t="n">
        <v>1019</v>
      </c>
      <c r="D2848" t="n">
        <v>-0.3163</v>
      </c>
      <c r="E2848" t="n">
        <v>13.3744</v>
      </c>
      <c r="F2848" t="n">
        <v>0.12763</v>
      </c>
    </row>
    <row r="2849">
      <c r="A2849" t="n">
        <v>2001020</v>
      </c>
      <c r="B2849" t="n">
        <v>2</v>
      </c>
      <c r="C2849" t="n">
        <v>1020</v>
      </c>
      <c r="D2849" t="n">
        <v>-0.3163</v>
      </c>
      <c r="E2849" t="n">
        <v>13.3806</v>
      </c>
      <c r="F2849" t="n">
        <v>0.12765</v>
      </c>
    </row>
    <row r="2850">
      <c r="A2850" t="n">
        <v>2001021</v>
      </c>
      <c r="B2850" t="n">
        <v>2</v>
      </c>
      <c r="C2850" t="n">
        <v>1021</v>
      </c>
      <c r="D2850" t="n">
        <v>-0.3164</v>
      </c>
      <c r="E2850" t="n">
        <v>13.3868</v>
      </c>
      <c r="F2850" t="n">
        <v>0.12767</v>
      </c>
    </row>
    <row r="2851">
      <c r="A2851" t="n">
        <v>2001022</v>
      </c>
      <c r="B2851" t="n">
        <v>2</v>
      </c>
      <c r="C2851" t="n">
        <v>1022</v>
      </c>
      <c r="D2851" t="n">
        <v>-0.3164</v>
      </c>
      <c r="E2851" t="n">
        <v>13.3931</v>
      </c>
      <c r="F2851" t="n">
        <v>0.12769</v>
      </c>
    </row>
    <row r="2852">
      <c r="A2852" t="n">
        <v>2001023</v>
      </c>
      <c r="B2852" t="n">
        <v>2</v>
      </c>
      <c r="C2852" t="n">
        <v>1023</v>
      </c>
      <c r="D2852" t="n">
        <v>-0.3165</v>
      </c>
      <c r="E2852" t="n">
        <v>13.3993</v>
      </c>
      <c r="F2852" t="n">
        <v>0.12771</v>
      </c>
    </row>
    <row r="2853">
      <c r="A2853" t="n">
        <v>2001024</v>
      </c>
      <c r="B2853" t="n">
        <v>2</v>
      </c>
      <c r="C2853" t="n">
        <v>1024</v>
      </c>
      <c r="D2853" t="n">
        <v>-0.3165</v>
      </c>
      <c r="E2853" t="n">
        <v>13.4055</v>
      </c>
      <c r="F2853" t="n">
        <v>0.12773</v>
      </c>
    </row>
    <row r="2854">
      <c r="A2854" t="n">
        <v>2001025</v>
      </c>
      <c r="B2854" t="n">
        <v>2</v>
      </c>
      <c r="C2854" t="n">
        <v>1025</v>
      </c>
      <c r="D2854" t="n">
        <v>-0.3166</v>
      </c>
      <c r="E2854" t="n">
        <v>13.4117</v>
      </c>
      <c r="F2854" t="n">
        <v>0.12775</v>
      </c>
    </row>
    <row r="2855">
      <c r="A2855" t="n">
        <v>2001026</v>
      </c>
      <c r="B2855" t="n">
        <v>2</v>
      </c>
      <c r="C2855" t="n">
        <v>1026</v>
      </c>
      <c r="D2855" t="n">
        <v>-0.3167</v>
      </c>
      <c r="E2855" t="n">
        <v>13.4179</v>
      </c>
      <c r="F2855" t="n">
        <v>0.12777</v>
      </c>
    </row>
    <row r="2856">
      <c r="A2856" t="n">
        <v>2001027</v>
      </c>
      <c r="B2856" t="n">
        <v>2</v>
      </c>
      <c r="C2856" t="n">
        <v>1027</v>
      </c>
      <c r="D2856" t="n">
        <v>-0.3167</v>
      </c>
      <c r="E2856" t="n">
        <v>13.4242</v>
      </c>
      <c r="F2856" t="n">
        <v>0.12779</v>
      </c>
    </row>
    <row r="2857">
      <c r="A2857" t="n">
        <v>2001028</v>
      </c>
      <c r="B2857" t="n">
        <v>2</v>
      </c>
      <c r="C2857" t="n">
        <v>1028</v>
      </c>
      <c r="D2857" t="n">
        <v>-0.3168</v>
      </c>
      <c r="E2857" t="n">
        <v>13.4304</v>
      </c>
      <c r="F2857" t="n">
        <v>0.12781</v>
      </c>
    </row>
    <row r="2858">
      <c r="A2858" t="n">
        <v>2001029</v>
      </c>
      <c r="B2858" t="n">
        <v>2</v>
      </c>
      <c r="C2858" t="n">
        <v>1029</v>
      </c>
      <c r="D2858" t="n">
        <v>-0.3168</v>
      </c>
      <c r="E2858" t="n">
        <v>13.4366</v>
      </c>
      <c r="F2858" t="n">
        <v>0.12782</v>
      </c>
    </row>
    <row r="2859">
      <c r="A2859" t="n">
        <v>2001030</v>
      </c>
      <c r="B2859" t="n">
        <v>2</v>
      </c>
      <c r="C2859" t="n">
        <v>1030</v>
      </c>
      <c r="D2859" t="n">
        <v>-0.3169</v>
      </c>
      <c r="E2859" t="n">
        <v>13.4428</v>
      </c>
      <c r="F2859" t="n">
        <v>0.12784</v>
      </c>
    </row>
    <row r="2860">
      <c r="A2860" t="n">
        <v>2001031</v>
      </c>
      <c r="B2860" t="n">
        <v>2</v>
      </c>
      <c r="C2860" t="n">
        <v>1031</v>
      </c>
      <c r="D2860" t="n">
        <v>-0.3169</v>
      </c>
      <c r="E2860" t="n">
        <v>13.449</v>
      </c>
      <c r="F2860" t="n">
        <v>0.12786</v>
      </c>
    </row>
    <row r="2861">
      <c r="A2861" t="n">
        <v>2001032</v>
      </c>
      <c r="B2861" t="n">
        <v>2</v>
      </c>
      <c r="C2861" t="n">
        <v>1032</v>
      </c>
      <c r="D2861" t="n">
        <v>-0.317</v>
      </c>
      <c r="E2861" t="n">
        <v>13.4552</v>
      </c>
      <c r="F2861" t="n">
        <v>0.12788</v>
      </c>
    </row>
    <row r="2862">
      <c r="A2862" t="n">
        <v>2001033</v>
      </c>
      <c r="B2862" t="n">
        <v>2</v>
      </c>
      <c r="C2862" t="n">
        <v>1033</v>
      </c>
      <c r="D2862" t="n">
        <v>-0.317</v>
      </c>
      <c r="E2862" t="n">
        <v>13.4614</v>
      </c>
      <c r="F2862" t="n">
        <v>0.1279</v>
      </c>
    </row>
    <row r="2863">
      <c r="A2863" t="n">
        <v>2001034</v>
      </c>
      <c r="B2863" t="n">
        <v>2</v>
      </c>
      <c r="C2863" t="n">
        <v>1034</v>
      </c>
      <c r="D2863" t="n">
        <v>-0.3171</v>
      </c>
      <c r="E2863" t="n">
        <v>13.4677</v>
      </c>
      <c r="F2863" t="n">
        <v>0.12792</v>
      </c>
    </row>
    <row r="2864">
      <c r="A2864" t="n">
        <v>2001035</v>
      </c>
      <c r="B2864" t="n">
        <v>2</v>
      </c>
      <c r="C2864" t="n">
        <v>1035</v>
      </c>
      <c r="D2864" t="n">
        <v>-0.3171</v>
      </c>
      <c r="E2864" t="n">
        <v>13.4739</v>
      </c>
      <c r="F2864" t="n">
        <v>0.12794</v>
      </c>
    </row>
    <row r="2865">
      <c r="A2865" t="n">
        <v>2001036</v>
      </c>
      <c r="B2865" t="n">
        <v>2</v>
      </c>
      <c r="C2865" t="n">
        <v>1036</v>
      </c>
      <c r="D2865" t="n">
        <v>-0.3172</v>
      </c>
      <c r="E2865" t="n">
        <v>13.4801</v>
      </c>
      <c r="F2865" t="n">
        <v>0.12796</v>
      </c>
    </row>
    <row r="2866">
      <c r="A2866" t="n">
        <v>2001037</v>
      </c>
      <c r="B2866" t="n">
        <v>2</v>
      </c>
      <c r="C2866" t="n">
        <v>1037</v>
      </c>
      <c r="D2866" t="n">
        <v>-0.3172</v>
      </c>
      <c r="E2866" t="n">
        <v>13.4863</v>
      </c>
      <c r="F2866" t="n">
        <v>0.12798</v>
      </c>
    </row>
    <row r="2867">
      <c r="A2867" t="n">
        <v>2001038</v>
      </c>
      <c r="B2867" t="n">
        <v>2</v>
      </c>
      <c r="C2867" t="n">
        <v>1038</v>
      </c>
      <c r="D2867" t="n">
        <v>-0.3173</v>
      </c>
      <c r="E2867" t="n">
        <v>13.4925</v>
      </c>
      <c r="F2867" t="n">
        <v>0.128</v>
      </c>
    </row>
    <row r="2868">
      <c r="A2868" t="n">
        <v>2001039</v>
      </c>
      <c r="B2868" t="n">
        <v>2</v>
      </c>
      <c r="C2868" t="n">
        <v>1039</v>
      </c>
      <c r="D2868" t="n">
        <v>-0.3173</v>
      </c>
      <c r="E2868" t="n">
        <v>13.4987</v>
      </c>
      <c r="F2868" t="n">
        <v>0.12802</v>
      </c>
    </row>
    <row r="2869">
      <c r="A2869" t="n">
        <v>2001040</v>
      </c>
      <c r="B2869" t="n">
        <v>2</v>
      </c>
      <c r="C2869" t="n">
        <v>1040</v>
      </c>
      <c r="D2869" t="n">
        <v>-0.3174</v>
      </c>
      <c r="E2869" t="n">
        <v>13.5049</v>
      </c>
      <c r="F2869" t="n">
        <v>0.12804</v>
      </c>
    </row>
    <row r="2870">
      <c r="A2870" t="n">
        <v>2001041</v>
      </c>
      <c r="B2870" t="n">
        <v>2</v>
      </c>
      <c r="C2870" t="n">
        <v>1041</v>
      </c>
      <c r="D2870" t="n">
        <v>-0.3174</v>
      </c>
      <c r="E2870" t="n">
        <v>13.5111</v>
      </c>
      <c r="F2870" t="n">
        <v>0.12806</v>
      </c>
    </row>
    <row r="2871">
      <c r="A2871" t="n">
        <v>2001042</v>
      </c>
      <c r="B2871" t="n">
        <v>2</v>
      </c>
      <c r="C2871" t="n">
        <v>1042</v>
      </c>
      <c r="D2871" t="n">
        <v>-0.3175</v>
      </c>
      <c r="E2871" t="n">
        <v>13.5173</v>
      </c>
      <c r="F2871" t="n">
        <v>0.12808</v>
      </c>
    </row>
    <row r="2872">
      <c r="A2872" t="n">
        <v>2001043</v>
      </c>
      <c r="B2872" t="n">
        <v>2</v>
      </c>
      <c r="C2872" t="n">
        <v>1043</v>
      </c>
      <c r="D2872" t="n">
        <v>-0.3175</v>
      </c>
      <c r="E2872" t="n">
        <v>13.5235</v>
      </c>
      <c r="F2872" t="n">
        <v>0.1281</v>
      </c>
    </row>
    <row r="2873">
      <c r="A2873" t="n">
        <v>2001044</v>
      </c>
      <c r="B2873" t="n">
        <v>2</v>
      </c>
      <c r="C2873" t="n">
        <v>1044</v>
      </c>
      <c r="D2873" t="n">
        <v>-0.3176</v>
      </c>
      <c r="E2873" t="n">
        <v>13.5297</v>
      </c>
      <c r="F2873" t="n">
        <v>0.12812</v>
      </c>
    </row>
    <row r="2874">
      <c r="A2874" t="n">
        <v>2001045</v>
      </c>
      <c r="B2874" t="n">
        <v>2</v>
      </c>
      <c r="C2874" t="n">
        <v>1045</v>
      </c>
      <c r="D2874" t="n">
        <v>-0.3176</v>
      </c>
      <c r="E2874" t="n">
        <v>13.5359</v>
      </c>
      <c r="F2874" t="n">
        <v>0.12814</v>
      </c>
    </row>
    <row r="2875">
      <c r="A2875" t="n">
        <v>2001046</v>
      </c>
      <c r="B2875" t="n">
        <v>2</v>
      </c>
      <c r="C2875" t="n">
        <v>1046</v>
      </c>
      <c r="D2875" t="n">
        <v>-0.3177</v>
      </c>
      <c r="E2875" t="n">
        <v>13.5421</v>
      </c>
      <c r="F2875" t="n">
        <v>0.12816</v>
      </c>
    </row>
    <row r="2876">
      <c r="A2876" t="n">
        <v>2001047</v>
      </c>
      <c r="B2876" t="n">
        <v>2</v>
      </c>
      <c r="C2876" t="n">
        <v>1047</v>
      </c>
      <c r="D2876" t="n">
        <v>-0.3177</v>
      </c>
      <c r="E2876" t="n">
        <v>13.5483</v>
      </c>
      <c r="F2876" t="n">
        <v>0.12818</v>
      </c>
    </row>
    <row r="2877">
      <c r="A2877" t="n">
        <v>2001048</v>
      </c>
      <c r="B2877" t="n">
        <v>2</v>
      </c>
      <c r="C2877" t="n">
        <v>1048</v>
      </c>
      <c r="D2877" t="n">
        <v>-0.3178</v>
      </c>
      <c r="E2877" t="n">
        <v>13.5545</v>
      </c>
      <c r="F2877" t="n">
        <v>0.12819</v>
      </c>
    </row>
    <row r="2878">
      <c r="A2878" t="n">
        <v>2001049</v>
      </c>
      <c r="B2878" t="n">
        <v>2</v>
      </c>
      <c r="C2878" t="n">
        <v>1049</v>
      </c>
      <c r="D2878" t="n">
        <v>-0.3178</v>
      </c>
      <c r="E2878" t="n">
        <v>13.5607</v>
      </c>
      <c r="F2878" t="n">
        <v>0.12821</v>
      </c>
    </row>
    <row r="2879">
      <c r="A2879" t="n">
        <v>2001050</v>
      </c>
      <c r="B2879" t="n">
        <v>2</v>
      </c>
      <c r="C2879" t="n">
        <v>1050</v>
      </c>
      <c r="D2879" t="n">
        <v>-0.3179</v>
      </c>
      <c r="E2879" t="n">
        <v>13.5669</v>
      </c>
      <c r="F2879" t="n">
        <v>0.12823</v>
      </c>
    </row>
    <row r="2880">
      <c r="A2880" t="n">
        <v>2001051</v>
      </c>
      <c r="B2880" t="n">
        <v>2</v>
      </c>
      <c r="C2880" t="n">
        <v>1051</v>
      </c>
      <c r="D2880" t="n">
        <v>-0.3179</v>
      </c>
      <c r="E2880" t="n">
        <v>13.5731</v>
      </c>
      <c r="F2880" t="n">
        <v>0.12825</v>
      </c>
    </row>
    <row r="2881">
      <c r="A2881" t="n">
        <v>2001052</v>
      </c>
      <c r="B2881" t="n">
        <v>2</v>
      </c>
      <c r="C2881" t="n">
        <v>1052</v>
      </c>
      <c r="D2881" t="n">
        <v>-0.318</v>
      </c>
      <c r="E2881" t="n">
        <v>13.5793</v>
      </c>
      <c r="F2881" t="n">
        <v>0.12827</v>
      </c>
    </row>
    <row r="2882">
      <c r="A2882" t="n">
        <v>2001053</v>
      </c>
      <c r="B2882" t="n">
        <v>2</v>
      </c>
      <c r="C2882" t="n">
        <v>1053</v>
      </c>
      <c r="D2882" t="n">
        <v>-0.318</v>
      </c>
      <c r="E2882" t="n">
        <v>13.5855</v>
      </c>
      <c r="F2882" t="n">
        <v>0.12829</v>
      </c>
    </row>
    <row r="2883">
      <c r="A2883" t="n">
        <v>2001054</v>
      </c>
      <c r="B2883" t="n">
        <v>2</v>
      </c>
      <c r="C2883" t="n">
        <v>1054</v>
      </c>
      <c r="D2883" t="n">
        <v>-0.3181</v>
      </c>
      <c r="E2883" t="n">
        <v>13.5917</v>
      </c>
      <c r="F2883" t="n">
        <v>0.12832</v>
      </c>
    </row>
    <row r="2884">
      <c r="A2884" t="n">
        <v>2001055</v>
      </c>
      <c r="B2884" t="n">
        <v>2</v>
      </c>
      <c r="C2884" t="n">
        <v>1055</v>
      </c>
      <c r="D2884" t="n">
        <v>-0.3181</v>
      </c>
      <c r="E2884" t="n">
        <v>13.5979</v>
      </c>
      <c r="F2884" t="n">
        <v>0.12834</v>
      </c>
    </row>
    <row r="2885">
      <c r="A2885" t="n">
        <v>2001056</v>
      </c>
      <c r="B2885" t="n">
        <v>2</v>
      </c>
      <c r="C2885" t="n">
        <v>1056</v>
      </c>
      <c r="D2885" t="n">
        <v>-0.3182</v>
      </c>
      <c r="E2885" t="n">
        <v>13.6041</v>
      </c>
      <c r="F2885" t="n">
        <v>0.12836</v>
      </c>
    </row>
    <row r="2886">
      <c r="A2886" t="n">
        <v>2001057</v>
      </c>
      <c r="B2886" t="n">
        <v>2</v>
      </c>
      <c r="C2886" t="n">
        <v>1057</v>
      </c>
      <c r="D2886" t="n">
        <v>-0.3182</v>
      </c>
      <c r="E2886" t="n">
        <v>13.6103</v>
      </c>
      <c r="F2886" t="n">
        <v>0.12838</v>
      </c>
    </row>
    <row r="2887">
      <c r="A2887" t="n">
        <v>2001058</v>
      </c>
      <c r="B2887" t="n">
        <v>2</v>
      </c>
      <c r="C2887" t="n">
        <v>1058</v>
      </c>
      <c r="D2887" t="n">
        <v>-0.3183</v>
      </c>
      <c r="E2887" t="n">
        <v>13.6165</v>
      </c>
      <c r="F2887" t="n">
        <v>0.1284</v>
      </c>
    </row>
    <row r="2888">
      <c r="A2888" t="n">
        <v>2001059</v>
      </c>
      <c r="B2888" t="n">
        <v>2</v>
      </c>
      <c r="C2888" t="n">
        <v>1059</v>
      </c>
      <c r="D2888" t="n">
        <v>-0.3183</v>
      </c>
      <c r="E2888" t="n">
        <v>13.6227</v>
      </c>
      <c r="F2888" t="n">
        <v>0.12842</v>
      </c>
    </row>
    <row r="2889">
      <c r="A2889" t="n">
        <v>2001060</v>
      </c>
      <c r="B2889" t="n">
        <v>2</v>
      </c>
      <c r="C2889" t="n">
        <v>1060</v>
      </c>
      <c r="D2889" t="n">
        <v>-0.3184</v>
      </c>
      <c r="E2889" t="n">
        <v>13.6289</v>
      </c>
      <c r="F2889" t="n">
        <v>0.12844</v>
      </c>
    </row>
    <row r="2890">
      <c r="A2890" t="n">
        <v>2001061</v>
      </c>
      <c r="B2890" t="n">
        <v>2</v>
      </c>
      <c r="C2890" t="n">
        <v>1061</v>
      </c>
      <c r="D2890" t="n">
        <v>-0.3184</v>
      </c>
      <c r="E2890" t="n">
        <v>13.6351</v>
      </c>
      <c r="F2890" t="n">
        <v>0.12846</v>
      </c>
    </row>
    <row r="2891">
      <c r="A2891" t="n">
        <v>2001062</v>
      </c>
      <c r="B2891" t="n">
        <v>2</v>
      </c>
      <c r="C2891" t="n">
        <v>1062</v>
      </c>
      <c r="D2891" t="n">
        <v>-0.3185</v>
      </c>
      <c r="E2891" t="n">
        <v>13.6413</v>
      </c>
      <c r="F2891" t="n">
        <v>0.12848</v>
      </c>
    </row>
    <row r="2892">
      <c r="A2892" t="n">
        <v>2001063</v>
      </c>
      <c r="B2892" t="n">
        <v>2</v>
      </c>
      <c r="C2892" t="n">
        <v>1063</v>
      </c>
      <c r="D2892" t="n">
        <v>-0.3185</v>
      </c>
      <c r="E2892" t="n">
        <v>13.6475</v>
      </c>
      <c r="F2892" t="n">
        <v>0.1285</v>
      </c>
    </row>
    <row r="2893">
      <c r="A2893" t="n">
        <v>2001064</v>
      </c>
      <c r="B2893" t="n">
        <v>2</v>
      </c>
      <c r="C2893" t="n">
        <v>1064</v>
      </c>
      <c r="D2893" t="n">
        <v>-0.3186</v>
      </c>
      <c r="E2893" t="n">
        <v>13.6537</v>
      </c>
      <c r="F2893" t="n">
        <v>0.12852</v>
      </c>
    </row>
    <row r="2894">
      <c r="A2894" t="n">
        <v>2001065</v>
      </c>
      <c r="B2894" t="n">
        <v>2</v>
      </c>
      <c r="C2894" t="n">
        <v>1065</v>
      </c>
      <c r="D2894" t="n">
        <v>-0.3186</v>
      </c>
      <c r="E2894" t="n">
        <v>13.6599</v>
      </c>
      <c r="F2894" t="n">
        <v>0.12854</v>
      </c>
    </row>
    <row r="2895">
      <c r="A2895" t="n">
        <v>2001066</v>
      </c>
      <c r="B2895" t="n">
        <v>2</v>
      </c>
      <c r="C2895" t="n">
        <v>1066</v>
      </c>
      <c r="D2895" t="n">
        <v>-0.3187</v>
      </c>
      <c r="E2895" t="n">
        <v>13.6661</v>
      </c>
      <c r="F2895" t="n">
        <v>0.12856</v>
      </c>
    </row>
    <row r="2896">
      <c r="A2896" t="n">
        <v>2001067</v>
      </c>
      <c r="B2896" t="n">
        <v>2</v>
      </c>
      <c r="C2896" t="n">
        <v>1067</v>
      </c>
      <c r="D2896" t="n">
        <v>-0.3187</v>
      </c>
      <c r="E2896" t="n">
        <v>13.6723</v>
      </c>
      <c r="F2896" t="n">
        <v>0.12858</v>
      </c>
    </row>
    <row r="2897">
      <c r="A2897" t="n">
        <v>2001068</v>
      </c>
      <c r="B2897" t="n">
        <v>2</v>
      </c>
      <c r="C2897" t="n">
        <v>1068</v>
      </c>
      <c r="D2897" t="n">
        <v>-0.3188</v>
      </c>
      <c r="E2897" t="n">
        <v>13.6785</v>
      </c>
      <c r="F2897" t="n">
        <v>0.1286</v>
      </c>
    </row>
    <row r="2898">
      <c r="A2898" t="n">
        <v>2001069</v>
      </c>
      <c r="B2898" t="n">
        <v>2</v>
      </c>
      <c r="C2898" t="n">
        <v>1069</v>
      </c>
      <c r="D2898" t="n">
        <v>-0.3188</v>
      </c>
      <c r="E2898" t="n">
        <v>13.6847</v>
      </c>
      <c r="F2898" t="n">
        <v>0.12862</v>
      </c>
    </row>
    <row r="2899">
      <c r="A2899" t="n">
        <v>2001070</v>
      </c>
      <c r="B2899" t="n">
        <v>2</v>
      </c>
      <c r="C2899" t="n">
        <v>1070</v>
      </c>
      <c r="D2899" t="n">
        <v>-0.3189</v>
      </c>
      <c r="E2899" t="n">
        <v>13.6909</v>
      </c>
      <c r="F2899" t="n">
        <v>0.12864</v>
      </c>
    </row>
    <row r="2900">
      <c r="A2900" t="n">
        <v>2001071</v>
      </c>
      <c r="B2900" t="n">
        <v>2</v>
      </c>
      <c r="C2900" t="n">
        <v>1071</v>
      </c>
      <c r="D2900" t="n">
        <v>-0.3189</v>
      </c>
      <c r="E2900" t="n">
        <v>13.6971</v>
      </c>
      <c r="F2900" t="n">
        <v>0.12866</v>
      </c>
    </row>
    <row r="2901">
      <c r="A2901" t="n">
        <v>2001072</v>
      </c>
      <c r="B2901" t="n">
        <v>2</v>
      </c>
      <c r="C2901" t="n">
        <v>1072</v>
      </c>
      <c r="D2901" t="n">
        <v>-0.319</v>
      </c>
      <c r="E2901" t="n">
        <v>13.7033</v>
      </c>
      <c r="F2901" t="n">
        <v>0.12868</v>
      </c>
    </row>
    <row r="2902">
      <c r="A2902" t="n">
        <v>2001073</v>
      </c>
      <c r="B2902" t="n">
        <v>2</v>
      </c>
      <c r="C2902" t="n">
        <v>1073</v>
      </c>
      <c r="D2902" t="n">
        <v>-0.319</v>
      </c>
      <c r="E2902" t="n">
        <v>13.7095</v>
      </c>
      <c r="F2902" t="n">
        <v>0.12871</v>
      </c>
    </row>
    <row r="2903">
      <c r="A2903" t="n">
        <v>2001074</v>
      </c>
      <c r="B2903" t="n">
        <v>2</v>
      </c>
      <c r="C2903" t="n">
        <v>1074</v>
      </c>
      <c r="D2903" t="n">
        <v>-0.3191</v>
      </c>
      <c r="E2903" t="n">
        <v>13.7157</v>
      </c>
      <c r="F2903" t="n">
        <v>0.12873</v>
      </c>
    </row>
    <row r="2904">
      <c r="A2904" t="n">
        <v>2001075</v>
      </c>
      <c r="B2904" t="n">
        <v>2</v>
      </c>
      <c r="C2904" t="n">
        <v>1075</v>
      </c>
      <c r="D2904" t="n">
        <v>-0.3191</v>
      </c>
      <c r="E2904" t="n">
        <v>13.7218</v>
      </c>
      <c r="F2904" t="n">
        <v>0.12875</v>
      </c>
    </row>
    <row r="2905">
      <c r="A2905" t="n">
        <v>2001076</v>
      </c>
      <c r="B2905" t="n">
        <v>2</v>
      </c>
      <c r="C2905" t="n">
        <v>1076</v>
      </c>
      <c r="D2905" t="n">
        <v>-0.3192</v>
      </c>
      <c r="E2905" t="n">
        <v>13.728</v>
      </c>
      <c r="F2905" t="n">
        <v>0.12877</v>
      </c>
    </row>
    <row r="2906">
      <c r="A2906" t="n">
        <v>2001077</v>
      </c>
      <c r="B2906" t="n">
        <v>2</v>
      </c>
      <c r="C2906" t="n">
        <v>1077</v>
      </c>
      <c r="D2906" t="n">
        <v>-0.3192</v>
      </c>
      <c r="E2906" t="n">
        <v>13.7342</v>
      </c>
      <c r="F2906" t="n">
        <v>0.12879</v>
      </c>
    </row>
    <row r="2907">
      <c r="A2907" t="n">
        <v>2001078</v>
      </c>
      <c r="B2907" t="n">
        <v>2</v>
      </c>
      <c r="C2907" t="n">
        <v>1078</v>
      </c>
      <c r="D2907" t="n">
        <v>-0.3193</v>
      </c>
      <c r="E2907" t="n">
        <v>13.7404</v>
      </c>
      <c r="F2907" t="n">
        <v>0.12881</v>
      </c>
    </row>
    <row r="2908">
      <c r="A2908" t="n">
        <v>2001079</v>
      </c>
      <c r="B2908" t="n">
        <v>2</v>
      </c>
      <c r="C2908" t="n">
        <v>1079</v>
      </c>
      <c r="D2908" t="n">
        <v>-0.3193</v>
      </c>
      <c r="E2908" t="n">
        <v>13.7466</v>
      </c>
      <c r="F2908" t="n">
        <v>0.12883</v>
      </c>
    </row>
    <row r="2909">
      <c r="A2909" t="n">
        <v>2001080</v>
      </c>
      <c r="B2909" t="n">
        <v>2</v>
      </c>
      <c r="C2909" t="n">
        <v>1080</v>
      </c>
      <c r="D2909" t="n">
        <v>-0.3194</v>
      </c>
      <c r="E2909" t="n">
        <v>13.7528</v>
      </c>
      <c r="F2909" t="n">
        <v>0.12885</v>
      </c>
    </row>
    <row r="2910">
      <c r="A2910" t="n">
        <v>2001081</v>
      </c>
      <c r="B2910" t="n">
        <v>2</v>
      </c>
      <c r="C2910" t="n">
        <v>1081</v>
      </c>
      <c r="D2910" t="n">
        <v>-0.3194</v>
      </c>
      <c r="E2910" t="n">
        <v>13.759</v>
      </c>
      <c r="F2910" t="n">
        <v>0.12887</v>
      </c>
    </row>
    <row r="2911">
      <c r="A2911" t="n">
        <v>2001082</v>
      </c>
      <c r="B2911" t="n">
        <v>2</v>
      </c>
      <c r="C2911" t="n">
        <v>1082</v>
      </c>
      <c r="D2911" t="n">
        <v>-0.3195</v>
      </c>
      <c r="E2911" t="n">
        <v>13.7652</v>
      </c>
      <c r="F2911" t="n">
        <v>0.1289</v>
      </c>
    </row>
    <row r="2912">
      <c r="A2912" t="n">
        <v>2001083</v>
      </c>
      <c r="B2912" t="n">
        <v>2</v>
      </c>
      <c r="C2912" t="n">
        <v>1083</v>
      </c>
      <c r="D2912" t="n">
        <v>-0.3195</v>
      </c>
      <c r="E2912" t="n">
        <v>13.7714</v>
      </c>
      <c r="F2912" t="n">
        <v>0.12892</v>
      </c>
    </row>
    <row r="2913">
      <c r="A2913" t="n">
        <v>2001084</v>
      </c>
      <c r="B2913" t="n">
        <v>2</v>
      </c>
      <c r="C2913" t="n">
        <v>1084</v>
      </c>
      <c r="D2913" t="n">
        <v>-0.3196</v>
      </c>
      <c r="E2913" t="n">
        <v>13.7776</v>
      </c>
      <c r="F2913" t="n">
        <v>0.12894</v>
      </c>
    </row>
    <row r="2914">
      <c r="A2914" t="n">
        <v>2001085</v>
      </c>
      <c r="B2914" t="n">
        <v>2</v>
      </c>
      <c r="C2914" t="n">
        <v>1085</v>
      </c>
      <c r="D2914" t="n">
        <v>-0.3196</v>
      </c>
      <c r="E2914" t="n">
        <v>13.7838</v>
      </c>
      <c r="F2914" t="n">
        <v>0.12896</v>
      </c>
    </row>
    <row r="2915">
      <c r="A2915" t="n">
        <v>2001086</v>
      </c>
      <c r="B2915" t="n">
        <v>2</v>
      </c>
      <c r="C2915" t="n">
        <v>1086</v>
      </c>
      <c r="D2915" t="n">
        <v>-0.3197</v>
      </c>
      <c r="E2915" t="n">
        <v>13.7899</v>
      </c>
      <c r="F2915" t="n">
        <v>0.12898</v>
      </c>
    </row>
    <row r="2916">
      <c r="A2916" t="n">
        <v>2001087</v>
      </c>
      <c r="B2916" t="n">
        <v>2</v>
      </c>
      <c r="C2916" t="n">
        <v>1087</v>
      </c>
      <c r="D2916" t="n">
        <v>-0.3197</v>
      </c>
      <c r="E2916" t="n">
        <v>13.7961</v>
      </c>
      <c r="F2916" t="n">
        <v>0.129</v>
      </c>
    </row>
    <row r="2917">
      <c r="A2917" t="n">
        <v>2001088</v>
      </c>
      <c r="B2917" t="n">
        <v>2</v>
      </c>
      <c r="C2917" t="n">
        <v>1088</v>
      </c>
      <c r="D2917" t="n">
        <v>-0.3198</v>
      </c>
      <c r="E2917" t="n">
        <v>13.8023</v>
      </c>
      <c r="F2917" t="n">
        <v>0.12902</v>
      </c>
    </row>
    <row r="2918">
      <c r="A2918" t="n">
        <v>2001089</v>
      </c>
      <c r="B2918" t="n">
        <v>2</v>
      </c>
      <c r="C2918" t="n">
        <v>1089</v>
      </c>
      <c r="D2918" t="n">
        <v>-0.3198</v>
      </c>
      <c r="E2918" t="n">
        <v>13.8085</v>
      </c>
      <c r="F2918" t="n">
        <v>0.12905</v>
      </c>
    </row>
    <row r="2919">
      <c r="A2919" t="n">
        <v>2001090</v>
      </c>
      <c r="B2919" t="n">
        <v>2</v>
      </c>
      <c r="C2919" t="n">
        <v>1090</v>
      </c>
      <c r="D2919" t="n">
        <v>-0.3198</v>
      </c>
      <c r="E2919" t="n">
        <v>13.8147</v>
      </c>
      <c r="F2919" t="n">
        <v>0.12907</v>
      </c>
    </row>
    <row r="2920">
      <c r="A2920" t="n">
        <v>2001091</v>
      </c>
      <c r="B2920" t="n">
        <v>2</v>
      </c>
      <c r="C2920" t="n">
        <v>1091</v>
      </c>
      <c r="D2920" t="n">
        <v>-0.3199</v>
      </c>
      <c r="E2920" t="n">
        <v>13.8209</v>
      </c>
      <c r="F2920" t="n">
        <v>0.12909</v>
      </c>
    </row>
    <row r="2921">
      <c r="A2921" t="n">
        <v>2001092</v>
      </c>
      <c r="B2921" t="n">
        <v>2</v>
      </c>
      <c r="C2921" t="n">
        <v>1092</v>
      </c>
      <c r="D2921" t="n">
        <v>-0.3199</v>
      </c>
      <c r="E2921" t="n">
        <v>13.8271</v>
      </c>
      <c r="F2921" t="n">
        <v>0.12911</v>
      </c>
    </row>
    <row r="2922">
      <c r="A2922" t="n">
        <v>2001093</v>
      </c>
      <c r="B2922" t="n">
        <v>2</v>
      </c>
      <c r="C2922" t="n">
        <v>1093</v>
      </c>
      <c r="D2922" t="n">
        <v>-0.32</v>
      </c>
      <c r="E2922" t="n">
        <v>13.8333</v>
      </c>
      <c r="F2922" t="n">
        <v>0.12913</v>
      </c>
    </row>
    <row r="2923">
      <c r="A2923" t="n">
        <v>2001094</v>
      </c>
      <c r="B2923" t="n">
        <v>2</v>
      </c>
      <c r="C2923" t="n">
        <v>1094</v>
      </c>
      <c r="D2923" t="n">
        <v>-0.32</v>
      </c>
      <c r="E2923" t="n">
        <v>13.8395</v>
      </c>
      <c r="F2923" t="n">
        <v>0.12915</v>
      </c>
    </row>
    <row r="2924">
      <c r="A2924" t="n">
        <v>2001095</v>
      </c>
      <c r="B2924" t="n">
        <v>2</v>
      </c>
      <c r="C2924" t="n">
        <v>1095</v>
      </c>
      <c r="D2924" t="n">
        <v>-0.3201</v>
      </c>
      <c r="E2924" t="n">
        <v>13.8456</v>
      </c>
      <c r="F2924" t="n">
        <v>0.12918</v>
      </c>
    </row>
    <row r="2925">
      <c r="A2925" t="n">
        <v>2001096</v>
      </c>
      <c r="B2925" t="n">
        <v>2</v>
      </c>
      <c r="C2925" t="n">
        <v>1096</v>
      </c>
      <c r="D2925" t="n">
        <v>-0.3201</v>
      </c>
      <c r="E2925" t="n">
        <v>13.8518</v>
      </c>
      <c r="F2925" t="n">
        <v>0.1292</v>
      </c>
    </row>
    <row r="2926">
      <c r="A2926" t="n">
        <v>2001097</v>
      </c>
      <c r="B2926" t="n">
        <v>2</v>
      </c>
      <c r="C2926" t="n">
        <v>1097</v>
      </c>
      <c r="D2926" t="n">
        <v>-0.3202</v>
      </c>
      <c r="E2926" t="n">
        <v>13.858</v>
      </c>
      <c r="F2926" t="n">
        <v>0.12922</v>
      </c>
    </row>
    <row r="2927">
      <c r="A2927" t="n">
        <v>2001098</v>
      </c>
      <c r="B2927" t="n">
        <v>2</v>
      </c>
      <c r="C2927" t="n">
        <v>1098</v>
      </c>
      <c r="D2927" t="n">
        <v>-0.3202</v>
      </c>
      <c r="E2927" t="n">
        <v>13.8642</v>
      </c>
      <c r="F2927" t="n">
        <v>0.12924</v>
      </c>
    </row>
    <row r="2928">
      <c r="A2928" t="n">
        <v>2001099</v>
      </c>
      <c r="B2928" t="n">
        <v>2</v>
      </c>
      <c r="C2928" t="n">
        <v>1099</v>
      </c>
      <c r="D2928" t="n">
        <v>-0.3203</v>
      </c>
      <c r="E2928" t="n">
        <v>13.8704</v>
      </c>
      <c r="F2928" t="n">
        <v>0.12926</v>
      </c>
    </row>
    <row r="2929">
      <c r="A2929" t="n">
        <v>2001100</v>
      </c>
      <c r="B2929" t="n">
        <v>2</v>
      </c>
      <c r="C2929" t="n">
        <v>1100</v>
      </c>
      <c r="D2929" t="n">
        <v>-0.3203</v>
      </c>
      <c r="E2929" t="n">
        <v>13.8766</v>
      </c>
      <c r="F2929" t="n">
        <v>0.12929</v>
      </c>
    </row>
    <row r="2930">
      <c r="A2930" t="n">
        <v>2001101</v>
      </c>
      <c r="B2930" t="n">
        <v>2</v>
      </c>
      <c r="C2930" t="n">
        <v>1101</v>
      </c>
      <c r="D2930" t="n">
        <v>-0.3204</v>
      </c>
      <c r="E2930" t="n">
        <v>13.8828</v>
      </c>
      <c r="F2930" t="n">
        <v>0.12931</v>
      </c>
    </row>
    <row r="2931">
      <c r="A2931" t="n">
        <v>2001102</v>
      </c>
      <c r="B2931" t="n">
        <v>2</v>
      </c>
      <c r="C2931" t="n">
        <v>1102</v>
      </c>
      <c r="D2931" t="n">
        <v>-0.3204</v>
      </c>
      <c r="E2931" t="n">
        <v>13.8889</v>
      </c>
      <c r="F2931" t="n">
        <v>0.12933</v>
      </c>
    </row>
    <row r="2932">
      <c r="A2932" t="n">
        <v>2001103</v>
      </c>
      <c r="B2932" t="n">
        <v>2</v>
      </c>
      <c r="C2932" t="n">
        <v>1103</v>
      </c>
      <c r="D2932" t="n">
        <v>-0.3205</v>
      </c>
      <c r="E2932" t="n">
        <v>13.8951</v>
      </c>
      <c r="F2932" t="n">
        <v>0.12935</v>
      </c>
    </row>
    <row r="2933">
      <c r="A2933" t="n">
        <v>2001104</v>
      </c>
      <c r="B2933" t="n">
        <v>2</v>
      </c>
      <c r="C2933" t="n">
        <v>1104</v>
      </c>
      <c r="D2933" t="n">
        <v>-0.3205</v>
      </c>
      <c r="E2933" t="n">
        <v>13.9013</v>
      </c>
      <c r="F2933" t="n">
        <v>0.12937</v>
      </c>
    </row>
    <row r="2934">
      <c r="A2934" t="n">
        <v>2001105</v>
      </c>
      <c r="B2934" t="n">
        <v>2</v>
      </c>
      <c r="C2934" t="n">
        <v>1105</v>
      </c>
      <c r="D2934" t="n">
        <v>-0.3206</v>
      </c>
      <c r="E2934" t="n">
        <v>13.9075</v>
      </c>
      <c r="F2934" t="n">
        <v>0.1294</v>
      </c>
    </row>
    <row r="2935">
      <c r="A2935" t="n">
        <v>2001106</v>
      </c>
      <c r="B2935" t="n">
        <v>2</v>
      </c>
      <c r="C2935" t="n">
        <v>1106</v>
      </c>
      <c r="D2935" t="n">
        <v>-0.3206</v>
      </c>
      <c r="E2935" t="n">
        <v>13.9137</v>
      </c>
      <c r="F2935" t="n">
        <v>0.12942</v>
      </c>
    </row>
    <row r="2936">
      <c r="A2936" t="n">
        <v>2001107</v>
      </c>
      <c r="B2936" t="n">
        <v>2</v>
      </c>
      <c r="C2936" t="n">
        <v>1107</v>
      </c>
      <c r="D2936" t="n">
        <v>-0.3207</v>
      </c>
      <c r="E2936" t="n">
        <v>13.9199</v>
      </c>
      <c r="F2936" t="n">
        <v>0.12944</v>
      </c>
    </row>
    <row r="2937">
      <c r="A2937" t="n">
        <v>2001108</v>
      </c>
      <c r="B2937" t="n">
        <v>2</v>
      </c>
      <c r="C2937" t="n">
        <v>1108</v>
      </c>
      <c r="D2937" t="n">
        <v>-0.3207</v>
      </c>
      <c r="E2937" t="n">
        <v>13.9261</v>
      </c>
      <c r="F2937" t="n">
        <v>0.12946</v>
      </c>
    </row>
    <row r="2938">
      <c r="A2938" t="n">
        <v>2001109</v>
      </c>
      <c r="B2938" t="n">
        <v>2</v>
      </c>
      <c r="C2938" t="n">
        <v>1109</v>
      </c>
      <c r="D2938" t="n">
        <v>-0.3208</v>
      </c>
      <c r="E2938" t="n">
        <v>13.9322</v>
      </c>
      <c r="F2938" t="n">
        <v>0.12948</v>
      </c>
    </row>
    <row r="2939">
      <c r="A2939" t="n">
        <v>2001110</v>
      </c>
      <c r="B2939" t="n">
        <v>2</v>
      </c>
      <c r="C2939" t="n">
        <v>1110</v>
      </c>
      <c r="D2939" t="n">
        <v>-0.3208</v>
      </c>
      <c r="E2939" t="n">
        <v>13.9384</v>
      </c>
      <c r="F2939" t="n">
        <v>0.12951</v>
      </c>
    </row>
    <row r="2940">
      <c r="A2940" t="n">
        <v>2001111</v>
      </c>
      <c r="B2940" t="n">
        <v>2</v>
      </c>
      <c r="C2940" t="n">
        <v>1111</v>
      </c>
      <c r="D2940" t="n">
        <v>-0.3208</v>
      </c>
      <c r="E2940" t="n">
        <v>13.9446</v>
      </c>
      <c r="F2940" t="n">
        <v>0.12953</v>
      </c>
    </row>
    <row r="2941">
      <c r="A2941" t="n">
        <v>2001112</v>
      </c>
      <c r="B2941" t="n">
        <v>2</v>
      </c>
      <c r="C2941" t="n">
        <v>1112</v>
      </c>
      <c r="D2941" t="n">
        <v>-0.3209</v>
      </c>
      <c r="E2941" t="n">
        <v>13.9508</v>
      </c>
      <c r="F2941" t="n">
        <v>0.12955</v>
      </c>
    </row>
    <row r="2942">
      <c r="A2942" t="n">
        <v>2001113</v>
      </c>
      <c r="B2942" t="n">
        <v>2</v>
      </c>
      <c r="C2942" t="n">
        <v>1113</v>
      </c>
      <c r="D2942" t="n">
        <v>-0.3209</v>
      </c>
      <c r="E2942" t="n">
        <v>13.957</v>
      </c>
      <c r="F2942" t="n">
        <v>0.12957</v>
      </c>
    </row>
    <row r="2943">
      <c r="A2943" t="n">
        <v>2001114</v>
      </c>
      <c r="B2943" t="n">
        <v>2</v>
      </c>
      <c r="C2943" t="n">
        <v>1114</v>
      </c>
      <c r="D2943" t="n">
        <v>-0.321</v>
      </c>
      <c r="E2943" t="n">
        <v>13.9632</v>
      </c>
      <c r="F2943" t="n">
        <v>0.1296</v>
      </c>
    </row>
    <row r="2944">
      <c r="A2944" t="n">
        <v>2001115</v>
      </c>
      <c r="B2944" t="n">
        <v>2</v>
      </c>
      <c r="C2944" t="n">
        <v>1115</v>
      </c>
      <c r="D2944" t="n">
        <v>-0.321</v>
      </c>
      <c r="E2944" t="n">
        <v>13.9693</v>
      </c>
      <c r="F2944" t="n">
        <v>0.12962</v>
      </c>
    </row>
    <row r="2945">
      <c r="A2945" t="n">
        <v>2001116</v>
      </c>
      <c r="B2945" t="n">
        <v>2</v>
      </c>
      <c r="C2945" t="n">
        <v>1116</v>
      </c>
      <c r="D2945" t="n">
        <v>-0.3211</v>
      </c>
      <c r="E2945" t="n">
        <v>13.9755</v>
      </c>
      <c r="F2945" t="n">
        <v>0.12964</v>
      </c>
    </row>
    <row r="2946">
      <c r="A2946" t="n">
        <v>2001117</v>
      </c>
      <c r="B2946" t="n">
        <v>2</v>
      </c>
      <c r="C2946" t="n">
        <v>1117</v>
      </c>
      <c r="D2946" t="n">
        <v>-0.3211</v>
      </c>
      <c r="E2946" t="n">
        <v>13.9817</v>
      </c>
      <c r="F2946" t="n">
        <v>0.12967</v>
      </c>
    </row>
    <row r="2947">
      <c r="A2947" t="n">
        <v>2001118</v>
      </c>
      <c r="B2947" t="n">
        <v>2</v>
      </c>
      <c r="C2947" t="n">
        <v>1118</v>
      </c>
      <c r="D2947" t="n">
        <v>-0.3212</v>
      </c>
      <c r="E2947" t="n">
        <v>13.9879</v>
      </c>
      <c r="F2947" t="n">
        <v>0.12969</v>
      </c>
    </row>
    <row r="2948">
      <c r="A2948" t="n">
        <v>2001119</v>
      </c>
      <c r="B2948" t="n">
        <v>2</v>
      </c>
      <c r="C2948" t="n">
        <v>1119</v>
      </c>
      <c r="D2948" t="n">
        <v>-0.3212</v>
      </c>
      <c r="E2948" t="n">
        <v>13.9941</v>
      </c>
      <c r="F2948" t="n">
        <v>0.12971</v>
      </c>
    </row>
    <row r="2949">
      <c r="A2949" t="n">
        <v>2001120</v>
      </c>
      <c r="B2949" t="n">
        <v>2</v>
      </c>
      <c r="C2949" t="n">
        <v>1120</v>
      </c>
      <c r="D2949" t="n">
        <v>-0.3213</v>
      </c>
      <c r="E2949" t="n">
        <v>14.0003</v>
      </c>
      <c r="F2949" t="n">
        <v>0.12973</v>
      </c>
    </row>
    <row r="2950">
      <c r="A2950" t="n">
        <v>2001121</v>
      </c>
      <c r="B2950" t="n">
        <v>2</v>
      </c>
      <c r="C2950" t="n">
        <v>1121</v>
      </c>
      <c r="D2950" t="n">
        <v>-0.3213</v>
      </c>
      <c r="E2950" t="n">
        <v>14.0064</v>
      </c>
      <c r="F2950" t="n">
        <v>0.12976</v>
      </c>
    </row>
    <row r="2951">
      <c r="A2951" t="n">
        <v>2001122</v>
      </c>
      <c r="B2951" t="n">
        <v>2</v>
      </c>
      <c r="C2951" t="n">
        <v>1122</v>
      </c>
      <c r="D2951" t="n">
        <v>-0.3214</v>
      </c>
      <c r="E2951" t="n">
        <v>14.0126</v>
      </c>
      <c r="F2951" t="n">
        <v>0.12978</v>
      </c>
    </row>
    <row r="2952">
      <c r="A2952" t="n">
        <v>2001123</v>
      </c>
      <c r="B2952" t="n">
        <v>2</v>
      </c>
      <c r="C2952" t="n">
        <v>1123</v>
      </c>
      <c r="D2952" t="n">
        <v>-0.3214</v>
      </c>
      <c r="E2952" t="n">
        <v>14.0188</v>
      </c>
      <c r="F2952" t="n">
        <v>0.1298</v>
      </c>
    </row>
    <row r="2953">
      <c r="A2953" t="n">
        <v>2001124</v>
      </c>
      <c r="B2953" t="n">
        <v>2</v>
      </c>
      <c r="C2953" t="n">
        <v>1124</v>
      </c>
      <c r="D2953" t="n">
        <v>-0.3215</v>
      </c>
      <c r="E2953" t="n">
        <v>14.025</v>
      </c>
      <c r="F2953" t="n">
        <v>0.12982</v>
      </c>
    </row>
    <row r="2954">
      <c r="A2954" t="n">
        <v>2001125</v>
      </c>
      <c r="B2954" t="n">
        <v>2</v>
      </c>
      <c r="C2954" t="n">
        <v>1125</v>
      </c>
      <c r="D2954" t="n">
        <v>-0.3215</v>
      </c>
      <c r="E2954" t="n">
        <v>14.0312</v>
      </c>
      <c r="F2954" t="n">
        <v>0.12985</v>
      </c>
    </row>
    <row r="2955">
      <c r="A2955" t="n">
        <v>2001126</v>
      </c>
      <c r="B2955" t="n">
        <v>2</v>
      </c>
      <c r="C2955" t="n">
        <v>1126</v>
      </c>
      <c r="D2955" t="n">
        <v>-0.3216</v>
      </c>
      <c r="E2955" t="n">
        <v>14.0373</v>
      </c>
      <c r="F2955" t="n">
        <v>0.12987</v>
      </c>
    </row>
    <row r="2956">
      <c r="A2956" t="n">
        <v>2001127</v>
      </c>
      <c r="B2956" t="n">
        <v>2</v>
      </c>
      <c r="C2956" t="n">
        <v>1127</v>
      </c>
      <c r="D2956" t="n">
        <v>-0.3216</v>
      </c>
      <c r="E2956" t="n">
        <v>14.0435</v>
      </c>
      <c r="F2956" t="n">
        <v>0.12989</v>
      </c>
    </row>
    <row r="2957">
      <c r="A2957" t="n">
        <v>2001128</v>
      </c>
      <c r="B2957" t="n">
        <v>2</v>
      </c>
      <c r="C2957" t="n">
        <v>1128</v>
      </c>
      <c r="D2957" t="n">
        <v>-0.3216</v>
      </c>
      <c r="E2957" t="n">
        <v>14.0497</v>
      </c>
      <c r="F2957" t="n">
        <v>0.12992</v>
      </c>
    </row>
    <row r="2958">
      <c r="A2958" t="n">
        <v>2001129</v>
      </c>
      <c r="B2958" t="n">
        <v>2</v>
      </c>
      <c r="C2958" t="n">
        <v>1129</v>
      </c>
      <c r="D2958" t="n">
        <v>-0.3217</v>
      </c>
      <c r="E2958" t="n">
        <v>14.0559</v>
      </c>
      <c r="F2958" t="n">
        <v>0.12994</v>
      </c>
    </row>
    <row r="2959">
      <c r="A2959" t="n">
        <v>2001130</v>
      </c>
      <c r="B2959" t="n">
        <v>2</v>
      </c>
      <c r="C2959" t="n">
        <v>1130</v>
      </c>
      <c r="D2959" t="n">
        <v>-0.3217</v>
      </c>
      <c r="E2959" t="n">
        <v>14.0621</v>
      </c>
      <c r="F2959" t="n">
        <v>0.12996</v>
      </c>
    </row>
    <row r="2960">
      <c r="A2960" t="n">
        <v>2001131</v>
      </c>
      <c r="B2960" t="n">
        <v>2</v>
      </c>
      <c r="C2960" t="n">
        <v>1131</v>
      </c>
      <c r="D2960" t="n">
        <v>-0.3218</v>
      </c>
      <c r="E2960" t="n">
        <v>14.0682</v>
      </c>
      <c r="F2960" t="n">
        <v>0.12999</v>
      </c>
    </row>
    <row r="2961">
      <c r="A2961" t="n">
        <v>2001132</v>
      </c>
      <c r="B2961" t="n">
        <v>2</v>
      </c>
      <c r="C2961" t="n">
        <v>1132</v>
      </c>
      <c r="D2961" t="n">
        <v>-0.3218</v>
      </c>
      <c r="E2961" t="n">
        <v>14.0744</v>
      </c>
      <c r="F2961" t="n">
        <v>0.13001</v>
      </c>
    </row>
    <row r="2962">
      <c r="A2962" t="n">
        <v>2001133</v>
      </c>
      <c r="B2962" t="n">
        <v>2</v>
      </c>
      <c r="C2962" t="n">
        <v>1133</v>
      </c>
      <c r="D2962" t="n">
        <v>-0.3219</v>
      </c>
      <c r="E2962" t="n">
        <v>14.0806</v>
      </c>
      <c r="F2962" t="n">
        <v>0.13003</v>
      </c>
    </row>
    <row r="2963">
      <c r="A2963" t="n">
        <v>2001134</v>
      </c>
      <c r="B2963" t="n">
        <v>2</v>
      </c>
      <c r="C2963" t="n">
        <v>1134</v>
      </c>
      <c r="D2963" t="n">
        <v>-0.3219</v>
      </c>
      <c r="E2963" t="n">
        <v>14.0868</v>
      </c>
      <c r="F2963" t="n">
        <v>0.13006</v>
      </c>
    </row>
    <row r="2964">
      <c r="A2964" t="n">
        <v>2001135</v>
      </c>
      <c r="B2964" t="n">
        <v>2</v>
      </c>
      <c r="C2964" t="n">
        <v>1135</v>
      </c>
      <c r="D2964" t="n">
        <v>-0.322</v>
      </c>
      <c r="E2964" t="n">
        <v>14.093</v>
      </c>
      <c r="F2964" t="n">
        <v>0.13008</v>
      </c>
    </row>
    <row r="2965">
      <c r="A2965" t="n">
        <v>2001136</v>
      </c>
      <c r="B2965" t="n">
        <v>2</v>
      </c>
      <c r="C2965" t="n">
        <v>1136</v>
      </c>
      <c r="D2965" t="n">
        <v>-0.322</v>
      </c>
      <c r="E2965" t="n">
        <v>14.0991</v>
      </c>
      <c r="F2965" t="n">
        <v>0.1301</v>
      </c>
    </row>
    <row r="2966">
      <c r="A2966" t="n">
        <v>2001137</v>
      </c>
      <c r="B2966" t="n">
        <v>2</v>
      </c>
      <c r="C2966" t="n">
        <v>1137</v>
      </c>
      <c r="D2966" t="n">
        <v>-0.3221</v>
      </c>
      <c r="E2966" t="n">
        <v>14.1053</v>
      </c>
      <c r="F2966" t="n">
        <v>0.13013</v>
      </c>
    </row>
    <row r="2967">
      <c r="A2967" t="n">
        <v>2001138</v>
      </c>
      <c r="B2967" t="n">
        <v>2</v>
      </c>
      <c r="C2967" t="n">
        <v>1138</v>
      </c>
      <c r="D2967" t="n">
        <v>-0.3221</v>
      </c>
      <c r="E2967" t="n">
        <v>14.1115</v>
      </c>
      <c r="F2967" t="n">
        <v>0.13015</v>
      </c>
    </row>
    <row r="2968">
      <c r="A2968" t="n">
        <v>2001139</v>
      </c>
      <c r="B2968" t="n">
        <v>2</v>
      </c>
      <c r="C2968" t="n">
        <v>1139</v>
      </c>
      <c r="D2968" t="n">
        <v>-0.3222</v>
      </c>
      <c r="E2968" t="n">
        <v>14.1177</v>
      </c>
      <c r="F2968" t="n">
        <v>0.13017</v>
      </c>
    </row>
    <row r="2969">
      <c r="A2969" t="n">
        <v>2001140</v>
      </c>
      <c r="B2969" t="n">
        <v>2</v>
      </c>
      <c r="C2969" t="n">
        <v>1140</v>
      </c>
      <c r="D2969" t="n">
        <v>-0.3222</v>
      </c>
      <c r="E2969" t="n">
        <v>14.1238</v>
      </c>
      <c r="F2969" t="n">
        <v>0.1302</v>
      </c>
    </row>
    <row r="2970">
      <c r="A2970" t="n">
        <v>2001141</v>
      </c>
      <c r="B2970" t="n">
        <v>2</v>
      </c>
      <c r="C2970" t="n">
        <v>1141</v>
      </c>
      <c r="D2970" t="n">
        <v>-0.3222</v>
      </c>
      <c r="E2970" t="n">
        <v>14.13</v>
      </c>
      <c r="F2970" t="n">
        <v>0.13022</v>
      </c>
    </row>
    <row r="2971">
      <c r="A2971" t="n">
        <v>2001142</v>
      </c>
      <c r="B2971" t="n">
        <v>2</v>
      </c>
      <c r="C2971" t="n">
        <v>1142</v>
      </c>
      <c r="D2971" t="n">
        <v>-0.3223</v>
      </c>
      <c r="E2971" t="n">
        <v>14.1362</v>
      </c>
      <c r="F2971" t="n">
        <v>0.13024</v>
      </c>
    </row>
    <row r="2972">
      <c r="A2972" t="n">
        <v>2001143</v>
      </c>
      <c r="B2972" t="n">
        <v>2</v>
      </c>
      <c r="C2972" t="n">
        <v>1143</v>
      </c>
      <c r="D2972" t="n">
        <v>-0.3223</v>
      </c>
      <c r="E2972" t="n">
        <v>14.1424</v>
      </c>
      <c r="F2972" t="n">
        <v>0.13027</v>
      </c>
    </row>
    <row r="2973">
      <c r="A2973" t="n">
        <v>2001144</v>
      </c>
      <c r="B2973" t="n">
        <v>2</v>
      </c>
      <c r="C2973" t="n">
        <v>1144</v>
      </c>
      <c r="D2973" t="n">
        <v>-0.3224</v>
      </c>
      <c r="E2973" t="n">
        <v>14.1485</v>
      </c>
      <c r="F2973" t="n">
        <v>0.13029</v>
      </c>
    </row>
    <row r="2974">
      <c r="A2974" t="n">
        <v>2001145</v>
      </c>
      <c r="B2974" t="n">
        <v>2</v>
      </c>
      <c r="C2974" t="n">
        <v>1145</v>
      </c>
      <c r="D2974" t="n">
        <v>-0.3224</v>
      </c>
      <c r="E2974" t="n">
        <v>14.1547</v>
      </c>
      <c r="F2974" t="n">
        <v>0.13032</v>
      </c>
    </row>
    <row r="2975">
      <c r="A2975" t="n">
        <v>2001146</v>
      </c>
      <c r="B2975" t="n">
        <v>2</v>
      </c>
      <c r="C2975" t="n">
        <v>1146</v>
      </c>
      <c r="D2975" t="n">
        <v>-0.3225</v>
      </c>
      <c r="E2975" t="n">
        <v>14.1609</v>
      </c>
      <c r="F2975" t="n">
        <v>0.13034</v>
      </c>
    </row>
    <row r="2976">
      <c r="A2976" t="n">
        <v>2001147</v>
      </c>
      <c r="B2976" t="n">
        <v>2</v>
      </c>
      <c r="C2976" t="n">
        <v>1147</v>
      </c>
      <c r="D2976" t="n">
        <v>-0.3225</v>
      </c>
      <c r="E2976" t="n">
        <v>14.1671</v>
      </c>
      <c r="F2976" t="n">
        <v>0.13036</v>
      </c>
    </row>
    <row r="2977">
      <c r="A2977" t="n">
        <v>2001148</v>
      </c>
      <c r="B2977" t="n">
        <v>2</v>
      </c>
      <c r="C2977" t="n">
        <v>1148</v>
      </c>
      <c r="D2977" t="n">
        <v>-0.3226</v>
      </c>
      <c r="E2977" t="n">
        <v>14.1732</v>
      </c>
      <c r="F2977" t="n">
        <v>0.13039</v>
      </c>
    </row>
    <row r="2978">
      <c r="A2978" t="n">
        <v>2001149</v>
      </c>
      <c r="B2978" t="n">
        <v>2</v>
      </c>
      <c r="C2978" t="n">
        <v>1149</v>
      </c>
      <c r="D2978" t="n">
        <v>-0.3226</v>
      </c>
      <c r="E2978" t="n">
        <v>14.1794</v>
      </c>
      <c r="F2978" t="n">
        <v>0.13041</v>
      </c>
    </row>
    <row r="2979">
      <c r="A2979" t="n">
        <v>2001150</v>
      </c>
      <c r="B2979" t="n">
        <v>2</v>
      </c>
      <c r="C2979" t="n">
        <v>1150</v>
      </c>
      <c r="D2979" t="n">
        <v>-0.3227</v>
      </c>
      <c r="E2979" t="n">
        <v>14.1856</v>
      </c>
      <c r="F2979" t="n">
        <v>0.13043</v>
      </c>
    </row>
    <row r="2980">
      <c r="A2980" t="n">
        <v>2001151</v>
      </c>
      <c r="B2980" t="n">
        <v>2</v>
      </c>
      <c r="C2980" t="n">
        <v>1151</v>
      </c>
      <c r="D2980" t="n">
        <v>-0.3227</v>
      </c>
      <c r="E2980" t="n">
        <v>14.1917</v>
      </c>
      <c r="F2980" t="n">
        <v>0.13046</v>
      </c>
    </row>
    <row r="2981">
      <c r="A2981" t="n">
        <v>2001152</v>
      </c>
      <c r="B2981" t="n">
        <v>2</v>
      </c>
      <c r="C2981" t="n">
        <v>1152</v>
      </c>
      <c r="D2981" t="n">
        <v>-0.3227</v>
      </c>
      <c r="E2981" t="n">
        <v>14.1979</v>
      </c>
      <c r="F2981" t="n">
        <v>0.13048</v>
      </c>
    </row>
    <row r="2982">
      <c r="A2982" t="n">
        <v>2001153</v>
      </c>
      <c r="B2982" t="n">
        <v>2</v>
      </c>
      <c r="C2982" t="n">
        <v>1153</v>
      </c>
      <c r="D2982" t="n">
        <v>-0.3228</v>
      </c>
      <c r="E2982" t="n">
        <v>14.2041</v>
      </c>
      <c r="F2982" t="n">
        <v>0.13051</v>
      </c>
    </row>
    <row r="2983">
      <c r="A2983" t="n">
        <v>2001154</v>
      </c>
      <c r="B2983" t="n">
        <v>2</v>
      </c>
      <c r="C2983" t="n">
        <v>1154</v>
      </c>
      <c r="D2983" t="n">
        <v>-0.3228</v>
      </c>
      <c r="E2983" t="n">
        <v>14.2103</v>
      </c>
      <c r="F2983" t="n">
        <v>0.13053</v>
      </c>
    </row>
    <row r="2984">
      <c r="A2984" t="n">
        <v>2001155</v>
      </c>
      <c r="B2984" t="n">
        <v>2</v>
      </c>
      <c r="C2984" t="n">
        <v>1155</v>
      </c>
      <c r="D2984" t="n">
        <v>-0.3229</v>
      </c>
      <c r="E2984" t="n">
        <v>14.2164</v>
      </c>
      <c r="F2984" t="n">
        <v>0.13055</v>
      </c>
    </row>
    <row r="2985">
      <c r="A2985" t="n">
        <v>2001156</v>
      </c>
      <c r="B2985" t="n">
        <v>2</v>
      </c>
      <c r="C2985" t="n">
        <v>1156</v>
      </c>
      <c r="D2985" t="n">
        <v>-0.3229</v>
      </c>
      <c r="E2985" t="n">
        <v>14.2226</v>
      </c>
      <c r="F2985" t="n">
        <v>0.13058</v>
      </c>
    </row>
    <row r="2986">
      <c r="A2986" t="n">
        <v>2001157</v>
      </c>
      <c r="B2986" t="n">
        <v>2</v>
      </c>
      <c r="C2986" t="n">
        <v>1157</v>
      </c>
      <c r="D2986" t="n">
        <v>-0.323</v>
      </c>
      <c r="E2986" t="n">
        <v>14.2288</v>
      </c>
      <c r="F2986" t="n">
        <v>0.1306</v>
      </c>
    </row>
    <row r="2987">
      <c r="A2987" t="n">
        <v>2001158</v>
      </c>
      <c r="B2987" t="n">
        <v>2</v>
      </c>
      <c r="C2987" t="n">
        <v>1158</v>
      </c>
      <c r="D2987" t="n">
        <v>-0.323</v>
      </c>
      <c r="E2987" t="n">
        <v>14.2349</v>
      </c>
      <c r="F2987" t="n">
        <v>0.13063</v>
      </c>
    </row>
    <row r="2988">
      <c r="A2988" t="n">
        <v>2001159</v>
      </c>
      <c r="B2988" t="n">
        <v>2</v>
      </c>
      <c r="C2988" t="n">
        <v>1159</v>
      </c>
      <c r="D2988" t="n">
        <v>-0.3231</v>
      </c>
      <c r="E2988" t="n">
        <v>14.2411</v>
      </c>
      <c r="F2988" t="n">
        <v>0.13065</v>
      </c>
    </row>
    <row r="2989">
      <c r="A2989" t="n">
        <v>2001160</v>
      </c>
      <c r="B2989" t="n">
        <v>2</v>
      </c>
      <c r="C2989" t="n">
        <v>1160</v>
      </c>
      <c r="D2989" t="n">
        <v>-0.3231</v>
      </c>
      <c r="E2989" t="n">
        <v>14.2473</v>
      </c>
      <c r="F2989" t="n">
        <v>0.13068</v>
      </c>
    </row>
    <row r="2990">
      <c r="A2990" t="n">
        <v>2001161</v>
      </c>
      <c r="B2990" t="n">
        <v>2</v>
      </c>
      <c r="C2990" t="n">
        <v>1161</v>
      </c>
      <c r="D2990" t="n">
        <v>-0.3232</v>
      </c>
      <c r="E2990" t="n">
        <v>14.2534</v>
      </c>
      <c r="F2990" t="n">
        <v>0.1307</v>
      </c>
    </row>
    <row r="2991">
      <c r="A2991" t="n">
        <v>2001162</v>
      </c>
      <c r="B2991" t="n">
        <v>2</v>
      </c>
      <c r="C2991" t="n">
        <v>1162</v>
      </c>
      <c r="D2991" t="n">
        <v>-0.3232</v>
      </c>
      <c r="E2991" t="n">
        <v>14.2596</v>
      </c>
      <c r="F2991" t="n">
        <v>0.13072</v>
      </c>
    </row>
    <row r="2992">
      <c r="A2992" t="n">
        <v>2001163</v>
      </c>
      <c r="B2992" t="n">
        <v>2</v>
      </c>
      <c r="C2992" t="n">
        <v>1163</v>
      </c>
      <c r="D2992" t="n">
        <v>-0.3232</v>
      </c>
      <c r="E2992" t="n">
        <v>14.2658</v>
      </c>
      <c r="F2992" t="n">
        <v>0.13075</v>
      </c>
    </row>
    <row r="2993">
      <c r="A2993" t="n">
        <v>2001164</v>
      </c>
      <c r="B2993" t="n">
        <v>2</v>
      </c>
      <c r="C2993" t="n">
        <v>1164</v>
      </c>
      <c r="D2993" t="n">
        <v>-0.3233</v>
      </c>
      <c r="E2993" t="n">
        <v>14.2719</v>
      </c>
      <c r="F2993" t="n">
        <v>0.13077</v>
      </c>
    </row>
    <row r="2994">
      <c r="A2994" t="n">
        <v>2001165</v>
      </c>
      <c r="B2994" t="n">
        <v>2</v>
      </c>
      <c r="C2994" t="n">
        <v>1165</v>
      </c>
      <c r="D2994" t="n">
        <v>-0.3233</v>
      </c>
      <c r="E2994" t="n">
        <v>14.2781</v>
      </c>
      <c r="F2994" t="n">
        <v>0.1308</v>
      </c>
    </row>
    <row r="2995">
      <c r="A2995" t="n">
        <v>2001166</v>
      </c>
      <c r="B2995" t="n">
        <v>2</v>
      </c>
      <c r="C2995" t="n">
        <v>1166</v>
      </c>
      <c r="D2995" t="n">
        <v>-0.3234</v>
      </c>
      <c r="E2995" t="n">
        <v>14.2843</v>
      </c>
      <c r="F2995" t="n">
        <v>0.13082</v>
      </c>
    </row>
    <row r="2996">
      <c r="A2996" t="n">
        <v>2001167</v>
      </c>
      <c r="B2996" t="n">
        <v>2</v>
      </c>
      <c r="C2996" t="n">
        <v>1167</v>
      </c>
      <c r="D2996" t="n">
        <v>-0.3234</v>
      </c>
      <c r="E2996" t="n">
        <v>14.2904</v>
      </c>
      <c r="F2996" t="n">
        <v>0.13085</v>
      </c>
    </row>
    <row r="2997">
      <c r="A2997" t="n">
        <v>2001168</v>
      </c>
      <c r="B2997" t="n">
        <v>2</v>
      </c>
      <c r="C2997" t="n">
        <v>1168</v>
      </c>
      <c r="D2997" t="n">
        <v>-0.3235</v>
      </c>
      <c r="E2997" t="n">
        <v>14.2966</v>
      </c>
      <c r="F2997" t="n">
        <v>0.13087</v>
      </c>
    </row>
    <row r="2998">
      <c r="A2998" t="n">
        <v>2001169</v>
      </c>
      <c r="B2998" t="n">
        <v>2</v>
      </c>
      <c r="C2998" t="n">
        <v>1169</v>
      </c>
      <c r="D2998" t="n">
        <v>-0.3235</v>
      </c>
      <c r="E2998" t="n">
        <v>14.3028</v>
      </c>
      <c r="F2998" t="n">
        <v>0.1309</v>
      </c>
    </row>
    <row r="2999">
      <c r="A2999" t="n">
        <v>2001170</v>
      </c>
      <c r="B2999" t="n">
        <v>2</v>
      </c>
      <c r="C2999" t="n">
        <v>1170</v>
      </c>
      <c r="D2999" t="n">
        <v>-0.3236</v>
      </c>
      <c r="E2999" t="n">
        <v>14.3089</v>
      </c>
      <c r="F2999" t="n">
        <v>0.13092</v>
      </c>
    </row>
    <row r="3000">
      <c r="A3000" t="n">
        <v>2001171</v>
      </c>
      <c r="B3000" t="n">
        <v>2</v>
      </c>
      <c r="C3000" t="n">
        <v>1171</v>
      </c>
      <c r="D3000" t="n">
        <v>-0.3236</v>
      </c>
      <c r="E3000" t="n">
        <v>14.3151</v>
      </c>
      <c r="F3000" t="n">
        <v>0.13095</v>
      </c>
    </row>
    <row r="3001">
      <c r="A3001" t="n">
        <v>2001172</v>
      </c>
      <c r="B3001" t="n">
        <v>2</v>
      </c>
      <c r="C3001" t="n">
        <v>1172</v>
      </c>
      <c r="D3001" t="n">
        <v>-0.3237</v>
      </c>
      <c r="E3001" t="n">
        <v>14.3213</v>
      </c>
      <c r="F3001" t="n">
        <v>0.13097</v>
      </c>
    </row>
    <row r="3002">
      <c r="A3002" t="n">
        <v>2001173</v>
      </c>
      <c r="B3002" t="n">
        <v>2</v>
      </c>
      <c r="C3002" t="n">
        <v>1173</v>
      </c>
      <c r="D3002" t="n">
        <v>-0.3237</v>
      </c>
      <c r="E3002" t="n">
        <v>14.3274</v>
      </c>
      <c r="F3002" t="n">
        <v>0.13099</v>
      </c>
    </row>
    <row r="3003">
      <c r="A3003" t="n">
        <v>2001174</v>
      </c>
      <c r="B3003" t="n">
        <v>2</v>
      </c>
      <c r="C3003" t="n">
        <v>1174</v>
      </c>
      <c r="D3003" t="n">
        <v>-0.3237</v>
      </c>
      <c r="E3003" t="n">
        <v>14.3336</v>
      </c>
      <c r="F3003" t="n">
        <v>0.13102</v>
      </c>
    </row>
    <row r="3004">
      <c r="A3004" t="n">
        <v>2001175</v>
      </c>
      <c r="B3004" t="n">
        <v>2</v>
      </c>
      <c r="C3004" t="n">
        <v>1175</v>
      </c>
      <c r="D3004" t="n">
        <v>-0.3238</v>
      </c>
      <c r="E3004" t="n">
        <v>14.3397</v>
      </c>
      <c r="F3004" t="n">
        <v>0.13104</v>
      </c>
    </row>
    <row r="3005">
      <c r="A3005" t="n">
        <v>2001176</v>
      </c>
      <c r="B3005" t="n">
        <v>2</v>
      </c>
      <c r="C3005" t="n">
        <v>1176</v>
      </c>
      <c r="D3005" t="n">
        <v>-0.3238</v>
      </c>
      <c r="E3005" t="n">
        <v>14.3459</v>
      </c>
      <c r="F3005" t="n">
        <v>0.13107</v>
      </c>
    </row>
    <row r="3006">
      <c r="A3006" t="n">
        <v>2001177</v>
      </c>
      <c r="B3006" t="n">
        <v>2</v>
      </c>
      <c r="C3006" t="n">
        <v>1177</v>
      </c>
      <c r="D3006" t="n">
        <v>-0.3239</v>
      </c>
      <c r="E3006" t="n">
        <v>14.3521</v>
      </c>
      <c r="F3006" t="n">
        <v>0.13109</v>
      </c>
    </row>
    <row r="3007">
      <c r="A3007" t="n">
        <v>2001178</v>
      </c>
      <c r="B3007" t="n">
        <v>2</v>
      </c>
      <c r="C3007" t="n">
        <v>1178</v>
      </c>
      <c r="D3007" t="n">
        <v>-0.3239</v>
      </c>
      <c r="E3007" t="n">
        <v>14.3582</v>
      </c>
      <c r="F3007" t="n">
        <v>0.13112</v>
      </c>
    </row>
    <row r="3008">
      <c r="A3008" t="n">
        <v>2001179</v>
      </c>
      <c r="B3008" t="n">
        <v>2</v>
      </c>
      <c r="C3008" t="n">
        <v>1179</v>
      </c>
      <c r="D3008" t="n">
        <v>-0.324</v>
      </c>
      <c r="E3008" t="n">
        <v>14.3644</v>
      </c>
      <c r="F3008" t="n">
        <v>0.13114</v>
      </c>
    </row>
    <row r="3009">
      <c r="A3009" t="n">
        <v>2001180</v>
      </c>
      <c r="B3009" t="n">
        <v>2</v>
      </c>
      <c r="C3009" t="n">
        <v>1180</v>
      </c>
      <c r="D3009" t="n">
        <v>-0.324</v>
      </c>
      <c r="E3009" t="n">
        <v>14.3705</v>
      </c>
      <c r="F3009" t="n">
        <v>0.13117</v>
      </c>
    </row>
    <row r="3010">
      <c r="A3010" t="n">
        <v>2001181</v>
      </c>
      <c r="B3010" t="n">
        <v>2</v>
      </c>
      <c r="C3010" t="n">
        <v>1181</v>
      </c>
      <c r="D3010" t="n">
        <v>-0.3241</v>
      </c>
      <c r="E3010" t="n">
        <v>14.3767</v>
      </c>
      <c r="F3010" t="n">
        <v>0.13119</v>
      </c>
    </row>
    <row r="3011">
      <c r="A3011" t="n">
        <v>2001182</v>
      </c>
      <c r="B3011" t="n">
        <v>2</v>
      </c>
      <c r="C3011" t="n">
        <v>1182</v>
      </c>
      <c r="D3011" t="n">
        <v>-0.3241</v>
      </c>
      <c r="E3011" t="n">
        <v>14.3829</v>
      </c>
      <c r="F3011" t="n">
        <v>0.13122</v>
      </c>
    </row>
    <row r="3012">
      <c r="A3012" t="n">
        <v>2001183</v>
      </c>
      <c r="B3012" t="n">
        <v>2</v>
      </c>
      <c r="C3012" t="n">
        <v>1183</v>
      </c>
      <c r="D3012" t="n">
        <v>-0.3241</v>
      </c>
      <c r="E3012" t="n">
        <v>14.389</v>
      </c>
      <c r="F3012" t="n">
        <v>0.13124</v>
      </c>
    </row>
    <row r="3013">
      <c r="A3013" t="n">
        <v>2001184</v>
      </c>
      <c r="B3013" t="n">
        <v>2</v>
      </c>
      <c r="C3013" t="n">
        <v>1184</v>
      </c>
      <c r="D3013" t="n">
        <v>-0.3242</v>
      </c>
      <c r="E3013" t="n">
        <v>14.3952</v>
      </c>
      <c r="F3013" t="n">
        <v>0.13127</v>
      </c>
    </row>
    <row r="3014">
      <c r="A3014" t="n">
        <v>2001185</v>
      </c>
      <c r="B3014" t="n">
        <v>2</v>
      </c>
      <c r="C3014" t="n">
        <v>1185</v>
      </c>
      <c r="D3014" t="n">
        <v>-0.3242</v>
      </c>
      <c r="E3014" t="n">
        <v>14.4013</v>
      </c>
      <c r="F3014" t="n">
        <v>0.13129</v>
      </c>
    </row>
    <row r="3015">
      <c r="A3015" t="n">
        <v>2001186</v>
      </c>
      <c r="B3015" t="n">
        <v>2</v>
      </c>
      <c r="C3015" t="n">
        <v>1186</v>
      </c>
      <c r="D3015" t="n">
        <v>-0.3243</v>
      </c>
      <c r="E3015" t="n">
        <v>14.4075</v>
      </c>
      <c r="F3015" t="n">
        <v>0.13132</v>
      </c>
    </row>
    <row r="3016">
      <c r="A3016" t="n">
        <v>2001187</v>
      </c>
      <c r="B3016" t="n">
        <v>2</v>
      </c>
      <c r="C3016" t="n">
        <v>1187</v>
      </c>
      <c r="D3016" t="n">
        <v>-0.3243</v>
      </c>
      <c r="E3016" t="n">
        <v>14.4136</v>
      </c>
      <c r="F3016" t="n">
        <v>0.13134</v>
      </c>
    </row>
    <row r="3017">
      <c r="A3017" t="n">
        <v>2001188</v>
      </c>
      <c r="B3017" t="n">
        <v>2</v>
      </c>
      <c r="C3017" t="n">
        <v>1188</v>
      </c>
      <c r="D3017" t="n">
        <v>-0.3244</v>
      </c>
      <c r="E3017" t="n">
        <v>14.4198</v>
      </c>
      <c r="F3017" t="n">
        <v>0.13137</v>
      </c>
    </row>
    <row r="3018">
      <c r="A3018" t="n">
        <v>2001189</v>
      </c>
      <c r="B3018" t="n">
        <v>2</v>
      </c>
      <c r="C3018" t="n">
        <v>1189</v>
      </c>
      <c r="D3018" t="n">
        <v>-0.3244</v>
      </c>
      <c r="E3018" t="n">
        <v>14.4259</v>
      </c>
      <c r="F3018" t="n">
        <v>0.1314</v>
      </c>
    </row>
    <row r="3019">
      <c r="A3019" t="n">
        <v>2001190</v>
      </c>
      <c r="B3019" t="n">
        <v>2</v>
      </c>
      <c r="C3019" t="n">
        <v>1190</v>
      </c>
      <c r="D3019" t="n">
        <v>-0.3245</v>
      </c>
      <c r="E3019" t="n">
        <v>14.4321</v>
      </c>
      <c r="F3019" t="n">
        <v>0.13142</v>
      </c>
    </row>
    <row r="3020">
      <c r="A3020" t="n">
        <v>2001191</v>
      </c>
      <c r="B3020" t="n">
        <v>2</v>
      </c>
      <c r="C3020" t="n">
        <v>1191</v>
      </c>
      <c r="D3020" t="n">
        <v>-0.3245</v>
      </c>
      <c r="E3020" t="n">
        <v>14.4382</v>
      </c>
      <c r="F3020" t="n">
        <v>0.13145</v>
      </c>
    </row>
    <row r="3021">
      <c r="A3021" t="n">
        <v>2001192</v>
      </c>
      <c r="B3021" t="n">
        <v>2</v>
      </c>
      <c r="C3021" t="n">
        <v>1192</v>
      </c>
      <c r="D3021" t="n">
        <v>-0.3245</v>
      </c>
      <c r="E3021" t="n">
        <v>14.4444</v>
      </c>
      <c r="F3021" t="n">
        <v>0.13147</v>
      </c>
    </row>
    <row r="3022">
      <c r="A3022" t="n">
        <v>2001193</v>
      </c>
      <c r="B3022" t="n">
        <v>2</v>
      </c>
      <c r="C3022" t="n">
        <v>1193</v>
      </c>
      <c r="D3022" t="n">
        <v>-0.3246</v>
      </c>
      <c r="E3022" t="n">
        <v>14.4505</v>
      </c>
      <c r="F3022" t="n">
        <v>0.1315</v>
      </c>
    </row>
    <row r="3023">
      <c r="A3023" t="n">
        <v>2001194</v>
      </c>
      <c r="B3023" t="n">
        <v>2</v>
      </c>
      <c r="C3023" t="n">
        <v>1194</v>
      </c>
      <c r="D3023" t="n">
        <v>-0.3246</v>
      </c>
      <c r="E3023" t="n">
        <v>14.4567</v>
      </c>
      <c r="F3023" t="n">
        <v>0.13152</v>
      </c>
    </row>
    <row r="3024">
      <c r="A3024" t="n">
        <v>2001195</v>
      </c>
      <c r="B3024" t="n">
        <v>2</v>
      </c>
      <c r="C3024" t="n">
        <v>1195</v>
      </c>
      <c r="D3024" t="n">
        <v>-0.3247</v>
      </c>
      <c r="E3024" t="n">
        <v>14.4628</v>
      </c>
      <c r="F3024" t="n">
        <v>0.13155</v>
      </c>
    </row>
    <row r="3025">
      <c r="A3025" t="n">
        <v>2001196</v>
      </c>
      <c r="B3025" t="n">
        <v>2</v>
      </c>
      <c r="C3025" t="n">
        <v>1196</v>
      </c>
      <c r="D3025" t="n">
        <v>-0.3247</v>
      </c>
      <c r="E3025" t="n">
        <v>14.469</v>
      </c>
      <c r="F3025" t="n">
        <v>0.13157</v>
      </c>
    </row>
    <row r="3026">
      <c r="A3026" t="n">
        <v>2001197</v>
      </c>
      <c r="B3026" t="n">
        <v>2</v>
      </c>
      <c r="C3026" t="n">
        <v>1197</v>
      </c>
      <c r="D3026" t="n">
        <v>-0.3248</v>
      </c>
      <c r="E3026" t="n">
        <v>14.4751</v>
      </c>
      <c r="F3026" t="n">
        <v>0.1316</v>
      </c>
    </row>
    <row r="3027">
      <c r="A3027" t="n">
        <v>2001198</v>
      </c>
      <c r="B3027" t="n">
        <v>2</v>
      </c>
      <c r="C3027" t="n">
        <v>1198</v>
      </c>
      <c r="D3027" t="n">
        <v>-0.3248</v>
      </c>
      <c r="E3027" t="n">
        <v>14.4813</v>
      </c>
      <c r="F3027" t="n">
        <v>0.13162</v>
      </c>
    </row>
    <row r="3028">
      <c r="A3028" t="n">
        <v>2001199</v>
      </c>
      <c r="B3028" t="n">
        <v>2</v>
      </c>
      <c r="C3028" t="n">
        <v>1199</v>
      </c>
      <c r="D3028" t="n">
        <v>-0.3249</v>
      </c>
      <c r="E3028" t="n">
        <v>14.4874</v>
      </c>
      <c r="F3028" t="n">
        <v>0.13165</v>
      </c>
    </row>
    <row r="3029">
      <c r="A3029" t="n">
        <v>2001200</v>
      </c>
      <c r="B3029" t="n">
        <v>2</v>
      </c>
      <c r="C3029" t="n">
        <v>1200</v>
      </c>
      <c r="D3029" t="n">
        <v>-0.3249</v>
      </c>
      <c r="E3029" t="n">
        <v>14.4936</v>
      </c>
      <c r="F3029" t="n">
        <v>0.13167</v>
      </c>
    </row>
    <row r="3030">
      <c r="A3030" t="n">
        <v>2001201</v>
      </c>
      <c r="B3030" t="n">
        <v>2</v>
      </c>
      <c r="C3030" t="n">
        <v>1201</v>
      </c>
      <c r="D3030" t="n">
        <v>-0.3249</v>
      </c>
      <c r="E3030" t="n">
        <v>14.4997</v>
      </c>
      <c r="F3030" t="n">
        <v>0.1317</v>
      </c>
    </row>
    <row r="3031">
      <c r="A3031" t="n">
        <v>2001202</v>
      </c>
      <c r="B3031" t="n">
        <v>2</v>
      </c>
      <c r="C3031" t="n">
        <v>1202</v>
      </c>
      <c r="D3031" t="n">
        <v>-0.325</v>
      </c>
      <c r="E3031" t="n">
        <v>14.5059</v>
      </c>
      <c r="F3031" t="n">
        <v>0.13173</v>
      </c>
    </row>
    <row r="3032">
      <c r="A3032" t="n">
        <v>2001203</v>
      </c>
      <c r="B3032" t="n">
        <v>2</v>
      </c>
      <c r="C3032" t="n">
        <v>1203</v>
      </c>
      <c r="D3032" t="n">
        <v>-0.325</v>
      </c>
      <c r="E3032" t="n">
        <v>14.512</v>
      </c>
      <c r="F3032" t="n">
        <v>0.13175</v>
      </c>
    </row>
    <row r="3033">
      <c r="A3033" t="n">
        <v>2001204</v>
      </c>
      <c r="B3033" t="n">
        <v>2</v>
      </c>
      <c r="C3033" t="n">
        <v>1204</v>
      </c>
      <c r="D3033" t="n">
        <v>-0.3251</v>
      </c>
      <c r="E3033" t="n">
        <v>14.5181</v>
      </c>
      <c r="F3033" t="n">
        <v>0.13178</v>
      </c>
    </row>
    <row r="3034">
      <c r="A3034" t="n">
        <v>2001205</v>
      </c>
      <c r="B3034" t="n">
        <v>2</v>
      </c>
      <c r="C3034" t="n">
        <v>1205</v>
      </c>
      <c r="D3034" t="n">
        <v>-0.3251</v>
      </c>
      <c r="E3034" t="n">
        <v>14.5243</v>
      </c>
      <c r="F3034" t="n">
        <v>0.1318</v>
      </c>
    </row>
    <row r="3035">
      <c r="A3035" t="n">
        <v>2001206</v>
      </c>
      <c r="B3035" t="n">
        <v>2</v>
      </c>
      <c r="C3035" t="n">
        <v>1206</v>
      </c>
      <c r="D3035" t="n">
        <v>-0.3252</v>
      </c>
      <c r="E3035" t="n">
        <v>14.5304</v>
      </c>
      <c r="F3035" t="n">
        <v>0.13183</v>
      </c>
    </row>
    <row r="3036">
      <c r="A3036" t="n">
        <v>2001207</v>
      </c>
      <c r="B3036" t="n">
        <v>2</v>
      </c>
      <c r="C3036" t="n">
        <v>1207</v>
      </c>
      <c r="D3036" t="n">
        <v>-0.3252</v>
      </c>
      <c r="E3036" t="n">
        <v>14.5366</v>
      </c>
      <c r="F3036" t="n">
        <v>0.13185</v>
      </c>
    </row>
    <row r="3037">
      <c r="A3037" t="n">
        <v>2001208</v>
      </c>
      <c r="B3037" t="n">
        <v>2</v>
      </c>
      <c r="C3037" t="n">
        <v>1208</v>
      </c>
      <c r="D3037" t="n">
        <v>-0.3253</v>
      </c>
      <c r="E3037" t="n">
        <v>14.5427</v>
      </c>
      <c r="F3037" t="n">
        <v>0.13188</v>
      </c>
    </row>
    <row r="3038">
      <c r="A3038" t="n">
        <v>2001209</v>
      </c>
      <c r="B3038" t="n">
        <v>2</v>
      </c>
      <c r="C3038" t="n">
        <v>1209</v>
      </c>
      <c r="D3038" t="n">
        <v>-0.3253</v>
      </c>
      <c r="E3038" t="n">
        <v>14.5488</v>
      </c>
      <c r="F3038" t="n">
        <v>0.13191</v>
      </c>
    </row>
    <row r="3039">
      <c r="A3039" t="n">
        <v>2001210</v>
      </c>
      <c r="B3039" t="n">
        <v>2</v>
      </c>
      <c r="C3039" t="n">
        <v>1210</v>
      </c>
      <c r="D3039" t="n">
        <v>-0.3253</v>
      </c>
      <c r="E3039" t="n">
        <v>14.555</v>
      </c>
      <c r="F3039" t="n">
        <v>0.13193</v>
      </c>
    </row>
    <row r="3040">
      <c r="A3040" t="n">
        <v>2001211</v>
      </c>
      <c r="B3040" t="n">
        <v>2</v>
      </c>
      <c r="C3040" t="n">
        <v>1211</v>
      </c>
      <c r="D3040" t="n">
        <v>-0.3254</v>
      </c>
      <c r="E3040" t="n">
        <v>14.5611</v>
      </c>
      <c r="F3040" t="n">
        <v>0.13196</v>
      </c>
    </row>
    <row r="3041">
      <c r="A3041" t="n">
        <v>2001212</v>
      </c>
      <c r="B3041" t="n">
        <v>2</v>
      </c>
      <c r="C3041" t="n">
        <v>1212</v>
      </c>
      <c r="D3041" t="n">
        <v>-0.3254</v>
      </c>
      <c r="E3041" t="n">
        <v>14.5673</v>
      </c>
      <c r="F3041" t="n">
        <v>0.13198</v>
      </c>
    </row>
    <row r="3042">
      <c r="A3042" t="n">
        <v>2001213</v>
      </c>
      <c r="B3042" t="n">
        <v>2</v>
      </c>
      <c r="C3042" t="n">
        <v>1213</v>
      </c>
      <c r="D3042" t="n">
        <v>-0.3255</v>
      </c>
      <c r="E3042" t="n">
        <v>14.5734</v>
      </c>
      <c r="F3042" t="n">
        <v>0.13201</v>
      </c>
    </row>
    <row r="3043">
      <c r="A3043" t="n">
        <v>2001214</v>
      </c>
      <c r="B3043" t="n">
        <v>2</v>
      </c>
      <c r="C3043" t="n">
        <v>1214</v>
      </c>
      <c r="D3043" t="n">
        <v>-0.3255</v>
      </c>
      <c r="E3043" t="n">
        <v>14.5795</v>
      </c>
      <c r="F3043" t="n">
        <v>0.13204</v>
      </c>
    </row>
    <row r="3044">
      <c r="A3044" t="n">
        <v>2001215</v>
      </c>
      <c r="B3044" t="n">
        <v>2</v>
      </c>
      <c r="C3044" t="n">
        <v>1215</v>
      </c>
      <c r="D3044" t="n">
        <v>-0.3256</v>
      </c>
      <c r="E3044" t="n">
        <v>14.5857</v>
      </c>
      <c r="F3044" t="n">
        <v>0.13206</v>
      </c>
    </row>
    <row r="3045">
      <c r="A3045" t="n">
        <v>2001216</v>
      </c>
      <c r="B3045" t="n">
        <v>2</v>
      </c>
      <c r="C3045" t="n">
        <v>1216</v>
      </c>
      <c r="D3045" t="n">
        <v>-0.3256</v>
      </c>
      <c r="E3045" t="n">
        <v>14.5918</v>
      </c>
      <c r="F3045" t="n">
        <v>0.13209</v>
      </c>
    </row>
    <row r="3046">
      <c r="A3046" t="n">
        <v>2001217</v>
      </c>
      <c r="B3046" t="n">
        <v>2</v>
      </c>
      <c r="C3046" t="n">
        <v>1217</v>
      </c>
      <c r="D3046" t="n">
        <v>-0.3257</v>
      </c>
      <c r="E3046" t="n">
        <v>14.5979</v>
      </c>
      <c r="F3046" t="n">
        <v>0.13211</v>
      </c>
    </row>
    <row r="3047">
      <c r="A3047" t="n">
        <v>2001218</v>
      </c>
      <c r="B3047" t="n">
        <v>2</v>
      </c>
      <c r="C3047" t="n">
        <v>1218</v>
      </c>
      <c r="D3047" t="n">
        <v>-0.3257</v>
      </c>
      <c r="E3047" t="n">
        <v>14.6041</v>
      </c>
      <c r="F3047" t="n">
        <v>0.13214</v>
      </c>
    </row>
    <row r="3048">
      <c r="A3048" t="n">
        <v>2001219</v>
      </c>
      <c r="B3048" t="n">
        <v>2</v>
      </c>
      <c r="C3048" t="n">
        <v>1219</v>
      </c>
      <c r="D3048" t="n">
        <v>-0.3257</v>
      </c>
      <c r="E3048" t="n">
        <v>14.6102</v>
      </c>
      <c r="F3048" t="n">
        <v>0.13217</v>
      </c>
    </row>
    <row r="3049">
      <c r="A3049" t="n">
        <v>2001220</v>
      </c>
      <c r="B3049" t="n">
        <v>2</v>
      </c>
      <c r="C3049" t="n">
        <v>1220</v>
      </c>
      <c r="D3049" t="n">
        <v>-0.3258</v>
      </c>
      <c r="E3049" t="n">
        <v>14.6163</v>
      </c>
      <c r="F3049" t="n">
        <v>0.13219</v>
      </c>
    </row>
    <row r="3050">
      <c r="A3050" t="n">
        <v>2001221</v>
      </c>
      <c r="B3050" t="n">
        <v>2</v>
      </c>
      <c r="C3050" t="n">
        <v>1221</v>
      </c>
      <c r="D3050" t="n">
        <v>-0.3258</v>
      </c>
      <c r="E3050" t="n">
        <v>14.6225</v>
      </c>
      <c r="F3050" t="n">
        <v>0.13222</v>
      </c>
    </row>
    <row r="3051">
      <c r="A3051" t="n">
        <v>2001222</v>
      </c>
      <c r="B3051" t="n">
        <v>2</v>
      </c>
      <c r="C3051" t="n">
        <v>1222</v>
      </c>
      <c r="D3051" t="n">
        <v>-0.3259</v>
      </c>
      <c r="E3051" t="n">
        <v>14.6286</v>
      </c>
      <c r="F3051" t="n">
        <v>0.13225</v>
      </c>
    </row>
    <row r="3052">
      <c r="A3052" t="n">
        <v>2001223</v>
      </c>
      <c r="B3052" t="n">
        <v>2</v>
      </c>
      <c r="C3052" t="n">
        <v>1223</v>
      </c>
      <c r="D3052" t="n">
        <v>-0.3259</v>
      </c>
      <c r="E3052" t="n">
        <v>14.6347</v>
      </c>
      <c r="F3052" t="n">
        <v>0.13227</v>
      </c>
    </row>
    <row r="3053">
      <c r="A3053" t="n">
        <v>2001224</v>
      </c>
      <c r="B3053" t="n">
        <v>2</v>
      </c>
      <c r="C3053" t="n">
        <v>1224</v>
      </c>
      <c r="D3053" t="n">
        <v>-0.326</v>
      </c>
      <c r="E3053" t="n">
        <v>14.6408</v>
      </c>
      <c r="F3053" t="n">
        <v>0.1323</v>
      </c>
    </row>
    <row r="3054">
      <c r="A3054" t="n">
        <v>2001225</v>
      </c>
      <c r="B3054" t="n">
        <v>2</v>
      </c>
      <c r="C3054" t="n">
        <v>1225</v>
      </c>
      <c r="D3054" t="n">
        <v>-0.326</v>
      </c>
      <c r="E3054" t="n">
        <v>14.647</v>
      </c>
      <c r="F3054" t="n">
        <v>0.13232</v>
      </c>
    </row>
    <row r="3055">
      <c r="A3055" t="n">
        <v>2001226</v>
      </c>
      <c r="B3055" t="n">
        <v>2</v>
      </c>
      <c r="C3055" t="n">
        <v>1226</v>
      </c>
      <c r="D3055" t="n">
        <v>-0.3261</v>
      </c>
      <c r="E3055" t="n">
        <v>14.6531</v>
      </c>
      <c r="F3055" t="n">
        <v>0.13235</v>
      </c>
    </row>
    <row r="3056">
      <c r="A3056" t="n">
        <v>2001227</v>
      </c>
      <c r="B3056" t="n">
        <v>2</v>
      </c>
      <c r="C3056" t="n">
        <v>1227</v>
      </c>
      <c r="D3056" t="n">
        <v>-0.3261</v>
      </c>
      <c r="E3056" t="n">
        <v>14.6592</v>
      </c>
      <c r="F3056" t="n">
        <v>0.13238</v>
      </c>
    </row>
    <row r="3057">
      <c r="A3057" t="n">
        <v>2001228</v>
      </c>
      <c r="B3057" t="n">
        <v>2</v>
      </c>
      <c r="C3057" t="n">
        <v>1228</v>
      </c>
      <c r="D3057" t="n">
        <v>-0.3261</v>
      </c>
      <c r="E3057" t="n">
        <v>14.6653</v>
      </c>
      <c r="F3057" t="n">
        <v>0.1324</v>
      </c>
    </row>
    <row r="3058">
      <c r="A3058" t="n">
        <v>2001229</v>
      </c>
      <c r="B3058" t="n">
        <v>2</v>
      </c>
      <c r="C3058" t="n">
        <v>1229</v>
      </c>
      <c r="D3058" t="n">
        <v>-0.3262</v>
      </c>
      <c r="E3058" t="n">
        <v>14.6715</v>
      </c>
      <c r="F3058" t="n">
        <v>0.13243</v>
      </c>
    </row>
    <row r="3059">
      <c r="A3059" t="n">
        <v>2001230</v>
      </c>
      <c r="B3059" t="n">
        <v>2</v>
      </c>
      <c r="C3059" t="n">
        <v>1230</v>
      </c>
      <c r="D3059" t="n">
        <v>-0.3262</v>
      </c>
      <c r="E3059" t="n">
        <v>14.6776</v>
      </c>
      <c r="F3059" t="n">
        <v>0.13246</v>
      </c>
    </row>
    <row r="3060">
      <c r="A3060" t="n">
        <v>2001231</v>
      </c>
      <c r="B3060" t="n">
        <v>2</v>
      </c>
      <c r="C3060" t="n">
        <v>1231</v>
      </c>
      <c r="D3060" t="n">
        <v>-0.3263</v>
      </c>
      <c r="E3060" t="n">
        <v>14.6837</v>
      </c>
      <c r="F3060" t="n">
        <v>0.13248</v>
      </c>
    </row>
    <row r="3061">
      <c r="A3061" t="n">
        <v>2001232</v>
      </c>
      <c r="B3061" t="n">
        <v>2</v>
      </c>
      <c r="C3061" t="n">
        <v>1232</v>
      </c>
      <c r="D3061" t="n">
        <v>-0.3263</v>
      </c>
      <c r="E3061" t="n">
        <v>14.6898</v>
      </c>
      <c r="F3061" t="n">
        <v>0.13251</v>
      </c>
    </row>
    <row r="3062">
      <c r="A3062" t="n">
        <v>2001233</v>
      </c>
      <c r="B3062" t="n">
        <v>2</v>
      </c>
      <c r="C3062" t="n">
        <v>1233</v>
      </c>
      <c r="D3062" t="n">
        <v>-0.3264</v>
      </c>
      <c r="E3062" t="n">
        <v>14.696</v>
      </c>
      <c r="F3062" t="n">
        <v>0.13254</v>
      </c>
    </row>
    <row r="3063">
      <c r="A3063" t="n">
        <v>2001234</v>
      </c>
      <c r="B3063" t="n">
        <v>2</v>
      </c>
      <c r="C3063" t="n">
        <v>1234</v>
      </c>
      <c r="D3063" t="n">
        <v>-0.3264</v>
      </c>
      <c r="E3063" t="n">
        <v>14.7021</v>
      </c>
      <c r="F3063" t="n">
        <v>0.13256</v>
      </c>
    </row>
    <row r="3064">
      <c r="A3064" t="n">
        <v>2001235</v>
      </c>
      <c r="B3064" t="n">
        <v>2</v>
      </c>
      <c r="C3064" t="n">
        <v>1235</v>
      </c>
      <c r="D3064" t="n">
        <v>-0.3264</v>
      </c>
      <c r="E3064" t="n">
        <v>14.7082</v>
      </c>
      <c r="F3064" t="n">
        <v>0.13259</v>
      </c>
    </row>
    <row r="3065">
      <c r="A3065" t="n">
        <v>2001236</v>
      </c>
      <c r="B3065" t="n">
        <v>2</v>
      </c>
      <c r="C3065" t="n">
        <v>1236</v>
      </c>
      <c r="D3065" t="n">
        <v>-0.3265</v>
      </c>
      <c r="E3065" t="n">
        <v>14.7143</v>
      </c>
      <c r="F3065" t="n">
        <v>0.13262</v>
      </c>
    </row>
    <row r="3066">
      <c r="A3066" t="n">
        <v>2001237</v>
      </c>
      <c r="B3066" t="n">
        <v>2</v>
      </c>
      <c r="C3066" t="n">
        <v>1237</v>
      </c>
      <c r="D3066" t="n">
        <v>-0.3265</v>
      </c>
      <c r="E3066" t="n">
        <v>14.7204</v>
      </c>
      <c r="F3066" t="n">
        <v>0.13264</v>
      </c>
    </row>
    <row r="3067">
      <c r="A3067" t="n">
        <v>2001238</v>
      </c>
      <c r="B3067" t="n">
        <v>2</v>
      </c>
      <c r="C3067" t="n">
        <v>1238</v>
      </c>
      <c r="D3067" t="n">
        <v>-0.3266</v>
      </c>
      <c r="E3067" t="n">
        <v>14.7265</v>
      </c>
      <c r="F3067" t="n">
        <v>0.13267</v>
      </c>
    </row>
    <row r="3068">
      <c r="A3068" t="n">
        <v>2001239</v>
      </c>
      <c r="B3068" t="n">
        <v>2</v>
      </c>
      <c r="C3068" t="n">
        <v>1239</v>
      </c>
      <c r="D3068" t="n">
        <v>-0.3266</v>
      </c>
      <c r="E3068" t="n">
        <v>14.7327</v>
      </c>
      <c r="F3068" t="n">
        <v>0.13269</v>
      </c>
    </row>
    <row r="3069">
      <c r="A3069" t="n">
        <v>2001240</v>
      </c>
      <c r="B3069" t="n">
        <v>2</v>
      </c>
      <c r="C3069" t="n">
        <v>1240</v>
      </c>
      <c r="D3069" t="n">
        <v>-0.3267</v>
      </c>
      <c r="E3069" t="n">
        <v>14.7388</v>
      </c>
      <c r="F3069" t="n">
        <v>0.13272</v>
      </c>
    </row>
    <row r="3070">
      <c r="A3070" t="n">
        <v>2001241</v>
      </c>
      <c r="B3070" t="n">
        <v>2</v>
      </c>
      <c r="C3070" t="n">
        <v>1241</v>
      </c>
      <c r="D3070" t="n">
        <v>-0.3267</v>
      </c>
      <c r="E3070" t="n">
        <v>14.7449</v>
      </c>
      <c r="F3070" t="n">
        <v>0.13275</v>
      </c>
    </row>
    <row r="3071">
      <c r="A3071" t="n">
        <v>2001242</v>
      </c>
      <c r="B3071" t="n">
        <v>2</v>
      </c>
      <c r="C3071" t="n">
        <v>1242</v>
      </c>
      <c r="D3071" t="n">
        <v>-0.3268</v>
      </c>
      <c r="E3071" t="n">
        <v>14.751</v>
      </c>
      <c r="F3071" t="n">
        <v>0.13278</v>
      </c>
    </row>
    <row r="3072">
      <c r="A3072" t="n">
        <v>2001243</v>
      </c>
      <c r="B3072" t="n">
        <v>2</v>
      </c>
      <c r="C3072" t="n">
        <v>1243</v>
      </c>
      <c r="D3072" t="n">
        <v>-0.3268</v>
      </c>
      <c r="E3072" t="n">
        <v>14.7571</v>
      </c>
      <c r="F3072" t="n">
        <v>0.1328</v>
      </c>
    </row>
    <row r="3073">
      <c r="A3073" t="n">
        <v>2001244</v>
      </c>
      <c r="B3073" t="n">
        <v>2</v>
      </c>
      <c r="C3073" t="n">
        <v>1244</v>
      </c>
      <c r="D3073" t="n">
        <v>-0.3268</v>
      </c>
      <c r="E3073" t="n">
        <v>14.7632</v>
      </c>
      <c r="F3073" t="n">
        <v>0.13283</v>
      </c>
    </row>
    <row r="3074">
      <c r="A3074" t="n">
        <v>2001245</v>
      </c>
      <c r="B3074" t="n">
        <v>2</v>
      </c>
      <c r="C3074" t="n">
        <v>1245</v>
      </c>
      <c r="D3074" t="n">
        <v>-0.3269</v>
      </c>
      <c r="E3074" t="n">
        <v>14.7693</v>
      </c>
      <c r="F3074" t="n">
        <v>0.13286</v>
      </c>
    </row>
    <row r="3075">
      <c r="A3075" t="n">
        <v>2001246</v>
      </c>
      <c r="B3075" t="n">
        <v>2</v>
      </c>
      <c r="C3075" t="n">
        <v>1246</v>
      </c>
      <c r="D3075" t="n">
        <v>-0.3269</v>
      </c>
      <c r="E3075" t="n">
        <v>14.7754</v>
      </c>
      <c r="F3075" t="n">
        <v>0.13288</v>
      </c>
    </row>
    <row r="3076">
      <c r="A3076" t="n">
        <v>2001247</v>
      </c>
      <c r="B3076" t="n">
        <v>2</v>
      </c>
      <c r="C3076" t="n">
        <v>1247</v>
      </c>
      <c r="D3076" t="n">
        <v>-0.327</v>
      </c>
      <c r="E3076" t="n">
        <v>14.7816</v>
      </c>
      <c r="F3076" t="n">
        <v>0.13291</v>
      </c>
    </row>
    <row r="3077">
      <c r="A3077" t="n">
        <v>2001248</v>
      </c>
      <c r="B3077" t="n">
        <v>2</v>
      </c>
      <c r="C3077" t="n">
        <v>1248</v>
      </c>
      <c r="D3077" t="n">
        <v>-0.327</v>
      </c>
      <c r="E3077" t="n">
        <v>14.7877</v>
      </c>
      <c r="F3077" t="n">
        <v>0.13294</v>
      </c>
    </row>
    <row r="3078">
      <c r="A3078" t="n">
        <v>2001249</v>
      </c>
      <c r="B3078" t="n">
        <v>2</v>
      </c>
      <c r="C3078" t="n">
        <v>1249</v>
      </c>
      <c r="D3078" t="n">
        <v>-0.3271</v>
      </c>
      <c r="E3078" t="n">
        <v>14.7938</v>
      </c>
      <c r="F3078" t="n">
        <v>0.13296</v>
      </c>
    </row>
    <row r="3079">
      <c r="A3079" t="n">
        <v>2001250</v>
      </c>
      <c r="B3079" t="n">
        <v>2</v>
      </c>
      <c r="C3079" t="n">
        <v>1250</v>
      </c>
      <c r="D3079" t="n">
        <v>-0.3271</v>
      </c>
      <c r="E3079" t="n">
        <v>14.7999</v>
      </c>
      <c r="F3079" t="n">
        <v>0.13299</v>
      </c>
    </row>
    <row r="3080">
      <c r="A3080" t="n">
        <v>2001251</v>
      </c>
      <c r="B3080" t="n">
        <v>2</v>
      </c>
      <c r="C3080" t="n">
        <v>1251</v>
      </c>
      <c r="D3080" t="n">
        <v>-0.3271</v>
      </c>
      <c r="E3080" t="n">
        <v>14.806</v>
      </c>
      <c r="F3080" t="n">
        <v>0.13302</v>
      </c>
    </row>
    <row r="3081">
      <c r="A3081" t="n">
        <v>2001252</v>
      </c>
      <c r="B3081" t="n">
        <v>2</v>
      </c>
      <c r="C3081" t="n">
        <v>1252</v>
      </c>
      <c r="D3081" t="n">
        <v>-0.3272</v>
      </c>
      <c r="E3081" t="n">
        <v>14.8121</v>
      </c>
      <c r="F3081" t="n">
        <v>0.13304</v>
      </c>
    </row>
    <row r="3082">
      <c r="A3082" t="n">
        <v>2001253</v>
      </c>
      <c r="B3082" t="n">
        <v>2</v>
      </c>
      <c r="C3082" t="n">
        <v>1253</v>
      </c>
      <c r="D3082" t="n">
        <v>-0.3272</v>
      </c>
      <c r="E3082" t="n">
        <v>14.8182</v>
      </c>
      <c r="F3082" t="n">
        <v>0.13307</v>
      </c>
    </row>
    <row r="3083">
      <c r="A3083" t="n">
        <v>2001254</v>
      </c>
      <c r="B3083" t="n">
        <v>2</v>
      </c>
      <c r="C3083" t="n">
        <v>1254</v>
      </c>
      <c r="D3083" t="n">
        <v>-0.3273</v>
      </c>
      <c r="E3083" t="n">
        <v>14.8243</v>
      </c>
      <c r="F3083" t="n">
        <v>0.1331</v>
      </c>
    </row>
    <row r="3084">
      <c r="A3084" t="n">
        <v>2001255</v>
      </c>
      <c r="B3084" t="n">
        <v>2</v>
      </c>
      <c r="C3084" t="n">
        <v>1255</v>
      </c>
      <c r="D3084" t="n">
        <v>-0.3273</v>
      </c>
      <c r="E3084" t="n">
        <v>14.8304</v>
      </c>
      <c r="F3084" t="n">
        <v>0.13312</v>
      </c>
    </row>
    <row r="3085">
      <c r="A3085" t="n">
        <v>2001256</v>
      </c>
      <c r="B3085" t="n">
        <v>2</v>
      </c>
      <c r="C3085" t="n">
        <v>1256</v>
      </c>
      <c r="D3085" t="n">
        <v>-0.3274</v>
      </c>
      <c r="E3085" t="n">
        <v>14.8365</v>
      </c>
      <c r="F3085" t="n">
        <v>0.13315</v>
      </c>
    </row>
    <row r="3086">
      <c r="A3086" t="n">
        <v>2001257</v>
      </c>
      <c r="B3086" t="n">
        <v>2</v>
      </c>
      <c r="C3086" t="n">
        <v>1257</v>
      </c>
      <c r="D3086" t="n">
        <v>-0.3274</v>
      </c>
      <c r="E3086" t="n">
        <v>14.8426</v>
      </c>
      <c r="F3086" t="n">
        <v>0.13318</v>
      </c>
    </row>
    <row r="3087">
      <c r="A3087" t="n">
        <v>2001258</v>
      </c>
      <c r="B3087" t="n">
        <v>2</v>
      </c>
      <c r="C3087" t="n">
        <v>1258</v>
      </c>
      <c r="D3087" t="n">
        <v>-0.3274</v>
      </c>
      <c r="E3087" t="n">
        <v>14.8487</v>
      </c>
      <c r="F3087" t="n">
        <v>0.13321</v>
      </c>
    </row>
    <row r="3088">
      <c r="A3088" t="n">
        <v>2001259</v>
      </c>
      <c r="B3088" t="n">
        <v>2</v>
      </c>
      <c r="C3088" t="n">
        <v>1259</v>
      </c>
      <c r="D3088" t="n">
        <v>-0.3275</v>
      </c>
      <c r="E3088" t="n">
        <v>14.8548</v>
      </c>
      <c r="F3088" t="n">
        <v>0.13323</v>
      </c>
    </row>
    <row r="3089">
      <c r="A3089" t="n">
        <v>2001260</v>
      </c>
      <c r="B3089" t="n">
        <v>2</v>
      </c>
      <c r="C3089" t="n">
        <v>1260</v>
      </c>
      <c r="D3089" t="n">
        <v>-0.3275</v>
      </c>
      <c r="E3089" t="n">
        <v>14.8609</v>
      </c>
      <c r="F3089" t="n">
        <v>0.13326</v>
      </c>
    </row>
    <row r="3090">
      <c r="A3090" t="n">
        <v>2001261</v>
      </c>
      <c r="B3090" t="n">
        <v>2</v>
      </c>
      <c r="C3090" t="n">
        <v>1261</v>
      </c>
      <c r="D3090" t="n">
        <v>-0.3276</v>
      </c>
      <c r="E3090" t="n">
        <v>14.867</v>
      </c>
      <c r="F3090" t="n">
        <v>0.13329</v>
      </c>
    </row>
    <row r="3091">
      <c r="A3091" t="n">
        <v>2001262</v>
      </c>
      <c r="B3091" t="n">
        <v>2</v>
      </c>
      <c r="C3091" t="n">
        <v>1262</v>
      </c>
      <c r="D3091" t="n">
        <v>-0.3276</v>
      </c>
      <c r="E3091" t="n">
        <v>14.8731</v>
      </c>
      <c r="F3091" t="n">
        <v>0.13331</v>
      </c>
    </row>
    <row r="3092">
      <c r="A3092" t="n">
        <v>2001263</v>
      </c>
      <c r="B3092" t="n">
        <v>2</v>
      </c>
      <c r="C3092" t="n">
        <v>1263</v>
      </c>
      <c r="D3092" t="n">
        <v>-0.3277</v>
      </c>
      <c r="E3092" t="n">
        <v>14.8792</v>
      </c>
      <c r="F3092" t="n">
        <v>0.13334</v>
      </c>
    </row>
    <row r="3093">
      <c r="A3093" t="n">
        <v>2001264</v>
      </c>
      <c r="B3093" t="n">
        <v>2</v>
      </c>
      <c r="C3093" t="n">
        <v>1264</v>
      </c>
      <c r="D3093" t="n">
        <v>-0.3277</v>
      </c>
      <c r="E3093" t="n">
        <v>14.8853</v>
      </c>
      <c r="F3093" t="n">
        <v>0.13337</v>
      </c>
    </row>
    <row r="3094">
      <c r="A3094" t="n">
        <v>2001265</v>
      </c>
      <c r="B3094" t="n">
        <v>2</v>
      </c>
      <c r="C3094" t="n">
        <v>1265</v>
      </c>
      <c r="D3094" t="n">
        <v>-0.3278</v>
      </c>
      <c r="E3094" t="n">
        <v>14.8913</v>
      </c>
      <c r="F3094" t="n">
        <v>0.13339</v>
      </c>
    </row>
    <row r="3095">
      <c r="A3095" t="n">
        <v>2001266</v>
      </c>
      <c r="B3095" t="n">
        <v>2</v>
      </c>
      <c r="C3095" t="n">
        <v>1266</v>
      </c>
      <c r="D3095" t="n">
        <v>-0.3278</v>
      </c>
      <c r="E3095" t="n">
        <v>14.8974</v>
      </c>
      <c r="F3095" t="n">
        <v>0.13342</v>
      </c>
    </row>
    <row r="3096">
      <c r="A3096" t="n">
        <v>2001267</v>
      </c>
      <c r="B3096" t="n">
        <v>2</v>
      </c>
      <c r="C3096" t="n">
        <v>1267</v>
      </c>
      <c r="D3096" t="n">
        <v>-0.3278</v>
      </c>
      <c r="E3096" t="n">
        <v>14.9035</v>
      </c>
      <c r="F3096" t="n">
        <v>0.13345</v>
      </c>
    </row>
    <row r="3097">
      <c r="A3097" t="n">
        <v>2001268</v>
      </c>
      <c r="B3097" t="n">
        <v>2</v>
      </c>
      <c r="C3097" t="n">
        <v>1268</v>
      </c>
      <c r="D3097" t="n">
        <v>-0.3279</v>
      </c>
      <c r="E3097" t="n">
        <v>14.9096</v>
      </c>
      <c r="F3097" t="n">
        <v>0.13348</v>
      </c>
    </row>
    <row r="3098">
      <c r="A3098" t="n">
        <v>2001269</v>
      </c>
      <c r="B3098" t="n">
        <v>2</v>
      </c>
      <c r="C3098" t="n">
        <v>1269</v>
      </c>
      <c r="D3098" t="n">
        <v>-0.3279</v>
      </c>
      <c r="E3098" t="n">
        <v>14.9157</v>
      </c>
      <c r="F3098" t="n">
        <v>0.1335</v>
      </c>
    </row>
    <row r="3099">
      <c r="A3099" t="n">
        <v>2001270</v>
      </c>
      <c r="B3099" t="n">
        <v>2</v>
      </c>
      <c r="C3099" t="n">
        <v>1270</v>
      </c>
      <c r="D3099" t="n">
        <v>-0.328</v>
      </c>
      <c r="E3099" t="n">
        <v>14.9218</v>
      </c>
      <c r="F3099" t="n">
        <v>0.13353</v>
      </c>
    </row>
    <row r="3100">
      <c r="A3100" t="n">
        <v>2001271</v>
      </c>
      <c r="B3100" t="n">
        <v>2</v>
      </c>
      <c r="C3100" t="n">
        <v>1271</v>
      </c>
      <c r="D3100" t="n">
        <v>-0.328</v>
      </c>
      <c r="E3100" t="n">
        <v>14.9279</v>
      </c>
      <c r="F3100" t="n">
        <v>0.13356</v>
      </c>
    </row>
    <row r="3101">
      <c r="A3101" t="n">
        <v>2001272</v>
      </c>
      <c r="B3101" t="n">
        <v>2</v>
      </c>
      <c r="C3101" t="n">
        <v>1272</v>
      </c>
      <c r="D3101" t="n">
        <v>-0.3281</v>
      </c>
      <c r="E3101" t="n">
        <v>14.934</v>
      </c>
      <c r="F3101" t="n">
        <v>0.13359</v>
      </c>
    </row>
    <row r="3102">
      <c r="A3102" t="n">
        <v>2001273</v>
      </c>
      <c r="B3102" t="n">
        <v>2</v>
      </c>
      <c r="C3102" t="n">
        <v>1273</v>
      </c>
      <c r="D3102" t="n">
        <v>-0.3281</v>
      </c>
      <c r="E3102" t="n">
        <v>14.94</v>
      </c>
      <c r="F3102" t="n">
        <v>0.13361</v>
      </c>
    </row>
    <row r="3103">
      <c r="A3103" t="n">
        <v>2001274</v>
      </c>
      <c r="B3103" t="n">
        <v>2</v>
      </c>
      <c r="C3103" t="n">
        <v>1274</v>
      </c>
      <c r="D3103" t="n">
        <v>-0.3281</v>
      </c>
      <c r="E3103" t="n">
        <v>14.9461</v>
      </c>
      <c r="F3103" t="n">
        <v>0.13364</v>
      </c>
    </row>
    <row r="3104">
      <c r="A3104" t="n">
        <v>2001275</v>
      </c>
      <c r="B3104" t="n">
        <v>2</v>
      </c>
      <c r="C3104" t="n">
        <v>1275</v>
      </c>
      <c r="D3104" t="n">
        <v>-0.3282</v>
      </c>
      <c r="E3104" t="n">
        <v>14.9522</v>
      </c>
      <c r="F3104" t="n">
        <v>0.13367</v>
      </c>
    </row>
    <row r="3105">
      <c r="A3105" t="n">
        <v>2001276</v>
      </c>
      <c r="B3105" t="n">
        <v>2</v>
      </c>
      <c r="C3105" t="n">
        <v>1276</v>
      </c>
      <c r="D3105" t="n">
        <v>-0.3282</v>
      </c>
      <c r="E3105" t="n">
        <v>14.9583</v>
      </c>
      <c r="F3105" t="n">
        <v>0.13369</v>
      </c>
    </row>
    <row r="3106">
      <c r="A3106" t="n">
        <v>2001277</v>
      </c>
      <c r="B3106" t="n">
        <v>2</v>
      </c>
      <c r="C3106" t="n">
        <v>1277</v>
      </c>
      <c r="D3106" t="n">
        <v>-0.3283</v>
      </c>
      <c r="E3106" t="n">
        <v>14.9644</v>
      </c>
      <c r="F3106" t="n">
        <v>0.13372</v>
      </c>
    </row>
    <row r="3107">
      <c r="A3107" t="n">
        <v>2001278</v>
      </c>
      <c r="B3107" t="n">
        <v>2</v>
      </c>
      <c r="C3107" t="n">
        <v>1278</v>
      </c>
      <c r="D3107" t="n">
        <v>-0.3283</v>
      </c>
      <c r="E3107" t="n">
        <v>14.9704</v>
      </c>
      <c r="F3107" t="n">
        <v>0.13375</v>
      </c>
    </row>
    <row r="3108">
      <c r="A3108" t="n">
        <v>2001279</v>
      </c>
      <c r="B3108" t="n">
        <v>2</v>
      </c>
      <c r="C3108" t="n">
        <v>1279</v>
      </c>
      <c r="D3108" t="n">
        <v>-0.3284</v>
      </c>
      <c r="E3108" t="n">
        <v>14.9765</v>
      </c>
      <c r="F3108" t="n">
        <v>0.13378</v>
      </c>
    </row>
    <row r="3109">
      <c r="A3109" t="n">
        <v>2001280</v>
      </c>
      <c r="B3109" t="n">
        <v>2</v>
      </c>
      <c r="C3109" t="n">
        <v>1280</v>
      </c>
      <c r="D3109" t="n">
        <v>-0.3284</v>
      </c>
      <c r="E3109" t="n">
        <v>14.9826</v>
      </c>
      <c r="F3109" t="n">
        <v>0.1338</v>
      </c>
    </row>
    <row r="3110">
      <c r="A3110" t="n">
        <v>2001281</v>
      </c>
      <c r="B3110" t="n">
        <v>2</v>
      </c>
      <c r="C3110" t="n">
        <v>1281</v>
      </c>
      <c r="D3110" t="n">
        <v>-0.3284</v>
      </c>
      <c r="E3110" t="n">
        <v>14.9887</v>
      </c>
      <c r="F3110" t="n">
        <v>0.13383</v>
      </c>
    </row>
    <row r="3111">
      <c r="A3111" t="n">
        <v>2001282</v>
      </c>
      <c r="B3111" t="n">
        <v>2</v>
      </c>
      <c r="C3111" t="n">
        <v>1282</v>
      </c>
      <c r="D3111" t="n">
        <v>-0.3285</v>
      </c>
      <c r="E3111" t="n">
        <v>14.9948</v>
      </c>
      <c r="F3111" t="n">
        <v>0.13386</v>
      </c>
    </row>
    <row r="3112">
      <c r="A3112" t="n">
        <v>2001283</v>
      </c>
      <c r="B3112" t="n">
        <v>2</v>
      </c>
      <c r="C3112" t="n">
        <v>1283</v>
      </c>
      <c r="D3112" t="n">
        <v>-0.3285</v>
      </c>
      <c r="E3112" t="n">
        <v>15.0008</v>
      </c>
      <c r="F3112" t="n">
        <v>0.13389</v>
      </c>
    </row>
    <row r="3113">
      <c r="A3113" t="n">
        <v>2001284</v>
      </c>
      <c r="B3113" t="n">
        <v>2</v>
      </c>
      <c r="C3113" t="n">
        <v>1284</v>
      </c>
      <c r="D3113" t="n">
        <v>-0.3286</v>
      </c>
      <c r="E3113" t="n">
        <v>15.0069</v>
      </c>
      <c r="F3113" t="n">
        <v>0.13391</v>
      </c>
    </row>
    <row r="3114">
      <c r="A3114" t="n">
        <v>2001285</v>
      </c>
      <c r="B3114" t="n">
        <v>2</v>
      </c>
      <c r="C3114" t="n">
        <v>1285</v>
      </c>
      <c r="D3114" t="n">
        <v>-0.3286</v>
      </c>
      <c r="E3114" t="n">
        <v>15.013</v>
      </c>
      <c r="F3114" t="n">
        <v>0.13394</v>
      </c>
    </row>
    <row r="3115">
      <c r="A3115" t="n">
        <v>2001286</v>
      </c>
      <c r="B3115" t="n">
        <v>2</v>
      </c>
      <c r="C3115" t="n">
        <v>1286</v>
      </c>
      <c r="D3115" t="n">
        <v>-0.3287</v>
      </c>
      <c r="E3115" t="n">
        <v>15.019</v>
      </c>
      <c r="F3115" t="n">
        <v>0.13397</v>
      </c>
    </row>
    <row r="3116">
      <c r="A3116" t="n">
        <v>2001287</v>
      </c>
      <c r="B3116" t="n">
        <v>2</v>
      </c>
      <c r="C3116" t="n">
        <v>1287</v>
      </c>
      <c r="D3116" t="n">
        <v>-0.3287</v>
      </c>
      <c r="E3116" t="n">
        <v>15.0251</v>
      </c>
      <c r="F3116" t="n">
        <v>0.134</v>
      </c>
    </row>
    <row r="3117">
      <c r="A3117" t="n">
        <v>2001288</v>
      </c>
      <c r="B3117" t="n">
        <v>2</v>
      </c>
      <c r="C3117" t="n">
        <v>1288</v>
      </c>
      <c r="D3117" t="n">
        <v>-0.3287</v>
      </c>
      <c r="E3117" t="n">
        <v>15.0312</v>
      </c>
      <c r="F3117" t="n">
        <v>0.13402</v>
      </c>
    </row>
    <row r="3118">
      <c r="A3118" t="n">
        <v>2001289</v>
      </c>
      <c r="B3118" t="n">
        <v>2</v>
      </c>
      <c r="C3118" t="n">
        <v>1289</v>
      </c>
      <c r="D3118" t="n">
        <v>-0.3288</v>
      </c>
      <c r="E3118" t="n">
        <v>15.0373</v>
      </c>
      <c r="F3118" t="n">
        <v>0.13405</v>
      </c>
    </row>
    <row r="3119">
      <c r="A3119" t="n">
        <v>2001290</v>
      </c>
      <c r="B3119" t="n">
        <v>2</v>
      </c>
      <c r="C3119" t="n">
        <v>1290</v>
      </c>
      <c r="D3119" t="n">
        <v>-0.3288</v>
      </c>
      <c r="E3119" t="n">
        <v>15.0433</v>
      </c>
      <c r="F3119" t="n">
        <v>0.13408</v>
      </c>
    </row>
    <row r="3120">
      <c r="A3120" t="n">
        <v>2001291</v>
      </c>
      <c r="B3120" t="n">
        <v>2</v>
      </c>
      <c r="C3120" t="n">
        <v>1291</v>
      </c>
      <c r="D3120" t="n">
        <v>-0.3289</v>
      </c>
      <c r="E3120" t="n">
        <v>15.0494</v>
      </c>
      <c r="F3120" t="n">
        <v>0.13411</v>
      </c>
    </row>
    <row r="3121">
      <c r="A3121" t="n">
        <v>2001292</v>
      </c>
      <c r="B3121" t="n">
        <v>2</v>
      </c>
      <c r="C3121" t="n">
        <v>1292</v>
      </c>
      <c r="D3121" t="n">
        <v>-0.3289</v>
      </c>
      <c r="E3121" t="n">
        <v>15.0555</v>
      </c>
      <c r="F3121" t="n">
        <v>0.13413</v>
      </c>
    </row>
    <row r="3122">
      <c r="A3122" t="n">
        <v>2001293</v>
      </c>
      <c r="B3122" t="n">
        <v>2</v>
      </c>
      <c r="C3122" t="n">
        <v>1293</v>
      </c>
      <c r="D3122" t="n">
        <v>-0.329</v>
      </c>
      <c r="E3122" t="n">
        <v>15.0615</v>
      </c>
      <c r="F3122" t="n">
        <v>0.13416</v>
      </c>
    </row>
    <row r="3123">
      <c r="A3123" t="n">
        <v>2001294</v>
      </c>
      <c r="B3123" t="n">
        <v>2</v>
      </c>
      <c r="C3123" t="n">
        <v>1294</v>
      </c>
      <c r="D3123" t="n">
        <v>-0.329</v>
      </c>
      <c r="E3123" t="n">
        <v>15.0676</v>
      </c>
      <c r="F3123" t="n">
        <v>0.13419</v>
      </c>
    </row>
    <row r="3124">
      <c r="A3124" t="n">
        <v>2001295</v>
      </c>
      <c r="B3124" t="n">
        <v>2</v>
      </c>
      <c r="C3124" t="n">
        <v>1295</v>
      </c>
      <c r="D3124" t="n">
        <v>-0.329</v>
      </c>
      <c r="E3124" t="n">
        <v>15.0736</v>
      </c>
      <c r="F3124" t="n">
        <v>0.13422</v>
      </c>
    </row>
    <row r="3125">
      <c r="A3125" t="n">
        <v>2001296</v>
      </c>
      <c r="B3125" t="n">
        <v>2</v>
      </c>
      <c r="C3125" t="n">
        <v>1296</v>
      </c>
      <c r="D3125" t="n">
        <v>-0.3291</v>
      </c>
      <c r="E3125" t="n">
        <v>15.0797</v>
      </c>
      <c r="F3125" t="n">
        <v>0.13425</v>
      </c>
    </row>
    <row r="3126">
      <c r="A3126" t="n">
        <v>2001297</v>
      </c>
      <c r="B3126" t="n">
        <v>2</v>
      </c>
      <c r="C3126" t="n">
        <v>1297</v>
      </c>
      <c r="D3126" t="n">
        <v>-0.3291</v>
      </c>
      <c r="E3126" t="n">
        <v>15.0858</v>
      </c>
      <c r="F3126" t="n">
        <v>0.13427</v>
      </c>
    </row>
    <row r="3127">
      <c r="A3127" t="n">
        <v>2001298</v>
      </c>
      <c r="B3127" t="n">
        <v>2</v>
      </c>
      <c r="C3127" t="n">
        <v>1298</v>
      </c>
      <c r="D3127" t="n">
        <v>-0.3292</v>
      </c>
      <c r="E3127" t="n">
        <v>15.0918</v>
      </c>
      <c r="F3127" t="n">
        <v>0.1343</v>
      </c>
    </row>
    <row r="3128">
      <c r="A3128" t="n">
        <v>2001299</v>
      </c>
      <c r="B3128" t="n">
        <v>2</v>
      </c>
      <c r="C3128" t="n">
        <v>1299</v>
      </c>
      <c r="D3128" t="n">
        <v>-0.3292</v>
      </c>
      <c r="E3128" t="n">
        <v>15.0979</v>
      </c>
      <c r="F3128" t="n">
        <v>0.13433</v>
      </c>
    </row>
    <row r="3129">
      <c r="A3129" t="n">
        <v>2001300</v>
      </c>
      <c r="B3129" t="n">
        <v>2</v>
      </c>
      <c r="C3129" t="n">
        <v>1300</v>
      </c>
      <c r="D3129" t="n">
        <v>-0.3293</v>
      </c>
      <c r="E3129" t="n">
        <v>15.1039</v>
      </c>
      <c r="F3129" t="n">
        <v>0.13436</v>
      </c>
    </row>
    <row r="3130">
      <c r="A3130" t="n">
        <v>2001301</v>
      </c>
      <c r="B3130" t="n">
        <v>2</v>
      </c>
      <c r="C3130" t="n">
        <v>1301</v>
      </c>
      <c r="D3130" t="n">
        <v>-0.3293</v>
      </c>
      <c r="E3130" t="n">
        <v>15.11</v>
      </c>
      <c r="F3130" t="n">
        <v>0.13438</v>
      </c>
    </row>
    <row r="3131">
      <c r="A3131" t="n">
        <v>2001302</v>
      </c>
      <c r="B3131" t="n">
        <v>2</v>
      </c>
      <c r="C3131" t="n">
        <v>1302</v>
      </c>
      <c r="D3131" t="n">
        <v>-0.3293</v>
      </c>
      <c r="E3131" t="n">
        <v>15.1161</v>
      </c>
      <c r="F3131" t="n">
        <v>0.13441</v>
      </c>
    </row>
    <row r="3132">
      <c r="A3132" t="n">
        <v>2001303</v>
      </c>
      <c r="B3132" t="n">
        <v>2</v>
      </c>
      <c r="C3132" t="n">
        <v>1303</v>
      </c>
      <c r="D3132" t="n">
        <v>-0.3294</v>
      </c>
      <c r="E3132" t="n">
        <v>15.1221</v>
      </c>
      <c r="F3132" t="n">
        <v>0.13444</v>
      </c>
    </row>
    <row r="3133">
      <c r="A3133" t="n">
        <v>2001304</v>
      </c>
      <c r="B3133" t="n">
        <v>2</v>
      </c>
      <c r="C3133" t="n">
        <v>1304</v>
      </c>
      <c r="D3133" t="n">
        <v>-0.3294</v>
      </c>
      <c r="E3133" t="n">
        <v>15.1282</v>
      </c>
      <c r="F3133" t="n">
        <v>0.13447</v>
      </c>
    </row>
    <row r="3134">
      <c r="A3134" t="n">
        <v>2001305</v>
      </c>
      <c r="B3134" t="n">
        <v>2</v>
      </c>
      <c r="C3134" t="n">
        <v>1305</v>
      </c>
      <c r="D3134" t="n">
        <v>-0.3295</v>
      </c>
      <c r="E3134" t="n">
        <v>15.1342</v>
      </c>
      <c r="F3134" t="n">
        <v>0.13449</v>
      </c>
    </row>
    <row r="3135">
      <c r="A3135" t="n">
        <v>2001306</v>
      </c>
      <c r="B3135" t="n">
        <v>2</v>
      </c>
      <c r="C3135" t="n">
        <v>1306</v>
      </c>
      <c r="D3135" t="n">
        <v>-0.3295</v>
      </c>
      <c r="E3135" t="n">
        <v>15.1403</v>
      </c>
      <c r="F3135" t="n">
        <v>0.13452</v>
      </c>
    </row>
    <row r="3136">
      <c r="A3136" t="n">
        <v>2001307</v>
      </c>
      <c r="B3136" t="n">
        <v>2</v>
      </c>
      <c r="C3136" t="n">
        <v>1307</v>
      </c>
      <c r="D3136" t="n">
        <v>-0.3296</v>
      </c>
      <c r="E3136" t="n">
        <v>15.1463</v>
      </c>
      <c r="F3136" t="n">
        <v>0.13455</v>
      </c>
    </row>
    <row r="3137">
      <c r="A3137" t="n">
        <v>2001308</v>
      </c>
      <c r="B3137" t="n">
        <v>2</v>
      </c>
      <c r="C3137" t="n">
        <v>1308</v>
      </c>
      <c r="D3137" t="n">
        <v>-0.3296</v>
      </c>
      <c r="E3137" t="n">
        <v>15.1524</v>
      </c>
      <c r="F3137" t="n">
        <v>0.13458</v>
      </c>
    </row>
    <row r="3138">
      <c r="A3138" t="n">
        <v>2001309</v>
      </c>
      <c r="B3138" t="n">
        <v>2</v>
      </c>
      <c r="C3138" t="n">
        <v>1309</v>
      </c>
      <c r="D3138" t="n">
        <v>-0.3296</v>
      </c>
      <c r="E3138" t="n">
        <v>15.1584</v>
      </c>
      <c r="F3138" t="n">
        <v>0.13461</v>
      </c>
    </row>
    <row r="3139">
      <c r="A3139" t="n">
        <v>2001310</v>
      </c>
      <c r="B3139" t="n">
        <v>2</v>
      </c>
      <c r="C3139" t="n">
        <v>1310</v>
      </c>
      <c r="D3139" t="n">
        <v>-0.3297</v>
      </c>
      <c r="E3139" t="n">
        <v>15.1645</v>
      </c>
      <c r="F3139" t="n">
        <v>0.13463</v>
      </c>
    </row>
    <row r="3140">
      <c r="A3140" t="n">
        <v>2001311</v>
      </c>
      <c r="B3140" t="n">
        <v>2</v>
      </c>
      <c r="C3140" t="n">
        <v>1311</v>
      </c>
      <c r="D3140" t="n">
        <v>-0.3297</v>
      </c>
      <c r="E3140" t="n">
        <v>15.1705</v>
      </c>
      <c r="F3140" t="n">
        <v>0.13466</v>
      </c>
    </row>
    <row r="3141">
      <c r="A3141" t="n">
        <v>2001312</v>
      </c>
      <c r="B3141" t="n">
        <v>2</v>
      </c>
      <c r="C3141" t="n">
        <v>1312</v>
      </c>
      <c r="D3141" t="n">
        <v>-0.3298</v>
      </c>
      <c r="E3141" t="n">
        <v>15.1766</v>
      </c>
      <c r="F3141" t="n">
        <v>0.13469</v>
      </c>
    </row>
    <row r="3142">
      <c r="A3142" t="n">
        <v>2001313</v>
      </c>
      <c r="B3142" t="n">
        <v>2</v>
      </c>
      <c r="C3142" t="n">
        <v>1313</v>
      </c>
      <c r="D3142" t="n">
        <v>-0.3298</v>
      </c>
      <c r="E3142" t="n">
        <v>15.1826</v>
      </c>
      <c r="F3142" t="n">
        <v>0.13472</v>
      </c>
    </row>
    <row r="3143">
      <c r="A3143" t="n">
        <v>2001314</v>
      </c>
      <c r="B3143" t="n">
        <v>2</v>
      </c>
      <c r="C3143" t="n">
        <v>1314</v>
      </c>
      <c r="D3143" t="n">
        <v>-0.3299</v>
      </c>
      <c r="E3143" t="n">
        <v>15.1887</v>
      </c>
      <c r="F3143" t="n">
        <v>0.13474</v>
      </c>
    </row>
    <row r="3144">
      <c r="A3144" t="n">
        <v>2001315</v>
      </c>
      <c r="B3144" t="n">
        <v>2</v>
      </c>
      <c r="C3144" t="n">
        <v>1315</v>
      </c>
      <c r="D3144" t="n">
        <v>-0.3299</v>
      </c>
      <c r="E3144" t="n">
        <v>15.1947</v>
      </c>
      <c r="F3144" t="n">
        <v>0.13477</v>
      </c>
    </row>
    <row r="3145">
      <c r="A3145" t="n">
        <v>2001316</v>
      </c>
      <c r="B3145" t="n">
        <v>2</v>
      </c>
      <c r="C3145" t="n">
        <v>1316</v>
      </c>
      <c r="D3145" t="n">
        <v>-0.3299</v>
      </c>
      <c r="E3145" t="n">
        <v>15.2008</v>
      </c>
      <c r="F3145" t="n">
        <v>0.1348</v>
      </c>
    </row>
    <row r="3146">
      <c r="A3146" t="n">
        <v>2001317</v>
      </c>
      <c r="B3146" t="n">
        <v>2</v>
      </c>
      <c r="C3146" t="n">
        <v>1317</v>
      </c>
      <c r="D3146" t="n">
        <v>-0.33</v>
      </c>
      <c r="E3146" t="n">
        <v>15.2068</v>
      </c>
      <c r="F3146" t="n">
        <v>0.13483</v>
      </c>
    </row>
    <row r="3147">
      <c r="A3147" t="n">
        <v>2001318</v>
      </c>
      <c r="B3147" t="n">
        <v>2</v>
      </c>
      <c r="C3147" t="n">
        <v>1318</v>
      </c>
      <c r="D3147" t="n">
        <v>-0.33</v>
      </c>
      <c r="E3147" t="n">
        <v>15.2128</v>
      </c>
      <c r="F3147" t="n">
        <v>0.13486</v>
      </c>
    </row>
    <row r="3148">
      <c r="A3148" t="n">
        <v>2001319</v>
      </c>
      <c r="B3148" t="n">
        <v>2</v>
      </c>
      <c r="C3148" t="n">
        <v>1319</v>
      </c>
      <c r="D3148" t="n">
        <v>-0.3301</v>
      </c>
      <c r="E3148" t="n">
        <v>15.2189</v>
      </c>
      <c r="F3148" t="n">
        <v>0.13488</v>
      </c>
    </row>
    <row r="3149">
      <c r="A3149" t="n">
        <v>2001320</v>
      </c>
      <c r="B3149" t="n">
        <v>2</v>
      </c>
      <c r="C3149" t="n">
        <v>1320</v>
      </c>
      <c r="D3149" t="n">
        <v>-0.3301</v>
      </c>
      <c r="E3149" t="n">
        <v>15.2249</v>
      </c>
      <c r="F3149" t="n">
        <v>0.13491</v>
      </c>
    </row>
    <row r="3150">
      <c r="A3150" t="n">
        <v>2001321</v>
      </c>
      <c r="B3150" t="n">
        <v>2</v>
      </c>
      <c r="C3150" t="n">
        <v>1321</v>
      </c>
      <c r="D3150" t="n">
        <v>-0.3302</v>
      </c>
      <c r="E3150" t="n">
        <v>15.231</v>
      </c>
      <c r="F3150" t="n">
        <v>0.13494</v>
      </c>
    </row>
    <row r="3151">
      <c r="A3151" t="n">
        <v>2001322</v>
      </c>
      <c r="B3151" t="n">
        <v>2</v>
      </c>
      <c r="C3151" t="n">
        <v>1322</v>
      </c>
      <c r="D3151" t="n">
        <v>-0.3302</v>
      </c>
      <c r="E3151" t="n">
        <v>15.237</v>
      </c>
      <c r="F3151" t="n">
        <v>0.13497</v>
      </c>
    </row>
    <row r="3152">
      <c r="A3152" t="n">
        <v>2001323</v>
      </c>
      <c r="B3152" t="n">
        <v>2</v>
      </c>
      <c r="C3152" t="n">
        <v>1323</v>
      </c>
      <c r="D3152" t="n">
        <v>-0.3302</v>
      </c>
      <c r="E3152" t="n">
        <v>15.243</v>
      </c>
      <c r="F3152" t="n">
        <v>0.135</v>
      </c>
    </row>
    <row r="3153">
      <c r="A3153" t="n">
        <v>2001324</v>
      </c>
      <c r="B3153" t="n">
        <v>2</v>
      </c>
      <c r="C3153" t="n">
        <v>1324</v>
      </c>
      <c r="D3153" t="n">
        <v>-0.3303</v>
      </c>
      <c r="E3153" t="n">
        <v>15.2491</v>
      </c>
      <c r="F3153" t="n">
        <v>0.13502</v>
      </c>
    </row>
    <row r="3154">
      <c r="A3154" t="n">
        <v>2001325</v>
      </c>
      <c r="B3154" t="n">
        <v>2</v>
      </c>
      <c r="C3154" t="n">
        <v>1325</v>
      </c>
      <c r="D3154" t="n">
        <v>-0.3303</v>
      </c>
      <c r="E3154" t="n">
        <v>15.2551</v>
      </c>
      <c r="F3154" t="n">
        <v>0.13505</v>
      </c>
    </row>
    <row r="3155">
      <c r="A3155" t="n">
        <v>2001326</v>
      </c>
      <c r="B3155" t="n">
        <v>2</v>
      </c>
      <c r="C3155" t="n">
        <v>1326</v>
      </c>
      <c r="D3155" t="n">
        <v>-0.3304</v>
      </c>
      <c r="E3155" t="n">
        <v>15.2611</v>
      </c>
      <c r="F3155" t="n">
        <v>0.13508</v>
      </c>
    </row>
    <row r="3156">
      <c r="A3156" t="n">
        <v>2001327</v>
      </c>
      <c r="B3156" t="n">
        <v>2</v>
      </c>
      <c r="C3156" t="n">
        <v>1327</v>
      </c>
      <c r="D3156" t="n">
        <v>-0.3304</v>
      </c>
      <c r="E3156" t="n">
        <v>15.2672</v>
      </c>
      <c r="F3156" t="n">
        <v>0.13511</v>
      </c>
    </row>
    <row r="3157">
      <c r="A3157" t="n">
        <v>2001328</v>
      </c>
      <c r="B3157" t="n">
        <v>2</v>
      </c>
      <c r="C3157" t="n">
        <v>1328</v>
      </c>
      <c r="D3157" t="n">
        <v>-0.3305</v>
      </c>
      <c r="E3157" t="n">
        <v>15.2732</v>
      </c>
      <c r="F3157" t="n">
        <v>0.13514</v>
      </c>
    </row>
    <row r="3158">
      <c r="A3158" t="n">
        <v>2001329</v>
      </c>
      <c r="B3158" t="n">
        <v>2</v>
      </c>
      <c r="C3158" t="n">
        <v>1329</v>
      </c>
      <c r="D3158" t="n">
        <v>-0.3305</v>
      </c>
      <c r="E3158" t="n">
        <v>15.2792</v>
      </c>
      <c r="F3158" t="n">
        <v>0.13516</v>
      </c>
    </row>
    <row r="3159">
      <c r="A3159" t="n">
        <v>2001330</v>
      </c>
      <c r="B3159" t="n">
        <v>2</v>
      </c>
      <c r="C3159" t="n">
        <v>1330</v>
      </c>
      <c r="D3159" t="n">
        <v>-0.3305</v>
      </c>
      <c r="E3159" t="n">
        <v>15.2853</v>
      </c>
      <c r="F3159" t="n">
        <v>0.13519</v>
      </c>
    </row>
    <row r="3160">
      <c r="A3160" t="n">
        <v>2001331</v>
      </c>
      <c r="B3160" t="n">
        <v>2</v>
      </c>
      <c r="C3160" t="n">
        <v>1331</v>
      </c>
      <c r="D3160" t="n">
        <v>-0.3306</v>
      </c>
      <c r="E3160" t="n">
        <v>15.2913</v>
      </c>
      <c r="F3160" t="n">
        <v>0.13522</v>
      </c>
    </row>
    <row r="3161">
      <c r="A3161" t="n">
        <v>2001332</v>
      </c>
      <c r="B3161" t="n">
        <v>2</v>
      </c>
      <c r="C3161" t="n">
        <v>1332</v>
      </c>
      <c r="D3161" t="n">
        <v>-0.3306</v>
      </c>
      <c r="E3161" t="n">
        <v>15.2973</v>
      </c>
      <c r="F3161" t="n">
        <v>0.13525</v>
      </c>
    </row>
    <row r="3162">
      <c r="A3162" t="n">
        <v>2001333</v>
      </c>
      <c r="B3162" t="n">
        <v>2</v>
      </c>
      <c r="C3162" t="n">
        <v>1333</v>
      </c>
      <c r="D3162" t="n">
        <v>-0.3307</v>
      </c>
      <c r="E3162" t="n">
        <v>15.3034</v>
      </c>
      <c r="F3162" t="n">
        <v>0.13527</v>
      </c>
    </row>
    <row r="3163">
      <c r="A3163" t="n">
        <v>2001334</v>
      </c>
      <c r="B3163" t="n">
        <v>2</v>
      </c>
      <c r="C3163" t="n">
        <v>1334</v>
      </c>
      <c r="D3163" t="n">
        <v>-0.3307</v>
      </c>
      <c r="E3163" t="n">
        <v>15.3094</v>
      </c>
      <c r="F3163" t="n">
        <v>0.1353</v>
      </c>
    </row>
    <row r="3164">
      <c r="A3164" t="n">
        <v>2001335</v>
      </c>
      <c r="B3164" t="n">
        <v>2</v>
      </c>
      <c r="C3164" t="n">
        <v>1335</v>
      </c>
      <c r="D3164" t="n">
        <v>-0.3308</v>
      </c>
      <c r="E3164" t="n">
        <v>15.3154</v>
      </c>
      <c r="F3164" t="n">
        <v>0.13533</v>
      </c>
    </row>
    <row r="3165">
      <c r="A3165" t="n">
        <v>2001336</v>
      </c>
      <c r="B3165" t="n">
        <v>2</v>
      </c>
      <c r="C3165" t="n">
        <v>1336</v>
      </c>
      <c r="D3165" t="n">
        <v>-0.3308</v>
      </c>
      <c r="E3165" t="n">
        <v>15.3214</v>
      </c>
      <c r="F3165" t="n">
        <v>0.13536</v>
      </c>
    </row>
    <row r="3166">
      <c r="A3166" t="n">
        <v>2001337</v>
      </c>
      <c r="B3166" t="n">
        <v>2</v>
      </c>
      <c r="C3166" t="n">
        <v>1337</v>
      </c>
      <c r="D3166" t="n">
        <v>-0.3308</v>
      </c>
      <c r="E3166" t="n">
        <v>15.3275</v>
      </c>
      <c r="F3166" t="n">
        <v>0.13539</v>
      </c>
    </row>
    <row r="3167">
      <c r="A3167" t="n">
        <v>2001338</v>
      </c>
      <c r="B3167" t="n">
        <v>2</v>
      </c>
      <c r="C3167" t="n">
        <v>1338</v>
      </c>
      <c r="D3167" t="n">
        <v>-0.3309</v>
      </c>
      <c r="E3167" t="n">
        <v>15.3335</v>
      </c>
      <c r="F3167" t="n">
        <v>0.13541</v>
      </c>
    </row>
    <row r="3168">
      <c r="A3168" t="n">
        <v>2001339</v>
      </c>
      <c r="B3168" t="n">
        <v>2</v>
      </c>
      <c r="C3168" t="n">
        <v>1339</v>
      </c>
      <c r="D3168" t="n">
        <v>-0.3309</v>
      </c>
      <c r="E3168" t="n">
        <v>15.3395</v>
      </c>
      <c r="F3168" t="n">
        <v>0.13544</v>
      </c>
    </row>
    <row r="3169">
      <c r="A3169" t="n">
        <v>2001340</v>
      </c>
      <c r="B3169" t="n">
        <v>2</v>
      </c>
      <c r="C3169" t="n">
        <v>1340</v>
      </c>
      <c r="D3169" t="n">
        <v>-0.331</v>
      </c>
      <c r="E3169" t="n">
        <v>15.3455</v>
      </c>
      <c r="F3169" t="n">
        <v>0.13547</v>
      </c>
    </row>
    <row r="3170">
      <c r="A3170" t="n">
        <v>2001341</v>
      </c>
      <c r="B3170" t="n">
        <v>2</v>
      </c>
      <c r="C3170" t="n">
        <v>1341</v>
      </c>
      <c r="D3170" t="n">
        <v>-0.331</v>
      </c>
      <c r="E3170" t="n">
        <v>15.3516</v>
      </c>
      <c r="F3170" t="n">
        <v>0.1355</v>
      </c>
    </row>
    <row r="3171">
      <c r="A3171" t="n">
        <v>2001342</v>
      </c>
      <c r="B3171" t="n">
        <v>2</v>
      </c>
      <c r="C3171" t="n">
        <v>1342</v>
      </c>
      <c r="D3171" t="n">
        <v>-0.3311</v>
      </c>
      <c r="E3171" t="n">
        <v>15.3576</v>
      </c>
      <c r="F3171" t="n">
        <v>0.13553</v>
      </c>
    </row>
    <row r="3172">
      <c r="A3172" t="n">
        <v>2001343</v>
      </c>
      <c r="B3172" t="n">
        <v>2</v>
      </c>
      <c r="C3172" t="n">
        <v>1343</v>
      </c>
      <c r="D3172" t="n">
        <v>-0.3311</v>
      </c>
      <c r="E3172" t="n">
        <v>15.3636</v>
      </c>
      <c r="F3172" t="n">
        <v>0.13555</v>
      </c>
    </row>
    <row r="3173">
      <c r="A3173" t="n">
        <v>2001344</v>
      </c>
      <c r="B3173" t="n">
        <v>2</v>
      </c>
      <c r="C3173" t="n">
        <v>1344</v>
      </c>
      <c r="D3173" t="n">
        <v>-0.3311</v>
      </c>
      <c r="E3173" t="n">
        <v>15.3696</v>
      </c>
      <c r="F3173" t="n">
        <v>0.13558</v>
      </c>
    </row>
    <row r="3174">
      <c r="A3174" t="n">
        <v>2001345</v>
      </c>
      <c r="B3174" t="n">
        <v>2</v>
      </c>
      <c r="C3174" t="n">
        <v>1345</v>
      </c>
      <c r="D3174" t="n">
        <v>-0.3312</v>
      </c>
      <c r="E3174" t="n">
        <v>15.3756</v>
      </c>
      <c r="F3174" t="n">
        <v>0.13561</v>
      </c>
    </row>
    <row r="3175">
      <c r="A3175" t="n">
        <v>2001346</v>
      </c>
      <c r="B3175" t="n">
        <v>2</v>
      </c>
      <c r="C3175" t="n">
        <v>1346</v>
      </c>
      <c r="D3175" t="n">
        <v>-0.3312</v>
      </c>
      <c r="E3175" t="n">
        <v>15.3817</v>
      </c>
      <c r="F3175" t="n">
        <v>0.13564</v>
      </c>
    </row>
    <row r="3176">
      <c r="A3176" t="n">
        <v>2001347</v>
      </c>
      <c r="B3176" t="n">
        <v>2</v>
      </c>
      <c r="C3176" t="n">
        <v>1347</v>
      </c>
      <c r="D3176" t="n">
        <v>-0.3313</v>
      </c>
      <c r="E3176" t="n">
        <v>15.3877</v>
      </c>
      <c r="F3176" t="n">
        <v>0.13567</v>
      </c>
    </row>
    <row r="3177">
      <c r="A3177" t="n">
        <v>2001348</v>
      </c>
      <c r="B3177" t="n">
        <v>2</v>
      </c>
      <c r="C3177" t="n">
        <v>1348</v>
      </c>
      <c r="D3177" t="n">
        <v>-0.3313</v>
      </c>
      <c r="E3177" t="n">
        <v>15.3937</v>
      </c>
      <c r="F3177" t="n">
        <v>0.13569</v>
      </c>
    </row>
    <row r="3178">
      <c r="A3178" t="n">
        <v>2001349</v>
      </c>
      <c r="B3178" t="n">
        <v>2</v>
      </c>
      <c r="C3178" t="n">
        <v>1349</v>
      </c>
      <c r="D3178" t="n">
        <v>-0.3314</v>
      </c>
      <c r="E3178" t="n">
        <v>15.3997</v>
      </c>
      <c r="F3178" t="n">
        <v>0.13572</v>
      </c>
    </row>
    <row r="3179">
      <c r="A3179" t="n">
        <v>2001350</v>
      </c>
      <c r="B3179" t="n">
        <v>2</v>
      </c>
      <c r="C3179" t="n">
        <v>1350</v>
      </c>
      <c r="D3179" t="n">
        <v>-0.3314</v>
      </c>
      <c r="E3179" t="n">
        <v>15.4057</v>
      </c>
      <c r="F3179" t="n">
        <v>0.13575</v>
      </c>
    </row>
    <row r="3180">
      <c r="A3180" t="n">
        <v>2001351</v>
      </c>
      <c r="B3180" t="n">
        <v>2</v>
      </c>
      <c r="C3180" t="n">
        <v>1351</v>
      </c>
      <c r="D3180" t="n">
        <v>-0.3314</v>
      </c>
      <c r="E3180" t="n">
        <v>15.4117</v>
      </c>
      <c r="F3180" t="n">
        <v>0.13578</v>
      </c>
    </row>
    <row r="3181">
      <c r="A3181" t="n">
        <v>2001352</v>
      </c>
      <c r="B3181" t="n">
        <v>2</v>
      </c>
      <c r="C3181" t="n">
        <v>1352</v>
      </c>
      <c r="D3181" t="n">
        <v>-0.3315</v>
      </c>
      <c r="E3181" t="n">
        <v>15.4178</v>
      </c>
      <c r="F3181" t="n">
        <v>0.13581</v>
      </c>
    </row>
    <row r="3182">
      <c r="A3182" t="n">
        <v>2001353</v>
      </c>
      <c r="B3182" t="n">
        <v>2</v>
      </c>
      <c r="C3182" t="n">
        <v>1353</v>
      </c>
      <c r="D3182" t="n">
        <v>-0.3315</v>
      </c>
      <c r="E3182" t="n">
        <v>15.4238</v>
      </c>
      <c r="F3182" t="n">
        <v>0.13584</v>
      </c>
    </row>
    <row r="3183">
      <c r="A3183" t="n">
        <v>2001354</v>
      </c>
      <c r="B3183" t="n">
        <v>2</v>
      </c>
      <c r="C3183" t="n">
        <v>1354</v>
      </c>
      <c r="D3183" t="n">
        <v>-0.3316</v>
      </c>
      <c r="E3183" t="n">
        <v>15.4298</v>
      </c>
      <c r="F3183" t="n">
        <v>0.13586</v>
      </c>
    </row>
    <row r="3184">
      <c r="A3184" t="n">
        <v>2001355</v>
      </c>
      <c r="B3184" t="n">
        <v>2</v>
      </c>
      <c r="C3184" t="n">
        <v>1355</v>
      </c>
      <c r="D3184" t="n">
        <v>-0.3316</v>
      </c>
      <c r="E3184" t="n">
        <v>15.4358</v>
      </c>
      <c r="F3184" t="n">
        <v>0.13589</v>
      </c>
    </row>
    <row r="3185">
      <c r="A3185" t="n">
        <v>2001356</v>
      </c>
      <c r="B3185" t="n">
        <v>2</v>
      </c>
      <c r="C3185" t="n">
        <v>1356</v>
      </c>
      <c r="D3185" t="n">
        <v>-0.3317</v>
      </c>
      <c r="E3185" t="n">
        <v>15.4418</v>
      </c>
      <c r="F3185" t="n">
        <v>0.13592</v>
      </c>
    </row>
    <row r="3186">
      <c r="A3186" t="n">
        <v>2001357</v>
      </c>
      <c r="B3186" t="n">
        <v>2</v>
      </c>
      <c r="C3186" t="n">
        <v>1357</v>
      </c>
      <c r="D3186" t="n">
        <v>-0.3317</v>
      </c>
      <c r="E3186" t="n">
        <v>15.4478</v>
      </c>
      <c r="F3186" t="n">
        <v>0.13595</v>
      </c>
    </row>
    <row r="3187">
      <c r="A3187" t="n">
        <v>2001358</v>
      </c>
      <c r="B3187" t="n">
        <v>2</v>
      </c>
      <c r="C3187" t="n">
        <v>1358</v>
      </c>
      <c r="D3187" t="n">
        <v>-0.3317</v>
      </c>
      <c r="E3187" t="n">
        <v>15.4538</v>
      </c>
      <c r="F3187" t="n">
        <v>0.13598</v>
      </c>
    </row>
    <row r="3188">
      <c r="A3188" t="n">
        <v>2001359</v>
      </c>
      <c r="B3188" t="n">
        <v>2</v>
      </c>
      <c r="C3188" t="n">
        <v>1359</v>
      </c>
      <c r="D3188" t="n">
        <v>-0.3318</v>
      </c>
      <c r="E3188" t="n">
        <v>15.4598</v>
      </c>
      <c r="F3188" t="n">
        <v>0.136</v>
      </c>
    </row>
    <row r="3189">
      <c r="A3189" t="n">
        <v>2001360</v>
      </c>
      <c r="B3189" t="n">
        <v>2</v>
      </c>
      <c r="C3189" t="n">
        <v>1360</v>
      </c>
      <c r="D3189" t="n">
        <v>-0.3318</v>
      </c>
      <c r="E3189" t="n">
        <v>15.4658</v>
      </c>
      <c r="F3189" t="n">
        <v>0.13603</v>
      </c>
    </row>
    <row r="3190">
      <c r="A3190" t="n">
        <v>2001361</v>
      </c>
      <c r="B3190" t="n">
        <v>2</v>
      </c>
      <c r="C3190" t="n">
        <v>1361</v>
      </c>
      <c r="D3190" t="n">
        <v>-0.3319</v>
      </c>
      <c r="E3190" t="n">
        <v>15.4719</v>
      </c>
      <c r="F3190" t="n">
        <v>0.13606</v>
      </c>
    </row>
    <row r="3191">
      <c r="A3191" t="n">
        <v>2001362</v>
      </c>
      <c r="B3191" t="n">
        <v>2</v>
      </c>
      <c r="C3191" t="n">
        <v>1362</v>
      </c>
      <c r="D3191" t="n">
        <v>-0.3319</v>
      </c>
      <c r="E3191" t="n">
        <v>15.4779</v>
      </c>
      <c r="F3191" t="n">
        <v>0.13609</v>
      </c>
    </row>
    <row r="3192">
      <c r="A3192" t="n">
        <v>2001363</v>
      </c>
      <c r="B3192" t="n">
        <v>2</v>
      </c>
      <c r="C3192" t="n">
        <v>1363</v>
      </c>
      <c r="D3192" t="n">
        <v>-0.332</v>
      </c>
      <c r="E3192" t="n">
        <v>15.4839</v>
      </c>
      <c r="F3192" t="n">
        <v>0.13612</v>
      </c>
    </row>
    <row r="3193">
      <c r="A3193" t="n">
        <v>2001364</v>
      </c>
      <c r="B3193" t="n">
        <v>2</v>
      </c>
      <c r="C3193" t="n">
        <v>1364</v>
      </c>
      <c r="D3193" t="n">
        <v>-0.332</v>
      </c>
      <c r="E3193" t="n">
        <v>15.4899</v>
      </c>
      <c r="F3193" t="n">
        <v>0.13614</v>
      </c>
    </row>
    <row r="3194">
      <c r="A3194" t="n">
        <v>2001365</v>
      </c>
      <c r="B3194" t="n">
        <v>2</v>
      </c>
      <c r="C3194" t="n">
        <v>1365</v>
      </c>
      <c r="D3194" t="n">
        <v>-0.332</v>
      </c>
      <c r="E3194" t="n">
        <v>15.4959</v>
      </c>
      <c r="F3194" t="n">
        <v>0.13617</v>
      </c>
    </row>
    <row r="3195">
      <c r="A3195" t="n">
        <v>2001366</v>
      </c>
      <c r="B3195" t="n">
        <v>2</v>
      </c>
      <c r="C3195" t="n">
        <v>1366</v>
      </c>
      <c r="D3195" t="n">
        <v>-0.3321</v>
      </c>
      <c r="E3195" t="n">
        <v>15.5019</v>
      </c>
      <c r="F3195" t="n">
        <v>0.1362</v>
      </c>
    </row>
    <row r="3196">
      <c r="A3196" t="n">
        <v>2001367</v>
      </c>
      <c r="B3196" t="n">
        <v>2</v>
      </c>
      <c r="C3196" t="n">
        <v>1367</v>
      </c>
      <c r="D3196" t="n">
        <v>-0.3321</v>
      </c>
      <c r="E3196" t="n">
        <v>15.5079</v>
      </c>
      <c r="F3196" t="n">
        <v>0.13623</v>
      </c>
    </row>
    <row r="3197">
      <c r="A3197" t="n">
        <v>2001368</v>
      </c>
      <c r="B3197" t="n">
        <v>2</v>
      </c>
      <c r="C3197" t="n">
        <v>1368</v>
      </c>
      <c r="D3197" t="n">
        <v>-0.3322</v>
      </c>
      <c r="E3197" t="n">
        <v>15.5139</v>
      </c>
      <c r="F3197" t="n">
        <v>0.13626</v>
      </c>
    </row>
    <row r="3198">
      <c r="A3198" t="n">
        <v>2001369</v>
      </c>
      <c r="B3198" t="n">
        <v>2</v>
      </c>
      <c r="C3198" t="n">
        <v>1369</v>
      </c>
      <c r="D3198" t="n">
        <v>-0.3322</v>
      </c>
      <c r="E3198" t="n">
        <v>15.5199</v>
      </c>
      <c r="F3198" t="n">
        <v>0.13628</v>
      </c>
    </row>
    <row r="3199">
      <c r="A3199" t="n">
        <v>2001370</v>
      </c>
      <c r="B3199" t="n">
        <v>2</v>
      </c>
      <c r="C3199" t="n">
        <v>1370</v>
      </c>
      <c r="D3199" t="n">
        <v>-0.3322</v>
      </c>
      <c r="E3199" t="n">
        <v>15.5259</v>
      </c>
      <c r="F3199" t="n">
        <v>0.13631</v>
      </c>
    </row>
    <row r="3200">
      <c r="A3200" t="n">
        <v>2001371</v>
      </c>
      <c r="B3200" t="n">
        <v>2</v>
      </c>
      <c r="C3200" t="n">
        <v>1371</v>
      </c>
      <c r="D3200" t="n">
        <v>-0.3323</v>
      </c>
      <c r="E3200" t="n">
        <v>15.5319</v>
      </c>
      <c r="F3200" t="n">
        <v>0.13634</v>
      </c>
    </row>
    <row r="3201">
      <c r="A3201" t="n">
        <v>2001372</v>
      </c>
      <c r="B3201" t="n">
        <v>2</v>
      </c>
      <c r="C3201" t="n">
        <v>1372</v>
      </c>
      <c r="D3201" t="n">
        <v>-0.3323</v>
      </c>
      <c r="E3201" t="n">
        <v>15.5379</v>
      </c>
      <c r="F3201" t="n">
        <v>0.13637</v>
      </c>
    </row>
    <row r="3202">
      <c r="A3202" t="n">
        <v>2001373</v>
      </c>
      <c r="B3202" t="n">
        <v>2</v>
      </c>
      <c r="C3202" t="n">
        <v>1373</v>
      </c>
      <c r="D3202" t="n">
        <v>-0.3324</v>
      </c>
      <c r="E3202" t="n">
        <v>15.5439</v>
      </c>
      <c r="F3202" t="n">
        <v>0.1364</v>
      </c>
    </row>
    <row r="3203">
      <c r="A3203" t="n">
        <v>2001374</v>
      </c>
      <c r="B3203" t="n">
        <v>2</v>
      </c>
      <c r="C3203" t="n">
        <v>1374</v>
      </c>
      <c r="D3203" t="n">
        <v>-0.3324</v>
      </c>
      <c r="E3203" t="n">
        <v>15.5499</v>
      </c>
      <c r="F3203" t="n">
        <v>0.13642</v>
      </c>
    </row>
    <row r="3204">
      <c r="A3204" t="n">
        <v>2001375</v>
      </c>
      <c r="B3204" t="n">
        <v>2</v>
      </c>
      <c r="C3204" t="n">
        <v>1375</v>
      </c>
      <c r="D3204" t="n">
        <v>-0.3325</v>
      </c>
      <c r="E3204" t="n">
        <v>15.5559</v>
      </c>
      <c r="F3204" t="n">
        <v>0.13645</v>
      </c>
    </row>
    <row r="3205">
      <c r="A3205" t="n">
        <v>2001376</v>
      </c>
      <c r="B3205" t="n">
        <v>2</v>
      </c>
      <c r="C3205" t="n">
        <v>1376</v>
      </c>
      <c r="D3205" t="n">
        <v>-0.3325</v>
      </c>
      <c r="E3205" t="n">
        <v>15.5619</v>
      </c>
      <c r="F3205" t="n">
        <v>0.13648</v>
      </c>
    </row>
    <row r="3206">
      <c r="A3206" t="n">
        <v>2001377</v>
      </c>
      <c r="B3206" t="n">
        <v>2</v>
      </c>
      <c r="C3206" t="n">
        <v>1377</v>
      </c>
      <c r="D3206" t="n">
        <v>-0.3325</v>
      </c>
      <c r="E3206" t="n">
        <v>15.5679</v>
      </c>
      <c r="F3206" t="n">
        <v>0.13651</v>
      </c>
    </row>
    <row r="3207">
      <c r="A3207" t="n">
        <v>2001378</v>
      </c>
      <c r="B3207" t="n">
        <v>2</v>
      </c>
      <c r="C3207" t="n">
        <v>1378</v>
      </c>
      <c r="D3207" t="n">
        <v>-0.3326</v>
      </c>
      <c r="E3207" t="n">
        <v>15.5739</v>
      </c>
      <c r="F3207" t="n">
        <v>0.13654</v>
      </c>
    </row>
    <row r="3208">
      <c r="A3208" t="n">
        <v>2001379</v>
      </c>
      <c r="B3208" t="n">
        <v>2</v>
      </c>
      <c r="C3208" t="n">
        <v>1379</v>
      </c>
      <c r="D3208" t="n">
        <v>-0.3326</v>
      </c>
      <c r="E3208" t="n">
        <v>15.5799</v>
      </c>
      <c r="F3208" t="n">
        <v>0.13656</v>
      </c>
    </row>
    <row r="3209">
      <c r="A3209" t="n">
        <v>2001380</v>
      </c>
      <c r="B3209" t="n">
        <v>2</v>
      </c>
      <c r="C3209" t="n">
        <v>1380</v>
      </c>
      <c r="D3209" t="n">
        <v>-0.3327</v>
      </c>
      <c r="E3209" t="n">
        <v>15.5859</v>
      </c>
      <c r="F3209" t="n">
        <v>0.13659</v>
      </c>
    </row>
    <row r="3210">
      <c r="A3210" t="n">
        <v>2001381</v>
      </c>
      <c r="B3210" t="n">
        <v>2</v>
      </c>
      <c r="C3210" t="n">
        <v>1381</v>
      </c>
      <c r="D3210" t="n">
        <v>-0.3327</v>
      </c>
      <c r="E3210" t="n">
        <v>15.5918</v>
      </c>
      <c r="F3210" t="n">
        <v>0.13662</v>
      </c>
    </row>
    <row r="3211">
      <c r="A3211" t="n">
        <v>2001382</v>
      </c>
      <c r="B3211" t="n">
        <v>2</v>
      </c>
      <c r="C3211" t="n">
        <v>1382</v>
      </c>
      <c r="D3211" t="n">
        <v>-0.3328</v>
      </c>
      <c r="E3211" t="n">
        <v>15.5978</v>
      </c>
      <c r="F3211" t="n">
        <v>0.13665</v>
      </c>
    </row>
    <row r="3212">
      <c r="A3212" t="n">
        <v>2001383</v>
      </c>
      <c r="B3212" t="n">
        <v>2</v>
      </c>
      <c r="C3212" t="n">
        <v>1383</v>
      </c>
      <c r="D3212" t="n">
        <v>-0.3328</v>
      </c>
      <c r="E3212" t="n">
        <v>15.6038</v>
      </c>
      <c r="F3212" t="n">
        <v>0.13668</v>
      </c>
    </row>
    <row r="3213">
      <c r="A3213" t="n">
        <v>2001384</v>
      </c>
      <c r="B3213" t="n">
        <v>2</v>
      </c>
      <c r="C3213" t="n">
        <v>1384</v>
      </c>
      <c r="D3213" t="n">
        <v>-0.3328</v>
      </c>
      <c r="E3213" t="n">
        <v>15.6098</v>
      </c>
      <c r="F3213" t="n">
        <v>0.1367</v>
      </c>
    </row>
    <row r="3214">
      <c r="A3214" t="n">
        <v>2001385</v>
      </c>
      <c r="B3214" t="n">
        <v>2</v>
      </c>
      <c r="C3214" t="n">
        <v>1385</v>
      </c>
      <c r="D3214" t="n">
        <v>-0.3329</v>
      </c>
      <c r="E3214" t="n">
        <v>15.6158</v>
      </c>
      <c r="F3214" t="n">
        <v>0.13673</v>
      </c>
    </row>
    <row r="3215">
      <c r="A3215" t="n">
        <v>2001386</v>
      </c>
      <c r="B3215" t="n">
        <v>2</v>
      </c>
      <c r="C3215" t="n">
        <v>1386</v>
      </c>
      <c r="D3215" t="n">
        <v>-0.3329</v>
      </c>
      <c r="E3215" t="n">
        <v>15.6218</v>
      </c>
      <c r="F3215" t="n">
        <v>0.13676</v>
      </c>
    </row>
    <row r="3216">
      <c r="A3216" t="n">
        <v>2001387</v>
      </c>
      <c r="B3216" t="n">
        <v>2</v>
      </c>
      <c r="C3216" t="n">
        <v>1387</v>
      </c>
      <c r="D3216" t="n">
        <v>-0.333</v>
      </c>
      <c r="E3216" t="n">
        <v>15.6278</v>
      </c>
      <c r="F3216" t="n">
        <v>0.13679</v>
      </c>
    </row>
    <row r="3217">
      <c r="A3217" t="n">
        <v>2001388</v>
      </c>
      <c r="B3217" t="n">
        <v>2</v>
      </c>
      <c r="C3217" t="n">
        <v>1388</v>
      </c>
      <c r="D3217" t="n">
        <v>-0.333</v>
      </c>
      <c r="E3217" t="n">
        <v>15.6338</v>
      </c>
      <c r="F3217" t="n">
        <v>0.13682</v>
      </c>
    </row>
    <row r="3218">
      <c r="A3218" t="n">
        <v>2001389</v>
      </c>
      <c r="B3218" t="n">
        <v>2</v>
      </c>
      <c r="C3218" t="n">
        <v>1389</v>
      </c>
      <c r="D3218" t="n">
        <v>-0.3331</v>
      </c>
      <c r="E3218" t="n">
        <v>15.6398</v>
      </c>
      <c r="F3218" t="n">
        <v>0.13684</v>
      </c>
    </row>
    <row r="3219">
      <c r="A3219" t="n">
        <v>2001390</v>
      </c>
      <c r="B3219" t="n">
        <v>2</v>
      </c>
      <c r="C3219" t="n">
        <v>1390</v>
      </c>
      <c r="D3219" t="n">
        <v>-0.3331</v>
      </c>
      <c r="E3219" t="n">
        <v>15.6458</v>
      </c>
      <c r="F3219" t="n">
        <v>0.13687</v>
      </c>
    </row>
    <row r="3220">
      <c r="A3220" t="n">
        <v>2001391</v>
      </c>
      <c r="B3220" t="n">
        <v>2</v>
      </c>
      <c r="C3220" t="n">
        <v>1391</v>
      </c>
      <c r="D3220" t="n">
        <v>-0.3331</v>
      </c>
      <c r="E3220" t="n">
        <v>15.6517</v>
      </c>
      <c r="F3220" t="n">
        <v>0.1369</v>
      </c>
    </row>
    <row r="3221">
      <c r="A3221" t="n">
        <v>2001392</v>
      </c>
      <c r="B3221" t="n">
        <v>2</v>
      </c>
      <c r="C3221" t="n">
        <v>1392</v>
      </c>
      <c r="D3221" t="n">
        <v>-0.3332</v>
      </c>
      <c r="E3221" t="n">
        <v>15.6577</v>
      </c>
      <c r="F3221" t="n">
        <v>0.13693</v>
      </c>
    </row>
    <row r="3222">
      <c r="A3222" t="n">
        <v>2001393</v>
      </c>
      <c r="B3222" t="n">
        <v>2</v>
      </c>
      <c r="C3222" t="n">
        <v>1393</v>
      </c>
      <c r="D3222" t="n">
        <v>-0.3332</v>
      </c>
      <c r="E3222" t="n">
        <v>15.6637</v>
      </c>
      <c r="F3222" t="n">
        <v>0.13696</v>
      </c>
    </row>
    <row r="3223">
      <c r="A3223" t="n">
        <v>2001394</v>
      </c>
      <c r="B3223" t="n">
        <v>2</v>
      </c>
      <c r="C3223" t="n">
        <v>1394</v>
      </c>
      <c r="D3223" t="n">
        <v>-0.3333</v>
      </c>
      <c r="E3223" t="n">
        <v>15.6697</v>
      </c>
      <c r="F3223" t="n">
        <v>0.13698</v>
      </c>
    </row>
    <row r="3224">
      <c r="A3224" t="n">
        <v>2001395</v>
      </c>
      <c r="B3224" t="n">
        <v>2</v>
      </c>
      <c r="C3224" t="n">
        <v>1395</v>
      </c>
      <c r="D3224" t="n">
        <v>-0.3333</v>
      </c>
      <c r="E3224" t="n">
        <v>15.6757</v>
      </c>
      <c r="F3224" t="n">
        <v>0.13701</v>
      </c>
    </row>
    <row r="3225">
      <c r="A3225" t="n">
        <v>2001396</v>
      </c>
      <c r="B3225" t="n">
        <v>2</v>
      </c>
      <c r="C3225" t="n">
        <v>1396</v>
      </c>
      <c r="D3225" t="n">
        <v>-0.3334</v>
      </c>
      <c r="E3225" t="n">
        <v>15.6817</v>
      </c>
      <c r="F3225" t="n">
        <v>0.13704</v>
      </c>
    </row>
    <row r="3226">
      <c r="A3226" t="n">
        <v>2001397</v>
      </c>
      <c r="B3226" t="n">
        <v>2</v>
      </c>
      <c r="C3226" t="n">
        <v>1397</v>
      </c>
      <c r="D3226" t="n">
        <v>-0.3334</v>
      </c>
      <c r="E3226" t="n">
        <v>15.6877</v>
      </c>
      <c r="F3226" t="n">
        <v>0.13707</v>
      </c>
    </row>
    <row r="3227">
      <c r="A3227" t="n">
        <v>2001398</v>
      </c>
      <c r="B3227" t="n">
        <v>2</v>
      </c>
      <c r="C3227" t="n">
        <v>1398</v>
      </c>
      <c r="D3227" t="n">
        <v>-0.3334</v>
      </c>
      <c r="E3227" t="n">
        <v>15.6936</v>
      </c>
      <c r="F3227" t="n">
        <v>0.1371</v>
      </c>
    </row>
    <row r="3228">
      <c r="A3228" t="n">
        <v>2001399</v>
      </c>
      <c r="B3228" t="n">
        <v>2</v>
      </c>
      <c r="C3228" t="n">
        <v>1399</v>
      </c>
      <c r="D3228" t="n">
        <v>-0.3335</v>
      </c>
      <c r="E3228" t="n">
        <v>15.6996</v>
      </c>
      <c r="F3228" t="n">
        <v>0.13712</v>
      </c>
    </row>
    <row r="3229">
      <c r="A3229" t="n">
        <v>2001400</v>
      </c>
      <c r="B3229" t="n">
        <v>2</v>
      </c>
      <c r="C3229" t="n">
        <v>1400</v>
      </c>
      <c r="D3229" t="n">
        <v>-0.3335</v>
      </c>
      <c r="E3229" t="n">
        <v>15.7056</v>
      </c>
      <c r="F3229" t="n">
        <v>0.13715</v>
      </c>
    </row>
    <row r="3230">
      <c r="A3230" t="n">
        <v>2001401</v>
      </c>
      <c r="B3230" t="n">
        <v>2</v>
      </c>
      <c r="C3230" t="n">
        <v>1401</v>
      </c>
      <c r="D3230" t="n">
        <v>-0.3336</v>
      </c>
      <c r="E3230" t="n">
        <v>15.7116</v>
      </c>
      <c r="F3230" t="n">
        <v>0.13718</v>
      </c>
    </row>
    <row r="3231">
      <c r="A3231" t="n">
        <v>2001402</v>
      </c>
      <c r="B3231" t="n">
        <v>2</v>
      </c>
      <c r="C3231" t="n">
        <v>1402</v>
      </c>
      <c r="D3231" t="n">
        <v>-0.3336</v>
      </c>
      <c r="E3231" t="n">
        <v>15.7176</v>
      </c>
      <c r="F3231" t="n">
        <v>0.13721</v>
      </c>
    </row>
    <row r="3232">
      <c r="A3232" t="n">
        <v>2001403</v>
      </c>
      <c r="B3232" t="n">
        <v>2</v>
      </c>
      <c r="C3232" t="n">
        <v>1403</v>
      </c>
      <c r="D3232" t="n">
        <v>-0.3337</v>
      </c>
      <c r="E3232" t="n">
        <v>15.7236</v>
      </c>
      <c r="F3232" t="n">
        <v>0.13724</v>
      </c>
    </row>
    <row r="3233">
      <c r="A3233" t="n">
        <v>2001404</v>
      </c>
      <c r="B3233" t="n">
        <v>2</v>
      </c>
      <c r="C3233" t="n">
        <v>1404</v>
      </c>
      <c r="D3233" t="n">
        <v>-0.3337</v>
      </c>
      <c r="E3233" t="n">
        <v>15.7295</v>
      </c>
      <c r="F3233" t="n">
        <v>0.13726</v>
      </c>
    </row>
    <row r="3234">
      <c r="A3234" t="n">
        <v>2001405</v>
      </c>
      <c r="B3234" t="n">
        <v>2</v>
      </c>
      <c r="C3234" t="n">
        <v>1405</v>
      </c>
      <c r="D3234" t="n">
        <v>-0.3337</v>
      </c>
      <c r="E3234" t="n">
        <v>15.7355</v>
      </c>
      <c r="F3234" t="n">
        <v>0.13729</v>
      </c>
    </row>
    <row r="3235">
      <c r="A3235" t="n">
        <v>2001406</v>
      </c>
      <c r="B3235" t="n">
        <v>2</v>
      </c>
      <c r="C3235" t="n">
        <v>1406</v>
      </c>
      <c r="D3235" t="n">
        <v>-0.3338</v>
      </c>
      <c r="E3235" t="n">
        <v>15.7415</v>
      </c>
      <c r="F3235" t="n">
        <v>0.13732</v>
      </c>
    </row>
    <row r="3236">
      <c r="A3236" t="n">
        <v>2001407</v>
      </c>
      <c r="B3236" t="n">
        <v>2</v>
      </c>
      <c r="C3236" t="n">
        <v>1407</v>
      </c>
      <c r="D3236" t="n">
        <v>-0.3338</v>
      </c>
      <c r="E3236" t="n">
        <v>15.7475</v>
      </c>
      <c r="F3236" t="n">
        <v>0.13735</v>
      </c>
    </row>
    <row r="3237">
      <c r="A3237" t="n">
        <v>2001408</v>
      </c>
      <c r="B3237" t="n">
        <v>2</v>
      </c>
      <c r="C3237" t="n">
        <v>1408</v>
      </c>
      <c r="D3237" t="n">
        <v>-0.3339</v>
      </c>
      <c r="E3237" t="n">
        <v>15.7534</v>
      </c>
      <c r="F3237" t="n">
        <v>0.13737</v>
      </c>
    </row>
    <row r="3238">
      <c r="A3238" t="n">
        <v>2001409</v>
      </c>
      <c r="B3238" t="n">
        <v>2</v>
      </c>
      <c r="C3238" t="n">
        <v>1409</v>
      </c>
      <c r="D3238" t="n">
        <v>-0.3339</v>
      </c>
      <c r="E3238" t="n">
        <v>15.7594</v>
      </c>
      <c r="F3238" t="n">
        <v>0.1374</v>
      </c>
    </row>
    <row r="3239">
      <c r="A3239" t="n">
        <v>2001410</v>
      </c>
      <c r="B3239" t="n">
        <v>2</v>
      </c>
      <c r="C3239" t="n">
        <v>1410</v>
      </c>
      <c r="D3239" t="n">
        <v>-0.3339</v>
      </c>
      <c r="E3239" t="n">
        <v>15.7654</v>
      </c>
      <c r="F3239" t="n">
        <v>0.13743</v>
      </c>
    </row>
    <row r="3240">
      <c r="A3240" t="n">
        <v>2001411</v>
      </c>
      <c r="B3240" t="n">
        <v>2</v>
      </c>
      <c r="C3240" t="n">
        <v>1411</v>
      </c>
      <c r="D3240" t="n">
        <v>-0.334</v>
      </c>
      <c r="E3240" t="n">
        <v>15.7714</v>
      </c>
      <c r="F3240" t="n">
        <v>0.13746</v>
      </c>
    </row>
    <row r="3241">
      <c r="A3241" t="n">
        <v>2001412</v>
      </c>
      <c r="B3241" t="n">
        <v>2</v>
      </c>
      <c r="C3241" t="n">
        <v>1412</v>
      </c>
      <c r="D3241" t="n">
        <v>-0.334</v>
      </c>
      <c r="E3241" t="n">
        <v>15.7774</v>
      </c>
      <c r="F3241" t="n">
        <v>0.13749</v>
      </c>
    </row>
    <row r="3242">
      <c r="A3242" t="n">
        <v>2001413</v>
      </c>
      <c r="B3242" t="n">
        <v>2</v>
      </c>
      <c r="C3242" t="n">
        <v>1413</v>
      </c>
      <c r="D3242" t="n">
        <v>-0.3341</v>
      </c>
      <c r="E3242" t="n">
        <v>15.7833</v>
      </c>
      <c r="F3242" t="n">
        <v>0.13751</v>
      </c>
    </row>
    <row r="3243">
      <c r="A3243" t="n">
        <v>2001414</v>
      </c>
      <c r="B3243" t="n">
        <v>2</v>
      </c>
      <c r="C3243" t="n">
        <v>1414</v>
      </c>
      <c r="D3243" t="n">
        <v>-0.3341</v>
      </c>
      <c r="E3243" t="n">
        <v>15.7893</v>
      </c>
      <c r="F3243" t="n">
        <v>0.13754</v>
      </c>
    </row>
    <row r="3244">
      <c r="A3244" t="n">
        <v>2001415</v>
      </c>
      <c r="B3244" t="n">
        <v>2</v>
      </c>
      <c r="C3244" t="n">
        <v>1415</v>
      </c>
      <c r="D3244" t="n">
        <v>-0.3342</v>
      </c>
      <c r="E3244" t="n">
        <v>15.7953</v>
      </c>
      <c r="F3244" t="n">
        <v>0.13757</v>
      </c>
    </row>
    <row r="3245">
      <c r="A3245" t="n">
        <v>2001416</v>
      </c>
      <c r="B3245" t="n">
        <v>2</v>
      </c>
      <c r="C3245" t="n">
        <v>1416</v>
      </c>
      <c r="D3245" t="n">
        <v>-0.3342</v>
      </c>
      <c r="E3245" t="n">
        <v>15.8013</v>
      </c>
      <c r="F3245" t="n">
        <v>0.1376</v>
      </c>
    </row>
    <row r="3246">
      <c r="A3246" t="n">
        <v>2001417</v>
      </c>
      <c r="B3246" t="n">
        <v>2</v>
      </c>
      <c r="C3246" t="n">
        <v>1417</v>
      </c>
      <c r="D3246" t="n">
        <v>-0.3342</v>
      </c>
      <c r="E3246" t="n">
        <v>15.8072</v>
      </c>
      <c r="F3246" t="n">
        <v>0.13763</v>
      </c>
    </row>
    <row r="3247">
      <c r="A3247" t="n">
        <v>2001418</v>
      </c>
      <c r="B3247" t="n">
        <v>2</v>
      </c>
      <c r="C3247" t="n">
        <v>1418</v>
      </c>
      <c r="D3247" t="n">
        <v>-0.3343</v>
      </c>
      <c r="E3247" t="n">
        <v>15.8132</v>
      </c>
      <c r="F3247" t="n">
        <v>0.13765</v>
      </c>
    </row>
    <row r="3248">
      <c r="A3248" t="n">
        <v>2001419</v>
      </c>
      <c r="B3248" t="n">
        <v>2</v>
      </c>
      <c r="C3248" t="n">
        <v>1419</v>
      </c>
      <c r="D3248" t="n">
        <v>-0.3343</v>
      </c>
      <c r="E3248" t="n">
        <v>15.8192</v>
      </c>
      <c r="F3248" t="n">
        <v>0.13768</v>
      </c>
    </row>
    <row r="3249">
      <c r="A3249" t="n">
        <v>2001420</v>
      </c>
      <c r="B3249" t="n">
        <v>2</v>
      </c>
      <c r="C3249" t="n">
        <v>1420</v>
      </c>
      <c r="D3249" t="n">
        <v>-0.3344</v>
      </c>
      <c r="E3249" t="n">
        <v>15.8252</v>
      </c>
      <c r="F3249" t="n">
        <v>0.13771</v>
      </c>
    </row>
    <row r="3250">
      <c r="A3250" t="n">
        <v>2001421</v>
      </c>
      <c r="B3250" t="n">
        <v>2</v>
      </c>
      <c r="C3250" t="n">
        <v>1421</v>
      </c>
      <c r="D3250" t="n">
        <v>-0.3344</v>
      </c>
      <c r="E3250" t="n">
        <v>15.8311</v>
      </c>
      <c r="F3250" t="n">
        <v>0.13774</v>
      </c>
    </row>
    <row r="3251">
      <c r="A3251" t="n">
        <v>2001422</v>
      </c>
      <c r="B3251" t="n">
        <v>2</v>
      </c>
      <c r="C3251" t="n">
        <v>1422</v>
      </c>
      <c r="D3251" t="n">
        <v>-0.3345</v>
      </c>
      <c r="E3251" t="n">
        <v>15.8371</v>
      </c>
      <c r="F3251" t="n">
        <v>0.13776</v>
      </c>
    </row>
    <row r="3252">
      <c r="A3252" t="n">
        <v>2001423</v>
      </c>
      <c r="B3252" t="n">
        <v>2</v>
      </c>
      <c r="C3252" t="n">
        <v>1423</v>
      </c>
      <c r="D3252" t="n">
        <v>-0.3345</v>
      </c>
      <c r="E3252" t="n">
        <v>15.8431</v>
      </c>
      <c r="F3252" t="n">
        <v>0.13779</v>
      </c>
    </row>
    <row r="3253">
      <c r="A3253" t="n">
        <v>2001424</v>
      </c>
      <c r="B3253" t="n">
        <v>2</v>
      </c>
      <c r="C3253" t="n">
        <v>1424</v>
      </c>
      <c r="D3253" t="n">
        <v>-0.3345</v>
      </c>
      <c r="E3253" t="n">
        <v>15.849</v>
      </c>
      <c r="F3253" t="n">
        <v>0.13782</v>
      </c>
    </row>
    <row r="3254">
      <c r="A3254" t="n">
        <v>2001425</v>
      </c>
      <c r="B3254" t="n">
        <v>2</v>
      </c>
      <c r="C3254" t="n">
        <v>1425</v>
      </c>
      <c r="D3254" t="n">
        <v>-0.3346</v>
      </c>
      <c r="E3254" t="n">
        <v>15.855</v>
      </c>
      <c r="F3254" t="n">
        <v>0.13785</v>
      </c>
    </row>
    <row r="3255">
      <c r="A3255" t="n">
        <v>2001426</v>
      </c>
      <c r="B3255" t="n">
        <v>2</v>
      </c>
      <c r="C3255" t="n">
        <v>1426</v>
      </c>
      <c r="D3255" t="n">
        <v>-0.3346</v>
      </c>
      <c r="E3255" t="n">
        <v>15.861</v>
      </c>
      <c r="F3255" t="n">
        <v>0.13788</v>
      </c>
    </row>
    <row r="3256">
      <c r="A3256" t="n">
        <v>2001427</v>
      </c>
      <c r="B3256" t="n">
        <v>2</v>
      </c>
      <c r="C3256" t="n">
        <v>1427</v>
      </c>
      <c r="D3256" t="n">
        <v>-0.3347</v>
      </c>
      <c r="E3256" t="n">
        <v>15.8669</v>
      </c>
      <c r="F3256" t="n">
        <v>0.1379</v>
      </c>
    </row>
    <row r="3257">
      <c r="A3257" t="n">
        <v>2001428</v>
      </c>
      <c r="B3257" t="n">
        <v>2</v>
      </c>
      <c r="C3257" t="n">
        <v>1428</v>
      </c>
      <c r="D3257" t="n">
        <v>-0.3347</v>
      </c>
      <c r="E3257" t="n">
        <v>15.8729</v>
      </c>
      <c r="F3257" t="n">
        <v>0.13793</v>
      </c>
    </row>
    <row r="3258">
      <c r="A3258" t="n">
        <v>2001429</v>
      </c>
      <c r="B3258" t="n">
        <v>2</v>
      </c>
      <c r="C3258" t="n">
        <v>1429</v>
      </c>
      <c r="D3258" t="n">
        <v>-0.3348</v>
      </c>
      <c r="E3258" t="n">
        <v>15.8789</v>
      </c>
      <c r="F3258" t="n">
        <v>0.13796</v>
      </c>
    </row>
    <row r="3259">
      <c r="A3259" t="n">
        <v>2001430</v>
      </c>
      <c r="B3259" t="n">
        <v>2</v>
      </c>
      <c r="C3259" t="n">
        <v>1430</v>
      </c>
      <c r="D3259" t="n">
        <v>-0.3348</v>
      </c>
      <c r="E3259" t="n">
        <v>15.8849</v>
      </c>
      <c r="F3259" t="n">
        <v>0.13799</v>
      </c>
    </row>
    <row r="3260">
      <c r="A3260" t="n">
        <v>2001431</v>
      </c>
      <c r="B3260" t="n">
        <v>2</v>
      </c>
      <c r="C3260" t="n">
        <v>1431</v>
      </c>
      <c r="D3260" t="n">
        <v>-0.3348</v>
      </c>
      <c r="E3260" t="n">
        <v>15.8908</v>
      </c>
      <c r="F3260" t="n">
        <v>0.13801</v>
      </c>
    </row>
    <row r="3261">
      <c r="A3261" t="n">
        <v>2001432</v>
      </c>
      <c r="B3261" t="n">
        <v>2</v>
      </c>
      <c r="C3261" t="n">
        <v>1432</v>
      </c>
      <c r="D3261" t="n">
        <v>-0.3349</v>
      </c>
      <c r="E3261" t="n">
        <v>15.8968</v>
      </c>
      <c r="F3261" t="n">
        <v>0.13804</v>
      </c>
    </row>
    <row r="3262">
      <c r="A3262" t="n">
        <v>2001433</v>
      </c>
      <c r="B3262" t="n">
        <v>2</v>
      </c>
      <c r="C3262" t="n">
        <v>1433</v>
      </c>
      <c r="D3262" t="n">
        <v>-0.3349</v>
      </c>
      <c r="E3262" t="n">
        <v>15.9028</v>
      </c>
      <c r="F3262" t="n">
        <v>0.13807</v>
      </c>
    </row>
    <row r="3263">
      <c r="A3263" t="n">
        <v>2001434</v>
      </c>
      <c r="B3263" t="n">
        <v>2</v>
      </c>
      <c r="C3263" t="n">
        <v>1434</v>
      </c>
      <c r="D3263" t="n">
        <v>-0.335</v>
      </c>
      <c r="E3263" t="n">
        <v>15.9087</v>
      </c>
      <c r="F3263" t="n">
        <v>0.1381</v>
      </c>
    </row>
    <row r="3264">
      <c r="A3264" t="n">
        <v>2001435</v>
      </c>
      <c r="B3264" t="n">
        <v>2</v>
      </c>
      <c r="C3264" t="n">
        <v>1435</v>
      </c>
      <c r="D3264" t="n">
        <v>-0.335</v>
      </c>
      <c r="E3264" t="n">
        <v>15.9147</v>
      </c>
      <c r="F3264" t="n">
        <v>0.13813</v>
      </c>
    </row>
    <row r="3265">
      <c r="A3265" t="n">
        <v>2001436</v>
      </c>
      <c r="B3265" t="n">
        <v>2</v>
      </c>
      <c r="C3265" t="n">
        <v>1436</v>
      </c>
      <c r="D3265" t="n">
        <v>-0.3351</v>
      </c>
      <c r="E3265" t="n">
        <v>15.9207</v>
      </c>
      <c r="F3265" t="n">
        <v>0.13815</v>
      </c>
    </row>
    <row r="3266">
      <c r="A3266" t="n">
        <v>2001437</v>
      </c>
      <c r="B3266" t="n">
        <v>2</v>
      </c>
      <c r="C3266" t="n">
        <v>1437</v>
      </c>
      <c r="D3266" t="n">
        <v>-0.3351</v>
      </c>
      <c r="E3266" t="n">
        <v>15.9266</v>
      </c>
      <c r="F3266" t="n">
        <v>0.13818</v>
      </c>
    </row>
    <row r="3267">
      <c r="A3267" t="n">
        <v>2001438</v>
      </c>
      <c r="B3267" t="n">
        <v>2</v>
      </c>
      <c r="C3267" t="n">
        <v>1438</v>
      </c>
      <c r="D3267" t="n">
        <v>-0.3351</v>
      </c>
      <c r="E3267" t="n">
        <v>15.9326</v>
      </c>
      <c r="F3267" t="n">
        <v>0.13821</v>
      </c>
    </row>
    <row r="3268">
      <c r="A3268" t="n">
        <v>2001439</v>
      </c>
      <c r="B3268" t="n">
        <v>2</v>
      </c>
      <c r="C3268" t="n">
        <v>1439</v>
      </c>
      <c r="D3268" t="n">
        <v>-0.3352</v>
      </c>
      <c r="E3268" t="n">
        <v>15.9386</v>
      </c>
      <c r="F3268" t="n">
        <v>0.13824</v>
      </c>
    </row>
    <row r="3269">
      <c r="A3269" t="n">
        <v>2001440</v>
      </c>
      <c r="B3269" t="n">
        <v>2</v>
      </c>
      <c r="C3269" t="n">
        <v>1440</v>
      </c>
      <c r="D3269" t="n">
        <v>-0.3352</v>
      </c>
      <c r="E3269" t="n">
        <v>15.9445</v>
      </c>
      <c r="F3269" t="n">
        <v>0.13826</v>
      </c>
    </row>
    <row r="3270">
      <c r="A3270" t="n">
        <v>2001441</v>
      </c>
      <c r="B3270" t="n">
        <v>2</v>
      </c>
      <c r="C3270" t="n">
        <v>1441</v>
      </c>
      <c r="D3270" t="n">
        <v>-0.3353</v>
      </c>
      <c r="E3270" t="n">
        <v>15.9505</v>
      </c>
      <c r="F3270" t="n">
        <v>0.13829</v>
      </c>
    </row>
    <row r="3271">
      <c r="A3271" t="n">
        <v>2001442</v>
      </c>
      <c r="B3271" t="n">
        <v>2</v>
      </c>
      <c r="C3271" t="n">
        <v>1442</v>
      </c>
      <c r="D3271" t="n">
        <v>-0.3353</v>
      </c>
      <c r="E3271" t="n">
        <v>15.9565</v>
      </c>
      <c r="F3271" t="n">
        <v>0.13832</v>
      </c>
    </row>
    <row r="3272">
      <c r="A3272" t="n">
        <v>2001443</v>
      </c>
      <c r="B3272" t="n">
        <v>2</v>
      </c>
      <c r="C3272" t="n">
        <v>1443</v>
      </c>
      <c r="D3272" t="n">
        <v>-0.3354</v>
      </c>
      <c r="E3272" t="n">
        <v>15.9624</v>
      </c>
      <c r="F3272" t="n">
        <v>0.13835</v>
      </c>
    </row>
    <row r="3273">
      <c r="A3273" t="n">
        <v>2001444</v>
      </c>
      <c r="B3273" t="n">
        <v>2</v>
      </c>
      <c r="C3273" t="n">
        <v>1444</v>
      </c>
      <c r="D3273" t="n">
        <v>-0.3354</v>
      </c>
      <c r="E3273" t="n">
        <v>15.9684</v>
      </c>
      <c r="F3273" t="n">
        <v>0.13838</v>
      </c>
    </row>
    <row r="3274">
      <c r="A3274" t="n">
        <v>2001445</v>
      </c>
      <c r="B3274" t="n">
        <v>2</v>
      </c>
      <c r="C3274" t="n">
        <v>1445</v>
      </c>
      <c r="D3274" t="n">
        <v>-0.3354</v>
      </c>
      <c r="E3274" t="n">
        <v>15.9744</v>
      </c>
      <c r="F3274" t="n">
        <v>0.1384</v>
      </c>
    </row>
    <row r="3275">
      <c r="A3275" t="n">
        <v>2001446</v>
      </c>
      <c r="B3275" t="n">
        <v>2</v>
      </c>
      <c r="C3275" t="n">
        <v>1446</v>
      </c>
      <c r="D3275" t="n">
        <v>-0.3355</v>
      </c>
      <c r="E3275" t="n">
        <v>15.9803</v>
      </c>
      <c r="F3275" t="n">
        <v>0.13843</v>
      </c>
    </row>
    <row r="3276">
      <c r="A3276" t="n">
        <v>2001447</v>
      </c>
      <c r="B3276" t="n">
        <v>2</v>
      </c>
      <c r="C3276" t="n">
        <v>1447</v>
      </c>
      <c r="D3276" t="n">
        <v>-0.3355</v>
      </c>
      <c r="E3276" t="n">
        <v>15.9863</v>
      </c>
      <c r="F3276" t="n">
        <v>0.13846</v>
      </c>
    </row>
    <row r="3277">
      <c r="A3277" t="n">
        <v>2001448</v>
      </c>
      <c r="B3277" t="n">
        <v>2</v>
      </c>
      <c r="C3277" t="n">
        <v>1448</v>
      </c>
      <c r="D3277" t="n">
        <v>-0.3356</v>
      </c>
      <c r="E3277" t="n">
        <v>15.9922</v>
      </c>
      <c r="F3277" t="n">
        <v>0.13849</v>
      </c>
    </row>
    <row r="3278">
      <c r="A3278" t="n">
        <v>2001449</v>
      </c>
      <c r="B3278" t="n">
        <v>2</v>
      </c>
      <c r="C3278" t="n">
        <v>1449</v>
      </c>
      <c r="D3278" t="n">
        <v>-0.3356</v>
      </c>
      <c r="E3278" t="n">
        <v>15.9982</v>
      </c>
      <c r="F3278" t="n">
        <v>0.13851</v>
      </c>
    </row>
    <row r="3279">
      <c r="A3279" t="n">
        <v>2001450</v>
      </c>
      <c r="B3279" t="n">
        <v>2</v>
      </c>
      <c r="C3279" t="n">
        <v>1450</v>
      </c>
      <c r="D3279" t="n">
        <v>-0.3357</v>
      </c>
      <c r="E3279" t="n">
        <v>16.0042</v>
      </c>
      <c r="F3279" t="n">
        <v>0.13854</v>
      </c>
    </row>
    <row r="3280">
      <c r="A3280" t="n">
        <v>2001451</v>
      </c>
      <c r="B3280" t="n">
        <v>2</v>
      </c>
      <c r="C3280" t="n">
        <v>1451</v>
      </c>
      <c r="D3280" t="n">
        <v>-0.3357</v>
      </c>
      <c r="E3280" t="n">
        <v>16.0101</v>
      </c>
      <c r="F3280" t="n">
        <v>0.13857</v>
      </c>
    </row>
    <row r="3281">
      <c r="A3281" t="n">
        <v>2001452</v>
      </c>
      <c r="B3281" t="n">
        <v>2</v>
      </c>
      <c r="C3281" t="n">
        <v>1452</v>
      </c>
      <c r="D3281" t="n">
        <v>-0.3357</v>
      </c>
      <c r="E3281" t="n">
        <v>16.0161</v>
      </c>
      <c r="F3281" t="n">
        <v>0.1386</v>
      </c>
    </row>
    <row r="3282">
      <c r="A3282" t="n">
        <v>2001453</v>
      </c>
      <c r="B3282" t="n">
        <v>2</v>
      </c>
      <c r="C3282" t="n">
        <v>1453</v>
      </c>
      <c r="D3282" t="n">
        <v>-0.3358</v>
      </c>
      <c r="E3282" t="n">
        <v>16.0221</v>
      </c>
      <c r="F3282" t="n">
        <v>0.13862</v>
      </c>
    </row>
    <row r="3283">
      <c r="A3283" t="n">
        <v>2001454</v>
      </c>
      <c r="B3283" t="n">
        <v>2</v>
      </c>
      <c r="C3283" t="n">
        <v>1454</v>
      </c>
      <c r="D3283" t="n">
        <v>-0.3358</v>
      </c>
      <c r="E3283" t="n">
        <v>16.028</v>
      </c>
      <c r="F3283" t="n">
        <v>0.13865</v>
      </c>
    </row>
    <row r="3284">
      <c r="A3284" t="n">
        <v>2001455</v>
      </c>
      <c r="B3284" t="n">
        <v>2</v>
      </c>
      <c r="C3284" t="n">
        <v>1455</v>
      </c>
      <c r="D3284" t="n">
        <v>-0.3359</v>
      </c>
      <c r="E3284" t="n">
        <v>16.034</v>
      </c>
      <c r="F3284" t="n">
        <v>0.13868</v>
      </c>
    </row>
    <row r="3285">
      <c r="A3285" t="n">
        <v>2001456</v>
      </c>
      <c r="B3285" t="n">
        <v>2</v>
      </c>
      <c r="C3285" t="n">
        <v>1456</v>
      </c>
      <c r="D3285" t="n">
        <v>-0.3359</v>
      </c>
      <c r="E3285" t="n">
        <v>16.0399</v>
      </c>
      <c r="F3285" t="n">
        <v>0.13871</v>
      </c>
    </row>
    <row r="3286">
      <c r="A3286" t="n">
        <v>2001457</v>
      </c>
      <c r="B3286" t="n">
        <v>2</v>
      </c>
      <c r="C3286" t="n">
        <v>1457</v>
      </c>
      <c r="D3286" t="n">
        <v>-0.3359</v>
      </c>
      <c r="E3286" t="n">
        <v>16.0459</v>
      </c>
      <c r="F3286" t="n">
        <v>0.13873</v>
      </c>
    </row>
    <row r="3287">
      <c r="A3287" t="n">
        <v>2001458</v>
      </c>
      <c r="B3287" t="n">
        <v>2</v>
      </c>
      <c r="C3287" t="n">
        <v>1458</v>
      </c>
      <c r="D3287" t="n">
        <v>-0.336</v>
      </c>
      <c r="E3287" t="n">
        <v>16.0519</v>
      </c>
      <c r="F3287" t="n">
        <v>0.13876</v>
      </c>
    </row>
    <row r="3288">
      <c r="A3288" t="n">
        <v>2001459</v>
      </c>
      <c r="B3288" t="n">
        <v>2</v>
      </c>
      <c r="C3288" t="n">
        <v>1459</v>
      </c>
      <c r="D3288" t="n">
        <v>-0.336</v>
      </c>
      <c r="E3288" t="n">
        <v>16.0578</v>
      </c>
      <c r="F3288" t="n">
        <v>0.13879</v>
      </c>
    </row>
    <row r="3289">
      <c r="A3289" t="n">
        <v>2001460</v>
      </c>
      <c r="B3289" t="n">
        <v>2</v>
      </c>
      <c r="C3289" t="n">
        <v>1460</v>
      </c>
      <c r="D3289" t="n">
        <v>-0.3361</v>
      </c>
      <c r="E3289" t="n">
        <v>16.0638</v>
      </c>
      <c r="F3289" t="n">
        <v>0.13882</v>
      </c>
    </row>
    <row r="3290">
      <c r="A3290" t="n">
        <v>2001461</v>
      </c>
      <c r="B3290" t="n">
        <v>2</v>
      </c>
      <c r="C3290" t="n">
        <v>1461</v>
      </c>
      <c r="D3290" t="n">
        <v>-0.3361</v>
      </c>
      <c r="E3290" t="n">
        <v>16.0697</v>
      </c>
      <c r="F3290" t="n">
        <v>0.13884</v>
      </c>
    </row>
    <row r="3291">
      <c r="A3291" t="n">
        <v>2001462</v>
      </c>
      <c r="B3291" t="n">
        <v>2</v>
      </c>
      <c r="C3291" t="n">
        <v>1462</v>
      </c>
      <c r="D3291" t="n">
        <v>-0.3362</v>
      </c>
      <c r="E3291" t="n">
        <v>16.0757</v>
      </c>
      <c r="F3291" t="n">
        <v>0.13887</v>
      </c>
    </row>
    <row r="3292">
      <c r="A3292" t="n">
        <v>2001463</v>
      </c>
      <c r="B3292" t="n">
        <v>2</v>
      </c>
      <c r="C3292" t="n">
        <v>1463</v>
      </c>
      <c r="D3292" t="n">
        <v>-0.3362</v>
      </c>
      <c r="E3292" t="n">
        <v>16.0817</v>
      </c>
      <c r="F3292" t="n">
        <v>0.1389</v>
      </c>
    </row>
    <row r="3293">
      <c r="A3293" t="n">
        <v>2001464</v>
      </c>
      <c r="B3293" t="n">
        <v>2</v>
      </c>
      <c r="C3293" t="n">
        <v>1464</v>
      </c>
      <c r="D3293" t="n">
        <v>-0.3362</v>
      </c>
      <c r="E3293" t="n">
        <v>16.0876</v>
      </c>
      <c r="F3293" t="n">
        <v>0.13893</v>
      </c>
    </row>
    <row r="3294">
      <c r="A3294" t="n">
        <v>2001465</v>
      </c>
      <c r="B3294" t="n">
        <v>2</v>
      </c>
      <c r="C3294" t="n">
        <v>1465</v>
      </c>
      <c r="D3294" t="n">
        <v>-0.3363</v>
      </c>
      <c r="E3294" t="n">
        <v>16.0936</v>
      </c>
      <c r="F3294" t="n">
        <v>0.13895</v>
      </c>
    </row>
    <row r="3295">
      <c r="A3295" t="n">
        <v>2001466</v>
      </c>
      <c r="B3295" t="n">
        <v>2</v>
      </c>
      <c r="C3295" t="n">
        <v>1466</v>
      </c>
      <c r="D3295" t="n">
        <v>-0.3363</v>
      </c>
      <c r="E3295" t="n">
        <v>16.0995</v>
      </c>
      <c r="F3295" t="n">
        <v>0.13898</v>
      </c>
    </row>
    <row r="3296">
      <c r="A3296" t="n">
        <v>2001467</v>
      </c>
      <c r="B3296" t="n">
        <v>2</v>
      </c>
      <c r="C3296" t="n">
        <v>1467</v>
      </c>
      <c r="D3296" t="n">
        <v>-0.3364</v>
      </c>
      <c r="E3296" t="n">
        <v>16.1055</v>
      </c>
      <c r="F3296" t="n">
        <v>0.13901</v>
      </c>
    </row>
    <row r="3297">
      <c r="A3297" t="n">
        <v>2001468</v>
      </c>
      <c r="B3297" t="n">
        <v>2</v>
      </c>
      <c r="C3297" t="n">
        <v>1468</v>
      </c>
      <c r="D3297" t="n">
        <v>-0.3364</v>
      </c>
      <c r="E3297" t="n">
        <v>16.1115</v>
      </c>
      <c r="F3297" t="n">
        <v>0.13904</v>
      </c>
    </row>
    <row r="3298">
      <c r="A3298" t="n">
        <v>2001469</v>
      </c>
      <c r="B3298" t="n">
        <v>2</v>
      </c>
      <c r="C3298" t="n">
        <v>1469</v>
      </c>
      <c r="D3298" t="n">
        <v>-0.3365</v>
      </c>
      <c r="E3298" t="n">
        <v>16.1174</v>
      </c>
      <c r="F3298" t="n">
        <v>0.13907</v>
      </c>
    </row>
    <row r="3299">
      <c r="A3299" t="n">
        <v>2001470</v>
      </c>
      <c r="B3299" t="n">
        <v>2</v>
      </c>
      <c r="C3299" t="n">
        <v>1470</v>
      </c>
      <c r="D3299" t="n">
        <v>-0.3365</v>
      </c>
      <c r="E3299" t="n">
        <v>16.1234</v>
      </c>
      <c r="F3299" t="n">
        <v>0.13909</v>
      </c>
    </row>
    <row r="3300">
      <c r="A3300" t="n">
        <v>2001471</v>
      </c>
      <c r="B3300" t="n">
        <v>2</v>
      </c>
      <c r="C3300" t="n">
        <v>1471</v>
      </c>
      <c r="D3300" t="n">
        <v>-0.3365</v>
      </c>
      <c r="E3300" t="n">
        <v>16.1293</v>
      </c>
      <c r="F3300" t="n">
        <v>0.13912</v>
      </c>
    </row>
    <row r="3301">
      <c r="A3301" t="n">
        <v>2001472</v>
      </c>
      <c r="B3301" t="n">
        <v>2</v>
      </c>
      <c r="C3301" t="n">
        <v>1472</v>
      </c>
      <c r="D3301" t="n">
        <v>-0.3366</v>
      </c>
      <c r="E3301" t="n">
        <v>16.1353</v>
      </c>
      <c r="F3301" t="n">
        <v>0.13915</v>
      </c>
    </row>
    <row r="3302">
      <c r="A3302" t="n">
        <v>2001473</v>
      </c>
      <c r="B3302" t="n">
        <v>2</v>
      </c>
      <c r="C3302" t="n">
        <v>1473</v>
      </c>
      <c r="D3302" t="n">
        <v>-0.3366</v>
      </c>
      <c r="E3302" t="n">
        <v>16.1413</v>
      </c>
      <c r="F3302" t="n">
        <v>0.13918</v>
      </c>
    </row>
    <row r="3303">
      <c r="A3303" t="n">
        <v>2001474</v>
      </c>
      <c r="B3303" t="n">
        <v>2</v>
      </c>
      <c r="C3303" t="n">
        <v>1474</v>
      </c>
      <c r="D3303" t="n">
        <v>-0.3367</v>
      </c>
      <c r="E3303" t="n">
        <v>16.1472</v>
      </c>
      <c r="F3303" t="n">
        <v>0.1392</v>
      </c>
    </row>
    <row r="3304">
      <c r="A3304" t="n">
        <v>2001475</v>
      </c>
      <c r="B3304" t="n">
        <v>2</v>
      </c>
      <c r="C3304" t="n">
        <v>1475</v>
      </c>
      <c r="D3304" t="n">
        <v>-0.3367</v>
      </c>
      <c r="E3304" t="n">
        <v>16.1532</v>
      </c>
      <c r="F3304" t="n">
        <v>0.13923</v>
      </c>
    </row>
    <row r="3305">
      <c r="A3305" t="n">
        <v>2001476</v>
      </c>
      <c r="B3305" t="n">
        <v>2</v>
      </c>
      <c r="C3305" t="n">
        <v>1476</v>
      </c>
      <c r="D3305" t="n">
        <v>-0.3368</v>
      </c>
      <c r="E3305" t="n">
        <v>16.1591</v>
      </c>
      <c r="F3305" t="n">
        <v>0.13926</v>
      </c>
    </row>
    <row r="3306">
      <c r="A3306" t="n">
        <v>2001477</v>
      </c>
      <c r="B3306" t="n">
        <v>2</v>
      </c>
      <c r="C3306" t="n">
        <v>1477</v>
      </c>
      <c r="D3306" t="n">
        <v>-0.3368</v>
      </c>
      <c r="E3306" t="n">
        <v>16.1651</v>
      </c>
      <c r="F3306" t="n">
        <v>0.13928</v>
      </c>
    </row>
    <row r="3307">
      <c r="A3307" t="n">
        <v>2001478</v>
      </c>
      <c r="B3307" t="n">
        <v>2</v>
      </c>
      <c r="C3307" t="n">
        <v>1478</v>
      </c>
      <c r="D3307" t="n">
        <v>-0.3368</v>
      </c>
      <c r="E3307" t="n">
        <v>16.171</v>
      </c>
      <c r="F3307" t="n">
        <v>0.13931</v>
      </c>
    </row>
    <row r="3308">
      <c r="A3308" t="n">
        <v>2001479</v>
      </c>
      <c r="B3308" t="n">
        <v>2</v>
      </c>
      <c r="C3308" t="n">
        <v>1479</v>
      </c>
      <c r="D3308" t="n">
        <v>-0.3369</v>
      </c>
      <c r="E3308" t="n">
        <v>16.177</v>
      </c>
      <c r="F3308" t="n">
        <v>0.13934</v>
      </c>
    </row>
    <row r="3309">
      <c r="A3309" t="n">
        <v>2001480</v>
      </c>
      <c r="B3309" t="n">
        <v>2</v>
      </c>
      <c r="C3309" t="n">
        <v>1480</v>
      </c>
      <c r="D3309" t="n">
        <v>-0.3369</v>
      </c>
      <c r="E3309" t="n">
        <v>16.1829</v>
      </c>
      <c r="F3309" t="n">
        <v>0.13937</v>
      </c>
    </row>
    <row r="3310">
      <c r="A3310" t="n">
        <v>2001481</v>
      </c>
      <c r="B3310" t="n">
        <v>2</v>
      </c>
      <c r="C3310" t="n">
        <v>1481</v>
      </c>
      <c r="D3310" t="n">
        <v>-0.337</v>
      </c>
      <c r="E3310" t="n">
        <v>16.1889</v>
      </c>
      <c r="F3310" t="n">
        <v>0.13939</v>
      </c>
    </row>
    <row r="3311">
      <c r="A3311" t="n">
        <v>2001482</v>
      </c>
      <c r="B3311" t="n">
        <v>2</v>
      </c>
      <c r="C3311" t="n">
        <v>1482</v>
      </c>
      <c r="D3311" t="n">
        <v>-0.337</v>
      </c>
      <c r="E3311" t="n">
        <v>16.1949</v>
      </c>
      <c r="F3311" t="n">
        <v>0.13942</v>
      </c>
    </row>
    <row r="3312">
      <c r="A3312" t="n">
        <v>2001483</v>
      </c>
      <c r="B3312" t="n">
        <v>2</v>
      </c>
      <c r="C3312" t="n">
        <v>1483</v>
      </c>
      <c r="D3312" t="n">
        <v>-0.3371</v>
      </c>
      <c r="E3312" t="n">
        <v>16.2008</v>
      </c>
      <c r="F3312" t="n">
        <v>0.13945</v>
      </c>
    </row>
    <row r="3313">
      <c r="A3313" t="n">
        <v>2001484</v>
      </c>
      <c r="B3313" t="n">
        <v>2</v>
      </c>
      <c r="C3313" t="n">
        <v>1484</v>
      </c>
      <c r="D3313" t="n">
        <v>-0.3371</v>
      </c>
      <c r="E3313" t="n">
        <v>16.2068</v>
      </c>
      <c r="F3313" t="n">
        <v>0.13948</v>
      </c>
    </row>
    <row r="3314">
      <c r="A3314" t="n">
        <v>2001485</v>
      </c>
      <c r="B3314" t="n">
        <v>2</v>
      </c>
      <c r="C3314" t="n">
        <v>1485</v>
      </c>
      <c r="D3314" t="n">
        <v>-0.3371</v>
      </c>
      <c r="E3314" t="n">
        <v>16.2127</v>
      </c>
      <c r="F3314" t="n">
        <v>0.1395</v>
      </c>
    </row>
    <row r="3315">
      <c r="A3315" t="n">
        <v>2001486</v>
      </c>
      <c r="B3315" t="n">
        <v>2</v>
      </c>
      <c r="C3315" t="n">
        <v>1486</v>
      </c>
      <c r="D3315" t="n">
        <v>-0.3372</v>
      </c>
      <c r="E3315" t="n">
        <v>16.2187</v>
      </c>
      <c r="F3315" t="n">
        <v>0.13953</v>
      </c>
    </row>
    <row r="3316">
      <c r="A3316" t="n">
        <v>2001487</v>
      </c>
      <c r="B3316" t="n">
        <v>2</v>
      </c>
      <c r="C3316" t="n">
        <v>1487</v>
      </c>
      <c r="D3316" t="n">
        <v>-0.3372</v>
      </c>
      <c r="E3316" t="n">
        <v>16.2246</v>
      </c>
      <c r="F3316" t="n">
        <v>0.13956</v>
      </c>
    </row>
    <row r="3317">
      <c r="A3317" t="n">
        <v>2001488</v>
      </c>
      <c r="B3317" t="n">
        <v>2</v>
      </c>
      <c r="C3317" t="n">
        <v>1488</v>
      </c>
      <c r="D3317" t="n">
        <v>-0.3373</v>
      </c>
      <c r="E3317" t="n">
        <v>16.2306</v>
      </c>
      <c r="F3317" t="n">
        <v>0.13959</v>
      </c>
    </row>
    <row r="3318">
      <c r="A3318" t="n">
        <v>2001489</v>
      </c>
      <c r="B3318" t="n">
        <v>2</v>
      </c>
      <c r="C3318" t="n">
        <v>1489</v>
      </c>
      <c r="D3318" t="n">
        <v>-0.3373</v>
      </c>
      <c r="E3318" t="n">
        <v>16.2365</v>
      </c>
      <c r="F3318" t="n">
        <v>0.13961</v>
      </c>
    </row>
    <row r="3319">
      <c r="A3319" t="n">
        <v>2001490</v>
      </c>
      <c r="B3319" t="n">
        <v>2</v>
      </c>
      <c r="C3319" t="n">
        <v>1490</v>
      </c>
      <c r="D3319" t="n">
        <v>-0.3374</v>
      </c>
      <c r="E3319" t="n">
        <v>16.2425</v>
      </c>
      <c r="F3319" t="n">
        <v>0.13964</v>
      </c>
    </row>
    <row r="3320">
      <c r="A3320" t="n">
        <v>2001491</v>
      </c>
      <c r="B3320" t="n">
        <v>2</v>
      </c>
      <c r="C3320" t="n">
        <v>1491</v>
      </c>
      <c r="D3320" t="n">
        <v>-0.3374</v>
      </c>
      <c r="E3320" t="n">
        <v>16.2485</v>
      </c>
      <c r="F3320" t="n">
        <v>0.13967</v>
      </c>
    </row>
    <row r="3321">
      <c r="A3321" t="n">
        <v>2001492</v>
      </c>
      <c r="B3321" t="n">
        <v>2</v>
      </c>
      <c r="C3321" t="n">
        <v>1492</v>
      </c>
      <c r="D3321" t="n">
        <v>-0.3374</v>
      </c>
      <c r="E3321" t="n">
        <v>16.2544</v>
      </c>
      <c r="F3321" t="n">
        <v>0.1397</v>
      </c>
    </row>
    <row r="3322">
      <c r="A3322" t="n">
        <v>2001493</v>
      </c>
      <c r="B3322" t="n">
        <v>2</v>
      </c>
      <c r="C3322" t="n">
        <v>1493</v>
      </c>
      <c r="D3322" t="n">
        <v>-0.3375</v>
      </c>
      <c r="E3322" t="n">
        <v>16.2604</v>
      </c>
      <c r="F3322" t="n">
        <v>0.13972</v>
      </c>
    </row>
    <row r="3323">
      <c r="A3323" t="n">
        <v>2001494</v>
      </c>
      <c r="B3323" t="n">
        <v>2</v>
      </c>
      <c r="C3323" t="n">
        <v>1494</v>
      </c>
      <c r="D3323" t="n">
        <v>-0.3375</v>
      </c>
      <c r="E3323" t="n">
        <v>16.2663</v>
      </c>
      <c r="F3323" t="n">
        <v>0.13975</v>
      </c>
    </row>
    <row r="3324">
      <c r="A3324" t="n">
        <v>2001495</v>
      </c>
      <c r="B3324" t="n">
        <v>2</v>
      </c>
      <c r="C3324" t="n">
        <v>1495</v>
      </c>
      <c r="D3324" t="n">
        <v>-0.3376</v>
      </c>
      <c r="E3324" t="n">
        <v>16.2723</v>
      </c>
      <c r="F3324" t="n">
        <v>0.13978</v>
      </c>
    </row>
    <row r="3325">
      <c r="A3325" t="n">
        <v>2001496</v>
      </c>
      <c r="B3325" t="n">
        <v>2</v>
      </c>
      <c r="C3325" t="n">
        <v>1496</v>
      </c>
      <c r="D3325" t="n">
        <v>-0.3376</v>
      </c>
      <c r="E3325" t="n">
        <v>16.2782</v>
      </c>
      <c r="F3325" t="n">
        <v>0.1398</v>
      </c>
    </row>
    <row r="3326">
      <c r="A3326" t="n">
        <v>2001497</v>
      </c>
      <c r="B3326" t="n">
        <v>2</v>
      </c>
      <c r="C3326" t="n">
        <v>1497</v>
      </c>
      <c r="D3326" t="n">
        <v>-0.3377</v>
      </c>
      <c r="E3326" t="n">
        <v>16.2842</v>
      </c>
      <c r="F3326" t="n">
        <v>0.13983</v>
      </c>
    </row>
    <row r="3327">
      <c r="A3327" t="n">
        <v>2001498</v>
      </c>
      <c r="B3327" t="n">
        <v>2</v>
      </c>
      <c r="C3327" t="n">
        <v>1498</v>
      </c>
      <c r="D3327" t="n">
        <v>-0.3377</v>
      </c>
      <c r="E3327" t="n">
        <v>16.2901</v>
      </c>
      <c r="F3327" t="n">
        <v>0.13986</v>
      </c>
    </row>
    <row r="3328">
      <c r="A3328" t="n">
        <v>2001499</v>
      </c>
      <c r="B3328" t="n">
        <v>2</v>
      </c>
      <c r="C3328" t="n">
        <v>1499</v>
      </c>
      <c r="D3328" t="n">
        <v>-0.3377</v>
      </c>
      <c r="E3328" t="n">
        <v>16.2961</v>
      </c>
      <c r="F3328" t="n">
        <v>0.13989</v>
      </c>
    </row>
    <row r="3329">
      <c r="A3329" t="n">
        <v>2001500</v>
      </c>
      <c r="B3329" t="n">
        <v>2</v>
      </c>
      <c r="C3329" t="n">
        <v>1500</v>
      </c>
      <c r="D3329" t="n">
        <v>-0.3378</v>
      </c>
      <c r="E3329" t="n">
        <v>16.302</v>
      </c>
      <c r="F3329" t="n">
        <v>0.13991</v>
      </c>
    </row>
    <row r="3330">
      <c r="A3330" t="n">
        <v>2001501</v>
      </c>
      <c r="B3330" t="n">
        <v>2</v>
      </c>
      <c r="C3330" t="n">
        <v>1501</v>
      </c>
      <c r="D3330" t="n">
        <v>-0.3378</v>
      </c>
      <c r="E3330" t="n">
        <v>16.308</v>
      </c>
      <c r="F3330" t="n">
        <v>0.13994</v>
      </c>
    </row>
    <row r="3331">
      <c r="A3331" t="n">
        <v>2001502</v>
      </c>
      <c r="B3331" t="n">
        <v>2</v>
      </c>
      <c r="C3331" t="n">
        <v>1502</v>
      </c>
      <c r="D3331" t="n">
        <v>-0.3379</v>
      </c>
      <c r="E3331" t="n">
        <v>16.314</v>
      </c>
      <c r="F3331" t="n">
        <v>0.13997</v>
      </c>
    </row>
    <row r="3332">
      <c r="A3332" t="n">
        <v>2001503</v>
      </c>
      <c r="B3332" t="n">
        <v>2</v>
      </c>
      <c r="C3332" t="n">
        <v>1503</v>
      </c>
      <c r="D3332" t="n">
        <v>-0.3379</v>
      </c>
      <c r="E3332" t="n">
        <v>16.3199</v>
      </c>
      <c r="F3332" t="n">
        <v>0.14</v>
      </c>
    </row>
    <row r="3333">
      <c r="A3333" t="n">
        <v>2001504</v>
      </c>
      <c r="B3333" t="n">
        <v>2</v>
      </c>
      <c r="C3333" t="n">
        <v>1504</v>
      </c>
      <c r="D3333" t="n">
        <v>-0.338</v>
      </c>
      <c r="E3333" t="n">
        <v>16.3259</v>
      </c>
      <c r="F3333" t="n">
        <v>0.14002</v>
      </c>
    </row>
    <row r="3334">
      <c r="A3334" t="n">
        <v>2001505</v>
      </c>
      <c r="B3334" t="n">
        <v>2</v>
      </c>
      <c r="C3334" t="n">
        <v>1505</v>
      </c>
      <c r="D3334" t="n">
        <v>-0.338</v>
      </c>
      <c r="E3334" t="n">
        <v>16.3318</v>
      </c>
      <c r="F3334" t="n">
        <v>0.14005</v>
      </c>
    </row>
    <row r="3335">
      <c r="A3335" t="n">
        <v>2001506</v>
      </c>
      <c r="B3335" t="n">
        <v>2</v>
      </c>
      <c r="C3335" t="n">
        <v>1506</v>
      </c>
      <c r="D3335" t="n">
        <v>-0.338</v>
      </c>
      <c r="E3335" t="n">
        <v>16.3378</v>
      </c>
      <c r="F3335" t="n">
        <v>0.14008</v>
      </c>
    </row>
    <row r="3336">
      <c r="A3336" t="n">
        <v>2001507</v>
      </c>
      <c r="B3336" t="n">
        <v>2</v>
      </c>
      <c r="C3336" t="n">
        <v>1507</v>
      </c>
      <c r="D3336" t="n">
        <v>-0.3381</v>
      </c>
      <c r="E3336" t="n">
        <v>16.3437</v>
      </c>
      <c r="F3336" t="n">
        <v>0.1401</v>
      </c>
    </row>
    <row r="3337">
      <c r="A3337" t="n">
        <v>2001508</v>
      </c>
      <c r="B3337" t="n">
        <v>2</v>
      </c>
      <c r="C3337" t="n">
        <v>1508</v>
      </c>
      <c r="D3337" t="n">
        <v>-0.3381</v>
      </c>
      <c r="E3337" t="n">
        <v>16.3497</v>
      </c>
      <c r="F3337" t="n">
        <v>0.14013</v>
      </c>
    </row>
    <row r="3338">
      <c r="A3338" t="n">
        <v>2001509</v>
      </c>
      <c r="B3338" t="n">
        <v>2</v>
      </c>
      <c r="C3338" t="n">
        <v>1509</v>
      </c>
      <c r="D3338" t="n">
        <v>-0.3382</v>
      </c>
      <c r="E3338" t="n">
        <v>16.3556</v>
      </c>
      <c r="F3338" t="n">
        <v>0.14016</v>
      </c>
    </row>
    <row r="3339">
      <c r="A3339" t="n">
        <v>2001510</v>
      </c>
      <c r="B3339" t="n">
        <v>2</v>
      </c>
      <c r="C3339" t="n">
        <v>1510</v>
      </c>
      <c r="D3339" t="n">
        <v>-0.3382</v>
      </c>
      <c r="E3339" t="n">
        <v>16.3616</v>
      </c>
      <c r="F3339" t="n">
        <v>0.14019</v>
      </c>
    </row>
    <row r="3340">
      <c r="A3340" t="n">
        <v>2001511</v>
      </c>
      <c r="B3340" t="n">
        <v>2</v>
      </c>
      <c r="C3340" t="n">
        <v>1511</v>
      </c>
      <c r="D3340" t="n">
        <v>-0.3383</v>
      </c>
      <c r="E3340" t="n">
        <v>16.3675</v>
      </c>
      <c r="F3340" t="n">
        <v>0.14021</v>
      </c>
    </row>
    <row r="3341">
      <c r="A3341" t="n">
        <v>2001512</v>
      </c>
      <c r="B3341" t="n">
        <v>2</v>
      </c>
      <c r="C3341" t="n">
        <v>1512</v>
      </c>
      <c r="D3341" t="n">
        <v>-0.3383</v>
      </c>
      <c r="E3341" t="n">
        <v>16.3735</v>
      </c>
      <c r="F3341" t="n">
        <v>0.14024</v>
      </c>
    </row>
    <row r="3342">
      <c r="A3342" t="n">
        <v>2001513</v>
      </c>
      <c r="B3342" t="n">
        <v>2</v>
      </c>
      <c r="C3342" t="n">
        <v>1513</v>
      </c>
      <c r="D3342" t="n">
        <v>-0.3383</v>
      </c>
      <c r="E3342" t="n">
        <v>16.3794</v>
      </c>
      <c r="F3342" t="n">
        <v>0.14027</v>
      </c>
    </row>
    <row r="3343">
      <c r="A3343" t="n">
        <v>2001514</v>
      </c>
      <c r="B3343" t="n">
        <v>2</v>
      </c>
      <c r="C3343" t="n">
        <v>1514</v>
      </c>
      <c r="D3343" t="n">
        <v>-0.3384</v>
      </c>
      <c r="E3343" t="n">
        <v>16.3854</v>
      </c>
      <c r="F3343" t="n">
        <v>0.14029</v>
      </c>
    </row>
    <row r="3344">
      <c r="A3344" t="n">
        <v>2001515</v>
      </c>
      <c r="B3344" t="n">
        <v>2</v>
      </c>
      <c r="C3344" t="n">
        <v>1515</v>
      </c>
      <c r="D3344" t="n">
        <v>-0.3384</v>
      </c>
      <c r="E3344" t="n">
        <v>16.3913</v>
      </c>
      <c r="F3344" t="n">
        <v>0.14032</v>
      </c>
    </row>
    <row r="3345">
      <c r="A3345" t="n">
        <v>2001516</v>
      </c>
      <c r="B3345" t="n">
        <v>2</v>
      </c>
      <c r="C3345" t="n">
        <v>1516</v>
      </c>
      <c r="D3345" t="n">
        <v>-0.3385</v>
      </c>
      <c r="E3345" t="n">
        <v>16.3973</v>
      </c>
      <c r="F3345" t="n">
        <v>0.14035</v>
      </c>
    </row>
    <row r="3346">
      <c r="A3346" t="n">
        <v>2001517</v>
      </c>
      <c r="B3346" t="n">
        <v>2</v>
      </c>
      <c r="C3346" t="n">
        <v>1517</v>
      </c>
      <c r="D3346" t="n">
        <v>-0.3385</v>
      </c>
      <c r="E3346" t="n">
        <v>16.4032</v>
      </c>
      <c r="F3346" t="n">
        <v>0.14038</v>
      </c>
    </row>
    <row r="3347">
      <c r="A3347" t="n">
        <v>2001518</v>
      </c>
      <c r="B3347" t="n">
        <v>2</v>
      </c>
      <c r="C3347" t="n">
        <v>1518</v>
      </c>
      <c r="D3347" t="n">
        <v>-0.3386</v>
      </c>
      <c r="E3347" t="n">
        <v>16.4092</v>
      </c>
      <c r="F3347" t="n">
        <v>0.1404</v>
      </c>
    </row>
    <row r="3348">
      <c r="A3348" t="n">
        <v>2001519</v>
      </c>
      <c r="B3348" t="n">
        <v>2</v>
      </c>
      <c r="C3348" t="n">
        <v>1519</v>
      </c>
      <c r="D3348" t="n">
        <v>-0.3386</v>
      </c>
      <c r="E3348" t="n">
        <v>16.4151</v>
      </c>
      <c r="F3348" t="n">
        <v>0.14043</v>
      </c>
    </row>
    <row r="3349">
      <c r="A3349" t="n">
        <v>2001520</v>
      </c>
      <c r="B3349" t="n">
        <v>2</v>
      </c>
      <c r="C3349" t="n">
        <v>1520</v>
      </c>
      <c r="D3349" t="n">
        <v>-0.3386</v>
      </c>
      <c r="E3349" t="n">
        <v>16.4211</v>
      </c>
      <c r="F3349" t="n">
        <v>0.14046</v>
      </c>
    </row>
    <row r="3350">
      <c r="A3350" t="n">
        <v>2001521</v>
      </c>
      <c r="B3350" t="n">
        <v>2</v>
      </c>
      <c r="C3350" t="n">
        <v>1521</v>
      </c>
      <c r="D3350" t="n">
        <v>-0.3387</v>
      </c>
      <c r="E3350" t="n">
        <v>16.427</v>
      </c>
      <c r="F3350" t="n">
        <v>0.14048</v>
      </c>
    </row>
    <row r="3351">
      <c r="A3351" t="n">
        <v>2001522</v>
      </c>
      <c r="B3351" t="n">
        <v>2</v>
      </c>
      <c r="C3351" t="n">
        <v>1522</v>
      </c>
      <c r="D3351" t="n">
        <v>-0.3387</v>
      </c>
      <c r="E3351" t="n">
        <v>16.433</v>
      </c>
      <c r="F3351" t="n">
        <v>0.14051</v>
      </c>
    </row>
    <row r="3352">
      <c r="A3352" t="n">
        <v>2001523</v>
      </c>
      <c r="B3352" t="n">
        <v>2</v>
      </c>
      <c r="C3352" t="n">
        <v>1523</v>
      </c>
      <c r="D3352" t="n">
        <v>-0.3388</v>
      </c>
      <c r="E3352" t="n">
        <v>16.4389</v>
      </c>
      <c r="F3352" t="n">
        <v>0.14054</v>
      </c>
    </row>
    <row r="3353">
      <c r="A3353" t="n">
        <v>2001524</v>
      </c>
      <c r="B3353" t="n">
        <v>2</v>
      </c>
      <c r="C3353" t="n">
        <v>1524</v>
      </c>
      <c r="D3353" t="n">
        <v>-0.3388</v>
      </c>
      <c r="E3353" t="n">
        <v>16.4449</v>
      </c>
      <c r="F3353" t="n">
        <v>0.14056</v>
      </c>
    </row>
    <row r="3354">
      <c r="A3354" t="n">
        <v>2001525</v>
      </c>
      <c r="B3354" t="n">
        <v>2</v>
      </c>
      <c r="C3354" t="n">
        <v>1525</v>
      </c>
      <c r="D3354" t="n">
        <v>-0.3389</v>
      </c>
      <c r="E3354" t="n">
        <v>16.4508</v>
      </c>
      <c r="F3354" t="n">
        <v>0.14059</v>
      </c>
    </row>
    <row r="3355">
      <c r="A3355" t="n">
        <v>2001526</v>
      </c>
      <c r="B3355" t="n">
        <v>2</v>
      </c>
      <c r="C3355" t="n">
        <v>1526</v>
      </c>
      <c r="D3355" t="n">
        <v>-0.3389</v>
      </c>
      <c r="E3355" t="n">
        <v>16.4568</v>
      </c>
      <c r="F3355" t="n">
        <v>0.14062</v>
      </c>
    </row>
    <row r="3356">
      <c r="A3356" t="n">
        <v>2001527</v>
      </c>
      <c r="B3356" t="n">
        <v>2</v>
      </c>
      <c r="C3356" t="n">
        <v>1527</v>
      </c>
      <c r="D3356" t="n">
        <v>-0.3389</v>
      </c>
      <c r="E3356" t="n">
        <v>16.4627</v>
      </c>
      <c r="F3356" t="n">
        <v>0.14065</v>
      </c>
    </row>
    <row r="3357">
      <c r="A3357" t="n">
        <v>2001528</v>
      </c>
      <c r="B3357" t="n">
        <v>2</v>
      </c>
      <c r="C3357" t="n">
        <v>1528</v>
      </c>
      <c r="D3357" t="n">
        <v>-0.339</v>
      </c>
      <c r="E3357" t="n">
        <v>16.4687</v>
      </c>
      <c r="F3357" t="n">
        <v>0.14067</v>
      </c>
    </row>
    <row r="3358">
      <c r="A3358" t="n">
        <v>2001529</v>
      </c>
      <c r="B3358" t="n">
        <v>2</v>
      </c>
      <c r="C3358" t="n">
        <v>1529</v>
      </c>
      <c r="D3358" t="n">
        <v>-0.339</v>
      </c>
      <c r="E3358" t="n">
        <v>16.4746</v>
      </c>
      <c r="F3358" t="n">
        <v>0.1407</v>
      </c>
    </row>
    <row r="3359">
      <c r="A3359" t="n">
        <v>2001530</v>
      </c>
      <c r="B3359" t="n">
        <v>2</v>
      </c>
      <c r="C3359" t="n">
        <v>1530</v>
      </c>
      <c r="D3359" t="n">
        <v>-0.3391</v>
      </c>
      <c r="E3359" t="n">
        <v>16.4806</v>
      </c>
      <c r="F3359" t="n">
        <v>0.14073</v>
      </c>
    </row>
    <row r="3360">
      <c r="A3360" t="n">
        <v>2001531</v>
      </c>
      <c r="B3360" t="n">
        <v>2</v>
      </c>
      <c r="C3360" t="n">
        <v>1531</v>
      </c>
      <c r="D3360" t="n">
        <v>-0.3391</v>
      </c>
      <c r="E3360" t="n">
        <v>16.4865</v>
      </c>
      <c r="F3360" t="n">
        <v>0.14075</v>
      </c>
    </row>
    <row r="3361">
      <c r="A3361" t="n">
        <v>2001532</v>
      </c>
      <c r="B3361" t="n">
        <v>2</v>
      </c>
      <c r="C3361" t="n">
        <v>1532</v>
      </c>
      <c r="D3361" t="n">
        <v>-0.3392</v>
      </c>
      <c r="E3361" t="n">
        <v>16.4925</v>
      </c>
      <c r="F3361" t="n">
        <v>0.14078</v>
      </c>
    </row>
    <row r="3362">
      <c r="A3362" t="n">
        <v>2001533</v>
      </c>
      <c r="B3362" t="n">
        <v>2</v>
      </c>
      <c r="C3362" t="n">
        <v>1533</v>
      </c>
      <c r="D3362" t="n">
        <v>-0.3392</v>
      </c>
      <c r="E3362" t="n">
        <v>16.4984</v>
      </c>
      <c r="F3362" t="n">
        <v>0.14081</v>
      </c>
    </row>
    <row r="3363">
      <c r="A3363" t="n">
        <v>2001534</v>
      </c>
      <c r="B3363" t="n">
        <v>2</v>
      </c>
      <c r="C3363" t="n">
        <v>1534</v>
      </c>
      <c r="D3363" t="n">
        <v>-0.3392</v>
      </c>
      <c r="E3363" t="n">
        <v>16.5044</v>
      </c>
      <c r="F3363" t="n">
        <v>0.14083</v>
      </c>
    </row>
    <row r="3364">
      <c r="A3364" t="n">
        <v>2001535</v>
      </c>
      <c r="B3364" t="n">
        <v>2</v>
      </c>
      <c r="C3364" t="n">
        <v>1535</v>
      </c>
      <c r="D3364" t="n">
        <v>-0.3393</v>
      </c>
      <c r="E3364" t="n">
        <v>16.5103</v>
      </c>
      <c r="F3364" t="n">
        <v>0.14086</v>
      </c>
    </row>
    <row r="3365">
      <c r="A3365" t="n">
        <v>2001536</v>
      </c>
      <c r="B3365" t="n">
        <v>2</v>
      </c>
      <c r="C3365" t="n">
        <v>1536</v>
      </c>
      <c r="D3365" t="n">
        <v>-0.3393</v>
      </c>
      <c r="E3365" t="n">
        <v>16.5163</v>
      </c>
      <c r="F3365" t="n">
        <v>0.14089</v>
      </c>
    </row>
    <row r="3366">
      <c r="A3366" t="n">
        <v>2001537</v>
      </c>
      <c r="B3366" t="n">
        <v>2</v>
      </c>
      <c r="C3366" t="n">
        <v>1537</v>
      </c>
      <c r="D3366" t="n">
        <v>-0.3394</v>
      </c>
      <c r="E3366" t="n">
        <v>16.5222</v>
      </c>
      <c r="F3366" t="n">
        <v>0.14091</v>
      </c>
    </row>
    <row r="3367">
      <c r="A3367" t="n">
        <v>2001538</v>
      </c>
      <c r="B3367" t="n">
        <v>2</v>
      </c>
      <c r="C3367" t="n">
        <v>1538</v>
      </c>
      <c r="D3367" t="n">
        <v>-0.3394</v>
      </c>
      <c r="E3367" t="n">
        <v>16.5282</v>
      </c>
      <c r="F3367" t="n">
        <v>0.14094</v>
      </c>
    </row>
    <row r="3368">
      <c r="A3368" t="n">
        <v>2001539</v>
      </c>
      <c r="B3368" t="n">
        <v>2</v>
      </c>
      <c r="C3368" t="n">
        <v>1539</v>
      </c>
      <c r="D3368" t="n">
        <v>-0.3395</v>
      </c>
      <c r="E3368" t="n">
        <v>16.5341</v>
      </c>
      <c r="F3368" t="n">
        <v>0.14097</v>
      </c>
    </row>
    <row r="3369">
      <c r="A3369" t="n">
        <v>2001540</v>
      </c>
      <c r="B3369" t="n">
        <v>2</v>
      </c>
      <c r="C3369" t="n">
        <v>1540</v>
      </c>
      <c r="D3369" t="n">
        <v>-0.3395</v>
      </c>
      <c r="E3369" t="n">
        <v>16.5401</v>
      </c>
      <c r="F3369" t="n">
        <v>0.141</v>
      </c>
    </row>
    <row r="3370">
      <c r="A3370" t="n">
        <v>2001541</v>
      </c>
      <c r="B3370" t="n">
        <v>2</v>
      </c>
      <c r="C3370" t="n">
        <v>1541</v>
      </c>
      <c r="D3370" t="n">
        <v>-0.3396</v>
      </c>
      <c r="E3370" t="n">
        <v>16.546</v>
      </c>
      <c r="F3370" t="n">
        <v>0.14102</v>
      </c>
    </row>
    <row r="3371">
      <c r="A3371" t="n">
        <v>2001542</v>
      </c>
      <c r="B3371" t="n">
        <v>2</v>
      </c>
      <c r="C3371" t="n">
        <v>1542</v>
      </c>
      <c r="D3371" t="n">
        <v>-0.3396</v>
      </c>
      <c r="E3371" t="n">
        <v>16.552</v>
      </c>
      <c r="F3371" t="n">
        <v>0.14105</v>
      </c>
    </row>
    <row r="3372">
      <c r="A3372" t="n">
        <v>2001543</v>
      </c>
      <c r="B3372" t="n">
        <v>2</v>
      </c>
      <c r="C3372" t="n">
        <v>1543</v>
      </c>
      <c r="D3372" t="n">
        <v>-0.3396</v>
      </c>
      <c r="E3372" t="n">
        <v>16.5579</v>
      </c>
      <c r="F3372" t="n">
        <v>0.14108</v>
      </c>
    </row>
    <row r="3373">
      <c r="A3373" t="n">
        <v>2001544</v>
      </c>
      <c r="B3373" t="n">
        <v>2</v>
      </c>
      <c r="C3373" t="n">
        <v>1544</v>
      </c>
      <c r="D3373" t="n">
        <v>-0.3397</v>
      </c>
      <c r="E3373" t="n">
        <v>16.5639</v>
      </c>
      <c r="F3373" t="n">
        <v>0.1411</v>
      </c>
    </row>
    <row r="3374">
      <c r="A3374" t="n">
        <v>2001545</v>
      </c>
      <c r="B3374" t="n">
        <v>2</v>
      </c>
      <c r="C3374" t="n">
        <v>1545</v>
      </c>
      <c r="D3374" t="n">
        <v>-0.3397</v>
      </c>
      <c r="E3374" t="n">
        <v>16.5698</v>
      </c>
      <c r="F3374" t="n">
        <v>0.14113</v>
      </c>
    </row>
    <row r="3375">
      <c r="A3375" t="n">
        <v>2001546</v>
      </c>
      <c r="B3375" t="n">
        <v>2</v>
      </c>
      <c r="C3375" t="n">
        <v>1546</v>
      </c>
      <c r="D3375" t="n">
        <v>-0.3398</v>
      </c>
      <c r="E3375" t="n">
        <v>16.5758</v>
      </c>
      <c r="F3375" t="n">
        <v>0.14116</v>
      </c>
    </row>
    <row r="3376">
      <c r="A3376" t="n">
        <v>2001547</v>
      </c>
      <c r="B3376" t="n">
        <v>2</v>
      </c>
      <c r="C3376" t="n">
        <v>1547</v>
      </c>
      <c r="D3376" t="n">
        <v>-0.3398</v>
      </c>
      <c r="E3376" t="n">
        <v>16.5817</v>
      </c>
      <c r="F3376" t="n">
        <v>0.14118</v>
      </c>
    </row>
    <row r="3377">
      <c r="A3377" t="n">
        <v>2001548</v>
      </c>
      <c r="B3377" t="n">
        <v>2</v>
      </c>
      <c r="C3377" t="n">
        <v>1548</v>
      </c>
      <c r="D3377" t="n">
        <v>-0.3399</v>
      </c>
      <c r="E3377" t="n">
        <v>16.5876</v>
      </c>
      <c r="F3377" t="n">
        <v>0.14121</v>
      </c>
    </row>
    <row r="3378">
      <c r="A3378" t="n">
        <v>2001549</v>
      </c>
      <c r="B3378" t="n">
        <v>2</v>
      </c>
      <c r="C3378" t="n">
        <v>1549</v>
      </c>
      <c r="D3378" t="n">
        <v>-0.3399</v>
      </c>
      <c r="E3378" t="n">
        <v>16.5936</v>
      </c>
      <c r="F3378" t="n">
        <v>0.14124</v>
      </c>
    </row>
    <row r="3379">
      <c r="A3379" t="n">
        <v>2001550</v>
      </c>
      <c r="B3379" t="n">
        <v>2</v>
      </c>
      <c r="C3379" t="n">
        <v>1550</v>
      </c>
      <c r="D3379" t="n">
        <v>-0.3399</v>
      </c>
      <c r="E3379" t="n">
        <v>16.5995</v>
      </c>
      <c r="F3379" t="n">
        <v>0.14126</v>
      </c>
    </row>
    <row r="3380">
      <c r="A3380" t="n">
        <v>2001551</v>
      </c>
      <c r="B3380" t="n">
        <v>2</v>
      </c>
      <c r="C3380" t="n">
        <v>1551</v>
      </c>
      <c r="D3380" t="n">
        <v>-0.34</v>
      </c>
      <c r="E3380" t="n">
        <v>16.6055</v>
      </c>
      <c r="F3380" t="n">
        <v>0.14129</v>
      </c>
    </row>
    <row r="3381">
      <c r="A3381" t="n">
        <v>2001552</v>
      </c>
      <c r="B3381" t="n">
        <v>2</v>
      </c>
      <c r="C3381" t="n">
        <v>1552</v>
      </c>
      <c r="D3381" t="n">
        <v>-0.34</v>
      </c>
      <c r="E3381" t="n">
        <v>16.6114</v>
      </c>
      <c r="F3381" t="n">
        <v>0.14132</v>
      </c>
    </row>
    <row r="3382">
      <c r="A3382" t="n">
        <v>2001553</v>
      </c>
      <c r="B3382" t="n">
        <v>2</v>
      </c>
      <c r="C3382" t="n">
        <v>1553</v>
      </c>
      <c r="D3382" t="n">
        <v>-0.3401</v>
      </c>
      <c r="E3382" t="n">
        <v>16.6174</v>
      </c>
      <c r="F3382" t="n">
        <v>0.14134</v>
      </c>
    </row>
    <row r="3383">
      <c r="A3383" t="n">
        <v>2001554</v>
      </c>
      <c r="B3383" t="n">
        <v>2</v>
      </c>
      <c r="C3383" t="n">
        <v>1554</v>
      </c>
      <c r="D3383" t="n">
        <v>-0.3401</v>
      </c>
      <c r="E3383" t="n">
        <v>16.6233</v>
      </c>
      <c r="F3383" t="n">
        <v>0.14137</v>
      </c>
    </row>
    <row r="3384">
      <c r="A3384" t="n">
        <v>2001555</v>
      </c>
      <c r="B3384" t="n">
        <v>2</v>
      </c>
      <c r="C3384" t="n">
        <v>1555</v>
      </c>
      <c r="D3384" t="n">
        <v>-0.3402</v>
      </c>
      <c r="E3384" t="n">
        <v>16.6293</v>
      </c>
      <c r="F3384" t="n">
        <v>0.1414</v>
      </c>
    </row>
    <row r="3385">
      <c r="A3385" t="n">
        <v>2001556</v>
      </c>
      <c r="B3385" t="n">
        <v>2</v>
      </c>
      <c r="C3385" t="n">
        <v>1556</v>
      </c>
      <c r="D3385" t="n">
        <v>-0.3402</v>
      </c>
      <c r="E3385" t="n">
        <v>16.6352</v>
      </c>
      <c r="F3385" t="n">
        <v>0.14142</v>
      </c>
    </row>
    <row r="3386">
      <c r="A3386" t="n">
        <v>2001557</v>
      </c>
      <c r="B3386" t="n">
        <v>2</v>
      </c>
      <c r="C3386" t="n">
        <v>1557</v>
      </c>
      <c r="D3386" t="n">
        <v>-0.3402</v>
      </c>
      <c r="E3386" t="n">
        <v>16.6412</v>
      </c>
      <c r="F3386" t="n">
        <v>0.14145</v>
      </c>
    </row>
    <row r="3387">
      <c r="A3387" t="n">
        <v>2001558</v>
      </c>
      <c r="B3387" t="n">
        <v>2</v>
      </c>
      <c r="C3387" t="n">
        <v>1558</v>
      </c>
      <c r="D3387" t="n">
        <v>-0.3403</v>
      </c>
      <c r="E3387" t="n">
        <v>16.6471</v>
      </c>
      <c r="F3387" t="n">
        <v>0.14148</v>
      </c>
    </row>
    <row r="3388">
      <c r="A3388" t="n">
        <v>2001559</v>
      </c>
      <c r="B3388" t="n">
        <v>2</v>
      </c>
      <c r="C3388" t="n">
        <v>1559</v>
      </c>
      <c r="D3388" t="n">
        <v>-0.3403</v>
      </c>
      <c r="E3388" t="n">
        <v>16.653</v>
      </c>
      <c r="F3388" t="n">
        <v>0.1415</v>
      </c>
    </row>
    <row r="3389">
      <c r="A3389" t="n">
        <v>2001560</v>
      </c>
      <c r="B3389" t="n">
        <v>2</v>
      </c>
      <c r="C3389" t="n">
        <v>1560</v>
      </c>
      <c r="D3389" t="n">
        <v>-0.3404</v>
      </c>
      <c r="E3389" t="n">
        <v>16.659</v>
      </c>
      <c r="F3389" t="n">
        <v>0.14153</v>
      </c>
    </row>
    <row r="3390">
      <c r="A3390" t="n">
        <v>2001561</v>
      </c>
      <c r="B3390" t="n">
        <v>2</v>
      </c>
      <c r="C3390" t="n">
        <v>1561</v>
      </c>
      <c r="D3390" t="n">
        <v>-0.3404</v>
      </c>
      <c r="E3390" t="n">
        <v>16.6649</v>
      </c>
      <c r="F3390" t="n">
        <v>0.14156</v>
      </c>
    </row>
    <row r="3391">
      <c r="A3391" t="n">
        <v>2001562</v>
      </c>
      <c r="B3391" t="n">
        <v>2</v>
      </c>
      <c r="C3391" t="n">
        <v>1562</v>
      </c>
      <c r="D3391" t="n">
        <v>-0.3405</v>
      </c>
      <c r="E3391" t="n">
        <v>16.6709</v>
      </c>
      <c r="F3391" t="n">
        <v>0.14158</v>
      </c>
    </row>
    <row r="3392">
      <c r="A3392" t="n">
        <v>2001563</v>
      </c>
      <c r="B3392" t="n">
        <v>2</v>
      </c>
      <c r="C3392" t="n">
        <v>1563</v>
      </c>
      <c r="D3392" t="n">
        <v>-0.3405</v>
      </c>
      <c r="E3392" t="n">
        <v>16.6768</v>
      </c>
      <c r="F3392" t="n">
        <v>0.14161</v>
      </c>
    </row>
    <row r="3393">
      <c r="A3393" t="n">
        <v>2001564</v>
      </c>
      <c r="B3393" t="n">
        <v>2</v>
      </c>
      <c r="C3393" t="n">
        <v>1564</v>
      </c>
      <c r="D3393" t="n">
        <v>-0.3405</v>
      </c>
      <c r="E3393" t="n">
        <v>16.6828</v>
      </c>
      <c r="F3393" t="n">
        <v>0.14164</v>
      </c>
    </row>
    <row r="3394">
      <c r="A3394" t="n">
        <v>2001565</v>
      </c>
      <c r="B3394" t="n">
        <v>2</v>
      </c>
      <c r="C3394" t="n">
        <v>1565</v>
      </c>
      <c r="D3394" t="n">
        <v>-0.3406</v>
      </c>
      <c r="E3394" t="n">
        <v>16.6887</v>
      </c>
      <c r="F3394" t="n">
        <v>0.14166</v>
      </c>
    </row>
    <row r="3395">
      <c r="A3395" t="n">
        <v>2001566</v>
      </c>
      <c r="B3395" t="n">
        <v>2</v>
      </c>
      <c r="C3395" t="n">
        <v>1566</v>
      </c>
      <c r="D3395" t="n">
        <v>-0.3406</v>
      </c>
      <c r="E3395" t="n">
        <v>16.6947</v>
      </c>
      <c r="F3395" t="n">
        <v>0.14169</v>
      </c>
    </row>
    <row r="3396">
      <c r="A3396" t="n">
        <v>2001567</v>
      </c>
      <c r="B3396" t="n">
        <v>2</v>
      </c>
      <c r="C3396" t="n">
        <v>1567</v>
      </c>
      <c r="D3396" t="n">
        <v>-0.3407</v>
      </c>
      <c r="E3396" t="n">
        <v>16.7006</v>
      </c>
      <c r="F3396" t="n">
        <v>0.14172</v>
      </c>
    </row>
    <row r="3397">
      <c r="A3397" t="n">
        <v>2001568</v>
      </c>
      <c r="B3397" t="n">
        <v>2</v>
      </c>
      <c r="C3397" t="n">
        <v>1568</v>
      </c>
      <c r="D3397" t="n">
        <v>-0.3407</v>
      </c>
      <c r="E3397" t="n">
        <v>16.7065</v>
      </c>
      <c r="F3397" t="n">
        <v>0.14174</v>
      </c>
    </row>
    <row r="3398">
      <c r="A3398" t="n">
        <v>2001569</v>
      </c>
      <c r="B3398" t="n">
        <v>2</v>
      </c>
      <c r="C3398" t="n">
        <v>1569</v>
      </c>
      <c r="D3398" t="n">
        <v>-0.3408</v>
      </c>
      <c r="E3398" t="n">
        <v>16.7125</v>
      </c>
      <c r="F3398" t="n">
        <v>0.14177</v>
      </c>
    </row>
    <row r="3399">
      <c r="A3399" t="n">
        <v>2001570</v>
      </c>
      <c r="B3399" t="n">
        <v>2</v>
      </c>
      <c r="C3399" t="n">
        <v>1570</v>
      </c>
      <c r="D3399" t="n">
        <v>-0.3408</v>
      </c>
      <c r="E3399" t="n">
        <v>16.7184</v>
      </c>
      <c r="F3399" t="n">
        <v>0.14179</v>
      </c>
    </row>
    <row r="3400">
      <c r="A3400" t="n">
        <v>2001571</v>
      </c>
      <c r="B3400" t="n">
        <v>2</v>
      </c>
      <c r="C3400" t="n">
        <v>1571</v>
      </c>
      <c r="D3400" t="n">
        <v>-0.3408</v>
      </c>
      <c r="E3400" t="n">
        <v>16.7244</v>
      </c>
      <c r="F3400" t="n">
        <v>0.14182</v>
      </c>
    </row>
    <row r="3401">
      <c r="A3401" t="n">
        <v>2001572</v>
      </c>
      <c r="B3401" t="n">
        <v>2</v>
      </c>
      <c r="C3401" t="n">
        <v>1572</v>
      </c>
      <c r="D3401" t="n">
        <v>-0.3409</v>
      </c>
      <c r="E3401" t="n">
        <v>16.7303</v>
      </c>
      <c r="F3401" t="n">
        <v>0.14185</v>
      </c>
    </row>
    <row r="3402">
      <c r="A3402" t="n">
        <v>2001573</v>
      </c>
      <c r="B3402" t="n">
        <v>2</v>
      </c>
      <c r="C3402" t="n">
        <v>1573</v>
      </c>
      <c r="D3402" t="n">
        <v>-0.3409</v>
      </c>
      <c r="E3402" t="n">
        <v>16.7363</v>
      </c>
      <c r="F3402" t="n">
        <v>0.14187</v>
      </c>
    </row>
    <row r="3403">
      <c r="A3403" t="n">
        <v>2001574</v>
      </c>
      <c r="B3403" t="n">
        <v>2</v>
      </c>
      <c r="C3403" t="n">
        <v>1574</v>
      </c>
      <c r="D3403" t="n">
        <v>-0.341</v>
      </c>
      <c r="E3403" t="n">
        <v>16.7422</v>
      </c>
      <c r="F3403" t="n">
        <v>0.1419</v>
      </c>
    </row>
    <row r="3404">
      <c r="A3404" t="n">
        <v>2001575</v>
      </c>
      <c r="B3404" t="n">
        <v>2</v>
      </c>
      <c r="C3404" t="n">
        <v>1575</v>
      </c>
      <c r="D3404" t="n">
        <v>-0.341</v>
      </c>
      <c r="E3404" t="n">
        <v>16.7481</v>
      </c>
      <c r="F3404" t="n">
        <v>0.14193</v>
      </c>
    </row>
    <row r="3405">
      <c r="A3405" t="n">
        <v>2001576</v>
      </c>
      <c r="B3405" t="n">
        <v>2</v>
      </c>
      <c r="C3405" t="n">
        <v>1576</v>
      </c>
      <c r="D3405" t="n">
        <v>-0.3411</v>
      </c>
      <c r="E3405" t="n">
        <v>16.7541</v>
      </c>
      <c r="F3405" t="n">
        <v>0.14195</v>
      </c>
    </row>
    <row r="3406">
      <c r="A3406" t="n">
        <v>2001577</v>
      </c>
      <c r="B3406" t="n">
        <v>2</v>
      </c>
      <c r="C3406" t="n">
        <v>1577</v>
      </c>
      <c r="D3406" t="n">
        <v>-0.3411</v>
      </c>
      <c r="E3406" t="n">
        <v>16.76</v>
      </c>
      <c r="F3406" t="n">
        <v>0.14198</v>
      </c>
    </row>
    <row r="3407">
      <c r="A3407" t="n">
        <v>2001578</v>
      </c>
      <c r="B3407" t="n">
        <v>2</v>
      </c>
      <c r="C3407" t="n">
        <v>1578</v>
      </c>
      <c r="D3407" t="n">
        <v>-0.3412</v>
      </c>
      <c r="E3407" t="n">
        <v>16.766</v>
      </c>
      <c r="F3407" t="n">
        <v>0.14201</v>
      </c>
    </row>
    <row r="3408">
      <c r="A3408" t="n">
        <v>2001579</v>
      </c>
      <c r="B3408" t="n">
        <v>2</v>
      </c>
      <c r="C3408" t="n">
        <v>1579</v>
      </c>
      <c r="D3408" t="n">
        <v>-0.3412</v>
      </c>
      <c r="E3408" t="n">
        <v>16.7719</v>
      </c>
      <c r="F3408" t="n">
        <v>0.14203</v>
      </c>
    </row>
    <row r="3409">
      <c r="A3409" t="n">
        <v>2001580</v>
      </c>
      <c r="B3409" t="n">
        <v>2</v>
      </c>
      <c r="C3409" t="n">
        <v>1580</v>
      </c>
      <c r="D3409" t="n">
        <v>-0.3412</v>
      </c>
      <c r="E3409" t="n">
        <v>16.7778</v>
      </c>
      <c r="F3409" t="n">
        <v>0.14206</v>
      </c>
    </row>
    <row r="3410">
      <c r="A3410" t="n">
        <v>2001581</v>
      </c>
      <c r="B3410" t="n">
        <v>2</v>
      </c>
      <c r="C3410" t="n">
        <v>1581</v>
      </c>
      <c r="D3410" t="n">
        <v>-0.3413</v>
      </c>
      <c r="E3410" t="n">
        <v>16.7838</v>
      </c>
      <c r="F3410" t="n">
        <v>0.14209</v>
      </c>
    </row>
    <row r="3411">
      <c r="A3411" t="n">
        <v>2001582</v>
      </c>
      <c r="B3411" t="n">
        <v>2</v>
      </c>
      <c r="C3411" t="n">
        <v>1582</v>
      </c>
      <c r="D3411" t="n">
        <v>-0.3413</v>
      </c>
      <c r="E3411" t="n">
        <v>16.7897</v>
      </c>
      <c r="F3411" t="n">
        <v>0.14211</v>
      </c>
    </row>
    <row r="3412">
      <c r="A3412" t="n">
        <v>2001583</v>
      </c>
      <c r="B3412" t="n">
        <v>2</v>
      </c>
      <c r="C3412" t="n">
        <v>1583</v>
      </c>
      <c r="D3412" t="n">
        <v>-0.3414</v>
      </c>
      <c r="E3412" t="n">
        <v>16.7957</v>
      </c>
      <c r="F3412" t="n">
        <v>0.14214</v>
      </c>
    </row>
    <row r="3413">
      <c r="A3413" t="n">
        <v>2001584</v>
      </c>
      <c r="B3413" t="n">
        <v>2</v>
      </c>
      <c r="C3413" t="n">
        <v>1584</v>
      </c>
      <c r="D3413" t="n">
        <v>-0.3414</v>
      </c>
      <c r="E3413" t="n">
        <v>16.8016</v>
      </c>
      <c r="F3413" t="n">
        <v>0.14216</v>
      </c>
    </row>
    <row r="3414">
      <c r="A3414" t="n">
        <v>2001585</v>
      </c>
      <c r="B3414" t="n">
        <v>2</v>
      </c>
      <c r="C3414" t="n">
        <v>1585</v>
      </c>
      <c r="D3414" t="n">
        <v>-0.3415</v>
      </c>
      <c r="E3414" t="n">
        <v>16.8075</v>
      </c>
      <c r="F3414" t="n">
        <v>0.14219</v>
      </c>
    </row>
    <row r="3415">
      <c r="A3415" t="n">
        <v>2001586</v>
      </c>
      <c r="B3415" t="n">
        <v>2</v>
      </c>
      <c r="C3415" t="n">
        <v>1586</v>
      </c>
      <c r="D3415" t="n">
        <v>-0.3415</v>
      </c>
      <c r="E3415" t="n">
        <v>16.8135</v>
      </c>
      <c r="F3415" t="n">
        <v>0.14222</v>
      </c>
    </row>
    <row r="3416">
      <c r="A3416" t="n">
        <v>2001587</v>
      </c>
      <c r="B3416" t="n">
        <v>2</v>
      </c>
      <c r="C3416" t="n">
        <v>1587</v>
      </c>
      <c r="D3416" t="n">
        <v>-0.3415</v>
      </c>
      <c r="E3416" t="n">
        <v>16.8194</v>
      </c>
      <c r="F3416" t="n">
        <v>0.14224</v>
      </c>
    </row>
    <row r="3417">
      <c r="A3417" t="n">
        <v>2001588</v>
      </c>
      <c r="B3417" t="n">
        <v>2</v>
      </c>
      <c r="C3417" t="n">
        <v>1588</v>
      </c>
      <c r="D3417" t="n">
        <v>-0.3416</v>
      </c>
      <c r="E3417" t="n">
        <v>16.8254</v>
      </c>
      <c r="F3417" t="n">
        <v>0.14227</v>
      </c>
    </row>
    <row r="3418">
      <c r="A3418" t="n">
        <v>2001589</v>
      </c>
      <c r="B3418" t="n">
        <v>2</v>
      </c>
      <c r="C3418" t="n">
        <v>1589</v>
      </c>
      <c r="D3418" t="n">
        <v>-0.3416</v>
      </c>
      <c r="E3418" t="n">
        <v>16.8313</v>
      </c>
      <c r="F3418" t="n">
        <v>0.1423</v>
      </c>
    </row>
    <row r="3419">
      <c r="A3419" t="n">
        <v>2001590</v>
      </c>
      <c r="B3419" t="n">
        <v>2</v>
      </c>
      <c r="C3419" t="n">
        <v>1590</v>
      </c>
      <c r="D3419" t="n">
        <v>-0.3417</v>
      </c>
      <c r="E3419" t="n">
        <v>16.8372</v>
      </c>
      <c r="F3419" t="n">
        <v>0.14232</v>
      </c>
    </row>
    <row r="3420">
      <c r="A3420" t="n">
        <v>2001591</v>
      </c>
      <c r="B3420" t="n">
        <v>2</v>
      </c>
      <c r="C3420" t="n">
        <v>1591</v>
      </c>
      <c r="D3420" t="n">
        <v>-0.3417</v>
      </c>
      <c r="E3420" t="n">
        <v>16.8432</v>
      </c>
      <c r="F3420" t="n">
        <v>0.14235</v>
      </c>
    </row>
    <row r="3421">
      <c r="A3421" t="n">
        <v>2001592</v>
      </c>
      <c r="B3421" t="n">
        <v>2</v>
      </c>
      <c r="C3421" t="n">
        <v>1592</v>
      </c>
      <c r="D3421" t="n">
        <v>-0.3418</v>
      </c>
      <c r="E3421" t="n">
        <v>16.8491</v>
      </c>
      <c r="F3421" t="n">
        <v>0.14237</v>
      </c>
    </row>
    <row r="3422">
      <c r="A3422" t="n">
        <v>2001593</v>
      </c>
      <c r="B3422" t="n">
        <v>2</v>
      </c>
      <c r="C3422" t="n">
        <v>1593</v>
      </c>
      <c r="D3422" t="n">
        <v>-0.3418</v>
      </c>
      <c r="E3422" t="n">
        <v>16.855</v>
      </c>
      <c r="F3422" t="n">
        <v>0.1424</v>
      </c>
    </row>
    <row r="3423">
      <c r="A3423" t="n">
        <v>2001594</v>
      </c>
      <c r="B3423" t="n">
        <v>2</v>
      </c>
      <c r="C3423" t="n">
        <v>1594</v>
      </c>
      <c r="D3423" t="n">
        <v>-0.3418</v>
      </c>
      <c r="E3423" t="n">
        <v>16.861</v>
      </c>
      <c r="F3423" t="n">
        <v>0.14243</v>
      </c>
    </row>
    <row r="3424">
      <c r="A3424" t="n">
        <v>2001595</v>
      </c>
      <c r="B3424" t="n">
        <v>2</v>
      </c>
      <c r="C3424" t="n">
        <v>1595</v>
      </c>
      <c r="D3424" t="n">
        <v>-0.3419</v>
      </c>
      <c r="E3424" t="n">
        <v>16.8669</v>
      </c>
      <c r="F3424" t="n">
        <v>0.14245</v>
      </c>
    </row>
    <row r="3425">
      <c r="A3425" t="n">
        <v>2001596</v>
      </c>
      <c r="B3425" t="n">
        <v>2</v>
      </c>
      <c r="C3425" t="n">
        <v>1596</v>
      </c>
      <c r="D3425" t="n">
        <v>-0.3419</v>
      </c>
      <c r="E3425" t="n">
        <v>16.8729</v>
      </c>
      <c r="F3425" t="n">
        <v>0.14248</v>
      </c>
    </row>
    <row r="3426">
      <c r="A3426" t="n">
        <v>2001597</v>
      </c>
      <c r="B3426" t="n">
        <v>2</v>
      </c>
      <c r="C3426" t="n">
        <v>1597</v>
      </c>
      <c r="D3426" t="n">
        <v>-0.342</v>
      </c>
      <c r="E3426" t="n">
        <v>16.8788</v>
      </c>
      <c r="F3426" t="n">
        <v>0.14251</v>
      </c>
    </row>
    <row r="3427">
      <c r="A3427" t="n">
        <v>2001598</v>
      </c>
      <c r="B3427" t="n">
        <v>2</v>
      </c>
      <c r="C3427" t="n">
        <v>1598</v>
      </c>
      <c r="D3427" t="n">
        <v>-0.342</v>
      </c>
      <c r="E3427" t="n">
        <v>16.8847</v>
      </c>
      <c r="F3427" t="n">
        <v>0.14253</v>
      </c>
    </row>
    <row r="3428">
      <c r="A3428" t="n">
        <v>2001599</v>
      </c>
      <c r="B3428" t="n">
        <v>2</v>
      </c>
      <c r="C3428" t="n">
        <v>1599</v>
      </c>
      <c r="D3428" t="n">
        <v>-0.3421</v>
      </c>
      <c r="E3428" t="n">
        <v>16.8907</v>
      </c>
      <c r="F3428" t="n">
        <v>0.14256</v>
      </c>
    </row>
    <row r="3429">
      <c r="A3429" t="n">
        <v>2001600</v>
      </c>
      <c r="B3429" t="n">
        <v>2</v>
      </c>
      <c r="C3429" t="n">
        <v>1600</v>
      </c>
      <c r="D3429" t="n">
        <v>-0.3421</v>
      </c>
      <c r="E3429" t="n">
        <v>16.8966</v>
      </c>
      <c r="F3429" t="n">
        <v>0.14258</v>
      </c>
    </row>
    <row r="3430">
      <c r="A3430" t="n">
        <v>2001601</v>
      </c>
      <c r="B3430" t="n">
        <v>2</v>
      </c>
      <c r="C3430" t="n">
        <v>1601</v>
      </c>
      <c r="D3430" t="n">
        <v>-0.3421</v>
      </c>
      <c r="E3430" t="n">
        <v>16.9025</v>
      </c>
      <c r="F3430" t="n">
        <v>0.14261</v>
      </c>
    </row>
    <row r="3431">
      <c r="A3431" t="n">
        <v>2001602</v>
      </c>
      <c r="B3431" t="n">
        <v>2</v>
      </c>
      <c r="C3431" t="n">
        <v>1602</v>
      </c>
      <c r="D3431" t="n">
        <v>-0.3422</v>
      </c>
      <c r="E3431" t="n">
        <v>16.9085</v>
      </c>
      <c r="F3431" t="n">
        <v>0.14264</v>
      </c>
    </row>
    <row r="3432">
      <c r="A3432" t="n">
        <v>2001603</v>
      </c>
      <c r="B3432" t="n">
        <v>2</v>
      </c>
      <c r="C3432" t="n">
        <v>1603</v>
      </c>
      <c r="D3432" t="n">
        <v>-0.3422</v>
      </c>
      <c r="E3432" t="n">
        <v>16.9144</v>
      </c>
      <c r="F3432" t="n">
        <v>0.14266</v>
      </c>
    </row>
    <row r="3433">
      <c r="A3433" t="n">
        <v>2001604</v>
      </c>
      <c r="B3433" t="n">
        <v>2</v>
      </c>
      <c r="C3433" t="n">
        <v>1604</v>
      </c>
      <c r="D3433" t="n">
        <v>-0.3423</v>
      </c>
      <c r="E3433" t="n">
        <v>16.9203</v>
      </c>
      <c r="F3433" t="n">
        <v>0.14269</v>
      </c>
    </row>
    <row r="3434">
      <c r="A3434" t="n">
        <v>2001605</v>
      </c>
      <c r="B3434" t="n">
        <v>2</v>
      </c>
      <c r="C3434" t="n">
        <v>1605</v>
      </c>
      <c r="D3434" t="n">
        <v>-0.3423</v>
      </c>
      <c r="E3434" t="n">
        <v>16.9263</v>
      </c>
      <c r="F3434" t="n">
        <v>0.14271</v>
      </c>
    </row>
    <row r="3435">
      <c r="A3435" t="n">
        <v>2001606</v>
      </c>
      <c r="B3435" t="n">
        <v>2</v>
      </c>
      <c r="C3435" t="n">
        <v>1606</v>
      </c>
      <c r="D3435" t="n">
        <v>-0.3424</v>
      </c>
      <c r="E3435" t="n">
        <v>16.9322</v>
      </c>
      <c r="F3435" t="n">
        <v>0.14274</v>
      </c>
    </row>
    <row r="3436">
      <c r="A3436" t="n">
        <v>2001607</v>
      </c>
      <c r="B3436" t="n">
        <v>2</v>
      </c>
      <c r="C3436" t="n">
        <v>1607</v>
      </c>
      <c r="D3436" t="n">
        <v>-0.3424</v>
      </c>
      <c r="E3436" t="n">
        <v>16.9381</v>
      </c>
      <c r="F3436" t="n">
        <v>0.14277</v>
      </c>
    </row>
    <row r="3437">
      <c r="A3437" t="n">
        <v>2001608</v>
      </c>
      <c r="B3437" t="n">
        <v>2</v>
      </c>
      <c r="C3437" t="n">
        <v>1608</v>
      </c>
      <c r="D3437" t="n">
        <v>-0.3425</v>
      </c>
      <c r="E3437" t="n">
        <v>16.9441</v>
      </c>
      <c r="F3437" t="n">
        <v>0.14279</v>
      </c>
    </row>
    <row r="3438">
      <c r="A3438" t="n">
        <v>2001609</v>
      </c>
      <c r="B3438" t="n">
        <v>2</v>
      </c>
      <c r="C3438" t="n">
        <v>1609</v>
      </c>
      <c r="D3438" t="n">
        <v>-0.3425</v>
      </c>
      <c r="E3438" t="n">
        <v>16.95</v>
      </c>
      <c r="F3438" t="n">
        <v>0.14282</v>
      </c>
    </row>
    <row r="3439">
      <c r="A3439" t="n">
        <v>2001610</v>
      </c>
      <c r="B3439" t="n">
        <v>2</v>
      </c>
      <c r="C3439" t="n">
        <v>1610</v>
      </c>
      <c r="D3439" t="n">
        <v>-0.3425</v>
      </c>
      <c r="E3439" t="n">
        <v>16.9559</v>
      </c>
      <c r="F3439" t="n">
        <v>0.14284</v>
      </c>
    </row>
    <row r="3440">
      <c r="A3440" t="n">
        <v>2001611</v>
      </c>
      <c r="B3440" t="n">
        <v>2</v>
      </c>
      <c r="C3440" t="n">
        <v>1611</v>
      </c>
      <c r="D3440" t="n">
        <v>-0.3426</v>
      </c>
      <c r="E3440" t="n">
        <v>16.9619</v>
      </c>
      <c r="F3440" t="n">
        <v>0.14287</v>
      </c>
    </row>
    <row r="3441">
      <c r="A3441" t="n">
        <v>2001612</v>
      </c>
      <c r="B3441" t="n">
        <v>2</v>
      </c>
      <c r="C3441" t="n">
        <v>1612</v>
      </c>
      <c r="D3441" t="n">
        <v>-0.3426</v>
      </c>
      <c r="E3441" t="n">
        <v>16.9678</v>
      </c>
      <c r="F3441" t="n">
        <v>0.1429</v>
      </c>
    </row>
    <row r="3442">
      <c r="A3442" t="n">
        <v>2001613</v>
      </c>
      <c r="B3442" t="n">
        <v>2</v>
      </c>
      <c r="C3442" t="n">
        <v>1613</v>
      </c>
      <c r="D3442" t="n">
        <v>-0.3427</v>
      </c>
      <c r="E3442" t="n">
        <v>16.9737</v>
      </c>
      <c r="F3442" t="n">
        <v>0.14292</v>
      </c>
    </row>
    <row r="3443">
      <c r="A3443" t="n">
        <v>2001614</v>
      </c>
      <c r="B3443" t="n">
        <v>2</v>
      </c>
      <c r="C3443" t="n">
        <v>1614</v>
      </c>
      <c r="D3443" t="n">
        <v>-0.3427</v>
      </c>
      <c r="E3443" t="n">
        <v>16.9796</v>
      </c>
      <c r="F3443" t="n">
        <v>0.14295</v>
      </c>
    </row>
    <row r="3444">
      <c r="A3444" t="n">
        <v>2001615</v>
      </c>
      <c r="B3444" t="n">
        <v>2</v>
      </c>
      <c r="C3444" t="n">
        <v>1615</v>
      </c>
      <c r="D3444" t="n">
        <v>-0.3428</v>
      </c>
      <c r="E3444" t="n">
        <v>16.9856</v>
      </c>
      <c r="F3444" t="n">
        <v>0.14297</v>
      </c>
    </row>
    <row r="3445">
      <c r="A3445" t="n">
        <v>2001616</v>
      </c>
      <c r="B3445" t="n">
        <v>2</v>
      </c>
      <c r="C3445" t="n">
        <v>1616</v>
      </c>
      <c r="D3445" t="n">
        <v>-0.3428</v>
      </c>
      <c r="E3445" t="n">
        <v>16.9915</v>
      </c>
      <c r="F3445" t="n">
        <v>0.143</v>
      </c>
    </row>
    <row r="3446">
      <c r="A3446" t="n">
        <v>2001617</v>
      </c>
      <c r="B3446" t="n">
        <v>2</v>
      </c>
      <c r="C3446" t="n">
        <v>1617</v>
      </c>
      <c r="D3446" t="n">
        <v>-0.3428</v>
      </c>
      <c r="E3446" t="n">
        <v>16.9974</v>
      </c>
      <c r="F3446" t="n">
        <v>0.14303</v>
      </c>
    </row>
    <row r="3447">
      <c r="A3447" t="n">
        <v>2001618</v>
      </c>
      <c r="B3447" t="n">
        <v>2</v>
      </c>
      <c r="C3447" t="n">
        <v>1618</v>
      </c>
      <c r="D3447" t="n">
        <v>-0.3429</v>
      </c>
      <c r="E3447" t="n">
        <v>17.0034</v>
      </c>
      <c r="F3447" t="n">
        <v>0.14305</v>
      </c>
    </row>
    <row r="3448">
      <c r="A3448" t="n">
        <v>2001619</v>
      </c>
      <c r="B3448" t="n">
        <v>2</v>
      </c>
      <c r="C3448" t="n">
        <v>1619</v>
      </c>
      <c r="D3448" t="n">
        <v>-0.3429</v>
      </c>
      <c r="E3448" t="n">
        <v>17.0093</v>
      </c>
      <c r="F3448" t="n">
        <v>0.14308</v>
      </c>
    </row>
    <row r="3449">
      <c r="A3449" t="n">
        <v>2001620</v>
      </c>
      <c r="B3449" t="n">
        <v>2</v>
      </c>
      <c r="C3449" t="n">
        <v>1620</v>
      </c>
      <c r="D3449" t="n">
        <v>-0.343</v>
      </c>
      <c r="E3449" t="n">
        <v>17.0152</v>
      </c>
      <c r="F3449" t="n">
        <v>0.1431</v>
      </c>
    </row>
    <row r="3450">
      <c r="A3450" t="n">
        <v>2001621</v>
      </c>
      <c r="B3450" t="n">
        <v>2</v>
      </c>
      <c r="C3450" t="n">
        <v>1621</v>
      </c>
      <c r="D3450" t="n">
        <v>-0.343</v>
      </c>
      <c r="E3450" t="n">
        <v>17.0211</v>
      </c>
      <c r="F3450" t="n">
        <v>0.14313</v>
      </c>
    </row>
    <row r="3451">
      <c r="A3451" t="n">
        <v>2001622</v>
      </c>
      <c r="B3451" t="n">
        <v>2</v>
      </c>
      <c r="C3451" t="n">
        <v>1622</v>
      </c>
      <c r="D3451" t="n">
        <v>-0.3431</v>
      </c>
      <c r="E3451" t="n">
        <v>17.0271</v>
      </c>
      <c r="F3451" t="n">
        <v>0.14315</v>
      </c>
    </row>
    <row r="3452">
      <c r="A3452" t="n">
        <v>2001623</v>
      </c>
      <c r="B3452" t="n">
        <v>2</v>
      </c>
      <c r="C3452" t="n">
        <v>1623</v>
      </c>
      <c r="D3452" t="n">
        <v>-0.3431</v>
      </c>
      <c r="E3452" t="n">
        <v>17.033</v>
      </c>
      <c r="F3452" t="n">
        <v>0.14318</v>
      </c>
    </row>
    <row r="3453">
      <c r="A3453" t="n">
        <v>2001624</v>
      </c>
      <c r="B3453" t="n">
        <v>2</v>
      </c>
      <c r="C3453" t="n">
        <v>1624</v>
      </c>
      <c r="D3453" t="n">
        <v>-0.3431</v>
      </c>
      <c r="E3453" t="n">
        <v>17.0389</v>
      </c>
      <c r="F3453" t="n">
        <v>0.14321</v>
      </c>
    </row>
    <row r="3454">
      <c r="A3454" t="n">
        <v>2001625</v>
      </c>
      <c r="B3454" t="n">
        <v>2</v>
      </c>
      <c r="C3454" t="n">
        <v>1625</v>
      </c>
      <c r="D3454" t="n">
        <v>-0.3432</v>
      </c>
      <c r="E3454" t="n">
        <v>17.0448</v>
      </c>
      <c r="F3454" t="n">
        <v>0.14323</v>
      </c>
    </row>
    <row r="3455">
      <c r="A3455" t="n">
        <v>2001626</v>
      </c>
      <c r="B3455" t="n">
        <v>2</v>
      </c>
      <c r="C3455" t="n">
        <v>1626</v>
      </c>
      <c r="D3455" t="n">
        <v>-0.3432</v>
      </c>
      <c r="E3455" t="n">
        <v>17.0508</v>
      </c>
      <c r="F3455" t="n">
        <v>0.14326</v>
      </c>
    </row>
    <row r="3456">
      <c r="A3456" t="n">
        <v>2001627</v>
      </c>
      <c r="B3456" t="n">
        <v>2</v>
      </c>
      <c r="C3456" t="n">
        <v>1627</v>
      </c>
      <c r="D3456" t="n">
        <v>-0.3433</v>
      </c>
      <c r="E3456" t="n">
        <v>17.0567</v>
      </c>
      <c r="F3456" t="n">
        <v>0.14328</v>
      </c>
    </row>
    <row r="3457">
      <c r="A3457" t="n">
        <v>2001628</v>
      </c>
      <c r="B3457" t="n">
        <v>2</v>
      </c>
      <c r="C3457" t="n">
        <v>1628</v>
      </c>
      <c r="D3457" t="n">
        <v>-0.3433</v>
      </c>
      <c r="E3457" t="n">
        <v>17.0626</v>
      </c>
      <c r="F3457" t="n">
        <v>0.14331</v>
      </c>
    </row>
    <row r="3458">
      <c r="A3458" t="n">
        <v>2001629</v>
      </c>
      <c r="B3458" t="n">
        <v>2</v>
      </c>
      <c r="C3458" t="n">
        <v>1629</v>
      </c>
      <c r="D3458" t="n">
        <v>-0.3434</v>
      </c>
      <c r="E3458" t="n">
        <v>17.0685</v>
      </c>
      <c r="F3458" t="n">
        <v>0.14334</v>
      </c>
    </row>
    <row r="3459">
      <c r="A3459" t="n">
        <v>2001630</v>
      </c>
      <c r="B3459" t="n">
        <v>2</v>
      </c>
      <c r="C3459" t="n">
        <v>1630</v>
      </c>
      <c r="D3459" t="n">
        <v>-0.3434</v>
      </c>
      <c r="E3459" t="n">
        <v>17.0744</v>
      </c>
      <c r="F3459" t="n">
        <v>0.14336</v>
      </c>
    </row>
    <row r="3460">
      <c r="A3460" t="n">
        <v>2001631</v>
      </c>
      <c r="B3460" t="n">
        <v>2</v>
      </c>
      <c r="C3460" t="n">
        <v>1631</v>
      </c>
      <c r="D3460" t="n">
        <v>-0.3434</v>
      </c>
      <c r="E3460" t="n">
        <v>17.0804</v>
      </c>
      <c r="F3460" t="n">
        <v>0.14339</v>
      </c>
    </row>
    <row r="3461">
      <c r="A3461" t="n">
        <v>2001632</v>
      </c>
      <c r="B3461" t="n">
        <v>2</v>
      </c>
      <c r="C3461" t="n">
        <v>1632</v>
      </c>
      <c r="D3461" t="n">
        <v>-0.3435</v>
      </c>
      <c r="E3461" t="n">
        <v>17.0863</v>
      </c>
      <c r="F3461" t="n">
        <v>0.14341</v>
      </c>
    </row>
    <row r="3462">
      <c r="A3462" t="n">
        <v>2001633</v>
      </c>
      <c r="B3462" t="n">
        <v>2</v>
      </c>
      <c r="C3462" t="n">
        <v>1633</v>
      </c>
      <c r="D3462" t="n">
        <v>-0.3435</v>
      </c>
      <c r="E3462" t="n">
        <v>17.0922</v>
      </c>
      <c r="F3462" t="n">
        <v>0.14344</v>
      </c>
    </row>
    <row r="3463">
      <c r="A3463" t="n">
        <v>2001634</v>
      </c>
      <c r="B3463" t="n">
        <v>2</v>
      </c>
      <c r="C3463" t="n">
        <v>1634</v>
      </c>
      <c r="D3463" t="n">
        <v>-0.3436</v>
      </c>
      <c r="E3463" t="n">
        <v>17.0981</v>
      </c>
      <c r="F3463" t="n">
        <v>0.14346</v>
      </c>
    </row>
    <row r="3464">
      <c r="A3464" t="n">
        <v>2001635</v>
      </c>
      <c r="B3464" t="n">
        <v>2</v>
      </c>
      <c r="C3464" t="n">
        <v>1635</v>
      </c>
      <c r="D3464" t="n">
        <v>-0.3436</v>
      </c>
      <c r="E3464" t="n">
        <v>17.104</v>
      </c>
      <c r="F3464" t="n">
        <v>0.14349</v>
      </c>
    </row>
    <row r="3465">
      <c r="A3465" t="n">
        <v>2001636</v>
      </c>
      <c r="B3465" t="n">
        <v>2</v>
      </c>
      <c r="C3465" t="n">
        <v>1636</v>
      </c>
      <c r="D3465" t="n">
        <v>-0.3437</v>
      </c>
      <c r="E3465" t="n">
        <v>17.11</v>
      </c>
      <c r="F3465" t="n">
        <v>0.14352</v>
      </c>
    </row>
    <row r="3466">
      <c r="A3466" t="n">
        <v>2001637</v>
      </c>
      <c r="B3466" t="n">
        <v>2</v>
      </c>
      <c r="C3466" t="n">
        <v>1637</v>
      </c>
      <c r="D3466" t="n">
        <v>-0.3437</v>
      </c>
      <c r="E3466" t="n">
        <v>17.1159</v>
      </c>
      <c r="F3466" t="n">
        <v>0.14354</v>
      </c>
    </row>
    <row r="3467">
      <c r="A3467" t="n">
        <v>2001638</v>
      </c>
      <c r="B3467" t="n">
        <v>2</v>
      </c>
      <c r="C3467" t="n">
        <v>1638</v>
      </c>
      <c r="D3467" t="n">
        <v>-0.3438</v>
      </c>
      <c r="E3467" t="n">
        <v>17.1218</v>
      </c>
      <c r="F3467" t="n">
        <v>0.14357</v>
      </c>
    </row>
    <row r="3468">
      <c r="A3468" t="n">
        <v>2001639</v>
      </c>
      <c r="B3468" t="n">
        <v>2</v>
      </c>
      <c r="C3468" t="n">
        <v>1639</v>
      </c>
      <c r="D3468" t="n">
        <v>-0.3438</v>
      </c>
      <c r="E3468" t="n">
        <v>17.1277</v>
      </c>
      <c r="F3468" t="n">
        <v>0.14359</v>
      </c>
    </row>
    <row r="3469">
      <c r="A3469" t="n">
        <v>2001640</v>
      </c>
      <c r="B3469" t="n">
        <v>2</v>
      </c>
      <c r="C3469" t="n">
        <v>1640</v>
      </c>
      <c r="D3469" t="n">
        <v>-0.3438</v>
      </c>
      <c r="E3469" t="n">
        <v>17.1336</v>
      </c>
      <c r="F3469" t="n">
        <v>0.14362</v>
      </c>
    </row>
    <row r="3470">
      <c r="A3470" t="n">
        <v>2001641</v>
      </c>
      <c r="B3470" t="n">
        <v>2</v>
      </c>
      <c r="C3470" t="n">
        <v>1641</v>
      </c>
      <c r="D3470" t="n">
        <v>-0.3439</v>
      </c>
      <c r="E3470" t="n">
        <v>17.1395</v>
      </c>
      <c r="F3470" t="n">
        <v>0.14364</v>
      </c>
    </row>
    <row r="3471">
      <c r="A3471" t="n">
        <v>2001642</v>
      </c>
      <c r="B3471" t="n">
        <v>2</v>
      </c>
      <c r="C3471" t="n">
        <v>1642</v>
      </c>
      <c r="D3471" t="n">
        <v>-0.3439</v>
      </c>
      <c r="E3471" t="n">
        <v>17.1455</v>
      </c>
      <c r="F3471" t="n">
        <v>0.14367</v>
      </c>
    </row>
    <row r="3472">
      <c r="A3472" t="n">
        <v>2001643</v>
      </c>
      <c r="B3472" t="n">
        <v>2</v>
      </c>
      <c r="C3472" t="n">
        <v>1643</v>
      </c>
      <c r="D3472" t="n">
        <v>-0.344</v>
      </c>
      <c r="E3472" t="n">
        <v>17.1514</v>
      </c>
      <c r="F3472" t="n">
        <v>0.14369</v>
      </c>
    </row>
    <row r="3473">
      <c r="A3473" t="n">
        <v>2001644</v>
      </c>
      <c r="B3473" t="n">
        <v>2</v>
      </c>
      <c r="C3473" t="n">
        <v>1644</v>
      </c>
      <c r="D3473" t="n">
        <v>-0.344</v>
      </c>
      <c r="E3473" t="n">
        <v>17.1573</v>
      </c>
      <c r="F3473" t="n">
        <v>0.14372</v>
      </c>
    </row>
    <row r="3474">
      <c r="A3474" t="n">
        <v>2001645</v>
      </c>
      <c r="B3474" t="n">
        <v>2</v>
      </c>
      <c r="C3474" t="n">
        <v>1645</v>
      </c>
      <c r="D3474" t="n">
        <v>-0.3441</v>
      </c>
      <c r="E3474" t="n">
        <v>17.1632</v>
      </c>
      <c r="F3474" t="n">
        <v>0.14375</v>
      </c>
    </row>
    <row r="3475">
      <c r="A3475" t="n">
        <v>2001646</v>
      </c>
      <c r="B3475" t="n">
        <v>2</v>
      </c>
      <c r="C3475" t="n">
        <v>1646</v>
      </c>
      <c r="D3475" t="n">
        <v>-0.3441</v>
      </c>
      <c r="E3475" t="n">
        <v>17.1691</v>
      </c>
      <c r="F3475" t="n">
        <v>0.14377</v>
      </c>
    </row>
    <row r="3476">
      <c r="A3476" t="n">
        <v>2001647</v>
      </c>
      <c r="B3476" t="n">
        <v>2</v>
      </c>
      <c r="C3476" t="n">
        <v>1647</v>
      </c>
      <c r="D3476" t="n">
        <v>-0.3441</v>
      </c>
      <c r="E3476" t="n">
        <v>17.175</v>
      </c>
      <c r="F3476" t="n">
        <v>0.1438</v>
      </c>
    </row>
    <row r="3477">
      <c r="A3477" t="n">
        <v>2001648</v>
      </c>
      <c r="B3477" t="n">
        <v>2</v>
      </c>
      <c r="C3477" t="n">
        <v>1648</v>
      </c>
      <c r="D3477" t="n">
        <v>-0.3442</v>
      </c>
      <c r="E3477" t="n">
        <v>17.1809</v>
      </c>
      <c r="F3477" t="n">
        <v>0.14382</v>
      </c>
    </row>
    <row r="3478">
      <c r="A3478" t="n">
        <v>2001649</v>
      </c>
      <c r="B3478" t="n">
        <v>2</v>
      </c>
      <c r="C3478" t="n">
        <v>1649</v>
      </c>
      <c r="D3478" t="n">
        <v>-0.3442</v>
      </c>
      <c r="E3478" t="n">
        <v>17.1868</v>
      </c>
      <c r="F3478" t="n">
        <v>0.14385</v>
      </c>
    </row>
    <row r="3479">
      <c r="A3479" t="n">
        <v>2001650</v>
      </c>
      <c r="B3479" t="n">
        <v>2</v>
      </c>
      <c r="C3479" t="n">
        <v>1650</v>
      </c>
      <c r="D3479" t="n">
        <v>-0.3443</v>
      </c>
      <c r="E3479" t="n">
        <v>17.1927</v>
      </c>
      <c r="F3479" t="n">
        <v>0.14387</v>
      </c>
    </row>
    <row r="3480">
      <c r="A3480" t="n">
        <v>2001651</v>
      </c>
      <c r="B3480" t="n">
        <v>2</v>
      </c>
      <c r="C3480" t="n">
        <v>1651</v>
      </c>
      <c r="D3480" t="n">
        <v>-0.3443</v>
      </c>
      <c r="E3480" t="n">
        <v>17.1987</v>
      </c>
      <c r="F3480" t="n">
        <v>0.1439</v>
      </c>
    </row>
    <row r="3481">
      <c r="A3481" t="n">
        <v>2001652</v>
      </c>
      <c r="B3481" t="n">
        <v>2</v>
      </c>
      <c r="C3481" t="n">
        <v>1652</v>
      </c>
      <c r="D3481" t="n">
        <v>-0.3444</v>
      </c>
      <c r="E3481" t="n">
        <v>17.2046</v>
      </c>
      <c r="F3481" t="n">
        <v>0.14392</v>
      </c>
    </row>
    <row r="3482">
      <c r="A3482" t="n">
        <v>2001653</v>
      </c>
      <c r="B3482" t="n">
        <v>2</v>
      </c>
      <c r="C3482" t="n">
        <v>1653</v>
      </c>
      <c r="D3482" t="n">
        <v>-0.3444</v>
      </c>
      <c r="E3482" t="n">
        <v>17.2105</v>
      </c>
      <c r="F3482" t="n">
        <v>0.14395</v>
      </c>
    </row>
    <row r="3483">
      <c r="A3483" t="n">
        <v>2001654</v>
      </c>
      <c r="B3483" t="n">
        <v>2</v>
      </c>
      <c r="C3483" t="n">
        <v>1654</v>
      </c>
      <c r="D3483" t="n">
        <v>-0.3444</v>
      </c>
      <c r="E3483" t="n">
        <v>17.2164</v>
      </c>
      <c r="F3483" t="n">
        <v>0.14398</v>
      </c>
    </row>
    <row r="3484">
      <c r="A3484" t="n">
        <v>2001655</v>
      </c>
      <c r="B3484" t="n">
        <v>2</v>
      </c>
      <c r="C3484" t="n">
        <v>1655</v>
      </c>
      <c r="D3484" t="n">
        <v>-0.3445</v>
      </c>
      <c r="E3484" t="n">
        <v>17.2223</v>
      </c>
      <c r="F3484" t="n">
        <v>0.144</v>
      </c>
    </row>
    <row r="3485">
      <c r="A3485" t="n">
        <v>2001656</v>
      </c>
      <c r="B3485" t="n">
        <v>2</v>
      </c>
      <c r="C3485" t="n">
        <v>1656</v>
      </c>
      <c r="D3485" t="n">
        <v>-0.3445</v>
      </c>
      <c r="E3485" t="n">
        <v>17.2282</v>
      </c>
      <c r="F3485" t="n">
        <v>0.14403</v>
      </c>
    </row>
    <row r="3486">
      <c r="A3486" t="n">
        <v>2001657</v>
      </c>
      <c r="B3486" t="n">
        <v>2</v>
      </c>
      <c r="C3486" t="n">
        <v>1657</v>
      </c>
      <c r="D3486" t="n">
        <v>-0.3446</v>
      </c>
      <c r="E3486" t="n">
        <v>17.2341</v>
      </c>
      <c r="F3486" t="n">
        <v>0.14405</v>
      </c>
    </row>
    <row r="3487">
      <c r="A3487" t="n">
        <v>2001658</v>
      </c>
      <c r="B3487" t="n">
        <v>2</v>
      </c>
      <c r="C3487" t="n">
        <v>1658</v>
      </c>
      <c r="D3487" t="n">
        <v>-0.3446</v>
      </c>
      <c r="E3487" t="n">
        <v>17.24</v>
      </c>
      <c r="F3487" t="n">
        <v>0.14408</v>
      </c>
    </row>
    <row r="3488">
      <c r="A3488" t="n">
        <v>2001659</v>
      </c>
      <c r="B3488" t="n">
        <v>2</v>
      </c>
      <c r="C3488" t="n">
        <v>1659</v>
      </c>
      <c r="D3488" t="n">
        <v>-0.3447</v>
      </c>
      <c r="E3488" t="n">
        <v>17.2459</v>
      </c>
      <c r="F3488" t="n">
        <v>0.1441</v>
      </c>
    </row>
    <row r="3489">
      <c r="A3489" t="n">
        <v>2001660</v>
      </c>
      <c r="B3489" t="n">
        <v>2</v>
      </c>
      <c r="C3489" t="n">
        <v>1660</v>
      </c>
      <c r="D3489" t="n">
        <v>-0.3447</v>
      </c>
      <c r="E3489" t="n">
        <v>17.2518</v>
      </c>
      <c r="F3489" t="n">
        <v>0.14413</v>
      </c>
    </row>
    <row r="3490">
      <c r="A3490" t="n">
        <v>2001661</v>
      </c>
      <c r="B3490" t="n">
        <v>2</v>
      </c>
      <c r="C3490" t="n">
        <v>1661</v>
      </c>
      <c r="D3490" t="n">
        <v>-0.3448</v>
      </c>
      <c r="E3490" t="n">
        <v>17.2577</v>
      </c>
      <c r="F3490" t="n">
        <v>0.14415</v>
      </c>
    </row>
    <row r="3491">
      <c r="A3491" t="n">
        <v>2001662</v>
      </c>
      <c r="B3491" t="n">
        <v>2</v>
      </c>
      <c r="C3491" t="n">
        <v>1662</v>
      </c>
      <c r="D3491" t="n">
        <v>-0.3448</v>
      </c>
      <c r="E3491" t="n">
        <v>17.2636</v>
      </c>
      <c r="F3491" t="n">
        <v>0.14418</v>
      </c>
    </row>
    <row r="3492">
      <c r="A3492" t="n">
        <v>2001663</v>
      </c>
      <c r="B3492" t="n">
        <v>2</v>
      </c>
      <c r="C3492" t="n">
        <v>1663</v>
      </c>
      <c r="D3492" t="n">
        <v>-0.3448</v>
      </c>
      <c r="E3492" t="n">
        <v>17.2695</v>
      </c>
      <c r="F3492" t="n">
        <v>0.1442</v>
      </c>
    </row>
    <row r="3493">
      <c r="A3493" t="n">
        <v>2001664</v>
      </c>
      <c r="B3493" t="n">
        <v>2</v>
      </c>
      <c r="C3493" t="n">
        <v>1664</v>
      </c>
      <c r="D3493" t="n">
        <v>-0.3449</v>
      </c>
      <c r="E3493" t="n">
        <v>17.2754</v>
      </c>
      <c r="F3493" t="n">
        <v>0.14423</v>
      </c>
    </row>
    <row r="3494">
      <c r="A3494" t="n">
        <v>2001665</v>
      </c>
      <c r="B3494" t="n">
        <v>2</v>
      </c>
      <c r="C3494" t="n">
        <v>1665</v>
      </c>
      <c r="D3494" t="n">
        <v>-0.3449</v>
      </c>
      <c r="E3494" t="n">
        <v>17.2813</v>
      </c>
      <c r="F3494" t="n">
        <v>0.14426</v>
      </c>
    </row>
    <row r="3495">
      <c r="A3495" t="n">
        <v>2001666</v>
      </c>
      <c r="B3495" t="n">
        <v>2</v>
      </c>
      <c r="C3495" t="n">
        <v>1666</v>
      </c>
      <c r="D3495" t="n">
        <v>-0.345</v>
      </c>
      <c r="E3495" t="n">
        <v>17.2872</v>
      </c>
      <c r="F3495" t="n">
        <v>0.14428</v>
      </c>
    </row>
    <row r="3496">
      <c r="A3496" t="n">
        <v>2001667</v>
      </c>
      <c r="B3496" t="n">
        <v>2</v>
      </c>
      <c r="C3496" t="n">
        <v>1667</v>
      </c>
      <c r="D3496" t="n">
        <v>-0.345</v>
      </c>
      <c r="E3496" t="n">
        <v>17.2931</v>
      </c>
      <c r="F3496" t="n">
        <v>0.14431</v>
      </c>
    </row>
    <row r="3497">
      <c r="A3497" t="n">
        <v>2001668</v>
      </c>
      <c r="B3497" t="n">
        <v>2</v>
      </c>
      <c r="C3497" t="n">
        <v>1668</v>
      </c>
      <c r="D3497" t="n">
        <v>-0.3451</v>
      </c>
      <c r="E3497" t="n">
        <v>17.299</v>
      </c>
      <c r="F3497" t="n">
        <v>0.14433</v>
      </c>
    </row>
    <row r="3498">
      <c r="A3498" t="n">
        <v>2001669</v>
      </c>
      <c r="B3498" t="n">
        <v>2</v>
      </c>
      <c r="C3498" t="n">
        <v>1669</v>
      </c>
      <c r="D3498" t="n">
        <v>-0.3451</v>
      </c>
      <c r="E3498" t="n">
        <v>17.3049</v>
      </c>
      <c r="F3498" t="n">
        <v>0.14436</v>
      </c>
    </row>
    <row r="3499">
      <c r="A3499" t="n">
        <v>2001670</v>
      </c>
      <c r="B3499" t="n">
        <v>2</v>
      </c>
      <c r="C3499" t="n">
        <v>1670</v>
      </c>
      <c r="D3499" t="n">
        <v>-0.3451</v>
      </c>
      <c r="E3499" t="n">
        <v>17.3108</v>
      </c>
      <c r="F3499" t="n">
        <v>0.14438</v>
      </c>
    </row>
    <row r="3500">
      <c r="A3500" t="n">
        <v>2001671</v>
      </c>
      <c r="B3500" t="n">
        <v>2</v>
      </c>
      <c r="C3500" t="n">
        <v>1671</v>
      </c>
      <c r="D3500" t="n">
        <v>-0.3452</v>
      </c>
      <c r="E3500" t="n">
        <v>17.3167</v>
      </c>
      <c r="F3500" t="n">
        <v>0.14441</v>
      </c>
    </row>
    <row r="3501">
      <c r="A3501" t="n">
        <v>2001672</v>
      </c>
      <c r="B3501" t="n">
        <v>2</v>
      </c>
      <c r="C3501" t="n">
        <v>1672</v>
      </c>
      <c r="D3501" t="n">
        <v>-0.3452</v>
      </c>
      <c r="E3501" t="n">
        <v>17.3226</v>
      </c>
      <c r="F3501" t="n">
        <v>0.14443</v>
      </c>
    </row>
    <row r="3502">
      <c r="A3502" t="n">
        <v>2001673</v>
      </c>
      <c r="B3502" t="n">
        <v>2</v>
      </c>
      <c r="C3502" t="n">
        <v>1673</v>
      </c>
      <c r="D3502" t="n">
        <v>-0.3453</v>
      </c>
      <c r="E3502" t="n">
        <v>17.3285</v>
      </c>
      <c r="F3502" t="n">
        <v>0.14446</v>
      </c>
    </row>
    <row r="3503">
      <c r="A3503" t="n">
        <v>2001674</v>
      </c>
      <c r="B3503" t="n">
        <v>2</v>
      </c>
      <c r="C3503" t="n">
        <v>1674</v>
      </c>
      <c r="D3503" t="n">
        <v>-0.3453</v>
      </c>
      <c r="E3503" t="n">
        <v>17.3344</v>
      </c>
      <c r="F3503" t="n">
        <v>0.14448</v>
      </c>
    </row>
    <row r="3504">
      <c r="A3504" t="n">
        <v>2001675</v>
      </c>
      <c r="B3504" t="n">
        <v>2</v>
      </c>
      <c r="C3504" t="n">
        <v>1675</v>
      </c>
      <c r="D3504" t="n">
        <v>-0.3454</v>
      </c>
      <c r="E3504" t="n">
        <v>17.3402</v>
      </c>
      <c r="F3504" t="n">
        <v>0.14451</v>
      </c>
    </row>
    <row r="3505">
      <c r="A3505" t="n">
        <v>2001676</v>
      </c>
      <c r="B3505" t="n">
        <v>2</v>
      </c>
      <c r="C3505" t="n">
        <v>1676</v>
      </c>
      <c r="D3505" t="n">
        <v>-0.3454</v>
      </c>
      <c r="E3505" t="n">
        <v>17.3461</v>
      </c>
      <c r="F3505" t="n">
        <v>0.14453</v>
      </c>
    </row>
    <row r="3506">
      <c r="A3506" t="n">
        <v>2001677</v>
      </c>
      <c r="B3506" t="n">
        <v>2</v>
      </c>
      <c r="C3506" t="n">
        <v>1677</v>
      </c>
      <c r="D3506" t="n">
        <v>-0.3454</v>
      </c>
      <c r="E3506" t="n">
        <v>17.352</v>
      </c>
      <c r="F3506" t="n">
        <v>0.14456</v>
      </c>
    </row>
    <row r="3507">
      <c r="A3507" t="n">
        <v>2001678</v>
      </c>
      <c r="B3507" t="n">
        <v>2</v>
      </c>
      <c r="C3507" t="n">
        <v>1678</v>
      </c>
      <c r="D3507" t="n">
        <v>-0.3455</v>
      </c>
      <c r="E3507" t="n">
        <v>17.3579</v>
      </c>
      <c r="F3507" t="n">
        <v>0.14458</v>
      </c>
    </row>
    <row r="3508">
      <c r="A3508" t="n">
        <v>2001679</v>
      </c>
      <c r="B3508" t="n">
        <v>2</v>
      </c>
      <c r="C3508" t="n">
        <v>1679</v>
      </c>
      <c r="D3508" t="n">
        <v>-0.3455</v>
      </c>
      <c r="E3508" t="n">
        <v>17.3638</v>
      </c>
      <c r="F3508" t="n">
        <v>0.14461</v>
      </c>
    </row>
    <row r="3509">
      <c r="A3509" t="n">
        <v>2001680</v>
      </c>
      <c r="B3509" t="n">
        <v>2</v>
      </c>
      <c r="C3509" t="n">
        <v>1680</v>
      </c>
      <c r="D3509" t="n">
        <v>-0.3456</v>
      </c>
      <c r="E3509" t="n">
        <v>17.3697</v>
      </c>
      <c r="F3509" t="n">
        <v>0.14463</v>
      </c>
    </row>
    <row r="3510">
      <c r="A3510" t="n">
        <v>2001681</v>
      </c>
      <c r="B3510" t="n">
        <v>2</v>
      </c>
      <c r="C3510" t="n">
        <v>1681</v>
      </c>
      <c r="D3510" t="n">
        <v>-0.3456</v>
      </c>
      <c r="E3510" t="n">
        <v>17.3756</v>
      </c>
      <c r="F3510" t="n">
        <v>0.14466</v>
      </c>
    </row>
    <row r="3511">
      <c r="A3511" t="n">
        <v>2001682</v>
      </c>
      <c r="B3511" t="n">
        <v>2</v>
      </c>
      <c r="C3511" t="n">
        <v>1682</v>
      </c>
      <c r="D3511" t="n">
        <v>-0.3457</v>
      </c>
      <c r="E3511" t="n">
        <v>17.3815</v>
      </c>
      <c r="F3511" t="n">
        <v>0.14468</v>
      </c>
    </row>
    <row r="3512">
      <c r="A3512" t="n">
        <v>2001683</v>
      </c>
      <c r="B3512" t="n">
        <v>2</v>
      </c>
      <c r="C3512" t="n">
        <v>1683</v>
      </c>
      <c r="D3512" t="n">
        <v>-0.3457</v>
      </c>
      <c r="E3512" t="n">
        <v>17.3873</v>
      </c>
      <c r="F3512" t="n">
        <v>0.14471</v>
      </c>
    </row>
    <row r="3513">
      <c r="A3513" t="n">
        <v>2001684</v>
      </c>
      <c r="B3513" t="n">
        <v>2</v>
      </c>
      <c r="C3513" t="n">
        <v>1684</v>
      </c>
      <c r="D3513" t="n">
        <v>-0.3457</v>
      </c>
      <c r="E3513" t="n">
        <v>17.3932</v>
      </c>
      <c r="F3513" t="n">
        <v>0.14473</v>
      </c>
    </row>
    <row r="3514">
      <c r="A3514" t="n">
        <v>2001685</v>
      </c>
      <c r="B3514" t="n">
        <v>2</v>
      </c>
      <c r="C3514" t="n">
        <v>1685</v>
      </c>
      <c r="D3514" t="n">
        <v>-0.3458</v>
      </c>
      <c r="E3514" t="n">
        <v>17.3991</v>
      </c>
      <c r="F3514" t="n">
        <v>0.14476</v>
      </c>
    </row>
    <row r="3515">
      <c r="A3515" t="n">
        <v>2001686</v>
      </c>
      <c r="B3515" t="n">
        <v>2</v>
      </c>
      <c r="C3515" t="n">
        <v>1686</v>
      </c>
      <c r="D3515" t="n">
        <v>-0.3458</v>
      </c>
      <c r="E3515" t="n">
        <v>17.405</v>
      </c>
      <c r="F3515" t="n">
        <v>0.14479</v>
      </c>
    </row>
    <row r="3516">
      <c r="A3516" t="n">
        <v>2001687</v>
      </c>
      <c r="B3516" t="n">
        <v>2</v>
      </c>
      <c r="C3516" t="n">
        <v>1687</v>
      </c>
      <c r="D3516" t="n">
        <v>-0.3459</v>
      </c>
      <c r="E3516" t="n">
        <v>17.4109</v>
      </c>
      <c r="F3516" t="n">
        <v>0.14481</v>
      </c>
    </row>
    <row r="3517">
      <c r="A3517" t="n">
        <v>2001688</v>
      </c>
      <c r="B3517" t="n">
        <v>2</v>
      </c>
      <c r="C3517" t="n">
        <v>1688</v>
      </c>
      <c r="D3517" t="n">
        <v>-0.3459</v>
      </c>
      <c r="E3517" t="n">
        <v>17.4167</v>
      </c>
      <c r="F3517" t="n">
        <v>0.14484</v>
      </c>
    </row>
    <row r="3518">
      <c r="A3518" t="n">
        <v>2001689</v>
      </c>
      <c r="B3518" t="n">
        <v>2</v>
      </c>
      <c r="C3518" t="n">
        <v>1689</v>
      </c>
      <c r="D3518" t="n">
        <v>-0.346</v>
      </c>
      <c r="E3518" t="n">
        <v>17.4226</v>
      </c>
      <c r="F3518" t="n">
        <v>0.14486</v>
      </c>
    </row>
    <row r="3519">
      <c r="A3519" t="n">
        <v>2001690</v>
      </c>
      <c r="B3519" t="n">
        <v>2</v>
      </c>
      <c r="C3519" t="n">
        <v>1690</v>
      </c>
      <c r="D3519" t="n">
        <v>-0.346</v>
      </c>
      <c r="E3519" t="n">
        <v>17.4285</v>
      </c>
      <c r="F3519" t="n">
        <v>0.14489</v>
      </c>
    </row>
    <row r="3520">
      <c r="A3520" t="n">
        <v>2001691</v>
      </c>
      <c r="B3520" t="n">
        <v>2</v>
      </c>
      <c r="C3520" t="n">
        <v>1691</v>
      </c>
      <c r="D3520" t="n">
        <v>-0.346</v>
      </c>
      <c r="E3520" t="n">
        <v>17.4344</v>
      </c>
      <c r="F3520" t="n">
        <v>0.14491</v>
      </c>
    </row>
    <row r="3521">
      <c r="A3521" t="n">
        <v>2001692</v>
      </c>
      <c r="B3521" t="n">
        <v>2</v>
      </c>
      <c r="C3521" t="n">
        <v>1692</v>
      </c>
      <c r="D3521" t="n">
        <v>-0.3461</v>
      </c>
      <c r="E3521" t="n">
        <v>17.4403</v>
      </c>
      <c r="F3521" t="n">
        <v>0.14494</v>
      </c>
    </row>
    <row r="3522">
      <c r="A3522" t="n">
        <v>2001693</v>
      </c>
      <c r="B3522" t="n">
        <v>2</v>
      </c>
      <c r="C3522" t="n">
        <v>1693</v>
      </c>
      <c r="D3522" t="n">
        <v>-0.3461</v>
      </c>
      <c r="E3522" t="n">
        <v>17.4461</v>
      </c>
      <c r="F3522" t="n">
        <v>0.14496</v>
      </c>
    </row>
    <row r="3523">
      <c r="A3523" t="n">
        <v>2001694</v>
      </c>
      <c r="B3523" t="n">
        <v>2</v>
      </c>
      <c r="C3523" t="n">
        <v>1694</v>
      </c>
      <c r="D3523" t="n">
        <v>-0.3462</v>
      </c>
      <c r="E3523" t="n">
        <v>17.452</v>
      </c>
      <c r="F3523" t="n">
        <v>0.14499</v>
      </c>
    </row>
    <row r="3524">
      <c r="A3524" t="n">
        <v>2001695</v>
      </c>
      <c r="B3524" t="n">
        <v>2</v>
      </c>
      <c r="C3524" t="n">
        <v>1695</v>
      </c>
      <c r="D3524" t="n">
        <v>-0.3462</v>
      </c>
      <c r="E3524" t="n">
        <v>17.4579</v>
      </c>
      <c r="F3524" t="n">
        <v>0.14501</v>
      </c>
    </row>
    <row r="3525">
      <c r="A3525" t="n">
        <v>2001696</v>
      </c>
      <c r="B3525" t="n">
        <v>2</v>
      </c>
      <c r="C3525" t="n">
        <v>1696</v>
      </c>
      <c r="D3525" t="n">
        <v>-0.3463</v>
      </c>
      <c r="E3525" t="n">
        <v>17.4637</v>
      </c>
      <c r="F3525" t="n">
        <v>0.14504</v>
      </c>
    </row>
    <row r="3526">
      <c r="A3526" t="n">
        <v>2001697</v>
      </c>
      <c r="B3526" t="n">
        <v>2</v>
      </c>
      <c r="C3526" t="n">
        <v>1697</v>
      </c>
      <c r="D3526" t="n">
        <v>-0.3463</v>
      </c>
      <c r="E3526" t="n">
        <v>17.4696</v>
      </c>
      <c r="F3526" t="n">
        <v>0.14506</v>
      </c>
    </row>
    <row r="3527">
      <c r="A3527" t="n">
        <v>2001698</v>
      </c>
      <c r="B3527" t="n">
        <v>2</v>
      </c>
      <c r="C3527" t="n">
        <v>1698</v>
      </c>
      <c r="D3527" t="n">
        <v>-0.3463</v>
      </c>
      <c r="E3527" t="n">
        <v>17.4755</v>
      </c>
      <c r="F3527" t="n">
        <v>0.14509</v>
      </c>
    </row>
    <row r="3528">
      <c r="A3528" t="n">
        <v>2001699</v>
      </c>
      <c r="B3528" t="n">
        <v>2</v>
      </c>
      <c r="C3528" t="n">
        <v>1699</v>
      </c>
      <c r="D3528" t="n">
        <v>-0.3464</v>
      </c>
      <c r="E3528" t="n">
        <v>17.4814</v>
      </c>
      <c r="F3528" t="n">
        <v>0.14511</v>
      </c>
    </row>
    <row r="3529">
      <c r="A3529" t="n">
        <v>2001700</v>
      </c>
      <c r="B3529" t="n">
        <v>2</v>
      </c>
      <c r="C3529" t="n">
        <v>1700</v>
      </c>
      <c r="D3529" t="n">
        <v>-0.3464</v>
      </c>
      <c r="E3529" t="n">
        <v>17.4872</v>
      </c>
      <c r="F3529" t="n">
        <v>0.14514</v>
      </c>
    </row>
    <row r="3530">
      <c r="A3530" t="n">
        <v>2001701</v>
      </c>
      <c r="B3530" t="n">
        <v>2</v>
      </c>
      <c r="C3530" t="n">
        <v>1701</v>
      </c>
      <c r="D3530" t="n">
        <v>-0.3465</v>
      </c>
      <c r="E3530" t="n">
        <v>17.4931</v>
      </c>
      <c r="F3530" t="n">
        <v>0.14516</v>
      </c>
    </row>
    <row r="3531">
      <c r="A3531" t="n">
        <v>2001702</v>
      </c>
      <c r="B3531" t="n">
        <v>2</v>
      </c>
      <c r="C3531" t="n">
        <v>1702</v>
      </c>
      <c r="D3531" t="n">
        <v>-0.3465</v>
      </c>
      <c r="E3531" t="n">
        <v>17.499</v>
      </c>
      <c r="F3531" t="n">
        <v>0.14519</v>
      </c>
    </row>
    <row r="3532">
      <c r="A3532" t="n">
        <v>2001703</v>
      </c>
      <c r="B3532" t="n">
        <v>2</v>
      </c>
      <c r="C3532" t="n">
        <v>1703</v>
      </c>
      <c r="D3532" t="n">
        <v>-0.3466</v>
      </c>
      <c r="E3532" t="n">
        <v>17.5048</v>
      </c>
      <c r="F3532" t="n">
        <v>0.14521</v>
      </c>
    </row>
    <row r="3533">
      <c r="A3533" t="n">
        <v>2001704</v>
      </c>
      <c r="B3533" t="n">
        <v>2</v>
      </c>
      <c r="C3533" t="n">
        <v>1704</v>
      </c>
      <c r="D3533" t="n">
        <v>-0.3466</v>
      </c>
      <c r="E3533" t="n">
        <v>17.5107</v>
      </c>
      <c r="F3533" t="n">
        <v>0.14524</v>
      </c>
    </row>
    <row r="3534">
      <c r="A3534" t="n">
        <v>2001705</v>
      </c>
      <c r="B3534" t="n">
        <v>2</v>
      </c>
      <c r="C3534" t="n">
        <v>1705</v>
      </c>
      <c r="D3534" t="n">
        <v>-0.3467</v>
      </c>
      <c r="E3534" t="n">
        <v>17.5166</v>
      </c>
      <c r="F3534" t="n">
        <v>0.14526</v>
      </c>
    </row>
    <row r="3535">
      <c r="A3535" t="n">
        <v>2001706</v>
      </c>
      <c r="B3535" t="n">
        <v>2</v>
      </c>
      <c r="C3535" t="n">
        <v>1706</v>
      </c>
      <c r="D3535" t="n">
        <v>-0.3467</v>
      </c>
      <c r="E3535" t="n">
        <v>17.5224</v>
      </c>
      <c r="F3535" t="n">
        <v>0.14529</v>
      </c>
    </row>
    <row r="3536">
      <c r="A3536" t="n">
        <v>2001707</v>
      </c>
      <c r="B3536" t="n">
        <v>2</v>
      </c>
      <c r="C3536" t="n">
        <v>1707</v>
      </c>
      <c r="D3536" t="n">
        <v>-0.3467</v>
      </c>
      <c r="E3536" t="n">
        <v>17.5283</v>
      </c>
      <c r="F3536" t="n">
        <v>0.14531</v>
      </c>
    </row>
    <row r="3537">
      <c r="A3537" t="n">
        <v>2001708</v>
      </c>
      <c r="B3537" t="n">
        <v>2</v>
      </c>
      <c r="C3537" t="n">
        <v>1708</v>
      </c>
      <c r="D3537" t="n">
        <v>-0.3468</v>
      </c>
      <c r="E3537" t="n">
        <v>17.5341</v>
      </c>
      <c r="F3537" t="n">
        <v>0.14534</v>
      </c>
    </row>
    <row r="3538">
      <c r="A3538" t="n">
        <v>2001709</v>
      </c>
      <c r="B3538" t="n">
        <v>2</v>
      </c>
      <c r="C3538" t="n">
        <v>1709</v>
      </c>
      <c r="D3538" t="n">
        <v>-0.3468</v>
      </c>
      <c r="E3538" t="n">
        <v>17.54</v>
      </c>
      <c r="F3538" t="n">
        <v>0.14536</v>
      </c>
    </row>
    <row r="3539">
      <c r="A3539" t="n">
        <v>2001710</v>
      </c>
      <c r="B3539" t="n">
        <v>2</v>
      </c>
      <c r="C3539" t="n">
        <v>1710</v>
      </c>
      <c r="D3539" t="n">
        <v>-0.3469</v>
      </c>
      <c r="E3539" t="n">
        <v>17.5459</v>
      </c>
      <c r="F3539" t="n">
        <v>0.14539</v>
      </c>
    </row>
    <row r="3540">
      <c r="A3540" t="n">
        <v>2001711</v>
      </c>
      <c r="B3540" t="n">
        <v>2</v>
      </c>
      <c r="C3540" t="n">
        <v>1711</v>
      </c>
      <c r="D3540" t="n">
        <v>-0.3469</v>
      </c>
      <c r="E3540" t="n">
        <v>17.5517</v>
      </c>
      <c r="F3540" t="n">
        <v>0.14541</v>
      </c>
    </row>
    <row r="3541">
      <c r="A3541" t="n">
        <v>2001712</v>
      </c>
      <c r="B3541" t="n">
        <v>2</v>
      </c>
      <c r="C3541" t="n">
        <v>1712</v>
      </c>
      <c r="D3541" t="n">
        <v>-0.347</v>
      </c>
      <c r="E3541" t="n">
        <v>17.5576</v>
      </c>
      <c r="F3541" t="n">
        <v>0.14544</v>
      </c>
    </row>
    <row r="3542">
      <c r="A3542" t="n">
        <v>2001713</v>
      </c>
      <c r="B3542" t="n">
        <v>2</v>
      </c>
      <c r="C3542" t="n">
        <v>1713</v>
      </c>
      <c r="D3542" t="n">
        <v>-0.347</v>
      </c>
      <c r="E3542" t="n">
        <v>17.5634</v>
      </c>
      <c r="F3542" t="n">
        <v>0.14546</v>
      </c>
    </row>
    <row r="3543">
      <c r="A3543" t="n">
        <v>2001714</v>
      </c>
      <c r="B3543" t="n">
        <v>2</v>
      </c>
      <c r="C3543" t="n">
        <v>1714</v>
      </c>
      <c r="D3543" t="n">
        <v>-0.347</v>
      </c>
      <c r="E3543" t="n">
        <v>17.5693</v>
      </c>
      <c r="F3543" t="n">
        <v>0.14549</v>
      </c>
    </row>
    <row r="3544">
      <c r="A3544" t="n">
        <v>2001715</v>
      </c>
      <c r="B3544" t="n">
        <v>2</v>
      </c>
      <c r="C3544" t="n">
        <v>1715</v>
      </c>
      <c r="D3544" t="n">
        <v>-0.3471</v>
      </c>
      <c r="E3544" t="n">
        <v>17.5751</v>
      </c>
      <c r="F3544" t="n">
        <v>0.14551</v>
      </c>
    </row>
    <row r="3545">
      <c r="A3545" t="n">
        <v>2001716</v>
      </c>
      <c r="B3545" t="n">
        <v>2</v>
      </c>
      <c r="C3545" t="n">
        <v>1716</v>
      </c>
      <c r="D3545" t="n">
        <v>-0.3471</v>
      </c>
      <c r="E3545" t="n">
        <v>17.581</v>
      </c>
      <c r="F3545" t="n">
        <v>0.14553</v>
      </c>
    </row>
    <row r="3546">
      <c r="A3546" t="n">
        <v>2001717</v>
      </c>
      <c r="B3546" t="n">
        <v>2</v>
      </c>
      <c r="C3546" t="n">
        <v>1717</v>
      </c>
      <c r="D3546" t="n">
        <v>-0.3472</v>
      </c>
      <c r="E3546" t="n">
        <v>17.5868</v>
      </c>
      <c r="F3546" t="n">
        <v>0.14556</v>
      </c>
    </row>
    <row r="3547">
      <c r="A3547" t="n">
        <v>2001718</v>
      </c>
      <c r="B3547" t="n">
        <v>2</v>
      </c>
      <c r="C3547" t="n">
        <v>1718</v>
      </c>
      <c r="D3547" t="n">
        <v>-0.3472</v>
      </c>
      <c r="E3547" t="n">
        <v>17.5927</v>
      </c>
      <c r="F3547" t="n">
        <v>0.14558</v>
      </c>
    </row>
    <row r="3548">
      <c r="A3548" t="n">
        <v>2001719</v>
      </c>
      <c r="B3548" t="n">
        <v>2</v>
      </c>
      <c r="C3548" t="n">
        <v>1719</v>
      </c>
      <c r="D3548" t="n">
        <v>-0.3473</v>
      </c>
      <c r="E3548" t="n">
        <v>17.5985</v>
      </c>
      <c r="F3548" t="n">
        <v>0.14561</v>
      </c>
    </row>
    <row r="3549">
      <c r="A3549" t="n">
        <v>2001720</v>
      </c>
      <c r="B3549" t="n">
        <v>2</v>
      </c>
      <c r="C3549" t="n">
        <v>1720</v>
      </c>
      <c r="D3549" t="n">
        <v>-0.3473</v>
      </c>
      <c r="E3549" t="n">
        <v>17.6044</v>
      </c>
      <c r="F3549" t="n">
        <v>0.14563</v>
      </c>
    </row>
    <row r="3550">
      <c r="A3550" t="n">
        <v>2001721</v>
      </c>
      <c r="B3550" t="n">
        <v>2</v>
      </c>
      <c r="C3550" t="n">
        <v>1721</v>
      </c>
      <c r="D3550" t="n">
        <v>-0.3473</v>
      </c>
      <c r="E3550" t="n">
        <v>17.6102</v>
      </c>
      <c r="F3550" t="n">
        <v>0.14566</v>
      </c>
    </row>
    <row r="3551">
      <c r="A3551" t="n">
        <v>2001722</v>
      </c>
      <c r="B3551" t="n">
        <v>2</v>
      </c>
      <c r="C3551" t="n">
        <v>1722</v>
      </c>
      <c r="D3551" t="n">
        <v>-0.3474</v>
      </c>
      <c r="E3551" t="n">
        <v>17.6161</v>
      </c>
      <c r="F3551" t="n">
        <v>0.14568</v>
      </c>
    </row>
    <row r="3552">
      <c r="A3552" t="n">
        <v>2001723</v>
      </c>
      <c r="B3552" t="n">
        <v>2</v>
      </c>
      <c r="C3552" t="n">
        <v>1723</v>
      </c>
      <c r="D3552" t="n">
        <v>-0.3474</v>
      </c>
      <c r="E3552" t="n">
        <v>17.6219</v>
      </c>
      <c r="F3552" t="n">
        <v>0.14571</v>
      </c>
    </row>
    <row r="3553">
      <c r="A3553" t="n">
        <v>2001724</v>
      </c>
      <c r="B3553" t="n">
        <v>2</v>
      </c>
      <c r="C3553" t="n">
        <v>1724</v>
      </c>
      <c r="D3553" t="n">
        <v>-0.3475</v>
      </c>
      <c r="E3553" t="n">
        <v>17.6278</v>
      </c>
      <c r="F3553" t="n">
        <v>0.14573</v>
      </c>
    </row>
    <row r="3554">
      <c r="A3554" t="n">
        <v>2001725</v>
      </c>
      <c r="B3554" t="n">
        <v>2</v>
      </c>
      <c r="C3554" t="n">
        <v>1725</v>
      </c>
      <c r="D3554" t="n">
        <v>-0.3475</v>
      </c>
      <c r="E3554" t="n">
        <v>17.6336</v>
      </c>
      <c r="F3554" t="n">
        <v>0.14576</v>
      </c>
    </row>
    <row r="3555">
      <c r="A3555" t="n">
        <v>2001726</v>
      </c>
      <c r="B3555" t="n">
        <v>2</v>
      </c>
      <c r="C3555" t="n">
        <v>1726</v>
      </c>
      <c r="D3555" t="n">
        <v>-0.3476</v>
      </c>
      <c r="E3555" t="n">
        <v>17.6394</v>
      </c>
      <c r="F3555" t="n">
        <v>0.14578</v>
      </c>
    </row>
    <row r="3556">
      <c r="A3556" t="n">
        <v>2001727</v>
      </c>
      <c r="B3556" t="n">
        <v>2</v>
      </c>
      <c r="C3556" t="n">
        <v>1727</v>
      </c>
      <c r="D3556" t="n">
        <v>-0.3476</v>
      </c>
      <c r="E3556" t="n">
        <v>17.6453</v>
      </c>
      <c r="F3556" t="n">
        <v>0.14581</v>
      </c>
    </row>
    <row r="3557">
      <c r="A3557" t="n">
        <v>2001728</v>
      </c>
      <c r="B3557" t="n">
        <v>2</v>
      </c>
      <c r="C3557" t="n">
        <v>1728</v>
      </c>
      <c r="D3557" t="n">
        <v>-0.3476</v>
      </c>
      <c r="E3557" t="n">
        <v>17.6511</v>
      </c>
      <c r="F3557" t="n">
        <v>0.14583</v>
      </c>
    </row>
    <row r="3558">
      <c r="A3558" t="n">
        <v>2001729</v>
      </c>
      <c r="B3558" t="n">
        <v>2</v>
      </c>
      <c r="C3558" t="n">
        <v>1729</v>
      </c>
      <c r="D3558" t="n">
        <v>-0.3477</v>
      </c>
      <c r="E3558" t="n">
        <v>17.657</v>
      </c>
      <c r="F3558" t="n">
        <v>0.14586</v>
      </c>
    </row>
    <row r="3559">
      <c r="A3559" t="n">
        <v>2001730</v>
      </c>
      <c r="B3559" t="n">
        <v>2</v>
      </c>
      <c r="C3559" t="n">
        <v>1730</v>
      </c>
      <c r="D3559" t="n">
        <v>-0.3477</v>
      </c>
      <c r="E3559" t="n">
        <v>17.6628</v>
      </c>
      <c r="F3559" t="n">
        <v>0.14588</v>
      </c>
    </row>
    <row r="3560">
      <c r="A3560" t="n">
        <v>2001731</v>
      </c>
      <c r="B3560" t="n">
        <v>2</v>
      </c>
      <c r="C3560" t="n">
        <v>1731</v>
      </c>
      <c r="D3560" t="n">
        <v>-0.3478</v>
      </c>
      <c r="E3560" t="n">
        <v>17.6686</v>
      </c>
      <c r="F3560" t="n">
        <v>0.14591</v>
      </c>
    </row>
    <row r="3561">
      <c r="A3561" t="n">
        <v>2001732</v>
      </c>
      <c r="B3561" t="n">
        <v>2</v>
      </c>
      <c r="C3561" t="n">
        <v>1732</v>
      </c>
      <c r="D3561" t="n">
        <v>-0.3478</v>
      </c>
      <c r="E3561" t="n">
        <v>17.6745</v>
      </c>
      <c r="F3561" t="n">
        <v>0.14593</v>
      </c>
    </row>
    <row r="3562">
      <c r="A3562" t="n">
        <v>2001733</v>
      </c>
      <c r="B3562" t="n">
        <v>2</v>
      </c>
      <c r="C3562" t="n">
        <v>1733</v>
      </c>
      <c r="D3562" t="n">
        <v>-0.3479</v>
      </c>
      <c r="E3562" t="n">
        <v>17.6803</v>
      </c>
      <c r="F3562" t="n">
        <v>0.14596</v>
      </c>
    </row>
    <row r="3563">
      <c r="A3563" t="n">
        <v>2001734</v>
      </c>
      <c r="B3563" t="n">
        <v>2</v>
      </c>
      <c r="C3563" t="n">
        <v>1734</v>
      </c>
      <c r="D3563" t="n">
        <v>-0.3479</v>
      </c>
      <c r="E3563" t="n">
        <v>17.6861</v>
      </c>
      <c r="F3563" t="n">
        <v>0.14598</v>
      </c>
    </row>
    <row r="3564">
      <c r="A3564" t="n">
        <v>2001735</v>
      </c>
      <c r="B3564" t="n">
        <v>2</v>
      </c>
      <c r="C3564" t="n">
        <v>1735</v>
      </c>
      <c r="D3564" t="n">
        <v>-0.3479</v>
      </c>
      <c r="E3564" t="n">
        <v>17.692</v>
      </c>
      <c r="F3564" t="n">
        <v>0.146</v>
      </c>
    </row>
    <row r="3565">
      <c r="A3565" t="n">
        <v>2001736</v>
      </c>
      <c r="B3565" t="n">
        <v>2</v>
      </c>
      <c r="C3565" t="n">
        <v>1736</v>
      </c>
      <c r="D3565" t="n">
        <v>-0.348</v>
      </c>
      <c r="E3565" t="n">
        <v>17.6978</v>
      </c>
      <c r="F3565" t="n">
        <v>0.14603</v>
      </c>
    </row>
    <row r="3566">
      <c r="A3566" t="n">
        <v>2001737</v>
      </c>
      <c r="B3566" t="n">
        <v>2</v>
      </c>
      <c r="C3566" t="n">
        <v>1737</v>
      </c>
      <c r="D3566" t="n">
        <v>-0.348</v>
      </c>
      <c r="E3566" t="n">
        <v>17.7036</v>
      </c>
      <c r="F3566" t="n">
        <v>0.14605</v>
      </c>
    </row>
    <row r="3567">
      <c r="A3567" t="n">
        <v>2001738</v>
      </c>
      <c r="B3567" t="n">
        <v>2</v>
      </c>
      <c r="C3567" t="n">
        <v>1738</v>
      </c>
      <c r="D3567" t="n">
        <v>-0.3481</v>
      </c>
      <c r="E3567" t="n">
        <v>17.7095</v>
      </c>
      <c r="F3567" t="n">
        <v>0.14608</v>
      </c>
    </row>
    <row r="3568">
      <c r="A3568" t="n">
        <v>2001739</v>
      </c>
      <c r="B3568" t="n">
        <v>2</v>
      </c>
      <c r="C3568" t="n">
        <v>1739</v>
      </c>
      <c r="D3568" t="n">
        <v>-0.3481</v>
      </c>
      <c r="E3568" t="n">
        <v>17.7153</v>
      </c>
      <c r="F3568" t="n">
        <v>0.1461</v>
      </c>
    </row>
    <row r="3569">
      <c r="A3569" t="n">
        <v>2001740</v>
      </c>
      <c r="B3569" t="n">
        <v>2</v>
      </c>
      <c r="C3569" t="n">
        <v>1740</v>
      </c>
      <c r="D3569" t="n">
        <v>-0.3482</v>
      </c>
      <c r="E3569" t="n">
        <v>17.7211</v>
      </c>
      <c r="F3569" t="n">
        <v>0.14613</v>
      </c>
    </row>
    <row r="3570">
      <c r="A3570" t="n">
        <v>2001741</v>
      </c>
      <c r="B3570" t="n">
        <v>2</v>
      </c>
      <c r="C3570" t="n">
        <v>1741</v>
      </c>
      <c r="D3570" t="n">
        <v>-0.3482</v>
      </c>
      <c r="E3570" t="n">
        <v>17.7269</v>
      </c>
      <c r="F3570" t="n">
        <v>0.14615</v>
      </c>
    </row>
    <row r="3571">
      <c r="A3571" t="n">
        <v>2001742</v>
      </c>
      <c r="B3571" t="n">
        <v>2</v>
      </c>
      <c r="C3571" t="n">
        <v>1742</v>
      </c>
      <c r="D3571" t="n">
        <v>-0.3482</v>
      </c>
      <c r="E3571" t="n">
        <v>17.7328</v>
      </c>
      <c r="F3571" t="n">
        <v>0.14618</v>
      </c>
    </row>
    <row r="3572">
      <c r="A3572" t="n">
        <v>2001743</v>
      </c>
      <c r="B3572" t="n">
        <v>2</v>
      </c>
      <c r="C3572" t="n">
        <v>1743</v>
      </c>
      <c r="D3572" t="n">
        <v>-0.3483</v>
      </c>
      <c r="E3572" t="n">
        <v>17.7386</v>
      </c>
      <c r="F3572" t="n">
        <v>0.1462</v>
      </c>
    </row>
    <row r="3573">
      <c r="A3573" t="n">
        <v>2001744</v>
      </c>
      <c r="B3573" t="n">
        <v>2</v>
      </c>
      <c r="C3573" t="n">
        <v>1744</v>
      </c>
      <c r="D3573" t="n">
        <v>-0.3483</v>
      </c>
      <c r="E3573" t="n">
        <v>17.7444</v>
      </c>
      <c r="F3573" t="n">
        <v>0.14623</v>
      </c>
    </row>
    <row r="3574">
      <c r="A3574" t="n">
        <v>2001745</v>
      </c>
      <c r="B3574" t="n">
        <v>2</v>
      </c>
      <c r="C3574" t="n">
        <v>1745</v>
      </c>
      <c r="D3574" t="n">
        <v>-0.3484</v>
      </c>
      <c r="E3574" t="n">
        <v>17.7502</v>
      </c>
      <c r="F3574" t="n">
        <v>0.14625</v>
      </c>
    </row>
    <row r="3575">
      <c r="A3575" t="n">
        <v>2001746</v>
      </c>
      <c r="B3575" t="n">
        <v>2</v>
      </c>
      <c r="C3575" t="n">
        <v>1746</v>
      </c>
      <c r="D3575" t="n">
        <v>-0.3484</v>
      </c>
      <c r="E3575" t="n">
        <v>17.7561</v>
      </c>
      <c r="F3575" t="n">
        <v>0.14628</v>
      </c>
    </row>
    <row r="3576">
      <c r="A3576" t="n">
        <v>2001747</v>
      </c>
      <c r="B3576" t="n">
        <v>2</v>
      </c>
      <c r="C3576" t="n">
        <v>1747</v>
      </c>
      <c r="D3576" t="n">
        <v>-0.3485</v>
      </c>
      <c r="E3576" t="n">
        <v>17.7619</v>
      </c>
      <c r="F3576" t="n">
        <v>0.1463</v>
      </c>
    </row>
    <row r="3577">
      <c r="A3577" t="n">
        <v>2001748</v>
      </c>
      <c r="B3577" t="n">
        <v>2</v>
      </c>
      <c r="C3577" t="n">
        <v>1748</v>
      </c>
      <c r="D3577" t="n">
        <v>-0.3485</v>
      </c>
      <c r="E3577" t="n">
        <v>17.7677</v>
      </c>
      <c r="F3577" t="n">
        <v>0.14632</v>
      </c>
    </row>
    <row r="3578">
      <c r="A3578" t="n">
        <v>2001749</v>
      </c>
      <c r="B3578" t="n">
        <v>2</v>
      </c>
      <c r="C3578" t="n">
        <v>1749</v>
      </c>
      <c r="D3578" t="n">
        <v>-0.3485</v>
      </c>
      <c r="E3578" t="n">
        <v>17.7735</v>
      </c>
      <c r="F3578" t="n">
        <v>0.14635</v>
      </c>
    </row>
    <row r="3579">
      <c r="A3579" t="n">
        <v>2001750</v>
      </c>
      <c r="B3579" t="n">
        <v>2</v>
      </c>
      <c r="C3579" t="n">
        <v>1750</v>
      </c>
      <c r="D3579" t="n">
        <v>-0.3486</v>
      </c>
      <c r="E3579" t="n">
        <v>17.7793</v>
      </c>
      <c r="F3579" t="n">
        <v>0.14637</v>
      </c>
    </row>
    <row r="3580">
      <c r="A3580" t="n">
        <v>2001751</v>
      </c>
      <c r="B3580" t="n">
        <v>2</v>
      </c>
      <c r="C3580" t="n">
        <v>1751</v>
      </c>
      <c r="D3580" t="n">
        <v>-0.3486</v>
      </c>
      <c r="E3580" t="n">
        <v>17.7851</v>
      </c>
      <c r="F3580" t="n">
        <v>0.1464</v>
      </c>
    </row>
    <row r="3581">
      <c r="A3581" t="n">
        <v>2001752</v>
      </c>
      <c r="B3581" t="n">
        <v>2</v>
      </c>
      <c r="C3581" t="n">
        <v>1752</v>
      </c>
      <c r="D3581" t="n">
        <v>-0.3487</v>
      </c>
      <c r="E3581" t="n">
        <v>17.791</v>
      </c>
      <c r="F3581" t="n">
        <v>0.14642</v>
      </c>
    </row>
    <row r="3582">
      <c r="A3582" t="n">
        <v>2001753</v>
      </c>
      <c r="B3582" t="n">
        <v>2</v>
      </c>
      <c r="C3582" t="n">
        <v>1753</v>
      </c>
      <c r="D3582" t="n">
        <v>-0.3487</v>
      </c>
      <c r="E3582" t="n">
        <v>17.7968</v>
      </c>
      <c r="F3582" t="n">
        <v>0.14645</v>
      </c>
    </row>
    <row r="3583">
      <c r="A3583" t="n">
        <v>2001754</v>
      </c>
      <c r="B3583" t="n">
        <v>2</v>
      </c>
      <c r="C3583" t="n">
        <v>1754</v>
      </c>
      <c r="D3583" t="n">
        <v>-0.3488</v>
      </c>
      <c r="E3583" t="n">
        <v>17.8026</v>
      </c>
      <c r="F3583" t="n">
        <v>0.14647</v>
      </c>
    </row>
    <row r="3584">
      <c r="A3584" t="n">
        <v>2001755</v>
      </c>
      <c r="B3584" t="n">
        <v>2</v>
      </c>
      <c r="C3584" t="n">
        <v>1755</v>
      </c>
      <c r="D3584" t="n">
        <v>-0.3488</v>
      </c>
      <c r="E3584" t="n">
        <v>17.8084</v>
      </c>
      <c r="F3584" t="n">
        <v>0.1465</v>
      </c>
    </row>
    <row r="3585">
      <c r="A3585" t="n">
        <v>2001756</v>
      </c>
      <c r="B3585" t="n">
        <v>2</v>
      </c>
      <c r="C3585" t="n">
        <v>1756</v>
      </c>
      <c r="D3585" t="n">
        <v>-0.3488</v>
      </c>
      <c r="E3585" t="n">
        <v>17.8142</v>
      </c>
      <c r="F3585" t="n">
        <v>0.14652</v>
      </c>
    </row>
    <row r="3586">
      <c r="A3586" t="n">
        <v>2001757</v>
      </c>
      <c r="B3586" t="n">
        <v>2</v>
      </c>
      <c r="C3586" t="n">
        <v>1757</v>
      </c>
      <c r="D3586" t="n">
        <v>-0.3489</v>
      </c>
      <c r="E3586" t="n">
        <v>17.82</v>
      </c>
      <c r="F3586" t="n">
        <v>0.14654</v>
      </c>
    </row>
    <row r="3587">
      <c r="A3587" t="n">
        <v>2001758</v>
      </c>
      <c r="B3587" t="n">
        <v>2</v>
      </c>
      <c r="C3587" t="n">
        <v>1758</v>
      </c>
      <c r="D3587" t="n">
        <v>-0.3489</v>
      </c>
      <c r="E3587" t="n">
        <v>17.8258</v>
      </c>
      <c r="F3587" t="n">
        <v>0.14657</v>
      </c>
    </row>
    <row r="3588">
      <c r="A3588" t="n">
        <v>2001759</v>
      </c>
      <c r="B3588" t="n">
        <v>2</v>
      </c>
      <c r="C3588" t="n">
        <v>1759</v>
      </c>
      <c r="D3588" t="n">
        <v>-0.349</v>
      </c>
      <c r="E3588" t="n">
        <v>17.8316</v>
      </c>
      <c r="F3588" t="n">
        <v>0.14659</v>
      </c>
    </row>
    <row r="3589">
      <c r="A3589" t="n">
        <v>2001760</v>
      </c>
      <c r="B3589" t="n">
        <v>2</v>
      </c>
      <c r="C3589" t="n">
        <v>1760</v>
      </c>
      <c r="D3589" t="n">
        <v>-0.349</v>
      </c>
      <c r="E3589" t="n">
        <v>17.8374</v>
      </c>
      <c r="F3589" t="n">
        <v>0.14662</v>
      </c>
    </row>
    <row r="3590">
      <c r="A3590" t="n">
        <v>2001761</v>
      </c>
      <c r="B3590" t="n">
        <v>2</v>
      </c>
      <c r="C3590" t="n">
        <v>1761</v>
      </c>
      <c r="D3590" t="n">
        <v>-0.3491</v>
      </c>
      <c r="E3590" t="n">
        <v>17.8432</v>
      </c>
      <c r="F3590" t="n">
        <v>0.14664</v>
      </c>
    </row>
    <row r="3591">
      <c r="A3591" t="n">
        <v>2001762</v>
      </c>
      <c r="B3591" t="n">
        <v>2</v>
      </c>
      <c r="C3591" t="n">
        <v>1762</v>
      </c>
      <c r="D3591" t="n">
        <v>-0.3491</v>
      </c>
      <c r="E3591" t="n">
        <v>17.849</v>
      </c>
      <c r="F3591" t="n">
        <v>0.14667</v>
      </c>
    </row>
    <row r="3592">
      <c r="A3592" t="n">
        <v>2001763</v>
      </c>
      <c r="B3592" t="n">
        <v>2</v>
      </c>
      <c r="C3592" t="n">
        <v>1763</v>
      </c>
      <c r="D3592" t="n">
        <v>-0.3491</v>
      </c>
      <c r="E3592" t="n">
        <v>17.8548</v>
      </c>
      <c r="F3592" t="n">
        <v>0.14669</v>
      </c>
    </row>
    <row r="3593">
      <c r="A3593" t="n">
        <v>2001764</v>
      </c>
      <c r="B3593" t="n">
        <v>2</v>
      </c>
      <c r="C3593" t="n">
        <v>1764</v>
      </c>
      <c r="D3593" t="n">
        <v>-0.3492</v>
      </c>
      <c r="E3593" t="n">
        <v>17.8606</v>
      </c>
      <c r="F3593" t="n">
        <v>0.14672</v>
      </c>
    </row>
    <row r="3594">
      <c r="A3594" t="n">
        <v>2001765</v>
      </c>
      <c r="B3594" t="n">
        <v>2</v>
      </c>
      <c r="C3594" t="n">
        <v>1765</v>
      </c>
      <c r="D3594" t="n">
        <v>-0.3492</v>
      </c>
      <c r="E3594" t="n">
        <v>17.8664</v>
      </c>
      <c r="F3594" t="n">
        <v>0.14674</v>
      </c>
    </row>
    <row r="3595">
      <c r="A3595" t="n">
        <v>2001766</v>
      </c>
      <c r="B3595" t="n">
        <v>2</v>
      </c>
      <c r="C3595" t="n">
        <v>1766</v>
      </c>
      <c r="D3595" t="n">
        <v>-0.3493</v>
      </c>
      <c r="E3595" t="n">
        <v>17.8722</v>
      </c>
      <c r="F3595" t="n">
        <v>0.14676</v>
      </c>
    </row>
    <row r="3596">
      <c r="A3596" t="n">
        <v>2001767</v>
      </c>
      <c r="B3596" t="n">
        <v>2</v>
      </c>
      <c r="C3596" t="n">
        <v>1767</v>
      </c>
      <c r="D3596" t="n">
        <v>-0.3493</v>
      </c>
      <c r="E3596" t="n">
        <v>17.878</v>
      </c>
      <c r="F3596" t="n">
        <v>0.14679</v>
      </c>
    </row>
    <row r="3597">
      <c r="A3597" t="n">
        <v>2001768</v>
      </c>
      <c r="B3597" t="n">
        <v>2</v>
      </c>
      <c r="C3597" t="n">
        <v>1768</v>
      </c>
      <c r="D3597" t="n">
        <v>-0.3493</v>
      </c>
      <c r="E3597" t="n">
        <v>17.8838</v>
      </c>
      <c r="F3597" t="n">
        <v>0.14681</v>
      </c>
    </row>
    <row r="3598">
      <c r="A3598" t="n">
        <v>2001769</v>
      </c>
      <c r="B3598" t="n">
        <v>2</v>
      </c>
      <c r="C3598" t="n">
        <v>1769</v>
      </c>
      <c r="D3598" t="n">
        <v>-0.3494</v>
      </c>
      <c r="E3598" t="n">
        <v>17.8896</v>
      </c>
      <c r="F3598" t="n">
        <v>0.14684</v>
      </c>
    </row>
    <row r="3599">
      <c r="A3599" t="n">
        <v>2001770</v>
      </c>
      <c r="B3599" t="n">
        <v>2</v>
      </c>
      <c r="C3599" t="n">
        <v>1770</v>
      </c>
      <c r="D3599" t="n">
        <v>-0.3494</v>
      </c>
      <c r="E3599" t="n">
        <v>17.8954</v>
      </c>
      <c r="F3599" t="n">
        <v>0.14686</v>
      </c>
    </row>
    <row r="3600">
      <c r="A3600" t="n">
        <v>2001771</v>
      </c>
      <c r="B3600" t="n">
        <v>2</v>
      </c>
      <c r="C3600" t="n">
        <v>1771</v>
      </c>
      <c r="D3600" t="n">
        <v>-0.3495</v>
      </c>
      <c r="E3600" t="n">
        <v>17.9012</v>
      </c>
      <c r="F3600" t="n">
        <v>0.14689</v>
      </c>
    </row>
    <row r="3601">
      <c r="A3601" t="n">
        <v>2001772</v>
      </c>
      <c r="B3601" t="n">
        <v>2</v>
      </c>
      <c r="C3601" t="n">
        <v>1772</v>
      </c>
      <c r="D3601" t="n">
        <v>-0.3495</v>
      </c>
      <c r="E3601" t="n">
        <v>17.907</v>
      </c>
      <c r="F3601" t="n">
        <v>0.14691</v>
      </c>
    </row>
    <row r="3602">
      <c r="A3602" t="n">
        <v>2001773</v>
      </c>
      <c r="B3602" t="n">
        <v>2</v>
      </c>
      <c r="C3602" t="n">
        <v>1773</v>
      </c>
      <c r="D3602" t="n">
        <v>-0.3496</v>
      </c>
      <c r="E3602" t="n">
        <v>17.9128</v>
      </c>
      <c r="F3602" t="n">
        <v>0.14693</v>
      </c>
    </row>
    <row r="3603">
      <c r="A3603" t="n">
        <v>2001774</v>
      </c>
      <c r="B3603" t="n">
        <v>2</v>
      </c>
      <c r="C3603" t="n">
        <v>1774</v>
      </c>
      <c r="D3603" t="n">
        <v>-0.3496</v>
      </c>
      <c r="E3603" t="n">
        <v>17.9186</v>
      </c>
      <c r="F3603" t="n">
        <v>0.14696</v>
      </c>
    </row>
    <row r="3604">
      <c r="A3604" t="n">
        <v>2001775</v>
      </c>
      <c r="B3604" t="n">
        <v>2</v>
      </c>
      <c r="C3604" t="n">
        <v>1775</v>
      </c>
      <c r="D3604" t="n">
        <v>-0.3496</v>
      </c>
      <c r="E3604" t="n">
        <v>17.9243</v>
      </c>
      <c r="F3604" t="n">
        <v>0.14698</v>
      </c>
    </row>
    <row r="3605">
      <c r="A3605" t="n">
        <v>2001776</v>
      </c>
      <c r="B3605" t="n">
        <v>2</v>
      </c>
      <c r="C3605" t="n">
        <v>1776</v>
      </c>
      <c r="D3605" t="n">
        <v>-0.3497</v>
      </c>
      <c r="E3605" t="n">
        <v>17.9301</v>
      </c>
      <c r="F3605" t="n">
        <v>0.14701</v>
      </c>
    </row>
    <row r="3606">
      <c r="A3606" t="n">
        <v>2001777</v>
      </c>
      <c r="B3606" t="n">
        <v>2</v>
      </c>
      <c r="C3606" t="n">
        <v>1777</v>
      </c>
      <c r="D3606" t="n">
        <v>-0.3497</v>
      </c>
      <c r="E3606" t="n">
        <v>17.9359</v>
      </c>
      <c r="F3606" t="n">
        <v>0.14703</v>
      </c>
    </row>
    <row r="3607">
      <c r="A3607" t="n">
        <v>2001778</v>
      </c>
      <c r="B3607" t="n">
        <v>2</v>
      </c>
      <c r="C3607" t="n">
        <v>1778</v>
      </c>
      <c r="D3607" t="n">
        <v>-0.3498</v>
      </c>
      <c r="E3607" t="n">
        <v>17.9417</v>
      </c>
      <c r="F3607" t="n">
        <v>0.14706</v>
      </c>
    </row>
    <row r="3608">
      <c r="A3608" t="n">
        <v>2001779</v>
      </c>
      <c r="B3608" t="n">
        <v>2</v>
      </c>
      <c r="C3608" t="n">
        <v>1779</v>
      </c>
      <c r="D3608" t="n">
        <v>-0.3498</v>
      </c>
      <c r="E3608" t="n">
        <v>17.9475</v>
      </c>
      <c r="F3608" t="n">
        <v>0.14708</v>
      </c>
    </row>
    <row r="3609">
      <c r="A3609" t="n">
        <v>2001780</v>
      </c>
      <c r="B3609" t="n">
        <v>2</v>
      </c>
      <c r="C3609" t="n">
        <v>1780</v>
      </c>
      <c r="D3609" t="n">
        <v>-0.3499</v>
      </c>
      <c r="E3609" t="n">
        <v>17.9533</v>
      </c>
      <c r="F3609" t="n">
        <v>0.1471</v>
      </c>
    </row>
    <row r="3610">
      <c r="A3610" t="n">
        <v>2001781</v>
      </c>
      <c r="B3610" t="n">
        <v>2</v>
      </c>
      <c r="C3610" t="n">
        <v>1781</v>
      </c>
      <c r="D3610" t="n">
        <v>-0.3499</v>
      </c>
      <c r="E3610" t="n">
        <v>17.959</v>
      </c>
      <c r="F3610" t="n">
        <v>0.14713</v>
      </c>
    </row>
    <row r="3611">
      <c r="A3611" t="n">
        <v>2001782</v>
      </c>
      <c r="B3611" t="n">
        <v>2</v>
      </c>
      <c r="C3611" t="n">
        <v>1782</v>
      </c>
      <c r="D3611" t="n">
        <v>-0.3499</v>
      </c>
      <c r="E3611" t="n">
        <v>17.9648</v>
      </c>
      <c r="F3611" t="n">
        <v>0.14715</v>
      </c>
    </row>
    <row r="3612">
      <c r="A3612" t="n">
        <v>2001783</v>
      </c>
      <c r="B3612" t="n">
        <v>2</v>
      </c>
      <c r="C3612" t="n">
        <v>1783</v>
      </c>
      <c r="D3612" t="n">
        <v>-0.35</v>
      </c>
      <c r="E3612" t="n">
        <v>17.9706</v>
      </c>
      <c r="F3612" t="n">
        <v>0.14718</v>
      </c>
    </row>
    <row r="3613">
      <c r="A3613" t="n">
        <v>2001784</v>
      </c>
      <c r="B3613" t="n">
        <v>2</v>
      </c>
      <c r="C3613" t="n">
        <v>1784</v>
      </c>
      <c r="D3613" t="n">
        <v>-0.35</v>
      </c>
      <c r="E3613" t="n">
        <v>17.9764</v>
      </c>
      <c r="F3613" t="n">
        <v>0.1472</v>
      </c>
    </row>
    <row r="3614">
      <c r="A3614" t="n">
        <v>2001785</v>
      </c>
      <c r="B3614" t="n">
        <v>2</v>
      </c>
      <c r="C3614" t="n">
        <v>1785</v>
      </c>
      <c r="D3614" t="n">
        <v>-0.3501</v>
      </c>
      <c r="E3614" t="n">
        <v>17.9821</v>
      </c>
      <c r="F3614" t="n">
        <v>0.14722</v>
      </c>
    </row>
    <row r="3615">
      <c r="A3615" t="n">
        <v>2001786</v>
      </c>
      <c r="B3615" t="n">
        <v>2</v>
      </c>
      <c r="C3615" t="n">
        <v>1786</v>
      </c>
      <c r="D3615" t="n">
        <v>-0.3501</v>
      </c>
      <c r="E3615" t="n">
        <v>17.9879</v>
      </c>
      <c r="F3615" t="n">
        <v>0.14725</v>
      </c>
    </row>
    <row r="3616">
      <c r="A3616" t="n">
        <v>2001787</v>
      </c>
      <c r="B3616" t="n">
        <v>2</v>
      </c>
      <c r="C3616" t="n">
        <v>1787</v>
      </c>
      <c r="D3616" t="n">
        <v>-0.3502</v>
      </c>
      <c r="E3616" t="n">
        <v>17.9937</v>
      </c>
      <c r="F3616" t="n">
        <v>0.14727</v>
      </c>
    </row>
    <row r="3617">
      <c r="A3617" t="n">
        <v>2001788</v>
      </c>
      <c r="B3617" t="n">
        <v>2</v>
      </c>
      <c r="C3617" t="n">
        <v>1788</v>
      </c>
      <c r="D3617" t="n">
        <v>-0.3502</v>
      </c>
      <c r="E3617" t="n">
        <v>17.9995</v>
      </c>
      <c r="F3617" t="n">
        <v>0.1473</v>
      </c>
    </row>
    <row r="3618">
      <c r="A3618" t="n">
        <v>2001789</v>
      </c>
      <c r="B3618" t="n">
        <v>2</v>
      </c>
      <c r="C3618" t="n">
        <v>1789</v>
      </c>
      <c r="D3618" t="n">
        <v>-0.3502</v>
      </c>
      <c r="E3618" t="n">
        <v>18.0052</v>
      </c>
      <c r="F3618" t="n">
        <v>0.14732</v>
      </c>
    </row>
    <row r="3619">
      <c r="A3619" t="n">
        <v>2001790</v>
      </c>
      <c r="B3619" t="n">
        <v>2</v>
      </c>
      <c r="C3619" t="n">
        <v>1790</v>
      </c>
      <c r="D3619" t="n">
        <v>-0.3503</v>
      </c>
      <c r="E3619" t="n">
        <v>18.011</v>
      </c>
      <c r="F3619" t="n">
        <v>0.14735</v>
      </c>
    </row>
    <row r="3620">
      <c r="A3620" t="n">
        <v>2001791</v>
      </c>
      <c r="B3620" t="n">
        <v>2</v>
      </c>
      <c r="C3620" t="n">
        <v>1791</v>
      </c>
      <c r="D3620" t="n">
        <v>-0.3503</v>
      </c>
      <c r="E3620" t="n">
        <v>18.0168</v>
      </c>
      <c r="F3620" t="n">
        <v>0.14737</v>
      </c>
    </row>
    <row r="3621">
      <c r="A3621" t="n">
        <v>2001792</v>
      </c>
      <c r="B3621" t="n">
        <v>2</v>
      </c>
      <c r="C3621" t="n">
        <v>1792</v>
      </c>
      <c r="D3621" t="n">
        <v>-0.3504</v>
      </c>
      <c r="E3621" t="n">
        <v>18.0225</v>
      </c>
      <c r="F3621" t="n">
        <v>0.14739</v>
      </c>
    </row>
    <row r="3622">
      <c r="A3622" t="n">
        <v>2001793</v>
      </c>
      <c r="B3622" t="n">
        <v>2</v>
      </c>
      <c r="C3622" t="n">
        <v>1793</v>
      </c>
      <c r="D3622" t="n">
        <v>-0.3504</v>
      </c>
      <c r="E3622" t="n">
        <v>18.0283</v>
      </c>
      <c r="F3622" t="n">
        <v>0.14742</v>
      </c>
    </row>
    <row r="3623">
      <c r="A3623" t="n">
        <v>2001794</v>
      </c>
      <c r="B3623" t="n">
        <v>2</v>
      </c>
      <c r="C3623" t="n">
        <v>1794</v>
      </c>
      <c r="D3623" t="n">
        <v>-0.3505</v>
      </c>
      <c r="E3623" t="n">
        <v>18.0341</v>
      </c>
      <c r="F3623" t="n">
        <v>0.14744</v>
      </c>
    </row>
    <row r="3624">
      <c r="A3624" t="n">
        <v>2001795</v>
      </c>
      <c r="B3624" t="n">
        <v>2</v>
      </c>
      <c r="C3624" t="n">
        <v>1795</v>
      </c>
      <c r="D3624" t="n">
        <v>-0.3505</v>
      </c>
      <c r="E3624" t="n">
        <v>18.0398</v>
      </c>
      <c r="F3624" t="n">
        <v>0.14747</v>
      </c>
    </row>
    <row r="3625">
      <c r="A3625" t="n">
        <v>2001796</v>
      </c>
      <c r="B3625" t="n">
        <v>2</v>
      </c>
      <c r="C3625" t="n">
        <v>1796</v>
      </c>
      <c r="D3625" t="n">
        <v>-0.3505</v>
      </c>
      <c r="E3625" t="n">
        <v>18.0456</v>
      </c>
      <c r="F3625" t="n">
        <v>0.14749</v>
      </c>
    </row>
    <row r="3626">
      <c r="A3626" t="n">
        <v>2001797</v>
      </c>
      <c r="B3626" t="n">
        <v>2</v>
      </c>
      <c r="C3626" t="n">
        <v>1797</v>
      </c>
      <c r="D3626" t="n">
        <v>-0.3506</v>
      </c>
      <c r="E3626" t="n">
        <v>18.0513</v>
      </c>
      <c r="F3626" t="n">
        <v>0.14751</v>
      </c>
    </row>
    <row r="3627">
      <c r="A3627" t="n">
        <v>2001798</v>
      </c>
      <c r="B3627" t="n">
        <v>2</v>
      </c>
      <c r="C3627" t="n">
        <v>1798</v>
      </c>
      <c r="D3627" t="n">
        <v>-0.3506</v>
      </c>
      <c r="E3627" t="n">
        <v>18.0571</v>
      </c>
      <c r="F3627" t="n">
        <v>0.14754</v>
      </c>
    </row>
    <row r="3628">
      <c r="A3628" t="n">
        <v>2001799</v>
      </c>
      <c r="B3628" t="n">
        <v>2</v>
      </c>
      <c r="C3628" t="n">
        <v>1799</v>
      </c>
      <c r="D3628" t="n">
        <v>-0.3507</v>
      </c>
      <c r="E3628" t="n">
        <v>18.0629</v>
      </c>
      <c r="F3628" t="n">
        <v>0.14756</v>
      </c>
    </row>
    <row r="3629">
      <c r="A3629" t="n">
        <v>2001800</v>
      </c>
      <c r="B3629" t="n">
        <v>2</v>
      </c>
      <c r="C3629" t="n">
        <v>1800</v>
      </c>
      <c r="D3629" t="n">
        <v>-0.3507</v>
      </c>
      <c r="E3629" t="n">
        <v>18.0686</v>
      </c>
      <c r="F3629" t="n">
        <v>0.14759</v>
      </c>
    </row>
    <row r="3630">
      <c r="A3630" t="n">
        <v>2001801</v>
      </c>
      <c r="B3630" t="n">
        <v>2</v>
      </c>
      <c r="C3630" t="n">
        <v>1801</v>
      </c>
      <c r="D3630" t="n">
        <v>-0.3507</v>
      </c>
      <c r="E3630" t="n">
        <v>18.0744</v>
      </c>
      <c r="F3630" t="n">
        <v>0.14761</v>
      </c>
    </row>
    <row r="3631">
      <c r="A3631" t="n">
        <v>2001802</v>
      </c>
      <c r="B3631" t="n">
        <v>2</v>
      </c>
      <c r="C3631" t="n">
        <v>1802</v>
      </c>
      <c r="D3631" t="n">
        <v>-0.3508</v>
      </c>
      <c r="E3631" t="n">
        <v>18.0801</v>
      </c>
      <c r="F3631" t="n">
        <v>0.14763</v>
      </c>
    </row>
    <row r="3632">
      <c r="A3632" t="n">
        <v>2001803</v>
      </c>
      <c r="B3632" t="n">
        <v>2</v>
      </c>
      <c r="C3632" t="n">
        <v>1803</v>
      </c>
      <c r="D3632" t="n">
        <v>-0.3508</v>
      </c>
      <c r="E3632" t="n">
        <v>18.0859</v>
      </c>
      <c r="F3632" t="n">
        <v>0.14766</v>
      </c>
    </row>
    <row r="3633">
      <c r="A3633" t="n">
        <v>2001804</v>
      </c>
      <c r="B3633" t="n">
        <v>2</v>
      </c>
      <c r="C3633" t="n">
        <v>1804</v>
      </c>
      <c r="D3633" t="n">
        <v>-0.3509</v>
      </c>
      <c r="E3633" t="n">
        <v>18.0916</v>
      </c>
      <c r="F3633" t="n">
        <v>0.14768</v>
      </c>
    </row>
    <row r="3634">
      <c r="A3634" t="n">
        <v>2001805</v>
      </c>
      <c r="B3634" t="n">
        <v>2</v>
      </c>
      <c r="C3634" t="n">
        <v>1805</v>
      </c>
      <c r="D3634" t="n">
        <v>-0.3509</v>
      </c>
      <c r="E3634" t="n">
        <v>18.0974</v>
      </c>
      <c r="F3634" t="n">
        <v>0.14771</v>
      </c>
    </row>
    <row r="3635">
      <c r="A3635" t="n">
        <v>2001806</v>
      </c>
      <c r="B3635" t="n">
        <v>2</v>
      </c>
      <c r="C3635" t="n">
        <v>1806</v>
      </c>
      <c r="D3635" t="n">
        <v>-0.351</v>
      </c>
      <c r="E3635" t="n">
        <v>18.1031</v>
      </c>
      <c r="F3635" t="n">
        <v>0.14773</v>
      </c>
    </row>
    <row r="3636">
      <c r="A3636" t="n">
        <v>2001807</v>
      </c>
      <c r="B3636" t="n">
        <v>2</v>
      </c>
      <c r="C3636" t="n">
        <v>1807</v>
      </c>
      <c r="D3636" t="n">
        <v>-0.351</v>
      </c>
      <c r="E3636" t="n">
        <v>18.1089</v>
      </c>
      <c r="F3636" t="n">
        <v>0.14775</v>
      </c>
    </row>
    <row r="3637">
      <c r="A3637" t="n">
        <v>2001808</v>
      </c>
      <c r="B3637" t="n">
        <v>2</v>
      </c>
      <c r="C3637" t="n">
        <v>1808</v>
      </c>
      <c r="D3637" t="n">
        <v>-0.351</v>
      </c>
      <c r="E3637" t="n">
        <v>18.1146</v>
      </c>
      <c r="F3637" t="n">
        <v>0.14778</v>
      </c>
    </row>
    <row r="3638">
      <c r="A3638" t="n">
        <v>2001809</v>
      </c>
      <c r="B3638" t="n">
        <v>2</v>
      </c>
      <c r="C3638" t="n">
        <v>1809</v>
      </c>
      <c r="D3638" t="n">
        <v>-0.3511</v>
      </c>
      <c r="E3638" t="n">
        <v>18.1204</v>
      </c>
      <c r="F3638" t="n">
        <v>0.1478</v>
      </c>
    </row>
    <row r="3639">
      <c r="A3639" t="n">
        <v>2001810</v>
      </c>
      <c r="B3639" t="n">
        <v>2</v>
      </c>
      <c r="C3639" t="n">
        <v>1810</v>
      </c>
      <c r="D3639" t="n">
        <v>-0.3511</v>
      </c>
      <c r="E3639" t="n">
        <v>18.1261</v>
      </c>
      <c r="F3639" t="n">
        <v>0.14783</v>
      </c>
    </row>
    <row r="3640">
      <c r="A3640" t="n">
        <v>2001811</v>
      </c>
      <c r="B3640" t="n">
        <v>2</v>
      </c>
      <c r="C3640" t="n">
        <v>1811</v>
      </c>
      <c r="D3640" t="n">
        <v>-0.3512</v>
      </c>
      <c r="E3640" t="n">
        <v>18.1319</v>
      </c>
      <c r="F3640" t="n">
        <v>0.14785</v>
      </c>
    </row>
    <row r="3641">
      <c r="A3641" t="n">
        <v>2001812</v>
      </c>
      <c r="B3641" t="n">
        <v>2</v>
      </c>
      <c r="C3641" t="n">
        <v>1812</v>
      </c>
      <c r="D3641" t="n">
        <v>-0.3512</v>
      </c>
      <c r="E3641" t="n">
        <v>18.1376</v>
      </c>
      <c r="F3641" t="n">
        <v>0.14787</v>
      </c>
    </row>
    <row r="3642">
      <c r="A3642" t="n">
        <v>2001813</v>
      </c>
      <c r="B3642" t="n">
        <v>2</v>
      </c>
      <c r="C3642" t="n">
        <v>1813</v>
      </c>
      <c r="D3642" t="n">
        <v>-0.3513</v>
      </c>
      <c r="E3642" t="n">
        <v>18.1434</v>
      </c>
      <c r="F3642" t="n">
        <v>0.1479</v>
      </c>
    </row>
    <row r="3643">
      <c r="A3643" t="n">
        <v>2001814</v>
      </c>
      <c r="B3643" t="n">
        <v>2</v>
      </c>
      <c r="C3643" t="n">
        <v>1814</v>
      </c>
      <c r="D3643" t="n">
        <v>-0.3513</v>
      </c>
      <c r="E3643" t="n">
        <v>18.1491</v>
      </c>
      <c r="F3643" t="n">
        <v>0.14792</v>
      </c>
    </row>
    <row r="3644">
      <c r="A3644" t="n">
        <v>2001815</v>
      </c>
      <c r="B3644" t="n">
        <v>2</v>
      </c>
      <c r="C3644" t="n">
        <v>1815</v>
      </c>
      <c r="D3644" t="n">
        <v>-0.3513</v>
      </c>
      <c r="E3644" t="n">
        <v>18.1548</v>
      </c>
      <c r="F3644" t="n">
        <v>0.14794</v>
      </c>
    </row>
    <row r="3645">
      <c r="A3645" t="n">
        <v>2001816</v>
      </c>
      <c r="B3645" t="n">
        <v>2</v>
      </c>
      <c r="C3645" t="n">
        <v>1816</v>
      </c>
      <c r="D3645" t="n">
        <v>-0.3514</v>
      </c>
      <c r="E3645" t="n">
        <v>18.1606</v>
      </c>
      <c r="F3645" t="n">
        <v>0.14797</v>
      </c>
    </row>
    <row r="3646">
      <c r="A3646" t="n">
        <v>2001817</v>
      </c>
      <c r="B3646" t="n">
        <v>2</v>
      </c>
      <c r="C3646" t="n">
        <v>1817</v>
      </c>
      <c r="D3646" t="n">
        <v>-0.3514</v>
      </c>
      <c r="E3646" t="n">
        <v>18.1663</v>
      </c>
      <c r="F3646" t="n">
        <v>0.14799</v>
      </c>
    </row>
    <row r="3647">
      <c r="A3647" t="n">
        <v>2001818</v>
      </c>
      <c r="B3647" t="n">
        <v>2</v>
      </c>
      <c r="C3647" t="n">
        <v>1818</v>
      </c>
      <c r="D3647" t="n">
        <v>-0.3515</v>
      </c>
      <c r="E3647" t="n">
        <v>18.172</v>
      </c>
      <c r="F3647" t="n">
        <v>0.14802</v>
      </c>
    </row>
    <row r="3648">
      <c r="A3648" t="n">
        <v>2001819</v>
      </c>
      <c r="B3648" t="n">
        <v>2</v>
      </c>
      <c r="C3648" t="n">
        <v>1819</v>
      </c>
      <c r="D3648" t="n">
        <v>-0.3515</v>
      </c>
      <c r="E3648" t="n">
        <v>18.1778</v>
      </c>
      <c r="F3648" t="n">
        <v>0.14804</v>
      </c>
    </row>
    <row r="3649">
      <c r="A3649" t="n">
        <v>2001820</v>
      </c>
      <c r="B3649" t="n">
        <v>2</v>
      </c>
      <c r="C3649" t="n">
        <v>1820</v>
      </c>
      <c r="D3649" t="n">
        <v>-0.3515</v>
      </c>
      <c r="E3649" t="n">
        <v>18.1835</v>
      </c>
      <c r="F3649" t="n">
        <v>0.14806</v>
      </c>
    </row>
    <row r="3650">
      <c r="A3650" t="n">
        <v>2001821</v>
      </c>
      <c r="B3650" t="n">
        <v>2</v>
      </c>
      <c r="C3650" t="n">
        <v>1821</v>
      </c>
      <c r="D3650" t="n">
        <v>-0.3516</v>
      </c>
      <c r="E3650" t="n">
        <v>18.1892</v>
      </c>
      <c r="F3650" t="n">
        <v>0.14809</v>
      </c>
    </row>
    <row r="3651">
      <c r="A3651" t="n">
        <v>2001822</v>
      </c>
      <c r="B3651" t="n">
        <v>2</v>
      </c>
      <c r="C3651" t="n">
        <v>1822</v>
      </c>
      <c r="D3651" t="n">
        <v>-0.3516</v>
      </c>
      <c r="E3651" t="n">
        <v>18.195</v>
      </c>
      <c r="F3651" t="n">
        <v>0.14811</v>
      </c>
    </row>
    <row r="3652">
      <c r="A3652" t="n">
        <v>2001823</v>
      </c>
      <c r="B3652" t="n">
        <v>2</v>
      </c>
      <c r="C3652" t="n">
        <v>1823</v>
      </c>
      <c r="D3652" t="n">
        <v>-0.3517</v>
      </c>
      <c r="E3652" t="n">
        <v>18.2007</v>
      </c>
      <c r="F3652" t="n">
        <v>0.14814</v>
      </c>
    </row>
    <row r="3653">
      <c r="A3653" t="n">
        <v>2001824</v>
      </c>
      <c r="B3653" t="n">
        <v>2</v>
      </c>
      <c r="C3653" t="n">
        <v>1824</v>
      </c>
      <c r="D3653" t="n">
        <v>-0.3517</v>
      </c>
      <c r="E3653" t="n">
        <v>18.2064</v>
      </c>
      <c r="F3653" t="n">
        <v>0.14816</v>
      </c>
    </row>
    <row r="3654">
      <c r="A3654" t="n">
        <v>2001825</v>
      </c>
      <c r="B3654" t="n">
        <v>2</v>
      </c>
      <c r="C3654" t="n">
        <v>1825</v>
      </c>
      <c r="D3654" t="n">
        <v>-0.3518</v>
      </c>
      <c r="E3654" t="n">
        <v>18.2122</v>
      </c>
      <c r="F3654" t="n">
        <v>0.14818</v>
      </c>
    </row>
    <row r="3655">
      <c r="A3655" t="n">
        <v>2001826</v>
      </c>
      <c r="B3655" t="n">
        <v>2</v>
      </c>
      <c r="C3655" t="n">
        <v>1826</v>
      </c>
      <c r="D3655" t="n">
        <v>-0.3518</v>
      </c>
      <c r="E3655" t="n">
        <v>18.2179</v>
      </c>
      <c r="F3655" t="n">
        <v>0.14821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</t>
        </is>
      </c>
      <c r="B1" t="inlineStr">
        <is>
          <t>sexo</t>
        </is>
      </c>
      <c r="C1" t="inlineStr">
        <is>
          <t>chave</t>
        </is>
      </c>
      <c r="D1" t="inlineStr">
        <is>
          <t>l</t>
        </is>
      </c>
      <c r="E1" t="inlineStr">
        <is>
          <t>m</t>
        </is>
      </c>
      <c r="F1" t="inlineStr">
        <is>
          <t>s</t>
        </is>
      </c>
    </row>
    <row r="2">
      <c r="A2" t="n">
        <v>1000061</v>
      </c>
      <c r="B2" t="n">
        <v>1</v>
      </c>
      <c r="C2" t="n">
        <v>61</v>
      </c>
      <c r="D2" t="n">
        <v>-0.2026</v>
      </c>
      <c r="E2" t="n">
        <v>18.5057</v>
      </c>
      <c r="F2" t="n">
        <v>0.12988</v>
      </c>
    </row>
    <row r="3">
      <c r="A3" t="n">
        <v>1000062</v>
      </c>
      <c r="B3" t="n">
        <v>1</v>
      </c>
      <c r="C3" t="n">
        <v>62</v>
      </c>
      <c r="D3" t="n">
        <v>-0.213</v>
      </c>
      <c r="E3" t="n">
        <v>18.6802</v>
      </c>
      <c r="F3" t="n">
        <v>0.13028</v>
      </c>
    </row>
    <row r="4">
      <c r="A4" t="n">
        <v>1000063</v>
      </c>
      <c r="B4" t="n">
        <v>1</v>
      </c>
      <c r="C4" t="n">
        <v>63</v>
      </c>
      <c r="D4" t="n">
        <v>-0.2234</v>
      </c>
      <c r="E4" t="n">
        <v>18.8563</v>
      </c>
      <c r="F4" t="n">
        <v>0.13067</v>
      </c>
    </row>
    <row r="5">
      <c r="A5" t="n">
        <v>1000064</v>
      </c>
      <c r="B5" t="n">
        <v>1</v>
      </c>
      <c r="C5" t="n">
        <v>64</v>
      </c>
      <c r="D5" t="n">
        <v>-0.2338</v>
      </c>
      <c r="E5" t="n">
        <v>19.034</v>
      </c>
      <c r="F5" t="n">
        <v>0.13105</v>
      </c>
    </row>
    <row r="6">
      <c r="A6" t="n">
        <v>1000065</v>
      </c>
      <c r="B6" t="n">
        <v>1</v>
      </c>
      <c r="C6" t="n">
        <v>65</v>
      </c>
      <c r="D6" t="n">
        <v>-0.2443</v>
      </c>
      <c r="E6" t="n">
        <v>19.2132</v>
      </c>
      <c r="F6" t="n">
        <v>0.13142</v>
      </c>
    </row>
    <row r="7">
      <c r="A7" t="n">
        <v>1000066</v>
      </c>
      <c r="B7" t="n">
        <v>1</v>
      </c>
      <c r="C7" t="n">
        <v>66</v>
      </c>
      <c r="D7" t="n">
        <v>-0.2548</v>
      </c>
      <c r="E7" t="n">
        <v>19.394</v>
      </c>
      <c r="F7" t="n">
        <v>0.13178</v>
      </c>
    </row>
    <row r="8">
      <c r="A8" t="n">
        <v>1000067</v>
      </c>
      <c r="B8" t="n">
        <v>1</v>
      </c>
      <c r="C8" t="n">
        <v>67</v>
      </c>
      <c r="D8" t="n">
        <v>-0.2653</v>
      </c>
      <c r="E8" t="n">
        <v>19.5765</v>
      </c>
      <c r="F8" t="n">
        <v>0.13213</v>
      </c>
    </row>
    <row r="9">
      <c r="A9" t="n">
        <v>1000068</v>
      </c>
      <c r="B9" t="n">
        <v>1</v>
      </c>
      <c r="C9" t="n">
        <v>68</v>
      </c>
      <c r="D9" t="n">
        <v>-0.2758</v>
      </c>
      <c r="E9" t="n">
        <v>19.7607</v>
      </c>
      <c r="F9" t="n">
        <v>0.13246</v>
      </c>
    </row>
    <row r="10">
      <c r="A10" t="n">
        <v>1000069</v>
      </c>
      <c r="B10" t="n">
        <v>1</v>
      </c>
      <c r="C10" t="n">
        <v>69</v>
      </c>
      <c r="D10" t="n">
        <v>-0.2864</v>
      </c>
      <c r="E10" t="n">
        <v>19.9468</v>
      </c>
      <c r="F10" t="n">
        <v>0.13279</v>
      </c>
    </row>
    <row r="11">
      <c r="A11" t="n">
        <v>1000070</v>
      </c>
      <c r="B11" t="n">
        <v>1</v>
      </c>
      <c r="C11" t="n">
        <v>70</v>
      </c>
      <c r="D11" t="n">
        <v>-0.2969</v>
      </c>
      <c r="E11" t="n">
        <v>20.1344</v>
      </c>
      <c r="F11" t="n">
        <v>0.13311</v>
      </c>
    </row>
    <row r="12">
      <c r="A12" t="n">
        <v>1000071</v>
      </c>
      <c r="B12" t="n">
        <v>1</v>
      </c>
      <c r="C12" t="n">
        <v>71</v>
      </c>
      <c r="D12" t="n">
        <v>-0.3075</v>
      </c>
      <c r="E12" t="n">
        <v>20.3235</v>
      </c>
      <c r="F12" t="n">
        <v>0.13342</v>
      </c>
    </row>
    <row r="13">
      <c r="A13" t="n">
        <v>1000072</v>
      </c>
      <c r="B13" t="n">
        <v>1</v>
      </c>
      <c r="C13" t="n">
        <v>72</v>
      </c>
      <c r="D13" t="n">
        <v>-0.318</v>
      </c>
      <c r="E13" t="n">
        <v>20.5137</v>
      </c>
      <c r="F13" t="n">
        <v>0.13372</v>
      </c>
    </row>
    <row r="14">
      <c r="A14" t="n">
        <v>1000073</v>
      </c>
      <c r="B14" t="n">
        <v>1</v>
      </c>
      <c r="C14" t="n">
        <v>73</v>
      </c>
      <c r="D14" t="n">
        <v>-0.3285</v>
      </c>
      <c r="E14" t="n">
        <v>20.7052</v>
      </c>
      <c r="F14" t="n">
        <v>0.13402</v>
      </c>
    </row>
    <row r="15">
      <c r="A15" t="n">
        <v>1000074</v>
      </c>
      <c r="B15" t="n">
        <v>1</v>
      </c>
      <c r="C15" t="n">
        <v>74</v>
      </c>
      <c r="D15" t="n">
        <v>-0.339</v>
      </c>
      <c r="E15" t="n">
        <v>20.8979</v>
      </c>
      <c r="F15" t="n">
        <v>0.13432</v>
      </c>
    </row>
    <row r="16">
      <c r="A16" t="n">
        <v>1000075</v>
      </c>
      <c r="B16" t="n">
        <v>1</v>
      </c>
      <c r="C16" t="n">
        <v>75</v>
      </c>
      <c r="D16" t="n">
        <v>-0.3494</v>
      </c>
      <c r="E16" t="n">
        <v>21.0918</v>
      </c>
      <c r="F16" t="n">
        <v>0.13462</v>
      </c>
    </row>
    <row r="17">
      <c r="A17" t="n">
        <v>1000076</v>
      </c>
      <c r="B17" t="n">
        <v>1</v>
      </c>
      <c r="C17" t="n">
        <v>76</v>
      </c>
      <c r="D17" t="n">
        <v>-0.3598</v>
      </c>
      <c r="E17" t="n">
        <v>21.287</v>
      </c>
      <c r="F17" t="n">
        <v>0.13493</v>
      </c>
    </row>
    <row r="18">
      <c r="A18" t="n">
        <v>1000077</v>
      </c>
      <c r="B18" t="n">
        <v>1</v>
      </c>
      <c r="C18" t="n">
        <v>77</v>
      </c>
      <c r="D18" t="n">
        <v>-0.3701</v>
      </c>
      <c r="E18" t="n">
        <v>21.4833</v>
      </c>
      <c r="F18" t="n">
        <v>0.13523</v>
      </c>
    </row>
    <row r="19">
      <c r="A19" t="n">
        <v>1000078</v>
      </c>
      <c r="B19" t="n">
        <v>1</v>
      </c>
      <c r="C19" t="n">
        <v>78</v>
      </c>
      <c r="D19" t="n">
        <v>-0.3804</v>
      </c>
      <c r="E19" t="n">
        <v>21.681</v>
      </c>
      <c r="F19" t="n">
        <v>0.13554</v>
      </c>
    </row>
    <row r="20">
      <c r="A20" t="n">
        <v>1000079</v>
      </c>
      <c r="B20" t="n">
        <v>1</v>
      </c>
      <c r="C20" t="n">
        <v>79</v>
      </c>
      <c r="D20" t="n">
        <v>-0.3906</v>
      </c>
      <c r="E20" t="n">
        <v>21.8799</v>
      </c>
      <c r="F20" t="n">
        <v>0.13586</v>
      </c>
    </row>
    <row r="21">
      <c r="A21" t="n">
        <v>1000080</v>
      </c>
      <c r="B21" t="n">
        <v>1</v>
      </c>
      <c r="C21" t="n">
        <v>80</v>
      </c>
      <c r="D21" t="n">
        <v>-0.4007</v>
      </c>
      <c r="E21" t="n">
        <v>22.08</v>
      </c>
      <c r="F21" t="n">
        <v>0.13618</v>
      </c>
    </row>
    <row r="22">
      <c r="A22" t="n">
        <v>1000081</v>
      </c>
      <c r="B22" t="n">
        <v>1</v>
      </c>
      <c r="C22" t="n">
        <v>81</v>
      </c>
      <c r="D22" t="n">
        <v>-0.4107</v>
      </c>
      <c r="E22" t="n">
        <v>22.2813</v>
      </c>
      <c r="F22" t="n">
        <v>0.13652</v>
      </c>
    </row>
    <row r="23">
      <c r="A23" t="n">
        <v>1000082</v>
      </c>
      <c r="B23" t="n">
        <v>1</v>
      </c>
      <c r="C23" t="n">
        <v>82</v>
      </c>
      <c r="D23" t="n">
        <v>-0.4207</v>
      </c>
      <c r="E23" t="n">
        <v>22.4837</v>
      </c>
      <c r="F23" t="n">
        <v>0.13686</v>
      </c>
    </row>
    <row r="24">
      <c r="A24" t="n">
        <v>1000083</v>
      </c>
      <c r="B24" t="n">
        <v>1</v>
      </c>
      <c r="C24" t="n">
        <v>83</v>
      </c>
      <c r="D24" t="n">
        <v>-0.4305</v>
      </c>
      <c r="E24" t="n">
        <v>22.6872</v>
      </c>
      <c r="F24" t="n">
        <v>0.13722</v>
      </c>
    </row>
    <row r="25">
      <c r="A25" t="n">
        <v>1000084</v>
      </c>
      <c r="B25" t="n">
        <v>1</v>
      </c>
      <c r="C25" t="n">
        <v>84</v>
      </c>
      <c r="D25" t="n">
        <v>-0.4402</v>
      </c>
      <c r="E25" t="n">
        <v>22.8915</v>
      </c>
      <c r="F25" t="n">
        <v>0.13759</v>
      </c>
    </row>
    <row r="26">
      <c r="A26" t="n">
        <v>1000085</v>
      </c>
      <c r="B26" t="n">
        <v>1</v>
      </c>
      <c r="C26" t="n">
        <v>85</v>
      </c>
      <c r="D26" t="n">
        <v>-0.4499</v>
      </c>
      <c r="E26" t="n">
        <v>23.0968</v>
      </c>
      <c r="F26" t="n">
        <v>0.13797</v>
      </c>
    </row>
    <row r="27">
      <c r="A27" t="n">
        <v>1000086</v>
      </c>
      <c r="B27" t="n">
        <v>1</v>
      </c>
      <c r="C27" t="n">
        <v>86</v>
      </c>
      <c r="D27" t="n">
        <v>-0.4594</v>
      </c>
      <c r="E27" t="n">
        <v>23.3029</v>
      </c>
      <c r="F27" t="n">
        <v>0.13838</v>
      </c>
    </row>
    <row r="28">
      <c r="A28" t="n">
        <v>1000087</v>
      </c>
      <c r="B28" t="n">
        <v>1</v>
      </c>
      <c r="C28" t="n">
        <v>87</v>
      </c>
      <c r="D28" t="n">
        <v>-0.4688</v>
      </c>
      <c r="E28" t="n">
        <v>23.5101</v>
      </c>
      <c r="F28" t="n">
        <v>0.1388</v>
      </c>
    </row>
    <row r="29">
      <c r="A29" t="n">
        <v>1000088</v>
      </c>
      <c r="B29" t="n">
        <v>1</v>
      </c>
      <c r="C29" t="n">
        <v>88</v>
      </c>
      <c r="D29" t="n">
        <v>-0.4781</v>
      </c>
      <c r="E29" t="n">
        <v>23.7182</v>
      </c>
      <c r="F29" t="n">
        <v>0.13923</v>
      </c>
    </row>
    <row r="30">
      <c r="A30" t="n">
        <v>1000089</v>
      </c>
      <c r="B30" t="n">
        <v>1</v>
      </c>
      <c r="C30" t="n">
        <v>89</v>
      </c>
      <c r="D30" t="n">
        <v>-0.4873</v>
      </c>
      <c r="E30" t="n">
        <v>23.9272</v>
      </c>
      <c r="F30" t="n">
        <v>0.13969</v>
      </c>
    </row>
    <row r="31">
      <c r="A31" t="n">
        <v>1000090</v>
      </c>
      <c r="B31" t="n">
        <v>1</v>
      </c>
      <c r="C31" t="n">
        <v>90</v>
      </c>
      <c r="D31" t="n">
        <v>-0.4964</v>
      </c>
      <c r="E31" t="n">
        <v>24.1371</v>
      </c>
      <c r="F31" t="n">
        <v>0.14016</v>
      </c>
    </row>
    <row r="32">
      <c r="A32" t="n">
        <v>1000091</v>
      </c>
      <c r="B32" t="n">
        <v>1</v>
      </c>
      <c r="C32" t="n">
        <v>91</v>
      </c>
      <c r="D32" t="n">
        <v>-0.5053</v>
      </c>
      <c r="E32" t="n">
        <v>24.3479</v>
      </c>
      <c r="F32" t="n">
        <v>0.14065</v>
      </c>
    </row>
    <row r="33">
      <c r="A33" t="n">
        <v>1000092</v>
      </c>
      <c r="B33" t="n">
        <v>1</v>
      </c>
      <c r="C33" t="n">
        <v>92</v>
      </c>
      <c r="D33" t="n">
        <v>-0.5142</v>
      </c>
      <c r="E33" t="n">
        <v>24.5595</v>
      </c>
      <c r="F33" t="n">
        <v>0.14117</v>
      </c>
    </row>
    <row r="34">
      <c r="A34" t="n">
        <v>1000093</v>
      </c>
      <c r="B34" t="n">
        <v>1</v>
      </c>
      <c r="C34" t="n">
        <v>93</v>
      </c>
      <c r="D34" t="n">
        <v>-0.5229</v>
      </c>
      <c r="E34" t="n">
        <v>24.7722</v>
      </c>
      <c r="F34" t="n">
        <v>0.1417</v>
      </c>
    </row>
    <row r="35">
      <c r="A35" t="n">
        <v>1000094</v>
      </c>
      <c r="B35" t="n">
        <v>1</v>
      </c>
      <c r="C35" t="n">
        <v>94</v>
      </c>
      <c r="D35" t="n">
        <v>-0.5315</v>
      </c>
      <c r="E35" t="n">
        <v>24.9858</v>
      </c>
      <c r="F35" t="n">
        <v>0.14226</v>
      </c>
    </row>
    <row r="36">
      <c r="A36" t="n">
        <v>1000095</v>
      </c>
      <c r="B36" t="n">
        <v>1</v>
      </c>
      <c r="C36" t="n">
        <v>95</v>
      </c>
      <c r="D36" t="n">
        <v>-0.5399</v>
      </c>
      <c r="E36" t="n">
        <v>25.2005</v>
      </c>
      <c r="F36" t="n">
        <v>0.14284</v>
      </c>
    </row>
    <row r="37">
      <c r="A37" t="n">
        <v>1000096</v>
      </c>
      <c r="B37" t="n">
        <v>1</v>
      </c>
      <c r="C37" t="n">
        <v>96</v>
      </c>
      <c r="D37" t="n">
        <v>-0.5482</v>
      </c>
      <c r="E37" t="n">
        <v>25.4163</v>
      </c>
      <c r="F37" t="n">
        <v>0.14344</v>
      </c>
    </row>
    <row r="38">
      <c r="A38" t="n">
        <v>1000097</v>
      </c>
      <c r="B38" t="n">
        <v>1</v>
      </c>
      <c r="C38" t="n">
        <v>97</v>
      </c>
      <c r="D38" t="n">
        <v>-0.5564</v>
      </c>
      <c r="E38" t="n">
        <v>25.6332</v>
      </c>
      <c r="F38" t="n">
        <v>0.14407</v>
      </c>
    </row>
    <row r="39">
      <c r="A39" t="n">
        <v>1000098</v>
      </c>
      <c r="B39" t="n">
        <v>1</v>
      </c>
      <c r="C39" t="n">
        <v>98</v>
      </c>
      <c r="D39" t="n">
        <v>-0.5644</v>
      </c>
      <c r="E39" t="n">
        <v>25.8513</v>
      </c>
      <c r="F39" t="n">
        <v>0.14472</v>
      </c>
    </row>
    <row r="40">
      <c r="A40" t="n">
        <v>1000099</v>
      </c>
      <c r="B40" t="n">
        <v>1</v>
      </c>
      <c r="C40" t="n">
        <v>99</v>
      </c>
      <c r="D40" t="n">
        <v>-0.5722</v>
      </c>
      <c r="E40" t="n">
        <v>26.0706</v>
      </c>
      <c r="F40" t="n">
        <v>0.14539</v>
      </c>
    </row>
    <row r="41">
      <c r="A41" t="n">
        <v>1000100</v>
      </c>
      <c r="B41" t="n">
        <v>1</v>
      </c>
      <c r="C41" t="n">
        <v>100</v>
      </c>
      <c r="D41" t="n">
        <v>-0.5799</v>
      </c>
      <c r="E41" t="n">
        <v>26.2911</v>
      </c>
      <c r="F41" t="n">
        <v>0.14608</v>
      </c>
    </row>
    <row r="42">
      <c r="A42" t="n">
        <v>1000101</v>
      </c>
      <c r="B42" t="n">
        <v>1</v>
      </c>
      <c r="C42" t="n">
        <v>101</v>
      </c>
      <c r="D42" t="n">
        <v>-0.5873</v>
      </c>
      <c r="E42" t="n">
        <v>26.5128</v>
      </c>
      <c r="F42" t="n">
        <v>0.14679</v>
      </c>
    </row>
    <row r="43">
      <c r="A43" t="n">
        <v>1000102</v>
      </c>
      <c r="B43" t="n">
        <v>1</v>
      </c>
      <c r="C43" t="n">
        <v>102</v>
      </c>
      <c r="D43" t="n">
        <v>-0.5946</v>
      </c>
      <c r="E43" t="n">
        <v>26.7358</v>
      </c>
      <c r="F43" t="n">
        <v>0.14752</v>
      </c>
    </row>
    <row r="44">
      <c r="A44" t="n">
        <v>1000103</v>
      </c>
      <c r="B44" t="n">
        <v>1</v>
      </c>
      <c r="C44" t="n">
        <v>103</v>
      </c>
      <c r="D44" t="n">
        <v>-0.6017</v>
      </c>
      <c r="E44" t="n">
        <v>26.9602</v>
      </c>
      <c r="F44" t="n">
        <v>0.14828</v>
      </c>
    </row>
    <row r="45">
      <c r="A45" t="n">
        <v>1000104</v>
      </c>
      <c r="B45" t="n">
        <v>1</v>
      </c>
      <c r="C45" t="n">
        <v>104</v>
      </c>
      <c r="D45" t="n">
        <v>-0.6085</v>
      </c>
      <c r="E45" t="n">
        <v>27.1861</v>
      </c>
      <c r="F45" t="n">
        <v>0.14905</v>
      </c>
    </row>
    <row r="46">
      <c r="A46" t="n">
        <v>1000105</v>
      </c>
      <c r="B46" t="n">
        <v>1</v>
      </c>
      <c r="C46" t="n">
        <v>105</v>
      </c>
      <c r="D46" t="n">
        <v>-0.6152</v>
      </c>
      <c r="E46" t="n">
        <v>27.4137</v>
      </c>
      <c r="F46" t="n">
        <v>0.14984</v>
      </c>
    </row>
    <row r="47">
      <c r="A47" t="n">
        <v>1000106</v>
      </c>
      <c r="B47" t="n">
        <v>1</v>
      </c>
      <c r="C47" t="n">
        <v>106</v>
      </c>
      <c r="D47" t="n">
        <v>-0.6216</v>
      </c>
      <c r="E47" t="n">
        <v>27.6432</v>
      </c>
      <c r="F47" t="n">
        <v>0.15066</v>
      </c>
    </row>
    <row r="48">
      <c r="A48" t="n">
        <v>1000107</v>
      </c>
      <c r="B48" t="n">
        <v>1</v>
      </c>
      <c r="C48" t="n">
        <v>107</v>
      </c>
      <c r="D48" t="n">
        <v>-0.6278</v>
      </c>
      <c r="E48" t="n">
        <v>27.875</v>
      </c>
      <c r="F48" t="n">
        <v>0.15149</v>
      </c>
    </row>
    <row r="49">
      <c r="A49" t="n">
        <v>1000108</v>
      </c>
      <c r="B49" t="n">
        <v>1</v>
      </c>
      <c r="C49" t="n">
        <v>108</v>
      </c>
      <c r="D49" t="n">
        <v>-0.6337</v>
      </c>
      <c r="E49" t="n">
        <v>28.1092</v>
      </c>
      <c r="F49" t="n">
        <v>0.15233</v>
      </c>
    </row>
    <row r="50">
      <c r="A50" t="n">
        <v>1000109</v>
      </c>
      <c r="B50" t="n">
        <v>1</v>
      </c>
      <c r="C50" t="n">
        <v>109</v>
      </c>
      <c r="D50" t="n">
        <v>-0.6393</v>
      </c>
      <c r="E50" t="n">
        <v>28.3459</v>
      </c>
      <c r="F50" t="n">
        <v>0.15319</v>
      </c>
    </row>
    <row r="51">
      <c r="A51" t="n">
        <v>1000110</v>
      </c>
      <c r="B51" t="n">
        <v>1</v>
      </c>
      <c r="C51" t="n">
        <v>110</v>
      </c>
      <c r="D51" t="n">
        <v>-0.6446</v>
      </c>
      <c r="E51" t="n">
        <v>28.5854</v>
      </c>
      <c r="F51" t="n">
        <v>0.15406</v>
      </c>
    </row>
    <row r="52">
      <c r="A52" t="n">
        <v>1000111</v>
      </c>
      <c r="B52" t="n">
        <v>1</v>
      </c>
      <c r="C52" t="n">
        <v>111</v>
      </c>
      <c r="D52" t="n">
        <v>-0.6496</v>
      </c>
      <c r="E52" t="n">
        <v>28.8277</v>
      </c>
      <c r="F52" t="n">
        <v>0.15493</v>
      </c>
    </row>
    <row r="53">
      <c r="A53" t="n">
        <v>1000112</v>
      </c>
      <c r="B53" t="n">
        <v>1</v>
      </c>
      <c r="C53" t="n">
        <v>112</v>
      </c>
      <c r="D53" t="n">
        <v>-0.6543</v>
      </c>
      <c r="E53" t="n">
        <v>29.0731</v>
      </c>
      <c r="F53" t="n">
        <v>0.15581</v>
      </c>
    </row>
    <row r="54">
      <c r="A54" t="n">
        <v>1000113</v>
      </c>
      <c r="B54" t="n">
        <v>1</v>
      </c>
      <c r="C54" t="n">
        <v>113</v>
      </c>
      <c r="D54" t="n">
        <v>-0.6585</v>
      </c>
      <c r="E54" t="n">
        <v>29.3217</v>
      </c>
      <c r="F54" t="n">
        <v>0.1567</v>
      </c>
    </row>
    <row r="55">
      <c r="A55" t="n">
        <v>1000114</v>
      </c>
      <c r="B55" t="n">
        <v>1</v>
      </c>
      <c r="C55" t="n">
        <v>114</v>
      </c>
      <c r="D55" t="n">
        <v>-0.6624</v>
      </c>
      <c r="E55" t="n">
        <v>29.5736</v>
      </c>
      <c r="F55" t="n">
        <v>0.1576</v>
      </c>
    </row>
    <row r="56">
      <c r="A56" t="n">
        <v>1000115</v>
      </c>
      <c r="B56" t="n">
        <v>1</v>
      </c>
      <c r="C56" t="n">
        <v>115</v>
      </c>
      <c r="D56" t="n">
        <v>-0.6659</v>
      </c>
      <c r="E56" t="n">
        <v>29.8289</v>
      </c>
      <c r="F56" t="n">
        <v>0.1585</v>
      </c>
    </row>
    <row r="57">
      <c r="A57" t="n">
        <v>1000116</v>
      </c>
      <c r="B57" t="n">
        <v>1</v>
      </c>
      <c r="C57" t="n">
        <v>116</v>
      </c>
      <c r="D57" t="n">
        <v>-0.6689000000000001</v>
      </c>
      <c r="E57" t="n">
        <v>30.0877</v>
      </c>
      <c r="F57" t="n">
        <v>0.1594</v>
      </c>
    </row>
    <row r="58">
      <c r="A58" t="n">
        <v>1000117</v>
      </c>
      <c r="B58" t="n">
        <v>1</v>
      </c>
      <c r="C58" t="n">
        <v>117</v>
      </c>
      <c r="D58" t="n">
        <v>-0.6714</v>
      </c>
      <c r="E58" t="n">
        <v>30.3501</v>
      </c>
      <c r="F58" t="n">
        <v>0.16031</v>
      </c>
    </row>
    <row r="59">
      <c r="A59" t="n">
        <v>1000118</v>
      </c>
      <c r="B59" t="n">
        <v>1</v>
      </c>
      <c r="C59" t="n">
        <v>118</v>
      </c>
      <c r="D59" t="n">
        <v>-0.6735</v>
      </c>
      <c r="E59" t="n">
        <v>30.616</v>
      </c>
      <c r="F59" t="n">
        <v>0.16122</v>
      </c>
    </row>
    <row r="60">
      <c r="A60" t="n">
        <v>1000119</v>
      </c>
      <c r="B60" t="n">
        <v>1</v>
      </c>
      <c r="C60" t="n">
        <v>119</v>
      </c>
      <c r="D60" t="n">
        <v>-0.6752</v>
      </c>
      <c r="E60" t="n">
        <v>30.8854</v>
      </c>
      <c r="F60" t="n">
        <v>0.16213</v>
      </c>
    </row>
    <row r="61">
      <c r="A61" t="n">
        <v>1000120</v>
      </c>
      <c r="B61" t="n">
        <v>1</v>
      </c>
      <c r="C61" t="n">
        <v>120</v>
      </c>
      <c r="D61" t="n">
        <v>-0.6764</v>
      </c>
      <c r="E61" t="n">
        <v>31.1586</v>
      </c>
      <c r="F61" t="n">
        <v>0.16305</v>
      </c>
    </row>
    <row r="62">
      <c r="A62" t="n">
        <v>1000121</v>
      </c>
      <c r="B62" t="n">
        <v>1</v>
      </c>
      <c r="C62" t="n">
        <v>121</v>
      </c>
      <c r="D62" t="n">
        <v>-0.6764</v>
      </c>
      <c r="E62" t="n">
        <v>31.1586</v>
      </c>
      <c r="F62" t="n">
        <v>0.16305</v>
      </c>
    </row>
    <row r="63">
      <c r="A63" t="n">
        <v>2000061</v>
      </c>
      <c r="B63" t="n">
        <v>2</v>
      </c>
      <c r="C63" t="n">
        <v>61</v>
      </c>
      <c r="D63" t="n">
        <v>-0.4681</v>
      </c>
      <c r="E63" t="n">
        <v>18.2579</v>
      </c>
      <c r="F63" t="n">
        <v>0.14295</v>
      </c>
    </row>
    <row r="64">
      <c r="A64" t="n">
        <v>2000062</v>
      </c>
      <c r="B64" t="n">
        <v>2</v>
      </c>
      <c r="C64" t="n">
        <v>62</v>
      </c>
      <c r="D64" t="n">
        <v>-0.4711</v>
      </c>
      <c r="E64" t="n">
        <v>18.4329</v>
      </c>
      <c r="F64" t="n">
        <v>0.1435</v>
      </c>
    </row>
    <row r="65">
      <c r="A65" t="n">
        <v>2000063</v>
      </c>
      <c r="B65" t="n">
        <v>2</v>
      </c>
      <c r="C65" t="n">
        <v>63</v>
      </c>
      <c r="D65" t="n">
        <v>-0.4742</v>
      </c>
      <c r="E65" t="n">
        <v>18.6073</v>
      </c>
      <c r="F65" t="n">
        <v>0.14404</v>
      </c>
    </row>
    <row r="66">
      <c r="A66" t="n">
        <v>2000064</v>
      </c>
      <c r="B66" t="n">
        <v>2</v>
      </c>
      <c r="C66" t="n">
        <v>64</v>
      </c>
      <c r="D66" t="n">
        <v>-0.4773</v>
      </c>
      <c r="E66" t="n">
        <v>18.7811</v>
      </c>
      <c r="F66" t="n">
        <v>0.14459</v>
      </c>
    </row>
    <row r="67">
      <c r="A67" t="n">
        <v>2000065</v>
      </c>
      <c r="B67" t="n">
        <v>2</v>
      </c>
      <c r="C67" t="n">
        <v>65</v>
      </c>
      <c r="D67" t="n">
        <v>-0.4803</v>
      </c>
      <c r="E67" t="n">
        <v>18.9545</v>
      </c>
      <c r="F67" t="n">
        <v>0.14514</v>
      </c>
    </row>
    <row r="68">
      <c r="A68" t="n">
        <v>2000066</v>
      </c>
      <c r="B68" t="n">
        <v>2</v>
      </c>
      <c r="C68" t="n">
        <v>66</v>
      </c>
      <c r="D68" t="n">
        <v>-0.4834</v>
      </c>
      <c r="E68" t="n">
        <v>19.1276</v>
      </c>
      <c r="F68" t="n">
        <v>0.14569</v>
      </c>
    </row>
    <row r="69">
      <c r="A69" t="n">
        <v>2000067</v>
      </c>
      <c r="B69" t="n">
        <v>2</v>
      </c>
      <c r="C69" t="n">
        <v>67</v>
      </c>
      <c r="D69" t="n">
        <v>-0.4864</v>
      </c>
      <c r="E69" t="n">
        <v>19.3004</v>
      </c>
      <c r="F69" t="n">
        <v>0.14624</v>
      </c>
    </row>
    <row r="70">
      <c r="A70" t="n">
        <v>2000068</v>
      </c>
      <c r="B70" t="n">
        <v>2</v>
      </c>
      <c r="C70" t="n">
        <v>68</v>
      </c>
      <c r="D70" t="n">
        <v>-0.4894</v>
      </c>
      <c r="E70" t="n">
        <v>19.473</v>
      </c>
      <c r="F70" t="n">
        <v>0.14679</v>
      </c>
    </row>
    <row r="71">
      <c r="A71" t="n">
        <v>2000069</v>
      </c>
      <c r="B71" t="n">
        <v>2</v>
      </c>
      <c r="C71" t="n">
        <v>69</v>
      </c>
      <c r="D71" t="n">
        <v>-0.4924</v>
      </c>
      <c r="E71" t="n">
        <v>19.6455</v>
      </c>
      <c r="F71" t="n">
        <v>0.14735</v>
      </c>
    </row>
    <row r="72">
      <c r="A72" t="n">
        <v>2000070</v>
      </c>
      <c r="B72" t="n">
        <v>2</v>
      </c>
      <c r="C72" t="n">
        <v>70</v>
      </c>
      <c r="D72" t="n">
        <v>-0.4954</v>
      </c>
      <c r="E72" t="n">
        <v>19.818</v>
      </c>
      <c r="F72" t="n">
        <v>0.1479</v>
      </c>
    </row>
    <row r="73">
      <c r="A73" t="n">
        <v>2000071</v>
      </c>
      <c r="B73" t="n">
        <v>2</v>
      </c>
      <c r="C73" t="n">
        <v>71</v>
      </c>
      <c r="D73" t="n">
        <v>-0.4984</v>
      </c>
      <c r="E73" t="n">
        <v>19.9908</v>
      </c>
      <c r="F73" t="n">
        <v>0.14845</v>
      </c>
    </row>
    <row r="74">
      <c r="A74" t="n">
        <v>2000072</v>
      </c>
      <c r="B74" t="n">
        <v>2</v>
      </c>
      <c r="C74" t="n">
        <v>72</v>
      </c>
      <c r="D74" t="n">
        <v>-0.5013</v>
      </c>
      <c r="E74" t="n">
        <v>20.1639</v>
      </c>
      <c r="F74" t="n">
        <v>0.149</v>
      </c>
    </row>
    <row r="75">
      <c r="A75" t="n">
        <v>2000073</v>
      </c>
      <c r="B75" t="n">
        <v>2</v>
      </c>
      <c r="C75" t="n">
        <v>73</v>
      </c>
      <c r="D75" t="n">
        <v>-0.5043</v>
      </c>
      <c r="E75" t="n">
        <v>20.3377</v>
      </c>
      <c r="F75" t="n">
        <v>0.14955</v>
      </c>
    </row>
    <row r="76">
      <c r="A76" t="n">
        <v>2000074</v>
      </c>
      <c r="B76" t="n">
        <v>2</v>
      </c>
      <c r="C76" t="n">
        <v>74</v>
      </c>
      <c r="D76" t="n">
        <v>-0.5072</v>
      </c>
      <c r="E76" t="n">
        <v>20.5124</v>
      </c>
      <c r="F76" t="n">
        <v>0.1501</v>
      </c>
    </row>
    <row r="77">
      <c r="A77" t="n">
        <v>2000075</v>
      </c>
      <c r="B77" t="n">
        <v>2</v>
      </c>
      <c r="C77" t="n">
        <v>75</v>
      </c>
      <c r="D77" t="n">
        <v>-0.51</v>
      </c>
      <c r="E77" t="n">
        <v>20.6885</v>
      </c>
      <c r="F77" t="n">
        <v>0.15065</v>
      </c>
    </row>
    <row r="78">
      <c r="A78" t="n">
        <v>2000076</v>
      </c>
      <c r="B78" t="n">
        <v>2</v>
      </c>
      <c r="C78" t="n">
        <v>76</v>
      </c>
      <c r="D78" t="n">
        <v>-0.5129</v>
      </c>
      <c r="E78" t="n">
        <v>20.8661</v>
      </c>
      <c r="F78" t="n">
        <v>0.1512</v>
      </c>
    </row>
    <row r="79">
      <c r="A79" t="n">
        <v>2000077</v>
      </c>
      <c r="B79" t="n">
        <v>2</v>
      </c>
      <c r="C79" t="n">
        <v>77</v>
      </c>
      <c r="D79" t="n">
        <v>-0.5157</v>
      </c>
      <c r="E79" t="n">
        <v>21.0457</v>
      </c>
      <c r="F79" t="n">
        <v>0.15175</v>
      </c>
    </row>
    <row r="80">
      <c r="A80" t="n">
        <v>2000078</v>
      </c>
      <c r="B80" t="n">
        <v>2</v>
      </c>
      <c r="C80" t="n">
        <v>78</v>
      </c>
      <c r="D80" t="n">
        <v>-0.5185</v>
      </c>
      <c r="E80" t="n">
        <v>21.2274</v>
      </c>
      <c r="F80" t="n">
        <v>0.1523</v>
      </c>
    </row>
    <row r="81">
      <c r="A81" t="n">
        <v>2000079</v>
      </c>
      <c r="B81" t="n">
        <v>2</v>
      </c>
      <c r="C81" t="n">
        <v>79</v>
      </c>
      <c r="D81" t="n">
        <v>-0.5213</v>
      </c>
      <c r="E81" t="n">
        <v>21.4113</v>
      </c>
      <c r="F81" t="n">
        <v>0.15284</v>
      </c>
    </row>
    <row r="82">
      <c r="A82" t="n">
        <v>2000080</v>
      </c>
      <c r="B82" t="n">
        <v>2</v>
      </c>
      <c r="C82" t="n">
        <v>80</v>
      </c>
      <c r="D82" t="n">
        <v>-0.524</v>
      </c>
      <c r="E82" t="n">
        <v>21.5979</v>
      </c>
      <c r="F82" t="n">
        <v>0.15339</v>
      </c>
    </row>
    <row r="83">
      <c r="A83" t="n">
        <v>2000081</v>
      </c>
      <c r="B83" t="n">
        <v>2</v>
      </c>
      <c r="C83" t="n">
        <v>81</v>
      </c>
      <c r="D83" t="n">
        <v>-0.5268</v>
      </c>
      <c r="E83" t="n">
        <v>21.7872</v>
      </c>
      <c r="F83" t="n">
        <v>0.15393</v>
      </c>
    </row>
    <row r="84">
      <c r="A84" t="n">
        <v>2000082</v>
      </c>
      <c r="B84" t="n">
        <v>2</v>
      </c>
      <c r="C84" t="n">
        <v>82</v>
      </c>
      <c r="D84" t="n">
        <v>-0.5294</v>
      </c>
      <c r="E84" t="n">
        <v>21.9795</v>
      </c>
      <c r="F84" t="n">
        <v>0.15448</v>
      </c>
    </row>
    <row r="85">
      <c r="A85" t="n">
        <v>2000083</v>
      </c>
      <c r="B85" t="n">
        <v>2</v>
      </c>
      <c r="C85" t="n">
        <v>83</v>
      </c>
      <c r="D85" t="n">
        <v>-0.5321</v>
      </c>
      <c r="E85" t="n">
        <v>22.1751</v>
      </c>
      <c r="F85" t="n">
        <v>0.15502</v>
      </c>
    </row>
    <row r="86">
      <c r="A86" t="n">
        <v>2000084</v>
      </c>
      <c r="B86" t="n">
        <v>2</v>
      </c>
      <c r="C86" t="n">
        <v>84</v>
      </c>
      <c r="D86" t="n">
        <v>-0.5347</v>
      </c>
      <c r="E86" t="n">
        <v>22.374</v>
      </c>
      <c r="F86" t="n">
        <v>0.15556</v>
      </c>
    </row>
    <row r="87">
      <c r="A87" t="n">
        <v>2000085</v>
      </c>
      <c r="B87" t="n">
        <v>2</v>
      </c>
      <c r="C87" t="n">
        <v>85</v>
      </c>
      <c r="D87" t="n">
        <v>-0.5372</v>
      </c>
      <c r="E87" t="n">
        <v>22.5762</v>
      </c>
      <c r="F87" t="n">
        <v>0.1561</v>
      </c>
    </row>
    <row r="88">
      <c r="A88" t="n">
        <v>2000086</v>
      </c>
      <c r="B88" t="n">
        <v>2</v>
      </c>
      <c r="C88" t="n">
        <v>86</v>
      </c>
      <c r="D88" t="n">
        <v>-0.5397999999999999</v>
      </c>
      <c r="E88" t="n">
        <v>22.7816</v>
      </c>
      <c r="F88" t="n">
        <v>0.15663</v>
      </c>
    </row>
    <row r="89">
      <c r="A89" t="n">
        <v>2000087</v>
      </c>
      <c r="B89" t="n">
        <v>2</v>
      </c>
      <c r="C89" t="n">
        <v>87</v>
      </c>
      <c r="D89" t="n">
        <v>-0.5423</v>
      </c>
      <c r="E89" t="n">
        <v>22.9904</v>
      </c>
      <c r="F89" t="n">
        <v>0.15717</v>
      </c>
    </row>
    <row r="90">
      <c r="A90" t="n">
        <v>2000088</v>
      </c>
      <c r="B90" t="n">
        <v>2</v>
      </c>
      <c r="C90" t="n">
        <v>88</v>
      </c>
      <c r="D90" t="n">
        <v>-0.5447</v>
      </c>
      <c r="E90" t="n">
        <v>23.2025</v>
      </c>
      <c r="F90" t="n">
        <v>0.1577</v>
      </c>
    </row>
    <row r="91">
      <c r="A91" t="n">
        <v>2000089</v>
      </c>
      <c r="B91" t="n">
        <v>2</v>
      </c>
      <c r="C91" t="n">
        <v>89</v>
      </c>
      <c r="D91" t="n">
        <v>-0.5471</v>
      </c>
      <c r="E91" t="n">
        <v>23.418</v>
      </c>
      <c r="F91" t="n">
        <v>0.15823</v>
      </c>
    </row>
    <row r="92">
      <c r="A92" t="n">
        <v>2000090</v>
      </c>
      <c r="B92" t="n">
        <v>2</v>
      </c>
      <c r="C92" t="n">
        <v>90</v>
      </c>
      <c r="D92" t="n">
        <v>-0.5495</v>
      </c>
      <c r="E92" t="n">
        <v>23.6369</v>
      </c>
      <c r="F92" t="n">
        <v>0.15876</v>
      </c>
    </row>
    <row r="93">
      <c r="A93" t="n">
        <v>2000091</v>
      </c>
      <c r="B93" t="n">
        <v>2</v>
      </c>
      <c r="C93" t="n">
        <v>91</v>
      </c>
      <c r="D93" t="n">
        <v>-0.5518</v>
      </c>
      <c r="E93" t="n">
        <v>23.8593</v>
      </c>
      <c r="F93" t="n">
        <v>0.15928</v>
      </c>
    </row>
    <row r="94">
      <c r="A94" t="n">
        <v>2000092</v>
      </c>
      <c r="B94" t="n">
        <v>2</v>
      </c>
      <c r="C94" t="n">
        <v>92</v>
      </c>
      <c r="D94" t="n">
        <v>-0.5541</v>
      </c>
      <c r="E94" t="n">
        <v>24.0853</v>
      </c>
      <c r="F94" t="n">
        <v>0.1598</v>
      </c>
    </row>
    <row r="95">
      <c r="A95" t="n">
        <v>2000093</v>
      </c>
      <c r="B95" t="n">
        <v>2</v>
      </c>
      <c r="C95" t="n">
        <v>93</v>
      </c>
      <c r="D95" t="n">
        <v>-0.5563</v>
      </c>
      <c r="E95" t="n">
        <v>24.3149</v>
      </c>
      <c r="F95" t="n">
        <v>0.16032</v>
      </c>
    </row>
    <row r="96">
      <c r="A96" t="n">
        <v>2000094</v>
      </c>
      <c r="B96" t="n">
        <v>2</v>
      </c>
      <c r="C96" t="n">
        <v>94</v>
      </c>
      <c r="D96" t="n">
        <v>-0.5585</v>
      </c>
      <c r="E96" t="n">
        <v>24.5482</v>
      </c>
      <c r="F96" t="n">
        <v>0.16084</v>
      </c>
    </row>
    <row r="97">
      <c r="A97" t="n">
        <v>2000095</v>
      </c>
      <c r="B97" t="n">
        <v>2</v>
      </c>
      <c r="C97" t="n">
        <v>95</v>
      </c>
      <c r="D97" t="n">
        <v>-0.5606</v>
      </c>
      <c r="E97" t="n">
        <v>24.7853</v>
      </c>
      <c r="F97" t="n">
        <v>0.16135</v>
      </c>
    </row>
    <row r="98">
      <c r="A98" t="n">
        <v>2000096</v>
      </c>
      <c r="B98" t="n">
        <v>2</v>
      </c>
      <c r="C98" t="n">
        <v>96</v>
      </c>
      <c r="D98" t="n">
        <v>-0.5627</v>
      </c>
      <c r="E98" t="n">
        <v>25.0262</v>
      </c>
      <c r="F98" t="n">
        <v>0.16186</v>
      </c>
    </row>
    <row r="99">
      <c r="A99" t="n">
        <v>2000097</v>
      </c>
      <c r="B99" t="n">
        <v>2</v>
      </c>
      <c r="C99" t="n">
        <v>97</v>
      </c>
      <c r="D99" t="n">
        <v>-0.5647</v>
      </c>
      <c r="E99" t="n">
        <v>25.271</v>
      </c>
      <c r="F99" t="n">
        <v>0.16237</v>
      </c>
    </row>
    <row r="100">
      <c r="A100" t="n">
        <v>2000098</v>
      </c>
      <c r="B100" t="n">
        <v>2</v>
      </c>
      <c r="C100" t="n">
        <v>98</v>
      </c>
      <c r="D100" t="n">
        <v>-0.5667</v>
      </c>
      <c r="E100" t="n">
        <v>25.5197</v>
      </c>
      <c r="F100" t="n">
        <v>0.16287</v>
      </c>
    </row>
    <row r="101">
      <c r="A101" t="n">
        <v>2000099</v>
      </c>
      <c r="B101" t="n">
        <v>2</v>
      </c>
      <c r="C101" t="n">
        <v>99</v>
      </c>
      <c r="D101" t="n">
        <v>-0.5686</v>
      </c>
      <c r="E101" t="n">
        <v>25.7721</v>
      </c>
      <c r="F101" t="n">
        <v>0.16337</v>
      </c>
    </row>
    <row r="102">
      <c r="A102" t="n">
        <v>2000100</v>
      </c>
      <c r="B102" t="n">
        <v>2</v>
      </c>
      <c r="C102" t="n">
        <v>100</v>
      </c>
      <c r="D102" t="n">
        <v>-0.5704</v>
      </c>
      <c r="E102" t="n">
        <v>26.0284</v>
      </c>
      <c r="F102" t="n">
        <v>0.16386</v>
      </c>
    </row>
    <row r="103">
      <c r="A103" t="n">
        <v>2000101</v>
      </c>
      <c r="B103" t="n">
        <v>2</v>
      </c>
      <c r="C103" t="n">
        <v>101</v>
      </c>
      <c r="D103" t="n">
        <v>-0.5722</v>
      </c>
      <c r="E103" t="n">
        <v>26.2883</v>
      </c>
      <c r="F103" t="n">
        <v>0.16435</v>
      </c>
    </row>
    <row r="104">
      <c r="A104" t="n">
        <v>2000102</v>
      </c>
      <c r="B104" t="n">
        <v>2</v>
      </c>
      <c r="C104" t="n">
        <v>102</v>
      </c>
      <c r="D104" t="n">
        <v>-0.574</v>
      </c>
      <c r="E104" t="n">
        <v>26.5519</v>
      </c>
      <c r="F104" t="n">
        <v>0.16483</v>
      </c>
    </row>
    <row r="105">
      <c r="A105" t="n">
        <v>2000103</v>
      </c>
      <c r="B105" t="n">
        <v>2</v>
      </c>
      <c r="C105" t="n">
        <v>103</v>
      </c>
      <c r="D105" t="n">
        <v>-0.5757</v>
      </c>
      <c r="E105" t="n">
        <v>26.819</v>
      </c>
      <c r="F105" t="n">
        <v>0.16532</v>
      </c>
    </row>
    <row r="106">
      <c r="A106" t="n">
        <v>2000104</v>
      </c>
      <c r="B106" t="n">
        <v>2</v>
      </c>
      <c r="C106" t="n">
        <v>104</v>
      </c>
      <c r="D106" t="n">
        <v>-0.5773</v>
      </c>
      <c r="E106" t="n">
        <v>27.0896</v>
      </c>
      <c r="F106" t="n">
        <v>0.16579</v>
      </c>
    </row>
    <row r="107">
      <c r="A107" t="n">
        <v>2000105</v>
      </c>
      <c r="B107" t="n">
        <v>2</v>
      </c>
      <c r="C107" t="n">
        <v>105</v>
      </c>
      <c r="D107" t="n">
        <v>-0.5789</v>
      </c>
      <c r="E107" t="n">
        <v>27.3635</v>
      </c>
      <c r="F107" t="n">
        <v>0.16626</v>
      </c>
    </row>
    <row r="108">
      <c r="A108" t="n">
        <v>2000106</v>
      </c>
      <c r="B108" t="n">
        <v>2</v>
      </c>
      <c r="C108" t="n">
        <v>106</v>
      </c>
      <c r="D108" t="n">
        <v>-0.5804</v>
      </c>
      <c r="E108" t="n">
        <v>27.6406</v>
      </c>
      <c r="F108" t="n">
        <v>0.16673</v>
      </c>
    </row>
    <row r="109">
      <c r="A109" t="n">
        <v>2000107</v>
      </c>
      <c r="B109" t="n">
        <v>2</v>
      </c>
      <c r="C109" t="n">
        <v>107</v>
      </c>
      <c r="D109" t="n">
        <v>-0.5819</v>
      </c>
      <c r="E109" t="n">
        <v>27.9208</v>
      </c>
      <c r="F109" t="n">
        <v>0.16719</v>
      </c>
    </row>
    <row r="110">
      <c r="A110" t="n">
        <v>2000108</v>
      </c>
      <c r="B110" t="n">
        <v>2</v>
      </c>
      <c r="C110" t="n">
        <v>108</v>
      </c>
      <c r="D110" t="n">
        <v>-0.5833</v>
      </c>
      <c r="E110" t="n">
        <v>28.204</v>
      </c>
      <c r="F110" t="n">
        <v>0.16764</v>
      </c>
    </row>
    <row r="111">
      <c r="A111" t="n">
        <v>2000109</v>
      </c>
      <c r="B111" t="n">
        <v>2</v>
      </c>
      <c r="C111" t="n">
        <v>109</v>
      </c>
      <c r="D111" t="n">
        <v>-0.5847</v>
      </c>
      <c r="E111" t="n">
        <v>28.4901</v>
      </c>
      <c r="F111" t="n">
        <v>0.16809</v>
      </c>
    </row>
    <row r="112">
      <c r="A112" t="n">
        <v>2000110</v>
      </c>
      <c r="B112" t="n">
        <v>2</v>
      </c>
      <c r="C112" t="n">
        <v>110</v>
      </c>
      <c r="D112" t="n">
        <v>-0.5859</v>
      </c>
      <c r="E112" t="n">
        <v>28.7791</v>
      </c>
      <c r="F112" t="n">
        <v>0.16854</v>
      </c>
    </row>
    <row r="113">
      <c r="A113" t="n">
        <v>2000111</v>
      </c>
      <c r="B113" t="n">
        <v>2</v>
      </c>
      <c r="C113" t="n">
        <v>111</v>
      </c>
      <c r="D113" t="n">
        <v>-0.5872000000000001</v>
      </c>
      <c r="E113" t="n">
        <v>29.0711</v>
      </c>
      <c r="F113" t="n">
        <v>0.16897</v>
      </c>
    </row>
    <row r="114">
      <c r="A114" t="n">
        <v>2000112</v>
      </c>
      <c r="B114" t="n">
        <v>2</v>
      </c>
      <c r="C114" t="n">
        <v>112</v>
      </c>
      <c r="D114" t="n">
        <v>-0.5883</v>
      </c>
      <c r="E114" t="n">
        <v>29.3663</v>
      </c>
      <c r="F114" t="n">
        <v>0.16941</v>
      </c>
    </row>
    <row r="115">
      <c r="A115" t="n">
        <v>2000113</v>
      </c>
      <c r="B115" t="n">
        <v>2</v>
      </c>
      <c r="C115" t="n">
        <v>113</v>
      </c>
      <c r="D115" t="n">
        <v>-0.5895</v>
      </c>
      <c r="E115" t="n">
        <v>29.6646</v>
      </c>
      <c r="F115" t="n">
        <v>0.16983</v>
      </c>
    </row>
    <row r="116">
      <c r="A116" t="n">
        <v>2000114</v>
      </c>
      <c r="B116" t="n">
        <v>2</v>
      </c>
      <c r="C116" t="n">
        <v>114</v>
      </c>
      <c r="D116" t="n">
        <v>-0.5905</v>
      </c>
      <c r="E116" t="n">
        <v>29.9663</v>
      </c>
      <c r="F116" t="n">
        <v>0.17025</v>
      </c>
    </row>
    <row r="117">
      <c r="A117" t="n">
        <v>2000115</v>
      </c>
      <c r="B117" t="n">
        <v>2</v>
      </c>
      <c r="C117" t="n">
        <v>115</v>
      </c>
      <c r="D117" t="n">
        <v>-0.5915</v>
      </c>
      <c r="E117" t="n">
        <v>30.2715</v>
      </c>
      <c r="F117" t="n">
        <v>0.17066</v>
      </c>
    </row>
    <row r="118">
      <c r="A118" t="n">
        <v>2000116</v>
      </c>
      <c r="B118" t="n">
        <v>2</v>
      </c>
      <c r="C118" t="n">
        <v>116</v>
      </c>
      <c r="D118" t="n">
        <v>-0.5925</v>
      </c>
      <c r="E118" t="n">
        <v>30.5805</v>
      </c>
      <c r="F118" t="n">
        <v>0.17107</v>
      </c>
    </row>
    <row r="119">
      <c r="A119" t="n">
        <v>2000117</v>
      </c>
      <c r="B119" t="n">
        <v>2</v>
      </c>
      <c r="C119" t="n">
        <v>117</v>
      </c>
      <c r="D119" t="n">
        <v>-0.5934</v>
      </c>
      <c r="E119" t="n">
        <v>30.8934</v>
      </c>
      <c r="F119" t="n">
        <v>0.17146</v>
      </c>
    </row>
    <row r="120">
      <c r="A120" t="n">
        <v>2000118</v>
      </c>
      <c r="B120" t="n">
        <v>2</v>
      </c>
      <c r="C120" t="n">
        <v>118</v>
      </c>
      <c r="D120" t="n">
        <v>-0.5942</v>
      </c>
      <c r="E120" t="n">
        <v>31.2105</v>
      </c>
      <c r="F120" t="n">
        <v>0.17186</v>
      </c>
    </row>
    <row r="121">
      <c r="A121" t="n">
        <v>2000119</v>
      </c>
      <c r="B121" t="n">
        <v>2</v>
      </c>
      <c r="C121" t="n">
        <v>119</v>
      </c>
      <c r="D121" t="n">
        <v>-0.595</v>
      </c>
      <c r="E121" t="n">
        <v>31.5319</v>
      </c>
      <c r="F121" t="n">
        <v>0.17224</v>
      </c>
    </row>
    <row r="122">
      <c r="A122" t="n">
        <v>2000120</v>
      </c>
      <c r="B122" t="n">
        <v>2</v>
      </c>
      <c r="C122" t="n">
        <v>120</v>
      </c>
      <c r="D122" t="n">
        <v>-0.5958</v>
      </c>
      <c r="E122" t="n">
        <v>31.8578</v>
      </c>
      <c r="F122" t="n">
        <v>0.17262</v>
      </c>
    </row>
    <row r="123">
      <c r="A123" t="n">
        <v>2000121</v>
      </c>
      <c r="B123" t="n">
        <v>2</v>
      </c>
      <c r="C123" t="n">
        <v>121</v>
      </c>
      <c r="D123" t="n">
        <v>-0.5958</v>
      </c>
      <c r="E123" t="n">
        <v>31.8578</v>
      </c>
      <c r="F123" t="n">
        <v>0.17262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</t>
        </is>
      </c>
      <c r="B1" t="inlineStr">
        <is>
          <t>sexo</t>
        </is>
      </c>
      <c r="C1" t="inlineStr">
        <is>
          <t>chave</t>
        </is>
      </c>
      <c r="D1" t="inlineStr">
        <is>
          <t>l</t>
        </is>
      </c>
      <c r="E1" t="inlineStr">
        <is>
          <t>m</t>
        </is>
      </c>
      <c r="F1" t="inlineStr">
        <is>
          <t>s</t>
        </is>
      </c>
    </row>
    <row r="2">
      <c r="A2" t="n">
        <v>1000450</v>
      </c>
      <c r="B2" t="n">
        <v>1</v>
      </c>
      <c r="C2" t="n">
        <v>450</v>
      </c>
      <c r="D2" t="n">
        <v>-0.3521</v>
      </c>
      <c r="E2" t="n">
        <v>2.441</v>
      </c>
      <c r="F2" t="n">
        <v>0.09182</v>
      </c>
    </row>
    <row r="3">
      <c r="A3" t="n">
        <v>1000451</v>
      </c>
      <c r="B3" t="n">
        <v>1</v>
      </c>
      <c r="C3" t="n">
        <v>451</v>
      </c>
      <c r="D3" t="n">
        <v>-0.3521</v>
      </c>
      <c r="E3" t="n">
        <v>2.4577</v>
      </c>
      <c r="F3" t="n">
        <v>0.09175999999999999</v>
      </c>
    </row>
    <row r="4">
      <c r="A4" t="n">
        <v>1000452</v>
      </c>
      <c r="B4" t="n">
        <v>1</v>
      </c>
      <c r="C4" t="n">
        <v>452</v>
      </c>
      <c r="D4" t="n">
        <v>-0.3521</v>
      </c>
      <c r="E4" t="n">
        <v>2.4744</v>
      </c>
      <c r="F4" t="n">
        <v>0.0917</v>
      </c>
    </row>
    <row r="5">
      <c r="A5" t="n">
        <v>1000453</v>
      </c>
      <c r="B5" t="n">
        <v>1</v>
      </c>
      <c r="C5" t="n">
        <v>453</v>
      </c>
      <c r="D5" t="n">
        <v>-0.3521</v>
      </c>
      <c r="E5" t="n">
        <v>2.4911</v>
      </c>
      <c r="F5" t="n">
        <v>0.09164</v>
      </c>
    </row>
    <row r="6">
      <c r="A6" t="n">
        <v>1000454</v>
      </c>
      <c r="B6" t="n">
        <v>1</v>
      </c>
      <c r="C6" t="n">
        <v>454</v>
      </c>
      <c r="D6" t="n">
        <v>-0.3521</v>
      </c>
      <c r="E6" t="n">
        <v>2.5078</v>
      </c>
      <c r="F6" t="n">
        <v>0.09159</v>
      </c>
    </row>
    <row r="7">
      <c r="A7" t="n">
        <v>1000455</v>
      </c>
      <c r="B7" t="n">
        <v>1</v>
      </c>
      <c r="C7" t="n">
        <v>455</v>
      </c>
      <c r="D7" t="n">
        <v>-0.3521</v>
      </c>
      <c r="E7" t="n">
        <v>2.5244</v>
      </c>
      <c r="F7" t="n">
        <v>0.09153</v>
      </c>
    </row>
    <row r="8">
      <c r="A8" t="n">
        <v>1000456</v>
      </c>
      <c r="B8" t="n">
        <v>1</v>
      </c>
      <c r="C8" t="n">
        <v>456</v>
      </c>
      <c r="D8" t="n">
        <v>-0.3521</v>
      </c>
      <c r="E8" t="n">
        <v>2.5411</v>
      </c>
      <c r="F8" t="n">
        <v>0.09147</v>
      </c>
    </row>
    <row r="9">
      <c r="A9" t="n">
        <v>1000457</v>
      </c>
      <c r="B9" t="n">
        <v>1</v>
      </c>
      <c r="C9" t="n">
        <v>457</v>
      </c>
      <c r="D9" t="n">
        <v>-0.3521</v>
      </c>
      <c r="E9" t="n">
        <v>2.5578</v>
      </c>
      <c r="F9" t="n">
        <v>0.09141000000000001</v>
      </c>
    </row>
    <row r="10">
      <c r="A10" t="n">
        <v>1000458</v>
      </c>
      <c r="B10" t="n">
        <v>1</v>
      </c>
      <c r="C10" t="n">
        <v>458</v>
      </c>
      <c r="D10" t="n">
        <v>-0.3521</v>
      </c>
      <c r="E10" t="n">
        <v>2.5744</v>
      </c>
      <c r="F10" t="n">
        <v>0.09135</v>
      </c>
    </row>
    <row r="11">
      <c r="A11" t="n">
        <v>1000459</v>
      </c>
      <c r="B11" t="n">
        <v>1</v>
      </c>
      <c r="C11" t="n">
        <v>459</v>
      </c>
      <c r="D11" t="n">
        <v>-0.3521</v>
      </c>
      <c r="E11" t="n">
        <v>2.5911</v>
      </c>
      <c r="F11" t="n">
        <v>0.09129</v>
      </c>
    </row>
    <row r="12">
      <c r="A12" t="n">
        <v>1000460</v>
      </c>
      <c r="B12" t="n">
        <v>1</v>
      </c>
      <c r="C12" t="n">
        <v>460</v>
      </c>
      <c r="D12" t="n">
        <v>-0.3521</v>
      </c>
      <c r="E12" t="n">
        <v>2.6077</v>
      </c>
      <c r="F12" t="n">
        <v>0.09124</v>
      </c>
    </row>
    <row r="13">
      <c r="A13" t="n">
        <v>1000461</v>
      </c>
      <c r="B13" t="n">
        <v>1</v>
      </c>
      <c r="C13" t="n">
        <v>461</v>
      </c>
      <c r="D13" t="n">
        <v>-0.3521</v>
      </c>
      <c r="E13" t="n">
        <v>2.6244</v>
      </c>
      <c r="F13" t="n">
        <v>0.09118</v>
      </c>
    </row>
    <row r="14">
      <c r="A14" t="n">
        <v>1000462</v>
      </c>
      <c r="B14" t="n">
        <v>1</v>
      </c>
      <c r="C14" t="n">
        <v>462</v>
      </c>
      <c r="D14" t="n">
        <v>-0.3521</v>
      </c>
      <c r="E14" t="n">
        <v>2.6411</v>
      </c>
      <c r="F14" t="n">
        <v>0.09112000000000001</v>
      </c>
    </row>
    <row r="15">
      <c r="A15" t="n">
        <v>1000463</v>
      </c>
      <c r="B15" t="n">
        <v>1</v>
      </c>
      <c r="C15" t="n">
        <v>463</v>
      </c>
      <c r="D15" t="n">
        <v>-0.3521</v>
      </c>
      <c r="E15" t="n">
        <v>2.6578</v>
      </c>
      <c r="F15" t="n">
        <v>0.09106</v>
      </c>
    </row>
    <row r="16">
      <c r="A16" t="n">
        <v>1000464</v>
      </c>
      <c r="B16" t="n">
        <v>1</v>
      </c>
      <c r="C16" t="n">
        <v>464</v>
      </c>
      <c r="D16" t="n">
        <v>-0.3521</v>
      </c>
      <c r="E16" t="n">
        <v>2.6745</v>
      </c>
      <c r="F16" t="n">
        <v>0.091</v>
      </c>
    </row>
    <row r="17">
      <c r="A17" t="n">
        <v>1000465</v>
      </c>
      <c r="B17" t="n">
        <v>1</v>
      </c>
      <c r="C17" t="n">
        <v>465</v>
      </c>
      <c r="D17" t="n">
        <v>-0.3521</v>
      </c>
      <c r="E17" t="n">
        <v>2.6913</v>
      </c>
      <c r="F17" t="n">
        <v>0.09093999999999999</v>
      </c>
    </row>
    <row r="18">
      <c r="A18" t="n">
        <v>1000466</v>
      </c>
      <c r="B18" t="n">
        <v>1</v>
      </c>
      <c r="C18" t="n">
        <v>466</v>
      </c>
      <c r="D18" t="n">
        <v>-0.3521</v>
      </c>
      <c r="E18" t="n">
        <v>2.7081</v>
      </c>
      <c r="F18" t="n">
        <v>0.09088</v>
      </c>
    </row>
    <row r="19">
      <c r="A19" t="n">
        <v>1000467</v>
      </c>
      <c r="B19" t="n">
        <v>1</v>
      </c>
      <c r="C19" t="n">
        <v>467</v>
      </c>
      <c r="D19" t="n">
        <v>-0.3521</v>
      </c>
      <c r="E19" t="n">
        <v>2.7249</v>
      </c>
      <c r="F19" t="n">
        <v>0.09082999999999999</v>
      </c>
    </row>
    <row r="20">
      <c r="A20" t="n">
        <v>1000468</v>
      </c>
      <c r="B20" t="n">
        <v>1</v>
      </c>
      <c r="C20" t="n">
        <v>468</v>
      </c>
      <c r="D20" t="n">
        <v>-0.3521</v>
      </c>
      <c r="E20" t="n">
        <v>2.7417</v>
      </c>
      <c r="F20" t="n">
        <v>0.09077</v>
      </c>
    </row>
    <row r="21">
      <c r="A21" t="n">
        <v>1000469</v>
      </c>
      <c r="B21" t="n">
        <v>1</v>
      </c>
      <c r="C21" t="n">
        <v>469</v>
      </c>
      <c r="D21" t="n">
        <v>-0.3521</v>
      </c>
      <c r="E21" t="n">
        <v>2.7586</v>
      </c>
      <c r="F21" t="n">
        <v>0.09071</v>
      </c>
    </row>
    <row r="22">
      <c r="A22" t="n">
        <v>1000470</v>
      </c>
      <c r="B22" t="n">
        <v>1</v>
      </c>
      <c r="C22" t="n">
        <v>470</v>
      </c>
      <c r="D22" t="n">
        <v>-0.3521</v>
      </c>
      <c r="E22" t="n">
        <v>2.7755</v>
      </c>
      <c r="F22" t="n">
        <v>0.09064999999999999</v>
      </c>
    </row>
    <row r="23">
      <c r="A23" t="n">
        <v>1000471</v>
      </c>
      <c r="B23" t="n">
        <v>1</v>
      </c>
      <c r="C23" t="n">
        <v>471</v>
      </c>
      <c r="D23" t="n">
        <v>-0.3521</v>
      </c>
      <c r="E23" t="n">
        <v>2.7925</v>
      </c>
      <c r="F23" t="n">
        <v>0.09059</v>
      </c>
    </row>
    <row r="24">
      <c r="A24" t="n">
        <v>1000472</v>
      </c>
      <c r="B24" t="n">
        <v>1</v>
      </c>
      <c r="C24" t="n">
        <v>472</v>
      </c>
      <c r="D24" t="n">
        <v>-0.3521</v>
      </c>
      <c r="E24" t="n">
        <v>2.8095</v>
      </c>
      <c r="F24" t="n">
        <v>0.09053</v>
      </c>
    </row>
    <row r="25">
      <c r="A25" t="n">
        <v>1000473</v>
      </c>
      <c r="B25" t="n">
        <v>1</v>
      </c>
      <c r="C25" t="n">
        <v>473</v>
      </c>
      <c r="D25" t="n">
        <v>-0.3521</v>
      </c>
      <c r="E25" t="n">
        <v>2.8266</v>
      </c>
      <c r="F25" t="n">
        <v>0.09046999999999999</v>
      </c>
    </row>
    <row r="26">
      <c r="A26" t="n">
        <v>1000474</v>
      </c>
      <c r="B26" t="n">
        <v>1</v>
      </c>
      <c r="C26" t="n">
        <v>474</v>
      </c>
      <c r="D26" t="n">
        <v>-0.3521</v>
      </c>
      <c r="E26" t="n">
        <v>2.8437</v>
      </c>
      <c r="F26" t="n">
        <v>0.09042</v>
      </c>
    </row>
    <row r="27">
      <c r="A27" t="n">
        <v>1000475</v>
      </c>
      <c r="B27" t="n">
        <v>1</v>
      </c>
      <c r="C27" t="n">
        <v>475</v>
      </c>
      <c r="D27" t="n">
        <v>-0.3521</v>
      </c>
      <c r="E27" t="n">
        <v>2.8609</v>
      </c>
      <c r="F27" t="n">
        <v>0.09036</v>
      </c>
    </row>
    <row r="28">
      <c r="A28" t="n">
        <v>1000476</v>
      </c>
      <c r="B28" t="n">
        <v>1</v>
      </c>
      <c r="C28" t="n">
        <v>476</v>
      </c>
      <c r="D28" t="n">
        <v>-0.3521</v>
      </c>
      <c r="E28" t="n">
        <v>2.8782</v>
      </c>
      <c r="F28" t="n">
        <v>0.09030000000000001</v>
      </c>
    </row>
    <row r="29">
      <c r="A29" t="n">
        <v>1000477</v>
      </c>
      <c r="B29" t="n">
        <v>1</v>
      </c>
      <c r="C29" t="n">
        <v>477</v>
      </c>
      <c r="D29" t="n">
        <v>-0.3521</v>
      </c>
      <c r="E29" t="n">
        <v>2.8955</v>
      </c>
      <c r="F29" t="n">
        <v>0.09024</v>
      </c>
    </row>
    <row r="30">
      <c r="A30" t="n">
        <v>1000478</v>
      </c>
      <c r="B30" t="n">
        <v>1</v>
      </c>
      <c r="C30" t="n">
        <v>478</v>
      </c>
      <c r="D30" t="n">
        <v>-0.3521</v>
      </c>
      <c r="E30" t="n">
        <v>2.9129</v>
      </c>
      <c r="F30" t="n">
        <v>0.09018</v>
      </c>
    </row>
    <row r="31">
      <c r="A31" t="n">
        <v>1000479</v>
      </c>
      <c r="B31" t="n">
        <v>1</v>
      </c>
      <c r="C31" t="n">
        <v>479</v>
      </c>
      <c r="D31" t="n">
        <v>-0.3521</v>
      </c>
      <c r="E31" t="n">
        <v>2.9304</v>
      </c>
      <c r="F31" t="n">
        <v>0.09012000000000001</v>
      </c>
    </row>
    <row r="32">
      <c r="A32" t="n">
        <v>1000480</v>
      </c>
      <c r="B32" t="n">
        <v>1</v>
      </c>
      <c r="C32" t="n">
        <v>480</v>
      </c>
      <c r="D32" t="n">
        <v>-0.3521</v>
      </c>
      <c r="E32" t="n">
        <v>2.948</v>
      </c>
      <c r="F32" t="n">
        <v>0.09007</v>
      </c>
    </row>
    <row r="33">
      <c r="A33" t="n">
        <v>1000481</v>
      </c>
      <c r="B33" t="n">
        <v>1</v>
      </c>
      <c r="C33" t="n">
        <v>481</v>
      </c>
      <c r="D33" t="n">
        <v>-0.3521</v>
      </c>
      <c r="E33" t="n">
        <v>2.9657</v>
      </c>
      <c r="F33" t="n">
        <v>0.09001000000000001</v>
      </c>
    </row>
    <row r="34">
      <c r="A34" t="n">
        <v>1000482</v>
      </c>
      <c r="B34" t="n">
        <v>1</v>
      </c>
      <c r="C34" t="n">
        <v>482</v>
      </c>
      <c r="D34" t="n">
        <v>-0.3521</v>
      </c>
      <c r="E34" t="n">
        <v>2.9835</v>
      </c>
      <c r="F34" t="n">
        <v>0.08995</v>
      </c>
    </row>
    <row r="35">
      <c r="A35" t="n">
        <v>1000483</v>
      </c>
      <c r="B35" t="n">
        <v>1</v>
      </c>
      <c r="C35" t="n">
        <v>483</v>
      </c>
      <c r="D35" t="n">
        <v>-0.3521</v>
      </c>
      <c r="E35" t="n">
        <v>3.0014</v>
      </c>
      <c r="F35" t="n">
        <v>0.08989</v>
      </c>
    </row>
    <row r="36">
      <c r="A36" t="n">
        <v>1000484</v>
      </c>
      <c r="B36" t="n">
        <v>1</v>
      </c>
      <c r="C36" t="n">
        <v>484</v>
      </c>
      <c r="D36" t="n">
        <v>-0.3521</v>
      </c>
      <c r="E36" t="n">
        <v>3.0195</v>
      </c>
      <c r="F36" t="n">
        <v>0.08982999999999999</v>
      </c>
    </row>
    <row r="37">
      <c r="A37" t="n">
        <v>1000485</v>
      </c>
      <c r="B37" t="n">
        <v>1</v>
      </c>
      <c r="C37" t="n">
        <v>485</v>
      </c>
      <c r="D37" t="n">
        <v>-0.3521</v>
      </c>
      <c r="E37" t="n">
        <v>3.0377</v>
      </c>
      <c r="F37" t="n">
        <v>0.08977</v>
      </c>
    </row>
    <row r="38">
      <c r="A38" t="n">
        <v>1000486</v>
      </c>
      <c r="B38" t="n">
        <v>1</v>
      </c>
      <c r="C38" t="n">
        <v>486</v>
      </c>
      <c r="D38" t="n">
        <v>-0.3521</v>
      </c>
      <c r="E38" t="n">
        <v>3.056</v>
      </c>
      <c r="F38" t="n">
        <v>0.08971999999999999</v>
      </c>
    </row>
    <row r="39">
      <c r="A39" t="n">
        <v>1000487</v>
      </c>
      <c r="B39" t="n">
        <v>1</v>
      </c>
      <c r="C39" t="n">
        <v>487</v>
      </c>
      <c r="D39" t="n">
        <v>-0.3521</v>
      </c>
      <c r="E39" t="n">
        <v>3.0745</v>
      </c>
      <c r="F39" t="n">
        <v>0.08966</v>
      </c>
    </row>
    <row r="40">
      <c r="A40" t="n">
        <v>1000488</v>
      </c>
      <c r="B40" t="n">
        <v>1</v>
      </c>
      <c r="C40" t="n">
        <v>488</v>
      </c>
      <c r="D40" t="n">
        <v>-0.3521</v>
      </c>
      <c r="E40" t="n">
        <v>3.0931</v>
      </c>
      <c r="F40" t="n">
        <v>0.0896</v>
      </c>
    </row>
    <row r="41">
      <c r="A41" t="n">
        <v>1000489</v>
      </c>
      <c r="B41" t="n">
        <v>1</v>
      </c>
      <c r="C41" t="n">
        <v>489</v>
      </c>
      <c r="D41" t="n">
        <v>-0.3521</v>
      </c>
      <c r="E41" t="n">
        <v>3.1119</v>
      </c>
      <c r="F41" t="n">
        <v>0.08953999999999999</v>
      </c>
    </row>
    <row r="42">
      <c r="A42" t="n">
        <v>1000490</v>
      </c>
      <c r="B42" t="n">
        <v>1</v>
      </c>
      <c r="C42" t="n">
        <v>490</v>
      </c>
      <c r="D42" t="n">
        <v>-0.3521</v>
      </c>
      <c r="E42" t="n">
        <v>3.1308</v>
      </c>
      <c r="F42" t="n">
        <v>0.08948</v>
      </c>
    </row>
    <row r="43">
      <c r="A43" t="n">
        <v>1000491</v>
      </c>
      <c r="B43" t="n">
        <v>1</v>
      </c>
      <c r="C43" t="n">
        <v>491</v>
      </c>
      <c r="D43" t="n">
        <v>-0.3521</v>
      </c>
      <c r="E43" t="n">
        <v>3.1499</v>
      </c>
      <c r="F43" t="n">
        <v>0.08943</v>
      </c>
    </row>
    <row r="44">
      <c r="A44" t="n">
        <v>1000492</v>
      </c>
      <c r="B44" t="n">
        <v>1</v>
      </c>
      <c r="C44" t="n">
        <v>492</v>
      </c>
      <c r="D44" t="n">
        <v>-0.3521</v>
      </c>
      <c r="E44" t="n">
        <v>3.1691</v>
      </c>
      <c r="F44" t="n">
        <v>0.08937</v>
      </c>
    </row>
    <row r="45">
      <c r="A45" t="n">
        <v>1000493</v>
      </c>
      <c r="B45" t="n">
        <v>1</v>
      </c>
      <c r="C45" t="n">
        <v>493</v>
      </c>
      <c r="D45" t="n">
        <v>-0.3521</v>
      </c>
      <c r="E45" t="n">
        <v>3.1884</v>
      </c>
      <c r="F45" t="n">
        <v>0.08931</v>
      </c>
    </row>
    <row r="46">
      <c r="A46" t="n">
        <v>1000494</v>
      </c>
      <c r="B46" t="n">
        <v>1</v>
      </c>
      <c r="C46" t="n">
        <v>494</v>
      </c>
      <c r="D46" t="n">
        <v>-0.3521</v>
      </c>
      <c r="E46" t="n">
        <v>3.2079</v>
      </c>
      <c r="F46" t="n">
        <v>0.08925</v>
      </c>
    </row>
    <row r="47">
      <c r="A47" t="n">
        <v>1000495</v>
      </c>
      <c r="B47" t="n">
        <v>1</v>
      </c>
      <c r="C47" t="n">
        <v>495</v>
      </c>
      <c r="D47" t="n">
        <v>-0.3521</v>
      </c>
      <c r="E47" t="n">
        <v>3.2276</v>
      </c>
      <c r="F47" t="n">
        <v>0.08919000000000001</v>
      </c>
    </row>
    <row r="48">
      <c r="A48" t="n">
        <v>1000496</v>
      </c>
      <c r="B48" t="n">
        <v>1</v>
      </c>
      <c r="C48" t="n">
        <v>496</v>
      </c>
      <c r="D48" t="n">
        <v>-0.3521</v>
      </c>
      <c r="E48" t="n">
        <v>3.2473</v>
      </c>
      <c r="F48" t="n">
        <v>0.08913</v>
      </c>
    </row>
    <row r="49">
      <c r="A49" t="n">
        <v>1000497</v>
      </c>
      <c r="B49" t="n">
        <v>1</v>
      </c>
      <c r="C49" t="n">
        <v>497</v>
      </c>
      <c r="D49" t="n">
        <v>-0.3521</v>
      </c>
      <c r="E49" t="n">
        <v>3.2672</v>
      </c>
      <c r="F49" t="n">
        <v>0.08908000000000001</v>
      </c>
    </row>
    <row r="50">
      <c r="A50" t="n">
        <v>1000498</v>
      </c>
      <c r="B50" t="n">
        <v>1</v>
      </c>
      <c r="C50" t="n">
        <v>498</v>
      </c>
      <c r="D50" t="n">
        <v>-0.3521</v>
      </c>
      <c r="E50" t="n">
        <v>3.2873</v>
      </c>
      <c r="F50" t="n">
        <v>0.08902</v>
      </c>
    </row>
    <row r="51">
      <c r="A51" t="n">
        <v>1000499</v>
      </c>
      <c r="B51" t="n">
        <v>1</v>
      </c>
      <c r="C51" t="n">
        <v>499</v>
      </c>
      <c r="D51" t="n">
        <v>-0.3521</v>
      </c>
      <c r="E51" t="n">
        <v>3.3075</v>
      </c>
      <c r="F51" t="n">
        <v>0.08896</v>
      </c>
    </row>
    <row r="52">
      <c r="A52" t="n">
        <v>1000500</v>
      </c>
      <c r="B52" t="n">
        <v>1</v>
      </c>
      <c r="C52" t="n">
        <v>500</v>
      </c>
      <c r="D52" t="n">
        <v>-0.3521</v>
      </c>
      <c r="E52" t="n">
        <v>3.3278</v>
      </c>
      <c r="F52" t="n">
        <v>0.08890000000000001</v>
      </c>
    </row>
    <row r="53">
      <c r="A53" t="n">
        <v>1000501</v>
      </c>
      <c r="B53" t="n">
        <v>1</v>
      </c>
      <c r="C53" t="n">
        <v>501</v>
      </c>
      <c r="D53" t="n">
        <v>-0.3521</v>
      </c>
      <c r="E53" t="n">
        <v>3.3482</v>
      </c>
      <c r="F53" t="n">
        <v>0.08884</v>
      </c>
    </row>
    <row r="54">
      <c r="A54" t="n">
        <v>1000502</v>
      </c>
      <c r="B54" t="n">
        <v>1</v>
      </c>
      <c r="C54" t="n">
        <v>502</v>
      </c>
      <c r="D54" t="n">
        <v>-0.3521</v>
      </c>
      <c r="E54" t="n">
        <v>3.3688</v>
      </c>
      <c r="F54" t="n">
        <v>0.08878</v>
      </c>
    </row>
    <row r="55">
      <c r="A55" t="n">
        <v>1000503</v>
      </c>
      <c r="B55" t="n">
        <v>1</v>
      </c>
      <c r="C55" t="n">
        <v>503</v>
      </c>
      <c r="D55" t="n">
        <v>-0.3521</v>
      </c>
      <c r="E55" t="n">
        <v>3.3894</v>
      </c>
      <c r="F55" t="n">
        <v>0.08871999999999999</v>
      </c>
    </row>
    <row r="56">
      <c r="A56" t="n">
        <v>1000504</v>
      </c>
      <c r="B56" t="n">
        <v>1</v>
      </c>
      <c r="C56" t="n">
        <v>504</v>
      </c>
      <c r="D56" t="n">
        <v>-0.3521</v>
      </c>
      <c r="E56" t="n">
        <v>3.4102</v>
      </c>
      <c r="F56" t="n">
        <v>0.08867</v>
      </c>
    </row>
    <row r="57">
      <c r="A57" t="n">
        <v>1000505</v>
      </c>
      <c r="B57" t="n">
        <v>1</v>
      </c>
      <c r="C57" t="n">
        <v>505</v>
      </c>
      <c r="D57" t="n">
        <v>-0.3521</v>
      </c>
      <c r="E57" t="n">
        <v>3.4311</v>
      </c>
      <c r="F57" t="n">
        <v>0.08860999999999999</v>
      </c>
    </row>
    <row r="58">
      <c r="A58" t="n">
        <v>1000506</v>
      </c>
      <c r="B58" t="n">
        <v>1</v>
      </c>
      <c r="C58" t="n">
        <v>506</v>
      </c>
      <c r="D58" t="n">
        <v>-0.3521</v>
      </c>
      <c r="E58" t="n">
        <v>3.4522</v>
      </c>
      <c r="F58" t="n">
        <v>0.08855</v>
      </c>
    </row>
    <row r="59">
      <c r="A59" t="n">
        <v>1000507</v>
      </c>
      <c r="B59" t="n">
        <v>1</v>
      </c>
      <c r="C59" t="n">
        <v>507</v>
      </c>
      <c r="D59" t="n">
        <v>-0.3521</v>
      </c>
      <c r="E59" t="n">
        <v>3.4733</v>
      </c>
      <c r="F59" t="n">
        <v>0.08849</v>
      </c>
    </row>
    <row r="60">
      <c r="A60" t="n">
        <v>1000508</v>
      </c>
      <c r="B60" t="n">
        <v>1</v>
      </c>
      <c r="C60" t="n">
        <v>508</v>
      </c>
      <c r="D60" t="n">
        <v>-0.3521</v>
      </c>
      <c r="E60" t="n">
        <v>3.4946</v>
      </c>
      <c r="F60" t="n">
        <v>0.08842999999999999</v>
      </c>
    </row>
    <row r="61">
      <c r="A61" t="n">
        <v>1000509</v>
      </c>
      <c r="B61" t="n">
        <v>1</v>
      </c>
      <c r="C61" t="n">
        <v>509</v>
      </c>
      <c r="D61" t="n">
        <v>-0.3521</v>
      </c>
      <c r="E61" t="n">
        <v>3.5161</v>
      </c>
      <c r="F61" t="n">
        <v>0.08837</v>
      </c>
    </row>
    <row r="62">
      <c r="A62" t="n">
        <v>1000510</v>
      </c>
      <c r="B62" t="n">
        <v>1</v>
      </c>
      <c r="C62" t="n">
        <v>510</v>
      </c>
      <c r="D62" t="n">
        <v>-0.3521</v>
      </c>
      <c r="E62" t="n">
        <v>3.5376</v>
      </c>
      <c r="F62" t="n">
        <v>0.08831</v>
      </c>
    </row>
    <row r="63">
      <c r="A63" t="n">
        <v>1000511</v>
      </c>
      <c r="B63" t="n">
        <v>1</v>
      </c>
      <c r="C63" t="n">
        <v>511</v>
      </c>
      <c r="D63" t="n">
        <v>-0.3521</v>
      </c>
      <c r="E63" t="n">
        <v>3.5593</v>
      </c>
      <c r="F63" t="n">
        <v>0.08825</v>
      </c>
    </row>
    <row r="64">
      <c r="A64" t="n">
        <v>1000512</v>
      </c>
      <c r="B64" t="n">
        <v>1</v>
      </c>
      <c r="C64" t="n">
        <v>512</v>
      </c>
      <c r="D64" t="n">
        <v>-0.3521</v>
      </c>
      <c r="E64" t="n">
        <v>3.5812</v>
      </c>
      <c r="F64" t="n">
        <v>0.08819</v>
      </c>
    </row>
    <row r="65">
      <c r="A65" t="n">
        <v>1000513</v>
      </c>
      <c r="B65" t="n">
        <v>1</v>
      </c>
      <c r="C65" t="n">
        <v>513</v>
      </c>
      <c r="D65" t="n">
        <v>-0.3521</v>
      </c>
      <c r="E65" t="n">
        <v>3.6032</v>
      </c>
      <c r="F65" t="n">
        <v>0.08813</v>
      </c>
    </row>
    <row r="66">
      <c r="A66" t="n">
        <v>1000514</v>
      </c>
      <c r="B66" t="n">
        <v>1</v>
      </c>
      <c r="C66" t="n">
        <v>514</v>
      </c>
      <c r="D66" t="n">
        <v>-0.3521</v>
      </c>
      <c r="E66" t="n">
        <v>3.6254</v>
      </c>
      <c r="F66" t="n">
        <v>0.08807</v>
      </c>
    </row>
    <row r="67">
      <c r="A67" t="n">
        <v>1000515</v>
      </c>
      <c r="B67" t="n">
        <v>1</v>
      </c>
      <c r="C67" t="n">
        <v>515</v>
      </c>
      <c r="D67" t="n">
        <v>-0.3521</v>
      </c>
      <c r="E67" t="n">
        <v>3.6477</v>
      </c>
      <c r="F67" t="n">
        <v>0.08801</v>
      </c>
    </row>
    <row r="68">
      <c r="A68" t="n">
        <v>1000516</v>
      </c>
      <c r="B68" t="n">
        <v>1</v>
      </c>
      <c r="C68" t="n">
        <v>516</v>
      </c>
      <c r="D68" t="n">
        <v>-0.3521</v>
      </c>
      <c r="E68" t="n">
        <v>3.6702</v>
      </c>
      <c r="F68" t="n">
        <v>0.08795</v>
      </c>
    </row>
    <row r="69">
      <c r="A69" t="n">
        <v>1000517</v>
      </c>
      <c r="B69" t="n">
        <v>1</v>
      </c>
      <c r="C69" t="n">
        <v>517</v>
      </c>
      <c r="D69" t="n">
        <v>-0.3521</v>
      </c>
      <c r="E69" t="n">
        <v>3.6929</v>
      </c>
      <c r="F69" t="n">
        <v>0.08789</v>
      </c>
    </row>
    <row r="70">
      <c r="A70" t="n">
        <v>1000518</v>
      </c>
      <c r="B70" t="n">
        <v>1</v>
      </c>
      <c r="C70" t="n">
        <v>518</v>
      </c>
      <c r="D70" t="n">
        <v>-0.3521</v>
      </c>
      <c r="E70" t="n">
        <v>3.7157</v>
      </c>
      <c r="F70" t="n">
        <v>0.08783000000000001</v>
      </c>
    </row>
    <row r="71">
      <c r="A71" t="n">
        <v>1000519</v>
      </c>
      <c r="B71" t="n">
        <v>1</v>
      </c>
      <c r="C71" t="n">
        <v>519</v>
      </c>
      <c r="D71" t="n">
        <v>-0.3521</v>
      </c>
      <c r="E71" t="n">
        <v>3.7388</v>
      </c>
      <c r="F71" t="n">
        <v>0.08777</v>
      </c>
    </row>
    <row r="72">
      <c r="A72" t="n">
        <v>1000520</v>
      </c>
      <c r="B72" t="n">
        <v>1</v>
      </c>
      <c r="C72" t="n">
        <v>520</v>
      </c>
      <c r="D72" t="n">
        <v>-0.3521</v>
      </c>
      <c r="E72" t="n">
        <v>3.762</v>
      </c>
      <c r="F72" t="n">
        <v>0.08771</v>
      </c>
    </row>
    <row r="73">
      <c r="A73" t="n">
        <v>1000521</v>
      </c>
      <c r="B73" t="n">
        <v>1</v>
      </c>
      <c r="C73" t="n">
        <v>521</v>
      </c>
      <c r="D73" t="n">
        <v>-0.3521</v>
      </c>
      <c r="E73" t="n">
        <v>3.7855</v>
      </c>
      <c r="F73" t="n">
        <v>0.08765000000000001</v>
      </c>
    </row>
    <row r="74">
      <c r="A74" t="n">
        <v>1000522</v>
      </c>
      <c r="B74" t="n">
        <v>1</v>
      </c>
      <c r="C74" t="n">
        <v>522</v>
      </c>
      <c r="D74" t="n">
        <v>-0.3521</v>
      </c>
      <c r="E74" t="n">
        <v>3.8092</v>
      </c>
      <c r="F74" t="n">
        <v>0.08759</v>
      </c>
    </row>
    <row r="75">
      <c r="A75" t="n">
        <v>1000523</v>
      </c>
      <c r="B75" t="n">
        <v>1</v>
      </c>
      <c r="C75" t="n">
        <v>523</v>
      </c>
      <c r="D75" t="n">
        <v>-0.3521</v>
      </c>
      <c r="E75" t="n">
        <v>3.833</v>
      </c>
      <c r="F75" t="n">
        <v>0.08753</v>
      </c>
    </row>
    <row r="76">
      <c r="A76" t="n">
        <v>1000524</v>
      </c>
      <c r="B76" t="n">
        <v>1</v>
      </c>
      <c r="C76" t="n">
        <v>524</v>
      </c>
      <c r="D76" t="n">
        <v>-0.3521</v>
      </c>
      <c r="E76" t="n">
        <v>3.8571</v>
      </c>
      <c r="F76" t="n">
        <v>0.08747000000000001</v>
      </c>
    </row>
    <row r="77">
      <c r="A77" t="n">
        <v>1000525</v>
      </c>
      <c r="B77" t="n">
        <v>1</v>
      </c>
      <c r="C77" t="n">
        <v>525</v>
      </c>
      <c r="D77" t="n">
        <v>-0.3521</v>
      </c>
      <c r="E77" t="n">
        <v>3.8814</v>
      </c>
      <c r="F77" t="n">
        <v>0.08741</v>
      </c>
    </row>
    <row r="78">
      <c r="A78" t="n">
        <v>1000526</v>
      </c>
      <c r="B78" t="n">
        <v>1</v>
      </c>
      <c r="C78" t="n">
        <v>526</v>
      </c>
      <c r="D78" t="n">
        <v>-0.3521</v>
      </c>
      <c r="E78" t="n">
        <v>3.9059</v>
      </c>
      <c r="F78" t="n">
        <v>0.08735</v>
      </c>
    </row>
    <row r="79">
      <c r="A79" t="n">
        <v>1000527</v>
      </c>
      <c r="B79" t="n">
        <v>1</v>
      </c>
      <c r="C79" t="n">
        <v>527</v>
      </c>
      <c r="D79" t="n">
        <v>-0.3521</v>
      </c>
      <c r="E79" t="n">
        <v>3.9306</v>
      </c>
      <c r="F79" t="n">
        <v>0.08729000000000001</v>
      </c>
    </row>
    <row r="80">
      <c r="A80" t="n">
        <v>1000528</v>
      </c>
      <c r="B80" t="n">
        <v>1</v>
      </c>
      <c r="C80" t="n">
        <v>528</v>
      </c>
      <c r="D80" t="n">
        <v>-0.3521</v>
      </c>
      <c r="E80" t="n">
        <v>3.9555</v>
      </c>
      <c r="F80" t="n">
        <v>0.08723</v>
      </c>
    </row>
    <row r="81">
      <c r="A81" t="n">
        <v>1000529</v>
      </c>
      <c r="B81" t="n">
        <v>1</v>
      </c>
      <c r="C81" t="n">
        <v>529</v>
      </c>
      <c r="D81" t="n">
        <v>-0.3521</v>
      </c>
      <c r="E81" t="n">
        <v>3.9806</v>
      </c>
      <c r="F81" t="n">
        <v>0.08717</v>
      </c>
    </row>
    <row r="82">
      <c r="A82" t="n">
        <v>1000530</v>
      </c>
      <c r="B82" t="n">
        <v>1</v>
      </c>
      <c r="C82" t="n">
        <v>530</v>
      </c>
      <c r="D82" t="n">
        <v>-0.3521</v>
      </c>
      <c r="E82" t="n">
        <v>4.006</v>
      </c>
      <c r="F82" t="n">
        <v>0.08711000000000001</v>
      </c>
    </row>
    <row r="83">
      <c r="A83" t="n">
        <v>1000531</v>
      </c>
      <c r="B83" t="n">
        <v>1</v>
      </c>
      <c r="C83" t="n">
        <v>531</v>
      </c>
      <c r="D83" t="n">
        <v>-0.3521</v>
      </c>
      <c r="E83" t="n">
        <v>4.0315</v>
      </c>
      <c r="F83" t="n">
        <v>0.08705</v>
      </c>
    </row>
    <row r="84">
      <c r="A84" t="n">
        <v>1000532</v>
      </c>
      <c r="B84" t="n">
        <v>1</v>
      </c>
      <c r="C84" t="n">
        <v>532</v>
      </c>
      <c r="D84" t="n">
        <v>-0.3521</v>
      </c>
      <c r="E84" t="n">
        <v>4.0572</v>
      </c>
      <c r="F84" t="n">
        <v>0.08699</v>
      </c>
    </row>
    <row r="85">
      <c r="A85" t="n">
        <v>1000533</v>
      </c>
      <c r="B85" t="n">
        <v>1</v>
      </c>
      <c r="C85" t="n">
        <v>533</v>
      </c>
      <c r="D85" t="n">
        <v>-0.3521</v>
      </c>
      <c r="E85" t="n">
        <v>4.0831</v>
      </c>
      <c r="F85" t="n">
        <v>0.08692999999999999</v>
      </c>
    </row>
    <row r="86">
      <c r="A86" t="n">
        <v>1000534</v>
      </c>
      <c r="B86" t="n">
        <v>1</v>
      </c>
      <c r="C86" t="n">
        <v>534</v>
      </c>
      <c r="D86" t="n">
        <v>-0.3521</v>
      </c>
      <c r="E86" t="n">
        <v>4.1092</v>
      </c>
      <c r="F86" t="n">
        <v>0.08687</v>
      </c>
    </row>
    <row r="87">
      <c r="A87" t="n">
        <v>1000535</v>
      </c>
      <c r="B87" t="n">
        <v>1</v>
      </c>
      <c r="C87" t="n">
        <v>535</v>
      </c>
      <c r="D87" t="n">
        <v>-0.3521</v>
      </c>
      <c r="E87" t="n">
        <v>4.1354</v>
      </c>
      <c r="F87" t="n">
        <v>0.08681</v>
      </c>
    </row>
    <row r="88">
      <c r="A88" t="n">
        <v>1000536</v>
      </c>
      <c r="B88" t="n">
        <v>1</v>
      </c>
      <c r="C88" t="n">
        <v>536</v>
      </c>
      <c r="D88" t="n">
        <v>-0.3521</v>
      </c>
      <c r="E88" t="n">
        <v>4.1619</v>
      </c>
      <c r="F88" t="n">
        <v>0.08674999999999999</v>
      </c>
    </row>
    <row r="89">
      <c r="A89" t="n">
        <v>1000537</v>
      </c>
      <c r="B89" t="n">
        <v>1</v>
      </c>
      <c r="C89" t="n">
        <v>537</v>
      </c>
      <c r="D89" t="n">
        <v>-0.3521</v>
      </c>
      <c r="E89" t="n">
        <v>4.1885</v>
      </c>
      <c r="F89" t="n">
        <v>0.08669</v>
      </c>
    </row>
    <row r="90">
      <c r="A90" t="n">
        <v>1000538</v>
      </c>
      <c r="B90" t="n">
        <v>1</v>
      </c>
      <c r="C90" t="n">
        <v>538</v>
      </c>
      <c r="D90" t="n">
        <v>-0.3521</v>
      </c>
      <c r="E90" t="n">
        <v>4.2153</v>
      </c>
      <c r="F90" t="n">
        <v>0.08663</v>
      </c>
    </row>
    <row r="91">
      <c r="A91" t="n">
        <v>1000539</v>
      </c>
      <c r="B91" t="n">
        <v>1</v>
      </c>
      <c r="C91" t="n">
        <v>539</v>
      </c>
      <c r="D91" t="n">
        <v>-0.3521</v>
      </c>
      <c r="E91" t="n">
        <v>4.2422</v>
      </c>
      <c r="F91" t="n">
        <v>0.08656999999999999</v>
      </c>
    </row>
    <row r="92">
      <c r="A92" t="n">
        <v>1000540</v>
      </c>
      <c r="B92" t="n">
        <v>1</v>
      </c>
      <c r="C92" t="n">
        <v>540</v>
      </c>
      <c r="D92" t="n">
        <v>-0.3521</v>
      </c>
      <c r="E92" t="n">
        <v>4.2693</v>
      </c>
      <c r="F92" t="n">
        <v>0.08651</v>
      </c>
    </row>
    <row r="93">
      <c r="A93" t="n">
        <v>1000541</v>
      </c>
      <c r="B93" t="n">
        <v>1</v>
      </c>
      <c r="C93" t="n">
        <v>541</v>
      </c>
      <c r="D93" t="n">
        <v>-0.3521</v>
      </c>
      <c r="E93" t="n">
        <v>4.2965</v>
      </c>
      <c r="F93" t="n">
        <v>0.08645</v>
      </c>
    </row>
    <row r="94">
      <c r="A94" t="n">
        <v>1000542</v>
      </c>
      <c r="B94" t="n">
        <v>1</v>
      </c>
      <c r="C94" t="n">
        <v>542</v>
      </c>
      <c r="D94" t="n">
        <v>-0.3521</v>
      </c>
      <c r="E94" t="n">
        <v>4.3239</v>
      </c>
      <c r="F94" t="n">
        <v>0.08638999999999999</v>
      </c>
    </row>
    <row r="95">
      <c r="A95" t="n">
        <v>1000543</v>
      </c>
      <c r="B95" t="n">
        <v>1</v>
      </c>
      <c r="C95" t="n">
        <v>543</v>
      </c>
      <c r="D95" t="n">
        <v>-0.3521</v>
      </c>
      <c r="E95" t="n">
        <v>4.3513</v>
      </c>
      <c r="F95" t="n">
        <v>0.08633</v>
      </c>
    </row>
    <row r="96">
      <c r="A96" t="n">
        <v>1000544</v>
      </c>
      <c r="B96" t="n">
        <v>1</v>
      </c>
      <c r="C96" t="n">
        <v>544</v>
      </c>
      <c r="D96" t="n">
        <v>-0.3521</v>
      </c>
      <c r="E96" t="n">
        <v>4.3789</v>
      </c>
      <c r="F96" t="n">
        <v>0.08627</v>
      </c>
    </row>
    <row r="97">
      <c r="A97" t="n">
        <v>1000545</v>
      </c>
      <c r="B97" t="n">
        <v>1</v>
      </c>
      <c r="C97" t="n">
        <v>545</v>
      </c>
      <c r="D97" t="n">
        <v>-0.3521</v>
      </c>
      <c r="E97" t="n">
        <v>4.4066</v>
      </c>
      <c r="F97" t="n">
        <v>0.08620999999999999</v>
      </c>
    </row>
    <row r="98">
      <c r="A98" t="n">
        <v>1000546</v>
      </c>
      <c r="B98" t="n">
        <v>1</v>
      </c>
      <c r="C98" t="n">
        <v>546</v>
      </c>
      <c r="D98" t="n">
        <v>-0.3521</v>
      </c>
      <c r="E98" t="n">
        <v>4.4344</v>
      </c>
      <c r="F98" t="n">
        <v>0.08615</v>
      </c>
    </row>
    <row r="99">
      <c r="A99" t="n">
        <v>1000547</v>
      </c>
      <c r="B99" t="n">
        <v>1</v>
      </c>
      <c r="C99" t="n">
        <v>547</v>
      </c>
      <c r="D99" t="n">
        <v>-0.3521</v>
      </c>
      <c r="E99" t="n">
        <v>4.4623</v>
      </c>
      <c r="F99" t="n">
        <v>0.0861</v>
      </c>
    </row>
    <row r="100">
      <c r="A100" t="n">
        <v>1000548</v>
      </c>
      <c r="B100" t="n">
        <v>1</v>
      </c>
      <c r="C100" t="n">
        <v>548</v>
      </c>
      <c r="D100" t="n">
        <v>-0.3521</v>
      </c>
      <c r="E100" t="n">
        <v>4.4903</v>
      </c>
      <c r="F100" t="n">
        <v>0.08604000000000001</v>
      </c>
    </row>
    <row r="101">
      <c r="A101" t="n">
        <v>1000549</v>
      </c>
      <c r="B101" t="n">
        <v>1</v>
      </c>
      <c r="C101" t="n">
        <v>549</v>
      </c>
      <c r="D101" t="n">
        <v>-0.3521</v>
      </c>
      <c r="E101" t="n">
        <v>4.5185</v>
      </c>
      <c r="F101" t="n">
        <v>0.08598</v>
      </c>
    </row>
    <row r="102">
      <c r="A102" t="n">
        <v>1000550</v>
      </c>
      <c r="B102" t="n">
        <v>1</v>
      </c>
      <c r="C102" t="n">
        <v>550</v>
      </c>
      <c r="D102" t="n">
        <v>-0.3521</v>
      </c>
      <c r="E102" t="n">
        <v>4.5467</v>
      </c>
      <c r="F102" t="n">
        <v>0.08592</v>
      </c>
    </row>
    <row r="103">
      <c r="A103" t="n">
        <v>1000551</v>
      </c>
      <c r="B103" t="n">
        <v>1</v>
      </c>
      <c r="C103" t="n">
        <v>551</v>
      </c>
      <c r="D103" t="n">
        <v>-0.3521</v>
      </c>
      <c r="E103" t="n">
        <v>4.575</v>
      </c>
      <c r="F103" t="n">
        <v>0.08586000000000001</v>
      </c>
    </row>
    <row r="104">
      <c r="A104" t="n">
        <v>1000552</v>
      </c>
      <c r="B104" t="n">
        <v>1</v>
      </c>
      <c r="C104" t="n">
        <v>552</v>
      </c>
      <c r="D104" t="n">
        <v>-0.3521</v>
      </c>
      <c r="E104" t="n">
        <v>4.6034</v>
      </c>
      <c r="F104" t="n">
        <v>0.0858</v>
      </c>
    </row>
    <row r="105">
      <c r="A105" t="n">
        <v>1000553</v>
      </c>
      <c r="B105" t="n">
        <v>1</v>
      </c>
      <c r="C105" t="n">
        <v>553</v>
      </c>
      <c r="D105" t="n">
        <v>-0.3521</v>
      </c>
      <c r="E105" t="n">
        <v>4.6319</v>
      </c>
      <c r="F105" t="n">
        <v>0.08575000000000001</v>
      </c>
    </row>
    <row r="106">
      <c r="A106" t="n">
        <v>1000554</v>
      </c>
      <c r="B106" t="n">
        <v>1</v>
      </c>
      <c r="C106" t="n">
        <v>554</v>
      </c>
      <c r="D106" t="n">
        <v>-0.3521</v>
      </c>
      <c r="E106" t="n">
        <v>4.6605</v>
      </c>
      <c r="F106" t="n">
        <v>0.08569</v>
      </c>
    </row>
    <row r="107">
      <c r="A107" t="n">
        <v>1000555</v>
      </c>
      <c r="B107" t="n">
        <v>1</v>
      </c>
      <c r="C107" t="n">
        <v>555</v>
      </c>
      <c r="D107" t="n">
        <v>-0.3521</v>
      </c>
      <c r="E107" t="n">
        <v>4.6892</v>
      </c>
      <c r="F107" t="n">
        <v>0.08563</v>
      </c>
    </row>
    <row r="108">
      <c r="A108" t="n">
        <v>1000556</v>
      </c>
      <c r="B108" t="n">
        <v>1</v>
      </c>
      <c r="C108" t="n">
        <v>556</v>
      </c>
      <c r="D108" t="n">
        <v>-0.3521</v>
      </c>
      <c r="E108" t="n">
        <v>4.718</v>
      </c>
      <c r="F108" t="n">
        <v>0.08558</v>
      </c>
    </row>
    <row r="109">
      <c r="A109" t="n">
        <v>1000557</v>
      </c>
      <c r="B109" t="n">
        <v>1</v>
      </c>
      <c r="C109" t="n">
        <v>557</v>
      </c>
      <c r="D109" t="n">
        <v>-0.3521</v>
      </c>
      <c r="E109" t="n">
        <v>4.7469</v>
      </c>
      <c r="F109" t="n">
        <v>0.08552</v>
      </c>
    </row>
    <row r="110">
      <c r="A110" t="n">
        <v>1000558</v>
      </c>
      <c r="B110" t="n">
        <v>1</v>
      </c>
      <c r="C110" t="n">
        <v>558</v>
      </c>
      <c r="D110" t="n">
        <v>-0.3521</v>
      </c>
      <c r="E110" t="n">
        <v>4.7758</v>
      </c>
      <c r="F110" t="n">
        <v>0.08545999999999999</v>
      </c>
    </row>
    <row r="111">
      <c r="A111" t="n">
        <v>1000559</v>
      </c>
      <c r="B111" t="n">
        <v>1</v>
      </c>
      <c r="C111" t="n">
        <v>559</v>
      </c>
      <c r="D111" t="n">
        <v>-0.3521</v>
      </c>
      <c r="E111" t="n">
        <v>4.8048</v>
      </c>
      <c r="F111" t="n">
        <v>0.08541</v>
      </c>
    </row>
    <row r="112">
      <c r="A112" t="n">
        <v>1000560</v>
      </c>
      <c r="B112" t="n">
        <v>1</v>
      </c>
      <c r="C112" t="n">
        <v>560</v>
      </c>
      <c r="D112" t="n">
        <v>-0.3521</v>
      </c>
      <c r="E112" t="n">
        <v>4.8338</v>
      </c>
      <c r="F112" t="n">
        <v>0.08535</v>
      </c>
    </row>
    <row r="113">
      <c r="A113" t="n">
        <v>1000561</v>
      </c>
      <c r="B113" t="n">
        <v>1</v>
      </c>
      <c r="C113" t="n">
        <v>561</v>
      </c>
      <c r="D113" t="n">
        <v>-0.3521</v>
      </c>
      <c r="E113" t="n">
        <v>4.8629</v>
      </c>
      <c r="F113" t="n">
        <v>0.08529</v>
      </c>
    </row>
    <row r="114">
      <c r="A114" t="n">
        <v>1000562</v>
      </c>
      <c r="B114" t="n">
        <v>1</v>
      </c>
      <c r="C114" t="n">
        <v>562</v>
      </c>
      <c r="D114" t="n">
        <v>-0.3521</v>
      </c>
      <c r="E114" t="n">
        <v>4.892</v>
      </c>
      <c r="F114" t="n">
        <v>0.08524</v>
      </c>
    </row>
    <row r="115">
      <c r="A115" t="n">
        <v>1000563</v>
      </c>
      <c r="B115" t="n">
        <v>1</v>
      </c>
      <c r="C115" t="n">
        <v>563</v>
      </c>
      <c r="D115" t="n">
        <v>-0.3521</v>
      </c>
      <c r="E115" t="n">
        <v>4.9212</v>
      </c>
      <c r="F115" t="n">
        <v>0.08518000000000001</v>
      </c>
    </row>
    <row r="116">
      <c r="A116" t="n">
        <v>1000564</v>
      </c>
      <c r="B116" t="n">
        <v>1</v>
      </c>
      <c r="C116" t="n">
        <v>564</v>
      </c>
      <c r="D116" t="n">
        <v>-0.3521</v>
      </c>
      <c r="E116" t="n">
        <v>4.9504</v>
      </c>
      <c r="F116" t="n">
        <v>0.08513</v>
      </c>
    </row>
    <row r="117">
      <c r="A117" t="n">
        <v>1000565</v>
      </c>
      <c r="B117" t="n">
        <v>1</v>
      </c>
      <c r="C117" t="n">
        <v>565</v>
      </c>
      <c r="D117" t="n">
        <v>-0.3521</v>
      </c>
      <c r="E117" t="n">
        <v>4.9796</v>
      </c>
      <c r="F117" t="n">
        <v>0.08507000000000001</v>
      </c>
    </row>
    <row r="118">
      <c r="A118" t="n">
        <v>1000566</v>
      </c>
      <c r="B118" t="n">
        <v>1</v>
      </c>
      <c r="C118" t="n">
        <v>566</v>
      </c>
      <c r="D118" t="n">
        <v>-0.3521</v>
      </c>
      <c r="E118" t="n">
        <v>5.0088</v>
      </c>
      <c r="F118" t="n">
        <v>0.08502</v>
      </c>
    </row>
    <row r="119">
      <c r="A119" t="n">
        <v>1000567</v>
      </c>
      <c r="B119" t="n">
        <v>1</v>
      </c>
      <c r="C119" t="n">
        <v>567</v>
      </c>
      <c r="D119" t="n">
        <v>-0.3521</v>
      </c>
      <c r="E119" t="n">
        <v>5.0381</v>
      </c>
      <c r="F119" t="n">
        <v>0.08497</v>
      </c>
    </row>
    <row r="120">
      <c r="A120" t="n">
        <v>1000568</v>
      </c>
      <c r="B120" t="n">
        <v>1</v>
      </c>
      <c r="C120" t="n">
        <v>568</v>
      </c>
      <c r="D120" t="n">
        <v>-0.3521</v>
      </c>
      <c r="E120" t="n">
        <v>5.0673</v>
      </c>
      <c r="F120" t="n">
        <v>0.08491</v>
      </c>
    </row>
    <row r="121">
      <c r="A121" t="n">
        <v>1000569</v>
      </c>
      <c r="B121" t="n">
        <v>1</v>
      </c>
      <c r="C121" t="n">
        <v>569</v>
      </c>
      <c r="D121" t="n">
        <v>-0.3521</v>
      </c>
      <c r="E121" t="n">
        <v>5.0966</v>
      </c>
      <c r="F121" t="n">
        <v>0.08486</v>
      </c>
    </row>
    <row r="122">
      <c r="A122" t="n">
        <v>1000570</v>
      </c>
      <c r="B122" t="n">
        <v>1</v>
      </c>
      <c r="C122" t="n">
        <v>570</v>
      </c>
      <c r="D122" t="n">
        <v>-0.3521</v>
      </c>
      <c r="E122" t="n">
        <v>5.1259</v>
      </c>
      <c r="F122" t="n">
        <v>0.08481</v>
      </c>
    </row>
    <row r="123">
      <c r="A123" t="n">
        <v>1000571</v>
      </c>
      <c r="B123" t="n">
        <v>1</v>
      </c>
      <c r="C123" t="n">
        <v>571</v>
      </c>
      <c r="D123" t="n">
        <v>-0.3521</v>
      </c>
      <c r="E123" t="n">
        <v>5.1551</v>
      </c>
      <c r="F123" t="n">
        <v>0.08475000000000001</v>
      </c>
    </row>
    <row r="124">
      <c r="A124" t="n">
        <v>1000572</v>
      </c>
      <c r="B124" t="n">
        <v>1</v>
      </c>
      <c r="C124" t="n">
        <v>572</v>
      </c>
      <c r="D124" t="n">
        <v>-0.3521</v>
      </c>
      <c r="E124" t="n">
        <v>5.1844</v>
      </c>
      <c r="F124" t="n">
        <v>0.0847</v>
      </c>
    </row>
    <row r="125">
      <c r="A125" t="n">
        <v>1000573</v>
      </c>
      <c r="B125" t="n">
        <v>1</v>
      </c>
      <c r="C125" t="n">
        <v>573</v>
      </c>
      <c r="D125" t="n">
        <v>-0.3521</v>
      </c>
      <c r="E125" t="n">
        <v>5.2137</v>
      </c>
      <c r="F125" t="n">
        <v>0.08465</v>
      </c>
    </row>
    <row r="126">
      <c r="A126" t="n">
        <v>1000574</v>
      </c>
      <c r="B126" t="n">
        <v>1</v>
      </c>
      <c r="C126" t="n">
        <v>574</v>
      </c>
      <c r="D126" t="n">
        <v>-0.3521</v>
      </c>
      <c r="E126" t="n">
        <v>5.2429</v>
      </c>
      <c r="F126" t="n">
        <v>0.08459999999999999</v>
      </c>
    </row>
    <row r="127">
      <c r="A127" t="n">
        <v>1000575</v>
      </c>
      <c r="B127" t="n">
        <v>1</v>
      </c>
      <c r="C127" t="n">
        <v>575</v>
      </c>
      <c r="D127" t="n">
        <v>-0.3521</v>
      </c>
      <c r="E127" t="n">
        <v>5.2721</v>
      </c>
      <c r="F127" t="n">
        <v>0.08455</v>
      </c>
    </row>
    <row r="128">
      <c r="A128" t="n">
        <v>1000576</v>
      </c>
      <c r="B128" t="n">
        <v>1</v>
      </c>
      <c r="C128" t="n">
        <v>576</v>
      </c>
      <c r="D128" t="n">
        <v>-0.3521</v>
      </c>
      <c r="E128" t="n">
        <v>5.3014</v>
      </c>
      <c r="F128" t="n">
        <v>0.08449</v>
      </c>
    </row>
    <row r="129">
      <c r="A129" t="n">
        <v>1000577</v>
      </c>
      <c r="B129" t="n">
        <v>1</v>
      </c>
      <c r="C129" t="n">
        <v>577</v>
      </c>
      <c r="D129" t="n">
        <v>-0.3521</v>
      </c>
      <c r="E129" t="n">
        <v>5.3306</v>
      </c>
      <c r="F129" t="n">
        <v>0.08444</v>
      </c>
    </row>
    <row r="130">
      <c r="A130" t="n">
        <v>1000578</v>
      </c>
      <c r="B130" t="n">
        <v>1</v>
      </c>
      <c r="C130" t="n">
        <v>578</v>
      </c>
      <c r="D130" t="n">
        <v>-0.3521</v>
      </c>
      <c r="E130" t="n">
        <v>5.3598</v>
      </c>
      <c r="F130" t="n">
        <v>0.08439000000000001</v>
      </c>
    </row>
    <row r="131">
      <c r="A131" t="n">
        <v>1000579</v>
      </c>
      <c r="B131" t="n">
        <v>1</v>
      </c>
      <c r="C131" t="n">
        <v>579</v>
      </c>
      <c r="D131" t="n">
        <v>-0.3521</v>
      </c>
      <c r="E131" t="n">
        <v>5.3889</v>
      </c>
      <c r="F131" t="n">
        <v>0.08434</v>
      </c>
    </row>
    <row r="132">
      <c r="A132" t="n">
        <v>1000580</v>
      </c>
      <c r="B132" t="n">
        <v>1</v>
      </c>
      <c r="C132" t="n">
        <v>580</v>
      </c>
      <c r="D132" t="n">
        <v>-0.3521</v>
      </c>
      <c r="E132" t="n">
        <v>5.418</v>
      </c>
      <c r="F132" t="n">
        <v>0.0843</v>
      </c>
    </row>
    <row r="133">
      <c r="A133" t="n">
        <v>1000581</v>
      </c>
      <c r="B133" t="n">
        <v>1</v>
      </c>
      <c r="C133" t="n">
        <v>581</v>
      </c>
      <c r="D133" t="n">
        <v>-0.3521</v>
      </c>
      <c r="E133" t="n">
        <v>5.4471</v>
      </c>
      <c r="F133" t="n">
        <v>0.08425000000000001</v>
      </c>
    </row>
    <row r="134">
      <c r="A134" t="n">
        <v>1000582</v>
      </c>
      <c r="B134" t="n">
        <v>1</v>
      </c>
      <c r="C134" t="n">
        <v>582</v>
      </c>
      <c r="D134" t="n">
        <v>-0.3521</v>
      </c>
      <c r="E134" t="n">
        <v>5.4762</v>
      </c>
      <c r="F134" t="n">
        <v>0.0842</v>
      </c>
    </row>
    <row r="135">
      <c r="A135" t="n">
        <v>1000583</v>
      </c>
      <c r="B135" t="n">
        <v>1</v>
      </c>
      <c r="C135" t="n">
        <v>583</v>
      </c>
      <c r="D135" t="n">
        <v>-0.3521</v>
      </c>
      <c r="E135" t="n">
        <v>5.5053</v>
      </c>
      <c r="F135" t="n">
        <v>0.08415</v>
      </c>
    </row>
    <row r="136">
      <c r="A136" t="n">
        <v>1000584</v>
      </c>
      <c r="B136" t="n">
        <v>1</v>
      </c>
      <c r="C136" t="n">
        <v>584</v>
      </c>
      <c r="D136" t="n">
        <v>-0.3521</v>
      </c>
      <c r="E136" t="n">
        <v>5.5343</v>
      </c>
      <c r="F136" t="n">
        <v>0.08409999999999999</v>
      </c>
    </row>
    <row r="137">
      <c r="A137" t="n">
        <v>1000585</v>
      </c>
      <c r="B137" t="n">
        <v>1</v>
      </c>
      <c r="C137" t="n">
        <v>585</v>
      </c>
      <c r="D137" t="n">
        <v>-0.3521</v>
      </c>
      <c r="E137" t="n">
        <v>5.5632</v>
      </c>
      <c r="F137" t="n">
        <v>0.08406</v>
      </c>
    </row>
    <row r="138">
      <c r="A138" t="n">
        <v>1000586</v>
      </c>
      <c r="B138" t="n">
        <v>1</v>
      </c>
      <c r="C138" t="n">
        <v>586</v>
      </c>
      <c r="D138" t="n">
        <v>-0.3521</v>
      </c>
      <c r="E138" t="n">
        <v>5.5922</v>
      </c>
      <c r="F138" t="n">
        <v>0.08401</v>
      </c>
    </row>
    <row r="139">
      <c r="A139" t="n">
        <v>1000587</v>
      </c>
      <c r="B139" t="n">
        <v>1</v>
      </c>
      <c r="C139" t="n">
        <v>587</v>
      </c>
      <c r="D139" t="n">
        <v>-0.3521</v>
      </c>
      <c r="E139" t="n">
        <v>5.621</v>
      </c>
      <c r="F139" t="n">
        <v>0.08397</v>
      </c>
    </row>
    <row r="140">
      <c r="A140" t="n">
        <v>1000588</v>
      </c>
      <c r="B140" t="n">
        <v>1</v>
      </c>
      <c r="C140" t="n">
        <v>588</v>
      </c>
      <c r="D140" t="n">
        <v>-0.3521</v>
      </c>
      <c r="E140" t="n">
        <v>5.6499</v>
      </c>
      <c r="F140" t="n">
        <v>0.08391999999999999</v>
      </c>
    </row>
    <row r="141">
      <c r="A141" t="n">
        <v>1000589</v>
      </c>
      <c r="B141" t="n">
        <v>1</v>
      </c>
      <c r="C141" t="n">
        <v>589</v>
      </c>
      <c r="D141" t="n">
        <v>-0.3521</v>
      </c>
      <c r="E141" t="n">
        <v>5.6787</v>
      </c>
      <c r="F141" t="n">
        <v>0.08388</v>
      </c>
    </row>
    <row r="142">
      <c r="A142" t="n">
        <v>1000590</v>
      </c>
      <c r="B142" t="n">
        <v>1</v>
      </c>
      <c r="C142" t="n">
        <v>590</v>
      </c>
      <c r="D142" t="n">
        <v>-0.3521</v>
      </c>
      <c r="E142" t="n">
        <v>5.7074</v>
      </c>
      <c r="F142" t="n">
        <v>0.08383</v>
      </c>
    </row>
    <row r="143">
      <c r="A143" t="n">
        <v>1000591</v>
      </c>
      <c r="B143" t="n">
        <v>1</v>
      </c>
      <c r="C143" t="n">
        <v>591</v>
      </c>
      <c r="D143" t="n">
        <v>-0.3521</v>
      </c>
      <c r="E143" t="n">
        <v>5.7361</v>
      </c>
      <c r="F143" t="n">
        <v>0.08379</v>
      </c>
    </row>
    <row r="144">
      <c r="A144" t="n">
        <v>1000592</v>
      </c>
      <c r="B144" t="n">
        <v>1</v>
      </c>
      <c r="C144" t="n">
        <v>592</v>
      </c>
      <c r="D144" t="n">
        <v>-0.3521</v>
      </c>
      <c r="E144" t="n">
        <v>5.7647</v>
      </c>
      <c r="F144" t="n">
        <v>0.08375</v>
      </c>
    </row>
    <row r="145">
      <c r="A145" t="n">
        <v>1000593</v>
      </c>
      <c r="B145" t="n">
        <v>1</v>
      </c>
      <c r="C145" t="n">
        <v>593</v>
      </c>
      <c r="D145" t="n">
        <v>-0.3521</v>
      </c>
      <c r="E145" t="n">
        <v>5.7933</v>
      </c>
      <c r="F145" t="n">
        <v>0.0837</v>
      </c>
    </row>
    <row r="146">
      <c r="A146" t="n">
        <v>1000594</v>
      </c>
      <c r="B146" t="n">
        <v>1</v>
      </c>
      <c r="C146" t="n">
        <v>594</v>
      </c>
      <c r="D146" t="n">
        <v>-0.3521</v>
      </c>
      <c r="E146" t="n">
        <v>5.8217</v>
      </c>
      <c r="F146" t="n">
        <v>0.08366</v>
      </c>
    </row>
    <row r="147">
      <c r="A147" t="n">
        <v>1000595</v>
      </c>
      <c r="B147" t="n">
        <v>1</v>
      </c>
      <c r="C147" t="n">
        <v>595</v>
      </c>
      <c r="D147" t="n">
        <v>-0.3521</v>
      </c>
      <c r="E147" t="n">
        <v>5.8501</v>
      </c>
      <c r="F147" t="n">
        <v>0.08362</v>
      </c>
    </row>
    <row r="148">
      <c r="A148" t="n">
        <v>1000596</v>
      </c>
      <c r="B148" t="n">
        <v>1</v>
      </c>
      <c r="C148" t="n">
        <v>596</v>
      </c>
      <c r="D148" t="n">
        <v>-0.3521</v>
      </c>
      <c r="E148" t="n">
        <v>5.8784</v>
      </c>
      <c r="F148" t="n">
        <v>0.08358</v>
      </c>
    </row>
    <row r="149">
      <c r="A149" t="n">
        <v>1000597</v>
      </c>
      <c r="B149" t="n">
        <v>1</v>
      </c>
      <c r="C149" t="n">
        <v>597</v>
      </c>
      <c r="D149" t="n">
        <v>-0.3521</v>
      </c>
      <c r="E149" t="n">
        <v>5.9067</v>
      </c>
      <c r="F149" t="n">
        <v>0.08354</v>
      </c>
    </row>
    <row r="150">
      <c r="A150" t="n">
        <v>1000598</v>
      </c>
      <c r="B150" t="n">
        <v>1</v>
      </c>
      <c r="C150" t="n">
        <v>598</v>
      </c>
      <c r="D150" t="n">
        <v>-0.3521</v>
      </c>
      <c r="E150" t="n">
        <v>5.9348</v>
      </c>
      <c r="F150" t="n">
        <v>0.0835</v>
      </c>
    </row>
    <row r="151">
      <c r="A151" t="n">
        <v>1000599</v>
      </c>
      <c r="B151" t="n">
        <v>1</v>
      </c>
      <c r="C151" t="n">
        <v>599</v>
      </c>
      <c r="D151" t="n">
        <v>-0.3521</v>
      </c>
      <c r="E151" t="n">
        <v>5.9628</v>
      </c>
      <c r="F151" t="n">
        <v>0.08346000000000001</v>
      </c>
    </row>
    <row r="152">
      <c r="A152" t="n">
        <v>1000600</v>
      </c>
      <c r="B152" t="n">
        <v>1</v>
      </c>
      <c r="C152" t="n">
        <v>600</v>
      </c>
      <c r="D152" t="n">
        <v>-0.3521</v>
      </c>
      <c r="E152" t="n">
        <v>5.9907</v>
      </c>
      <c r="F152" t="n">
        <v>0.08341999999999999</v>
      </c>
    </row>
    <row r="153">
      <c r="A153" t="n">
        <v>1000601</v>
      </c>
      <c r="B153" t="n">
        <v>1</v>
      </c>
      <c r="C153" t="n">
        <v>601</v>
      </c>
      <c r="D153" t="n">
        <v>-0.3521</v>
      </c>
      <c r="E153" t="n">
        <v>6.0185</v>
      </c>
      <c r="F153" t="n">
        <v>0.08339000000000001</v>
      </c>
    </row>
    <row r="154">
      <c r="A154" t="n">
        <v>1000602</v>
      </c>
      <c r="B154" t="n">
        <v>1</v>
      </c>
      <c r="C154" t="n">
        <v>602</v>
      </c>
      <c r="D154" t="n">
        <v>-0.3521</v>
      </c>
      <c r="E154" t="n">
        <v>6.0461</v>
      </c>
      <c r="F154" t="n">
        <v>0.08334999999999999</v>
      </c>
    </row>
    <row r="155">
      <c r="A155" t="n">
        <v>1000603</v>
      </c>
      <c r="B155" t="n">
        <v>1</v>
      </c>
      <c r="C155" t="n">
        <v>603</v>
      </c>
      <c r="D155" t="n">
        <v>-0.3521</v>
      </c>
      <c r="E155" t="n">
        <v>6.0737</v>
      </c>
      <c r="F155" t="n">
        <v>0.08331</v>
      </c>
    </row>
    <row r="156">
      <c r="A156" t="n">
        <v>1000604</v>
      </c>
      <c r="B156" t="n">
        <v>1</v>
      </c>
      <c r="C156" t="n">
        <v>604</v>
      </c>
      <c r="D156" t="n">
        <v>-0.3521</v>
      </c>
      <c r="E156" t="n">
        <v>6.1011</v>
      </c>
      <c r="F156" t="n">
        <v>0.08328000000000001</v>
      </c>
    </row>
    <row r="157">
      <c r="A157" t="n">
        <v>1000605</v>
      </c>
      <c r="B157" t="n">
        <v>1</v>
      </c>
      <c r="C157" t="n">
        <v>605</v>
      </c>
      <c r="D157" t="n">
        <v>-0.3521</v>
      </c>
      <c r="E157" t="n">
        <v>6.1284</v>
      </c>
      <c r="F157" t="n">
        <v>0.08323999999999999</v>
      </c>
    </row>
    <row r="158">
      <c r="A158" t="n">
        <v>1000606</v>
      </c>
      <c r="B158" t="n">
        <v>1</v>
      </c>
      <c r="C158" t="n">
        <v>606</v>
      </c>
      <c r="D158" t="n">
        <v>-0.3521</v>
      </c>
      <c r="E158" t="n">
        <v>6.1556</v>
      </c>
      <c r="F158" t="n">
        <v>0.08321000000000001</v>
      </c>
    </row>
    <row r="159">
      <c r="A159" t="n">
        <v>1000607</v>
      </c>
      <c r="B159" t="n">
        <v>1</v>
      </c>
      <c r="C159" t="n">
        <v>607</v>
      </c>
      <c r="D159" t="n">
        <v>-0.3521</v>
      </c>
      <c r="E159" t="n">
        <v>6.1827</v>
      </c>
      <c r="F159" t="n">
        <v>0.08316999999999999</v>
      </c>
    </row>
    <row r="160">
      <c r="A160" t="n">
        <v>1000608</v>
      </c>
      <c r="B160" t="n">
        <v>1</v>
      </c>
      <c r="C160" t="n">
        <v>608</v>
      </c>
      <c r="D160" t="n">
        <v>-0.3521</v>
      </c>
      <c r="E160" t="n">
        <v>6.2096</v>
      </c>
      <c r="F160" t="n">
        <v>0.08314000000000001</v>
      </c>
    </row>
    <row r="161">
      <c r="A161" t="n">
        <v>1000609</v>
      </c>
      <c r="B161" t="n">
        <v>1</v>
      </c>
      <c r="C161" t="n">
        <v>609</v>
      </c>
      <c r="D161" t="n">
        <v>-0.3521</v>
      </c>
      <c r="E161" t="n">
        <v>6.2365</v>
      </c>
      <c r="F161" t="n">
        <v>0.08311</v>
      </c>
    </row>
    <row r="162">
      <c r="A162" t="n">
        <v>1000610</v>
      </c>
      <c r="B162" t="n">
        <v>1</v>
      </c>
      <c r="C162" t="n">
        <v>610</v>
      </c>
      <c r="D162" t="n">
        <v>-0.3521</v>
      </c>
      <c r="E162" t="n">
        <v>6.2632</v>
      </c>
      <c r="F162" t="n">
        <v>0.08308</v>
      </c>
    </row>
    <row r="163">
      <c r="A163" t="n">
        <v>1000611</v>
      </c>
      <c r="B163" t="n">
        <v>1</v>
      </c>
      <c r="C163" t="n">
        <v>611</v>
      </c>
      <c r="D163" t="n">
        <v>-0.3521</v>
      </c>
      <c r="E163" t="n">
        <v>6.2899</v>
      </c>
      <c r="F163" t="n">
        <v>0.08304</v>
      </c>
    </row>
    <row r="164">
      <c r="A164" t="n">
        <v>1000612</v>
      </c>
      <c r="B164" t="n">
        <v>1</v>
      </c>
      <c r="C164" t="n">
        <v>612</v>
      </c>
      <c r="D164" t="n">
        <v>-0.3521</v>
      </c>
      <c r="E164" t="n">
        <v>6.3164</v>
      </c>
      <c r="F164" t="n">
        <v>0.08301</v>
      </c>
    </row>
    <row r="165">
      <c r="A165" t="n">
        <v>1000613</v>
      </c>
      <c r="B165" t="n">
        <v>1</v>
      </c>
      <c r="C165" t="n">
        <v>613</v>
      </c>
      <c r="D165" t="n">
        <v>-0.3521</v>
      </c>
      <c r="E165" t="n">
        <v>6.3428</v>
      </c>
      <c r="F165" t="n">
        <v>0.08298</v>
      </c>
    </row>
    <row r="166">
      <c r="A166" t="n">
        <v>1000614</v>
      </c>
      <c r="B166" t="n">
        <v>1</v>
      </c>
      <c r="C166" t="n">
        <v>614</v>
      </c>
      <c r="D166" t="n">
        <v>-0.3521</v>
      </c>
      <c r="E166" t="n">
        <v>6.3692</v>
      </c>
      <c r="F166" t="n">
        <v>0.08295</v>
      </c>
    </row>
    <row r="167">
      <c r="A167" t="n">
        <v>1000615</v>
      </c>
      <c r="B167" t="n">
        <v>1</v>
      </c>
      <c r="C167" t="n">
        <v>615</v>
      </c>
      <c r="D167" t="n">
        <v>-0.3521</v>
      </c>
      <c r="E167" t="n">
        <v>6.3954</v>
      </c>
      <c r="F167" t="n">
        <v>0.08291999999999999</v>
      </c>
    </row>
    <row r="168">
      <c r="A168" t="n">
        <v>1000616</v>
      </c>
      <c r="B168" t="n">
        <v>1</v>
      </c>
      <c r="C168" t="n">
        <v>616</v>
      </c>
      <c r="D168" t="n">
        <v>-0.3521</v>
      </c>
      <c r="E168" t="n">
        <v>6.4215</v>
      </c>
      <c r="F168" t="n">
        <v>0.0829</v>
      </c>
    </row>
    <row r="169">
      <c r="A169" t="n">
        <v>1000617</v>
      </c>
      <c r="B169" t="n">
        <v>1</v>
      </c>
      <c r="C169" t="n">
        <v>617</v>
      </c>
      <c r="D169" t="n">
        <v>-0.3521</v>
      </c>
      <c r="E169" t="n">
        <v>6.4475</v>
      </c>
      <c r="F169" t="n">
        <v>0.08287</v>
      </c>
    </row>
    <row r="170">
      <c r="A170" t="n">
        <v>1000618</v>
      </c>
      <c r="B170" t="n">
        <v>1</v>
      </c>
      <c r="C170" t="n">
        <v>618</v>
      </c>
      <c r="D170" t="n">
        <v>-0.3521</v>
      </c>
      <c r="E170" t="n">
        <v>6.4735</v>
      </c>
      <c r="F170" t="n">
        <v>0.08284</v>
      </c>
    </row>
    <row r="171">
      <c r="A171" t="n">
        <v>1000619</v>
      </c>
      <c r="B171" t="n">
        <v>1</v>
      </c>
      <c r="C171" t="n">
        <v>619</v>
      </c>
      <c r="D171" t="n">
        <v>-0.3521</v>
      </c>
      <c r="E171" t="n">
        <v>6.4993</v>
      </c>
      <c r="F171" t="n">
        <v>0.08280999999999999</v>
      </c>
    </row>
    <row r="172">
      <c r="A172" t="n">
        <v>1000620</v>
      </c>
      <c r="B172" t="n">
        <v>1</v>
      </c>
      <c r="C172" t="n">
        <v>620</v>
      </c>
      <c r="D172" t="n">
        <v>-0.3521</v>
      </c>
      <c r="E172" t="n">
        <v>6.5251</v>
      </c>
      <c r="F172" t="n">
        <v>0.08279</v>
      </c>
    </row>
    <row r="173">
      <c r="A173" t="n">
        <v>1000621</v>
      </c>
      <c r="B173" t="n">
        <v>1</v>
      </c>
      <c r="C173" t="n">
        <v>621</v>
      </c>
      <c r="D173" t="n">
        <v>-0.3521</v>
      </c>
      <c r="E173" t="n">
        <v>6.5508</v>
      </c>
      <c r="F173" t="n">
        <v>0.08276</v>
      </c>
    </row>
    <row r="174">
      <c r="A174" t="n">
        <v>1000622</v>
      </c>
      <c r="B174" t="n">
        <v>1</v>
      </c>
      <c r="C174" t="n">
        <v>622</v>
      </c>
      <c r="D174" t="n">
        <v>-0.3521</v>
      </c>
      <c r="E174" t="n">
        <v>6.5764</v>
      </c>
      <c r="F174" t="n">
        <v>0.08273</v>
      </c>
    </row>
    <row r="175">
      <c r="A175" t="n">
        <v>1000623</v>
      </c>
      <c r="B175" t="n">
        <v>1</v>
      </c>
      <c r="C175" t="n">
        <v>623</v>
      </c>
      <c r="D175" t="n">
        <v>-0.3521</v>
      </c>
      <c r="E175" t="n">
        <v>6.6019</v>
      </c>
      <c r="F175" t="n">
        <v>0.08271000000000001</v>
      </c>
    </row>
    <row r="176">
      <c r="A176" t="n">
        <v>1000624</v>
      </c>
      <c r="B176" t="n">
        <v>1</v>
      </c>
      <c r="C176" t="n">
        <v>624</v>
      </c>
      <c r="D176" t="n">
        <v>-0.3521</v>
      </c>
      <c r="E176" t="n">
        <v>6.6273</v>
      </c>
      <c r="F176" t="n">
        <v>0.08268</v>
      </c>
    </row>
    <row r="177">
      <c r="A177" t="n">
        <v>1000625</v>
      </c>
      <c r="B177" t="n">
        <v>1</v>
      </c>
      <c r="C177" t="n">
        <v>625</v>
      </c>
      <c r="D177" t="n">
        <v>-0.3521</v>
      </c>
      <c r="E177" t="n">
        <v>6.6527</v>
      </c>
      <c r="F177" t="n">
        <v>0.08266</v>
      </c>
    </row>
    <row r="178">
      <c r="A178" t="n">
        <v>1000626</v>
      </c>
      <c r="B178" t="n">
        <v>1</v>
      </c>
      <c r="C178" t="n">
        <v>626</v>
      </c>
      <c r="D178" t="n">
        <v>-0.3521</v>
      </c>
      <c r="E178" t="n">
        <v>6.678</v>
      </c>
      <c r="F178" t="n">
        <v>0.08264000000000001</v>
      </c>
    </row>
    <row r="179">
      <c r="A179" t="n">
        <v>1000627</v>
      </c>
      <c r="B179" t="n">
        <v>1</v>
      </c>
      <c r="C179" t="n">
        <v>627</v>
      </c>
      <c r="D179" t="n">
        <v>-0.3521</v>
      </c>
      <c r="E179" t="n">
        <v>6.7033</v>
      </c>
      <c r="F179" t="n">
        <v>0.08261</v>
      </c>
    </row>
    <row r="180">
      <c r="A180" t="n">
        <v>1000628</v>
      </c>
      <c r="B180" t="n">
        <v>1</v>
      </c>
      <c r="C180" t="n">
        <v>628</v>
      </c>
      <c r="D180" t="n">
        <v>-0.3521</v>
      </c>
      <c r="E180" t="n">
        <v>6.7284</v>
      </c>
      <c r="F180" t="n">
        <v>0.08259</v>
      </c>
    </row>
    <row r="181">
      <c r="A181" t="n">
        <v>1000629</v>
      </c>
      <c r="B181" t="n">
        <v>1</v>
      </c>
      <c r="C181" t="n">
        <v>629</v>
      </c>
      <c r="D181" t="n">
        <v>-0.3521</v>
      </c>
      <c r="E181" t="n">
        <v>6.7535</v>
      </c>
      <c r="F181" t="n">
        <v>0.08257</v>
      </c>
    </row>
    <row r="182">
      <c r="A182" t="n">
        <v>1000630</v>
      </c>
      <c r="B182" t="n">
        <v>1</v>
      </c>
      <c r="C182" t="n">
        <v>630</v>
      </c>
      <c r="D182" t="n">
        <v>-0.3521</v>
      </c>
      <c r="E182" t="n">
        <v>6.7786</v>
      </c>
      <c r="F182" t="n">
        <v>0.08255</v>
      </c>
    </row>
    <row r="183">
      <c r="A183" t="n">
        <v>1000631</v>
      </c>
      <c r="B183" t="n">
        <v>1</v>
      </c>
      <c r="C183" t="n">
        <v>631</v>
      </c>
      <c r="D183" t="n">
        <v>-0.3521</v>
      </c>
      <c r="E183" t="n">
        <v>6.8035</v>
      </c>
      <c r="F183" t="n">
        <v>0.08253000000000001</v>
      </c>
    </row>
    <row r="184">
      <c r="A184" t="n">
        <v>1000632</v>
      </c>
      <c r="B184" t="n">
        <v>1</v>
      </c>
      <c r="C184" t="n">
        <v>632</v>
      </c>
      <c r="D184" t="n">
        <v>-0.3521</v>
      </c>
      <c r="E184" t="n">
        <v>6.8285</v>
      </c>
      <c r="F184" t="n">
        <v>0.08251</v>
      </c>
    </row>
    <row r="185">
      <c r="A185" t="n">
        <v>1000633</v>
      </c>
      <c r="B185" t="n">
        <v>1</v>
      </c>
      <c r="C185" t="n">
        <v>633</v>
      </c>
      <c r="D185" t="n">
        <v>-0.3521</v>
      </c>
      <c r="E185" t="n">
        <v>6.8533</v>
      </c>
      <c r="F185" t="n">
        <v>0.08248999999999999</v>
      </c>
    </row>
    <row r="186">
      <c r="A186" t="n">
        <v>1000634</v>
      </c>
      <c r="B186" t="n">
        <v>1</v>
      </c>
      <c r="C186" t="n">
        <v>634</v>
      </c>
      <c r="D186" t="n">
        <v>-0.3521</v>
      </c>
      <c r="E186" t="n">
        <v>6.8781</v>
      </c>
      <c r="F186" t="n">
        <v>0.08247</v>
      </c>
    </row>
    <row r="187">
      <c r="A187" t="n">
        <v>1000635</v>
      </c>
      <c r="B187" t="n">
        <v>1</v>
      </c>
      <c r="C187" t="n">
        <v>635</v>
      </c>
      <c r="D187" t="n">
        <v>-0.3521</v>
      </c>
      <c r="E187" t="n">
        <v>6.9028</v>
      </c>
      <c r="F187" t="n">
        <v>0.08245</v>
      </c>
    </row>
    <row r="188">
      <c r="A188" t="n">
        <v>1000636</v>
      </c>
      <c r="B188" t="n">
        <v>1</v>
      </c>
      <c r="C188" t="n">
        <v>636</v>
      </c>
      <c r="D188" t="n">
        <v>-0.3521</v>
      </c>
      <c r="E188" t="n">
        <v>6.9275</v>
      </c>
      <c r="F188" t="n">
        <v>0.08243</v>
      </c>
    </row>
    <row r="189">
      <c r="A189" t="n">
        <v>1000637</v>
      </c>
      <c r="B189" t="n">
        <v>1</v>
      </c>
      <c r="C189" t="n">
        <v>637</v>
      </c>
      <c r="D189" t="n">
        <v>-0.3521</v>
      </c>
      <c r="E189" t="n">
        <v>6.9521</v>
      </c>
      <c r="F189" t="n">
        <v>0.08241</v>
      </c>
    </row>
    <row r="190">
      <c r="A190" t="n">
        <v>1000638</v>
      </c>
      <c r="B190" t="n">
        <v>1</v>
      </c>
      <c r="C190" t="n">
        <v>638</v>
      </c>
      <c r="D190" t="n">
        <v>-0.3521</v>
      </c>
      <c r="E190" t="n">
        <v>6.9766</v>
      </c>
      <c r="F190" t="n">
        <v>0.0824</v>
      </c>
    </row>
    <row r="191">
      <c r="A191" t="n">
        <v>1000639</v>
      </c>
      <c r="B191" t="n">
        <v>1</v>
      </c>
      <c r="C191" t="n">
        <v>639</v>
      </c>
      <c r="D191" t="n">
        <v>-0.3521</v>
      </c>
      <c r="E191" t="n">
        <v>7.0011</v>
      </c>
      <c r="F191" t="n">
        <v>0.08237999999999999</v>
      </c>
    </row>
    <row r="192">
      <c r="A192" t="n">
        <v>1000640</v>
      </c>
      <c r="B192" t="n">
        <v>1</v>
      </c>
      <c r="C192" t="n">
        <v>640</v>
      </c>
      <c r="D192" t="n">
        <v>-0.3521</v>
      </c>
      <c r="E192" t="n">
        <v>7.0255</v>
      </c>
      <c r="F192" t="n">
        <v>0.08236</v>
      </c>
    </row>
    <row r="193">
      <c r="A193" t="n">
        <v>1000641</v>
      </c>
      <c r="B193" t="n">
        <v>1</v>
      </c>
      <c r="C193" t="n">
        <v>641</v>
      </c>
      <c r="D193" t="n">
        <v>-0.3521</v>
      </c>
      <c r="E193" t="n">
        <v>7.0499</v>
      </c>
      <c r="F193" t="n">
        <v>0.08235000000000001</v>
      </c>
    </row>
    <row r="194">
      <c r="A194" t="n">
        <v>1000642</v>
      </c>
      <c r="B194" t="n">
        <v>1</v>
      </c>
      <c r="C194" t="n">
        <v>642</v>
      </c>
      <c r="D194" t="n">
        <v>-0.3521</v>
      </c>
      <c r="E194" t="n">
        <v>7.0742</v>
      </c>
      <c r="F194" t="n">
        <v>0.08233</v>
      </c>
    </row>
    <row r="195">
      <c r="A195" t="n">
        <v>1000643</v>
      </c>
      <c r="B195" t="n">
        <v>1</v>
      </c>
      <c r="C195" t="n">
        <v>643</v>
      </c>
      <c r="D195" t="n">
        <v>-0.3521</v>
      </c>
      <c r="E195" t="n">
        <v>7.0984</v>
      </c>
      <c r="F195" t="n">
        <v>0.08232</v>
      </c>
    </row>
    <row r="196">
      <c r="A196" t="n">
        <v>1000644</v>
      </c>
      <c r="B196" t="n">
        <v>1</v>
      </c>
      <c r="C196" t="n">
        <v>644</v>
      </c>
      <c r="D196" t="n">
        <v>-0.3521</v>
      </c>
      <c r="E196" t="n">
        <v>7.1226</v>
      </c>
      <c r="F196" t="n">
        <v>0.0823</v>
      </c>
    </row>
    <row r="197">
      <c r="A197" t="n">
        <v>1000645</v>
      </c>
      <c r="B197" t="n">
        <v>1</v>
      </c>
      <c r="C197" t="n">
        <v>645</v>
      </c>
      <c r="D197" t="n">
        <v>-0.3521</v>
      </c>
      <c r="E197" t="n">
        <v>7.1467</v>
      </c>
      <c r="F197" t="n">
        <v>0.08229</v>
      </c>
    </row>
    <row r="198">
      <c r="A198" t="n">
        <v>1000646</v>
      </c>
      <c r="B198" t="n">
        <v>1</v>
      </c>
      <c r="C198" t="n">
        <v>646</v>
      </c>
      <c r="D198" t="n">
        <v>-0.3521</v>
      </c>
      <c r="E198" t="n">
        <v>7.1708</v>
      </c>
      <c r="F198" t="n">
        <v>0.08228000000000001</v>
      </c>
    </row>
    <row r="199">
      <c r="A199" t="n">
        <v>1000647</v>
      </c>
      <c r="B199" t="n">
        <v>1</v>
      </c>
      <c r="C199" t="n">
        <v>647</v>
      </c>
      <c r="D199" t="n">
        <v>-0.3521</v>
      </c>
      <c r="E199" t="n">
        <v>7.1948</v>
      </c>
      <c r="F199" t="n">
        <v>0.08227</v>
      </c>
    </row>
    <row r="200">
      <c r="A200" t="n">
        <v>1000648</v>
      </c>
      <c r="B200" t="n">
        <v>1</v>
      </c>
      <c r="C200" t="n">
        <v>648</v>
      </c>
      <c r="D200" t="n">
        <v>-0.3521</v>
      </c>
      <c r="E200" t="n">
        <v>7.2188</v>
      </c>
      <c r="F200" t="n">
        <v>0.08225</v>
      </c>
    </row>
    <row r="201">
      <c r="A201" t="n">
        <v>1000649</v>
      </c>
      <c r="B201" t="n">
        <v>1</v>
      </c>
      <c r="C201" t="n">
        <v>649</v>
      </c>
      <c r="D201" t="n">
        <v>-0.3521</v>
      </c>
      <c r="E201" t="n">
        <v>7.2427</v>
      </c>
      <c r="F201" t="n">
        <v>0.08223999999999999</v>
      </c>
    </row>
    <row r="202">
      <c r="A202" t="n">
        <v>1000650</v>
      </c>
      <c r="B202" t="n">
        <v>1</v>
      </c>
      <c r="C202" t="n">
        <v>650</v>
      </c>
      <c r="D202" t="n">
        <v>-0.3521</v>
      </c>
      <c r="E202" t="n">
        <v>7.2666</v>
      </c>
      <c r="F202" t="n">
        <v>0.08223</v>
      </c>
    </row>
    <row r="203">
      <c r="A203" t="n">
        <v>1000651</v>
      </c>
      <c r="B203" t="n">
        <v>1</v>
      </c>
      <c r="C203" t="n">
        <v>651</v>
      </c>
      <c r="D203" t="n">
        <v>-0.3521</v>
      </c>
      <c r="E203" t="n">
        <v>7.2905</v>
      </c>
      <c r="F203" t="n">
        <v>0.08222</v>
      </c>
    </row>
    <row r="204">
      <c r="A204" t="n">
        <v>1000652</v>
      </c>
      <c r="B204" t="n">
        <v>1</v>
      </c>
      <c r="C204" t="n">
        <v>652</v>
      </c>
      <c r="D204" t="n">
        <v>-0.3521</v>
      </c>
      <c r="E204" t="n">
        <v>7.3143</v>
      </c>
      <c r="F204" t="n">
        <v>0.08221000000000001</v>
      </c>
    </row>
    <row r="205">
      <c r="A205" t="n">
        <v>1000653</v>
      </c>
      <c r="B205" t="n">
        <v>1</v>
      </c>
      <c r="C205" t="n">
        <v>653</v>
      </c>
      <c r="D205" t="n">
        <v>-0.3521</v>
      </c>
      <c r="E205" t="n">
        <v>7.338</v>
      </c>
      <c r="F205" t="n">
        <v>0.0822</v>
      </c>
    </row>
    <row r="206">
      <c r="A206" t="n">
        <v>1000654</v>
      </c>
      <c r="B206" t="n">
        <v>1</v>
      </c>
      <c r="C206" t="n">
        <v>654</v>
      </c>
      <c r="D206" t="n">
        <v>-0.3521</v>
      </c>
      <c r="E206" t="n">
        <v>7.3617</v>
      </c>
      <c r="F206" t="n">
        <v>0.08219</v>
      </c>
    </row>
    <row r="207">
      <c r="A207" t="n">
        <v>1000655</v>
      </c>
      <c r="B207" t="n">
        <v>1</v>
      </c>
      <c r="C207" t="n">
        <v>655</v>
      </c>
      <c r="D207" t="n">
        <v>-0.3521</v>
      </c>
      <c r="E207" t="n">
        <v>7.3854</v>
      </c>
      <c r="F207" t="n">
        <v>0.08218</v>
      </c>
    </row>
    <row r="208">
      <c r="A208" t="n">
        <v>1000656</v>
      </c>
      <c r="B208" t="n">
        <v>1</v>
      </c>
      <c r="C208" t="n">
        <v>656</v>
      </c>
      <c r="D208" t="n">
        <v>-0.3521</v>
      </c>
      <c r="E208" t="n">
        <v>7.4091</v>
      </c>
      <c r="F208" t="n">
        <v>0.08218</v>
      </c>
    </row>
    <row r="209">
      <c r="A209" t="n">
        <v>1000657</v>
      </c>
      <c r="B209" t="n">
        <v>1</v>
      </c>
      <c r="C209" t="n">
        <v>657</v>
      </c>
      <c r="D209" t="n">
        <v>-0.3521</v>
      </c>
      <c r="E209" t="n">
        <v>7.4327</v>
      </c>
      <c r="F209" t="n">
        <v>0.08217000000000001</v>
      </c>
    </row>
    <row r="210">
      <c r="A210" t="n">
        <v>1000658</v>
      </c>
      <c r="B210" t="n">
        <v>1</v>
      </c>
      <c r="C210" t="n">
        <v>658</v>
      </c>
      <c r="D210" t="n">
        <v>-0.3521</v>
      </c>
      <c r="E210" t="n">
        <v>7.4563</v>
      </c>
      <c r="F210" t="n">
        <v>0.08216</v>
      </c>
    </row>
    <row r="211">
      <c r="A211" t="n">
        <v>1000659</v>
      </c>
      <c r="B211" t="n">
        <v>1</v>
      </c>
      <c r="C211" t="n">
        <v>659</v>
      </c>
      <c r="D211" t="n">
        <v>-0.3521</v>
      </c>
      <c r="E211" t="n">
        <v>7.4799</v>
      </c>
      <c r="F211" t="n">
        <v>0.08216</v>
      </c>
    </row>
    <row r="212">
      <c r="A212" t="n">
        <v>1000660</v>
      </c>
      <c r="B212" t="n">
        <v>1</v>
      </c>
      <c r="C212" t="n">
        <v>660</v>
      </c>
      <c r="D212" t="n">
        <v>-0.3521</v>
      </c>
      <c r="E212" t="n">
        <v>7.5034</v>
      </c>
      <c r="F212" t="n">
        <v>0.08215</v>
      </c>
    </row>
    <row r="213">
      <c r="A213" t="n">
        <v>1000661</v>
      </c>
      <c r="B213" t="n">
        <v>1</v>
      </c>
      <c r="C213" t="n">
        <v>661</v>
      </c>
      <c r="D213" t="n">
        <v>-0.3521</v>
      </c>
      <c r="E213" t="n">
        <v>7.5269</v>
      </c>
      <c r="F213" t="n">
        <v>0.08214</v>
      </c>
    </row>
    <row r="214">
      <c r="A214" t="n">
        <v>1000662</v>
      </c>
      <c r="B214" t="n">
        <v>1</v>
      </c>
      <c r="C214" t="n">
        <v>662</v>
      </c>
      <c r="D214" t="n">
        <v>-0.3521</v>
      </c>
      <c r="E214" t="n">
        <v>7.5504</v>
      </c>
      <c r="F214" t="n">
        <v>0.08214</v>
      </c>
    </row>
    <row r="215">
      <c r="A215" t="n">
        <v>1000663</v>
      </c>
      <c r="B215" t="n">
        <v>1</v>
      </c>
      <c r="C215" t="n">
        <v>663</v>
      </c>
      <c r="D215" t="n">
        <v>-0.3521</v>
      </c>
      <c r="E215" t="n">
        <v>7.5738</v>
      </c>
      <c r="F215" t="n">
        <v>0.08214</v>
      </c>
    </row>
    <row r="216">
      <c r="A216" t="n">
        <v>1000664</v>
      </c>
      <c r="B216" t="n">
        <v>1</v>
      </c>
      <c r="C216" t="n">
        <v>664</v>
      </c>
      <c r="D216" t="n">
        <v>-0.3521</v>
      </c>
      <c r="E216" t="n">
        <v>7.5973</v>
      </c>
      <c r="F216" t="n">
        <v>0.08212999999999999</v>
      </c>
    </row>
    <row r="217">
      <c r="A217" t="n">
        <v>1000665</v>
      </c>
      <c r="B217" t="n">
        <v>1</v>
      </c>
      <c r="C217" t="n">
        <v>665</v>
      </c>
      <c r="D217" t="n">
        <v>-0.3521</v>
      </c>
      <c r="E217" t="n">
        <v>7.6206</v>
      </c>
      <c r="F217" t="n">
        <v>0.08212999999999999</v>
      </c>
    </row>
    <row r="218">
      <c r="A218" t="n">
        <v>1000666</v>
      </c>
      <c r="B218" t="n">
        <v>1</v>
      </c>
      <c r="C218" t="n">
        <v>666</v>
      </c>
      <c r="D218" t="n">
        <v>-0.3521</v>
      </c>
      <c r="E218" t="n">
        <v>7.644</v>
      </c>
      <c r="F218" t="n">
        <v>0.08212999999999999</v>
      </c>
    </row>
    <row r="219">
      <c r="A219" t="n">
        <v>1000667</v>
      </c>
      <c r="B219" t="n">
        <v>1</v>
      </c>
      <c r="C219" t="n">
        <v>667</v>
      </c>
      <c r="D219" t="n">
        <v>-0.3521</v>
      </c>
      <c r="E219" t="n">
        <v>7.6673</v>
      </c>
      <c r="F219" t="n">
        <v>0.08212</v>
      </c>
    </row>
    <row r="220">
      <c r="A220" t="n">
        <v>1000668</v>
      </c>
      <c r="B220" t="n">
        <v>1</v>
      </c>
      <c r="C220" t="n">
        <v>668</v>
      </c>
      <c r="D220" t="n">
        <v>-0.3521</v>
      </c>
      <c r="E220" t="n">
        <v>7.6906</v>
      </c>
      <c r="F220" t="n">
        <v>0.08212</v>
      </c>
    </row>
    <row r="221">
      <c r="A221" t="n">
        <v>1000669</v>
      </c>
      <c r="B221" t="n">
        <v>1</v>
      </c>
      <c r="C221" t="n">
        <v>669</v>
      </c>
      <c r="D221" t="n">
        <v>-0.3521</v>
      </c>
      <c r="E221" t="n">
        <v>7.7138</v>
      </c>
      <c r="F221" t="n">
        <v>0.08212</v>
      </c>
    </row>
    <row r="222">
      <c r="A222" t="n">
        <v>1000670</v>
      </c>
      <c r="B222" t="n">
        <v>1</v>
      </c>
      <c r="C222" t="n">
        <v>670</v>
      </c>
      <c r="D222" t="n">
        <v>-0.3521</v>
      </c>
      <c r="E222" t="n">
        <v>7.737</v>
      </c>
      <c r="F222" t="n">
        <v>0.08212</v>
      </c>
    </row>
    <row r="223">
      <c r="A223" t="n">
        <v>1000671</v>
      </c>
      <c r="B223" t="n">
        <v>1</v>
      </c>
      <c r="C223" t="n">
        <v>671</v>
      </c>
      <c r="D223" t="n">
        <v>-0.3521</v>
      </c>
      <c r="E223" t="n">
        <v>7.7602</v>
      </c>
      <c r="F223" t="n">
        <v>0.08212</v>
      </c>
    </row>
    <row r="224">
      <c r="A224" t="n">
        <v>1000672</v>
      </c>
      <c r="B224" t="n">
        <v>1</v>
      </c>
      <c r="C224" t="n">
        <v>672</v>
      </c>
      <c r="D224" t="n">
        <v>-0.3521</v>
      </c>
      <c r="E224" t="n">
        <v>7.7834</v>
      </c>
      <c r="F224" t="n">
        <v>0.08212</v>
      </c>
    </row>
    <row r="225">
      <c r="A225" t="n">
        <v>1000673</v>
      </c>
      <c r="B225" t="n">
        <v>1</v>
      </c>
      <c r="C225" t="n">
        <v>673</v>
      </c>
      <c r="D225" t="n">
        <v>-0.3521</v>
      </c>
      <c r="E225" t="n">
        <v>7.8065</v>
      </c>
      <c r="F225" t="n">
        <v>0.08212</v>
      </c>
    </row>
    <row r="226">
      <c r="A226" t="n">
        <v>1000674</v>
      </c>
      <c r="B226" t="n">
        <v>1</v>
      </c>
      <c r="C226" t="n">
        <v>674</v>
      </c>
      <c r="D226" t="n">
        <v>-0.3521</v>
      </c>
      <c r="E226" t="n">
        <v>7.8296</v>
      </c>
      <c r="F226" t="n">
        <v>0.08212</v>
      </c>
    </row>
    <row r="227">
      <c r="A227" t="n">
        <v>1000675</v>
      </c>
      <c r="B227" t="n">
        <v>1</v>
      </c>
      <c r="C227" t="n">
        <v>675</v>
      </c>
      <c r="D227" t="n">
        <v>-0.3521</v>
      </c>
      <c r="E227" t="n">
        <v>7.8526</v>
      </c>
      <c r="F227" t="n">
        <v>0.08212</v>
      </c>
    </row>
    <row r="228">
      <c r="A228" t="n">
        <v>1000676</v>
      </c>
      <c r="B228" t="n">
        <v>1</v>
      </c>
      <c r="C228" t="n">
        <v>676</v>
      </c>
      <c r="D228" t="n">
        <v>-0.3521</v>
      </c>
      <c r="E228" t="n">
        <v>7.8757</v>
      </c>
      <c r="F228" t="n">
        <v>0.08212</v>
      </c>
    </row>
    <row r="229">
      <c r="A229" t="n">
        <v>1000677</v>
      </c>
      <c r="B229" t="n">
        <v>1</v>
      </c>
      <c r="C229" t="n">
        <v>677</v>
      </c>
      <c r="D229" t="n">
        <v>-0.3521</v>
      </c>
      <c r="E229" t="n">
        <v>7.8986</v>
      </c>
      <c r="F229" t="n">
        <v>0.08212999999999999</v>
      </c>
    </row>
    <row r="230">
      <c r="A230" t="n">
        <v>1000678</v>
      </c>
      <c r="B230" t="n">
        <v>1</v>
      </c>
      <c r="C230" t="n">
        <v>678</v>
      </c>
      <c r="D230" t="n">
        <v>-0.3521</v>
      </c>
      <c r="E230" t="n">
        <v>7.9216</v>
      </c>
      <c r="F230" t="n">
        <v>0.08212999999999999</v>
      </c>
    </row>
    <row r="231">
      <c r="A231" t="n">
        <v>1000679</v>
      </c>
      <c r="B231" t="n">
        <v>1</v>
      </c>
      <c r="C231" t="n">
        <v>679</v>
      </c>
      <c r="D231" t="n">
        <v>-0.3521</v>
      </c>
      <c r="E231" t="n">
        <v>7.9445</v>
      </c>
      <c r="F231" t="n">
        <v>0.08212999999999999</v>
      </c>
    </row>
    <row r="232">
      <c r="A232" t="n">
        <v>1000680</v>
      </c>
      <c r="B232" t="n">
        <v>1</v>
      </c>
      <c r="C232" t="n">
        <v>680</v>
      </c>
      <c r="D232" t="n">
        <v>-0.3521</v>
      </c>
      <c r="E232" t="n">
        <v>7.9674</v>
      </c>
      <c r="F232" t="n">
        <v>0.08214</v>
      </c>
    </row>
    <row r="233">
      <c r="A233" t="n">
        <v>1000681</v>
      </c>
      <c r="B233" t="n">
        <v>1</v>
      </c>
      <c r="C233" t="n">
        <v>681</v>
      </c>
      <c r="D233" t="n">
        <v>-0.3521</v>
      </c>
      <c r="E233" t="n">
        <v>7.9903</v>
      </c>
      <c r="F233" t="n">
        <v>0.08214</v>
      </c>
    </row>
    <row r="234">
      <c r="A234" t="n">
        <v>1000682</v>
      </c>
      <c r="B234" t="n">
        <v>1</v>
      </c>
      <c r="C234" t="n">
        <v>682</v>
      </c>
      <c r="D234" t="n">
        <v>-0.3521</v>
      </c>
      <c r="E234" t="n">
        <v>8.013199999999999</v>
      </c>
      <c r="F234" t="n">
        <v>0.08214</v>
      </c>
    </row>
    <row r="235">
      <c r="A235" t="n">
        <v>1000683</v>
      </c>
      <c r="B235" t="n">
        <v>1</v>
      </c>
      <c r="C235" t="n">
        <v>683</v>
      </c>
      <c r="D235" t="n">
        <v>-0.3521</v>
      </c>
      <c r="E235" t="n">
        <v>8.036</v>
      </c>
      <c r="F235" t="n">
        <v>0.08215</v>
      </c>
    </row>
    <row r="236">
      <c r="A236" t="n">
        <v>1000684</v>
      </c>
      <c r="B236" t="n">
        <v>1</v>
      </c>
      <c r="C236" t="n">
        <v>684</v>
      </c>
      <c r="D236" t="n">
        <v>-0.3521</v>
      </c>
      <c r="E236" t="n">
        <v>8.0588</v>
      </c>
      <c r="F236" t="n">
        <v>0.08215</v>
      </c>
    </row>
    <row r="237">
      <c r="A237" t="n">
        <v>1000685</v>
      </c>
      <c r="B237" t="n">
        <v>1</v>
      </c>
      <c r="C237" t="n">
        <v>685</v>
      </c>
      <c r="D237" t="n">
        <v>-0.3521</v>
      </c>
      <c r="E237" t="n">
        <v>8.0816</v>
      </c>
      <c r="F237" t="n">
        <v>0.08216</v>
      </c>
    </row>
    <row r="238">
      <c r="A238" t="n">
        <v>1000686</v>
      </c>
      <c r="B238" t="n">
        <v>1</v>
      </c>
      <c r="C238" t="n">
        <v>686</v>
      </c>
      <c r="D238" t="n">
        <v>-0.3521</v>
      </c>
      <c r="E238" t="n">
        <v>8.1044</v>
      </c>
      <c r="F238" t="n">
        <v>0.08217000000000001</v>
      </c>
    </row>
    <row r="239">
      <c r="A239" t="n">
        <v>1000687</v>
      </c>
      <c r="B239" t="n">
        <v>1</v>
      </c>
      <c r="C239" t="n">
        <v>687</v>
      </c>
      <c r="D239" t="n">
        <v>-0.3521</v>
      </c>
      <c r="E239" t="n">
        <v>8.1272</v>
      </c>
      <c r="F239" t="n">
        <v>0.08217000000000001</v>
      </c>
    </row>
    <row r="240">
      <c r="A240" t="n">
        <v>1000688</v>
      </c>
      <c r="B240" t="n">
        <v>1</v>
      </c>
      <c r="C240" t="n">
        <v>688</v>
      </c>
      <c r="D240" t="n">
        <v>-0.3521</v>
      </c>
      <c r="E240" t="n">
        <v>8.15</v>
      </c>
      <c r="F240" t="n">
        <v>0.08218</v>
      </c>
    </row>
    <row r="241">
      <c r="A241" t="n">
        <v>1000689</v>
      </c>
      <c r="B241" t="n">
        <v>1</v>
      </c>
      <c r="C241" t="n">
        <v>689</v>
      </c>
      <c r="D241" t="n">
        <v>-0.3521</v>
      </c>
      <c r="E241" t="n">
        <v>8.172700000000001</v>
      </c>
      <c r="F241" t="n">
        <v>0.08219</v>
      </c>
    </row>
    <row r="242">
      <c r="A242" t="n">
        <v>1000690</v>
      </c>
      <c r="B242" t="n">
        <v>1</v>
      </c>
      <c r="C242" t="n">
        <v>690</v>
      </c>
      <c r="D242" t="n">
        <v>-0.3521</v>
      </c>
      <c r="E242" t="n">
        <v>8.195499999999999</v>
      </c>
      <c r="F242" t="n">
        <v>0.08219</v>
      </c>
    </row>
    <row r="243">
      <c r="A243" t="n">
        <v>1000691</v>
      </c>
      <c r="B243" t="n">
        <v>1</v>
      </c>
      <c r="C243" t="n">
        <v>691</v>
      </c>
      <c r="D243" t="n">
        <v>-0.3521</v>
      </c>
      <c r="E243" t="n">
        <v>8.218299999999999</v>
      </c>
      <c r="F243" t="n">
        <v>0.0822</v>
      </c>
    </row>
    <row r="244">
      <c r="A244" t="n">
        <v>1000692</v>
      </c>
      <c r="B244" t="n">
        <v>1</v>
      </c>
      <c r="C244" t="n">
        <v>692</v>
      </c>
      <c r="D244" t="n">
        <v>-0.3521</v>
      </c>
      <c r="E244" t="n">
        <v>8.241</v>
      </c>
      <c r="F244" t="n">
        <v>0.08221000000000001</v>
      </c>
    </row>
    <row r="245">
      <c r="A245" t="n">
        <v>1000693</v>
      </c>
      <c r="B245" t="n">
        <v>1</v>
      </c>
      <c r="C245" t="n">
        <v>693</v>
      </c>
      <c r="D245" t="n">
        <v>-0.3521</v>
      </c>
      <c r="E245" t="n">
        <v>8.2638</v>
      </c>
      <c r="F245" t="n">
        <v>0.08222</v>
      </c>
    </row>
    <row r="246">
      <c r="A246" t="n">
        <v>1000694</v>
      </c>
      <c r="B246" t="n">
        <v>1</v>
      </c>
      <c r="C246" t="n">
        <v>694</v>
      </c>
      <c r="D246" t="n">
        <v>-0.3521</v>
      </c>
      <c r="E246" t="n">
        <v>8.2865</v>
      </c>
      <c r="F246" t="n">
        <v>0.08223</v>
      </c>
    </row>
    <row r="247">
      <c r="A247" t="n">
        <v>1000695</v>
      </c>
      <c r="B247" t="n">
        <v>1</v>
      </c>
      <c r="C247" t="n">
        <v>695</v>
      </c>
      <c r="D247" t="n">
        <v>-0.3521</v>
      </c>
      <c r="E247" t="n">
        <v>8.309200000000001</v>
      </c>
      <c r="F247" t="n">
        <v>0.08223999999999999</v>
      </c>
    </row>
    <row r="248">
      <c r="A248" t="n">
        <v>1000696</v>
      </c>
      <c r="B248" t="n">
        <v>1</v>
      </c>
      <c r="C248" t="n">
        <v>696</v>
      </c>
      <c r="D248" t="n">
        <v>-0.3521</v>
      </c>
      <c r="E248" t="n">
        <v>8.332000000000001</v>
      </c>
      <c r="F248" t="n">
        <v>0.08225</v>
      </c>
    </row>
    <row r="249">
      <c r="A249" t="n">
        <v>1000697</v>
      </c>
      <c r="B249" t="n">
        <v>1</v>
      </c>
      <c r="C249" t="n">
        <v>697</v>
      </c>
      <c r="D249" t="n">
        <v>-0.3521</v>
      </c>
      <c r="E249" t="n">
        <v>8.354699999999999</v>
      </c>
      <c r="F249" t="n">
        <v>0.08226</v>
      </c>
    </row>
    <row r="250">
      <c r="A250" t="n">
        <v>1000698</v>
      </c>
      <c r="B250" t="n">
        <v>1</v>
      </c>
      <c r="C250" t="n">
        <v>698</v>
      </c>
      <c r="D250" t="n">
        <v>-0.3521</v>
      </c>
      <c r="E250" t="n">
        <v>8.3774</v>
      </c>
      <c r="F250" t="n">
        <v>0.08227</v>
      </c>
    </row>
    <row r="251">
      <c r="A251" t="n">
        <v>1000699</v>
      </c>
      <c r="B251" t="n">
        <v>1</v>
      </c>
      <c r="C251" t="n">
        <v>699</v>
      </c>
      <c r="D251" t="n">
        <v>-0.3521</v>
      </c>
      <c r="E251" t="n">
        <v>8.4001</v>
      </c>
      <c r="F251" t="n">
        <v>0.08228000000000001</v>
      </c>
    </row>
    <row r="252">
      <c r="A252" t="n">
        <v>1000700</v>
      </c>
      <c r="B252" t="n">
        <v>1</v>
      </c>
      <c r="C252" t="n">
        <v>700</v>
      </c>
      <c r="D252" t="n">
        <v>-0.3521</v>
      </c>
      <c r="E252" t="n">
        <v>8.422700000000001</v>
      </c>
      <c r="F252" t="n">
        <v>0.08229</v>
      </c>
    </row>
    <row r="253">
      <c r="A253" t="n">
        <v>1000701</v>
      </c>
      <c r="B253" t="n">
        <v>1</v>
      </c>
      <c r="C253" t="n">
        <v>701</v>
      </c>
      <c r="D253" t="n">
        <v>-0.3521</v>
      </c>
      <c r="E253" t="n">
        <v>8.445399999999999</v>
      </c>
      <c r="F253" t="n">
        <v>0.0823</v>
      </c>
    </row>
    <row r="254">
      <c r="A254" t="n">
        <v>1000702</v>
      </c>
      <c r="B254" t="n">
        <v>1</v>
      </c>
      <c r="C254" t="n">
        <v>702</v>
      </c>
      <c r="D254" t="n">
        <v>-0.3521</v>
      </c>
      <c r="E254" t="n">
        <v>8.468</v>
      </c>
      <c r="F254" t="n">
        <v>0.08230999999999999</v>
      </c>
    </row>
    <row r="255">
      <c r="A255" t="n">
        <v>1000703</v>
      </c>
      <c r="B255" t="n">
        <v>1</v>
      </c>
      <c r="C255" t="n">
        <v>703</v>
      </c>
      <c r="D255" t="n">
        <v>-0.3521</v>
      </c>
      <c r="E255" t="n">
        <v>8.490600000000001</v>
      </c>
      <c r="F255" t="n">
        <v>0.08232</v>
      </c>
    </row>
    <row r="256">
      <c r="A256" t="n">
        <v>1000704</v>
      </c>
      <c r="B256" t="n">
        <v>1</v>
      </c>
      <c r="C256" t="n">
        <v>704</v>
      </c>
      <c r="D256" t="n">
        <v>-0.3521</v>
      </c>
      <c r="E256" t="n">
        <v>8.513199999999999</v>
      </c>
      <c r="F256" t="n">
        <v>0.08233</v>
      </c>
    </row>
    <row r="257">
      <c r="A257" t="n">
        <v>1000705</v>
      </c>
      <c r="B257" t="n">
        <v>1</v>
      </c>
      <c r="C257" t="n">
        <v>705</v>
      </c>
      <c r="D257" t="n">
        <v>-0.3521</v>
      </c>
      <c r="E257" t="n">
        <v>8.5358</v>
      </c>
      <c r="F257" t="n">
        <v>0.08235000000000001</v>
      </c>
    </row>
    <row r="258">
      <c r="A258" t="n">
        <v>1000706</v>
      </c>
      <c r="B258" t="n">
        <v>1</v>
      </c>
      <c r="C258" t="n">
        <v>706</v>
      </c>
      <c r="D258" t="n">
        <v>-0.3521</v>
      </c>
      <c r="E258" t="n">
        <v>8.558299999999999</v>
      </c>
      <c r="F258" t="n">
        <v>0.08236</v>
      </c>
    </row>
    <row r="259">
      <c r="A259" t="n">
        <v>1000707</v>
      </c>
      <c r="B259" t="n">
        <v>1</v>
      </c>
      <c r="C259" t="n">
        <v>707</v>
      </c>
      <c r="D259" t="n">
        <v>-0.3521</v>
      </c>
      <c r="E259" t="n">
        <v>8.5808</v>
      </c>
      <c r="F259" t="n">
        <v>0.08237</v>
      </c>
    </row>
    <row r="260">
      <c r="A260" t="n">
        <v>1000708</v>
      </c>
      <c r="B260" t="n">
        <v>1</v>
      </c>
      <c r="C260" t="n">
        <v>708</v>
      </c>
      <c r="D260" t="n">
        <v>-0.3521</v>
      </c>
      <c r="E260" t="n">
        <v>8.603199999999999</v>
      </c>
      <c r="F260" t="n">
        <v>0.08237999999999999</v>
      </c>
    </row>
    <row r="261">
      <c r="A261" t="n">
        <v>1000709</v>
      </c>
      <c r="B261" t="n">
        <v>1</v>
      </c>
      <c r="C261" t="n">
        <v>709</v>
      </c>
      <c r="D261" t="n">
        <v>-0.3521</v>
      </c>
      <c r="E261" t="n">
        <v>8.6257</v>
      </c>
      <c r="F261" t="n">
        <v>0.0824</v>
      </c>
    </row>
    <row r="262">
      <c r="A262" t="n">
        <v>1000710</v>
      </c>
      <c r="B262" t="n">
        <v>1</v>
      </c>
      <c r="C262" t="n">
        <v>710</v>
      </c>
      <c r="D262" t="n">
        <v>-0.3521</v>
      </c>
      <c r="E262" t="n">
        <v>8.648</v>
      </c>
      <c r="F262" t="n">
        <v>0.08241</v>
      </c>
    </row>
    <row r="263">
      <c r="A263" t="n">
        <v>1000711</v>
      </c>
      <c r="B263" t="n">
        <v>1</v>
      </c>
      <c r="C263" t="n">
        <v>711</v>
      </c>
      <c r="D263" t="n">
        <v>-0.3521</v>
      </c>
      <c r="E263" t="n">
        <v>8.670400000000001</v>
      </c>
      <c r="F263" t="n">
        <v>0.08241999999999999</v>
      </c>
    </row>
    <row r="264">
      <c r="A264" t="n">
        <v>1000712</v>
      </c>
      <c r="B264" t="n">
        <v>1</v>
      </c>
      <c r="C264" t="n">
        <v>712</v>
      </c>
      <c r="D264" t="n">
        <v>-0.3521</v>
      </c>
      <c r="E264" t="n">
        <v>8.6927</v>
      </c>
      <c r="F264" t="n">
        <v>0.08243</v>
      </c>
    </row>
    <row r="265">
      <c r="A265" t="n">
        <v>1000713</v>
      </c>
      <c r="B265" t="n">
        <v>1</v>
      </c>
      <c r="C265" t="n">
        <v>713</v>
      </c>
      <c r="D265" t="n">
        <v>-0.3521</v>
      </c>
      <c r="E265" t="n">
        <v>8.715</v>
      </c>
      <c r="F265" t="n">
        <v>0.08245</v>
      </c>
    </row>
    <row r="266">
      <c r="A266" t="n">
        <v>1000714</v>
      </c>
      <c r="B266" t="n">
        <v>1</v>
      </c>
      <c r="C266" t="n">
        <v>714</v>
      </c>
      <c r="D266" t="n">
        <v>-0.3521</v>
      </c>
      <c r="E266" t="n">
        <v>8.7372</v>
      </c>
      <c r="F266" t="n">
        <v>0.08246000000000001</v>
      </c>
    </row>
    <row r="267">
      <c r="A267" t="n">
        <v>1000715</v>
      </c>
      <c r="B267" t="n">
        <v>1</v>
      </c>
      <c r="C267" t="n">
        <v>715</v>
      </c>
      <c r="D267" t="n">
        <v>-0.3521</v>
      </c>
      <c r="E267" t="n">
        <v>8.759399999999999</v>
      </c>
      <c r="F267" t="n">
        <v>0.08248</v>
      </c>
    </row>
    <row r="268">
      <c r="A268" t="n">
        <v>1000716</v>
      </c>
      <c r="B268" t="n">
        <v>1</v>
      </c>
      <c r="C268" t="n">
        <v>716</v>
      </c>
      <c r="D268" t="n">
        <v>-0.3521</v>
      </c>
      <c r="E268" t="n">
        <v>8.781499999999999</v>
      </c>
      <c r="F268" t="n">
        <v>0.08248999999999999</v>
      </c>
    </row>
    <row r="269">
      <c r="A269" t="n">
        <v>1000717</v>
      </c>
      <c r="B269" t="n">
        <v>1</v>
      </c>
      <c r="C269" t="n">
        <v>717</v>
      </c>
      <c r="D269" t="n">
        <v>-0.3521</v>
      </c>
      <c r="E269" t="n">
        <v>8.803599999999999</v>
      </c>
      <c r="F269" t="n">
        <v>0.0825</v>
      </c>
    </row>
    <row r="270">
      <c r="A270" t="n">
        <v>1000718</v>
      </c>
      <c r="B270" t="n">
        <v>1</v>
      </c>
      <c r="C270" t="n">
        <v>718</v>
      </c>
      <c r="D270" t="n">
        <v>-0.3521</v>
      </c>
      <c r="E270" t="n">
        <v>8.825699999999999</v>
      </c>
      <c r="F270" t="n">
        <v>0.08252</v>
      </c>
    </row>
    <row r="271">
      <c r="A271" t="n">
        <v>1000719</v>
      </c>
      <c r="B271" t="n">
        <v>1</v>
      </c>
      <c r="C271" t="n">
        <v>719</v>
      </c>
      <c r="D271" t="n">
        <v>-0.3521</v>
      </c>
      <c r="E271" t="n">
        <v>8.8477</v>
      </c>
      <c r="F271" t="n">
        <v>0.08253000000000001</v>
      </c>
    </row>
    <row r="272">
      <c r="A272" t="n">
        <v>1000720</v>
      </c>
      <c r="B272" t="n">
        <v>1</v>
      </c>
      <c r="C272" t="n">
        <v>720</v>
      </c>
      <c r="D272" t="n">
        <v>-0.3521</v>
      </c>
      <c r="E272" t="n">
        <v>8.8697</v>
      </c>
      <c r="F272" t="n">
        <v>0.08254</v>
      </c>
    </row>
    <row r="273">
      <c r="A273" t="n">
        <v>1000721</v>
      </c>
      <c r="B273" t="n">
        <v>1</v>
      </c>
      <c r="C273" t="n">
        <v>721</v>
      </c>
      <c r="D273" t="n">
        <v>-0.3521</v>
      </c>
      <c r="E273" t="n">
        <v>8.8916</v>
      </c>
      <c r="F273" t="n">
        <v>0.08255999999999999</v>
      </c>
    </row>
    <row r="274">
      <c r="A274" t="n">
        <v>1000722</v>
      </c>
      <c r="B274" t="n">
        <v>1</v>
      </c>
      <c r="C274" t="n">
        <v>722</v>
      </c>
      <c r="D274" t="n">
        <v>-0.3521</v>
      </c>
      <c r="E274" t="n">
        <v>8.913500000000001</v>
      </c>
      <c r="F274" t="n">
        <v>0.08257</v>
      </c>
    </row>
    <row r="275">
      <c r="A275" t="n">
        <v>1000723</v>
      </c>
      <c r="B275" t="n">
        <v>1</v>
      </c>
      <c r="C275" t="n">
        <v>723</v>
      </c>
      <c r="D275" t="n">
        <v>-0.3521</v>
      </c>
      <c r="E275" t="n">
        <v>8.9353</v>
      </c>
      <c r="F275" t="n">
        <v>0.08259</v>
      </c>
    </row>
    <row r="276">
      <c r="A276" t="n">
        <v>1000724</v>
      </c>
      <c r="B276" t="n">
        <v>1</v>
      </c>
      <c r="C276" t="n">
        <v>724</v>
      </c>
      <c r="D276" t="n">
        <v>-0.3521</v>
      </c>
      <c r="E276" t="n">
        <v>8.957100000000001</v>
      </c>
      <c r="F276" t="n">
        <v>0.08260000000000001</v>
      </c>
    </row>
    <row r="277">
      <c r="A277" t="n">
        <v>1000725</v>
      </c>
      <c r="B277" t="n">
        <v>1</v>
      </c>
      <c r="C277" t="n">
        <v>725</v>
      </c>
      <c r="D277" t="n">
        <v>-0.3521</v>
      </c>
      <c r="E277" t="n">
        <v>8.9788</v>
      </c>
      <c r="F277" t="n">
        <v>0.08262</v>
      </c>
    </row>
    <row r="278">
      <c r="A278" t="n">
        <v>1000726</v>
      </c>
      <c r="B278" t="n">
        <v>1</v>
      </c>
      <c r="C278" t="n">
        <v>726</v>
      </c>
      <c r="D278" t="n">
        <v>-0.3521</v>
      </c>
      <c r="E278" t="n">
        <v>9.000500000000001</v>
      </c>
      <c r="F278" t="n">
        <v>0.08263</v>
      </c>
    </row>
    <row r="279">
      <c r="A279" t="n">
        <v>1000727</v>
      </c>
      <c r="B279" t="n">
        <v>1</v>
      </c>
      <c r="C279" t="n">
        <v>727</v>
      </c>
      <c r="D279" t="n">
        <v>-0.3521</v>
      </c>
      <c r="E279" t="n">
        <v>9.0221</v>
      </c>
      <c r="F279" t="n">
        <v>0.08264000000000001</v>
      </c>
    </row>
    <row r="280">
      <c r="A280" t="n">
        <v>1000728</v>
      </c>
      <c r="B280" t="n">
        <v>1</v>
      </c>
      <c r="C280" t="n">
        <v>728</v>
      </c>
      <c r="D280" t="n">
        <v>-0.3521</v>
      </c>
      <c r="E280" t="n">
        <v>9.0436</v>
      </c>
      <c r="F280" t="n">
        <v>0.08266</v>
      </c>
    </row>
    <row r="281">
      <c r="A281" t="n">
        <v>1000729</v>
      </c>
      <c r="B281" t="n">
        <v>1</v>
      </c>
      <c r="C281" t="n">
        <v>729</v>
      </c>
      <c r="D281" t="n">
        <v>-0.3521</v>
      </c>
      <c r="E281" t="n">
        <v>9.065099999999999</v>
      </c>
      <c r="F281" t="n">
        <v>0.08266999999999999</v>
      </c>
    </row>
    <row r="282">
      <c r="A282" t="n">
        <v>1000730</v>
      </c>
      <c r="B282" t="n">
        <v>1</v>
      </c>
      <c r="C282" t="n">
        <v>730</v>
      </c>
      <c r="D282" t="n">
        <v>-0.3521</v>
      </c>
      <c r="E282" t="n">
        <v>9.086499999999999</v>
      </c>
      <c r="F282" t="n">
        <v>0.08269</v>
      </c>
    </row>
    <row r="283">
      <c r="A283" t="n">
        <v>1000731</v>
      </c>
      <c r="B283" t="n">
        <v>1</v>
      </c>
      <c r="C283" t="n">
        <v>731</v>
      </c>
      <c r="D283" t="n">
        <v>-0.3521</v>
      </c>
      <c r="E283" t="n">
        <v>9.107900000000001</v>
      </c>
      <c r="F283" t="n">
        <v>0.0827</v>
      </c>
    </row>
    <row r="284">
      <c r="A284" t="n">
        <v>1000732</v>
      </c>
      <c r="B284" t="n">
        <v>1</v>
      </c>
      <c r="C284" t="n">
        <v>732</v>
      </c>
      <c r="D284" t="n">
        <v>-0.3521</v>
      </c>
      <c r="E284" t="n">
        <v>9.129200000000001</v>
      </c>
      <c r="F284" t="n">
        <v>0.08272</v>
      </c>
    </row>
    <row r="285">
      <c r="A285" t="n">
        <v>1000733</v>
      </c>
      <c r="B285" t="n">
        <v>1</v>
      </c>
      <c r="C285" t="n">
        <v>733</v>
      </c>
      <c r="D285" t="n">
        <v>-0.3521</v>
      </c>
      <c r="E285" t="n">
        <v>9.150399999999999</v>
      </c>
      <c r="F285" t="n">
        <v>0.08273</v>
      </c>
    </row>
    <row r="286">
      <c r="A286" t="n">
        <v>1000734</v>
      </c>
      <c r="B286" t="n">
        <v>1</v>
      </c>
      <c r="C286" t="n">
        <v>734</v>
      </c>
      <c r="D286" t="n">
        <v>-0.3521</v>
      </c>
      <c r="E286" t="n">
        <v>9.1716</v>
      </c>
      <c r="F286" t="n">
        <v>0.08273999999999999</v>
      </c>
    </row>
    <row r="287">
      <c r="A287" t="n">
        <v>1000735</v>
      </c>
      <c r="B287" t="n">
        <v>1</v>
      </c>
      <c r="C287" t="n">
        <v>735</v>
      </c>
      <c r="D287" t="n">
        <v>-0.3521</v>
      </c>
      <c r="E287" t="n">
        <v>9.1927</v>
      </c>
      <c r="F287" t="n">
        <v>0.08276</v>
      </c>
    </row>
    <row r="288">
      <c r="A288" t="n">
        <v>1000736</v>
      </c>
      <c r="B288" t="n">
        <v>1</v>
      </c>
      <c r="C288" t="n">
        <v>736</v>
      </c>
      <c r="D288" t="n">
        <v>-0.3521</v>
      </c>
      <c r="E288" t="n">
        <v>9.213699999999999</v>
      </c>
      <c r="F288" t="n">
        <v>0.08277</v>
      </c>
    </row>
    <row r="289">
      <c r="A289" t="n">
        <v>1000737</v>
      </c>
      <c r="B289" t="n">
        <v>1</v>
      </c>
      <c r="C289" t="n">
        <v>737</v>
      </c>
      <c r="D289" t="n">
        <v>-0.3521</v>
      </c>
      <c r="E289" t="n">
        <v>9.2347</v>
      </c>
      <c r="F289" t="n">
        <v>0.08278000000000001</v>
      </c>
    </row>
    <row r="290">
      <c r="A290" t="n">
        <v>1000738</v>
      </c>
      <c r="B290" t="n">
        <v>1</v>
      </c>
      <c r="C290" t="n">
        <v>738</v>
      </c>
      <c r="D290" t="n">
        <v>-0.3521</v>
      </c>
      <c r="E290" t="n">
        <v>9.255699999999999</v>
      </c>
      <c r="F290" t="n">
        <v>0.0828</v>
      </c>
    </row>
    <row r="291">
      <c r="A291" t="n">
        <v>1000739</v>
      </c>
      <c r="B291" t="n">
        <v>1</v>
      </c>
      <c r="C291" t="n">
        <v>739</v>
      </c>
      <c r="D291" t="n">
        <v>-0.3521</v>
      </c>
      <c r="E291" t="n">
        <v>9.2766</v>
      </c>
      <c r="F291" t="n">
        <v>0.08280999999999999</v>
      </c>
    </row>
    <row r="292">
      <c r="A292" t="n">
        <v>1000740</v>
      </c>
      <c r="B292" t="n">
        <v>1</v>
      </c>
      <c r="C292" t="n">
        <v>740</v>
      </c>
      <c r="D292" t="n">
        <v>-0.3521</v>
      </c>
      <c r="E292" t="n">
        <v>9.2974</v>
      </c>
      <c r="F292" t="n">
        <v>0.08283</v>
      </c>
    </row>
    <row r="293">
      <c r="A293" t="n">
        <v>1000741</v>
      </c>
      <c r="B293" t="n">
        <v>1</v>
      </c>
      <c r="C293" t="n">
        <v>741</v>
      </c>
      <c r="D293" t="n">
        <v>-0.3521</v>
      </c>
      <c r="E293" t="n">
        <v>9.318199999999999</v>
      </c>
      <c r="F293" t="n">
        <v>0.08284</v>
      </c>
    </row>
    <row r="294">
      <c r="A294" t="n">
        <v>1000742</v>
      </c>
      <c r="B294" t="n">
        <v>1</v>
      </c>
      <c r="C294" t="n">
        <v>742</v>
      </c>
      <c r="D294" t="n">
        <v>-0.3521</v>
      </c>
      <c r="E294" t="n">
        <v>9.339</v>
      </c>
      <c r="F294" t="n">
        <v>0.08284999999999999</v>
      </c>
    </row>
    <row r="295">
      <c r="A295" t="n">
        <v>1000743</v>
      </c>
      <c r="B295" t="n">
        <v>1</v>
      </c>
      <c r="C295" t="n">
        <v>743</v>
      </c>
      <c r="D295" t="n">
        <v>-0.3521</v>
      </c>
      <c r="E295" t="n">
        <v>9.3597</v>
      </c>
      <c r="F295" t="n">
        <v>0.08287</v>
      </c>
    </row>
    <row r="296">
      <c r="A296" t="n">
        <v>1000744</v>
      </c>
      <c r="B296" t="n">
        <v>1</v>
      </c>
      <c r="C296" t="n">
        <v>744</v>
      </c>
      <c r="D296" t="n">
        <v>-0.3521</v>
      </c>
      <c r="E296" t="n">
        <v>9.3803</v>
      </c>
      <c r="F296" t="n">
        <v>0.08288</v>
      </c>
    </row>
    <row r="297">
      <c r="A297" t="n">
        <v>1000745</v>
      </c>
      <c r="B297" t="n">
        <v>1</v>
      </c>
      <c r="C297" t="n">
        <v>745</v>
      </c>
      <c r="D297" t="n">
        <v>-0.3521</v>
      </c>
      <c r="E297" t="n">
        <v>9.401</v>
      </c>
      <c r="F297" t="n">
        <v>0.08289000000000001</v>
      </c>
    </row>
    <row r="298">
      <c r="A298" t="n">
        <v>1000746</v>
      </c>
      <c r="B298" t="n">
        <v>1</v>
      </c>
      <c r="C298" t="n">
        <v>746</v>
      </c>
      <c r="D298" t="n">
        <v>-0.3521</v>
      </c>
      <c r="E298" t="n">
        <v>9.4215</v>
      </c>
      <c r="F298" t="n">
        <v>0.0829</v>
      </c>
    </row>
    <row r="299">
      <c r="A299" t="n">
        <v>1000747</v>
      </c>
      <c r="B299" t="n">
        <v>1</v>
      </c>
      <c r="C299" t="n">
        <v>747</v>
      </c>
      <c r="D299" t="n">
        <v>-0.3521</v>
      </c>
      <c r="E299" t="n">
        <v>9.442</v>
      </c>
      <c r="F299" t="n">
        <v>0.08291999999999999</v>
      </c>
    </row>
    <row r="300">
      <c r="A300" t="n">
        <v>1000748</v>
      </c>
      <c r="B300" t="n">
        <v>1</v>
      </c>
      <c r="C300" t="n">
        <v>748</v>
      </c>
      <c r="D300" t="n">
        <v>-0.3521</v>
      </c>
      <c r="E300" t="n">
        <v>9.4625</v>
      </c>
      <c r="F300" t="n">
        <v>0.08293</v>
      </c>
    </row>
    <row r="301">
      <c r="A301" t="n">
        <v>1000749</v>
      </c>
      <c r="B301" t="n">
        <v>1</v>
      </c>
      <c r="C301" t="n">
        <v>749</v>
      </c>
      <c r="D301" t="n">
        <v>-0.3521</v>
      </c>
      <c r="E301" t="n">
        <v>9.482900000000001</v>
      </c>
      <c r="F301" t="n">
        <v>0.08294</v>
      </c>
    </row>
    <row r="302">
      <c r="A302" t="n">
        <v>1000750</v>
      </c>
      <c r="B302" t="n">
        <v>1</v>
      </c>
      <c r="C302" t="n">
        <v>750</v>
      </c>
      <c r="D302" t="n">
        <v>-0.3521</v>
      </c>
      <c r="E302" t="n">
        <v>9.5032</v>
      </c>
      <c r="F302" t="n">
        <v>0.08295</v>
      </c>
    </row>
    <row r="303">
      <c r="A303" t="n">
        <v>1000751</v>
      </c>
      <c r="B303" t="n">
        <v>1</v>
      </c>
      <c r="C303" t="n">
        <v>751</v>
      </c>
      <c r="D303" t="n">
        <v>-0.3521</v>
      </c>
      <c r="E303" t="n">
        <v>9.5235</v>
      </c>
      <c r="F303" t="n">
        <v>0.08297</v>
      </c>
    </row>
    <row r="304">
      <c r="A304" t="n">
        <v>1000752</v>
      </c>
      <c r="B304" t="n">
        <v>1</v>
      </c>
      <c r="C304" t="n">
        <v>752</v>
      </c>
      <c r="D304" t="n">
        <v>-0.3521</v>
      </c>
      <c r="E304" t="n">
        <v>9.543799999999999</v>
      </c>
      <c r="F304" t="n">
        <v>0.08298</v>
      </c>
    </row>
    <row r="305">
      <c r="A305" t="n">
        <v>1000753</v>
      </c>
      <c r="B305" t="n">
        <v>1</v>
      </c>
      <c r="C305" t="n">
        <v>753</v>
      </c>
      <c r="D305" t="n">
        <v>-0.3521</v>
      </c>
      <c r="E305" t="n">
        <v>9.5639</v>
      </c>
      <c r="F305" t="n">
        <v>0.08298999999999999</v>
      </c>
    </row>
    <row r="306">
      <c r="A306" t="n">
        <v>1000754</v>
      </c>
      <c r="B306" t="n">
        <v>1</v>
      </c>
      <c r="C306" t="n">
        <v>754</v>
      </c>
      <c r="D306" t="n">
        <v>-0.3521</v>
      </c>
      <c r="E306" t="n">
        <v>9.584099999999999</v>
      </c>
      <c r="F306" t="n">
        <v>0.083</v>
      </c>
    </row>
    <row r="307">
      <c r="A307" t="n">
        <v>1000755</v>
      </c>
      <c r="B307" t="n">
        <v>1</v>
      </c>
      <c r="C307" t="n">
        <v>755</v>
      </c>
      <c r="D307" t="n">
        <v>-0.3521</v>
      </c>
      <c r="E307" t="n">
        <v>9.604100000000001</v>
      </c>
      <c r="F307" t="n">
        <v>0.08301</v>
      </c>
    </row>
    <row r="308">
      <c r="A308" t="n">
        <v>1000756</v>
      </c>
      <c r="B308" t="n">
        <v>1</v>
      </c>
      <c r="C308" t="n">
        <v>756</v>
      </c>
      <c r="D308" t="n">
        <v>-0.3521</v>
      </c>
      <c r="E308" t="n">
        <v>9.6241</v>
      </c>
      <c r="F308" t="n">
        <v>0.08302</v>
      </c>
    </row>
    <row r="309">
      <c r="A309" t="n">
        <v>1000757</v>
      </c>
      <c r="B309" t="n">
        <v>1</v>
      </c>
      <c r="C309" t="n">
        <v>757</v>
      </c>
      <c r="D309" t="n">
        <v>-0.3521</v>
      </c>
      <c r="E309" t="n">
        <v>9.644</v>
      </c>
      <c r="F309" t="n">
        <v>0.08303000000000001</v>
      </c>
    </row>
    <row r="310">
      <c r="A310" t="n">
        <v>1000758</v>
      </c>
      <c r="B310" t="n">
        <v>1</v>
      </c>
      <c r="C310" t="n">
        <v>758</v>
      </c>
      <c r="D310" t="n">
        <v>-0.3521</v>
      </c>
      <c r="E310" t="n">
        <v>9.6639</v>
      </c>
      <c r="F310" t="n">
        <v>0.08305</v>
      </c>
    </row>
    <row r="311">
      <c r="A311" t="n">
        <v>1000759</v>
      </c>
      <c r="B311" t="n">
        <v>1</v>
      </c>
      <c r="C311" t="n">
        <v>759</v>
      </c>
      <c r="D311" t="n">
        <v>-0.3521</v>
      </c>
      <c r="E311" t="n">
        <v>9.6836</v>
      </c>
      <c r="F311" t="n">
        <v>0.08305999999999999</v>
      </c>
    </row>
    <row r="312">
      <c r="A312" t="n">
        <v>1000760</v>
      </c>
      <c r="B312" t="n">
        <v>1</v>
      </c>
      <c r="C312" t="n">
        <v>760</v>
      </c>
      <c r="D312" t="n">
        <v>-0.3521</v>
      </c>
      <c r="E312" t="n">
        <v>9.7033</v>
      </c>
      <c r="F312" t="n">
        <v>0.08307</v>
      </c>
    </row>
    <row r="313">
      <c r="A313" t="n">
        <v>1000761</v>
      </c>
      <c r="B313" t="n">
        <v>1</v>
      </c>
      <c r="C313" t="n">
        <v>761</v>
      </c>
      <c r="D313" t="n">
        <v>-0.3521</v>
      </c>
      <c r="E313" t="n">
        <v>9.723000000000001</v>
      </c>
      <c r="F313" t="n">
        <v>0.08307</v>
      </c>
    </row>
    <row r="314">
      <c r="A314" t="n">
        <v>1000762</v>
      </c>
      <c r="B314" t="n">
        <v>1</v>
      </c>
      <c r="C314" t="n">
        <v>762</v>
      </c>
      <c r="D314" t="n">
        <v>-0.3521</v>
      </c>
      <c r="E314" t="n">
        <v>9.7425</v>
      </c>
      <c r="F314" t="n">
        <v>0.08308</v>
      </c>
    </row>
    <row r="315">
      <c r="A315" t="n">
        <v>1000763</v>
      </c>
      <c r="B315" t="n">
        <v>1</v>
      </c>
      <c r="C315" t="n">
        <v>763</v>
      </c>
      <c r="D315" t="n">
        <v>-0.3521</v>
      </c>
      <c r="E315" t="n">
        <v>9.762</v>
      </c>
      <c r="F315" t="n">
        <v>0.08309</v>
      </c>
    </row>
    <row r="316">
      <c r="A316" t="n">
        <v>1000764</v>
      </c>
      <c r="B316" t="n">
        <v>1</v>
      </c>
      <c r="C316" t="n">
        <v>764</v>
      </c>
      <c r="D316" t="n">
        <v>-0.3521</v>
      </c>
      <c r="E316" t="n">
        <v>9.7814</v>
      </c>
      <c r="F316" t="n">
        <v>0.08309999999999999</v>
      </c>
    </row>
    <row r="317">
      <c r="A317" t="n">
        <v>1000765</v>
      </c>
      <c r="B317" t="n">
        <v>1</v>
      </c>
      <c r="C317" t="n">
        <v>765</v>
      </c>
      <c r="D317" t="n">
        <v>-0.3521</v>
      </c>
      <c r="E317" t="n">
        <v>9.800700000000001</v>
      </c>
      <c r="F317" t="n">
        <v>0.08311</v>
      </c>
    </row>
    <row r="318">
      <c r="A318" t="n">
        <v>1000766</v>
      </c>
      <c r="B318" t="n">
        <v>1</v>
      </c>
      <c r="C318" t="n">
        <v>766</v>
      </c>
      <c r="D318" t="n">
        <v>-0.3521</v>
      </c>
      <c r="E318" t="n">
        <v>9.82</v>
      </c>
      <c r="F318" t="n">
        <v>0.08312</v>
      </c>
    </row>
    <row r="319">
      <c r="A319" t="n">
        <v>1000767</v>
      </c>
      <c r="B319" t="n">
        <v>1</v>
      </c>
      <c r="C319" t="n">
        <v>767</v>
      </c>
      <c r="D319" t="n">
        <v>-0.3521</v>
      </c>
      <c r="E319" t="n">
        <v>9.8392</v>
      </c>
      <c r="F319" t="n">
        <v>0.08312</v>
      </c>
    </row>
    <row r="320">
      <c r="A320" t="n">
        <v>1000768</v>
      </c>
      <c r="B320" t="n">
        <v>1</v>
      </c>
      <c r="C320" t="n">
        <v>768</v>
      </c>
      <c r="D320" t="n">
        <v>-0.3521</v>
      </c>
      <c r="E320" t="n">
        <v>9.8583</v>
      </c>
      <c r="F320" t="n">
        <v>0.08313</v>
      </c>
    </row>
    <row r="321">
      <c r="A321" t="n">
        <v>1000769</v>
      </c>
      <c r="B321" t="n">
        <v>1</v>
      </c>
      <c r="C321" t="n">
        <v>769</v>
      </c>
      <c r="D321" t="n">
        <v>-0.3521</v>
      </c>
      <c r="E321" t="n">
        <v>9.8773</v>
      </c>
      <c r="F321" t="n">
        <v>0.08314000000000001</v>
      </c>
    </row>
    <row r="322">
      <c r="A322" t="n">
        <v>1000770</v>
      </c>
      <c r="B322" t="n">
        <v>1</v>
      </c>
      <c r="C322" t="n">
        <v>770</v>
      </c>
      <c r="D322" t="n">
        <v>-0.3521</v>
      </c>
      <c r="E322" t="n">
        <v>9.8963</v>
      </c>
      <c r="F322" t="n">
        <v>0.08314000000000001</v>
      </c>
    </row>
    <row r="323">
      <c r="A323" t="n">
        <v>1000771</v>
      </c>
      <c r="B323" t="n">
        <v>1</v>
      </c>
      <c r="C323" t="n">
        <v>771</v>
      </c>
      <c r="D323" t="n">
        <v>-0.3521</v>
      </c>
      <c r="E323" t="n">
        <v>9.9152</v>
      </c>
      <c r="F323" t="n">
        <v>0.08315</v>
      </c>
    </row>
    <row r="324">
      <c r="A324" t="n">
        <v>1000772</v>
      </c>
      <c r="B324" t="n">
        <v>1</v>
      </c>
      <c r="C324" t="n">
        <v>772</v>
      </c>
      <c r="D324" t="n">
        <v>-0.3521</v>
      </c>
      <c r="E324" t="n">
        <v>9.934100000000001</v>
      </c>
      <c r="F324" t="n">
        <v>0.08315</v>
      </c>
    </row>
    <row r="325">
      <c r="A325" t="n">
        <v>1000773</v>
      </c>
      <c r="B325" t="n">
        <v>1</v>
      </c>
      <c r="C325" t="n">
        <v>773</v>
      </c>
      <c r="D325" t="n">
        <v>-0.3521</v>
      </c>
      <c r="E325" t="n">
        <v>9.9528</v>
      </c>
      <c r="F325" t="n">
        <v>0.08316</v>
      </c>
    </row>
    <row r="326">
      <c r="A326" t="n">
        <v>1000774</v>
      </c>
      <c r="B326" t="n">
        <v>1</v>
      </c>
      <c r="C326" t="n">
        <v>774</v>
      </c>
      <c r="D326" t="n">
        <v>-0.3521</v>
      </c>
      <c r="E326" t="n">
        <v>9.9716</v>
      </c>
      <c r="F326" t="n">
        <v>0.08316</v>
      </c>
    </row>
    <row r="327">
      <c r="A327" t="n">
        <v>1000775</v>
      </c>
      <c r="B327" t="n">
        <v>1</v>
      </c>
      <c r="C327" t="n">
        <v>775</v>
      </c>
      <c r="D327" t="n">
        <v>-0.3521</v>
      </c>
      <c r="E327" t="n">
        <v>9.9902</v>
      </c>
      <c r="F327" t="n">
        <v>0.08316999999999999</v>
      </c>
    </row>
    <row r="328">
      <c r="A328" t="n">
        <v>1000776</v>
      </c>
      <c r="B328" t="n">
        <v>1</v>
      </c>
      <c r="C328" t="n">
        <v>776</v>
      </c>
      <c r="D328" t="n">
        <v>-0.3521</v>
      </c>
      <c r="E328" t="n">
        <v>10.0088</v>
      </c>
      <c r="F328" t="n">
        <v>0.08316999999999999</v>
      </c>
    </row>
    <row r="329">
      <c r="A329" t="n">
        <v>1000777</v>
      </c>
      <c r="B329" t="n">
        <v>1</v>
      </c>
      <c r="C329" t="n">
        <v>777</v>
      </c>
      <c r="D329" t="n">
        <v>-0.3521</v>
      </c>
      <c r="E329" t="n">
        <v>10.0274</v>
      </c>
      <c r="F329" t="n">
        <v>0.08316999999999999</v>
      </c>
    </row>
    <row r="330">
      <c r="A330" t="n">
        <v>1000778</v>
      </c>
      <c r="B330" t="n">
        <v>1</v>
      </c>
      <c r="C330" t="n">
        <v>778</v>
      </c>
      <c r="D330" t="n">
        <v>-0.3521</v>
      </c>
      <c r="E330" t="n">
        <v>10.0459</v>
      </c>
      <c r="F330" t="n">
        <v>0.08318</v>
      </c>
    </row>
    <row r="331">
      <c r="A331" t="n">
        <v>1000779</v>
      </c>
      <c r="B331" t="n">
        <v>1</v>
      </c>
      <c r="C331" t="n">
        <v>779</v>
      </c>
      <c r="D331" t="n">
        <v>-0.3521</v>
      </c>
      <c r="E331" t="n">
        <v>10.0643</v>
      </c>
      <c r="F331" t="n">
        <v>0.08318</v>
      </c>
    </row>
    <row r="332">
      <c r="A332" t="n">
        <v>1000780</v>
      </c>
      <c r="B332" t="n">
        <v>1</v>
      </c>
      <c r="C332" t="n">
        <v>780</v>
      </c>
      <c r="D332" t="n">
        <v>-0.3521</v>
      </c>
      <c r="E332" t="n">
        <v>10.0827</v>
      </c>
      <c r="F332" t="n">
        <v>0.08318</v>
      </c>
    </row>
    <row r="333">
      <c r="A333" t="n">
        <v>1000781</v>
      </c>
      <c r="B333" t="n">
        <v>1</v>
      </c>
      <c r="C333" t="n">
        <v>781</v>
      </c>
      <c r="D333" t="n">
        <v>-0.3521</v>
      </c>
      <c r="E333" t="n">
        <v>10.1011</v>
      </c>
      <c r="F333" t="n">
        <v>0.08318</v>
      </c>
    </row>
    <row r="334">
      <c r="A334" t="n">
        <v>1000782</v>
      </c>
      <c r="B334" t="n">
        <v>1</v>
      </c>
      <c r="C334" t="n">
        <v>782</v>
      </c>
      <c r="D334" t="n">
        <v>-0.3521</v>
      </c>
      <c r="E334" t="n">
        <v>10.1194</v>
      </c>
      <c r="F334" t="n">
        <v>0.08318</v>
      </c>
    </row>
    <row r="335">
      <c r="A335" t="n">
        <v>1000783</v>
      </c>
      <c r="B335" t="n">
        <v>1</v>
      </c>
      <c r="C335" t="n">
        <v>783</v>
      </c>
      <c r="D335" t="n">
        <v>-0.3521</v>
      </c>
      <c r="E335" t="n">
        <v>10.1377</v>
      </c>
      <c r="F335" t="n">
        <v>0.08318</v>
      </c>
    </row>
    <row r="336">
      <c r="A336" t="n">
        <v>1000784</v>
      </c>
      <c r="B336" t="n">
        <v>1</v>
      </c>
      <c r="C336" t="n">
        <v>784</v>
      </c>
      <c r="D336" t="n">
        <v>-0.3521</v>
      </c>
      <c r="E336" t="n">
        <v>10.1559</v>
      </c>
      <c r="F336" t="n">
        <v>0.08318</v>
      </c>
    </row>
    <row r="337">
      <c r="A337" t="n">
        <v>1000785</v>
      </c>
      <c r="B337" t="n">
        <v>1</v>
      </c>
      <c r="C337" t="n">
        <v>785</v>
      </c>
      <c r="D337" t="n">
        <v>-0.3521</v>
      </c>
      <c r="E337" t="n">
        <v>10.1741</v>
      </c>
      <c r="F337" t="n">
        <v>0.08318</v>
      </c>
    </row>
    <row r="338">
      <c r="A338" t="n">
        <v>1000786</v>
      </c>
      <c r="B338" t="n">
        <v>1</v>
      </c>
      <c r="C338" t="n">
        <v>786</v>
      </c>
      <c r="D338" t="n">
        <v>-0.3521</v>
      </c>
      <c r="E338" t="n">
        <v>10.1923</v>
      </c>
      <c r="F338" t="n">
        <v>0.08316999999999999</v>
      </c>
    </row>
    <row r="339">
      <c r="A339" t="n">
        <v>1000787</v>
      </c>
      <c r="B339" t="n">
        <v>1</v>
      </c>
      <c r="C339" t="n">
        <v>787</v>
      </c>
      <c r="D339" t="n">
        <v>-0.3521</v>
      </c>
      <c r="E339" t="n">
        <v>10.2105</v>
      </c>
      <c r="F339" t="n">
        <v>0.08316999999999999</v>
      </c>
    </row>
    <row r="340">
      <c r="A340" t="n">
        <v>1000788</v>
      </c>
      <c r="B340" t="n">
        <v>1</v>
      </c>
      <c r="C340" t="n">
        <v>788</v>
      </c>
      <c r="D340" t="n">
        <v>-0.3521</v>
      </c>
      <c r="E340" t="n">
        <v>10.2286</v>
      </c>
      <c r="F340" t="n">
        <v>0.08316999999999999</v>
      </c>
    </row>
    <row r="341">
      <c r="A341" t="n">
        <v>1000789</v>
      </c>
      <c r="B341" t="n">
        <v>1</v>
      </c>
      <c r="C341" t="n">
        <v>789</v>
      </c>
      <c r="D341" t="n">
        <v>-0.3521</v>
      </c>
      <c r="E341" t="n">
        <v>10.2468</v>
      </c>
      <c r="F341" t="n">
        <v>0.08316</v>
      </c>
    </row>
    <row r="342">
      <c r="A342" t="n">
        <v>1000790</v>
      </c>
      <c r="B342" t="n">
        <v>1</v>
      </c>
      <c r="C342" t="n">
        <v>790</v>
      </c>
      <c r="D342" t="n">
        <v>-0.3521</v>
      </c>
      <c r="E342" t="n">
        <v>10.2649</v>
      </c>
      <c r="F342" t="n">
        <v>0.08316</v>
      </c>
    </row>
    <row r="343">
      <c r="A343" t="n">
        <v>1000791</v>
      </c>
      <c r="B343" t="n">
        <v>1</v>
      </c>
      <c r="C343" t="n">
        <v>791</v>
      </c>
      <c r="D343" t="n">
        <v>-0.3521</v>
      </c>
      <c r="E343" t="n">
        <v>10.2831</v>
      </c>
      <c r="F343" t="n">
        <v>0.08315</v>
      </c>
    </row>
    <row r="344">
      <c r="A344" t="n">
        <v>1000792</v>
      </c>
      <c r="B344" t="n">
        <v>1</v>
      </c>
      <c r="C344" t="n">
        <v>792</v>
      </c>
      <c r="D344" t="n">
        <v>-0.3521</v>
      </c>
      <c r="E344" t="n">
        <v>10.3012</v>
      </c>
      <c r="F344" t="n">
        <v>0.08315</v>
      </c>
    </row>
    <row r="345">
      <c r="A345" t="n">
        <v>1000793</v>
      </c>
      <c r="B345" t="n">
        <v>1</v>
      </c>
      <c r="C345" t="n">
        <v>793</v>
      </c>
      <c r="D345" t="n">
        <v>-0.3521</v>
      </c>
      <c r="E345" t="n">
        <v>10.3194</v>
      </c>
      <c r="F345" t="n">
        <v>0.08314000000000001</v>
      </c>
    </row>
    <row r="346">
      <c r="A346" t="n">
        <v>1000794</v>
      </c>
      <c r="B346" t="n">
        <v>1</v>
      </c>
      <c r="C346" t="n">
        <v>794</v>
      </c>
      <c r="D346" t="n">
        <v>-0.3521</v>
      </c>
      <c r="E346" t="n">
        <v>10.3376</v>
      </c>
      <c r="F346" t="n">
        <v>0.08313</v>
      </c>
    </row>
    <row r="347">
      <c r="A347" t="n">
        <v>1000795</v>
      </c>
      <c r="B347" t="n">
        <v>1</v>
      </c>
      <c r="C347" t="n">
        <v>795</v>
      </c>
      <c r="D347" t="n">
        <v>-0.3521</v>
      </c>
      <c r="E347" t="n">
        <v>10.3558</v>
      </c>
      <c r="F347" t="n">
        <v>0.08313</v>
      </c>
    </row>
    <row r="348">
      <c r="A348" t="n">
        <v>1000796</v>
      </c>
      <c r="B348" t="n">
        <v>1</v>
      </c>
      <c r="C348" t="n">
        <v>796</v>
      </c>
      <c r="D348" t="n">
        <v>-0.3521</v>
      </c>
      <c r="E348" t="n">
        <v>10.3741</v>
      </c>
      <c r="F348" t="n">
        <v>0.08312</v>
      </c>
    </row>
    <row r="349">
      <c r="A349" t="n">
        <v>1000797</v>
      </c>
      <c r="B349" t="n">
        <v>1</v>
      </c>
      <c r="C349" t="n">
        <v>797</v>
      </c>
      <c r="D349" t="n">
        <v>-0.3521</v>
      </c>
      <c r="E349" t="n">
        <v>10.3923</v>
      </c>
      <c r="F349" t="n">
        <v>0.08311</v>
      </c>
    </row>
    <row r="350">
      <c r="A350" t="n">
        <v>1000798</v>
      </c>
      <c r="B350" t="n">
        <v>1</v>
      </c>
      <c r="C350" t="n">
        <v>798</v>
      </c>
      <c r="D350" t="n">
        <v>-0.3521</v>
      </c>
      <c r="E350" t="n">
        <v>10.4107</v>
      </c>
      <c r="F350" t="n">
        <v>0.08309999999999999</v>
      </c>
    </row>
    <row r="351">
      <c r="A351" t="n">
        <v>1000799</v>
      </c>
      <c r="B351" t="n">
        <v>1</v>
      </c>
      <c r="C351" t="n">
        <v>799</v>
      </c>
      <c r="D351" t="n">
        <v>-0.3521</v>
      </c>
      <c r="E351" t="n">
        <v>10.4291</v>
      </c>
      <c r="F351" t="n">
        <v>0.08309</v>
      </c>
    </row>
    <row r="352">
      <c r="A352" t="n">
        <v>1000800</v>
      </c>
      <c r="B352" t="n">
        <v>1</v>
      </c>
      <c r="C352" t="n">
        <v>800</v>
      </c>
      <c r="D352" t="n">
        <v>-0.3521</v>
      </c>
      <c r="E352" t="n">
        <v>10.4475</v>
      </c>
      <c r="F352" t="n">
        <v>0.08308</v>
      </c>
    </row>
    <row r="353">
      <c r="A353" t="n">
        <v>1000801</v>
      </c>
      <c r="B353" t="n">
        <v>1</v>
      </c>
      <c r="C353" t="n">
        <v>801</v>
      </c>
      <c r="D353" t="n">
        <v>-0.3521</v>
      </c>
      <c r="E353" t="n">
        <v>10.466</v>
      </c>
      <c r="F353" t="n">
        <v>0.08307</v>
      </c>
    </row>
    <row r="354">
      <c r="A354" t="n">
        <v>1000802</v>
      </c>
      <c r="B354" t="n">
        <v>1</v>
      </c>
      <c r="C354" t="n">
        <v>802</v>
      </c>
      <c r="D354" t="n">
        <v>-0.3521</v>
      </c>
      <c r="E354" t="n">
        <v>10.4845</v>
      </c>
      <c r="F354" t="n">
        <v>0.08305</v>
      </c>
    </row>
    <row r="355">
      <c r="A355" t="n">
        <v>1000803</v>
      </c>
      <c r="B355" t="n">
        <v>1</v>
      </c>
      <c r="C355" t="n">
        <v>803</v>
      </c>
      <c r="D355" t="n">
        <v>-0.3521</v>
      </c>
      <c r="E355" t="n">
        <v>10.5031</v>
      </c>
      <c r="F355" t="n">
        <v>0.08304</v>
      </c>
    </row>
    <row r="356">
      <c r="A356" t="n">
        <v>1000804</v>
      </c>
      <c r="B356" t="n">
        <v>1</v>
      </c>
      <c r="C356" t="n">
        <v>804</v>
      </c>
      <c r="D356" t="n">
        <v>-0.3521</v>
      </c>
      <c r="E356" t="n">
        <v>10.5217</v>
      </c>
      <c r="F356" t="n">
        <v>0.08303000000000001</v>
      </c>
    </row>
    <row r="357">
      <c r="A357" t="n">
        <v>1000805</v>
      </c>
      <c r="B357" t="n">
        <v>1</v>
      </c>
      <c r="C357" t="n">
        <v>805</v>
      </c>
      <c r="D357" t="n">
        <v>-0.3521</v>
      </c>
      <c r="E357" t="n">
        <v>10.5405</v>
      </c>
      <c r="F357" t="n">
        <v>0.08301</v>
      </c>
    </row>
    <row r="358">
      <c r="A358" t="n">
        <v>1000806</v>
      </c>
      <c r="B358" t="n">
        <v>1</v>
      </c>
      <c r="C358" t="n">
        <v>806</v>
      </c>
      <c r="D358" t="n">
        <v>-0.3521</v>
      </c>
      <c r="E358" t="n">
        <v>10.5592</v>
      </c>
      <c r="F358" t="n">
        <v>0.083</v>
      </c>
    </row>
    <row r="359">
      <c r="A359" t="n">
        <v>1000807</v>
      </c>
      <c r="B359" t="n">
        <v>1</v>
      </c>
      <c r="C359" t="n">
        <v>807</v>
      </c>
      <c r="D359" t="n">
        <v>-0.3521</v>
      </c>
      <c r="E359" t="n">
        <v>10.5781</v>
      </c>
      <c r="F359" t="n">
        <v>0.08298</v>
      </c>
    </row>
    <row r="360">
      <c r="A360" t="n">
        <v>1000808</v>
      </c>
      <c r="B360" t="n">
        <v>1</v>
      </c>
      <c r="C360" t="n">
        <v>808</v>
      </c>
      <c r="D360" t="n">
        <v>-0.3521</v>
      </c>
      <c r="E360" t="n">
        <v>10.597</v>
      </c>
      <c r="F360" t="n">
        <v>0.08297</v>
      </c>
    </row>
    <row r="361">
      <c r="A361" t="n">
        <v>1000809</v>
      </c>
      <c r="B361" t="n">
        <v>1</v>
      </c>
      <c r="C361" t="n">
        <v>809</v>
      </c>
      <c r="D361" t="n">
        <v>-0.3521</v>
      </c>
      <c r="E361" t="n">
        <v>10.6161</v>
      </c>
      <c r="F361" t="n">
        <v>0.08295</v>
      </c>
    </row>
    <row r="362">
      <c r="A362" t="n">
        <v>1000810</v>
      </c>
      <c r="B362" t="n">
        <v>1</v>
      </c>
      <c r="C362" t="n">
        <v>810</v>
      </c>
      <c r="D362" t="n">
        <v>-0.3521</v>
      </c>
      <c r="E362" t="n">
        <v>10.6352</v>
      </c>
      <c r="F362" t="n">
        <v>0.08293</v>
      </c>
    </row>
    <row r="363">
      <c r="A363" t="n">
        <v>1000811</v>
      </c>
      <c r="B363" t="n">
        <v>1</v>
      </c>
      <c r="C363" t="n">
        <v>811</v>
      </c>
      <c r="D363" t="n">
        <v>-0.3521</v>
      </c>
      <c r="E363" t="n">
        <v>10.6544</v>
      </c>
      <c r="F363" t="n">
        <v>0.08291</v>
      </c>
    </row>
    <row r="364">
      <c r="A364" t="n">
        <v>1000812</v>
      </c>
      <c r="B364" t="n">
        <v>1</v>
      </c>
      <c r="C364" t="n">
        <v>812</v>
      </c>
      <c r="D364" t="n">
        <v>-0.3521</v>
      </c>
      <c r="E364" t="n">
        <v>10.6737</v>
      </c>
      <c r="F364" t="n">
        <v>0.0829</v>
      </c>
    </row>
    <row r="365">
      <c r="A365" t="n">
        <v>1000813</v>
      </c>
      <c r="B365" t="n">
        <v>1</v>
      </c>
      <c r="C365" t="n">
        <v>813</v>
      </c>
      <c r="D365" t="n">
        <v>-0.3521</v>
      </c>
      <c r="E365" t="n">
        <v>10.6931</v>
      </c>
      <c r="F365" t="n">
        <v>0.08288</v>
      </c>
    </row>
    <row r="366">
      <c r="A366" t="n">
        <v>1000814</v>
      </c>
      <c r="B366" t="n">
        <v>1</v>
      </c>
      <c r="C366" t="n">
        <v>814</v>
      </c>
      <c r="D366" t="n">
        <v>-0.3521</v>
      </c>
      <c r="E366" t="n">
        <v>10.7126</v>
      </c>
      <c r="F366" t="n">
        <v>0.08286</v>
      </c>
    </row>
    <row r="367">
      <c r="A367" t="n">
        <v>1000815</v>
      </c>
      <c r="B367" t="n">
        <v>1</v>
      </c>
      <c r="C367" t="n">
        <v>815</v>
      </c>
      <c r="D367" t="n">
        <v>-0.3521</v>
      </c>
      <c r="E367" t="n">
        <v>10.7322</v>
      </c>
      <c r="F367" t="n">
        <v>0.08284</v>
      </c>
    </row>
    <row r="368">
      <c r="A368" t="n">
        <v>1000816</v>
      </c>
      <c r="B368" t="n">
        <v>1</v>
      </c>
      <c r="C368" t="n">
        <v>816</v>
      </c>
      <c r="D368" t="n">
        <v>-0.3521</v>
      </c>
      <c r="E368" t="n">
        <v>10.752</v>
      </c>
      <c r="F368" t="n">
        <v>0.08282</v>
      </c>
    </row>
    <row r="369">
      <c r="A369" t="n">
        <v>1000817</v>
      </c>
      <c r="B369" t="n">
        <v>1</v>
      </c>
      <c r="C369" t="n">
        <v>817</v>
      </c>
      <c r="D369" t="n">
        <v>-0.3521</v>
      </c>
      <c r="E369" t="n">
        <v>10.7718</v>
      </c>
      <c r="F369" t="n">
        <v>0.08279</v>
      </c>
    </row>
    <row r="370">
      <c r="A370" t="n">
        <v>1000818</v>
      </c>
      <c r="B370" t="n">
        <v>1</v>
      </c>
      <c r="C370" t="n">
        <v>818</v>
      </c>
      <c r="D370" t="n">
        <v>-0.3521</v>
      </c>
      <c r="E370" t="n">
        <v>10.7918</v>
      </c>
      <c r="F370" t="n">
        <v>0.08277</v>
      </c>
    </row>
    <row r="371">
      <c r="A371" t="n">
        <v>1000819</v>
      </c>
      <c r="B371" t="n">
        <v>1</v>
      </c>
      <c r="C371" t="n">
        <v>819</v>
      </c>
      <c r="D371" t="n">
        <v>-0.3521</v>
      </c>
      <c r="E371" t="n">
        <v>10.8119</v>
      </c>
      <c r="F371" t="n">
        <v>0.08275</v>
      </c>
    </row>
    <row r="372">
      <c r="A372" t="n">
        <v>1000820</v>
      </c>
      <c r="B372" t="n">
        <v>1</v>
      </c>
      <c r="C372" t="n">
        <v>820</v>
      </c>
      <c r="D372" t="n">
        <v>-0.3521</v>
      </c>
      <c r="E372" t="n">
        <v>10.8321</v>
      </c>
      <c r="F372" t="n">
        <v>0.08273</v>
      </c>
    </row>
    <row r="373">
      <c r="A373" t="n">
        <v>1000821</v>
      </c>
      <c r="B373" t="n">
        <v>1</v>
      </c>
      <c r="C373" t="n">
        <v>821</v>
      </c>
      <c r="D373" t="n">
        <v>-0.3521</v>
      </c>
      <c r="E373" t="n">
        <v>10.8524</v>
      </c>
      <c r="F373" t="n">
        <v>0.0827</v>
      </c>
    </row>
    <row r="374">
      <c r="A374" t="n">
        <v>1000822</v>
      </c>
      <c r="B374" t="n">
        <v>1</v>
      </c>
      <c r="C374" t="n">
        <v>822</v>
      </c>
      <c r="D374" t="n">
        <v>-0.3521</v>
      </c>
      <c r="E374" t="n">
        <v>10.8728</v>
      </c>
      <c r="F374" t="n">
        <v>0.08268</v>
      </c>
    </row>
    <row r="375">
      <c r="A375" t="n">
        <v>1000823</v>
      </c>
      <c r="B375" t="n">
        <v>1</v>
      </c>
      <c r="C375" t="n">
        <v>823</v>
      </c>
      <c r="D375" t="n">
        <v>-0.3521</v>
      </c>
      <c r="E375" t="n">
        <v>10.8934</v>
      </c>
      <c r="F375" t="n">
        <v>0.08265</v>
      </c>
    </row>
    <row r="376">
      <c r="A376" t="n">
        <v>1000824</v>
      </c>
      <c r="B376" t="n">
        <v>1</v>
      </c>
      <c r="C376" t="n">
        <v>824</v>
      </c>
      <c r="D376" t="n">
        <v>-0.3521</v>
      </c>
      <c r="E376" t="n">
        <v>10.9142</v>
      </c>
      <c r="F376" t="n">
        <v>0.08263</v>
      </c>
    </row>
    <row r="377">
      <c r="A377" t="n">
        <v>1000825</v>
      </c>
      <c r="B377" t="n">
        <v>1</v>
      </c>
      <c r="C377" t="n">
        <v>825</v>
      </c>
      <c r="D377" t="n">
        <v>-0.3521</v>
      </c>
      <c r="E377" t="n">
        <v>10.935</v>
      </c>
      <c r="F377" t="n">
        <v>0.08260000000000001</v>
      </c>
    </row>
    <row r="378">
      <c r="A378" t="n">
        <v>1000826</v>
      </c>
      <c r="B378" t="n">
        <v>1</v>
      </c>
      <c r="C378" t="n">
        <v>826</v>
      </c>
      <c r="D378" t="n">
        <v>-0.3521</v>
      </c>
      <c r="E378" t="n">
        <v>10.956</v>
      </c>
      <c r="F378" t="n">
        <v>0.08258</v>
      </c>
    </row>
    <row r="379">
      <c r="A379" t="n">
        <v>1000827</v>
      </c>
      <c r="B379" t="n">
        <v>1</v>
      </c>
      <c r="C379" t="n">
        <v>827</v>
      </c>
      <c r="D379" t="n">
        <v>-0.3521</v>
      </c>
      <c r="E379" t="n">
        <v>10.9772</v>
      </c>
      <c r="F379" t="n">
        <v>0.08255</v>
      </c>
    </row>
    <row r="380">
      <c r="A380" t="n">
        <v>1000828</v>
      </c>
      <c r="B380" t="n">
        <v>1</v>
      </c>
      <c r="C380" t="n">
        <v>828</v>
      </c>
      <c r="D380" t="n">
        <v>-0.3521</v>
      </c>
      <c r="E380" t="n">
        <v>10.9985</v>
      </c>
      <c r="F380" t="n">
        <v>0.08252</v>
      </c>
    </row>
    <row r="381">
      <c r="A381" t="n">
        <v>1000829</v>
      </c>
      <c r="B381" t="n">
        <v>1</v>
      </c>
      <c r="C381" t="n">
        <v>829</v>
      </c>
      <c r="D381" t="n">
        <v>-0.3521</v>
      </c>
      <c r="E381" t="n">
        <v>11.0199</v>
      </c>
      <c r="F381" t="n">
        <v>0.08248999999999999</v>
      </c>
    </row>
    <row r="382">
      <c r="A382" t="n">
        <v>1000830</v>
      </c>
      <c r="B382" t="n">
        <v>1</v>
      </c>
      <c r="C382" t="n">
        <v>830</v>
      </c>
      <c r="D382" t="n">
        <v>-0.3521</v>
      </c>
      <c r="E382" t="n">
        <v>11.0415</v>
      </c>
      <c r="F382" t="n">
        <v>0.08246000000000001</v>
      </c>
    </row>
    <row r="383">
      <c r="A383" t="n">
        <v>1000831</v>
      </c>
      <c r="B383" t="n">
        <v>1</v>
      </c>
      <c r="C383" t="n">
        <v>831</v>
      </c>
      <c r="D383" t="n">
        <v>-0.3521</v>
      </c>
      <c r="E383" t="n">
        <v>11.0632</v>
      </c>
      <c r="F383" t="n">
        <v>0.08244</v>
      </c>
    </row>
    <row r="384">
      <c r="A384" t="n">
        <v>1000832</v>
      </c>
      <c r="B384" t="n">
        <v>1</v>
      </c>
      <c r="C384" t="n">
        <v>832</v>
      </c>
      <c r="D384" t="n">
        <v>-0.3521</v>
      </c>
      <c r="E384" t="n">
        <v>11.0851</v>
      </c>
      <c r="F384" t="n">
        <v>0.08241</v>
      </c>
    </row>
    <row r="385">
      <c r="A385" t="n">
        <v>1000833</v>
      </c>
      <c r="B385" t="n">
        <v>1</v>
      </c>
      <c r="C385" t="n">
        <v>833</v>
      </c>
      <c r="D385" t="n">
        <v>-0.3521</v>
      </c>
      <c r="E385" t="n">
        <v>11.1071</v>
      </c>
      <c r="F385" t="n">
        <v>0.08237999999999999</v>
      </c>
    </row>
    <row r="386">
      <c r="A386" t="n">
        <v>1000834</v>
      </c>
      <c r="B386" t="n">
        <v>1</v>
      </c>
      <c r="C386" t="n">
        <v>834</v>
      </c>
      <c r="D386" t="n">
        <v>-0.3521</v>
      </c>
      <c r="E386" t="n">
        <v>11.1293</v>
      </c>
      <c r="F386" t="n">
        <v>0.08235000000000001</v>
      </c>
    </row>
    <row r="387">
      <c r="A387" t="n">
        <v>1000835</v>
      </c>
      <c r="B387" t="n">
        <v>1</v>
      </c>
      <c r="C387" t="n">
        <v>835</v>
      </c>
      <c r="D387" t="n">
        <v>-0.3521</v>
      </c>
      <c r="E387" t="n">
        <v>11.1516</v>
      </c>
      <c r="F387" t="n">
        <v>0.08230999999999999</v>
      </c>
    </row>
    <row r="388">
      <c r="A388" t="n">
        <v>1000836</v>
      </c>
      <c r="B388" t="n">
        <v>1</v>
      </c>
      <c r="C388" t="n">
        <v>836</v>
      </c>
      <c r="D388" t="n">
        <v>-0.3521</v>
      </c>
      <c r="E388" t="n">
        <v>11.174</v>
      </c>
      <c r="F388" t="n">
        <v>0.08228000000000001</v>
      </c>
    </row>
    <row r="389">
      <c r="A389" t="n">
        <v>1000837</v>
      </c>
      <c r="B389" t="n">
        <v>1</v>
      </c>
      <c r="C389" t="n">
        <v>837</v>
      </c>
      <c r="D389" t="n">
        <v>-0.3521</v>
      </c>
      <c r="E389" t="n">
        <v>11.1966</v>
      </c>
      <c r="F389" t="n">
        <v>0.08225</v>
      </c>
    </row>
    <row r="390">
      <c r="A390" t="n">
        <v>1000838</v>
      </c>
      <c r="B390" t="n">
        <v>1</v>
      </c>
      <c r="C390" t="n">
        <v>838</v>
      </c>
      <c r="D390" t="n">
        <v>-0.3521</v>
      </c>
      <c r="E390" t="n">
        <v>11.2193</v>
      </c>
      <c r="F390" t="n">
        <v>0.08222</v>
      </c>
    </row>
    <row r="391">
      <c r="A391" t="n">
        <v>1000839</v>
      </c>
      <c r="B391" t="n">
        <v>1</v>
      </c>
      <c r="C391" t="n">
        <v>839</v>
      </c>
      <c r="D391" t="n">
        <v>-0.3521</v>
      </c>
      <c r="E391" t="n">
        <v>11.2422</v>
      </c>
      <c r="F391" t="n">
        <v>0.08219</v>
      </c>
    </row>
    <row r="392">
      <c r="A392" t="n">
        <v>1000840</v>
      </c>
      <c r="B392" t="n">
        <v>1</v>
      </c>
      <c r="C392" t="n">
        <v>840</v>
      </c>
      <c r="D392" t="n">
        <v>-0.3521</v>
      </c>
      <c r="E392" t="n">
        <v>11.2651</v>
      </c>
      <c r="F392" t="n">
        <v>0.08215</v>
      </c>
    </row>
    <row r="393">
      <c r="A393" t="n">
        <v>1000841</v>
      </c>
      <c r="B393" t="n">
        <v>1</v>
      </c>
      <c r="C393" t="n">
        <v>841</v>
      </c>
      <c r="D393" t="n">
        <v>-0.3521</v>
      </c>
      <c r="E393" t="n">
        <v>11.2882</v>
      </c>
      <c r="F393" t="n">
        <v>0.08212</v>
      </c>
    </row>
    <row r="394">
      <c r="A394" t="n">
        <v>1000842</v>
      </c>
      <c r="B394" t="n">
        <v>1</v>
      </c>
      <c r="C394" t="n">
        <v>842</v>
      </c>
      <c r="D394" t="n">
        <v>-0.3521</v>
      </c>
      <c r="E394" t="n">
        <v>11.3114</v>
      </c>
      <c r="F394" t="n">
        <v>0.08209</v>
      </c>
    </row>
    <row r="395">
      <c r="A395" t="n">
        <v>1000843</v>
      </c>
      <c r="B395" t="n">
        <v>1</v>
      </c>
      <c r="C395" t="n">
        <v>843</v>
      </c>
      <c r="D395" t="n">
        <v>-0.3521</v>
      </c>
      <c r="E395" t="n">
        <v>11.3347</v>
      </c>
      <c r="F395" t="n">
        <v>0.08205</v>
      </c>
    </row>
    <row r="396">
      <c r="A396" t="n">
        <v>1000844</v>
      </c>
      <c r="B396" t="n">
        <v>1</v>
      </c>
      <c r="C396" t="n">
        <v>844</v>
      </c>
      <c r="D396" t="n">
        <v>-0.3521</v>
      </c>
      <c r="E396" t="n">
        <v>11.3581</v>
      </c>
      <c r="F396" t="n">
        <v>0.08202</v>
      </c>
    </row>
    <row r="397">
      <c r="A397" t="n">
        <v>1000845</v>
      </c>
      <c r="B397" t="n">
        <v>1</v>
      </c>
      <c r="C397" t="n">
        <v>845</v>
      </c>
      <c r="D397" t="n">
        <v>-0.3521</v>
      </c>
      <c r="E397" t="n">
        <v>11.3817</v>
      </c>
      <c r="F397" t="n">
        <v>0.08198</v>
      </c>
    </row>
    <row r="398">
      <c r="A398" t="n">
        <v>1000846</v>
      </c>
      <c r="B398" t="n">
        <v>1</v>
      </c>
      <c r="C398" t="n">
        <v>846</v>
      </c>
      <c r="D398" t="n">
        <v>-0.3521</v>
      </c>
      <c r="E398" t="n">
        <v>11.4053</v>
      </c>
      <c r="F398" t="n">
        <v>0.08195</v>
      </c>
    </row>
    <row r="399">
      <c r="A399" t="n">
        <v>1000847</v>
      </c>
      <c r="B399" t="n">
        <v>1</v>
      </c>
      <c r="C399" t="n">
        <v>847</v>
      </c>
      <c r="D399" t="n">
        <v>-0.3521</v>
      </c>
      <c r="E399" t="n">
        <v>11.429</v>
      </c>
      <c r="F399" t="n">
        <v>0.08191</v>
      </c>
    </row>
    <row r="400">
      <c r="A400" t="n">
        <v>1000848</v>
      </c>
      <c r="B400" t="n">
        <v>1</v>
      </c>
      <c r="C400" t="n">
        <v>848</v>
      </c>
      <c r="D400" t="n">
        <v>-0.3521</v>
      </c>
      <c r="E400" t="n">
        <v>11.4529</v>
      </c>
      <c r="F400" t="n">
        <v>0.08187999999999999</v>
      </c>
    </row>
    <row r="401">
      <c r="A401" t="n">
        <v>1000849</v>
      </c>
      <c r="B401" t="n">
        <v>1</v>
      </c>
      <c r="C401" t="n">
        <v>849</v>
      </c>
      <c r="D401" t="n">
        <v>-0.3521</v>
      </c>
      <c r="E401" t="n">
        <v>11.4768</v>
      </c>
      <c r="F401" t="n">
        <v>0.08184</v>
      </c>
    </row>
    <row r="402">
      <c r="A402" t="n">
        <v>1000850</v>
      </c>
      <c r="B402" t="n">
        <v>1</v>
      </c>
      <c r="C402" t="n">
        <v>850</v>
      </c>
      <c r="D402" t="n">
        <v>-0.3521</v>
      </c>
      <c r="E402" t="n">
        <v>11.5007</v>
      </c>
      <c r="F402" t="n">
        <v>0.08180999999999999</v>
      </c>
    </row>
    <row r="403">
      <c r="A403" t="n">
        <v>1000851</v>
      </c>
      <c r="B403" t="n">
        <v>1</v>
      </c>
      <c r="C403" t="n">
        <v>851</v>
      </c>
      <c r="D403" t="n">
        <v>-0.3521</v>
      </c>
      <c r="E403" t="n">
        <v>11.5248</v>
      </c>
      <c r="F403" t="n">
        <v>0.08177</v>
      </c>
    </row>
    <row r="404">
      <c r="A404" t="n">
        <v>1000852</v>
      </c>
      <c r="B404" t="n">
        <v>1</v>
      </c>
      <c r="C404" t="n">
        <v>852</v>
      </c>
      <c r="D404" t="n">
        <v>-0.3521</v>
      </c>
      <c r="E404" t="n">
        <v>11.549</v>
      </c>
      <c r="F404" t="n">
        <v>0.08173999999999999</v>
      </c>
    </row>
    <row r="405">
      <c r="A405" t="n">
        <v>1000853</v>
      </c>
      <c r="B405" t="n">
        <v>1</v>
      </c>
      <c r="C405" t="n">
        <v>853</v>
      </c>
      <c r="D405" t="n">
        <v>-0.3521</v>
      </c>
      <c r="E405" t="n">
        <v>11.5732</v>
      </c>
      <c r="F405" t="n">
        <v>0.08169999999999999</v>
      </c>
    </row>
    <row r="406">
      <c r="A406" t="n">
        <v>1000854</v>
      </c>
      <c r="B406" t="n">
        <v>1</v>
      </c>
      <c r="C406" t="n">
        <v>854</v>
      </c>
      <c r="D406" t="n">
        <v>-0.3521</v>
      </c>
      <c r="E406" t="n">
        <v>11.5975</v>
      </c>
      <c r="F406" t="n">
        <v>0.08166</v>
      </c>
    </row>
    <row r="407">
      <c r="A407" t="n">
        <v>1000855</v>
      </c>
      <c r="B407" t="n">
        <v>1</v>
      </c>
      <c r="C407" t="n">
        <v>855</v>
      </c>
      <c r="D407" t="n">
        <v>-0.3521</v>
      </c>
      <c r="E407" t="n">
        <v>11.6218</v>
      </c>
      <c r="F407" t="n">
        <v>0.08162999999999999</v>
      </c>
    </row>
    <row r="408">
      <c r="A408" t="n">
        <v>1000856</v>
      </c>
      <c r="B408" t="n">
        <v>1</v>
      </c>
      <c r="C408" t="n">
        <v>856</v>
      </c>
      <c r="D408" t="n">
        <v>-0.3521</v>
      </c>
      <c r="E408" t="n">
        <v>11.6462</v>
      </c>
      <c r="F408" t="n">
        <v>0.08159</v>
      </c>
    </row>
    <row r="409">
      <c r="A409" t="n">
        <v>1000857</v>
      </c>
      <c r="B409" t="n">
        <v>1</v>
      </c>
      <c r="C409" t="n">
        <v>857</v>
      </c>
      <c r="D409" t="n">
        <v>-0.3521</v>
      </c>
      <c r="E409" t="n">
        <v>11.6707</v>
      </c>
      <c r="F409" t="n">
        <v>0.08155999999999999</v>
      </c>
    </row>
    <row r="410">
      <c r="A410" t="n">
        <v>1000858</v>
      </c>
      <c r="B410" t="n">
        <v>1</v>
      </c>
      <c r="C410" t="n">
        <v>858</v>
      </c>
      <c r="D410" t="n">
        <v>-0.3521</v>
      </c>
      <c r="E410" t="n">
        <v>11.6952</v>
      </c>
      <c r="F410" t="n">
        <v>0.08152</v>
      </c>
    </row>
    <row r="411">
      <c r="A411" t="n">
        <v>1000859</v>
      </c>
      <c r="B411" t="n">
        <v>1</v>
      </c>
      <c r="C411" t="n">
        <v>859</v>
      </c>
      <c r="D411" t="n">
        <v>-0.3521</v>
      </c>
      <c r="E411" t="n">
        <v>11.7198</v>
      </c>
      <c r="F411" t="n">
        <v>0.08148</v>
      </c>
    </row>
    <row r="412">
      <c r="A412" t="n">
        <v>1000860</v>
      </c>
      <c r="B412" t="n">
        <v>1</v>
      </c>
      <c r="C412" t="n">
        <v>860</v>
      </c>
      <c r="D412" t="n">
        <v>-0.3521</v>
      </c>
      <c r="E412" t="n">
        <v>11.7444</v>
      </c>
      <c r="F412" t="n">
        <v>0.08144999999999999</v>
      </c>
    </row>
    <row r="413">
      <c r="A413" t="n">
        <v>1000861</v>
      </c>
      <c r="B413" t="n">
        <v>1</v>
      </c>
      <c r="C413" t="n">
        <v>861</v>
      </c>
      <c r="D413" t="n">
        <v>-0.3521</v>
      </c>
      <c r="E413" t="n">
        <v>11.769</v>
      </c>
      <c r="F413" t="n">
        <v>0.08141</v>
      </c>
    </row>
    <row r="414">
      <c r="A414" t="n">
        <v>1000862</v>
      </c>
      <c r="B414" t="n">
        <v>1</v>
      </c>
      <c r="C414" t="n">
        <v>862</v>
      </c>
      <c r="D414" t="n">
        <v>-0.3521</v>
      </c>
      <c r="E414" t="n">
        <v>11.7937</v>
      </c>
      <c r="F414" t="n">
        <v>0.08137999999999999</v>
      </c>
    </row>
    <row r="415">
      <c r="A415" t="n">
        <v>1000863</v>
      </c>
      <c r="B415" t="n">
        <v>1</v>
      </c>
      <c r="C415" t="n">
        <v>863</v>
      </c>
      <c r="D415" t="n">
        <v>-0.3521</v>
      </c>
      <c r="E415" t="n">
        <v>11.8184</v>
      </c>
      <c r="F415" t="n">
        <v>0.08134</v>
      </c>
    </row>
    <row r="416">
      <c r="A416" t="n">
        <v>1000864</v>
      </c>
      <c r="B416" t="n">
        <v>1</v>
      </c>
      <c r="C416" t="n">
        <v>864</v>
      </c>
      <c r="D416" t="n">
        <v>-0.3521</v>
      </c>
      <c r="E416" t="n">
        <v>11.8431</v>
      </c>
      <c r="F416" t="n">
        <v>0.08130999999999999</v>
      </c>
    </row>
    <row r="417">
      <c r="A417" t="n">
        <v>1000865</v>
      </c>
      <c r="B417" t="n">
        <v>1</v>
      </c>
      <c r="C417" t="n">
        <v>865</v>
      </c>
      <c r="D417" t="n">
        <v>-0.3521</v>
      </c>
      <c r="E417" t="n">
        <v>11.8678</v>
      </c>
      <c r="F417" t="n">
        <v>0.08128000000000001</v>
      </c>
    </row>
    <row r="418">
      <c r="A418" t="n">
        <v>1000866</v>
      </c>
      <c r="B418" t="n">
        <v>1</v>
      </c>
      <c r="C418" t="n">
        <v>866</v>
      </c>
      <c r="D418" t="n">
        <v>-0.3521</v>
      </c>
      <c r="E418" t="n">
        <v>11.8926</v>
      </c>
      <c r="F418" t="n">
        <v>0.08124000000000001</v>
      </c>
    </row>
    <row r="419">
      <c r="A419" t="n">
        <v>1000867</v>
      </c>
      <c r="B419" t="n">
        <v>1</v>
      </c>
      <c r="C419" t="n">
        <v>867</v>
      </c>
      <c r="D419" t="n">
        <v>-0.3521</v>
      </c>
      <c r="E419" t="n">
        <v>11.9173</v>
      </c>
      <c r="F419" t="n">
        <v>0.08121</v>
      </c>
    </row>
    <row r="420">
      <c r="A420" t="n">
        <v>1000868</v>
      </c>
      <c r="B420" t="n">
        <v>1</v>
      </c>
      <c r="C420" t="n">
        <v>868</v>
      </c>
      <c r="D420" t="n">
        <v>-0.3521</v>
      </c>
      <c r="E420" t="n">
        <v>11.9421</v>
      </c>
      <c r="F420" t="n">
        <v>0.08118</v>
      </c>
    </row>
    <row r="421">
      <c r="A421" t="n">
        <v>1000869</v>
      </c>
      <c r="B421" t="n">
        <v>1</v>
      </c>
      <c r="C421" t="n">
        <v>869</v>
      </c>
      <c r="D421" t="n">
        <v>-0.3521</v>
      </c>
      <c r="E421" t="n">
        <v>11.9668</v>
      </c>
      <c r="F421" t="n">
        <v>0.08114</v>
      </c>
    </row>
    <row r="422">
      <c r="A422" t="n">
        <v>1000870</v>
      </c>
      <c r="B422" t="n">
        <v>1</v>
      </c>
      <c r="C422" t="n">
        <v>870</v>
      </c>
      <c r="D422" t="n">
        <v>-0.3521</v>
      </c>
      <c r="E422" t="n">
        <v>11.9916</v>
      </c>
      <c r="F422" t="n">
        <v>0.08111</v>
      </c>
    </row>
    <row r="423">
      <c r="A423" t="n">
        <v>1000871</v>
      </c>
      <c r="B423" t="n">
        <v>1</v>
      </c>
      <c r="C423" t="n">
        <v>871</v>
      </c>
      <c r="D423" t="n">
        <v>-0.3521</v>
      </c>
      <c r="E423" t="n">
        <v>12.0163</v>
      </c>
      <c r="F423" t="n">
        <v>0.08108</v>
      </c>
    </row>
    <row r="424">
      <c r="A424" t="n">
        <v>1000872</v>
      </c>
      <c r="B424" t="n">
        <v>1</v>
      </c>
      <c r="C424" t="n">
        <v>872</v>
      </c>
      <c r="D424" t="n">
        <v>-0.3521</v>
      </c>
      <c r="E424" t="n">
        <v>12.0411</v>
      </c>
      <c r="F424" t="n">
        <v>0.08105</v>
      </c>
    </row>
    <row r="425">
      <c r="A425" t="n">
        <v>1000873</v>
      </c>
      <c r="B425" t="n">
        <v>1</v>
      </c>
      <c r="C425" t="n">
        <v>873</v>
      </c>
      <c r="D425" t="n">
        <v>-0.3521</v>
      </c>
      <c r="E425" t="n">
        <v>12.0658</v>
      </c>
      <c r="F425" t="n">
        <v>0.08101999999999999</v>
      </c>
    </row>
    <row r="426">
      <c r="A426" t="n">
        <v>1000874</v>
      </c>
      <c r="B426" t="n">
        <v>1</v>
      </c>
      <c r="C426" t="n">
        <v>874</v>
      </c>
      <c r="D426" t="n">
        <v>-0.3521</v>
      </c>
      <c r="E426" t="n">
        <v>12.0905</v>
      </c>
      <c r="F426" t="n">
        <v>0.08099000000000001</v>
      </c>
    </row>
    <row r="427">
      <c r="A427" t="n">
        <v>1000875</v>
      </c>
      <c r="B427" t="n">
        <v>1</v>
      </c>
      <c r="C427" t="n">
        <v>875</v>
      </c>
      <c r="D427" t="n">
        <v>-0.3521</v>
      </c>
      <c r="E427" t="n">
        <v>12.1152</v>
      </c>
      <c r="F427" t="n">
        <v>0.08096</v>
      </c>
    </row>
    <row r="428">
      <c r="A428" t="n">
        <v>1000876</v>
      </c>
      <c r="B428" t="n">
        <v>1</v>
      </c>
      <c r="C428" t="n">
        <v>876</v>
      </c>
      <c r="D428" t="n">
        <v>-0.3521</v>
      </c>
      <c r="E428" t="n">
        <v>12.1398</v>
      </c>
      <c r="F428" t="n">
        <v>0.08093</v>
      </c>
    </row>
    <row r="429">
      <c r="A429" t="n">
        <v>1000877</v>
      </c>
      <c r="B429" t="n">
        <v>1</v>
      </c>
      <c r="C429" t="n">
        <v>877</v>
      </c>
      <c r="D429" t="n">
        <v>-0.3521</v>
      </c>
      <c r="E429" t="n">
        <v>12.1645</v>
      </c>
      <c r="F429" t="n">
        <v>0.0809</v>
      </c>
    </row>
    <row r="430">
      <c r="A430" t="n">
        <v>1000878</v>
      </c>
      <c r="B430" t="n">
        <v>1</v>
      </c>
      <c r="C430" t="n">
        <v>878</v>
      </c>
      <c r="D430" t="n">
        <v>-0.3521</v>
      </c>
      <c r="E430" t="n">
        <v>12.1891</v>
      </c>
      <c r="F430" t="n">
        <v>0.08087</v>
      </c>
    </row>
    <row r="431">
      <c r="A431" t="n">
        <v>1000879</v>
      </c>
      <c r="B431" t="n">
        <v>1</v>
      </c>
      <c r="C431" t="n">
        <v>879</v>
      </c>
      <c r="D431" t="n">
        <v>-0.3521</v>
      </c>
      <c r="E431" t="n">
        <v>12.2136</v>
      </c>
      <c r="F431" t="n">
        <v>0.08084</v>
      </c>
    </row>
    <row r="432">
      <c r="A432" t="n">
        <v>1000880</v>
      </c>
      <c r="B432" t="n">
        <v>1</v>
      </c>
      <c r="C432" t="n">
        <v>880</v>
      </c>
      <c r="D432" t="n">
        <v>-0.3521</v>
      </c>
      <c r="E432" t="n">
        <v>12.2382</v>
      </c>
      <c r="F432" t="n">
        <v>0.08082</v>
      </c>
    </row>
    <row r="433">
      <c r="A433" t="n">
        <v>1000881</v>
      </c>
      <c r="B433" t="n">
        <v>1</v>
      </c>
      <c r="C433" t="n">
        <v>881</v>
      </c>
      <c r="D433" t="n">
        <v>-0.3521</v>
      </c>
      <c r="E433" t="n">
        <v>12.2627</v>
      </c>
      <c r="F433" t="n">
        <v>0.08079</v>
      </c>
    </row>
    <row r="434">
      <c r="A434" t="n">
        <v>1000882</v>
      </c>
      <c r="B434" t="n">
        <v>1</v>
      </c>
      <c r="C434" t="n">
        <v>882</v>
      </c>
      <c r="D434" t="n">
        <v>-0.3521</v>
      </c>
      <c r="E434" t="n">
        <v>12.2871</v>
      </c>
      <c r="F434" t="n">
        <v>0.08076</v>
      </c>
    </row>
    <row r="435">
      <c r="A435" t="n">
        <v>1000883</v>
      </c>
      <c r="B435" t="n">
        <v>1</v>
      </c>
      <c r="C435" t="n">
        <v>883</v>
      </c>
      <c r="D435" t="n">
        <v>-0.3521</v>
      </c>
      <c r="E435" t="n">
        <v>12.3116</v>
      </c>
      <c r="F435" t="n">
        <v>0.08074000000000001</v>
      </c>
    </row>
    <row r="436">
      <c r="A436" t="n">
        <v>1000884</v>
      </c>
      <c r="B436" t="n">
        <v>1</v>
      </c>
      <c r="C436" t="n">
        <v>884</v>
      </c>
      <c r="D436" t="n">
        <v>-0.3521</v>
      </c>
      <c r="E436" t="n">
        <v>12.336</v>
      </c>
      <c r="F436" t="n">
        <v>0.08071</v>
      </c>
    </row>
    <row r="437">
      <c r="A437" t="n">
        <v>1000885</v>
      </c>
      <c r="B437" t="n">
        <v>1</v>
      </c>
      <c r="C437" t="n">
        <v>885</v>
      </c>
      <c r="D437" t="n">
        <v>-0.3521</v>
      </c>
      <c r="E437" t="n">
        <v>12.3603</v>
      </c>
      <c r="F437" t="n">
        <v>0.08069</v>
      </c>
    </row>
    <row r="438">
      <c r="A438" t="n">
        <v>1000886</v>
      </c>
      <c r="B438" t="n">
        <v>1</v>
      </c>
      <c r="C438" t="n">
        <v>886</v>
      </c>
      <c r="D438" t="n">
        <v>-0.3521</v>
      </c>
      <c r="E438" t="n">
        <v>12.3846</v>
      </c>
      <c r="F438" t="n">
        <v>0.08067000000000001</v>
      </c>
    </row>
    <row r="439">
      <c r="A439" t="n">
        <v>1000887</v>
      </c>
      <c r="B439" t="n">
        <v>1</v>
      </c>
      <c r="C439" t="n">
        <v>887</v>
      </c>
      <c r="D439" t="n">
        <v>-0.3521</v>
      </c>
      <c r="E439" t="n">
        <v>12.4089</v>
      </c>
      <c r="F439" t="n">
        <v>0.08064</v>
      </c>
    </row>
    <row r="440">
      <c r="A440" t="n">
        <v>1000888</v>
      </c>
      <c r="B440" t="n">
        <v>1</v>
      </c>
      <c r="C440" t="n">
        <v>888</v>
      </c>
      <c r="D440" t="n">
        <v>-0.3521</v>
      </c>
      <c r="E440" t="n">
        <v>12.4332</v>
      </c>
      <c r="F440" t="n">
        <v>0.08062</v>
      </c>
    </row>
    <row r="441">
      <c r="A441" t="n">
        <v>1000889</v>
      </c>
      <c r="B441" t="n">
        <v>1</v>
      </c>
      <c r="C441" t="n">
        <v>889</v>
      </c>
      <c r="D441" t="n">
        <v>-0.3521</v>
      </c>
      <c r="E441" t="n">
        <v>12.4574</v>
      </c>
      <c r="F441" t="n">
        <v>0.0806</v>
      </c>
    </row>
    <row r="442">
      <c r="A442" t="n">
        <v>1000890</v>
      </c>
      <c r="B442" t="n">
        <v>1</v>
      </c>
      <c r="C442" t="n">
        <v>890</v>
      </c>
      <c r="D442" t="n">
        <v>-0.3521</v>
      </c>
      <c r="E442" t="n">
        <v>12.4815</v>
      </c>
      <c r="F442" t="n">
        <v>0.08058</v>
      </c>
    </row>
    <row r="443">
      <c r="A443" t="n">
        <v>1000891</v>
      </c>
      <c r="B443" t="n">
        <v>1</v>
      </c>
      <c r="C443" t="n">
        <v>891</v>
      </c>
      <c r="D443" t="n">
        <v>-0.3521</v>
      </c>
      <c r="E443" t="n">
        <v>12.5057</v>
      </c>
      <c r="F443" t="n">
        <v>0.08056000000000001</v>
      </c>
    </row>
    <row r="444">
      <c r="A444" t="n">
        <v>1000892</v>
      </c>
      <c r="B444" t="n">
        <v>1</v>
      </c>
      <c r="C444" t="n">
        <v>892</v>
      </c>
      <c r="D444" t="n">
        <v>-0.3521</v>
      </c>
      <c r="E444" t="n">
        <v>12.5298</v>
      </c>
      <c r="F444" t="n">
        <v>0.08054</v>
      </c>
    </row>
    <row r="445">
      <c r="A445" t="n">
        <v>1000893</v>
      </c>
      <c r="B445" t="n">
        <v>1</v>
      </c>
      <c r="C445" t="n">
        <v>893</v>
      </c>
      <c r="D445" t="n">
        <v>-0.3521</v>
      </c>
      <c r="E445" t="n">
        <v>12.5538</v>
      </c>
      <c r="F445" t="n">
        <v>0.08051999999999999</v>
      </c>
    </row>
    <row r="446">
      <c r="A446" t="n">
        <v>1000894</v>
      </c>
      <c r="B446" t="n">
        <v>1</v>
      </c>
      <c r="C446" t="n">
        <v>894</v>
      </c>
      <c r="D446" t="n">
        <v>-0.3521</v>
      </c>
      <c r="E446" t="n">
        <v>12.5778</v>
      </c>
      <c r="F446" t="n">
        <v>0.0805</v>
      </c>
    </row>
    <row r="447">
      <c r="A447" t="n">
        <v>1000895</v>
      </c>
      <c r="B447" t="n">
        <v>1</v>
      </c>
      <c r="C447" t="n">
        <v>895</v>
      </c>
      <c r="D447" t="n">
        <v>-0.3521</v>
      </c>
      <c r="E447" t="n">
        <v>12.6017</v>
      </c>
      <c r="F447" t="n">
        <v>0.08048</v>
      </c>
    </row>
    <row r="448">
      <c r="A448" t="n">
        <v>1000896</v>
      </c>
      <c r="B448" t="n">
        <v>1</v>
      </c>
      <c r="C448" t="n">
        <v>896</v>
      </c>
      <c r="D448" t="n">
        <v>-0.3521</v>
      </c>
      <c r="E448" t="n">
        <v>12.6257</v>
      </c>
      <c r="F448" t="n">
        <v>0.08047</v>
      </c>
    </row>
    <row r="449">
      <c r="A449" t="n">
        <v>1000897</v>
      </c>
      <c r="B449" t="n">
        <v>1</v>
      </c>
      <c r="C449" t="n">
        <v>897</v>
      </c>
      <c r="D449" t="n">
        <v>-0.3521</v>
      </c>
      <c r="E449" t="n">
        <v>12.6495</v>
      </c>
      <c r="F449" t="n">
        <v>0.08044999999999999</v>
      </c>
    </row>
    <row r="450">
      <c r="A450" t="n">
        <v>1000898</v>
      </c>
      <c r="B450" t="n">
        <v>1</v>
      </c>
      <c r="C450" t="n">
        <v>898</v>
      </c>
      <c r="D450" t="n">
        <v>-0.3521</v>
      </c>
      <c r="E450" t="n">
        <v>12.6734</v>
      </c>
      <c r="F450" t="n">
        <v>0.08044</v>
      </c>
    </row>
    <row r="451">
      <c r="A451" t="n">
        <v>1000899</v>
      </c>
      <c r="B451" t="n">
        <v>1</v>
      </c>
      <c r="C451" t="n">
        <v>899</v>
      </c>
      <c r="D451" t="n">
        <v>-0.3521</v>
      </c>
      <c r="E451" t="n">
        <v>12.6972</v>
      </c>
      <c r="F451" t="n">
        <v>0.08042000000000001</v>
      </c>
    </row>
    <row r="452">
      <c r="A452" t="n">
        <v>1000900</v>
      </c>
      <c r="B452" t="n">
        <v>1</v>
      </c>
      <c r="C452" t="n">
        <v>900</v>
      </c>
      <c r="D452" t="n">
        <v>-0.3521</v>
      </c>
      <c r="E452" t="n">
        <v>12.7209</v>
      </c>
      <c r="F452" t="n">
        <v>0.08041</v>
      </c>
    </row>
    <row r="453">
      <c r="A453" t="n">
        <v>1000901</v>
      </c>
      <c r="B453" t="n">
        <v>1</v>
      </c>
      <c r="C453" t="n">
        <v>901</v>
      </c>
      <c r="D453" t="n">
        <v>-0.3521</v>
      </c>
      <c r="E453" t="n">
        <v>12.7446</v>
      </c>
      <c r="F453" t="n">
        <v>0.08039</v>
      </c>
    </row>
    <row r="454">
      <c r="A454" t="n">
        <v>1000902</v>
      </c>
      <c r="B454" t="n">
        <v>1</v>
      </c>
      <c r="C454" t="n">
        <v>902</v>
      </c>
      <c r="D454" t="n">
        <v>-0.3521</v>
      </c>
      <c r="E454" t="n">
        <v>12.7683</v>
      </c>
      <c r="F454" t="n">
        <v>0.08037999999999999</v>
      </c>
    </row>
    <row r="455">
      <c r="A455" t="n">
        <v>1000903</v>
      </c>
      <c r="B455" t="n">
        <v>1</v>
      </c>
      <c r="C455" t="n">
        <v>903</v>
      </c>
      <c r="D455" t="n">
        <v>-0.3521</v>
      </c>
      <c r="E455" t="n">
        <v>12.792</v>
      </c>
      <c r="F455" t="n">
        <v>0.08037</v>
      </c>
    </row>
    <row r="456">
      <c r="A456" t="n">
        <v>1000904</v>
      </c>
      <c r="B456" t="n">
        <v>1</v>
      </c>
      <c r="C456" t="n">
        <v>904</v>
      </c>
      <c r="D456" t="n">
        <v>-0.3521</v>
      </c>
      <c r="E456" t="n">
        <v>12.8156</v>
      </c>
      <c r="F456" t="n">
        <v>0.08035</v>
      </c>
    </row>
    <row r="457">
      <c r="A457" t="n">
        <v>1000905</v>
      </c>
      <c r="B457" t="n">
        <v>1</v>
      </c>
      <c r="C457" t="n">
        <v>905</v>
      </c>
      <c r="D457" t="n">
        <v>-0.3521</v>
      </c>
      <c r="E457" t="n">
        <v>12.8392</v>
      </c>
      <c r="F457" t="n">
        <v>0.08033999999999999</v>
      </c>
    </row>
    <row r="458">
      <c r="A458" t="n">
        <v>1000906</v>
      </c>
      <c r="B458" t="n">
        <v>1</v>
      </c>
      <c r="C458" t="n">
        <v>906</v>
      </c>
      <c r="D458" t="n">
        <v>-0.3521</v>
      </c>
      <c r="E458" t="n">
        <v>12.8628</v>
      </c>
      <c r="F458" t="n">
        <v>0.08033</v>
      </c>
    </row>
    <row r="459">
      <c r="A459" t="n">
        <v>1000907</v>
      </c>
      <c r="B459" t="n">
        <v>1</v>
      </c>
      <c r="C459" t="n">
        <v>907</v>
      </c>
      <c r="D459" t="n">
        <v>-0.3521</v>
      </c>
      <c r="E459" t="n">
        <v>12.8864</v>
      </c>
      <c r="F459" t="n">
        <v>0.08032</v>
      </c>
    </row>
    <row r="460">
      <c r="A460" t="n">
        <v>1000908</v>
      </c>
      <c r="B460" t="n">
        <v>1</v>
      </c>
      <c r="C460" t="n">
        <v>908</v>
      </c>
      <c r="D460" t="n">
        <v>-0.3521</v>
      </c>
      <c r="E460" t="n">
        <v>12.9099</v>
      </c>
      <c r="F460" t="n">
        <v>0.08031000000000001</v>
      </c>
    </row>
    <row r="461">
      <c r="A461" t="n">
        <v>1000909</v>
      </c>
      <c r="B461" t="n">
        <v>1</v>
      </c>
      <c r="C461" t="n">
        <v>909</v>
      </c>
      <c r="D461" t="n">
        <v>-0.3521</v>
      </c>
      <c r="E461" t="n">
        <v>12.9334</v>
      </c>
      <c r="F461" t="n">
        <v>0.0803</v>
      </c>
    </row>
    <row r="462">
      <c r="A462" t="n">
        <v>1000910</v>
      </c>
      <c r="B462" t="n">
        <v>1</v>
      </c>
      <c r="C462" t="n">
        <v>910</v>
      </c>
      <c r="D462" t="n">
        <v>-0.3521</v>
      </c>
      <c r="E462" t="n">
        <v>12.9569</v>
      </c>
      <c r="F462" t="n">
        <v>0.0803</v>
      </c>
    </row>
    <row r="463">
      <c r="A463" t="n">
        <v>1000911</v>
      </c>
      <c r="B463" t="n">
        <v>1</v>
      </c>
      <c r="C463" t="n">
        <v>911</v>
      </c>
      <c r="D463" t="n">
        <v>-0.3521</v>
      </c>
      <c r="E463" t="n">
        <v>12.9804</v>
      </c>
      <c r="F463" t="n">
        <v>0.08029</v>
      </c>
    </row>
    <row r="464">
      <c r="A464" t="n">
        <v>1000912</v>
      </c>
      <c r="B464" t="n">
        <v>1</v>
      </c>
      <c r="C464" t="n">
        <v>912</v>
      </c>
      <c r="D464" t="n">
        <v>-0.3521</v>
      </c>
      <c r="E464" t="n">
        <v>13.0038</v>
      </c>
      <c r="F464" t="n">
        <v>0.08028</v>
      </c>
    </row>
    <row r="465">
      <c r="A465" t="n">
        <v>1000913</v>
      </c>
      <c r="B465" t="n">
        <v>1</v>
      </c>
      <c r="C465" t="n">
        <v>913</v>
      </c>
      <c r="D465" t="n">
        <v>-0.3521</v>
      </c>
      <c r="E465" t="n">
        <v>13.0273</v>
      </c>
      <c r="F465" t="n">
        <v>0.08026999999999999</v>
      </c>
    </row>
    <row r="466">
      <c r="A466" t="n">
        <v>1000914</v>
      </c>
      <c r="B466" t="n">
        <v>1</v>
      </c>
      <c r="C466" t="n">
        <v>914</v>
      </c>
      <c r="D466" t="n">
        <v>-0.3521</v>
      </c>
      <c r="E466" t="n">
        <v>13.0507</v>
      </c>
      <c r="F466" t="n">
        <v>0.08026999999999999</v>
      </c>
    </row>
    <row r="467">
      <c r="A467" t="n">
        <v>1000915</v>
      </c>
      <c r="B467" t="n">
        <v>1</v>
      </c>
      <c r="C467" t="n">
        <v>915</v>
      </c>
      <c r="D467" t="n">
        <v>-0.3521</v>
      </c>
      <c r="E467" t="n">
        <v>13.0742</v>
      </c>
      <c r="F467" t="n">
        <v>0.08026</v>
      </c>
    </row>
    <row r="468">
      <c r="A468" t="n">
        <v>1000916</v>
      </c>
      <c r="B468" t="n">
        <v>1</v>
      </c>
      <c r="C468" t="n">
        <v>916</v>
      </c>
      <c r="D468" t="n">
        <v>-0.3521</v>
      </c>
      <c r="E468" t="n">
        <v>13.0976</v>
      </c>
      <c r="F468" t="n">
        <v>0.08026</v>
      </c>
    </row>
    <row r="469">
      <c r="A469" t="n">
        <v>1000917</v>
      </c>
      <c r="B469" t="n">
        <v>1</v>
      </c>
      <c r="C469" t="n">
        <v>917</v>
      </c>
      <c r="D469" t="n">
        <v>-0.3521</v>
      </c>
      <c r="E469" t="n">
        <v>13.1209</v>
      </c>
      <c r="F469" t="n">
        <v>0.08025</v>
      </c>
    </row>
    <row r="470">
      <c r="A470" t="n">
        <v>1000918</v>
      </c>
      <c r="B470" t="n">
        <v>1</v>
      </c>
      <c r="C470" t="n">
        <v>918</v>
      </c>
      <c r="D470" t="n">
        <v>-0.3521</v>
      </c>
      <c r="E470" t="n">
        <v>13.1443</v>
      </c>
      <c r="F470" t="n">
        <v>0.08025</v>
      </c>
    </row>
    <row r="471">
      <c r="A471" t="n">
        <v>1000919</v>
      </c>
      <c r="B471" t="n">
        <v>1</v>
      </c>
      <c r="C471" t="n">
        <v>919</v>
      </c>
      <c r="D471" t="n">
        <v>-0.3521</v>
      </c>
      <c r="E471" t="n">
        <v>13.1677</v>
      </c>
      <c r="F471" t="n">
        <v>0.08025</v>
      </c>
    </row>
    <row r="472">
      <c r="A472" t="n">
        <v>1000920</v>
      </c>
      <c r="B472" t="n">
        <v>1</v>
      </c>
      <c r="C472" t="n">
        <v>920</v>
      </c>
      <c r="D472" t="n">
        <v>-0.3521</v>
      </c>
      <c r="E472" t="n">
        <v>13.191</v>
      </c>
      <c r="F472" t="n">
        <v>0.08025</v>
      </c>
    </row>
    <row r="473">
      <c r="A473" t="n">
        <v>1000921</v>
      </c>
      <c r="B473" t="n">
        <v>1</v>
      </c>
      <c r="C473" t="n">
        <v>921</v>
      </c>
      <c r="D473" t="n">
        <v>-0.3521</v>
      </c>
      <c r="E473" t="n">
        <v>13.2143</v>
      </c>
      <c r="F473" t="n">
        <v>0.08025</v>
      </c>
    </row>
    <row r="474">
      <c r="A474" t="n">
        <v>1000922</v>
      </c>
      <c r="B474" t="n">
        <v>1</v>
      </c>
      <c r="C474" t="n">
        <v>922</v>
      </c>
      <c r="D474" t="n">
        <v>-0.3521</v>
      </c>
      <c r="E474" t="n">
        <v>13.2376</v>
      </c>
      <c r="F474" t="n">
        <v>0.08024000000000001</v>
      </c>
    </row>
    <row r="475">
      <c r="A475" t="n">
        <v>1000923</v>
      </c>
      <c r="B475" t="n">
        <v>1</v>
      </c>
      <c r="C475" t="n">
        <v>923</v>
      </c>
      <c r="D475" t="n">
        <v>-0.3521</v>
      </c>
      <c r="E475" t="n">
        <v>13.2609</v>
      </c>
      <c r="F475" t="n">
        <v>0.08024000000000001</v>
      </c>
    </row>
    <row r="476">
      <c r="A476" t="n">
        <v>1000924</v>
      </c>
      <c r="B476" t="n">
        <v>1</v>
      </c>
      <c r="C476" t="n">
        <v>924</v>
      </c>
      <c r="D476" t="n">
        <v>-0.3521</v>
      </c>
      <c r="E476" t="n">
        <v>13.2842</v>
      </c>
      <c r="F476" t="n">
        <v>0.08024000000000001</v>
      </c>
    </row>
    <row r="477">
      <c r="A477" t="n">
        <v>1000925</v>
      </c>
      <c r="B477" t="n">
        <v>1</v>
      </c>
      <c r="C477" t="n">
        <v>925</v>
      </c>
      <c r="D477" t="n">
        <v>-0.3521</v>
      </c>
      <c r="E477" t="n">
        <v>13.3075</v>
      </c>
      <c r="F477" t="n">
        <v>0.08025</v>
      </c>
    </row>
    <row r="478">
      <c r="A478" t="n">
        <v>1000926</v>
      </c>
      <c r="B478" t="n">
        <v>1</v>
      </c>
      <c r="C478" t="n">
        <v>926</v>
      </c>
      <c r="D478" t="n">
        <v>-0.3521</v>
      </c>
      <c r="E478" t="n">
        <v>13.3308</v>
      </c>
      <c r="F478" t="n">
        <v>0.08025</v>
      </c>
    </row>
    <row r="479">
      <c r="A479" t="n">
        <v>1000927</v>
      </c>
      <c r="B479" t="n">
        <v>1</v>
      </c>
      <c r="C479" t="n">
        <v>927</v>
      </c>
      <c r="D479" t="n">
        <v>-0.3521</v>
      </c>
      <c r="E479" t="n">
        <v>13.3541</v>
      </c>
      <c r="F479" t="n">
        <v>0.08025</v>
      </c>
    </row>
    <row r="480">
      <c r="A480" t="n">
        <v>1000928</v>
      </c>
      <c r="B480" t="n">
        <v>1</v>
      </c>
      <c r="C480" t="n">
        <v>928</v>
      </c>
      <c r="D480" t="n">
        <v>-0.3521</v>
      </c>
      <c r="E480" t="n">
        <v>13.3773</v>
      </c>
      <c r="F480" t="n">
        <v>0.08025</v>
      </c>
    </row>
    <row r="481">
      <c r="A481" t="n">
        <v>1000929</v>
      </c>
      <c r="B481" t="n">
        <v>1</v>
      </c>
      <c r="C481" t="n">
        <v>929</v>
      </c>
      <c r="D481" t="n">
        <v>-0.3521</v>
      </c>
      <c r="E481" t="n">
        <v>13.4006</v>
      </c>
      <c r="F481" t="n">
        <v>0.08026</v>
      </c>
    </row>
    <row r="482">
      <c r="A482" t="n">
        <v>1000930</v>
      </c>
      <c r="B482" t="n">
        <v>1</v>
      </c>
      <c r="C482" t="n">
        <v>930</v>
      </c>
      <c r="D482" t="n">
        <v>-0.3521</v>
      </c>
      <c r="E482" t="n">
        <v>13.4239</v>
      </c>
      <c r="F482" t="n">
        <v>0.08026</v>
      </c>
    </row>
    <row r="483">
      <c r="A483" t="n">
        <v>1000931</v>
      </c>
      <c r="B483" t="n">
        <v>1</v>
      </c>
      <c r="C483" t="n">
        <v>931</v>
      </c>
      <c r="D483" t="n">
        <v>-0.3521</v>
      </c>
      <c r="E483" t="n">
        <v>13.4472</v>
      </c>
      <c r="F483" t="n">
        <v>0.08026999999999999</v>
      </c>
    </row>
    <row r="484">
      <c r="A484" t="n">
        <v>1000932</v>
      </c>
      <c r="B484" t="n">
        <v>1</v>
      </c>
      <c r="C484" t="n">
        <v>932</v>
      </c>
      <c r="D484" t="n">
        <v>-0.3521</v>
      </c>
      <c r="E484" t="n">
        <v>13.4705</v>
      </c>
      <c r="F484" t="n">
        <v>0.08026999999999999</v>
      </c>
    </row>
    <row r="485">
      <c r="A485" t="n">
        <v>1000933</v>
      </c>
      <c r="B485" t="n">
        <v>1</v>
      </c>
      <c r="C485" t="n">
        <v>933</v>
      </c>
      <c r="D485" t="n">
        <v>-0.3521</v>
      </c>
      <c r="E485" t="n">
        <v>13.4937</v>
      </c>
      <c r="F485" t="n">
        <v>0.08028</v>
      </c>
    </row>
    <row r="486">
      <c r="A486" t="n">
        <v>1000934</v>
      </c>
      <c r="B486" t="n">
        <v>1</v>
      </c>
      <c r="C486" t="n">
        <v>934</v>
      </c>
      <c r="D486" t="n">
        <v>-0.3521</v>
      </c>
      <c r="E486" t="n">
        <v>13.5171</v>
      </c>
      <c r="F486" t="n">
        <v>0.08028</v>
      </c>
    </row>
    <row r="487">
      <c r="A487" t="n">
        <v>1000935</v>
      </c>
      <c r="B487" t="n">
        <v>1</v>
      </c>
      <c r="C487" t="n">
        <v>935</v>
      </c>
      <c r="D487" t="n">
        <v>-0.3521</v>
      </c>
      <c r="E487" t="n">
        <v>13.5404</v>
      </c>
      <c r="F487" t="n">
        <v>0.08029</v>
      </c>
    </row>
    <row r="488">
      <c r="A488" t="n">
        <v>1000936</v>
      </c>
      <c r="B488" t="n">
        <v>1</v>
      </c>
      <c r="C488" t="n">
        <v>936</v>
      </c>
      <c r="D488" t="n">
        <v>-0.3521</v>
      </c>
      <c r="E488" t="n">
        <v>13.5637</v>
      </c>
      <c r="F488" t="n">
        <v>0.0803</v>
      </c>
    </row>
    <row r="489">
      <c r="A489" t="n">
        <v>1000937</v>
      </c>
      <c r="B489" t="n">
        <v>1</v>
      </c>
      <c r="C489" t="n">
        <v>937</v>
      </c>
      <c r="D489" t="n">
        <v>-0.3521</v>
      </c>
      <c r="E489" t="n">
        <v>13.587</v>
      </c>
      <c r="F489" t="n">
        <v>0.08031000000000001</v>
      </c>
    </row>
    <row r="490">
      <c r="A490" t="n">
        <v>1000938</v>
      </c>
      <c r="B490" t="n">
        <v>1</v>
      </c>
      <c r="C490" t="n">
        <v>938</v>
      </c>
      <c r="D490" t="n">
        <v>-0.3521</v>
      </c>
      <c r="E490" t="n">
        <v>13.6104</v>
      </c>
      <c r="F490" t="n">
        <v>0.08032</v>
      </c>
    </row>
    <row r="491">
      <c r="A491" t="n">
        <v>1000939</v>
      </c>
      <c r="B491" t="n">
        <v>1</v>
      </c>
      <c r="C491" t="n">
        <v>939</v>
      </c>
      <c r="D491" t="n">
        <v>-0.3521</v>
      </c>
      <c r="E491" t="n">
        <v>13.6338</v>
      </c>
      <c r="F491" t="n">
        <v>0.08033</v>
      </c>
    </row>
    <row r="492">
      <c r="A492" t="n">
        <v>1000940</v>
      </c>
      <c r="B492" t="n">
        <v>1</v>
      </c>
      <c r="C492" t="n">
        <v>940</v>
      </c>
      <c r="D492" t="n">
        <v>-0.3521</v>
      </c>
      <c r="E492" t="n">
        <v>13.6572</v>
      </c>
      <c r="F492" t="n">
        <v>0.08033999999999999</v>
      </c>
    </row>
    <row r="493">
      <c r="A493" t="n">
        <v>1000941</v>
      </c>
      <c r="B493" t="n">
        <v>1</v>
      </c>
      <c r="C493" t="n">
        <v>941</v>
      </c>
      <c r="D493" t="n">
        <v>-0.3521</v>
      </c>
      <c r="E493" t="n">
        <v>13.6806</v>
      </c>
      <c r="F493" t="n">
        <v>0.08035</v>
      </c>
    </row>
    <row r="494">
      <c r="A494" t="n">
        <v>1000942</v>
      </c>
      <c r="B494" t="n">
        <v>1</v>
      </c>
      <c r="C494" t="n">
        <v>942</v>
      </c>
      <c r="D494" t="n">
        <v>-0.3521</v>
      </c>
      <c r="E494" t="n">
        <v>13.7041</v>
      </c>
      <c r="F494" t="n">
        <v>0.08036</v>
      </c>
    </row>
    <row r="495">
      <c r="A495" t="n">
        <v>1000943</v>
      </c>
      <c r="B495" t="n">
        <v>1</v>
      </c>
      <c r="C495" t="n">
        <v>943</v>
      </c>
      <c r="D495" t="n">
        <v>-0.3521</v>
      </c>
      <c r="E495" t="n">
        <v>13.7275</v>
      </c>
      <c r="F495" t="n">
        <v>0.08037</v>
      </c>
    </row>
    <row r="496">
      <c r="A496" t="n">
        <v>1000944</v>
      </c>
      <c r="B496" t="n">
        <v>1</v>
      </c>
      <c r="C496" t="n">
        <v>944</v>
      </c>
      <c r="D496" t="n">
        <v>-0.3521</v>
      </c>
      <c r="E496" t="n">
        <v>13.751</v>
      </c>
      <c r="F496" t="n">
        <v>0.08037999999999999</v>
      </c>
    </row>
    <row r="497">
      <c r="A497" t="n">
        <v>1000945</v>
      </c>
      <c r="B497" t="n">
        <v>1</v>
      </c>
      <c r="C497" t="n">
        <v>945</v>
      </c>
      <c r="D497" t="n">
        <v>-0.3521</v>
      </c>
      <c r="E497" t="n">
        <v>13.7746</v>
      </c>
      <c r="F497" t="n">
        <v>0.0804</v>
      </c>
    </row>
    <row r="498">
      <c r="A498" t="n">
        <v>1000946</v>
      </c>
      <c r="B498" t="n">
        <v>1</v>
      </c>
      <c r="C498" t="n">
        <v>946</v>
      </c>
      <c r="D498" t="n">
        <v>-0.3521</v>
      </c>
      <c r="E498" t="n">
        <v>13.7981</v>
      </c>
      <c r="F498" t="n">
        <v>0.08041</v>
      </c>
    </row>
    <row r="499">
      <c r="A499" t="n">
        <v>1000947</v>
      </c>
      <c r="B499" t="n">
        <v>1</v>
      </c>
      <c r="C499" t="n">
        <v>947</v>
      </c>
      <c r="D499" t="n">
        <v>-0.3521</v>
      </c>
      <c r="E499" t="n">
        <v>13.8217</v>
      </c>
      <c r="F499" t="n">
        <v>0.08043</v>
      </c>
    </row>
    <row r="500">
      <c r="A500" t="n">
        <v>1000948</v>
      </c>
      <c r="B500" t="n">
        <v>1</v>
      </c>
      <c r="C500" t="n">
        <v>948</v>
      </c>
      <c r="D500" t="n">
        <v>-0.3521</v>
      </c>
      <c r="E500" t="n">
        <v>13.8454</v>
      </c>
      <c r="F500" t="n">
        <v>0.08044</v>
      </c>
    </row>
    <row r="501">
      <c r="A501" t="n">
        <v>1000949</v>
      </c>
      <c r="B501" t="n">
        <v>1</v>
      </c>
      <c r="C501" t="n">
        <v>949</v>
      </c>
      <c r="D501" t="n">
        <v>-0.3521</v>
      </c>
      <c r="E501" t="n">
        <v>13.8691</v>
      </c>
      <c r="F501" t="n">
        <v>0.08046</v>
      </c>
    </row>
    <row r="502">
      <c r="A502" t="n">
        <v>1000950</v>
      </c>
      <c r="B502" t="n">
        <v>1</v>
      </c>
      <c r="C502" t="n">
        <v>950</v>
      </c>
      <c r="D502" t="n">
        <v>-0.3521</v>
      </c>
      <c r="E502" t="n">
        <v>13.8928</v>
      </c>
      <c r="F502" t="n">
        <v>0.08047</v>
      </c>
    </row>
    <row r="503">
      <c r="A503" t="n">
        <v>1000951</v>
      </c>
      <c r="B503" t="n">
        <v>1</v>
      </c>
      <c r="C503" t="n">
        <v>951</v>
      </c>
      <c r="D503" t="n">
        <v>-0.3521</v>
      </c>
      <c r="E503" t="n">
        <v>13.9165</v>
      </c>
      <c r="F503" t="n">
        <v>0.08049000000000001</v>
      </c>
    </row>
    <row r="504">
      <c r="A504" t="n">
        <v>1000952</v>
      </c>
      <c r="B504" t="n">
        <v>1</v>
      </c>
      <c r="C504" t="n">
        <v>952</v>
      </c>
      <c r="D504" t="n">
        <v>-0.3521</v>
      </c>
      <c r="E504" t="n">
        <v>13.9403</v>
      </c>
      <c r="F504" t="n">
        <v>0.08051</v>
      </c>
    </row>
    <row r="505">
      <c r="A505" t="n">
        <v>1000953</v>
      </c>
      <c r="B505" t="n">
        <v>1</v>
      </c>
      <c r="C505" t="n">
        <v>953</v>
      </c>
      <c r="D505" t="n">
        <v>-0.3521</v>
      </c>
      <c r="E505" t="n">
        <v>13.9642</v>
      </c>
      <c r="F505" t="n">
        <v>0.08051999999999999</v>
      </c>
    </row>
    <row r="506">
      <c r="A506" t="n">
        <v>1000954</v>
      </c>
      <c r="B506" t="n">
        <v>1</v>
      </c>
      <c r="C506" t="n">
        <v>954</v>
      </c>
      <c r="D506" t="n">
        <v>-0.3521</v>
      </c>
      <c r="E506" t="n">
        <v>13.9881</v>
      </c>
      <c r="F506" t="n">
        <v>0.08054</v>
      </c>
    </row>
    <row r="507">
      <c r="A507" t="n">
        <v>1000955</v>
      </c>
      <c r="B507" t="n">
        <v>1</v>
      </c>
      <c r="C507" t="n">
        <v>955</v>
      </c>
      <c r="D507" t="n">
        <v>-0.3521</v>
      </c>
      <c r="E507" t="n">
        <v>14.012</v>
      </c>
      <c r="F507" t="n">
        <v>0.08056000000000001</v>
      </c>
    </row>
    <row r="508">
      <c r="A508" t="n">
        <v>1000956</v>
      </c>
      <c r="B508" t="n">
        <v>1</v>
      </c>
      <c r="C508" t="n">
        <v>956</v>
      </c>
      <c r="D508" t="n">
        <v>-0.3521</v>
      </c>
      <c r="E508" t="n">
        <v>14.036</v>
      </c>
      <c r="F508" t="n">
        <v>0.08058</v>
      </c>
    </row>
    <row r="509">
      <c r="A509" t="n">
        <v>1000957</v>
      </c>
      <c r="B509" t="n">
        <v>1</v>
      </c>
      <c r="C509" t="n">
        <v>957</v>
      </c>
      <c r="D509" t="n">
        <v>-0.3521</v>
      </c>
      <c r="E509" t="n">
        <v>14.06</v>
      </c>
      <c r="F509" t="n">
        <v>0.0806</v>
      </c>
    </row>
    <row r="510">
      <c r="A510" t="n">
        <v>1000958</v>
      </c>
      <c r="B510" t="n">
        <v>1</v>
      </c>
      <c r="C510" t="n">
        <v>958</v>
      </c>
      <c r="D510" t="n">
        <v>-0.3521</v>
      </c>
      <c r="E510" t="n">
        <v>14.0841</v>
      </c>
      <c r="F510" t="n">
        <v>0.08062</v>
      </c>
    </row>
    <row r="511">
      <c r="A511" t="n">
        <v>1000959</v>
      </c>
      <c r="B511" t="n">
        <v>1</v>
      </c>
      <c r="C511" t="n">
        <v>959</v>
      </c>
      <c r="D511" t="n">
        <v>-0.3521</v>
      </c>
      <c r="E511" t="n">
        <v>14.1083</v>
      </c>
      <c r="F511" t="n">
        <v>0.08064</v>
      </c>
    </row>
    <row r="512">
      <c r="A512" t="n">
        <v>1000960</v>
      </c>
      <c r="B512" t="n">
        <v>1</v>
      </c>
      <c r="C512" t="n">
        <v>960</v>
      </c>
      <c r="D512" t="n">
        <v>-0.3521</v>
      </c>
      <c r="E512" t="n">
        <v>14.1325</v>
      </c>
      <c r="F512" t="n">
        <v>0.08067000000000001</v>
      </c>
    </row>
    <row r="513">
      <c r="A513" t="n">
        <v>1000961</v>
      </c>
      <c r="B513" t="n">
        <v>1</v>
      </c>
      <c r="C513" t="n">
        <v>961</v>
      </c>
      <c r="D513" t="n">
        <v>-0.3521</v>
      </c>
      <c r="E513" t="n">
        <v>14.1567</v>
      </c>
      <c r="F513" t="n">
        <v>0.08069</v>
      </c>
    </row>
    <row r="514">
      <c r="A514" t="n">
        <v>1000962</v>
      </c>
      <c r="B514" t="n">
        <v>1</v>
      </c>
      <c r="C514" t="n">
        <v>962</v>
      </c>
      <c r="D514" t="n">
        <v>-0.3521</v>
      </c>
      <c r="E514" t="n">
        <v>14.1811</v>
      </c>
      <c r="F514" t="n">
        <v>0.08071</v>
      </c>
    </row>
    <row r="515">
      <c r="A515" t="n">
        <v>1000963</v>
      </c>
      <c r="B515" t="n">
        <v>1</v>
      </c>
      <c r="C515" t="n">
        <v>963</v>
      </c>
      <c r="D515" t="n">
        <v>-0.3521</v>
      </c>
      <c r="E515" t="n">
        <v>14.2055</v>
      </c>
      <c r="F515" t="n">
        <v>0.08073</v>
      </c>
    </row>
    <row r="516">
      <c r="A516" t="n">
        <v>1000964</v>
      </c>
      <c r="B516" t="n">
        <v>1</v>
      </c>
      <c r="C516" t="n">
        <v>964</v>
      </c>
      <c r="D516" t="n">
        <v>-0.3521</v>
      </c>
      <c r="E516" t="n">
        <v>14.2299</v>
      </c>
      <c r="F516" t="n">
        <v>0.08076</v>
      </c>
    </row>
    <row r="517">
      <c r="A517" t="n">
        <v>1000965</v>
      </c>
      <c r="B517" t="n">
        <v>1</v>
      </c>
      <c r="C517" t="n">
        <v>965</v>
      </c>
      <c r="D517" t="n">
        <v>-0.3521</v>
      </c>
      <c r="E517" t="n">
        <v>14.2544</v>
      </c>
      <c r="F517" t="n">
        <v>0.08078</v>
      </c>
    </row>
    <row r="518">
      <c r="A518" t="n">
        <v>1000966</v>
      </c>
      <c r="B518" t="n">
        <v>1</v>
      </c>
      <c r="C518" t="n">
        <v>966</v>
      </c>
      <c r="D518" t="n">
        <v>-0.3521</v>
      </c>
      <c r="E518" t="n">
        <v>14.279</v>
      </c>
      <c r="F518" t="n">
        <v>0.08081000000000001</v>
      </c>
    </row>
    <row r="519">
      <c r="A519" t="n">
        <v>1000967</v>
      </c>
      <c r="B519" t="n">
        <v>1</v>
      </c>
      <c r="C519" t="n">
        <v>967</v>
      </c>
      <c r="D519" t="n">
        <v>-0.3521</v>
      </c>
      <c r="E519" t="n">
        <v>14.3037</v>
      </c>
      <c r="F519" t="n">
        <v>0.08083</v>
      </c>
    </row>
    <row r="520">
      <c r="A520" t="n">
        <v>1000968</v>
      </c>
      <c r="B520" t="n">
        <v>1</v>
      </c>
      <c r="C520" t="n">
        <v>968</v>
      </c>
      <c r="D520" t="n">
        <v>-0.3521</v>
      </c>
      <c r="E520" t="n">
        <v>14.3284</v>
      </c>
      <c r="F520" t="n">
        <v>0.08086</v>
      </c>
    </row>
    <row r="521">
      <c r="A521" t="n">
        <v>1000969</v>
      </c>
      <c r="B521" t="n">
        <v>1</v>
      </c>
      <c r="C521" t="n">
        <v>969</v>
      </c>
      <c r="D521" t="n">
        <v>-0.3521</v>
      </c>
      <c r="E521" t="n">
        <v>14.3533</v>
      </c>
      <c r="F521" t="n">
        <v>0.08089</v>
      </c>
    </row>
    <row r="522">
      <c r="A522" t="n">
        <v>1000970</v>
      </c>
      <c r="B522" t="n">
        <v>1</v>
      </c>
      <c r="C522" t="n">
        <v>970</v>
      </c>
      <c r="D522" t="n">
        <v>-0.3521</v>
      </c>
      <c r="E522" t="n">
        <v>14.3782</v>
      </c>
      <c r="F522" t="n">
        <v>0.08092000000000001</v>
      </c>
    </row>
    <row r="523">
      <c r="A523" t="n">
        <v>1000971</v>
      </c>
      <c r="B523" t="n">
        <v>1</v>
      </c>
      <c r="C523" t="n">
        <v>971</v>
      </c>
      <c r="D523" t="n">
        <v>-0.3521</v>
      </c>
      <c r="E523" t="n">
        <v>14.4031</v>
      </c>
      <c r="F523" t="n">
        <v>0.08094</v>
      </c>
    </row>
    <row r="524">
      <c r="A524" t="n">
        <v>1000972</v>
      </c>
      <c r="B524" t="n">
        <v>1</v>
      </c>
      <c r="C524" t="n">
        <v>972</v>
      </c>
      <c r="D524" t="n">
        <v>-0.3521</v>
      </c>
      <c r="E524" t="n">
        <v>14.4282</v>
      </c>
      <c r="F524" t="n">
        <v>0.08097</v>
      </c>
    </row>
    <row r="525">
      <c r="A525" t="n">
        <v>1000973</v>
      </c>
      <c r="B525" t="n">
        <v>1</v>
      </c>
      <c r="C525" t="n">
        <v>973</v>
      </c>
      <c r="D525" t="n">
        <v>-0.3521</v>
      </c>
      <c r="E525" t="n">
        <v>14.4533</v>
      </c>
      <c r="F525" t="n">
        <v>0.081</v>
      </c>
    </row>
    <row r="526">
      <c r="A526" t="n">
        <v>1000974</v>
      </c>
      <c r="B526" t="n">
        <v>1</v>
      </c>
      <c r="C526" t="n">
        <v>974</v>
      </c>
      <c r="D526" t="n">
        <v>-0.3521</v>
      </c>
      <c r="E526" t="n">
        <v>14.4785</v>
      </c>
      <c r="F526" t="n">
        <v>0.08103</v>
      </c>
    </row>
    <row r="527">
      <c r="A527" t="n">
        <v>1000975</v>
      </c>
      <c r="B527" t="n">
        <v>1</v>
      </c>
      <c r="C527" t="n">
        <v>975</v>
      </c>
      <c r="D527" t="n">
        <v>-0.3521</v>
      </c>
      <c r="E527" t="n">
        <v>14.5038</v>
      </c>
      <c r="F527" t="n">
        <v>0.08105999999999999</v>
      </c>
    </row>
    <row r="528">
      <c r="A528" t="n">
        <v>1000976</v>
      </c>
      <c r="B528" t="n">
        <v>1</v>
      </c>
      <c r="C528" t="n">
        <v>976</v>
      </c>
      <c r="D528" t="n">
        <v>-0.3521</v>
      </c>
      <c r="E528" t="n">
        <v>14.5292</v>
      </c>
      <c r="F528" t="n">
        <v>0.08109</v>
      </c>
    </row>
    <row r="529">
      <c r="A529" t="n">
        <v>1000977</v>
      </c>
      <c r="B529" t="n">
        <v>1</v>
      </c>
      <c r="C529" t="n">
        <v>977</v>
      </c>
      <c r="D529" t="n">
        <v>-0.3521</v>
      </c>
      <c r="E529" t="n">
        <v>14.5547</v>
      </c>
      <c r="F529" t="n">
        <v>0.08112</v>
      </c>
    </row>
    <row r="530">
      <c r="A530" t="n">
        <v>1000978</v>
      </c>
      <c r="B530" t="n">
        <v>1</v>
      </c>
      <c r="C530" t="n">
        <v>978</v>
      </c>
      <c r="D530" t="n">
        <v>-0.3521</v>
      </c>
      <c r="E530" t="n">
        <v>14.5802</v>
      </c>
      <c r="F530" t="n">
        <v>0.08116</v>
      </c>
    </row>
    <row r="531">
      <c r="A531" t="n">
        <v>1000979</v>
      </c>
      <c r="B531" t="n">
        <v>1</v>
      </c>
      <c r="C531" t="n">
        <v>979</v>
      </c>
      <c r="D531" t="n">
        <v>-0.3521</v>
      </c>
      <c r="E531" t="n">
        <v>14.6058</v>
      </c>
      <c r="F531" t="n">
        <v>0.08119</v>
      </c>
    </row>
    <row r="532">
      <c r="A532" t="n">
        <v>1000980</v>
      </c>
      <c r="B532" t="n">
        <v>1</v>
      </c>
      <c r="C532" t="n">
        <v>980</v>
      </c>
      <c r="D532" t="n">
        <v>-0.3521</v>
      </c>
      <c r="E532" t="n">
        <v>14.6316</v>
      </c>
      <c r="F532" t="n">
        <v>0.08122</v>
      </c>
    </row>
    <row r="533">
      <c r="A533" t="n">
        <v>1000981</v>
      </c>
      <c r="B533" t="n">
        <v>1</v>
      </c>
      <c r="C533" t="n">
        <v>981</v>
      </c>
      <c r="D533" t="n">
        <v>-0.3521</v>
      </c>
      <c r="E533" t="n">
        <v>14.6574</v>
      </c>
      <c r="F533" t="n">
        <v>0.08125</v>
      </c>
    </row>
    <row r="534">
      <c r="A534" t="n">
        <v>1000982</v>
      </c>
      <c r="B534" t="n">
        <v>1</v>
      </c>
      <c r="C534" t="n">
        <v>982</v>
      </c>
      <c r="D534" t="n">
        <v>-0.3521</v>
      </c>
      <c r="E534" t="n">
        <v>14.6832</v>
      </c>
      <c r="F534" t="n">
        <v>0.08129</v>
      </c>
    </row>
    <row r="535">
      <c r="A535" t="n">
        <v>1000983</v>
      </c>
      <c r="B535" t="n">
        <v>1</v>
      </c>
      <c r="C535" t="n">
        <v>983</v>
      </c>
      <c r="D535" t="n">
        <v>-0.3521</v>
      </c>
      <c r="E535" t="n">
        <v>14.7092</v>
      </c>
      <c r="F535" t="n">
        <v>0.08132</v>
      </c>
    </row>
    <row r="536">
      <c r="A536" t="n">
        <v>1000984</v>
      </c>
      <c r="B536" t="n">
        <v>1</v>
      </c>
      <c r="C536" t="n">
        <v>984</v>
      </c>
      <c r="D536" t="n">
        <v>-0.3521</v>
      </c>
      <c r="E536" t="n">
        <v>14.7353</v>
      </c>
      <c r="F536" t="n">
        <v>0.08136</v>
      </c>
    </row>
    <row r="537">
      <c r="A537" t="n">
        <v>1000985</v>
      </c>
      <c r="B537" t="n">
        <v>1</v>
      </c>
      <c r="C537" t="n">
        <v>985</v>
      </c>
      <c r="D537" t="n">
        <v>-0.3521</v>
      </c>
      <c r="E537" t="n">
        <v>14.7614</v>
      </c>
      <c r="F537" t="n">
        <v>0.08139</v>
      </c>
    </row>
    <row r="538">
      <c r="A538" t="n">
        <v>1000986</v>
      </c>
      <c r="B538" t="n">
        <v>1</v>
      </c>
      <c r="C538" t="n">
        <v>986</v>
      </c>
      <c r="D538" t="n">
        <v>-0.3521</v>
      </c>
      <c r="E538" t="n">
        <v>14.7877</v>
      </c>
      <c r="F538" t="n">
        <v>0.08143</v>
      </c>
    </row>
    <row r="539">
      <c r="A539" t="n">
        <v>1000987</v>
      </c>
      <c r="B539" t="n">
        <v>1</v>
      </c>
      <c r="C539" t="n">
        <v>987</v>
      </c>
      <c r="D539" t="n">
        <v>-0.3521</v>
      </c>
      <c r="E539" t="n">
        <v>14.814</v>
      </c>
      <c r="F539" t="n">
        <v>0.08146</v>
      </c>
    </row>
    <row r="540">
      <c r="A540" t="n">
        <v>1000988</v>
      </c>
      <c r="B540" t="n">
        <v>1</v>
      </c>
      <c r="C540" t="n">
        <v>988</v>
      </c>
      <c r="D540" t="n">
        <v>-0.3521</v>
      </c>
      <c r="E540" t="n">
        <v>14.8404</v>
      </c>
      <c r="F540" t="n">
        <v>0.0815</v>
      </c>
    </row>
    <row r="541">
      <c r="A541" t="n">
        <v>1000989</v>
      </c>
      <c r="B541" t="n">
        <v>1</v>
      </c>
      <c r="C541" t="n">
        <v>989</v>
      </c>
      <c r="D541" t="n">
        <v>-0.3521</v>
      </c>
      <c r="E541" t="n">
        <v>14.8669</v>
      </c>
      <c r="F541" t="n">
        <v>0.08154</v>
      </c>
    </row>
    <row r="542">
      <c r="A542" t="n">
        <v>1000990</v>
      </c>
      <c r="B542" t="n">
        <v>1</v>
      </c>
      <c r="C542" t="n">
        <v>990</v>
      </c>
      <c r="D542" t="n">
        <v>-0.3521</v>
      </c>
      <c r="E542" t="n">
        <v>14.8934</v>
      </c>
      <c r="F542" t="n">
        <v>0.08157</v>
      </c>
    </row>
    <row r="543">
      <c r="A543" t="n">
        <v>1000991</v>
      </c>
      <c r="B543" t="n">
        <v>1</v>
      </c>
      <c r="C543" t="n">
        <v>991</v>
      </c>
      <c r="D543" t="n">
        <v>-0.3521</v>
      </c>
      <c r="E543" t="n">
        <v>14.9201</v>
      </c>
      <c r="F543" t="n">
        <v>0.08161</v>
      </c>
    </row>
    <row r="544">
      <c r="A544" t="n">
        <v>1000992</v>
      </c>
      <c r="B544" t="n">
        <v>1</v>
      </c>
      <c r="C544" t="n">
        <v>992</v>
      </c>
      <c r="D544" t="n">
        <v>-0.3521</v>
      </c>
      <c r="E544" t="n">
        <v>14.9468</v>
      </c>
      <c r="F544" t="n">
        <v>0.08165</v>
      </c>
    </row>
    <row r="545">
      <c r="A545" t="n">
        <v>1000993</v>
      </c>
      <c r="B545" t="n">
        <v>1</v>
      </c>
      <c r="C545" t="n">
        <v>993</v>
      </c>
      <c r="D545" t="n">
        <v>-0.3521</v>
      </c>
      <c r="E545" t="n">
        <v>14.9736</v>
      </c>
      <c r="F545" t="n">
        <v>0.08169</v>
      </c>
    </row>
    <row r="546">
      <c r="A546" t="n">
        <v>1000994</v>
      </c>
      <c r="B546" t="n">
        <v>1</v>
      </c>
      <c r="C546" t="n">
        <v>994</v>
      </c>
      <c r="D546" t="n">
        <v>-0.3521</v>
      </c>
      <c r="E546" t="n">
        <v>15.0005</v>
      </c>
      <c r="F546" t="n">
        <v>0.08173</v>
      </c>
    </row>
    <row r="547">
      <c r="A547" t="n">
        <v>1000995</v>
      </c>
      <c r="B547" t="n">
        <v>1</v>
      </c>
      <c r="C547" t="n">
        <v>995</v>
      </c>
      <c r="D547" t="n">
        <v>-0.3521</v>
      </c>
      <c r="E547" t="n">
        <v>15.0275</v>
      </c>
      <c r="F547" t="n">
        <v>0.08177</v>
      </c>
    </row>
    <row r="548">
      <c r="A548" t="n">
        <v>1000996</v>
      </c>
      <c r="B548" t="n">
        <v>1</v>
      </c>
      <c r="C548" t="n">
        <v>996</v>
      </c>
      <c r="D548" t="n">
        <v>-0.3521</v>
      </c>
      <c r="E548" t="n">
        <v>15.0546</v>
      </c>
      <c r="F548" t="n">
        <v>0.08180999999999999</v>
      </c>
    </row>
    <row r="549">
      <c r="A549" t="n">
        <v>1000997</v>
      </c>
      <c r="B549" t="n">
        <v>1</v>
      </c>
      <c r="C549" t="n">
        <v>997</v>
      </c>
      <c r="D549" t="n">
        <v>-0.3521</v>
      </c>
      <c r="E549" t="n">
        <v>15.0818</v>
      </c>
      <c r="F549" t="n">
        <v>0.08185000000000001</v>
      </c>
    </row>
    <row r="550">
      <c r="A550" t="n">
        <v>1000998</v>
      </c>
      <c r="B550" t="n">
        <v>1</v>
      </c>
      <c r="C550" t="n">
        <v>998</v>
      </c>
      <c r="D550" t="n">
        <v>-0.3521</v>
      </c>
      <c r="E550" t="n">
        <v>15.109</v>
      </c>
      <c r="F550" t="n">
        <v>0.08189</v>
      </c>
    </row>
    <row r="551">
      <c r="A551" t="n">
        <v>1000999</v>
      </c>
      <c r="B551" t="n">
        <v>1</v>
      </c>
      <c r="C551" t="n">
        <v>999</v>
      </c>
      <c r="D551" t="n">
        <v>-0.3521</v>
      </c>
      <c r="E551" t="n">
        <v>15.1363</v>
      </c>
      <c r="F551" t="n">
        <v>0.08194</v>
      </c>
    </row>
    <row r="552">
      <c r="A552" t="n">
        <v>1001000</v>
      </c>
      <c r="B552" t="n">
        <v>1</v>
      </c>
      <c r="C552" t="n">
        <v>1000</v>
      </c>
      <c r="D552" t="n">
        <v>-0.3521</v>
      </c>
      <c r="E552" t="n">
        <v>15.1637</v>
      </c>
      <c r="F552" t="n">
        <v>0.08198</v>
      </c>
    </row>
    <row r="553">
      <c r="A553" t="n">
        <v>1001001</v>
      </c>
      <c r="B553" t="n">
        <v>1</v>
      </c>
      <c r="C553" t="n">
        <v>1001</v>
      </c>
      <c r="D553" t="n">
        <v>-0.3521</v>
      </c>
      <c r="E553" t="n">
        <v>15.1912</v>
      </c>
      <c r="F553" t="n">
        <v>0.08202</v>
      </c>
    </row>
    <row r="554">
      <c r="A554" t="n">
        <v>1001002</v>
      </c>
      <c r="B554" t="n">
        <v>1</v>
      </c>
      <c r="C554" t="n">
        <v>1002</v>
      </c>
      <c r="D554" t="n">
        <v>-0.3521</v>
      </c>
      <c r="E554" t="n">
        <v>15.2187</v>
      </c>
      <c r="F554" t="n">
        <v>0.08205999999999999</v>
      </c>
    </row>
    <row r="555">
      <c r="A555" t="n">
        <v>1001003</v>
      </c>
      <c r="B555" t="n">
        <v>1</v>
      </c>
      <c r="C555" t="n">
        <v>1003</v>
      </c>
      <c r="D555" t="n">
        <v>-0.3521</v>
      </c>
      <c r="E555" t="n">
        <v>15.2463</v>
      </c>
      <c r="F555" t="n">
        <v>0.08211</v>
      </c>
    </row>
    <row r="556">
      <c r="A556" t="n">
        <v>1001004</v>
      </c>
      <c r="B556" t="n">
        <v>1</v>
      </c>
      <c r="C556" t="n">
        <v>1004</v>
      </c>
      <c r="D556" t="n">
        <v>-0.3521</v>
      </c>
      <c r="E556" t="n">
        <v>15.274</v>
      </c>
      <c r="F556" t="n">
        <v>0.08215</v>
      </c>
    </row>
    <row r="557">
      <c r="A557" t="n">
        <v>1001005</v>
      </c>
      <c r="B557" t="n">
        <v>1</v>
      </c>
      <c r="C557" t="n">
        <v>1005</v>
      </c>
      <c r="D557" t="n">
        <v>-0.3521</v>
      </c>
      <c r="E557" t="n">
        <v>15.3018</v>
      </c>
      <c r="F557" t="n">
        <v>0.0822</v>
      </c>
    </row>
    <row r="558">
      <c r="A558" t="n">
        <v>1001006</v>
      </c>
      <c r="B558" t="n">
        <v>1</v>
      </c>
      <c r="C558" t="n">
        <v>1006</v>
      </c>
      <c r="D558" t="n">
        <v>-0.3521</v>
      </c>
      <c r="E558" t="n">
        <v>15.3297</v>
      </c>
      <c r="F558" t="n">
        <v>0.08223999999999999</v>
      </c>
    </row>
    <row r="559">
      <c r="A559" t="n">
        <v>1001007</v>
      </c>
      <c r="B559" t="n">
        <v>1</v>
      </c>
      <c r="C559" t="n">
        <v>1007</v>
      </c>
      <c r="D559" t="n">
        <v>-0.3521</v>
      </c>
      <c r="E559" t="n">
        <v>15.3576</v>
      </c>
      <c r="F559" t="n">
        <v>0.08229</v>
      </c>
    </row>
    <row r="560">
      <c r="A560" t="n">
        <v>1001008</v>
      </c>
      <c r="B560" t="n">
        <v>1</v>
      </c>
      <c r="C560" t="n">
        <v>1008</v>
      </c>
      <c r="D560" t="n">
        <v>-0.3521</v>
      </c>
      <c r="E560" t="n">
        <v>15.3856</v>
      </c>
      <c r="F560" t="n">
        <v>0.08233</v>
      </c>
    </row>
    <row r="561">
      <c r="A561" t="n">
        <v>1001009</v>
      </c>
      <c r="B561" t="n">
        <v>1</v>
      </c>
      <c r="C561" t="n">
        <v>1009</v>
      </c>
      <c r="D561" t="n">
        <v>-0.3521</v>
      </c>
      <c r="E561" t="n">
        <v>15.4137</v>
      </c>
      <c r="F561" t="n">
        <v>0.08237999999999999</v>
      </c>
    </row>
    <row r="562">
      <c r="A562" t="n">
        <v>1001010</v>
      </c>
      <c r="B562" t="n">
        <v>1</v>
      </c>
      <c r="C562" t="n">
        <v>1010</v>
      </c>
      <c r="D562" t="n">
        <v>-0.3521</v>
      </c>
      <c r="E562" t="n">
        <v>15.4419</v>
      </c>
      <c r="F562" t="n">
        <v>0.08243</v>
      </c>
    </row>
    <row r="563">
      <c r="A563" t="n">
        <v>1001011</v>
      </c>
      <c r="B563" t="n">
        <v>1</v>
      </c>
      <c r="C563" t="n">
        <v>1011</v>
      </c>
      <c r="D563" t="n">
        <v>-0.3521</v>
      </c>
      <c r="E563" t="n">
        <v>15.4701</v>
      </c>
      <c r="F563" t="n">
        <v>0.08247</v>
      </c>
    </row>
    <row r="564">
      <c r="A564" t="n">
        <v>1001012</v>
      </c>
      <c r="B564" t="n">
        <v>1</v>
      </c>
      <c r="C564" t="n">
        <v>1012</v>
      </c>
      <c r="D564" t="n">
        <v>-0.3521</v>
      </c>
      <c r="E564" t="n">
        <v>15.4985</v>
      </c>
      <c r="F564" t="n">
        <v>0.08252</v>
      </c>
    </row>
    <row r="565">
      <c r="A565" t="n">
        <v>1001013</v>
      </c>
      <c r="B565" t="n">
        <v>1</v>
      </c>
      <c r="C565" t="n">
        <v>1013</v>
      </c>
      <c r="D565" t="n">
        <v>-0.3521</v>
      </c>
      <c r="E565" t="n">
        <v>15.5268</v>
      </c>
      <c r="F565" t="n">
        <v>0.08257</v>
      </c>
    </row>
    <row r="566">
      <c r="A566" t="n">
        <v>1001014</v>
      </c>
      <c r="B566" t="n">
        <v>1</v>
      </c>
      <c r="C566" t="n">
        <v>1014</v>
      </c>
      <c r="D566" t="n">
        <v>-0.3521</v>
      </c>
      <c r="E566" t="n">
        <v>15.5553</v>
      </c>
      <c r="F566" t="n">
        <v>0.08262</v>
      </c>
    </row>
    <row r="567">
      <c r="A567" t="n">
        <v>1001015</v>
      </c>
      <c r="B567" t="n">
        <v>1</v>
      </c>
      <c r="C567" t="n">
        <v>1015</v>
      </c>
      <c r="D567" t="n">
        <v>-0.3521</v>
      </c>
      <c r="E567" t="n">
        <v>15.5838</v>
      </c>
      <c r="F567" t="n">
        <v>0.08266999999999999</v>
      </c>
    </row>
    <row r="568">
      <c r="A568" t="n">
        <v>1001016</v>
      </c>
      <c r="B568" t="n">
        <v>1</v>
      </c>
      <c r="C568" t="n">
        <v>1016</v>
      </c>
      <c r="D568" t="n">
        <v>-0.3521</v>
      </c>
      <c r="E568" t="n">
        <v>15.6125</v>
      </c>
      <c r="F568" t="n">
        <v>0.08272</v>
      </c>
    </row>
    <row r="569">
      <c r="A569" t="n">
        <v>1001017</v>
      </c>
      <c r="B569" t="n">
        <v>1</v>
      </c>
      <c r="C569" t="n">
        <v>1017</v>
      </c>
      <c r="D569" t="n">
        <v>-0.3521</v>
      </c>
      <c r="E569" t="n">
        <v>15.6412</v>
      </c>
      <c r="F569" t="n">
        <v>0.08277</v>
      </c>
    </row>
    <row r="570">
      <c r="A570" t="n">
        <v>1001018</v>
      </c>
      <c r="B570" t="n">
        <v>1</v>
      </c>
      <c r="C570" t="n">
        <v>1018</v>
      </c>
      <c r="D570" t="n">
        <v>-0.3521</v>
      </c>
      <c r="E570" t="n">
        <v>15.6699</v>
      </c>
      <c r="F570" t="n">
        <v>0.08280999999999999</v>
      </c>
    </row>
    <row r="571">
      <c r="A571" t="n">
        <v>1001019</v>
      </c>
      <c r="B571" t="n">
        <v>1</v>
      </c>
      <c r="C571" t="n">
        <v>1019</v>
      </c>
      <c r="D571" t="n">
        <v>-0.3521</v>
      </c>
      <c r="E571" t="n">
        <v>15.6987</v>
      </c>
      <c r="F571" t="n">
        <v>0.08287</v>
      </c>
    </row>
    <row r="572">
      <c r="A572" t="n">
        <v>1001020</v>
      </c>
      <c r="B572" t="n">
        <v>1</v>
      </c>
      <c r="C572" t="n">
        <v>1020</v>
      </c>
      <c r="D572" t="n">
        <v>-0.3521</v>
      </c>
      <c r="E572" t="n">
        <v>15.7276</v>
      </c>
      <c r="F572" t="n">
        <v>0.08291999999999999</v>
      </c>
    </row>
    <row r="573">
      <c r="A573" t="n">
        <v>1001021</v>
      </c>
      <c r="B573" t="n">
        <v>1</v>
      </c>
      <c r="C573" t="n">
        <v>1021</v>
      </c>
      <c r="D573" t="n">
        <v>-0.3521</v>
      </c>
      <c r="E573" t="n">
        <v>15.7566</v>
      </c>
      <c r="F573" t="n">
        <v>0.08297</v>
      </c>
    </row>
    <row r="574">
      <c r="A574" t="n">
        <v>1001022</v>
      </c>
      <c r="B574" t="n">
        <v>1</v>
      </c>
      <c r="C574" t="n">
        <v>1022</v>
      </c>
      <c r="D574" t="n">
        <v>-0.3521</v>
      </c>
      <c r="E574" t="n">
        <v>15.7857</v>
      </c>
      <c r="F574" t="n">
        <v>0.08302</v>
      </c>
    </row>
    <row r="575">
      <c r="A575" t="n">
        <v>1001023</v>
      </c>
      <c r="B575" t="n">
        <v>1</v>
      </c>
      <c r="C575" t="n">
        <v>1023</v>
      </c>
      <c r="D575" t="n">
        <v>-0.3521</v>
      </c>
      <c r="E575" t="n">
        <v>15.8148</v>
      </c>
      <c r="F575" t="n">
        <v>0.08307</v>
      </c>
    </row>
    <row r="576">
      <c r="A576" t="n">
        <v>1001024</v>
      </c>
      <c r="B576" t="n">
        <v>1</v>
      </c>
      <c r="C576" t="n">
        <v>1024</v>
      </c>
      <c r="D576" t="n">
        <v>-0.3521</v>
      </c>
      <c r="E576" t="n">
        <v>15.844</v>
      </c>
      <c r="F576" t="n">
        <v>0.08312</v>
      </c>
    </row>
    <row r="577">
      <c r="A577" t="n">
        <v>1001025</v>
      </c>
      <c r="B577" t="n">
        <v>1</v>
      </c>
      <c r="C577" t="n">
        <v>1025</v>
      </c>
      <c r="D577" t="n">
        <v>-0.3521</v>
      </c>
      <c r="E577" t="n">
        <v>15.8732</v>
      </c>
      <c r="F577" t="n">
        <v>0.08316999999999999</v>
      </c>
    </row>
    <row r="578">
      <c r="A578" t="n">
        <v>1001026</v>
      </c>
      <c r="B578" t="n">
        <v>1</v>
      </c>
      <c r="C578" t="n">
        <v>1026</v>
      </c>
      <c r="D578" t="n">
        <v>-0.3521</v>
      </c>
      <c r="E578" t="n">
        <v>15.9026</v>
      </c>
      <c r="F578" t="n">
        <v>0.08322</v>
      </c>
    </row>
    <row r="579">
      <c r="A579" t="n">
        <v>1001027</v>
      </c>
      <c r="B579" t="n">
        <v>1</v>
      </c>
      <c r="C579" t="n">
        <v>1027</v>
      </c>
      <c r="D579" t="n">
        <v>-0.3521</v>
      </c>
      <c r="E579" t="n">
        <v>15.932</v>
      </c>
      <c r="F579" t="n">
        <v>0.08328000000000001</v>
      </c>
    </row>
    <row r="580">
      <c r="A580" t="n">
        <v>1001028</v>
      </c>
      <c r="B580" t="n">
        <v>1</v>
      </c>
      <c r="C580" t="n">
        <v>1028</v>
      </c>
      <c r="D580" t="n">
        <v>-0.3521</v>
      </c>
      <c r="E580" t="n">
        <v>15.9615</v>
      </c>
      <c r="F580" t="n">
        <v>0.08333</v>
      </c>
    </row>
    <row r="581">
      <c r="A581" t="n">
        <v>1001029</v>
      </c>
      <c r="B581" t="n">
        <v>1</v>
      </c>
      <c r="C581" t="n">
        <v>1029</v>
      </c>
      <c r="D581" t="n">
        <v>-0.3521</v>
      </c>
      <c r="E581" t="n">
        <v>15.991</v>
      </c>
      <c r="F581" t="n">
        <v>0.08338</v>
      </c>
    </row>
    <row r="582">
      <c r="A582" t="n">
        <v>1001030</v>
      </c>
      <c r="B582" t="n">
        <v>1</v>
      </c>
      <c r="C582" t="n">
        <v>1030</v>
      </c>
      <c r="D582" t="n">
        <v>-0.3521</v>
      </c>
      <c r="E582" t="n">
        <v>16.0206</v>
      </c>
      <c r="F582" t="n">
        <v>0.08343</v>
      </c>
    </row>
    <row r="583">
      <c r="A583" t="n">
        <v>1001031</v>
      </c>
      <c r="B583" t="n">
        <v>1</v>
      </c>
      <c r="C583" t="n">
        <v>1031</v>
      </c>
      <c r="D583" t="n">
        <v>-0.3521</v>
      </c>
      <c r="E583" t="n">
        <v>16.0503</v>
      </c>
      <c r="F583" t="n">
        <v>0.08348999999999999</v>
      </c>
    </row>
    <row r="584">
      <c r="A584" t="n">
        <v>1001032</v>
      </c>
      <c r="B584" t="n">
        <v>1</v>
      </c>
      <c r="C584" t="n">
        <v>1032</v>
      </c>
      <c r="D584" t="n">
        <v>-0.3521</v>
      </c>
      <c r="E584" t="n">
        <v>16.0801</v>
      </c>
      <c r="F584" t="n">
        <v>0.08354</v>
      </c>
    </row>
    <row r="585">
      <c r="A585" t="n">
        <v>1001033</v>
      </c>
      <c r="B585" t="n">
        <v>1</v>
      </c>
      <c r="C585" t="n">
        <v>1033</v>
      </c>
      <c r="D585" t="n">
        <v>-0.3521</v>
      </c>
      <c r="E585" t="n">
        <v>16.1099</v>
      </c>
      <c r="F585" t="n">
        <v>0.08359</v>
      </c>
    </row>
    <row r="586">
      <c r="A586" t="n">
        <v>1001034</v>
      </c>
      <c r="B586" t="n">
        <v>1</v>
      </c>
      <c r="C586" t="n">
        <v>1034</v>
      </c>
      <c r="D586" t="n">
        <v>-0.3521</v>
      </c>
      <c r="E586" t="n">
        <v>16.1398</v>
      </c>
      <c r="F586" t="n">
        <v>0.08365</v>
      </c>
    </row>
    <row r="587">
      <c r="A587" t="n">
        <v>1001035</v>
      </c>
      <c r="B587" t="n">
        <v>1</v>
      </c>
      <c r="C587" t="n">
        <v>1035</v>
      </c>
      <c r="D587" t="n">
        <v>-0.3521</v>
      </c>
      <c r="E587" t="n">
        <v>16.1697</v>
      </c>
      <c r="F587" t="n">
        <v>0.0837</v>
      </c>
    </row>
    <row r="588">
      <c r="A588" t="n">
        <v>1001036</v>
      </c>
      <c r="B588" t="n">
        <v>1</v>
      </c>
      <c r="C588" t="n">
        <v>1036</v>
      </c>
      <c r="D588" t="n">
        <v>-0.3521</v>
      </c>
      <c r="E588" t="n">
        <v>16.1997</v>
      </c>
      <c r="F588" t="n">
        <v>0.08376</v>
      </c>
    </row>
    <row r="589">
      <c r="A589" t="n">
        <v>1001037</v>
      </c>
      <c r="B589" t="n">
        <v>1</v>
      </c>
      <c r="C589" t="n">
        <v>1037</v>
      </c>
      <c r="D589" t="n">
        <v>-0.3521</v>
      </c>
      <c r="E589" t="n">
        <v>16.2298</v>
      </c>
      <c r="F589" t="n">
        <v>0.08381</v>
      </c>
    </row>
    <row r="590">
      <c r="A590" t="n">
        <v>1001038</v>
      </c>
      <c r="B590" t="n">
        <v>1</v>
      </c>
      <c r="C590" t="n">
        <v>1038</v>
      </c>
      <c r="D590" t="n">
        <v>-0.3521</v>
      </c>
      <c r="E590" t="n">
        <v>16.26</v>
      </c>
      <c r="F590" t="n">
        <v>0.08386</v>
      </c>
    </row>
    <row r="591">
      <c r="A591" t="n">
        <v>1001039</v>
      </c>
      <c r="B591" t="n">
        <v>1</v>
      </c>
      <c r="C591" t="n">
        <v>1039</v>
      </c>
      <c r="D591" t="n">
        <v>-0.3521</v>
      </c>
      <c r="E591" t="n">
        <v>16.2902</v>
      </c>
      <c r="F591" t="n">
        <v>0.08391999999999999</v>
      </c>
    </row>
    <row r="592">
      <c r="A592" t="n">
        <v>1001040</v>
      </c>
      <c r="B592" t="n">
        <v>1</v>
      </c>
      <c r="C592" t="n">
        <v>1040</v>
      </c>
      <c r="D592" t="n">
        <v>-0.3521</v>
      </c>
      <c r="E592" t="n">
        <v>16.3204</v>
      </c>
      <c r="F592" t="n">
        <v>0.08397</v>
      </c>
    </row>
    <row r="593">
      <c r="A593" t="n">
        <v>1001041</v>
      </c>
      <c r="B593" t="n">
        <v>1</v>
      </c>
      <c r="C593" t="n">
        <v>1041</v>
      </c>
      <c r="D593" t="n">
        <v>-0.3521</v>
      </c>
      <c r="E593" t="n">
        <v>16.3508</v>
      </c>
      <c r="F593" t="n">
        <v>0.08402999999999999</v>
      </c>
    </row>
    <row r="594">
      <c r="A594" t="n">
        <v>1001042</v>
      </c>
      <c r="B594" t="n">
        <v>1</v>
      </c>
      <c r="C594" t="n">
        <v>1042</v>
      </c>
      <c r="D594" t="n">
        <v>-0.3521</v>
      </c>
      <c r="E594" t="n">
        <v>16.3812</v>
      </c>
      <c r="F594" t="n">
        <v>0.08408</v>
      </c>
    </row>
    <row r="595">
      <c r="A595" t="n">
        <v>1001043</v>
      </c>
      <c r="B595" t="n">
        <v>1</v>
      </c>
      <c r="C595" t="n">
        <v>1043</v>
      </c>
      <c r="D595" t="n">
        <v>-0.3521</v>
      </c>
      <c r="E595" t="n">
        <v>16.4117</v>
      </c>
      <c r="F595" t="n">
        <v>0.08414000000000001</v>
      </c>
    </row>
    <row r="596">
      <c r="A596" t="n">
        <v>1001044</v>
      </c>
      <c r="B596" t="n">
        <v>1</v>
      </c>
      <c r="C596" t="n">
        <v>1044</v>
      </c>
      <c r="D596" t="n">
        <v>-0.3521</v>
      </c>
      <c r="E596" t="n">
        <v>16.4422</v>
      </c>
      <c r="F596" t="n">
        <v>0.08419</v>
      </c>
    </row>
    <row r="597">
      <c r="A597" t="n">
        <v>1001045</v>
      </c>
      <c r="B597" t="n">
        <v>1</v>
      </c>
      <c r="C597" t="n">
        <v>1045</v>
      </c>
      <c r="D597" t="n">
        <v>-0.3521</v>
      </c>
      <c r="E597" t="n">
        <v>16.4728</v>
      </c>
      <c r="F597" t="n">
        <v>0.08425000000000001</v>
      </c>
    </row>
    <row r="598">
      <c r="A598" t="n">
        <v>1001046</v>
      </c>
      <c r="B598" t="n">
        <v>1</v>
      </c>
      <c r="C598" t="n">
        <v>1046</v>
      </c>
      <c r="D598" t="n">
        <v>-0.3521</v>
      </c>
      <c r="E598" t="n">
        <v>16.5035</v>
      </c>
      <c r="F598" t="n">
        <v>0.08431</v>
      </c>
    </row>
    <row r="599">
      <c r="A599" t="n">
        <v>1001047</v>
      </c>
      <c r="B599" t="n">
        <v>1</v>
      </c>
      <c r="C599" t="n">
        <v>1047</v>
      </c>
      <c r="D599" t="n">
        <v>-0.3521</v>
      </c>
      <c r="E599" t="n">
        <v>16.5342</v>
      </c>
      <c r="F599" t="n">
        <v>0.08436</v>
      </c>
    </row>
    <row r="600">
      <c r="A600" t="n">
        <v>1001048</v>
      </c>
      <c r="B600" t="n">
        <v>1</v>
      </c>
      <c r="C600" t="n">
        <v>1048</v>
      </c>
      <c r="D600" t="n">
        <v>-0.3521</v>
      </c>
      <c r="E600" t="n">
        <v>16.565</v>
      </c>
      <c r="F600" t="n">
        <v>0.08442</v>
      </c>
    </row>
    <row r="601">
      <c r="A601" t="n">
        <v>1001049</v>
      </c>
      <c r="B601" t="n">
        <v>1</v>
      </c>
      <c r="C601" t="n">
        <v>1049</v>
      </c>
      <c r="D601" t="n">
        <v>-0.3521</v>
      </c>
      <c r="E601" t="n">
        <v>16.5959</v>
      </c>
      <c r="F601" t="n">
        <v>0.08447</v>
      </c>
    </row>
    <row r="602">
      <c r="A602" t="n">
        <v>1001050</v>
      </c>
      <c r="B602" t="n">
        <v>1</v>
      </c>
      <c r="C602" t="n">
        <v>1050</v>
      </c>
      <c r="D602" t="n">
        <v>-0.3521</v>
      </c>
      <c r="E602" t="n">
        <v>16.6268</v>
      </c>
      <c r="F602" t="n">
        <v>0.08452999999999999</v>
      </c>
    </row>
    <row r="603">
      <c r="A603" t="n">
        <v>1001051</v>
      </c>
      <c r="B603" t="n">
        <v>1</v>
      </c>
      <c r="C603" t="n">
        <v>1051</v>
      </c>
      <c r="D603" t="n">
        <v>-0.3521</v>
      </c>
      <c r="E603" t="n">
        <v>16.6579</v>
      </c>
      <c r="F603" t="n">
        <v>0.08458</v>
      </c>
    </row>
    <row r="604">
      <c r="A604" t="n">
        <v>1001052</v>
      </c>
      <c r="B604" t="n">
        <v>1</v>
      </c>
      <c r="C604" t="n">
        <v>1052</v>
      </c>
      <c r="D604" t="n">
        <v>-0.3521</v>
      </c>
      <c r="E604" t="n">
        <v>16.6889</v>
      </c>
      <c r="F604" t="n">
        <v>0.08464000000000001</v>
      </c>
    </row>
    <row r="605">
      <c r="A605" t="n">
        <v>1001053</v>
      </c>
      <c r="B605" t="n">
        <v>1</v>
      </c>
      <c r="C605" t="n">
        <v>1053</v>
      </c>
      <c r="D605" t="n">
        <v>-0.3521</v>
      </c>
      <c r="E605" t="n">
        <v>16.7201</v>
      </c>
      <c r="F605" t="n">
        <v>0.0847</v>
      </c>
    </row>
    <row r="606">
      <c r="A606" t="n">
        <v>1001054</v>
      </c>
      <c r="B606" t="n">
        <v>1</v>
      </c>
      <c r="C606" t="n">
        <v>1054</v>
      </c>
      <c r="D606" t="n">
        <v>-0.3521</v>
      </c>
      <c r="E606" t="n">
        <v>16.7513</v>
      </c>
      <c r="F606" t="n">
        <v>0.08475000000000001</v>
      </c>
    </row>
    <row r="607">
      <c r="A607" t="n">
        <v>1001055</v>
      </c>
      <c r="B607" t="n">
        <v>1</v>
      </c>
      <c r="C607" t="n">
        <v>1055</v>
      </c>
      <c r="D607" t="n">
        <v>-0.3521</v>
      </c>
      <c r="E607" t="n">
        <v>16.7826</v>
      </c>
      <c r="F607" t="n">
        <v>0.08481</v>
      </c>
    </row>
    <row r="608">
      <c r="A608" t="n">
        <v>1001056</v>
      </c>
      <c r="B608" t="n">
        <v>1</v>
      </c>
      <c r="C608" t="n">
        <v>1056</v>
      </c>
      <c r="D608" t="n">
        <v>-0.3521</v>
      </c>
      <c r="E608" t="n">
        <v>16.8139</v>
      </c>
      <c r="F608" t="n">
        <v>0.08487</v>
      </c>
    </row>
    <row r="609">
      <c r="A609" t="n">
        <v>1001057</v>
      </c>
      <c r="B609" t="n">
        <v>1</v>
      </c>
      <c r="C609" t="n">
        <v>1057</v>
      </c>
      <c r="D609" t="n">
        <v>-0.3521</v>
      </c>
      <c r="E609" t="n">
        <v>16.8454</v>
      </c>
      <c r="F609" t="n">
        <v>0.08493000000000001</v>
      </c>
    </row>
    <row r="610">
      <c r="A610" t="n">
        <v>1001058</v>
      </c>
      <c r="B610" t="n">
        <v>1</v>
      </c>
      <c r="C610" t="n">
        <v>1058</v>
      </c>
      <c r="D610" t="n">
        <v>-0.3521</v>
      </c>
      <c r="E610" t="n">
        <v>16.8769</v>
      </c>
      <c r="F610" t="n">
        <v>0.08498</v>
      </c>
    </row>
    <row r="611">
      <c r="A611" t="n">
        <v>1001059</v>
      </c>
      <c r="B611" t="n">
        <v>1</v>
      </c>
      <c r="C611" t="n">
        <v>1059</v>
      </c>
      <c r="D611" t="n">
        <v>-0.3521</v>
      </c>
      <c r="E611" t="n">
        <v>16.9084</v>
      </c>
      <c r="F611" t="n">
        <v>0.08504</v>
      </c>
    </row>
    <row r="612">
      <c r="A612" t="n">
        <v>1001060</v>
      </c>
      <c r="B612" t="n">
        <v>1</v>
      </c>
      <c r="C612" t="n">
        <v>1060</v>
      </c>
      <c r="D612" t="n">
        <v>-0.3521</v>
      </c>
      <c r="E612" t="n">
        <v>16.9401</v>
      </c>
      <c r="F612" t="n">
        <v>0.0851</v>
      </c>
    </row>
    <row r="613">
      <c r="A613" t="n">
        <v>1001061</v>
      </c>
      <c r="B613" t="n">
        <v>1</v>
      </c>
      <c r="C613" t="n">
        <v>1061</v>
      </c>
      <c r="D613" t="n">
        <v>-0.3521</v>
      </c>
      <c r="E613" t="n">
        <v>16.9718</v>
      </c>
      <c r="F613" t="n">
        <v>0.08516</v>
      </c>
    </row>
    <row r="614">
      <c r="A614" t="n">
        <v>1001062</v>
      </c>
      <c r="B614" t="n">
        <v>1</v>
      </c>
      <c r="C614" t="n">
        <v>1062</v>
      </c>
      <c r="D614" t="n">
        <v>-0.3521</v>
      </c>
      <c r="E614" t="n">
        <v>17.0036</v>
      </c>
      <c r="F614" t="n">
        <v>0.08520999999999999</v>
      </c>
    </row>
    <row r="615">
      <c r="A615" t="n">
        <v>1001063</v>
      </c>
      <c r="B615" t="n">
        <v>1</v>
      </c>
      <c r="C615" t="n">
        <v>1063</v>
      </c>
      <c r="D615" t="n">
        <v>-0.3521</v>
      </c>
      <c r="E615" t="n">
        <v>17.0355</v>
      </c>
      <c r="F615" t="n">
        <v>0.08527</v>
      </c>
    </row>
    <row r="616">
      <c r="A616" t="n">
        <v>1001064</v>
      </c>
      <c r="B616" t="n">
        <v>1</v>
      </c>
      <c r="C616" t="n">
        <v>1064</v>
      </c>
      <c r="D616" t="n">
        <v>-0.3521</v>
      </c>
      <c r="E616" t="n">
        <v>17.0674</v>
      </c>
      <c r="F616" t="n">
        <v>0.08533</v>
      </c>
    </row>
    <row r="617">
      <c r="A617" t="n">
        <v>1001065</v>
      </c>
      <c r="B617" t="n">
        <v>1</v>
      </c>
      <c r="C617" t="n">
        <v>1065</v>
      </c>
      <c r="D617" t="n">
        <v>-0.3521</v>
      </c>
      <c r="E617" t="n">
        <v>17.0995</v>
      </c>
      <c r="F617" t="n">
        <v>0.08538999999999999</v>
      </c>
    </row>
    <row r="618">
      <c r="A618" t="n">
        <v>1001066</v>
      </c>
      <c r="B618" t="n">
        <v>1</v>
      </c>
      <c r="C618" t="n">
        <v>1066</v>
      </c>
      <c r="D618" t="n">
        <v>-0.3521</v>
      </c>
      <c r="E618" t="n">
        <v>17.1316</v>
      </c>
      <c r="F618" t="n">
        <v>0.08545</v>
      </c>
    </row>
    <row r="619">
      <c r="A619" t="n">
        <v>1001067</v>
      </c>
      <c r="B619" t="n">
        <v>1</v>
      </c>
      <c r="C619" t="n">
        <v>1067</v>
      </c>
      <c r="D619" t="n">
        <v>-0.3521</v>
      </c>
      <c r="E619" t="n">
        <v>17.1637</v>
      </c>
      <c r="F619" t="n">
        <v>0.08551</v>
      </c>
    </row>
    <row r="620">
      <c r="A620" t="n">
        <v>1001068</v>
      </c>
      <c r="B620" t="n">
        <v>1</v>
      </c>
      <c r="C620" t="n">
        <v>1068</v>
      </c>
      <c r="D620" t="n">
        <v>-0.3521</v>
      </c>
      <c r="E620" t="n">
        <v>17.196</v>
      </c>
      <c r="F620" t="n">
        <v>0.08556999999999999</v>
      </c>
    </row>
    <row r="621">
      <c r="A621" t="n">
        <v>1001069</v>
      </c>
      <c r="B621" t="n">
        <v>1</v>
      </c>
      <c r="C621" t="n">
        <v>1069</v>
      </c>
      <c r="D621" t="n">
        <v>-0.3521</v>
      </c>
      <c r="E621" t="n">
        <v>17.2283</v>
      </c>
      <c r="F621" t="n">
        <v>0.08562</v>
      </c>
    </row>
    <row r="622">
      <c r="A622" t="n">
        <v>1001070</v>
      </c>
      <c r="B622" t="n">
        <v>1</v>
      </c>
      <c r="C622" t="n">
        <v>1070</v>
      </c>
      <c r="D622" t="n">
        <v>-0.3521</v>
      </c>
      <c r="E622" t="n">
        <v>17.2607</v>
      </c>
      <c r="F622" t="n">
        <v>0.08568000000000001</v>
      </c>
    </row>
    <row r="623">
      <c r="A623" t="n">
        <v>1001071</v>
      </c>
      <c r="B623" t="n">
        <v>1</v>
      </c>
      <c r="C623" t="n">
        <v>1071</v>
      </c>
      <c r="D623" t="n">
        <v>-0.3521</v>
      </c>
      <c r="E623" t="n">
        <v>17.2931</v>
      </c>
      <c r="F623" t="n">
        <v>0.08574</v>
      </c>
    </row>
    <row r="624">
      <c r="A624" t="n">
        <v>1001072</v>
      </c>
      <c r="B624" t="n">
        <v>1</v>
      </c>
      <c r="C624" t="n">
        <v>1072</v>
      </c>
      <c r="D624" t="n">
        <v>-0.3521</v>
      </c>
      <c r="E624" t="n">
        <v>17.3256</v>
      </c>
      <c r="F624" t="n">
        <v>0.0858</v>
      </c>
    </row>
    <row r="625">
      <c r="A625" t="n">
        <v>1001073</v>
      </c>
      <c r="B625" t="n">
        <v>1</v>
      </c>
      <c r="C625" t="n">
        <v>1073</v>
      </c>
      <c r="D625" t="n">
        <v>-0.3521</v>
      </c>
      <c r="E625" t="n">
        <v>17.3582</v>
      </c>
      <c r="F625" t="n">
        <v>0.08586000000000001</v>
      </c>
    </row>
    <row r="626">
      <c r="A626" t="n">
        <v>1001074</v>
      </c>
      <c r="B626" t="n">
        <v>1</v>
      </c>
      <c r="C626" t="n">
        <v>1074</v>
      </c>
      <c r="D626" t="n">
        <v>-0.3521</v>
      </c>
      <c r="E626" t="n">
        <v>17.3909</v>
      </c>
      <c r="F626" t="n">
        <v>0.08592</v>
      </c>
    </row>
    <row r="627">
      <c r="A627" t="n">
        <v>1001075</v>
      </c>
      <c r="B627" t="n">
        <v>1</v>
      </c>
      <c r="C627" t="n">
        <v>1075</v>
      </c>
      <c r="D627" t="n">
        <v>-0.3521</v>
      </c>
      <c r="E627" t="n">
        <v>17.4237</v>
      </c>
      <c r="F627" t="n">
        <v>0.08599</v>
      </c>
    </row>
    <row r="628">
      <c r="A628" t="n">
        <v>1001076</v>
      </c>
      <c r="B628" t="n">
        <v>1</v>
      </c>
      <c r="C628" t="n">
        <v>1076</v>
      </c>
      <c r="D628" t="n">
        <v>-0.3521</v>
      </c>
      <c r="E628" t="n">
        <v>17.4565</v>
      </c>
      <c r="F628" t="n">
        <v>0.08605</v>
      </c>
    </row>
    <row r="629">
      <c r="A629" t="n">
        <v>1001077</v>
      </c>
      <c r="B629" t="n">
        <v>1</v>
      </c>
      <c r="C629" t="n">
        <v>1077</v>
      </c>
      <c r="D629" t="n">
        <v>-0.3521</v>
      </c>
      <c r="E629" t="n">
        <v>17.4894</v>
      </c>
      <c r="F629" t="n">
        <v>0.08611000000000001</v>
      </c>
    </row>
    <row r="630">
      <c r="A630" t="n">
        <v>1001078</v>
      </c>
      <c r="B630" t="n">
        <v>1</v>
      </c>
      <c r="C630" t="n">
        <v>1078</v>
      </c>
      <c r="D630" t="n">
        <v>-0.3521</v>
      </c>
      <c r="E630" t="n">
        <v>17.5224</v>
      </c>
      <c r="F630" t="n">
        <v>0.08617</v>
      </c>
    </row>
    <row r="631">
      <c r="A631" t="n">
        <v>1001079</v>
      </c>
      <c r="B631" t="n">
        <v>1</v>
      </c>
      <c r="C631" t="n">
        <v>1079</v>
      </c>
      <c r="D631" t="n">
        <v>-0.3521</v>
      </c>
      <c r="E631" t="n">
        <v>17.5554</v>
      </c>
      <c r="F631" t="n">
        <v>0.08623</v>
      </c>
    </row>
    <row r="632">
      <c r="A632" t="n">
        <v>1001080</v>
      </c>
      <c r="B632" t="n">
        <v>1</v>
      </c>
      <c r="C632" t="n">
        <v>1080</v>
      </c>
      <c r="D632" t="n">
        <v>-0.3521</v>
      </c>
      <c r="E632" t="n">
        <v>17.5885</v>
      </c>
      <c r="F632" t="n">
        <v>0.08629000000000001</v>
      </c>
    </row>
    <row r="633">
      <c r="A633" t="n">
        <v>1001081</v>
      </c>
      <c r="B633" t="n">
        <v>1</v>
      </c>
      <c r="C633" t="n">
        <v>1081</v>
      </c>
      <c r="D633" t="n">
        <v>-0.3521</v>
      </c>
      <c r="E633" t="n">
        <v>17.6217</v>
      </c>
      <c r="F633" t="n">
        <v>0.08635</v>
      </c>
    </row>
    <row r="634">
      <c r="A634" t="n">
        <v>1001082</v>
      </c>
      <c r="B634" t="n">
        <v>1</v>
      </c>
      <c r="C634" t="n">
        <v>1082</v>
      </c>
      <c r="D634" t="n">
        <v>-0.3521</v>
      </c>
      <c r="E634" t="n">
        <v>17.655</v>
      </c>
      <c r="F634" t="n">
        <v>0.08641</v>
      </c>
    </row>
    <row r="635">
      <c r="A635" t="n">
        <v>1001083</v>
      </c>
      <c r="B635" t="n">
        <v>1</v>
      </c>
      <c r="C635" t="n">
        <v>1083</v>
      </c>
      <c r="D635" t="n">
        <v>-0.3521</v>
      </c>
      <c r="E635" t="n">
        <v>17.6884</v>
      </c>
      <c r="F635" t="n">
        <v>0.08648</v>
      </c>
    </row>
    <row r="636">
      <c r="A636" t="n">
        <v>1001084</v>
      </c>
      <c r="B636" t="n">
        <v>1</v>
      </c>
      <c r="C636" t="n">
        <v>1084</v>
      </c>
      <c r="D636" t="n">
        <v>-0.3521</v>
      </c>
      <c r="E636" t="n">
        <v>17.7218</v>
      </c>
      <c r="F636" t="n">
        <v>0.08654000000000001</v>
      </c>
    </row>
    <row r="637">
      <c r="A637" t="n">
        <v>1001085</v>
      </c>
      <c r="B637" t="n">
        <v>1</v>
      </c>
      <c r="C637" t="n">
        <v>1085</v>
      </c>
      <c r="D637" t="n">
        <v>-0.3521</v>
      </c>
      <c r="E637" t="n">
        <v>17.7553</v>
      </c>
      <c r="F637" t="n">
        <v>0.0866</v>
      </c>
    </row>
    <row r="638">
      <c r="A638" t="n">
        <v>1001086</v>
      </c>
      <c r="B638" t="n">
        <v>1</v>
      </c>
      <c r="C638" t="n">
        <v>1086</v>
      </c>
      <c r="D638" t="n">
        <v>-0.3521</v>
      </c>
      <c r="E638" t="n">
        <v>17.7889</v>
      </c>
      <c r="F638" t="n">
        <v>0.08666</v>
      </c>
    </row>
    <row r="639">
      <c r="A639" t="n">
        <v>1001087</v>
      </c>
      <c r="B639" t="n">
        <v>1</v>
      </c>
      <c r="C639" t="n">
        <v>1087</v>
      </c>
      <c r="D639" t="n">
        <v>-0.3521</v>
      </c>
      <c r="E639" t="n">
        <v>17.8226</v>
      </c>
      <c r="F639" t="n">
        <v>0.08673</v>
      </c>
    </row>
    <row r="640">
      <c r="A640" t="n">
        <v>1001088</v>
      </c>
      <c r="B640" t="n">
        <v>1</v>
      </c>
      <c r="C640" t="n">
        <v>1088</v>
      </c>
      <c r="D640" t="n">
        <v>-0.3521</v>
      </c>
      <c r="E640" t="n">
        <v>17.8564</v>
      </c>
      <c r="F640" t="n">
        <v>0.08679000000000001</v>
      </c>
    </row>
    <row r="641">
      <c r="A641" t="n">
        <v>1001089</v>
      </c>
      <c r="B641" t="n">
        <v>1</v>
      </c>
      <c r="C641" t="n">
        <v>1089</v>
      </c>
      <c r="D641" t="n">
        <v>-0.3521</v>
      </c>
      <c r="E641" t="n">
        <v>17.8903</v>
      </c>
      <c r="F641" t="n">
        <v>0.08685</v>
      </c>
    </row>
    <row r="642">
      <c r="A642" t="n">
        <v>1001090</v>
      </c>
      <c r="B642" t="n">
        <v>1</v>
      </c>
      <c r="C642" t="n">
        <v>1090</v>
      </c>
      <c r="D642" t="n">
        <v>-0.3521</v>
      </c>
      <c r="E642" t="n">
        <v>17.9242</v>
      </c>
      <c r="F642" t="n">
        <v>0.08691</v>
      </c>
    </row>
    <row r="643">
      <c r="A643" t="n">
        <v>1001091</v>
      </c>
      <c r="B643" t="n">
        <v>1</v>
      </c>
      <c r="C643" t="n">
        <v>1091</v>
      </c>
      <c r="D643" t="n">
        <v>-0.3521</v>
      </c>
      <c r="E643" t="n">
        <v>17.9583</v>
      </c>
      <c r="F643" t="n">
        <v>0.08698</v>
      </c>
    </row>
    <row r="644">
      <c r="A644" t="n">
        <v>1001092</v>
      </c>
      <c r="B644" t="n">
        <v>1</v>
      </c>
      <c r="C644" t="n">
        <v>1092</v>
      </c>
      <c r="D644" t="n">
        <v>-0.3521</v>
      </c>
      <c r="E644" t="n">
        <v>17.9924</v>
      </c>
      <c r="F644" t="n">
        <v>0.08704000000000001</v>
      </c>
    </row>
    <row r="645">
      <c r="A645" t="n">
        <v>1001093</v>
      </c>
      <c r="B645" t="n">
        <v>1</v>
      </c>
      <c r="C645" t="n">
        <v>1093</v>
      </c>
      <c r="D645" t="n">
        <v>-0.3521</v>
      </c>
      <c r="E645" t="n">
        <v>18.0267</v>
      </c>
      <c r="F645" t="n">
        <v>0.0871</v>
      </c>
    </row>
    <row r="646">
      <c r="A646" t="n">
        <v>1001094</v>
      </c>
      <c r="B646" t="n">
        <v>1</v>
      </c>
      <c r="C646" t="n">
        <v>1094</v>
      </c>
      <c r="D646" t="n">
        <v>-0.3521</v>
      </c>
      <c r="E646" t="n">
        <v>18.061</v>
      </c>
      <c r="F646" t="n">
        <v>0.08717</v>
      </c>
    </row>
    <row r="647">
      <c r="A647" t="n">
        <v>1001095</v>
      </c>
      <c r="B647" t="n">
        <v>1</v>
      </c>
      <c r="C647" t="n">
        <v>1095</v>
      </c>
      <c r="D647" t="n">
        <v>-0.3521</v>
      </c>
      <c r="E647" t="n">
        <v>18.0954</v>
      </c>
      <c r="F647" t="n">
        <v>0.08723</v>
      </c>
    </row>
    <row r="648">
      <c r="A648" t="n">
        <v>1001096</v>
      </c>
      <c r="B648" t="n">
        <v>1</v>
      </c>
      <c r="C648" t="n">
        <v>1096</v>
      </c>
      <c r="D648" t="n">
        <v>-0.3521</v>
      </c>
      <c r="E648" t="n">
        <v>18.1299</v>
      </c>
      <c r="F648" t="n">
        <v>0.0873</v>
      </c>
    </row>
    <row r="649">
      <c r="A649" t="n">
        <v>1001097</v>
      </c>
      <c r="B649" t="n">
        <v>1</v>
      </c>
      <c r="C649" t="n">
        <v>1097</v>
      </c>
      <c r="D649" t="n">
        <v>-0.3521</v>
      </c>
      <c r="E649" t="n">
        <v>18.1645</v>
      </c>
      <c r="F649" t="n">
        <v>0.08735999999999999</v>
      </c>
    </row>
    <row r="650">
      <c r="A650" t="n">
        <v>1001098</v>
      </c>
      <c r="B650" t="n">
        <v>1</v>
      </c>
      <c r="C650" t="n">
        <v>1098</v>
      </c>
      <c r="D650" t="n">
        <v>-0.3521</v>
      </c>
      <c r="E650" t="n">
        <v>18.1992</v>
      </c>
      <c r="F650" t="n">
        <v>0.08742</v>
      </c>
    </row>
    <row r="651">
      <c r="A651" t="n">
        <v>1001099</v>
      </c>
      <c r="B651" t="n">
        <v>1</v>
      </c>
      <c r="C651" t="n">
        <v>1099</v>
      </c>
      <c r="D651" t="n">
        <v>-0.3521</v>
      </c>
      <c r="E651" t="n">
        <v>18.234</v>
      </c>
      <c r="F651" t="n">
        <v>0.08749</v>
      </c>
    </row>
    <row r="652">
      <c r="A652" t="n">
        <v>1001100</v>
      </c>
      <c r="B652" t="n">
        <v>1</v>
      </c>
      <c r="C652" t="n">
        <v>1100</v>
      </c>
      <c r="D652" t="n">
        <v>-0.3521</v>
      </c>
      <c r="E652" t="n">
        <v>18.2689</v>
      </c>
      <c r="F652" t="n">
        <v>0.08755</v>
      </c>
    </row>
    <row r="653">
      <c r="A653" t="n">
        <v>2000450</v>
      </c>
      <c r="B653" t="n">
        <v>2</v>
      </c>
      <c r="C653" t="n">
        <v>450</v>
      </c>
      <c r="D653" t="n">
        <v>-0.3833</v>
      </c>
      <c r="E653" t="n">
        <v>2.4607</v>
      </c>
      <c r="F653" t="n">
        <v>0.09029</v>
      </c>
    </row>
    <row r="654">
      <c r="A654" t="n">
        <v>2000451</v>
      </c>
      <c r="B654" t="n">
        <v>2</v>
      </c>
      <c r="C654" t="n">
        <v>451</v>
      </c>
      <c r="D654" t="n">
        <v>-0.3833</v>
      </c>
      <c r="E654" t="n">
        <v>2.4777</v>
      </c>
      <c r="F654" t="n">
        <v>0.09030000000000001</v>
      </c>
    </row>
    <row r="655">
      <c r="A655" t="n">
        <v>2000452</v>
      </c>
      <c r="B655" t="n">
        <v>2</v>
      </c>
      <c r="C655" t="n">
        <v>452</v>
      </c>
      <c r="D655" t="n">
        <v>-0.3833</v>
      </c>
      <c r="E655" t="n">
        <v>2.4947</v>
      </c>
      <c r="F655" t="n">
        <v>0.09030000000000001</v>
      </c>
    </row>
    <row r="656">
      <c r="A656" t="n">
        <v>2000453</v>
      </c>
      <c r="B656" t="n">
        <v>2</v>
      </c>
      <c r="C656" t="n">
        <v>453</v>
      </c>
      <c r="D656" t="n">
        <v>-0.3833</v>
      </c>
      <c r="E656" t="n">
        <v>2.5117</v>
      </c>
      <c r="F656" t="n">
        <v>0.09031</v>
      </c>
    </row>
    <row r="657">
      <c r="A657" t="n">
        <v>2000454</v>
      </c>
      <c r="B657" t="n">
        <v>2</v>
      </c>
      <c r="C657" t="n">
        <v>454</v>
      </c>
      <c r="D657" t="n">
        <v>-0.3833</v>
      </c>
      <c r="E657" t="n">
        <v>2.5287</v>
      </c>
      <c r="F657" t="n">
        <v>0.09032</v>
      </c>
    </row>
    <row r="658">
      <c r="A658" t="n">
        <v>2000455</v>
      </c>
      <c r="B658" t="n">
        <v>2</v>
      </c>
      <c r="C658" t="n">
        <v>455</v>
      </c>
      <c r="D658" t="n">
        <v>-0.3833</v>
      </c>
      <c r="E658" t="n">
        <v>2.5457</v>
      </c>
      <c r="F658" t="n">
        <v>0.09032999999999999</v>
      </c>
    </row>
    <row r="659">
      <c r="A659" t="n">
        <v>2000456</v>
      </c>
      <c r="B659" t="n">
        <v>2</v>
      </c>
      <c r="C659" t="n">
        <v>456</v>
      </c>
      <c r="D659" t="n">
        <v>-0.3833</v>
      </c>
      <c r="E659" t="n">
        <v>2.5627</v>
      </c>
      <c r="F659" t="n">
        <v>0.09032999999999999</v>
      </c>
    </row>
    <row r="660">
      <c r="A660" t="n">
        <v>2000457</v>
      </c>
      <c r="B660" t="n">
        <v>2</v>
      </c>
      <c r="C660" t="n">
        <v>457</v>
      </c>
      <c r="D660" t="n">
        <v>-0.3833</v>
      </c>
      <c r="E660" t="n">
        <v>2.5797</v>
      </c>
      <c r="F660" t="n">
        <v>0.09034</v>
      </c>
    </row>
    <row r="661">
      <c r="A661" t="n">
        <v>2000458</v>
      </c>
      <c r="B661" t="n">
        <v>2</v>
      </c>
      <c r="C661" t="n">
        <v>458</v>
      </c>
      <c r="D661" t="n">
        <v>-0.3833</v>
      </c>
      <c r="E661" t="n">
        <v>2.5967</v>
      </c>
      <c r="F661" t="n">
        <v>0.09035</v>
      </c>
    </row>
    <row r="662">
      <c r="A662" t="n">
        <v>2000459</v>
      </c>
      <c r="B662" t="n">
        <v>2</v>
      </c>
      <c r="C662" t="n">
        <v>459</v>
      </c>
      <c r="D662" t="n">
        <v>-0.3833</v>
      </c>
      <c r="E662" t="n">
        <v>2.6137</v>
      </c>
      <c r="F662" t="n">
        <v>0.09036</v>
      </c>
    </row>
    <row r="663">
      <c r="A663" t="n">
        <v>2000460</v>
      </c>
      <c r="B663" t="n">
        <v>2</v>
      </c>
      <c r="C663" t="n">
        <v>460</v>
      </c>
      <c r="D663" t="n">
        <v>-0.3833</v>
      </c>
      <c r="E663" t="n">
        <v>2.6306</v>
      </c>
      <c r="F663" t="n">
        <v>0.09037000000000001</v>
      </c>
    </row>
    <row r="664">
      <c r="A664" t="n">
        <v>2000461</v>
      </c>
      <c r="B664" t="n">
        <v>2</v>
      </c>
      <c r="C664" t="n">
        <v>461</v>
      </c>
      <c r="D664" t="n">
        <v>-0.3833</v>
      </c>
      <c r="E664" t="n">
        <v>2.6476</v>
      </c>
      <c r="F664" t="n">
        <v>0.09037000000000001</v>
      </c>
    </row>
    <row r="665">
      <c r="A665" t="n">
        <v>2000462</v>
      </c>
      <c r="B665" t="n">
        <v>2</v>
      </c>
      <c r="C665" t="n">
        <v>462</v>
      </c>
      <c r="D665" t="n">
        <v>-0.3833</v>
      </c>
      <c r="E665" t="n">
        <v>2.6646</v>
      </c>
      <c r="F665" t="n">
        <v>0.09038</v>
      </c>
    </row>
    <row r="666">
      <c r="A666" t="n">
        <v>2000463</v>
      </c>
      <c r="B666" t="n">
        <v>2</v>
      </c>
      <c r="C666" t="n">
        <v>463</v>
      </c>
      <c r="D666" t="n">
        <v>-0.3833</v>
      </c>
      <c r="E666" t="n">
        <v>2.6816</v>
      </c>
      <c r="F666" t="n">
        <v>0.09039</v>
      </c>
    </row>
    <row r="667">
      <c r="A667" t="n">
        <v>2000464</v>
      </c>
      <c r="B667" t="n">
        <v>2</v>
      </c>
      <c r="C667" t="n">
        <v>464</v>
      </c>
      <c r="D667" t="n">
        <v>-0.3833</v>
      </c>
      <c r="E667" t="n">
        <v>2.6986</v>
      </c>
      <c r="F667" t="n">
        <v>0.09039999999999999</v>
      </c>
    </row>
    <row r="668">
      <c r="A668" t="n">
        <v>2000465</v>
      </c>
      <c r="B668" t="n">
        <v>2</v>
      </c>
      <c r="C668" t="n">
        <v>465</v>
      </c>
      <c r="D668" t="n">
        <v>-0.3833</v>
      </c>
      <c r="E668" t="n">
        <v>2.7155</v>
      </c>
      <c r="F668" t="n">
        <v>0.09039999999999999</v>
      </c>
    </row>
    <row r="669">
      <c r="A669" t="n">
        <v>2000466</v>
      </c>
      <c r="B669" t="n">
        <v>2</v>
      </c>
      <c r="C669" t="n">
        <v>466</v>
      </c>
      <c r="D669" t="n">
        <v>-0.3833</v>
      </c>
      <c r="E669" t="n">
        <v>2.7326</v>
      </c>
      <c r="F669" t="n">
        <v>0.09041</v>
      </c>
    </row>
    <row r="670">
      <c r="A670" t="n">
        <v>2000467</v>
      </c>
      <c r="B670" t="n">
        <v>2</v>
      </c>
      <c r="C670" t="n">
        <v>467</v>
      </c>
      <c r="D670" t="n">
        <v>-0.3833</v>
      </c>
      <c r="E670" t="n">
        <v>2.7496</v>
      </c>
      <c r="F670" t="n">
        <v>0.09042</v>
      </c>
    </row>
    <row r="671">
      <c r="A671" t="n">
        <v>2000468</v>
      </c>
      <c r="B671" t="n">
        <v>2</v>
      </c>
      <c r="C671" t="n">
        <v>468</v>
      </c>
      <c r="D671" t="n">
        <v>-0.3833</v>
      </c>
      <c r="E671" t="n">
        <v>2.7666</v>
      </c>
      <c r="F671" t="n">
        <v>0.09043</v>
      </c>
    </row>
    <row r="672">
      <c r="A672" t="n">
        <v>2000469</v>
      </c>
      <c r="B672" t="n">
        <v>2</v>
      </c>
      <c r="C672" t="n">
        <v>469</v>
      </c>
      <c r="D672" t="n">
        <v>-0.3833</v>
      </c>
      <c r="E672" t="n">
        <v>2.7837</v>
      </c>
      <c r="F672" t="n">
        <v>0.09044000000000001</v>
      </c>
    </row>
    <row r="673">
      <c r="A673" t="n">
        <v>2000470</v>
      </c>
      <c r="B673" t="n">
        <v>2</v>
      </c>
      <c r="C673" t="n">
        <v>470</v>
      </c>
      <c r="D673" t="n">
        <v>-0.3833</v>
      </c>
      <c r="E673" t="n">
        <v>2.8007</v>
      </c>
      <c r="F673" t="n">
        <v>0.09044000000000001</v>
      </c>
    </row>
    <row r="674">
      <c r="A674" t="n">
        <v>2000471</v>
      </c>
      <c r="B674" t="n">
        <v>2</v>
      </c>
      <c r="C674" t="n">
        <v>471</v>
      </c>
      <c r="D674" t="n">
        <v>-0.3833</v>
      </c>
      <c r="E674" t="n">
        <v>2.8179</v>
      </c>
      <c r="F674" t="n">
        <v>0.09045</v>
      </c>
    </row>
    <row r="675">
      <c r="A675" t="n">
        <v>2000472</v>
      </c>
      <c r="B675" t="n">
        <v>2</v>
      </c>
      <c r="C675" t="n">
        <v>472</v>
      </c>
      <c r="D675" t="n">
        <v>-0.3833</v>
      </c>
      <c r="E675" t="n">
        <v>2.835</v>
      </c>
      <c r="F675" t="n">
        <v>0.09046</v>
      </c>
    </row>
    <row r="676">
      <c r="A676" t="n">
        <v>2000473</v>
      </c>
      <c r="B676" t="n">
        <v>2</v>
      </c>
      <c r="C676" t="n">
        <v>473</v>
      </c>
      <c r="D676" t="n">
        <v>-0.3833</v>
      </c>
      <c r="E676" t="n">
        <v>2.8522</v>
      </c>
      <c r="F676" t="n">
        <v>0.09046999999999999</v>
      </c>
    </row>
    <row r="677">
      <c r="A677" t="n">
        <v>2000474</v>
      </c>
      <c r="B677" t="n">
        <v>2</v>
      </c>
      <c r="C677" t="n">
        <v>474</v>
      </c>
      <c r="D677" t="n">
        <v>-0.3833</v>
      </c>
      <c r="E677" t="n">
        <v>2.8694</v>
      </c>
      <c r="F677" t="n">
        <v>0.09046999999999999</v>
      </c>
    </row>
    <row r="678">
      <c r="A678" t="n">
        <v>2000475</v>
      </c>
      <c r="B678" t="n">
        <v>2</v>
      </c>
      <c r="C678" t="n">
        <v>475</v>
      </c>
      <c r="D678" t="n">
        <v>-0.3833</v>
      </c>
      <c r="E678" t="n">
        <v>2.8867</v>
      </c>
      <c r="F678" t="n">
        <v>0.09048</v>
      </c>
    </row>
    <row r="679">
      <c r="A679" t="n">
        <v>2000476</v>
      </c>
      <c r="B679" t="n">
        <v>2</v>
      </c>
      <c r="C679" t="n">
        <v>476</v>
      </c>
      <c r="D679" t="n">
        <v>-0.3833</v>
      </c>
      <c r="E679" t="n">
        <v>2.9041</v>
      </c>
      <c r="F679" t="n">
        <v>0.09049</v>
      </c>
    </row>
    <row r="680">
      <c r="A680" t="n">
        <v>2000477</v>
      </c>
      <c r="B680" t="n">
        <v>2</v>
      </c>
      <c r="C680" t="n">
        <v>477</v>
      </c>
      <c r="D680" t="n">
        <v>-0.3833</v>
      </c>
      <c r="E680" t="n">
        <v>2.9215</v>
      </c>
      <c r="F680" t="n">
        <v>0.0905</v>
      </c>
    </row>
    <row r="681">
      <c r="A681" t="n">
        <v>2000478</v>
      </c>
      <c r="B681" t="n">
        <v>2</v>
      </c>
      <c r="C681" t="n">
        <v>478</v>
      </c>
      <c r="D681" t="n">
        <v>-0.3833</v>
      </c>
      <c r="E681" t="n">
        <v>2.939</v>
      </c>
      <c r="F681" t="n">
        <v>0.0905</v>
      </c>
    </row>
    <row r="682">
      <c r="A682" t="n">
        <v>2000479</v>
      </c>
      <c r="B682" t="n">
        <v>2</v>
      </c>
      <c r="C682" t="n">
        <v>479</v>
      </c>
      <c r="D682" t="n">
        <v>-0.3833</v>
      </c>
      <c r="E682" t="n">
        <v>2.9565</v>
      </c>
      <c r="F682" t="n">
        <v>0.09050999999999999</v>
      </c>
    </row>
    <row r="683">
      <c r="A683" t="n">
        <v>2000480</v>
      </c>
      <c r="B683" t="n">
        <v>2</v>
      </c>
      <c r="C683" t="n">
        <v>480</v>
      </c>
      <c r="D683" t="n">
        <v>-0.3833</v>
      </c>
      <c r="E683" t="n">
        <v>2.9741</v>
      </c>
      <c r="F683" t="n">
        <v>0.09052</v>
      </c>
    </row>
    <row r="684">
      <c r="A684" t="n">
        <v>2000481</v>
      </c>
      <c r="B684" t="n">
        <v>2</v>
      </c>
      <c r="C684" t="n">
        <v>481</v>
      </c>
      <c r="D684" t="n">
        <v>-0.3833</v>
      </c>
      <c r="E684" t="n">
        <v>2.9918</v>
      </c>
      <c r="F684" t="n">
        <v>0.09053</v>
      </c>
    </row>
    <row r="685">
      <c r="A685" t="n">
        <v>2000482</v>
      </c>
      <c r="B685" t="n">
        <v>2</v>
      </c>
      <c r="C685" t="n">
        <v>482</v>
      </c>
      <c r="D685" t="n">
        <v>-0.3833</v>
      </c>
      <c r="E685" t="n">
        <v>3.0096</v>
      </c>
      <c r="F685" t="n">
        <v>0.09054</v>
      </c>
    </row>
    <row r="686">
      <c r="A686" t="n">
        <v>2000483</v>
      </c>
      <c r="B686" t="n">
        <v>2</v>
      </c>
      <c r="C686" t="n">
        <v>483</v>
      </c>
      <c r="D686" t="n">
        <v>-0.3833</v>
      </c>
      <c r="E686" t="n">
        <v>3.0275</v>
      </c>
      <c r="F686" t="n">
        <v>0.09054</v>
      </c>
    </row>
    <row r="687">
      <c r="A687" t="n">
        <v>2000484</v>
      </c>
      <c r="B687" t="n">
        <v>2</v>
      </c>
      <c r="C687" t="n">
        <v>484</v>
      </c>
      <c r="D687" t="n">
        <v>-0.3833</v>
      </c>
      <c r="E687" t="n">
        <v>3.0455</v>
      </c>
      <c r="F687" t="n">
        <v>0.09055000000000001</v>
      </c>
    </row>
    <row r="688">
      <c r="A688" t="n">
        <v>2000485</v>
      </c>
      <c r="B688" t="n">
        <v>2</v>
      </c>
      <c r="C688" t="n">
        <v>485</v>
      </c>
      <c r="D688" t="n">
        <v>-0.3833</v>
      </c>
      <c r="E688" t="n">
        <v>3.0636</v>
      </c>
      <c r="F688" t="n">
        <v>0.09056</v>
      </c>
    </row>
    <row r="689">
      <c r="A689" t="n">
        <v>2000486</v>
      </c>
      <c r="B689" t="n">
        <v>2</v>
      </c>
      <c r="C689" t="n">
        <v>486</v>
      </c>
      <c r="D689" t="n">
        <v>-0.3833</v>
      </c>
      <c r="E689" t="n">
        <v>3.0818</v>
      </c>
      <c r="F689" t="n">
        <v>0.09057</v>
      </c>
    </row>
    <row r="690">
      <c r="A690" t="n">
        <v>2000487</v>
      </c>
      <c r="B690" t="n">
        <v>2</v>
      </c>
      <c r="C690" t="n">
        <v>487</v>
      </c>
      <c r="D690" t="n">
        <v>-0.3833</v>
      </c>
      <c r="E690" t="n">
        <v>3.1001</v>
      </c>
      <c r="F690" t="n">
        <v>0.09057</v>
      </c>
    </row>
    <row r="691">
      <c r="A691" t="n">
        <v>2000488</v>
      </c>
      <c r="B691" t="n">
        <v>2</v>
      </c>
      <c r="C691" t="n">
        <v>488</v>
      </c>
      <c r="D691" t="n">
        <v>-0.3833</v>
      </c>
      <c r="E691" t="n">
        <v>3.1186</v>
      </c>
      <c r="F691" t="n">
        <v>0.09057999999999999</v>
      </c>
    </row>
    <row r="692">
      <c r="A692" t="n">
        <v>2000489</v>
      </c>
      <c r="B692" t="n">
        <v>2</v>
      </c>
      <c r="C692" t="n">
        <v>489</v>
      </c>
      <c r="D692" t="n">
        <v>-0.3833</v>
      </c>
      <c r="E692" t="n">
        <v>3.1372</v>
      </c>
      <c r="F692" t="n">
        <v>0.09059</v>
      </c>
    </row>
    <row r="693">
      <c r="A693" t="n">
        <v>2000490</v>
      </c>
      <c r="B693" t="n">
        <v>2</v>
      </c>
      <c r="C693" t="n">
        <v>490</v>
      </c>
      <c r="D693" t="n">
        <v>-0.3833</v>
      </c>
      <c r="E693" t="n">
        <v>3.156</v>
      </c>
      <c r="F693" t="n">
        <v>0.0906</v>
      </c>
    </row>
    <row r="694">
      <c r="A694" t="n">
        <v>2000491</v>
      </c>
      <c r="B694" t="n">
        <v>2</v>
      </c>
      <c r="C694" t="n">
        <v>491</v>
      </c>
      <c r="D694" t="n">
        <v>-0.3833</v>
      </c>
      <c r="E694" t="n">
        <v>3.1749</v>
      </c>
      <c r="F694" t="n">
        <v>0.09061</v>
      </c>
    </row>
    <row r="695">
      <c r="A695" t="n">
        <v>2000492</v>
      </c>
      <c r="B695" t="n">
        <v>2</v>
      </c>
      <c r="C695" t="n">
        <v>492</v>
      </c>
      <c r="D695" t="n">
        <v>-0.3833</v>
      </c>
      <c r="E695" t="n">
        <v>3.1939</v>
      </c>
      <c r="F695" t="n">
        <v>0.09061</v>
      </c>
    </row>
    <row r="696">
      <c r="A696" t="n">
        <v>2000493</v>
      </c>
      <c r="B696" t="n">
        <v>2</v>
      </c>
      <c r="C696" t="n">
        <v>493</v>
      </c>
      <c r="D696" t="n">
        <v>-0.3833</v>
      </c>
      <c r="E696" t="n">
        <v>3.2131</v>
      </c>
      <c r="F696" t="n">
        <v>0.09062000000000001</v>
      </c>
    </row>
    <row r="697">
      <c r="A697" t="n">
        <v>2000494</v>
      </c>
      <c r="B697" t="n">
        <v>2</v>
      </c>
      <c r="C697" t="n">
        <v>494</v>
      </c>
      <c r="D697" t="n">
        <v>-0.3833</v>
      </c>
      <c r="E697" t="n">
        <v>3.2325</v>
      </c>
      <c r="F697" t="n">
        <v>0.09063</v>
      </c>
    </row>
    <row r="698">
      <c r="A698" t="n">
        <v>2000495</v>
      </c>
      <c r="B698" t="n">
        <v>2</v>
      </c>
      <c r="C698" t="n">
        <v>495</v>
      </c>
      <c r="D698" t="n">
        <v>-0.3833</v>
      </c>
      <c r="E698" t="n">
        <v>3.252</v>
      </c>
      <c r="F698" t="n">
        <v>0.09064</v>
      </c>
    </row>
    <row r="699">
      <c r="A699" t="n">
        <v>2000496</v>
      </c>
      <c r="B699" t="n">
        <v>2</v>
      </c>
      <c r="C699" t="n">
        <v>496</v>
      </c>
      <c r="D699" t="n">
        <v>-0.3833</v>
      </c>
      <c r="E699" t="n">
        <v>3.2717</v>
      </c>
      <c r="F699" t="n">
        <v>0.09064999999999999</v>
      </c>
    </row>
    <row r="700">
      <c r="A700" t="n">
        <v>2000497</v>
      </c>
      <c r="B700" t="n">
        <v>2</v>
      </c>
      <c r="C700" t="n">
        <v>497</v>
      </c>
      <c r="D700" t="n">
        <v>-0.3833</v>
      </c>
      <c r="E700" t="n">
        <v>3.2915</v>
      </c>
      <c r="F700" t="n">
        <v>0.09064999999999999</v>
      </c>
    </row>
    <row r="701">
      <c r="A701" t="n">
        <v>2000498</v>
      </c>
      <c r="B701" t="n">
        <v>2</v>
      </c>
      <c r="C701" t="n">
        <v>498</v>
      </c>
      <c r="D701" t="n">
        <v>-0.3833</v>
      </c>
      <c r="E701" t="n">
        <v>3.3114</v>
      </c>
      <c r="F701" t="n">
        <v>0.09066</v>
      </c>
    </row>
    <row r="702">
      <c r="A702" t="n">
        <v>2000499</v>
      </c>
      <c r="B702" t="n">
        <v>2</v>
      </c>
      <c r="C702" t="n">
        <v>499</v>
      </c>
      <c r="D702" t="n">
        <v>-0.3833</v>
      </c>
      <c r="E702" t="n">
        <v>3.3316</v>
      </c>
      <c r="F702" t="n">
        <v>0.09067</v>
      </c>
    </row>
    <row r="703">
      <c r="A703" t="n">
        <v>2000500</v>
      </c>
      <c r="B703" t="n">
        <v>2</v>
      </c>
      <c r="C703" t="n">
        <v>500</v>
      </c>
      <c r="D703" t="n">
        <v>-0.3833</v>
      </c>
      <c r="E703" t="n">
        <v>3.3518</v>
      </c>
      <c r="F703" t="n">
        <v>0.09068</v>
      </c>
    </row>
    <row r="704">
      <c r="A704" t="n">
        <v>2000501</v>
      </c>
      <c r="B704" t="n">
        <v>2</v>
      </c>
      <c r="C704" t="n">
        <v>501</v>
      </c>
      <c r="D704" t="n">
        <v>-0.3833</v>
      </c>
      <c r="E704" t="n">
        <v>3.3723</v>
      </c>
      <c r="F704" t="n">
        <v>0.09069000000000001</v>
      </c>
    </row>
    <row r="705">
      <c r="A705" t="n">
        <v>2000502</v>
      </c>
      <c r="B705" t="n">
        <v>2</v>
      </c>
      <c r="C705" t="n">
        <v>502</v>
      </c>
      <c r="D705" t="n">
        <v>-0.3833</v>
      </c>
      <c r="E705" t="n">
        <v>3.3929</v>
      </c>
      <c r="F705" t="n">
        <v>0.09069000000000001</v>
      </c>
    </row>
    <row r="706">
      <c r="A706" t="n">
        <v>2000503</v>
      </c>
      <c r="B706" t="n">
        <v>2</v>
      </c>
      <c r="C706" t="n">
        <v>503</v>
      </c>
      <c r="D706" t="n">
        <v>-0.3833</v>
      </c>
      <c r="E706" t="n">
        <v>3.4136</v>
      </c>
      <c r="F706" t="n">
        <v>0.0907</v>
      </c>
    </row>
    <row r="707">
      <c r="A707" t="n">
        <v>2000504</v>
      </c>
      <c r="B707" t="n">
        <v>2</v>
      </c>
      <c r="C707" t="n">
        <v>504</v>
      </c>
      <c r="D707" t="n">
        <v>-0.3833</v>
      </c>
      <c r="E707" t="n">
        <v>3.4346</v>
      </c>
      <c r="F707" t="n">
        <v>0.09071</v>
      </c>
    </row>
    <row r="708">
      <c r="A708" t="n">
        <v>2000505</v>
      </c>
      <c r="B708" t="n">
        <v>2</v>
      </c>
      <c r="C708" t="n">
        <v>505</v>
      </c>
      <c r="D708" t="n">
        <v>-0.3833</v>
      </c>
      <c r="E708" t="n">
        <v>3.4557</v>
      </c>
      <c r="F708" t="n">
        <v>0.09072</v>
      </c>
    </row>
    <row r="709">
      <c r="A709" t="n">
        <v>2000506</v>
      </c>
      <c r="B709" t="n">
        <v>2</v>
      </c>
      <c r="C709" t="n">
        <v>506</v>
      </c>
      <c r="D709" t="n">
        <v>-0.3833</v>
      </c>
      <c r="E709" t="n">
        <v>3.4769</v>
      </c>
      <c r="F709" t="n">
        <v>0.09073000000000001</v>
      </c>
    </row>
    <row r="710">
      <c r="A710" t="n">
        <v>2000507</v>
      </c>
      <c r="B710" t="n">
        <v>2</v>
      </c>
      <c r="C710" t="n">
        <v>507</v>
      </c>
      <c r="D710" t="n">
        <v>-0.3833</v>
      </c>
      <c r="E710" t="n">
        <v>3.4983</v>
      </c>
      <c r="F710" t="n">
        <v>0.09074</v>
      </c>
    </row>
    <row r="711">
      <c r="A711" t="n">
        <v>2000508</v>
      </c>
      <c r="B711" t="n">
        <v>2</v>
      </c>
      <c r="C711" t="n">
        <v>508</v>
      </c>
      <c r="D711" t="n">
        <v>-0.3833</v>
      </c>
      <c r="E711" t="n">
        <v>3.5199</v>
      </c>
      <c r="F711" t="n">
        <v>0.09074</v>
      </c>
    </row>
    <row r="712">
      <c r="A712" t="n">
        <v>2000509</v>
      </c>
      <c r="B712" t="n">
        <v>2</v>
      </c>
      <c r="C712" t="n">
        <v>509</v>
      </c>
      <c r="D712" t="n">
        <v>-0.3833</v>
      </c>
      <c r="E712" t="n">
        <v>3.5417</v>
      </c>
      <c r="F712" t="n">
        <v>0.09075</v>
      </c>
    </row>
    <row r="713">
      <c r="A713" t="n">
        <v>2000510</v>
      </c>
      <c r="B713" t="n">
        <v>2</v>
      </c>
      <c r="C713" t="n">
        <v>510</v>
      </c>
      <c r="D713" t="n">
        <v>-0.3833</v>
      </c>
      <c r="E713" t="n">
        <v>3.5636</v>
      </c>
      <c r="F713" t="n">
        <v>0.09075999999999999</v>
      </c>
    </row>
    <row r="714">
      <c r="A714" t="n">
        <v>2000511</v>
      </c>
      <c r="B714" t="n">
        <v>2</v>
      </c>
      <c r="C714" t="n">
        <v>511</v>
      </c>
      <c r="D714" t="n">
        <v>-0.3833</v>
      </c>
      <c r="E714" t="n">
        <v>3.5856</v>
      </c>
      <c r="F714" t="n">
        <v>0.09077</v>
      </c>
    </row>
    <row r="715">
      <c r="A715" t="n">
        <v>2000512</v>
      </c>
      <c r="B715" t="n">
        <v>2</v>
      </c>
      <c r="C715" t="n">
        <v>512</v>
      </c>
      <c r="D715" t="n">
        <v>-0.3833</v>
      </c>
      <c r="E715" t="n">
        <v>3.6078</v>
      </c>
      <c r="F715" t="n">
        <v>0.09078</v>
      </c>
    </row>
    <row r="716">
      <c r="A716" t="n">
        <v>2000513</v>
      </c>
      <c r="B716" t="n">
        <v>2</v>
      </c>
      <c r="C716" t="n">
        <v>513</v>
      </c>
      <c r="D716" t="n">
        <v>-0.3833</v>
      </c>
      <c r="E716" t="n">
        <v>3.6302</v>
      </c>
      <c r="F716" t="n">
        <v>0.09079</v>
      </c>
    </row>
    <row r="717">
      <c r="A717" t="n">
        <v>2000514</v>
      </c>
      <c r="B717" t="n">
        <v>2</v>
      </c>
      <c r="C717" t="n">
        <v>514</v>
      </c>
      <c r="D717" t="n">
        <v>-0.3833</v>
      </c>
      <c r="E717" t="n">
        <v>3.6527</v>
      </c>
      <c r="F717" t="n">
        <v>0.09080000000000001</v>
      </c>
    </row>
    <row r="718">
      <c r="A718" t="n">
        <v>2000515</v>
      </c>
      <c r="B718" t="n">
        <v>2</v>
      </c>
      <c r="C718" t="n">
        <v>515</v>
      </c>
      <c r="D718" t="n">
        <v>-0.3833</v>
      </c>
      <c r="E718" t="n">
        <v>3.6754</v>
      </c>
      <c r="F718" t="n">
        <v>0.09080000000000001</v>
      </c>
    </row>
    <row r="719">
      <c r="A719" t="n">
        <v>2000516</v>
      </c>
      <c r="B719" t="n">
        <v>2</v>
      </c>
      <c r="C719" t="n">
        <v>516</v>
      </c>
      <c r="D719" t="n">
        <v>-0.3833</v>
      </c>
      <c r="E719" t="n">
        <v>3.6982</v>
      </c>
      <c r="F719" t="n">
        <v>0.09081</v>
      </c>
    </row>
    <row r="720">
      <c r="A720" t="n">
        <v>2000517</v>
      </c>
      <c r="B720" t="n">
        <v>2</v>
      </c>
      <c r="C720" t="n">
        <v>517</v>
      </c>
      <c r="D720" t="n">
        <v>-0.3833</v>
      </c>
      <c r="E720" t="n">
        <v>3.7212</v>
      </c>
      <c r="F720" t="n">
        <v>0.09082</v>
      </c>
    </row>
    <row r="721">
      <c r="A721" t="n">
        <v>2000518</v>
      </c>
      <c r="B721" t="n">
        <v>2</v>
      </c>
      <c r="C721" t="n">
        <v>518</v>
      </c>
      <c r="D721" t="n">
        <v>-0.3833</v>
      </c>
      <c r="E721" t="n">
        <v>3.7444</v>
      </c>
      <c r="F721" t="n">
        <v>0.09082999999999999</v>
      </c>
    </row>
    <row r="722">
      <c r="A722" t="n">
        <v>2000519</v>
      </c>
      <c r="B722" t="n">
        <v>2</v>
      </c>
      <c r="C722" t="n">
        <v>519</v>
      </c>
      <c r="D722" t="n">
        <v>-0.3833</v>
      </c>
      <c r="E722" t="n">
        <v>3.7677</v>
      </c>
      <c r="F722" t="n">
        <v>0.09084</v>
      </c>
    </row>
    <row r="723">
      <c r="A723" t="n">
        <v>2000520</v>
      </c>
      <c r="B723" t="n">
        <v>2</v>
      </c>
      <c r="C723" t="n">
        <v>520</v>
      </c>
      <c r="D723" t="n">
        <v>-0.3833</v>
      </c>
      <c r="E723" t="n">
        <v>3.7911</v>
      </c>
      <c r="F723" t="n">
        <v>0.09085</v>
      </c>
    </row>
    <row r="724">
      <c r="A724" t="n">
        <v>2000521</v>
      </c>
      <c r="B724" t="n">
        <v>2</v>
      </c>
      <c r="C724" t="n">
        <v>521</v>
      </c>
      <c r="D724" t="n">
        <v>-0.3833</v>
      </c>
      <c r="E724" t="n">
        <v>3.8147</v>
      </c>
      <c r="F724" t="n">
        <v>0.09086</v>
      </c>
    </row>
    <row r="725">
      <c r="A725" t="n">
        <v>2000522</v>
      </c>
      <c r="B725" t="n">
        <v>2</v>
      </c>
      <c r="C725" t="n">
        <v>522</v>
      </c>
      <c r="D725" t="n">
        <v>-0.3833</v>
      </c>
      <c r="E725" t="n">
        <v>3.8385</v>
      </c>
      <c r="F725" t="n">
        <v>0.09086</v>
      </c>
    </row>
    <row r="726">
      <c r="A726" t="n">
        <v>2000523</v>
      </c>
      <c r="B726" t="n">
        <v>2</v>
      </c>
      <c r="C726" t="n">
        <v>523</v>
      </c>
      <c r="D726" t="n">
        <v>-0.3833</v>
      </c>
      <c r="E726" t="n">
        <v>3.8623</v>
      </c>
      <c r="F726" t="n">
        <v>0.09087000000000001</v>
      </c>
    </row>
    <row r="727">
      <c r="A727" t="n">
        <v>2000524</v>
      </c>
      <c r="B727" t="n">
        <v>2</v>
      </c>
      <c r="C727" t="n">
        <v>524</v>
      </c>
      <c r="D727" t="n">
        <v>-0.3833</v>
      </c>
      <c r="E727" t="n">
        <v>3.8863</v>
      </c>
      <c r="F727" t="n">
        <v>0.09088</v>
      </c>
    </row>
    <row r="728">
      <c r="A728" t="n">
        <v>2000525</v>
      </c>
      <c r="B728" t="n">
        <v>2</v>
      </c>
      <c r="C728" t="n">
        <v>525</v>
      </c>
      <c r="D728" t="n">
        <v>-0.3833</v>
      </c>
      <c r="E728" t="n">
        <v>3.9105</v>
      </c>
      <c r="F728" t="n">
        <v>0.09089</v>
      </c>
    </row>
    <row r="729">
      <c r="A729" t="n">
        <v>2000526</v>
      </c>
      <c r="B729" t="n">
        <v>2</v>
      </c>
      <c r="C729" t="n">
        <v>526</v>
      </c>
      <c r="D729" t="n">
        <v>-0.3833</v>
      </c>
      <c r="E729" t="n">
        <v>3.9348</v>
      </c>
      <c r="F729" t="n">
        <v>0.09089999999999999</v>
      </c>
    </row>
    <row r="730">
      <c r="A730" t="n">
        <v>2000527</v>
      </c>
      <c r="B730" t="n">
        <v>2</v>
      </c>
      <c r="C730" t="n">
        <v>527</v>
      </c>
      <c r="D730" t="n">
        <v>-0.3833</v>
      </c>
      <c r="E730" t="n">
        <v>3.9592</v>
      </c>
      <c r="F730" t="n">
        <v>0.09091</v>
      </c>
    </row>
    <row r="731">
      <c r="A731" t="n">
        <v>2000528</v>
      </c>
      <c r="B731" t="n">
        <v>2</v>
      </c>
      <c r="C731" t="n">
        <v>528</v>
      </c>
      <c r="D731" t="n">
        <v>-0.3833</v>
      </c>
      <c r="E731" t="n">
        <v>3.9837</v>
      </c>
      <c r="F731" t="n">
        <v>0.09092</v>
      </c>
    </row>
    <row r="732">
      <c r="A732" t="n">
        <v>2000529</v>
      </c>
      <c r="B732" t="n">
        <v>2</v>
      </c>
      <c r="C732" t="n">
        <v>529</v>
      </c>
      <c r="D732" t="n">
        <v>-0.3833</v>
      </c>
      <c r="E732" t="n">
        <v>4.0084</v>
      </c>
      <c r="F732" t="n">
        <v>0.09093</v>
      </c>
    </row>
    <row r="733">
      <c r="A733" t="n">
        <v>2000530</v>
      </c>
      <c r="B733" t="n">
        <v>2</v>
      </c>
      <c r="C733" t="n">
        <v>530</v>
      </c>
      <c r="D733" t="n">
        <v>-0.3833</v>
      </c>
      <c r="E733" t="n">
        <v>4.0332</v>
      </c>
      <c r="F733" t="n">
        <v>0.09093</v>
      </c>
    </row>
    <row r="734">
      <c r="A734" t="n">
        <v>2000531</v>
      </c>
      <c r="B734" t="n">
        <v>2</v>
      </c>
      <c r="C734" t="n">
        <v>531</v>
      </c>
      <c r="D734" t="n">
        <v>-0.3833</v>
      </c>
      <c r="E734" t="n">
        <v>4.0581</v>
      </c>
      <c r="F734" t="n">
        <v>0.09093999999999999</v>
      </c>
    </row>
    <row r="735">
      <c r="A735" t="n">
        <v>2000532</v>
      </c>
      <c r="B735" t="n">
        <v>2</v>
      </c>
      <c r="C735" t="n">
        <v>532</v>
      </c>
      <c r="D735" t="n">
        <v>-0.3833</v>
      </c>
      <c r="E735" t="n">
        <v>4.0832</v>
      </c>
      <c r="F735" t="n">
        <v>0.09095</v>
      </c>
    </row>
    <row r="736">
      <c r="A736" t="n">
        <v>2000533</v>
      </c>
      <c r="B736" t="n">
        <v>2</v>
      </c>
      <c r="C736" t="n">
        <v>533</v>
      </c>
      <c r="D736" t="n">
        <v>-0.3833</v>
      </c>
      <c r="E736" t="n">
        <v>4.1084</v>
      </c>
      <c r="F736" t="n">
        <v>0.09096</v>
      </c>
    </row>
    <row r="737">
      <c r="A737" t="n">
        <v>2000534</v>
      </c>
      <c r="B737" t="n">
        <v>2</v>
      </c>
      <c r="C737" t="n">
        <v>534</v>
      </c>
      <c r="D737" t="n">
        <v>-0.3833</v>
      </c>
      <c r="E737" t="n">
        <v>4.1337</v>
      </c>
      <c r="F737" t="n">
        <v>0.09097</v>
      </c>
    </row>
    <row r="738">
      <c r="A738" t="n">
        <v>2000535</v>
      </c>
      <c r="B738" t="n">
        <v>2</v>
      </c>
      <c r="C738" t="n">
        <v>535</v>
      </c>
      <c r="D738" t="n">
        <v>-0.3833</v>
      </c>
      <c r="E738" t="n">
        <v>4.1591</v>
      </c>
      <c r="F738" t="n">
        <v>0.09098000000000001</v>
      </c>
    </row>
    <row r="739">
      <c r="A739" t="n">
        <v>2000536</v>
      </c>
      <c r="B739" t="n">
        <v>2</v>
      </c>
      <c r="C739" t="n">
        <v>536</v>
      </c>
      <c r="D739" t="n">
        <v>-0.3833</v>
      </c>
      <c r="E739" t="n">
        <v>4.1846</v>
      </c>
      <c r="F739" t="n">
        <v>0.09099</v>
      </c>
    </row>
    <row r="740">
      <c r="A740" t="n">
        <v>2000537</v>
      </c>
      <c r="B740" t="n">
        <v>2</v>
      </c>
      <c r="C740" t="n">
        <v>537</v>
      </c>
      <c r="D740" t="n">
        <v>-0.3833</v>
      </c>
      <c r="E740" t="n">
        <v>4.2102</v>
      </c>
      <c r="F740" t="n">
        <v>0.09099</v>
      </c>
    </row>
    <row r="741">
      <c r="A741" t="n">
        <v>2000538</v>
      </c>
      <c r="B741" t="n">
        <v>2</v>
      </c>
      <c r="C741" t="n">
        <v>538</v>
      </c>
      <c r="D741" t="n">
        <v>-0.3833</v>
      </c>
      <c r="E741" t="n">
        <v>4.2359</v>
      </c>
      <c r="F741" t="n">
        <v>0.091</v>
      </c>
    </row>
    <row r="742">
      <c r="A742" t="n">
        <v>2000539</v>
      </c>
      <c r="B742" t="n">
        <v>2</v>
      </c>
      <c r="C742" t="n">
        <v>539</v>
      </c>
      <c r="D742" t="n">
        <v>-0.3833</v>
      </c>
      <c r="E742" t="n">
        <v>4.2617</v>
      </c>
      <c r="F742" t="n">
        <v>0.09100999999999999</v>
      </c>
    </row>
    <row r="743">
      <c r="A743" t="n">
        <v>2000540</v>
      </c>
      <c r="B743" t="n">
        <v>2</v>
      </c>
      <c r="C743" t="n">
        <v>540</v>
      </c>
      <c r="D743" t="n">
        <v>-0.3833</v>
      </c>
      <c r="E743" t="n">
        <v>4.2875</v>
      </c>
      <c r="F743" t="n">
        <v>0.09102</v>
      </c>
    </row>
    <row r="744">
      <c r="A744" t="n">
        <v>2000541</v>
      </c>
      <c r="B744" t="n">
        <v>2</v>
      </c>
      <c r="C744" t="n">
        <v>541</v>
      </c>
      <c r="D744" t="n">
        <v>-0.3833</v>
      </c>
      <c r="E744" t="n">
        <v>4.3135</v>
      </c>
      <c r="F744" t="n">
        <v>0.09103</v>
      </c>
    </row>
    <row r="745">
      <c r="A745" t="n">
        <v>2000542</v>
      </c>
      <c r="B745" t="n">
        <v>2</v>
      </c>
      <c r="C745" t="n">
        <v>542</v>
      </c>
      <c r="D745" t="n">
        <v>-0.3833</v>
      </c>
      <c r="E745" t="n">
        <v>4.3395</v>
      </c>
      <c r="F745" t="n">
        <v>0.09104</v>
      </c>
    </row>
    <row r="746">
      <c r="A746" t="n">
        <v>2000543</v>
      </c>
      <c r="B746" t="n">
        <v>2</v>
      </c>
      <c r="C746" t="n">
        <v>543</v>
      </c>
      <c r="D746" t="n">
        <v>-0.3833</v>
      </c>
      <c r="E746" t="n">
        <v>4.3655</v>
      </c>
      <c r="F746" t="n">
        <v>0.09105000000000001</v>
      </c>
    </row>
    <row r="747">
      <c r="A747" t="n">
        <v>2000544</v>
      </c>
      <c r="B747" t="n">
        <v>2</v>
      </c>
      <c r="C747" t="n">
        <v>544</v>
      </c>
      <c r="D747" t="n">
        <v>-0.3833</v>
      </c>
      <c r="E747" t="n">
        <v>4.3917</v>
      </c>
      <c r="F747" t="n">
        <v>0.09105000000000001</v>
      </c>
    </row>
    <row r="748">
      <c r="A748" t="n">
        <v>2000545</v>
      </c>
      <c r="B748" t="n">
        <v>2</v>
      </c>
      <c r="C748" t="n">
        <v>545</v>
      </c>
      <c r="D748" t="n">
        <v>-0.3833</v>
      </c>
      <c r="E748" t="n">
        <v>4.4179</v>
      </c>
      <c r="F748" t="n">
        <v>0.09106</v>
      </c>
    </row>
    <row r="749">
      <c r="A749" t="n">
        <v>2000546</v>
      </c>
      <c r="B749" t="n">
        <v>2</v>
      </c>
      <c r="C749" t="n">
        <v>546</v>
      </c>
      <c r="D749" t="n">
        <v>-0.3833</v>
      </c>
      <c r="E749" t="n">
        <v>4.4442</v>
      </c>
      <c r="F749" t="n">
        <v>0.09107</v>
      </c>
    </row>
    <row r="750">
      <c r="A750" t="n">
        <v>2000547</v>
      </c>
      <c r="B750" t="n">
        <v>2</v>
      </c>
      <c r="C750" t="n">
        <v>547</v>
      </c>
      <c r="D750" t="n">
        <v>-0.3833</v>
      </c>
      <c r="E750" t="n">
        <v>4.4705</v>
      </c>
      <c r="F750" t="n">
        <v>0.09107999999999999</v>
      </c>
    </row>
    <row r="751">
      <c r="A751" t="n">
        <v>2000548</v>
      </c>
      <c r="B751" t="n">
        <v>2</v>
      </c>
      <c r="C751" t="n">
        <v>548</v>
      </c>
      <c r="D751" t="n">
        <v>-0.3833</v>
      </c>
      <c r="E751" t="n">
        <v>4.4969</v>
      </c>
      <c r="F751" t="n">
        <v>0.09109</v>
      </c>
    </row>
    <row r="752">
      <c r="A752" t="n">
        <v>2000549</v>
      </c>
      <c r="B752" t="n">
        <v>2</v>
      </c>
      <c r="C752" t="n">
        <v>549</v>
      </c>
      <c r="D752" t="n">
        <v>-0.3833</v>
      </c>
      <c r="E752" t="n">
        <v>4.5233</v>
      </c>
      <c r="F752" t="n">
        <v>0.09109</v>
      </c>
    </row>
    <row r="753">
      <c r="A753" t="n">
        <v>2000550</v>
      </c>
      <c r="B753" t="n">
        <v>2</v>
      </c>
      <c r="C753" t="n">
        <v>550</v>
      </c>
      <c r="D753" t="n">
        <v>-0.3833</v>
      </c>
      <c r="E753" t="n">
        <v>4.5498</v>
      </c>
      <c r="F753" t="n">
        <v>0.0911</v>
      </c>
    </row>
    <row r="754">
      <c r="A754" t="n">
        <v>2000551</v>
      </c>
      <c r="B754" t="n">
        <v>2</v>
      </c>
      <c r="C754" t="n">
        <v>551</v>
      </c>
      <c r="D754" t="n">
        <v>-0.3833</v>
      </c>
      <c r="E754" t="n">
        <v>4.5763</v>
      </c>
      <c r="F754" t="n">
        <v>0.09111</v>
      </c>
    </row>
    <row r="755">
      <c r="A755" t="n">
        <v>2000552</v>
      </c>
      <c r="B755" t="n">
        <v>2</v>
      </c>
      <c r="C755" t="n">
        <v>552</v>
      </c>
      <c r="D755" t="n">
        <v>-0.3833</v>
      </c>
      <c r="E755" t="n">
        <v>4.6029</v>
      </c>
      <c r="F755" t="n">
        <v>0.09112000000000001</v>
      </c>
    </row>
    <row r="756">
      <c r="A756" t="n">
        <v>2000553</v>
      </c>
      <c r="B756" t="n">
        <v>2</v>
      </c>
      <c r="C756" t="n">
        <v>553</v>
      </c>
      <c r="D756" t="n">
        <v>-0.3833</v>
      </c>
      <c r="E756" t="n">
        <v>4.6295</v>
      </c>
      <c r="F756" t="n">
        <v>0.09113</v>
      </c>
    </row>
    <row r="757">
      <c r="A757" t="n">
        <v>2000554</v>
      </c>
      <c r="B757" t="n">
        <v>2</v>
      </c>
      <c r="C757" t="n">
        <v>554</v>
      </c>
      <c r="D757" t="n">
        <v>-0.3833</v>
      </c>
      <c r="E757" t="n">
        <v>4.6561</v>
      </c>
      <c r="F757" t="n">
        <v>0.09113</v>
      </c>
    </row>
    <row r="758">
      <c r="A758" t="n">
        <v>2000555</v>
      </c>
      <c r="B758" t="n">
        <v>2</v>
      </c>
      <c r="C758" t="n">
        <v>555</v>
      </c>
      <c r="D758" t="n">
        <v>-0.3833</v>
      </c>
      <c r="E758" t="n">
        <v>4.6827</v>
      </c>
      <c r="F758" t="n">
        <v>0.09114</v>
      </c>
    </row>
    <row r="759">
      <c r="A759" t="n">
        <v>2000556</v>
      </c>
      <c r="B759" t="n">
        <v>2</v>
      </c>
      <c r="C759" t="n">
        <v>556</v>
      </c>
      <c r="D759" t="n">
        <v>-0.3833</v>
      </c>
      <c r="E759" t="n">
        <v>4.7094</v>
      </c>
      <c r="F759" t="n">
        <v>0.09114999999999999</v>
      </c>
    </row>
    <row r="760">
      <c r="A760" t="n">
        <v>2000557</v>
      </c>
      <c r="B760" t="n">
        <v>2</v>
      </c>
      <c r="C760" t="n">
        <v>557</v>
      </c>
      <c r="D760" t="n">
        <v>-0.3833</v>
      </c>
      <c r="E760" t="n">
        <v>4.7361</v>
      </c>
      <c r="F760" t="n">
        <v>0.09116</v>
      </c>
    </row>
    <row r="761">
      <c r="A761" t="n">
        <v>2000558</v>
      </c>
      <c r="B761" t="n">
        <v>2</v>
      </c>
      <c r="C761" t="n">
        <v>558</v>
      </c>
      <c r="D761" t="n">
        <v>-0.3833</v>
      </c>
      <c r="E761" t="n">
        <v>4.7628</v>
      </c>
      <c r="F761" t="n">
        <v>0.09116</v>
      </c>
    </row>
    <row r="762">
      <c r="A762" t="n">
        <v>2000559</v>
      </c>
      <c r="B762" t="n">
        <v>2</v>
      </c>
      <c r="C762" t="n">
        <v>559</v>
      </c>
      <c r="D762" t="n">
        <v>-0.3833</v>
      </c>
      <c r="E762" t="n">
        <v>4.7895</v>
      </c>
      <c r="F762" t="n">
        <v>0.09117</v>
      </c>
    </row>
    <row r="763">
      <c r="A763" t="n">
        <v>2000560</v>
      </c>
      <c r="B763" t="n">
        <v>2</v>
      </c>
      <c r="C763" t="n">
        <v>560</v>
      </c>
      <c r="D763" t="n">
        <v>-0.3833</v>
      </c>
      <c r="E763" t="n">
        <v>4.8162</v>
      </c>
      <c r="F763" t="n">
        <v>0.09118</v>
      </c>
    </row>
    <row r="764">
      <c r="A764" t="n">
        <v>2000561</v>
      </c>
      <c r="B764" t="n">
        <v>2</v>
      </c>
      <c r="C764" t="n">
        <v>561</v>
      </c>
      <c r="D764" t="n">
        <v>-0.3833</v>
      </c>
      <c r="E764" t="n">
        <v>4.843</v>
      </c>
      <c r="F764" t="n">
        <v>0.09118999999999999</v>
      </c>
    </row>
    <row r="765">
      <c r="A765" t="n">
        <v>2000562</v>
      </c>
      <c r="B765" t="n">
        <v>2</v>
      </c>
      <c r="C765" t="n">
        <v>562</v>
      </c>
      <c r="D765" t="n">
        <v>-0.3833</v>
      </c>
      <c r="E765" t="n">
        <v>4.8697</v>
      </c>
      <c r="F765" t="n">
        <v>0.09118999999999999</v>
      </c>
    </row>
    <row r="766">
      <c r="A766" t="n">
        <v>2000563</v>
      </c>
      <c r="B766" t="n">
        <v>2</v>
      </c>
      <c r="C766" t="n">
        <v>563</v>
      </c>
      <c r="D766" t="n">
        <v>-0.3833</v>
      </c>
      <c r="E766" t="n">
        <v>4.8964</v>
      </c>
      <c r="F766" t="n">
        <v>0.0912</v>
      </c>
    </row>
    <row r="767">
      <c r="A767" t="n">
        <v>2000564</v>
      </c>
      <c r="B767" t="n">
        <v>2</v>
      </c>
      <c r="C767" t="n">
        <v>564</v>
      </c>
      <c r="D767" t="n">
        <v>-0.3833</v>
      </c>
      <c r="E767" t="n">
        <v>4.9232</v>
      </c>
      <c r="F767" t="n">
        <v>0.09121</v>
      </c>
    </row>
    <row r="768">
      <c r="A768" t="n">
        <v>2000565</v>
      </c>
      <c r="B768" t="n">
        <v>2</v>
      </c>
      <c r="C768" t="n">
        <v>565</v>
      </c>
      <c r="D768" t="n">
        <v>-0.3833</v>
      </c>
      <c r="E768" t="n">
        <v>4.95</v>
      </c>
      <c r="F768" t="n">
        <v>0.09121</v>
      </c>
    </row>
    <row r="769">
      <c r="A769" t="n">
        <v>2000566</v>
      </c>
      <c r="B769" t="n">
        <v>2</v>
      </c>
      <c r="C769" t="n">
        <v>566</v>
      </c>
      <c r="D769" t="n">
        <v>-0.3833</v>
      </c>
      <c r="E769" t="n">
        <v>4.9767</v>
      </c>
      <c r="F769" t="n">
        <v>0.09122</v>
      </c>
    </row>
    <row r="770">
      <c r="A770" t="n">
        <v>2000567</v>
      </c>
      <c r="B770" t="n">
        <v>2</v>
      </c>
      <c r="C770" t="n">
        <v>567</v>
      </c>
      <c r="D770" t="n">
        <v>-0.3833</v>
      </c>
      <c r="E770" t="n">
        <v>5.0034</v>
      </c>
      <c r="F770" t="n">
        <v>0.09123000000000001</v>
      </c>
    </row>
    <row r="771">
      <c r="A771" t="n">
        <v>2000568</v>
      </c>
      <c r="B771" t="n">
        <v>2</v>
      </c>
      <c r="C771" t="n">
        <v>568</v>
      </c>
      <c r="D771" t="n">
        <v>-0.3833</v>
      </c>
      <c r="E771" t="n">
        <v>5.0302</v>
      </c>
      <c r="F771" t="n">
        <v>0.09123000000000001</v>
      </c>
    </row>
    <row r="772">
      <c r="A772" t="n">
        <v>2000569</v>
      </c>
      <c r="B772" t="n">
        <v>2</v>
      </c>
      <c r="C772" t="n">
        <v>569</v>
      </c>
      <c r="D772" t="n">
        <v>-0.3833</v>
      </c>
      <c r="E772" t="n">
        <v>5.0569</v>
      </c>
      <c r="F772" t="n">
        <v>0.09124</v>
      </c>
    </row>
    <row r="773">
      <c r="A773" t="n">
        <v>2000570</v>
      </c>
      <c r="B773" t="n">
        <v>2</v>
      </c>
      <c r="C773" t="n">
        <v>570</v>
      </c>
      <c r="D773" t="n">
        <v>-0.3833</v>
      </c>
      <c r="E773" t="n">
        <v>5.0837</v>
      </c>
      <c r="F773" t="n">
        <v>0.09125</v>
      </c>
    </row>
    <row r="774">
      <c r="A774" t="n">
        <v>2000571</v>
      </c>
      <c r="B774" t="n">
        <v>2</v>
      </c>
      <c r="C774" t="n">
        <v>571</v>
      </c>
      <c r="D774" t="n">
        <v>-0.3833</v>
      </c>
      <c r="E774" t="n">
        <v>5.1104</v>
      </c>
      <c r="F774" t="n">
        <v>0.09125</v>
      </c>
    </row>
    <row r="775">
      <c r="A775" t="n">
        <v>2000572</v>
      </c>
      <c r="B775" t="n">
        <v>2</v>
      </c>
      <c r="C775" t="n">
        <v>572</v>
      </c>
      <c r="D775" t="n">
        <v>-0.3833</v>
      </c>
      <c r="E775" t="n">
        <v>5.1371</v>
      </c>
      <c r="F775" t="n">
        <v>0.09125999999999999</v>
      </c>
    </row>
    <row r="776">
      <c r="A776" t="n">
        <v>2000573</v>
      </c>
      <c r="B776" t="n">
        <v>2</v>
      </c>
      <c r="C776" t="n">
        <v>573</v>
      </c>
      <c r="D776" t="n">
        <v>-0.3833</v>
      </c>
      <c r="E776" t="n">
        <v>5.1639</v>
      </c>
      <c r="F776" t="n">
        <v>0.09125999999999999</v>
      </c>
    </row>
    <row r="777">
      <c r="A777" t="n">
        <v>2000574</v>
      </c>
      <c r="B777" t="n">
        <v>2</v>
      </c>
      <c r="C777" t="n">
        <v>574</v>
      </c>
      <c r="D777" t="n">
        <v>-0.3833</v>
      </c>
      <c r="E777" t="n">
        <v>5.1906</v>
      </c>
      <c r="F777" t="n">
        <v>0.09127</v>
      </c>
    </row>
    <row r="778">
      <c r="A778" t="n">
        <v>2000575</v>
      </c>
      <c r="B778" t="n">
        <v>2</v>
      </c>
      <c r="C778" t="n">
        <v>575</v>
      </c>
      <c r="D778" t="n">
        <v>-0.3833</v>
      </c>
      <c r="E778" t="n">
        <v>5.2173</v>
      </c>
      <c r="F778" t="n">
        <v>0.09128</v>
      </c>
    </row>
    <row r="779">
      <c r="A779" t="n">
        <v>2000576</v>
      </c>
      <c r="B779" t="n">
        <v>2</v>
      </c>
      <c r="C779" t="n">
        <v>576</v>
      </c>
      <c r="D779" t="n">
        <v>-0.3833</v>
      </c>
      <c r="E779" t="n">
        <v>5.244</v>
      </c>
      <c r="F779" t="n">
        <v>0.09128</v>
      </c>
    </row>
    <row r="780">
      <c r="A780" t="n">
        <v>2000577</v>
      </c>
      <c r="B780" t="n">
        <v>2</v>
      </c>
      <c r="C780" t="n">
        <v>577</v>
      </c>
      <c r="D780" t="n">
        <v>-0.3833</v>
      </c>
      <c r="E780" t="n">
        <v>5.2707</v>
      </c>
      <c r="F780" t="n">
        <v>0.09129</v>
      </c>
    </row>
    <row r="781">
      <c r="A781" t="n">
        <v>2000578</v>
      </c>
      <c r="B781" t="n">
        <v>2</v>
      </c>
      <c r="C781" t="n">
        <v>578</v>
      </c>
      <c r="D781" t="n">
        <v>-0.3833</v>
      </c>
      <c r="E781" t="n">
        <v>5.2974</v>
      </c>
      <c r="F781" t="n">
        <v>0.09129</v>
      </c>
    </row>
    <row r="782">
      <c r="A782" t="n">
        <v>2000579</v>
      </c>
      <c r="B782" t="n">
        <v>2</v>
      </c>
      <c r="C782" t="n">
        <v>579</v>
      </c>
      <c r="D782" t="n">
        <v>-0.3833</v>
      </c>
      <c r="E782" t="n">
        <v>5.324</v>
      </c>
      <c r="F782" t="n">
        <v>0.09130000000000001</v>
      </c>
    </row>
    <row r="783">
      <c r="A783" t="n">
        <v>2000580</v>
      </c>
      <c r="B783" t="n">
        <v>2</v>
      </c>
      <c r="C783" t="n">
        <v>580</v>
      </c>
      <c r="D783" t="n">
        <v>-0.3833</v>
      </c>
      <c r="E783" t="n">
        <v>5.3507</v>
      </c>
      <c r="F783" t="n">
        <v>0.09130000000000001</v>
      </c>
    </row>
    <row r="784">
      <c r="A784" t="n">
        <v>2000581</v>
      </c>
      <c r="B784" t="n">
        <v>2</v>
      </c>
      <c r="C784" t="n">
        <v>581</v>
      </c>
      <c r="D784" t="n">
        <v>-0.3833</v>
      </c>
      <c r="E784" t="n">
        <v>5.3773</v>
      </c>
      <c r="F784" t="n">
        <v>0.09131</v>
      </c>
    </row>
    <row r="785">
      <c r="A785" t="n">
        <v>2000582</v>
      </c>
      <c r="B785" t="n">
        <v>2</v>
      </c>
      <c r="C785" t="n">
        <v>582</v>
      </c>
      <c r="D785" t="n">
        <v>-0.3833</v>
      </c>
      <c r="E785" t="n">
        <v>5.4039</v>
      </c>
      <c r="F785" t="n">
        <v>0.09131</v>
      </c>
    </row>
    <row r="786">
      <c r="A786" t="n">
        <v>2000583</v>
      </c>
      <c r="B786" t="n">
        <v>2</v>
      </c>
      <c r="C786" t="n">
        <v>583</v>
      </c>
      <c r="D786" t="n">
        <v>-0.3833</v>
      </c>
      <c r="E786" t="n">
        <v>5.4304</v>
      </c>
      <c r="F786" t="n">
        <v>0.09131</v>
      </c>
    </row>
    <row r="787">
      <c r="A787" t="n">
        <v>2000584</v>
      </c>
      <c r="B787" t="n">
        <v>2</v>
      </c>
      <c r="C787" t="n">
        <v>584</v>
      </c>
      <c r="D787" t="n">
        <v>-0.3833</v>
      </c>
      <c r="E787" t="n">
        <v>5.4569</v>
      </c>
      <c r="F787" t="n">
        <v>0.09132</v>
      </c>
    </row>
    <row r="788">
      <c r="A788" t="n">
        <v>2000585</v>
      </c>
      <c r="B788" t="n">
        <v>2</v>
      </c>
      <c r="C788" t="n">
        <v>585</v>
      </c>
      <c r="D788" t="n">
        <v>-0.3833</v>
      </c>
      <c r="E788" t="n">
        <v>5.4834</v>
      </c>
      <c r="F788" t="n">
        <v>0.09132</v>
      </c>
    </row>
    <row r="789">
      <c r="A789" t="n">
        <v>2000586</v>
      </c>
      <c r="B789" t="n">
        <v>2</v>
      </c>
      <c r="C789" t="n">
        <v>586</v>
      </c>
      <c r="D789" t="n">
        <v>-0.3833</v>
      </c>
      <c r="E789" t="n">
        <v>5.5098</v>
      </c>
      <c r="F789" t="n">
        <v>0.09132999999999999</v>
      </c>
    </row>
    <row r="790">
      <c r="A790" t="n">
        <v>2000587</v>
      </c>
      <c r="B790" t="n">
        <v>2</v>
      </c>
      <c r="C790" t="n">
        <v>587</v>
      </c>
      <c r="D790" t="n">
        <v>-0.3833</v>
      </c>
      <c r="E790" t="n">
        <v>5.5362</v>
      </c>
      <c r="F790" t="n">
        <v>0.09132999999999999</v>
      </c>
    </row>
    <row r="791">
      <c r="A791" t="n">
        <v>2000588</v>
      </c>
      <c r="B791" t="n">
        <v>2</v>
      </c>
      <c r="C791" t="n">
        <v>588</v>
      </c>
      <c r="D791" t="n">
        <v>-0.3833</v>
      </c>
      <c r="E791" t="n">
        <v>5.5625</v>
      </c>
      <c r="F791" t="n">
        <v>0.09132999999999999</v>
      </c>
    </row>
    <row r="792">
      <c r="A792" t="n">
        <v>2000589</v>
      </c>
      <c r="B792" t="n">
        <v>2</v>
      </c>
      <c r="C792" t="n">
        <v>589</v>
      </c>
      <c r="D792" t="n">
        <v>-0.3833</v>
      </c>
      <c r="E792" t="n">
        <v>5.5888</v>
      </c>
      <c r="F792" t="n">
        <v>0.09134</v>
      </c>
    </row>
    <row r="793">
      <c r="A793" t="n">
        <v>2000590</v>
      </c>
      <c r="B793" t="n">
        <v>2</v>
      </c>
      <c r="C793" t="n">
        <v>590</v>
      </c>
      <c r="D793" t="n">
        <v>-0.3833</v>
      </c>
      <c r="E793" t="n">
        <v>5.6151</v>
      </c>
      <c r="F793" t="n">
        <v>0.09134</v>
      </c>
    </row>
    <row r="794">
      <c r="A794" t="n">
        <v>2000591</v>
      </c>
      <c r="B794" t="n">
        <v>2</v>
      </c>
      <c r="C794" t="n">
        <v>591</v>
      </c>
      <c r="D794" t="n">
        <v>-0.3833</v>
      </c>
      <c r="E794" t="n">
        <v>5.6413</v>
      </c>
      <c r="F794" t="n">
        <v>0.09134</v>
      </c>
    </row>
    <row r="795">
      <c r="A795" t="n">
        <v>2000592</v>
      </c>
      <c r="B795" t="n">
        <v>2</v>
      </c>
      <c r="C795" t="n">
        <v>592</v>
      </c>
      <c r="D795" t="n">
        <v>-0.3833</v>
      </c>
      <c r="E795" t="n">
        <v>5.6674</v>
      </c>
      <c r="F795" t="n">
        <v>0.09135</v>
      </c>
    </row>
    <row r="796">
      <c r="A796" t="n">
        <v>2000593</v>
      </c>
      <c r="B796" t="n">
        <v>2</v>
      </c>
      <c r="C796" t="n">
        <v>593</v>
      </c>
      <c r="D796" t="n">
        <v>-0.3833</v>
      </c>
      <c r="E796" t="n">
        <v>5.6935</v>
      </c>
      <c r="F796" t="n">
        <v>0.09135</v>
      </c>
    </row>
    <row r="797">
      <c r="A797" t="n">
        <v>2000594</v>
      </c>
      <c r="B797" t="n">
        <v>2</v>
      </c>
      <c r="C797" t="n">
        <v>594</v>
      </c>
      <c r="D797" t="n">
        <v>-0.3833</v>
      </c>
      <c r="E797" t="n">
        <v>5.7195</v>
      </c>
      <c r="F797" t="n">
        <v>0.09135</v>
      </c>
    </row>
    <row r="798">
      <c r="A798" t="n">
        <v>2000595</v>
      </c>
      <c r="B798" t="n">
        <v>2</v>
      </c>
      <c r="C798" t="n">
        <v>595</v>
      </c>
      <c r="D798" t="n">
        <v>-0.3833</v>
      </c>
      <c r="E798" t="n">
        <v>5.7454</v>
      </c>
      <c r="F798" t="n">
        <v>0.09135</v>
      </c>
    </row>
    <row r="799">
      <c r="A799" t="n">
        <v>2000596</v>
      </c>
      <c r="B799" t="n">
        <v>2</v>
      </c>
      <c r="C799" t="n">
        <v>596</v>
      </c>
      <c r="D799" t="n">
        <v>-0.3833</v>
      </c>
      <c r="E799" t="n">
        <v>5.7713</v>
      </c>
      <c r="F799" t="n">
        <v>0.09136</v>
      </c>
    </row>
    <row r="800">
      <c r="A800" t="n">
        <v>2000597</v>
      </c>
      <c r="B800" t="n">
        <v>2</v>
      </c>
      <c r="C800" t="n">
        <v>597</v>
      </c>
      <c r="D800" t="n">
        <v>-0.3833</v>
      </c>
      <c r="E800" t="n">
        <v>5.7971</v>
      </c>
      <c r="F800" t="n">
        <v>0.09136</v>
      </c>
    </row>
    <row r="801">
      <c r="A801" t="n">
        <v>2000598</v>
      </c>
      <c r="B801" t="n">
        <v>2</v>
      </c>
      <c r="C801" t="n">
        <v>598</v>
      </c>
      <c r="D801" t="n">
        <v>-0.3833</v>
      </c>
      <c r="E801" t="n">
        <v>5.8229</v>
      </c>
      <c r="F801" t="n">
        <v>0.09136</v>
      </c>
    </row>
    <row r="802">
      <c r="A802" t="n">
        <v>2000599</v>
      </c>
      <c r="B802" t="n">
        <v>2</v>
      </c>
      <c r="C802" t="n">
        <v>599</v>
      </c>
      <c r="D802" t="n">
        <v>-0.3833</v>
      </c>
      <c r="E802" t="n">
        <v>5.8485</v>
      </c>
      <c r="F802" t="n">
        <v>0.09136</v>
      </c>
    </row>
    <row r="803">
      <c r="A803" t="n">
        <v>2000600</v>
      </c>
      <c r="B803" t="n">
        <v>2</v>
      </c>
      <c r="C803" t="n">
        <v>600</v>
      </c>
      <c r="D803" t="n">
        <v>-0.3833</v>
      </c>
      <c r="E803" t="n">
        <v>5.8742</v>
      </c>
      <c r="F803" t="n">
        <v>0.09136</v>
      </c>
    </row>
    <row r="804">
      <c r="A804" t="n">
        <v>2000601</v>
      </c>
      <c r="B804" t="n">
        <v>2</v>
      </c>
      <c r="C804" t="n">
        <v>601</v>
      </c>
      <c r="D804" t="n">
        <v>-0.3833</v>
      </c>
      <c r="E804" t="n">
        <v>5.8997</v>
      </c>
      <c r="F804" t="n">
        <v>0.09136</v>
      </c>
    </row>
    <row r="805">
      <c r="A805" t="n">
        <v>2000602</v>
      </c>
      <c r="B805" t="n">
        <v>2</v>
      </c>
      <c r="C805" t="n">
        <v>602</v>
      </c>
      <c r="D805" t="n">
        <v>-0.3833</v>
      </c>
      <c r="E805" t="n">
        <v>5.9252</v>
      </c>
      <c r="F805" t="n">
        <v>0.09137000000000001</v>
      </c>
    </row>
    <row r="806">
      <c r="A806" t="n">
        <v>2000603</v>
      </c>
      <c r="B806" t="n">
        <v>2</v>
      </c>
      <c r="C806" t="n">
        <v>603</v>
      </c>
      <c r="D806" t="n">
        <v>-0.3833</v>
      </c>
      <c r="E806" t="n">
        <v>5.9507</v>
      </c>
      <c r="F806" t="n">
        <v>0.09137000000000001</v>
      </c>
    </row>
    <row r="807">
      <c r="A807" t="n">
        <v>2000604</v>
      </c>
      <c r="B807" t="n">
        <v>2</v>
      </c>
      <c r="C807" t="n">
        <v>604</v>
      </c>
      <c r="D807" t="n">
        <v>-0.3833</v>
      </c>
      <c r="E807" t="n">
        <v>5.9761</v>
      </c>
      <c r="F807" t="n">
        <v>0.09137000000000001</v>
      </c>
    </row>
    <row r="808">
      <c r="A808" t="n">
        <v>2000605</v>
      </c>
      <c r="B808" t="n">
        <v>2</v>
      </c>
      <c r="C808" t="n">
        <v>605</v>
      </c>
      <c r="D808" t="n">
        <v>-0.3833</v>
      </c>
      <c r="E808" t="n">
        <v>6.0014</v>
      </c>
      <c r="F808" t="n">
        <v>0.09137000000000001</v>
      </c>
    </row>
    <row r="809">
      <c r="A809" t="n">
        <v>2000606</v>
      </c>
      <c r="B809" t="n">
        <v>2</v>
      </c>
      <c r="C809" t="n">
        <v>606</v>
      </c>
      <c r="D809" t="n">
        <v>-0.3833</v>
      </c>
      <c r="E809" t="n">
        <v>6.0266</v>
      </c>
      <c r="F809" t="n">
        <v>0.09137000000000001</v>
      </c>
    </row>
    <row r="810">
      <c r="A810" t="n">
        <v>2000607</v>
      </c>
      <c r="B810" t="n">
        <v>2</v>
      </c>
      <c r="C810" t="n">
        <v>607</v>
      </c>
      <c r="D810" t="n">
        <v>-0.3833</v>
      </c>
      <c r="E810" t="n">
        <v>6.0518</v>
      </c>
      <c r="F810" t="n">
        <v>0.09137000000000001</v>
      </c>
    </row>
    <row r="811">
      <c r="A811" t="n">
        <v>2000608</v>
      </c>
      <c r="B811" t="n">
        <v>2</v>
      </c>
      <c r="C811" t="n">
        <v>608</v>
      </c>
      <c r="D811" t="n">
        <v>-0.3833</v>
      </c>
      <c r="E811" t="n">
        <v>6.0769</v>
      </c>
      <c r="F811" t="n">
        <v>0.09137000000000001</v>
      </c>
    </row>
    <row r="812">
      <c r="A812" t="n">
        <v>2000609</v>
      </c>
      <c r="B812" t="n">
        <v>2</v>
      </c>
      <c r="C812" t="n">
        <v>609</v>
      </c>
      <c r="D812" t="n">
        <v>-0.3833</v>
      </c>
      <c r="E812" t="n">
        <v>6.102</v>
      </c>
      <c r="F812" t="n">
        <v>0.09137000000000001</v>
      </c>
    </row>
    <row r="813">
      <c r="A813" t="n">
        <v>2000610</v>
      </c>
      <c r="B813" t="n">
        <v>2</v>
      </c>
      <c r="C813" t="n">
        <v>610</v>
      </c>
      <c r="D813" t="n">
        <v>-0.3833</v>
      </c>
      <c r="E813" t="n">
        <v>6.127</v>
      </c>
      <c r="F813" t="n">
        <v>0.09137000000000001</v>
      </c>
    </row>
    <row r="814">
      <c r="A814" t="n">
        <v>2000611</v>
      </c>
      <c r="B814" t="n">
        <v>2</v>
      </c>
      <c r="C814" t="n">
        <v>611</v>
      </c>
      <c r="D814" t="n">
        <v>-0.3833</v>
      </c>
      <c r="E814" t="n">
        <v>6.1519</v>
      </c>
      <c r="F814" t="n">
        <v>0.09137000000000001</v>
      </c>
    </row>
    <row r="815">
      <c r="A815" t="n">
        <v>2000612</v>
      </c>
      <c r="B815" t="n">
        <v>2</v>
      </c>
      <c r="C815" t="n">
        <v>612</v>
      </c>
      <c r="D815" t="n">
        <v>-0.3833</v>
      </c>
      <c r="E815" t="n">
        <v>6.1768</v>
      </c>
      <c r="F815" t="n">
        <v>0.09136</v>
      </c>
    </row>
    <row r="816">
      <c r="A816" t="n">
        <v>2000613</v>
      </c>
      <c r="B816" t="n">
        <v>2</v>
      </c>
      <c r="C816" t="n">
        <v>613</v>
      </c>
      <c r="D816" t="n">
        <v>-0.3833</v>
      </c>
      <c r="E816" t="n">
        <v>6.2017</v>
      </c>
      <c r="F816" t="n">
        <v>0.09136</v>
      </c>
    </row>
    <row r="817">
      <c r="A817" t="n">
        <v>2000614</v>
      </c>
      <c r="B817" t="n">
        <v>2</v>
      </c>
      <c r="C817" t="n">
        <v>614</v>
      </c>
      <c r="D817" t="n">
        <v>-0.3833</v>
      </c>
      <c r="E817" t="n">
        <v>6.2264</v>
      </c>
      <c r="F817" t="n">
        <v>0.09136</v>
      </c>
    </row>
    <row r="818">
      <c r="A818" t="n">
        <v>2000615</v>
      </c>
      <c r="B818" t="n">
        <v>2</v>
      </c>
      <c r="C818" t="n">
        <v>615</v>
      </c>
      <c r="D818" t="n">
        <v>-0.3833</v>
      </c>
      <c r="E818" t="n">
        <v>6.2511</v>
      </c>
      <c r="F818" t="n">
        <v>0.09136</v>
      </c>
    </row>
    <row r="819">
      <c r="A819" t="n">
        <v>2000616</v>
      </c>
      <c r="B819" t="n">
        <v>2</v>
      </c>
      <c r="C819" t="n">
        <v>616</v>
      </c>
      <c r="D819" t="n">
        <v>-0.3833</v>
      </c>
      <c r="E819" t="n">
        <v>6.2758</v>
      </c>
      <c r="F819" t="n">
        <v>0.09136</v>
      </c>
    </row>
    <row r="820">
      <c r="A820" t="n">
        <v>2000617</v>
      </c>
      <c r="B820" t="n">
        <v>2</v>
      </c>
      <c r="C820" t="n">
        <v>617</v>
      </c>
      <c r="D820" t="n">
        <v>-0.3833</v>
      </c>
      <c r="E820" t="n">
        <v>6.3004</v>
      </c>
      <c r="F820" t="n">
        <v>0.09136</v>
      </c>
    </row>
    <row r="821">
      <c r="A821" t="n">
        <v>2000618</v>
      </c>
      <c r="B821" t="n">
        <v>2</v>
      </c>
      <c r="C821" t="n">
        <v>618</v>
      </c>
      <c r="D821" t="n">
        <v>-0.3833</v>
      </c>
      <c r="E821" t="n">
        <v>6.3249</v>
      </c>
      <c r="F821" t="n">
        <v>0.09135</v>
      </c>
    </row>
    <row r="822">
      <c r="A822" t="n">
        <v>2000619</v>
      </c>
      <c r="B822" t="n">
        <v>2</v>
      </c>
      <c r="C822" t="n">
        <v>619</v>
      </c>
      <c r="D822" t="n">
        <v>-0.3833</v>
      </c>
      <c r="E822" t="n">
        <v>6.3494</v>
      </c>
      <c r="F822" t="n">
        <v>0.09135</v>
      </c>
    </row>
    <row r="823">
      <c r="A823" t="n">
        <v>2000620</v>
      </c>
      <c r="B823" t="n">
        <v>2</v>
      </c>
      <c r="C823" t="n">
        <v>620</v>
      </c>
      <c r="D823" t="n">
        <v>-0.3833</v>
      </c>
      <c r="E823" t="n">
        <v>6.3738</v>
      </c>
      <c r="F823" t="n">
        <v>0.09135</v>
      </c>
    </row>
    <row r="824">
      <c r="A824" t="n">
        <v>2000621</v>
      </c>
      <c r="B824" t="n">
        <v>2</v>
      </c>
      <c r="C824" t="n">
        <v>621</v>
      </c>
      <c r="D824" t="n">
        <v>-0.3833</v>
      </c>
      <c r="E824" t="n">
        <v>6.3981</v>
      </c>
      <c r="F824" t="n">
        <v>0.09135</v>
      </c>
    </row>
    <row r="825">
      <c r="A825" t="n">
        <v>2000622</v>
      </c>
      <c r="B825" t="n">
        <v>2</v>
      </c>
      <c r="C825" t="n">
        <v>622</v>
      </c>
      <c r="D825" t="n">
        <v>-0.3833</v>
      </c>
      <c r="E825" t="n">
        <v>6.4224</v>
      </c>
      <c r="F825" t="n">
        <v>0.09134</v>
      </c>
    </row>
    <row r="826">
      <c r="A826" t="n">
        <v>2000623</v>
      </c>
      <c r="B826" t="n">
        <v>2</v>
      </c>
      <c r="C826" t="n">
        <v>623</v>
      </c>
      <c r="D826" t="n">
        <v>-0.3833</v>
      </c>
      <c r="E826" t="n">
        <v>6.4466</v>
      </c>
      <c r="F826" t="n">
        <v>0.09134</v>
      </c>
    </row>
    <row r="827">
      <c r="A827" t="n">
        <v>2000624</v>
      </c>
      <c r="B827" t="n">
        <v>2</v>
      </c>
      <c r="C827" t="n">
        <v>624</v>
      </c>
      <c r="D827" t="n">
        <v>-0.3833</v>
      </c>
      <c r="E827" t="n">
        <v>6.4708</v>
      </c>
      <c r="F827" t="n">
        <v>0.09134</v>
      </c>
    </row>
    <row r="828">
      <c r="A828" t="n">
        <v>2000625</v>
      </c>
      <c r="B828" t="n">
        <v>2</v>
      </c>
      <c r="C828" t="n">
        <v>625</v>
      </c>
      <c r="D828" t="n">
        <v>-0.3833</v>
      </c>
      <c r="E828" t="n">
        <v>6.4948</v>
      </c>
      <c r="F828" t="n">
        <v>0.09132999999999999</v>
      </c>
    </row>
    <row r="829">
      <c r="A829" t="n">
        <v>2000626</v>
      </c>
      <c r="B829" t="n">
        <v>2</v>
      </c>
      <c r="C829" t="n">
        <v>626</v>
      </c>
      <c r="D829" t="n">
        <v>-0.3833</v>
      </c>
      <c r="E829" t="n">
        <v>6.5189</v>
      </c>
      <c r="F829" t="n">
        <v>0.09132999999999999</v>
      </c>
    </row>
    <row r="830">
      <c r="A830" t="n">
        <v>2000627</v>
      </c>
      <c r="B830" t="n">
        <v>2</v>
      </c>
      <c r="C830" t="n">
        <v>627</v>
      </c>
      <c r="D830" t="n">
        <v>-0.3833</v>
      </c>
      <c r="E830" t="n">
        <v>6.5429</v>
      </c>
      <c r="F830" t="n">
        <v>0.09132999999999999</v>
      </c>
    </row>
    <row r="831">
      <c r="A831" t="n">
        <v>2000628</v>
      </c>
      <c r="B831" t="n">
        <v>2</v>
      </c>
      <c r="C831" t="n">
        <v>628</v>
      </c>
      <c r="D831" t="n">
        <v>-0.3833</v>
      </c>
      <c r="E831" t="n">
        <v>6.5668</v>
      </c>
      <c r="F831" t="n">
        <v>0.09132</v>
      </c>
    </row>
    <row r="832">
      <c r="A832" t="n">
        <v>2000629</v>
      </c>
      <c r="B832" t="n">
        <v>2</v>
      </c>
      <c r="C832" t="n">
        <v>629</v>
      </c>
      <c r="D832" t="n">
        <v>-0.3833</v>
      </c>
      <c r="E832" t="n">
        <v>6.5906</v>
      </c>
      <c r="F832" t="n">
        <v>0.09132</v>
      </c>
    </row>
    <row r="833">
      <c r="A833" t="n">
        <v>2000630</v>
      </c>
      <c r="B833" t="n">
        <v>2</v>
      </c>
      <c r="C833" t="n">
        <v>630</v>
      </c>
      <c r="D833" t="n">
        <v>-0.3833</v>
      </c>
      <c r="E833" t="n">
        <v>6.6144</v>
      </c>
      <c r="F833" t="n">
        <v>0.09131</v>
      </c>
    </row>
    <row r="834">
      <c r="A834" t="n">
        <v>2000631</v>
      </c>
      <c r="B834" t="n">
        <v>2</v>
      </c>
      <c r="C834" t="n">
        <v>631</v>
      </c>
      <c r="D834" t="n">
        <v>-0.3833</v>
      </c>
      <c r="E834" t="n">
        <v>6.6382</v>
      </c>
      <c r="F834" t="n">
        <v>0.09131</v>
      </c>
    </row>
    <row r="835">
      <c r="A835" t="n">
        <v>2000632</v>
      </c>
      <c r="B835" t="n">
        <v>2</v>
      </c>
      <c r="C835" t="n">
        <v>632</v>
      </c>
      <c r="D835" t="n">
        <v>-0.3833</v>
      </c>
      <c r="E835" t="n">
        <v>6.6619</v>
      </c>
      <c r="F835" t="n">
        <v>0.09130000000000001</v>
      </c>
    </row>
    <row r="836">
      <c r="A836" t="n">
        <v>2000633</v>
      </c>
      <c r="B836" t="n">
        <v>2</v>
      </c>
      <c r="C836" t="n">
        <v>633</v>
      </c>
      <c r="D836" t="n">
        <v>-0.3833</v>
      </c>
      <c r="E836" t="n">
        <v>6.6856</v>
      </c>
      <c r="F836" t="n">
        <v>0.09130000000000001</v>
      </c>
    </row>
    <row r="837">
      <c r="A837" t="n">
        <v>2000634</v>
      </c>
      <c r="B837" t="n">
        <v>2</v>
      </c>
      <c r="C837" t="n">
        <v>634</v>
      </c>
      <c r="D837" t="n">
        <v>-0.3833</v>
      </c>
      <c r="E837" t="n">
        <v>6.7092</v>
      </c>
      <c r="F837" t="n">
        <v>0.09129</v>
      </c>
    </row>
    <row r="838">
      <c r="A838" t="n">
        <v>2000635</v>
      </c>
      <c r="B838" t="n">
        <v>2</v>
      </c>
      <c r="C838" t="n">
        <v>635</v>
      </c>
      <c r="D838" t="n">
        <v>-0.3833</v>
      </c>
      <c r="E838" t="n">
        <v>6.7328</v>
      </c>
      <c r="F838" t="n">
        <v>0.09129</v>
      </c>
    </row>
    <row r="839">
      <c r="A839" t="n">
        <v>2000636</v>
      </c>
      <c r="B839" t="n">
        <v>2</v>
      </c>
      <c r="C839" t="n">
        <v>636</v>
      </c>
      <c r="D839" t="n">
        <v>-0.3833</v>
      </c>
      <c r="E839" t="n">
        <v>6.7563</v>
      </c>
      <c r="F839" t="n">
        <v>0.09128</v>
      </c>
    </row>
    <row r="840">
      <c r="A840" t="n">
        <v>2000637</v>
      </c>
      <c r="B840" t="n">
        <v>2</v>
      </c>
      <c r="C840" t="n">
        <v>637</v>
      </c>
      <c r="D840" t="n">
        <v>-0.3833</v>
      </c>
      <c r="E840" t="n">
        <v>6.7798</v>
      </c>
      <c r="F840" t="n">
        <v>0.09128</v>
      </c>
    </row>
    <row r="841">
      <c r="A841" t="n">
        <v>2000638</v>
      </c>
      <c r="B841" t="n">
        <v>2</v>
      </c>
      <c r="C841" t="n">
        <v>638</v>
      </c>
      <c r="D841" t="n">
        <v>-0.3833</v>
      </c>
      <c r="E841" t="n">
        <v>6.8033</v>
      </c>
      <c r="F841" t="n">
        <v>0.09127</v>
      </c>
    </row>
    <row r="842">
      <c r="A842" t="n">
        <v>2000639</v>
      </c>
      <c r="B842" t="n">
        <v>2</v>
      </c>
      <c r="C842" t="n">
        <v>639</v>
      </c>
      <c r="D842" t="n">
        <v>-0.3833</v>
      </c>
      <c r="E842" t="n">
        <v>6.8267</v>
      </c>
      <c r="F842" t="n">
        <v>0.09127</v>
      </c>
    </row>
    <row r="843">
      <c r="A843" t="n">
        <v>2000640</v>
      </c>
      <c r="B843" t="n">
        <v>2</v>
      </c>
      <c r="C843" t="n">
        <v>640</v>
      </c>
      <c r="D843" t="n">
        <v>-0.3833</v>
      </c>
      <c r="E843" t="n">
        <v>6.8501</v>
      </c>
      <c r="F843" t="n">
        <v>0.09125999999999999</v>
      </c>
    </row>
    <row r="844">
      <c r="A844" t="n">
        <v>2000641</v>
      </c>
      <c r="B844" t="n">
        <v>2</v>
      </c>
      <c r="C844" t="n">
        <v>641</v>
      </c>
      <c r="D844" t="n">
        <v>-0.3833</v>
      </c>
      <c r="E844" t="n">
        <v>6.8734</v>
      </c>
      <c r="F844" t="n">
        <v>0.09125</v>
      </c>
    </row>
    <row r="845">
      <c r="A845" t="n">
        <v>2000642</v>
      </c>
      <c r="B845" t="n">
        <v>2</v>
      </c>
      <c r="C845" t="n">
        <v>642</v>
      </c>
      <c r="D845" t="n">
        <v>-0.3833</v>
      </c>
      <c r="E845" t="n">
        <v>6.8967</v>
      </c>
      <c r="F845" t="n">
        <v>0.09125</v>
      </c>
    </row>
    <row r="846">
      <c r="A846" t="n">
        <v>2000643</v>
      </c>
      <c r="B846" t="n">
        <v>2</v>
      </c>
      <c r="C846" t="n">
        <v>643</v>
      </c>
      <c r="D846" t="n">
        <v>-0.3833</v>
      </c>
      <c r="E846" t="n">
        <v>6.9199</v>
      </c>
      <c r="F846" t="n">
        <v>0.09124</v>
      </c>
    </row>
    <row r="847">
      <c r="A847" t="n">
        <v>2000644</v>
      </c>
      <c r="B847" t="n">
        <v>2</v>
      </c>
      <c r="C847" t="n">
        <v>644</v>
      </c>
      <c r="D847" t="n">
        <v>-0.3833</v>
      </c>
      <c r="E847" t="n">
        <v>6.9431</v>
      </c>
      <c r="F847" t="n">
        <v>0.09123000000000001</v>
      </c>
    </row>
    <row r="848">
      <c r="A848" t="n">
        <v>2000645</v>
      </c>
      <c r="B848" t="n">
        <v>2</v>
      </c>
      <c r="C848" t="n">
        <v>645</v>
      </c>
      <c r="D848" t="n">
        <v>-0.3833</v>
      </c>
      <c r="E848" t="n">
        <v>6.9662</v>
      </c>
      <c r="F848" t="n">
        <v>0.09123000000000001</v>
      </c>
    </row>
    <row r="849">
      <c r="A849" t="n">
        <v>2000646</v>
      </c>
      <c r="B849" t="n">
        <v>2</v>
      </c>
      <c r="C849" t="n">
        <v>646</v>
      </c>
      <c r="D849" t="n">
        <v>-0.3833</v>
      </c>
      <c r="E849" t="n">
        <v>6.9893</v>
      </c>
      <c r="F849" t="n">
        <v>0.09122</v>
      </c>
    </row>
    <row r="850">
      <c r="A850" t="n">
        <v>2000647</v>
      </c>
      <c r="B850" t="n">
        <v>2</v>
      </c>
      <c r="C850" t="n">
        <v>647</v>
      </c>
      <c r="D850" t="n">
        <v>-0.3833</v>
      </c>
      <c r="E850" t="n">
        <v>7.0124</v>
      </c>
      <c r="F850" t="n">
        <v>0.09121</v>
      </c>
    </row>
    <row r="851">
      <c r="A851" t="n">
        <v>2000648</v>
      </c>
      <c r="B851" t="n">
        <v>2</v>
      </c>
      <c r="C851" t="n">
        <v>648</v>
      </c>
      <c r="D851" t="n">
        <v>-0.3833</v>
      </c>
      <c r="E851" t="n">
        <v>7.0354</v>
      </c>
      <c r="F851" t="n">
        <v>0.0912</v>
      </c>
    </row>
    <row r="852">
      <c r="A852" t="n">
        <v>2000649</v>
      </c>
      <c r="B852" t="n">
        <v>2</v>
      </c>
      <c r="C852" t="n">
        <v>649</v>
      </c>
      <c r="D852" t="n">
        <v>-0.3833</v>
      </c>
      <c r="E852" t="n">
        <v>7.0583</v>
      </c>
      <c r="F852" t="n">
        <v>0.0912</v>
      </c>
    </row>
    <row r="853">
      <c r="A853" t="n">
        <v>2000650</v>
      </c>
      <c r="B853" t="n">
        <v>2</v>
      </c>
      <c r="C853" t="n">
        <v>650</v>
      </c>
      <c r="D853" t="n">
        <v>-0.3833</v>
      </c>
      <c r="E853" t="n">
        <v>7.0812</v>
      </c>
      <c r="F853" t="n">
        <v>0.09118999999999999</v>
      </c>
    </row>
    <row r="854">
      <c r="A854" t="n">
        <v>2000651</v>
      </c>
      <c r="B854" t="n">
        <v>2</v>
      </c>
      <c r="C854" t="n">
        <v>651</v>
      </c>
      <c r="D854" t="n">
        <v>-0.3833</v>
      </c>
      <c r="E854" t="n">
        <v>7.1041</v>
      </c>
      <c r="F854" t="n">
        <v>0.09118</v>
      </c>
    </row>
    <row r="855">
      <c r="A855" t="n">
        <v>2000652</v>
      </c>
      <c r="B855" t="n">
        <v>2</v>
      </c>
      <c r="C855" t="n">
        <v>652</v>
      </c>
      <c r="D855" t="n">
        <v>-0.3833</v>
      </c>
      <c r="E855" t="n">
        <v>7.1269</v>
      </c>
      <c r="F855" t="n">
        <v>0.09117</v>
      </c>
    </row>
    <row r="856">
      <c r="A856" t="n">
        <v>2000653</v>
      </c>
      <c r="B856" t="n">
        <v>2</v>
      </c>
      <c r="C856" t="n">
        <v>653</v>
      </c>
      <c r="D856" t="n">
        <v>-0.3833</v>
      </c>
      <c r="E856" t="n">
        <v>7.1497</v>
      </c>
      <c r="F856" t="n">
        <v>0.09116</v>
      </c>
    </row>
    <row r="857">
      <c r="A857" t="n">
        <v>2000654</v>
      </c>
      <c r="B857" t="n">
        <v>2</v>
      </c>
      <c r="C857" t="n">
        <v>654</v>
      </c>
      <c r="D857" t="n">
        <v>-0.3833</v>
      </c>
      <c r="E857" t="n">
        <v>7.1724</v>
      </c>
      <c r="F857" t="n">
        <v>0.09116</v>
      </c>
    </row>
    <row r="858">
      <c r="A858" t="n">
        <v>2000655</v>
      </c>
      <c r="B858" t="n">
        <v>2</v>
      </c>
      <c r="C858" t="n">
        <v>655</v>
      </c>
      <c r="D858" t="n">
        <v>-0.3833</v>
      </c>
      <c r="E858" t="n">
        <v>7.195</v>
      </c>
      <c r="F858" t="n">
        <v>0.09114999999999999</v>
      </c>
    </row>
    <row r="859">
      <c r="A859" t="n">
        <v>2000656</v>
      </c>
      <c r="B859" t="n">
        <v>2</v>
      </c>
      <c r="C859" t="n">
        <v>656</v>
      </c>
      <c r="D859" t="n">
        <v>-0.3833</v>
      </c>
      <c r="E859" t="n">
        <v>7.2177</v>
      </c>
      <c r="F859" t="n">
        <v>0.09114</v>
      </c>
    </row>
    <row r="860">
      <c r="A860" t="n">
        <v>2000657</v>
      </c>
      <c r="B860" t="n">
        <v>2</v>
      </c>
      <c r="C860" t="n">
        <v>657</v>
      </c>
      <c r="D860" t="n">
        <v>-0.3833</v>
      </c>
      <c r="E860" t="n">
        <v>7.2402</v>
      </c>
      <c r="F860" t="n">
        <v>0.09113</v>
      </c>
    </row>
    <row r="861">
      <c r="A861" t="n">
        <v>2000658</v>
      </c>
      <c r="B861" t="n">
        <v>2</v>
      </c>
      <c r="C861" t="n">
        <v>658</v>
      </c>
      <c r="D861" t="n">
        <v>-0.3833</v>
      </c>
      <c r="E861" t="n">
        <v>7.2627</v>
      </c>
      <c r="F861" t="n">
        <v>0.09112000000000001</v>
      </c>
    </row>
    <row r="862">
      <c r="A862" t="n">
        <v>2000659</v>
      </c>
      <c r="B862" t="n">
        <v>2</v>
      </c>
      <c r="C862" t="n">
        <v>659</v>
      </c>
      <c r="D862" t="n">
        <v>-0.3833</v>
      </c>
      <c r="E862" t="n">
        <v>7.2852</v>
      </c>
      <c r="F862" t="n">
        <v>0.09111</v>
      </c>
    </row>
    <row r="863">
      <c r="A863" t="n">
        <v>2000660</v>
      </c>
      <c r="B863" t="n">
        <v>2</v>
      </c>
      <c r="C863" t="n">
        <v>660</v>
      </c>
      <c r="D863" t="n">
        <v>-0.3833</v>
      </c>
      <c r="E863" t="n">
        <v>7.3076</v>
      </c>
      <c r="F863" t="n">
        <v>0.0911</v>
      </c>
    </row>
    <row r="864">
      <c r="A864" t="n">
        <v>2000661</v>
      </c>
      <c r="B864" t="n">
        <v>2</v>
      </c>
      <c r="C864" t="n">
        <v>661</v>
      </c>
      <c r="D864" t="n">
        <v>-0.3833</v>
      </c>
      <c r="E864" t="n">
        <v>7.33</v>
      </c>
      <c r="F864" t="n">
        <v>0.09109</v>
      </c>
    </row>
    <row r="865">
      <c r="A865" t="n">
        <v>2000662</v>
      </c>
      <c r="B865" t="n">
        <v>2</v>
      </c>
      <c r="C865" t="n">
        <v>662</v>
      </c>
      <c r="D865" t="n">
        <v>-0.3833</v>
      </c>
      <c r="E865" t="n">
        <v>7.3523</v>
      </c>
      <c r="F865" t="n">
        <v>0.09109</v>
      </c>
    </row>
    <row r="866">
      <c r="A866" t="n">
        <v>2000663</v>
      </c>
      <c r="B866" t="n">
        <v>2</v>
      </c>
      <c r="C866" t="n">
        <v>663</v>
      </c>
      <c r="D866" t="n">
        <v>-0.3833</v>
      </c>
      <c r="E866" t="n">
        <v>7.3745</v>
      </c>
      <c r="F866" t="n">
        <v>0.09107999999999999</v>
      </c>
    </row>
    <row r="867">
      <c r="A867" t="n">
        <v>2000664</v>
      </c>
      <c r="B867" t="n">
        <v>2</v>
      </c>
      <c r="C867" t="n">
        <v>664</v>
      </c>
      <c r="D867" t="n">
        <v>-0.3833</v>
      </c>
      <c r="E867" t="n">
        <v>7.3967</v>
      </c>
      <c r="F867" t="n">
        <v>0.09107</v>
      </c>
    </row>
    <row r="868">
      <c r="A868" t="n">
        <v>2000665</v>
      </c>
      <c r="B868" t="n">
        <v>2</v>
      </c>
      <c r="C868" t="n">
        <v>665</v>
      </c>
      <c r="D868" t="n">
        <v>-0.3833</v>
      </c>
      <c r="E868" t="n">
        <v>7.4189</v>
      </c>
      <c r="F868" t="n">
        <v>0.09106</v>
      </c>
    </row>
    <row r="869">
      <c r="A869" t="n">
        <v>2000666</v>
      </c>
      <c r="B869" t="n">
        <v>2</v>
      </c>
      <c r="C869" t="n">
        <v>666</v>
      </c>
      <c r="D869" t="n">
        <v>-0.3833</v>
      </c>
      <c r="E869" t="n">
        <v>7.441</v>
      </c>
      <c r="F869" t="n">
        <v>0.09105000000000001</v>
      </c>
    </row>
    <row r="870">
      <c r="A870" t="n">
        <v>2000667</v>
      </c>
      <c r="B870" t="n">
        <v>2</v>
      </c>
      <c r="C870" t="n">
        <v>667</v>
      </c>
      <c r="D870" t="n">
        <v>-0.3833</v>
      </c>
      <c r="E870" t="n">
        <v>7.463</v>
      </c>
      <c r="F870" t="n">
        <v>0.09104</v>
      </c>
    </row>
    <row r="871">
      <c r="A871" t="n">
        <v>2000668</v>
      </c>
      <c r="B871" t="n">
        <v>2</v>
      </c>
      <c r="C871" t="n">
        <v>668</v>
      </c>
      <c r="D871" t="n">
        <v>-0.3833</v>
      </c>
      <c r="E871" t="n">
        <v>7.485</v>
      </c>
      <c r="F871" t="n">
        <v>0.09103</v>
      </c>
    </row>
    <row r="872">
      <c r="A872" t="n">
        <v>2000669</v>
      </c>
      <c r="B872" t="n">
        <v>2</v>
      </c>
      <c r="C872" t="n">
        <v>669</v>
      </c>
      <c r="D872" t="n">
        <v>-0.3833</v>
      </c>
      <c r="E872" t="n">
        <v>7.5069</v>
      </c>
      <c r="F872" t="n">
        <v>0.09102</v>
      </c>
    </row>
    <row r="873">
      <c r="A873" t="n">
        <v>2000670</v>
      </c>
      <c r="B873" t="n">
        <v>2</v>
      </c>
      <c r="C873" t="n">
        <v>670</v>
      </c>
      <c r="D873" t="n">
        <v>-0.3833</v>
      </c>
      <c r="E873" t="n">
        <v>7.5288</v>
      </c>
      <c r="F873" t="n">
        <v>0.09100999999999999</v>
      </c>
    </row>
    <row r="874">
      <c r="A874" t="n">
        <v>2000671</v>
      </c>
      <c r="B874" t="n">
        <v>2</v>
      </c>
      <c r="C874" t="n">
        <v>671</v>
      </c>
      <c r="D874" t="n">
        <v>-0.3833</v>
      </c>
      <c r="E874" t="n">
        <v>7.5507</v>
      </c>
      <c r="F874" t="n">
        <v>0.091</v>
      </c>
    </row>
    <row r="875">
      <c r="A875" t="n">
        <v>2000672</v>
      </c>
      <c r="B875" t="n">
        <v>2</v>
      </c>
      <c r="C875" t="n">
        <v>672</v>
      </c>
      <c r="D875" t="n">
        <v>-0.3833</v>
      </c>
      <c r="E875" t="n">
        <v>7.5724</v>
      </c>
      <c r="F875" t="n">
        <v>0.09099</v>
      </c>
    </row>
    <row r="876">
      <c r="A876" t="n">
        <v>2000673</v>
      </c>
      <c r="B876" t="n">
        <v>2</v>
      </c>
      <c r="C876" t="n">
        <v>673</v>
      </c>
      <c r="D876" t="n">
        <v>-0.3833</v>
      </c>
      <c r="E876" t="n">
        <v>7.5942</v>
      </c>
      <c r="F876" t="n">
        <v>0.09098000000000001</v>
      </c>
    </row>
    <row r="877">
      <c r="A877" t="n">
        <v>2000674</v>
      </c>
      <c r="B877" t="n">
        <v>2</v>
      </c>
      <c r="C877" t="n">
        <v>674</v>
      </c>
      <c r="D877" t="n">
        <v>-0.3833</v>
      </c>
      <c r="E877" t="n">
        <v>7.6158</v>
      </c>
      <c r="F877" t="n">
        <v>0.09097</v>
      </c>
    </row>
    <row r="878">
      <c r="A878" t="n">
        <v>2000675</v>
      </c>
      <c r="B878" t="n">
        <v>2</v>
      </c>
      <c r="C878" t="n">
        <v>675</v>
      </c>
      <c r="D878" t="n">
        <v>-0.3833</v>
      </c>
      <c r="E878" t="n">
        <v>7.6375</v>
      </c>
      <c r="F878" t="n">
        <v>0.09096</v>
      </c>
    </row>
    <row r="879">
      <c r="A879" t="n">
        <v>2000676</v>
      </c>
      <c r="B879" t="n">
        <v>2</v>
      </c>
      <c r="C879" t="n">
        <v>676</v>
      </c>
      <c r="D879" t="n">
        <v>-0.3833</v>
      </c>
      <c r="E879" t="n">
        <v>7.659</v>
      </c>
      <c r="F879" t="n">
        <v>0.09095</v>
      </c>
    </row>
    <row r="880">
      <c r="A880" t="n">
        <v>2000677</v>
      </c>
      <c r="B880" t="n">
        <v>2</v>
      </c>
      <c r="C880" t="n">
        <v>677</v>
      </c>
      <c r="D880" t="n">
        <v>-0.3833</v>
      </c>
      <c r="E880" t="n">
        <v>7.6806</v>
      </c>
      <c r="F880" t="n">
        <v>0.09093999999999999</v>
      </c>
    </row>
    <row r="881">
      <c r="A881" t="n">
        <v>2000678</v>
      </c>
      <c r="B881" t="n">
        <v>2</v>
      </c>
      <c r="C881" t="n">
        <v>678</v>
      </c>
      <c r="D881" t="n">
        <v>-0.3833</v>
      </c>
      <c r="E881" t="n">
        <v>7.702</v>
      </c>
      <c r="F881" t="n">
        <v>0.09093</v>
      </c>
    </row>
    <row r="882">
      <c r="A882" t="n">
        <v>2000679</v>
      </c>
      <c r="B882" t="n">
        <v>2</v>
      </c>
      <c r="C882" t="n">
        <v>679</v>
      </c>
      <c r="D882" t="n">
        <v>-0.3833</v>
      </c>
      <c r="E882" t="n">
        <v>7.7234</v>
      </c>
      <c r="F882" t="n">
        <v>0.09091</v>
      </c>
    </row>
    <row r="883">
      <c r="A883" t="n">
        <v>2000680</v>
      </c>
      <c r="B883" t="n">
        <v>2</v>
      </c>
      <c r="C883" t="n">
        <v>680</v>
      </c>
      <c r="D883" t="n">
        <v>-0.3833</v>
      </c>
      <c r="E883" t="n">
        <v>7.7448</v>
      </c>
      <c r="F883" t="n">
        <v>0.09089999999999999</v>
      </c>
    </row>
    <row r="884">
      <c r="A884" t="n">
        <v>2000681</v>
      </c>
      <c r="B884" t="n">
        <v>2</v>
      </c>
      <c r="C884" t="n">
        <v>681</v>
      </c>
      <c r="D884" t="n">
        <v>-0.3833</v>
      </c>
      <c r="E884" t="n">
        <v>7.7661</v>
      </c>
      <c r="F884" t="n">
        <v>0.09089</v>
      </c>
    </row>
    <row r="885">
      <c r="A885" t="n">
        <v>2000682</v>
      </c>
      <c r="B885" t="n">
        <v>2</v>
      </c>
      <c r="C885" t="n">
        <v>682</v>
      </c>
      <c r="D885" t="n">
        <v>-0.3833</v>
      </c>
      <c r="E885" t="n">
        <v>7.7874</v>
      </c>
      <c r="F885" t="n">
        <v>0.09088</v>
      </c>
    </row>
    <row r="886">
      <c r="A886" t="n">
        <v>2000683</v>
      </c>
      <c r="B886" t="n">
        <v>2</v>
      </c>
      <c r="C886" t="n">
        <v>683</v>
      </c>
      <c r="D886" t="n">
        <v>-0.3833</v>
      </c>
      <c r="E886" t="n">
        <v>7.8086</v>
      </c>
      <c r="F886" t="n">
        <v>0.09087000000000001</v>
      </c>
    </row>
    <row r="887">
      <c r="A887" t="n">
        <v>2000684</v>
      </c>
      <c r="B887" t="n">
        <v>2</v>
      </c>
      <c r="C887" t="n">
        <v>684</v>
      </c>
      <c r="D887" t="n">
        <v>-0.3833</v>
      </c>
      <c r="E887" t="n">
        <v>7.8298</v>
      </c>
      <c r="F887" t="n">
        <v>0.09086</v>
      </c>
    </row>
    <row r="888">
      <c r="A888" t="n">
        <v>2000685</v>
      </c>
      <c r="B888" t="n">
        <v>2</v>
      </c>
      <c r="C888" t="n">
        <v>685</v>
      </c>
      <c r="D888" t="n">
        <v>-0.3833</v>
      </c>
      <c r="E888" t="n">
        <v>7.8509</v>
      </c>
      <c r="F888" t="n">
        <v>0.09085</v>
      </c>
    </row>
    <row r="889">
      <c r="A889" t="n">
        <v>2000686</v>
      </c>
      <c r="B889" t="n">
        <v>2</v>
      </c>
      <c r="C889" t="n">
        <v>686</v>
      </c>
      <c r="D889" t="n">
        <v>-0.3833</v>
      </c>
      <c r="E889" t="n">
        <v>7.872</v>
      </c>
      <c r="F889" t="n">
        <v>0.09084</v>
      </c>
    </row>
    <row r="890">
      <c r="A890" t="n">
        <v>2000687</v>
      </c>
      <c r="B890" t="n">
        <v>2</v>
      </c>
      <c r="C890" t="n">
        <v>687</v>
      </c>
      <c r="D890" t="n">
        <v>-0.3833</v>
      </c>
      <c r="E890" t="n">
        <v>7.893</v>
      </c>
      <c r="F890" t="n">
        <v>0.09082999999999999</v>
      </c>
    </row>
    <row r="891">
      <c r="A891" t="n">
        <v>2000688</v>
      </c>
      <c r="B891" t="n">
        <v>2</v>
      </c>
      <c r="C891" t="n">
        <v>688</v>
      </c>
      <c r="D891" t="n">
        <v>-0.3833</v>
      </c>
      <c r="E891" t="n">
        <v>7.914</v>
      </c>
      <c r="F891" t="n">
        <v>0.09082</v>
      </c>
    </row>
    <row r="892">
      <c r="A892" t="n">
        <v>2000689</v>
      </c>
      <c r="B892" t="n">
        <v>2</v>
      </c>
      <c r="C892" t="n">
        <v>689</v>
      </c>
      <c r="D892" t="n">
        <v>-0.3833</v>
      </c>
      <c r="E892" t="n">
        <v>7.935</v>
      </c>
      <c r="F892" t="n">
        <v>0.09080000000000001</v>
      </c>
    </row>
    <row r="893">
      <c r="A893" t="n">
        <v>2000690</v>
      </c>
      <c r="B893" t="n">
        <v>2</v>
      </c>
      <c r="C893" t="n">
        <v>690</v>
      </c>
      <c r="D893" t="n">
        <v>-0.3833</v>
      </c>
      <c r="E893" t="n">
        <v>7.9559</v>
      </c>
      <c r="F893" t="n">
        <v>0.09079</v>
      </c>
    </row>
    <row r="894">
      <c r="A894" t="n">
        <v>2000691</v>
      </c>
      <c r="B894" t="n">
        <v>2</v>
      </c>
      <c r="C894" t="n">
        <v>691</v>
      </c>
      <c r="D894" t="n">
        <v>-0.3833</v>
      </c>
      <c r="E894" t="n">
        <v>7.9768</v>
      </c>
      <c r="F894" t="n">
        <v>0.09078</v>
      </c>
    </row>
    <row r="895">
      <c r="A895" t="n">
        <v>2000692</v>
      </c>
      <c r="B895" t="n">
        <v>2</v>
      </c>
      <c r="C895" t="n">
        <v>692</v>
      </c>
      <c r="D895" t="n">
        <v>-0.3833</v>
      </c>
      <c r="E895" t="n">
        <v>7.9976</v>
      </c>
      <c r="F895" t="n">
        <v>0.09077</v>
      </c>
    </row>
    <row r="896">
      <c r="A896" t="n">
        <v>2000693</v>
      </c>
      <c r="B896" t="n">
        <v>2</v>
      </c>
      <c r="C896" t="n">
        <v>693</v>
      </c>
      <c r="D896" t="n">
        <v>-0.3833</v>
      </c>
      <c r="E896" t="n">
        <v>8.0184</v>
      </c>
      <c r="F896" t="n">
        <v>0.09075999999999999</v>
      </c>
    </row>
    <row r="897">
      <c r="A897" t="n">
        <v>2000694</v>
      </c>
      <c r="B897" t="n">
        <v>2</v>
      </c>
      <c r="C897" t="n">
        <v>694</v>
      </c>
      <c r="D897" t="n">
        <v>-0.3833</v>
      </c>
      <c r="E897" t="n">
        <v>8.039199999999999</v>
      </c>
      <c r="F897" t="n">
        <v>0.09075</v>
      </c>
    </row>
    <row r="898">
      <c r="A898" t="n">
        <v>2000695</v>
      </c>
      <c r="B898" t="n">
        <v>2</v>
      </c>
      <c r="C898" t="n">
        <v>695</v>
      </c>
      <c r="D898" t="n">
        <v>-0.3833</v>
      </c>
      <c r="E898" t="n">
        <v>8.059900000000001</v>
      </c>
      <c r="F898" t="n">
        <v>0.09074</v>
      </c>
    </row>
    <row r="899">
      <c r="A899" t="n">
        <v>2000696</v>
      </c>
      <c r="B899" t="n">
        <v>2</v>
      </c>
      <c r="C899" t="n">
        <v>696</v>
      </c>
      <c r="D899" t="n">
        <v>-0.3833</v>
      </c>
      <c r="E899" t="n">
        <v>8.0806</v>
      </c>
      <c r="F899" t="n">
        <v>0.09072</v>
      </c>
    </row>
    <row r="900">
      <c r="A900" t="n">
        <v>2000697</v>
      </c>
      <c r="B900" t="n">
        <v>2</v>
      </c>
      <c r="C900" t="n">
        <v>697</v>
      </c>
      <c r="D900" t="n">
        <v>-0.3833</v>
      </c>
      <c r="E900" t="n">
        <v>8.1012</v>
      </c>
      <c r="F900" t="n">
        <v>0.09071</v>
      </c>
    </row>
    <row r="901">
      <c r="A901" t="n">
        <v>2000698</v>
      </c>
      <c r="B901" t="n">
        <v>2</v>
      </c>
      <c r="C901" t="n">
        <v>698</v>
      </c>
      <c r="D901" t="n">
        <v>-0.3833</v>
      </c>
      <c r="E901" t="n">
        <v>8.1218</v>
      </c>
      <c r="F901" t="n">
        <v>0.0907</v>
      </c>
    </row>
    <row r="902">
      <c r="A902" t="n">
        <v>2000699</v>
      </c>
      <c r="B902" t="n">
        <v>2</v>
      </c>
      <c r="C902" t="n">
        <v>699</v>
      </c>
      <c r="D902" t="n">
        <v>-0.3833</v>
      </c>
      <c r="E902" t="n">
        <v>8.1424</v>
      </c>
      <c r="F902" t="n">
        <v>0.09069000000000001</v>
      </c>
    </row>
    <row r="903">
      <c r="A903" t="n">
        <v>2000700</v>
      </c>
      <c r="B903" t="n">
        <v>2</v>
      </c>
      <c r="C903" t="n">
        <v>700</v>
      </c>
      <c r="D903" t="n">
        <v>-0.3833</v>
      </c>
      <c r="E903" t="n">
        <v>8.163</v>
      </c>
      <c r="F903" t="n">
        <v>0.09068</v>
      </c>
    </row>
    <row r="904">
      <c r="A904" t="n">
        <v>2000701</v>
      </c>
      <c r="B904" t="n">
        <v>2</v>
      </c>
      <c r="C904" t="n">
        <v>701</v>
      </c>
      <c r="D904" t="n">
        <v>-0.3833</v>
      </c>
      <c r="E904" t="n">
        <v>8.1835</v>
      </c>
      <c r="F904" t="n">
        <v>0.09067</v>
      </c>
    </row>
    <row r="905">
      <c r="A905" t="n">
        <v>2000702</v>
      </c>
      <c r="B905" t="n">
        <v>2</v>
      </c>
      <c r="C905" t="n">
        <v>702</v>
      </c>
      <c r="D905" t="n">
        <v>-0.3833</v>
      </c>
      <c r="E905" t="n">
        <v>8.203900000000001</v>
      </c>
      <c r="F905" t="n">
        <v>0.09064999999999999</v>
      </c>
    </row>
    <row r="906">
      <c r="A906" t="n">
        <v>2000703</v>
      </c>
      <c r="B906" t="n">
        <v>2</v>
      </c>
      <c r="C906" t="n">
        <v>703</v>
      </c>
      <c r="D906" t="n">
        <v>-0.3833</v>
      </c>
      <c r="E906" t="n">
        <v>8.224399999999999</v>
      </c>
      <c r="F906" t="n">
        <v>0.09064</v>
      </c>
    </row>
    <row r="907">
      <c r="A907" t="n">
        <v>2000704</v>
      </c>
      <c r="B907" t="n">
        <v>2</v>
      </c>
      <c r="C907" t="n">
        <v>704</v>
      </c>
      <c r="D907" t="n">
        <v>-0.3833</v>
      </c>
      <c r="E907" t="n">
        <v>8.2448</v>
      </c>
      <c r="F907" t="n">
        <v>0.09063</v>
      </c>
    </row>
    <row r="908">
      <c r="A908" t="n">
        <v>2000705</v>
      </c>
      <c r="B908" t="n">
        <v>2</v>
      </c>
      <c r="C908" t="n">
        <v>705</v>
      </c>
      <c r="D908" t="n">
        <v>-0.3833</v>
      </c>
      <c r="E908" t="n">
        <v>8.2651</v>
      </c>
      <c r="F908" t="n">
        <v>0.09062000000000001</v>
      </c>
    </row>
    <row r="909">
      <c r="A909" t="n">
        <v>2000706</v>
      </c>
      <c r="B909" t="n">
        <v>2</v>
      </c>
      <c r="C909" t="n">
        <v>706</v>
      </c>
      <c r="D909" t="n">
        <v>-0.3833</v>
      </c>
      <c r="E909" t="n">
        <v>8.285500000000001</v>
      </c>
      <c r="F909" t="n">
        <v>0.09061</v>
      </c>
    </row>
    <row r="910">
      <c r="A910" t="n">
        <v>2000707</v>
      </c>
      <c r="B910" t="n">
        <v>2</v>
      </c>
      <c r="C910" t="n">
        <v>707</v>
      </c>
      <c r="D910" t="n">
        <v>-0.3833</v>
      </c>
      <c r="E910" t="n">
        <v>8.3058</v>
      </c>
      <c r="F910" t="n">
        <v>0.09059</v>
      </c>
    </row>
    <row r="911">
      <c r="A911" t="n">
        <v>2000708</v>
      </c>
      <c r="B911" t="n">
        <v>2</v>
      </c>
      <c r="C911" t="n">
        <v>708</v>
      </c>
      <c r="D911" t="n">
        <v>-0.3833</v>
      </c>
      <c r="E911" t="n">
        <v>8.3261</v>
      </c>
      <c r="F911" t="n">
        <v>0.09057999999999999</v>
      </c>
    </row>
    <row r="912">
      <c r="A912" t="n">
        <v>2000709</v>
      </c>
      <c r="B912" t="n">
        <v>2</v>
      </c>
      <c r="C912" t="n">
        <v>709</v>
      </c>
      <c r="D912" t="n">
        <v>-0.3833</v>
      </c>
      <c r="E912" t="n">
        <v>8.346399999999999</v>
      </c>
      <c r="F912" t="n">
        <v>0.09057</v>
      </c>
    </row>
    <row r="913">
      <c r="A913" t="n">
        <v>2000710</v>
      </c>
      <c r="B913" t="n">
        <v>2</v>
      </c>
      <c r="C913" t="n">
        <v>710</v>
      </c>
      <c r="D913" t="n">
        <v>-0.3833</v>
      </c>
      <c r="E913" t="n">
        <v>8.3666</v>
      </c>
      <c r="F913" t="n">
        <v>0.09056</v>
      </c>
    </row>
    <row r="914">
      <c r="A914" t="n">
        <v>2000711</v>
      </c>
      <c r="B914" t="n">
        <v>2</v>
      </c>
      <c r="C914" t="n">
        <v>711</v>
      </c>
      <c r="D914" t="n">
        <v>-0.3833</v>
      </c>
      <c r="E914" t="n">
        <v>8.386900000000001</v>
      </c>
      <c r="F914" t="n">
        <v>0.09055000000000001</v>
      </c>
    </row>
    <row r="915">
      <c r="A915" t="n">
        <v>2000712</v>
      </c>
      <c r="B915" t="n">
        <v>2</v>
      </c>
      <c r="C915" t="n">
        <v>712</v>
      </c>
      <c r="D915" t="n">
        <v>-0.3833</v>
      </c>
      <c r="E915" t="n">
        <v>8.4071</v>
      </c>
      <c r="F915" t="n">
        <v>0.09053</v>
      </c>
    </row>
    <row r="916">
      <c r="A916" t="n">
        <v>2000713</v>
      </c>
      <c r="B916" t="n">
        <v>2</v>
      </c>
      <c r="C916" t="n">
        <v>713</v>
      </c>
      <c r="D916" t="n">
        <v>-0.3833</v>
      </c>
      <c r="E916" t="n">
        <v>8.427300000000001</v>
      </c>
      <c r="F916" t="n">
        <v>0.09052</v>
      </c>
    </row>
    <row r="917">
      <c r="A917" t="n">
        <v>2000714</v>
      </c>
      <c r="B917" t="n">
        <v>2</v>
      </c>
      <c r="C917" t="n">
        <v>714</v>
      </c>
      <c r="D917" t="n">
        <v>-0.3833</v>
      </c>
      <c r="E917" t="n">
        <v>8.4474</v>
      </c>
      <c r="F917" t="n">
        <v>0.09050999999999999</v>
      </c>
    </row>
    <row r="918">
      <c r="A918" t="n">
        <v>2000715</v>
      </c>
      <c r="B918" t="n">
        <v>2</v>
      </c>
      <c r="C918" t="n">
        <v>715</v>
      </c>
      <c r="D918" t="n">
        <v>-0.3833</v>
      </c>
      <c r="E918" t="n">
        <v>8.467599999999999</v>
      </c>
      <c r="F918" t="n">
        <v>0.0905</v>
      </c>
    </row>
    <row r="919">
      <c r="A919" t="n">
        <v>2000716</v>
      </c>
      <c r="B919" t="n">
        <v>2</v>
      </c>
      <c r="C919" t="n">
        <v>716</v>
      </c>
      <c r="D919" t="n">
        <v>-0.3833</v>
      </c>
      <c r="E919" t="n">
        <v>8.4877</v>
      </c>
      <c r="F919" t="n">
        <v>0.09048</v>
      </c>
    </row>
    <row r="920">
      <c r="A920" t="n">
        <v>2000717</v>
      </c>
      <c r="B920" t="n">
        <v>2</v>
      </c>
      <c r="C920" t="n">
        <v>717</v>
      </c>
      <c r="D920" t="n">
        <v>-0.3833</v>
      </c>
      <c r="E920" t="n">
        <v>8.5078</v>
      </c>
      <c r="F920" t="n">
        <v>0.09046999999999999</v>
      </c>
    </row>
    <row r="921">
      <c r="A921" t="n">
        <v>2000718</v>
      </c>
      <c r="B921" t="n">
        <v>2</v>
      </c>
      <c r="C921" t="n">
        <v>718</v>
      </c>
      <c r="D921" t="n">
        <v>-0.3833</v>
      </c>
      <c r="E921" t="n">
        <v>8.527799999999999</v>
      </c>
      <c r="F921" t="n">
        <v>0.09046</v>
      </c>
    </row>
    <row r="922">
      <c r="A922" t="n">
        <v>2000719</v>
      </c>
      <c r="B922" t="n">
        <v>2</v>
      </c>
      <c r="C922" t="n">
        <v>719</v>
      </c>
      <c r="D922" t="n">
        <v>-0.3833</v>
      </c>
      <c r="E922" t="n">
        <v>8.5479</v>
      </c>
      <c r="F922" t="n">
        <v>0.09045</v>
      </c>
    </row>
    <row r="923">
      <c r="A923" t="n">
        <v>2000720</v>
      </c>
      <c r="B923" t="n">
        <v>2</v>
      </c>
      <c r="C923" t="n">
        <v>720</v>
      </c>
      <c r="D923" t="n">
        <v>-0.3833</v>
      </c>
      <c r="E923" t="n">
        <v>8.5679</v>
      </c>
      <c r="F923" t="n">
        <v>0.09043</v>
      </c>
    </row>
    <row r="924">
      <c r="A924" t="n">
        <v>2000721</v>
      </c>
      <c r="B924" t="n">
        <v>2</v>
      </c>
      <c r="C924" t="n">
        <v>721</v>
      </c>
      <c r="D924" t="n">
        <v>-0.3833</v>
      </c>
      <c r="E924" t="n">
        <v>8.587899999999999</v>
      </c>
      <c r="F924" t="n">
        <v>0.09042</v>
      </c>
    </row>
    <row r="925">
      <c r="A925" t="n">
        <v>2000722</v>
      </c>
      <c r="B925" t="n">
        <v>2</v>
      </c>
      <c r="C925" t="n">
        <v>722</v>
      </c>
      <c r="D925" t="n">
        <v>-0.3833</v>
      </c>
      <c r="E925" t="n">
        <v>8.607799999999999</v>
      </c>
      <c r="F925" t="n">
        <v>0.09041</v>
      </c>
    </row>
    <row r="926">
      <c r="A926" t="n">
        <v>2000723</v>
      </c>
      <c r="B926" t="n">
        <v>2</v>
      </c>
      <c r="C926" t="n">
        <v>723</v>
      </c>
      <c r="D926" t="n">
        <v>-0.3833</v>
      </c>
      <c r="E926" t="n">
        <v>8.627700000000001</v>
      </c>
      <c r="F926" t="n">
        <v>0.09039999999999999</v>
      </c>
    </row>
    <row r="927">
      <c r="A927" t="n">
        <v>2000724</v>
      </c>
      <c r="B927" t="n">
        <v>2</v>
      </c>
      <c r="C927" t="n">
        <v>724</v>
      </c>
      <c r="D927" t="n">
        <v>-0.3833</v>
      </c>
      <c r="E927" t="n">
        <v>8.647600000000001</v>
      </c>
      <c r="F927" t="n">
        <v>0.09039</v>
      </c>
    </row>
    <row r="928">
      <c r="A928" t="n">
        <v>2000725</v>
      </c>
      <c r="B928" t="n">
        <v>2</v>
      </c>
      <c r="C928" t="n">
        <v>725</v>
      </c>
      <c r="D928" t="n">
        <v>-0.3833</v>
      </c>
      <c r="E928" t="n">
        <v>8.667400000000001</v>
      </c>
      <c r="F928" t="n">
        <v>0.09037000000000001</v>
      </c>
    </row>
    <row r="929">
      <c r="A929" t="n">
        <v>2000726</v>
      </c>
      <c r="B929" t="n">
        <v>2</v>
      </c>
      <c r="C929" t="n">
        <v>726</v>
      </c>
      <c r="D929" t="n">
        <v>-0.3833</v>
      </c>
      <c r="E929" t="n">
        <v>8.687200000000001</v>
      </c>
      <c r="F929" t="n">
        <v>0.09036</v>
      </c>
    </row>
    <row r="930">
      <c r="A930" t="n">
        <v>2000727</v>
      </c>
      <c r="B930" t="n">
        <v>2</v>
      </c>
      <c r="C930" t="n">
        <v>727</v>
      </c>
      <c r="D930" t="n">
        <v>-0.3833</v>
      </c>
      <c r="E930" t="n">
        <v>8.707000000000001</v>
      </c>
      <c r="F930" t="n">
        <v>0.09035</v>
      </c>
    </row>
    <row r="931">
      <c r="A931" t="n">
        <v>2000728</v>
      </c>
      <c r="B931" t="n">
        <v>2</v>
      </c>
      <c r="C931" t="n">
        <v>728</v>
      </c>
      <c r="D931" t="n">
        <v>-0.3833</v>
      </c>
      <c r="E931" t="n">
        <v>8.726699999999999</v>
      </c>
      <c r="F931" t="n">
        <v>0.09034</v>
      </c>
    </row>
    <row r="932">
      <c r="A932" t="n">
        <v>2000729</v>
      </c>
      <c r="B932" t="n">
        <v>2</v>
      </c>
      <c r="C932" t="n">
        <v>729</v>
      </c>
      <c r="D932" t="n">
        <v>-0.3833</v>
      </c>
      <c r="E932" t="n">
        <v>8.7464</v>
      </c>
      <c r="F932" t="n">
        <v>0.09032</v>
      </c>
    </row>
    <row r="933">
      <c r="A933" t="n">
        <v>2000730</v>
      </c>
      <c r="B933" t="n">
        <v>2</v>
      </c>
      <c r="C933" t="n">
        <v>730</v>
      </c>
      <c r="D933" t="n">
        <v>-0.3833</v>
      </c>
      <c r="E933" t="n">
        <v>8.7661</v>
      </c>
      <c r="F933" t="n">
        <v>0.09031</v>
      </c>
    </row>
    <row r="934">
      <c r="A934" t="n">
        <v>2000731</v>
      </c>
      <c r="B934" t="n">
        <v>2</v>
      </c>
      <c r="C934" t="n">
        <v>731</v>
      </c>
      <c r="D934" t="n">
        <v>-0.3833</v>
      </c>
      <c r="E934" t="n">
        <v>8.7857</v>
      </c>
      <c r="F934" t="n">
        <v>0.09030000000000001</v>
      </c>
    </row>
    <row r="935">
      <c r="A935" t="n">
        <v>2000732</v>
      </c>
      <c r="B935" t="n">
        <v>2</v>
      </c>
      <c r="C935" t="n">
        <v>732</v>
      </c>
      <c r="D935" t="n">
        <v>-0.3833</v>
      </c>
      <c r="E935" t="n">
        <v>8.805300000000001</v>
      </c>
      <c r="F935" t="n">
        <v>0.09028</v>
      </c>
    </row>
    <row r="936">
      <c r="A936" t="n">
        <v>2000733</v>
      </c>
      <c r="B936" t="n">
        <v>2</v>
      </c>
      <c r="C936" t="n">
        <v>733</v>
      </c>
      <c r="D936" t="n">
        <v>-0.3833</v>
      </c>
      <c r="E936" t="n">
        <v>8.8248</v>
      </c>
      <c r="F936" t="n">
        <v>0.09027</v>
      </c>
    </row>
    <row r="937">
      <c r="A937" t="n">
        <v>2000734</v>
      </c>
      <c r="B937" t="n">
        <v>2</v>
      </c>
      <c r="C937" t="n">
        <v>734</v>
      </c>
      <c r="D937" t="n">
        <v>-0.3833</v>
      </c>
      <c r="E937" t="n">
        <v>8.8443</v>
      </c>
      <c r="F937" t="n">
        <v>0.09026000000000001</v>
      </c>
    </row>
    <row r="938">
      <c r="A938" t="n">
        <v>2000735</v>
      </c>
      <c r="B938" t="n">
        <v>2</v>
      </c>
      <c r="C938" t="n">
        <v>735</v>
      </c>
      <c r="D938" t="n">
        <v>-0.3833</v>
      </c>
      <c r="E938" t="n">
        <v>8.863799999999999</v>
      </c>
      <c r="F938" t="n">
        <v>0.09025</v>
      </c>
    </row>
    <row r="939">
      <c r="A939" t="n">
        <v>2000736</v>
      </c>
      <c r="B939" t="n">
        <v>2</v>
      </c>
      <c r="C939" t="n">
        <v>736</v>
      </c>
      <c r="D939" t="n">
        <v>-0.3833</v>
      </c>
      <c r="E939" t="n">
        <v>8.883100000000001</v>
      </c>
      <c r="F939" t="n">
        <v>0.09023</v>
      </c>
    </row>
    <row r="940">
      <c r="A940" t="n">
        <v>2000737</v>
      </c>
      <c r="B940" t="n">
        <v>2</v>
      </c>
      <c r="C940" t="n">
        <v>737</v>
      </c>
      <c r="D940" t="n">
        <v>-0.3833</v>
      </c>
      <c r="E940" t="n">
        <v>8.9025</v>
      </c>
      <c r="F940" t="n">
        <v>0.09021999999999999</v>
      </c>
    </row>
    <row r="941">
      <c r="A941" t="n">
        <v>2000738</v>
      </c>
      <c r="B941" t="n">
        <v>2</v>
      </c>
      <c r="C941" t="n">
        <v>738</v>
      </c>
      <c r="D941" t="n">
        <v>-0.3833</v>
      </c>
      <c r="E941" t="n">
        <v>8.9217</v>
      </c>
      <c r="F941" t="n">
        <v>0.09021</v>
      </c>
    </row>
    <row r="942">
      <c r="A942" t="n">
        <v>2000739</v>
      </c>
      <c r="B942" t="n">
        <v>2</v>
      </c>
      <c r="C942" t="n">
        <v>739</v>
      </c>
      <c r="D942" t="n">
        <v>-0.3833</v>
      </c>
      <c r="E942" t="n">
        <v>8.941000000000001</v>
      </c>
      <c r="F942" t="n">
        <v>0.0902</v>
      </c>
    </row>
    <row r="943">
      <c r="A943" t="n">
        <v>2000740</v>
      </c>
      <c r="B943" t="n">
        <v>2</v>
      </c>
      <c r="C943" t="n">
        <v>740</v>
      </c>
      <c r="D943" t="n">
        <v>-0.3833</v>
      </c>
      <c r="E943" t="n">
        <v>8.960100000000001</v>
      </c>
      <c r="F943" t="n">
        <v>0.09018</v>
      </c>
    </row>
    <row r="944">
      <c r="A944" t="n">
        <v>2000741</v>
      </c>
      <c r="B944" t="n">
        <v>2</v>
      </c>
      <c r="C944" t="n">
        <v>741</v>
      </c>
      <c r="D944" t="n">
        <v>-0.3833</v>
      </c>
      <c r="E944" t="n">
        <v>8.979200000000001</v>
      </c>
      <c r="F944" t="n">
        <v>0.09017</v>
      </c>
    </row>
    <row r="945">
      <c r="A945" t="n">
        <v>2000742</v>
      </c>
      <c r="B945" t="n">
        <v>2</v>
      </c>
      <c r="C945" t="n">
        <v>742</v>
      </c>
      <c r="D945" t="n">
        <v>-0.3833</v>
      </c>
      <c r="E945" t="n">
        <v>8.9983</v>
      </c>
      <c r="F945" t="n">
        <v>0.09016</v>
      </c>
    </row>
    <row r="946">
      <c r="A946" t="n">
        <v>2000743</v>
      </c>
      <c r="B946" t="n">
        <v>2</v>
      </c>
      <c r="C946" t="n">
        <v>743</v>
      </c>
      <c r="D946" t="n">
        <v>-0.3833</v>
      </c>
      <c r="E946" t="n">
        <v>9.017300000000001</v>
      </c>
      <c r="F946" t="n">
        <v>0.09014</v>
      </c>
    </row>
    <row r="947">
      <c r="A947" t="n">
        <v>2000744</v>
      </c>
      <c r="B947" t="n">
        <v>2</v>
      </c>
      <c r="C947" t="n">
        <v>744</v>
      </c>
      <c r="D947" t="n">
        <v>-0.3833</v>
      </c>
      <c r="E947" t="n">
        <v>9.036300000000001</v>
      </c>
      <c r="F947" t="n">
        <v>0.09013</v>
      </c>
    </row>
    <row r="948">
      <c r="A948" t="n">
        <v>2000745</v>
      </c>
      <c r="B948" t="n">
        <v>2</v>
      </c>
      <c r="C948" t="n">
        <v>745</v>
      </c>
      <c r="D948" t="n">
        <v>-0.3833</v>
      </c>
      <c r="E948" t="n">
        <v>9.055199999999999</v>
      </c>
      <c r="F948" t="n">
        <v>0.09012000000000001</v>
      </c>
    </row>
    <row r="949">
      <c r="A949" t="n">
        <v>2000746</v>
      </c>
      <c r="B949" t="n">
        <v>2</v>
      </c>
      <c r="C949" t="n">
        <v>746</v>
      </c>
      <c r="D949" t="n">
        <v>-0.3833</v>
      </c>
      <c r="E949" t="n">
        <v>9.074</v>
      </c>
      <c r="F949" t="n">
        <v>0.09011</v>
      </c>
    </row>
    <row r="950">
      <c r="A950" t="n">
        <v>2000747</v>
      </c>
      <c r="B950" t="n">
        <v>2</v>
      </c>
      <c r="C950" t="n">
        <v>747</v>
      </c>
      <c r="D950" t="n">
        <v>-0.3833</v>
      </c>
      <c r="E950" t="n">
        <v>9.0928</v>
      </c>
      <c r="F950" t="n">
        <v>0.09009</v>
      </c>
    </row>
    <row r="951">
      <c r="A951" t="n">
        <v>2000748</v>
      </c>
      <c r="B951" t="n">
        <v>2</v>
      </c>
      <c r="C951" t="n">
        <v>748</v>
      </c>
      <c r="D951" t="n">
        <v>-0.3833</v>
      </c>
      <c r="E951" t="n">
        <v>9.111599999999999</v>
      </c>
      <c r="F951" t="n">
        <v>0.09007999999999999</v>
      </c>
    </row>
    <row r="952">
      <c r="A952" t="n">
        <v>2000749</v>
      </c>
      <c r="B952" t="n">
        <v>2</v>
      </c>
      <c r="C952" t="n">
        <v>749</v>
      </c>
      <c r="D952" t="n">
        <v>-0.3833</v>
      </c>
      <c r="E952" t="n">
        <v>9.1303</v>
      </c>
      <c r="F952" t="n">
        <v>0.09007</v>
      </c>
    </row>
    <row r="953">
      <c r="A953" t="n">
        <v>2000750</v>
      </c>
      <c r="B953" t="n">
        <v>2</v>
      </c>
      <c r="C953" t="n">
        <v>750</v>
      </c>
      <c r="D953" t="n">
        <v>-0.3833</v>
      </c>
      <c r="E953" t="n">
        <v>9.148999999999999</v>
      </c>
      <c r="F953" t="n">
        <v>0.09005000000000001</v>
      </c>
    </row>
    <row r="954">
      <c r="A954" t="n">
        <v>2000751</v>
      </c>
      <c r="B954" t="n">
        <v>2</v>
      </c>
      <c r="C954" t="n">
        <v>751</v>
      </c>
      <c r="D954" t="n">
        <v>-0.3833</v>
      </c>
      <c r="E954" t="n">
        <v>9.1676</v>
      </c>
      <c r="F954" t="n">
        <v>0.09004</v>
      </c>
    </row>
    <row r="955">
      <c r="A955" t="n">
        <v>2000752</v>
      </c>
      <c r="B955" t="n">
        <v>2</v>
      </c>
      <c r="C955" t="n">
        <v>752</v>
      </c>
      <c r="D955" t="n">
        <v>-0.3833</v>
      </c>
      <c r="E955" t="n">
        <v>9.186199999999999</v>
      </c>
      <c r="F955" t="n">
        <v>0.09003</v>
      </c>
    </row>
    <row r="956">
      <c r="A956" t="n">
        <v>2000753</v>
      </c>
      <c r="B956" t="n">
        <v>2</v>
      </c>
      <c r="C956" t="n">
        <v>753</v>
      </c>
      <c r="D956" t="n">
        <v>-0.3833</v>
      </c>
      <c r="E956" t="n">
        <v>9.204800000000001</v>
      </c>
      <c r="F956" t="n">
        <v>0.09001000000000001</v>
      </c>
    </row>
    <row r="957">
      <c r="A957" t="n">
        <v>2000754</v>
      </c>
      <c r="B957" t="n">
        <v>2</v>
      </c>
      <c r="C957" t="n">
        <v>754</v>
      </c>
      <c r="D957" t="n">
        <v>-0.3833</v>
      </c>
      <c r="E957" t="n">
        <v>9.2233</v>
      </c>
      <c r="F957" t="n">
        <v>0.09</v>
      </c>
    </row>
    <row r="958">
      <c r="A958" t="n">
        <v>2000755</v>
      </c>
      <c r="B958" t="n">
        <v>2</v>
      </c>
      <c r="C958" t="n">
        <v>755</v>
      </c>
      <c r="D958" t="n">
        <v>-0.3833</v>
      </c>
      <c r="E958" t="n">
        <v>9.2418</v>
      </c>
      <c r="F958" t="n">
        <v>0.08999</v>
      </c>
    </row>
    <row r="959">
      <c r="A959" t="n">
        <v>2000756</v>
      </c>
      <c r="B959" t="n">
        <v>2</v>
      </c>
      <c r="C959" t="n">
        <v>756</v>
      </c>
      <c r="D959" t="n">
        <v>-0.3833</v>
      </c>
      <c r="E959" t="n">
        <v>9.260199999999999</v>
      </c>
      <c r="F959" t="n">
        <v>0.08996999999999999</v>
      </c>
    </row>
    <row r="960">
      <c r="A960" t="n">
        <v>2000757</v>
      </c>
      <c r="B960" t="n">
        <v>2</v>
      </c>
      <c r="C960" t="n">
        <v>757</v>
      </c>
      <c r="D960" t="n">
        <v>-0.3833</v>
      </c>
      <c r="E960" t="n">
        <v>9.278600000000001</v>
      </c>
      <c r="F960" t="n">
        <v>0.08996</v>
      </c>
    </row>
    <row r="961">
      <c r="A961" t="n">
        <v>2000758</v>
      </c>
      <c r="B961" t="n">
        <v>2</v>
      </c>
      <c r="C961" t="n">
        <v>758</v>
      </c>
      <c r="D961" t="n">
        <v>-0.3833</v>
      </c>
      <c r="E961" t="n">
        <v>9.297000000000001</v>
      </c>
      <c r="F961" t="n">
        <v>0.08995</v>
      </c>
    </row>
    <row r="962">
      <c r="A962" t="n">
        <v>2000759</v>
      </c>
      <c r="B962" t="n">
        <v>2</v>
      </c>
      <c r="C962" t="n">
        <v>759</v>
      </c>
      <c r="D962" t="n">
        <v>-0.3833</v>
      </c>
      <c r="E962" t="n">
        <v>9.3154</v>
      </c>
      <c r="F962" t="n">
        <v>0.08993</v>
      </c>
    </row>
    <row r="963">
      <c r="A963" t="n">
        <v>2000760</v>
      </c>
      <c r="B963" t="n">
        <v>2</v>
      </c>
      <c r="C963" t="n">
        <v>760</v>
      </c>
      <c r="D963" t="n">
        <v>-0.3833</v>
      </c>
      <c r="E963" t="n">
        <v>9.3337</v>
      </c>
      <c r="F963" t="n">
        <v>0.08992</v>
      </c>
    </row>
    <row r="964">
      <c r="A964" t="n">
        <v>2000761</v>
      </c>
      <c r="B964" t="n">
        <v>2</v>
      </c>
      <c r="C964" t="n">
        <v>761</v>
      </c>
      <c r="D964" t="n">
        <v>-0.3833</v>
      </c>
      <c r="E964" t="n">
        <v>9.352</v>
      </c>
      <c r="F964" t="n">
        <v>0.08991</v>
      </c>
    </row>
    <row r="965">
      <c r="A965" t="n">
        <v>2000762</v>
      </c>
      <c r="B965" t="n">
        <v>2</v>
      </c>
      <c r="C965" t="n">
        <v>762</v>
      </c>
      <c r="D965" t="n">
        <v>-0.3833</v>
      </c>
      <c r="E965" t="n">
        <v>9.3703</v>
      </c>
      <c r="F965" t="n">
        <v>0.08989</v>
      </c>
    </row>
    <row r="966">
      <c r="A966" t="n">
        <v>2000763</v>
      </c>
      <c r="B966" t="n">
        <v>2</v>
      </c>
      <c r="C966" t="n">
        <v>763</v>
      </c>
      <c r="D966" t="n">
        <v>-0.3833</v>
      </c>
      <c r="E966" t="n">
        <v>9.3886</v>
      </c>
      <c r="F966" t="n">
        <v>0.08988</v>
      </c>
    </row>
    <row r="967">
      <c r="A967" t="n">
        <v>2000764</v>
      </c>
      <c r="B967" t="n">
        <v>2</v>
      </c>
      <c r="C967" t="n">
        <v>764</v>
      </c>
      <c r="D967" t="n">
        <v>-0.3833</v>
      </c>
      <c r="E967" t="n">
        <v>9.4069</v>
      </c>
      <c r="F967" t="n">
        <v>0.08987000000000001</v>
      </c>
    </row>
    <row r="968">
      <c r="A968" t="n">
        <v>2000765</v>
      </c>
      <c r="B968" t="n">
        <v>2</v>
      </c>
      <c r="C968" t="n">
        <v>765</v>
      </c>
      <c r="D968" t="n">
        <v>-0.3833</v>
      </c>
      <c r="E968" t="n">
        <v>9.4252</v>
      </c>
      <c r="F968" t="n">
        <v>0.08985</v>
      </c>
    </row>
    <row r="969">
      <c r="A969" t="n">
        <v>2000766</v>
      </c>
      <c r="B969" t="n">
        <v>2</v>
      </c>
      <c r="C969" t="n">
        <v>766</v>
      </c>
      <c r="D969" t="n">
        <v>-0.3833</v>
      </c>
      <c r="E969" t="n">
        <v>9.4435</v>
      </c>
      <c r="F969" t="n">
        <v>0.08984</v>
      </c>
    </row>
    <row r="970">
      <c r="A970" t="n">
        <v>2000767</v>
      </c>
      <c r="B970" t="n">
        <v>2</v>
      </c>
      <c r="C970" t="n">
        <v>767</v>
      </c>
      <c r="D970" t="n">
        <v>-0.3833</v>
      </c>
      <c r="E970" t="n">
        <v>9.4617</v>
      </c>
      <c r="F970" t="n">
        <v>0.08982999999999999</v>
      </c>
    </row>
    <row r="971">
      <c r="A971" t="n">
        <v>2000768</v>
      </c>
      <c r="B971" t="n">
        <v>2</v>
      </c>
      <c r="C971" t="n">
        <v>768</v>
      </c>
      <c r="D971" t="n">
        <v>-0.3833</v>
      </c>
      <c r="E971" t="n">
        <v>9.48</v>
      </c>
      <c r="F971" t="n">
        <v>0.08981</v>
      </c>
    </row>
    <row r="972">
      <c r="A972" t="n">
        <v>2000769</v>
      </c>
      <c r="B972" t="n">
        <v>2</v>
      </c>
      <c r="C972" t="n">
        <v>769</v>
      </c>
      <c r="D972" t="n">
        <v>-0.3833</v>
      </c>
      <c r="E972" t="n">
        <v>9.4983</v>
      </c>
      <c r="F972" t="n">
        <v>0.0898</v>
      </c>
    </row>
    <row r="973">
      <c r="A973" t="n">
        <v>2000770</v>
      </c>
      <c r="B973" t="n">
        <v>2</v>
      </c>
      <c r="C973" t="n">
        <v>770</v>
      </c>
      <c r="D973" t="n">
        <v>-0.3833</v>
      </c>
      <c r="E973" t="n">
        <v>9.5166</v>
      </c>
      <c r="F973" t="n">
        <v>0.08978999999999999</v>
      </c>
    </row>
    <row r="974">
      <c r="A974" t="n">
        <v>2000771</v>
      </c>
      <c r="B974" t="n">
        <v>2</v>
      </c>
      <c r="C974" t="n">
        <v>771</v>
      </c>
      <c r="D974" t="n">
        <v>-0.3833</v>
      </c>
      <c r="E974" t="n">
        <v>9.535</v>
      </c>
      <c r="F974" t="n">
        <v>0.08977</v>
      </c>
    </row>
    <row r="975">
      <c r="A975" t="n">
        <v>2000772</v>
      </c>
      <c r="B975" t="n">
        <v>2</v>
      </c>
      <c r="C975" t="n">
        <v>772</v>
      </c>
      <c r="D975" t="n">
        <v>-0.3833</v>
      </c>
      <c r="E975" t="n">
        <v>9.5533</v>
      </c>
      <c r="F975" t="n">
        <v>0.08976000000000001</v>
      </c>
    </row>
    <row r="976">
      <c r="A976" t="n">
        <v>2000773</v>
      </c>
      <c r="B976" t="n">
        <v>2</v>
      </c>
      <c r="C976" t="n">
        <v>773</v>
      </c>
      <c r="D976" t="n">
        <v>-0.3833</v>
      </c>
      <c r="E976" t="n">
        <v>9.5717</v>
      </c>
      <c r="F976" t="n">
        <v>0.08975</v>
      </c>
    </row>
    <row r="977">
      <c r="A977" t="n">
        <v>2000774</v>
      </c>
      <c r="B977" t="n">
        <v>2</v>
      </c>
      <c r="C977" t="n">
        <v>774</v>
      </c>
      <c r="D977" t="n">
        <v>-0.3833</v>
      </c>
      <c r="E977" t="n">
        <v>9.5901</v>
      </c>
      <c r="F977" t="n">
        <v>0.08973</v>
      </c>
    </row>
    <row r="978">
      <c r="A978" t="n">
        <v>2000775</v>
      </c>
      <c r="B978" t="n">
        <v>2</v>
      </c>
      <c r="C978" t="n">
        <v>775</v>
      </c>
      <c r="D978" t="n">
        <v>-0.3833</v>
      </c>
      <c r="E978" t="n">
        <v>9.608599999999999</v>
      </c>
      <c r="F978" t="n">
        <v>0.08971999999999999</v>
      </c>
    </row>
    <row r="979">
      <c r="A979" t="n">
        <v>2000776</v>
      </c>
      <c r="B979" t="n">
        <v>2</v>
      </c>
      <c r="C979" t="n">
        <v>776</v>
      </c>
      <c r="D979" t="n">
        <v>-0.3833</v>
      </c>
      <c r="E979" t="n">
        <v>9.6271</v>
      </c>
      <c r="F979" t="n">
        <v>0.08971</v>
      </c>
    </row>
    <row r="980">
      <c r="A980" t="n">
        <v>2000777</v>
      </c>
      <c r="B980" t="n">
        <v>2</v>
      </c>
      <c r="C980" t="n">
        <v>777</v>
      </c>
      <c r="D980" t="n">
        <v>-0.3833</v>
      </c>
      <c r="E980" t="n">
        <v>9.6456</v>
      </c>
      <c r="F980" t="n">
        <v>0.08969000000000001</v>
      </c>
    </row>
    <row r="981">
      <c r="A981" t="n">
        <v>2000778</v>
      </c>
      <c r="B981" t="n">
        <v>2</v>
      </c>
      <c r="C981" t="n">
        <v>778</v>
      </c>
      <c r="D981" t="n">
        <v>-0.3833</v>
      </c>
      <c r="E981" t="n">
        <v>9.664199999999999</v>
      </c>
      <c r="F981" t="n">
        <v>0.08968</v>
      </c>
    </row>
    <row r="982">
      <c r="A982" t="n">
        <v>2000779</v>
      </c>
      <c r="B982" t="n">
        <v>2</v>
      </c>
      <c r="C982" t="n">
        <v>779</v>
      </c>
      <c r="D982" t="n">
        <v>-0.3833</v>
      </c>
      <c r="E982" t="n">
        <v>9.6828</v>
      </c>
      <c r="F982" t="n">
        <v>0.08966</v>
      </c>
    </row>
    <row r="983">
      <c r="A983" t="n">
        <v>2000780</v>
      </c>
      <c r="B983" t="n">
        <v>2</v>
      </c>
      <c r="C983" t="n">
        <v>780</v>
      </c>
      <c r="D983" t="n">
        <v>-0.3833</v>
      </c>
      <c r="E983" t="n">
        <v>9.701499999999999</v>
      </c>
      <c r="F983" t="n">
        <v>0.08964999999999999</v>
      </c>
    </row>
    <row r="984">
      <c r="A984" t="n">
        <v>2000781</v>
      </c>
      <c r="B984" t="n">
        <v>2</v>
      </c>
      <c r="C984" t="n">
        <v>781</v>
      </c>
      <c r="D984" t="n">
        <v>-0.3833</v>
      </c>
      <c r="E984" t="n">
        <v>9.7202</v>
      </c>
      <c r="F984" t="n">
        <v>0.08964</v>
      </c>
    </row>
    <row r="985">
      <c r="A985" t="n">
        <v>2000782</v>
      </c>
      <c r="B985" t="n">
        <v>2</v>
      </c>
      <c r="C985" t="n">
        <v>782</v>
      </c>
      <c r="D985" t="n">
        <v>-0.3833</v>
      </c>
      <c r="E985" t="n">
        <v>9.739000000000001</v>
      </c>
      <c r="F985" t="n">
        <v>0.08963</v>
      </c>
    </row>
    <row r="986">
      <c r="A986" t="n">
        <v>2000783</v>
      </c>
      <c r="B986" t="n">
        <v>2</v>
      </c>
      <c r="C986" t="n">
        <v>783</v>
      </c>
      <c r="D986" t="n">
        <v>-0.3833</v>
      </c>
      <c r="E986" t="n">
        <v>9.7578</v>
      </c>
      <c r="F986" t="n">
        <v>0.08961</v>
      </c>
    </row>
    <row r="987">
      <c r="A987" t="n">
        <v>2000784</v>
      </c>
      <c r="B987" t="n">
        <v>2</v>
      </c>
      <c r="C987" t="n">
        <v>784</v>
      </c>
      <c r="D987" t="n">
        <v>-0.3833</v>
      </c>
      <c r="E987" t="n">
        <v>9.7767</v>
      </c>
      <c r="F987" t="n">
        <v>0.0896</v>
      </c>
    </row>
    <row r="988">
      <c r="A988" t="n">
        <v>2000785</v>
      </c>
      <c r="B988" t="n">
        <v>2</v>
      </c>
      <c r="C988" t="n">
        <v>785</v>
      </c>
      <c r="D988" t="n">
        <v>-0.3833</v>
      </c>
      <c r="E988" t="n">
        <v>9.7957</v>
      </c>
      <c r="F988" t="n">
        <v>0.08959</v>
      </c>
    </row>
    <row r="989">
      <c r="A989" t="n">
        <v>2000786</v>
      </c>
      <c r="B989" t="n">
        <v>2</v>
      </c>
      <c r="C989" t="n">
        <v>786</v>
      </c>
      <c r="D989" t="n">
        <v>-0.3833</v>
      </c>
      <c r="E989" t="n">
        <v>9.8147</v>
      </c>
      <c r="F989" t="n">
        <v>0.08957</v>
      </c>
    </row>
    <row r="990">
      <c r="A990" t="n">
        <v>2000787</v>
      </c>
      <c r="B990" t="n">
        <v>2</v>
      </c>
      <c r="C990" t="n">
        <v>787</v>
      </c>
      <c r="D990" t="n">
        <v>-0.3833</v>
      </c>
      <c r="E990" t="n">
        <v>9.8338</v>
      </c>
      <c r="F990" t="n">
        <v>0.08956</v>
      </c>
    </row>
    <row r="991">
      <c r="A991" t="n">
        <v>2000788</v>
      </c>
      <c r="B991" t="n">
        <v>2</v>
      </c>
      <c r="C991" t="n">
        <v>788</v>
      </c>
      <c r="D991" t="n">
        <v>-0.3833</v>
      </c>
      <c r="E991" t="n">
        <v>9.853</v>
      </c>
      <c r="F991" t="n">
        <v>0.08955</v>
      </c>
    </row>
    <row r="992">
      <c r="A992" t="n">
        <v>2000789</v>
      </c>
      <c r="B992" t="n">
        <v>2</v>
      </c>
      <c r="C992" t="n">
        <v>789</v>
      </c>
      <c r="D992" t="n">
        <v>-0.3833</v>
      </c>
      <c r="E992" t="n">
        <v>9.872199999999999</v>
      </c>
      <c r="F992" t="n">
        <v>0.08953</v>
      </c>
    </row>
    <row r="993">
      <c r="A993" t="n">
        <v>2000790</v>
      </c>
      <c r="B993" t="n">
        <v>2</v>
      </c>
      <c r="C993" t="n">
        <v>790</v>
      </c>
      <c r="D993" t="n">
        <v>-0.3833</v>
      </c>
      <c r="E993" t="n">
        <v>9.891500000000001</v>
      </c>
      <c r="F993" t="n">
        <v>0.08952</v>
      </c>
    </row>
    <row r="994">
      <c r="A994" t="n">
        <v>2000791</v>
      </c>
      <c r="B994" t="n">
        <v>2</v>
      </c>
      <c r="C994" t="n">
        <v>791</v>
      </c>
      <c r="D994" t="n">
        <v>-0.3833</v>
      </c>
      <c r="E994" t="n">
        <v>9.9109</v>
      </c>
      <c r="F994" t="n">
        <v>0.08951000000000001</v>
      </c>
    </row>
    <row r="995">
      <c r="A995" t="n">
        <v>2000792</v>
      </c>
      <c r="B995" t="n">
        <v>2</v>
      </c>
      <c r="C995" t="n">
        <v>792</v>
      </c>
      <c r="D995" t="n">
        <v>-0.3833</v>
      </c>
      <c r="E995" t="n">
        <v>9.930300000000001</v>
      </c>
      <c r="F995" t="n">
        <v>0.0895</v>
      </c>
    </row>
    <row r="996">
      <c r="A996" t="n">
        <v>2000793</v>
      </c>
      <c r="B996" t="n">
        <v>2</v>
      </c>
      <c r="C996" t="n">
        <v>793</v>
      </c>
      <c r="D996" t="n">
        <v>-0.3833</v>
      </c>
      <c r="E996" t="n">
        <v>9.9499</v>
      </c>
      <c r="F996" t="n">
        <v>0.08948</v>
      </c>
    </row>
    <row r="997">
      <c r="A997" t="n">
        <v>2000794</v>
      </c>
      <c r="B997" t="n">
        <v>2</v>
      </c>
      <c r="C997" t="n">
        <v>794</v>
      </c>
      <c r="D997" t="n">
        <v>-0.3833</v>
      </c>
      <c r="E997" t="n">
        <v>9.9695</v>
      </c>
      <c r="F997" t="n">
        <v>0.08946999999999999</v>
      </c>
    </row>
    <row r="998">
      <c r="A998" t="n">
        <v>2000795</v>
      </c>
      <c r="B998" t="n">
        <v>2</v>
      </c>
      <c r="C998" t="n">
        <v>795</v>
      </c>
      <c r="D998" t="n">
        <v>-0.3833</v>
      </c>
      <c r="E998" t="n">
        <v>9.9892</v>
      </c>
      <c r="F998" t="n">
        <v>0.08946</v>
      </c>
    </row>
    <row r="999">
      <c r="A999" t="n">
        <v>2000796</v>
      </c>
      <c r="B999" t="n">
        <v>2</v>
      </c>
      <c r="C999" t="n">
        <v>796</v>
      </c>
      <c r="D999" t="n">
        <v>-0.3833</v>
      </c>
      <c r="E999" t="n">
        <v>10.009</v>
      </c>
      <c r="F999" t="n">
        <v>0.08945</v>
      </c>
    </row>
    <row r="1000">
      <c r="A1000" t="n">
        <v>2000797</v>
      </c>
      <c r="B1000" t="n">
        <v>2</v>
      </c>
      <c r="C1000" t="n">
        <v>797</v>
      </c>
      <c r="D1000" t="n">
        <v>-0.3833</v>
      </c>
      <c r="E1000" t="n">
        <v>10.0289</v>
      </c>
      <c r="F1000" t="n">
        <v>0.08943</v>
      </c>
    </row>
    <row r="1001">
      <c r="A1001" t="n">
        <v>2000798</v>
      </c>
      <c r="B1001" t="n">
        <v>2</v>
      </c>
      <c r="C1001" t="n">
        <v>798</v>
      </c>
      <c r="D1001" t="n">
        <v>-0.3833</v>
      </c>
      <c r="E1001" t="n">
        <v>10.0489</v>
      </c>
      <c r="F1001" t="n">
        <v>0.08942</v>
      </c>
    </row>
    <row r="1002">
      <c r="A1002" t="n">
        <v>2000799</v>
      </c>
      <c r="B1002" t="n">
        <v>2</v>
      </c>
      <c r="C1002" t="n">
        <v>799</v>
      </c>
      <c r="D1002" t="n">
        <v>-0.3833</v>
      </c>
      <c r="E1002" t="n">
        <v>10.069</v>
      </c>
      <c r="F1002" t="n">
        <v>0.08941</v>
      </c>
    </row>
    <row r="1003">
      <c r="A1003" t="n">
        <v>2000800</v>
      </c>
      <c r="B1003" t="n">
        <v>2</v>
      </c>
      <c r="C1003" t="n">
        <v>800</v>
      </c>
      <c r="D1003" t="n">
        <v>-0.3833</v>
      </c>
      <c r="E1003" t="n">
        <v>10.0891</v>
      </c>
      <c r="F1003" t="n">
        <v>0.08939999999999999</v>
      </c>
    </row>
    <row r="1004">
      <c r="A1004" t="n">
        <v>2000801</v>
      </c>
      <c r="B1004" t="n">
        <v>2</v>
      </c>
      <c r="C1004" t="n">
        <v>801</v>
      </c>
      <c r="D1004" t="n">
        <v>-0.3833</v>
      </c>
      <c r="E1004" t="n">
        <v>10.1094</v>
      </c>
      <c r="F1004" t="n">
        <v>0.08939</v>
      </c>
    </row>
    <row r="1005">
      <c r="A1005" t="n">
        <v>2000802</v>
      </c>
      <c r="B1005" t="n">
        <v>2</v>
      </c>
      <c r="C1005" t="n">
        <v>802</v>
      </c>
      <c r="D1005" t="n">
        <v>-0.3833</v>
      </c>
      <c r="E1005" t="n">
        <v>10.1298</v>
      </c>
      <c r="F1005" t="n">
        <v>0.08937</v>
      </c>
    </row>
    <row r="1006">
      <c r="A1006" t="n">
        <v>2000803</v>
      </c>
      <c r="B1006" t="n">
        <v>2</v>
      </c>
      <c r="C1006" t="n">
        <v>803</v>
      </c>
      <c r="D1006" t="n">
        <v>-0.3833</v>
      </c>
      <c r="E1006" t="n">
        <v>10.1503</v>
      </c>
      <c r="F1006" t="n">
        <v>0.08935999999999999</v>
      </c>
    </row>
    <row r="1007">
      <c r="A1007" t="n">
        <v>2000804</v>
      </c>
      <c r="B1007" t="n">
        <v>2</v>
      </c>
      <c r="C1007" t="n">
        <v>804</v>
      </c>
      <c r="D1007" t="n">
        <v>-0.3833</v>
      </c>
      <c r="E1007" t="n">
        <v>10.1709</v>
      </c>
      <c r="F1007" t="n">
        <v>0.08935</v>
      </c>
    </row>
    <row r="1008">
      <c r="A1008" t="n">
        <v>2000805</v>
      </c>
      <c r="B1008" t="n">
        <v>2</v>
      </c>
      <c r="C1008" t="n">
        <v>805</v>
      </c>
      <c r="D1008" t="n">
        <v>-0.3833</v>
      </c>
      <c r="E1008" t="n">
        <v>10.1916</v>
      </c>
      <c r="F1008" t="n">
        <v>0.08934</v>
      </c>
    </row>
    <row r="1009">
      <c r="A1009" t="n">
        <v>2000806</v>
      </c>
      <c r="B1009" t="n">
        <v>2</v>
      </c>
      <c r="C1009" t="n">
        <v>806</v>
      </c>
      <c r="D1009" t="n">
        <v>-0.3833</v>
      </c>
      <c r="E1009" t="n">
        <v>10.2123</v>
      </c>
      <c r="F1009" t="n">
        <v>0.08933000000000001</v>
      </c>
    </row>
    <row r="1010">
      <c r="A1010" t="n">
        <v>2000807</v>
      </c>
      <c r="B1010" t="n">
        <v>2</v>
      </c>
      <c r="C1010" t="n">
        <v>807</v>
      </c>
      <c r="D1010" t="n">
        <v>-0.3833</v>
      </c>
      <c r="E1010" t="n">
        <v>10.2332</v>
      </c>
      <c r="F1010" t="n">
        <v>0.08932</v>
      </c>
    </row>
    <row r="1011">
      <c r="A1011" t="n">
        <v>2000808</v>
      </c>
      <c r="B1011" t="n">
        <v>2</v>
      </c>
      <c r="C1011" t="n">
        <v>808</v>
      </c>
      <c r="D1011" t="n">
        <v>-0.3833</v>
      </c>
      <c r="E1011" t="n">
        <v>10.2542</v>
      </c>
      <c r="F1011" t="n">
        <v>0.0893</v>
      </c>
    </row>
    <row r="1012">
      <c r="A1012" t="n">
        <v>2000809</v>
      </c>
      <c r="B1012" t="n">
        <v>2</v>
      </c>
      <c r="C1012" t="n">
        <v>809</v>
      </c>
      <c r="D1012" t="n">
        <v>-0.3833</v>
      </c>
      <c r="E1012" t="n">
        <v>10.2753</v>
      </c>
      <c r="F1012" t="n">
        <v>0.08928999999999999</v>
      </c>
    </row>
    <row r="1013">
      <c r="A1013" t="n">
        <v>2000810</v>
      </c>
      <c r="B1013" t="n">
        <v>2</v>
      </c>
      <c r="C1013" t="n">
        <v>810</v>
      </c>
      <c r="D1013" t="n">
        <v>-0.3833</v>
      </c>
      <c r="E1013" t="n">
        <v>10.2965</v>
      </c>
      <c r="F1013" t="n">
        <v>0.08928</v>
      </c>
    </row>
    <row r="1014">
      <c r="A1014" t="n">
        <v>2000811</v>
      </c>
      <c r="B1014" t="n">
        <v>2</v>
      </c>
      <c r="C1014" t="n">
        <v>811</v>
      </c>
      <c r="D1014" t="n">
        <v>-0.3833</v>
      </c>
      <c r="E1014" t="n">
        <v>10.3178</v>
      </c>
      <c r="F1014" t="n">
        <v>0.08927</v>
      </c>
    </row>
    <row r="1015">
      <c r="A1015" t="n">
        <v>2000812</v>
      </c>
      <c r="B1015" t="n">
        <v>2</v>
      </c>
      <c r="C1015" t="n">
        <v>812</v>
      </c>
      <c r="D1015" t="n">
        <v>-0.3833</v>
      </c>
      <c r="E1015" t="n">
        <v>10.3393</v>
      </c>
      <c r="F1015" t="n">
        <v>0.08926000000000001</v>
      </c>
    </row>
    <row r="1016">
      <c r="A1016" t="n">
        <v>2000813</v>
      </c>
      <c r="B1016" t="n">
        <v>2</v>
      </c>
      <c r="C1016" t="n">
        <v>813</v>
      </c>
      <c r="D1016" t="n">
        <v>-0.3833</v>
      </c>
      <c r="E1016" t="n">
        <v>10.3608</v>
      </c>
      <c r="F1016" t="n">
        <v>0.08925</v>
      </c>
    </row>
    <row r="1017">
      <c r="A1017" t="n">
        <v>2000814</v>
      </c>
      <c r="B1017" t="n">
        <v>2</v>
      </c>
      <c r="C1017" t="n">
        <v>814</v>
      </c>
      <c r="D1017" t="n">
        <v>-0.3833</v>
      </c>
      <c r="E1017" t="n">
        <v>10.3824</v>
      </c>
      <c r="F1017" t="n">
        <v>0.08924</v>
      </c>
    </row>
    <row r="1018">
      <c r="A1018" t="n">
        <v>2000815</v>
      </c>
      <c r="B1018" t="n">
        <v>2</v>
      </c>
      <c r="C1018" t="n">
        <v>815</v>
      </c>
      <c r="D1018" t="n">
        <v>-0.3833</v>
      </c>
      <c r="E1018" t="n">
        <v>10.4041</v>
      </c>
      <c r="F1018" t="n">
        <v>0.08923</v>
      </c>
    </row>
    <row r="1019">
      <c r="A1019" t="n">
        <v>2000816</v>
      </c>
      <c r="B1019" t="n">
        <v>2</v>
      </c>
      <c r="C1019" t="n">
        <v>816</v>
      </c>
      <c r="D1019" t="n">
        <v>-0.3833</v>
      </c>
      <c r="E1019" t="n">
        <v>10.4258</v>
      </c>
      <c r="F1019" t="n">
        <v>0.08921999999999999</v>
      </c>
    </row>
    <row r="1020">
      <c r="A1020" t="n">
        <v>2000817</v>
      </c>
      <c r="B1020" t="n">
        <v>2</v>
      </c>
      <c r="C1020" t="n">
        <v>817</v>
      </c>
      <c r="D1020" t="n">
        <v>-0.3833</v>
      </c>
      <c r="E1020" t="n">
        <v>10.4477</v>
      </c>
      <c r="F1020" t="n">
        <v>0.08921</v>
      </c>
    </row>
    <row r="1021">
      <c r="A1021" t="n">
        <v>2000818</v>
      </c>
      <c r="B1021" t="n">
        <v>2</v>
      </c>
      <c r="C1021" t="n">
        <v>818</v>
      </c>
      <c r="D1021" t="n">
        <v>-0.3833</v>
      </c>
      <c r="E1021" t="n">
        <v>10.4697</v>
      </c>
      <c r="F1021" t="n">
        <v>0.0892</v>
      </c>
    </row>
    <row r="1022">
      <c r="A1022" t="n">
        <v>2000819</v>
      </c>
      <c r="B1022" t="n">
        <v>2</v>
      </c>
      <c r="C1022" t="n">
        <v>819</v>
      </c>
      <c r="D1022" t="n">
        <v>-0.3833</v>
      </c>
      <c r="E1022" t="n">
        <v>10.4918</v>
      </c>
      <c r="F1022" t="n">
        <v>0.08919000000000001</v>
      </c>
    </row>
    <row r="1023">
      <c r="A1023" t="n">
        <v>2000820</v>
      </c>
      <c r="B1023" t="n">
        <v>2</v>
      </c>
      <c r="C1023" t="n">
        <v>820</v>
      </c>
      <c r="D1023" t="n">
        <v>-0.3833</v>
      </c>
      <c r="E1023" t="n">
        <v>10.514</v>
      </c>
      <c r="F1023" t="n">
        <v>0.08918</v>
      </c>
    </row>
    <row r="1024">
      <c r="A1024" t="n">
        <v>2000821</v>
      </c>
      <c r="B1024" t="n">
        <v>2</v>
      </c>
      <c r="C1024" t="n">
        <v>821</v>
      </c>
      <c r="D1024" t="n">
        <v>-0.3833</v>
      </c>
      <c r="E1024" t="n">
        <v>10.5363</v>
      </c>
      <c r="F1024" t="n">
        <v>0.08917</v>
      </c>
    </row>
    <row r="1025">
      <c r="A1025" t="n">
        <v>2000822</v>
      </c>
      <c r="B1025" t="n">
        <v>2</v>
      </c>
      <c r="C1025" t="n">
        <v>822</v>
      </c>
      <c r="D1025" t="n">
        <v>-0.3833</v>
      </c>
      <c r="E1025" t="n">
        <v>10.5586</v>
      </c>
      <c r="F1025" t="n">
        <v>0.08916</v>
      </c>
    </row>
    <row r="1026">
      <c r="A1026" t="n">
        <v>2000823</v>
      </c>
      <c r="B1026" t="n">
        <v>2</v>
      </c>
      <c r="C1026" t="n">
        <v>823</v>
      </c>
      <c r="D1026" t="n">
        <v>-0.3833</v>
      </c>
      <c r="E1026" t="n">
        <v>10.5811</v>
      </c>
      <c r="F1026" t="n">
        <v>0.08914999999999999</v>
      </c>
    </row>
    <row r="1027">
      <c r="A1027" t="n">
        <v>2000824</v>
      </c>
      <c r="B1027" t="n">
        <v>2</v>
      </c>
      <c r="C1027" t="n">
        <v>824</v>
      </c>
      <c r="D1027" t="n">
        <v>-0.3833</v>
      </c>
      <c r="E1027" t="n">
        <v>10.6037</v>
      </c>
      <c r="F1027" t="n">
        <v>0.08914999999999999</v>
      </c>
    </row>
    <row r="1028">
      <c r="A1028" t="n">
        <v>2000825</v>
      </c>
      <c r="B1028" t="n">
        <v>2</v>
      </c>
      <c r="C1028" t="n">
        <v>825</v>
      </c>
      <c r="D1028" t="n">
        <v>-0.3833</v>
      </c>
      <c r="E1028" t="n">
        <v>10.6263</v>
      </c>
      <c r="F1028" t="n">
        <v>0.08914</v>
      </c>
    </row>
    <row r="1029">
      <c r="A1029" t="n">
        <v>2000826</v>
      </c>
      <c r="B1029" t="n">
        <v>2</v>
      </c>
      <c r="C1029" t="n">
        <v>826</v>
      </c>
      <c r="D1029" t="n">
        <v>-0.3833</v>
      </c>
      <c r="E1029" t="n">
        <v>10.6491</v>
      </c>
      <c r="F1029" t="n">
        <v>0.08913</v>
      </c>
    </row>
    <row r="1030">
      <c r="A1030" t="n">
        <v>2000827</v>
      </c>
      <c r="B1030" t="n">
        <v>2</v>
      </c>
      <c r="C1030" t="n">
        <v>827</v>
      </c>
      <c r="D1030" t="n">
        <v>-0.3833</v>
      </c>
      <c r="E1030" t="n">
        <v>10.6719</v>
      </c>
      <c r="F1030" t="n">
        <v>0.08912</v>
      </c>
    </row>
    <row r="1031">
      <c r="A1031" t="n">
        <v>2000828</v>
      </c>
      <c r="B1031" t="n">
        <v>2</v>
      </c>
      <c r="C1031" t="n">
        <v>828</v>
      </c>
      <c r="D1031" t="n">
        <v>-0.3833</v>
      </c>
      <c r="E1031" t="n">
        <v>10.6948</v>
      </c>
      <c r="F1031" t="n">
        <v>0.08910999999999999</v>
      </c>
    </row>
    <row r="1032">
      <c r="A1032" t="n">
        <v>2000829</v>
      </c>
      <c r="B1032" t="n">
        <v>2</v>
      </c>
      <c r="C1032" t="n">
        <v>829</v>
      </c>
      <c r="D1032" t="n">
        <v>-0.3833</v>
      </c>
      <c r="E1032" t="n">
        <v>10.7178</v>
      </c>
      <c r="F1032" t="n">
        <v>0.0891</v>
      </c>
    </row>
    <row r="1033">
      <c r="A1033" t="n">
        <v>2000830</v>
      </c>
      <c r="B1033" t="n">
        <v>2</v>
      </c>
      <c r="C1033" t="n">
        <v>830</v>
      </c>
      <c r="D1033" t="n">
        <v>-0.3833</v>
      </c>
      <c r="E1033" t="n">
        <v>10.741</v>
      </c>
      <c r="F1033" t="n">
        <v>0.0891</v>
      </c>
    </row>
    <row r="1034">
      <c r="A1034" t="n">
        <v>2000831</v>
      </c>
      <c r="B1034" t="n">
        <v>2</v>
      </c>
      <c r="C1034" t="n">
        <v>831</v>
      </c>
      <c r="D1034" t="n">
        <v>-0.3833</v>
      </c>
      <c r="E1034" t="n">
        <v>10.7641</v>
      </c>
      <c r="F1034" t="n">
        <v>0.08909</v>
      </c>
    </row>
    <row r="1035">
      <c r="A1035" t="n">
        <v>2000832</v>
      </c>
      <c r="B1035" t="n">
        <v>2</v>
      </c>
      <c r="C1035" t="n">
        <v>832</v>
      </c>
      <c r="D1035" t="n">
        <v>-0.3833</v>
      </c>
      <c r="E1035" t="n">
        <v>10.7874</v>
      </c>
      <c r="F1035" t="n">
        <v>0.08908000000000001</v>
      </c>
    </row>
    <row r="1036">
      <c r="A1036" t="n">
        <v>2000833</v>
      </c>
      <c r="B1036" t="n">
        <v>2</v>
      </c>
      <c r="C1036" t="n">
        <v>833</v>
      </c>
      <c r="D1036" t="n">
        <v>-0.3833</v>
      </c>
      <c r="E1036" t="n">
        <v>10.8108</v>
      </c>
      <c r="F1036" t="n">
        <v>0.08907</v>
      </c>
    </row>
    <row r="1037">
      <c r="A1037" t="n">
        <v>2000834</v>
      </c>
      <c r="B1037" t="n">
        <v>2</v>
      </c>
      <c r="C1037" t="n">
        <v>834</v>
      </c>
      <c r="D1037" t="n">
        <v>-0.3833</v>
      </c>
      <c r="E1037" t="n">
        <v>10.8343</v>
      </c>
      <c r="F1037" t="n">
        <v>0.08907</v>
      </c>
    </row>
    <row r="1038">
      <c r="A1038" t="n">
        <v>2000835</v>
      </c>
      <c r="B1038" t="n">
        <v>2</v>
      </c>
      <c r="C1038" t="n">
        <v>835</v>
      </c>
      <c r="D1038" t="n">
        <v>-0.3833</v>
      </c>
      <c r="E1038" t="n">
        <v>10.8578</v>
      </c>
      <c r="F1038" t="n">
        <v>0.08906</v>
      </c>
    </row>
    <row r="1039">
      <c r="A1039" t="n">
        <v>2000836</v>
      </c>
      <c r="B1039" t="n">
        <v>2</v>
      </c>
      <c r="C1039" t="n">
        <v>836</v>
      </c>
      <c r="D1039" t="n">
        <v>-0.3833</v>
      </c>
      <c r="E1039" t="n">
        <v>10.8814</v>
      </c>
      <c r="F1039" t="n">
        <v>0.08905</v>
      </c>
    </row>
    <row r="1040">
      <c r="A1040" t="n">
        <v>2000837</v>
      </c>
      <c r="B1040" t="n">
        <v>2</v>
      </c>
      <c r="C1040" t="n">
        <v>837</v>
      </c>
      <c r="D1040" t="n">
        <v>-0.3833</v>
      </c>
      <c r="E1040" t="n">
        <v>10.9051</v>
      </c>
      <c r="F1040" t="n">
        <v>0.08905</v>
      </c>
    </row>
    <row r="1041">
      <c r="A1041" t="n">
        <v>2000838</v>
      </c>
      <c r="B1041" t="n">
        <v>2</v>
      </c>
      <c r="C1041" t="n">
        <v>838</v>
      </c>
      <c r="D1041" t="n">
        <v>-0.3833</v>
      </c>
      <c r="E1041" t="n">
        <v>10.9289</v>
      </c>
      <c r="F1041" t="n">
        <v>0.08903999999999999</v>
      </c>
    </row>
    <row r="1042">
      <c r="A1042" t="n">
        <v>2000839</v>
      </c>
      <c r="B1042" t="n">
        <v>2</v>
      </c>
      <c r="C1042" t="n">
        <v>839</v>
      </c>
      <c r="D1042" t="n">
        <v>-0.3833</v>
      </c>
      <c r="E1042" t="n">
        <v>10.9527</v>
      </c>
      <c r="F1042" t="n">
        <v>0.08903</v>
      </c>
    </row>
    <row r="1043">
      <c r="A1043" t="n">
        <v>2000840</v>
      </c>
      <c r="B1043" t="n">
        <v>2</v>
      </c>
      <c r="C1043" t="n">
        <v>840</v>
      </c>
      <c r="D1043" t="n">
        <v>-0.3833</v>
      </c>
      <c r="E1043" t="n">
        <v>10.9767</v>
      </c>
      <c r="F1043" t="n">
        <v>0.08903</v>
      </c>
    </row>
    <row r="1044">
      <c r="A1044" t="n">
        <v>2000841</v>
      </c>
      <c r="B1044" t="n">
        <v>2</v>
      </c>
      <c r="C1044" t="n">
        <v>841</v>
      </c>
      <c r="D1044" t="n">
        <v>-0.3833</v>
      </c>
      <c r="E1044" t="n">
        <v>11.0007</v>
      </c>
      <c r="F1044" t="n">
        <v>0.08902</v>
      </c>
    </row>
    <row r="1045">
      <c r="A1045" t="n">
        <v>2000842</v>
      </c>
      <c r="B1045" t="n">
        <v>2</v>
      </c>
      <c r="C1045" t="n">
        <v>842</v>
      </c>
      <c r="D1045" t="n">
        <v>-0.3833</v>
      </c>
      <c r="E1045" t="n">
        <v>11.0248</v>
      </c>
      <c r="F1045" t="n">
        <v>0.08902</v>
      </c>
    </row>
    <row r="1046">
      <c r="A1046" t="n">
        <v>2000843</v>
      </c>
      <c r="B1046" t="n">
        <v>2</v>
      </c>
      <c r="C1046" t="n">
        <v>843</v>
      </c>
      <c r="D1046" t="n">
        <v>-0.3833</v>
      </c>
      <c r="E1046" t="n">
        <v>11.0489</v>
      </c>
      <c r="F1046" t="n">
        <v>0.08901000000000001</v>
      </c>
    </row>
    <row r="1047">
      <c r="A1047" t="n">
        <v>2000844</v>
      </c>
      <c r="B1047" t="n">
        <v>2</v>
      </c>
      <c r="C1047" t="n">
        <v>844</v>
      </c>
      <c r="D1047" t="n">
        <v>-0.3833</v>
      </c>
      <c r="E1047" t="n">
        <v>11.0731</v>
      </c>
      <c r="F1047" t="n">
        <v>0.08901000000000001</v>
      </c>
    </row>
    <row r="1048">
      <c r="A1048" t="n">
        <v>2000845</v>
      </c>
      <c r="B1048" t="n">
        <v>2</v>
      </c>
      <c r="C1048" t="n">
        <v>845</v>
      </c>
      <c r="D1048" t="n">
        <v>-0.3833</v>
      </c>
      <c r="E1048" t="n">
        <v>11.0974</v>
      </c>
      <c r="F1048" t="n">
        <v>0.089</v>
      </c>
    </row>
    <row r="1049">
      <c r="A1049" t="n">
        <v>2000846</v>
      </c>
      <c r="B1049" t="n">
        <v>2</v>
      </c>
      <c r="C1049" t="n">
        <v>846</v>
      </c>
      <c r="D1049" t="n">
        <v>-0.3833</v>
      </c>
      <c r="E1049" t="n">
        <v>11.1218</v>
      </c>
      <c r="F1049" t="n">
        <v>0.089</v>
      </c>
    </row>
    <row r="1050">
      <c r="A1050" t="n">
        <v>2000847</v>
      </c>
      <c r="B1050" t="n">
        <v>2</v>
      </c>
      <c r="C1050" t="n">
        <v>847</v>
      </c>
      <c r="D1050" t="n">
        <v>-0.3833</v>
      </c>
      <c r="E1050" t="n">
        <v>11.1462</v>
      </c>
      <c r="F1050" t="n">
        <v>0.08899</v>
      </c>
    </row>
    <row r="1051">
      <c r="A1051" t="n">
        <v>2000848</v>
      </c>
      <c r="B1051" t="n">
        <v>2</v>
      </c>
      <c r="C1051" t="n">
        <v>848</v>
      </c>
      <c r="D1051" t="n">
        <v>-0.3833</v>
      </c>
      <c r="E1051" t="n">
        <v>11.1707</v>
      </c>
      <c r="F1051" t="n">
        <v>0.08899</v>
      </c>
    </row>
    <row r="1052">
      <c r="A1052" t="n">
        <v>2000849</v>
      </c>
      <c r="B1052" t="n">
        <v>2</v>
      </c>
      <c r="C1052" t="n">
        <v>849</v>
      </c>
      <c r="D1052" t="n">
        <v>-0.3833</v>
      </c>
      <c r="E1052" t="n">
        <v>11.1952</v>
      </c>
      <c r="F1052" t="n">
        <v>0.08899</v>
      </c>
    </row>
    <row r="1053">
      <c r="A1053" t="n">
        <v>2000850</v>
      </c>
      <c r="B1053" t="n">
        <v>2</v>
      </c>
      <c r="C1053" t="n">
        <v>850</v>
      </c>
      <c r="D1053" t="n">
        <v>-0.3833</v>
      </c>
      <c r="E1053" t="n">
        <v>11.2198</v>
      </c>
      <c r="F1053" t="n">
        <v>0.08898</v>
      </c>
    </row>
    <row r="1054">
      <c r="A1054" t="n">
        <v>2000851</v>
      </c>
      <c r="B1054" t="n">
        <v>2</v>
      </c>
      <c r="C1054" t="n">
        <v>851</v>
      </c>
      <c r="D1054" t="n">
        <v>-0.3833</v>
      </c>
      <c r="E1054" t="n">
        <v>11.2444</v>
      </c>
      <c r="F1054" t="n">
        <v>0.08898</v>
      </c>
    </row>
    <row r="1055">
      <c r="A1055" t="n">
        <v>2000852</v>
      </c>
      <c r="B1055" t="n">
        <v>2</v>
      </c>
      <c r="C1055" t="n">
        <v>852</v>
      </c>
      <c r="D1055" t="n">
        <v>-0.3833</v>
      </c>
      <c r="E1055" t="n">
        <v>11.2691</v>
      </c>
      <c r="F1055" t="n">
        <v>0.08896999999999999</v>
      </c>
    </row>
    <row r="1056">
      <c r="A1056" t="n">
        <v>2000853</v>
      </c>
      <c r="B1056" t="n">
        <v>2</v>
      </c>
      <c r="C1056" t="n">
        <v>853</v>
      </c>
      <c r="D1056" t="n">
        <v>-0.3833</v>
      </c>
      <c r="E1056" t="n">
        <v>11.2939</v>
      </c>
      <c r="F1056" t="n">
        <v>0.08896999999999999</v>
      </c>
    </row>
    <row r="1057">
      <c r="A1057" t="n">
        <v>2000854</v>
      </c>
      <c r="B1057" t="n">
        <v>2</v>
      </c>
      <c r="C1057" t="n">
        <v>854</v>
      </c>
      <c r="D1057" t="n">
        <v>-0.3833</v>
      </c>
      <c r="E1057" t="n">
        <v>11.3187</v>
      </c>
      <c r="F1057" t="n">
        <v>0.08896999999999999</v>
      </c>
    </row>
    <row r="1058">
      <c r="A1058" t="n">
        <v>2000855</v>
      </c>
      <c r="B1058" t="n">
        <v>2</v>
      </c>
      <c r="C1058" t="n">
        <v>855</v>
      </c>
      <c r="D1058" t="n">
        <v>-0.3833</v>
      </c>
      <c r="E1058" t="n">
        <v>11.3435</v>
      </c>
      <c r="F1058" t="n">
        <v>0.08896999999999999</v>
      </c>
    </row>
    <row r="1059">
      <c r="A1059" t="n">
        <v>2000856</v>
      </c>
      <c r="B1059" t="n">
        <v>2</v>
      </c>
      <c r="C1059" t="n">
        <v>856</v>
      </c>
      <c r="D1059" t="n">
        <v>-0.3833</v>
      </c>
      <c r="E1059" t="n">
        <v>11.3684</v>
      </c>
      <c r="F1059" t="n">
        <v>0.08896</v>
      </c>
    </row>
    <row r="1060">
      <c r="A1060" t="n">
        <v>2000857</v>
      </c>
      <c r="B1060" t="n">
        <v>2</v>
      </c>
      <c r="C1060" t="n">
        <v>857</v>
      </c>
      <c r="D1060" t="n">
        <v>-0.3833</v>
      </c>
      <c r="E1060" t="n">
        <v>11.3934</v>
      </c>
      <c r="F1060" t="n">
        <v>0.08896</v>
      </c>
    </row>
    <row r="1061">
      <c r="A1061" t="n">
        <v>2000858</v>
      </c>
      <c r="B1061" t="n">
        <v>2</v>
      </c>
      <c r="C1061" t="n">
        <v>858</v>
      </c>
      <c r="D1061" t="n">
        <v>-0.3833</v>
      </c>
      <c r="E1061" t="n">
        <v>11.4183</v>
      </c>
      <c r="F1061" t="n">
        <v>0.08896</v>
      </c>
    </row>
    <row r="1062">
      <c r="A1062" t="n">
        <v>2000859</v>
      </c>
      <c r="B1062" t="n">
        <v>2</v>
      </c>
      <c r="C1062" t="n">
        <v>859</v>
      </c>
      <c r="D1062" t="n">
        <v>-0.3833</v>
      </c>
      <c r="E1062" t="n">
        <v>11.4434</v>
      </c>
      <c r="F1062" t="n">
        <v>0.08896</v>
      </c>
    </row>
    <row r="1063">
      <c r="A1063" t="n">
        <v>2000860</v>
      </c>
      <c r="B1063" t="n">
        <v>2</v>
      </c>
      <c r="C1063" t="n">
        <v>860</v>
      </c>
      <c r="D1063" t="n">
        <v>-0.3833</v>
      </c>
      <c r="E1063" t="n">
        <v>11.4684</v>
      </c>
      <c r="F1063" t="n">
        <v>0.08895</v>
      </c>
    </row>
    <row r="1064">
      <c r="A1064" t="n">
        <v>2000861</v>
      </c>
      <c r="B1064" t="n">
        <v>2</v>
      </c>
      <c r="C1064" t="n">
        <v>861</v>
      </c>
      <c r="D1064" t="n">
        <v>-0.3833</v>
      </c>
      <c r="E1064" t="n">
        <v>11.4935</v>
      </c>
      <c r="F1064" t="n">
        <v>0.08895</v>
      </c>
    </row>
    <row r="1065">
      <c r="A1065" t="n">
        <v>2000862</v>
      </c>
      <c r="B1065" t="n">
        <v>2</v>
      </c>
      <c r="C1065" t="n">
        <v>862</v>
      </c>
      <c r="D1065" t="n">
        <v>-0.3833</v>
      </c>
      <c r="E1065" t="n">
        <v>11.5186</v>
      </c>
      <c r="F1065" t="n">
        <v>0.08895</v>
      </c>
    </row>
    <row r="1066">
      <c r="A1066" t="n">
        <v>2000863</v>
      </c>
      <c r="B1066" t="n">
        <v>2</v>
      </c>
      <c r="C1066" t="n">
        <v>863</v>
      </c>
      <c r="D1066" t="n">
        <v>-0.3833</v>
      </c>
      <c r="E1066" t="n">
        <v>11.5437</v>
      </c>
      <c r="F1066" t="n">
        <v>0.08895</v>
      </c>
    </row>
    <row r="1067">
      <c r="A1067" t="n">
        <v>2000864</v>
      </c>
      <c r="B1067" t="n">
        <v>2</v>
      </c>
      <c r="C1067" t="n">
        <v>864</v>
      </c>
      <c r="D1067" t="n">
        <v>-0.3833</v>
      </c>
      <c r="E1067" t="n">
        <v>11.5689</v>
      </c>
      <c r="F1067" t="n">
        <v>0.08895</v>
      </c>
    </row>
    <row r="1068">
      <c r="A1068" t="n">
        <v>2000865</v>
      </c>
      <c r="B1068" t="n">
        <v>2</v>
      </c>
      <c r="C1068" t="n">
        <v>865</v>
      </c>
      <c r="D1068" t="n">
        <v>-0.3833</v>
      </c>
      <c r="E1068" t="n">
        <v>11.594</v>
      </c>
      <c r="F1068" t="n">
        <v>0.08895</v>
      </c>
    </row>
    <row r="1069">
      <c r="A1069" t="n">
        <v>2000866</v>
      </c>
      <c r="B1069" t="n">
        <v>2</v>
      </c>
      <c r="C1069" t="n">
        <v>866</v>
      </c>
      <c r="D1069" t="n">
        <v>-0.3833</v>
      </c>
      <c r="E1069" t="n">
        <v>11.6192</v>
      </c>
      <c r="F1069" t="n">
        <v>0.08895</v>
      </c>
    </row>
    <row r="1070">
      <c r="A1070" t="n">
        <v>2000867</v>
      </c>
      <c r="B1070" t="n">
        <v>2</v>
      </c>
      <c r="C1070" t="n">
        <v>867</v>
      </c>
      <c r="D1070" t="n">
        <v>-0.3833</v>
      </c>
      <c r="E1070" t="n">
        <v>11.6444</v>
      </c>
      <c r="F1070" t="n">
        <v>0.08895</v>
      </c>
    </row>
    <row r="1071">
      <c r="A1071" t="n">
        <v>2000868</v>
      </c>
      <c r="B1071" t="n">
        <v>2</v>
      </c>
      <c r="C1071" t="n">
        <v>868</v>
      </c>
      <c r="D1071" t="n">
        <v>-0.3833</v>
      </c>
      <c r="E1071" t="n">
        <v>11.6696</v>
      </c>
      <c r="F1071" t="n">
        <v>0.08895</v>
      </c>
    </row>
    <row r="1072">
      <c r="A1072" t="n">
        <v>2000869</v>
      </c>
      <c r="B1072" t="n">
        <v>2</v>
      </c>
      <c r="C1072" t="n">
        <v>869</v>
      </c>
      <c r="D1072" t="n">
        <v>-0.3833</v>
      </c>
      <c r="E1072" t="n">
        <v>11.6948</v>
      </c>
      <c r="F1072" t="n">
        <v>0.08895</v>
      </c>
    </row>
    <row r="1073">
      <c r="A1073" t="n">
        <v>2000870</v>
      </c>
      <c r="B1073" t="n">
        <v>2</v>
      </c>
      <c r="C1073" t="n">
        <v>870</v>
      </c>
      <c r="D1073" t="n">
        <v>-0.3833</v>
      </c>
      <c r="E1073" t="n">
        <v>11.7201</v>
      </c>
      <c r="F1073" t="n">
        <v>0.08895</v>
      </c>
    </row>
    <row r="1074">
      <c r="A1074" t="n">
        <v>2000871</v>
      </c>
      <c r="B1074" t="n">
        <v>2</v>
      </c>
      <c r="C1074" t="n">
        <v>871</v>
      </c>
      <c r="D1074" t="n">
        <v>-0.3833</v>
      </c>
      <c r="E1074" t="n">
        <v>11.7453</v>
      </c>
      <c r="F1074" t="n">
        <v>0.08895</v>
      </c>
    </row>
    <row r="1075">
      <c r="A1075" t="n">
        <v>2000872</v>
      </c>
      <c r="B1075" t="n">
        <v>2</v>
      </c>
      <c r="C1075" t="n">
        <v>872</v>
      </c>
      <c r="D1075" t="n">
        <v>-0.3833</v>
      </c>
      <c r="E1075" t="n">
        <v>11.7705</v>
      </c>
      <c r="F1075" t="n">
        <v>0.08895</v>
      </c>
    </row>
    <row r="1076">
      <c r="A1076" t="n">
        <v>2000873</v>
      </c>
      <c r="B1076" t="n">
        <v>2</v>
      </c>
      <c r="C1076" t="n">
        <v>873</v>
      </c>
      <c r="D1076" t="n">
        <v>-0.3833</v>
      </c>
      <c r="E1076" t="n">
        <v>11.7957</v>
      </c>
      <c r="F1076" t="n">
        <v>0.08895</v>
      </c>
    </row>
    <row r="1077">
      <c r="A1077" t="n">
        <v>2000874</v>
      </c>
      <c r="B1077" t="n">
        <v>2</v>
      </c>
      <c r="C1077" t="n">
        <v>874</v>
      </c>
      <c r="D1077" t="n">
        <v>-0.3833</v>
      </c>
      <c r="E1077" t="n">
        <v>11.8209</v>
      </c>
      <c r="F1077" t="n">
        <v>0.08895</v>
      </c>
    </row>
    <row r="1078">
      <c r="A1078" t="n">
        <v>2000875</v>
      </c>
      <c r="B1078" t="n">
        <v>2</v>
      </c>
      <c r="C1078" t="n">
        <v>875</v>
      </c>
      <c r="D1078" t="n">
        <v>-0.3833</v>
      </c>
      <c r="E1078" t="n">
        <v>11.8461</v>
      </c>
      <c r="F1078" t="n">
        <v>0.08895</v>
      </c>
    </row>
    <row r="1079">
      <c r="A1079" t="n">
        <v>2000876</v>
      </c>
      <c r="B1079" t="n">
        <v>2</v>
      </c>
      <c r="C1079" t="n">
        <v>876</v>
      </c>
      <c r="D1079" t="n">
        <v>-0.3833</v>
      </c>
      <c r="E1079" t="n">
        <v>11.8713</v>
      </c>
      <c r="F1079" t="n">
        <v>0.08896</v>
      </c>
    </row>
    <row r="1080">
      <c r="A1080" t="n">
        <v>2000877</v>
      </c>
      <c r="B1080" t="n">
        <v>2</v>
      </c>
      <c r="C1080" t="n">
        <v>877</v>
      </c>
      <c r="D1080" t="n">
        <v>-0.3833</v>
      </c>
      <c r="E1080" t="n">
        <v>11.8965</v>
      </c>
      <c r="F1080" t="n">
        <v>0.08896</v>
      </c>
    </row>
    <row r="1081">
      <c r="A1081" t="n">
        <v>2000878</v>
      </c>
      <c r="B1081" t="n">
        <v>2</v>
      </c>
      <c r="C1081" t="n">
        <v>878</v>
      </c>
      <c r="D1081" t="n">
        <v>-0.3833</v>
      </c>
      <c r="E1081" t="n">
        <v>11.9217</v>
      </c>
      <c r="F1081" t="n">
        <v>0.08896</v>
      </c>
    </row>
    <row r="1082">
      <c r="A1082" t="n">
        <v>2000879</v>
      </c>
      <c r="B1082" t="n">
        <v>2</v>
      </c>
      <c r="C1082" t="n">
        <v>879</v>
      </c>
      <c r="D1082" t="n">
        <v>-0.3833</v>
      </c>
      <c r="E1082" t="n">
        <v>11.9468</v>
      </c>
      <c r="F1082" t="n">
        <v>0.08896</v>
      </c>
    </row>
    <row r="1083">
      <c r="A1083" t="n">
        <v>2000880</v>
      </c>
      <c r="B1083" t="n">
        <v>2</v>
      </c>
      <c r="C1083" t="n">
        <v>880</v>
      </c>
      <c r="D1083" t="n">
        <v>-0.3833</v>
      </c>
      <c r="E1083" t="n">
        <v>11.972</v>
      </c>
      <c r="F1083" t="n">
        <v>0.08896</v>
      </c>
    </row>
    <row r="1084">
      <c r="A1084" t="n">
        <v>2000881</v>
      </c>
      <c r="B1084" t="n">
        <v>2</v>
      </c>
      <c r="C1084" t="n">
        <v>881</v>
      </c>
      <c r="D1084" t="n">
        <v>-0.3833</v>
      </c>
      <c r="E1084" t="n">
        <v>11.9971</v>
      </c>
      <c r="F1084" t="n">
        <v>0.08896999999999999</v>
      </c>
    </row>
    <row r="1085">
      <c r="A1085" t="n">
        <v>2000882</v>
      </c>
      <c r="B1085" t="n">
        <v>2</v>
      </c>
      <c r="C1085" t="n">
        <v>882</v>
      </c>
      <c r="D1085" t="n">
        <v>-0.3833</v>
      </c>
      <c r="E1085" t="n">
        <v>12.0223</v>
      </c>
      <c r="F1085" t="n">
        <v>0.08896999999999999</v>
      </c>
    </row>
    <row r="1086">
      <c r="A1086" t="n">
        <v>2000883</v>
      </c>
      <c r="B1086" t="n">
        <v>2</v>
      </c>
      <c r="C1086" t="n">
        <v>883</v>
      </c>
      <c r="D1086" t="n">
        <v>-0.3833</v>
      </c>
      <c r="E1086" t="n">
        <v>12.0474</v>
      </c>
      <c r="F1086" t="n">
        <v>0.08896999999999999</v>
      </c>
    </row>
    <row r="1087">
      <c r="A1087" t="n">
        <v>2000884</v>
      </c>
      <c r="B1087" t="n">
        <v>2</v>
      </c>
      <c r="C1087" t="n">
        <v>884</v>
      </c>
      <c r="D1087" t="n">
        <v>-0.3833</v>
      </c>
      <c r="E1087" t="n">
        <v>12.0725</v>
      </c>
      <c r="F1087" t="n">
        <v>0.08898</v>
      </c>
    </row>
    <row r="1088">
      <c r="A1088" t="n">
        <v>2000885</v>
      </c>
      <c r="B1088" t="n">
        <v>2</v>
      </c>
      <c r="C1088" t="n">
        <v>885</v>
      </c>
      <c r="D1088" t="n">
        <v>-0.3833</v>
      </c>
      <c r="E1088" t="n">
        <v>12.0976</v>
      </c>
      <c r="F1088" t="n">
        <v>0.08898</v>
      </c>
    </row>
    <row r="1089">
      <c r="A1089" t="n">
        <v>2000886</v>
      </c>
      <c r="B1089" t="n">
        <v>2</v>
      </c>
      <c r="C1089" t="n">
        <v>886</v>
      </c>
      <c r="D1089" t="n">
        <v>-0.3833</v>
      </c>
      <c r="E1089" t="n">
        <v>12.1227</v>
      </c>
      <c r="F1089" t="n">
        <v>0.08898</v>
      </c>
    </row>
    <row r="1090">
      <c r="A1090" t="n">
        <v>2000887</v>
      </c>
      <c r="B1090" t="n">
        <v>2</v>
      </c>
      <c r="C1090" t="n">
        <v>887</v>
      </c>
      <c r="D1090" t="n">
        <v>-0.3833</v>
      </c>
      <c r="E1090" t="n">
        <v>12.1478</v>
      </c>
      <c r="F1090" t="n">
        <v>0.08899</v>
      </c>
    </row>
    <row r="1091">
      <c r="A1091" t="n">
        <v>2000888</v>
      </c>
      <c r="B1091" t="n">
        <v>2</v>
      </c>
      <c r="C1091" t="n">
        <v>888</v>
      </c>
      <c r="D1091" t="n">
        <v>-0.3833</v>
      </c>
      <c r="E1091" t="n">
        <v>12.1728</v>
      </c>
      <c r="F1091" t="n">
        <v>0.08899</v>
      </c>
    </row>
    <row r="1092">
      <c r="A1092" t="n">
        <v>2000889</v>
      </c>
      <c r="B1092" t="n">
        <v>2</v>
      </c>
      <c r="C1092" t="n">
        <v>889</v>
      </c>
      <c r="D1092" t="n">
        <v>-0.3833</v>
      </c>
      <c r="E1092" t="n">
        <v>12.1978</v>
      </c>
      <c r="F1092" t="n">
        <v>0.089</v>
      </c>
    </row>
    <row r="1093">
      <c r="A1093" t="n">
        <v>2000890</v>
      </c>
      <c r="B1093" t="n">
        <v>2</v>
      </c>
      <c r="C1093" t="n">
        <v>890</v>
      </c>
      <c r="D1093" t="n">
        <v>-0.3833</v>
      </c>
      <c r="E1093" t="n">
        <v>12.2229</v>
      </c>
      <c r="F1093" t="n">
        <v>0.089</v>
      </c>
    </row>
    <row r="1094">
      <c r="A1094" t="n">
        <v>2000891</v>
      </c>
      <c r="B1094" t="n">
        <v>2</v>
      </c>
      <c r="C1094" t="n">
        <v>891</v>
      </c>
      <c r="D1094" t="n">
        <v>-0.3833</v>
      </c>
      <c r="E1094" t="n">
        <v>12.2479</v>
      </c>
      <c r="F1094" t="n">
        <v>0.08901000000000001</v>
      </c>
    </row>
    <row r="1095">
      <c r="A1095" t="n">
        <v>2000892</v>
      </c>
      <c r="B1095" t="n">
        <v>2</v>
      </c>
      <c r="C1095" t="n">
        <v>892</v>
      </c>
      <c r="D1095" t="n">
        <v>-0.3833</v>
      </c>
      <c r="E1095" t="n">
        <v>12.2729</v>
      </c>
      <c r="F1095" t="n">
        <v>0.08901000000000001</v>
      </c>
    </row>
    <row r="1096">
      <c r="A1096" t="n">
        <v>2000893</v>
      </c>
      <c r="B1096" t="n">
        <v>2</v>
      </c>
      <c r="C1096" t="n">
        <v>893</v>
      </c>
      <c r="D1096" t="n">
        <v>-0.3833</v>
      </c>
      <c r="E1096" t="n">
        <v>12.2978</v>
      </c>
      <c r="F1096" t="n">
        <v>0.08902</v>
      </c>
    </row>
    <row r="1097">
      <c r="A1097" t="n">
        <v>2000894</v>
      </c>
      <c r="B1097" t="n">
        <v>2</v>
      </c>
      <c r="C1097" t="n">
        <v>894</v>
      </c>
      <c r="D1097" t="n">
        <v>-0.3833</v>
      </c>
      <c r="E1097" t="n">
        <v>12.3228</v>
      </c>
      <c r="F1097" t="n">
        <v>0.08902</v>
      </c>
    </row>
    <row r="1098">
      <c r="A1098" t="n">
        <v>2000895</v>
      </c>
      <c r="B1098" t="n">
        <v>2</v>
      </c>
      <c r="C1098" t="n">
        <v>895</v>
      </c>
      <c r="D1098" t="n">
        <v>-0.3833</v>
      </c>
      <c r="E1098" t="n">
        <v>12.3477</v>
      </c>
      <c r="F1098" t="n">
        <v>0.08903</v>
      </c>
    </row>
    <row r="1099">
      <c r="A1099" t="n">
        <v>2000896</v>
      </c>
      <c r="B1099" t="n">
        <v>2</v>
      </c>
      <c r="C1099" t="n">
        <v>896</v>
      </c>
      <c r="D1099" t="n">
        <v>-0.3833</v>
      </c>
      <c r="E1099" t="n">
        <v>12.3727</v>
      </c>
      <c r="F1099" t="n">
        <v>0.08903</v>
      </c>
    </row>
    <row r="1100">
      <c r="A1100" t="n">
        <v>2000897</v>
      </c>
      <c r="B1100" t="n">
        <v>2</v>
      </c>
      <c r="C1100" t="n">
        <v>897</v>
      </c>
      <c r="D1100" t="n">
        <v>-0.3833</v>
      </c>
      <c r="E1100" t="n">
        <v>12.3976</v>
      </c>
      <c r="F1100" t="n">
        <v>0.08903999999999999</v>
      </c>
    </row>
    <row r="1101">
      <c r="A1101" t="n">
        <v>2000898</v>
      </c>
      <c r="B1101" t="n">
        <v>2</v>
      </c>
      <c r="C1101" t="n">
        <v>898</v>
      </c>
      <c r="D1101" t="n">
        <v>-0.3833</v>
      </c>
      <c r="E1101" t="n">
        <v>12.4225</v>
      </c>
      <c r="F1101" t="n">
        <v>0.08903999999999999</v>
      </c>
    </row>
    <row r="1102">
      <c r="A1102" t="n">
        <v>2000899</v>
      </c>
      <c r="B1102" t="n">
        <v>2</v>
      </c>
      <c r="C1102" t="n">
        <v>899</v>
      </c>
      <c r="D1102" t="n">
        <v>-0.3833</v>
      </c>
      <c r="E1102" t="n">
        <v>12.4474</v>
      </c>
      <c r="F1102" t="n">
        <v>0.08905</v>
      </c>
    </row>
    <row r="1103">
      <c r="A1103" t="n">
        <v>2000900</v>
      </c>
      <c r="B1103" t="n">
        <v>2</v>
      </c>
      <c r="C1103" t="n">
        <v>900</v>
      </c>
      <c r="D1103" t="n">
        <v>-0.3833</v>
      </c>
      <c r="E1103" t="n">
        <v>12.4723</v>
      </c>
      <c r="F1103" t="n">
        <v>0.08906</v>
      </c>
    </row>
    <row r="1104">
      <c r="A1104" t="n">
        <v>2000901</v>
      </c>
      <c r="B1104" t="n">
        <v>2</v>
      </c>
      <c r="C1104" t="n">
        <v>901</v>
      </c>
      <c r="D1104" t="n">
        <v>-0.3833</v>
      </c>
      <c r="E1104" t="n">
        <v>12.4971</v>
      </c>
      <c r="F1104" t="n">
        <v>0.08906</v>
      </c>
    </row>
    <row r="1105">
      <c r="A1105" t="n">
        <v>2000902</v>
      </c>
      <c r="B1105" t="n">
        <v>2</v>
      </c>
      <c r="C1105" t="n">
        <v>902</v>
      </c>
      <c r="D1105" t="n">
        <v>-0.3833</v>
      </c>
      <c r="E1105" t="n">
        <v>12.522</v>
      </c>
      <c r="F1105" t="n">
        <v>0.08907</v>
      </c>
    </row>
    <row r="1106">
      <c r="A1106" t="n">
        <v>2000903</v>
      </c>
      <c r="B1106" t="n">
        <v>2</v>
      </c>
      <c r="C1106" t="n">
        <v>903</v>
      </c>
      <c r="D1106" t="n">
        <v>-0.3833</v>
      </c>
      <c r="E1106" t="n">
        <v>12.5468</v>
      </c>
      <c r="F1106" t="n">
        <v>0.08908000000000001</v>
      </c>
    </row>
    <row r="1107">
      <c r="A1107" t="n">
        <v>2000904</v>
      </c>
      <c r="B1107" t="n">
        <v>2</v>
      </c>
      <c r="C1107" t="n">
        <v>904</v>
      </c>
      <c r="D1107" t="n">
        <v>-0.3833</v>
      </c>
      <c r="E1107" t="n">
        <v>12.5717</v>
      </c>
      <c r="F1107" t="n">
        <v>0.08909</v>
      </c>
    </row>
    <row r="1108">
      <c r="A1108" t="n">
        <v>2000905</v>
      </c>
      <c r="B1108" t="n">
        <v>2</v>
      </c>
      <c r="C1108" t="n">
        <v>905</v>
      </c>
      <c r="D1108" t="n">
        <v>-0.3833</v>
      </c>
      <c r="E1108" t="n">
        <v>12.5965</v>
      </c>
      <c r="F1108" t="n">
        <v>0.08909</v>
      </c>
    </row>
    <row r="1109">
      <c r="A1109" t="n">
        <v>2000906</v>
      </c>
      <c r="B1109" t="n">
        <v>2</v>
      </c>
      <c r="C1109" t="n">
        <v>906</v>
      </c>
      <c r="D1109" t="n">
        <v>-0.3833</v>
      </c>
      <c r="E1109" t="n">
        <v>12.6213</v>
      </c>
      <c r="F1109" t="n">
        <v>0.0891</v>
      </c>
    </row>
    <row r="1110">
      <c r="A1110" t="n">
        <v>2000907</v>
      </c>
      <c r="B1110" t="n">
        <v>2</v>
      </c>
      <c r="C1110" t="n">
        <v>907</v>
      </c>
      <c r="D1110" t="n">
        <v>-0.3833</v>
      </c>
      <c r="E1110" t="n">
        <v>12.6461</v>
      </c>
      <c r="F1110" t="n">
        <v>0.08910999999999999</v>
      </c>
    </row>
    <row r="1111">
      <c r="A1111" t="n">
        <v>2000908</v>
      </c>
      <c r="B1111" t="n">
        <v>2</v>
      </c>
      <c r="C1111" t="n">
        <v>908</v>
      </c>
      <c r="D1111" t="n">
        <v>-0.3833</v>
      </c>
      <c r="E1111" t="n">
        <v>12.6709</v>
      </c>
      <c r="F1111" t="n">
        <v>0.08912</v>
      </c>
    </row>
    <row r="1112">
      <c r="A1112" t="n">
        <v>2000909</v>
      </c>
      <c r="B1112" t="n">
        <v>2</v>
      </c>
      <c r="C1112" t="n">
        <v>909</v>
      </c>
      <c r="D1112" t="n">
        <v>-0.3833</v>
      </c>
      <c r="E1112" t="n">
        <v>12.6957</v>
      </c>
      <c r="F1112" t="n">
        <v>0.08912</v>
      </c>
    </row>
    <row r="1113">
      <c r="A1113" t="n">
        <v>2000910</v>
      </c>
      <c r="B1113" t="n">
        <v>2</v>
      </c>
      <c r="C1113" t="n">
        <v>910</v>
      </c>
      <c r="D1113" t="n">
        <v>-0.3833</v>
      </c>
      <c r="E1113" t="n">
        <v>12.7205</v>
      </c>
      <c r="F1113" t="n">
        <v>0.08913</v>
      </c>
    </row>
    <row r="1114">
      <c r="A1114" t="n">
        <v>2000911</v>
      </c>
      <c r="B1114" t="n">
        <v>2</v>
      </c>
      <c r="C1114" t="n">
        <v>911</v>
      </c>
      <c r="D1114" t="n">
        <v>-0.3833</v>
      </c>
      <c r="E1114" t="n">
        <v>12.7453</v>
      </c>
      <c r="F1114" t="n">
        <v>0.08914</v>
      </c>
    </row>
    <row r="1115">
      <c r="A1115" t="n">
        <v>2000912</v>
      </c>
      <c r="B1115" t="n">
        <v>2</v>
      </c>
      <c r="C1115" t="n">
        <v>912</v>
      </c>
      <c r="D1115" t="n">
        <v>-0.3833</v>
      </c>
      <c r="E1115" t="n">
        <v>12.77</v>
      </c>
      <c r="F1115" t="n">
        <v>0.08914999999999999</v>
      </c>
    </row>
    <row r="1116">
      <c r="A1116" t="n">
        <v>2000913</v>
      </c>
      <c r="B1116" t="n">
        <v>2</v>
      </c>
      <c r="C1116" t="n">
        <v>913</v>
      </c>
      <c r="D1116" t="n">
        <v>-0.3833</v>
      </c>
      <c r="E1116" t="n">
        <v>12.7948</v>
      </c>
      <c r="F1116" t="n">
        <v>0.08916</v>
      </c>
    </row>
    <row r="1117">
      <c r="A1117" t="n">
        <v>2000914</v>
      </c>
      <c r="B1117" t="n">
        <v>2</v>
      </c>
      <c r="C1117" t="n">
        <v>914</v>
      </c>
      <c r="D1117" t="n">
        <v>-0.3833</v>
      </c>
      <c r="E1117" t="n">
        <v>12.8196</v>
      </c>
      <c r="F1117" t="n">
        <v>0.08917</v>
      </c>
    </row>
    <row r="1118">
      <c r="A1118" t="n">
        <v>2000915</v>
      </c>
      <c r="B1118" t="n">
        <v>2</v>
      </c>
      <c r="C1118" t="n">
        <v>915</v>
      </c>
      <c r="D1118" t="n">
        <v>-0.3833</v>
      </c>
      <c r="E1118" t="n">
        <v>12.8443</v>
      </c>
      <c r="F1118" t="n">
        <v>0.08918</v>
      </c>
    </row>
    <row r="1119">
      <c r="A1119" t="n">
        <v>2000916</v>
      </c>
      <c r="B1119" t="n">
        <v>2</v>
      </c>
      <c r="C1119" t="n">
        <v>916</v>
      </c>
      <c r="D1119" t="n">
        <v>-0.3833</v>
      </c>
      <c r="E1119" t="n">
        <v>12.8691</v>
      </c>
      <c r="F1119" t="n">
        <v>0.08919000000000001</v>
      </c>
    </row>
    <row r="1120">
      <c r="A1120" t="n">
        <v>2000917</v>
      </c>
      <c r="B1120" t="n">
        <v>2</v>
      </c>
      <c r="C1120" t="n">
        <v>917</v>
      </c>
      <c r="D1120" t="n">
        <v>-0.3833</v>
      </c>
      <c r="E1120" t="n">
        <v>12.8939</v>
      </c>
      <c r="F1120" t="n">
        <v>0.0892</v>
      </c>
    </row>
    <row r="1121">
      <c r="A1121" t="n">
        <v>2000918</v>
      </c>
      <c r="B1121" t="n">
        <v>2</v>
      </c>
      <c r="C1121" t="n">
        <v>918</v>
      </c>
      <c r="D1121" t="n">
        <v>-0.3833</v>
      </c>
      <c r="E1121" t="n">
        <v>12.9186</v>
      </c>
      <c r="F1121" t="n">
        <v>0.08921</v>
      </c>
    </row>
    <row r="1122">
      <c r="A1122" t="n">
        <v>2000919</v>
      </c>
      <c r="B1122" t="n">
        <v>2</v>
      </c>
      <c r="C1122" t="n">
        <v>919</v>
      </c>
      <c r="D1122" t="n">
        <v>-0.3833</v>
      </c>
      <c r="E1122" t="n">
        <v>12.9434</v>
      </c>
      <c r="F1122" t="n">
        <v>0.08921999999999999</v>
      </c>
    </row>
    <row r="1123">
      <c r="A1123" t="n">
        <v>2000920</v>
      </c>
      <c r="B1123" t="n">
        <v>2</v>
      </c>
      <c r="C1123" t="n">
        <v>920</v>
      </c>
      <c r="D1123" t="n">
        <v>-0.3833</v>
      </c>
      <c r="E1123" t="n">
        <v>12.9681</v>
      </c>
      <c r="F1123" t="n">
        <v>0.08923</v>
      </c>
    </row>
    <row r="1124">
      <c r="A1124" t="n">
        <v>2000921</v>
      </c>
      <c r="B1124" t="n">
        <v>2</v>
      </c>
      <c r="C1124" t="n">
        <v>921</v>
      </c>
      <c r="D1124" t="n">
        <v>-0.3833</v>
      </c>
      <c r="E1124" t="n">
        <v>12.9929</v>
      </c>
      <c r="F1124" t="n">
        <v>0.08924</v>
      </c>
    </row>
    <row r="1125">
      <c r="A1125" t="n">
        <v>2000922</v>
      </c>
      <c r="B1125" t="n">
        <v>2</v>
      </c>
      <c r="C1125" t="n">
        <v>922</v>
      </c>
      <c r="D1125" t="n">
        <v>-0.3833</v>
      </c>
      <c r="E1125" t="n">
        <v>13.0177</v>
      </c>
      <c r="F1125" t="n">
        <v>0.08925</v>
      </c>
    </row>
    <row r="1126">
      <c r="A1126" t="n">
        <v>2000923</v>
      </c>
      <c r="B1126" t="n">
        <v>2</v>
      </c>
      <c r="C1126" t="n">
        <v>923</v>
      </c>
      <c r="D1126" t="n">
        <v>-0.3833</v>
      </c>
      <c r="E1126" t="n">
        <v>13.0424</v>
      </c>
      <c r="F1126" t="n">
        <v>0.08926000000000001</v>
      </c>
    </row>
    <row r="1127">
      <c r="A1127" t="n">
        <v>2000924</v>
      </c>
      <c r="B1127" t="n">
        <v>2</v>
      </c>
      <c r="C1127" t="n">
        <v>924</v>
      </c>
      <c r="D1127" t="n">
        <v>-0.3833</v>
      </c>
      <c r="E1127" t="n">
        <v>13.0672</v>
      </c>
      <c r="F1127" t="n">
        <v>0.08927</v>
      </c>
    </row>
    <row r="1128">
      <c r="A1128" t="n">
        <v>2000925</v>
      </c>
      <c r="B1128" t="n">
        <v>2</v>
      </c>
      <c r="C1128" t="n">
        <v>925</v>
      </c>
      <c r="D1128" t="n">
        <v>-0.3833</v>
      </c>
      <c r="E1128" t="n">
        <v>13.092</v>
      </c>
      <c r="F1128" t="n">
        <v>0.08928</v>
      </c>
    </row>
    <row r="1129">
      <c r="A1129" t="n">
        <v>2000926</v>
      </c>
      <c r="B1129" t="n">
        <v>2</v>
      </c>
      <c r="C1129" t="n">
        <v>926</v>
      </c>
      <c r="D1129" t="n">
        <v>-0.3833</v>
      </c>
      <c r="E1129" t="n">
        <v>13.1167</v>
      </c>
      <c r="F1129" t="n">
        <v>0.0893</v>
      </c>
    </row>
    <row r="1130">
      <c r="A1130" t="n">
        <v>2000927</v>
      </c>
      <c r="B1130" t="n">
        <v>2</v>
      </c>
      <c r="C1130" t="n">
        <v>927</v>
      </c>
      <c r="D1130" t="n">
        <v>-0.3833</v>
      </c>
      <c r="E1130" t="n">
        <v>13.1415</v>
      </c>
      <c r="F1130" t="n">
        <v>0.08931</v>
      </c>
    </row>
    <row r="1131">
      <c r="A1131" t="n">
        <v>2000928</v>
      </c>
      <c r="B1131" t="n">
        <v>2</v>
      </c>
      <c r="C1131" t="n">
        <v>928</v>
      </c>
      <c r="D1131" t="n">
        <v>-0.3833</v>
      </c>
      <c r="E1131" t="n">
        <v>13.1663</v>
      </c>
      <c r="F1131" t="n">
        <v>0.08932</v>
      </c>
    </row>
    <row r="1132">
      <c r="A1132" t="n">
        <v>2000929</v>
      </c>
      <c r="B1132" t="n">
        <v>2</v>
      </c>
      <c r="C1132" t="n">
        <v>929</v>
      </c>
      <c r="D1132" t="n">
        <v>-0.3833</v>
      </c>
      <c r="E1132" t="n">
        <v>13.1911</v>
      </c>
      <c r="F1132" t="n">
        <v>0.08933000000000001</v>
      </c>
    </row>
    <row r="1133">
      <c r="A1133" t="n">
        <v>2000930</v>
      </c>
      <c r="B1133" t="n">
        <v>2</v>
      </c>
      <c r="C1133" t="n">
        <v>930</v>
      </c>
      <c r="D1133" t="n">
        <v>-0.3833</v>
      </c>
      <c r="E1133" t="n">
        <v>13.2158</v>
      </c>
      <c r="F1133" t="n">
        <v>0.08934</v>
      </c>
    </row>
    <row r="1134">
      <c r="A1134" t="n">
        <v>2000931</v>
      </c>
      <c r="B1134" t="n">
        <v>2</v>
      </c>
      <c r="C1134" t="n">
        <v>931</v>
      </c>
      <c r="D1134" t="n">
        <v>-0.3833</v>
      </c>
      <c r="E1134" t="n">
        <v>13.2406</v>
      </c>
      <c r="F1134" t="n">
        <v>0.08935999999999999</v>
      </c>
    </row>
    <row r="1135">
      <c r="A1135" t="n">
        <v>2000932</v>
      </c>
      <c r="B1135" t="n">
        <v>2</v>
      </c>
      <c r="C1135" t="n">
        <v>932</v>
      </c>
      <c r="D1135" t="n">
        <v>-0.3833</v>
      </c>
      <c r="E1135" t="n">
        <v>13.2654</v>
      </c>
      <c r="F1135" t="n">
        <v>0.08937</v>
      </c>
    </row>
    <row r="1136">
      <c r="A1136" t="n">
        <v>2000933</v>
      </c>
      <c r="B1136" t="n">
        <v>2</v>
      </c>
      <c r="C1136" t="n">
        <v>933</v>
      </c>
      <c r="D1136" t="n">
        <v>-0.3833</v>
      </c>
      <c r="E1136" t="n">
        <v>13.2902</v>
      </c>
      <c r="F1136" t="n">
        <v>0.08938</v>
      </c>
    </row>
    <row r="1137">
      <c r="A1137" t="n">
        <v>2000934</v>
      </c>
      <c r="B1137" t="n">
        <v>2</v>
      </c>
      <c r="C1137" t="n">
        <v>934</v>
      </c>
      <c r="D1137" t="n">
        <v>-0.3833</v>
      </c>
      <c r="E1137" t="n">
        <v>13.3151</v>
      </c>
      <c r="F1137" t="n">
        <v>0.08939999999999999</v>
      </c>
    </row>
    <row r="1138">
      <c r="A1138" t="n">
        <v>2000935</v>
      </c>
      <c r="B1138" t="n">
        <v>2</v>
      </c>
      <c r="C1138" t="n">
        <v>935</v>
      </c>
      <c r="D1138" t="n">
        <v>-0.3833</v>
      </c>
      <c r="E1138" t="n">
        <v>13.3399</v>
      </c>
      <c r="F1138" t="n">
        <v>0.08941</v>
      </c>
    </row>
    <row r="1139">
      <c r="A1139" t="n">
        <v>2000936</v>
      </c>
      <c r="B1139" t="n">
        <v>2</v>
      </c>
      <c r="C1139" t="n">
        <v>936</v>
      </c>
      <c r="D1139" t="n">
        <v>-0.3833</v>
      </c>
      <c r="E1139" t="n">
        <v>13.3647</v>
      </c>
      <c r="F1139" t="n">
        <v>0.08942</v>
      </c>
    </row>
    <row r="1140">
      <c r="A1140" t="n">
        <v>2000937</v>
      </c>
      <c r="B1140" t="n">
        <v>2</v>
      </c>
      <c r="C1140" t="n">
        <v>937</v>
      </c>
      <c r="D1140" t="n">
        <v>-0.3833</v>
      </c>
      <c r="E1140" t="n">
        <v>13.3896</v>
      </c>
      <c r="F1140" t="n">
        <v>0.08944000000000001</v>
      </c>
    </row>
    <row r="1141">
      <c r="A1141" t="n">
        <v>2000938</v>
      </c>
      <c r="B1141" t="n">
        <v>2</v>
      </c>
      <c r="C1141" t="n">
        <v>938</v>
      </c>
      <c r="D1141" t="n">
        <v>-0.3833</v>
      </c>
      <c r="E1141" t="n">
        <v>13.4145</v>
      </c>
      <c r="F1141" t="n">
        <v>0.08945</v>
      </c>
    </row>
    <row r="1142">
      <c r="A1142" t="n">
        <v>2000939</v>
      </c>
      <c r="B1142" t="n">
        <v>2</v>
      </c>
      <c r="C1142" t="n">
        <v>939</v>
      </c>
      <c r="D1142" t="n">
        <v>-0.3833</v>
      </c>
      <c r="E1142" t="n">
        <v>13.4394</v>
      </c>
      <c r="F1142" t="n">
        <v>0.08946999999999999</v>
      </c>
    </row>
    <row r="1143">
      <c r="A1143" t="n">
        <v>2000940</v>
      </c>
      <c r="B1143" t="n">
        <v>2</v>
      </c>
      <c r="C1143" t="n">
        <v>940</v>
      </c>
      <c r="D1143" t="n">
        <v>-0.3833</v>
      </c>
      <c r="E1143" t="n">
        <v>13.4643</v>
      </c>
      <c r="F1143" t="n">
        <v>0.08948</v>
      </c>
    </row>
    <row r="1144">
      <c r="A1144" t="n">
        <v>2000941</v>
      </c>
      <c r="B1144" t="n">
        <v>2</v>
      </c>
      <c r="C1144" t="n">
        <v>941</v>
      </c>
      <c r="D1144" t="n">
        <v>-0.3833</v>
      </c>
      <c r="E1144" t="n">
        <v>13.4892</v>
      </c>
      <c r="F1144" t="n">
        <v>0.08949</v>
      </c>
    </row>
    <row r="1145">
      <c r="A1145" t="n">
        <v>2000942</v>
      </c>
      <c r="B1145" t="n">
        <v>2</v>
      </c>
      <c r="C1145" t="n">
        <v>942</v>
      </c>
      <c r="D1145" t="n">
        <v>-0.3833</v>
      </c>
      <c r="E1145" t="n">
        <v>13.5142</v>
      </c>
      <c r="F1145" t="n">
        <v>0.08951000000000001</v>
      </c>
    </row>
    <row r="1146">
      <c r="A1146" t="n">
        <v>2000943</v>
      </c>
      <c r="B1146" t="n">
        <v>2</v>
      </c>
      <c r="C1146" t="n">
        <v>943</v>
      </c>
      <c r="D1146" t="n">
        <v>-0.3833</v>
      </c>
      <c r="E1146" t="n">
        <v>13.5391</v>
      </c>
      <c r="F1146" t="n">
        <v>0.08952</v>
      </c>
    </row>
    <row r="1147">
      <c r="A1147" t="n">
        <v>2000944</v>
      </c>
      <c r="B1147" t="n">
        <v>2</v>
      </c>
      <c r="C1147" t="n">
        <v>944</v>
      </c>
      <c r="D1147" t="n">
        <v>-0.3833</v>
      </c>
      <c r="E1147" t="n">
        <v>13.5641</v>
      </c>
      <c r="F1147" t="n">
        <v>0.08953999999999999</v>
      </c>
    </row>
    <row r="1148">
      <c r="A1148" t="n">
        <v>2000945</v>
      </c>
      <c r="B1148" t="n">
        <v>2</v>
      </c>
      <c r="C1148" t="n">
        <v>945</v>
      </c>
      <c r="D1148" t="n">
        <v>-0.3833</v>
      </c>
      <c r="E1148" t="n">
        <v>13.5892</v>
      </c>
      <c r="F1148" t="n">
        <v>0.08955</v>
      </c>
    </row>
    <row r="1149">
      <c r="A1149" t="n">
        <v>2000946</v>
      </c>
      <c r="B1149" t="n">
        <v>2</v>
      </c>
      <c r="C1149" t="n">
        <v>946</v>
      </c>
      <c r="D1149" t="n">
        <v>-0.3833</v>
      </c>
      <c r="E1149" t="n">
        <v>13.6142</v>
      </c>
      <c r="F1149" t="n">
        <v>0.08957</v>
      </c>
    </row>
    <row r="1150">
      <c r="A1150" t="n">
        <v>2000947</v>
      </c>
      <c r="B1150" t="n">
        <v>2</v>
      </c>
      <c r="C1150" t="n">
        <v>947</v>
      </c>
      <c r="D1150" t="n">
        <v>-0.3833</v>
      </c>
      <c r="E1150" t="n">
        <v>13.6393</v>
      </c>
      <c r="F1150" t="n">
        <v>0.08959</v>
      </c>
    </row>
    <row r="1151">
      <c r="A1151" t="n">
        <v>2000948</v>
      </c>
      <c r="B1151" t="n">
        <v>2</v>
      </c>
      <c r="C1151" t="n">
        <v>948</v>
      </c>
      <c r="D1151" t="n">
        <v>-0.3833</v>
      </c>
      <c r="E1151" t="n">
        <v>13.6644</v>
      </c>
      <c r="F1151" t="n">
        <v>0.0896</v>
      </c>
    </row>
    <row r="1152">
      <c r="A1152" t="n">
        <v>2000949</v>
      </c>
      <c r="B1152" t="n">
        <v>2</v>
      </c>
      <c r="C1152" t="n">
        <v>949</v>
      </c>
      <c r="D1152" t="n">
        <v>-0.3833</v>
      </c>
      <c r="E1152" t="n">
        <v>13.6895</v>
      </c>
      <c r="F1152" t="n">
        <v>0.08962000000000001</v>
      </c>
    </row>
    <row r="1153">
      <c r="A1153" t="n">
        <v>2000950</v>
      </c>
      <c r="B1153" t="n">
        <v>2</v>
      </c>
      <c r="C1153" t="n">
        <v>950</v>
      </c>
      <c r="D1153" t="n">
        <v>-0.3833</v>
      </c>
      <c r="E1153" t="n">
        <v>13.7146</v>
      </c>
      <c r="F1153" t="n">
        <v>0.08963</v>
      </c>
    </row>
    <row r="1154">
      <c r="A1154" t="n">
        <v>2000951</v>
      </c>
      <c r="B1154" t="n">
        <v>2</v>
      </c>
      <c r="C1154" t="n">
        <v>951</v>
      </c>
      <c r="D1154" t="n">
        <v>-0.3833</v>
      </c>
      <c r="E1154" t="n">
        <v>13.7398</v>
      </c>
      <c r="F1154" t="n">
        <v>0.08964999999999999</v>
      </c>
    </row>
    <row r="1155">
      <c r="A1155" t="n">
        <v>2000952</v>
      </c>
      <c r="B1155" t="n">
        <v>2</v>
      </c>
      <c r="C1155" t="n">
        <v>952</v>
      </c>
      <c r="D1155" t="n">
        <v>-0.3833</v>
      </c>
      <c r="E1155" t="n">
        <v>13.765</v>
      </c>
      <c r="F1155" t="n">
        <v>0.08967</v>
      </c>
    </row>
    <row r="1156">
      <c r="A1156" t="n">
        <v>2000953</v>
      </c>
      <c r="B1156" t="n">
        <v>2</v>
      </c>
      <c r="C1156" t="n">
        <v>953</v>
      </c>
      <c r="D1156" t="n">
        <v>-0.3833</v>
      </c>
      <c r="E1156" t="n">
        <v>13.7902</v>
      </c>
      <c r="F1156" t="n">
        <v>0.08968</v>
      </c>
    </row>
    <row r="1157">
      <c r="A1157" t="n">
        <v>2000954</v>
      </c>
      <c r="B1157" t="n">
        <v>2</v>
      </c>
      <c r="C1157" t="n">
        <v>954</v>
      </c>
      <c r="D1157" t="n">
        <v>-0.3833</v>
      </c>
      <c r="E1157" t="n">
        <v>13.8155</v>
      </c>
      <c r="F1157" t="n">
        <v>0.0897</v>
      </c>
    </row>
    <row r="1158">
      <c r="A1158" t="n">
        <v>2000955</v>
      </c>
      <c r="B1158" t="n">
        <v>2</v>
      </c>
      <c r="C1158" t="n">
        <v>955</v>
      </c>
      <c r="D1158" t="n">
        <v>-0.3833</v>
      </c>
      <c r="E1158" t="n">
        <v>13.8408</v>
      </c>
      <c r="F1158" t="n">
        <v>0.08971999999999999</v>
      </c>
    </row>
    <row r="1159">
      <c r="A1159" t="n">
        <v>2000956</v>
      </c>
      <c r="B1159" t="n">
        <v>2</v>
      </c>
      <c r="C1159" t="n">
        <v>956</v>
      </c>
      <c r="D1159" t="n">
        <v>-0.3833</v>
      </c>
      <c r="E1159" t="n">
        <v>13.8661</v>
      </c>
      <c r="F1159" t="n">
        <v>0.08974</v>
      </c>
    </row>
    <row r="1160">
      <c r="A1160" t="n">
        <v>2000957</v>
      </c>
      <c r="B1160" t="n">
        <v>2</v>
      </c>
      <c r="C1160" t="n">
        <v>957</v>
      </c>
      <c r="D1160" t="n">
        <v>-0.3833</v>
      </c>
      <c r="E1160" t="n">
        <v>13.8914</v>
      </c>
      <c r="F1160" t="n">
        <v>0.08975</v>
      </c>
    </row>
    <row r="1161">
      <c r="A1161" t="n">
        <v>2000958</v>
      </c>
      <c r="B1161" t="n">
        <v>2</v>
      </c>
      <c r="C1161" t="n">
        <v>958</v>
      </c>
      <c r="D1161" t="n">
        <v>-0.3833</v>
      </c>
      <c r="E1161" t="n">
        <v>13.9168</v>
      </c>
      <c r="F1161" t="n">
        <v>0.08977</v>
      </c>
    </row>
    <row r="1162">
      <c r="A1162" t="n">
        <v>2000959</v>
      </c>
      <c r="B1162" t="n">
        <v>2</v>
      </c>
      <c r="C1162" t="n">
        <v>959</v>
      </c>
      <c r="D1162" t="n">
        <v>-0.3833</v>
      </c>
      <c r="E1162" t="n">
        <v>13.9422</v>
      </c>
      <c r="F1162" t="n">
        <v>0.08978999999999999</v>
      </c>
    </row>
    <row r="1163">
      <c r="A1163" t="n">
        <v>2000960</v>
      </c>
      <c r="B1163" t="n">
        <v>2</v>
      </c>
      <c r="C1163" t="n">
        <v>960</v>
      </c>
      <c r="D1163" t="n">
        <v>-0.3833</v>
      </c>
      <c r="E1163" t="n">
        <v>13.9676</v>
      </c>
      <c r="F1163" t="n">
        <v>0.08981</v>
      </c>
    </row>
    <row r="1164">
      <c r="A1164" t="n">
        <v>2000961</v>
      </c>
      <c r="B1164" t="n">
        <v>2</v>
      </c>
      <c r="C1164" t="n">
        <v>961</v>
      </c>
      <c r="D1164" t="n">
        <v>-0.3833</v>
      </c>
      <c r="E1164" t="n">
        <v>13.9931</v>
      </c>
      <c r="F1164" t="n">
        <v>0.08982999999999999</v>
      </c>
    </row>
    <row r="1165">
      <c r="A1165" t="n">
        <v>2000962</v>
      </c>
      <c r="B1165" t="n">
        <v>2</v>
      </c>
      <c r="C1165" t="n">
        <v>962</v>
      </c>
      <c r="D1165" t="n">
        <v>-0.3833</v>
      </c>
      <c r="E1165" t="n">
        <v>14.0186</v>
      </c>
      <c r="F1165" t="n">
        <v>0.08984</v>
      </c>
    </row>
    <row r="1166">
      <c r="A1166" t="n">
        <v>2000963</v>
      </c>
      <c r="B1166" t="n">
        <v>2</v>
      </c>
      <c r="C1166" t="n">
        <v>963</v>
      </c>
      <c r="D1166" t="n">
        <v>-0.3833</v>
      </c>
      <c r="E1166" t="n">
        <v>14.0441</v>
      </c>
      <c r="F1166" t="n">
        <v>0.08986</v>
      </c>
    </row>
    <row r="1167">
      <c r="A1167" t="n">
        <v>2000964</v>
      </c>
      <c r="B1167" t="n">
        <v>2</v>
      </c>
      <c r="C1167" t="n">
        <v>964</v>
      </c>
      <c r="D1167" t="n">
        <v>-0.3833</v>
      </c>
      <c r="E1167" t="n">
        <v>14.0697</v>
      </c>
      <c r="F1167" t="n">
        <v>0.08988</v>
      </c>
    </row>
    <row r="1168">
      <c r="A1168" t="n">
        <v>2000965</v>
      </c>
      <c r="B1168" t="n">
        <v>2</v>
      </c>
      <c r="C1168" t="n">
        <v>965</v>
      </c>
      <c r="D1168" t="n">
        <v>-0.3833</v>
      </c>
      <c r="E1168" t="n">
        <v>14.0953</v>
      </c>
      <c r="F1168" t="n">
        <v>0.08989999999999999</v>
      </c>
    </row>
    <row r="1169">
      <c r="A1169" t="n">
        <v>2000966</v>
      </c>
      <c r="B1169" t="n">
        <v>2</v>
      </c>
      <c r="C1169" t="n">
        <v>966</v>
      </c>
      <c r="D1169" t="n">
        <v>-0.3833</v>
      </c>
      <c r="E1169" t="n">
        <v>14.1209</v>
      </c>
      <c r="F1169" t="n">
        <v>0.08992</v>
      </c>
    </row>
    <row r="1170">
      <c r="A1170" t="n">
        <v>2000967</v>
      </c>
      <c r="B1170" t="n">
        <v>2</v>
      </c>
      <c r="C1170" t="n">
        <v>967</v>
      </c>
      <c r="D1170" t="n">
        <v>-0.3833</v>
      </c>
      <c r="E1170" t="n">
        <v>14.1466</v>
      </c>
      <c r="F1170" t="n">
        <v>0.08994000000000001</v>
      </c>
    </row>
    <row r="1171">
      <c r="A1171" t="n">
        <v>2000968</v>
      </c>
      <c r="B1171" t="n">
        <v>2</v>
      </c>
      <c r="C1171" t="n">
        <v>968</v>
      </c>
      <c r="D1171" t="n">
        <v>-0.3833</v>
      </c>
      <c r="E1171" t="n">
        <v>14.1724</v>
      </c>
      <c r="F1171" t="n">
        <v>0.08996</v>
      </c>
    </row>
    <row r="1172">
      <c r="A1172" t="n">
        <v>2000969</v>
      </c>
      <c r="B1172" t="n">
        <v>2</v>
      </c>
      <c r="C1172" t="n">
        <v>969</v>
      </c>
      <c r="D1172" t="n">
        <v>-0.3833</v>
      </c>
      <c r="E1172" t="n">
        <v>14.1981</v>
      </c>
      <c r="F1172" t="n">
        <v>0.08998</v>
      </c>
    </row>
    <row r="1173">
      <c r="A1173" t="n">
        <v>2000970</v>
      </c>
      <c r="B1173" t="n">
        <v>2</v>
      </c>
      <c r="C1173" t="n">
        <v>970</v>
      </c>
      <c r="D1173" t="n">
        <v>-0.3833</v>
      </c>
      <c r="E1173" t="n">
        <v>14.2239</v>
      </c>
      <c r="F1173" t="n">
        <v>0.09</v>
      </c>
    </row>
    <row r="1174">
      <c r="A1174" t="n">
        <v>2000971</v>
      </c>
      <c r="B1174" t="n">
        <v>2</v>
      </c>
      <c r="C1174" t="n">
        <v>971</v>
      </c>
      <c r="D1174" t="n">
        <v>-0.3833</v>
      </c>
      <c r="E1174" t="n">
        <v>14.2498</v>
      </c>
      <c r="F1174" t="n">
        <v>0.09002</v>
      </c>
    </row>
    <row r="1175">
      <c r="A1175" t="n">
        <v>2000972</v>
      </c>
      <c r="B1175" t="n">
        <v>2</v>
      </c>
      <c r="C1175" t="n">
        <v>972</v>
      </c>
      <c r="D1175" t="n">
        <v>-0.3833</v>
      </c>
      <c r="E1175" t="n">
        <v>14.2757</v>
      </c>
      <c r="F1175" t="n">
        <v>0.09004</v>
      </c>
    </row>
    <row r="1176">
      <c r="A1176" t="n">
        <v>2000973</v>
      </c>
      <c r="B1176" t="n">
        <v>2</v>
      </c>
      <c r="C1176" t="n">
        <v>973</v>
      </c>
      <c r="D1176" t="n">
        <v>-0.3833</v>
      </c>
      <c r="E1176" t="n">
        <v>14.3016</v>
      </c>
      <c r="F1176" t="n">
        <v>0.09006</v>
      </c>
    </row>
    <row r="1177">
      <c r="A1177" t="n">
        <v>2000974</v>
      </c>
      <c r="B1177" t="n">
        <v>2</v>
      </c>
      <c r="C1177" t="n">
        <v>974</v>
      </c>
      <c r="D1177" t="n">
        <v>-0.3833</v>
      </c>
      <c r="E1177" t="n">
        <v>14.3276</v>
      </c>
      <c r="F1177" t="n">
        <v>0.09007999999999999</v>
      </c>
    </row>
    <row r="1178">
      <c r="A1178" t="n">
        <v>2000975</v>
      </c>
      <c r="B1178" t="n">
        <v>2</v>
      </c>
      <c r="C1178" t="n">
        <v>975</v>
      </c>
      <c r="D1178" t="n">
        <v>-0.3833</v>
      </c>
      <c r="E1178" t="n">
        <v>14.3537</v>
      </c>
      <c r="F1178" t="n">
        <v>0.0901</v>
      </c>
    </row>
    <row r="1179">
      <c r="A1179" t="n">
        <v>2000976</v>
      </c>
      <c r="B1179" t="n">
        <v>2</v>
      </c>
      <c r="C1179" t="n">
        <v>976</v>
      </c>
      <c r="D1179" t="n">
        <v>-0.3833</v>
      </c>
      <c r="E1179" t="n">
        <v>14.3798</v>
      </c>
      <c r="F1179" t="n">
        <v>0.09012000000000001</v>
      </c>
    </row>
    <row r="1180">
      <c r="A1180" t="n">
        <v>2000977</v>
      </c>
      <c r="B1180" t="n">
        <v>2</v>
      </c>
      <c r="C1180" t="n">
        <v>977</v>
      </c>
      <c r="D1180" t="n">
        <v>-0.3833</v>
      </c>
      <c r="E1180" t="n">
        <v>14.4059</v>
      </c>
      <c r="F1180" t="n">
        <v>0.09014999999999999</v>
      </c>
    </row>
    <row r="1181">
      <c r="A1181" t="n">
        <v>2000978</v>
      </c>
      <c r="B1181" t="n">
        <v>2</v>
      </c>
      <c r="C1181" t="n">
        <v>978</v>
      </c>
      <c r="D1181" t="n">
        <v>-0.3833</v>
      </c>
      <c r="E1181" t="n">
        <v>14.4321</v>
      </c>
      <c r="F1181" t="n">
        <v>0.09017</v>
      </c>
    </row>
    <row r="1182">
      <c r="A1182" t="n">
        <v>2000979</v>
      </c>
      <c r="B1182" t="n">
        <v>2</v>
      </c>
      <c r="C1182" t="n">
        <v>979</v>
      </c>
      <c r="D1182" t="n">
        <v>-0.3833</v>
      </c>
      <c r="E1182" t="n">
        <v>14.4584</v>
      </c>
      <c r="F1182" t="n">
        <v>0.09019000000000001</v>
      </c>
    </row>
    <row r="1183">
      <c r="A1183" t="n">
        <v>2000980</v>
      </c>
      <c r="B1183" t="n">
        <v>2</v>
      </c>
      <c r="C1183" t="n">
        <v>980</v>
      </c>
      <c r="D1183" t="n">
        <v>-0.3833</v>
      </c>
      <c r="E1183" t="n">
        <v>14.4848</v>
      </c>
      <c r="F1183" t="n">
        <v>0.09021</v>
      </c>
    </row>
    <row r="1184">
      <c r="A1184" t="n">
        <v>2000981</v>
      </c>
      <c r="B1184" t="n">
        <v>2</v>
      </c>
      <c r="C1184" t="n">
        <v>981</v>
      </c>
      <c r="D1184" t="n">
        <v>-0.3833</v>
      </c>
      <c r="E1184" t="n">
        <v>14.5112</v>
      </c>
      <c r="F1184" t="n">
        <v>0.09023</v>
      </c>
    </row>
    <row r="1185">
      <c r="A1185" t="n">
        <v>2000982</v>
      </c>
      <c r="B1185" t="n">
        <v>2</v>
      </c>
      <c r="C1185" t="n">
        <v>982</v>
      </c>
      <c r="D1185" t="n">
        <v>-0.3833</v>
      </c>
      <c r="E1185" t="n">
        <v>14.5376</v>
      </c>
      <c r="F1185" t="n">
        <v>0.09026000000000001</v>
      </c>
    </row>
    <row r="1186">
      <c r="A1186" t="n">
        <v>2000983</v>
      </c>
      <c r="B1186" t="n">
        <v>2</v>
      </c>
      <c r="C1186" t="n">
        <v>983</v>
      </c>
      <c r="D1186" t="n">
        <v>-0.3833</v>
      </c>
      <c r="E1186" t="n">
        <v>14.5642</v>
      </c>
      <c r="F1186" t="n">
        <v>0.09028</v>
      </c>
    </row>
    <row r="1187">
      <c r="A1187" t="n">
        <v>2000984</v>
      </c>
      <c r="B1187" t="n">
        <v>2</v>
      </c>
      <c r="C1187" t="n">
        <v>984</v>
      </c>
      <c r="D1187" t="n">
        <v>-0.3833</v>
      </c>
      <c r="E1187" t="n">
        <v>14.5908</v>
      </c>
      <c r="F1187" t="n">
        <v>0.09030000000000001</v>
      </c>
    </row>
    <row r="1188">
      <c r="A1188" t="n">
        <v>2000985</v>
      </c>
      <c r="B1188" t="n">
        <v>2</v>
      </c>
      <c r="C1188" t="n">
        <v>985</v>
      </c>
      <c r="D1188" t="n">
        <v>-0.3833</v>
      </c>
      <c r="E1188" t="n">
        <v>14.6174</v>
      </c>
      <c r="F1188" t="n">
        <v>0.09032999999999999</v>
      </c>
    </row>
    <row r="1189">
      <c r="A1189" t="n">
        <v>2000986</v>
      </c>
      <c r="B1189" t="n">
        <v>2</v>
      </c>
      <c r="C1189" t="n">
        <v>986</v>
      </c>
      <c r="D1189" t="n">
        <v>-0.3833</v>
      </c>
      <c r="E1189" t="n">
        <v>14.6442</v>
      </c>
      <c r="F1189" t="n">
        <v>0.09035</v>
      </c>
    </row>
    <row r="1190">
      <c r="A1190" t="n">
        <v>2000987</v>
      </c>
      <c r="B1190" t="n">
        <v>2</v>
      </c>
      <c r="C1190" t="n">
        <v>987</v>
      </c>
      <c r="D1190" t="n">
        <v>-0.3833</v>
      </c>
      <c r="E1190" t="n">
        <v>14.671</v>
      </c>
      <c r="F1190" t="n">
        <v>0.09037000000000001</v>
      </c>
    </row>
    <row r="1191">
      <c r="A1191" t="n">
        <v>2000988</v>
      </c>
      <c r="B1191" t="n">
        <v>2</v>
      </c>
      <c r="C1191" t="n">
        <v>988</v>
      </c>
      <c r="D1191" t="n">
        <v>-0.3833</v>
      </c>
      <c r="E1191" t="n">
        <v>14.6979</v>
      </c>
      <c r="F1191" t="n">
        <v>0.09039999999999999</v>
      </c>
    </row>
    <row r="1192">
      <c r="A1192" t="n">
        <v>2000989</v>
      </c>
      <c r="B1192" t="n">
        <v>2</v>
      </c>
      <c r="C1192" t="n">
        <v>989</v>
      </c>
      <c r="D1192" t="n">
        <v>-0.3833</v>
      </c>
      <c r="E1192" t="n">
        <v>14.7248</v>
      </c>
      <c r="F1192" t="n">
        <v>0.09042</v>
      </c>
    </row>
    <row r="1193">
      <c r="A1193" t="n">
        <v>2000990</v>
      </c>
      <c r="B1193" t="n">
        <v>2</v>
      </c>
      <c r="C1193" t="n">
        <v>990</v>
      </c>
      <c r="D1193" t="n">
        <v>-0.3833</v>
      </c>
      <c r="E1193" t="n">
        <v>14.7519</v>
      </c>
      <c r="F1193" t="n">
        <v>0.09044000000000001</v>
      </c>
    </row>
    <row r="1194">
      <c r="A1194" t="n">
        <v>2000991</v>
      </c>
      <c r="B1194" t="n">
        <v>2</v>
      </c>
      <c r="C1194" t="n">
        <v>991</v>
      </c>
      <c r="D1194" t="n">
        <v>-0.3833</v>
      </c>
      <c r="E1194" t="n">
        <v>14.779</v>
      </c>
      <c r="F1194" t="n">
        <v>0.09046999999999999</v>
      </c>
    </row>
    <row r="1195">
      <c r="A1195" t="n">
        <v>2000992</v>
      </c>
      <c r="B1195" t="n">
        <v>2</v>
      </c>
      <c r="C1195" t="n">
        <v>992</v>
      </c>
      <c r="D1195" t="n">
        <v>-0.3833</v>
      </c>
      <c r="E1195" t="n">
        <v>14.8062</v>
      </c>
      <c r="F1195" t="n">
        <v>0.09049</v>
      </c>
    </row>
    <row r="1196">
      <c r="A1196" t="n">
        <v>2000993</v>
      </c>
      <c r="B1196" t="n">
        <v>2</v>
      </c>
      <c r="C1196" t="n">
        <v>993</v>
      </c>
      <c r="D1196" t="n">
        <v>-0.3833</v>
      </c>
      <c r="E1196" t="n">
        <v>14.8334</v>
      </c>
      <c r="F1196" t="n">
        <v>0.09052</v>
      </c>
    </row>
    <row r="1197">
      <c r="A1197" t="n">
        <v>2000994</v>
      </c>
      <c r="B1197" t="n">
        <v>2</v>
      </c>
      <c r="C1197" t="n">
        <v>994</v>
      </c>
      <c r="D1197" t="n">
        <v>-0.3833</v>
      </c>
      <c r="E1197" t="n">
        <v>14.8608</v>
      </c>
      <c r="F1197" t="n">
        <v>0.09054</v>
      </c>
    </row>
    <row r="1198">
      <c r="A1198" t="n">
        <v>2000995</v>
      </c>
      <c r="B1198" t="n">
        <v>2</v>
      </c>
      <c r="C1198" t="n">
        <v>995</v>
      </c>
      <c r="D1198" t="n">
        <v>-0.3833</v>
      </c>
      <c r="E1198" t="n">
        <v>14.8882</v>
      </c>
      <c r="F1198" t="n">
        <v>0.09057</v>
      </c>
    </row>
    <row r="1199">
      <c r="A1199" t="n">
        <v>2000996</v>
      </c>
      <c r="B1199" t="n">
        <v>2</v>
      </c>
      <c r="C1199" t="n">
        <v>996</v>
      </c>
      <c r="D1199" t="n">
        <v>-0.3833</v>
      </c>
      <c r="E1199" t="n">
        <v>14.9157</v>
      </c>
      <c r="F1199" t="n">
        <v>0.09059</v>
      </c>
    </row>
    <row r="1200">
      <c r="A1200" t="n">
        <v>2000997</v>
      </c>
      <c r="B1200" t="n">
        <v>2</v>
      </c>
      <c r="C1200" t="n">
        <v>997</v>
      </c>
      <c r="D1200" t="n">
        <v>-0.3833</v>
      </c>
      <c r="E1200" t="n">
        <v>14.9434</v>
      </c>
      <c r="F1200" t="n">
        <v>0.09062000000000001</v>
      </c>
    </row>
    <row r="1201">
      <c r="A1201" t="n">
        <v>2000998</v>
      </c>
      <c r="B1201" t="n">
        <v>2</v>
      </c>
      <c r="C1201" t="n">
        <v>998</v>
      </c>
      <c r="D1201" t="n">
        <v>-0.3833</v>
      </c>
      <c r="E1201" t="n">
        <v>14.9711</v>
      </c>
      <c r="F1201" t="n">
        <v>0.09064</v>
      </c>
    </row>
    <row r="1202">
      <c r="A1202" t="n">
        <v>2000999</v>
      </c>
      <c r="B1202" t="n">
        <v>2</v>
      </c>
      <c r="C1202" t="n">
        <v>999</v>
      </c>
      <c r="D1202" t="n">
        <v>-0.3833</v>
      </c>
      <c r="E1202" t="n">
        <v>14.9989</v>
      </c>
      <c r="F1202" t="n">
        <v>0.09067</v>
      </c>
    </row>
    <row r="1203">
      <c r="A1203" t="n">
        <v>2001000</v>
      </c>
      <c r="B1203" t="n">
        <v>2</v>
      </c>
      <c r="C1203" t="n">
        <v>1000</v>
      </c>
      <c r="D1203" t="n">
        <v>-0.3833</v>
      </c>
      <c r="E1203" t="n">
        <v>15.0267</v>
      </c>
      <c r="F1203" t="n">
        <v>0.09069000000000001</v>
      </c>
    </row>
    <row r="1204">
      <c r="A1204" t="n">
        <v>2001001</v>
      </c>
      <c r="B1204" t="n">
        <v>2</v>
      </c>
      <c r="C1204" t="n">
        <v>1001</v>
      </c>
      <c r="D1204" t="n">
        <v>-0.3833</v>
      </c>
      <c r="E1204" t="n">
        <v>15.0547</v>
      </c>
      <c r="F1204" t="n">
        <v>0.09072</v>
      </c>
    </row>
    <row r="1205">
      <c r="A1205" t="n">
        <v>2001002</v>
      </c>
      <c r="B1205" t="n">
        <v>2</v>
      </c>
      <c r="C1205" t="n">
        <v>1002</v>
      </c>
      <c r="D1205" t="n">
        <v>-0.3833</v>
      </c>
      <c r="E1205" t="n">
        <v>15.0828</v>
      </c>
      <c r="F1205" t="n">
        <v>0.09075</v>
      </c>
    </row>
    <row r="1206">
      <c r="A1206" t="n">
        <v>2001003</v>
      </c>
      <c r="B1206" t="n">
        <v>2</v>
      </c>
      <c r="C1206" t="n">
        <v>1003</v>
      </c>
      <c r="D1206" t="n">
        <v>-0.3833</v>
      </c>
      <c r="E1206" t="n">
        <v>15.1109</v>
      </c>
      <c r="F1206" t="n">
        <v>0.09077</v>
      </c>
    </row>
    <row r="1207">
      <c r="A1207" t="n">
        <v>2001004</v>
      </c>
      <c r="B1207" t="n">
        <v>2</v>
      </c>
      <c r="C1207" t="n">
        <v>1004</v>
      </c>
      <c r="D1207" t="n">
        <v>-0.3833</v>
      </c>
      <c r="E1207" t="n">
        <v>15.1392</v>
      </c>
      <c r="F1207" t="n">
        <v>0.09080000000000001</v>
      </c>
    </row>
    <row r="1208">
      <c r="A1208" t="n">
        <v>2001005</v>
      </c>
      <c r="B1208" t="n">
        <v>2</v>
      </c>
      <c r="C1208" t="n">
        <v>1005</v>
      </c>
      <c r="D1208" t="n">
        <v>-0.3833</v>
      </c>
      <c r="E1208" t="n">
        <v>15.1676</v>
      </c>
      <c r="F1208" t="n">
        <v>0.09082999999999999</v>
      </c>
    </row>
    <row r="1209">
      <c r="A1209" t="n">
        <v>2001006</v>
      </c>
      <c r="B1209" t="n">
        <v>2</v>
      </c>
      <c r="C1209" t="n">
        <v>1006</v>
      </c>
      <c r="D1209" t="n">
        <v>-0.3833</v>
      </c>
      <c r="E1209" t="n">
        <v>15.196</v>
      </c>
      <c r="F1209" t="n">
        <v>0.09085</v>
      </c>
    </row>
    <row r="1210">
      <c r="A1210" t="n">
        <v>2001007</v>
      </c>
      <c r="B1210" t="n">
        <v>2</v>
      </c>
      <c r="C1210" t="n">
        <v>1007</v>
      </c>
      <c r="D1210" t="n">
        <v>-0.3833</v>
      </c>
      <c r="E1210" t="n">
        <v>15.2246</v>
      </c>
      <c r="F1210" t="n">
        <v>0.09088</v>
      </c>
    </row>
    <row r="1211">
      <c r="A1211" t="n">
        <v>2001008</v>
      </c>
      <c r="B1211" t="n">
        <v>2</v>
      </c>
      <c r="C1211" t="n">
        <v>1008</v>
      </c>
      <c r="D1211" t="n">
        <v>-0.3833</v>
      </c>
      <c r="E1211" t="n">
        <v>15.2532</v>
      </c>
      <c r="F1211" t="n">
        <v>0.09091</v>
      </c>
    </row>
    <row r="1212">
      <c r="A1212" t="n">
        <v>2001009</v>
      </c>
      <c r="B1212" t="n">
        <v>2</v>
      </c>
      <c r="C1212" t="n">
        <v>1009</v>
      </c>
      <c r="D1212" t="n">
        <v>-0.3833</v>
      </c>
      <c r="E1212" t="n">
        <v>15.2819</v>
      </c>
      <c r="F1212" t="n">
        <v>0.09093</v>
      </c>
    </row>
    <row r="1213">
      <c r="A1213" t="n">
        <v>2001010</v>
      </c>
      <c r="B1213" t="n">
        <v>2</v>
      </c>
      <c r="C1213" t="n">
        <v>1010</v>
      </c>
      <c r="D1213" t="n">
        <v>-0.3833</v>
      </c>
      <c r="E1213" t="n">
        <v>15.3108</v>
      </c>
      <c r="F1213" t="n">
        <v>0.09096</v>
      </c>
    </row>
    <row r="1214">
      <c r="A1214" t="n">
        <v>2001011</v>
      </c>
      <c r="B1214" t="n">
        <v>2</v>
      </c>
      <c r="C1214" t="n">
        <v>1011</v>
      </c>
      <c r="D1214" t="n">
        <v>-0.3833</v>
      </c>
      <c r="E1214" t="n">
        <v>15.3397</v>
      </c>
      <c r="F1214" t="n">
        <v>0.09099</v>
      </c>
    </row>
    <row r="1215">
      <c r="A1215" t="n">
        <v>2001012</v>
      </c>
      <c r="B1215" t="n">
        <v>2</v>
      </c>
      <c r="C1215" t="n">
        <v>1012</v>
      </c>
      <c r="D1215" t="n">
        <v>-0.3833</v>
      </c>
      <c r="E1215" t="n">
        <v>15.3687</v>
      </c>
      <c r="F1215" t="n">
        <v>0.09102</v>
      </c>
    </row>
    <row r="1216">
      <c r="A1216" t="n">
        <v>2001013</v>
      </c>
      <c r="B1216" t="n">
        <v>2</v>
      </c>
      <c r="C1216" t="n">
        <v>1013</v>
      </c>
      <c r="D1216" t="n">
        <v>-0.3833</v>
      </c>
      <c r="E1216" t="n">
        <v>15.3979</v>
      </c>
      <c r="F1216" t="n">
        <v>0.09105000000000001</v>
      </c>
    </row>
    <row r="1217">
      <c r="A1217" t="n">
        <v>2001014</v>
      </c>
      <c r="B1217" t="n">
        <v>2</v>
      </c>
      <c r="C1217" t="n">
        <v>1014</v>
      </c>
      <c r="D1217" t="n">
        <v>-0.3833</v>
      </c>
      <c r="E1217" t="n">
        <v>15.4271</v>
      </c>
      <c r="F1217" t="n">
        <v>0.09107</v>
      </c>
    </row>
    <row r="1218">
      <c r="A1218" t="n">
        <v>2001015</v>
      </c>
      <c r="B1218" t="n">
        <v>2</v>
      </c>
      <c r="C1218" t="n">
        <v>1015</v>
      </c>
      <c r="D1218" t="n">
        <v>-0.3833</v>
      </c>
      <c r="E1218" t="n">
        <v>15.4564</v>
      </c>
      <c r="F1218" t="n">
        <v>0.0911</v>
      </c>
    </row>
    <row r="1219">
      <c r="A1219" t="n">
        <v>2001016</v>
      </c>
      <c r="B1219" t="n">
        <v>2</v>
      </c>
      <c r="C1219" t="n">
        <v>1016</v>
      </c>
      <c r="D1219" t="n">
        <v>-0.3833</v>
      </c>
      <c r="E1219" t="n">
        <v>15.4858</v>
      </c>
      <c r="F1219" t="n">
        <v>0.09113</v>
      </c>
    </row>
    <row r="1220">
      <c r="A1220" t="n">
        <v>2001017</v>
      </c>
      <c r="B1220" t="n">
        <v>2</v>
      </c>
      <c r="C1220" t="n">
        <v>1017</v>
      </c>
      <c r="D1220" t="n">
        <v>-0.3833</v>
      </c>
      <c r="E1220" t="n">
        <v>15.5154</v>
      </c>
      <c r="F1220" t="n">
        <v>0.09116</v>
      </c>
    </row>
    <row r="1221">
      <c r="A1221" t="n">
        <v>2001018</v>
      </c>
      <c r="B1221" t="n">
        <v>2</v>
      </c>
      <c r="C1221" t="n">
        <v>1018</v>
      </c>
      <c r="D1221" t="n">
        <v>-0.3833</v>
      </c>
      <c r="E1221" t="n">
        <v>15.545</v>
      </c>
      <c r="F1221" t="n">
        <v>0.09118999999999999</v>
      </c>
    </row>
    <row r="1222">
      <c r="A1222" t="n">
        <v>2001019</v>
      </c>
      <c r="B1222" t="n">
        <v>2</v>
      </c>
      <c r="C1222" t="n">
        <v>1019</v>
      </c>
      <c r="D1222" t="n">
        <v>-0.3833</v>
      </c>
      <c r="E1222" t="n">
        <v>15.5747</v>
      </c>
      <c r="F1222" t="n">
        <v>0.09122</v>
      </c>
    </row>
    <row r="1223">
      <c r="A1223" t="n">
        <v>2001020</v>
      </c>
      <c r="B1223" t="n">
        <v>2</v>
      </c>
      <c r="C1223" t="n">
        <v>1020</v>
      </c>
      <c r="D1223" t="n">
        <v>-0.3833</v>
      </c>
      <c r="E1223" t="n">
        <v>15.6046</v>
      </c>
      <c r="F1223" t="n">
        <v>0.09125</v>
      </c>
    </row>
    <row r="1224">
      <c r="A1224" t="n">
        <v>2001021</v>
      </c>
      <c r="B1224" t="n">
        <v>2</v>
      </c>
      <c r="C1224" t="n">
        <v>1021</v>
      </c>
      <c r="D1224" t="n">
        <v>-0.3833</v>
      </c>
      <c r="E1224" t="n">
        <v>15.6345</v>
      </c>
      <c r="F1224" t="n">
        <v>0.09128</v>
      </c>
    </row>
    <row r="1225">
      <c r="A1225" t="n">
        <v>2001022</v>
      </c>
      <c r="B1225" t="n">
        <v>2</v>
      </c>
      <c r="C1225" t="n">
        <v>1022</v>
      </c>
      <c r="D1225" t="n">
        <v>-0.3833</v>
      </c>
      <c r="E1225" t="n">
        <v>15.6646</v>
      </c>
      <c r="F1225" t="n">
        <v>0.09131</v>
      </c>
    </row>
    <row r="1226">
      <c r="A1226" t="n">
        <v>2001023</v>
      </c>
      <c r="B1226" t="n">
        <v>2</v>
      </c>
      <c r="C1226" t="n">
        <v>1023</v>
      </c>
      <c r="D1226" t="n">
        <v>-0.3833</v>
      </c>
      <c r="E1226" t="n">
        <v>15.6947</v>
      </c>
      <c r="F1226" t="n">
        <v>0.09132999999999999</v>
      </c>
    </row>
    <row r="1227">
      <c r="A1227" t="n">
        <v>2001024</v>
      </c>
      <c r="B1227" t="n">
        <v>2</v>
      </c>
      <c r="C1227" t="n">
        <v>1024</v>
      </c>
      <c r="D1227" t="n">
        <v>-0.3833</v>
      </c>
      <c r="E1227" t="n">
        <v>15.725</v>
      </c>
      <c r="F1227" t="n">
        <v>0.09136</v>
      </c>
    </row>
    <row r="1228">
      <c r="A1228" t="n">
        <v>2001025</v>
      </c>
      <c r="B1228" t="n">
        <v>2</v>
      </c>
      <c r="C1228" t="n">
        <v>1025</v>
      </c>
      <c r="D1228" t="n">
        <v>-0.3833</v>
      </c>
      <c r="E1228" t="n">
        <v>15.7553</v>
      </c>
      <c r="F1228" t="n">
        <v>0.09139</v>
      </c>
    </row>
    <row r="1229">
      <c r="A1229" t="n">
        <v>2001026</v>
      </c>
      <c r="B1229" t="n">
        <v>2</v>
      </c>
      <c r="C1229" t="n">
        <v>1026</v>
      </c>
      <c r="D1229" t="n">
        <v>-0.3833</v>
      </c>
      <c r="E1229" t="n">
        <v>15.7858</v>
      </c>
      <c r="F1229" t="n">
        <v>0.09142</v>
      </c>
    </row>
    <row r="1230">
      <c r="A1230" t="n">
        <v>2001027</v>
      </c>
      <c r="B1230" t="n">
        <v>2</v>
      </c>
      <c r="C1230" t="n">
        <v>1027</v>
      </c>
      <c r="D1230" t="n">
        <v>-0.3833</v>
      </c>
      <c r="E1230" t="n">
        <v>15.8164</v>
      </c>
      <c r="F1230" t="n">
        <v>0.09146</v>
      </c>
    </row>
    <row r="1231">
      <c r="A1231" t="n">
        <v>2001028</v>
      </c>
      <c r="B1231" t="n">
        <v>2</v>
      </c>
      <c r="C1231" t="n">
        <v>1028</v>
      </c>
      <c r="D1231" t="n">
        <v>-0.3833</v>
      </c>
      <c r="E1231" t="n">
        <v>15.847</v>
      </c>
      <c r="F1231" t="n">
        <v>0.09149</v>
      </c>
    </row>
    <row r="1232">
      <c r="A1232" t="n">
        <v>2001029</v>
      </c>
      <c r="B1232" t="n">
        <v>2</v>
      </c>
      <c r="C1232" t="n">
        <v>1029</v>
      </c>
      <c r="D1232" t="n">
        <v>-0.3833</v>
      </c>
      <c r="E1232" t="n">
        <v>15.8778</v>
      </c>
      <c r="F1232" t="n">
        <v>0.09152</v>
      </c>
    </row>
    <row r="1233">
      <c r="A1233" t="n">
        <v>2001030</v>
      </c>
      <c r="B1233" t="n">
        <v>2</v>
      </c>
      <c r="C1233" t="n">
        <v>1030</v>
      </c>
      <c r="D1233" t="n">
        <v>-0.3833</v>
      </c>
      <c r="E1233" t="n">
        <v>15.9087</v>
      </c>
      <c r="F1233" t="n">
        <v>0.09155000000000001</v>
      </c>
    </row>
    <row r="1234">
      <c r="A1234" t="n">
        <v>2001031</v>
      </c>
      <c r="B1234" t="n">
        <v>2</v>
      </c>
      <c r="C1234" t="n">
        <v>1031</v>
      </c>
      <c r="D1234" t="n">
        <v>-0.3833</v>
      </c>
      <c r="E1234" t="n">
        <v>15.9396</v>
      </c>
      <c r="F1234" t="n">
        <v>0.09157999999999999</v>
      </c>
    </row>
    <row r="1235">
      <c r="A1235" t="n">
        <v>2001032</v>
      </c>
      <c r="B1235" t="n">
        <v>2</v>
      </c>
      <c r="C1235" t="n">
        <v>1032</v>
      </c>
      <c r="D1235" t="n">
        <v>-0.3833</v>
      </c>
      <c r="E1235" t="n">
        <v>15.9707</v>
      </c>
      <c r="F1235" t="n">
        <v>0.09161</v>
      </c>
    </row>
    <row r="1236">
      <c r="A1236" t="n">
        <v>2001033</v>
      </c>
      <c r="B1236" t="n">
        <v>2</v>
      </c>
      <c r="C1236" t="n">
        <v>1033</v>
      </c>
      <c r="D1236" t="n">
        <v>-0.3833</v>
      </c>
      <c r="E1236" t="n">
        <v>16.0019</v>
      </c>
      <c r="F1236" t="n">
        <v>0.09164</v>
      </c>
    </row>
    <row r="1237">
      <c r="A1237" t="n">
        <v>2001034</v>
      </c>
      <c r="B1237" t="n">
        <v>2</v>
      </c>
      <c r="C1237" t="n">
        <v>1034</v>
      </c>
      <c r="D1237" t="n">
        <v>-0.3833</v>
      </c>
      <c r="E1237" t="n">
        <v>16.0332</v>
      </c>
      <c r="F1237" t="n">
        <v>0.09167</v>
      </c>
    </row>
    <row r="1238">
      <c r="A1238" t="n">
        <v>2001035</v>
      </c>
      <c r="B1238" t="n">
        <v>2</v>
      </c>
      <c r="C1238" t="n">
        <v>1035</v>
      </c>
      <c r="D1238" t="n">
        <v>-0.3833</v>
      </c>
      <c r="E1238" t="n">
        <v>16.0645</v>
      </c>
      <c r="F1238" t="n">
        <v>0.0917</v>
      </c>
    </row>
    <row r="1239">
      <c r="A1239" t="n">
        <v>2001036</v>
      </c>
      <c r="B1239" t="n">
        <v>2</v>
      </c>
      <c r="C1239" t="n">
        <v>1036</v>
      </c>
      <c r="D1239" t="n">
        <v>-0.3833</v>
      </c>
      <c r="E1239" t="n">
        <v>16.096</v>
      </c>
      <c r="F1239" t="n">
        <v>0.09173000000000001</v>
      </c>
    </row>
    <row r="1240">
      <c r="A1240" t="n">
        <v>2001037</v>
      </c>
      <c r="B1240" t="n">
        <v>2</v>
      </c>
      <c r="C1240" t="n">
        <v>1037</v>
      </c>
      <c r="D1240" t="n">
        <v>-0.3833</v>
      </c>
      <c r="E1240" t="n">
        <v>16.1276</v>
      </c>
      <c r="F1240" t="n">
        <v>0.09177</v>
      </c>
    </row>
    <row r="1241">
      <c r="A1241" t="n">
        <v>2001038</v>
      </c>
      <c r="B1241" t="n">
        <v>2</v>
      </c>
      <c r="C1241" t="n">
        <v>1038</v>
      </c>
      <c r="D1241" t="n">
        <v>-0.3833</v>
      </c>
      <c r="E1241" t="n">
        <v>16.1593</v>
      </c>
      <c r="F1241" t="n">
        <v>0.09180000000000001</v>
      </c>
    </row>
    <row r="1242">
      <c r="A1242" t="n">
        <v>2001039</v>
      </c>
      <c r="B1242" t="n">
        <v>2</v>
      </c>
      <c r="C1242" t="n">
        <v>1039</v>
      </c>
      <c r="D1242" t="n">
        <v>-0.3833</v>
      </c>
      <c r="E1242" t="n">
        <v>16.191</v>
      </c>
      <c r="F1242" t="n">
        <v>0.09182999999999999</v>
      </c>
    </row>
    <row r="1243">
      <c r="A1243" t="n">
        <v>2001040</v>
      </c>
      <c r="B1243" t="n">
        <v>2</v>
      </c>
      <c r="C1243" t="n">
        <v>1040</v>
      </c>
      <c r="D1243" t="n">
        <v>-0.3833</v>
      </c>
      <c r="E1243" t="n">
        <v>16.2229</v>
      </c>
      <c r="F1243" t="n">
        <v>0.09186</v>
      </c>
    </row>
    <row r="1244">
      <c r="A1244" t="n">
        <v>2001041</v>
      </c>
      <c r="B1244" t="n">
        <v>2</v>
      </c>
      <c r="C1244" t="n">
        <v>1041</v>
      </c>
      <c r="D1244" t="n">
        <v>-0.3833</v>
      </c>
      <c r="E1244" t="n">
        <v>16.2549</v>
      </c>
      <c r="F1244" t="n">
        <v>0.0919</v>
      </c>
    </row>
    <row r="1245">
      <c r="A1245" t="n">
        <v>2001042</v>
      </c>
      <c r="B1245" t="n">
        <v>2</v>
      </c>
      <c r="C1245" t="n">
        <v>1042</v>
      </c>
      <c r="D1245" t="n">
        <v>-0.3833</v>
      </c>
      <c r="E1245" t="n">
        <v>16.287</v>
      </c>
      <c r="F1245" t="n">
        <v>0.09193</v>
      </c>
    </row>
    <row r="1246">
      <c r="A1246" t="n">
        <v>2001043</v>
      </c>
      <c r="B1246" t="n">
        <v>2</v>
      </c>
      <c r="C1246" t="n">
        <v>1043</v>
      </c>
      <c r="D1246" t="n">
        <v>-0.3833</v>
      </c>
      <c r="E1246" t="n">
        <v>16.3191</v>
      </c>
      <c r="F1246" t="n">
        <v>0.09196</v>
      </c>
    </row>
    <row r="1247">
      <c r="A1247" t="n">
        <v>2001044</v>
      </c>
      <c r="B1247" t="n">
        <v>2</v>
      </c>
      <c r="C1247" t="n">
        <v>1044</v>
      </c>
      <c r="D1247" t="n">
        <v>-0.3833</v>
      </c>
      <c r="E1247" t="n">
        <v>16.3514</v>
      </c>
      <c r="F1247" t="n">
        <v>0.09199</v>
      </c>
    </row>
    <row r="1248">
      <c r="A1248" t="n">
        <v>2001045</v>
      </c>
      <c r="B1248" t="n">
        <v>2</v>
      </c>
      <c r="C1248" t="n">
        <v>1045</v>
      </c>
      <c r="D1248" t="n">
        <v>-0.3833</v>
      </c>
      <c r="E1248" t="n">
        <v>16.3837</v>
      </c>
      <c r="F1248" t="n">
        <v>0.09203</v>
      </c>
    </row>
    <row r="1249">
      <c r="A1249" t="n">
        <v>2001046</v>
      </c>
      <c r="B1249" t="n">
        <v>2</v>
      </c>
      <c r="C1249" t="n">
        <v>1046</v>
      </c>
      <c r="D1249" t="n">
        <v>-0.3833</v>
      </c>
      <c r="E1249" t="n">
        <v>16.4162</v>
      </c>
      <c r="F1249" t="n">
        <v>0.09206</v>
      </c>
    </row>
    <row r="1250">
      <c r="A1250" t="n">
        <v>2001047</v>
      </c>
      <c r="B1250" t="n">
        <v>2</v>
      </c>
      <c r="C1250" t="n">
        <v>1047</v>
      </c>
      <c r="D1250" t="n">
        <v>-0.3833</v>
      </c>
      <c r="E1250" t="n">
        <v>16.4488</v>
      </c>
      <c r="F1250" t="n">
        <v>0.09209000000000001</v>
      </c>
    </row>
    <row r="1251">
      <c r="A1251" t="n">
        <v>2001048</v>
      </c>
      <c r="B1251" t="n">
        <v>2</v>
      </c>
      <c r="C1251" t="n">
        <v>1048</v>
      </c>
      <c r="D1251" t="n">
        <v>-0.3833</v>
      </c>
      <c r="E1251" t="n">
        <v>16.4814</v>
      </c>
      <c r="F1251" t="n">
        <v>0.09213</v>
      </c>
    </row>
    <row r="1252">
      <c r="A1252" t="n">
        <v>2001049</v>
      </c>
      <c r="B1252" t="n">
        <v>2</v>
      </c>
      <c r="C1252" t="n">
        <v>1049</v>
      </c>
      <c r="D1252" t="n">
        <v>-0.3833</v>
      </c>
      <c r="E1252" t="n">
        <v>16.5142</v>
      </c>
      <c r="F1252" t="n">
        <v>0.09216000000000001</v>
      </c>
    </row>
    <row r="1253">
      <c r="A1253" t="n">
        <v>2001050</v>
      </c>
      <c r="B1253" t="n">
        <v>2</v>
      </c>
      <c r="C1253" t="n">
        <v>1050</v>
      </c>
      <c r="D1253" t="n">
        <v>-0.3833</v>
      </c>
      <c r="E1253" t="n">
        <v>16.547</v>
      </c>
      <c r="F1253" t="n">
        <v>0.09218999999999999</v>
      </c>
    </row>
    <row r="1254">
      <c r="A1254" t="n">
        <v>2001051</v>
      </c>
      <c r="B1254" t="n">
        <v>2</v>
      </c>
      <c r="C1254" t="n">
        <v>1051</v>
      </c>
      <c r="D1254" t="n">
        <v>-0.3833</v>
      </c>
      <c r="E1254" t="n">
        <v>16.58</v>
      </c>
      <c r="F1254" t="n">
        <v>0.09223000000000001</v>
      </c>
    </row>
    <row r="1255">
      <c r="A1255" t="n">
        <v>2001052</v>
      </c>
      <c r="B1255" t="n">
        <v>2</v>
      </c>
      <c r="C1255" t="n">
        <v>1052</v>
      </c>
      <c r="D1255" t="n">
        <v>-0.3833</v>
      </c>
      <c r="E1255" t="n">
        <v>16.6131</v>
      </c>
      <c r="F1255" t="n">
        <v>0.09225999999999999</v>
      </c>
    </row>
    <row r="1256">
      <c r="A1256" t="n">
        <v>2001053</v>
      </c>
      <c r="B1256" t="n">
        <v>2</v>
      </c>
      <c r="C1256" t="n">
        <v>1053</v>
      </c>
      <c r="D1256" t="n">
        <v>-0.3833</v>
      </c>
      <c r="E1256" t="n">
        <v>16.6462</v>
      </c>
      <c r="F1256" t="n">
        <v>0.09229</v>
      </c>
    </row>
    <row r="1257">
      <c r="A1257" t="n">
        <v>2001054</v>
      </c>
      <c r="B1257" t="n">
        <v>2</v>
      </c>
      <c r="C1257" t="n">
        <v>1054</v>
      </c>
      <c r="D1257" t="n">
        <v>-0.3833</v>
      </c>
      <c r="E1257" t="n">
        <v>16.6795</v>
      </c>
      <c r="F1257" t="n">
        <v>0.09233</v>
      </c>
    </row>
    <row r="1258">
      <c r="A1258" t="n">
        <v>2001055</v>
      </c>
      <c r="B1258" t="n">
        <v>2</v>
      </c>
      <c r="C1258" t="n">
        <v>1055</v>
      </c>
      <c r="D1258" t="n">
        <v>-0.3833</v>
      </c>
      <c r="E1258" t="n">
        <v>16.7129</v>
      </c>
      <c r="F1258" t="n">
        <v>0.09236</v>
      </c>
    </row>
    <row r="1259">
      <c r="A1259" t="n">
        <v>2001056</v>
      </c>
      <c r="B1259" t="n">
        <v>2</v>
      </c>
      <c r="C1259" t="n">
        <v>1056</v>
      </c>
      <c r="D1259" t="n">
        <v>-0.3833</v>
      </c>
      <c r="E1259" t="n">
        <v>16.7464</v>
      </c>
      <c r="F1259" t="n">
        <v>0.0924</v>
      </c>
    </row>
    <row r="1260">
      <c r="A1260" t="n">
        <v>2001057</v>
      </c>
      <c r="B1260" t="n">
        <v>2</v>
      </c>
      <c r="C1260" t="n">
        <v>1057</v>
      </c>
      <c r="D1260" t="n">
        <v>-0.3833</v>
      </c>
      <c r="E1260" t="n">
        <v>16.78</v>
      </c>
      <c r="F1260" t="n">
        <v>0.09243</v>
      </c>
    </row>
    <row r="1261">
      <c r="A1261" t="n">
        <v>2001058</v>
      </c>
      <c r="B1261" t="n">
        <v>2</v>
      </c>
      <c r="C1261" t="n">
        <v>1058</v>
      </c>
      <c r="D1261" t="n">
        <v>-0.3833</v>
      </c>
      <c r="E1261" t="n">
        <v>16.8137</v>
      </c>
      <c r="F1261" t="n">
        <v>0.09247</v>
      </c>
    </row>
    <row r="1262">
      <c r="A1262" t="n">
        <v>2001059</v>
      </c>
      <c r="B1262" t="n">
        <v>2</v>
      </c>
      <c r="C1262" t="n">
        <v>1059</v>
      </c>
      <c r="D1262" t="n">
        <v>-0.3833</v>
      </c>
      <c r="E1262" t="n">
        <v>16.8475</v>
      </c>
      <c r="F1262" t="n">
        <v>0.0925</v>
      </c>
    </row>
    <row r="1263">
      <c r="A1263" t="n">
        <v>2001060</v>
      </c>
      <c r="B1263" t="n">
        <v>2</v>
      </c>
      <c r="C1263" t="n">
        <v>1060</v>
      </c>
      <c r="D1263" t="n">
        <v>-0.3833</v>
      </c>
      <c r="E1263" t="n">
        <v>16.8814</v>
      </c>
      <c r="F1263" t="n">
        <v>0.09254</v>
      </c>
    </row>
    <row r="1264">
      <c r="A1264" t="n">
        <v>2001061</v>
      </c>
      <c r="B1264" t="n">
        <v>2</v>
      </c>
      <c r="C1264" t="n">
        <v>1061</v>
      </c>
      <c r="D1264" t="n">
        <v>-0.3833</v>
      </c>
      <c r="E1264" t="n">
        <v>16.9154</v>
      </c>
      <c r="F1264" t="n">
        <v>0.09257</v>
      </c>
    </row>
    <row r="1265">
      <c r="A1265" t="n">
        <v>2001062</v>
      </c>
      <c r="B1265" t="n">
        <v>2</v>
      </c>
      <c r="C1265" t="n">
        <v>1062</v>
      </c>
      <c r="D1265" t="n">
        <v>-0.3833</v>
      </c>
      <c r="E1265" t="n">
        <v>16.9496</v>
      </c>
      <c r="F1265" t="n">
        <v>0.09261</v>
      </c>
    </row>
    <row r="1266">
      <c r="A1266" t="n">
        <v>2001063</v>
      </c>
      <c r="B1266" t="n">
        <v>2</v>
      </c>
      <c r="C1266" t="n">
        <v>1063</v>
      </c>
      <c r="D1266" t="n">
        <v>-0.3833</v>
      </c>
      <c r="E1266" t="n">
        <v>16.9838</v>
      </c>
      <c r="F1266" t="n">
        <v>0.09264</v>
      </c>
    </row>
    <row r="1267">
      <c r="A1267" t="n">
        <v>2001064</v>
      </c>
      <c r="B1267" t="n">
        <v>2</v>
      </c>
      <c r="C1267" t="n">
        <v>1064</v>
      </c>
      <c r="D1267" t="n">
        <v>-0.3833</v>
      </c>
      <c r="E1267" t="n">
        <v>17.0182</v>
      </c>
      <c r="F1267" t="n">
        <v>0.09268</v>
      </c>
    </row>
    <row r="1268">
      <c r="A1268" t="n">
        <v>2001065</v>
      </c>
      <c r="B1268" t="n">
        <v>2</v>
      </c>
      <c r="C1268" t="n">
        <v>1065</v>
      </c>
      <c r="D1268" t="n">
        <v>-0.3833</v>
      </c>
      <c r="E1268" t="n">
        <v>17.0527</v>
      </c>
      <c r="F1268" t="n">
        <v>0.09271</v>
      </c>
    </row>
    <row r="1269">
      <c r="A1269" t="n">
        <v>2001066</v>
      </c>
      <c r="B1269" t="n">
        <v>2</v>
      </c>
      <c r="C1269" t="n">
        <v>1066</v>
      </c>
      <c r="D1269" t="n">
        <v>-0.3833</v>
      </c>
      <c r="E1269" t="n">
        <v>17.0873</v>
      </c>
      <c r="F1269" t="n">
        <v>0.09275</v>
      </c>
    </row>
    <row r="1270">
      <c r="A1270" t="n">
        <v>2001067</v>
      </c>
      <c r="B1270" t="n">
        <v>2</v>
      </c>
      <c r="C1270" t="n">
        <v>1067</v>
      </c>
      <c r="D1270" t="n">
        <v>-0.3833</v>
      </c>
      <c r="E1270" t="n">
        <v>17.122</v>
      </c>
      <c r="F1270" t="n">
        <v>0.09278</v>
      </c>
    </row>
    <row r="1271">
      <c r="A1271" t="n">
        <v>2001068</v>
      </c>
      <c r="B1271" t="n">
        <v>2</v>
      </c>
      <c r="C1271" t="n">
        <v>1068</v>
      </c>
      <c r="D1271" t="n">
        <v>-0.3833</v>
      </c>
      <c r="E1271" t="n">
        <v>17.1569</v>
      </c>
      <c r="F1271" t="n">
        <v>0.09282</v>
      </c>
    </row>
    <row r="1272">
      <c r="A1272" t="n">
        <v>2001069</v>
      </c>
      <c r="B1272" t="n">
        <v>2</v>
      </c>
      <c r="C1272" t="n">
        <v>1069</v>
      </c>
      <c r="D1272" t="n">
        <v>-0.3833</v>
      </c>
      <c r="E1272" t="n">
        <v>17.1918</v>
      </c>
      <c r="F1272" t="n">
        <v>0.09286</v>
      </c>
    </row>
    <row r="1273">
      <c r="A1273" t="n">
        <v>2001070</v>
      </c>
      <c r="B1273" t="n">
        <v>2</v>
      </c>
      <c r="C1273" t="n">
        <v>1070</v>
      </c>
      <c r="D1273" t="n">
        <v>-0.3833</v>
      </c>
      <c r="E1273" t="n">
        <v>17.2269</v>
      </c>
      <c r="F1273" t="n">
        <v>0.09289</v>
      </c>
    </row>
    <row r="1274">
      <c r="A1274" t="n">
        <v>2001071</v>
      </c>
      <c r="B1274" t="n">
        <v>2</v>
      </c>
      <c r="C1274" t="n">
        <v>1071</v>
      </c>
      <c r="D1274" t="n">
        <v>-0.3833</v>
      </c>
      <c r="E1274" t="n">
        <v>17.262</v>
      </c>
      <c r="F1274" t="n">
        <v>0.09293</v>
      </c>
    </row>
    <row r="1275">
      <c r="A1275" t="n">
        <v>2001072</v>
      </c>
      <c r="B1275" t="n">
        <v>2</v>
      </c>
      <c r="C1275" t="n">
        <v>1072</v>
      </c>
      <c r="D1275" t="n">
        <v>-0.3833</v>
      </c>
      <c r="E1275" t="n">
        <v>17.2973</v>
      </c>
      <c r="F1275" t="n">
        <v>0.09296</v>
      </c>
    </row>
    <row r="1276">
      <c r="A1276" t="n">
        <v>2001073</v>
      </c>
      <c r="B1276" t="n">
        <v>2</v>
      </c>
      <c r="C1276" t="n">
        <v>1073</v>
      </c>
      <c r="D1276" t="n">
        <v>-0.3833</v>
      </c>
      <c r="E1276" t="n">
        <v>17.3327</v>
      </c>
      <c r="F1276" t="n">
        <v>0.093</v>
      </c>
    </row>
    <row r="1277">
      <c r="A1277" t="n">
        <v>2001074</v>
      </c>
      <c r="B1277" t="n">
        <v>2</v>
      </c>
      <c r="C1277" t="n">
        <v>1074</v>
      </c>
      <c r="D1277" t="n">
        <v>-0.3833</v>
      </c>
      <c r="E1277" t="n">
        <v>17.3683</v>
      </c>
      <c r="F1277" t="n">
        <v>0.09304</v>
      </c>
    </row>
    <row r="1278">
      <c r="A1278" t="n">
        <v>2001075</v>
      </c>
      <c r="B1278" t="n">
        <v>2</v>
      </c>
      <c r="C1278" t="n">
        <v>1075</v>
      </c>
      <c r="D1278" t="n">
        <v>-0.3833</v>
      </c>
      <c r="E1278" t="n">
        <v>17.4039</v>
      </c>
      <c r="F1278" t="n">
        <v>0.09307</v>
      </c>
    </row>
    <row r="1279">
      <c r="A1279" t="n">
        <v>2001076</v>
      </c>
      <c r="B1279" t="n">
        <v>2</v>
      </c>
      <c r="C1279" t="n">
        <v>1076</v>
      </c>
      <c r="D1279" t="n">
        <v>-0.3833</v>
      </c>
      <c r="E1279" t="n">
        <v>17.4397</v>
      </c>
      <c r="F1279" t="n">
        <v>0.09311</v>
      </c>
    </row>
    <row r="1280">
      <c r="A1280" t="n">
        <v>2001077</v>
      </c>
      <c r="B1280" t="n">
        <v>2</v>
      </c>
      <c r="C1280" t="n">
        <v>1077</v>
      </c>
      <c r="D1280" t="n">
        <v>-0.3833</v>
      </c>
      <c r="E1280" t="n">
        <v>17.4755</v>
      </c>
      <c r="F1280" t="n">
        <v>0.09315</v>
      </c>
    </row>
    <row r="1281">
      <c r="A1281" t="n">
        <v>2001078</v>
      </c>
      <c r="B1281" t="n">
        <v>2</v>
      </c>
      <c r="C1281" t="n">
        <v>1078</v>
      </c>
      <c r="D1281" t="n">
        <v>-0.3833</v>
      </c>
      <c r="E1281" t="n">
        <v>17.5115</v>
      </c>
      <c r="F1281" t="n">
        <v>0.09318</v>
      </c>
    </row>
    <row r="1282">
      <c r="A1282" t="n">
        <v>2001079</v>
      </c>
      <c r="B1282" t="n">
        <v>2</v>
      </c>
      <c r="C1282" t="n">
        <v>1079</v>
      </c>
      <c r="D1282" t="n">
        <v>-0.3833</v>
      </c>
      <c r="E1282" t="n">
        <v>17.5476</v>
      </c>
      <c r="F1282" t="n">
        <v>0.09322</v>
      </c>
    </row>
    <row r="1283">
      <c r="A1283" t="n">
        <v>2001080</v>
      </c>
      <c r="B1283" t="n">
        <v>2</v>
      </c>
      <c r="C1283" t="n">
        <v>1080</v>
      </c>
      <c r="D1283" t="n">
        <v>-0.3833</v>
      </c>
      <c r="E1283" t="n">
        <v>17.5839</v>
      </c>
      <c r="F1283" t="n">
        <v>0.09326</v>
      </c>
    </row>
    <row r="1284">
      <c r="A1284" t="n">
        <v>2001081</v>
      </c>
      <c r="B1284" t="n">
        <v>2</v>
      </c>
      <c r="C1284" t="n">
        <v>1081</v>
      </c>
      <c r="D1284" t="n">
        <v>-0.3833</v>
      </c>
      <c r="E1284" t="n">
        <v>17.6202</v>
      </c>
      <c r="F1284" t="n">
        <v>0.09329</v>
      </c>
    </row>
    <row r="1285">
      <c r="A1285" t="n">
        <v>2001082</v>
      </c>
      <c r="B1285" t="n">
        <v>2</v>
      </c>
      <c r="C1285" t="n">
        <v>1082</v>
      </c>
      <c r="D1285" t="n">
        <v>-0.3833</v>
      </c>
      <c r="E1285" t="n">
        <v>17.6567</v>
      </c>
      <c r="F1285" t="n">
        <v>0.09333</v>
      </c>
    </row>
    <row r="1286">
      <c r="A1286" t="n">
        <v>2001083</v>
      </c>
      <c r="B1286" t="n">
        <v>2</v>
      </c>
      <c r="C1286" t="n">
        <v>1083</v>
      </c>
      <c r="D1286" t="n">
        <v>-0.3833</v>
      </c>
      <c r="E1286" t="n">
        <v>17.6932</v>
      </c>
      <c r="F1286" t="n">
        <v>0.09336999999999999</v>
      </c>
    </row>
    <row r="1287">
      <c r="A1287" t="n">
        <v>2001084</v>
      </c>
      <c r="B1287" t="n">
        <v>2</v>
      </c>
      <c r="C1287" t="n">
        <v>1084</v>
      </c>
      <c r="D1287" t="n">
        <v>-0.3833</v>
      </c>
      <c r="E1287" t="n">
        <v>17.7299</v>
      </c>
      <c r="F1287" t="n">
        <v>0.09341000000000001</v>
      </c>
    </row>
    <row r="1288">
      <c r="A1288" t="n">
        <v>2001085</v>
      </c>
      <c r="B1288" t="n">
        <v>2</v>
      </c>
      <c r="C1288" t="n">
        <v>1085</v>
      </c>
      <c r="D1288" t="n">
        <v>-0.3833</v>
      </c>
      <c r="E1288" t="n">
        <v>17.7668</v>
      </c>
      <c r="F1288" t="n">
        <v>0.09344</v>
      </c>
    </row>
    <row r="1289">
      <c r="A1289" t="n">
        <v>2001086</v>
      </c>
      <c r="B1289" t="n">
        <v>2</v>
      </c>
      <c r="C1289" t="n">
        <v>1086</v>
      </c>
      <c r="D1289" t="n">
        <v>-0.3833</v>
      </c>
      <c r="E1289" t="n">
        <v>17.8037</v>
      </c>
      <c r="F1289" t="n">
        <v>0.09347999999999999</v>
      </c>
    </row>
    <row r="1290">
      <c r="A1290" t="n">
        <v>2001087</v>
      </c>
      <c r="B1290" t="n">
        <v>2</v>
      </c>
      <c r="C1290" t="n">
        <v>1087</v>
      </c>
      <c r="D1290" t="n">
        <v>-0.3833</v>
      </c>
      <c r="E1290" t="n">
        <v>17.8407</v>
      </c>
      <c r="F1290" t="n">
        <v>0.09352000000000001</v>
      </c>
    </row>
    <row r="1291">
      <c r="A1291" t="n">
        <v>2001088</v>
      </c>
      <c r="B1291" t="n">
        <v>2</v>
      </c>
      <c r="C1291" t="n">
        <v>1088</v>
      </c>
      <c r="D1291" t="n">
        <v>-0.3833</v>
      </c>
      <c r="E1291" t="n">
        <v>17.8779</v>
      </c>
      <c r="F1291" t="n">
        <v>0.09356</v>
      </c>
    </row>
    <row r="1292">
      <c r="A1292" t="n">
        <v>2001089</v>
      </c>
      <c r="B1292" t="n">
        <v>2</v>
      </c>
      <c r="C1292" t="n">
        <v>1089</v>
      </c>
      <c r="D1292" t="n">
        <v>-0.3833</v>
      </c>
      <c r="E1292" t="n">
        <v>17.9152</v>
      </c>
      <c r="F1292" t="n">
        <v>0.09359000000000001</v>
      </c>
    </row>
    <row r="1293">
      <c r="A1293" t="n">
        <v>2001090</v>
      </c>
      <c r="B1293" t="n">
        <v>2</v>
      </c>
      <c r="C1293" t="n">
        <v>1090</v>
      </c>
      <c r="D1293" t="n">
        <v>-0.3833</v>
      </c>
      <c r="E1293" t="n">
        <v>17.9526</v>
      </c>
      <c r="F1293" t="n">
        <v>0.09363</v>
      </c>
    </row>
    <row r="1294">
      <c r="A1294" t="n">
        <v>2001091</v>
      </c>
      <c r="B1294" t="n">
        <v>2</v>
      </c>
      <c r="C1294" t="n">
        <v>1091</v>
      </c>
      <c r="D1294" t="n">
        <v>-0.3833</v>
      </c>
      <c r="E1294" t="n">
        <v>17.9901</v>
      </c>
      <c r="F1294" t="n">
        <v>0.09367</v>
      </c>
    </row>
    <row r="1295">
      <c r="A1295" t="n">
        <v>2001092</v>
      </c>
      <c r="B1295" t="n">
        <v>2</v>
      </c>
      <c r="C1295" t="n">
        <v>1092</v>
      </c>
      <c r="D1295" t="n">
        <v>-0.3833</v>
      </c>
      <c r="E1295" t="n">
        <v>18.0277</v>
      </c>
      <c r="F1295" t="n">
        <v>0.09371</v>
      </c>
    </row>
    <row r="1296">
      <c r="A1296" t="n">
        <v>2001093</v>
      </c>
      <c r="B1296" t="n">
        <v>2</v>
      </c>
      <c r="C1296" t="n">
        <v>1093</v>
      </c>
      <c r="D1296" t="n">
        <v>-0.3833</v>
      </c>
      <c r="E1296" t="n">
        <v>18.0654</v>
      </c>
      <c r="F1296" t="n">
        <v>0.09375</v>
      </c>
    </row>
    <row r="1297">
      <c r="A1297" t="n">
        <v>2001094</v>
      </c>
      <c r="B1297" t="n">
        <v>2</v>
      </c>
      <c r="C1297" t="n">
        <v>1094</v>
      </c>
      <c r="D1297" t="n">
        <v>-0.3833</v>
      </c>
      <c r="E1297" t="n">
        <v>18.1033</v>
      </c>
      <c r="F1297" t="n">
        <v>0.09378</v>
      </c>
    </row>
    <row r="1298">
      <c r="A1298" t="n">
        <v>2001095</v>
      </c>
      <c r="B1298" t="n">
        <v>2</v>
      </c>
      <c r="C1298" t="n">
        <v>1095</v>
      </c>
      <c r="D1298" t="n">
        <v>-0.3833</v>
      </c>
      <c r="E1298" t="n">
        <v>18.1412</v>
      </c>
      <c r="F1298" t="n">
        <v>0.09382</v>
      </c>
    </row>
    <row r="1299">
      <c r="A1299" t="n">
        <v>2001096</v>
      </c>
      <c r="B1299" t="n">
        <v>2</v>
      </c>
      <c r="C1299" t="n">
        <v>1096</v>
      </c>
      <c r="D1299" t="n">
        <v>-0.3833</v>
      </c>
      <c r="E1299" t="n">
        <v>18.1792</v>
      </c>
      <c r="F1299" t="n">
        <v>0.09386</v>
      </c>
    </row>
    <row r="1300">
      <c r="A1300" t="n">
        <v>2001097</v>
      </c>
      <c r="B1300" t="n">
        <v>2</v>
      </c>
      <c r="C1300" t="n">
        <v>1097</v>
      </c>
      <c r="D1300" t="n">
        <v>-0.3833</v>
      </c>
      <c r="E1300" t="n">
        <v>18.2174</v>
      </c>
      <c r="F1300" t="n">
        <v>0.0939</v>
      </c>
    </row>
    <row r="1301">
      <c r="A1301" t="n">
        <v>2001098</v>
      </c>
      <c r="B1301" t="n">
        <v>2</v>
      </c>
      <c r="C1301" t="n">
        <v>1098</v>
      </c>
      <c r="D1301" t="n">
        <v>-0.3833</v>
      </c>
      <c r="E1301" t="n">
        <v>18.2556</v>
      </c>
      <c r="F1301" t="n">
        <v>0.09394</v>
      </c>
    </row>
    <row r="1302">
      <c r="A1302" t="n">
        <v>2001099</v>
      </c>
      <c r="B1302" t="n">
        <v>2</v>
      </c>
      <c r="C1302" t="n">
        <v>1099</v>
      </c>
      <c r="D1302" t="n">
        <v>-0.3833</v>
      </c>
      <c r="E1302" t="n">
        <v>18.294</v>
      </c>
      <c r="F1302" t="n">
        <v>0.09397</v>
      </c>
    </row>
    <row r="1303">
      <c r="A1303" t="n">
        <v>2001100</v>
      </c>
      <c r="B1303" t="n">
        <v>2</v>
      </c>
      <c r="C1303" t="n">
        <v>1100</v>
      </c>
      <c r="D1303" t="n">
        <v>-0.3833</v>
      </c>
      <c r="E1303" t="n">
        <v>18.3324</v>
      </c>
      <c r="F1303" t="n">
        <v>0.09401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</t>
        </is>
      </c>
      <c r="B1" t="inlineStr">
        <is>
          <t>sexo</t>
        </is>
      </c>
      <c r="C1" t="inlineStr">
        <is>
          <t>chave</t>
        </is>
      </c>
      <c r="D1" t="inlineStr">
        <is>
          <t>l</t>
        </is>
      </c>
      <c r="E1" t="inlineStr">
        <is>
          <t>m</t>
        </is>
      </c>
      <c r="F1" t="inlineStr">
        <is>
          <t>s</t>
        </is>
      </c>
    </row>
    <row r="2">
      <c r="A2" t="n">
        <v>1000650</v>
      </c>
      <c r="B2" t="n">
        <v>1</v>
      </c>
      <c r="C2" t="n">
        <v>650</v>
      </c>
      <c r="D2" t="n">
        <v>-0.3521</v>
      </c>
      <c r="E2" t="n">
        <v>7.4327</v>
      </c>
      <c r="F2" t="n">
        <v>0.08217000000000001</v>
      </c>
    </row>
    <row r="3">
      <c r="A3" t="n">
        <v>1000651</v>
      </c>
      <c r="B3" t="n">
        <v>1</v>
      </c>
      <c r="C3" t="n">
        <v>651</v>
      </c>
      <c r="D3" t="n">
        <v>-0.3521</v>
      </c>
      <c r="E3" t="n">
        <v>7.4563</v>
      </c>
      <c r="F3" t="n">
        <v>0.08216</v>
      </c>
    </row>
    <row r="4">
      <c r="A4" t="n">
        <v>1000652</v>
      </c>
      <c r="B4" t="n">
        <v>1</v>
      </c>
      <c r="C4" t="n">
        <v>652</v>
      </c>
      <c r="D4" t="n">
        <v>-0.3521</v>
      </c>
      <c r="E4" t="n">
        <v>7.4799</v>
      </c>
      <c r="F4" t="n">
        <v>0.08216</v>
      </c>
    </row>
    <row r="5">
      <c r="A5" t="n">
        <v>1000653</v>
      </c>
      <c r="B5" t="n">
        <v>1</v>
      </c>
      <c r="C5" t="n">
        <v>653</v>
      </c>
      <c r="D5" t="n">
        <v>-0.3521</v>
      </c>
      <c r="E5" t="n">
        <v>7.5034</v>
      </c>
      <c r="F5" t="n">
        <v>0.08215</v>
      </c>
    </row>
    <row r="6">
      <c r="A6" t="n">
        <v>1000654</v>
      </c>
      <c r="B6" t="n">
        <v>1</v>
      </c>
      <c r="C6" t="n">
        <v>654</v>
      </c>
      <c r="D6" t="n">
        <v>-0.3521</v>
      </c>
      <c r="E6" t="n">
        <v>7.5269</v>
      </c>
      <c r="F6" t="n">
        <v>0.08214</v>
      </c>
    </row>
    <row r="7">
      <c r="A7" t="n">
        <v>1000655</v>
      </c>
      <c r="B7" t="n">
        <v>1</v>
      </c>
      <c r="C7" t="n">
        <v>655</v>
      </c>
      <c r="D7" t="n">
        <v>-0.3521</v>
      </c>
      <c r="E7" t="n">
        <v>7.5504</v>
      </c>
      <c r="F7" t="n">
        <v>0.08214</v>
      </c>
    </row>
    <row r="8">
      <c r="A8" t="n">
        <v>1000656</v>
      </c>
      <c r="B8" t="n">
        <v>1</v>
      </c>
      <c r="C8" t="n">
        <v>656</v>
      </c>
      <c r="D8" t="n">
        <v>-0.3521</v>
      </c>
      <c r="E8" t="n">
        <v>7.5738</v>
      </c>
      <c r="F8" t="n">
        <v>0.08214</v>
      </c>
    </row>
    <row r="9">
      <c r="A9" t="n">
        <v>1000657</v>
      </c>
      <c r="B9" t="n">
        <v>1</v>
      </c>
      <c r="C9" t="n">
        <v>657</v>
      </c>
      <c r="D9" t="n">
        <v>-0.3521</v>
      </c>
      <c r="E9" t="n">
        <v>7.5973</v>
      </c>
      <c r="F9" t="n">
        <v>0.08212999999999999</v>
      </c>
    </row>
    <row r="10">
      <c r="A10" t="n">
        <v>1000658</v>
      </c>
      <c r="B10" t="n">
        <v>1</v>
      </c>
      <c r="C10" t="n">
        <v>658</v>
      </c>
      <c r="D10" t="n">
        <v>-0.3521</v>
      </c>
      <c r="E10" t="n">
        <v>7.6206</v>
      </c>
      <c r="F10" t="n">
        <v>0.08212999999999999</v>
      </c>
    </row>
    <row r="11">
      <c r="A11" t="n">
        <v>1000659</v>
      </c>
      <c r="B11" t="n">
        <v>1</v>
      </c>
      <c r="C11" t="n">
        <v>659</v>
      </c>
      <c r="D11" t="n">
        <v>-0.3521</v>
      </c>
      <c r="E11" t="n">
        <v>7.644</v>
      </c>
      <c r="F11" t="n">
        <v>0.08212999999999999</v>
      </c>
    </row>
    <row r="12">
      <c r="A12" t="n">
        <v>1000660</v>
      </c>
      <c r="B12" t="n">
        <v>1</v>
      </c>
      <c r="C12" t="n">
        <v>660</v>
      </c>
      <c r="D12" t="n">
        <v>-0.3521</v>
      </c>
      <c r="E12" t="n">
        <v>7.6673</v>
      </c>
      <c r="F12" t="n">
        <v>0.08212</v>
      </c>
    </row>
    <row r="13">
      <c r="A13" t="n">
        <v>1000661</v>
      </c>
      <c r="B13" t="n">
        <v>1</v>
      </c>
      <c r="C13" t="n">
        <v>661</v>
      </c>
      <c r="D13" t="n">
        <v>-0.3521</v>
      </c>
      <c r="E13" t="n">
        <v>7.6906</v>
      </c>
      <c r="F13" t="n">
        <v>0.08212</v>
      </c>
    </row>
    <row r="14">
      <c r="A14" t="n">
        <v>1000662</v>
      </c>
      <c r="B14" t="n">
        <v>1</v>
      </c>
      <c r="C14" t="n">
        <v>662</v>
      </c>
      <c r="D14" t="n">
        <v>-0.3521</v>
      </c>
      <c r="E14" t="n">
        <v>7.7138</v>
      </c>
      <c r="F14" t="n">
        <v>0.08212</v>
      </c>
    </row>
    <row r="15">
      <c r="A15" t="n">
        <v>1000663</v>
      </c>
      <c r="B15" t="n">
        <v>1</v>
      </c>
      <c r="C15" t="n">
        <v>663</v>
      </c>
      <c r="D15" t="n">
        <v>-0.3521</v>
      </c>
      <c r="E15" t="n">
        <v>7.737</v>
      </c>
      <c r="F15" t="n">
        <v>0.08212</v>
      </c>
    </row>
    <row r="16">
      <c r="A16" t="n">
        <v>1000664</v>
      </c>
      <c r="B16" t="n">
        <v>1</v>
      </c>
      <c r="C16" t="n">
        <v>664</v>
      </c>
      <c r="D16" t="n">
        <v>-0.3521</v>
      </c>
      <c r="E16" t="n">
        <v>7.7602</v>
      </c>
      <c r="F16" t="n">
        <v>0.08212</v>
      </c>
    </row>
    <row r="17">
      <c r="A17" t="n">
        <v>1000665</v>
      </c>
      <c r="B17" t="n">
        <v>1</v>
      </c>
      <c r="C17" t="n">
        <v>665</v>
      </c>
      <c r="D17" t="n">
        <v>-0.3521</v>
      </c>
      <c r="E17" t="n">
        <v>7.7834</v>
      </c>
      <c r="F17" t="n">
        <v>0.08212</v>
      </c>
    </row>
    <row r="18">
      <c r="A18" t="n">
        <v>1000666</v>
      </c>
      <c r="B18" t="n">
        <v>1</v>
      </c>
      <c r="C18" t="n">
        <v>666</v>
      </c>
      <c r="D18" t="n">
        <v>-0.3521</v>
      </c>
      <c r="E18" t="n">
        <v>7.8065</v>
      </c>
      <c r="F18" t="n">
        <v>0.08212</v>
      </c>
    </row>
    <row r="19">
      <c r="A19" t="n">
        <v>1000667</v>
      </c>
      <c r="B19" t="n">
        <v>1</v>
      </c>
      <c r="C19" t="n">
        <v>667</v>
      </c>
      <c r="D19" t="n">
        <v>-0.3521</v>
      </c>
      <c r="E19" t="n">
        <v>7.8296</v>
      </c>
      <c r="F19" t="n">
        <v>0.08212</v>
      </c>
    </row>
    <row r="20">
      <c r="A20" t="n">
        <v>1000668</v>
      </c>
      <c r="B20" t="n">
        <v>1</v>
      </c>
      <c r="C20" t="n">
        <v>668</v>
      </c>
      <c r="D20" t="n">
        <v>-0.3521</v>
      </c>
      <c r="E20" t="n">
        <v>7.8526</v>
      </c>
      <c r="F20" t="n">
        <v>0.08212</v>
      </c>
    </row>
    <row r="21">
      <c r="A21" t="n">
        <v>1000669</v>
      </c>
      <c r="B21" t="n">
        <v>1</v>
      </c>
      <c r="C21" t="n">
        <v>669</v>
      </c>
      <c r="D21" t="n">
        <v>-0.3521</v>
      </c>
      <c r="E21" t="n">
        <v>7.8757</v>
      </c>
      <c r="F21" t="n">
        <v>0.08212</v>
      </c>
    </row>
    <row r="22">
      <c r="A22" t="n">
        <v>1000670</v>
      </c>
      <c r="B22" t="n">
        <v>1</v>
      </c>
      <c r="C22" t="n">
        <v>670</v>
      </c>
      <c r="D22" t="n">
        <v>-0.3521</v>
      </c>
      <c r="E22" t="n">
        <v>7.8986</v>
      </c>
      <c r="F22" t="n">
        <v>0.08212999999999999</v>
      </c>
    </row>
    <row r="23">
      <c r="A23" t="n">
        <v>1000671</v>
      </c>
      <c r="B23" t="n">
        <v>1</v>
      </c>
      <c r="C23" t="n">
        <v>671</v>
      </c>
      <c r="D23" t="n">
        <v>-0.3521</v>
      </c>
      <c r="E23" t="n">
        <v>7.9216</v>
      </c>
      <c r="F23" t="n">
        <v>0.08212999999999999</v>
      </c>
    </row>
    <row r="24">
      <c r="A24" t="n">
        <v>1000672</v>
      </c>
      <c r="B24" t="n">
        <v>1</v>
      </c>
      <c r="C24" t="n">
        <v>672</v>
      </c>
      <c r="D24" t="n">
        <v>-0.3521</v>
      </c>
      <c r="E24" t="n">
        <v>7.9445</v>
      </c>
      <c r="F24" t="n">
        <v>0.08212999999999999</v>
      </c>
    </row>
    <row r="25">
      <c r="A25" t="n">
        <v>1000673</v>
      </c>
      <c r="B25" t="n">
        <v>1</v>
      </c>
      <c r="C25" t="n">
        <v>673</v>
      </c>
      <c r="D25" t="n">
        <v>-0.3521</v>
      </c>
      <c r="E25" t="n">
        <v>7.9674</v>
      </c>
      <c r="F25" t="n">
        <v>0.08214</v>
      </c>
    </row>
    <row r="26">
      <c r="A26" t="n">
        <v>1000674</v>
      </c>
      <c r="B26" t="n">
        <v>1</v>
      </c>
      <c r="C26" t="n">
        <v>674</v>
      </c>
      <c r="D26" t="n">
        <v>-0.3521</v>
      </c>
      <c r="E26" t="n">
        <v>7.9903</v>
      </c>
      <c r="F26" t="n">
        <v>0.08214</v>
      </c>
    </row>
    <row r="27">
      <c r="A27" t="n">
        <v>1000675</v>
      </c>
      <c r="B27" t="n">
        <v>1</v>
      </c>
      <c r="C27" t="n">
        <v>675</v>
      </c>
      <c r="D27" t="n">
        <v>-0.3521</v>
      </c>
      <c r="E27" t="n">
        <v>8.013199999999999</v>
      </c>
      <c r="F27" t="n">
        <v>0.08214</v>
      </c>
    </row>
    <row r="28">
      <c r="A28" t="n">
        <v>1000676</v>
      </c>
      <c r="B28" t="n">
        <v>1</v>
      </c>
      <c r="C28" t="n">
        <v>676</v>
      </c>
      <c r="D28" t="n">
        <v>-0.3521</v>
      </c>
      <c r="E28" t="n">
        <v>8.036</v>
      </c>
      <c r="F28" t="n">
        <v>0.08215</v>
      </c>
    </row>
    <row r="29">
      <c r="A29" t="n">
        <v>1000677</v>
      </c>
      <c r="B29" t="n">
        <v>1</v>
      </c>
      <c r="C29" t="n">
        <v>677</v>
      </c>
      <c r="D29" t="n">
        <v>-0.3521</v>
      </c>
      <c r="E29" t="n">
        <v>8.0588</v>
      </c>
      <c r="F29" t="n">
        <v>0.08215</v>
      </c>
    </row>
    <row r="30">
      <c r="A30" t="n">
        <v>1000678</v>
      </c>
      <c r="B30" t="n">
        <v>1</v>
      </c>
      <c r="C30" t="n">
        <v>678</v>
      </c>
      <c r="D30" t="n">
        <v>-0.3521</v>
      </c>
      <c r="E30" t="n">
        <v>8.0816</v>
      </c>
      <c r="F30" t="n">
        <v>0.08216</v>
      </c>
    </row>
    <row r="31">
      <c r="A31" t="n">
        <v>1000679</v>
      </c>
      <c r="B31" t="n">
        <v>1</v>
      </c>
      <c r="C31" t="n">
        <v>679</v>
      </c>
      <c r="D31" t="n">
        <v>-0.3521</v>
      </c>
      <c r="E31" t="n">
        <v>8.1044</v>
      </c>
      <c r="F31" t="n">
        <v>0.08217000000000001</v>
      </c>
    </row>
    <row r="32">
      <c r="A32" t="n">
        <v>1000680</v>
      </c>
      <c r="B32" t="n">
        <v>1</v>
      </c>
      <c r="C32" t="n">
        <v>680</v>
      </c>
      <c r="D32" t="n">
        <v>-0.3521</v>
      </c>
      <c r="E32" t="n">
        <v>8.1272</v>
      </c>
      <c r="F32" t="n">
        <v>0.08217000000000001</v>
      </c>
    </row>
    <row r="33">
      <c r="A33" t="n">
        <v>1000681</v>
      </c>
      <c r="B33" t="n">
        <v>1</v>
      </c>
      <c r="C33" t="n">
        <v>681</v>
      </c>
      <c r="D33" t="n">
        <v>-0.3521</v>
      </c>
      <c r="E33" t="n">
        <v>8.15</v>
      </c>
      <c r="F33" t="n">
        <v>0.08218</v>
      </c>
    </row>
    <row r="34">
      <c r="A34" t="n">
        <v>1000682</v>
      </c>
      <c r="B34" t="n">
        <v>1</v>
      </c>
      <c r="C34" t="n">
        <v>682</v>
      </c>
      <c r="D34" t="n">
        <v>-0.3521</v>
      </c>
      <c r="E34" t="n">
        <v>8.172700000000001</v>
      </c>
      <c r="F34" t="n">
        <v>0.08219</v>
      </c>
    </row>
    <row r="35">
      <c r="A35" t="n">
        <v>1000683</v>
      </c>
      <c r="B35" t="n">
        <v>1</v>
      </c>
      <c r="C35" t="n">
        <v>683</v>
      </c>
      <c r="D35" t="n">
        <v>-0.3521</v>
      </c>
      <c r="E35" t="n">
        <v>8.195499999999999</v>
      </c>
      <c r="F35" t="n">
        <v>0.08219</v>
      </c>
    </row>
    <row r="36">
      <c r="A36" t="n">
        <v>1000684</v>
      </c>
      <c r="B36" t="n">
        <v>1</v>
      </c>
      <c r="C36" t="n">
        <v>684</v>
      </c>
      <c r="D36" t="n">
        <v>-0.3521</v>
      </c>
      <c r="E36" t="n">
        <v>8.218299999999999</v>
      </c>
      <c r="F36" t="n">
        <v>0.0822</v>
      </c>
    </row>
    <row r="37">
      <c r="A37" t="n">
        <v>1000685</v>
      </c>
      <c r="B37" t="n">
        <v>1</v>
      </c>
      <c r="C37" t="n">
        <v>685</v>
      </c>
      <c r="D37" t="n">
        <v>-0.3521</v>
      </c>
      <c r="E37" t="n">
        <v>8.241</v>
      </c>
      <c r="F37" t="n">
        <v>0.08221000000000001</v>
      </c>
    </row>
    <row r="38">
      <c r="A38" t="n">
        <v>1000686</v>
      </c>
      <c r="B38" t="n">
        <v>1</v>
      </c>
      <c r="C38" t="n">
        <v>686</v>
      </c>
      <c r="D38" t="n">
        <v>-0.3521</v>
      </c>
      <c r="E38" t="n">
        <v>8.2638</v>
      </c>
      <c r="F38" t="n">
        <v>0.08222</v>
      </c>
    </row>
    <row r="39">
      <c r="A39" t="n">
        <v>1000687</v>
      </c>
      <c r="B39" t="n">
        <v>1</v>
      </c>
      <c r="C39" t="n">
        <v>687</v>
      </c>
      <c r="D39" t="n">
        <v>-0.3521</v>
      </c>
      <c r="E39" t="n">
        <v>8.2865</v>
      </c>
      <c r="F39" t="n">
        <v>0.08223</v>
      </c>
    </row>
    <row r="40">
      <c r="A40" t="n">
        <v>1000688</v>
      </c>
      <c r="B40" t="n">
        <v>1</v>
      </c>
      <c r="C40" t="n">
        <v>688</v>
      </c>
      <c r="D40" t="n">
        <v>-0.3521</v>
      </c>
      <c r="E40" t="n">
        <v>8.309200000000001</v>
      </c>
      <c r="F40" t="n">
        <v>0.08223999999999999</v>
      </c>
    </row>
    <row r="41">
      <c r="A41" t="n">
        <v>1000689</v>
      </c>
      <c r="B41" t="n">
        <v>1</v>
      </c>
      <c r="C41" t="n">
        <v>689</v>
      </c>
      <c r="D41" t="n">
        <v>-0.3521</v>
      </c>
      <c r="E41" t="n">
        <v>8.332000000000001</v>
      </c>
      <c r="F41" t="n">
        <v>0.08225</v>
      </c>
    </row>
    <row r="42">
      <c r="A42" t="n">
        <v>1000690</v>
      </c>
      <c r="B42" t="n">
        <v>1</v>
      </c>
      <c r="C42" t="n">
        <v>690</v>
      </c>
      <c r="D42" t="n">
        <v>-0.3521</v>
      </c>
      <c r="E42" t="n">
        <v>8.354699999999999</v>
      </c>
      <c r="F42" t="n">
        <v>0.08226</v>
      </c>
    </row>
    <row r="43">
      <c r="A43" t="n">
        <v>1000691</v>
      </c>
      <c r="B43" t="n">
        <v>1</v>
      </c>
      <c r="C43" t="n">
        <v>691</v>
      </c>
      <c r="D43" t="n">
        <v>-0.3521</v>
      </c>
      <c r="E43" t="n">
        <v>8.3774</v>
      </c>
      <c r="F43" t="n">
        <v>0.08227</v>
      </c>
    </row>
    <row r="44">
      <c r="A44" t="n">
        <v>1000692</v>
      </c>
      <c r="B44" t="n">
        <v>1</v>
      </c>
      <c r="C44" t="n">
        <v>692</v>
      </c>
      <c r="D44" t="n">
        <v>-0.3521</v>
      </c>
      <c r="E44" t="n">
        <v>8.4001</v>
      </c>
      <c r="F44" t="n">
        <v>0.08228000000000001</v>
      </c>
    </row>
    <row r="45">
      <c r="A45" t="n">
        <v>1000693</v>
      </c>
      <c r="B45" t="n">
        <v>1</v>
      </c>
      <c r="C45" t="n">
        <v>693</v>
      </c>
      <c r="D45" t="n">
        <v>-0.3521</v>
      </c>
      <c r="E45" t="n">
        <v>8.422700000000001</v>
      </c>
      <c r="F45" t="n">
        <v>0.08229</v>
      </c>
    </row>
    <row r="46">
      <c r="A46" t="n">
        <v>1000694</v>
      </c>
      <c r="B46" t="n">
        <v>1</v>
      </c>
      <c r="C46" t="n">
        <v>694</v>
      </c>
      <c r="D46" t="n">
        <v>-0.3521</v>
      </c>
      <c r="E46" t="n">
        <v>8.445399999999999</v>
      </c>
      <c r="F46" t="n">
        <v>0.0823</v>
      </c>
    </row>
    <row r="47">
      <c r="A47" t="n">
        <v>1000695</v>
      </c>
      <c r="B47" t="n">
        <v>1</v>
      </c>
      <c r="C47" t="n">
        <v>695</v>
      </c>
      <c r="D47" t="n">
        <v>-0.3521</v>
      </c>
      <c r="E47" t="n">
        <v>8.468</v>
      </c>
      <c r="F47" t="n">
        <v>0.08230999999999999</v>
      </c>
    </row>
    <row r="48">
      <c r="A48" t="n">
        <v>1000696</v>
      </c>
      <c r="B48" t="n">
        <v>1</v>
      </c>
      <c r="C48" t="n">
        <v>696</v>
      </c>
      <c r="D48" t="n">
        <v>-0.3521</v>
      </c>
      <c r="E48" t="n">
        <v>8.490600000000001</v>
      </c>
      <c r="F48" t="n">
        <v>0.08232</v>
      </c>
    </row>
    <row r="49">
      <c r="A49" t="n">
        <v>1000697</v>
      </c>
      <c r="B49" t="n">
        <v>1</v>
      </c>
      <c r="C49" t="n">
        <v>697</v>
      </c>
      <c r="D49" t="n">
        <v>-0.3521</v>
      </c>
      <c r="E49" t="n">
        <v>8.513199999999999</v>
      </c>
      <c r="F49" t="n">
        <v>0.08233</v>
      </c>
    </row>
    <row r="50">
      <c r="A50" t="n">
        <v>1000698</v>
      </c>
      <c r="B50" t="n">
        <v>1</v>
      </c>
      <c r="C50" t="n">
        <v>698</v>
      </c>
      <c r="D50" t="n">
        <v>-0.3521</v>
      </c>
      <c r="E50" t="n">
        <v>8.5358</v>
      </c>
      <c r="F50" t="n">
        <v>0.08235000000000001</v>
      </c>
    </row>
    <row r="51">
      <c r="A51" t="n">
        <v>1000699</v>
      </c>
      <c r="B51" t="n">
        <v>1</v>
      </c>
      <c r="C51" t="n">
        <v>699</v>
      </c>
      <c r="D51" t="n">
        <v>-0.3521</v>
      </c>
      <c r="E51" t="n">
        <v>8.558299999999999</v>
      </c>
      <c r="F51" t="n">
        <v>0.08236</v>
      </c>
    </row>
    <row r="52">
      <c r="A52" t="n">
        <v>1000700</v>
      </c>
      <c r="B52" t="n">
        <v>1</v>
      </c>
      <c r="C52" t="n">
        <v>700</v>
      </c>
      <c r="D52" t="n">
        <v>-0.3521</v>
      </c>
      <c r="E52" t="n">
        <v>8.5808</v>
      </c>
      <c r="F52" t="n">
        <v>0.08237</v>
      </c>
    </row>
    <row r="53">
      <c r="A53" t="n">
        <v>1000701</v>
      </c>
      <c r="B53" t="n">
        <v>1</v>
      </c>
      <c r="C53" t="n">
        <v>701</v>
      </c>
      <c r="D53" t="n">
        <v>-0.3521</v>
      </c>
      <c r="E53" t="n">
        <v>8.603199999999999</v>
      </c>
      <c r="F53" t="n">
        <v>0.08237999999999999</v>
      </c>
    </row>
    <row r="54">
      <c r="A54" t="n">
        <v>1000702</v>
      </c>
      <c r="B54" t="n">
        <v>1</v>
      </c>
      <c r="C54" t="n">
        <v>702</v>
      </c>
      <c r="D54" t="n">
        <v>-0.3521</v>
      </c>
      <c r="E54" t="n">
        <v>8.6257</v>
      </c>
      <c r="F54" t="n">
        <v>0.0824</v>
      </c>
    </row>
    <row r="55">
      <c r="A55" t="n">
        <v>1000703</v>
      </c>
      <c r="B55" t="n">
        <v>1</v>
      </c>
      <c r="C55" t="n">
        <v>703</v>
      </c>
      <c r="D55" t="n">
        <v>-0.3521</v>
      </c>
      <c r="E55" t="n">
        <v>8.648</v>
      </c>
      <c r="F55" t="n">
        <v>0.08241</v>
      </c>
    </row>
    <row r="56">
      <c r="A56" t="n">
        <v>1000704</v>
      </c>
      <c r="B56" t="n">
        <v>1</v>
      </c>
      <c r="C56" t="n">
        <v>704</v>
      </c>
      <c r="D56" t="n">
        <v>-0.3521</v>
      </c>
      <c r="E56" t="n">
        <v>8.670400000000001</v>
      </c>
      <c r="F56" t="n">
        <v>0.08241999999999999</v>
      </c>
    </row>
    <row r="57">
      <c r="A57" t="n">
        <v>1000705</v>
      </c>
      <c r="B57" t="n">
        <v>1</v>
      </c>
      <c r="C57" t="n">
        <v>705</v>
      </c>
      <c r="D57" t="n">
        <v>-0.3521</v>
      </c>
      <c r="E57" t="n">
        <v>8.6927</v>
      </c>
      <c r="F57" t="n">
        <v>0.08243</v>
      </c>
    </row>
    <row r="58">
      <c r="A58" t="n">
        <v>1000706</v>
      </c>
      <c r="B58" t="n">
        <v>1</v>
      </c>
      <c r="C58" t="n">
        <v>706</v>
      </c>
      <c r="D58" t="n">
        <v>-0.3521</v>
      </c>
      <c r="E58" t="n">
        <v>8.715</v>
      </c>
      <c r="F58" t="n">
        <v>0.08245</v>
      </c>
    </row>
    <row r="59">
      <c r="A59" t="n">
        <v>1000707</v>
      </c>
      <c r="B59" t="n">
        <v>1</v>
      </c>
      <c r="C59" t="n">
        <v>707</v>
      </c>
      <c r="D59" t="n">
        <v>-0.3521</v>
      </c>
      <c r="E59" t="n">
        <v>8.7372</v>
      </c>
      <c r="F59" t="n">
        <v>0.08246000000000001</v>
      </c>
    </row>
    <row r="60">
      <c r="A60" t="n">
        <v>1000708</v>
      </c>
      <c r="B60" t="n">
        <v>1</v>
      </c>
      <c r="C60" t="n">
        <v>708</v>
      </c>
      <c r="D60" t="n">
        <v>-0.3521</v>
      </c>
      <c r="E60" t="n">
        <v>8.759399999999999</v>
      </c>
      <c r="F60" t="n">
        <v>0.08248</v>
      </c>
    </row>
    <row r="61">
      <c r="A61" t="n">
        <v>1000709</v>
      </c>
      <c r="B61" t="n">
        <v>1</v>
      </c>
      <c r="C61" t="n">
        <v>709</v>
      </c>
      <c r="D61" t="n">
        <v>-0.3521</v>
      </c>
      <c r="E61" t="n">
        <v>8.781499999999999</v>
      </c>
      <c r="F61" t="n">
        <v>0.08248999999999999</v>
      </c>
    </row>
    <row r="62">
      <c r="A62" t="n">
        <v>1000710</v>
      </c>
      <c r="B62" t="n">
        <v>1</v>
      </c>
      <c r="C62" t="n">
        <v>710</v>
      </c>
      <c r="D62" t="n">
        <v>-0.3521</v>
      </c>
      <c r="E62" t="n">
        <v>8.803599999999999</v>
      </c>
      <c r="F62" t="n">
        <v>0.0825</v>
      </c>
    </row>
    <row r="63">
      <c r="A63" t="n">
        <v>1000711</v>
      </c>
      <c r="B63" t="n">
        <v>1</v>
      </c>
      <c r="C63" t="n">
        <v>711</v>
      </c>
      <c r="D63" t="n">
        <v>-0.3521</v>
      </c>
      <c r="E63" t="n">
        <v>8.825699999999999</v>
      </c>
      <c r="F63" t="n">
        <v>0.08252</v>
      </c>
    </row>
    <row r="64">
      <c r="A64" t="n">
        <v>1000712</v>
      </c>
      <c r="B64" t="n">
        <v>1</v>
      </c>
      <c r="C64" t="n">
        <v>712</v>
      </c>
      <c r="D64" t="n">
        <v>-0.3521</v>
      </c>
      <c r="E64" t="n">
        <v>8.8477</v>
      </c>
      <c r="F64" t="n">
        <v>0.08253000000000001</v>
      </c>
    </row>
    <row r="65">
      <c r="A65" t="n">
        <v>1000713</v>
      </c>
      <c r="B65" t="n">
        <v>1</v>
      </c>
      <c r="C65" t="n">
        <v>713</v>
      </c>
      <c r="D65" t="n">
        <v>-0.3521</v>
      </c>
      <c r="E65" t="n">
        <v>8.8697</v>
      </c>
      <c r="F65" t="n">
        <v>0.08254</v>
      </c>
    </row>
    <row r="66">
      <c r="A66" t="n">
        <v>1000714</v>
      </c>
      <c r="B66" t="n">
        <v>1</v>
      </c>
      <c r="C66" t="n">
        <v>714</v>
      </c>
      <c r="D66" t="n">
        <v>-0.3521</v>
      </c>
      <c r="E66" t="n">
        <v>8.8916</v>
      </c>
      <c r="F66" t="n">
        <v>0.08255999999999999</v>
      </c>
    </row>
    <row r="67">
      <c r="A67" t="n">
        <v>1000715</v>
      </c>
      <c r="B67" t="n">
        <v>1</v>
      </c>
      <c r="C67" t="n">
        <v>715</v>
      </c>
      <c r="D67" t="n">
        <v>-0.3521</v>
      </c>
      <c r="E67" t="n">
        <v>8.913500000000001</v>
      </c>
      <c r="F67" t="n">
        <v>0.08257</v>
      </c>
    </row>
    <row r="68">
      <c r="A68" t="n">
        <v>1000716</v>
      </c>
      <c r="B68" t="n">
        <v>1</v>
      </c>
      <c r="C68" t="n">
        <v>716</v>
      </c>
      <c r="D68" t="n">
        <v>-0.3521</v>
      </c>
      <c r="E68" t="n">
        <v>8.9353</v>
      </c>
      <c r="F68" t="n">
        <v>0.08259</v>
      </c>
    </row>
    <row r="69">
      <c r="A69" t="n">
        <v>1000717</v>
      </c>
      <c r="B69" t="n">
        <v>1</v>
      </c>
      <c r="C69" t="n">
        <v>717</v>
      </c>
      <c r="D69" t="n">
        <v>-0.3521</v>
      </c>
      <c r="E69" t="n">
        <v>8.957100000000001</v>
      </c>
      <c r="F69" t="n">
        <v>0.08260000000000001</v>
      </c>
    </row>
    <row r="70">
      <c r="A70" t="n">
        <v>1000718</v>
      </c>
      <c r="B70" t="n">
        <v>1</v>
      </c>
      <c r="C70" t="n">
        <v>718</v>
      </c>
      <c r="D70" t="n">
        <v>-0.3521</v>
      </c>
      <c r="E70" t="n">
        <v>8.9788</v>
      </c>
      <c r="F70" t="n">
        <v>0.08262</v>
      </c>
    </row>
    <row r="71">
      <c r="A71" t="n">
        <v>1000719</v>
      </c>
      <c r="B71" t="n">
        <v>1</v>
      </c>
      <c r="C71" t="n">
        <v>719</v>
      </c>
      <c r="D71" t="n">
        <v>-0.3521</v>
      </c>
      <c r="E71" t="n">
        <v>9.000500000000001</v>
      </c>
      <c r="F71" t="n">
        <v>0.08263</v>
      </c>
    </row>
    <row r="72">
      <c r="A72" t="n">
        <v>1000720</v>
      </c>
      <c r="B72" t="n">
        <v>1</v>
      </c>
      <c r="C72" t="n">
        <v>720</v>
      </c>
      <c r="D72" t="n">
        <v>-0.3521</v>
      </c>
      <c r="E72" t="n">
        <v>9.0221</v>
      </c>
      <c r="F72" t="n">
        <v>0.08264000000000001</v>
      </c>
    </row>
    <row r="73">
      <c r="A73" t="n">
        <v>1000721</v>
      </c>
      <c r="B73" t="n">
        <v>1</v>
      </c>
      <c r="C73" t="n">
        <v>721</v>
      </c>
      <c r="D73" t="n">
        <v>-0.3521</v>
      </c>
      <c r="E73" t="n">
        <v>9.0436</v>
      </c>
      <c r="F73" t="n">
        <v>0.08266</v>
      </c>
    </row>
    <row r="74">
      <c r="A74" t="n">
        <v>1000722</v>
      </c>
      <c r="B74" t="n">
        <v>1</v>
      </c>
      <c r="C74" t="n">
        <v>722</v>
      </c>
      <c r="D74" t="n">
        <v>-0.3521</v>
      </c>
      <c r="E74" t="n">
        <v>9.065099999999999</v>
      </c>
      <c r="F74" t="n">
        <v>0.08266999999999999</v>
      </c>
    </row>
    <row r="75">
      <c r="A75" t="n">
        <v>1000723</v>
      </c>
      <c r="B75" t="n">
        <v>1</v>
      </c>
      <c r="C75" t="n">
        <v>723</v>
      </c>
      <c r="D75" t="n">
        <v>-0.3521</v>
      </c>
      <c r="E75" t="n">
        <v>9.086499999999999</v>
      </c>
      <c r="F75" t="n">
        <v>0.08269</v>
      </c>
    </row>
    <row r="76">
      <c r="A76" t="n">
        <v>1000724</v>
      </c>
      <c r="B76" t="n">
        <v>1</v>
      </c>
      <c r="C76" t="n">
        <v>724</v>
      </c>
      <c r="D76" t="n">
        <v>-0.3521</v>
      </c>
      <c r="E76" t="n">
        <v>9.107900000000001</v>
      </c>
      <c r="F76" t="n">
        <v>0.0827</v>
      </c>
    </row>
    <row r="77">
      <c r="A77" t="n">
        <v>1000725</v>
      </c>
      <c r="B77" t="n">
        <v>1</v>
      </c>
      <c r="C77" t="n">
        <v>725</v>
      </c>
      <c r="D77" t="n">
        <v>-0.3521</v>
      </c>
      <c r="E77" t="n">
        <v>9.129200000000001</v>
      </c>
      <c r="F77" t="n">
        <v>0.08272</v>
      </c>
    </row>
    <row r="78">
      <c r="A78" t="n">
        <v>1000726</v>
      </c>
      <c r="B78" t="n">
        <v>1</v>
      </c>
      <c r="C78" t="n">
        <v>726</v>
      </c>
      <c r="D78" t="n">
        <v>-0.3521</v>
      </c>
      <c r="E78" t="n">
        <v>9.150399999999999</v>
      </c>
      <c r="F78" t="n">
        <v>0.08273</v>
      </c>
    </row>
    <row r="79">
      <c r="A79" t="n">
        <v>1000727</v>
      </c>
      <c r="B79" t="n">
        <v>1</v>
      </c>
      <c r="C79" t="n">
        <v>727</v>
      </c>
      <c r="D79" t="n">
        <v>-0.3521</v>
      </c>
      <c r="E79" t="n">
        <v>9.1716</v>
      </c>
      <c r="F79" t="n">
        <v>0.08273999999999999</v>
      </c>
    </row>
    <row r="80">
      <c r="A80" t="n">
        <v>1000728</v>
      </c>
      <c r="B80" t="n">
        <v>1</v>
      </c>
      <c r="C80" t="n">
        <v>728</v>
      </c>
      <c r="D80" t="n">
        <v>-0.3521</v>
      </c>
      <c r="E80" t="n">
        <v>9.1927</v>
      </c>
      <c r="F80" t="n">
        <v>0.08276</v>
      </c>
    </row>
    <row r="81">
      <c r="A81" t="n">
        <v>1000729</v>
      </c>
      <c r="B81" t="n">
        <v>1</v>
      </c>
      <c r="C81" t="n">
        <v>729</v>
      </c>
      <c r="D81" t="n">
        <v>-0.3521</v>
      </c>
      <c r="E81" t="n">
        <v>9.213699999999999</v>
      </c>
      <c r="F81" t="n">
        <v>0.08277</v>
      </c>
    </row>
    <row r="82">
      <c r="A82" t="n">
        <v>1000730</v>
      </c>
      <c r="B82" t="n">
        <v>1</v>
      </c>
      <c r="C82" t="n">
        <v>730</v>
      </c>
      <c r="D82" t="n">
        <v>-0.3521</v>
      </c>
      <c r="E82" t="n">
        <v>9.2347</v>
      </c>
      <c r="F82" t="n">
        <v>0.08278000000000001</v>
      </c>
    </row>
    <row r="83">
      <c r="A83" t="n">
        <v>1000731</v>
      </c>
      <c r="B83" t="n">
        <v>1</v>
      </c>
      <c r="C83" t="n">
        <v>731</v>
      </c>
      <c r="D83" t="n">
        <v>-0.3521</v>
      </c>
      <c r="E83" t="n">
        <v>9.255699999999999</v>
      </c>
      <c r="F83" t="n">
        <v>0.0828</v>
      </c>
    </row>
    <row r="84">
      <c r="A84" t="n">
        <v>1000732</v>
      </c>
      <c r="B84" t="n">
        <v>1</v>
      </c>
      <c r="C84" t="n">
        <v>732</v>
      </c>
      <c r="D84" t="n">
        <v>-0.3521</v>
      </c>
      <c r="E84" t="n">
        <v>9.2766</v>
      </c>
      <c r="F84" t="n">
        <v>0.08280999999999999</v>
      </c>
    </row>
    <row r="85">
      <c r="A85" t="n">
        <v>1000733</v>
      </c>
      <c r="B85" t="n">
        <v>1</v>
      </c>
      <c r="C85" t="n">
        <v>733</v>
      </c>
      <c r="D85" t="n">
        <v>-0.3521</v>
      </c>
      <c r="E85" t="n">
        <v>9.2974</v>
      </c>
      <c r="F85" t="n">
        <v>0.08283</v>
      </c>
    </row>
    <row r="86">
      <c r="A86" t="n">
        <v>1000734</v>
      </c>
      <c r="B86" t="n">
        <v>1</v>
      </c>
      <c r="C86" t="n">
        <v>734</v>
      </c>
      <c r="D86" t="n">
        <v>-0.3521</v>
      </c>
      <c r="E86" t="n">
        <v>9.318199999999999</v>
      </c>
      <c r="F86" t="n">
        <v>0.08284</v>
      </c>
    </row>
    <row r="87">
      <c r="A87" t="n">
        <v>1000735</v>
      </c>
      <c r="B87" t="n">
        <v>1</v>
      </c>
      <c r="C87" t="n">
        <v>735</v>
      </c>
      <c r="D87" t="n">
        <v>-0.3521</v>
      </c>
      <c r="E87" t="n">
        <v>9.339</v>
      </c>
      <c r="F87" t="n">
        <v>0.08284999999999999</v>
      </c>
    </row>
    <row r="88">
      <c r="A88" t="n">
        <v>1000736</v>
      </c>
      <c r="B88" t="n">
        <v>1</v>
      </c>
      <c r="C88" t="n">
        <v>736</v>
      </c>
      <c r="D88" t="n">
        <v>-0.3521</v>
      </c>
      <c r="E88" t="n">
        <v>9.3597</v>
      </c>
      <c r="F88" t="n">
        <v>0.08287</v>
      </c>
    </row>
    <row r="89">
      <c r="A89" t="n">
        <v>1000737</v>
      </c>
      <c r="B89" t="n">
        <v>1</v>
      </c>
      <c r="C89" t="n">
        <v>737</v>
      </c>
      <c r="D89" t="n">
        <v>-0.3521</v>
      </c>
      <c r="E89" t="n">
        <v>9.3803</v>
      </c>
      <c r="F89" t="n">
        <v>0.08288</v>
      </c>
    </row>
    <row r="90">
      <c r="A90" t="n">
        <v>1000738</v>
      </c>
      <c r="B90" t="n">
        <v>1</v>
      </c>
      <c r="C90" t="n">
        <v>738</v>
      </c>
      <c r="D90" t="n">
        <v>-0.3521</v>
      </c>
      <c r="E90" t="n">
        <v>9.401</v>
      </c>
      <c r="F90" t="n">
        <v>0.08289000000000001</v>
      </c>
    </row>
    <row r="91">
      <c r="A91" t="n">
        <v>1000739</v>
      </c>
      <c r="B91" t="n">
        <v>1</v>
      </c>
      <c r="C91" t="n">
        <v>739</v>
      </c>
      <c r="D91" t="n">
        <v>-0.3521</v>
      </c>
      <c r="E91" t="n">
        <v>9.4215</v>
      </c>
      <c r="F91" t="n">
        <v>0.0829</v>
      </c>
    </row>
    <row r="92">
      <c r="A92" t="n">
        <v>1000740</v>
      </c>
      <c r="B92" t="n">
        <v>1</v>
      </c>
      <c r="C92" t="n">
        <v>740</v>
      </c>
      <c r="D92" t="n">
        <v>-0.3521</v>
      </c>
      <c r="E92" t="n">
        <v>9.442</v>
      </c>
      <c r="F92" t="n">
        <v>0.08291999999999999</v>
      </c>
    </row>
    <row r="93">
      <c r="A93" t="n">
        <v>1000741</v>
      </c>
      <c r="B93" t="n">
        <v>1</v>
      </c>
      <c r="C93" t="n">
        <v>741</v>
      </c>
      <c r="D93" t="n">
        <v>-0.3521</v>
      </c>
      <c r="E93" t="n">
        <v>9.4625</v>
      </c>
      <c r="F93" t="n">
        <v>0.08293</v>
      </c>
    </row>
    <row r="94">
      <c r="A94" t="n">
        <v>1000742</v>
      </c>
      <c r="B94" t="n">
        <v>1</v>
      </c>
      <c r="C94" t="n">
        <v>742</v>
      </c>
      <c r="D94" t="n">
        <v>-0.3521</v>
      </c>
      <c r="E94" t="n">
        <v>9.482900000000001</v>
      </c>
      <c r="F94" t="n">
        <v>0.08294</v>
      </c>
    </row>
    <row r="95">
      <c r="A95" t="n">
        <v>1000743</v>
      </c>
      <c r="B95" t="n">
        <v>1</v>
      </c>
      <c r="C95" t="n">
        <v>743</v>
      </c>
      <c r="D95" t="n">
        <v>-0.3521</v>
      </c>
      <c r="E95" t="n">
        <v>9.5032</v>
      </c>
      <c r="F95" t="n">
        <v>0.08295</v>
      </c>
    </row>
    <row r="96">
      <c r="A96" t="n">
        <v>1000744</v>
      </c>
      <c r="B96" t="n">
        <v>1</v>
      </c>
      <c r="C96" t="n">
        <v>744</v>
      </c>
      <c r="D96" t="n">
        <v>-0.3521</v>
      </c>
      <c r="E96" t="n">
        <v>9.5235</v>
      </c>
      <c r="F96" t="n">
        <v>0.08297</v>
      </c>
    </row>
    <row r="97">
      <c r="A97" t="n">
        <v>1000745</v>
      </c>
      <c r="B97" t="n">
        <v>1</v>
      </c>
      <c r="C97" t="n">
        <v>745</v>
      </c>
      <c r="D97" t="n">
        <v>-0.3521</v>
      </c>
      <c r="E97" t="n">
        <v>9.543799999999999</v>
      </c>
      <c r="F97" t="n">
        <v>0.08298</v>
      </c>
    </row>
    <row r="98">
      <c r="A98" t="n">
        <v>1000746</v>
      </c>
      <c r="B98" t="n">
        <v>1</v>
      </c>
      <c r="C98" t="n">
        <v>746</v>
      </c>
      <c r="D98" t="n">
        <v>-0.3521</v>
      </c>
      <c r="E98" t="n">
        <v>9.5639</v>
      </c>
      <c r="F98" t="n">
        <v>0.08298999999999999</v>
      </c>
    </row>
    <row r="99">
      <c r="A99" t="n">
        <v>1000747</v>
      </c>
      <c r="B99" t="n">
        <v>1</v>
      </c>
      <c r="C99" t="n">
        <v>747</v>
      </c>
      <c r="D99" t="n">
        <v>-0.3521</v>
      </c>
      <c r="E99" t="n">
        <v>9.584099999999999</v>
      </c>
      <c r="F99" t="n">
        <v>0.083</v>
      </c>
    </row>
    <row r="100">
      <c r="A100" t="n">
        <v>1000748</v>
      </c>
      <c r="B100" t="n">
        <v>1</v>
      </c>
      <c r="C100" t="n">
        <v>748</v>
      </c>
      <c r="D100" t="n">
        <v>-0.3521</v>
      </c>
      <c r="E100" t="n">
        <v>9.604100000000001</v>
      </c>
      <c r="F100" t="n">
        <v>0.08301</v>
      </c>
    </row>
    <row r="101">
      <c r="A101" t="n">
        <v>1000749</v>
      </c>
      <c r="B101" t="n">
        <v>1</v>
      </c>
      <c r="C101" t="n">
        <v>749</v>
      </c>
      <c r="D101" t="n">
        <v>-0.3521</v>
      </c>
      <c r="E101" t="n">
        <v>9.6241</v>
      </c>
      <c r="F101" t="n">
        <v>0.08302</v>
      </c>
    </row>
    <row r="102">
      <c r="A102" t="n">
        <v>1000750</v>
      </c>
      <c r="B102" t="n">
        <v>1</v>
      </c>
      <c r="C102" t="n">
        <v>750</v>
      </c>
      <c r="D102" t="n">
        <v>-0.3521</v>
      </c>
      <c r="E102" t="n">
        <v>9.644</v>
      </c>
      <c r="F102" t="n">
        <v>0.08303000000000001</v>
      </c>
    </row>
    <row r="103">
      <c r="A103" t="n">
        <v>1000751</v>
      </c>
      <c r="B103" t="n">
        <v>1</v>
      </c>
      <c r="C103" t="n">
        <v>751</v>
      </c>
      <c r="D103" t="n">
        <v>-0.3521</v>
      </c>
      <c r="E103" t="n">
        <v>9.6639</v>
      </c>
      <c r="F103" t="n">
        <v>0.08305</v>
      </c>
    </row>
    <row r="104">
      <c r="A104" t="n">
        <v>1000752</v>
      </c>
      <c r="B104" t="n">
        <v>1</v>
      </c>
      <c r="C104" t="n">
        <v>752</v>
      </c>
      <c r="D104" t="n">
        <v>-0.3521</v>
      </c>
      <c r="E104" t="n">
        <v>9.6836</v>
      </c>
      <c r="F104" t="n">
        <v>0.08305999999999999</v>
      </c>
    </row>
    <row r="105">
      <c r="A105" t="n">
        <v>1000753</v>
      </c>
      <c r="B105" t="n">
        <v>1</v>
      </c>
      <c r="C105" t="n">
        <v>753</v>
      </c>
      <c r="D105" t="n">
        <v>-0.3521</v>
      </c>
      <c r="E105" t="n">
        <v>9.7033</v>
      </c>
      <c r="F105" t="n">
        <v>0.08307</v>
      </c>
    </row>
    <row r="106">
      <c r="A106" t="n">
        <v>1000754</v>
      </c>
      <c r="B106" t="n">
        <v>1</v>
      </c>
      <c r="C106" t="n">
        <v>754</v>
      </c>
      <c r="D106" t="n">
        <v>-0.3521</v>
      </c>
      <c r="E106" t="n">
        <v>9.723000000000001</v>
      </c>
      <c r="F106" t="n">
        <v>0.08307</v>
      </c>
    </row>
    <row r="107">
      <c r="A107" t="n">
        <v>1000755</v>
      </c>
      <c r="B107" t="n">
        <v>1</v>
      </c>
      <c r="C107" t="n">
        <v>755</v>
      </c>
      <c r="D107" t="n">
        <v>-0.3521</v>
      </c>
      <c r="E107" t="n">
        <v>9.7425</v>
      </c>
      <c r="F107" t="n">
        <v>0.08308</v>
      </c>
    </row>
    <row r="108">
      <c r="A108" t="n">
        <v>1000756</v>
      </c>
      <c r="B108" t="n">
        <v>1</v>
      </c>
      <c r="C108" t="n">
        <v>756</v>
      </c>
      <c r="D108" t="n">
        <v>-0.3521</v>
      </c>
      <c r="E108" t="n">
        <v>9.762</v>
      </c>
      <c r="F108" t="n">
        <v>0.08309</v>
      </c>
    </row>
    <row r="109">
      <c r="A109" t="n">
        <v>1000757</v>
      </c>
      <c r="B109" t="n">
        <v>1</v>
      </c>
      <c r="C109" t="n">
        <v>757</v>
      </c>
      <c r="D109" t="n">
        <v>-0.3521</v>
      </c>
      <c r="E109" t="n">
        <v>9.7814</v>
      </c>
      <c r="F109" t="n">
        <v>0.08309999999999999</v>
      </c>
    </row>
    <row r="110">
      <c r="A110" t="n">
        <v>1000758</v>
      </c>
      <c r="B110" t="n">
        <v>1</v>
      </c>
      <c r="C110" t="n">
        <v>758</v>
      </c>
      <c r="D110" t="n">
        <v>-0.3521</v>
      </c>
      <c r="E110" t="n">
        <v>9.800700000000001</v>
      </c>
      <c r="F110" t="n">
        <v>0.08311</v>
      </c>
    </row>
    <row r="111">
      <c r="A111" t="n">
        <v>1000759</v>
      </c>
      <c r="B111" t="n">
        <v>1</v>
      </c>
      <c r="C111" t="n">
        <v>759</v>
      </c>
      <c r="D111" t="n">
        <v>-0.3521</v>
      </c>
      <c r="E111" t="n">
        <v>9.82</v>
      </c>
      <c r="F111" t="n">
        <v>0.08312</v>
      </c>
    </row>
    <row r="112">
      <c r="A112" t="n">
        <v>1000760</v>
      </c>
      <c r="B112" t="n">
        <v>1</v>
      </c>
      <c r="C112" t="n">
        <v>760</v>
      </c>
      <c r="D112" t="n">
        <v>-0.3521</v>
      </c>
      <c r="E112" t="n">
        <v>9.8392</v>
      </c>
      <c r="F112" t="n">
        <v>0.08312</v>
      </c>
    </row>
    <row r="113">
      <c r="A113" t="n">
        <v>1000761</v>
      </c>
      <c r="B113" t="n">
        <v>1</v>
      </c>
      <c r="C113" t="n">
        <v>761</v>
      </c>
      <c r="D113" t="n">
        <v>-0.3521</v>
      </c>
      <c r="E113" t="n">
        <v>9.8583</v>
      </c>
      <c r="F113" t="n">
        <v>0.08313</v>
      </c>
    </row>
    <row r="114">
      <c r="A114" t="n">
        <v>1000762</v>
      </c>
      <c r="B114" t="n">
        <v>1</v>
      </c>
      <c r="C114" t="n">
        <v>762</v>
      </c>
      <c r="D114" t="n">
        <v>-0.3521</v>
      </c>
      <c r="E114" t="n">
        <v>9.8773</v>
      </c>
      <c r="F114" t="n">
        <v>0.08314000000000001</v>
      </c>
    </row>
    <row r="115">
      <c r="A115" t="n">
        <v>1000763</v>
      </c>
      <c r="B115" t="n">
        <v>1</v>
      </c>
      <c r="C115" t="n">
        <v>763</v>
      </c>
      <c r="D115" t="n">
        <v>-0.3521</v>
      </c>
      <c r="E115" t="n">
        <v>9.8963</v>
      </c>
      <c r="F115" t="n">
        <v>0.08314000000000001</v>
      </c>
    </row>
    <row r="116">
      <c r="A116" t="n">
        <v>1000764</v>
      </c>
      <c r="B116" t="n">
        <v>1</v>
      </c>
      <c r="C116" t="n">
        <v>764</v>
      </c>
      <c r="D116" t="n">
        <v>-0.3521</v>
      </c>
      <c r="E116" t="n">
        <v>9.9152</v>
      </c>
      <c r="F116" t="n">
        <v>0.08315</v>
      </c>
    </row>
    <row r="117">
      <c r="A117" t="n">
        <v>1000765</v>
      </c>
      <c r="B117" t="n">
        <v>1</v>
      </c>
      <c r="C117" t="n">
        <v>765</v>
      </c>
      <c r="D117" t="n">
        <v>-0.3521</v>
      </c>
      <c r="E117" t="n">
        <v>9.934100000000001</v>
      </c>
      <c r="F117" t="n">
        <v>0.08315</v>
      </c>
    </row>
    <row r="118">
      <c r="A118" t="n">
        <v>1000766</v>
      </c>
      <c r="B118" t="n">
        <v>1</v>
      </c>
      <c r="C118" t="n">
        <v>766</v>
      </c>
      <c r="D118" t="n">
        <v>-0.3521</v>
      </c>
      <c r="E118" t="n">
        <v>9.9528</v>
      </c>
      <c r="F118" t="n">
        <v>0.08316</v>
      </c>
    </row>
    <row r="119">
      <c r="A119" t="n">
        <v>1000767</v>
      </c>
      <c r="B119" t="n">
        <v>1</v>
      </c>
      <c r="C119" t="n">
        <v>767</v>
      </c>
      <c r="D119" t="n">
        <v>-0.3521</v>
      </c>
      <c r="E119" t="n">
        <v>9.9716</v>
      </c>
      <c r="F119" t="n">
        <v>0.08316</v>
      </c>
    </row>
    <row r="120">
      <c r="A120" t="n">
        <v>1000768</v>
      </c>
      <c r="B120" t="n">
        <v>1</v>
      </c>
      <c r="C120" t="n">
        <v>768</v>
      </c>
      <c r="D120" t="n">
        <v>-0.3521</v>
      </c>
      <c r="E120" t="n">
        <v>9.9902</v>
      </c>
      <c r="F120" t="n">
        <v>0.08316999999999999</v>
      </c>
    </row>
    <row r="121">
      <c r="A121" t="n">
        <v>1000769</v>
      </c>
      <c r="B121" t="n">
        <v>1</v>
      </c>
      <c r="C121" t="n">
        <v>769</v>
      </c>
      <c r="D121" t="n">
        <v>-0.3521</v>
      </c>
      <c r="E121" t="n">
        <v>10.0088</v>
      </c>
      <c r="F121" t="n">
        <v>0.08316999999999999</v>
      </c>
    </row>
    <row r="122">
      <c r="A122" t="n">
        <v>1000770</v>
      </c>
      <c r="B122" t="n">
        <v>1</v>
      </c>
      <c r="C122" t="n">
        <v>770</v>
      </c>
      <c r="D122" t="n">
        <v>-0.3521</v>
      </c>
      <c r="E122" t="n">
        <v>10.0274</v>
      </c>
      <c r="F122" t="n">
        <v>0.08316999999999999</v>
      </c>
    </row>
    <row r="123">
      <c r="A123" t="n">
        <v>1000771</v>
      </c>
      <c r="B123" t="n">
        <v>1</v>
      </c>
      <c r="C123" t="n">
        <v>771</v>
      </c>
      <c r="D123" t="n">
        <v>-0.3521</v>
      </c>
      <c r="E123" t="n">
        <v>10.0459</v>
      </c>
      <c r="F123" t="n">
        <v>0.08318</v>
      </c>
    </row>
    <row r="124">
      <c r="A124" t="n">
        <v>1000772</v>
      </c>
      <c r="B124" t="n">
        <v>1</v>
      </c>
      <c r="C124" t="n">
        <v>772</v>
      </c>
      <c r="D124" t="n">
        <v>-0.3521</v>
      </c>
      <c r="E124" t="n">
        <v>10.0643</v>
      </c>
      <c r="F124" t="n">
        <v>0.08318</v>
      </c>
    </row>
    <row r="125">
      <c r="A125" t="n">
        <v>1000773</v>
      </c>
      <c r="B125" t="n">
        <v>1</v>
      </c>
      <c r="C125" t="n">
        <v>773</v>
      </c>
      <c r="D125" t="n">
        <v>-0.3521</v>
      </c>
      <c r="E125" t="n">
        <v>10.0827</v>
      </c>
      <c r="F125" t="n">
        <v>0.08318</v>
      </c>
    </row>
    <row r="126">
      <c r="A126" t="n">
        <v>1000774</v>
      </c>
      <c r="B126" t="n">
        <v>1</v>
      </c>
      <c r="C126" t="n">
        <v>774</v>
      </c>
      <c r="D126" t="n">
        <v>-0.3521</v>
      </c>
      <c r="E126" t="n">
        <v>10.1011</v>
      </c>
      <c r="F126" t="n">
        <v>0.08318</v>
      </c>
    </row>
    <row r="127">
      <c r="A127" t="n">
        <v>1000775</v>
      </c>
      <c r="B127" t="n">
        <v>1</v>
      </c>
      <c r="C127" t="n">
        <v>775</v>
      </c>
      <c r="D127" t="n">
        <v>-0.3521</v>
      </c>
      <c r="E127" t="n">
        <v>10.1194</v>
      </c>
      <c r="F127" t="n">
        <v>0.08318</v>
      </c>
    </row>
    <row r="128">
      <c r="A128" t="n">
        <v>1000776</v>
      </c>
      <c r="B128" t="n">
        <v>1</v>
      </c>
      <c r="C128" t="n">
        <v>776</v>
      </c>
      <c r="D128" t="n">
        <v>-0.3521</v>
      </c>
      <c r="E128" t="n">
        <v>10.1377</v>
      </c>
      <c r="F128" t="n">
        <v>0.08318</v>
      </c>
    </row>
    <row r="129">
      <c r="A129" t="n">
        <v>1000777</v>
      </c>
      <c r="B129" t="n">
        <v>1</v>
      </c>
      <c r="C129" t="n">
        <v>777</v>
      </c>
      <c r="D129" t="n">
        <v>-0.3521</v>
      </c>
      <c r="E129" t="n">
        <v>10.1559</v>
      </c>
      <c r="F129" t="n">
        <v>0.08318</v>
      </c>
    </row>
    <row r="130">
      <c r="A130" t="n">
        <v>1000778</v>
      </c>
      <c r="B130" t="n">
        <v>1</v>
      </c>
      <c r="C130" t="n">
        <v>778</v>
      </c>
      <c r="D130" t="n">
        <v>-0.3521</v>
      </c>
      <c r="E130" t="n">
        <v>10.1741</v>
      </c>
      <c r="F130" t="n">
        <v>0.08318</v>
      </c>
    </row>
    <row r="131">
      <c r="A131" t="n">
        <v>1000779</v>
      </c>
      <c r="B131" t="n">
        <v>1</v>
      </c>
      <c r="C131" t="n">
        <v>779</v>
      </c>
      <c r="D131" t="n">
        <v>-0.3521</v>
      </c>
      <c r="E131" t="n">
        <v>10.1923</v>
      </c>
      <c r="F131" t="n">
        <v>0.08316999999999999</v>
      </c>
    </row>
    <row r="132">
      <c r="A132" t="n">
        <v>1000780</v>
      </c>
      <c r="B132" t="n">
        <v>1</v>
      </c>
      <c r="C132" t="n">
        <v>780</v>
      </c>
      <c r="D132" t="n">
        <v>-0.3521</v>
      </c>
      <c r="E132" t="n">
        <v>10.2105</v>
      </c>
      <c r="F132" t="n">
        <v>0.08316999999999999</v>
      </c>
    </row>
    <row r="133">
      <c r="A133" t="n">
        <v>1000781</v>
      </c>
      <c r="B133" t="n">
        <v>1</v>
      </c>
      <c r="C133" t="n">
        <v>781</v>
      </c>
      <c r="D133" t="n">
        <v>-0.3521</v>
      </c>
      <c r="E133" t="n">
        <v>10.2286</v>
      </c>
      <c r="F133" t="n">
        <v>0.08316999999999999</v>
      </c>
    </row>
    <row r="134">
      <c r="A134" t="n">
        <v>1000782</v>
      </c>
      <c r="B134" t="n">
        <v>1</v>
      </c>
      <c r="C134" t="n">
        <v>782</v>
      </c>
      <c r="D134" t="n">
        <v>-0.3521</v>
      </c>
      <c r="E134" t="n">
        <v>10.2468</v>
      </c>
      <c r="F134" t="n">
        <v>0.08316</v>
      </c>
    </row>
    <row r="135">
      <c r="A135" t="n">
        <v>1000783</v>
      </c>
      <c r="B135" t="n">
        <v>1</v>
      </c>
      <c r="C135" t="n">
        <v>783</v>
      </c>
      <c r="D135" t="n">
        <v>-0.3521</v>
      </c>
      <c r="E135" t="n">
        <v>10.2649</v>
      </c>
      <c r="F135" t="n">
        <v>0.08316</v>
      </c>
    </row>
    <row r="136">
      <c r="A136" t="n">
        <v>1000784</v>
      </c>
      <c r="B136" t="n">
        <v>1</v>
      </c>
      <c r="C136" t="n">
        <v>784</v>
      </c>
      <c r="D136" t="n">
        <v>-0.3521</v>
      </c>
      <c r="E136" t="n">
        <v>10.2831</v>
      </c>
      <c r="F136" t="n">
        <v>0.08315</v>
      </c>
    </row>
    <row r="137">
      <c r="A137" t="n">
        <v>1000785</v>
      </c>
      <c r="B137" t="n">
        <v>1</v>
      </c>
      <c r="C137" t="n">
        <v>785</v>
      </c>
      <c r="D137" t="n">
        <v>-0.3521</v>
      </c>
      <c r="E137" t="n">
        <v>10.3012</v>
      </c>
      <c r="F137" t="n">
        <v>0.08315</v>
      </c>
    </row>
    <row r="138">
      <c r="A138" t="n">
        <v>1000786</v>
      </c>
      <c r="B138" t="n">
        <v>1</v>
      </c>
      <c r="C138" t="n">
        <v>786</v>
      </c>
      <c r="D138" t="n">
        <v>-0.3521</v>
      </c>
      <c r="E138" t="n">
        <v>10.3194</v>
      </c>
      <c r="F138" t="n">
        <v>0.08314000000000001</v>
      </c>
    </row>
    <row r="139">
      <c r="A139" t="n">
        <v>1000787</v>
      </c>
      <c r="B139" t="n">
        <v>1</v>
      </c>
      <c r="C139" t="n">
        <v>787</v>
      </c>
      <c r="D139" t="n">
        <v>-0.3521</v>
      </c>
      <c r="E139" t="n">
        <v>10.3376</v>
      </c>
      <c r="F139" t="n">
        <v>0.08313</v>
      </c>
    </row>
    <row r="140">
      <c r="A140" t="n">
        <v>1000788</v>
      </c>
      <c r="B140" t="n">
        <v>1</v>
      </c>
      <c r="C140" t="n">
        <v>788</v>
      </c>
      <c r="D140" t="n">
        <v>-0.3521</v>
      </c>
      <c r="E140" t="n">
        <v>10.3558</v>
      </c>
      <c r="F140" t="n">
        <v>0.08313</v>
      </c>
    </row>
    <row r="141">
      <c r="A141" t="n">
        <v>1000789</v>
      </c>
      <c r="B141" t="n">
        <v>1</v>
      </c>
      <c r="C141" t="n">
        <v>789</v>
      </c>
      <c r="D141" t="n">
        <v>-0.3521</v>
      </c>
      <c r="E141" t="n">
        <v>10.3741</v>
      </c>
      <c r="F141" t="n">
        <v>0.08312</v>
      </c>
    </row>
    <row r="142">
      <c r="A142" t="n">
        <v>1000790</v>
      </c>
      <c r="B142" t="n">
        <v>1</v>
      </c>
      <c r="C142" t="n">
        <v>790</v>
      </c>
      <c r="D142" t="n">
        <v>-0.3521</v>
      </c>
      <c r="E142" t="n">
        <v>10.3923</v>
      </c>
      <c r="F142" t="n">
        <v>0.08311</v>
      </c>
    </row>
    <row r="143">
      <c r="A143" t="n">
        <v>1000791</v>
      </c>
      <c r="B143" t="n">
        <v>1</v>
      </c>
      <c r="C143" t="n">
        <v>791</v>
      </c>
      <c r="D143" t="n">
        <v>-0.3521</v>
      </c>
      <c r="E143" t="n">
        <v>10.4107</v>
      </c>
      <c r="F143" t="n">
        <v>0.08309999999999999</v>
      </c>
    </row>
    <row r="144">
      <c r="A144" t="n">
        <v>1000792</v>
      </c>
      <c r="B144" t="n">
        <v>1</v>
      </c>
      <c r="C144" t="n">
        <v>792</v>
      </c>
      <c r="D144" t="n">
        <v>-0.3521</v>
      </c>
      <c r="E144" t="n">
        <v>10.4291</v>
      </c>
      <c r="F144" t="n">
        <v>0.08309</v>
      </c>
    </row>
    <row r="145">
      <c r="A145" t="n">
        <v>1000793</v>
      </c>
      <c r="B145" t="n">
        <v>1</v>
      </c>
      <c r="C145" t="n">
        <v>793</v>
      </c>
      <c r="D145" t="n">
        <v>-0.3521</v>
      </c>
      <c r="E145" t="n">
        <v>10.4475</v>
      </c>
      <c r="F145" t="n">
        <v>0.08308</v>
      </c>
    </row>
    <row r="146">
      <c r="A146" t="n">
        <v>1000794</v>
      </c>
      <c r="B146" t="n">
        <v>1</v>
      </c>
      <c r="C146" t="n">
        <v>794</v>
      </c>
      <c r="D146" t="n">
        <v>-0.3521</v>
      </c>
      <c r="E146" t="n">
        <v>10.466</v>
      </c>
      <c r="F146" t="n">
        <v>0.08307</v>
      </c>
    </row>
    <row r="147">
      <c r="A147" t="n">
        <v>1000795</v>
      </c>
      <c r="B147" t="n">
        <v>1</v>
      </c>
      <c r="C147" t="n">
        <v>795</v>
      </c>
      <c r="D147" t="n">
        <v>-0.3521</v>
      </c>
      <c r="E147" t="n">
        <v>10.4845</v>
      </c>
      <c r="F147" t="n">
        <v>0.08305</v>
      </c>
    </row>
    <row r="148">
      <c r="A148" t="n">
        <v>1000796</v>
      </c>
      <c r="B148" t="n">
        <v>1</v>
      </c>
      <c r="C148" t="n">
        <v>796</v>
      </c>
      <c r="D148" t="n">
        <v>-0.3521</v>
      </c>
      <c r="E148" t="n">
        <v>10.5031</v>
      </c>
      <c r="F148" t="n">
        <v>0.08304</v>
      </c>
    </row>
    <row r="149">
      <c r="A149" t="n">
        <v>1000797</v>
      </c>
      <c r="B149" t="n">
        <v>1</v>
      </c>
      <c r="C149" t="n">
        <v>797</v>
      </c>
      <c r="D149" t="n">
        <v>-0.3521</v>
      </c>
      <c r="E149" t="n">
        <v>10.5217</v>
      </c>
      <c r="F149" t="n">
        <v>0.08303000000000001</v>
      </c>
    </row>
    <row r="150">
      <c r="A150" t="n">
        <v>1000798</v>
      </c>
      <c r="B150" t="n">
        <v>1</v>
      </c>
      <c r="C150" t="n">
        <v>798</v>
      </c>
      <c r="D150" t="n">
        <v>-0.3521</v>
      </c>
      <c r="E150" t="n">
        <v>10.5405</v>
      </c>
      <c r="F150" t="n">
        <v>0.08301</v>
      </c>
    </row>
    <row r="151">
      <c r="A151" t="n">
        <v>1000799</v>
      </c>
      <c r="B151" t="n">
        <v>1</v>
      </c>
      <c r="C151" t="n">
        <v>799</v>
      </c>
      <c r="D151" t="n">
        <v>-0.3521</v>
      </c>
      <c r="E151" t="n">
        <v>10.5592</v>
      </c>
      <c r="F151" t="n">
        <v>0.083</v>
      </c>
    </row>
    <row r="152">
      <c r="A152" t="n">
        <v>1000800</v>
      </c>
      <c r="B152" t="n">
        <v>1</v>
      </c>
      <c r="C152" t="n">
        <v>800</v>
      </c>
      <c r="D152" t="n">
        <v>-0.3521</v>
      </c>
      <c r="E152" t="n">
        <v>10.5781</v>
      </c>
      <c r="F152" t="n">
        <v>0.08298</v>
      </c>
    </row>
    <row r="153">
      <c r="A153" t="n">
        <v>1000801</v>
      </c>
      <c r="B153" t="n">
        <v>1</v>
      </c>
      <c r="C153" t="n">
        <v>801</v>
      </c>
      <c r="D153" t="n">
        <v>-0.3521</v>
      </c>
      <c r="E153" t="n">
        <v>10.597</v>
      </c>
      <c r="F153" t="n">
        <v>0.08297</v>
      </c>
    </row>
    <row r="154">
      <c r="A154" t="n">
        <v>1000802</v>
      </c>
      <c r="B154" t="n">
        <v>1</v>
      </c>
      <c r="C154" t="n">
        <v>802</v>
      </c>
      <c r="D154" t="n">
        <v>-0.3521</v>
      </c>
      <c r="E154" t="n">
        <v>10.6161</v>
      </c>
      <c r="F154" t="n">
        <v>0.08295</v>
      </c>
    </row>
    <row r="155">
      <c r="A155" t="n">
        <v>1000803</v>
      </c>
      <c r="B155" t="n">
        <v>1</v>
      </c>
      <c r="C155" t="n">
        <v>803</v>
      </c>
      <c r="D155" t="n">
        <v>-0.3521</v>
      </c>
      <c r="E155" t="n">
        <v>10.6352</v>
      </c>
      <c r="F155" t="n">
        <v>0.08293</v>
      </c>
    </row>
    <row r="156">
      <c r="A156" t="n">
        <v>1000804</v>
      </c>
      <c r="B156" t="n">
        <v>1</v>
      </c>
      <c r="C156" t="n">
        <v>804</v>
      </c>
      <c r="D156" t="n">
        <v>-0.3521</v>
      </c>
      <c r="E156" t="n">
        <v>10.6544</v>
      </c>
      <c r="F156" t="n">
        <v>0.08291</v>
      </c>
    </row>
    <row r="157">
      <c r="A157" t="n">
        <v>1000805</v>
      </c>
      <c r="B157" t="n">
        <v>1</v>
      </c>
      <c r="C157" t="n">
        <v>805</v>
      </c>
      <c r="D157" t="n">
        <v>-0.3521</v>
      </c>
      <c r="E157" t="n">
        <v>10.6737</v>
      </c>
      <c r="F157" t="n">
        <v>0.0829</v>
      </c>
    </row>
    <row r="158">
      <c r="A158" t="n">
        <v>1000806</v>
      </c>
      <c r="B158" t="n">
        <v>1</v>
      </c>
      <c r="C158" t="n">
        <v>806</v>
      </c>
      <c r="D158" t="n">
        <v>-0.3521</v>
      </c>
      <c r="E158" t="n">
        <v>10.6931</v>
      </c>
      <c r="F158" t="n">
        <v>0.08288</v>
      </c>
    </row>
    <row r="159">
      <c r="A159" t="n">
        <v>1000807</v>
      </c>
      <c r="B159" t="n">
        <v>1</v>
      </c>
      <c r="C159" t="n">
        <v>807</v>
      </c>
      <c r="D159" t="n">
        <v>-0.3521</v>
      </c>
      <c r="E159" t="n">
        <v>10.7126</v>
      </c>
      <c r="F159" t="n">
        <v>0.08286</v>
      </c>
    </row>
    <row r="160">
      <c r="A160" t="n">
        <v>1000808</v>
      </c>
      <c r="B160" t="n">
        <v>1</v>
      </c>
      <c r="C160" t="n">
        <v>808</v>
      </c>
      <c r="D160" t="n">
        <v>-0.3521</v>
      </c>
      <c r="E160" t="n">
        <v>10.7322</v>
      </c>
      <c r="F160" t="n">
        <v>0.08284</v>
      </c>
    </row>
    <row r="161">
      <c r="A161" t="n">
        <v>1000809</v>
      </c>
      <c r="B161" t="n">
        <v>1</v>
      </c>
      <c r="C161" t="n">
        <v>809</v>
      </c>
      <c r="D161" t="n">
        <v>-0.3521</v>
      </c>
      <c r="E161" t="n">
        <v>10.752</v>
      </c>
      <c r="F161" t="n">
        <v>0.08282</v>
      </c>
    </row>
    <row r="162">
      <c r="A162" t="n">
        <v>1000810</v>
      </c>
      <c r="B162" t="n">
        <v>1</v>
      </c>
      <c r="C162" t="n">
        <v>810</v>
      </c>
      <c r="D162" t="n">
        <v>-0.3521</v>
      </c>
      <c r="E162" t="n">
        <v>10.7718</v>
      </c>
      <c r="F162" t="n">
        <v>0.08279</v>
      </c>
    </row>
    <row r="163">
      <c r="A163" t="n">
        <v>1000811</v>
      </c>
      <c r="B163" t="n">
        <v>1</v>
      </c>
      <c r="C163" t="n">
        <v>811</v>
      </c>
      <c r="D163" t="n">
        <v>-0.3521</v>
      </c>
      <c r="E163" t="n">
        <v>10.7918</v>
      </c>
      <c r="F163" t="n">
        <v>0.08277</v>
      </c>
    </row>
    <row r="164">
      <c r="A164" t="n">
        <v>1000812</v>
      </c>
      <c r="B164" t="n">
        <v>1</v>
      </c>
      <c r="C164" t="n">
        <v>812</v>
      </c>
      <c r="D164" t="n">
        <v>-0.3521</v>
      </c>
      <c r="E164" t="n">
        <v>10.8119</v>
      </c>
      <c r="F164" t="n">
        <v>0.08275</v>
      </c>
    </row>
    <row r="165">
      <c r="A165" t="n">
        <v>1000813</v>
      </c>
      <c r="B165" t="n">
        <v>1</v>
      </c>
      <c r="C165" t="n">
        <v>813</v>
      </c>
      <c r="D165" t="n">
        <v>-0.3521</v>
      </c>
      <c r="E165" t="n">
        <v>10.8321</v>
      </c>
      <c r="F165" t="n">
        <v>0.08273</v>
      </c>
    </row>
    <row r="166">
      <c r="A166" t="n">
        <v>1000814</v>
      </c>
      <c r="B166" t="n">
        <v>1</v>
      </c>
      <c r="C166" t="n">
        <v>814</v>
      </c>
      <c r="D166" t="n">
        <v>-0.3521</v>
      </c>
      <c r="E166" t="n">
        <v>10.8524</v>
      </c>
      <c r="F166" t="n">
        <v>0.0827</v>
      </c>
    </row>
    <row r="167">
      <c r="A167" t="n">
        <v>1000815</v>
      </c>
      <c r="B167" t="n">
        <v>1</v>
      </c>
      <c r="C167" t="n">
        <v>815</v>
      </c>
      <c r="D167" t="n">
        <v>-0.3521</v>
      </c>
      <c r="E167" t="n">
        <v>10.8728</v>
      </c>
      <c r="F167" t="n">
        <v>0.08268</v>
      </c>
    </row>
    <row r="168">
      <c r="A168" t="n">
        <v>1000816</v>
      </c>
      <c r="B168" t="n">
        <v>1</v>
      </c>
      <c r="C168" t="n">
        <v>816</v>
      </c>
      <c r="D168" t="n">
        <v>-0.3521</v>
      </c>
      <c r="E168" t="n">
        <v>10.8934</v>
      </c>
      <c r="F168" t="n">
        <v>0.08265</v>
      </c>
    </row>
    <row r="169">
      <c r="A169" t="n">
        <v>1000817</v>
      </c>
      <c r="B169" t="n">
        <v>1</v>
      </c>
      <c r="C169" t="n">
        <v>817</v>
      </c>
      <c r="D169" t="n">
        <v>-0.3521</v>
      </c>
      <c r="E169" t="n">
        <v>10.9142</v>
      </c>
      <c r="F169" t="n">
        <v>0.08263</v>
      </c>
    </row>
    <row r="170">
      <c r="A170" t="n">
        <v>1000818</v>
      </c>
      <c r="B170" t="n">
        <v>1</v>
      </c>
      <c r="C170" t="n">
        <v>818</v>
      </c>
      <c r="D170" t="n">
        <v>-0.3521</v>
      </c>
      <c r="E170" t="n">
        <v>10.935</v>
      </c>
      <c r="F170" t="n">
        <v>0.08260000000000001</v>
      </c>
    </row>
    <row r="171">
      <c r="A171" t="n">
        <v>1000819</v>
      </c>
      <c r="B171" t="n">
        <v>1</v>
      </c>
      <c r="C171" t="n">
        <v>819</v>
      </c>
      <c r="D171" t="n">
        <v>-0.3521</v>
      </c>
      <c r="E171" t="n">
        <v>10.956</v>
      </c>
      <c r="F171" t="n">
        <v>0.08258</v>
      </c>
    </row>
    <row r="172">
      <c r="A172" t="n">
        <v>1000820</v>
      </c>
      <c r="B172" t="n">
        <v>1</v>
      </c>
      <c r="C172" t="n">
        <v>820</v>
      </c>
      <c r="D172" t="n">
        <v>-0.3521</v>
      </c>
      <c r="E172" t="n">
        <v>10.9772</v>
      </c>
      <c r="F172" t="n">
        <v>0.08255</v>
      </c>
    </row>
    <row r="173">
      <c r="A173" t="n">
        <v>1000821</v>
      </c>
      <c r="B173" t="n">
        <v>1</v>
      </c>
      <c r="C173" t="n">
        <v>821</v>
      </c>
      <c r="D173" t="n">
        <v>-0.3521</v>
      </c>
      <c r="E173" t="n">
        <v>10.9985</v>
      </c>
      <c r="F173" t="n">
        <v>0.08252</v>
      </c>
    </row>
    <row r="174">
      <c r="A174" t="n">
        <v>1000822</v>
      </c>
      <c r="B174" t="n">
        <v>1</v>
      </c>
      <c r="C174" t="n">
        <v>822</v>
      </c>
      <c r="D174" t="n">
        <v>-0.3521</v>
      </c>
      <c r="E174" t="n">
        <v>11.0199</v>
      </c>
      <c r="F174" t="n">
        <v>0.08248999999999999</v>
      </c>
    </row>
    <row r="175">
      <c r="A175" t="n">
        <v>1000823</v>
      </c>
      <c r="B175" t="n">
        <v>1</v>
      </c>
      <c r="C175" t="n">
        <v>823</v>
      </c>
      <c r="D175" t="n">
        <v>-0.3521</v>
      </c>
      <c r="E175" t="n">
        <v>11.0415</v>
      </c>
      <c r="F175" t="n">
        <v>0.08246000000000001</v>
      </c>
    </row>
    <row r="176">
      <c r="A176" t="n">
        <v>1000824</v>
      </c>
      <c r="B176" t="n">
        <v>1</v>
      </c>
      <c r="C176" t="n">
        <v>824</v>
      </c>
      <c r="D176" t="n">
        <v>-0.3521</v>
      </c>
      <c r="E176" t="n">
        <v>11.0632</v>
      </c>
      <c r="F176" t="n">
        <v>0.08244</v>
      </c>
    </row>
    <row r="177">
      <c r="A177" t="n">
        <v>1000825</v>
      </c>
      <c r="B177" t="n">
        <v>1</v>
      </c>
      <c r="C177" t="n">
        <v>825</v>
      </c>
      <c r="D177" t="n">
        <v>-0.3521</v>
      </c>
      <c r="E177" t="n">
        <v>11.0851</v>
      </c>
      <c r="F177" t="n">
        <v>0.08241</v>
      </c>
    </row>
    <row r="178">
      <c r="A178" t="n">
        <v>1000826</v>
      </c>
      <c r="B178" t="n">
        <v>1</v>
      </c>
      <c r="C178" t="n">
        <v>826</v>
      </c>
      <c r="D178" t="n">
        <v>-0.3521</v>
      </c>
      <c r="E178" t="n">
        <v>11.1071</v>
      </c>
      <c r="F178" t="n">
        <v>0.08237999999999999</v>
      </c>
    </row>
    <row r="179">
      <c r="A179" t="n">
        <v>1000827</v>
      </c>
      <c r="B179" t="n">
        <v>1</v>
      </c>
      <c r="C179" t="n">
        <v>827</v>
      </c>
      <c r="D179" t="n">
        <v>-0.3521</v>
      </c>
      <c r="E179" t="n">
        <v>11.1293</v>
      </c>
      <c r="F179" t="n">
        <v>0.08235000000000001</v>
      </c>
    </row>
    <row r="180">
      <c r="A180" t="n">
        <v>1000828</v>
      </c>
      <c r="B180" t="n">
        <v>1</v>
      </c>
      <c r="C180" t="n">
        <v>828</v>
      </c>
      <c r="D180" t="n">
        <v>-0.3521</v>
      </c>
      <c r="E180" t="n">
        <v>11.1516</v>
      </c>
      <c r="F180" t="n">
        <v>0.08230999999999999</v>
      </c>
    </row>
    <row r="181">
      <c r="A181" t="n">
        <v>1000829</v>
      </c>
      <c r="B181" t="n">
        <v>1</v>
      </c>
      <c r="C181" t="n">
        <v>829</v>
      </c>
      <c r="D181" t="n">
        <v>-0.3521</v>
      </c>
      <c r="E181" t="n">
        <v>11.174</v>
      </c>
      <c r="F181" t="n">
        <v>0.08228000000000001</v>
      </c>
    </row>
    <row r="182">
      <c r="A182" t="n">
        <v>1000830</v>
      </c>
      <c r="B182" t="n">
        <v>1</v>
      </c>
      <c r="C182" t="n">
        <v>830</v>
      </c>
      <c r="D182" t="n">
        <v>-0.3521</v>
      </c>
      <c r="E182" t="n">
        <v>11.1966</v>
      </c>
      <c r="F182" t="n">
        <v>0.08225</v>
      </c>
    </row>
    <row r="183">
      <c r="A183" t="n">
        <v>1000831</v>
      </c>
      <c r="B183" t="n">
        <v>1</v>
      </c>
      <c r="C183" t="n">
        <v>831</v>
      </c>
      <c r="D183" t="n">
        <v>-0.3521</v>
      </c>
      <c r="E183" t="n">
        <v>11.2193</v>
      </c>
      <c r="F183" t="n">
        <v>0.08222</v>
      </c>
    </row>
    <row r="184">
      <c r="A184" t="n">
        <v>1000832</v>
      </c>
      <c r="B184" t="n">
        <v>1</v>
      </c>
      <c r="C184" t="n">
        <v>832</v>
      </c>
      <c r="D184" t="n">
        <v>-0.3521</v>
      </c>
      <c r="E184" t="n">
        <v>11.2422</v>
      </c>
      <c r="F184" t="n">
        <v>0.08219</v>
      </c>
    </row>
    <row r="185">
      <c r="A185" t="n">
        <v>1000833</v>
      </c>
      <c r="B185" t="n">
        <v>1</v>
      </c>
      <c r="C185" t="n">
        <v>833</v>
      </c>
      <c r="D185" t="n">
        <v>-0.3521</v>
      </c>
      <c r="E185" t="n">
        <v>11.2651</v>
      </c>
      <c r="F185" t="n">
        <v>0.08215</v>
      </c>
    </row>
    <row r="186">
      <c r="A186" t="n">
        <v>1000834</v>
      </c>
      <c r="B186" t="n">
        <v>1</v>
      </c>
      <c r="C186" t="n">
        <v>834</v>
      </c>
      <c r="D186" t="n">
        <v>-0.3521</v>
      </c>
      <c r="E186" t="n">
        <v>11.2882</v>
      </c>
      <c r="F186" t="n">
        <v>0.08212</v>
      </c>
    </row>
    <row r="187">
      <c r="A187" t="n">
        <v>1000835</v>
      </c>
      <c r="B187" t="n">
        <v>1</v>
      </c>
      <c r="C187" t="n">
        <v>835</v>
      </c>
      <c r="D187" t="n">
        <v>-0.3521</v>
      </c>
      <c r="E187" t="n">
        <v>11.3114</v>
      </c>
      <c r="F187" t="n">
        <v>0.08209</v>
      </c>
    </row>
    <row r="188">
      <c r="A188" t="n">
        <v>1000836</v>
      </c>
      <c r="B188" t="n">
        <v>1</v>
      </c>
      <c r="C188" t="n">
        <v>836</v>
      </c>
      <c r="D188" t="n">
        <v>-0.3521</v>
      </c>
      <c r="E188" t="n">
        <v>11.3347</v>
      </c>
      <c r="F188" t="n">
        <v>0.08205</v>
      </c>
    </row>
    <row r="189">
      <c r="A189" t="n">
        <v>1000837</v>
      </c>
      <c r="B189" t="n">
        <v>1</v>
      </c>
      <c r="C189" t="n">
        <v>837</v>
      </c>
      <c r="D189" t="n">
        <v>-0.3521</v>
      </c>
      <c r="E189" t="n">
        <v>11.3581</v>
      </c>
      <c r="F189" t="n">
        <v>0.08202</v>
      </c>
    </row>
    <row r="190">
      <c r="A190" t="n">
        <v>1000838</v>
      </c>
      <c r="B190" t="n">
        <v>1</v>
      </c>
      <c r="C190" t="n">
        <v>838</v>
      </c>
      <c r="D190" t="n">
        <v>-0.3521</v>
      </c>
      <c r="E190" t="n">
        <v>11.3817</v>
      </c>
      <c r="F190" t="n">
        <v>0.08198</v>
      </c>
    </row>
    <row r="191">
      <c r="A191" t="n">
        <v>1000839</v>
      </c>
      <c r="B191" t="n">
        <v>1</v>
      </c>
      <c r="C191" t="n">
        <v>839</v>
      </c>
      <c r="D191" t="n">
        <v>-0.3521</v>
      </c>
      <c r="E191" t="n">
        <v>11.4053</v>
      </c>
      <c r="F191" t="n">
        <v>0.08195</v>
      </c>
    </row>
    <row r="192">
      <c r="A192" t="n">
        <v>1000840</v>
      </c>
      <c r="B192" t="n">
        <v>1</v>
      </c>
      <c r="C192" t="n">
        <v>840</v>
      </c>
      <c r="D192" t="n">
        <v>-0.3521</v>
      </c>
      <c r="E192" t="n">
        <v>11.429</v>
      </c>
      <c r="F192" t="n">
        <v>0.08191</v>
      </c>
    </row>
    <row r="193">
      <c r="A193" t="n">
        <v>1000841</v>
      </c>
      <c r="B193" t="n">
        <v>1</v>
      </c>
      <c r="C193" t="n">
        <v>841</v>
      </c>
      <c r="D193" t="n">
        <v>-0.3521</v>
      </c>
      <c r="E193" t="n">
        <v>11.4529</v>
      </c>
      <c r="F193" t="n">
        <v>0.08187999999999999</v>
      </c>
    </row>
    <row r="194">
      <c r="A194" t="n">
        <v>1000842</v>
      </c>
      <c r="B194" t="n">
        <v>1</v>
      </c>
      <c r="C194" t="n">
        <v>842</v>
      </c>
      <c r="D194" t="n">
        <v>-0.3521</v>
      </c>
      <c r="E194" t="n">
        <v>11.4768</v>
      </c>
      <c r="F194" t="n">
        <v>0.08184</v>
      </c>
    </row>
    <row r="195">
      <c r="A195" t="n">
        <v>1000843</v>
      </c>
      <c r="B195" t="n">
        <v>1</v>
      </c>
      <c r="C195" t="n">
        <v>843</v>
      </c>
      <c r="D195" t="n">
        <v>-0.3521</v>
      </c>
      <c r="E195" t="n">
        <v>11.5007</v>
      </c>
      <c r="F195" t="n">
        <v>0.08180999999999999</v>
      </c>
    </row>
    <row r="196">
      <c r="A196" t="n">
        <v>1000844</v>
      </c>
      <c r="B196" t="n">
        <v>1</v>
      </c>
      <c r="C196" t="n">
        <v>844</v>
      </c>
      <c r="D196" t="n">
        <v>-0.3521</v>
      </c>
      <c r="E196" t="n">
        <v>11.5248</v>
      </c>
      <c r="F196" t="n">
        <v>0.08177</v>
      </c>
    </row>
    <row r="197">
      <c r="A197" t="n">
        <v>1000845</v>
      </c>
      <c r="B197" t="n">
        <v>1</v>
      </c>
      <c r="C197" t="n">
        <v>845</v>
      </c>
      <c r="D197" t="n">
        <v>-0.3521</v>
      </c>
      <c r="E197" t="n">
        <v>11.549</v>
      </c>
      <c r="F197" t="n">
        <v>0.08173999999999999</v>
      </c>
    </row>
    <row r="198">
      <c r="A198" t="n">
        <v>1000846</v>
      </c>
      <c r="B198" t="n">
        <v>1</v>
      </c>
      <c r="C198" t="n">
        <v>846</v>
      </c>
      <c r="D198" t="n">
        <v>-0.3521</v>
      </c>
      <c r="E198" t="n">
        <v>11.5732</v>
      </c>
      <c r="F198" t="n">
        <v>0.08169999999999999</v>
      </c>
    </row>
    <row r="199">
      <c r="A199" t="n">
        <v>1000847</v>
      </c>
      <c r="B199" t="n">
        <v>1</v>
      </c>
      <c r="C199" t="n">
        <v>847</v>
      </c>
      <c r="D199" t="n">
        <v>-0.3521</v>
      </c>
      <c r="E199" t="n">
        <v>11.5975</v>
      </c>
      <c r="F199" t="n">
        <v>0.08166</v>
      </c>
    </row>
    <row r="200">
      <c r="A200" t="n">
        <v>1000848</v>
      </c>
      <c r="B200" t="n">
        <v>1</v>
      </c>
      <c r="C200" t="n">
        <v>848</v>
      </c>
      <c r="D200" t="n">
        <v>-0.3521</v>
      </c>
      <c r="E200" t="n">
        <v>11.6218</v>
      </c>
      <c r="F200" t="n">
        <v>0.08162999999999999</v>
      </c>
    </row>
    <row r="201">
      <c r="A201" t="n">
        <v>1000849</v>
      </c>
      <c r="B201" t="n">
        <v>1</v>
      </c>
      <c r="C201" t="n">
        <v>849</v>
      </c>
      <c r="D201" t="n">
        <v>-0.3521</v>
      </c>
      <c r="E201" t="n">
        <v>11.6462</v>
      </c>
      <c r="F201" t="n">
        <v>0.08159</v>
      </c>
    </row>
    <row r="202">
      <c r="A202" t="n">
        <v>1000850</v>
      </c>
      <c r="B202" t="n">
        <v>1</v>
      </c>
      <c r="C202" t="n">
        <v>850</v>
      </c>
      <c r="D202" t="n">
        <v>-0.3521</v>
      </c>
      <c r="E202" t="n">
        <v>11.6707</v>
      </c>
      <c r="F202" t="n">
        <v>0.08155999999999999</v>
      </c>
    </row>
    <row r="203">
      <c r="A203" t="n">
        <v>1000851</v>
      </c>
      <c r="B203" t="n">
        <v>1</v>
      </c>
      <c r="C203" t="n">
        <v>851</v>
      </c>
      <c r="D203" t="n">
        <v>-0.3521</v>
      </c>
      <c r="E203" t="n">
        <v>11.6952</v>
      </c>
      <c r="F203" t="n">
        <v>0.08152</v>
      </c>
    </row>
    <row r="204">
      <c r="A204" t="n">
        <v>1000852</v>
      </c>
      <c r="B204" t="n">
        <v>1</v>
      </c>
      <c r="C204" t="n">
        <v>852</v>
      </c>
      <c r="D204" t="n">
        <v>-0.3521</v>
      </c>
      <c r="E204" t="n">
        <v>11.7198</v>
      </c>
      <c r="F204" t="n">
        <v>0.08148</v>
      </c>
    </row>
    <row r="205">
      <c r="A205" t="n">
        <v>1000853</v>
      </c>
      <c r="B205" t="n">
        <v>1</v>
      </c>
      <c r="C205" t="n">
        <v>853</v>
      </c>
      <c r="D205" t="n">
        <v>-0.3521</v>
      </c>
      <c r="E205" t="n">
        <v>11.7444</v>
      </c>
      <c r="F205" t="n">
        <v>0.08144999999999999</v>
      </c>
    </row>
    <row r="206">
      <c r="A206" t="n">
        <v>1000854</v>
      </c>
      <c r="B206" t="n">
        <v>1</v>
      </c>
      <c r="C206" t="n">
        <v>854</v>
      </c>
      <c r="D206" t="n">
        <v>-0.3521</v>
      </c>
      <c r="E206" t="n">
        <v>11.769</v>
      </c>
      <c r="F206" t="n">
        <v>0.08141</v>
      </c>
    </row>
    <row r="207">
      <c r="A207" t="n">
        <v>1000855</v>
      </c>
      <c r="B207" t="n">
        <v>1</v>
      </c>
      <c r="C207" t="n">
        <v>855</v>
      </c>
      <c r="D207" t="n">
        <v>-0.3521</v>
      </c>
      <c r="E207" t="n">
        <v>11.7937</v>
      </c>
      <c r="F207" t="n">
        <v>0.08137999999999999</v>
      </c>
    </row>
    <row r="208">
      <c r="A208" t="n">
        <v>1000856</v>
      </c>
      <c r="B208" t="n">
        <v>1</v>
      </c>
      <c r="C208" t="n">
        <v>856</v>
      </c>
      <c r="D208" t="n">
        <v>-0.3521</v>
      </c>
      <c r="E208" t="n">
        <v>11.8184</v>
      </c>
      <c r="F208" t="n">
        <v>0.08134</v>
      </c>
    </row>
    <row r="209">
      <c r="A209" t="n">
        <v>1000857</v>
      </c>
      <c r="B209" t="n">
        <v>1</v>
      </c>
      <c r="C209" t="n">
        <v>857</v>
      </c>
      <c r="D209" t="n">
        <v>-0.3521</v>
      </c>
      <c r="E209" t="n">
        <v>11.8431</v>
      </c>
      <c r="F209" t="n">
        <v>0.08130999999999999</v>
      </c>
    </row>
    <row r="210">
      <c r="A210" t="n">
        <v>1000858</v>
      </c>
      <c r="B210" t="n">
        <v>1</v>
      </c>
      <c r="C210" t="n">
        <v>858</v>
      </c>
      <c r="D210" t="n">
        <v>-0.3521</v>
      </c>
      <c r="E210" t="n">
        <v>11.8678</v>
      </c>
      <c r="F210" t="n">
        <v>0.08128000000000001</v>
      </c>
    </row>
    <row r="211">
      <c r="A211" t="n">
        <v>1000859</v>
      </c>
      <c r="B211" t="n">
        <v>1</v>
      </c>
      <c r="C211" t="n">
        <v>859</v>
      </c>
      <c r="D211" t="n">
        <v>-0.3521</v>
      </c>
      <c r="E211" t="n">
        <v>11.8926</v>
      </c>
      <c r="F211" t="n">
        <v>0.08124000000000001</v>
      </c>
    </row>
    <row r="212">
      <c r="A212" t="n">
        <v>1000860</v>
      </c>
      <c r="B212" t="n">
        <v>1</v>
      </c>
      <c r="C212" t="n">
        <v>860</v>
      </c>
      <c r="D212" t="n">
        <v>-0.3521</v>
      </c>
      <c r="E212" t="n">
        <v>11.9173</v>
      </c>
      <c r="F212" t="n">
        <v>0.08121</v>
      </c>
    </row>
    <row r="213">
      <c r="A213" t="n">
        <v>1000861</v>
      </c>
      <c r="B213" t="n">
        <v>1</v>
      </c>
      <c r="C213" t="n">
        <v>861</v>
      </c>
      <c r="D213" t="n">
        <v>-0.3521</v>
      </c>
      <c r="E213" t="n">
        <v>11.9421</v>
      </c>
      <c r="F213" t="n">
        <v>0.08118</v>
      </c>
    </row>
    <row r="214">
      <c r="A214" t="n">
        <v>1000862</v>
      </c>
      <c r="B214" t="n">
        <v>1</v>
      </c>
      <c r="C214" t="n">
        <v>862</v>
      </c>
      <c r="D214" t="n">
        <v>-0.3521</v>
      </c>
      <c r="E214" t="n">
        <v>11.9668</v>
      </c>
      <c r="F214" t="n">
        <v>0.08114</v>
      </c>
    </row>
    <row r="215">
      <c r="A215" t="n">
        <v>1000863</v>
      </c>
      <c r="B215" t="n">
        <v>1</v>
      </c>
      <c r="C215" t="n">
        <v>863</v>
      </c>
      <c r="D215" t="n">
        <v>-0.3521</v>
      </c>
      <c r="E215" t="n">
        <v>11.9916</v>
      </c>
      <c r="F215" t="n">
        <v>0.08111</v>
      </c>
    </row>
    <row r="216">
      <c r="A216" t="n">
        <v>1000864</v>
      </c>
      <c r="B216" t="n">
        <v>1</v>
      </c>
      <c r="C216" t="n">
        <v>864</v>
      </c>
      <c r="D216" t="n">
        <v>-0.3521</v>
      </c>
      <c r="E216" t="n">
        <v>12.0163</v>
      </c>
      <c r="F216" t="n">
        <v>0.08108</v>
      </c>
    </row>
    <row r="217">
      <c r="A217" t="n">
        <v>1000865</v>
      </c>
      <c r="B217" t="n">
        <v>1</v>
      </c>
      <c r="C217" t="n">
        <v>865</v>
      </c>
      <c r="D217" t="n">
        <v>-0.3521</v>
      </c>
      <c r="E217" t="n">
        <v>12.0411</v>
      </c>
      <c r="F217" t="n">
        <v>0.08105</v>
      </c>
    </row>
    <row r="218">
      <c r="A218" t="n">
        <v>1000866</v>
      </c>
      <c r="B218" t="n">
        <v>1</v>
      </c>
      <c r="C218" t="n">
        <v>866</v>
      </c>
      <c r="D218" t="n">
        <v>-0.3521</v>
      </c>
      <c r="E218" t="n">
        <v>12.0658</v>
      </c>
      <c r="F218" t="n">
        <v>0.08101999999999999</v>
      </c>
    </row>
    <row r="219">
      <c r="A219" t="n">
        <v>1000867</v>
      </c>
      <c r="B219" t="n">
        <v>1</v>
      </c>
      <c r="C219" t="n">
        <v>867</v>
      </c>
      <c r="D219" t="n">
        <v>-0.3521</v>
      </c>
      <c r="E219" t="n">
        <v>12.0905</v>
      </c>
      <c r="F219" t="n">
        <v>0.08099000000000001</v>
      </c>
    </row>
    <row r="220">
      <c r="A220" t="n">
        <v>1000868</v>
      </c>
      <c r="B220" t="n">
        <v>1</v>
      </c>
      <c r="C220" t="n">
        <v>868</v>
      </c>
      <c r="D220" t="n">
        <v>-0.3521</v>
      </c>
      <c r="E220" t="n">
        <v>12.1152</v>
      </c>
      <c r="F220" t="n">
        <v>0.08096</v>
      </c>
    </row>
    <row r="221">
      <c r="A221" t="n">
        <v>1000869</v>
      </c>
      <c r="B221" t="n">
        <v>1</v>
      </c>
      <c r="C221" t="n">
        <v>869</v>
      </c>
      <c r="D221" t="n">
        <v>-0.3521</v>
      </c>
      <c r="E221" t="n">
        <v>12.1398</v>
      </c>
      <c r="F221" t="n">
        <v>0.08093</v>
      </c>
    </row>
    <row r="222">
      <c r="A222" t="n">
        <v>1000870</v>
      </c>
      <c r="B222" t="n">
        <v>1</v>
      </c>
      <c r="C222" t="n">
        <v>870</v>
      </c>
      <c r="D222" t="n">
        <v>-0.3521</v>
      </c>
      <c r="E222" t="n">
        <v>12.1645</v>
      </c>
      <c r="F222" t="n">
        <v>0.0809</v>
      </c>
    </row>
    <row r="223">
      <c r="A223" t="n">
        <v>1000871</v>
      </c>
      <c r="B223" t="n">
        <v>1</v>
      </c>
      <c r="C223" t="n">
        <v>871</v>
      </c>
      <c r="D223" t="n">
        <v>-0.3521</v>
      </c>
      <c r="E223" t="n">
        <v>12.1891</v>
      </c>
      <c r="F223" t="n">
        <v>0.08087</v>
      </c>
    </row>
    <row r="224">
      <c r="A224" t="n">
        <v>1000872</v>
      </c>
      <c r="B224" t="n">
        <v>1</v>
      </c>
      <c r="C224" t="n">
        <v>872</v>
      </c>
      <c r="D224" t="n">
        <v>-0.3521</v>
      </c>
      <c r="E224" t="n">
        <v>12.2136</v>
      </c>
      <c r="F224" t="n">
        <v>0.08084</v>
      </c>
    </row>
    <row r="225">
      <c r="A225" t="n">
        <v>1000873</v>
      </c>
      <c r="B225" t="n">
        <v>1</v>
      </c>
      <c r="C225" t="n">
        <v>873</v>
      </c>
      <c r="D225" t="n">
        <v>-0.3521</v>
      </c>
      <c r="E225" t="n">
        <v>12.2382</v>
      </c>
      <c r="F225" t="n">
        <v>0.08082</v>
      </c>
    </row>
    <row r="226">
      <c r="A226" t="n">
        <v>1000874</v>
      </c>
      <c r="B226" t="n">
        <v>1</v>
      </c>
      <c r="C226" t="n">
        <v>874</v>
      </c>
      <c r="D226" t="n">
        <v>-0.3521</v>
      </c>
      <c r="E226" t="n">
        <v>12.2627</v>
      </c>
      <c r="F226" t="n">
        <v>0.08079</v>
      </c>
    </row>
    <row r="227">
      <c r="A227" t="n">
        <v>1000875</v>
      </c>
      <c r="B227" t="n">
        <v>1</v>
      </c>
      <c r="C227" t="n">
        <v>875</v>
      </c>
      <c r="D227" t="n">
        <v>-0.3521</v>
      </c>
      <c r="E227" t="n">
        <v>12.2871</v>
      </c>
      <c r="F227" t="n">
        <v>0.08076</v>
      </c>
    </row>
    <row r="228">
      <c r="A228" t="n">
        <v>1000876</v>
      </c>
      <c r="B228" t="n">
        <v>1</v>
      </c>
      <c r="C228" t="n">
        <v>876</v>
      </c>
      <c r="D228" t="n">
        <v>-0.3521</v>
      </c>
      <c r="E228" t="n">
        <v>12.3116</v>
      </c>
      <c r="F228" t="n">
        <v>0.08074000000000001</v>
      </c>
    </row>
    <row r="229">
      <c r="A229" t="n">
        <v>1000877</v>
      </c>
      <c r="B229" t="n">
        <v>1</v>
      </c>
      <c r="C229" t="n">
        <v>877</v>
      </c>
      <c r="D229" t="n">
        <v>-0.3521</v>
      </c>
      <c r="E229" t="n">
        <v>12.336</v>
      </c>
      <c r="F229" t="n">
        <v>0.08071</v>
      </c>
    </row>
    <row r="230">
      <c r="A230" t="n">
        <v>1000878</v>
      </c>
      <c r="B230" t="n">
        <v>1</v>
      </c>
      <c r="C230" t="n">
        <v>878</v>
      </c>
      <c r="D230" t="n">
        <v>-0.3521</v>
      </c>
      <c r="E230" t="n">
        <v>12.3603</v>
      </c>
      <c r="F230" t="n">
        <v>0.08069</v>
      </c>
    </row>
    <row r="231">
      <c r="A231" t="n">
        <v>1000879</v>
      </c>
      <c r="B231" t="n">
        <v>1</v>
      </c>
      <c r="C231" t="n">
        <v>879</v>
      </c>
      <c r="D231" t="n">
        <v>-0.3521</v>
      </c>
      <c r="E231" t="n">
        <v>12.3846</v>
      </c>
      <c r="F231" t="n">
        <v>0.08067000000000001</v>
      </c>
    </row>
    <row r="232">
      <c r="A232" t="n">
        <v>1000880</v>
      </c>
      <c r="B232" t="n">
        <v>1</v>
      </c>
      <c r="C232" t="n">
        <v>880</v>
      </c>
      <c r="D232" t="n">
        <v>-0.3521</v>
      </c>
      <c r="E232" t="n">
        <v>12.4089</v>
      </c>
      <c r="F232" t="n">
        <v>0.08064</v>
      </c>
    </row>
    <row r="233">
      <c r="A233" t="n">
        <v>1000881</v>
      </c>
      <c r="B233" t="n">
        <v>1</v>
      </c>
      <c r="C233" t="n">
        <v>881</v>
      </c>
      <c r="D233" t="n">
        <v>-0.3521</v>
      </c>
      <c r="E233" t="n">
        <v>12.4332</v>
      </c>
      <c r="F233" t="n">
        <v>0.08062</v>
      </c>
    </row>
    <row r="234">
      <c r="A234" t="n">
        <v>1000882</v>
      </c>
      <c r="B234" t="n">
        <v>1</v>
      </c>
      <c r="C234" t="n">
        <v>882</v>
      </c>
      <c r="D234" t="n">
        <v>-0.3521</v>
      </c>
      <c r="E234" t="n">
        <v>12.4574</v>
      </c>
      <c r="F234" t="n">
        <v>0.0806</v>
      </c>
    </row>
    <row r="235">
      <c r="A235" t="n">
        <v>1000883</v>
      </c>
      <c r="B235" t="n">
        <v>1</v>
      </c>
      <c r="C235" t="n">
        <v>883</v>
      </c>
      <c r="D235" t="n">
        <v>-0.3521</v>
      </c>
      <c r="E235" t="n">
        <v>12.4815</v>
      </c>
      <c r="F235" t="n">
        <v>0.08058</v>
      </c>
    </row>
    <row r="236">
      <c r="A236" t="n">
        <v>1000884</v>
      </c>
      <c r="B236" t="n">
        <v>1</v>
      </c>
      <c r="C236" t="n">
        <v>884</v>
      </c>
      <c r="D236" t="n">
        <v>-0.3521</v>
      </c>
      <c r="E236" t="n">
        <v>12.5057</v>
      </c>
      <c r="F236" t="n">
        <v>0.08056000000000001</v>
      </c>
    </row>
    <row r="237">
      <c r="A237" t="n">
        <v>1000885</v>
      </c>
      <c r="B237" t="n">
        <v>1</v>
      </c>
      <c r="C237" t="n">
        <v>885</v>
      </c>
      <c r="D237" t="n">
        <v>-0.3521</v>
      </c>
      <c r="E237" t="n">
        <v>12.5298</v>
      </c>
      <c r="F237" t="n">
        <v>0.08054</v>
      </c>
    </row>
    <row r="238">
      <c r="A238" t="n">
        <v>1000886</v>
      </c>
      <c r="B238" t="n">
        <v>1</v>
      </c>
      <c r="C238" t="n">
        <v>886</v>
      </c>
      <c r="D238" t="n">
        <v>-0.3521</v>
      </c>
      <c r="E238" t="n">
        <v>12.5538</v>
      </c>
      <c r="F238" t="n">
        <v>0.08051999999999999</v>
      </c>
    </row>
    <row r="239">
      <c r="A239" t="n">
        <v>1000887</v>
      </c>
      <c r="B239" t="n">
        <v>1</v>
      </c>
      <c r="C239" t="n">
        <v>887</v>
      </c>
      <c r="D239" t="n">
        <v>-0.3521</v>
      </c>
      <c r="E239" t="n">
        <v>12.5778</v>
      </c>
      <c r="F239" t="n">
        <v>0.0805</v>
      </c>
    </row>
    <row r="240">
      <c r="A240" t="n">
        <v>1000888</v>
      </c>
      <c r="B240" t="n">
        <v>1</v>
      </c>
      <c r="C240" t="n">
        <v>888</v>
      </c>
      <c r="D240" t="n">
        <v>-0.3521</v>
      </c>
      <c r="E240" t="n">
        <v>12.6017</v>
      </c>
      <c r="F240" t="n">
        <v>0.08048</v>
      </c>
    </row>
    <row r="241">
      <c r="A241" t="n">
        <v>1000889</v>
      </c>
      <c r="B241" t="n">
        <v>1</v>
      </c>
      <c r="C241" t="n">
        <v>889</v>
      </c>
      <c r="D241" t="n">
        <v>-0.3521</v>
      </c>
      <c r="E241" t="n">
        <v>12.6257</v>
      </c>
      <c r="F241" t="n">
        <v>0.08047</v>
      </c>
    </row>
    <row r="242">
      <c r="A242" t="n">
        <v>1000890</v>
      </c>
      <c r="B242" t="n">
        <v>1</v>
      </c>
      <c r="C242" t="n">
        <v>890</v>
      </c>
      <c r="D242" t="n">
        <v>-0.3521</v>
      </c>
      <c r="E242" t="n">
        <v>12.6495</v>
      </c>
      <c r="F242" t="n">
        <v>0.08044999999999999</v>
      </c>
    </row>
    <row r="243">
      <c r="A243" t="n">
        <v>1000891</v>
      </c>
      <c r="B243" t="n">
        <v>1</v>
      </c>
      <c r="C243" t="n">
        <v>891</v>
      </c>
      <c r="D243" t="n">
        <v>-0.3521</v>
      </c>
      <c r="E243" t="n">
        <v>12.6734</v>
      </c>
      <c r="F243" t="n">
        <v>0.08044</v>
      </c>
    </row>
    <row r="244">
      <c r="A244" t="n">
        <v>1000892</v>
      </c>
      <c r="B244" t="n">
        <v>1</v>
      </c>
      <c r="C244" t="n">
        <v>892</v>
      </c>
      <c r="D244" t="n">
        <v>-0.3521</v>
      </c>
      <c r="E244" t="n">
        <v>12.6972</v>
      </c>
      <c r="F244" t="n">
        <v>0.08042000000000001</v>
      </c>
    </row>
    <row r="245">
      <c r="A245" t="n">
        <v>1000893</v>
      </c>
      <c r="B245" t="n">
        <v>1</v>
      </c>
      <c r="C245" t="n">
        <v>893</v>
      </c>
      <c r="D245" t="n">
        <v>-0.3521</v>
      </c>
      <c r="E245" t="n">
        <v>12.7209</v>
      </c>
      <c r="F245" t="n">
        <v>0.08041</v>
      </c>
    </row>
    <row r="246">
      <c r="A246" t="n">
        <v>1000894</v>
      </c>
      <c r="B246" t="n">
        <v>1</v>
      </c>
      <c r="C246" t="n">
        <v>894</v>
      </c>
      <c r="D246" t="n">
        <v>-0.3521</v>
      </c>
      <c r="E246" t="n">
        <v>12.7446</v>
      </c>
      <c r="F246" t="n">
        <v>0.08039</v>
      </c>
    </row>
    <row r="247">
      <c r="A247" t="n">
        <v>1000895</v>
      </c>
      <c r="B247" t="n">
        <v>1</v>
      </c>
      <c r="C247" t="n">
        <v>895</v>
      </c>
      <c r="D247" t="n">
        <v>-0.3521</v>
      </c>
      <c r="E247" t="n">
        <v>12.7683</v>
      </c>
      <c r="F247" t="n">
        <v>0.08037999999999999</v>
      </c>
    </row>
    <row r="248">
      <c r="A248" t="n">
        <v>1000896</v>
      </c>
      <c r="B248" t="n">
        <v>1</v>
      </c>
      <c r="C248" t="n">
        <v>896</v>
      </c>
      <c r="D248" t="n">
        <v>-0.3521</v>
      </c>
      <c r="E248" t="n">
        <v>12.792</v>
      </c>
      <c r="F248" t="n">
        <v>0.08037</v>
      </c>
    </row>
    <row r="249">
      <c r="A249" t="n">
        <v>1000897</v>
      </c>
      <c r="B249" t="n">
        <v>1</v>
      </c>
      <c r="C249" t="n">
        <v>897</v>
      </c>
      <c r="D249" t="n">
        <v>-0.3521</v>
      </c>
      <c r="E249" t="n">
        <v>12.8156</v>
      </c>
      <c r="F249" t="n">
        <v>0.08035</v>
      </c>
    </row>
    <row r="250">
      <c r="A250" t="n">
        <v>1000898</v>
      </c>
      <c r="B250" t="n">
        <v>1</v>
      </c>
      <c r="C250" t="n">
        <v>898</v>
      </c>
      <c r="D250" t="n">
        <v>-0.3521</v>
      </c>
      <c r="E250" t="n">
        <v>12.8392</v>
      </c>
      <c r="F250" t="n">
        <v>0.08033999999999999</v>
      </c>
    </row>
    <row r="251">
      <c r="A251" t="n">
        <v>1000899</v>
      </c>
      <c r="B251" t="n">
        <v>1</v>
      </c>
      <c r="C251" t="n">
        <v>899</v>
      </c>
      <c r="D251" t="n">
        <v>-0.3521</v>
      </c>
      <c r="E251" t="n">
        <v>12.8628</v>
      </c>
      <c r="F251" t="n">
        <v>0.08033</v>
      </c>
    </row>
    <row r="252">
      <c r="A252" t="n">
        <v>1000900</v>
      </c>
      <c r="B252" t="n">
        <v>1</v>
      </c>
      <c r="C252" t="n">
        <v>900</v>
      </c>
      <c r="D252" t="n">
        <v>-0.3521</v>
      </c>
      <c r="E252" t="n">
        <v>12.8864</v>
      </c>
      <c r="F252" t="n">
        <v>0.08032</v>
      </c>
    </row>
    <row r="253">
      <c r="A253" t="n">
        <v>1000901</v>
      </c>
      <c r="B253" t="n">
        <v>1</v>
      </c>
      <c r="C253" t="n">
        <v>901</v>
      </c>
      <c r="D253" t="n">
        <v>-0.3521</v>
      </c>
      <c r="E253" t="n">
        <v>12.9099</v>
      </c>
      <c r="F253" t="n">
        <v>0.08031000000000001</v>
      </c>
    </row>
    <row r="254">
      <c r="A254" t="n">
        <v>1000902</v>
      </c>
      <c r="B254" t="n">
        <v>1</v>
      </c>
      <c r="C254" t="n">
        <v>902</v>
      </c>
      <c r="D254" t="n">
        <v>-0.3521</v>
      </c>
      <c r="E254" t="n">
        <v>12.9334</v>
      </c>
      <c r="F254" t="n">
        <v>0.0803</v>
      </c>
    </row>
    <row r="255">
      <c r="A255" t="n">
        <v>1000903</v>
      </c>
      <c r="B255" t="n">
        <v>1</v>
      </c>
      <c r="C255" t="n">
        <v>903</v>
      </c>
      <c r="D255" t="n">
        <v>-0.3521</v>
      </c>
      <c r="E255" t="n">
        <v>12.9569</v>
      </c>
      <c r="F255" t="n">
        <v>0.0803</v>
      </c>
    </row>
    <row r="256">
      <c r="A256" t="n">
        <v>1000904</v>
      </c>
      <c r="B256" t="n">
        <v>1</v>
      </c>
      <c r="C256" t="n">
        <v>904</v>
      </c>
      <c r="D256" t="n">
        <v>-0.3521</v>
      </c>
      <c r="E256" t="n">
        <v>12.9804</v>
      </c>
      <c r="F256" t="n">
        <v>0.08029</v>
      </c>
    </row>
    <row r="257">
      <c r="A257" t="n">
        <v>1000905</v>
      </c>
      <c r="B257" t="n">
        <v>1</v>
      </c>
      <c r="C257" t="n">
        <v>905</v>
      </c>
      <c r="D257" t="n">
        <v>-0.3521</v>
      </c>
      <c r="E257" t="n">
        <v>13.0038</v>
      </c>
      <c r="F257" t="n">
        <v>0.08028</v>
      </c>
    </row>
    <row r="258">
      <c r="A258" t="n">
        <v>1000906</v>
      </c>
      <c r="B258" t="n">
        <v>1</v>
      </c>
      <c r="C258" t="n">
        <v>906</v>
      </c>
      <c r="D258" t="n">
        <v>-0.3521</v>
      </c>
      <c r="E258" t="n">
        <v>13.0273</v>
      </c>
      <c r="F258" t="n">
        <v>0.08026999999999999</v>
      </c>
    </row>
    <row r="259">
      <c r="A259" t="n">
        <v>1000907</v>
      </c>
      <c r="B259" t="n">
        <v>1</v>
      </c>
      <c r="C259" t="n">
        <v>907</v>
      </c>
      <c r="D259" t="n">
        <v>-0.3521</v>
      </c>
      <c r="E259" t="n">
        <v>13.0507</v>
      </c>
      <c r="F259" t="n">
        <v>0.08026999999999999</v>
      </c>
    </row>
    <row r="260">
      <c r="A260" t="n">
        <v>1000908</v>
      </c>
      <c r="B260" t="n">
        <v>1</v>
      </c>
      <c r="C260" t="n">
        <v>908</v>
      </c>
      <c r="D260" t="n">
        <v>-0.3521</v>
      </c>
      <c r="E260" t="n">
        <v>13.0742</v>
      </c>
      <c r="F260" t="n">
        <v>0.08026</v>
      </c>
    </row>
    <row r="261">
      <c r="A261" t="n">
        <v>1000909</v>
      </c>
      <c r="B261" t="n">
        <v>1</v>
      </c>
      <c r="C261" t="n">
        <v>909</v>
      </c>
      <c r="D261" t="n">
        <v>-0.3521</v>
      </c>
      <c r="E261" t="n">
        <v>13.0976</v>
      </c>
      <c r="F261" t="n">
        <v>0.08026</v>
      </c>
    </row>
    <row r="262">
      <c r="A262" t="n">
        <v>1000910</v>
      </c>
      <c r="B262" t="n">
        <v>1</v>
      </c>
      <c r="C262" t="n">
        <v>910</v>
      </c>
      <c r="D262" t="n">
        <v>-0.3521</v>
      </c>
      <c r="E262" t="n">
        <v>13.1209</v>
      </c>
      <c r="F262" t="n">
        <v>0.08025</v>
      </c>
    </row>
    <row r="263">
      <c r="A263" t="n">
        <v>1000911</v>
      </c>
      <c r="B263" t="n">
        <v>1</v>
      </c>
      <c r="C263" t="n">
        <v>911</v>
      </c>
      <c r="D263" t="n">
        <v>-0.3521</v>
      </c>
      <c r="E263" t="n">
        <v>13.1443</v>
      </c>
      <c r="F263" t="n">
        <v>0.08025</v>
      </c>
    </row>
    <row r="264">
      <c r="A264" t="n">
        <v>1000912</v>
      </c>
      <c r="B264" t="n">
        <v>1</v>
      </c>
      <c r="C264" t="n">
        <v>912</v>
      </c>
      <c r="D264" t="n">
        <v>-0.3521</v>
      </c>
      <c r="E264" t="n">
        <v>13.1677</v>
      </c>
      <c r="F264" t="n">
        <v>0.08025</v>
      </c>
    </row>
    <row r="265">
      <c r="A265" t="n">
        <v>1000913</v>
      </c>
      <c r="B265" t="n">
        <v>1</v>
      </c>
      <c r="C265" t="n">
        <v>913</v>
      </c>
      <c r="D265" t="n">
        <v>-0.3521</v>
      </c>
      <c r="E265" t="n">
        <v>13.191</v>
      </c>
      <c r="F265" t="n">
        <v>0.08025</v>
      </c>
    </row>
    <row r="266">
      <c r="A266" t="n">
        <v>1000914</v>
      </c>
      <c r="B266" t="n">
        <v>1</v>
      </c>
      <c r="C266" t="n">
        <v>914</v>
      </c>
      <c r="D266" t="n">
        <v>-0.3521</v>
      </c>
      <c r="E266" t="n">
        <v>13.2143</v>
      </c>
      <c r="F266" t="n">
        <v>0.08025</v>
      </c>
    </row>
    <row r="267">
      <c r="A267" t="n">
        <v>1000915</v>
      </c>
      <c r="B267" t="n">
        <v>1</v>
      </c>
      <c r="C267" t="n">
        <v>915</v>
      </c>
      <c r="D267" t="n">
        <v>-0.3521</v>
      </c>
      <c r="E267" t="n">
        <v>13.2376</v>
      </c>
      <c r="F267" t="n">
        <v>0.08024000000000001</v>
      </c>
    </row>
    <row r="268">
      <c r="A268" t="n">
        <v>1000916</v>
      </c>
      <c r="B268" t="n">
        <v>1</v>
      </c>
      <c r="C268" t="n">
        <v>916</v>
      </c>
      <c r="D268" t="n">
        <v>-0.3521</v>
      </c>
      <c r="E268" t="n">
        <v>13.2609</v>
      </c>
      <c r="F268" t="n">
        <v>0.08024000000000001</v>
      </c>
    </row>
    <row r="269">
      <c r="A269" t="n">
        <v>1000917</v>
      </c>
      <c r="B269" t="n">
        <v>1</v>
      </c>
      <c r="C269" t="n">
        <v>917</v>
      </c>
      <c r="D269" t="n">
        <v>-0.3521</v>
      </c>
      <c r="E269" t="n">
        <v>13.2842</v>
      </c>
      <c r="F269" t="n">
        <v>0.08024000000000001</v>
      </c>
    </row>
    <row r="270">
      <c r="A270" t="n">
        <v>1000918</v>
      </c>
      <c r="B270" t="n">
        <v>1</v>
      </c>
      <c r="C270" t="n">
        <v>918</v>
      </c>
      <c r="D270" t="n">
        <v>-0.3521</v>
      </c>
      <c r="E270" t="n">
        <v>13.3075</v>
      </c>
      <c r="F270" t="n">
        <v>0.08025</v>
      </c>
    </row>
    <row r="271">
      <c r="A271" t="n">
        <v>1000919</v>
      </c>
      <c r="B271" t="n">
        <v>1</v>
      </c>
      <c r="C271" t="n">
        <v>919</v>
      </c>
      <c r="D271" t="n">
        <v>-0.3521</v>
      </c>
      <c r="E271" t="n">
        <v>13.3308</v>
      </c>
      <c r="F271" t="n">
        <v>0.08025</v>
      </c>
    </row>
    <row r="272">
      <c r="A272" t="n">
        <v>1000920</v>
      </c>
      <c r="B272" t="n">
        <v>1</v>
      </c>
      <c r="C272" t="n">
        <v>920</v>
      </c>
      <c r="D272" t="n">
        <v>-0.3521</v>
      </c>
      <c r="E272" t="n">
        <v>13.3541</v>
      </c>
      <c r="F272" t="n">
        <v>0.08025</v>
      </c>
    </row>
    <row r="273">
      <c r="A273" t="n">
        <v>1000921</v>
      </c>
      <c r="B273" t="n">
        <v>1</v>
      </c>
      <c r="C273" t="n">
        <v>921</v>
      </c>
      <c r="D273" t="n">
        <v>-0.3521</v>
      </c>
      <c r="E273" t="n">
        <v>13.3773</v>
      </c>
      <c r="F273" t="n">
        <v>0.08025</v>
      </c>
    </row>
    <row r="274">
      <c r="A274" t="n">
        <v>1000922</v>
      </c>
      <c r="B274" t="n">
        <v>1</v>
      </c>
      <c r="C274" t="n">
        <v>922</v>
      </c>
      <c r="D274" t="n">
        <v>-0.3521</v>
      </c>
      <c r="E274" t="n">
        <v>13.4006</v>
      </c>
      <c r="F274" t="n">
        <v>0.08026</v>
      </c>
    </row>
    <row r="275">
      <c r="A275" t="n">
        <v>1000923</v>
      </c>
      <c r="B275" t="n">
        <v>1</v>
      </c>
      <c r="C275" t="n">
        <v>923</v>
      </c>
      <c r="D275" t="n">
        <v>-0.3521</v>
      </c>
      <c r="E275" t="n">
        <v>13.4239</v>
      </c>
      <c r="F275" t="n">
        <v>0.08026</v>
      </c>
    </row>
    <row r="276">
      <c r="A276" t="n">
        <v>1000924</v>
      </c>
      <c r="B276" t="n">
        <v>1</v>
      </c>
      <c r="C276" t="n">
        <v>924</v>
      </c>
      <c r="D276" t="n">
        <v>-0.3521</v>
      </c>
      <c r="E276" t="n">
        <v>13.4472</v>
      </c>
      <c r="F276" t="n">
        <v>0.08026999999999999</v>
      </c>
    </row>
    <row r="277">
      <c r="A277" t="n">
        <v>1000925</v>
      </c>
      <c r="B277" t="n">
        <v>1</v>
      </c>
      <c r="C277" t="n">
        <v>925</v>
      </c>
      <c r="D277" t="n">
        <v>-0.3521</v>
      </c>
      <c r="E277" t="n">
        <v>13.4705</v>
      </c>
      <c r="F277" t="n">
        <v>0.08026999999999999</v>
      </c>
    </row>
    <row r="278">
      <c r="A278" t="n">
        <v>1000926</v>
      </c>
      <c r="B278" t="n">
        <v>1</v>
      </c>
      <c r="C278" t="n">
        <v>926</v>
      </c>
      <c r="D278" t="n">
        <v>-0.3521</v>
      </c>
      <c r="E278" t="n">
        <v>13.4937</v>
      </c>
      <c r="F278" t="n">
        <v>0.08028</v>
      </c>
    </row>
    <row r="279">
      <c r="A279" t="n">
        <v>1000927</v>
      </c>
      <c r="B279" t="n">
        <v>1</v>
      </c>
      <c r="C279" t="n">
        <v>927</v>
      </c>
      <c r="D279" t="n">
        <v>-0.3521</v>
      </c>
      <c r="E279" t="n">
        <v>13.5171</v>
      </c>
      <c r="F279" t="n">
        <v>0.08028</v>
      </c>
    </row>
    <row r="280">
      <c r="A280" t="n">
        <v>1000928</v>
      </c>
      <c r="B280" t="n">
        <v>1</v>
      </c>
      <c r="C280" t="n">
        <v>928</v>
      </c>
      <c r="D280" t="n">
        <v>-0.3521</v>
      </c>
      <c r="E280" t="n">
        <v>13.5404</v>
      </c>
      <c r="F280" t="n">
        <v>0.08029</v>
      </c>
    </row>
    <row r="281">
      <c r="A281" t="n">
        <v>1000929</v>
      </c>
      <c r="B281" t="n">
        <v>1</v>
      </c>
      <c r="C281" t="n">
        <v>929</v>
      </c>
      <c r="D281" t="n">
        <v>-0.3521</v>
      </c>
      <c r="E281" t="n">
        <v>13.5637</v>
      </c>
      <c r="F281" t="n">
        <v>0.0803</v>
      </c>
    </row>
    <row r="282">
      <c r="A282" t="n">
        <v>1000930</v>
      </c>
      <c r="B282" t="n">
        <v>1</v>
      </c>
      <c r="C282" t="n">
        <v>930</v>
      </c>
      <c r="D282" t="n">
        <v>-0.3521</v>
      </c>
      <c r="E282" t="n">
        <v>13.587</v>
      </c>
      <c r="F282" t="n">
        <v>0.08031000000000001</v>
      </c>
    </row>
    <row r="283">
      <c r="A283" t="n">
        <v>1000931</v>
      </c>
      <c r="B283" t="n">
        <v>1</v>
      </c>
      <c r="C283" t="n">
        <v>931</v>
      </c>
      <c r="D283" t="n">
        <v>-0.3521</v>
      </c>
      <c r="E283" t="n">
        <v>13.6104</v>
      </c>
      <c r="F283" t="n">
        <v>0.08032</v>
      </c>
    </row>
    <row r="284">
      <c r="A284" t="n">
        <v>1000932</v>
      </c>
      <c r="B284" t="n">
        <v>1</v>
      </c>
      <c r="C284" t="n">
        <v>932</v>
      </c>
      <c r="D284" t="n">
        <v>-0.3521</v>
      </c>
      <c r="E284" t="n">
        <v>13.6338</v>
      </c>
      <c r="F284" t="n">
        <v>0.08033</v>
      </c>
    </row>
    <row r="285">
      <c r="A285" t="n">
        <v>1000933</v>
      </c>
      <c r="B285" t="n">
        <v>1</v>
      </c>
      <c r="C285" t="n">
        <v>933</v>
      </c>
      <c r="D285" t="n">
        <v>-0.3521</v>
      </c>
      <c r="E285" t="n">
        <v>13.6572</v>
      </c>
      <c r="F285" t="n">
        <v>0.08033999999999999</v>
      </c>
    </row>
    <row r="286">
      <c r="A286" t="n">
        <v>1000934</v>
      </c>
      <c r="B286" t="n">
        <v>1</v>
      </c>
      <c r="C286" t="n">
        <v>934</v>
      </c>
      <c r="D286" t="n">
        <v>-0.3521</v>
      </c>
      <c r="E286" t="n">
        <v>13.6806</v>
      </c>
      <c r="F286" t="n">
        <v>0.08035</v>
      </c>
    </row>
    <row r="287">
      <c r="A287" t="n">
        <v>1000935</v>
      </c>
      <c r="B287" t="n">
        <v>1</v>
      </c>
      <c r="C287" t="n">
        <v>935</v>
      </c>
      <c r="D287" t="n">
        <v>-0.3521</v>
      </c>
      <c r="E287" t="n">
        <v>13.7041</v>
      </c>
      <c r="F287" t="n">
        <v>0.08036</v>
      </c>
    </row>
    <row r="288">
      <c r="A288" t="n">
        <v>1000936</v>
      </c>
      <c r="B288" t="n">
        <v>1</v>
      </c>
      <c r="C288" t="n">
        <v>936</v>
      </c>
      <c r="D288" t="n">
        <v>-0.3521</v>
      </c>
      <c r="E288" t="n">
        <v>13.7275</v>
      </c>
      <c r="F288" t="n">
        <v>0.08037</v>
      </c>
    </row>
    <row r="289">
      <c r="A289" t="n">
        <v>1000937</v>
      </c>
      <c r="B289" t="n">
        <v>1</v>
      </c>
      <c r="C289" t="n">
        <v>937</v>
      </c>
      <c r="D289" t="n">
        <v>-0.3521</v>
      </c>
      <c r="E289" t="n">
        <v>13.751</v>
      </c>
      <c r="F289" t="n">
        <v>0.08037999999999999</v>
      </c>
    </row>
    <row r="290">
      <c r="A290" t="n">
        <v>1000938</v>
      </c>
      <c r="B290" t="n">
        <v>1</v>
      </c>
      <c r="C290" t="n">
        <v>938</v>
      </c>
      <c r="D290" t="n">
        <v>-0.3521</v>
      </c>
      <c r="E290" t="n">
        <v>13.7746</v>
      </c>
      <c r="F290" t="n">
        <v>0.0804</v>
      </c>
    </row>
    <row r="291">
      <c r="A291" t="n">
        <v>1000939</v>
      </c>
      <c r="B291" t="n">
        <v>1</v>
      </c>
      <c r="C291" t="n">
        <v>939</v>
      </c>
      <c r="D291" t="n">
        <v>-0.3521</v>
      </c>
      <c r="E291" t="n">
        <v>13.7981</v>
      </c>
      <c r="F291" t="n">
        <v>0.08041</v>
      </c>
    </row>
    <row r="292">
      <c r="A292" t="n">
        <v>1000940</v>
      </c>
      <c r="B292" t="n">
        <v>1</v>
      </c>
      <c r="C292" t="n">
        <v>940</v>
      </c>
      <c r="D292" t="n">
        <v>-0.3521</v>
      </c>
      <c r="E292" t="n">
        <v>13.8217</v>
      </c>
      <c r="F292" t="n">
        <v>0.08043</v>
      </c>
    </row>
    <row r="293">
      <c r="A293" t="n">
        <v>1000941</v>
      </c>
      <c r="B293" t="n">
        <v>1</v>
      </c>
      <c r="C293" t="n">
        <v>941</v>
      </c>
      <c r="D293" t="n">
        <v>-0.3521</v>
      </c>
      <c r="E293" t="n">
        <v>13.8454</v>
      </c>
      <c r="F293" t="n">
        <v>0.08044</v>
      </c>
    </row>
    <row r="294">
      <c r="A294" t="n">
        <v>1000942</v>
      </c>
      <c r="B294" t="n">
        <v>1</v>
      </c>
      <c r="C294" t="n">
        <v>942</v>
      </c>
      <c r="D294" t="n">
        <v>-0.3521</v>
      </c>
      <c r="E294" t="n">
        <v>13.8691</v>
      </c>
      <c r="F294" t="n">
        <v>0.08046</v>
      </c>
    </row>
    <row r="295">
      <c r="A295" t="n">
        <v>1000943</v>
      </c>
      <c r="B295" t="n">
        <v>1</v>
      </c>
      <c r="C295" t="n">
        <v>943</v>
      </c>
      <c r="D295" t="n">
        <v>-0.3521</v>
      </c>
      <c r="E295" t="n">
        <v>13.8928</v>
      </c>
      <c r="F295" t="n">
        <v>0.08047</v>
      </c>
    </row>
    <row r="296">
      <c r="A296" t="n">
        <v>1000944</v>
      </c>
      <c r="B296" t="n">
        <v>1</v>
      </c>
      <c r="C296" t="n">
        <v>944</v>
      </c>
      <c r="D296" t="n">
        <v>-0.3521</v>
      </c>
      <c r="E296" t="n">
        <v>13.9165</v>
      </c>
      <c r="F296" t="n">
        <v>0.08049000000000001</v>
      </c>
    </row>
    <row r="297">
      <c r="A297" t="n">
        <v>1000945</v>
      </c>
      <c r="B297" t="n">
        <v>1</v>
      </c>
      <c r="C297" t="n">
        <v>945</v>
      </c>
      <c r="D297" t="n">
        <v>-0.3521</v>
      </c>
      <c r="E297" t="n">
        <v>13.9403</v>
      </c>
      <c r="F297" t="n">
        <v>0.08051</v>
      </c>
    </row>
    <row r="298">
      <c r="A298" t="n">
        <v>1000946</v>
      </c>
      <c r="B298" t="n">
        <v>1</v>
      </c>
      <c r="C298" t="n">
        <v>946</v>
      </c>
      <c r="D298" t="n">
        <v>-0.3521</v>
      </c>
      <c r="E298" t="n">
        <v>13.9642</v>
      </c>
      <c r="F298" t="n">
        <v>0.08051999999999999</v>
      </c>
    </row>
    <row r="299">
      <c r="A299" t="n">
        <v>1000947</v>
      </c>
      <c r="B299" t="n">
        <v>1</v>
      </c>
      <c r="C299" t="n">
        <v>947</v>
      </c>
      <c r="D299" t="n">
        <v>-0.3521</v>
      </c>
      <c r="E299" t="n">
        <v>13.9881</v>
      </c>
      <c r="F299" t="n">
        <v>0.08054</v>
      </c>
    </row>
    <row r="300">
      <c r="A300" t="n">
        <v>1000948</v>
      </c>
      <c r="B300" t="n">
        <v>1</v>
      </c>
      <c r="C300" t="n">
        <v>948</v>
      </c>
      <c r="D300" t="n">
        <v>-0.3521</v>
      </c>
      <c r="E300" t="n">
        <v>14.012</v>
      </c>
      <c r="F300" t="n">
        <v>0.08056000000000001</v>
      </c>
    </row>
    <row r="301">
      <c r="A301" t="n">
        <v>1000949</v>
      </c>
      <c r="B301" t="n">
        <v>1</v>
      </c>
      <c r="C301" t="n">
        <v>949</v>
      </c>
      <c r="D301" t="n">
        <v>-0.3521</v>
      </c>
      <c r="E301" t="n">
        <v>14.036</v>
      </c>
      <c r="F301" t="n">
        <v>0.08058</v>
      </c>
    </row>
    <row r="302">
      <c r="A302" t="n">
        <v>1000950</v>
      </c>
      <c r="B302" t="n">
        <v>1</v>
      </c>
      <c r="C302" t="n">
        <v>950</v>
      </c>
      <c r="D302" t="n">
        <v>-0.3521</v>
      </c>
      <c r="E302" t="n">
        <v>14.06</v>
      </c>
      <c r="F302" t="n">
        <v>0.0806</v>
      </c>
    </row>
    <row r="303">
      <c r="A303" t="n">
        <v>1000951</v>
      </c>
      <c r="B303" t="n">
        <v>1</v>
      </c>
      <c r="C303" t="n">
        <v>951</v>
      </c>
      <c r="D303" t="n">
        <v>-0.3521</v>
      </c>
      <c r="E303" t="n">
        <v>14.0841</v>
      </c>
      <c r="F303" t="n">
        <v>0.08062</v>
      </c>
    </row>
    <row r="304">
      <c r="A304" t="n">
        <v>1000952</v>
      </c>
      <c r="B304" t="n">
        <v>1</v>
      </c>
      <c r="C304" t="n">
        <v>952</v>
      </c>
      <c r="D304" t="n">
        <v>-0.3521</v>
      </c>
      <c r="E304" t="n">
        <v>14.1083</v>
      </c>
      <c r="F304" t="n">
        <v>0.08064</v>
      </c>
    </row>
    <row r="305">
      <c r="A305" t="n">
        <v>1000953</v>
      </c>
      <c r="B305" t="n">
        <v>1</v>
      </c>
      <c r="C305" t="n">
        <v>953</v>
      </c>
      <c r="D305" t="n">
        <v>-0.3521</v>
      </c>
      <c r="E305" t="n">
        <v>14.1325</v>
      </c>
      <c r="F305" t="n">
        <v>0.08067000000000001</v>
      </c>
    </row>
    <row r="306">
      <c r="A306" t="n">
        <v>1000954</v>
      </c>
      <c r="B306" t="n">
        <v>1</v>
      </c>
      <c r="C306" t="n">
        <v>954</v>
      </c>
      <c r="D306" t="n">
        <v>-0.3521</v>
      </c>
      <c r="E306" t="n">
        <v>14.1567</v>
      </c>
      <c r="F306" t="n">
        <v>0.08069</v>
      </c>
    </row>
    <row r="307">
      <c r="A307" t="n">
        <v>1000955</v>
      </c>
      <c r="B307" t="n">
        <v>1</v>
      </c>
      <c r="C307" t="n">
        <v>955</v>
      </c>
      <c r="D307" t="n">
        <v>-0.3521</v>
      </c>
      <c r="E307" t="n">
        <v>14.1811</v>
      </c>
      <c r="F307" t="n">
        <v>0.08071</v>
      </c>
    </row>
    <row r="308">
      <c r="A308" t="n">
        <v>1000956</v>
      </c>
      <c r="B308" t="n">
        <v>1</v>
      </c>
      <c r="C308" t="n">
        <v>956</v>
      </c>
      <c r="D308" t="n">
        <v>-0.3521</v>
      </c>
      <c r="E308" t="n">
        <v>14.2055</v>
      </c>
      <c r="F308" t="n">
        <v>0.08073</v>
      </c>
    </row>
    <row r="309">
      <c r="A309" t="n">
        <v>1000957</v>
      </c>
      <c r="B309" t="n">
        <v>1</v>
      </c>
      <c r="C309" t="n">
        <v>957</v>
      </c>
      <c r="D309" t="n">
        <v>-0.3521</v>
      </c>
      <c r="E309" t="n">
        <v>14.2299</v>
      </c>
      <c r="F309" t="n">
        <v>0.08076</v>
      </c>
    </row>
    <row r="310">
      <c r="A310" t="n">
        <v>1000958</v>
      </c>
      <c r="B310" t="n">
        <v>1</v>
      </c>
      <c r="C310" t="n">
        <v>958</v>
      </c>
      <c r="D310" t="n">
        <v>-0.3521</v>
      </c>
      <c r="E310" t="n">
        <v>14.2544</v>
      </c>
      <c r="F310" t="n">
        <v>0.08078</v>
      </c>
    </row>
    <row r="311">
      <c r="A311" t="n">
        <v>1000959</v>
      </c>
      <c r="B311" t="n">
        <v>1</v>
      </c>
      <c r="C311" t="n">
        <v>959</v>
      </c>
      <c r="D311" t="n">
        <v>-0.3521</v>
      </c>
      <c r="E311" t="n">
        <v>14.279</v>
      </c>
      <c r="F311" t="n">
        <v>0.08081000000000001</v>
      </c>
    </row>
    <row r="312">
      <c r="A312" t="n">
        <v>1000960</v>
      </c>
      <c r="B312" t="n">
        <v>1</v>
      </c>
      <c r="C312" t="n">
        <v>960</v>
      </c>
      <c r="D312" t="n">
        <v>-0.3521</v>
      </c>
      <c r="E312" t="n">
        <v>14.3037</v>
      </c>
      <c r="F312" t="n">
        <v>0.08083</v>
      </c>
    </row>
    <row r="313">
      <c r="A313" t="n">
        <v>1000961</v>
      </c>
      <c r="B313" t="n">
        <v>1</v>
      </c>
      <c r="C313" t="n">
        <v>961</v>
      </c>
      <c r="D313" t="n">
        <v>-0.3521</v>
      </c>
      <c r="E313" t="n">
        <v>14.3284</v>
      </c>
      <c r="F313" t="n">
        <v>0.08086</v>
      </c>
    </row>
    <row r="314">
      <c r="A314" t="n">
        <v>1000962</v>
      </c>
      <c r="B314" t="n">
        <v>1</v>
      </c>
      <c r="C314" t="n">
        <v>962</v>
      </c>
      <c r="D314" t="n">
        <v>-0.3521</v>
      </c>
      <c r="E314" t="n">
        <v>14.3533</v>
      </c>
      <c r="F314" t="n">
        <v>0.08089</v>
      </c>
    </row>
    <row r="315">
      <c r="A315" t="n">
        <v>1000963</v>
      </c>
      <c r="B315" t="n">
        <v>1</v>
      </c>
      <c r="C315" t="n">
        <v>963</v>
      </c>
      <c r="D315" t="n">
        <v>-0.3521</v>
      </c>
      <c r="E315" t="n">
        <v>14.3782</v>
      </c>
      <c r="F315" t="n">
        <v>0.08092000000000001</v>
      </c>
    </row>
    <row r="316">
      <c r="A316" t="n">
        <v>1000964</v>
      </c>
      <c r="B316" t="n">
        <v>1</v>
      </c>
      <c r="C316" t="n">
        <v>964</v>
      </c>
      <c r="D316" t="n">
        <v>-0.3521</v>
      </c>
      <c r="E316" t="n">
        <v>14.4031</v>
      </c>
      <c r="F316" t="n">
        <v>0.08094</v>
      </c>
    </row>
    <row r="317">
      <c r="A317" t="n">
        <v>1000965</v>
      </c>
      <c r="B317" t="n">
        <v>1</v>
      </c>
      <c r="C317" t="n">
        <v>965</v>
      </c>
      <c r="D317" t="n">
        <v>-0.3521</v>
      </c>
      <c r="E317" t="n">
        <v>14.4282</v>
      </c>
      <c r="F317" t="n">
        <v>0.08097</v>
      </c>
    </row>
    <row r="318">
      <c r="A318" t="n">
        <v>1000966</v>
      </c>
      <c r="B318" t="n">
        <v>1</v>
      </c>
      <c r="C318" t="n">
        <v>966</v>
      </c>
      <c r="D318" t="n">
        <v>-0.3521</v>
      </c>
      <c r="E318" t="n">
        <v>14.4533</v>
      </c>
      <c r="F318" t="n">
        <v>0.081</v>
      </c>
    </row>
    <row r="319">
      <c r="A319" t="n">
        <v>1000967</v>
      </c>
      <c r="B319" t="n">
        <v>1</v>
      </c>
      <c r="C319" t="n">
        <v>967</v>
      </c>
      <c r="D319" t="n">
        <v>-0.3521</v>
      </c>
      <c r="E319" t="n">
        <v>14.4785</v>
      </c>
      <c r="F319" t="n">
        <v>0.08103</v>
      </c>
    </row>
    <row r="320">
      <c r="A320" t="n">
        <v>1000968</v>
      </c>
      <c r="B320" t="n">
        <v>1</v>
      </c>
      <c r="C320" t="n">
        <v>968</v>
      </c>
      <c r="D320" t="n">
        <v>-0.3521</v>
      </c>
      <c r="E320" t="n">
        <v>14.5038</v>
      </c>
      <c r="F320" t="n">
        <v>0.08105999999999999</v>
      </c>
    </row>
    <row r="321">
      <c r="A321" t="n">
        <v>1000969</v>
      </c>
      <c r="B321" t="n">
        <v>1</v>
      </c>
      <c r="C321" t="n">
        <v>969</v>
      </c>
      <c r="D321" t="n">
        <v>-0.3521</v>
      </c>
      <c r="E321" t="n">
        <v>14.5292</v>
      </c>
      <c r="F321" t="n">
        <v>0.08109</v>
      </c>
    </row>
    <row r="322">
      <c r="A322" t="n">
        <v>1000970</v>
      </c>
      <c r="B322" t="n">
        <v>1</v>
      </c>
      <c r="C322" t="n">
        <v>970</v>
      </c>
      <c r="D322" t="n">
        <v>-0.3521</v>
      </c>
      <c r="E322" t="n">
        <v>14.5547</v>
      </c>
      <c r="F322" t="n">
        <v>0.08112</v>
      </c>
    </row>
    <row r="323">
      <c r="A323" t="n">
        <v>1000971</v>
      </c>
      <c r="B323" t="n">
        <v>1</v>
      </c>
      <c r="C323" t="n">
        <v>971</v>
      </c>
      <c r="D323" t="n">
        <v>-0.3521</v>
      </c>
      <c r="E323" t="n">
        <v>14.5802</v>
      </c>
      <c r="F323" t="n">
        <v>0.08116</v>
      </c>
    </row>
    <row r="324">
      <c r="A324" t="n">
        <v>1000972</v>
      </c>
      <c r="B324" t="n">
        <v>1</v>
      </c>
      <c r="C324" t="n">
        <v>972</v>
      </c>
      <c r="D324" t="n">
        <v>-0.3521</v>
      </c>
      <c r="E324" t="n">
        <v>14.6058</v>
      </c>
      <c r="F324" t="n">
        <v>0.08119</v>
      </c>
    </row>
    <row r="325">
      <c r="A325" t="n">
        <v>1000973</v>
      </c>
      <c r="B325" t="n">
        <v>1</v>
      </c>
      <c r="C325" t="n">
        <v>973</v>
      </c>
      <c r="D325" t="n">
        <v>-0.3521</v>
      </c>
      <c r="E325" t="n">
        <v>14.6316</v>
      </c>
      <c r="F325" t="n">
        <v>0.08122</v>
      </c>
    </row>
    <row r="326">
      <c r="A326" t="n">
        <v>1000974</v>
      </c>
      <c r="B326" t="n">
        <v>1</v>
      </c>
      <c r="C326" t="n">
        <v>974</v>
      </c>
      <c r="D326" t="n">
        <v>-0.3521</v>
      </c>
      <c r="E326" t="n">
        <v>14.6574</v>
      </c>
      <c r="F326" t="n">
        <v>0.08125</v>
      </c>
    </row>
    <row r="327">
      <c r="A327" t="n">
        <v>1000975</v>
      </c>
      <c r="B327" t="n">
        <v>1</v>
      </c>
      <c r="C327" t="n">
        <v>975</v>
      </c>
      <c r="D327" t="n">
        <v>-0.3521</v>
      </c>
      <c r="E327" t="n">
        <v>14.6832</v>
      </c>
      <c r="F327" t="n">
        <v>0.08129</v>
      </c>
    </row>
    <row r="328">
      <c r="A328" t="n">
        <v>1000976</v>
      </c>
      <c r="B328" t="n">
        <v>1</v>
      </c>
      <c r="C328" t="n">
        <v>976</v>
      </c>
      <c r="D328" t="n">
        <v>-0.3521</v>
      </c>
      <c r="E328" t="n">
        <v>14.7092</v>
      </c>
      <c r="F328" t="n">
        <v>0.08132</v>
      </c>
    </row>
    <row r="329">
      <c r="A329" t="n">
        <v>1000977</v>
      </c>
      <c r="B329" t="n">
        <v>1</v>
      </c>
      <c r="C329" t="n">
        <v>977</v>
      </c>
      <c r="D329" t="n">
        <v>-0.3521</v>
      </c>
      <c r="E329" t="n">
        <v>14.7353</v>
      </c>
      <c r="F329" t="n">
        <v>0.08136</v>
      </c>
    </row>
    <row r="330">
      <c r="A330" t="n">
        <v>1000978</v>
      </c>
      <c r="B330" t="n">
        <v>1</v>
      </c>
      <c r="C330" t="n">
        <v>978</v>
      </c>
      <c r="D330" t="n">
        <v>-0.3521</v>
      </c>
      <c r="E330" t="n">
        <v>14.7614</v>
      </c>
      <c r="F330" t="n">
        <v>0.08139</v>
      </c>
    </row>
    <row r="331">
      <c r="A331" t="n">
        <v>1000979</v>
      </c>
      <c r="B331" t="n">
        <v>1</v>
      </c>
      <c r="C331" t="n">
        <v>979</v>
      </c>
      <c r="D331" t="n">
        <v>-0.3521</v>
      </c>
      <c r="E331" t="n">
        <v>14.7877</v>
      </c>
      <c r="F331" t="n">
        <v>0.08143</v>
      </c>
    </row>
    <row r="332">
      <c r="A332" t="n">
        <v>1000980</v>
      </c>
      <c r="B332" t="n">
        <v>1</v>
      </c>
      <c r="C332" t="n">
        <v>980</v>
      </c>
      <c r="D332" t="n">
        <v>-0.3521</v>
      </c>
      <c r="E332" t="n">
        <v>14.814</v>
      </c>
      <c r="F332" t="n">
        <v>0.08146</v>
      </c>
    </row>
    <row r="333">
      <c r="A333" t="n">
        <v>1000981</v>
      </c>
      <c r="B333" t="n">
        <v>1</v>
      </c>
      <c r="C333" t="n">
        <v>981</v>
      </c>
      <c r="D333" t="n">
        <v>-0.3521</v>
      </c>
      <c r="E333" t="n">
        <v>14.8404</v>
      </c>
      <c r="F333" t="n">
        <v>0.0815</v>
      </c>
    </row>
    <row r="334">
      <c r="A334" t="n">
        <v>1000982</v>
      </c>
      <c r="B334" t="n">
        <v>1</v>
      </c>
      <c r="C334" t="n">
        <v>982</v>
      </c>
      <c r="D334" t="n">
        <v>-0.3521</v>
      </c>
      <c r="E334" t="n">
        <v>14.8669</v>
      </c>
      <c r="F334" t="n">
        <v>0.08154</v>
      </c>
    </row>
    <row r="335">
      <c r="A335" t="n">
        <v>1000983</v>
      </c>
      <c r="B335" t="n">
        <v>1</v>
      </c>
      <c r="C335" t="n">
        <v>983</v>
      </c>
      <c r="D335" t="n">
        <v>-0.3521</v>
      </c>
      <c r="E335" t="n">
        <v>14.8934</v>
      </c>
      <c r="F335" t="n">
        <v>0.08157</v>
      </c>
    </row>
    <row r="336">
      <c r="A336" t="n">
        <v>1000984</v>
      </c>
      <c r="B336" t="n">
        <v>1</v>
      </c>
      <c r="C336" t="n">
        <v>984</v>
      </c>
      <c r="D336" t="n">
        <v>-0.3521</v>
      </c>
      <c r="E336" t="n">
        <v>14.9201</v>
      </c>
      <c r="F336" t="n">
        <v>0.08161</v>
      </c>
    </row>
    <row r="337">
      <c r="A337" t="n">
        <v>1000985</v>
      </c>
      <c r="B337" t="n">
        <v>1</v>
      </c>
      <c r="C337" t="n">
        <v>985</v>
      </c>
      <c r="D337" t="n">
        <v>-0.3521</v>
      </c>
      <c r="E337" t="n">
        <v>14.9468</v>
      </c>
      <c r="F337" t="n">
        <v>0.08165</v>
      </c>
    </row>
    <row r="338">
      <c r="A338" t="n">
        <v>1000986</v>
      </c>
      <c r="B338" t="n">
        <v>1</v>
      </c>
      <c r="C338" t="n">
        <v>986</v>
      </c>
      <c r="D338" t="n">
        <v>-0.3521</v>
      </c>
      <c r="E338" t="n">
        <v>14.9736</v>
      </c>
      <c r="F338" t="n">
        <v>0.08169</v>
      </c>
    </row>
    <row r="339">
      <c r="A339" t="n">
        <v>1000987</v>
      </c>
      <c r="B339" t="n">
        <v>1</v>
      </c>
      <c r="C339" t="n">
        <v>987</v>
      </c>
      <c r="D339" t="n">
        <v>-0.3521</v>
      </c>
      <c r="E339" t="n">
        <v>15.0005</v>
      </c>
      <c r="F339" t="n">
        <v>0.08173</v>
      </c>
    </row>
    <row r="340">
      <c r="A340" t="n">
        <v>1000988</v>
      </c>
      <c r="B340" t="n">
        <v>1</v>
      </c>
      <c r="C340" t="n">
        <v>988</v>
      </c>
      <c r="D340" t="n">
        <v>-0.3521</v>
      </c>
      <c r="E340" t="n">
        <v>15.0275</v>
      </c>
      <c r="F340" t="n">
        <v>0.08177</v>
      </c>
    </row>
    <row r="341">
      <c r="A341" t="n">
        <v>1000989</v>
      </c>
      <c r="B341" t="n">
        <v>1</v>
      </c>
      <c r="C341" t="n">
        <v>989</v>
      </c>
      <c r="D341" t="n">
        <v>-0.3521</v>
      </c>
      <c r="E341" t="n">
        <v>15.0546</v>
      </c>
      <c r="F341" t="n">
        <v>0.08180999999999999</v>
      </c>
    </row>
    <row r="342">
      <c r="A342" t="n">
        <v>1000990</v>
      </c>
      <c r="B342" t="n">
        <v>1</v>
      </c>
      <c r="C342" t="n">
        <v>990</v>
      </c>
      <c r="D342" t="n">
        <v>-0.3521</v>
      </c>
      <c r="E342" t="n">
        <v>15.0818</v>
      </c>
      <c r="F342" t="n">
        <v>0.08185000000000001</v>
      </c>
    </row>
    <row r="343">
      <c r="A343" t="n">
        <v>1000991</v>
      </c>
      <c r="B343" t="n">
        <v>1</v>
      </c>
      <c r="C343" t="n">
        <v>991</v>
      </c>
      <c r="D343" t="n">
        <v>-0.3521</v>
      </c>
      <c r="E343" t="n">
        <v>15.109</v>
      </c>
      <c r="F343" t="n">
        <v>0.08189</v>
      </c>
    </row>
    <row r="344">
      <c r="A344" t="n">
        <v>1000992</v>
      </c>
      <c r="B344" t="n">
        <v>1</v>
      </c>
      <c r="C344" t="n">
        <v>992</v>
      </c>
      <c r="D344" t="n">
        <v>-0.3521</v>
      </c>
      <c r="E344" t="n">
        <v>15.1363</v>
      </c>
      <c r="F344" t="n">
        <v>0.08194</v>
      </c>
    </row>
    <row r="345">
      <c r="A345" t="n">
        <v>1000993</v>
      </c>
      <c r="B345" t="n">
        <v>1</v>
      </c>
      <c r="C345" t="n">
        <v>993</v>
      </c>
      <c r="D345" t="n">
        <v>-0.3521</v>
      </c>
      <c r="E345" t="n">
        <v>15.1637</v>
      </c>
      <c r="F345" t="n">
        <v>0.08198</v>
      </c>
    </row>
    <row r="346">
      <c r="A346" t="n">
        <v>1000994</v>
      </c>
      <c r="B346" t="n">
        <v>1</v>
      </c>
      <c r="C346" t="n">
        <v>994</v>
      </c>
      <c r="D346" t="n">
        <v>-0.3521</v>
      </c>
      <c r="E346" t="n">
        <v>15.1912</v>
      </c>
      <c r="F346" t="n">
        <v>0.08202</v>
      </c>
    </row>
    <row r="347">
      <c r="A347" t="n">
        <v>1000995</v>
      </c>
      <c r="B347" t="n">
        <v>1</v>
      </c>
      <c r="C347" t="n">
        <v>995</v>
      </c>
      <c r="D347" t="n">
        <v>-0.3521</v>
      </c>
      <c r="E347" t="n">
        <v>15.2187</v>
      </c>
      <c r="F347" t="n">
        <v>0.08205999999999999</v>
      </c>
    </row>
    <row r="348">
      <c r="A348" t="n">
        <v>1000996</v>
      </c>
      <c r="B348" t="n">
        <v>1</v>
      </c>
      <c r="C348" t="n">
        <v>996</v>
      </c>
      <c r="D348" t="n">
        <v>-0.3521</v>
      </c>
      <c r="E348" t="n">
        <v>15.2463</v>
      </c>
      <c r="F348" t="n">
        <v>0.08211</v>
      </c>
    </row>
    <row r="349">
      <c r="A349" t="n">
        <v>1000997</v>
      </c>
      <c r="B349" t="n">
        <v>1</v>
      </c>
      <c r="C349" t="n">
        <v>997</v>
      </c>
      <c r="D349" t="n">
        <v>-0.3521</v>
      </c>
      <c r="E349" t="n">
        <v>15.274</v>
      </c>
      <c r="F349" t="n">
        <v>0.08215</v>
      </c>
    </row>
    <row r="350">
      <c r="A350" t="n">
        <v>1000998</v>
      </c>
      <c r="B350" t="n">
        <v>1</v>
      </c>
      <c r="C350" t="n">
        <v>998</v>
      </c>
      <c r="D350" t="n">
        <v>-0.3521</v>
      </c>
      <c r="E350" t="n">
        <v>15.3018</v>
      </c>
      <c r="F350" t="n">
        <v>0.0822</v>
      </c>
    </row>
    <row r="351">
      <c r="A351" t="n">
        <v>1000999</v>
      </c>
      <c r="B351" t="n">
        <v>1</v>
      </c>
      <c r="C351" t="n">
        <v>999</v>
      </c>
      <c r="D351" t="n">
        <v>-0.3521</v>
      </c>
      <c r="E351" t="n">
        <v>15.3297</v>
      </c>
      <c r="F351" t="n">
        <v>0.08223999999999999</v>
      </c>
    </row>
    <row r="352">
      <c r="A352" t="n">
        <v>1001000</v>
      </c>
      <c r="B352" t="n">
        <v>1</v>
      </c>
      <c r="C352" t="n">
        <v>1000</v>
      </c>
      <c r="D352" t="n">
        <v>-0.3521</v>
      </c>
      <c r="E352" t="n">
        <v>15.3576</v>
      </c>
      <c r="F352" t="n">
        <v>0.08229</v>
      </c>
    </row>
    <row r="353">
      <c r="A353" t="n">
        <v>1001001</v>
      </c>
      <c r="B353" t="n">
        <v>1</v>
      </c>
      <c r="C353" t="n">
        <v>1001</v>
      </c>
      <c r="D353" t="n">
        <v>-0.3521</v>
      </c>
      <c r="E353" t="n">
        <v>15.3856</v>
      </c>
      <c r="F353" t="n">
        <v>0.08233</v>
      </c>
    </row>
    <row r="354">
      <c r="A354" t="n">
        <v>1001002</v>
      </c>
      <c r="B354" t="n">
        <v>1</v>
      </c>
      <c r="C354" t="n">
        <v>1002</v>
      </c>
      <c r="D354" t="n">
        <v>-0.3521</v>
      </c>
      <c r="E354" t="n">
        <v>15.4137</v>
      </c>
      <c r="F354" t="n">
        <v>0.08237999999999999</v>
      </c>
    </row>
    <row r="355">
      <c r="A355" t="n">
        <v>1001003</v>
      </c>
      <c r="B355" t="n">
        <v>1</v>
      </c>
      <c r="C355" t="n">
        <v>1003</v>
      </c>
      <c r="D355" t="n">
        <v>-0.3521</v>
      </c>
      <c r="E355" t="n">
        <v>15.4419</v>
      </c>
      <c r="F355" t="n">
        <v>0.08243</v>
      </c>
    </row>
    <row r="356">
      <c r="A356" t="n">
        <v>1001004</v>
      </c>
      <c r="B356" t="n">
        <v>1</v>
      </c>
      <c r="C356" t="n">
        <v>1004</v>
      </c>
      <c r="D356" t="n">
        <v>-0.3521</v>
      </c>
      <c r="E356" t="n">
        <v>15.4701</v>
      </c>
      <c r="F356" t="n">
        <v>0.08247</v>
      </c>
    </row>
    <row r="357">
      <c r="A357" t="n">
        <v>1001005</v>
      </c>
      <c r="B357" t="n">
        <v>1</v>
      </c>
      <c r="C357" t="n">
        <v>1005</v>
      </c>
      <c r="D357" t="n">
        <v>-0.3521</v>
      </c>
      <c r="E357" t="n">
        <v>15.4985</v>
      </c>
      <c r="F357" t="n">
        <v>0.08252</v>
      </c>
    </row>
    <row r="358">
      <c r="A358" t="n">
        <v>1001006</v>
      </c>
      <c r="B358" t="n">
        <v>1</v>
      </c>
      <c r="C358" t="n">
        <v>1006</v>
      </c>
      <c r="D358" t="n">
        <v>-0.3521</v>
      </c>
      <c r="E358" t="n">
        <v>15.5268</v>
      </c>
      <c r="F358" t="n">
        <v>0.08257</v>
      </c>
    </row>
    <row r="359">
      <c r="A359" t="n">
        <v>1001007</v>
      </c>
      <c r="B359" t="n">
        <v>1</v>
      </c>
      <c r="C359" t="n">
        <v>1007</v>
      </c>
      <c r="D359" t="n">
        <v>-0.3521</v>
      </c>
      <c r="E359" t="n">
        <v>15.5553</v>
      </c>
      <c r="F359" t="n">
        <v>0.08262</v>
      </c>
    </row>
    <row r="360">
      <c r="A360" t="n">
        <v>1001008</v>
      </c>
      <c r="B360" t="n">
        <v>1</v>
      </c>
      <c r="C360" t="n">
        <v>1008</v>
      </c>
      <c r="D360" t="n">
        <v>-0.3521</v>
      </c>
      <c r="E360" t="n">
        <v>15.5838</v>
      </c>
      <c r="F360" t="n">
        <v>0.08266999999999999</v>
      </c>
    </row>
    <row r="361">
      <c r="A361" t="n">
        <v>1001009</v>
      </c>
      <c r="B361" t="n">
        <v>1</v>
      </c>
      <c r="C361" t="n">
        <v>1009</v>
      </c>
      <c r="D361" t="n">
        <v>-0.3521</v>
      </c>
      <c r="E361" t="n">
        <v>15.6125</v>
      </c>
      <c r="F361" t="n">
        <v>0.08272</v>
      </c>
    </row>
    <row r="362">
      <c r="A362" t="n">
        <v>1001010</v>
      </c>
      <c r="B362" t="n">
        <v>1</v>
      </c>
      <c r="C362" t="n">
        <v>1010</v>
      </c>
      <c r="D362" t="n">
        <v>-0.3521</v>
      </c>
      <c r="E362" t="n">
        <v>15.6412</v>
      </c>
      <c r="F362" t="n">
        <v>0.08277</v>
      </c>
    </row>
    <row r="363">
      <c r="A363" t="n">
        <v>1001011</v>
      </c>
      <c r="B363" t="n">
        <v>1</v>
      </c>
      <c r="C363" t="n">
        <v>1011</v>
      </c>
      <c r="D363" t="n">
        <v>-0.3521</v>
      </c>
      <c r="E363" t="n">
        <v>15.6699</v>
      </c>
      <c r="F363" t="n">
        <v>0.08280999999999999</v>
      </c>
    </row>
    <row r="364">
      <c r="A364" t="n">
        <v>1001012</v>
      </c>
      <c r="B364" t="n">
        <v>1</v>
      </c>
      <c r="C364" t="n">
        <v>1012</v>
      </c>
      <c r="D364" t="n">
        <v>-0.3521</v>
      </c>
      <c r="E364" t="n">
        <v>15.6987</v>
      </c>
      <c r="F364" t="n">
        <v>0.08287</v>
      </c>
    </row>
    <row r="365">
      <c r="A365" t="n">
        <v>1001013</v>
      </c>
      <c r="B365" t="n">
        <v>1</v>
      </c>
      <c r="C365" t="n">
        <v>1013</v>
      </c>
      <c r="D365" t="n">
        <v>-0.3521</v>
      </c>
      <c r="E365" t="n">
        <v>15.7276</v>
      </c>
      <c r="F365" t="n">
        <v>0.08291999999999999</v>
      </c>
    </row>
    <row r="366">
      <c r="A366" t="n">
        <v>1001014</v>
      </c>
      <c r="B366" t="n">
        <v>1</v>
      </c>
      <c r="C366" t="n">
        <v>1014</v>
      </c>
      <c r="D366" t="n">
        <v>-0.3521</v>
      </c>
      <c r="E366" t="n">
        <v>15.7566</v>
      </c>
      <c r="F366" t="n">
        <v>0.08297</v>
      </c>
    </row>
    <row r="367">
      <c r="A367" t="n">
        <v>1001015</v>
      </c>
      <c r="B367" t="n">
        <v>1</v>
      </c>
      <c r="C367" t="n">
        <v>1015</v>
      </c>
      <c r="D367" t="n">
        <v>-0.3521</v>
      </c>
      <c r="E367" t="n">
        <v>15.7857</v>
      </c>
      <c r="F367" t="n">
        <v>0.08302</v>
      </c>
    </row>
    <row r="368">
      <c r="A368" t="n">
        <v>1001016</v>
      </c>
      <c r="B368" t="n">
        <v>1</v>
      </c>
      <c r="C368" t="n">
        <v>1016</v>
      </c>
      <c r="D368" t="n">
        <v>-0.3521</v>
      </c>
      <c r="E368" t="n">
        <v>15.8148</v>
      </c>
      <c r="F368" t="n">
        <v>0.08307</v>
      </c>
    </row>
    <row r="369">
      <c r="A369" t="n">
        <v>1001017</v>
      </c>
      <c r="B369" t="n">
        <v>1</v>
      </c>
      <c r="C369" t="n">
        <v>1017</v>
      </c>
      <c r="D369" t="n">
        <v>-0.3521</v>
      </c>
      <c r="E369" t="n">
        <v>15.844</v>
      </c>
      <c r="F369" t="n">
        <v>0.08312</v>
      </c>
    </row>
    <row r="370">
      <c r="A370" t="n">
        <v>1001018</v>
      </c>
      <c r="B370" t="n">
        <v>1</v>
      </c>
      <c r="C370" t="n">
        <v>1018</v>
      </c>
      <c r="D370" t="n">
        <v>-0.3521</v>
      </c>
      <c r="E370" t="n">
        <v>15.8732</v>
      </c>
      <c r="F370" t="n">
        <v>0.08316999999999999</v>
      </c>
    </row>
    <row r="371">
      <c r="A371" t="n">
        <v>1001019</v>
      </c>
      <c r="B371" t="n">
        <v>1</v>
      </c>
      <c r="C371" t="n">
        <v>1019</v>
      </c>
      <c r="D371" t="n">
        <v>-0.3521</v>
      </c>
      <c r="E371" t="n">
        <v>15.9026</v>
      </c>
      <c r="F371" t="n">
        <v>0.08322</v>
      </c>
    </row>
    <row r="372">
      <c r="A372" t="n">
        <v>1001020</v>
      </c>
      <c r="B372" t="n">
        <v>1</v>
      </c>
      <c r="C372" t="n">
        <v>1020</v>
      </c>
      <c r="D372" t="n">
        <v>-0.3521</v>
      </c>
      <c r="E372" t="n">
        <v>15.932</v>
      </c>
      <c r="F372" t="n">
        <v>0.08328000000000001</v>
      </c>
    </row>
    <row r="373">
      <c r="A373" t="n">
        <v>1001021</v>
      </c>
      <c r="B373" t="n">
        <v>1</v>
      </c>
      <c r="C373" t="n">
        <v>1021</v>
      </c>
      <c r="D373" t="n">
        <v>-0.3521</v>
      </c>
      <c r="E373" t="n">
        <v>15.9615</v>
      </c>
      <c r="F373" t="n">
        <v>0.08333</v>
      </c>
    </row>
    <row r="374">
      <c r="A374" t="n">
        <v>1001022</v>
      </c>
      <c r="B374" t="n">
        <v>1</v>
      </c>
      <c r="C374" t="n">
        <v>1022</v>
      </c>
      <c r="D374" t="n">
        <v>-0.3521</v>
      </c>
      <c r="E374" t="n">
        <v>15.991</v>
      </c>
      <c r="F374" t="n">
        <v>0.08338</v>
      </c>
    </row>
    <row r="375">
      <c r="A375" t="n">
        <v>1001023</v>
      </c>
      <c r="B375" t="n">
        <v>1</v>
      </c>
      <c r="C375" t="n">
        <v>1023</v>
      </c>
      <c r="D375" t="n">
        <v>-0.3521</v>
      </c>
      <c r="E375" t="n">
        <v>16.0206</v>
      </c>
      <c r="F375" t="n">
        <v>0.08343</v>
      </c>
    </row>
    <row r="376">
      <c r="A376" t="n">
        <v>1001024</v>
      </c>
      <c r="B376" t="n">
        <v>1</v>
      </c>
      <c r="C376" t="n">
        <v>1024</v>
      </c>
      <c r="D376" t="n">
        <v>-0.3521</v>
      </c>
      <c r="E376" t="n">
        <v>16.0503</v>
      </c>
      <c r="F376" t="n">
        <v>0.08348999999999999</v>
      </c>
    </row>
    <row r="377">
      <c r="A377" t="n">
        <v>1001025</v>
      </c>
      <c r="B377" t="n">
        <v>1</v>
      </c>
      <c r="C377" t="n">
        <v>1025</v>
      </c>
      <c r="D377" t="n">
        <v>-0.3521</v>
      </c>
      <c r="E377" t="n">
        <v>16.0801</v>
      </c>
      <c r="F377" t="n">
        <v>0.08354</v>
      </c>
    </row>
    <row r="378">
      <c r="A378" t="n">
        <v>1001026</v>
      </c>
      <c r="B378" t="n">
        <v>1</v>
      </c>
      <c r="C378" t="n">
        <v>1026</v>
      </c>
      <c r="D378" t="n">
        <v>-0.3521</v>
      </c>
      <c r="E378" t="n">
        <v>16.1099</v>
      </c>
      <c r="F378" t="n">
        <v>0.08359</v>
      </c>
    </row>
    <row r="379">
      <c r="A379" t="n">
        <v>1001027</v>
      </c>
      <c r="B379" t="n">
        <v>1</v>
      </c>
      <c r="C379" t="n">
        <v>1027</v>
      </c>
      <c r="D379" t="n">
        <v>-0.3521</v>
      </c>
      <c r="E379" t="n">
        <v>16.1398</v>
      </c>
      <c r="F379" t="n">
        <v>0.08365</v>
      </c>
    </row>
    <row r="380">
      <c r="A380" t="n">
        <v>1001028</v>
      </c>
      <c r="B380" t="n">
        <v>1</v>
      </c>
      <c r="C380" t="n">
        <v>1028</v>
      </c>
      <c r="D380" t="n">
        <v>-0.3521</v>
      </c>
      <c r="E380" t="n">
        <v>16.1697</v>
      </c>
      <c r="F380" t="n">
        <v>0.0837</v>
      </c>
    </row>
    <row r="381">
      <c r="A381" t="n">
        <v>1001029</v>
      </c>
      <c r="B381" t="n">
        <v>1</v>
      </c>
      <c r="C381" t="n">
        <v>1029</v>
      </c>
      <c r="D381" t="n">
        <v>-0.3521</v>
      </c>
      <c r="E381" t="n">
        <v>16.1997</v>
      </c>
      <c r="F381" t="n">
        <v>0.08376</v>
      </c>
    </row>
    <row r="382">
      <c r="A382" t="n">
        <v>1001030</v>
      </c>
      <c r="B382" t="n">
        <v>1</v>
      </c>
      <c r="C382" t="n">
        <v>1030</v>
      </c>
      <c r="D382" t="n">
        <v>-0.3521</v>
      </c>
      <c r="E382" t="n">
        <v>16.2298</v>
      </c>
      <c r="F382" t="n">
        <v>0.08381</v>
      </c>
    </row>
    <row r="383">
      <c r="A383" t="n">
        <v>1001031</v>
      </c>
      <c r="B383" t="n">
        <v>1</v>
      </c>
      <c r="C383" t="n">
        <v>1031</v>
      </c>
      <c r="D383" t="n">
        <v>-0.3521</v>
      </c>
      <c r="E383" t="n">
        <v>16.26</v>
      </c>
      <c r="F383" t="n">
        <v>0.08386</v>
      </c>
    </row>
    <row r="384">
      <c r="A384" t="n">
        <v>1001032</v>
      </c>
      <c r="B384" t="n">
        <v>1</v>
      </c>
      <c r="C384" t="n">
        <v>1032</v>
      </c>
      <c r="D384" t="n">
        <v>-0.3521</v>
      </c>
      <c r="E384" t="n">
        <v>16.2902</v>
      </c>
      <c r="F384" t="n">
        <v>0.08391999999999999</v>
      </c>
    </row>
    <row r="385">
      <c r="A385" t="n">
        <v>1001033</v>
      </c>
      <c r="B385" t="n">
        <v>1</v>
      </c>
      <c r="C385" t="n">
        <v>1033</v>
      </c>
      <c r="D385" t="n">
        <v>-0.3521</v>
      </c>
      <c r="E385" t="n">
        <v>16.3204</v>
      </c>
      <c r="F385" t="n">
        <v>0.08397</v>
      </c>
    </row>
    <row r="386">
      <c r="A386" t="n">
        <v>1001034</v>
      </c>
      <c r="B386" t="n">
        <v>1</v>
      </c>
      <c r="C386" t="n">
        <v>1034</v>
      </c>
      <c r="D386" t="n">
        <v>-0.3521</v>
      </c>
      <c r="E386" t="n">
        <v>16.3508</v>
      </c>
      <c r="F386" t="n">
        <v>0.08402999999999999</v>
      </c>
    </row>
    <row r="387">
      <c r="A387" t="n">
        <v>1001035</v>
      </c>
      <c r="B387" t="n">
        <v>1</v>
      </c>
      <c r="C387" t="n">
        <v>1035</v>
      </c>
      <c r="D387" t="n">
        <v>-0.3521</v>
      </c>
      <c r="E387" t="n">
        <v>16.3812</v>
      </c>
      <c r="F387" t="n">
        <v>0.08408</v>
      </c>
    </row>
    <row r="388">
      <c r="A388" t="n">
        <v>1001036</v>
      </c>
      <c r="B388" t="n">
        <v>1</v>
      </c>
      <c r="C388" t="n">
        <v>1036</v>
      </c>
      <c r="D388" t="n">
        <v>-0.3521</v>
      </c>
      <c r="E388" t="n">
        <v>16.4117</v>
      </c>
      <c r="F388" t="n">
        <v>0.08414000000000001</v>
      </c>
    </row>
    <row r="389">
      <c r="A389" t="n">
        <v>1001037</v>
      </c>
      <c r="B389" t="n">
        <v>1</v>
      </c>
      <c r="C389" t="n">
        <v>1037</v>
      </c>
      <c r="D389" t="n">
        <v>-0.3521</v>
      </c>
      <c r="E389" t="n">
        <v>16.4422</v>
      </c>
      <c r="F389" t="n">
        <v>0.08419</v>
      </c>
    </row>
    <row r="390">
      <c r="A390" t="n">
        <v>1001038</v>
      </c>
      <c r="B390" t="n">
        <v>1</v>
      </c>
      <c r="C390" t="n">
        <v>1038</v>
      </c>
      <c r="D390" t="n">
        <v>-0.3521</v>
      </c>
      <c r="E390" t="n">
        <v>16.4728</v>
      </c>
      <c r="F390" t="n">
        <v>0.08425000000000001</v>
      </c>
    </row>
    <row r="391">
      <c r="A391" t="n">
        <v>1001039</v>
      </c>
      <c r="B391" t="n">
        <v>1</v>
      </c>
      <c r="C391" t="n">
        <v>1039</v>
      </c>
      <c r="D391" t="n">
        <v>-0.3521</v>
      </c>
      <c r="E391" t="n">
        <v>16.5035</v>
      </c>
      <c r="F391" t="n">
        <v>0.08431</v>
      </c>
    </row>
    <row r="392">
      <c r="A392" t="n">
        <v>1001040</v>
      </c>
      <c r="B392" t="n">
        <v>1</v>
      </c>
      <c r="C392" t="n">
        <v>1040</v>
      </c>
      <c r="D392" t="n">
        <v>-0.3521</v>
      </c>
      <c r="E392" t="n">
        <v>16.5342</v>
      </c>
      <c r="F392" t="n">
        <v>0.08436</v>
      </c>
    </row>
    <row r="393">
      <c r="A393" t="n">
        <v>1001041</v>
      </c>
      <c r="B393" t="n">
        <v>1</v>
      </c>
      <c r="C393" t="n">
        <v>1041</v>
      </c>
      <c r="D393" t="n">
        <v>-0.3521</v>
      </c>
      <c r="E393" t="n">
        <v>16.565</v>
      </c>
      <c r="F393" t="n">
        <v>0.08442</v>
      </c>
    </row>
    <row r="394">
      <c r="A394" t="n">
        <v>1001042</v>
      </c>
      <c r="B394" t="n">
        <v>1</v>
      </c>
      <c r="C394" t="n">
        <v>1042</v>
      </c>
      <c r="D394" t="n">
        <v>-0.3521</v>
      </c>
      <c r="E394" t="n">
        <v>16.5959</v>
      </c>
      <c r="F394" t="n">
        <v>0.08447</v>
      </c>
    </row>
    <row r="395">
      <c r="A395" t="n">
        <v>1001043</v>
      </c>
      <c r="B395" t="n">
        <v>1</v>
      </c>
      <c r="C395" t="n">
        <v>1043</v>
      </c>
      <c r="D395" t="n">
        <v>-0.3521</v>
      </c>
      <c r="E395" t="n">
        <v>16.6268</v>
      </c>
      <c r="F395" t="n">
        <v>0.08452999999999999</v>
      </c>
    </row>
    <row r="396">
      <c r="A396" t="n">
        <v>1001044</v>
      </c>
      <c r="B396" t="n">
        <v>1</v>
      </c>
      <c r="C396" t="n">
        <v>1044</v>
      </c>
      <c r="D396" t="n">
        <v>-0.3521</v>
      </c>
      <c r="E396" t="n">
        <v>16.6579</v>
      </c>
      <c r="F396" t="n">
        <v>0.08458</v>
      </c>
    </row>
    <row r="397">
      <c r="A397" t="n">
        <v>1001045</v>
      </c>
      <c r="B397" t="n">
        <v>1</v>
      </c>
      <c r="C397" t="n">
        <v>1045</v>
      </c>
      <c r="D397" t="n">
        <v>-0.3521</v>
      </c>
      <c r="E397" t="n">
        <v>16.6889</v>
      </c>
      <c r="F397" t="n">
        <v>0.08464000000000001</v>
      </c>
    </row>
    <row r="398">
      <c r="A398" t="n">
        <v>1001046</v>
      </c>
      <c r="B398" t="n">
        <v>1</v>
      </c>
      <c r="C398" t="n">
        <v>1046</v>
      </c>
      <c r="D398" t="n">
        <v>-0.3521</v>
      </c>
      <c r="E398" t="n">
        <v>16.7201</v>
      </c>
      <c r="F398" t="n">
        <v>0.0847</v>
      </c>
    </row>
    <row r="399">
      <c r="A399" t="n">
        <v>1001047</v>
      </c>
      <c r="B399" t="n">
        <v>1</v>
      </c>
      <c r="C399" t="n">
        <v>1047</v>
      </c>
      <c r="D399" t="n">
        <v>-0.3521</v>
      </c>
      <c r="E399" t="n">
        <v>16.7513</v>
      </c>
      <c r="F399" t="n">
        <v>0.08475000000000001</v>
      </c>
    </row>
    <row r="400">
      <c r="A400" t="n">
        <v>1001048</v>
      </c>
      <c r="B400" t="n">
        <v>1</v>
      </c>
      <c r="C400" t="n">
        <v>1048</v>
      </c>
      <c r="D400" t="n">
        <v>-0.3521</v>
      </c>
      <c r="E400" t="n">
        <v>16.7826</v>
      </c>
      <c r="F400" t="n">
        <v>0.08481</v>
      </c>
    </row>
    <row r="401">
      <c r="A401" t="n">
        <v>1001049</v>
      </c>
      <c r="B401" t="n">
        <v>1</v>
      </c>
      <c r="C401" t="n">
        <v>1049</v>
      </c>
      <c r="D401" t="n">
        <v>-0.3521</v>
      </c>
      <c r="E401" t="n">
        <v>16.8139</v>
      </c>
      <c r="F401" t="n">
        <v>0.08487</v>
      </c>
    </row>
    <row r="402">
      <c r="A402" t="n">
        <v>1001050</v>
      </c>
      <c r="B402" t="n">
        <v>1</v>
      </c>
      <c r="C402" t="n">
        <v>1050</v>
      </c>
      <c r="D402" t="n">
        <v>-0.3521</v>
      </c>
      <c r="E402" t="n">
        <v>16.8454</v>
      </c>
      <c r="F402" t="n">
        <v>0.08493000000000001</v>
      </c>
    </row>
    <row r="403">
      <c r="A403" t="n">
        <v>1001051</v>
      </c>
      <c r="B403" t="n">
        <v>1</v>
      </c>
      <c r="C403" t="n">
        <v>1051</v>
      </c>
      <c r="D403" t="n">
        <v>-0.3521</v>
      </c>
      <c r="E403" t="n">
        <v>16.8769</v>
      </c>
      <c r="F403" t="n">
        <v>0.08498</v>
      </c>
    </row>
    <row r="404">
      <c r="A404" t="n">
        <v>1001052</v>
      </c>
      <c r="B404" t="n">
        <v>1</v>
      </c>
      <c r="C404" t="n">
        <v>1052</v>
      </c>
      <c r="D404" t="n">
        <v>-0.3521</v>
      </c>
      <c r="E404" t="n">
        <v>16.9084</v>
      </c>
      <c r="F404" t="n">
        <v>0.08504</v>
      </c>
    </row>
    <row r="405">
      <c r="A405" t="n">
        <v>1001053</v>
      </c>
      <c r="B405" t="n">
        <v>1</v>
      </c>
      <c r="C405" t="n">
        <v>1053</v>
      </c>
      <c r="D405" t="n">
        <v>-0.3521</v>
      </c>
      <c r="E405" t="n">
        <v>16.9401</v>
      </c>
      <c r="F405" t="n">
        <v>0.0851</v>
      </c>
    </row>
    <row r="406">
      <c r="A406" t="n">
        <v>1001054</v>
      </c>
      <c r="B406" t="n">
        <v>1</v>
      </c>
      <c r="C406" t="n">
        <v>1054</v>
      </c>
      <c r="D406" t="n">
        <v>-0.3521</v>
      </c>
      <c r="E406" t="n">
        <v>16.9718</v>
      </c>
      <c r="F406" t="n">
        <v>0.08516</v>
      </c>
    </row>
    <row r="407">
      <c r="A407" t="n">
        <v>1001055</v>
      </c>
      <c r="B407" t="n">
        <v>1</v>
      </c>
      <c r="C407" t="n">
        <v>1055</v>
      </c>
      <c r="D407" t="n">
        <v>-0.3521</v>
      </c>
      <c r="E407" t="n">
        <v>17.0036</v>
      </c>
      <c r="F407" t="n">
        <v>0.08520999999999999</v>
      </c>
    </row>
    <row r="408">
      <c r="A408" t="n">
        <v>1001056</v>
      </c>
      <c r="B408" t="n">
        <v>1</v>
      </c>
      <c r="C408" t="n">
        <v>1056</v>
      </c>
      <c r="D408" t="n">
        <v>-0.3521</v>
      </c>
      <c r="E408" t="n">
        <v>17.0355</v>
      </c>
      <c r="F408" t="n">
        <v>0.08527</v>
      </c>
    </row>
    <row r="409">
      <c r="A409" t="n">
        <v>1001057</v>
      </c>
      <c r="B409" t="n">
        <v>1</v>
      </c>
      <c r="C409" t="n">
        <v>1057</v>
      </c>
      <c r="D409" t="n">
        <v>-0.3521</v>
      </c>
      <c r="E409" t="n">
        <v>17.0674</v>
      </c>
      <c r="F409" t="n">
        <v>0.08533</v>
      </c>
    </row>
    <row r="410">
      <c r="A410" t="n">
        <v>1001058</v>
      </c>
      <c r="B410" t="n">
        <v>1</v>
      </c>
      <c r="C410" t="n">
        <v>1058</v>
      </c>
      <c r="D410" t="n">
        <v>-0.3521</v>
      </c>
      <c r="E410" t="n">
        <v>17.0995</v>
      </c>
      <c r="F410" t="n">
        <v>0.08538999999999999</v>
      </c>
    </row>
    <row r="411">
      <c r="A411" t="n">
        <v>1001059</v>
      </c>
      <c r="B411" t="n">
        <v>1</v>
      </c>
      <c r="C411" t="n">
        <v>1059</v>
      </c>
      <c r="D411" t="n">
        <v>-0.3521</v>
      </c>
      <c r="E411" t="n">
        <v>17.1316</v>
      </c>
      <c r="F411" t="n">
        <v>0.08545</v>
      </c>
    </row>
    <row r="412">
      <c r="A412" t="n">
        <v>1001060</v>
      </c>
      <c r="B412" t="n">
        <v>1</v>
      </c>
      <c r="C412" t="n">
        <v>1060</v>
      </c>
      <c r="D412" t="n">
        <v>-0.3521</v>
      </c>
      <c r="E412" t="n">
        <v>17.1637</v>
      </c>
      <c r="F412" t="n">
        <v>0.08551</v>
      </c>
    </row>
    <row r="413">
      <c r="A413" t="n">
        <v>1001061</v>
      </c>
      <c r="B413" t="n">
        <v>1</v>
      </c>
      <c r="C413" t="n">
        <v>1061</v>
      </c>
      <c r="D413" t="n">
        <v>-0.3521</v>
      </c>
      <c r="E413" t="n">
        <v>17.196</v>
      </c>
      <c r="F413" t="n">
        <v>0.08556999999999999</v>
      </c>
    </row>
    <row r="414">
      <c r="A414" t="n">
        <v>1001062</v>
      </c>
      <c r="B414" t="n">
        <v>1</v>
      </c>
      <c r="C414" t="n">
        <v>1062</v>
      </c>
      <c r="D414" t="n">
        <v>-0.3521</v>
      </c>
      <c r="E414" t="n">
        <v>17.2283</v>
      </c>
      <c r="F414" t="n">
        <v>0.08562</v>
      </c>
    </row>
    <row r="415">
      <c r="A415" t="n">
        <v>1001063</v>
      </c>
      <c r="B415" t="n">
        <v>1</v>
      </c>
      <c r="C415" t="n">
        <v>1063</v>
      </c>
      <c r="D415" t="n">
        <v>-0.3521</v>
      </c>
      <c r="E415" t="n">
        <v>17.2607</v>
      </c>
      <c r="F415" t="n">
        <v>0.08568000000000001</v>
      </c>
    </row>
    <row r="416">
      <c r="A416" t="n">
        <v>1001064</v>
      </c>
      <c r="B416" t="n">
        <v>1</v>
      </c>
      <c r="C416" t="n">
        <v>1064</v>
      </c>
      <c r="D416" t="n">
        <v>-0.3521</v>
      </c>
      <c r="E416" t="n">
        <v>17.2931</v>
      </c>
      <c r="F416" t="n">
        <v>0.08574</v>
      </c>
    </row>
    <row r="417">
      <c r="A417" t="n">
        <v>1001065</v>
      </c>
      <c r="B417" t="n">
        <v>1</v>
      </c>
      <c r="C417" t="n">
        <v>1065</v>
      </c>
      <c r="D417" t="n">
        <v>-0.3521</v>
      </c>
      <c r="E417" t="n">
        <v>17.3256</v>
      </c>
      <c r="F417" t="n">
        <v>0.0858</v>
      </c>
    </row>
    <row r="418">
      <c r="A418" t="n">
        <v>1001066</v>
      </c>
      <c r="B418" t="n">
        <v>1</v>
      </c>
      <c r="C418" t="n">
        <v>1066</v>
      </c>
      <c r="D418" t="n">
        <v>-0.3521</v>
      </c>
      <c r="E418" t="n">
        <v>17.3582</v>
      </c>
      <c r="F418" t="n">
        <v>0.08586000000000001</v>
      </c>
    </row>
    <row r="419">
      <c r="A419" t="n">
        <v>1001067</v>
      </c>
      <c r="B419" t="n">
        <v>1</v>
      </c>
      <c r="C419" t="n">
        <v>1067</v>
      </c>
      <c r="D419" t="n">
        <v>-0.3521</v>
      </c>
      <c r="E419" t="n">
        <v>17.3909</v>
      </c>
      <c r="F419" t="n">
        <v>0.08592</v>
      </c>
    </row>
    <row r="420">
      <c r="A420" t="n">
        <v>1001068</v>
      </c>
      <c r="B420" t="n">
        <v>1</v>
      </c>
      <c r="C420" t="n">
        <v>1068</v>
      </c>
      <c r="D420" t="n">
        <v>-0.3521</v>
      </c>
      <c r="E420" t="n">
        <v>17.4237</v>
      </c>
      <c r="F420" t="n">
        <v>0.08599</v>
      </c>
    </row>
    <row r="421">
      <c r="A421" t="n">
        <v>1001069</v>
      </c>
      <c r="B421" t="n">
        <v>1</v>
      </c>
      <c r="C421" t="n">
        <v>1069</v>
      </c>
      <c r="D421" t="n">
        <v>-0.3521</v>
      </c>
      <c r="E421" t="n">
        <v>17.4565</v>
      </c>
      <c r="F421" t="n">
        <v>0.08605</v>
      </c>
    </row>
    <row r="422">
      <c r="A422" t="n">
        <v>1001070</v>
      </c>
      <c r="B422" t="n">
        <v>1</v>
      </c>
      <c r="C422" t="n">
        <v>1070</v>
      </c>
      <c r="D422" t="n">
        <v>-0.3521</v>
      </c>
      <c r="E422" t="n">
        <v>17.4894</v>
      </c>
      <c r="F422" t="n">
        <v>0.08611000000000001</v>
      </c>
    </row>
    <row r="423">
      <c r="A423" t="n">
        <v>1001071</v>
      </c>
      <c r="B423" t="n">
        <v>1</v>
      </c>
      <c r="C423" t="n">
        <v>1071</v>
      </c>
      <c r="D423" t="n">
        <v>-0.3521</v>
      </c>
      <c r="E423" t="n">
        <v>17.5224</v>
      </c>
      <c r="F423" t="n">
        <v>0.08617</v>
      </c>
    </row>
    <row r="424">
      <c r="A424" t="n">
        <v>1001072</v>
      </c>
      <c r="B424" t="n">
        <v>1</v>
      </c>
      <c r="C424" t="n">
        <v>1072</v>
      </c>
      <c r="D424" t="n">
        <v>-0.3521</v>
      </c>
      <c r="E424" t="n">
        <v>17.5554</v>
      </c>
      <c r="F424" t="n">
        <v>0.08623</v>
      </c>
    </row>
    <row r="425">
      <c r="A425" t="n">
        <v>1001073</v>
      </c>
      <c r="B425" t="n">
        <v>1</v>
      </c>
      <c r="C425" t="n">
        <v>1073</v>
      </c>
      <c r="D425" t="n">
        <v>-0.3521</v>
      </c>
      <c r="E425" t="n">
        <v>17.5885</v>
      </c>
      <c r="F425" t="n">
        <v>0.08629000000000001</v>
      </c>
    </row>
    <row r="426">
      <c r="A426" t="n">
        <v>1001074</v>
      </c>
      <c r="B426" t="n">
        <v>1</v>
      </c>
      <c r="C426" t="n">
        <v>1074</v>
      </c>
      <c r="D426" t="n">
        <v>-0.3521</v>
      </c>
      <c r="E426" t="n">
        <v>17.6217</v>
      </c>
      <c r="F426" t="n">
        <v>0.08635</v>
      </c>
    </row>
    <row r="427">
      <c r="A427" t="n">
        <v>1001075</v>
      </c>
      <c r="B427" t="n">
        <v>1</v>
      </c>
      <c r="C427" t="n">
        <v>1075</v>
      </c>
      <c r="D427" t="n">
        <v>-0.3521</v>
      </c>
      <c r="E427" t="n">
        <v>17.655</v>
      </c>
      <c r="F427" t="n">
        <v>0.08641</v>
      </c>
    </row>
    <row r="428">
      <c r="A428" t="n">
        <v>1001076</v>
      </c>
      <c r="B428" t="n">
        <v>1</v>
      </c>
      <c r="C428" t="n">
        <v>1076</v>
      </c>
      <c r="D428" t="n">
        <v>-0.3521</v>
      </c>
      <c r="E428" t="n">
        <v>17.6884</v>
      </c>
      <c r="F428" t="n">
        <v>0.08648</v>
      </c>
    </row>
    <row r="429">
      <c r="A429" t="n">
        <v>1001077</v>
      </c>
      <c r="B429" t="n">
        <v>1</v>
      </c>
      <c r="C429" t="n">
        <v>1077</v>
      </c>
      <c r="D429" t="n">
        <v>-0.3521</v>
      </c>
      <c r="E429" t="n">
        <v>17.7218</v>
      </c>
      <c r="F429" t="n">
        <v>0.08654000000000001</v>
      </c>
    </row>
    <row r="430">
      <c r="A430" t="n">
        <v>1001078</v>
      </c>
      <c r="B430" t="n">
        <v>1</v>
      </c>
      <c r="C430" t="n">
        <v>1078</v>
      </c>
      <c r="D430" t="n">
        <v>-0.3521</v>
      </c>
      <c r="E430" t="n">
        <v>17.7553</v>
      </c>
      <c r="F430" t="n">
        <v>0.0866</v>
      </c>
    </row>
    <row r="431">
      <c r="A431" t="n">
        <v>1001079</v>
      </c>
      <c r="B431" t="n">
        <v>1</v>
      </c>
      <c r="C431" t="n">
        <v>1079</v>
      </c>
      <c r="D431" t="n">
        <v>-0.3521</v>
      </c>
      <c r="E431" t="n">
        <v>17.7889</v>
      </c>
      <c r="F431" t="n">
        <v>0.08666</v>
      </c>
    </row>
    <row r="432">
      <c r="A432" t="n">
        <v>1001080</v>
      </c>
      <c r="B432" t="n">
        <v>1</v>
      </c>
      <c r="C432" t="n">
        <v>1080</v>
      </c>
      <c r="D432" t="n">
        <v>-0.3521</v>
      </c>
      <c r="E432" t="n">
        <v>17.8226</v>
      </c>
      <c r="F432" t="n">
        <v>0.08673</v>
      </c>
    </row>
    <row r="433">
      <c r="A433" t="n">
        <v>1001081</v>
      </c>
      <c r="B433" t="n">
        <v>1</v>
      </c>
      <c r="C433" t="n">
        <v>1081</v>
      </c>
      <c r="D433" t="n">
        <v>-0.3521</v>
      </c>
      <c r="E433" t="n">
        <v>17.8564</v>
      </c>
      <c r="F433" t="n">
        <v>0.08679000000000001</v>
      </c>
    </row>
    <row r="434">
      <c r="A434" t="n">
        <v>1001082</v>
      </c>
      <c r="B434" t="n">
        <v>1</v>
      </c>
      <c r="C434" t="n">
        <v>1082</v>
      </c>
      <c r="D434" t="n">
        <v>-0.3521</v>
      </c>
      <c r="E434" t="n">
        <v>17.8903</v>
      </c>
      <c r="F434" t="n">
        <v>0.08685</v>
      </c>
    </row>
    <row r="435">
      <c r="A435" t="n">
        <v>1001083</v>
      </c>
      <c r="B435" t="n">
        <v>1</v>
      </c>
      <c r="C435" t="n">
        <v>1083</v>
      </c>
      <c r="D435" t="n">
        <v>-0.3521</v>
      </c>
      <c r="E435" t="n">
        <v>17.9242</v>
      </c>
      <c r="F435" t="n">
        <v>0.08691</v>
      </c>
    </row>
    <row r="436">
      <c r="A436" t="n">
        <v>1001084</v>
      </c>
      <c r="B436" t="n">
        <v>1</v>
      </c>
      <c r="C436" t="n">
        <v>1084</v>
      </c>
      <c r="D436" t="n">
        <v>-0.3521</v>
      </c>
      <c r="E436" t="n">
        <v>17.9583</v>
      </c>
      <c r="F436" t="n">
        <v>0.08698</v>
      </c>
    </row>
    <row r="437">
      <c r="A437" t="n">
        <v>1001085</v>
      </c>
      <c r="B437" t="n">
        <v>1</v>
      </c>
      <c r="C437" t="n">
        <v>1085</v>
      </c>
      <c r="D437" t="n">
        <v>-0.3521</v>
      </c>
      <c r="E437" t="n">
        <v>17.9924</v>
      </c>
      <c r="F437" t="n">
        <v>0.08704000000000001</v>
      </c>
    </row>
    <row r="438">
      <c r="A438" t="n">
        <v>1001086</v>
      </c>
      <c r="B438" t="n">
        <v>1</v>
      </c>
      <c r="C438" t="n">
        <v>1086</v>
      </c>
      <c r="D438" t="n">
        <v>-0.3521</v>
      </c>
      <c r="E438" t="n">
        <v>18.0267</v>
      </c>
      <c r="F438" t="n">
        <v>0.0871</v>
      </c>
    </row>
    <row r="439">
      <c r="A439" t="n">
        <v>1001087</v>
      </c>
      <c r="B439" t="n">
        <v>1</v>
      </c>
      <c r="C439" t="n">
        <v>1087</v>
      </c>
      <c r="D439" t="n">
        <v>-0.3521</v>
      </c>
      <c r="E439" t="n">
        <v>18.061</v>
      </c>
      <c r="F439" t="n">
        <v>0.08717</v>
      </c>
    </row>
    <row r="440">
      <c r="A440" t="n">
        <v>1001088</v>
      </c>
      <c r="B440" t="n">
        <v>1</v>
      </c>
      <c r="C440" t="n">
        <v>1088</v>
      </c>
      <c r="D440" t="n">
        <v>-0.3521</v>
      </c>
      <c r="E440" t="n">
        <v>18.0954</v>
      </c>
      <c r="F440" t="n">
        <v>0.08723</v>
      </c>
    </row>
    <row r="441">
      <c r="A441" t="n">
        <v>1001089</v>
      </c>
      <c r="B441" t="n">
        <v>1</v>
      </c>
      <c r="C441" t="n">
        <v>1089</v>
      </c>
      <c r="D441" t="n">
        <v>-0.3521</v>
      </c>
      <c r="E441" t="n">
        <v>18.1299</v>
      </c>
      <c r="F441" t="n">
        <v>0.0873</v>
      </c>
    </row>
    <row r="442">
      <c r="A442" t="n">
        <v>1001090</v>
      </c>
      <c r="B442" t="n">
        <v>1</v>
      </c>
      <c r="C442" t="n">
        <v>1090</v>
      </c>
      <c r="D442" t="n">
        <v>-0.3521</v>
      </c>
      <c r="E442" t="n">
        <v>18.1645</v>
      </c>
      <c r="F442" t="n">
        <v>0.08735999999999999</v>
      </c>
    </row>
    <row r="443">
      <c r="A443" t="n">
        <v>1001091</v>
      </c>
      <c r="B443" t="n">
        <v>1</v>
      </c>
      <c r="C443" t="n">
        <v>1091</v>
      </c>
      <c r="D443" t="n">
        <v>-0.3521</v>
      </c>
      <c r="E443" t="n">
        <v>18.1992</v>
      </c>
      <c r="F443" t="n">
        <v>0.08742</v>
      </c>
    </row>
    <row r="444">
      <c r="A444" t="n">
        <v>1001092</v>
      </c>
      <c r="B444" t="n">
        <v>1</v>
      </c>
      <c r="C444" t="n">
        <v>1092</v>
      </c>
      <c r="D444" t="n">
        <v>-0.3521</v>
      </c>
      <c r="E444" t="n">
        <v>18.234</v>
      </c>
      <c r="F444" t="n">
        <v>0.08749</v>
      </c>
    </row>
    <row r="445">
      <c r="A445" t="n">
        <v>1001093</v>
      </c>
      <c r="B445" t="n">
        <v>1</v>
      </c>
      <c r="C445" t="n">
        <v>1093</v>
      </c>
      <c r="D445" t="n">
        <v>-0.3521</v>
      </c>
      <c r="E445" t="n">
        <v>18.2689</v>
      </c>
      <c r="F445" t="n">
        <v>0.08755</v>
      </c>
    </row>
    <row r="446">
      <c r="A446" t="n">
        <v>1001094</v>
      </c>
      <c r="B446" t="n">
        <v>1</v>
      </c>
      <c r="C446" t="n">
        <v>1094</v>
      </c>
      <c r="D446" t="n">
        <v>-0.3521</v>
      </c>
      <c r="E446" t="n">
        <v>18.3039</v>
      </c>
      <c r="F446" t="n">
        <v>0.08762</v>
      </c>
    </row>
    <row r="447">
      <c r="A447" t="n">
        <v>1001095</v>
      </c>
      <c r="B447" t="n">
        <v>1</v>
      </c>
      <c r="C447" t="n">
        <v>1095</v>
      </c>
      <c r="D447" t="n">
        <v>-0.3521</v>
      </c>
      <c r="E447" t="n">
        <v>18.339</v>
      </c>
      <c r="F447" t="n">
        <v>0.08767999999999999</v>
      </c>
    </row>
    <row r="448">
      <c r="A448" t="n">
        <v>1001096</v>
      </c>
      <c r="B448" t="n">
        <v>1</v>
      </c>
      <c r="C448" t="n">
        <v>1096</v>
      </c>
      <c r="D448" t="n">
        <v>-0.3521</v>
      </c>
      <c r="E448" t="n">
        <v>18.3742</v>
      </c>
      <c r="F448" t="n">
        <v>0.08774</v>
      </c>
    </row>
    <row r="449">
      <c r="A449" t="n">
        <v>1001097</v>
      </c>
      <c r="B449" t="n">
        <v>1</v>
      </c>
      <c r="C449" t="n">
        <v>1097</v>
      </c>
      <c r="D449" t="n">
        <v>-0.3521</v>
      </c>
      <c r="E449" t="n">
        <v>18.4094</v>
      </c>
      <c r="F449" t="n">
        <v>0.08781</v>
      </c>
    </row>
    <row r="450">
      <c r="A450" t="n">
        <v>1001098</v>
      </c>
      <c r="B450" t="n">
        <v>1</v>
      </c>
      <c r="C450" t="n">
        <v>1098</v>
      </c>
      <c r="D450" t="n">
        <v>-0.3521</v>
      </c>
      <c r="E450" t="n">
        <v>18.4448</v>
      </c>
      <c r="F450" t="n">
        <v>0.08787</v>
      </c>
    </row>
    <row r="451">
      <c r="A451" t="n">
        <v>1001099</v>
      </c>
      <c r="B451" t="n">
        <v>1</v>
      </c>
      <c r="C451" t="n">
        <v>1099</v>
      </c>
      <c r="D451" t="n">
        <v>-0.3521</v>
      </c>
      <c r="E451" t="n">
        <v>18.4802</v>
      </c>
      <c r="F451" t="n">
        <v>0.08794</v>
      </c>
    </row>
    <row r="452">
      <c r="A452" t="n">
        <v>1001100</v>
      </c>
      <c r="B452" t="n">
        <v>1</v>
      </c>
      <c r="C452" t="n">
        <v>1100</v>
      </c>
      <c r="D452" t="n">
        <v>-0.3521</v>
      </c>
      <c r="E452" t="n">
        <v>18.5158</v>
      </c>
      <c r="F452" t="n">
        <v>0.08799999999999999</v>
      </c>
    </row>
    <row r="453">
      <c r="A453" t="n">
        <v>1001101</v>
      </c>
      <c r="B453" t="n">
        <v>1</v>
      </c>
      <c r="C453" t="n">
        <v>1101</v>
      </c>
      <c r="D453" t="n">
        <v>-0.3521</v>
      </c>
      <c r="E453" t="n">
        <v>18.5514</v>
      </c>
      <c r="F453" t="n">
        <v>0.08806</v>
      </c>
    </row>
    <row r="454">
      <c r="A454" t="n">
        <v>1001102</v>
      </c>
      <c r="B454" t="n">
        <v>1</v>
      </c>
      <c r="C454" t="n">
        <v>1102</v>
      </c>
      <c r="D454" t="n">
        <v>-0.3521</v>
      </c>
      <c r="E454" t="n">
        <v>18.5871</v>
      </c>
      <c r="F454" t="n">
        <v>0.08813</v>
      </c>
    </row>
    <row r="455">
      <c r="A455" t="n">
        <v>1001103</v>
      </c>
      <c r="B455" t="n">
        <v>1</v>
      </c>
      <c r="C455" t="n">
        <v>1103</v>
      </c>
      <c r="D455" t="n">
        <v>-0.3521</v>
      </c>
      <c r="E455" t="n">
        <v>18.6229</v>
      </c>
      <c r="F455" t="n">
        <v>0.08819</v>
      </c>
    </row>
    <row r="456">
      <c r="A456" t="n">
        <v>1001104</v>
      </c>
      <c r="B456" t="n">
        <v>1</v>
      </c>
      <c r="C456" t="n">
        <v>1104</v>
      </c>
      <c r="D456" t="n">
        <v>-0.3521</v>
      </c>
      <c r="E456" t="n">
        <v>18.6588</v>
      </c>
      <c r="F456" t="n">
        <v>0.08826000000000001</v>
      </c>
    </row>
    <row r="457">
      <c r="A457" t="n">
        <v>1001105</v>
      </c>
      <c r="B457" t="n">
        <v>1</v>
      </c>
      <c r="C457" t="n">
        <v>1105</v>
      </c>
      <c r="D457" t="n">
        <v>-0.3521</v>
      </c>
      <c r="E457" t="n">
        <v>18.6948</v>
      </c>
      <c r="F457" t="n">
        <v>0.08832</v>
      </c>
    </row>
    <row r="458">
      <c r="A458" t="n">
        <v>1001106</v>
      </c>
      <c r="B458" t="n">
        <v>1</v>
      </c>
      <c r="C458" t="n">
        <v>1106</v>
      </c>
      <c r="D458" t="n">
        <v>-0.3521</v>
      </c>
      <c r="E458" t="n">
        <v>18.7308</v>
      </c>
      <c r="F458" t="n">
        <v>0.08838</v>
      </c>
    </row>
    <row r="459">
      <c r="A459" t="n">
        <v>1001107</v>
      </c>
      <c r="B459" t="n">
        <v>1</v>
      </c>
      <c r="C459" t="n">
        <v>1107</v>
      </c>
      <c r="D459" t="n">
        <v>-0.3521</v>
      </c>
      <c r="E459" t="n">
        <v>18.767</v>
      </c>
      <c r="F459" t="n">
        <v>0.08845</v>
      </c>
    </row>
    <row r="460">
      <c r="A460" t="n">
        <v>1001108</v>
      </c>
      <c r="B460" t="n">
        <v>1</v>
      </c>
      <c r="C460" t="n">
        <v>1108</v>
      </c>
      <c r="D460" t="n">
        <v>-0.3521</v>
      </c>
      <c r="E460" t="n">
        <v>18.8032</v>
      </c>
      <c r="F460" t="n">
        <v>0.08851000000000001</v>
      </c>
    </row>
    <row r="461">
      <c r="A461" t="n">
        <v>1001109</v>
      </c>
      <c r="B461" t="n">
        <v>1</v>
      </c>
      <c r="C461" t="n">
        <v>1109</v>
      </c>
      <c r="D461" t="n">
        <v>-0.3521</v>
      </c>
      <c r="E461" t="n">
        <v>18.8395</v>
      </c>
      <c r="F461" t="n">
        <v>0.08858000000000001</v>
      </c>
    </row>
    <row r="462">
      <c r="A462" t="n">
        <v>1001110</v>
      </c>
      <c r="B462" t="n">
        <v>1</v>
      </c>
      <c r="C462" t="n">
        <v>1110</v>
      </c>
      <c r="D462" t="n">
        <v>-0.3521</v>
      </c>
      <c r="E462" t="n">
        <v>18.8759</v>
      </c>
      <c r="F462" t="n">
        <v>0.08864</v>
      </c>
    </row>
    <row r="463">
      <c r="A463" t="n">
        <v>1001111</v>
      </c>
      <c r="B463" t="n">
        <v>1</v>
      </c>
      <c r="C463" t="n">
        <v>1111</v>
      </c>
      <c r="D463" t="n">
        <v>-0.3521</v>
      </c>
      <c r="E463" t="n">
        <v>18.9123</v>
      </c>
      <c r="F463" t="n">
        <v>0.08871</v>
      </c>
    </row>
    <row r="464">
      <c r="A464" t="n">
        <v>1001112</v>
      </c>
      <c r="B464" t="n">
        <v>1</v>
      </c>
      <c r="C464" t="n">
        <v>1112</v>
      </c>
      <c r="D464" t="n">
        <v>-0.3521</v>
      </c>
      <c r="E464" t="n">
        <v>18.9489</v>
      </c>
      <c r="F464" t="n">
        <v>0.08877</v>
      </c>
    </row>
    <row r="465">
      <c r="A465" t="n">
        <v>1001113</v>
      </c>
      <c r="B465" t="n">
        <v>1</v>
      </c>
      <c r="C465" t="n">
        <v>1113</v>
      </c>
      <c r="D465" t="n">
        <v>-0.3521</v>
      </c>
      <c r="E465" t="n">
        <v>18.9855</v>
      </c>
      <c r="F465" t="n">
        <v>0.08883000000000001</v>
      </c>
    </row>
    <row r="466">
      <c r="A466" t="n">
        <v>1001114</v>
      </c>
      <c r="B466" t="n">
        <v>1</v>
      </c>
      <c r="C466" t="n">
        <v>1114</v>
      </c>
      <c r="D466" t="n">
        <v>-0.3521</v>
      </c>
      <c r="E466" t="n">
        <v>19.0222</v>
      </c>
      <c r="F466" t="n">
        <v>0.08890000000000001</v>
      </c>
    </row>
    <row r="467">
      <c r="A467" t="n">
        <v>1001115</v>
      </c>
      <c r="B467" t="n">
        <v>1</v>
      </c>
      <c r="C467" t="n">
        <v>1115</v>
      </c>
      <c r="D467" t="n">
        <v>-0.3521</v>
      </c>
      <c r="E467" t="n">
        <v>19.059</v>
      </c>
      <c r="F467" t="n">
        <v>0.08896</v>
      </c>
    </row>
    <row r="468">
      <c r="A468" t="n">
        <v>1001116</v>
      </c>
      <c r="B468" t="n">
        <v>1</v>
      </c>
      <c r="C468" t="n">
        <v>1116</v>
      </c>
      <c r="D468" t="n">
        <v>-0.3521</v>
      </c>
      <c r="E468" t="n">
        <v>19.0958</v>
      </c>
      <c r="F468" t="n">
        <v>0.08903</v>
      </c>
    </row>
    <row r="469">
      <c r="A469" t="n">
        <v>1001117</v>
      </c>
      <c r="B469" t="n">
        <v>1</v>
      </c>
      <c r="C469" t="n">
        <v>1117</v>
      </c>
      <c r="D469" t="n">
        <v>-0.3521</v>
      </c>
      <c r="E469" t="n">
        <v>19.1327</v>
      </c>
      <c r="F469" t="n">
        <v>0.08909</v>
      </c>
    </row>
    <row r="470">
      <c r="A470" t="n">
        <v>1001118</v>
      </c>
      <c r="B470" t="n">
        <v>1</v>
      </c>
      <c r="C470" t="n">
        <v>1118</v>
      </c>
      <c r="D470" t="n">
        <v>-0.3521</v>
      </c>
      <c r="E470" t="n">
        <v>19.1697</v>
      </c>
      <c r="F470" t="n">
        <v>0.08914999999999999</v>
      </c>
    </row>
    <row r="471">
      <c r="A471" t="n">
        <v>1001119</v>
      </c>
      <c r="B471" t="n">
        <v>1</v>
      </c>
      <c r="C471" t="n">
        <v>1119</v>
      </c>
      <c r="D471" t="n">
        <v>-0.3521</v>
      </c>
      <c r="E471" t="n">
        <v>19.2067</v>
      </c>
      <c r="F471" t="n">
        <v>0.08921999999999999</v>
      </c>
    </row>
    <row r="472">
      <c r="A472" t="n">
        <v>1001120</v>
      </c>
      <c r="B472" t="n">
        <v>1</v>
      </c>
      <c r="C472" t="n">
        <v>1120</v>
      </c>
      <c r="D472" t="n">
        <v>-0.3521</v>
      </c>
      <c r="E472" t="n">
        <v>19.2439</v>
      </c>
      <c r="F472" t="n">
        <v>0.08928</v>
      </c>
    </row>
    <row r="473">
      <c r="A473" t="n">
        <v>1001121</v>
      </c>
      <c r="B473" t="n">
        <v>1</v>
      </c>
      <c r="C473" t="n">
        <v>1121</v>
      </c>
      <c r="D473" t="n">
        <v>-0.3521</v>
      </c>
      <c r="E473" t="n">
        <v>19.281</v>
      </c>
      <c r="F473" t="n">
        <v>0.08934</v>
      </c>
    </row>
    <row r="474">
      <c r="A474" t="n">
        <v>1001122</v>
      </c>
      <c r="B474" t="n">
        <v>1</v>
      </c>
      <c r="C474" t="n">
        <v>1122</v>
      </c>
      <c r="D474" t="n">
        <v>-0.3521</v>
      </c>
      <c r="E474" t="n">
        <v>19.3183</v>
      </c>
      <c r="F474" t="n">
        <v>0.08941</v>
      </c>
    </row>
    <row r="475">
      <c r="A475" t="n">
        <v>1001123</v>
      </c>
      <c r="B475" t="n">
        <v>1</v>
      </c>
      <c r="C475" t="n">
        <v>1123</v>
      </c>
      <c r="D475" t="n">
        <v>-0.3521</v>
      </c>
      <c r="E475" t="n">
        <v>19.3556</v>
      </c>
      <c r="F475" t="n">
        <v>0.08946999999999999</v>
      </c>
    </row>
    <row r="476">
      <c r="A476" t="n">
        <v>1001124</v>
      </c>
      <c r="B476" t="n">
        <v>1</v>
      </c>
      <c r="C476" t="n">
        <v>1124</v>
      </c>
      <c r="D476" t="n">
        <v>-0.3521</v>
      </c>
      <c r="E476" t="n">
        <v>19.393</v>
      </c>
      <c r="F476" t="n">
        <v>0.08953</v>
      </c>
    </row>
    <row r="477">
      <c r="A477" t="n">
        <v>1001125</v>
      </c>
      <c r="B477" t="n">
        <v>1</v>
      </c>
      <c r="C477" t="n">
        <v>1125</v>
      </c>
      <c r="D477" t="n">
        <v>-0.3521</v>
      </c>
      <c r="E477" t="n">
        <v>19.4304</v>
      </c>
      <c r="F477" t="n">
        <v>0.0896</v>
      </c>
    </row>
    <row r="478">
      <c r="A478" t="n">
        <v>1001126</v>
      </c>
      <c r="B478" t="n">
        <v>1</v>
      </c>
      <c r="C478" t="n">
        <v>1126</v>
      </c>
      <c r="D478" t="n">
        <v>-0.3521</v>
      </c>
      <c r="E478" t="n">
        <v>19.4679</v>
      </c>
      <c r="F478" t="n">
        <v>0.08966</v>
      </c>
    </row>
    <row r="479">
      <c r="A479" t="n">
        <v>1001127</v>
      </c>
      <c r="B479" t="n">
        <v>1</v>
      </c>
      <c r="C479" t="n">
        <v>1127</v>
      </c>
      <c r="D479" t="n">
        <v>-0.3521</v>
      </c>
      <c r="E479" t="n">
        <v>19.5055</v>
      </c>
      <c r="F479" t="n">
        <v>0.08971999999999999</v>
      </c>
    </row>
    <row r="480">
      <c r="A480" t="n">
        <v>1001128</v>
      </c>
      <c r="B480" t="n">
        <v>1</v>
      </c>
      <c r="C480" t="n">
        <v>1128</v>
      </c>
      <c r="D480" t="n">
        <v>-0.3521</v>
      </c>
      <c r="E480" t="n">
        <v>19.5431</v>
      </c>
      <c r="F480" t="n">
        <v>0.08978999999999999</v>
      </c>
    </row>
    <row r="481">
      <c r="A481" t="n">
        <v>1001129</v>
      </c>
      <c r="B481" t="n">
        <v>1</v>
      </c>
      <c r="C481" t="n">
        <v>1129</v>
      </c>
      <c r="D481" t="n">
        <v>-0.3521</v>
      </c>
      <c r="E481" t="n">
        <v>19.5807</v>
      </c>
      <c r="F481" t="n">
        <v>0.08985</v>
      </c>
    </row>
    <row r="482">
      <c r="A482" t="n">
        <v>1001130</v>
      </c>
      <c r="B482" t="n">
        <v>1</v>
      </c>
      <c r="C482" t="n">
        <v>1130</v>
      </c>
      <c r="D482" t="n">
        <v>-0.3521</v>
      </c>
      <c r="E482" t="n">
        <v>19.6185</v>
      </c>
      <c r="F482" t="n">
        <v>0.08991</v>
      </c>
    </row>
    <row r="483">
      <c r="A483" t="n">
        <v>1001131</v>
      </c>
      <c r="B483" t="n">
        <v>1</v>
      </c>
      <c r="C483" t="n">
        <v>1131</v>
      </c>
      <c r="D483" t="n">
        <v>-0.3521</v>
      </c>
      <c r="E483" t="n">
        <v>19.6563</v>
      </c>
      <c r="F483" t="n">
        <v>0.08996999999999999</v>
      </c>
    </row>
    <row r="484">
      <c r="A484" t="n">
        <v>1001132</v>
      </c>
      <c r="B484" t="n">
        <v>1</v>
      </c>
      <c r="C484" t="n">
        <v>1132</v>
      </c>
      <c r="D484" t="n">
        <v>-0.3521</v>
      </c>
      <c r="E484" t="n">
        <v>19.6941</v>
      </c>
      <c r="F484" t="n">
        <v>0.09004</v>
      </c>
    </row>
    <row r="485">
      <c r="A485" t="n">
        <v>1001133</v>
      </c>
      <c r="B485" t="n">
        <v>1</v>
      </c>
      <c r="C485" t="n">
        <v>1133</v>
      </c>
      <c r="D485" t="n">
        <v>-0.3521</v>
      </c>
      <c r="E485" t="n">
        <v>19.7321</v>
      </c>
      <c r="F485" t="n">
        <v>0.0901</v>
      </c>
    </row>
    <row r="486">
      <c r="A486" t="n">
        <v>1001134</v>
      </c>
      <c r="B486" t="n">
        <v>1</v>
      </c>
      <c r="C486" t="n">
        <v>1134</v>
      </c>
      <c r="D486" t="n">
        <v>-0.3521</v>
      </c>
      <c r="E486" t="n">
        <v>19.77</v>
      </c>
      <c r="F486" t="n">
        <v>0.09016</v>
      </c>
    </row>
    <row r="487">
      <c r="A487" t="n">
        <v>1001135</v>
      </c>
      <c r="B487" t="n">
        <v>1</v>
      </c>
      <c r="C487" t="n">
        <v>1135</v>
      </c>
      <c r="D487" t="n">
        <v>-0.3521</v>
      </c>
      <c r="E487" t="n">
        <v>19.8081</v>
      </c>
      <c r="F487" t="n">
        <v>0.09021999999999999</v>
      </c>
    </row>
    <row r="488">
      <c r="A488" t="n">
        <v>1001136</v>
      </c>
      <c r="B488" t="n">
        <v>1</v>
      </c>
      <c r="C488" t="n">
        <v>1136</v>
      </c>
      <c r="D488" t="n">
        <v>-0.3521</v>
      </c>
      <c r="E488" t="n">
        <v>19.8461</v>
      </c>
      <c r="F488" t="n">
        <v>0.09029</v>
      </c>
    </row>
    <row r="489">
      <c r="A489" t="n">
        <v>1001137</v>
      </c>
      <c r="B489" t="n">
        <v>1</v>
      </c>
      <c r="C489" t="n">
        <v>1137</v>
      </c>
      <c r="D489" t="n">
        <v>-0.3521</v>
      </c>
      <c r="E489" t="n">
        <v>19.8843</v>
      </c>
      <c r="F489" t="n">
        <v>0.09035</v>
      </c>
    </row>
    <row r="490">
      <c r="A490" t="n">
        <v>1001138</v>
      </c>
      <c r="B490" t="n">
        <v>1</v>
      </c>
      <c r="C490" t="n">
        <v>1138</v>
      </c>
      <c r="D490" t="n">
        <v>-0.3521</v>
      </c>
      <c r="E490" t="n">
        <v>19.9225</v>
      </c>
      <c r="F490" t="n">
        <v>0.09041</v>
      </c>
    </row>
    <row r="491">
      <c r="A491" t="n">
        <v>1001139</v>
      </c>
      <c r="B491" t="n">
        <v>1</v>
      </c>
      <c r="C491" t="n">
        <v>1139</v>
      </c>
      <c r="D491" t="n">
        <v>-0.3521</v>
      </c>
      <c r="E491" t="n">
        <v>19.9607</v>
      </c>
      <c r="F491" t="n">
        <v>0.09046999999999999</v>
      </c>
    </row>
    <row r="492">
      <c r="A492" t="n">
        <v>1001140</v>
      </c>
      <c r="B492" t="n">
        <v>1</v>
      </c>
      <c r="C492" t="n">
        <v>1140</v>
      </c>
      <c r="D492" t="n">
        <v>-0.3521</v>
      </c>
      <c r="E492" t="n">
        <v>19.999</v>
      </c>
      <c r="F492" t="n">
        <v>0.09054</v>
      </c>
    </row>
    <row r="493">
      <c r="A493" t="n">
        <v>1001141</v>
      </c>
      <c r="B493" t="n">
        <v>1</v>
      </c>
      <c r="C493" t="n">
        <v>1141</v>
      </c>
      <c r="D493" t="n">
        <v>-0.3521</v>
      </c>
      <c r="E493" t="n">
        <v>20.0373</v>
      </c>
      <c r="F493" t="n">
        <v>0.0906</v>
      </c>
    </row>
    <row r="494">
      <c r="A494" t="n">
        <v>1001142</v>
      </c>
      <c r="B494" t="n">
        <v>1</v>
      </c>
      <c r="C494" t="n">
        <v>1142</v>
      </c>
      <c r="D494" t="n">
        <v>-0.3521</v>
      </c>
      <c r="E494" t="n">
        <v>20.0757</v>
      </c>
      <c r="F494" t="n">
        <v>0.09066</v>
      </c>
    </row>
    <row r="495">
      <c r="A495" t="n">
        <v>1001143</v>
      </c>
      <c r="B495" t="n">
        <v>1</v>
      </c>
      <c r="C495" t="n">
        <v>1143</v>
      </c>
      <c r="D495" t="n">
        <v>-0.3521</v>
      </c>
      <c r="E495" t="n">
        <v>20.1142</v>
      </c>
      <c r="F495" t="n">
        <v>0.09072</v>
      </c>
    </row>
    <row r="496">
      <c r="A496" t="n">
        <v>1001144</v>
      </c>
      <c r="B496" t="n">
        <v>1</v>
      </c>
      <c r="C496" t="n">
        <v>1144</v>
      </c>
      <c r="D496" t="n">
        <v>-0.3521</v>
      </c>
      <c r="E496" t="n">
        <v>20.1527</v>
      </c>
      <c r="F496" t="n">
        <v>0.09079</v>
      </c>
    </row>
    <row r="497">
      <c r="A497" t="n">
        <v>1001145</v>
      </c>
      <c r="B497" t="n">
        <v>1</v>
      </c>
      <c r="C497" t="n">
        <v>1145</v>
      </c>
      <c r="D497" t="n">
        <v>-0.3521</v>
      </c>
      <c r="E497" t="n">
        <v>20.1912</v>
      </c>
      <c r="F497" t="n">
        <v>0.09085</v>
      </c>
    </row>
    <row r="498">
      <c r="A498" t="n">
        <v>1001146</v>
      </c>
      <c r="B498" t="n">
        <v>1</v>
      </c>
      <c r="C498" t="n">
        <v>1146</v>
      </c>
      <c r="D498" t="n">
        <v>-0.3521</v>
      </c>
      <c r="E498" t="n">
        <v>20.2298</v>
      </c>
      <c r="F498" t="n">
        <v>0.09091</v>
      </c>
    </row>
    <row r="499">
      <c r="A499" t="n">
        <v>1001147</v>
      </c>
      <c r="B499" t="n">
        <v>1</v>
      </c>
      <c r="C499" t="n">
        <v>1147</v>
      </c>
      <c r="D499" t="n">
        <v>-0.3521</v>
      </c>
      <c r="E499" t="n">
        <v>20.2684</v>
      </c>
      <c r="F499" t="n">
        <v>0.09097</v>
      </c>
    </row>
    <row r="500">
      <c r="A500" t="n">
        <v>1001148</v>
      </c>
      <c r="B500" t="n">
        <v>1</v>
      </c>
      <c r="C500" t="n">
        <v>1148</v>
      </c>
      <c r="D500" t="n">
        <v>-0.3521</v>
      </c>
      <c r="E500" t="n">
        <v>20.3071</v>
      </c>
      <c r="F500" t="n">
        <v>0.09103</v>
      </c>
    </row>
    <row r="501">
      <c r="A501" t="n">
        <v>1001149</v>
      </c>
      <c r="B501" t="n">
        <v>1</v>
      </c>
      <c r="C501" t="n">
        <v>1149</v>
      </c>
      <c r="D501" t="n">
        <v>-0.3521</v>
      </c>
      <c r="E501" t="n">
        <v>20.3458</v>
      </c>
      <c r="F501" t="n">
        <v>0.0911</v>
      </c>
    </row>
    <row r="502">
      <c r="A502" t="n">
        <v>1001150</v>
      </c>
      <c r="B502" t="n">
        <v>1</v>
      </c>
      <c r="C502" t="n">
        <v>1150</v>
      </c>
      <c r="D502" t="n">
        <v>-0.3521</v>
      </c>
      <c r="E502" t="n">
        <v>20.3846</v>
      </c>
      <c r="F502" t="n">
        <v>0.09116</v>
      </c>
    </row>
    <row r="503">
      <c r="A503" t="n">
        <v>1001151</v>
      </c>
      <c r="B503" t="n">
        <v>1</v>
      </c>
      <c r="C503" t="n">
        <v>1151</v>
      </c>
      <c r="D503" t="n">
        <v>-0.3521</v>
      </c>
      <c r="E503" t="n">
        <v>20.4233</v>
      </c>
      <c r="F503" t="n">
        <v>0.09122</v>
      </c>
    </row>
    <row r="504">
      <c r="A504" t="n">
        <v>1001152</v>
      </c>
      <c r="B504" t="n">
        <v>1</v>
      </c>
      <c r="C504" t="n">
        <v>1152</v>
      </c>
      <c r="D504" t="n">
        <v>-0.3521</v>
      </c>
      <c r="E504" t="n">
        <v>20.4622</v>
      </c>
      <c r="F504" t="n">
        <v>0.09128</v>
      </c>
    </row>
    <row r="505">
      <c r="A505" t="n">
        <v>1001153</v>
      </c>
      <c r="B505" t="n">
        <v>1</v>
      </c>
      <c r="C505" t="n">
        <v>1153</v>
      </c>
      <c r="D505" t="n">
        <v>-0.3521</v>
      </c>
      <c r="E505" t="n">
        <v>20.501</v>
      </c>
      <c r="F505" t="n">
        <v>0.09134</v>
      </c>
    </row>
    <row r="506">
      <c r="A506" t="n">
        <v>1001154</v>
      </c>
      <c r="B506" t="n">
        <v>1</v>
      </c>
      <c r="C506" t="n">
        <v>1154</v>
      </c>
      <c r="D506" t="n">
        <v>-0.3521</v>
      </c>
      <c r="E506" t="n">
        <v>20.54</v>
      </c>
      <c r="F506" t="n">
        <v>0.0914</v>
      </c>
    </row>
    <row r="507">
      <c r="A507" t="n">
        <v>1001155</v>
      </c>
      <c r="B507" t="n">
        <v>1</v>
      </c>
      <c r="C507" t="n">
        <v>1155</v>
      </c>
      <c r="D507" t="n">
        <v>-0.3521</v>
      </c>
      <c r="E507" t="n">
        <v>20.5789</v>
      </c>
      <c r="F507" t="n">
        <v>0.09147</v>
      </c>
    </row>
    <row r="508">
      <c r="A508" t="n">
        <v>1001156</v>
      </c>
      <c r="B508" t="n">
        <v>1</v>
      </c>
      <c r="C508" t="n">
        <v>1156</v>
      </c>
      <c r="D508" t="n">
        <v>-0.3521</v>
      </c>
      <c r="E508" t="n">
        <v>20.6179</v>
      </c>
      <c r="F508" t="n">
        <v>0.09153</v>
      </c>
    </row>
    <row r="509">
      <c r="A509" t="n">
        <v>1001157</v>
      </c>
      <c r="B509" t="n">
        <v>1</v>
      </c>
      <c r="C509" t="n">
        <v>1157</v>
      </c>
      <c r="D509" t="n">
        <v>-0.3521</v>
      </c>
      <c r="E509" t="n">
        <v>20.6569</v>
      </c>
      <c r="F509" t="n">
        <v>0.09159</v>
      </c>
    </row>
    <row r="510">
      <c r="A510" t="n">
        <v>1001158</v>
      </c>
      <c r="B510" t="n">
        <v>1</v>
      </c>
      <c r="C510" t="n">
        <v>1158</v>
      </c>
      <c r="D510" t="n">
        <v>-0.3521</v>
      </c>
      <c r="E510" t="n">
        <v>20.6959</v>
      </c>
      <c r="F510" t="n">
        <v>0.09165</v>
      </c>
    </row>
    <row r="511">
      <c r="A511" t="n">
        <v>1001159</v>
      </c>
      <c r="B511" t="n">
        <v>1</v>
      </c>
      <c r="C511" t="n">
        <v>1159</v>
      </c>
      <c r="D511" t="n">
        <v>-0.3521</v>
      </c>
      <c r="E511" t="n">
        <v>20.735</v>
      </c>
      <c r="F511" t="n">
        <v>0.09171</v>
      </c>
    </row>
    <row r="512">
      <c r="A512" t="n">
        <v>1001160</v>
      </c>
      <c r="B512" t="n">
        <v>1</v>
      </c>
      <c r="C512" t="n">
        <v>1160</v>
      </c>
      <c r="D512" t="n">
        <v>-0.3521</v>
      </c>
      <c r="E512" t="n">
        <v>20.7741</v>
      </c>
      <c r="F512" t="n">
        <v>0.09177</v>
      </c>
    </row>
    <row r="513">
      <c r="A513" t="n">
        <v>1001161</v>
      </c>
      <c r="B513" t="n">
        <v>1</v>
      </c>
      <c r="C513" t="n">
        <v>1161</v>
      </c>
      <c r="D513" t="n">
        <v>-0.3521</v>
      </c>
      <c r="E513" t="n">
        <v>20.8132</v>
      </c>
      <c r="F513" t="n">
        <v>0.09182999999999999</v>
      </c>
    </row>
    <row r="514">
      <c r="A514" t="n">
        <v>1001162</v>
      </c>
      <c r="B514" t="n">
        <v>1</v>
      </c>
      <c r="C514" t="n">
        <v>1162</v>
      </c>
      <c r="D514" t="n">
        <v>-0.3521</v>
      </c>
      <c r="E514" t="n">
        <v>20.8524</v>
      </c>
      <c r="F514" t="n">
        <v>0.0919</v>
      </c>
    </row>
    <row r="515">
      <c r="A515" t="n">
        <v>1001163</v>
      </c>
      <c r="B515" t="n">
        <v>1</v>
      </c>
      <c r="C515" t="n">
        <v>1163</v>
      </c>
      <c r="D515" t="n">
        <v>-0.3521</v>
      </c>
      <c r="E515" t="n">
        <v>20.8916</v>
      </c>
      <c r="F515" t="n">
        <v>0.09196</v>
      </c>
    </row>
    <row r="516">
      <c r="A516" t="n">
        <v>1001164</v>
      </c>
      <c r="B516" t="n">
        <v>1</v>
      </c>
      <c r="C516" t="n">
        <v>1164</v>
      </c>
      <c r="D516" t="n">
        <v>-0.3521</v>
      </c>
      <c r="E516" t="n">
        <v>20.9308</v>
      </c>
      <c r="F516" t="n">
        <v>0.09202</v>
      </c>
    </row>
    <row r="517">
      <c r="A517" t="n">
        <v>1001165</v>
      </c>
      <c r="B517" t="n">
        <v>1</v>
      </c>
      <c r="C517" t="n">
        <v>1165</v>
      </c>
      <c r="D517" t="n">
        <v>-0.3521</v>
      </c>
      <c r="E517" t="n">
        <v>20.97</v>
      </c>
      <c r="F517" t="n">
        <v>0.09208</v>
      </c>
    </row>
    <row r="518">
      <c r="A518" t="n">
        <v>1001166</v>
      </c>
      <c r="B518" t="n">
        <v>1</v>
      </c>
      <c r="C518" t="n">
        <v>1166</v>
      </c>
      <c r="D518" t="n">
        <v>-0.3521</v>
      </c>
      <c r="E518" t="n">
        <v>21.0093</v>
      </c>
      <c r="F518" t="n">
        <v>0.09214</v>
      </c>
    </row>
    <row r="519">
      <c r="A519" t="n">
        <v>1001167</v>
      </c>
      <c r="B519" t="n">
        <v>1</v>
      </c>
      <c r="C519" t="n">
        <v>1167</v>
      </c>
      <c r="D519" t="n">
        <v>-0.3521</v>
      </c>
      <c r="E519" t="n">
        <v>21.0486</v>
      </c>
      <c r="F519" t="n">
        <v>0.0922</v>
      </c>
    </row>
    <row r="520">
      <c r="A520" t="n">
        <v>1001168</v>
      </c>
      <c r="B520" t="n">
        <v>1</v>
      </c>
      <c r="C520" t="n">
        <v>1168</v>
      </c>
      <c r="D520" t="n">
        <v>-0.3521</v>
      </c>
      <c r="E520" t="n">
        <v>21.0879</v>
      </c>
      <c r="F520" t="n">
        <v>0.09227</v>
      </c>
    </row>
    <row r="521">
      <c r="A521" t="n">
        <v>1001169</v>
      </c>
      <c r="B521" t="n">
        <v>1</v>
      </c>
      <c r="C521" t="n">
        <v>1169</v>
      </c>
      <c r="D521" t="n">
        <v>-0.3521</v>
      </c>
      <c r="E521" t="n">
        <v>21.1272</v>
      </c>
      <c r="F521" t="n">
        <v>0.09233</v>
      </c>
    </row>
    <row r="522">
      <c r="A522" t="n">
        <v>1001170</v>
      </c>
      <c r="B522" t="n">
        <v>1</v>
      </c>
      <c r="C522" t="n">
        <v>1170</v>
      </c>
      <c r="D522" t="n">
        <v>-0.3521</v>
      </c>
      <c r="E522" t="n">
        <v>21.1666</v>
      </c>
      <c r="F522" t="n">
        <v>0.09239</v>
      </c>
    </row>
    <row r="523">
      <c r="A523" t="n">
        <v>1001171</v>
      </c>
      <c r="B523" t="n">
        <v>1</v>
      </c>
      <c r="C523" t="n">
        <v>1171</v>
      </c>
      <c r="D523" t="n">
        <v>-0.3521</v>
      </c>
      <c r="E523" t="n">
        <v>21.2059</v>
      </c>
      <c r="F523" t="n">
        <v>0.09245</v>
      </c>
    </row>
    <row r="524">
      <c r="A524" t="n">
        <v>1001172</v>
      </c>
      <c r="B524" t="n">
        <v>1</v>
      </c>
      <c r="C524" t="n">
        <v>1172</v>
      </c>
      <c r="D524" t="n">
        <v>-0.3521</v>
      </c>
      <c r="E524" t="n">
        <v>21.2453</v>
      </c>
      <c r="F524" t="n">
        <v>0.09251</v>
      </c>
    </row>
    <row r="525">
      <c r="A525" t="n">
        <v>1001173</v>
      </c>
      <c r="B525" t="n">
        <v>1</v>
      </c>
      <c r="C525" t="n">
        <v>1173</v>
      </c>
      <c r="D525" t="n">
        <v>-0.3521</v>
      </c>
      <c r="E525" t="n">
        <v>21.2847</v>
      </c>
      <c r="F525" t="n">
        <v>0.09257</v>
      </c>
    </row>
    <row r="526">
      <c r="A526" t="n">
        <v>1001174</v>
      </c>
      <c r="B526" t="n">
        <v>1</v>
      </c>
      <c r="C526" t="n">
        <v>1174</v>
      </c>
      <c r="D526" t="n">
        <v>-0.3521</v>
      </c>
      <c r="E526" t="n">
        <v>21.3242</v>
      </c>
      <c r="F526" t="n">
        <v>0.09263</v>
      </c>
    </row>
    <row r="527">
      <c r="A527" t="n">
        <v>1001175</v>
      </c>
      <c r="B527" t="n">
        <v>1</v>
      </c>
      <c r="C527" t="n">
        <v>1175</v>
      </c>
      <c r="D527" t="n">
        <v>-0.3521</v>
      </c>
      <c r="E527" t="n">
        <v>21.3636</v>
      </c>
      <c r="F527" t="n">
        <v>0.0927</v>
      </c>
    </row>
    <row r="528">
      <c r="A528" t="n">
        <v>1001176</v>
      </c>
      <c r="B528" t="n">
        <v>1</v>
      </c>
      <c r="C528" t="n">
        <v>1176</v>
      </c>
      <c r="D528" t="n">
        <v>-0.3521</v>
      </c>
      <c r="E528" t="n">
        <v>21.4031</v>
      </c>
      <c r="F528" t="n">
        <v>0.09276</v>
      </c>
    </row>
    <row r="529">
      <c r="A529" t="n">
        <v>1001177</v>
      </c>
      <c r="B529" t="n">
        <v>1</v>
      </c>
      <c r="C529" t="n">
        <v>1177</v>
      </c>
      <c r="D529" t="n">
        <v>-0.3521</v>
      </c>
      <c r="E529" t="n">
        <v>21.4426</v>
      </c>
      <c r="F529" t="n">
        <v>0.09282</v>
      </c>
    </row>
    <row r="530">
      <c r="A530" t="n">
        <v>1001178</v>
      </c>
      <c r="B530" t="n">
        <v>1</v>
      </c>
      <c r="C530" t="n">
        <v>1178</v>
      </c>
      <c r="D530" t="n">
        <v>-0.3521</v>
      </c>
      <c r="E530" t="n">
        <v>21.482</v>
      </c>
      <c r="F530" t="n">
        <v>0.09288</v>
      </c>
    </row>
    <row r="531">
      <c r="A531" t="n">
        <v>1001179</v>
      </c>
      <c r="B531" t="n">
        <v>1</v>
      </c>
      <c r="C531" t="n">
        <v>1179</v>
      </c>
      <c r="D531" t="n">
        <v>-0.3521</v>
      </c>
      <c r="E531" t="n">
        <v>21.5215</v>
      </c>
      <c r="F531" t="n">
        <v>0.09293999999999999</v>
      </c>
    </row>
    <row r="532">
      <c r="A532" t="n">
        <v>1001180</v>
      </c>
      <c r="B532" t="n">
        <v>1</v>
      </c>
      <c r="C532" t="n">
        <v>1180</v>
      </c>
      <c r="D532" t="n">
        <v>-0.3521</v>
      </c>
      <c r="E532" t="n">
        <v>21.5611</v>
      </c>
      <c r="F532" t="n">
        <v>0.093</v>
      </c>
    </row>
    <row r="533">
      <c r="A533" t="n">
        <v>1001181</v>
      </c>
      <c r="B533" t="n">
        <v>1</v>
      </c>
      <c r="C533" t="n">
        <v>1181</v>
      </c>
      <c r="D533" t="n">
        <v>-0.3521</v>
      </c>
      <c r="E533" t="n">
        <v>21.6006</v>
      </c>
      <c r="F533" t="n">
        <v>0.09307</v>
      </c>
    </row>
    <row r="534">
      <c r="A534" t="n">
        <v>1001182</v>
      </c>
      <c r="B534" t="n">
        <v>1</v>
      </c>
      <c r="C534" t="n">
        <v>1182</v>
      </c>
      <c r="D534" t="n">
        <v>-0.3521</v>
      </c>
      <c r="E534" t="n">
        <v>21.6401</v>
      </c>
      <c r="F534" t="n">
        <v>0.09313</v>
      </c>
    </row>
    <row r="535">
      <c r="A535" t="n">
        <v>1001183</v>
      </c>
      <c r="B535" t="n">
        <v>1</v>
      </c>
      <c r="C535" t="n">
        <v>1183</v>
      </c>
      <c r="D535" t="n">
        <v>-0.3521</v>
      </c>
      <c r="E535" t="n">
        <v>21.6797</v>
      </c>
      <c r="F535" t="n">
        <v>0.09319</v>
      </c>
    </row>
    <row r="536">
      <c r="A536" t="n">
        <v>1001184</v>
      </c>
      <c r="B536" t="n">
        <v>1</v>
      </c>
      <c r="C536" t="n">
        <v>1184</v>
      </c>
      <c r="D536" t="n">
        <v>-0.3521</v>
      </c>
      <c r="E536" t="n">
        <v>21.7193</v>
      </c>
      <c r="F536" t="n">
        <v>0.09325</v>
      </c>
    </row>
    <row r="537">
      <c r="A537" t="n">
        <v>1001185</v>
      </c>
      <c r="B537" t="n">
        <v>1</v>
      </c>
      <c r="C537" t="n">
        <v>1185</v>
      </c>
      <c r="D537" t="n">
        <v>-0.3521</v>
      </c>
      <c r="E537" t="n">
        <v>21.7588</v>
      </c>
      <c r="F537" t="n">
        <v>0.09331</v>
      </c>
    </row>
    <row r="538">
      <c r="A538" t="n">
        <v>1001186</v>
      </c>
      <c r="B538" t="n">
        <v>1</v>
      </c>
      <c r="C538" t="n">
        <v>1186</v>
      </c>
      <c r="D538" t="n">
        <v>-0.3521</v>
      </c>
      <c r="E538" t="n">
        <v>21.7984</v>
      </c>
      <c r="F538" t="n">
        <v>0.09338</v>
      </c>
    </row>
    <row r="539">
      <c r="A539" t="n">
        <v>1001187</v>
      </c>
      <c r="B539" t="n">
        <v>1</v>
      </c>
      <c r="C539" t="n">
        <v>1187</v>
      </c>
      <c r="D539" t="n">
        <v>-0.3521</v>
      </c>
      <c r="E539" t="n">
        <v>21.838</v>
      </c>
      <c r="F539" t="n">
        <v>0.09344</v>
      </c>
    </row>
    <row r="540">
      <c r="A540" t="n">
        <v>1001188</v>
      </c>
      <c r="B540" t="n">
        <v>1</v>
      </c>
      <c r="C540" t="n">
        <v>1188</v>
      </c>
      <c r="D540" t="n">
        <v>-0.3521</v>
      </c>
      <c r="E540" t="n">
        <v>21.8776</v>
      </c>
      <c r="F540" t="n">
        <v>0.0935</v>
      </c>
    </row>
    <row r="541">
      <c r="A541" t="n">
        <v>1001189</v>
      </c>
      <c r="B541" t="n">
        <v>1</v>
      </c>
      <c r="C541" t="n">
        <v>1189</v>
      </c>
      <c r="D541" t="n">
        <v>-0.3521</v>
      </c>
      <c r="E541" t="n">
        <v>21.9172</v>
      </c>
      <c r="F541" t="n">
        <v>0.09356</v>
      </c>
    </row>
    <row r="542">
      <c r="A542" t="n">
        <v>1001190</v>
      </c>
      <c r="B542" t="n">
        <v>1</v>
      </c>
      <c r="C542" t="n">
        <v>1190</v>
      </c>
      <c r="D542" t="n">
        <v>-0.3521</v>
      </c>
      <c r="E542" t="n">
        <v>21.9568</v>
      </c>
      <c r="F542" t="n">
        <v>0.09361999999999999</v>
      </c>
    </row>
    <row r="543">
      <c r="A543" t="n">
        <v>1001191</v>
      </c>
      <c r="B543" t="n">
        <v>1</v>
      </c>
      <c r="C543" t="n">
        <v>1191</v>
      </c>
      <c r="D543" t="n">
        <v>-0.3521</v>
      </c>
      <c r="E543" t="n">
        <v>21.9964</v>
      </c>
      <c r="F543" t="n">
        <v>0.09368</v>
      </c>
    </row>
    <row r="544">
      <c r="A544" t="n">
        <v>1001192</v>
      </c>
      <c r="B544" t="n">
        <v>1</v>
      </c>
      <c r="C544" t="n">
        <v>1192</v>
      </c>
      <c r="D544" t="n">
        <v>-0.3521</v>
      </c>
      <c r="E544" t="n">
        <v>22.036</v>
      </c>
      <c r="F544" t="n">
        <v>0.09375</v>
      </c>
    </row>
    <row r="545">
      <c r="A545" t="n">
        <v>1001193</v>
      </c>
      <c r="B545" t="n">
        <v>1</v>
      </c>
      <c r="C545" t="n">
        <v>1193</v>
      </c>
      <c r="D545" t="n">
        <v>-0.3521</v>
      </c>
      <c r="E545" t="n">
        <v>22.0757</v>
      </c>
      <c r="F545" t="n">
        <v>0.09381</v>
      </c>
    </row>
    <row r="546">
      <c r="A546" t="n">
        <v>1001194</v>
      </c>
      <c r="B546" t="n">
        <v>1</v>
      </c>
      <c r="C546" t="n">
        <v>1194</v>
      </c>
      <c r="D546" t="n">
        <v>-0.3521</v>
      </c>
      <c r="E546" t="n">
        <v>22.1153</v>
      </c>
      <c r="F546" t="n">
        <v>0.09387</v>
      </c>
    </row>
    <row r="547">
      <c r="A547" t="n">
        <v>1001195</v>
      </c>
      <c r="B547" t="n">
        <v>1</v>
      </c>
      <c r="C547" t="n">
        <v>1195</v>
      </c>
      <c r="D547" t="n">
        <v>-0.3521</v>
      </c>
      <c r="E547" t="n">
        <v>22.1549</v>
      </c>
      <c r="F547" t="n">
        <v>0.09393</v>
      </c>
    </row>
    <row r="548">
      <c r="A548" t="n">
        <v>1001196</v>
      </c>
      <c r="B548" t="n">
        <v>1</v>
      </c>
      <c r="C548" t="n">
        <v>1196</v>
      </c>
      <c r="D548" t="n">
        <v>-0.3521</v>
      </c>
      <c r="E548" t="n">
        <v>22.1945</v>
      </c>
      <c r="F548" t="n">
        <v>0.09399</v>
      </c>
    </row>
    <row r="549">
      <c r="A549" t="n">
        <v>1001197</v>
      </c>
      <c r="B549" t="n">
        <v>1</v>
      </c>
      <c r="C549" t="n">
        <v>1197</v>
      </c>
      <c r="D549" t="n">
        <v>-0.3521</v>
      </c>
      <c r="E549" t="n">
        <v>22.2341</v>
      </c>
      <c r="F549" t="n">
        <v>0.09406</v>
      </c>
    </row>
    <row r="550">
      <c r="A550" t="n">
        <v>1001198</v>
      </c>
      <c r="B550" t="n">
        <v>1</v>
      </c>
      <c r="C550" t="n">
        <v>1198</v>
      </c>
      <c r="D550" t="n">
        <v>-0.3521</v>
      </c>
      <c r="E550" t="n">
        <v>22.2738</v>
      </c>
      <c r="F550" t="n">
        <v>0.09412</v>
      </c>
    </row>
    <row r="551">
      <c r="A551" t="n">
        <v>1001199</v>
      </c>
      <c r="B551" t="n">
        <v>1</v>
      </c>
      <c r="C551" t="n">
        <v>1199</v>
      </c>
      <c r="D551" t="n">
        <v>-0.3521</v>
      </c>
      <c r="E551" t="n">
        <v>22.3134</v>
      </c>
      <c r="F551" t="n">
        <v>0.09418</v>
      </c>
    </row>
    <row r="552">
      <c r="A552" t="n">
        <v>1001200</v>
      </c>
      <c r="B552" t="n">
        <v>1</v>
      </c>
      <c r="C552" t="n">
        <v>1200</v>
      </c>
      <c r="D552" t="n">
        <v>-0.3521</v>
      </c>
      <c r="E552" t="n">
        <v>22.353</v>
      </c>
      <c r="F552" t="n">
        <v>0.09424</v>
      </c>
    </row>
    <row r="553">
      <c r="A553" t="n">
        <v>2000650</v>
      </c>
      <c r="B553" t="n">
        <v>2</v>
      </c>
      <c r="C553" t="n">
        <v>650</v>
      </c>
      <c r="D553" t="n">
        <v>-0.3833</v>
      </c>
      <c r="E553" t="n">
        <v>7.2402</v>
      </c>
      <c r="F553" t="n">
        <v>0.09113</v>
      </c>
    </row>
    <row r="554">
      <c r="A554" t="n">
        <v>2000651</v>
      </c>
      <c r="B554" t="n">
        <v>2</v>
      </c>
      <c r="C554" t="n">
        <v>651</v>
      </c>
      <c r="D554" t="n">
        <v>-0.3833</v>
      </c>
      <c r="E554" t="n">
        <v>7.2627</v>
      </c>
      <c r="F554" t="n">
        <v>0.09112000000000001</v>
      </c>
    </row>
    <row r="555">
      <c r="A555" t="n">
        <v>2000652</v>
      </c>
      <c r="B555" t="n">
        <v>2</v>
      </c>
      <c r="C555" t="n">
        <v>652</v>
      </c>
      <c r="D555" t="n">
        <v>-0.3833</v>
      </c>
      <c r="E555" t="n">
        <v>7.2852</v>
      </c>
      <c r="F555" t="n">
        <v>0.09111</v>
      </c>
    </row>
    <row r="556">
      <c r="A556" t="n">
        <v>2000653</v>
      </c>
      <c r="B556" t="n">
        <v>2</v>
      </c>
      <c r="C556" t="n">
        <v>653</v>
      </c>
      <c r="D556" t="n">
        <v>-0.3833</v>
      </c>
      <c r="E556" t="n">
        <v>7.3076</v>
      </c>
      <c r="F556" t="n">
        <v>0.0911</v>
      </c>
    </row>
    <row r="557">
      <c r="A557" t="n">
        <v>2000654</v>
      </c>
      <c r="B557" t="n">
        <v>2</v>
      </c>
      <c r="C557" t="n">
        <v>654</v>
      </c>
      <c r="D557" t="n">
        <v>-0.3833</v>
      </c>
      <c r="E557" t="n">
        <v>7.33</v>
      </c>
      <c r="F557" t="n">
        <v>0.09109</v>
      </c>
    </row>
    <row r="558">
      <c r="A558" t="n">
        <v>2000655</v>
      </c>
      <c r="B558" t="n">
        <v>2</v>
      </c>
      <c r="C558" t="n">
        <v>655</v>
      </c>
      <c r="D558" t="n">
        <v>-0.3833</v>
      </c>
      <c r="E558" t="n">
        <v>7.3523</v>
      </c>
      <c r="F558" t="n">
        <v>0.09109</v>
      </c>
    </row>
    <row r="559">
      <c r="A559" t="n">
        <v>2000656</v>
      </c>
      <c r="B559" t="n">
        <v>2</v>
      </c>
      <c r="C559" t="n">
        <v>656</v>
      </c>
      <c r="D559" t="n">
        <v>-0.3833</v>
      </c>
      <c r="E559" t="n">
        <v>7.3745</v>
      </c>
      <c r="F559" t="n">
        <v>0.09107999999999999</v>
      </c>
    </row>
    <row r="560">
      <c r="A560" t="n">
        <v>2000657</v>
      </c>
      <c r="B560" t="n">
        <v>2</v>
      </c>
      <c r="C560" t="n">
        <v>657</v>
      </c>
      <c r="D560" t="n">
        <v>-0.3833</v>
      </c>
      <c r="E560" t="n">
        <v>7.3967</v>
      </c>
      <c r="F560" t="n">
        <v>0.09107</v>
      </c>
    </row>
    <row r="561">
      <c r="A561" t="n">
        <v>2000658</v>
      </c>
      <c r="B561" t="n">
        <v>2</v>
      </c>
      <c r="C561" t="n">
        <v>658</v>
      </c>
      <c r="D561" t="n">
        <v>-0.3833</v>
      </c>
      <c r="E561" t="n">
        <v>7.4189</v>
      </c>
      <c r="F561" t="n">
        <v>0.09106</v>
      </c>
    </row>
    <row r="562">
      <c r="A562" t="n">
        <v>2000659</v>
      </c>
      <c r="B562" t="n">
        <v>2</v>
      </c>
      <c r="C562" t="n">
        <v>659</v>
      </c>
      <c r="D562" t="n">
        <v>-0.3833</v>
      </c>
      <c r="E562" t="n">
        <v>7.441</v>
      </c>
      <c r="F562" t="n">
        <v>0.09105000000000001</v>
      </c>
    </row>
    <row r="563">
      <c r="A563" t="n">
        <v>2000660</v>
      </c>
      <c r="B563" t="n">
        <v>2</v>
      </c>
      <c r="C563" t="n">
        <v>660</v>
      </c>
      <c r="D563" t="n">
        <v>-0.3833</v>
      </c>
      <c r="E563" t="n">
        <v>7.463</v>
      </c>
      <c r="F563" t="n">
        <v>0.09104</v>
      </c>
    </row>
    <row r="564">
      <c r="A564" t="n">
        <v>2000661</v>
      </c>
      <c r="B564" t="n">
        <v>2</v>
      </c>
      <c r="C564" t="n">
        <v>661</v>
      </c>
      <c r="D564" t="n">
        <v>-0.3833</v>
      </c>
      <c r="E564" t="n">
        <v>7.485</v>
      </c>
      <c r="F564" t="n">
        <v>0.09103</v>
      </c>
    </row>
    <row r="565">
      <c r="A565" t="n">
        <v>2000662</v>
      </c>
      <c r="B565" t="n">
        <v>2</v>
      </c>
      <c r="C565" t="n">
        <v>662</v>
      </c>
      <c r="D565" t="n">
        <v>-0.3833</v>
      </c>
      <c r="E565" t="n">
        <v>7.5069</v>
      </c>
      <c r="F565" t="n">
        <v>0.09102</v>
      </c>
    </row>
    <row r="566">
      <c r="A566" t="n">
        <v>2000663</v>
      </c>
      <c r="B566" t="n">
        <v>2</v>
      </c>
      <c r="C566" t="n">
        <v>663</v>
      </c>
      <c r="D566" t="n">
        <v>-0.3833</v>
      </c>
      <c r="E566" t="n">
        <v>7.5288</v>
      </c>
      <c r="F566" t="n">
        <v>0.09100999999999999</v>
      </c>
    </row>
    <row r="567">
      <c r="A567" t="n">
        <v>2000664</v>
      </c>
      <c r="B567" t="n">
        <v>2</v>
      </c>
      <c r="C567" t="n">
        <v>664</v>
      </c>
      <c r="D567" t="n">
        <v>-0.3833</v>
      </c>
      <c r="E567" t="n">
        <v>7.5507</v>
      </c>
      <c r="F567" t="n">
        <v>0.091</v>
      </c>
    </row>
    <row r="568">
      <c r="A568" t="n">
        <v>2000665</v>
      </c>
      <c r="B568" t="n">
        <v>2</v>
      </c>
      <c r="C568" t="n">
        <v>665</v>
      </c>
      <c r="D568" t="n">
        <v>-0.3833</v>
      </c>
      <c r="E568" t="n">
        <v>7.5724</v>
      </c>
      <c r="F568" t="n">
        <v>0.09099</v>
      </c>
    </row>
    <row r="569">
      <c r="A569" t="n">
        <v>2000666</v>
      </c>
      <c r="B569" t="n">
        <v>2</v>
      </c>
      <c r="C569" t="n">
        <v>666</v>
      </c>
      <c r="D569" t="n">
        <v>-0.3833</v>
      </c>
      <c r="E569" t="n">
        <v>7.5942</v>
      </c>
      <c r="F569" t="n">
        <v>0.09098000000000001</v>
      </c>
    </row>
    <row r="570">
      <c r="A570" t="n">
        <v>2000667</v>
      </c>
      <c r="B570" t="n">
        <v>2</v>
      </c>
      <c r="C570" t="n">
        <v>667</v>
      </c>
      <c r="D570" t="n">
        <v>-0.3833</v>
      </c>
      <c r="E570" t="n">
        <v>7.6158</v>
      </c>
      <c r="F570" t="n">
        <v>0.09097</v>
      </c>
    </row>
    <row r="571">
      <c r="A571" t="n">
        <v>2000668</v>
      </c>
      <c r="B571" t="n">
        <v>2</v>
      </c>
      <c r="C571" t="n">
        <v>668</v>
      </c>
      <c r="D571" t="n">
        <v>-0.3833</v>
      </c>
      <c r="E571" t="n">
        <v>7.6375</v>
      </c>
      <c r="F571" t="n">
        <v>0.09096</v>
      </c>
    </row>
    <row r="572">
      <c r="A572" t="n">
        <v>2000669</v>
      </c>
      <c r="B572" t="n">
        <v>2</v>
      </c>
      <c r="C572" t="n">
        <v>669</v>
      </c>
      <c r="D572" t="n">
        <v>-0.3833</v>
      </c>
      <c r="E572" t="n">
        <v>7.659</v>
      </c>
      <c r="F572" t="n">
        <v>0.09095</v>
      </c>
    </row>
    <row r="573">
      <c r="A573" t="n">
        <v>2000670</v>
      </c>
      <c r="B573" t="n">
        <v>2</v>
      </c>
      <c r="C573" t="n">
        <v>670</v>
      </c>
      <c r="D573" t="n">
        <v>-0.3833</v>
      </c>
      <c r="E573" t="n">
        <v>7.6806</v>
      </c>
      <c r="F573" t="n">
        <v>0.09093999999999999</v>
      </c>
    </row>
    <row r="574">
      <c r="A574" t="n">
        <v>2000671</v>
      </c>
      <c r="B574" t="n">
        <v>2</v>
      </c>
      <c r="C574" t="n">
        <v>671</v>
      </c>
      <c r="D574" t="n">
        <v>-0.3833</v>
      </c>
      <c r="E574" t="n">
        <v>7.702</v>
      </c>
      <c r="F574" t="n">
        <v>0.09093</v>
      </c>
    </row>
    <row r="575">
      <c r="A575" t="n">
        <v>2000672</v>
      </c>
      <c r="B575" t="n">
        <v>2</v>
      </c>
      <c r="C575" t="n">
        <v>672</v>
      </c>
      <c r="D575" t="n">
        <v>-0.3833</v>
      </c>
      <c r="E575" t="n">
        <v>7.7234</v>
      </c>
      <c r="F575" t="n">
        <v>0.09091</v>
      </c>
    </row>
    <row r="576">
      <c r="A576" t="n">
        <v>2000673</v>
      </c>
      <c r="B576" t="n">
        <v>2</v>
      </c>
      <c r="C576" t="n">
        <v>673</v>
      </c>
      <c r="D576" t="n">
        <v>-0.3833</v>
      </c>
      <c r="E576" t="n">
        <v>7.7448</v>
      </c>
      <c r="F576" t="n">
        <v>0.09089999999999999</v>
      </c>
    </row>
    <row r="577">
      <c r="A577" t="n">
        <v>2000674</v>
      </c>
      <c r="B577" t="n">
        <v>2</v>
      </c>
      <c r="C577" t="n">
        <v>674</v>
      </c>
      <c r="D577" t="n">
        <v>-0.3833</v>
      </c>
      <c r="E577" t="n">
        <v>7.7661</v>
      </c>
      <c r="F577" t="n">
        <v>0.09089</v>
      </c>
    </row>
    <row r="578">
      <c r="A578" t="n">
        <v>2000675</v>
      </c>
      <c r="B578" t="n">
        <v>2</v>
      </c>
      <c r="C578" t="n">
        <v>675</v>
      </c>
      <c r="D578" t="n">
        <v>-0.3833</v>
      </c>
      <c r="E578" t="n">
        <v>7.7874</v>
      </c>
      <c r="F578" t="n">
        <v>0.09088</v>
      </c>
    </row>
    <row r="579">
      <c r="A579" t="n">
        <v>2000676</v>
      </c>
      <c r="B579" t="n">
        <v>2</v>
      </c>
      <c r="C579" t="n">
        <v>676</v>
      </c>
      <c r="D579" t="n">
        <v>-0.3833</v>
      </c>
      <c r="E579" t="n">
        <v>7.8086</v>
      </c>
      <c r="F579" t="n">
        <v>0.09087000000000001</v>
      </c>
    </row>
    <row r="580">
      <c r="A580" t="n">
        <v>2000677</v>
      </c>
      <c r="B580" t="n">
        <v>2</v>
      </c>
      <c r="C580" t="n">
        <v>677</v>
      </c>
      <c r="D580" t="n">
        <v>-0.3833</v>
      </c>
      <c r="E580" t="n">
        <v>7.8298</v>
      </c>
      <c r="F580" t="n">
        <v>0.09086</v>
      </c>
    </row>
    <row r="581">
      <c r="A581" t="n">
        <v>2000678</v>
      </c>
      <c r="B581" t="n">
        <v>2</v>
      </c>
      <c r="C581" t="n">
        <v>678</v>
      </c>
      <c r="D581" t="n">
        <v>-0.3833</v>
      </c>
      <c r="E581" t="n">
        <v>7.8509</v>
      </c>
      <c r="F581" t="n">
        <v>0.09085</v>
      </c>
    </row>
    <row r="582">
      <c r="A582" t="n">
        <v>2000679</v>
      </c>
      <c r="B582" t="n">
        <v>2</v>
      </c>
      <c r="C582" t="n">
        <v>679</v>
      </c>
      <c r="D582" t="n">
        <v>-0.3833</v>
      </c>
      <c r="E582" t="n">
        <v>7.872</v>
      </c>
      <c r="F582" t="n">
        <v>0.09084</v>
      </c>
    </row>
    <row r="583">
      <c r="A583" t="n">
        <v>2000680</v>
      </c>
      <c r="B583" t="n">
        <v>2</v>
      </c>
      <c r="C583" t="n">
        <v>680</v>
      </c>
      <c r="D583" t="n">
        <v>-0.3833</v>
      </c>
      <c r="E583" t="n">
        <v>7.893</v>
      </c>
      <c r="F583" t="n">
        <v>0.09082999999999999</v>
      </c>
    </row>
    <row r="584">
      <c r="A584" t="n">
        <v>2000681</v>
      </c>
      <c r="B584" t="n">
        <v>2</v>
      </c>
      <c r="C584" t="n">
        <v>681</v>
      </c>
      <c r="D584" t="n">
        <v>-0.3833</v>
      </c>
      <c r="E584" t="n">
        <v>7.914</v>
      </c>
      <c r="F584" t="n">
        <v>0.09082</v>
      </c>
    </row>
    <row r="585">
      <c r="A585" t="n">
        <v>2000682</v>
      </c>
      <c r="B585" t="n">
        <v>2</v>
      </c>
      <c r="C585" t="n">
        <v>682</v>
      </c>
      <c r="D585" t="n">
        <v>-0.3833</v>
      </c>
      <c r="E585" t="n">
        <v>7.935</v>
      </c>
      <c r="F585" t="n">
        <v>0.09080000000000001</v>
      </c>
    </row>
    <row r="586">
      <c r="A586" t="n">
        <v>2000683</v>
      </c>
      <c r="B586" t="n">
        <v>2</v>
      </c>
      <c r="C586" t="n">
        <v>683</v>
      </c>
      <c r="D586" t="n">
        <v>-0.3833</v>
      </c>
      <c r="E586" t="n">
        <v>7.9559</v>
      </c>
      <c r="F586" t="n">
        <v>0.09079</v>
      </c>
    </row>
    <row r="587">
      <c r="A587" t="n">
        <v>2000684</v>
      </c>
      <c r="B587" t="n">
        <v>2</v>
      </c>
      <c r="C587" t="n">
        <v>684</v>
      </c>
      <c r="D587" t="n">
        <v>-0.3833</v>
      </c>
      <c r="E587" t="n">
        <v>7.9768</v>
      </c>
      <c r="F587" t="n">
        <v>0.09078</v>
      </c>
    </row>
    <row r="588">
      <c r="A588" t="n">
        <v>2000685</v>
      </c>
      <c r="B588" t="n">
        <v>2</v>
      </c>
      <c r="C588" t="n">
        <v>685</v>
      </c>
      <c r="D588" t="n">
        <v>-0.3833</v>
      </c>
      <c r="E588" t="n">
        <v>7.9976</v>
      </c>
      <c r="F588" t="n">
        <v>0.09077</v>
      </c>
    </row>
    <row r="589">
      <c r="A589" t="n">
        <v>2000686</v>
      </c>
      <c r="B589" t="n">
        <v>2</v>
      </c>
      <c r="C589" t="n">
        <v>686</v>
      </c>
      <c r="D589" t="n">
        <v>-0.3833</v>
      </c>
      <c r="E589" t="n">
        <v>8.0184</v>
      </c>
      <c r="F589" t="n">
        <v>0.09075999999999999</v>
      </c>
    </row>
    <row r="590">
      <c r="A590" t="n">
        <v>2000687</v>
      </c>
      <c r="B590" t="n">
        <v>2</v>
      </c>
      <c r="C590" t="n">
        <v>687</v>
      </c>
      <c r="D590" t="n">
        <v>-0.3833</v>
      </c>
      <c r="E590" t="n">
        <v>8.039199999999999</v>
      </c>
      <c r="F590" t="n">
        <v>0.09075</v>
      </c>
    </row>
    <row r="591">
      <c r="A591" t="n">
        <v>2000688</v>
      </c>
      <c r="B591" t="n">
        <v>2</v>
      </c>
      <c r="C591" t="n">
        <v>688</v>
      </c>
      <c r="D591" t="n">
        <v>-0.3833</v>
      </c>
      <c r="E591" t="n">
        <v>8.059900000000001</v>
      </c>
      <c r="F591" t="n">
        <v>0.09074</v>
      </c>
    </row>
    <row r="592">
      <c r="A592" t="n">
        <v>2000689</v>
      </c>
      <c r="B592" t="n">
        <v>2</v>
      </c>
      <c r="C592" t="n">
        <v>689</v>
      </c>
      <c r="D592" t="n">
        <v>-0.3833</v>
      </c>
      <c r="E592" t="n">
        <v>8.0806</v>
      </c>
      <c r="F592" t="n">
        <v>0.09072</v>
      </c>
    </row>
    <row r="593">
      <c r="A593" t="n">
        <v>2000690</v>
      </c>
      <c r="B593" t="n">
        <v>2</v>
      </c>
      <c r="C593" t="n">
        <v>690</v>
      </c>
      <c r="D593" t="n">
        <v>-0.3833</v>
      </c>
      <c r="E593" t="n">
        <v>8.1012</v>
      </c>
      <c r="F593" t="n">
        <v>0.09071</v>
      </c>
    </row>
    <row r="594">
      <c r="A594" t="n">
        <v>2000691</v>
      </c>
      <c r="B594" t="n">
        <v>2</v>
      </c>
      <c r="C594" t="n">
        <v>691</v>
      </c>
      <c r="D594" t="n">
        <v>-0.3833</v>
      </c>
      <c r="E594" t="n">
        <v>8.1218</v>
      </c>
      <c r="F594" t="n">
        <v>0.0907</v>
      </c>
    </row>
    <row r="595">
      <c r="A595" t="n">
        <v>2000692</v>
      </c>
      <c r="B595" t="n">
        <v>2</v>
      </c>
      <c r="C595" t="n">
        <v>692</v>
      </c>
      <c r="D595" t="n">
        <v>-0.3833</v>
      </c>
      <c r="E595" t="n">
        <v>8.1424</v>
      </c>
      <c r="F595" t="n">
        <v>0.09069000000000001</v>
      </c>
    </row>
    <row r="596">
      <c r="A596" t="n">
        <v>2000693</v>
      </c>
      <c r="B596" t="n">
        <v>2</v>
      </c>
      <c r="C596" t="n">
        <v>693</v>
      </c>
      <c r="D596" t="n">
        <v>-0.3833</v>
      </c>
      <c r="E596" t="n">
        <v>8.163</v>
      </c>
      <c r="F596" t="n">
        <v>0.09068</v>
      </c>
    </row>
    <row r="597">
      <c r="A597" t="n">
        <v>2000694</v>
      </c>
      <c r="B597" t="n">
        <v>2</v>
      </c>
      <c r="C597" t="n">
        <v>694</v>
      </c>
      <c r="D597" t="n">
        <v>-0.3833</v>
      </c>
      <c r="E597" t="n">
        <v>8.1835</v>
      </c>
      <c r="F597" t="n">
        <v>0.09067</v>
      </c>
    </row>
    <row r="598">
      <c r="A598" t="n">
        <v>2000695</v>
      </c>
      <c r="B598" t="n">
        <v>2</v>
      </c>
      <c r="C598" t="n">
        <v>695</v>
      </c>
      <c r="D598" t="n">
        <v>-0.3833</v>
      </c>
      <c r="E598" t="n">
        <v>8.203900000000001</v>
      </c>
      <c r="F598" t="n">
        <v>0.09064999999999999</v>
      </c>
    </row>
    <row r="599">
      <c r="A599" t="n">
        <v>2000696</v>
      </c>
      <c r="B599" t="n">
        <v>2</v>
      </c>
      <c r="C599" t="n">
        <v>696</v>
      </c>
      <c r="D599" t="n">
        <v>-0.3833</v>
      </c>
      <c r="E599" t="n">
        <v>8.224399999999999</v>
      </c>
      <c r="F599" t="n">
        <v>0.09064</v>
      </c>
    </row>
    <row r="600">
      <c r="A600" t="n">
        <v>2000697</v>
      </c>
      <c r="B600" t="n">
        <v>2</v>
      </c>
      <c r="C600" t="n">
        <v>697</v>
      </c>
      <c r="D600" t="n">
        <v>-0.3833</v>
      </c>
      <c r="E600" t="n">
        <v>8.2448</v>
      </c>
      <c r="F600" t="n">
        <v>0.09063</v>
      </c>
    </row>
    <row r="601">
      <c r="A601" t="n">
        <v>2000698</v>
      </c>
      <c r="B601" t="n">
        <v>2</v>
      </c>
      <c r="C601" t="n">
        <v>698</v>
      </c>
      <c r="D601" t="n">
        <v>-0.3833</v>
      </c>
      <c r="E601" t="n">
        <v>8.2651</v>
      </c>
      <c r="F601" t="n">
        <v>0.09062000000000001</v>
      </c>
    </row>
    <row r="602">
      <c r="A602" t="n">
        <v>2000699</v>
      </c>
      <c r="B602" t="n">
        <v>2</v>
      </c>
      <c r="C602" t="n">
        <v>699</v>
      </c>
      <c r="D602" t="n">
        <v>-0.3833</v>
      </c>
      <c r="E602" t="n">
        <v>8.285500000000001</v>
      </c>
      <c r="F602" t="n">
        <v>0.09061</v>
      </c>
    </row>
    <row r="603">
      <c r="A603" t="n">
        <v>2000700</v>
      </c>
      <c r="B603" t="n">
        <v>2</v>
      </c>
      <c r="C603" t="n">
        <v>700</v>
      </c>
      <c r="D603" t="n">
        <v>-0.3833</v>
      </c>
      <c r="E603" t="n">
        <v>8.3058</v>
      </c>
      <c r="F603" t="n">
        <v>0.09059</v>
      </c>
    </row>
    <row r="604">
      <c r="A604" t="n">
        <v>2000701</v>
      </c>
      <c r="B604" t="n">
        <v>2</v>
      </c>
      <c r="C604" t="n">
        <v>701</v>
      </c>
      <c r="D604" t="n">
        <v>-0.3833</v>
      </c>
      <c r="E604" t="n">
        <v>8.3261</v>
      </c>
      <c r="F604" t="n">
        <v>0.09057999999999999</v>
      </c>
    </row>
    <row r="605">
      <c r="A605" t="n">
        <v>2000702</v>
      </c>
      <c r="B605" t="n">
        <v>2</v>
      </c>
      <c r="C605" t="n">
        <v>702</v>
      </c>
      <c r="D605" t="n">
        <v>-0.3833</v>
      </c>
      <c r="E605" t="n">
        <v>8.346399999999999</v>
      </c>
      <c r="F605" t="n">
        <v>0.09057</v>
      </c>
    </row>
    <row r="606">
      <c r="A606" t="n">
        <v>2000703</v>
      </c>
      <c r="B606" t="n">
        <v>2</v>
      </c>
      <c r="C606" t="n">
        <v>703</v>
      </c>
      <c r="D606" t="n">
        <v>-0.3833</v>
      </c>
      <c r="E606" t="n">
        <v>8.3666</v>
      </c>
      <c r="F606" t="n">
        <v>0.09056</v>
      </c>
    </row>
    <row r="607">
      <c r="A607" t="n">
        <v>2000704</v>
      </c>
      <c r="B607" t="n">
        <v>2</v>
      </c>
      <c r="C607" t="n">
        <v>704</v>
      </c>
      <c r="D607" t="n">
        <v>-0.3833</v>
      </c>
      <c r="E607" t="n">
        <v>8.386900000000001</v>
      </c>
      <c r="F607" t="n">
        <v>0.09055000000000001</v>
      </c>
    </row>
    <row r="608">
      <c r="A608" t="n">
        <v>2000705</v>
      </c>
      <c r="B608" t="n">
        <v>2</v>
      </c>
      <c r="C608" t="n">
        <v>705</v>
      </c>
      <c r="D608" t="n">
        <v>-0.3833</v>
      </c>
      <c r="E608" t="n">
        <v>8.4071</v>
      </c>
      <c r="F608" t="n">
        <v>0.09053</v>
      </c>
    </row>
    <row r="609">
      <c r="A609" t="n">
        <v>2000706</v>
      </c>
      <c r="B609" t="n">
        <v>2</v>
      </c>
      <c r="C609" t="n">
        <v>706</v>
      </c>
      <c r="D609" t="n">
        <v>-0.3833</v>
      </c>
      <c r="E609" t="n">
        <v>8.427300000000001</v>
      </c>
      <c r="F609" t="n">
        <v>0.09052</v>
      </c>
    </row>
    <row r="610">
      <c r="A610" t="n">
        <v>2000707</v>
      </c>
      <c r="B610" t="n">
        <v>2</v>
      </c>
      <c r="C610" t="n">
        <v>707</v>
      </c>
      <c r="D610" t="n">
        <v>-0.3833</v>
      </c>
      <c r="E610" t="n">
        <v>8.4474</v>
      </c>
      <c r="F610" t="n">
        <v>0.09050999999999999</v>
      </c>
    </row>
    <row r="611">
      <c r="A611" t="n">
        <v>2000708</v>
      </c>
      <c r="B611" t="n">
        <v>2</v>
      </c>
      <c r="C611" t="n">
        <v>708</v>
      </c>
      <c r="D611" t="n">
        <v>-0.3833</v>
      </c>
      <c r="E611" t="n">
        <v>8.467599999999999</v>
      </c>
      <c r="F611" t="n">
        <v>0.0905</v>
      </c>
    </row>
    <row r="612">
      <c r="A612" t="n">
        <v>2000709</v>
      </c>
      <c r="B612" t="n">
        <v>2</v>
      </c>
      <c r="C612" t="n">
        <v>709</v>
      </c>
      <c r="D612" t="n">
        <v>-0.3833</v>
      </c>
      <c r="E612" t="n">
        <v>8.4877</v>
      </c>
      <c r="F612" t="n">
        <v>0.09048</v>
      </c>
    </row>
    <row r="613">
      <c r="A613" t="n">
        <v>2000710</v>
      </c>
      <c r="B613" t="n">
        <v>2</v>
      </c>
      <c r="C613" t="n">
        <v>710</v>
      </c>
      <c r="D613" t="n">
        <v>-0.3833</v>
      </c>
      <c r="E613" t="n">
        <v>8.5078</v>
      </c>
      <c r="F613" t="n">
        <v>0.09046999999999999</v>
      </c>
    </row>
    <row r="614">
      <c r="A614" t="n">
        <v>2000711</v>
      </c>
      <c r="B614" t="n">
        <v>2</v>
      </c>
      <c r="C614" t="n">
        <v>711</v>
      </c>
      <c r="D614" t="n">
        <v>-0.3833</v>
      </c>
      <c r="E614" t="n">
        <v>8.527799999999999</v>
      </c>
      <c r="F614" t="n">
        <v>0.09046</v>
      </c>
    </row>
    <row r="615">
      <c r="A615" t="n">
        <v>2000712</v>
      </c>
      <c r="B615" t="n">
        <v>2</v>
      </c>
      <c r="C615" t="n">
        <v>712</v>
      </c>
      <c r="D615" t="n">
        <v>-0.3833</v>
      </c>
      <c r="E615" t="n">
        <v>8.5479</v>
      </c>
      <c r="F615" t="n">
        <v>0.09045</v>
      </c>
    </row>
    <row r="616">
      <c r="A616" t="n">
        <v>2000713</v>
      </c>
      <c r="B616" t="n">
        <v>2</v>
      </c>
      <c r="C616" t="n">
        <v>713</v>
      </c>
      <c r="D616" t="n">
        <v>-0.3833</v>
      </c>
      <c r="E616" t="n">
        <v>8.5679</v>
      </c>
      <c r="F616" t="n">
        <v>0.09043</v>
      </c>
    </row>
    <row r="617">
      <c r="A617" t="n">
        <v>2000714</v>
      </c>
      <c r="B617" t="n">
        <v>2</v>
      </c>
      <c r="C617" t="n">
        <v>714</v>
      </c>
      <c r="D617" t="n">
        <v>-0.3833</v>
      </c>
      <c r="E617" t="n">
        <v>8.587899999999999</v>
      </c>
      <c r="F617" t="n">
        <v>0.09042</v>
      </c>
    </row>
    <row r="618">
      <c r="A618" t="n">
        <v>2000715</v>
      </c>
      <c r="B618" t="n">
        <v>2</v>
      </c>
      <c r="C618" t="n">
        <v>715</v>
      </c>
      <c r="D618" t="n">
        <v>-0.3833</v>
      </c>
      <c r="E618" t="n">
        <v>8.607799999999999</v>
      </c>
      <c r="F618" t="n">
        <v>0.09041</v>
      </c>
    </row>
    <row r="619">
      <c r="A619" t="n">
        <v>2000716</v>
      </c>
      <c r="B619" t="n">
        <v>2</v>
      </c>
      <c r="C619" t="n">
        <v>716</v>
      </c>
      <c r="D619" t="n">
        <v>-0.3833</v>
      </c>
      <c r="E619" t="n">
        <v>8.627700000000001</v>
      </c>
      <c r="F619" t="n">
        <v>0.09039999999999999</v>
      </c>
    </row>
    <row r="620">
      <c r="A620" t="n">
        <v>2000717</v>
      </c>
      <c r="B620" t="n">
        <v>2</v>
      </c>
      <c r="C620" t="n">
        <v>717</v>
      </c>
      <c r="D620" t="n">
        <v>-0.3833</v>
      </c>
      <c r="E620" t="n">
        <v>8.647600000000001</v>
      </c>
      <c r="F620" t="n">
        <v>0.09039</v>
      </c>
    </row>
    <row r="621">
      <c r="A621" t="n">
        <v>2000718</v>
      </c>
      <c r="B621" t="n">
        <v>2</v>
      </c>
      <c r="C621" t="n">
        <v>718</v>
      </c>
      <c r="D621" t="n">
        <v>-0.3833</v>
      </c>
      <c r="E621" t="n">
        <v>8.667400000000001</v>
      </c>
      <c r="F621" t="n">
        <v>0.09037000000000001</v>
      </c>
    </row>
    <row r="622">
      <c r="A622" t="n">
        <v>2000719</v>
      </c>
      <c r="B622" t="n">
        <v>2</v>
      </c>
      <c r="C622" t="n">
        <v>719</v>
      </c>
      <c r="D622" t="n">
        <v>-0.3833</v>
      </c>
      <c r="E622" t="n">
        <v>8.687200000000001</v>
      </c>
      <c r="F622" t="n">
        <v>0.09036</v>
      </c>
    </row>
    <row r="623">
      <c r="A623" t="n">
        <v>2000720</v>
      </c>
      <c r="B623" t="n">
        <v>2</v>
      </c>
      <c r="C623" t="n">
        <v>720</v>
      </c>
      <c r="D623" t="n">
        <v>-0.3833</v>
      </c>
      <c r="E623" t="n">
        <v>8.707000000000001</v>
      </c>
      <c r="F623" t="n">
        <v>0.09035</v>
      </c>
    </row>
    <row r="624">
      <c r="A624" t="n">
        <v>2000721</v>
      </c>
      <c r="B624" t="n">
        <v>2</v>
      </c>
      <c r="C624" t="n">
        <v>721</v>
      </c>
      <c r="D624" t="n">
        <v>-0.3833</v>
      </c>
      <c r="E624" t="n">
        <v>8.726699999999999</v>
      </c>
      <c r="F624" t="n">
        <v>0.09034</v>
      </c>
    </row>
    <row r="625">
      <c r="A625" t="n">
        <v>2000722</v>
      </c>
      <c r="B625" t="n">
        <v>2</v>
      </c>
      <c r="C625" t="n">
        <v>722</v>
      </c>
      <c r="D625" t="n">
        <v>-0.3833</v>
      </c>
      <c r="E625" t="n">
        <v>8.7464</v>
      </c>
      <c r="F625" t="n">
        <v>0.09032</v>
      </c>
    </row>
    <row r="626">
      <c r="A626" t="n">
        <v>2000723</v>
      </c>
      <c r="B626" t="n">
        <v>2</v>
      </c>
      <c r="C626" t="n">
        <v>723</v>
      </c>
      <c r="D626" t="n">
        <v>-0.3833</v>
      </c>
      <c r="E626" t="n">
        <v>8.7661</v>
      </c>
      <c r="F626" t="n">
        <v>0.09031</v>
      </c>
    </row>
    <row r="627">
      <c r="A627" t="n">
        <v>2000724</v>
      </c>
      <c r="B627" t="n">
        <v>2</v>
      </c>
      <c r="C627" t="n">
        <v>724</v>
      </c>
      <c r="D627" t="n">
        <v>-0.3833</v>
      </c>
      <c r="E627" t="n">
        <v>8.7857</v>
      </c>
      <c r="F627" t="n">
        <v>0.09030000000000001</v>
      </c>
    </row>
    <row r="628">
      <c r="A628" t="n">
        <v>2000725</v>
      </c>
      <c r="B628" t="n">
        <v>2</v>
      </c>
      <c r="C628" t="n">
        <v>725</v>
      </c>
      <c r="D628" t="n">
        <v>-0.3833</v>
      </c>
      <c r="E628" t="n">
        <v>8.805300000000001</v>
      </c>
      <c r="F628" t="n">
        <v>0.09028</v>
      </c>
    </row>
    <row r="629">
      <c r="A629" t="n">
        <v>2000726</v>
      </c>
      <c r="B629" t="n">
        <v>2</v>
      </c>
      <c r="C629" t="n">
        <v>726</v>
      </c>
      <c r="D629" t="n">
        <v>-0.3833</v>
      </c>
      <c r="E629" t="n">
        <v>8.8248</v>
      </c>
      <c r="F629" t="n">
        <v>0.09027</v>
      </c>
    </row>
    <row r="630">
      <c r="A630" t="n">
        <v>2000727</v>
      </c>
      <c r="B630" t="n">
        <v>2</v>
      </c>
      <c r="C630" t="n">
        <v>727</v>
      </c>
      <c r="D630" t="n">
        <v>-0.3833</v>
      </c>
      <c r="E630" t="n">
        <v>8.8443</v>
      </c>
      <c r="F630" t="n">
        <v>0.09026000000000001</v>
      </c>
    </row>
    <row r="631">
      <c r="A631" t="n">
        <v>2000728</v>
      </c>
      <c r="B631" t="n">
        <v>2</v>
      </c>
      <c r="C631" t="n">
        <v>728</v>
      </c>
      <c r="D631" t="n">
        <v>-0.3833</v>
      </c>
      <c r="E631" t="n">
        <v>8.863799999999999</v>
      </c>
      <c r="F631" t="n">
        <v>0.09025</v>
      </c>
    </row>
    <row r="632">
      <c r="A632" t="n">
        <v>2000729</v>
      </c>
      <c r="B632" t="n">
        <v>2</v>
      </c>
      <c r="C632" t="n">
        <v>729</v>
      </c>
      <c r="D632" t="n">
        <v>-0.3833</v>
      </c>
      <c r="E632" t="n">
        <v>8.883100000000001</v>
      </c>
      <c r="F632" t="n">
        <v>0.09023</v>
      </c>
    </row>
    <row r="633">
      <c r="A633" t="n">
        <v>2000730</v>
      </c>
      <c r="B633" t="n">
        <v>2</v>
      </c>
      <c r="C633" t="n">
        <v>730</v>
      </c>
      <c r="D633" t="n">
        <v>-0.3833</v>
      </c>
      <c r="E633" t="n">
        <v>8.9025</v>
      </c>
      <c r="F633" t="n">
        <v>0.09021999999999999</v>
      </c>
    </row>
    <row r="634">
      <c r="A634" t="n">
        <v>2000731</v>
      </c>
      <c r="B634" t="n">
        <v>2</v>
      </c>
      <c r="C634" t="n">
        <v>731</v>
      </c>
      <c r="D634" t="n">
        <v>-0.3833</v>
      </c>
      <c r="E634" t="n">
        <v>8.9217</v>
      </c>
      <c r="F634" t="n">
        <v>0.09021</v>
      </c>
    </row>
    <row r="635">
      <c r="A635" t="n">
        <v>2000732</v>
      </c>
      <c r="B635" t="n">
        <v>2</v>
      </c>
      <c r="C635" t="n">
        <v>732</v>
      </c>
      <c r="D635" t="n">
        <v>-0.3833</v>
      </c>
      <c r="E635" t="n">
        <v>8.941000000000001</v>
      </c>
      <c r="F635" t="n">
        <v>0.0902</v>
      </c>
    </row>
    <row r="636">
      <c r="A636" t="n">
        <v>2000733</v>
      </c>
      <c r="B636" t="n">
        <v>2</v>
      </c>
      <c r="C636" t="n">
        <v>733</v>
      </c>
      <c r="D636" t="n">
        <v>-0.3833</v>
      </c>
      <c r="E636" t="n">
        <v>8.960100000000001</v>
      </c>
      <c r="F636" t="n">
        <v>0.09018</v>
      </c>
    </row>
    <row r="637">
      <c r="A637" t="n">
        <v>2000734</v>
      </c>
      <c r="B637" t="n">
        <v>2</v>
      </c>
      <c r="C637" t="n">
        <v>734</v>
      </c>
      <c r="D637" t="n">
        <v>-0.3833</v>
      </c>
      <c r="E637" t="n">
        <v>8.979200000000001</v>
      </c>
      <c r="F637" t="n">
        <v>0.09017</v>
      </c>
    </row>
    <row r="638">
      <c r="A638" t="n">
        <v>2000735</v>
      </c>
      <c r="B638" t="n">
        <v>2</v>
      </c>
      <c r="C638" t="n">
        <v>735</v>
      </c>
      <c r="D638" t="n">
        <v>-0.3833</v>
      </c>
      <c r="E638" t="n">
        <v>8.9983</v>
      </c>
      <c r="F638" t="n">
        <v>0.09016</v>
      </c>
    </row>
    <row r="639">
      <c r="A639" t="n">
        <v>2000736</v>
      </c>
      <c r="B639" t="n">
        <v>2</v>
      </c>
      <c r="C639" t="n">
        <v>736</v>
      </c>
      <c r="D639" t="n">
        <v>-0.3833</v>
      </c>
      <c r="E639" t="n">
        <v>9.017300000000001</v>
      </c>
      <c r="F639" t="n">
        <v>0.09014</v>
      </c>
    </row>
    <row r="640">
      <c r="A640" t="n">
        <v>2000737</v>
      </c>
      <c r="B640" t="n">
        <v>2</v>
      </c>
      <c r="C640" t="n">
        <v>737</v>
      </c>
      <c r="D640" t="n">
        <v>-0.3833</v>
      </c>
      <c r="E640" t="n">
        <v>9.036300000000001</v>
      </c>
      <c r="F640" t="n">
        <v>0.09013</v>
      </c>
    </row>
    <row r="641">
      <c r="A641" t="n">
        <v>2000738</v>
      </c>
      <c r="B641" t="n">
        <v>2</v>
      </c>
      <c r="C641" t="n">
        <v>738</v>
      </c>
      <c r="D641" t="n">
        <v>-0.3833</v>
      </c>
      <c r="E641" t="n">
        <v>9.055199999999999</v>
      </c>
      <c r="F641" t="n">
        <v>0.09012000000000001</v>
      </c>
    </row>
    <row r="642">
      <c r="A642" t="n">
        <v>2000739</v>
      </c>
      <c r="B642" t="n">
        <v>2</v>
      </c>
      <c r="C642" t="n">
        <v>739</v>
      </c>
      <c r="D642" t="n">
        <v>-0.3833</v>
      </c>
      <c r="E642" t="n">
        <v>9.074</v>
      </c>
      <c r="F642" t="n">
        <v>0.09011</v>
      </c>
    </row>
    <row r="643">
      <c r="A643" t="n">
        <v>2000740</v>
      </c>
      <c r="B643" t="n">
        <v>2</v>
      </c>
      <c r="C643" t="n">
        <v>740</v>
      </c>
      <c r="D643" t="n">
        <v>-0.3833</v>
      </c>
      <c r="E643" t="n">
        <v>9.0928</v>
      </c>
      <c r="F643" t="n">
        <v>0.09009</v>
      </c>
    </row>
    <row r="644">
      <c r="A644" t="n">
        <v>2000741</v>
      </c>
      <c r="B644" t="n">
        <v>2</v>
      </c>
      <c r="C644" t="n">
        <v>741</v>
      </c>
      <c r="D644" t="n">
        <v>-0.3833</v>
      </c>
      <c r="E644" t="n">
        <v>9.111599999999999</v>
      </c>
      <c r="F644" t="n">
        <v>0.09007999999999999</v>
      </c>
    </row>
    <row r="645">
      <c r="A645" t="n">
        <v>2000742</v>
      </c>
      <c r="B645" t="n">
        <v>2</v>
      </c>
      <c r="C645" t="n">
        <v>742</v>
      </c>
      <c r="D645" t="n">
        <v>-0.3833</v>
      </c>
      <c r="E645" t="n">
        <v>9.1303</v>
      </c>
      <c r="F645" t="n">
        <v>0.09007</v>
      </c>
    </row>
    <row r="646">
      <c r="A646" t="n">
        <v>2000743</v>
      </c>
      <c r="B646" t="n">
        <v>2</v>
      </c>
      <c r="C646" t="n">
        <v>743</v>
      </c>
      <c r="D646" t="n">
        <v>-0.3833</v>
      </c>
      <c r="E646" t="n">
        <v>9.148999999999999</v>
      </c>
      <c r="F646" t="n">
        <v>0.09005000000000001</v>
      </c>
    </row>
    <row r="647">
      <c r="A647" t="n">
        <v>2000744</v>
      </c>
      <c r="B647" t="n">
        <v>2</v>
      </c>
      <c r="C647" t="n">
        <v>744</v>
      </c>
      <c r="D647" t="n">
        <v>-0.3833</v>
      </c>
      <c r="E647" t="n">
        <v>9.1676</v>
      </c>
      <c r="F647" t="n">
        <v>0.09004</v>
      </c>
    </row>
    <row r="648">
      <c r="A648" t="n">
        <v>2000745</v>
      </c>
      <c r="B648" t="n">
        <v>2</v>
      </c>
      <c r="C648" t="n">
        <v>745</v>
      </c>
      <c r="D648" t="n">
        <v>-0.3833</v>
      </c>
      <c r="E648" t="n">
        <v>9.186199999999999</v>
      </c>
      <c r="F648" t="n">
        <v>0.09003</v>
      </c>
    </row>
    <row r="649">
      <c r="A649" t="n">
        <v>2000746</v>
      </c>
      <c r="B649" t="n">
        <v>2</v>
      </c>
      <c r="C649" t="n">
        <v>746</v>
      </c>
      <c r="D649" t="n">
        <v>-0.3833</v>
      </c>
      <c r="E649" t="n">
        <v>9.204800000000001</v>
      </c>
      <c r="F649" t="n">
        <v>0.09001000000000001</v>
      </c>
    </row>
    <row r="650">
      <c r="A650" t="n">
        <v>2000747</v>
      </c>
      <c r="B650" t="n">
        <v>2</v>
      </c>
      <c r="C650" t="n">
        <v>747</v>
      </c>
      <c r="D650" t="n">
        <v>-0.3833</v>
      </c>
      <c r="E650" t="n">
        <v>9.2233</v>
      </c>
      <c r="F650" t="n">
        <v>0.09</v>
      </c>
    </row>
    <row r="651">
      <c r="A651" t="n">
        <v>2000748</v>
      </c>
      <c r="B651" t="n">
        <v>2</v>
      </c>
      <c r="C651" t="n">
        <v>748</v>
      </c>
      <c r="D651" t="n">
        <v>-0.3833</v>
      </c>
      <c r="E651" t="n">
        <v>9.2418</v>
      </c>
      <c r="F651" t="n">
        <v>0.08999</v>
      </c>
    </row>
    <row r="652">
      <c r="A652" t="n">
        <v>2000749</v>
      </c>
      <c r="B652" t="n">
        <v>2</v>
      </c>
      <c r="C652" t="n">
        <v>749</v>
      </c>
      <c r="D652" t="n">
        <v>-0.3833</v>
      </c>
      <c r="E652" t="n">
        <v>9.260199999999999</v>
      </c>
      <c r="F652" t="n">
        <v>0.08996999999999999</v>
      </c>
    </row>
    <row r="653">
      <c r="A653" t="n">
        <v>2000750</v>
      </c>
      <c r="B653" t="n">
        <v>2</v>
      </c>
      <c r="C653" t="n">
        <v>750</v>
      </c>
      <c r="D653" t="n">
        <v>-0.3833</v>
      </c>
      <c r="E653" t="n">
        <v>9.278600000000001</v>
      </c>
      <c r="F653" t="n">
        <v>0.08996</v>
      </c>
    </row>
    <row r="654">
      <c r="A654" t="n">
        <v>2000751</v>
      </c>
      <c r="B654" t="n">
        <v>2</v>
      </c>
      <c r="C654" t="n">
        <v>751</v>
      </c>
      <c r="D654" t="n">
        <v>-0.3833</v>
      </c>
      <c r="E654" t="n">
        <v>9.297000000000001</v>
      </c>
      <c r="F654" t="n">
        <v>0.08995</v>
      </c>
    </row>
    <row r="655">
      <c r="A655" t="n">
        <v>2000752</v>
      </c>
      <c r="B655" t="n">
        <v>2</v>
      </c>
      <c r="C655" t="n">
        <v>752</v>
      </c>
      <c r="D655" t="n">
        <v>-0.3833</v>
      </c>
      <c r="E655" t="n">
        <v>9.3154</v>
      </c>
      <c r="F655" t="n">
        <v>0.08993</v>
      </c>
    </row>
    <row r="656">
      <c r="A656" t="n">
        <v>2000753</v>
      </c>
      <c r="B656" t="n">
        <v>2</v>
      </c>
      <c r="C656" t="n">
        <v>753</v>
      </c>
      <c r="D656" t="n">
        <v>-0.3833</v>
      </c>
      <c r="E656" t="n">
        <v>9.3337</v>
      </c>
      <c r="F656" t="n">
        <v>0.08992</v>
      </c>
    </row>
    <row r="657">
      <c r="A657" t="n">
        <v>2000754</v>
      </c>
      <c r="B657" t="n">
        <v>2</v>
      </c>
      <c r="C657" t="n">
        <v>754</v>
      </c>
      <c r="D657" t="n">
        <v>-0.3833</v>
      </c>
      <c r="E657" t="n">
        <v>9.352</v>
      </c>
      <c r="F657" t="n">
        <v>0.08991</v>
      </c>
    </row>
    <row r="658">
      <c r="A658" t="n">
        <v>2000755</v>
      </c>
      <c r="B658" t="n">
        <v>2</v>
      </c>
      <c r="C658" t="n">
        <v>755</v>
      </c>
      <c r="D658" t="n">
        <v>-0.3833</v>
      </c>
      <c r="E658" t="n">
        <v>9.3703</v>
      </c>
      <c r="F658" t="n">
        <v>0.08989</v>
      </c>
    </row>
    <row r="659">
      <c r="A659" t="n">
        <v>2000756</v>
      </c>
      <c r="B659" t="n">
        <v>2</v>
      </c>
      <c r="C659" t="n">
        <v>756</v>
      </c>
      <c r="D659" t="n">
        <v>-0.3833</v>
      </c>
      <c r="E659" t="n">
        <v>9.3886</v>
      </c>
      <c r="F659" t="n">
        <v>0.08988</v>
      </c>
    </row>
    <row r="660">
      <c r="A660" t="n">
        <v>2000757</v>
      </c>
      <c r="B660" t="n">
        <v>2</v>
      </c>
      <c r="C660" t="n">
        <v>757</v>
      </c>
      <c r="D660" t="n">
        <v>-0.3833</v>
      </c>
      <c r="E660" t="n">
        <v>9.4069</v>
      </c>
      <c r="F660" t="n">
        <v>0.08987000000000001</v>
      </c>
    </row>
    <row r="661">
      <c r="A661" t="n">
        <v>2000758</v>
      </c>
      <c r="B661" t="n">
        <v>2</v>
      </c>
      <c r="C661" t="n">
        <v>758</v>
      </c>
      <c r="D661" t="n">
        <v>-0.3833</v>
      </c>
      <c r="E661" t="n">
        <v>9.4252</v>
      </c>
      <c r="F661" t="n">
        <v>0.08985</v>
      </c>
    </row>
    <row r="662">
      <c r="A662" t="n">
        <v>2000759</v>
      </c>
      <c r="B662" t="n">
        <v>2</v>
      </c>
      <c r="C662" t="n">
        <v>759</v>
      </c>
      <c r="D662" t="n">
        <v>-0.3833</v>
      </c>
      <c r="E662" t="n">
        <v>9.4435</v>
      </c>
      <c r="F662" t="n">
        <v>0.08984</v>
      </c>
    </row>
    <row r="663">
      <c r="A663" t="n">
        <v>2000760</v>
      </c>
      <c r="B663" t="n">
        <v>2</v>
      </c>
      <c r="C663" t="n">
        <v>760</v>
      </c>
      <c r="D663" t="n">
        <v>-0.3833</v>
      </c>
      <c r="E663" t="n">
        <v>9.4617</v>
      </c>
      <c r="F663" t="n">
        <v>0.08982999999999999</v>
      </c>
    </row>
    <row r="664">
      <c r="A664" t="n">
        <v>2000761</v>
      </c>
      <c r="B664" t="n">
        <v>2</v>
      </c>
      <c r="C664" t="n">
        <v>761</v>
      </c>
      <c r="D664" t="n">
        <v>-0.3833</v>
      </c>
      <c r="E664" t="n">
        <v>9.48</v>
      </c>
      <c r="F664" t="n">
        <v>0.08981</v>
      </c>
    </row>
    <row r="665">
      <c r="A665" t="n">
        <v>2000762</v>
      </c>
      <c r="B665" t="n">
        <v>2</v>
      </c>
      <c r="C665" t="n">
        <v>762</v>
      </c>
      <c r="D665" t="n">
        <v>-0.3833</v>
      </c>
      <c r="E665" t="n">
        <v>9.4983</v>
      </c>
      <c r="F665" t="n">
        <v>0.0898</v>
      </c>
    </row>
    <row r="666">
      <c r="A666" t="n">
        <v>2000763</v>
      </c>
      <c r="B666" t="n">
        <v>2</v>
      </c>
      <c r="C666" t="n">
        <v>763</v>
      </c>
      <c r="D666" t="n">
        <v>-0.3833</v>
      </c>
      <c r="E666" t="n">
        <v>9.5166</v>
      </c>
      <c r="F666" t="n">
        <v>0.08978999999999999</v>
      </c>
    </row>
    <row r="667">
      <c r="A667" t="n">
        <v>2000764</v>
      </c>
      <c r="B667" t="n">
        <v>2</v>
      </c>
      <c r="C667" t="n">
        <v>764</v>
      </c>
      <c r="D667" t="n">
        <v>-0.3833</v>
      </c>
      <c r="E667" t="n">
        <v>9.535</v>
      </c>
      <c r="F667" t="n">
        <v>0.08977</v>
      </c>
    </row>
    <row r="668">
      <c r="A668" t="n">
        <v>2000765</v>
      </c>
      <c r="B668" t="n">
        <v>2</v>
      </c>
      <c r="C668" t="n">
        <v>765</v>
      </c>
      <c r="D668" t="n">
        <v>-0.3833</v>
      </c>
      <c r="E668" t="n">
        <v>9.5533</v>
      </c>
      <c r="F668" t="n">
        <v>0.08976000000000001</v>
      </c>
    </row>
    <row r="669">
      <c r="A669" t="n">
        <v>2000766</v>
      </c>
      <c r="B669" t="n">
        <v>2</v>
      </c>
      <c r="C669" t="n">
        <v>766</v>
      </c>
      <c r="D669" t="n">
        <v>-0.3833</v>
      </c>
      <c r="E669" t="n">
        <v>9.5717</v>
      </c>
      <c r="F669" t="n">
        <v>0.08975</v>
      </c>
    </row>
    <row r="670">
      <c r="A670" t="n">
        <v>2000767</v>
      </c>
      <c r="B670" t="n">
        <v>2</v>
      </c>
      <c r="C670" t="n">
        <v>767</v>
      </c>
      <c r="D670" t="n">
        <v>-0.3833</v>
      </c>
      <c r="E670" t="n">
        <v>9.5901</v>
      </c>
      <c r="F670" t="n">
        <v>0.08973</v>
      </c>
    </row>
    <row r="671">
      <c r="A671" t="n">
        <v>2000768</v>
      </c>
      <c r="B671" t="n">
        <v>2</v>
      </c>
      <c r="C671" t="n">
        <v>768</v>
      </c>
      <c r="D671" t="n">
        <v>-0.3833</v>
      </c>
      <c r="E671" t="n">
        <v>9.608599999999999</v>
      </c>
      <c r="F671" t="n">
        <v>0.08971999999999999</v>
      </c>
    </row>
    <row r="672">
      <c r="A672" t="n">
        <v>2000769</v>
      </c>
      <c r="B672" t="n">
        <v>2</v>
      </c>
      <c r="C672" t="n">
        <v>769</v>
      </c>
      <c r="D672" t="n">
        <v>-0.3833</v>
      </c>
      <c r="E672" t="n">
        <v>9.6271</v>
      </c>
      <c r="F672" t="n">
        <v>0.08971</v>
      </c>
    </row>
    <row r="673">
      <c r="A673" t="n">
        <v>2000770</v>
      </c>
      <c r="B673" t="n">
        <v>2</v>
      </c>
      <c r="C673" t="n">
        <v>770</v>
      </c>
      <c r="D673" t="n">
        <v>-0.3833</v>
      </c>
      <c r="E673" t="n">
        <v>9.6456</v>
      </c>
      <c r="F673" t="n">
        <v>0.08969000000000001</v>
      </c>
    </row>
    <row r="674">
      <c r="A674" t="n">
        <v>2000771</v>
      </c>
      <c r="B674" t="n">
        <v>2</v>
      </c>
      <c r="C674" t="n">
        <v>771</v>
      </c>
      <c r="D674" t="n">
        <v>-0.3833</v>
      </c>
      <c r="E674" t="n">
        <v>9.664199999999999</v>
      </c>
      <c r="F674" t="n">
        <v>0.08968</v>
      </c>
    </row>
    <row r="675">
      <c r="A675" t="n">
        <v>2000772</v>
      </c>
      <c r="B675" t="n">
        <v>2</v>
      </c>
      <c r="C675" t="n">
        <v>772</v>
      </c>
      <c r="D675" t="n">
        <v>-0.3833</v>
      </c>
      <c r="E675" t="n">
        <v>9.6828</v>
      </c>
      <c r="F675" t="n">
        <v>0.08966</v>
      </c>
    </row>
    <row r="676">
      <c r="A676" t="n">
        <v>2000773</v>
      </c>
      <c r="B676" t="n">
        <v>2</v>
      </c>
      <c r="C676" t="n">
        <v>773</v>
      </c>
      <c r="D676" t="n">
        <v>-0.3833</v>
      </c>
      <c r="E676" t="n">
        <v>9.701499999999999</v>
      </c>
      <c r="F676" t="n">
        <v>0.08964999999999999</v>
      </c>
    </row>
    <row r="677">
      <c r="A677" t="n">
        <v>2000774</v>
      </c>
      <c r="B677" t="n">
        <v>2</v>
      </c>
      <c r="C677" t="n">
        <v>774</v>
      </c>
      <c r="D677" t="n">
        <v>-0.3833</v>
      </c>
      <c r="E677" t="n">
        <v>9.7202</v>
      </c>
      <c r="F677" t="n">
        <v>0.08964</v>
      </c>
    </row>
    <row r="678">
      <c r="A678" t="n">
        <v>2000775</v>
      </c>
      <c r="B678" t="n">
        <v>2</v>
      </c>
      <c r="C678" t="n">
        <v>775</v>
      </c>
      <c r="D678" t="n">
        <v>-0.3833</v>
      </c>
      <c r="E678" t="n">
        <v>9.739000000000001</v>
      </c>
      <c r="F678" t="n">
        <v>0.08963</v>
      </c>
    </row>
    <row r="679">
      <c r="A679" t="n">
        <v>2000776</v>
      </c>
      <c r="B679" t="n">
        <v>2</v>
      </c>
      <c r="C679" t="n">
        <v>776</v>
      </c>
      <c r="D679" t="n">
        <v>-0.3833</v>
      </c>
      <c r="E679" t="n">
        <v>9.7578</v>
      </c>
      <c r="F679" t="n">
        <v>0.08961</v>
      </c>
    </row>
    <row r="680">
      <c r="A680" t="n">
        <v>2000777</v>
      </c>
      <c r="B680" t="n">
        <v>2</v>
      </c>
      <c r="C680" t="n">
        <v>777</v>
      </c>
      <c r="D680" t="n">
        <v>-0.3833</v>
      </c>
      <c r="E680" t="n">
        <v>9.7767</v>
      </c>
      <c r="F680" t="n">
        <v>0.0896</v>
      </c>
    </row>
    <row r="681">
      <c r="A681" t="n">
        <v>2000778</v>
      </c>
      <c r="B681" t="n">
        <v>2</v>
      </c>
      <c r="C681" t="n">
        <v>778</v>
      </c>
      <c r="D681" t="n">
        <v>-0.3833</v>
      </c>
      <c r="E681" t="n">
        <v>9.7957</v>
      </c>
      <c r="F681" t="n">
        <v>0.08959</v>
      </c>
    </row>
    <row r="682">
      <c r="A682" t="n">
        <v>2000779</v>
      </c>
      <c r="B682" t="n">
        <v>2</v>
      </c>
      <c r="C682" t="n">
        <v>779</v>
      </c>
      <c r="D682" t="n">
        <v>-0.3833</v>
      </c>
      <c r="E682" t="n">
        <v>9.8147</v>
      </c>
      <c r="F682" t="n">
        <v>0.08957</v>
      </c>
    </row>
    <row r="683">
      <c r="A683" t="n">
        <v>2000780</v>
      </c>
      <c r="B683" t="n">
        <v>2</v>
      </c>
      <c r="C683" t="n">
        <v>780</v>
      </c>
      <c r="D683" t="n">
        <v>-0.3833</v>
      </c>
      <c r="E683" t="n">
        <v>9.8338</v>
      </c>
      <c r="F683" t="n">
        <v>0.08956</v>
      </c>
    </row>
    <row r="684">
      <c r="A684" t="n">
        <v>2000781</v>
      </c>
      <c r="B684" t="n">
        <v>2</v>
      </c>
      <c r="C684" t="n">
        <v>781</v>
      </c>
      <c r="D684" t="n">
        <v>-0.3833</v>
      </c>
      <c r="E684" t="n">
        <v>9.853</v>
      </c>
      <c r="F684" t="n">
        <v>0.08955</v>
      </c>
    </row>
    <row r="685">
      <c r="A685" t="n">
        <v>2000782</v>
      </c>
      <c r="B685" t="n">
        <v>2</v>
      </c>
      <c r="C685" t="n">
        <v>782</v>
      </c>
      <c r="D685" t="n">
        <v>-0.3833</v>
      </c>
      <c r="E685" t="n">
        <v>9.872199999999999</v>
      </c>
      <c r="F685" t="n">
        <v>0.08953</v>
      </c>
    </row>
    <row r="686">
      <c r="A686" t="n">
        <v>2000783</v>
      </c>
      <c r="B686" t="n">
        <v>2</v>
      </c>
      <c r="C686" t="n">
        <v>783</v>
      </c>
      <c r="D686" t="n">
        <v>-0.3833</v>
      </c>
      <c r="E686" t="n">
        <v>9.891500000000001</v>
      </c>
      <c r="F686" t="n">
        <v>0.08952</v>
      </c>
    </row>
    <row r="687">
      <c r="A687" t="n">
        <v>2000784</v>
      </c>
      <c r="B687" t="n">
        <v>2</v>
      </c>
      <c r="C687" t="n">
        <v>784</v>
      </c>
      <c r="D687" t="n">
        <v>-0.3833</v>
      </c>
      <c r="E687" t="n">
        <v>9.9109</v>
      </c>
      <c r="F687" t="n">
        <v>0.08951000000000001</v>
      </c>
    </row>
    <row r="688">
      <c r="A688" t="n">
        <v>2000785</v>
      </c>
      <c r="B688" t="n">
        <v>2</v>
      </c>
      <c r="C688" t="n">
        <v>785</v>
      </c>
      <c r="D688" t="n">
        <v>-0.3833</v>
      </c>
      <c r="E688" t="n">
        <v>9.930300000000001</v>
      </c>
      <c r="F688" t="n">
        <v>0.0895</v>
      </c>
    </row>
    <row r="689">
      <c r="A689" t="n">
        <v>2000786</v>
      </c>
      <c r="B689" t="n">
        <v>2</v>
      </c>
      <c r="C689" t="n">
        <v>786</v>
      </c>
      <c r="D689" t="n">
        <v>-0.3833</v>
      </c>
      <c r="E689" t="n">
        <v>9.9499</v>
      </c>
      <c r="F689" t="n">
        <v>0.08948</v>
      </c>
    </row>
    <row r="690">
      <c r="A690" t="n">
        <v>2000787</v>
      </c>
      <c r="B690" t="n">
        <v>2</v>
      </c>
      <c r="C690" t="n">
        <v>787</v>
      </c>
      <c r="D690" t="n">
        <v>-0.3833</v>
      </c>
      <c r="E690" t="n">
        <v>9.9695</v>
      </c>
      <c r="F690" t="n">
        <v>0.08946999999999999</v>
      </c>
    </row>
    <row r="691">
      <c r="A691" t="n">
        <v>2000788</v>
      </c>
      <c r="B691" t="n">
        <v>2</v>
      </c>
      <c r="C691" t="n">
        <v>788</v>
      </c>
      <c r="D691" t="n">
        <v>-0.3833</v>
      </c>
      <c r="E691" t="n">
        <v>9.9892</v>
      </c>
      <c r="F691" t="n">
        <v>0.08946</v>
      </c>
    </row>
    <row r="692">
      <c r="A692" t="n">
        <v>2000789</v>
      </c>
      <c r="B692" t="n">
        <v>2</v>
      </c>
      <c r="C692" t="n">
        <v>789</v>
      </c>
      <c r="D692" t="n">
        <v>-0.3833</v>
      </c>
      <c r="E692" t="n">
        <v>10.009</v>
      </c>
      <c r="F692" t="n">
        <v>0.08945</v>
      </c>
    </row>
    <row r="693">
      <c r="A693" t="n">
        <v>2000790</v>
      </c>
      <c r="B693" t="n">
        <v>2</v>
      </c>
      <c r="C693" t="n">
        <v>790</v>
      </c>
      <c r="D693" t="n">
        <v>-0.3833</v>
      </c>
      <c r="E693" t="n">
        <v>10.0289</v>
      </c>
      <c r="F693" t="n">
        <v>0.08943</v>
      </c>
    </row>
    <row r="694">
      <c r="A694" t="n">
        <v>2000791</v>
      </c>
      <c r="B694" t="n">
        <v>2</v>
      </c>
      <c r="C694" t="n">
        <v>791</v>
      </c>
      <c r="D694" t="n">
        <v>-0.3833</v>
      </c>
      <c r="E694" t="n">
        <v>10.0489</v>
      </c>
      <c r="F694" t="n">
        <v>0.08942</v>
      </c>
    </row>
    <row r="695">
      <c r="A695" t="n">
        <v>2000792</v>
      </c>
      <c r="B695" t="n">
        <v>2</v>
      </c>
      <c r="C695" t="n">
        <v>792</v>
      </c>
      <c r="D695" t="n">
        <v>-0.3833</v>
      </c>
      <c r="E695" t="n">
        <v>10.069</v>
      </c>
      <c r="F695" t="n">
        <v>0.08941</v>
      </c>
    </row>
    <row r="696">
      <c r="A696" t="n">
        <v>2000793</v>
      </c>
      <c r="B696" t="n">
        <v>2</v>
      </c>
      <c r="C696" t="n">
        <v>793</v>
      </c>
      <c r="D696" t="n">
        <v>-0.3833</v>
      </c>
      <c r="E696" t="n">
        <v>10.0891</v>
      </c>
      <c r="F696" t="n">
        <v>0.08939999999999999</v>
      </c>
    </row>
    <row r="697">
      <c r="A697" t="n">
        <v>2000794</v>
      </c>
      <c r="B697" t="n">
        <v>2</v>
      </c>
      <c r="C697" t="n">
        <v>794</v>
      </c>
      <c r="D697" t="n">
        <v>-0.3833</v>
      </c>
      <c r="E697" t="n">
        <v>10.1094</v>
      </c>
      <c r="F697" t="n">
        <v>0.08939</v>
      </c>
    </row>
    <row r="698">
      <c r="A698" t="n">
        <v>2000795</v>
      </c>
      <c r="B698" t="n">
        <v>2</v>
      </c>
      <c r="C698" t="n">
        <v>795</v>
      </c>
      <c r="D698" t="n">
        <v>-0.3833</v>
      </c>
      <c r="E698" t="n">
        <v>10.1298</v>
      </c>
      <c r="F698" t="n">
        <v>0.08937</v>
      </c>
    </row>
    <row r="699">
      <c r="A699" t="n">
        <v>2000796</v>
      </c>
      <c r="B699" t="n">
        <v>2</v>
      </c>
      <c r="C699" t="n">
        <v>796</v>
      </c>
      <c r="D699" t="n">
        <v>-0.3833</v>
      </c>
      <c r="E699" t="n">
        <v>10.1503</v>
      </c>
      <c r="F699" t="n">
        <v>0.08935999999999999</v>
      </c>
    </row>
    <row r="700">
      <c r="A700" t="n">
        <v>2000797</v>
      </c>
      <c r="B700" t="n">
        <v>2</v>
      </c>
      <c r="C700" t="n">
        <v>797</v>
      </c>
      <c r="D700" t="n">
        <v>-0.3833</v>
      </c>
      <c r="E700" t="n">
        <v>10.1709</v>
      </c>
      <c r="F700" t="n">
        <v>0.08935</v>
      </c>
    </row>
    <row r="701">
      <c r="A701" t="n">
        <v>2000798</v>
      </c>
      <c r="B701" t="n">
        <v>2</v>
      </c>
      <c r="C701" t="n">
        <v>798</v>
      </c>
      <c r="D701" t="n">
        <v>-0.3833</v>
      </c>
      <c r="E701" t="n">
        <v>10.1916</v>
      </c>
      <c r="F701" t="n">
        <v>0.08934</v>
      </c>
    </row>
    <row r="702">
      <c r="A702" t="n">
        <v>2000799</v>
      </c>
      <c r="B702" t="n">
        <v>2</v>
      </c>
      <c r="C702" t="n">
        <v>799</v>
      </c>
      <c r="D702" t="n">
        <v>-0.3833</v>
      </c>
      <c r="E702" t="n">
        <v>10.2123</v>
      </c>
      <c r="F702" t="n">
        <v>0.08933000000000001</v>
      </c>
    </row>
    <row r="703">
      <c r="A703" t="n">
        <v>2000800</v>
      </c>
      <c r="B703" t="n">
        <v>2</v>
      </c>
      <c r="C703" t="n">
        <v>800</v>
      </c>
      <c r="D703" t="n">
        <v>-0.3833</v>
      </c>
      <c r="E703" t="n">
        <v>10.2332</v>
      </c>
      <c r="F703" t="n">
        <v>0.08932</v>
      </c>
    </row>
    <row r="704">
      <c r="A704" t="n">
        <v>2000801</v>
      </c>
      <c r="B704" t="n">
        <v>2</v>
      </c>
      <c r="C704" t="n">
        <v>801</v>
      </c>
      <c r="D704" t="n">
        <v>-0.3833</v>
      </c>
      <c r="E704" t="n">
        <v>10.2542</v>
      </c>
      <c r="F704" t="n">
        <v>0.0893</v>
      </c>
    </row>
    <row r="705">
      <c r="A705" t="n">
        <v>2000802</v>
      </c>
      <c r="B705" t="n">
        <v>2</v>
      </c>
      <c r="C705" t="n">
        <v>802</v>
      </c>
      <c r="D705" t="n">
        <v>-0.3833</v>
      </c>
      <c r="E705" t="n">
        <v>10.2753</v>
      </c>
      <c r="F705" t="n">
        <v>0.08928999999999999</v>
      </c>
    </row>
    <row r="706">
      <c r="A706" t="n">
        <v>2000803</v>
      </c>
      <c r="B706" t="n">
        <v>2</v>
      </c>
      <c r="C706" t="n">
        <v>803</v>
      </c>
      <c r="D706" t="n">
        <v>-0.3833</v>
      </c>
      <c r="E706" t="n">
        <v>10.2965</v>
      </c>
      <c r="F706" t="n">
        <v>0.08928</v>
      </c>
    </row>
    <row r="707">
      <c r="A707" t="n">
        <v>2000804</v>
      </c>
      <c r="B707" t="n">
        <v>2</v>
      </c>
      <c r="C707" t="n">
        <v>804</v>
      </c>
      <c r="D707" t="n">
        <v>-0.3833</v>
      </c>
      <c r="E707" t="n">
        <v>10.3178</v>
      </c>
      <c r="F707" t="n">
        <v>0.08927</v>
      </c>
    </row>
    <row r="708">
      <c r="A708" t="n">
        <v>2000805</v>
      </c>
      <c r="B708" t="n">
        <v>2</v>
      </c>
      <c r="C708" t="n">
        <v>805</v>
      </c>
      <c r="D708" t="n">
        <v>-0.3833</v>
      </c>
      <c r="E708" t="n">
        <v>10.3393</v>
      </c>
      <c r="F708" t="n">
        <v>0.08926000000000001</v>
      </c>
    </row>
    <row r="709">
      <c r="A709" t="n">
        <v>2000806</v>
      </c>
      <c r="B709" t="n">
        <v>2</v>
      </c>
      <c r="C709" t="n">
        <v>806</v>
      </c>
      <c r="D709" t="n">
        <v>-0.3833</v>
      </c>
      <c r="E709" t="n">
        <v>10.3608</v>
      </c>
      <c r="F709" t="n">
        <v>0.08925</v>
      </c>
    </row>
    <row r="710">
      <c r="A710" t="n">
        <v>2000807</v>
      </c>
      <c r="B710" t="n">
        <v>2</v>
      </c>
      <c r="C710" t="n">
        <v>807</v>
      </c>
      <c r="D710" t="n">
        <v>-0.3833</v>
      </c>
      <c r="E710" t="n">
        <v>10.3824</v>
      </c>
      <c r="F710" t="n">
        <v>0.08924</v>
      </c>
    </row>
    <row r="711">
      <c r="A711" t="n">
        <v>2000808</v>
      </c>
      <c r="B711" t="n">
        <v>2</v>
      </c>
      <c r="C711" t="n">
        <v>808</v>
      </c>
      <c r="D711" t="n">
        <v>-0.3833</v>
      </c>
      <c r="E711" t="n">
        <v>10.4041</v>
      </c>
      <c r="F711" t="n">
        <v>0.08923</v>
      </c>
    </row>
    <row r="712">
      <c r="A712" t="n">
        <v>2000809</v>
      </c>
      <c r="B712" t="n">
        <v>2</v>
      </c>
      <c r="C712" t="n">
        <v>809</v>
      </c>
      <c r="D712" t="n">
        <v>-0.3833</v>
      </c>
      <c r="E712" t="n">
        <v>10.4258</v>
      </c>
      <c r="F712" t="n">
        <v>0.08921999999999999</v>
      </c>
    </row>
    <row r="713">
      <c r="A713" t="n">
        <v>2000810</v>
      </c>
      <c r="B713" t="n">
        <v>2</v>
      </c>
      <c r="C713" t="n">
        <v>810</v>
      </c>
      <c r="D713" t="n">
        <v>-0.3833</v>
      </c>
      <c r="E713" t="n">
        <v>10.4477</v>
      </c>
      <c r="F713" t="n">
        <v>0.08921</v>
      </c>
    </row>
    <row r="714">
      <c r="A714" t="n">
        <v>2000811</v>
      </c>
      <c r="B714" t="n">
        <v>2</v>
      </c>
      <c r="C714" t="n">
        <v>811</v>
      </c>
      <c r="D714" t="n">
        <v>-0.3833</v>
      </c>
      <c r="E714" t="n">
        <v>10.4697</v>
      </c>
      <c r="F714" t="n">
        <v>0.0892</v>
      </c>
    </row>
    <row r="715">
      <c r="A715" t="n">
        <v>2000812</v>
      </c>
      <c r="B715" t="n">
        <v>2</v>
      </c>
      <c r="C715" t="n">
        <v>812</v>
      </c>
      <c r="D715" t="n">
        <v>-0.3833</v>
      </c>
      <c r="E715" t="n">
        <v>10.4918</v>
      </c>
      <c r="F715" t="n">
        <v>0.08919000000000001</v>
      </c>
    </row>
    <row r="716">
      <c r="A716" t="n">
        <v>2000813</v>
      </c>
      <c r="B716" t="n">
        <v>2</v>
      </c>
      <c r="C716" t="n">
        <v>813</v>
      </c>
      <c r="D716" t="n">
        <v>-0.3833</v>
      </c>
      <c r="E716" t="n">
        <v>10.514</v>
      </c>
      <c r="F716" t="n">
        <v>0.08918</v>
      </c>
    </row>
    <row r="717">
      <c r="A717" t="n">
        <v>2000814</v>
      </c>
      <c r="B717" t="n">
        <v>2</v>
      </c>
      <c r="C717" t="n">
        <v>814</v>
      </c>
      <c r="D717" t="n">
        <v>-0.3833</v>
      </c>
      <c r="E717" t="n">
        <v>10.5363</v>
      </c>
      <c r="F717" t="n">
        <v>0.08917</v>
      </c>
    </row>
    <row r="718">
      <c r="A718" t="n">
        <v>2000815</v>
      </c>
      <c r="B718" t="n">
        <v>2</v>
      </c>
      <c r="C718" t="n">
        <v>815</v>
      </c>
      <c r="D718" t="n">
        <v>-0.3833</v>
      </c>
      <c r="E718" t="n">
        <v>10.5586</v>
      </c>
      <c r="F718" t="n">
        <v>0.08916</v>
      </c>
    </row>
    <row r="719">
      <c r="A719" t="n">
        <v>2000816</v>
      </c>
      <c r="B719" t="n">
        <v>2</v>
      </c>
      <c r="C719" t="n">
        <v>816</v>
      </c>
      <c r="D719" t="n">
        <v>-0.3833</v>
      </c>
      <c r="E719" t="n">
        <v>10.5811</v>
      </c>
      <c r="F719" t="n">
        <v>0.08914999999999999</v>
      </c>
    </row>
    <row r="720">
      <c r="A720" t="n">
        <v>2000817</v>
      </c>
      <c r="B720" t="n">
        <v>2</v>
      </c>
      <c r="C720" t="n">
        <v>817</v>
      </c>
      <c r="D720" t="n">
        <v>-0.3833</v>
      </c>
      <c r="E720" t="n">
        <v>10.6037</v>
      </c>
      <c r="F720" t="n">
        <v>0.08914999999999999</v>
      </c>
    </row>
    <row r="721">
      <c r="A721" t="n">
        <v>2000818</v>
      </c>
      <c r="B721" t="n">
        <v>2</v>
      </c>
      <c r="C721" t="n">
        <v>818</v>
      </c>
      <c r="D721" t="n">
        <v>-0.3833</v>
      </c>
      <c r="E721" t="n">
        <v>10.6263</v>
      </c>
      <c r="F721" t="n">
        <v>0.08914</v>
      </c>
    </row>
    <row r="722">
      <c r="A722" t="n">
        <v>2000819</v>
      </c>
      <c r="B722" t="n">
        <v>2</v>
      </c>
      <c r="C722" t="n">
        <v>819</v>
      </c>
      <c r="D722" t="n">
        <v>-0.3833</v>
      </c>
      <c r="E722" t="n">
        <v>10.6491</v>
      </c>
      <c r="F722" t="n">
        <v>0.08913</v>
      </c>
    </row>
    <row r="723">
      <c r="A723" t="n">
        <v>2000820</v>
      </c>
      <c r="B723" t="n">
        <v>2</v>
      </c>
      <c r="C723" t="n">
        <v>820</v>
      </c>
      <c r="D723" t="n">
        <v>-0.3833</v>
      </c>
      <c r="E723" t="n">
        <v>10.6719</v>
      </c>
      <c r="F723" t="n">
        <v>0.08912</v>
      </c>
    </row>
    <row r="724">
      <c r="A724" t="n">
        <v>2000821</v>
      </c>
      <c r="B724" t="n">
        <v>2</v>
      </c>
      <c r="C724" t="n">
        <v>821</v>
      </c>
      <c r="D724" t="n">
        <v>-0.3833</v>
      </c>
      <c r="E724" t="n">
        <v>10.6948</v>
      </c>
      <c r="F724" t="n">
        <v>0.08910999999999999</v>
      </c>
    </row>
    <row r="725">
      <c r="A725" t="n">
        <v>2000822</v>
      </c>
      <c r="B725" t="n">
        <v>2</v>
      </c>
      <c r="C725" t="n">
        <v>822</v>
      </c>
      <c r="D725" t="n">
        <v>-0.3833</v>
      </c>
      <c r="E725" t="n">
        <v>10.7178</v>
      </c>
      <c r="F725" t="n">
        <v>0.0891</v>
      </c>
    </row>
    <row r="726">
      <c r="A726" t="n">
        <v>2000823</v>
      </c>
      <c r="B726" t="n">
        <v>2</v>
      </c>
      <c r="C726" t="n">
        <v>823</v>
      </c>
      <c r="D726" t="n">
        <v>-0.3833</v>
      </c>
      <c r="E726" t="n">
        <v>10.741</v>
      </c>
      <c r="F726" t="n">
        <v>0.0891</v>
      </c>
    </row>
    <row r="727">
      <c r="A727" t="n">
        <v>2000824</v>
      </c>
      <c r="B727" t="n">
        <v>2</v>
      </c>
      <c r="C727" t="n">
        <v>824</v>
      </c>
      <c r="D727" t="n">
        <v>-0.3833</v>
      </c>
      <c r="E727" t="n">
        <v>10.7641</v>
      </c>
      <c r="F727" t="n">
        <v>0.08909</v>
      </c>
    </row>
    <row r="728">
      <c r="A728" t="n">
        <v>2000825</v>
      </c>
      <c r="B728" t="n">
        <v>2</v>
      </c>
      <c r="C728" t="n">
        <v>825</v>
      </c>
      <c r="D728" t="n">
        <v>-0.3833</v>
      </c>
      <c r="E728" t="n">
        <v>10.7874</v>
      </c>
      <c r="F728" t="n">
        <v>0.08908000000000001</v>
      </c>
    </row>
    <row r="729">
      <c r="A729" t="n">
        <v>2000826</v>
      </c>
      <c r="B729" t="n">
        <v>2</v>
      </c>
      <c r="C729" t="n">
        <v>826</v>
      </c>
      <c r="D729" t="n">
        <v>-0.3833</v>
      </c>
      <c r="E729" t="n">
        <v>10.8108</v>
      </c>
      <c r="F729" t="n">
        <v>0.08907</v>
      </c>
    </row>
    <row r="730">
      <c r="A730" t="n">
        <v>2000827</v>
      </c>
      <c r="B730" t="n">
        <v>2</v>
      </c>
      <c r="C730" t="n">
        <v>827</v>
      </c>
      <c r="D730" t="n">
        <v>-0.3833</v>
      </c>
      <c r="E730" t="n">
        <v>10.8343</v>
      </c>
      <c r="F730" t="n">
        <v>0.08907</v>
      </c>
    </row>
    <row r="731">
      <c r="A731" t="n">
        <v>2000828</v>
      </c>
      <c r="B731" t="n">
        <v>2</v>
      </c>
      <c r="C731" t="n">
        <v>828</v>
      </c>
      <c r="D731" t="n">
        <v>-0.3833</v>
      </c>
      <c r="E731" t="n">
        <v>10.8578</v>
      </c>
      <c r="F731" t="n">
        <v>0.08906</v>
      </c>
    </row>
    <row r="732">
      <c r="A732" t="n">
        <v>2000829</v>
      </c>
      <c r="B732" t="n">
        <v>2</v>
      </c>
      <c r="C732" t="n">
        <v>829</v>
      </c>
      <c r="D732" t="n">
        <v>-0.3833</v>
      </c>
      <c r="E732" t="n">
        <v>10.8814</v>
      </c>
      <c r="F732" t="n">
        <v>0.08905</v>
      </c>
    </row>
    <row r="733">
      <c r="A733" t="n">
        <v>2000830</v>
      </c>
      <c r="B733" t="n">
        <v>2</v>
      </c>
      <c r="C733" t="n">
        <v>830</v>
      </c>
      <c r="D733" t="n">
        <v>-0.3833</v>
      </c>
      <c r="E733" t="n">
        <v>10.9051</v>
      </c>
      <c r="F733" t="n">
        <v>0.08905</v>
      </c>
    </row>
    <row r="734">
      <c r="A734" t="n">
        <v>2000831</v>
      </c>
      <c r="B734" t="n">
        <v>2</v>
      </c>
      <c r="C734" t="n">
        <v>831</v>
      </c>
      <c r="D734" t="n">
        <v>-0.3833</v>
      </c>
      <c r="E734" t="n">
        <v>10.9289</v>
      </c>
      <c r="F734" t="n">
        <v>0.08903999999999999</v>
      </c>
    </row>
    <row r="735">
      <c r="A735" t="n">
        <v>2000832</v>
      </c>
      <c r="B735" t="n">
        <v>2</v>
      </c>
      <c r="C735" t="n">
        <v>832</v>
      </c>
      <c r="D735" t="n">
        <v>-0.3833</v>
      </c>
      <c r="E735" t="n">
        <v>10.9527</v>
      </c>
      <c r="F735" t="n">
        <v>0.08903</v>
      </c>
    </row>
    <row r="736">
      <c r="A736" t="n">
        <v>2000833</v>
      </c>
      <c r="B736" t="n">
        <v>2</v>
      </c>
      <c r="C736" t="n">
        <v>833</v>
      </c>
      <c r="D736" t="n">
        <v>-0.3833</v>
      </c>
      <c r="E736" t="n">
        <v>10.9767</v>
      </c>
      <c r="F736" t="n">
        <v>0.08903</v>
      </c>
    </row>
    <row r="737">
      <c r="A737" t="n">
        <v>2000834</v>
      </c>
      <c r="B737" t="n">
        <v>2</v>
      </c>
      <c r="C737" t="n">
        <v>834</v>
      </c>
      <c r="D737" t="n">
        <v>-0.3833</v>
      </c>
      <c r="E737" t="n">
        <v>11.0007</v>
      </c>
      <c r="F737" t="n">
        <v>0.08902</v>
      </c>
    </row>
    <row r="738">
      <c r="A738" t="n">
        <v>2000835</v>
      </c>
      <c r="B738" t="n">
        <v>2</v>
      </c>
      <c r="C738" t="n">
        <v>835</v>
      </c>
      <c r="D738" t="n">
        <v>-0.3833</v>
      </c>
      <c r="E738" t="n">
        <v>11.0248</v>
      </c>
      <c r="F738" t="n">
        <v>0.08902</v>
      </c>
    </row>
    <row r="739">
      <c r="A739" t="n">
        <v>2000836</v>
      </c>
      <c r="B739" t="n">
        <v>2</v>
      </c>
      <c r="C739" t="n">
        <v>836</v>
      </c>
      <c r="D739" t="n">
        <v>-0.3833</v>
      </c>
      <c r="E739" t="n">
        <v>11.0489</v>
      </c>
      <c r="F739" t="n">
        <v>0.08901000000000001</v>
      </c>
    </row>
    <row r="740">
      <c r="A740" t="n">
        <v>2000837</v>
      </c>
      <c r="B740" t="n">
        <v>2</v>
      </c>
      <c r="C740" t="n">
        <v>837</v>
      </c>
      <c r="D740" t="n">
        <v>-0.3833</v>
      </c>
      <c r="E740" t="n">
        <v>11.0731</v>
      </c>
      <c r="F740" t="n">
        <v>0.08901000000000001</v>
      </c>
    </row>
    <row r="741">
      <c r="A741" t="n">
        <v>2000838</v>
      </c>
      <c r="B741" t="n">
        <v>2</v>
      </c>
      <c r="C741" t="n">
        <v>838</v>
      </c>
      <c r="D741" t="n">
        <v>-0.3833</v>
      </c>
      <c r="E741" t="n">
        <v>11.0974</v>
      </c>
      <c r="F741" t="n">
        <v>0.089</v>
      </c>
    </row>
    <row r="742">
      <c r="A742" t="n">
        <v>2000839</v>
      </c>
      <c r="B742" t="n">
        <v>2</v>
      </c>
      <c r="C742" t="n">
        <v>839</v>
      </c>
      <c r="D742" t="n">
        <v>-0.3833</v>
      </c>
      <c r="E742" t="n">
        <v>11.1218</v>
      </c>
      <c r="F742" t="n">
        <v>0.089</v>
      </c>
    </row>
    <row r="743">
      <c r="A743" t="n">
        <v>2000840</v>
      </c>
      <c r="B743" t="n">
        <v>2</v>
      </c>
      <c r="C743" t="n">
        <v>840</v>
      </c>
      <c r="D743" t="n">
        <v>-0.3833</v>
      </c>
      <c r="E743" t="n">
        <v>11.1462</v>
      </c>
      <c r="F743" t="n">
        <v>0.08899</v>
      </c>
    </row>
    <row r="744">
      <c r="A744" t="n">
        <v>2000841</v>
      </c>
      <c r="B744" t="n">
        <v>2</v>
      </c>
      <c r="C744" t="n">
        <v>841</v>
      </c>
      <c r="D744" t="n">
        <v>-0.3833</v>
      </c>
      <c r="E744" t="n">
        <v>11.1707</v>
      </c>
      <c r="F744" t="n">
        <v>0.08899</v>
      </c>
    </row>
    <row r="745">
      <c r="A745" t="n">
        <v>2000842</v>
      </c>
      <c r="B745" t="n">
        <v>2</v>
      </c>
      <c r="C745" t="n">
        <v>842</v>
      </c>
      <c r="D745" t="n">
        <v>-0.3833</v>
      </c>
      <c r="E745" t="n">
        <v>11.1952</v>
      </c>
      <c r="F745" t="n">
        <v>0.08899</v>
      </c>
    </row>
    <row r="746">
      <c r="A746" t="n">
        <v>2000843</v>
      </c>
      <c r="B746" t="n">
        <v>2</v>
      </c>
      <c r="C746" t="n">
        <v>843</v>
      </c>
      <c r="D746" t="n">
        <v>-0.3833</v>
      </c>
      <c r="E746" t="n">
        <v>11.2198</v>
      </c>
      <c r="F746" t="n">
        <v>0.08898</v>
      </c>
    </row>
    <row r="747">
      <c r="A747" t="n">
        <v>2000844</v>
      </c>
      <c r="B747" t="n">
        <v>2</v>
      </c>
      <c r="C747" t="n">
        <v>844</v>
      </c>
      <c r="D747" t="n">
        <v>-0.3833</v>
      </c>
      <c r="E747" t="n">
        <v>11.2444</v>
      </c>
      <c r="F747" t="n">
        <v>0.08898</v>
      </c>
    </row>
    <row r="748">
      <c r="A748" t="n">
        <v>2000845</v>
      </c>
      <c r="B748" t="n">
        <v>2</v>
      </c>
      <c r="C748" t="n">
        <v>845</v>
      </c>
      <c r="D748" t="n">
        <v>-0.3833</v>
      </c>
      <c r="E748" t="n">
        <v>11.2691</v>
      </c>
      <c r="F748" t="n">
        <v>0.08896999999999999</v>
      </c>
    </row>
    <row r="749">
      <c r="A749" t="n">
        <v>2000846</v>
      </c>
      <c r="B749" t="n">
        <v>2</v>
      </c>
      <c r="C749" t="n">
        <v>846</v>
      </c>
      <c r="D749" t="n">
        <v>-0.3833</v>
      </c>
      <c r="E749" t="n">
        <v>11.2939</v>
      </c>
      <c r="F749" t="n">
        <v>0.08896999999999999</v>
      </c>
    </row>
    <row r="750">
      <c r="A750" t="n">
        <v>2000847</v>
      </c>
      <c r="B750" t="n">
        <v>2</v>
      </c>
      <c r="C750" t="n">
        <v>847</v>
      </c>
      <c r="D750" t="n">
        <v>-0.3833</v>
      </c>
      <c r="E750" t="n">
        <v>11.3187</v>
      </c>
      <c r="F750" t="n">
        <v>0.08896999999999999</v>
      </c>
    </row>
    <row r="751">
      <c r="A751" t="n">
        <v>2000848</v>
      </c>
      <c r="B751" t="n">
        <v>2</v>
      </c>
      <c r="C751" t="n">
        <v>848</v>
      </c>
      <c r="D751" t="n">
        <v>-0.3833</v>
      </c>
      <c r="E751" t="n">
        <v>11.3435</v>
      </c>
      <c r="F751" t="n">
        <v>0.08896999999999999</v>
      </c>
    </row>
    <row r="752">
      <c r="A752" t="n">
        <v>2000849</v>
      </c>
      <c r="B752" t="n">
        <v>2</v>
      </c>
      <c r="C752" t="n">
        <v>849</v>
      </c>
      <c r="D752" t="n">
        <v>-0.3833</v>
      </c>
      <c r="E752" t="n">
        <v>11.3684</v>
      </c>
      <c r="F752" t="n">
        <v>0.08896</v>
      </c>
    </row>
    <row r="753">
      <c r="A753" t="n">
        <v>2000850</v>
      </c>
      <c r="B753" t="n">
        <v>2</v>
      </c>
      <c r="C753" t="n">
        <v>850</v>
      </c>
      <c r="D753" t="n">
        <v>-0.3833</v>
      </c>
      <c r="E753" t="n">
        <v>11.3934</v>
      </c>
      <c r="F753" t="n">
        <v>0.08896</v>
      </c>
    </row>
    <row r="754">
      <c r="A754" t="n">
        <v>2000851</v>
      </c>
      <c r="B754" t="n">
        <v>2</v>
      </c>
      <c r="C754" t="n">
        <v>851</v>
      </c>
      <c r="D754" t="n">
        <v>-0.3833</v>
      </c>
      <c r="E754" t="n">
        <v>11.4183</v>
      </c>
      <c r="F754" t="n">
        <v>0.08896</v>
      </c>
    </row>
    <row r="755">
      <c r="A755" t="n">
        <v>2000852</v>
      </c>
      <c r="B755" t="n">
        <v>2</v>
      </c>
      <c r="C755" t="n">
        <v>852</v>
      </c>
      <c r="D755" t="n">
        <v>-0.3833</v>
      </c>
      <c r="E755" t="n">
        <v>11.4434</v>
      </c>
      <c r="F755" t="n">
        <v>0.08896</v>
      </c>
    </row>
    <row r="756">
      <c r="A756" t="n">
        <v>2000853</v>
      </c>
      <c r="B756" t="n">
        <v>2</v>
      </c>
      <c r="C756" t="n">
        <v>853</v>
      </c>
      <c r="D756" t="n">
        <v>-0.3833</v>
      </c>
      <c r="E756" t="n">
        <v>11.4684</v>
      </c>
      <c r="F756" t="n">
        <v>0.08895</v>
      </c>
    </row>
    <row r="757">
      <c r="A757" t="n">
        <v>2000854</v>
      </c>
      <c r="B757" t="n">
        <v>2</v>
      </c>
      <c r="C757" t="n">
        <v>854</v>
      </c>
      <c r="D757" t="n">
        <v>-0.3833</v>
      </c>
      <c r="E757" t="n">
        <v>11.4935</v>
      </c>
      <c r="F757" t="n">
        <v>0.08895</v>
      </c>
    </row>
    <row r="758">
      <c r="A758" t="n">
        <v>2000855</v>
      </c>
      <c r="B758" t="n">
        <v>2</v>
      </c>
      <c r="C758" t="n">
        <v>855</v>
      </c>
      <c r="D758" t="n">
        <v>-0.3833</v>
      </c>
      <c r="E758" t="n">
        <v>11.5186</v>
      </c>
      <c r="F758" t="n">
        <v>0.08895</v>
      </c>
    </row>
    <row r="759">
      <c r="A759" t="n">
        <v>2000856</v>
      </c>
      <c r="B759" t="n">
        <v>2</v>
      </c>
      <c r="C759" t="n">
        <v>856</v>
      </c>
      <c r="D759" t="n">
        <v>-0.3833</v>
      </c>
      <c r="E759" t="n">
        <v>11.5437</v>
      </c>
      <c r="F759" t="n">
        <v>0.08895</v>
      </c>
    </row>
    <row r="760">
      <c r="A760" t="n">
        <v>2000857</v>
      </c>
      <c r="B760" t="n">
        <v>2</v>
      </c>
      <c r="C760" t="n">
        <v>857</v>
      </c>
      <c r="D760" t="n">
        <v>-0.3833</v>
      </c>
      <c r="E760" t="n">
        <v>11.5689</v>
      </c>
      <c r="F760" t="n">
        <v>0.08895</v>
      </c>
    </row>
    <row r="761">
      <c r="A761" t="n">
        <v>2000858</v>
      </c>
      <c r="B761" t="n">
        <v>2</v>
      </c>
      <c r="C761" t="n">
        <v>858</v>
      </c>
      <c r="D761" t="n">
        <v>-0.3833</v>
      </c>
      <c r="E761" t="n">
        <v>11.594</v>
      </c>
      <c r="F761" t="n">
        <v>0.08895</v>
      </c>
    </row>
    <row r="762">
      <c r="A762" t="n">
        <v>2000859</v>
      </c>
      <c r="B762" t="n">
        <v>2</v>
      </c>
      <c r="C762" t="n">
        <v>859</v>
      </c>
      <c r="D762" t="n">
        <v>-0.3833</v>
      </c>
      <c r="E762" t="n">
        <v>11.6192</v>
      </c>
      <c r="F762" t="n">
        <v>0.08895</v>
      </c>
    </row>
    <row r="763">
      <c r="A763" t="n">
        <v>2000860</v>
      </c>
      <c r="B763" t="n">
        <v>2</v>
      </c>
      <c r="C763" t="n">
        <v>860</v>
      </c>
      <c r="D763" t="n">
        <v>-0.3833</v>
      </c>
      <c r="E763" t="n">
        <v>11.6444</v>
      </c>
      <c r="F763" t="n">
        <v>0.08895</v>
      </c>
    </row>
    <row r="764">
      <c r="A764" t="n">
        <v>2000861</v>
      </c>
      <c r="B764" t="n">
        <v>2</v>
      </c>
      <c r="C764" t="n">
        <v>861</v>
      </c>
      <c r="D764" t="n">
        <v>-0.3833</v>
      </c>
      <c r="E764" t="n">
        <v>11.6696</v>
      </c>
      <c r="F764" t="n">
        <v>0.08895</v>
      </c>
    </row>
    <row r="765">
      <c r="A765" t="n">
        <v>2000862</v>
      </c>
      <c r="B765" t="n">
        <v>2</v>
      </c>
      <c r="C765" t="n">
        <v>862</v>
      </c>
      <c r="D765" t="n">
        <v>-0.3833</v>
      </c>
      <c r="E765" t="n">
        <v>11.6948</v>
      </c>
      <c r="F765" t="n">
        <v>0.08895</v>
      </c>
    </row>
    <row r="766">
      <c r="A766" t="n">
        <v>2000863</v>
      </c>
      <c r="B766" t="n">
        <v>2</v>
      </c>
      <c r="C766" t="n">
        <v>863</v>
      </c>
      <c r="D766" t="n">
        <v>-0.3833</v>
      </c>
      <c r="E766" t="n">
        <v>11.7201</v>
      </c>
      <c r="F766" t="n">
        <v>0.08895</v>
      </c>
    </row>
    <row r="767">
      <c r="A767" t="n">
        <v>2000864</v>
      </c>
      <c r="B767" t="n">
        <v>2</v>
      </c>
      <c r="C767" t="n">
        <v>864</v>
      </c>
      <c r="D767" t="n">
        <v>-0.3833</v>
      </c>
      <c r="E767" t="n">
        <v>11.7453</v>
      </c>
      <c r="F767" t="n">
        <v>0.08895</v>
      </c>
    </row>
    <row r="768">
      <c r="A768" t="n">
        <v>2000865</v>
      </c>
      <c r="B768" t="n">
        <v>2</v>
      </c>
      <c r="C768" t="n">
        <v>865</v>
      </c>
      <c r="D768" t="n">
        <v>-0.3833</v>
      </c>
      <c r="E768" t="n">
        <v>11.7705</v>
      </c>
      <c r="F768" t="n">
        <v>0.08895</v>
      </c>
    </row>
    <row r="769">
      <c r="A769" t="n">
        <v>2000866</v>
      </c>
      <c r="B769" t="n">
        <v>2</v>
      </c>
      <c r="C769" t="n">
        <v>866</v>
      </c>
      <c r="D769" t="n">
        <v>-0.3833</v>
      </c>
      <c r="E769" t="n">
        <v>11.7957</v>
      </c>
      <c r="F769" t="n">
        <v>0.08895</v>
      </c>
    </row>
    <row r="770">
      <c r="A770" t="n">
        <v>2000867</v>
      </c>
      <c r="B770" t="n">
        <v>2</v>
      </c>
      <c r="C770" t="n">
        <v>867</v>
      </c>
      <c r="D770" t="n">
        <v>-0.3833</v>
      </c>
      <c r="E770" t="n">
        <v>11.8209</v>
      </c>
      <c r="F770" t="n">
        <v>0.08895</v>
      </c>
    </row>
    <row r="771">
      <c r="A771" t="n">
        <v>2000868</v>
      </c>
      <c r="B771" t="n">
        <v>2</v>
      </c>
      <c r="C771" t="n">
        <v>868</v>
      </c>
      <c r="D771" t="n">
        <v>-0.3833</v>
      </c>
      <c r="E771" t="n">
        <v>11.8461</v>
      </c>
      <c r="F771" t="n">
        <v>0.08895</v>
      </c>
    </row>
    <row r="772">
      <c r="A772" t="n">
        <v>2000869</v>
      </c>
      <c r="B772" t="n">
        <v>2</v>
      </c>
      <c r="C772" t="n">
        <v>869</v>
      </c>
      <c r="D772" t="n">
        <v>-0.3833</v>
      </c>
      <c r="E772" t="n">
        <v>11.8713</v>
      </c>
      <c r="F772" t="n">
        <v>0.08896</v>
      </c>
    </row>
    <row r="773">
      <c r="A773" t="n">
        <v>2000870</v>
      </c>
      <c r="B773" t="n">
        <v>2</v>
      </c>
      <c r="C773" t="n">
        <v>870</v>
      </c>
      <c r="D773" t="n">
        <v>-0.3833</v>
      </c>
      <c r="E773" t="n">
        <v>11.8965</v>
      </c>
      <c r="F773" t="n">
        <v>0.08896</v>
      </c>
    </row>
    <row r="774">
      <c r="A774" t="n">
        <v>2000871</v>
      </c>
      <c r="B774" t="n">
        <v>2</v>
      </c>
      <c r="C774" t="n">
        <v>871</v>
      </c>
      <c r="D774" t="n">
        <v>-0.3833</v>
      </c>
      <c r="E774" t="n">
        <v>11.9217</v>
      </c>
      <c r="F774" t="n">
        <v>0.08896</v>
      </c>
    </row>
    <row r="775">
      <c r="A775" t="n">
        <v>2000872</v>
      </c>
      <c r="B775" t="n">
        <v>2</v>
      </c>
      <c r="C775" t="n">
        <v>872</v>
      </c>
      <c r="D775" t="n">
        <v>-0.3833</v>
      </c>
      <c r="E775" t="n">
        <v>11.9468</v>
      </c>
      <c r="F775" t="n">
        <v>0.08896</v>
      </c>
    </row>
    <row r="776">
      <c r="A776" t="n">
        <v>2000873</v>
      </c>
      <c r="B776" t="n">
        <v>2</v>
      </c>
      <c r="C776" t="n">
        <v>873</v>
      </c>
      <c r="D776" t="n">
        <v>-0.3833</v>
      </c>
      <c r="E776" t="n">
        <v>11.972</v>
      </c>
      <c r="F776" t="n">
        <v>0.08896</v>
      </c>
    </row>
    <row r="777">
      <c r="A777" t="n">
        <v>2000874</v>
      </c>
      <c r="B777" t="n">
        <v>2</v>
      </c>
      <c r="C777" t="n">
        <v>874</v>
      </c>
      <c r="D777" t="n">
        <v>-0.3833</v>
      </c>
      <c r="E777" t="n">
        <v>11.9971</v>
      </c>
      <c r="F777" t="n">
        <v>0.08896999999999999</v>
      </c>
    </row>
    <row r="778">
      <c r="A778" t="n">
        <v>2000875</v>
      </c>
      <c r="B778" t="n">
        <v>2</v>
      </c>
      <c r="C778" t="n">
        <v>875</v>
      </c>
      <c r="D778" t="n">
        <v>-0.3833</v>
      </c>
      <c r="E778" t="n">
        <v>12.0223</v>
      </c>
      <c r="F778" t="n">
        <v>0.08896999999999999</v>
      </c>
    </row>
    <row r="779">
      <c r="A779" t="n">
        <v>2000876</v>
      </c>
      <c r="B779" t="n">
        <v>2</v>
      </c>
      <c r="C779" t="n">
        <v>876</v>
      </c>
      <c r="D779" t="n">
        <v>-0.3833</v>
      </c>
      <c r="E779" t="n">
        <v>12.0474</v>
      </c>
      <c r="F779" t="n">
        <v>0.08896999999999999</v>
      </c>
    </row>
    <row r="780">
      <c r="A780" t="n">
        <v>2000877</v>
      </c>
      <c r="B780" t="n">
        <v>2</v>
      </c>
      <c r="C780" t="n">
        <v>877</v>
      </c>
      <c r="D780" t="n">
        <v>-0.3833</v>
      </c>
      <c r="E780" t="n">
        <v>12.0725</v>
      </c>
      <c r="F780" t="n">
        <v>0.08898</v>
      </c>
    </row>
    <row r="781">
      <c r="A781" t="n">
        <v>2000878</v>
      </c>
      <c r="B781" t="n">
        <v>2</v>
      </c>
      <c r="C781" t="n">
        <v>878</v>
      </c>
      <c r="D781" t="n">
        <v>-0.3833</v>
      </c>
      <c r="E781" t="n">
        <v>12.0976</v>
      </c>
      <c r="F781" t="n">
        <v>0.08898</v>
      </c>
    </row>
    <row r="782">
      <c r="A782" t="n">
        <v>2000879</v>
      </c>
      <c r="B782" t="n">
        <v>2</v>
      </c>
      <c r="C782" t="n">
        <v>879</v>
      </c>
      <c r="D782" t="n">
        <v>-0.3833</v>
      </c>
      <c r="E782" t="n">
        <v>12.1227</v>
      </c>
      <c r="F782" t="n">
        <v>0.08898</v>
      </c>
    </row>
    <row r="783">
      <c r="A783" t="n">
        <v>2000880</v>
      </c>
      <c r="B783" t="n">
        <v>2</v>
      </c>
      <c r="C783" t="n">
        <v>880</v>
      </c>
      <c r="D783" t="n">
        <v>-0.3833</v>
      </c>
      <c r="E783" t="n">
        <v>12.1478</v>
      </c>
      <c r="F783" t="n">
        <v>0.08899</v>
      </c>
    </row>
    <row r="784">
      <c r="A784" t="n">
        <v>2000881</v>
      </c>
      <c r="B784" t="n">
        <v>2</v>
      </c>
      <c r="C784" t="n">
        <v>881</v>
      </c>
      <c r="D784" t="n">
        <v>-0.3833</v>
      </c>
      <c r="E784" t="n">
        <v>12.1728</v>
      </c>
      <c r="F784" t="n">
        <v>0.08899</v>
      </c>
    </row>
    <row r="785">
      <c r="A785" t="n">
        <v>2000882</v>
      </c>
      <c r="B785" t="n">
        <v>2</v>
      </c>
      <c r="C785" t="n">
        <v>882</v>
      </c>
      <c r="D785" t="n">
        <v>-0.3833</v>
      </c>
      <c r="E785" t="n">
        <v>12.1978</v>
      </c>
      <c r="F785" t="n">
        <v>0.089</v>
      </c>
    </row>
    <row r="786">
      <c r="A786" t="n">
        <v>2000883</v>
      </c>
      <c r="B786" t="n">
        <v>2</v>
      </c>
      <c r="C786" t="n">
        <v>883</v>
      </c>
      <c r="D786" t="n">
        <v>-0.3833</v>
      </c>
      <c r="E786" t="n">
        <v>12.2229</v>
      </c>
      <c r="F786" t="n">
        <v>0.089</v>
      </c>
    </row>
    <row r="787">
      <c r="A787" t="n">
        <v>2000884</v>
      </c>
      <c r="B787" t="n">
        <v>2</v>
      </c>
      <c r="C787" t="n">
        <v>884</v>
      </c>
      <c r="D787" t="n">
        <v>-0.3833</v>
      </c>
      <c r="E787" t="n">
        <v>12.2479</v>
      </c>
      <c r="F787" t="n">
        <v>0.08901000000000001</v>
      </c>
    </row>
    <row r="788">
      <c r="A788" t="n">
        <v>2000885</v>
      </c>
      <c r="B788" t="n">
        <v>2</v>
      </c>
      <c r="C788" t="n">
        <v>885</v>
      </c>
      <c r="D788" t="n">
        <v>-0.3833</v>
      </c>
      <c r="E788" t="n">
        <v>12.2729</v>
      </c>
      <c r="F788" t="n">
        <v>0.08901000000000001</v>
      </c>
    </row>
    <row r="789">
      <c r="A789" t="n">
        <v>2000886</v>
      </c>
      <c r="B789" t="n">
        <v>2</v>
      </c>
      <c r="C789" t="n">
        <v>886</v>
      </c>
      <c r="D789" t="n">
        <v>-0.3833</v>
      </c>
      <c r="E789" t="n">
        <v>12.2978</v>
      </c>
      <c r="F789" t="n">
        <v>0.08902</v>
      </c>
    </row>
    <row r="790">
      <c r="A790" t="n">
        <v>2000887</v>
      </c>
      <c r="B790" t="n">
        <v>2</v>
      </c>
      <c r="C790" t="n">
        <v>887</v>
      </c>
      <c r="D790" t="n">
        <v>-0.3833</v>
      </c>
      <c r="E790" t="n">
        <v>12.3228</v>
      </c>
      <c r="F790" t="n">
        <v>0.08902</v>
      </c>
    </row>
    <row r="791">
      <c r="A791" t="n">
        <v>2000888</v>
      </c>
      <c r="B791" t="n">
        <v>2</v>
      </c>
      <c r="C791" t="n">
        <v>888</v>
      </c>
      <c r="D791" t="n">
        <v>-0.3833</v>
      </c>
      <c r="E791" t="n">
        <v>12.3477</v>
      </c>
      <c r="F791" t="n">
        <v>0.08903</v>
      </c>
    </row>
    <row r="792">
      <c r="A792" t="n">
        <v>2000889</v>
      </c>
      <c r="B792" t="n">
        <v>2</v>
      </c>
      <c r="C792" t="n">
        <v>889</v>
      </c>
      <c r="D792" t="n">
        <v>-0.3833</v>
      </c>
      <c r="E792" t="n">
        <v>12.3727</v>
      </c>
      <c r="F792" t="n">
        <v>0.08903</v>
      </c>
    </row>
    <row r="793">
      <c r="A793" t="n">
        <v>2000890</v>
      </c>
      <c r="B793" t="n">
        <v>2</v>
      </c>
      <c r="C793" t="n">
        <v>890</v>
      </c>
      <c r="D793" t="n">
        <v>-0.3833</v>
      </c>
      <c r="E793" t="n">
        <v>12.3976</v>
      </c>
      <c r="F793" t="n">
        <v>0.08903999999999999</v>
      </c>
    </row>
    <row r="794">
      <c r="A794" t="n">
        <v>2000891</v>
      </c>
      <c r="B794" t="n">
        <v>2</v>
      </c>
      <c r="C794" t="n">
        <v>891</v>
      </c>
      <c r="D794" t="n">
        <v>-0.3833</v>
      </c>
      <c r="E794" t="n">
        <v>12.4225</v>
      </c>
      <c r="F794" t="n">
        <v>0.08903999999999999</v>
      </c>
    </row>
    <row r="795">
      <c r="A795" t="n">
        <v>2000892</v>
      </c>
      <c r="B795" t="n">
        <v>2</v>
      </c>
      <c r="C795" t="n">
        <v>892</v>
      </c>
      <c r="D795" t="n">
        <v>-0.3833</v>
      </c>
      <c r="E795" t="n">
        <v>12.4474</v>
      </c>
      <c r="F795" t="n">
        <v>0.08905</v>
      </c>
    </row>
    <row r="796">
      <c r="A796" t="n">
        <v>2000893</v>
      </c>
      <c r="B796" t="n">
        <v>2</v>
      </c>
      <c r="C796" t="n">
        <v>893</v>
      </c>
      <c r="D796" t="n">
        <v>-0.3833</v>
      </c>
      <c r="E796" t="n">
        <v>12.4723</v>
      </c>
      <c r="F796" t="n">
        <v>0.08906</v>
      </c>
    </row>
    <row r="797">
      <c r="A797" t="n">
        <v>2000894</v>
      </c>
      <c r="B797" t="n">
        <v>2</v>
      </c>
      <c r="C797" t="n">
        <v>894</v>
      </c>
      <c r="D797" t="n">
        <v>-0.3833</v>
      </c>
      <c r="E797" t="n">
        <v>12.4971</v>
      </c>
      <c r="F797" t="n">
        <v>0.08906</v>
      </c>
    </row>
    <row r="798">
      <c r="A798" t="n">
        <v>2000895</v>
      </c>
      <c r="B798" t="n">
        <v>2</v>
      </c>
      <c r="C798" t="n">
        <v>895</v>
      </c>
      <c r="D798" t="n">
        <v>-0.3833</v>
      </c>
      <c r="E798" t="n">
        <v>12.522</v>
      </c>
      <c r="F798" t="n">
        <v>0.08907</v>
      </c>
    </row>
    <row r="799">
      <c r="A799" t="n">
        <v>2000896</v>
      </c>
      <c r="B799" t="n">
        <v>2</v>
      </c>
      <c r="C799" t="n">
        <v>896</v>
      </c>
      <c r="D799" t="n">
        <v>-0.3833</v>
      </c>
      <c r="E799" t="n">
        <v>12.5468</v>
      </c>
      <c r="F799" t="n">
        <v>0.08908000000000001</v>
      </c>
    </row>
    <row r="800">
      <c r="A800" t="n">
        <v>2000897</v>
      </c>
      <c r="B800" t="n">
        <v>2</v>
      </c>
      <c r="C800" t="n">
        <v>897</v>
      </c>
      <c r="D800" t="n">
        <v>-0.3833</v>
      </c>
      <c r="E800" t="n">
        <v>12.5717</v>
      </c>
      <c r="F800" t="n">
        <v>0.08909</v>
      </c>
    </row>
    <row r="801">
      <c r="A801" t="n">
        <v>2000898</v>
      </c>
      <c r="B801" t="n">
        <v>2</v>
      </c>
      <c r="C801" t="n">
        <v>898</v>
      </c>
      <c r="D801" t="n">
        <v>-0.3833</v>
      </c>
      <c r="E801" t="n">
        <v>12.5965</v>
      </c>
      <c r="F801" t="n">
        <v>0.08909</v>
      </c>
    </row>
    <row r="802">
      <c r="A802" t="n">
        <v>2000899</v>
      </c>
      <c r="B802" t="n">
        <v>2</v>
      </c>
      <c r="C802" t="n">
        <v>899</v>
      </c>
      <c r="D802" t="n">
        <v>-0.3833</v>
      </c>
      <c r="E802" t="n">
        <v>12.6213</v>
      </c>
      <c r="F802" t="n">
        <v>0.0891</v>
      </c>
    </row>
    <row r="803">
      <c r="A803" t="n">
        <v>2000900</v>
      </c>
      <c r="B803" t="n">
        <v>2</v>
      </c>
      <c r="C803" t="n">
        <v>900</v>
      </c>
      <c r="D803" t="n">
        <v>-0.3833</v>
      </c>
      <c r="E803" t="n">
        <v>12.6461</v>
      </c>
      <c r="F803" t="n">
        <v>0.08910999999999999</v>
      </c>
    </row>
    <row r="804">
      <c r="A804" t="n">
        <v>2000901</v>
      </c>
      <c r="B804" t="n">
        <v>2</v>
      </c>
      <c r="C804" t="n">
        <v>901</v>
      </c>
      <c r="D804" t="n">
        <v>-0.3833</v>
      </c>
      <c r="E804" t="n">
        <v>12.6709</v>
      </c>
      <c r="F804" t="n">
        <v>0.08912</v>
      </c>
    </row>
    <row r="805">
      <c r="A805" t="n">
        <v>2000902</v>
      </c>
      <c r="B805" t="n">
        <v>2</v>
      </c>
      <c r="C805" t="n">
        <v>902</v>
      </c>
      <c r="D805" t="n">
        <v>-0.3833</v>
      </c>
      <c r="E805" t="n">
        <v>12.6957</v>
      </c>
      <c r="F805" t="n">
        <v>0.08912</v>
      </c>
    </row>
    <row r="806">
      <c r="A806" t="n">
        <v>2000903</v>
      </c>
      <c r="B806" t="n">
        <v>2</v>
      </c>
      <c r="C806" t="n">
        <v>903</v>
      </c>
      <c r="D806" t="n">
        <v>-0.3833</v>
      </c>
      <c r="E806" t="n">
        <v>12.7205</v>
      </c>
      <c r="F806" t="n">
        <v>0.08913</v>
      </c>
    </row>
    <row r="807">
      <c r="A807" t="n">
        <v>2000904</v>
      </c>
      <c r="B807" t="n">
        <v>2</v>
      </c>
      <c r="C807" t="n">
        <v>904</v>
      </c>
      <c r="D807" t="n">
        <v>-0.3833</v>
      </c>
      <c r="E807" t="n">
        <v>12.7453</v>
      </c>
      <c r="F807" t="n">
        <v>0.08914</v>
      </c>
    </row>
    <row r="808">
      <c r="A808" t="n">
        <v>2000905</v>
      </c>
      <c r="B808" t="n">
        <v>2</v>
      </c>
      <c r="C808" t="n">
        <v>905</v>
      </c>
      <c r="D808" t="n">
        <v>-0.3833</v>
      </c>
      <c r="E808" t="n">
        <v>12.77</v>
      </c>
      <c r="F808" t="n">
        <v>0.08914999999999999</v>
      </c>
    </row>
    <row r="809">
      <c r="A809" t="n">
        <v>2000906</v>
      </c>
      <c r="B809" t="n">
        <v>2</v>
      </c>
      <c r="C809" t="n">
        <v>906</v>
      </c>
      <c r="D809" t="n">
        <v>-0.3833</v>
      </c>
      <c r="E809" t="n">
        <v>12.7948</v>
      </c>
      <c r="F809" t="n">
        <v>0.08916</v>
      </c>
    </row>
    <row r="810">
      <c r="A810" t="n">
        <v>2000907</v>
      </c>
      <c r="B810" t="n">
        <v>2</v>
      </c>
      <c r="C810" t="n">
        <v>907</v>
      </c>
      <c r="D810" t="n">
        <v>-0.3833</v>
      </c>
      <c r="E810" t="n">
        <v>12.8196</v>
      </c>
      <c r="F810" t="n">
        <v>0.08917</v>
      </c>
    </row>
    <row r="811">
      <c r="A811" t="n">
        <v>2000908</v>
      </c>
      <c r="B811" t="n">
        <v>2</v>
      </c>
      <c r="C811" t="n">
        <v>908</v>
      </c>
      <c r="D811" t="n">
        <v>-0.3833</v>
      </c>
      <c r="E811" t="n">
        <v>12.8443</v>
      </c>
      <c r="F811" t="n">
        <v>0.08918</v>
      </c>
    </row>
    <row r="812">
      <c r="A812" t="n">
        <v>2000909</v>
      </c>
      <c r="B812" t="n">
        <v>2</v>
      </c>
      <c r="C812" t="n">
        <v>909</v>
      </c>
      <c r="D812" t="n">
        <v>-0.3833</v>
      </c>
      <c r="E812" t="n">
        <v>12.8691</v>
      </c>
      <c r="F812" t="n">
        <v>0.08919000000000001</v>
      </c>
    </row>
    <row r="813">
      <c r="A813" t="n">
        <v>2000910</v>
      </c>
      <c r="B813" t="n">
        <v>2</v>
      </c>
      <c r="C813" t="n">
        <v>910</v>
      </c>
      <c r="D813" t="n">
        <v>-0.3833</v>
      </c>
      <c r="E813" t="n">
        <v>12.8939</v>
      </c>
      <c r="F813" t="n">
        <v>0.0892</v>
      </c>
    </row>
    <row r="814">
      <c r="A814" t="n">
        <v>2000911</v>
      </c>
      <c r="B814" t="n">
        <v>2</v>
      </c>
      <c r="C814" t="n">
        <v>911</v>
      </c>
      <c r="D814" t="n">
        <v>-0.3833</v>
      </c>
      <c r="E814" t="n">
        <v>12.9186</v>
      </c>
      <c r="F814" t="n">
        <v>0.08921</v>
      </c>
    </row>
    <row r="815">
      <c r="A815" t="n">
        <v>2000912</v>
      </c>
      <c r="B815" t="n">
        <v>2</v>
      </c>
      <c r="C815" t="n">
        <v>912</v>
      </c>
      <c r="D815" t="n">
        <v>-0.3833</v>
      </c>
      <c r="E815" t="n">
        <v>12.9434</v>
      </c>
      <c r="F815" t="n">
        <v>0.08921999999999999</v>
      </c>
    </row>
    <row r="816">
      <c r="A816" t="n">
        <v>2000913</v>
      </c>
      <c r="B816" t="n">
        <v>2</v>
      </c>
      <c r="C816" t="n">
        <v>913</v>
      </c>
      <c r="D816" t="n">
        <v>-0.3833</v>
      </c>
      <c r="E816" t="n">
        <v>12.9681</v>
      </c>
      <c r="F816" t="n">
        <v>0.08923</v>
      </c>
    </row>
    <row r="817">
      <c r="A817" t="n">
        <v>2000914</v>
      </c>
      <c r="B817" t="n">
        <v>2</v>
      </c>
      <c r="C817" t="n">
        <v>914</v>
      </c>
      <c r="D817" t="n">
        <v>-0.3833</v>
      </c>
      <c r="E817" t="n">
        <v>12.9929</v>
      </c>
      <c r="F817" t="n">
        <v>0.08924</v>
      </c>
    </row>
    <row r="818">
      <c r="A818" t="n">
        <v>2000915</v>
      </c>
      <c r="B818" t="n">
        <v>2</v>
      </c>
      <c r="C818" t="n">
        <v>915</v>
      </c>
      <c r="D818" t="n">
        <v>-0.3833</v>
      </c>
      <c r="E818" t="n">
        <v>13.0177</v>
      </c>
      <c r="F818" t="n">
        <v>0.08925</v>
      </c>
    </row>
    <row r="819">
      <c r="A819" t="n">
        <v>2000916</v>
      </c>
      <c r="B819" t="n">
        <v>2</v>
      </c>
      <c r="C819" t="n">
        <v>916</v>
      </c>
      <c r="D819" t="n">
        <v>-0.3833</v>
      </c>
      <c r="E819" t="n">
        <v>13.0424</v>
      </c>
      <c r="F819" t="n">
        <v>0.08926000000000001</v>
      </c>
    </row>
    <row r="820">
      <c r="A820" t="n">
        <v>2000917</v>
      </c>
      <c r="B820" t="n">
        <v>2</v>
      </c>
      <c r="C820" t="n">
        <v>917</v>
      </c>
      <c r="D820" t="n">
        <v>-0.3833</v>
      </c>
      <c r="E820" t="n">
        <v>13.0672</v>
      </c>
      <c r="F820" t="n">
        <v>0.08927</v>
      </c>
    </row>
    <row r="821">
      <c r="A821" t="n">
        <v>2000918</v>
      </c>
      <c r="B821" t="n">
        <v>2</v>
      </c>
      <c r="C821" t="n">
        <v>918</v>
      </c>
      <c r="D821" t="n">
        <v>-0.3833</v>
      </c>
      <c r="E821" t="n">
        <v>13.092</v>
      </c>
      <c r="F821" t="n">
        <v>0.08928</v>
      </c>
    </row>
    <row r="822">
      <c r="A822" t="n">
        <v>2000919</v>
      </c>
      <c r="B822" t="n">
        <v>2</v>
      </c>
      <c r="C822" t="n">
        <v>919</v>
      </c>
      <c r="D822" t="n">
        <v>-0.3833</v>
      </c>
      <c r="E822" t="n">
        <v>13.1167</v>
      </c>
      <c r="F822" t="n">
        <v>0.0893</v>
      </c>
    </row>
    <row r="823">
      <c r="A823" t="n">
        <v>2000920</v>
      </c>
      <c r="B823" t="n">
        <v>2</v>
      </c>
      <c r="C823" t="n">
        <v>920</v>
      </c>
      <c r="D823" t="n">
        <v>-0.3833</v>
      </c>
      <c r="E823" t="n">
        <v>13.1415</v>
      </c>
      <c r="F823" t="n">
        <v>0.08931</v>
      </c>
    </row>
    <row r="824">
      <c r="A824" t="n">
        <v>2000921</v>
      </c>
      <c r="B824" t="n">
        <v>2</v>
      </c>
      <c r="C824" t="n">
        <v>921</v>
      </c>
      <c r="D824" t="n">
        <v>-0.3833</v>
      </c>
      <c r="E824" t="n">
        <v>13.1663</v>
      </c>
      <c r="F824" t="n">
        <v>0.08932</v>
      </c>
    </row>
    <row r="825">
      <c r="A825" t="n">
        <v>2000922</v>
      </c>
      <c r="B825" t="n">
        <v>2</v>
      </c>
      <c r="C825" t="n">
        <v>922</v>
      </c>
      <c r="D825" t="n">
        <v>-0.3833</v>
      </c>
      <c r="E825" t="n">
        <v>13.1911</v>
      </c>
      <c r="F825" t="n">
        <v>0.08933000000000001</v>
      </c>
    </row>
    <row r="826">
      <c r="A826" t="n">
        <v>2000923</v>
      </c>
      <c r="B826" t="n">
        <v>2</v>
      </c>
      <c r="C826" t="n">
        <v>923</v>
      </c>
      <c r="D826" t="n">
        <v>-0.3833</v>
      </c>
      <c r="E826" t="n">
        <v>13.2158</v>
      </c>
      <c r="F826" t="n">
        <v>0.08934</v>
      </c>
    </row>
    <row r="827">
      <c r="A827" t="n">
        <v>2000924</v>
      </c>
      <c r="B827" t="n">
        <v>2</v>
      </c>
      <c r="C827" t="n">
        <v>924</v>
      </c>
      <c r="D827" t="n">
        <v>-0.3833</v>
      </c>
      <c r="E827" t="n">
        <v>13.2406</v>
      </c>
      <c r="F827" t="n">
        <v>0.08935999999999999</v>
      </c>
    </row>
    <row r="828">
      <c r="A828" t="n">
        <v>2000925</v>
      </c>
      <c r="B828" t="n">
        <v>2</v>
      </c>
      <c r="C828" t="n">
        <v>925</v>
      </c>
      <c r="D828" t="n">
        <v>-0.3833</v>
      </c>
      <c r="E828" t="n">
        <v>13.2654</v>
      </c>
      <c r="F828" t="n">
        <v>0.08937</v>
      </c>
    </row>
    <row r="829">
      <c r="A829" t="n">
        <v>2000926</v>
      </c>
      <c r="B829" t="n">
        <v>2</v>
      </c>
      <c r="C829" t="n">
        <v>926</v>
      </c>
      <c r="D829" t="n">
        <v>-0.3833</v>
      </c>
      <c r="E829" t="n">
        <v>13.2902</v>
      </c>
      <c r="F829" t="n">
        <v>0.08938</v>
      </c>
    </row>
    <row r="830">
      <c r="A830" t="n">
        <v>2000927</v>
      </c>
      <c r="B830" t="n">
        <v>2</v>
      </c>
      <c r="C830" t="n">
        <v>927</v>
      </c>
      <c r="D830" t="n">
        <v>-0.3833</v>
      </c>
      <c r="E830" t="n">
        <v>13.3151</v>
      </c>
      <c r="F830" t="n">
        <v>0.08939999999999999</v>
      </c>
    </row>
    <row r="831">
      <c r="A831" t="n">
        <v>2000928</v>
      </c>
      <c r="B831" t="n">
        <v>2</v>
      </c>
      <c r="C831" t="n">
        <v>928</v>
      </c>
      <c r="D831" t="n">
        <v>-0.3833</v>
      </c>
      <c r="E831" t="n">
        <v>13.3399</v>
      </c>
      <c r="F831" t="n">
        <v>0.08941</v>
      </c>
    </row>
    <row r="832">
      <c r="A832" t="n">
        <v>2000929</v>
      </c>
      <c r="B832" t="n">
        <v>2</v>
      </c>
      <c r="C832" t="n">
        <v>929</v>
      </c>
      <c r="D832" t="n">
        <v>-0.3833</v>
      </c>
      <c r="E832" t="n">
        <v>13.3647</v>
      </c>
      <c r="F832" t="n">
        <v>0.08942</v>
      </c>
    </row>
    <row r="833">
      <c r="A833" t="n">
        <v>2000930</v>
      </c>
      <c r="B833" t="n">
        <v>2</v>
      </c>
      <c r="C833" t="n">
        <v>930</v>
      </c>
      <c r="D833" t="n">
        <v>-0.3833</v>
      </c>
      <c r="E833" t="n">
        <v>13.3896</v>
      </c>
      <c r="F833" t="n">
        <v>0.08944000000000001</v>
      </c>
    </row>
    <row r="834">
      <c r="A834" t="n">
        <v>2000931</v>
      </c>
      <c r="B834" t="n">
        <v>2</v>
      </c>
      <c r="C834" t="n">
        <v>931</v>
      </c>
      <c r="D834" t="n">
        <v>-0.3833</v>
      </c>
      <c r="E834" t="n">
        <v>13.4145</v>
      </c>
      <c r="F834" t="n">
        <v>0.08945</v>
      </c>
    </row>
    <row r="835">
      <c r="A835" t="n">
        <v>2000932</v>
      </c>
      <c r="B835" t="n">
        <v>2</v>
      </c>
      <c r="C835" t="n">
        <v>932</v>
      </c>
      <c r="D835" t="n">
        <v>-0.3833</v>
      </c>
      <c r="E835" t="n">
        <v>13.4394</v>
      </c>
      <c r="F835" t="n">
        <v>0.08946999999999999</v>
      </c>
    </row>
    <row r="836">
      <c r="A836" t="n">
        <v>2000933</v>
      </c>
      <c r="B836" t="n">
        <v>2</v>
      </c>
      <c r="C836" t="n">
        <v>933</v>
      </c>
      <c r="D836" t="n">
        <v>-0.3833</v>
      </c>
      <c r="E836" t="n">
        <v>13.4643</v>
      </c>
      <c r="F836" t="n">
        <v>0.08948</v>
      </c>
    </row>
    <row r="837">
      <c r="A837" t="n">
        <v>2000934</v>
      </c>
      <c r="B837" t="n">
        <v>2</v>
      </c>
      <c r="C837" t="n">
        <v>934</v>
      </c>
      <c r="D837" t="n">
        <v>-0.3833</v>
      </c>
      <c r="E837" t="n">
        <v>13.4892</v>
      </c>
      <c r="F837" t="n">
        <v>0.08949</v>
      </c>
    </row>
    <row r="838">
      <c r="A838" t="n">
        <v>2000935</v>
      </c>
      <c r="B838" t="n">
        <v>2</v>
      </c>
      <c r="C838" t="n">
        <v>935</v>
      </c>
      <c r="D838" t="n">
        <v>-0.3833</v>
      </c>
      <c r="E838" t="n">
        <v>13.5142</v>
      </c>
      <c r="F838" t="n">
        <v>0.08951000000000001</v>
      </c>
    </row>
    <row r="839">
      <c r="A839" t="n">
        <v>2000936</v>
      </c>
      <c r="B839" t="n">
        <v>2</v>
      </c>
      <c r="C839" t="n">
        <v>936</v>
      </c>
      <c r="D839" t="n">
        <v>-0.3833</v>
      </c>
      <c r="E839" t="n">
        <v>13.5391</v>
      </c>
      <c r="F839" t="n">
        <v>0.08952</v>
      </c>
    </row>
    <row r="840">
      <c r="A840" t="n">
        <v>2000937</v>
      </c>
      <c r="B840" t="n">
        <v>2</v>
      </c>
      <c r="C840" t="n">
        <v>937</v>
      </c>
      <c r="D840" t="n">
        <v>-0.3833</v>
      </c>
      <c r="E840" t="n">
        <v>13.5641</v>
      </c>
      <c r="F840" t="n">
        <v>0.08953999999999999</v>
      </c>
    </row>
    <row r="841">
      <c r="A841" t="n">
        <v>2000938</v>
      </c>
      <c r="B841" t="n">
        <v>2</v>
      </c>
      <c r="C841" t="n">
        <v>938</v>
      </c>
      <c r="D841" t="n">
        <v>-0.3833</v>
      </c>
      <c r="E841" t="n">
        <v>13.5892</v>
      </c>
      <c r="F841" t="n">
        <v>0.08955</v>
      </c>
    </row>
    <row r="842">
      <c r="A842" t="n">
        <v>2000939</v>
      </c>
      <c r="B842" t="n">
        <v>2</v>
      </c>
      <c r="C842" t="n">
        <v>939</v>
      </c>
      <c r="D842" t="n">
        <v>-0.3833</v>
      </c>
      <c r="E842" t="n">
        <v>13.6142</v>
      </c>
      <c r="F842" t="n">
        <v>0.08957</v>
      </c>
    </row>
    <row r="843">
      <c r="A843" t="n">
        <v>2000940</v>
      </c>
      <c r="B843" t="n">
        <v>2</v>
      </c>
      <c r="C843" t="n">
        <v>940</v>
      </c>
      <c r="D843" t="n">
        <v>-0.3833</v>
      </c>
      <c r="E843" t="n">
        <v>13.6393</v>
      </c>
      <c r="F843" t="n">
        <v>0.08959</v>
      </c>
    </row>
    <row r="844">
      <c r="A844" t="n">
        <v>2000941</v>
      </c>
      <c r="B844" t="n">
        <v>2</v>
      </c>
      <c r="C844" t="n">
        <v>941</v>
      </c>
      <c r="D844" t="n">
        <v>-0.3833</v>
      </c>
      <c r="E844" t="n">
        <v>13.6644</v>
      </c>
      <c r="F844" t="n">
        <v>0.0896</v>
      </c>
    </row>
    <row r="845">
      <c r="A845" t="n">
        <v>2000942</v>
      </c>
      <c r="B845" t="n">
        <v>2</v>
      </c>
      <c r="C845" t="n">
        <v>942</v>
      </c>
      <c r="D845" t="n">
        <v>-0.3833</v>
      </c>
      <c r="E845" t="n">
        <v>13.6895</v>
      </c>
      <c r="F845" t="n">
        <v>0.08962000000000001</v>
      </c>
    </row>
    <row r="846">
      <c r="A846" t="n">
        <v>2000943</v>
      </c>
      <c r="B846" t="n">
        <v>2</v>
      </c>
      <c r="C846" t="n">
        <v>943</v>
      </c>
      <c r="D846" t="n">
        <v>-0.3833</v>
      </c>
      <c r="E846" t="n">
        <v>13.7146</v>
      </c>
      <c r="F846" t="n">
        <v>0.08963</v>
      </c>
    </row>
    <row r="847">
      <c r="A847" t="n">
        <v>2000944</v>
      </c>
      <c r="B847" t="n">
        <v>2</v>
      </c>
      <c r="C847" t="n">
        <v>944</v>
      </c>
      <c r="D847" t="n">
        <v>-0.3833</v>
      </c>
      <c r="E847" t="n">
        <v>13.7398</v>
      </c>
      <c r="F847" t="n">
        <v>0.08964999999999999</v>
      </c>
    </row>
    <row r="848">
      <c r="A848" t="n">
        <v>2000945</v>
      </c>
      <c r="B848" t="n">
        <v>2</v>
      </c>
      <c r="C848" t="n">
        <v>945</v>
      </c>
      <c r="D848" t="n">
        <v>-0.3833</v>
      </c>
      <c r="E848" t="n">
        <v>13.765</v>
      </c>
      <c r="F848" t="n">
        <v>0.08967</v>
      </c>
    </row>
    <row r="849">
      <c r="A849" t="n">
        <v>2000946</v>
      </c>
      <c r="B849" t="n">
        <v>2</v>
      </c>
      <c r="C849" t="n">
        <v>946</v>
      </c>
      <c r="D849" t="n">
        <v>-0.3833</v>
      </c>
      <c r="E849" t="n">
        <v>13.7902</v>
      </c>
      <c r="F849" t="n">
        <v>0.08968</v>
      </c>
    </row>
    <row r="850">
      <c r="A850" t="n">
        <v>2000947</v>
      </c>
      <c r="B850" t="n">
        <v>2</v>
      </c>
      <c r="C850" t="n">
        <v>947</v>
      </c>
      <c r="D850" t="n">
        <v>-0.3833</v>
      </c>
      <c r="E850" t="n">
        <v>13.8155</v>
      </c>
      <c r="F850" t="n">
        <v>0.0897</v>
      </c>
    </row>
    <row r="851">
      <c r="A851" t="n">
        <v>2000948</v>
      </c>
      <c r="B851" t="n">
        <v>2</v>
      </c>
      <c r="C851" t="n">
        <v>948</v>
      </c>
      <c r="D851" t="n">
        <v>-0.3833</v>
      </c>
      <c r="E851" t="n">
        <v>13.8408</v>
      </c>
      <c r="F851" t="n">
        <v>0.08971999999999999</v>
      </c>
    </row>
    <row r="852">
      <c r="A852" t="n">
        <v>2000949</v>
      </c>
      <c r="B852" t="n">
        <v>2</v>
      </c>
      <c r="C852" t="n">
        <v>949</v>
      </c>
      <c r="D852" t="n">
        <v>-0.3833</v>
      </c>
      <c r="E852" t="n">
        <v>13.8661</v>
      </c>
      <c r="F852" t="n">
        <v>0.08974</v>
      </c>
    </row>
    <row r="853">
      <c r="A853" t="n">
        <v>2000950</v>
      </c>
      <c r="B853" t="n">
        <v>2</v>
      </c>
      <c r="C853" t="n">
        <v>950</v>
      </c>
      <c r="D853" t="n">
        <v>-0.3833</v>
      </c>
      <c r="E853" t="n">
        <v>13.8914</v>
      </c>
      <c r="F853" t="n">
        <v>0.08975</v>
      </c>
    </row>
    <row r="854">
      <c r="A854" t="n">
        <v>2000951</v>
      </c>
      <c r="B854" t="n">
        <v>2</v>
      </c>
      <c r="C854" t="n">
        <v>951</v>
      </c>
      <c r="D854" t="n">
        <v>-0.3833</v>
      </c>
      <c r="E854" t="n">
        <v>13.9168</v>
      </c>
      <c r="F854" t="n">
        <v>0.08977</v>
      </c>
    </row>
    <row r="855">
      <c r="A855" t="n">
        <v>2000952</v>
      </c>
      <c r="B855" t="n">
        <v>2</v>
      </c>
      <c r="C855" t="n">
        <v>952</v>
      </c>
      <c r="D855" t="n">
        <v>-0.3833</v>
      </c>
      <c r="E855" t="n">
        <v>13.9422</v>
      </c>
      <c r="F855" t="n">
        <v>0.08978999999999999</v>
      </c>
    </row>
    <row r="856">
      <c r="A856" t="n">
        <v>2000953</v>
      </c>
      <c r="B856" t="n">
        <v>2</v>
      </c>
      <c r="C856" t="n">
        <v>953</v>
      </c>
      <c r="D856" t="n">
        <v>-0.3833</v>
      </c>
      <c r="E856" t="n">
        <v>13.9676</v>
      </c>
      <c r="F856" t="n">
        <v>0.08981</v>
      </c>
    </row>
    <row r="857">
      <c r="A857" t="n">
        <v>2000954</v>
      </c>
      <c r="B857" t="n">
        <v>2</v>
      </c>
      <c r="C857" t="n">
        <v>954</v>
      </c>
      <c r="D857" t="n">
        <v>-0.3833</v>
      </c>
      <c r="E857" t="n">
        <v>13.9931</v>
      </c>
      <c r="F857" t="n">
        <v>0.08982999999999999</v>
      </c>
    </row>
    <row r="858">
      <c r="A858" t="n">
        <v>2000955</v>
      </c>
      <c r="B858" t="n">
        <v>2</v>
      </c>
      <c r="C858" t="n">
        <v>955</v>
      </c>
      <c r="D858" t="n">
        <v>-0.3833</v>
      </c>
      <c r="E858" t="n">
        <v>14.0186</v>
      </c>
      <c r="F858" t="n">
        <v>0.08984</v>
      </c>
    </row>
    <row r="859">
      <c r="A859" t="n">
        <v>2000956</v>
      </c>
      <c r="B859" t="n">
        <v>2</v>
      </c>
      <c r="C859" t="n">
        <v>956</v>
      </c>
      <c r="D859" t="n">
        <v>-0.3833</v>
      </c>
      <c r="E859" t="n">
        <v>14.0441</v>
      </c>
      <c r="F859" t="n">
        <v>0.08986</v>
      </c>
    </row>
    <row r="860">
      <c r="A860" t="n">
        <v>2000957</v>
      </c>
      <c r="B860" t="n">
        <v>2</v>
      </c>
      <c r="C860" t="n">
        <v>957</v>
      </c>
      <c r="D860" t="n">
        <v>-0.3833</v>
      </c>
      <c r="E860" t="n">
        <v>14.0697</v>
      </c>
      <c r="F860" t="n">
        <v>0.08988</v>
      </c>
    </row>
    <row r="861">
      <c r="A861" t="n">
        <v>2000958</v>
      </c>
      <c r="B861" t="n">
        <v>2</v>
      </c>
      <c r="C861" t="n">
        <v>958</v>
      </c>
      <c r="D861" t="n">
        <v>-0.3833</v>
      </c>
      <c r="E861" t="n">
        <v>14.0953</v>
      </c>
      <c r="F861" t="n">
        <v>0.08989999999999999</v>
      </c>
    </row>
    <row r="862">
      <c r="A862" t="n">
        <v>2000959</v>
      </c>
      <c r="B862" t="n">
        <v>2</v>
      </c>
      <c r="C862" t="n">
        <v>959</v>
      </c>
      <c r="D862" t="n">
        <v>-0.3833</v>
      </c>
      <c r="E862" t="n">
        <v>14.1209</v>
      </c>
      <c r="F862" t="n">
        <v>0.08992</v>
      </c>
    </row>
    <row r="863">
      <c r="A863" t="n">
        <v>2000960</v>
      </c>
      <c r="B863" t="n">
        <v>2</v>
      </c>
      <c r="C863" t="n">
        <v>960</v>
      </c>
      <c r="D863" t="n">
        <v>-0.3833</v>
      </c>
      <c r="E863" t="n">
        <v>14.1466</v>
      </c>
      <c r="F863" t="n">
        <v>0.08994000000000001</v>
      </c>
    </row>
    <row r="864">
      <c r="A864" t="n">
        <v>2000961</v>
      </c>
      <c r="B864" t="n">
        <v>2</v>
      </c>
      <c r="C864" t="n">
        <v>961</v>
      </c>
      <c r="D864" t="n">
        <v>-0.3833</v>
      </c>
      <c r="E864" t="n">
        <v>14.1724</v>
      </c>
      <c r="F864" t="n">
        <v>0.08996</v>
      </c>
    </row>
    <row r="865">
      <c r="A865" t="n">
        <v>2000962</v>
      </c>
      <c r="B865" t="n">
        <v>2</v>
      </c>
      <c r="C865" t="n">
        <v>962</v>
      </c>
      <c r="D865" t="n">
        <v>-0.3833</v>
      </c>
      <c r="E865" t="n">
        <v>14.1981</v>
      </c>
      <c r="F865" t="n">
        <v>0.08998</v>
      </c>
    </row>
    <row r="866">
      <c r="A866" t="n">
        <v>2000963</v>
      </c>
      <c r="B866" t="n">
        <v>2</v>
      </c>
      <c r="C866" t="n">
        <v>963</v>
      </c>
      <c r="D866" t="n">
        <v>-0.3833</v>
      </c>
      <c r="E866" t="n">
        <v>14.2239</v>
      </c>
      <c r="F866" t="n">
        <v>0.09</v>
      </c>
    </row>
    <row r="867">
      <c r="A867" t="n">
        <v>2000964</v>
      </c>
      <c r="B867" t="n">
        <v>2</v>
      </c>
      <c r="C867" t="n">
        <v>964</v>
      </c>
      <c r="D867" t="n">
        <v>-0.3833</v>
      </c>
      <c r="E867" t="n">
        <v>14.2498</v>
      </c>
      <c r="F867" t="n">
        <v>0.09002</v>
      </c>
    </row>
    <row r="868">
      <c r="A868" t="n">
        <v>2000965</v>
      </c>
      <c r="B868" t="n">
        <v>2</v>
      </c>
      <c r="C868" t="n">
        <v>965</v>
      </c>
      <c r="D868" t="n">
        <v>-0.3833</v>
      </c>
      <c r="E868" t="n">
        <v>14.2757</v>
      </c>
      <c r="F868" t="n">
        <v>0.09004</v>
      </c>
    </row>
    <row r="869">
      <c r="A869" t="n">
        <v>2000966</v>
      </c>
      <c r="B869" t="n">
        <v>2</v>
      </c>
      <c r="C869" t="n">
        <v>966</v>
      </c>
      <c r="D869" t="n">
        <v>-0.3833</v>
      </c>
      <c r="E869" t="n">
        <v>14.3016</v>
      </c>
      <c r="F869" t="n">
        <v>0.09006</v>
      </c>
    </row>
    <row r="870">
      <c r="A870" t="n">
        <v>2000967</v>
      </c>
      <c r="B870" t="n">
        <v>2</v>
      </c>
      <c r="C870" t="n">
        <v>967</v>
      </c>
      <c r="D870" t="n">
        <v>-0.3833</v>
      </c>
      <c r="E870" t="n">
        <v>14.3276</v>
      </c>
      <c r="F870" t="n">
        <v>0.09007999999999999</v>
      </c>
    </row>
    <row r="871">
      <c r="A871" t="n">
        <v>2000968</v>
      </c>
      <c r="B871" t="n">
        <v>2</v>
      </c>
      <c r="C871" t="n">
        <v>968</v>
      </c>
      <c r="D871" t="n">
        <v>-0.3833</v>
      </c>
      <c r="E871" t="n">
        <v>14.3537</v>
      </c>
      <c r="F871" t="n">
        <v>0.0901</v>
      </c>
    </row>
    <row r="872">
      <c r="A872" t="n">
        <v>2000969</v>
      </c>
      <c r="B872" t="n">
        <v>2</v>
      </c>
      <c r="C872" t="n">
        <v>969</v>
      </c>
      <c r="D872" t="n">
        <v>-0.3833</v>
      </c>
      <c r="E872" t="n">
        <v>14.3798</v>
      </c>
      <c r="F872" t="n">
        <v>0.09012000000000001</v>
      </c>
    </row>
    <row r="873">
      <c r="A873" t="n">
        <v>2000970</v>
      </c>
      <c r="B873" t="n">
        <v>2</v>
      </c>
      <c r="C873" t="n">
        <v>970</v>
      </c>
      <c r="D873" t="n">
        <v>-0.3833</v>
      </c>
      <c r="E873" t="n">
        <v>14.4059</v>
      </c>
      <c r="F873" t="n">
        <v>0.09014999999999999</v>
      </c>
    </row>
    <row r="874">
      <c r="A874" t="n">
        <v>2000971</v>
      </c>
      <c r="B874" t="n">
        <v>2</v>
      </c>
      <c r="C874" t="n">
        <v>971</v>
      </c>
      <c r="D874" t="n">
        <v>-0.3833</v>
      </c>
      <c r="E874" t="n">
        <v>14.4321</v>
      </c>
      <c r="F874" t="n">
        <v>0.09017</v>
      </c>
    </row>
    <row r="875">
      <c r="A875" t="n">
        <v>2000972</v>
      </c>
      <c r="B875" t="n">
        <v>2</v>
      </c>
      <c r="C875" t="n">
        <v>972</v>
      </c>
      <c r="D875" t="n">
        <v>-0.3833</v>
      </c>
      <c r="E875" t="n">
        <v>14.4584</v>
      </c>
      <c r="F875" t="n">
        <v>0.09019000000000001</v>
      </c>
    </row>
    <row r="876">
      <c r="A876" t="n">
        <v>2000973</v>
      </c>
      <c r="B876" t="n">
        <v>2</v>
      </c>
      <c r="C876" t="n">
        <v>973</v>
      </c>
      <c r="D876" t="n">
        <v>-0.3833</v>
      </c>
      <c r="E876" t="n">
        <v>14.4848</v>
      </c>
      <c r="F876" t="n">
        <v>0.09021</v>
      </c>
    </row>
    <row r="877">
      <c r="A877" t="n">
        <v>2000974</v>
      </c>
      <c r="B877" t="n">
        <v>2</v>
      </c>
      <c r="C877" t="n">
        <v>974</v>
      </c>
      <c r="D877" t="n">
        <v>-0.3833</v>
      </c>
      <c r="E877" t="n">
        <v>14.5112</v>
      </c>
      <c r="F877" t="n">
        <v>0.09023</v>
      </c>
    </row>
    <row r="878">
      <c r="A878" t="n">
        <v>2000975</v>
      </c>
      <c r="B878" t="n">
        <v>2</v>
      </c>
      <c r="C878" t="n">
        <v>975</v>
      </c>
      <c r="D878" t="n">
        <v>-0.3833</v>
      </c>
      <c r="E878" t="n">
        <v>14.5376</v>
      </c>
      <c r="F878" t="n">
        <v>0.09026000000000001</v>
      </c>
    </row>
    <row r="879">
      <c r="A879" t="n">
        <v>2000976</v>
      </c>
      <c r="B879" t="n">
        <v>2</v>
      </c>
      <c r="C879" t="n">
        <v>976</v>
      </c>
      <c r="D879" t="n">
        <v>-0.3833</v>
      </c>
      <c r="E879" t="n">
        <v>14.5642</v>
      </c>
      <c r="F879" t="n">
        <v>0.09028</v>
      </c>
    </row>
    <row r="880">
      <c r="A880" t="n">
        <v>2000977</v>
      </c>
      <c r="B880" t="n">
        <v>2</v>
      </c>
      <c r="C880" t="n">
        <v>977</v>
      </c>
      <c r="D880" t="n">
        <v>-0.3833</v>
      </c>
      <c r="E880" t="n">
        <v>14.5908</v>
      </c>
      <c r="F880" t="n">
        <v>0.09030000000000001</v>
      </c>
    </row>
    <row r="881">
      <c r="A881" t="n">
        <v>2000978</v>
      </c>
      <c r="B881" t="n">
        <v>2</v>
      </c>
      <c r="C881" t="n">
        <v>978</v>
      </c>
      <c r="D881" t="n">
        <v>-0.3833</v>
      </c>
      <c r="E881" t="n">
        <v>14.6174</v>
      </c>
      <c r="F881" t="n">
        <v>0.09032999999999999</v>
      </c>
    </row>
    <row r="882">
      <c r="A882" t="n">
        <v>2000979</v>
      </c>
      <c r="B882" t="n">
        <v>2</v>
      </c>
      <c r="C882" t="n">
        <v>979</v>
      </c>
      <c r="D882" t="n">
        <v>-0.3833</v>
      </c>
      <c r="E882" t="n">
        <v>14.6442</v>
      </c>
      <c r="F882" t="n">
        <v>0.09035</v>
      </c>
    </row>
    <row r="883">
      <c r="A883" t="n">
        <v>2000980</v>
      </c>
      <c r="B883" t="n">
        <v>2</v>
      </c>
      <c r="C883" t="n">
        <v>980</v>
      </c>
      <c r="D883" t="n">
        <v>-0.3833</v>
      </c>
      <c r="E883" t="n">
        <v>14.671</v>
      </c>
      <c r="F883" t="n">
        <v>0.09037000000000001</v>
      </c>
    </row>
    <row r="884">
      <c r="A884" t="n">
        <v>2000981</v>
      </c>
      <c r="B884" t="n">
        <v>2</v>
      </c>
      <c r="C884" t="n">
        <v>981</v>
      </c>
      <c r="D884" t="n">
        <v>-0.3833</v>
      </c>
      <c r="E884" t="n">
        <v>14.6979</v>
      </c>
      <c r="F884" t="n">
        <v>0.09039999999999999</v>
      </c>
    </row>
    <row r="885">
      <c r="A885" t="n">
        <v>2000982</v>
      </c>
      <c r="B885" t="n">
        <v>2</v>
      </c>
      <c r="C885" t="n">
        <v>982</v>
      </c>
      <c r="D885" t="n">
        <v>-0.3833</v>
      </c>
      <c r="E885" t="n">
        <v>14.7248</v>
      </c>
      <c r="F885" t="n">
        <v>0.09042</v>
      </c>
    </row>
    <row r="886">
      <c r="A886" t="n">
        <v>2000983</v>
      </c>
      <c r="B886" t="n">
        <v>2</v>
      </c>
      <c r="C886" t="n">
        <v>983</v>
      </c>
      <c r="D886" t="n">
        <v>-0.3833</v>
      </c>
      <c r="E886" t="n">
        <v>14.7519</v>
      </c>
      <c r="F886" t="n">
        <v>0.09044000000000001</v>
      </c>
    </row>
    <row r="887">
      <c r="A887" t="n">
        <v>2000984</v>
      </c>
      <c r="B887" t="n">
        <v>2</v>
      </c>
      <c r="C887" t="n">
        <v>984</v>
      </c>
      <c r="D887" t="n">
        <v>-0.3833</v>
      </c>
      <c r="E887" t="n">
        <v>14.779</v>
      </c>
      <c r="F887" t="n">
        <v>0.09046999999999999</v>
      </c>
    </row>
    <row r="888">
      <c r="A888" t="n">
        <v>2000985</v>
      </c>
      <c r="B888" t="n">
        <v>2</v>
      </c>
      <c r="C888" t="n">
        <v>985</v>
      </c>
      <c r="D888" t="n">
        <v>-0.3833</v>
      </c>
      <c r="E888" t="n">
        <v>14.8062</v>
      </c>
      <c r="F888" t="n">
        <v>0.09049</v>
      </c>
    </row>
    <row r="889">
      <c r="A889" t="n">
        <v>2000986</v>
      </c>
      <c r="B889" t="n">
        <v>2</v>
      </c>
      <c r="C889" t="n">
        <v>986</v>
      </c>
      <c r="D889" t="n">
        <v>-0.3833</v>
      </c>
      <c r="E889" t="n">
        <v>14.8334</v>
      </c>
      <c r="F889" t="n">
        <v>0.09052</v>
      </c>
    </row>
    <row r="890">
      <c r="A890" t="n">
        <v>2000987</v>
      </c>
      <c r="B890" t="n">
        <v>2</v>
      </c>
      <c r="C890" t="n">
        <v>987</v>
      </c>
      <c r="D890" t="n">
        <v>-0.3833</v>
      </c>
      <c r="E890" t="n">
        <v>14.8608</v>
      </c>
      <c r="F890" t="n">
        <v>0.09054</v>
      </c>
    </row>
    <row r="891">
      <c r="A891" t="n">
        <v>2000988</v>
      </c>
      <c r="B891" t="n">
        <v>2</v>
      </c>
      <c r="C891" t="n">
        <v>988</v>
      </c>
      <c r="D891" t="n">
        <v>-0.3833</v>
      </c>
      <c r="E891" t="n">
        <v>14.8882</v>
      </c>
      <c r="F891" t="n">
        <v>0.09057</v>
      </c>
    </row>
    <row r="892">
      <c r="A892" t="n">
        <v>2000989</v>
      </c>
      <c r="B892" t="n">
        <v>2</v>
      </c>
      <c r="C892" t="n">
        <v>989</v>
      </c>
      <c r="D892" t="n">
        <v>-0.3833</v>
      </c>
      <c r="E892" t="n">
        <v>14.9157</v>
      </c>
      <c r="F892" t="n">
        <v>0.09059</v>
      </c>
    </row>
    <row r="893">
      <c r="A893" t="n">
        <v>2000990</v>
      </c>
      <c r="B893" t="n">
        <v>2</v>
      </c>
      <c r="C893" t="n">
        <v>990</v>
      </c>
      <c r="D893" t="n">
        <v>-0.3833</v>
      </c>
      <c r="E893" t="n">
        <v>14.9434</v>
      </c>
      <c r="F893" t="n">
        <v>0.09062000000000001</v>
      </c>
    </row>
    <row r="894">
      <c r="A894" t="n">
        <v>2000991</v>
      </c>
      <c r="B894" t="n">
        <v>2</v>
      </c>
      <c r="C894" t="n">
        <v>991</v>
      </c>
      <c r="D894" t="n">
        <v>-0.3833</v>
      </c>
      <c r="E894" t="n">
        <v>14.9711</v>
      </c>
      <c r="F894" t="n">
        <v>0.09064</v>
      </c>
    </row>
    <row r="895">
      <c r="A895" t="n">
        <v>2000992</v>
      </c>
      <c r="B895" t="n">
        <v>2</v>
      </c>
      <c r="C895" t="n">
        <v>992</v>
      </c>
      <c r="D895" t="n">
        <v>-0.3833</v>
      </c>
      <c r="E895" t="n">
        <v>14.9989</v>
      </c>
      <c r="F895" t="n">
        <v>0.09067</v>
      </c>
    </row>
    <row r="896">
      <c r="A896" t="n">
        <v>2000993</v>
      </c>
      <c r="B896" t="n">
        <v>2</v>
      </c>
      <c r="C896" t="n">
        <v>993</v>
      </c>
      <c r="D896" t="n">
        <v>-0.3833</v>
      </c>
      <c r="E896" t="n">
        <v>15.0267</v>
      </c>
      <c r="F896" t="n">
        <v>0.09069000000000001</v>
      </c>
    </row>
    <row r="897">
      <c r="A897" t="n">
        <v>2000994</v>
      </c>
      <c r="B897" t="n">
        <v>2</v>
      </c>
      <c r="C897" t="n">
        <v>994</v>
      </c>
      <c r="D897" t="n">
        <v>-0.3833</v>
      </c>
      <c r="E897" t="n">
        <v>15.0547</v>
      </c>
      <c r="F897" t="n">
        <v>0.09072</v>
      </c>
    </row>
    <row r="898">
      <c r="A898" t="n">
        <v>2000995</v>
      </c>
      <c r="B898" t="n">
        <v>2</v>
      </c>
      <c r="C898" t="n">
        <v>995</v>
      </c>
      <c r="D898" t="n">
        <v>-0.3833</v>
      </c>
      <c r="E898" t="n">
        <v>15.0828</v>
      </c>
      <c r="F898" t="n">
        <v>0.09075</v>
      </c>
    </row>
    <row r="899">
      <c r="A899" t="n">
        <v>2000996</v>
      </c>
      <c r="B899" t="n">
        <v>2</v>
      </c>
      <c r="C899" t="n">
        <v>996</v>
      </c>
      <c r="D899" t="n">
        <v>-0.3833</v>
      </c>
      <c r="E899" t="n">
        <v>15.1109</v>
      </c>
      <c r="F899" t="n">
        <v>0.09077</v>
      </c>
    </row>
    <row r="900">
      <c r="A900" t="n">
        <v>2000997</v>
      </c>
      <c r="B900" t="n">
        <v>2</v>
      </c>
      <c r="C900" t="n">
        <v>997</v>
      </c>
      <c r="D900" t="n">
        <v>-0.3833</v>
      </c>
      <c r="E900" t="n">
        <v>15.1392</v>
      </c>
      <c r="F900" t="n">
        <v>0.09080000000000001</v>
      </c>
    </row>
    <row r="901">
      <c r="A901" t="n">
        <v>2000998</v>
      </c>
      <c r="B901" t="n">
        <v>2</v>
      </c>
      <c r="C901" t="n">
        <v>998</v>
      </c>
      <c r="D901" t="n">
        <v>-0.3833</v>
      </c>
      <c r="E901" t="n">
        <v>15.1676</v>
      </c>
      <c r="F901" t="n">
        <v>0.09082999999999999</v>
      </c>
    </row>
    <row r="902">
      <c r="A902" t="n">
        <v>2000999</v>
      </c>
      <c r="B902" t="n">
        <v>2</v>
      </c>
      <c r="C902" t="n">
        <v>999</v>
      </c>
      <c r="D902" t="n">
        <v>-0.3833</v>
      </c>
      <c r="E902" t="n">
        <v>15.196</v>
      </c>
      <c r="F902" t="n">
        <v>0.09085</v>
      </c>
    </row>
    <row r="903">
      <c r="A903" t="n">
        <v>2001000</v>
      </c>
      <c r="B903" t="n">
        <v>2</v>
      </c>
      <c r="C903" t="n">
        <v>1000</v>
      </c>
      <c r="D903" t="n">
        <v>-0.3833</v>
      </c>
      <c r="E903" t="n">
        <v>15.2246</v>
      </c>
      <c r="F903" t="n">
        <v>0.09088</v>
      </c>
    </row>
    <row r="904">
      <c r="A904" t="n">
        <v>2001001</v>
      </c>
      <c r="B904" t="n">
        <v>2</v>
      </c>
      <c r="C904" t="n">
        <v>1001</v>
      </c>
      <c r="D904" t="n">
        <v>-0.3833</v>
      </c>
      <c r="E904" t="n">
        <v>15.2532</v>
      </c>
      <c r="F904" t="n">
        <v>0.09091</v>
      </c>
    </row>
    <row r="905">
      <c r="A905" t="n">
        <v>2001002</v>
      </c>
      <c r="B905" t="n">
        <v>2</v>
      </c>
      <c r="C905" t="n">
        <v>1002</v>
      </c>
      <c r="D905" t="n">
        <v>-0.3833</v>
      </c>
      <c r="E905" t="n">
        <v>15.2819</v>
      </c>
      <c r="F905" t="n">
        <v>0.09093</v>
      </c>
    </row>
    <row r="906">
      <c r="A906" t="n">
        <v>2001003</v>
      </c>
      <c r="B906" t="n">
        <v>2</v>
      </c>
      <c r="C906" t="n">
        <v>1003</v>
      </c>
      <c r="D906" t="n">
        <v>-0.3833</v>
      </c>
      <c r="E906" t="n">
        <v>15.3108</v>
      </c>
      <c r="F906" t="n">
        <v>0.09096</v>
      </c>
    </row>
    <row r="907">
      <c r="A907" t="n">
        <v>2001004</v>
      </c>
      <c r="B907" t="n">
        <v>2</v>
      </c>
      <c r="C907" t="n">
        <v>1004</v>
      </c>
      <c r="D907" t="n">
        <v>-0.3833</v>
      </c>
      <c r="E907" t="n">
        <v>15.3397</v>
      </c>
      <c r="F907" t="n">
        <v>0.09099</v>
      </c>
    </row>
    <row r="908">
      <c r="A908" t="n">
        <v>2001005</v>
      </c>
      <c r="B908" t="n">
        <v>2</v>
      </c>
      <c r="C908" t="n">
        <v>1005</v>
      </c>
      <c r="D908" t="n">
        <v>-0.3833</v>
      </c>
      <c r="E908" t="n">
        <v>15.3687</v>
      </c>
      <c r="F908" t="n">
        <v>0.09102</v>
      </c>
    </row>
    <row r="909">
      <c r="A909" t="n">
        <v>2001006</v>
      </c>
      <c r="B909" t="n">
        <v>2</v>
      </c>
      <c r="C909" t="n">
        <v>1006</v>
      </c>
      <c r="D909" t="n">
        <v>-0.3833</v>
      </c>
      <c r="E909" t="n">
        <v>15.3979</v>
      </c>
      <c r="F909" t="n">
        <v>0.09105000000000001</v>
      </c>
    </row>
    <row r="910">
      <c r="A910" t="n">
        <v>2001007</v>
      </c>
      <c r="B910" t="n">
        <v>2</v>
      </c>
      <c r="C910" t="n">
        <v>1007</v>
      </c>
      <c r="D910" t="n">
        <v>-0.3833</v>
      </c>
      <c r="E910" t="n">
        <v>15.4271</v>
      </c>
      <c r="F910" t="n">
        <v>0.09107</v>
      </c>
    </row>
    <row r="911">
      <c r="A911" t="n">
        <v>2001008</v>
      </c>
      <c r="B911" t="n">
        <v>2</v>
      </c>
      <c r="C911" t="n">
        <v>1008</v>
      </c>
      <c r="D911" t="n">
        <v>-0.3833</v>
      </c>
      <c r="E911" t="n">
        <v>15.4564</v>
      </c>
      <c r="F911" t="n">
        <v>0.0911</v>
      </c>
    </row>
    <row r="912">
      <c r="A912" t="n">
        <v>2001009</v>
      </c>
      <c r="B912" t="n">
        <v>2</v>
      </c>
      <c r="C912" t="n">
        <v>1009</v>
      </c>
      <c r="D912" t="n">
        <v>-0.3833</v>
      </c>
      <c r="E912" t="n">
        <v>15.4858</v>
      </c>
      <c r="F912" t="n">
        <v>0.09113</v>
      </c>
    </row>
    <row r="913">
      <c r="A913" t="n">
        <v>2001010</v>
      </c>
      <c r="B913" t="n">
        <v>2</v>
      </c>
      <c r="C913" t="n">
        <v>1010</v>
      </c>
      <c r="D913" t="n">
        <v>-0.3833</v>
      </c>
      <c r="E913" t="n">
        <v>15.5154</v>
      </c>
      <c r="F913" t="n">
        <v>0.09116</v>
      </c>
    </row>
    <row r="914">
      <c r="A914" t="n">
        <v>2001011</v>
      </c>
      <c r="B914" t="n">
        <v>2</v>
      </c>
      <c r="C914" t="n">
        <v>1011</v>
      </c>
      <c r="D914" t="n">
        <v>-0.3833</v>
      </c>
      <c r="E914" t="n">
        <v>15.545</v>
      </c>
      <c r="F914" t="n">
        <v>0.09118999999999999</v>
      </c>
    </row>
    <row r="915">
      <c r="A915" t="n">
        <v>2001012</v>
      </c>
      <c r="B915" t="n">
        <v>2</v>
      </c>
      <c r="C915" t="n">
        <v>1012</v>
      </c>
      <c r="D915" t="n">
        <v>-0.3833</v>
      </c>
      <c r="E915" t="n">
        <v>15.5747</v>
      </c>
      <c r="F915" t="n">
        <v>0.09122</v>
      </c>
    </row>
    <row r="916">
      <c r="A916" t="n">
        <v>2001013</v>
      </c>
      <c r="B916" t="n">
        <v>2</v>
      </c>
      <c r="C916" t="n">
        <v>1013</v>
      </c>
      <c r="D916" t="n">
        <v>-0.3833</v>
      </c>
      <c r="E916" t="n">
        <v>15.6046</v>
      </c>
      <c r="F916" t="n">
        <v>0.09125</v>
      </c>
    </row>
    <row r="917">
      <c r="A917" t="n">
        <v>2001014</v>
      </c>
      <c r="B917" t="n">
        <v>2</v>
      </c>
      <c r="C917" t="n">
        <v>1014</v>
      </c>
      <c r="D917" t="n">
        <v>-0.3833</v>
      </c>
      <c r="E917" t="n">
        <v>15.6345</v>
      </c>
      <c r="F917" t="n">
        <v>0.09128</v>
      </c>
    </row>
    <row r="918">
      <c r="A918" t="n">
        <v>2001015</v>
      </c>
      <c r="B918" t="n">
        <v>2</v>
      </c>
      <c r="C918" t="n">
        <v>1015</v>
      </c>
      <c r="D918" t="n">
        <v>-0.3833</v>
      </c>
      <c r="E918" t="n">
        <v>15.6646</v>
      </c>
      <c r="F918" t="n">
        <v>0.09131</v>
      </c>
    </row>
    <row r="919">
      <c r="A919" t="n">
        <v>2001016</v>
      </c>
      <c r="B919" t="n">
        <v>2</v>
      </c>
      <c r="C919" t="n">
        <v>1016</v>
      </c>
      <c r="D919" t="n">
        <v>-0.3833</v>
      </c>
      <c r="E919" t="n">
        <v>15.6947</v>
      </c>
      <c r="F919" t="n">
        <v>0.09132999999999999</v>
      </c>
    </row>
    <row r="920">
      <c r="A920" t="n">
        <v>2001017</v>
      </c>
      <c r="B920" t="n">
        <v>2</v>
      </c>
      <c r="C920" t="n">
        <v>1017</v>
      </c>
      <c r="D920" t="n">
        <v>-0.3833</v>
      </c>
      <c r="E920" t="n">
        <v>15.725</v>
      </c>
      <c r="F920" t="n">
        <v>0.09136</v>
      </c>
    </row>
    <row r="921">
      <c r="A921" t="n">
        <v>2001018</v>
      </c>
      <c r="B921" t="n">
        <v>2</v>
      </c>
      <c r="C921" t="n">
        <v>1018</v>
      </c>
      <c r="D921" t="n">
        <v>-0.3833</v>
      </c>
      <c r="E921" t="n">
        <v>15.7553</v>
      </c>
      <c r="F921" t="n">
        <v>0.09139</v>
      </c>
    </row>
    <row r="922">
      <c r="A922" t="n">
        <v>2001019</v>
      </c>
      <c r="B922" t="n">
        <v>2</v>
      </c>
      <c r="C922" t="n">
        <v>1019</v>
      </c>
      <c r="D922" t="n">
        <v>-0.3833</v>
      </c>
      <c r="E922" t="n">
        <v>15.7858</v>
      </c>
      <c r="F922" t="n">
        <v>0.09142</v>
      </c>
    </row>
    <row r="923">
      <c r="A923" t="n">
        <v>2001020</v>
      </c>
      <c r="B923" t="n">
        <v>2</v>
      </c>
      <c r="C923" t="n">
        <v>1020</v>
      </c>
      <c r="D923" t="n">
        <v>-0.3833</v>
      </c>
      <c r="E923" t="n">
        <v>15.8164</v>
      </c>
      <c r="F923" t="n">
        <v>0.09146</v>
      </c>
    </row>
    <row r="924">
      <c r="A924" t="n">
        <v>2001021</v>
      </c>
      <c r="B924" t="n">
        <v>2</v>
      </c>
      <c r="C924" t="n">
        <v>1021</v>
      </c>
      <c r="D924" t="n">
        <v>-0.3833</v>
      </c>
      <c r="E924" t="n">
        <v>15.847</v>
      </c>
      <c r="F924" t="n">
        <v>0.09149</v>
      </c>
    </row>
    <row r="925">
      <c r="A925" t="n">
        <v>2001022</v>
      </c>
      <c r="B925" t="n">
        <v>2</v>
      </c>
      <c r="C925" t="n">
        <v>1022</v>
      </c>
      <c r="D925" t="n">
        <v>-0.3833</v>
      </c>
      <c r="E925" t="n">
        <v>15.8778</v>
      </c>
      <c r="F925" t="n">
        <v>0.09152</v>
      </c>
    </row>
    <row r="926">
      <c r="A926" t="n">
        <v>2001023</v>
      </c>
      <c r="B926" t="n">
        <v>2</v>
      </c>
      <c r="C926" t="n">
        <v>1023</v>
      </c>
      <c r="D926" t="n">
        <v>-0.3833</v>
      </c>
      <c r="E926" t="n">
        <v>15.9087</v>
      </c>
      <c r="F926" t="n">
        <v>0.09155000000000001</v>
      </c>
    </row>
    <row r="927">
      <c r="A927" t="n">
        <v>2001024</v>
      </c>
      <c r="B927" t="n">
        <v>2</v>
      </c>
      <c r="C927" t="n">
        <v>1024</v>
      </c>
      <c r="D927" t="n">
        <v>-0.3833</v>
      </c>
      <c r="E927" t="n">
        <v>15.9396</v>
      </c>
      <c r="F927" t="n">
        <v>0.09157999999999999</v>
      </c>
    </row>
    <row r="928">
      <c r="A928" t="n">
        <v>2001025</v>
      </c>
      <c r="B928" t="n">
        <v>2</v>
      </c>
      <c r="C928" t="n">
        <v>1025</v>
      </c>
      <c r="D928" t="n">
        <v>-0.3833</v>
      </c>
      <c r="E928" t="n">
        <v>15.9707</v>
      </c>
      <c r="F928" t="n">
        <v>0.09161</v>
      </c>
    </row>
    <row r="929">
      <c r="A929" t="n">
        <v>2001026</v>
      </c>
      <c r="B929" t="n">
        <v>2</v>
      </c>
      <c r="C929" t="n">
        <v>1026</v>
      </c>
      <c r="D929" t="n">
        <v>-0.3833</v>
      </c>
      <c r="E929" t="n">
        <v>16.0019</v>
      </c>
      <c r="F929" t="n">
        <v>0.09164</v>
      </c>
    </row>
    <row r="930">
      <c r="A930" t="n">
        <v>2001027</v>
      </c>
      <c r="B930" t="n">
        <v>2</v>
      </c>
      <c r="C930" t="n">
        <v>1027</v>
      </c>
      <c r="D930" t="n">
        <v>-0.3833</v>
      </c>
      <c r="E930" t="n">
        <v>16.0332</v>
      </c>
      <c r="F930" t="n">
        <v>0.09167</v>
      </c>
    </row>
    <row r="931">
      <c r="A931" t="n">
        <v>2001028</v>
      </c>
      <c r="B931" t="n">
        <v>2</v>
      </c>
      <c r="C931" t="n">
        <v>1028</v>
      </c>
      <c r="D931" t="n">
        <v>-0.3833</v>
      </c>
      <c r="E931" t="n">
        <v>16.0645</v>
      </c>
      <c r="F931" t="n">
        <v>0.0917</v>
      </c>
    </row>
    <row r="932">
      <c r="A932" t="n">
        <v>2001029</v>
      </c>
      <c r="B932" t="n">
        <v>2</v>
      </c>
      <c r="C932" t="n">
        <v>1029</v>
      </c>
      <c r="D932" t="n">
        <v>-0.3833</v>
      </c>
      <c r="E932" t="n">
        <v>16.096</v>
      </c>
      <c r="F932" t="n">
        <v>0.09173000000000001</v>
      </c>
    </row>
    <row r="933">
      <c r="A933" t="n">
        <v>2001030</v>
      </c>
      <c r="B933" t="n">
        <v>2</v>
      </c>
      <c r="C933" t="n">
        <v>1030</v>
      </c>
      <c r="D933" t="n">
        <v>-0.3833</v>
      </c>
      <c r="E933" t="n">
        <v>16.1276</v>
      </c>
      <c r="F933" t="n">
        <v>0.09177</v>
      </c>
    </row>
    <row r="934">
      <c r="A934" t="n">
        <v>2001031</v>
      </c>
      <c r="B934" t="n">
        <v>2</v>
      </c>
      <c r="C934" t="n">
        <v>1031</v>
      </c>
      <c r="D934" t="n">
        <v>-0.3833</v>
      </c>
      <c r="E934" t="n">
        <v>16.1593</v>
      </c>
      <c r="F934" t="n">
        <v>0.09180000000000001</v>
      </c>
    </row>
    <row r="935">
      <c r="A935" t="n">
        <v>2001032</v>
      </c>
      <c r="B935" t="n">
        <v>2</v>
      </c>
      <c r="C935" t="n">
        <v>1032</v>
      </c>
      <c r="D935" t="n">
        <v>-0.3833</v>
      </c>
      <c r="E935" t="n">
        <v>16.191</v>
      </c>
      <c r="F935" t="n">
        <v>0.09182999999999999</v>
      </c>
    </row>
    <row r="936">
      <c r="A936" t="n">
        <v>2001033</v>
      </c>
      <c r="B936" t="n">
        <v>2</v>
      </c>
      <c r="C936" t="n">
        <v>1033</v>
      </c>
      <c r="D936" t="n">
        <v>-0.3833</v>
      </c>
      <c r="E936" t="n">
        <v>16.2229</v>
      </c>
      <c r="F936" t="n">
        <v>0.09186</v>
      </c>
    </row>
    <row r="937">
      <c r="A937" t="n">
        <v>2001034</v>
      </c>
      <c r="B937" t="n">
        <v>2</v>
      </c>
      <c r="C937" t="n">
        <v>1034</v>
      </c>
      <c r="D937" t="n">
        <v>-0.3833</v>
      </c>
      <c r="E937" t="n">
        <v>16.2549</v>
      </c>
      <c r="F937" t="n">
        <v>0.0919</v>
      </c>
    </row>
    <row r="938">
      <c r="A938" t="n">
        <v>2001035</v>
      </c>
      <c r="B938" t="n">
        <v>2</v>
      </c>
      <c r="C938" t="n">
        <v>1035</v>
      </c>
      <c r="D938" t="n">
        <v>-0.3833</v>
      </c>
      <c r="E938" t="n">
        <v>16.287</v>
      </c>
      <c r="F938" t="n">
        <v>0.09193</v>
      </c>
    </row>
    <row r="939">
      <c r="A939" t="n">
        <v>2001036</v>
      </c>
      <c r="B939" t="n">
        <v>2</v>
      </c>
      <c r="C939" t="n">
        <v>1036</v>
      </c>
      <c r="D939" t="n">
        <v>-0.3833</v>
      </c>
      <c r="E939" t="n">
        <v>16.3191</v>
      </c>
      <c r="F939" t="n">
        <v>0.09196</v>
      </c>
    </row>
    <row r="940">
      <c r="A940" t="n">
        <v>2001037</v>
      </c>
      <c r="B940" t="n">
        <v>2</v>
      </c>
      <c r="C940" t="n">
        <v>1037</v>
      </c>
      <c r="D940" t="n">
        <v>-0.3833</v>
      </c>
      <c r="E940" t="n">
        <v>16.3514</v>
      </c>
      <c r="F940" t="n">
        <v>0.09199</v>
      </c>
    </row>
    <row r="941">
      <c r="A941" t="n">
        <v>2001038</v>
      </c>
      <c r="B941" t="n">
        <v>2</v>
      </c>
      <c r="C941" t="n">
        <v>1038</v>
      </c>
      <c r="D941" t="n">
        <v>-0.3833</v>
      </c>
      <c r="E941" t="n">
        <v>16.3837</v>
      </c>
      <c r="F941" t="n">
        <v>0.09203</v>
      </c>
    </row>
    <row r="942">
      <c r="A942" t="n">
        <v>2001039</v>
      </c>
      <c r="B942" t="n">
        <v>2</v>
      </c>
      <c r="C942" t="n">
        <v>1039</v>
      </c>
      <c r="D942" t="n">
        <v>-0.3833</v>
      </c>
      <c r="E942" t="n">
        <v>16.4162</v>
      </c>
      <c r="F942" t="n">
        <v>0.09206</v>
      </c>
    </row>
    <row r="943">
      <c r="A943" t="n">
        <v>2001040</v>
      </c>
      <c r="B943" t="n">
        <v>2</v>
      </c>
      <c r="C943" t="n">
        <v>1040</v>
      </c>
      <c r="D943" t="n">
        <v>-0.3833</v>
      </c>
      <c r="E943" t="n">
        <v>16.4488</v>
      </c>
      <c r="F943" t="n">
        <v>0.09209000000000001</v>
      </c>
    </row>
    <row r="944">
      <c r="A944" t="n">
        <v>2001041</v>
      </c>
      <c r="B944" t="n">
        <v>2</v>
      </c>
      <c r="C944" t="n">
        <v>1041</v>
      </c>
      <c r="D944" t="n">
        <v>-0.3833</v>
      </c>
      <c r="E944" t="n">
        <v>16.4814</v>
      </c>
      <c r="F944" t="n">
        <v>0.09213</v>
      </c>
    </row>
    <row r="945">
      <c r="A945" t="n">
        <v>2001042</v>
      </c>
      <c r="B945" t="n">
        <v>2</v>
      </c>
      <c r="C945" t="n">
        <v>1042</v>
      </c>
      <c r="D945" t="n">
        <v>-0.3833</v>
      </c>
      <c r="E945" t="n">
        <v>16.5142</v>
      </c>
      <c r="F945" t="n">
        <v>0.09216000000000001</v>
      </c>
    </row>
    <row r="946">
      <c r="A946" t="n">
        <v>2001043</v>
      </c>
      <c r="B946" t="n">
        <v>2</v>
      </c>
      <c r="C946" t="n">
        <v>1043</v>
      </c>
      <c r="D946" t="n">
        <v>-0.3833</v>
      </c>
      <c r="E946" t="n">
        <v>16.547</v>
      </c>
      <c r="F946" t="n">
        <v>0.09218999999999999</v>
      </c>
    </row>
    <row r="947">
      <c r="A947" t="n">
        <v>2001044</v>
      </c>
      <c r="B947" t="n">
        <v>2</v>
      </c>
      <c r="C947" t="n">
        <v>1044</v>
      </c>
      <c r="D947" t="n">
        <v>-0.3833</v>
      </c>
      <c r="E947" t="n">
        <v>16.58</v>
      </c>
      <c r="F947" t="n">
        <v>0.09223000000000001</v>
      </c>
    </row>
    <row r="948">
      <c r="A948" t="n">
        <v>2001045</v>
      </c>
      <c r="B948" t="n">
        <v>2</v>
      </c>
      <c r="C948" t="n">
        <v>1045</v>
      </c>
      <c r="D948" t="n">
        <v>-0.3833</v>
      </c>
      <c r="E948" t="n">
        <v>16.6131</v>
      </c>
      <c r="F948" t="n">
        <v>0.09225999999999999</v>
      </c>
    </row>
    <row r="949">
      <c r="A949" t="n">
        <v>2001046</v>
      </c>
      <c r="B949" t="n">
        <v>2</v>
      </c>
      <c r="C949" t="n">
        <v>1046</v>
      </c>
      <c r="D949" t="n">
        <v>-0.3833</v>
      </c>
      <c r="E949" t="n">
        <v>16.6462</v>
      </c>
      <c r="F949" t="n">
        <v>0.09229</v>
      </c>
    </row>
    <row r="950">
      <c r="A950" t="n">
        <v>2001047</v>
      </c>
      <c r="B950" t="n">
        <v>2</v>
      </c>
      <c r="C950" t="n">
        <v>1047</v>
      </c>
      <c r="D950" t="n">
        <v>-0.3833</v>
      </c>
      <c r="E950" t="n">
        <v>16.6795</v>
      </c>
      <c r="F950" t="n">
        <v>0.09233</v>
      </c>
    </row>
    <row r="951">
      <c r="A951" t="n">
        <v>2001048</v>
      </c>
      <c r="B951" t="n">
        <v>2</v>
      </c>
      <c r="C951" t="n">
        <v>1048</v>
      </c>
      <c r="D951" t="n">
        <v>-0.3833</v>
      </c>
      <c r="E951" t="n">
        <v>16.7129</v>
      </c>
      <c r="F951" t="n">
        <v>0.09236</v>
      </c>
    </row>
    <row r="952">
      <c r="A952" t="n">
        <v>2001049</v>
      </c>
      <c r="B952" t="n">
        <v>2</v>
      </c>
      <c r="C952" t="n">
        <v>1049</v>
      </c>
      <c r="D952" t="n">
        <v>-0.3833</v>
      </c>
      <c r="E952" t="n">
        <v>16.7464</v>
      </c>
      <c r="F952" t="n">
        <v>0.0924</v>
      </c>
    </row>
    <row r="953">
      <c r="A953" t="n">
        <v>2001050</v>
      </c>
      <c r="B953" t="n">
        <v>2</v>
      </c>
      <c r="C953" t="n">
        <v>1050</v>
      </c>
      <c r="D953" t="n">
        <v>-0.3833</v>
      </c>
      <c r="E953" t="n">
        <v>16.78</v>
      </c>
      <c r="F953" t="n">
        <v>0.09243</v>
      </c>
    </row>
    <row r="954">
      <c r="A954" t="n">
        <v>2001051</v>
      </c>
      <c r="B954" t="n">
        <v>2</v>
      </c>
      <c r="C954" t="n">
        <v>1051</v>
      </c>
      <c r="D954" t="n">
        <v>-0.3833</v>
      </c>
      <c r="E954" t="n">
        <v>16.8137</v>
      </c>
      <c r="F954" t="n">
        <v>0.09247</v>
      </c>
    </row>
    <row r="955">
      <c r="A955" t="n">
        <v>2001052</v>
      </c>
      <c r="B955" t="n">
        <v>2</v>
      </c>
      <c r="C955" t="n">
        <v>1052</v>
      </c>
      <c r="D955" t="n">
        <v>-0.3833</v>
      </c>
      <c r="E955" t="n">
        <v>16.8475</v>
      </c>
      <c r="F955" t="n">
        <v>0.0925</v>
      </c>
    </row>
    <row r="956">
      <c r="A956" t="n">
        <v>2001053</v>
      </c>
      <c r="B956" t="n">
        <v>2</v>
      </c>
      <c r="C956" t="n">
        <v>1053</v>
      </c>
      <c r="D956" t="n">
        <v>-0.3833</v>
      </c>
      <c r="E956" t="n">
        <v>16.8814</v>
      </c>
      <c r="F956" t="n">
        <v>0.09254</v>
      </c>
    </row>
    <row r="957">
      <c r="A957" t="n">
        <v>2001054</v>
      </c>
      <c r="B957" t="n">
        <v>2</v>
      </c>
      <c r="C957" t="n">
        <v>1054</v>
      </c>
      <c r="D957" t="n">
        <v>-0.3833</v>
      </c>
      <c r="E957" t="n">
        <v>16.9154</v>
      </c>
      <c r="F957" t="n">
        <v>0.09257</v>
      </c>
    </row>
    <row r="958">
      <c r="A958" t="n">
        <v>2001055</v>
      </c>
      <c r="B958" t="n">
        <v>2</v>
      </c>
      <c r="C958" t="n">
        <v>1055</v>
      </c>
      <c r="D958" t="n">
        <v>-0.3833</v>
      </c>
      <c r="E958" t="n">
        <v>16.9496</v>
      </c>
      <c r="F958" t="n">
        <v>0.09261</v>
      </c>
    </row>
    <row r="959">
      <c r="A959" t="n">
        <v>2001056</v>
      </c>
      <c r="B959" t="n">
        <v>2</v>
      </c>
      <c r="C959" t="n">
        <v>1056</v>
      </c>
      <c r="D959" t="n">
        <v>-0.3833</v>
      </c>
      <c r="E959" t="n">
        <v>16.9838</v>
      </c>
      <c r="F959" t="n">
        <v>0.09264</v>
      </c>
    </row>
    <row r="960">
      <c r="A960" t="n">
        <v>2001057</v>
      </c>
      <c r="B960" t="n">
        <v>2</v>
      </c>
      <c r="C960" t="n">
        <v>1057</v>
      </c>
      <c r="D960" t="n">
        <v>-0.3833</v>
      </c>
      <c r="E960" t="n">
        <v>17.0182</v>
      </c>
      <c r="F960" t="n">
        <v>0.09268</v>
      </c>
    </row>
    <row r="961">
      <c r="A961" t="n">
        <v>2001058</v>
      </c>
      <c r="B961" t="n">
        <v>2</v>
      </c>
      <c r="C961" t="n">
        <v>1058</v>
      </c>
      <c r="D961" t="n">
        <v>-0.3833</v>
      </c>
      <c r="E961" t="n">
        <v>17.0527</v>
      </c>
      <c r="F961" t="n">
        <v>0.09271</v>
      </c>
    </row>
    <row r="962">
      <c r="A962" t="n">
        <v>2001059</v>
      </c>
      <c r="B962" t="n">
        <v>2</v>
      </c>
      <c r="C962" t="n">
        <v>1059</v>
      </c>
      <c r="D962" t="n">
        <v>-0.3833</v>
      </c>
      <c r="E962" t="n">
        <v>17.0873</v>
      </c>
      <c r="F962" t="n">
        <v>0.09275</v>
      </c>
    </row>
    <row r="963">
      <c r="A963" t="n">
        <v>2001060</v>
      </c>
      <c r="B963" t="n">
        <v>2</v>
      </c>
      <c r="C963" t="n">
        <v>1060</v>
      </c>
      <c r="D963" t="n">
        <v>-0.3833</v>
      </c>
      <c r="E963" t="n">
        <v>17.122</v>
      </c>
      <c r="F963" t="n">
        <v>0.09278</v>
      </c>
    </row>
    <row r="964">
      <c r="A964" t="n">
        <v>2001061</v>
      </c>
      <c r="B964" t="n">
        <v>2</v>
      </c>
      <c r="C964" t="n">
        <v>1061</v>
      </c>
      <c r="D964" t="n">
        <v>-0.3833</v>
      </c>
      <c r="E964" t="n">
        <v>17.1569</v>
      </c>
      <c r="F964" t="n">
        <v>0.09282</v>
      </c>
    </row>
    <row r="965">
      <c r="A965" t="n">
        <v>2001062</v>
      </c>
      <c r="B965" t="n">
        <v>2</v>
      </c>
      <c r="C965" t="n">
        <v>1062</v>
      </c>
      <c r="D965" t="n">
        <v>-0.3833</v>
      </c>
      <c r="E965" t="n">
        <v>17.1918</v>
      </c>
      <c r="F965" t="n">
        <v>0.09286</v>
      </c>
    </row>
    <row r="966">
      <c r="A966" t="n">
        <v>2001063</v>
      </c>
      <c r="B966" t="n">
        <v>2</v>
      </c>
      <c r="C966" t="n">
        <v>1063</v>
      </c>
      <c r="D966" t="n">
        <v>-0.3833</v>
      </c>
      <c r="E966" t="n">
        <v>17.2269</v>
      </c>
      <c r="F966" t="n">
        <v>0.09289</v>
      </c>
    </row>
    <row r="967">
      <c r="A967" t="n">
        <v>2001064</v>
      </c>
      <c r="B967" t="n">
        <v>2</v>
      </c>
      <c r="C967" t="n">
        <v>1064</v>
      </c>
      <c r="D967" t="n">
        <v>-0.3833</v>
      </c>
      <c r="E967" t="n">
        <v>17.262</v>
      </c>
      <c r="F967" t="n">
        <v>0.09293</v>
      </c>
    </row>
    <row r="968">
      <c r="A968" t="n">
        <v>2001065</v>
      </c>
      <c r="B968" t="n">
        <v>2</v>
      </c>
      <c r="C968" t="n">
        <v>1065</v>
      </c>
      <c r="D968" t="n">
        <v>-0.3833</v>
      </c>
      <c r="E968" t="n">
        <v>17.2973</v>
      </c>
      <c r="F968" t="n">
        <v>0.09296</v>
      </c>
    </row>
    <row r="969">
      <c r="A969" t="n">
        <v>2001066</v>
      </c>
      <c r="B969" t="n">
        <v>2</v>
      </c>
      <c r="C969" t="n">
        <v>1066</v>
      </c>
      <c r="D969" t="n">
        <v>-0.3833</v>
      </c>
      <c r="E969" t="n">
        <v>17.3327</v>
      </c>
      <c r="F969" t="n">
        <v>0.093</v>
      </c>
    </row>
    <row r="970">
      <c r="A970" t="n">
        <v>2001067</v>
      </c>
      <c r="B970" t="n">
        <v>2</v>
      </c>
      <c r="C970" t="n">
        <v>1067</v>
      </c>
      <c r="D970" t="n">
        <v>-0.3833</v>
      </c>
      <c r="E970" t="n">
        <v>17.3683</v>
      </c>
      <c r="F970" t="n">
        <v>0.09304</v>
      </c>
    </row>
    <row r="971">
      <c r="A971" t="n">
        <v>2001068</v>
      </c>
      <c r="B971" t="n">
        <v>2</v>
      </c>
      <c r="C971" t="n">
        <v>1068</v>
      </c>
      <c r="D971" t="n">
        <v>-0.3833</v>
      </c>
      <c r="E971" t="n">
        <v>17.4039</v>
      </c>
      <c r="F971" t="n">
        <v>0.09307</v>
      </c>
    </row>
    <row r="972">
      <c r="A972" t="n">
        <v>2001069</v>
      </c>
      <c r="B972" t="n">
        <v>2</v>
      </c>
      <c r="C972" t="n">
        <v>1069</v>
      </c>
      <c r="D972" t="n">
        <v>-0.3833</v>
      </c>
      <c r="E972" t="n">
        <v>17.4397</v>
      </c>
      <c r="F972" t="n">
        <v>0.09311</v>
      </c>
    </row>
    <row r="973">
      <c r="A973" t="n">
        <v>2001070</v>
      </c>
      <c r="B973" t="n">
        <v>2</v>
      </c>
      <c r="C973" t="n">
        <v>1070</v>
      </c>
      <c r="D973" t="n">
        <v>-0.3833</v>
      </c>
      <c r="E973" t="n">
        <v>17.4755</v>
      </c>
      <c r="F973" t="n">
        <v>0.09315</v>
      </c>
    </row>
    <row r="974">
      <c r="A974" t="n">
        <v>2001071</v>
      </c>
      <c r="B974" t="n">
        <v>2</v>
      </c>
      <c r="C974" t="n">
        <v>1071</v>
      </c>
      <c r="D974" t="n">
        <v>-0.3833</v>
      </c>
      <c r="E974" t="n">
        <v>17.5115</v>
      </c>
      <c r="F974" t="n">
        <v>0.09318</v>
      </c>
    </row>
    <row r="975">
      <c r="A975" t="n">
        <v>2001072</v>
      </c>
      <c r="B975" t="n">
        <v>2</v>
      </c>
      <c r="C975" t="n">
        <v>1072</v>
      </c>
      <c r="D975" t="n">
        <v>-0.3833</v>
      </c>
      <c r="E975" t="n">
        <v>17.5476</v>
      </c>
      <c r="F975" t="n">
        <v>0.09322</v>
      </c>
    </row>
    <row r="976">
      <c r="A976" t="n">
        <v>2001073</v>
      </c>
      <c r="B976" t="n">
        <v>2</v>
      </c>
      <c r="C976" t="n">
        <v>1073</v>
      </c>
      <c r="D976" t="n">
        <v>-0.3833</v>
      </c>
      <c r="E976" t="n">
        <v>17.5839</v>
      </c>
      <c r="F976" t="n">
        <v>0.09326</v>
      </c>
    </row>
    <row r="977">
      <c r="A977" t="n">
        <v>2001074</v>
      </c>
      <c r="B977" t="n">
        <v>2</v>
      </c>
      <c r="C977" t="n">
        <v>1074</v>
      </c>
      <c r="D977" t="n">
        <v>-0.3833</v>
      </c>
      <c r="E977" t="n">
        <v>17.6202</v>
      </c>
      <c r="F977" t="n">
        <v>0.09329</v>
      </c>
    </row>
    <row r="978">
      <c r="A978" t="n">
        <v>2001075</v>
      </c>
      <c r="B978" t="n">
        <v>2</v>
      </c>
      <c r="C978" t="n">
        <v>1075</v>
      </c>
      <c r="D978" t="n">
        <v>-0.3833</v>
      </c>
      <c r="E978" t="n">
        <v>17.6567</v>
      </c>
      <c r="F978" t="n">
        <v>0.09333</v>
      </c>
    </row>
    <row r="979">
      <c r="A979" t="n">
        <v>2001076</v>
      </c>
      <c r="B979" t="n">
        <v>2</v>
      </c>
      <c r="C979" t="n">
        <v>1076</v>
      </c>
      <c r="D979" t="n">
        <v>-0.3833</v>
      </c>
      <c r="E979" t="n">
        <v>17.6932</v>
      </c>
      <c r="F979" t="n">
        <v>0.09336999999999999</v>
      </c>
    </row>
    <row r="980">
      <c r="A980" t="n">
        <v>2001077</v>
      </c>
      <c r="B980" t="n">
        <v>2</v>
      </c>
      <c r="C980" t="n">
        <v>1077</v>
      </c>
      <c r="D980" t="n">
        <v>-0.3833</v>
      </c>
      <c r="E980" t="n">
        <v>17.7299</v>
      </c>
      <c r="F980" t="n">
        <v>0.09341000000000001</v>
      </c>
    </row>
    <row r="981">
      <c r="A981" t="n">
        <v>2001078</v>
      </c>
      <c r="B981" t="n">
        <v>2</v>
      </c>
      <c r="C981" t="n">
        <v>1078</v>
      </c>
      <c r="D981" t="n">
        <v>-0.3833</v>
      </c>
      <c r="E981" t="n">
        <v>17.7668</v>
      </c>
      <c r="F981" t="n">
        <v>0.09344</v>
      </c>
    </row>
    <row r="982">
      <c r="A982" t="n">
        <v>2001079</v>
      </c>
      <c r="B982" t="n">
        <v>2</v>
      </c>
      <c r="C982" t="n">
        <v>1079</v>
      </c>
      <c r="D982" t="n">
        <v>-0.3833</v>
      </c>
      <c r="E982" t="n">
        <v>17.8037</v>
      </c>
      <c r="F982" t="n">
        <v>0.09347999999999999</v>
      </c>
    </row>
    <row r="983">
      <c r="A983" t="n">
        <v>2001080</v>
      </c>
      <c r="B983" t="n">
        <v>2</v>
      </c>
      <c r="C983" t="n">
        <v>1080</v>
      </c>
      <c r="D983" t="n">
        <v>-0.3833</v>
      </c>
      <c r="E983" t="n">
        <v>17.8407</v>
      </c>
      <c r="F983" t="n">
        <v>0.09352000000000001</v>
      </c>
    </row>
    <row r="984">
      <c r="A984" t="n">
        <v>2001081</v>
      </c>
      <c r="B984" t="n">
        <v>2</v>
      </c>
      <c r="C984" t="n">
        <v>1081</v>
      </c>
      <c r="D984" t="n">
        <v>-0.3833</v>
      </c>
      <c r="E984" t="n">
        <v>17.8779</v>
      </c>
      <c r="F984" t="n">
        <v>0.09356</v>
      </c>
    </row>
    <row r="985">
      <c r="A985" t="n">
        <v>2001082</v>
      </c>
      <c r="B985" t="n">
        <v>2</v>
      </c>
      <c r="C985" t="n">
        <v>1082</v>
      </c>
      <c r="D985" t="n">
        <v>-0.3833</v>
      </c>
      <c r="E985" t="n">
        <v>17.9152</v>
      </c>
      <c r="F985" t="n">
        <v>0.09359000000000001</v>
      </c>
    </row>
    <row r="986">
      <c r="A986" t="n">
        <v>2001083</v>
      </c>
      <c r="B986" t="n">
        <v>2</v>
      </c>
      <c r="C986" t="n">
        <v>1083</v>
      </c>
      <c r="D986" t="n">
        <v>-0.3833</v>
      </c>
      <c r="E986" t="n">
        <v>17.9526</v>
      </c>
      <c r="F986" t="n">
        <v>0.09363</v>
      </c>
    </row>
    <row r="987">
      <c r="A987" t="n">
        <v>2001084</v>
      </c>
      <c r="B987" t="n">
        <v>2</v>
      </c>
      <c r="C987" t="n">
        <v>1084</v>
      </c>
      <c r="D987" t="n">
        <v>-0.3833</v>
      </c>
      <c r="E987" t="n">
        <v>17.9901</v>
      </c>
      <c r="F987" t="n">
        <v>0.09367</v>
      </c>
    </row>
    <row r="988">
      <c r="A988" t="n">
        <v>2001085</v>
      </c>
      <c r="B988" t="n">
        <v>2</v>
      </c>
      <c r="C988" t="n">
        <v>1085</v>
      </c>
      <c r="D988" t="n">
        <v>-0.3833</v>
      </c>
      <c r="E988" t="n">
        <v>18.0277</v>
      </c>
      <c r="F988" t="n">
        <v>0.09371</v>
      </c>
    </row>
    <row r="989">
      <c r="A989" t="n">
        <v>2001086</v>
      </c>
      <c r="B989" t="n">
        <v>2</v>
      </c>
      <c r="C989" t="n">
        <v>1086</v>
      </c>
      <c r="D989" t="n">
        <v>-0.3833</v>
      </c>
      <c r="E989" t="n">
        <v>18.0654</v>
      </c>
      <c r="F989" t="n">
        <v>0.09375</v>
      </c>
    </row>
    <row r="990">
      <c r="A990" t="n">
        <v>2001087</v>
      </c>
      <c r="B990" t="n">
        <v>2</v>
      </c>
      <c r="C990" t="n">
        <v>1087</v>
      </c>
      <c r="D990" t="n">
        <v>-0.3833</v>
      </c>
      <c r="E990" t="n">
        <v>18.1033</v>
      </c>
      <c r="F990" t="n">
        <v>0.09378</v>
      </c>
    </row>
    <row r="991">
      <c r="A991" t="n">
        <v>2001088</v>
      </c>
      <c r="B991" t="n">
        <v>2</v>
      </c>
      <c r="C991" t="n">
        <v>1088</v>
      </c>
      <c r="D991" t="n">
        <v>-0.3833</v>
      </c>
      <c r="E991" t="n">
        <v>18.1412</v>
      </c>
      <c r="F991" t="n">
        <v>0.09382</v>
      </c>
    </row>
    <row r="992">
      <c r="A992" t="n">
        <v>2001089</v>
      </c>
      <c r="B992" t="n">
        <v>2</v>
      </c>
      <c r="C992" t="n">
        <v>1089</v>
      </c>
      <c r="D992" t="n">
        <v>-0.3833</v>
      </c>
      <c r="E992" t="n">
        <v>18.1792</v>
      </c>
      <c r="F992" t="n">
        <v>0.09386</v>
      </c>
    </row>
    <row r="993">
      <c r="A993" t="n">
        <v>2001090</v>
      </c>
      <c r="B993" t="n">
        <v>2</v>
      </c>
      <c r="C993" t="n">
        <v>1090</v>
      </c>
      <c r="D993" t="n">
        <v>-0.3833</v>
      </c>
      <c r="E993" t="n">
        <v>18.2174</v>
      </c>
      <c r="F993" t="n">
        <v>0.0939</v>
      </c>
    </row>
    <row r="994">
      <c r="A994" t="n">
        <v>2001091</v>
      </c>
      <c r="B994" t="n">
        <v>2</v>
      </c>
      <c r="C994" t="n">
        <v>1091</v>
      </c>
      <c r="D994" t="n">
        <v>-0.3833</v>
      </c>
      <c r="E994" t="n">
        <v>18.2556</v>
      </c>
      <c r="F994" t="n">
        <v>0.09394</v>
      </c>
    </row>
    <row r="995">
      <c r="A995" t="n">
        <v>2001092</v>
      </c>
      <c r="B995" t="n">
        <v>2</v>
      </c>
      <c r="C995" t="n">
        <v>1092</v>
      </c>
      <c r="D995" t="n">
        <v>-0.3833</v>
      </c>
      <c r="E995" t="n">
        <v>18.294</v>
      </c>
      <c r="F995" t="n">
        <v>0.09397</v>
      </c>
    </row>
    <row r="996">
      <c r="A996" t="n">
        <v>2001093</v>
      </c>
      <c r="B996" t="n">
        <v>2</v>
      </c>
      <c r="C996" t="n">
        <v>1093</v>
      </c>
      <c r="D996" t="n">
        <v>-0.3833</v>
      </c>
      <c r="E996" t="n">
        <v>18.3324</v>
      </c>
      <c r="F996" t="n">
        <v>0.09401</v>
      </c>
    </row>
    <row r="997">
      <c r="A997" t="n">
        <v>2001094</v>
      </c>
      <c r="B997" t="n">
        <v>2</v>
      </c>
      <c r="C997" t="n">
        <v>1094</v>
      </c>
      <c r="D997" t="n">
        <v>-0.3833</v>
      </c>
      <c r="E997" t="n">
        <v>18.371</v>
      </c>
      <c r="F997" t="n">
        <v>0.09404999999999999</v>
      </c>
    </row>
    <row r="998">
      <c r="A998" t="n">
        <v>2001095</v>
      </c>
      <c r="B998" t="n">
        <v>2</v>
      </c>
      <c r="C998" t="n">
        <v>1095</v>
      </c>
      <c r="D998" t="n">
        <v>-0.3833</v>
      </c>
      <c r="E998" t="n">
        <v>18.4096</v>
      </c>
      <c r="F998" t="n">
        <v>0.09408999999999999</v>
      </c>
    </row>
    <row r="999">
      <c r="A999" t="n">
        <v>2001096</v>
      </c>
      <c r="B999" t="n">
        <v>2</v>
      </c>
      <c r="C999" t="n">
        <v>1096</v>
      </c>
      <c r="D999" t="n">
        <v>-0.3833</v>
      </c>
      <c r="E999" t="n">
        <v>18.4484</v>
      </c>
      <c r="F999" t="n">
        <v>0.09413000000000001</v>
      </c>
    </row>
    <row r="1000">
      <c r="A1000" t="n">
        <v>2001097</v>
      </c>
      <c r="B1000" t="n">
        <v>2</v>
      </c>
      <c r="C1000" t="n">
        <v>1097</v>
      </c>
      <c r="D1000" t="n">
        <v>-0.3833</v>
      </c>
      <c r="E1000" t="n">
        <v>18.4872</v>
      </c>
      <c r="F1000" t="n">
        <v>0.09417</v>
      </c>
    </row>
    <row r="1001">
      <c r="A1001" t="n">
        <v>2001098</v>
      </c>
      <c r="B1001" t="n">
        <v>2</v>
      </c>
      <c r="C1001" t="n">
        <v>1098</v>
      </c>
      <c r="D1001" t="n">
        <v>-0.3833</v>
      </c>
      <c r="E1001" t="n">
        <v>18.5262</v>
      </c>
      <c r="F1001" t="n">
        <v>0.09421</v>
      </c>
    </row>
    <row r="1002">
      <c r="A1002" t="n">
        <v>2001099</v>
      </c>
      <c r="B1002" t="n">
        <v>2</v>
      </c>
      <c r="C1002" t="n">
        <v>1099</v>
      </c>
      <c r="D1002" t="n">
        <v>-0.3833</v>
      </c>
      <c r="E1002" t="n">
        <v>18.5652</v>
      </c>
      <c r="F1002" t="n">
        <v>0.09424</v>
      </c>
    </row>
    <row r="1003">
      <c r="A1003" t="n">
        <v>2001100</v>
      </c>
      <c r="B1003" t="n">
        <v>2</v>
      </c>
      <c r="C1003" t="n">
        <v>1100</v>
      </c>
      <c r="D1003" t="n">
        <v>-0.3833</v>
      </c>
      <c r="E1003" t="n">
        <v>18.6043</v>
      </c>
      <c r="F1003" t="n">
        <v>0.09428</v>
      </c>
    </row>
    <row r="1004">
      <c r="A1004" t="n">
        <v>2001101</v>
      </c>
      <c r="B1004" t="n">
        <v>2</v>
      </c>
      <c r="C1004" t="n">
        <v>1101</v>
      </c>
      <c r="D1004" t="n">
        <v>-0.3833</v>
      </c>
      <c r="E1004" t="n">
        <v>18.6436</v>
      </c>
      <c r="F1004" t="n">
        <v>0.09432</v>
      </c>
    </row>
    <row r="1005">
      <c r="A1005" t="n">
        <v>2001102</v>
      </c>
      <c r="B1005" t="n">
        <v>2</v>
      </c>
      <c r="C1005" t="n">
        <v>1102</v>
      </c>
      <c r="D1005" t="n">
        <v>-0.3833</v>
      </c>
      <c r="E1005" t="n">
        <v>18.6829</v>
      </c>
      <c r="F1005" t="n">
        <v>0.09436</v>
      </c>
    </row>
    <row r="1006">
      <c r="A1006" t="n">
        <v>2001103</v>
      </c>
      <c r="B1006" t="n">
        <v>2</v>
      </c>
      <c r="C1006" t="n">
        <v>1103</v>
      </c>
      <c r="D1006" t="n">
        <v>-0.3833</v>
      </c>
      <c r="E1006" t="n">
        <v>18.7223</v>
      </c>
      <c r="F1006" t="n">
        <v>0.0944</v>
      </c>
    </row>
    <row r="1007">
      <c r="A1007" t="n">
        <v>2001104</v>
      </c>
      <c r="B1007" t="n">
        <v>2</v>
      </c>
      <c r="C1007" t="n">
        <v>1104</v>
      </c>
      <c r="D1007" t="n">
        <v>-0.3833</v>
      </c>
      <c r="E1007" t="n">
        <v>18.7618</v>
      </c>
      <c r="F1007" t="n">
        <v>0.09444</v>
      </c>
    </row>
    <row r="1008">
      <c r="A1008" t="n">
        <v>2001105</v>
      </c>
      <c r="B1008" t="n">
        <v>2</v>
      </c>
      <c r="C1008" t="n">
        <v>1105</v>
      </c>
      <c r="D1008" t="n">
        <v>-0.3833</v>
      </c>
      <c r="E1008" t="n">
        <v>18.8015</v>
      </c>
      <c r="F1008" t="n">
        <v>0.09447999999999999</v>
      </c>
    </row>
    <row r="1009">
      <c r="A1009" t="n">
        <v>2001106</v>
      </c>
      <c r="B1009" t="n">
        <v>2</v>
      </c>
      <c r="C1009" t="n">
        <v>1106</v>
      </c>
      <c r="D1009" t="n">
        <v>-0.3833</v>
      </c>
      <c r="E1009" t="n">
        <v>18.8412</v>
      </c>
      <c r="F1009" t="n">
        <v>0.09452000000000001</v>
      </c>
    </row>
    <row r="1010">
      <c r="A1010" t="n">
        <v>2001107</v>
      </c>
      <c r="B1010" t="n">
        <v>2</v>
      </c>
      <c r="C1010" t="n">
        <v>1107</v>
      </c>
      <c r="D1010" t="n">
        <v>-0.3833</v>
      </c>
      <c r="E1010" t="n">
        <v>18.8809</v>
      </c>
      <c r="F1010" t="n">
        <v>0.09456000000000001</v>
      </c>
    </row>
    <row r="1011">
      <c r="A1011" t="n">
        <v>2001108</v>
      </c>
      <c r="B1011" t="n">
        <v>2</v>
      </c>
      <c r="C1011" t="n">
        <v>1108</v>
      </c>
      <c r="D1011" t="n">
        <v>-0.3833</v>
      </c>
      <c r="E1011" t="n">
        <v>18.9208</v>
      </c>
      <c r="F1011" t="n">
        <v>0.0946</v>
      </c>
    </row>
    <row r="1012">
      <c r="A1012" t="n">
        <v>2001109</v>
      </c>
      <c r="B1012" t="n">
        <v>2</v>
      </c>
      <c r="C1012" t="n">
        <v>1109</v>
      </c>
      <c r="D1012" t="n">
        <v>-0.3833</v>
      </c>
      <c r="E1012" t="n">
        <v>18.9608</v>
      </c>
      <c r="F1012" t="n">
        <v>0.09464</v>
      </c>
    </row>
    <row r="1013">
      <c r="A1013" t="n">
        <v>2001110</v>
      </c>
      <c r="B1013" t="n">
        <v>2</v>
      </c>
      <c r="C1013" t="n">
        <v>1110</v>
      </c>
      <c r="D1013" t="n">
        <v>-0.3833</v>
      </c>
      <c r="E1013" t="n">
        <v>19.0009</v>
      </c>
      <c r="F1013" t="n">
        <v>0.09467</v>
      </c>
    </row>
    <row r="1014">
      <c r="A1014" t="n">
        <v>2001111</v>
      </c>
      <c r="B1014" t="n">
        <v>2</v>
      </c>
      <c r="C1014" t="n">
        <v>1111</v>
      </c>
      <c r="D1014" t="n">
        <v>-0.3833</v>
      </c>
      <c r="E1014" t="n">
        <v>19.041</v>
      </c>
      <c r="F1014" t="n">
        <v>0.09471</v>
      </c>
    </row>
    <row r="1015">
      <c r="A1015" t="n">
        <v>2001112</v>
      </c>
      <c r="B1015" t="n">
        <v>2</v>
      </c>
      <c r="C1015" t="n">
        <v>1112</v>
      </c>
      <c r="D1015" t="n">
        <v>-0.3833</v>
      </c>
      <c r="E1015" t="n">
        <v>19.0812</v>
      </c>
      <c r="F1015" t="n">
        <v>0.09475</v>
      </c>
    </row>
    <row r="1016">
      <c r="A1016" t="n">
        <v>2001113</v>
      </c>
      <c r="B1016" t="n">
        <v>2</v>
      </c>
      <c r="C1016" t="n">
        <v>1113</v>
      </c>
      <c r="D1016" t="n">
        <v>-0.3833</v>
      </c>
      <c r="E1016" t="n">
        <v>19.1215</v>
      </c>
      <c r="F1016" t="n">
        <v>0.09479</v>
      </c>
    </row>
    <row r="1017">
      <c r="A1017" t="n">
        <v>2001114</v>
      </c>
      <c r="B1017" t="n">
        <v>2</v>
      </c>
      <c r="C1017" t="n">
        <v>1114</v>
      </c>
      <c r="D1017" t="n">
        <v>-0.3833</v>
      </c>
      <c r="E1017" t="n">
        <v>19.1619</v>
      </c>
      <c r="F1017" t="n">
        <v>0.09483</v>
      </c>
    </row>
    <row r="1018">
      <c r="A1018" t="n">
        <v>2001115</v>
      </c>
      <c r="B1018" t="n">
        <v>2</v>
      </c>
      <c r="C1018" t="n">
        <v>1115</v>
      </c>
      <c r="D1018" t="n">
        <v>-0.3833</v>
      </c>
      <c r="E1018" t="n">
        <v>19.2024</v>
      </c>
      <c r="F1018" t="n">
        <v>0.09487</v>
      </c>
    </row>
    <row r="1019">
      <c r="A1019" t="n">
        <v>2001116</v>
      </c>
      <c r="B1019" t="n">
        <v>2</v>
      </c>
      <c r="C1019" t="n">
        <v>1116</v>
      </c>
      <c r="D1019" t="n">
        <v>-0.3833</v>
      </c>
      <c r="E1019" t="n">
        <v>19.243</v>
      </c>
      <c r="F1019" t="n">
        <v>0.09490999999999999</v>
      </c>
    </row>
    <row r="1020">
      <c r="A1020" t="n">
        <v>2001117</v>
      </c>
      <c r="B1020" t="n">
        <v>2</v>
      </c>
      <c r="C1020" t="n">
        <v>1117</v>
      </c>
      <c r="D1020" t="n">
        <v>-0.3833</v>
      </c>
      <c r="E1020" t="n">
        <v>19.2836</v>
      </c>
      <c r="F1020" t="n">
        <v>0.09495000000000001</v>
      </c>
    </row>
    <row r="1021">
      <c r="A1021" t="n">
        <v>2001118</v>
      </c>
      <c r="B1021" t="n">
        <v>2</v>
      </c>
      <c r="C1021" t="n">
        <v>1118</v>
      </c>
      <c r="D1021" t="n">
        <v>-0.3833</v>
      </c>
      <c r="E1021" t="n">
        <v>19.3243</v>
      </c>
      <c r="F1021" t="n">
        <v>0.09499</v>
      </c>
    </row>
    <row r="1022">
      <c r="A1022" t="n">
        <v>2001119</v>
      </c>
      <c r="B1022" t="n">
        <v>2</v>
      </c>
      <c r="C1022" t="n">
        <v>1119</v>
      </c>
      <c r="D1022" t="n">
        <v>-0.3833</v>
      </c>
      <c r="E1022" t="n">
        <v>19.3651</v>
      </c>
      <c r="F1022" t="n">
        <v>0.09503</v>
      </c>
    </row>
    <row r="1023">
      <c r="A1023" t="n">
        <v>2001120</v>
      </c>
      <c r="B1023" t="n">
        <v>2</v>
      </c>
      <c r="C1023" t="n">
        <v>1120</v>
      </c>
      <c r="D1023" t="n">
        <v>-0.3833</v>
      </c>
      <c r="E1023" t="n">
        <v>19.406</v>
      </c>
      <c r="F1023" t="n">
        <v>0.09507</v>
      </c>
    </row>
    <row r="1024">
      <c r="A1024" t="n">
        <v>2001121</v>
      </c>
      <c r="B1024" t="n">
        <v>2</v>
      </c>
      <c r="C1024" t="n">
        <v>1121</v>
      </c>
      <c r="D1024" t="n">
        <v>-0.3833</v>
      </c>
      <c r="E1024" t="n">
        <v>19.447</v>
      </c>
      <c r="F1024" t="n">
        <v>0.09511</v>
      </c>
    </row>
    <row r="1025">
      <c r="A1025" t="n">
        <v>2001122</v>
      </c>
      <c r="B1025" t="n">
        <v>2</v>
      </c>
      <c r="C1025" t="n">
        <v>1122</v>
      </c>
      <c r="D1025" t="n">
        <v>-0.3833</v>
      </c>
      <c r="E1025" t="n">
        <v>19.488</v>
      </c>
      <c r="F1025" t="n">
        <v>0.09515</v>
      </c>
    </row>
    <row r="1026">
      <c r="A1026" t="n">
        <v>2001123</v>
      </c>
      <c r="B1026" t="n">
        <v>2</v>
      </c>
      <c r="C1026" t="n">
        <v>1123</v>
      </c>
      <c r="D1026" t="n">
        <v>-0.3833</v>
      </c>
      <c r="E1026" t="n">
        <v>19.5291</v>
      </c>
      <c r="F1026" t="n">
        <v>0.09519</v>
      </c>
    </row>
    <row r="1027">
      <c r="A1027" t="n">
        <v>2001124</v>
      </c>
      <c r="B1027" t="n">
        <v>2</v>
      </c>
      <c r="C1027" t="n">
        <v>1124</v>
      </c>
      <c r="D1027" t="n">
        <v>-0.3833</v>
      </c>
      <c r="E1027" t="n">
        <v>19.5703</v>
      </c>
      <c r="F1027" t="n">
        <v>0.09523</v>
      </c>
    </row>
    <row r="1028">
      <c r="A1028" t="n">
        <v>2001125</v>
      </c>
      <c r="B1028" t="n">
        <v>2</v>
      </c>
      <c r="C1028" t="n">
        <v>1125</v>
      </c>
      <c r="D1028" t="n">
        <v>-0.3833</v>
      </c>
      <c r="E1028" t="n">
        <v>19.6116</v>
      </c>
      <c r="F1028" t="n">
        <v>0.09526999999999999</v>
      </c>
    </row>
    <row r="1029">
      <c r="A1029" t="n">
        <v>2001126</v>
      </c>
      <c r="B1029" t="n">
        <v>2</v>
      </c>
      <c r="C1029" t="n">
        <v>1126</v>
      </c>
      <c r="D1029" t="n">
        <v>-0.3833</v>
      </c>
      <c r="E1029" t="n">
        <v>19.6529</v>
      </c>
      <c r="F1029" t="n">
        <v>0.09531000000000001</v>
      </c>
    </row>
    <row r="1030">
      <c r="A1030" t="n">
        <v>2001127</v>
      </c>
      <c r="B1030" t="n">
        <v>2</v>
      </c>
      <c r="C1030" t="n">
        <v>1127</v>
      </c>
      <c r="D1030" t="n">
        <v>-0.3833</v>
      </c>
      <c r="E1030" t="n">
        <v>19.6943</v>
      </c>
      <c r="F1030" t="n">
        <v>0.09533999999999999</v>
      </c>
    </row>
    <row r="1031">
      <c r="A1031" t="n">
        <v>2001128</v>
      </c>
      <c r="B1031" t="n">
        <v>2</v>
      </c>
      <c r="C1031" t="n">
        <v>1128</v>
      </c>
      <c r="D1031" t="n">
        <v>-0.3833</v>
      </c>
      <c r="E1031" t="n">
        <v>19.7358</v>
      </c>
      <c r="F1031" t="n">
        <v>0.09538000000000001</v>
      </c>
    </row>
    <row r="1032">
      <c r="A1032" t="n">
        <v>2001129</v>
      </c>
      <c r="B1032" t="n">
        <v>2</v>
      </c>
      <c r="C1032" t="n">
        <v>1129</v>
      </c>
      <c r="D1032" t="n">
        <v>-0.3833</v>
      </c>
      <c r="E1032" t="n">
        <v>19.7774</v>
      </c>
      <c r="F1032" t="n">
        <v>0.09542</v>
      </c>
    </row>
    <row r="1033">
      <c r="A1033" t="n">
        <v>2001130</v>
      </c>
      <c r="B1033" t="n">
        <v>2</v>
      </c>
      <c r="C1033" t="n">
        <v>1130</v>
      </c>
      <c r="D1033" t="n">
        <v>-0.3833</v>
      </c>
      <c r="E1033" t="n">
        <v>19.819</v>
      </c>
      <c r="F1033" t="n">
        <v>0.09546</v>
      </c>
    </row>
    <row r="1034">
      <c r="A1034" t="n">
        <v>2001131</v>
      </c>
      <c r="B1034" t="n">
        <v>2</v>
      </c>
      <c r="C1034" t="n">
        <v>1131</v>
      </c>
      <c r="D1034" t="n">
        <v>-0.3833</v>
      </c>
      <c r="E1034" t="n">
        <v>19.8607</v>
      </c>
      <c r="F1034" t="n">
        <v>0.0955</v>
      </c>
    </row>
    <row r="1035">
      <c r="A1035" t="n">
        <v>2001132</v>
      </c>
      <c r="B1035" t="n">
        <v>2</v>
      </c>
      <c r="C1035" t="n">
        <v>1132</v>
      </c>
      <c r="D1035" t="n">
        <v>-0.3833</v>
      </c>
      <c r="E1035" t="n">
        <v>19.9024</v>
      </c>
      <c r="F1035" t="n">
        <v>0.09554</v>
      </c>
    </row>
    <row r="1036">
      <c r="A1036" t="n">
        <v>2001133</v>
      </c>
      <c r="B1036" t="n">
        <v>2</v>
      </c>
      <c r="C1036" t="n">
        <v>1133</v>
      </c>
      <c r="D1036" t="n">
        <v>-0.3833</v>
      </c>
      <c r="E1036" t="n">
        <v>19.9442</v>
      </c>
      <c r="F1036" t="n">
        <v>0.09558</v>
      </c>
    </row>
    <row r="1037">
      <c r="A1037" t="n">
        <v>2001134</v>
      </c>
      <c r="B1037" t="n">
        <v>2</v>
      </c>
      <c r="C1037" t="n">
        <v>1134</v>
      </c>
      <c r="D1037" t="n">
        <v>-0.3833</v>
      </c>
      <c r="E1037" t="n">
        <v>19.9861</v>
      </c>
      <c r="F1037" t="n">
        <v>0.09562</v>
      </c>
    </row>
    <row r="1038">
      <c r="A1038" t="n">
        <v>2001135</v>
      </c>
      <c r="B1038" t="n">
        <v>2</v>
      </c>
      <c r="C1038" t="n">
        <v>1135</v>
      </c>
      <c r="D1038" t="n">
        <v>-0.3833</v>
      </c>
      <c r="E1038" t="n">
        <v>20.028</v>
      </c>
      <c r="F1038" t="n">
        <v>0.09566</v>
      </c>
    </row>
    <row r="1039">
      <c r="A1039" t="n">
        <v>2001136</v>
      </c>
      <c r="B1039" t="n">
        <v>2</v>
      </c>
      <c r="C1039" t="n">
        <v>1136</v>
      </c>
      <c r="D1039" t="n">
        <v>-0.3833</v>
      </c>
      <c r="E1039" t="n">
        <v>20.07</v>
      </c>
      <c r="F1039" t="n">
        <v>0.09569999999999999</v>
      </c>
    </row>
    <row r="1040">
      <c r="A1040" t="n">
        <v>2001137</v>
      </c>
      <c r="B1040" t="n">
        <v>2</v>
      </c>
      <c r="C1040" t="n">
        <v>1137</v>
      </c>
      <c r="D1040" t="n">
        <v>-0.3833</v>
      </c>
      <c r="E1040" t="n">
        <v>20.112</v>
      </c>
      <c r="F1040" t="n">
        <v>0.09574000000000001</v>
      </c>
    </row>
    <row r="1041">
      <c r="A1041" t="n">
        <v>2001138</v>
      </c>
      <c r="B1041" t="n">
        <v>2</v>
      </c>
      <c r="C1041" t="n">
        <v>1138</v>
      </c>
      <c r="D1041" t="n">
        <v>-0.3833</v>
      </c>
      <c r="E1041" t="n">
        <v>20.1541</v>
      </c>
      <c r="F1041" t="n">
        <v>0.09578</v>
      </c>
    </row>
    <row r="1042">
      <c r="A1042" t="n">
        <v>2001139</v>
      </c>
      <c r="B1042" t="n">
        <v>2</v>
      </c>
      <c r="C1042" t="n">
        <v>1139</v>
      </c>
      <c r="D1042" t="n">
        <v>-0.3833</v>
      </c>
      <c r="E1042" t="n">
        <v>20.1963</v>
      </c>
      <c r="F1042" t="n">
        <v>0.09582</v>
      </c>
    </row>
    <row r="1043">
      <c r="A1043" t="n">
        <v>2001140</v>
      </c>
      <c r="B1043" t="n">
        <v>2</v>
      </c>
      <c r="C1043" t="n">
        <v>1140</v>
      </c>
      <c r="D1043" t="n">
        <v>-0.3833</v>
      </c>
      <c r="E1043" t="n">
        <v>20.2385</v>
      </c>
      <c r="F1043" t="n">
        <v>0.09586</v>
      </c>
    </row>
    <row r="1044">
      <c r="A1044" t="n">
        <v>2001141</v>
      </c>
      <c r="B1044" t="n">
        <v>2</v>
      </c>
      <c r="C1044" t="n">
        <v>1141</v>
      </c>
      <c r="D1044" t="n">
        <v>-0.3833</v>
      </c>
      <c r="E1044" t="n">
        <v>20.2807</v>
      </c>
      <c r="F1044" t="n">
        <v>0.0959</v>
      </c>
    </row>
    <row r="1045">
      <c r="A1045" t="n">
        <v>2001142</v>
      </c>
      <c r="B1045" t="n">
        <v>2</v>
      </c>
      <c r="C1045" t="n">
        <v>1142</v>
      </c>
      <c r="D1045" t="n">
        <v>-0.3833</v>
      </c>
      <c r="E1045" t="n">
        <v>20.323</v>
      </c>
      <c r="F1045" t="n">
        <v>0.09594</v>
      </c>
    </row>
    <row r="1046">
      <c r="A1046" t="n">
        <v>2001143</v>
      </c>
      <c r="B1046" t="n">
        <v>2</v>
      </c>
      <c r="C1046" t="n">
        <v>1143</v>
      </c>
      <c r="D1046" t="n">
        <v>-0.3833</v>
      </c>
      <c r="E1046" t="n">
        <v>20.3653</v>
      </c>
      <c r="F1046" t="n">
        <v>0.09598</v>
      </c>
    </row>
    <row r="1047">
      <c r="A1047" t="n">
        <v>2001144</v>
      </c>
      <c r="B1047" t="n">
        <v>2</v>
      </c>
      <c r="C1047" t="n">
        <v>1144</v>
      </c>
      <c r="D1047" t="n">
        <v>-0.3833</v>
      </c>
      <c r="E1047" t="n">
        <v>20.4077</v>
      </c>
      <c r="F1047" t="n">
        <v>0.09601999999999999</v>
      </c>
    </row>
    <row r="1048">
      <c r="A1048" t="n">
        <v>2001145</v>
      </c>
      <c r="B1048" t="n">
        <v>2</v>
      </c>
      <c r="C1048" t="n">
        <v>1145</v>
      </c>
      <c r="D1048" t="n">
        <v>-0.3833</v>
      </c>
      <c r="E1048" t="n">
        <v>20.4502</v>
      </c>
      <c r="F1048" t="n">
        <v>0.09606000000000001</v>
      </c>
    </row>
    <row r="1049">
      <c r="A1049" t="n">
        <v>2001146</v>
      </c>
      <c r="B1049" t="n">
        <v>2</v>
      </c>
      <c r="C1049" t="n">
        <v>1146</v>
      </c>
      <c r="D1049" t="n">
        <v>-0.3833</v>
      </c>
      <c r="E1049" t="n">
        <v>20.4926</v>
      </c>
      <c r="F1049" t="n">
        <v>0.0961</v>
      </c>
    </row>
    <row r="1050">
      <c r="A1050" t="n">
        <v>2001147</v>
      </c>
      <c r="B1050" t="n">
        <v>2</v>
      </c>
      <c r="C1050" t="n">
        <v>1147</v>
      </c>
      <c r="D1050" t="n">
        <v>-0.3833</v>
      </c>
      <c r="E1050" t="n">
        <v>20.5351</v>
      </c>
      <c r="F1050" t="n">
        <v>0.09614</v>
      </c>
    </row>
    <row r="1051">
      <c r="A1051" t="n">
        <v>2001148</v>
      </c>
      <c r="B1051" t="n">
        <v>2</v>
      </c>
      <c r="C1051" t="n">
        <v>1148</v>
      </c>
      <c r="D1051" t="n">
        <v>-0.3833</v>
      </c>
      <c r="E1051" t="n">
        <v>20.5777</v>
      </c>
      <c r="F1051" t="n">
        <v>0.09618</v>
      </c>
    </row>
    <row r="1052">
      <c r="A1052" t="n">
        <v>2001149</v>
      </c>
      <c r="B1052" t="n">
        <v>2</v>
      </c>
      <c r="C1052" t="n">
        <v>1149</v>
      </c>
      <c r="D1052" t="n">
        <v>-0.3833</v>
      </c>
      <c r="E1052" t="n">
        <v>20.6203</v>
      </c>
      <c r="F1052" t="n">
        <v>0.09622</v>
      </c>
    </row>
    <row r="1053">
      <c r="A1053" t="n">
        <v>2001150</v>
      </c>
      <c r="B1053" t="n">
        <v>2</v>
      </c>
      <c r="C1053" t="n">
        <v>1150</v>
      </c>
      <c r="D1053" t="n">
        <v>-0.3833</v>
      </c>
      <c r="E1053" t="n">
        <v>20.6629</v>
      </c>
      <c r="F1053" t="n">
        <v>0.09626</v>
      </c>
    </row>
    <row r="1054">
      <c r="A1054" t="n">
        <v>2001151</v>
      </c>
      <c r="B1054" t="n">
        <v>2</v>
      </c>
      <c r="C1054" t="n">
        <v>1151</v>
      </c>
      <c r="D1054" t="n">
        <v>-0.3833</v>
      </c>
      <c r="E1054" t="n">
        <v>20.7056</v>
      </c>
      <c r="F1054" t="n">
        <v>0.0963</v>
      </c>
    </row>
    <row r="1055">
      <c r="A1055" t="n">
        <v>2001152</v>
      </c>
      <c r="B1055" t="n">
        <v>2</v>
      </c>
      <c r="C1055" t="n">
        <v>1152</v>
      </c>
      <c r="D1055" t="n">
        <v>-0.3833</v>
      </c>
      <c r="E1055" t="n">
        <v>20.7483</v>
      </c>
      <c r="F1055" t="n">
        <v>0.09634</v>
      </c>
    </row>
    <row r="1056">
      <c r="A1056" t="n">
        <v>2001153</v>
      </c>
      <c r="B1056" t="n">
        <v>2</v>
      </c>
      <c r="C1056" t="n">
        <v>1153</v>
      </c>
      <c r="D1056" t="n">
        <v>-0.3833</v>
      </c>
      <c r="E1056" t="n">
        <v>20.791</v>
      </c>
      <c r="F1056" t="n">
        <v>0.09637999999999999</v>
      </c>
    </row>
    <row r="1057">
      <c r="A1057" t="n">
        <v>2001154</v>
      </c>
      <c r="B1057" t="n">
        <v>2</v>
      </c>
      <c r="C1057" t="n">
        <v>1154</v>
      </c>
      <c r="D1057" t="n">
        <v>-0.3833</v>
      </c>
      <c r="E1057" t="n">
        <v>20.8338</v>
      </c>
      <c r="F1057" t="n">
        <v>0.09642000000000001</v>
      </c>
    </row>
    <row r="1058">
      <c r="A1058" t="n">
        <v>2001155</v>
      </c>
      <c r="B1058" t="n">
        <v>2</v>
      </c>
      <c r="C1058" t="n">
        <v>1155</v>
      </c>
      <c r="D1058" t="n">
        <v>-0.3833</v>
      </c>
      <c r="E1058" t="n">
        <v>20.8766</v>
      </c>
      <c r="F1058" t="n">
        <v>0.09646</v>
      </c>
    </row>
    <row r="1059">
      <c r="A1059" t="n">
        <v>2001156</v>
      </c>
      <c r="B1059" t="n">
        <v>2</v>
      </c>
      <c r="C1059" t="n">
        <v>1156</v>
      </c>
      <c r="D1059" t="n">
        <v>-0.3833</v>
      </c>
      <c r="E1059" t="n">
        <v>20.9194</v>
      </c>
      <c r="F1059" t="n">
        <v>0.0965</v>
      </c>
    </row>
    <row r="1060">
      <c r="A1060" t="n">
        <v>2001157</v>
      </c>
      <c r="B1060" t="n">
        <v>2</v>
      </c>
      <c r="C1060" t="n">
        <v>1157</v>
      </c>
      <c r="D1060" t="n">
        <v>-0.3833</v>
      </c>
      <c r="E1060" t="n">
        <v>20.9622</v>
      </c>
      <c r="F1060" t="n">
        <v>0.09654</v>
      </c>
    </row>
    <row r="1061">
      <c r="A1061" t="n">
        <v>2001158</v>
      </c>
      <c r="B1061" t="n">
        <v>2</v>
      </c>
      <c r="C1061" t="n">
        <v>1158</v>
      </c>
      <c r="D1061" t="n">
        <v>-0.3833</v>
      </c>
      <c r="E1061" t="n">
        <v>21.0051</v>
      </c>
      <c r="F1061" t="n">
        <v>0.09658</v>
      </c>
    </row>
    <row r="1062">
      <c r="A1062" t="n">
        <v>2001159</v>
      </c>
      <c r="B1062" t="n">
        <v>2</v>
      </c>
      <c r="C1062" t="n">
        <v>1159</v>
      </c>
      <c r="D1062" t="n">
        <v>-0.3833</v>
      </c>
      <c r="E1062" t="n">
        <v>21.048</v>
      </c>
      <c r="F1062" t="n">
        <v>0.09662</v>
      </c>
    </row>
    <row r="1063">
      <c r="A1063" t="n">
        <v>2001160</v>
      </c>
      <c r="B1063" t="n">
        <v>2</v>
      </c>
      <c r="C1063" t="n">
        <v>1160</v>
      </c>
      <c r="D1063" t="n">
        <v>-0.3833</v>
      </c>
      <c r="E1063" t="n">
        <v>21.0909</v>
      </c>
      <c r="F1063" t="n">
        <v>0.09666</v>
      </c>
    </row>
    <row r="1064">
      <c r="A1064" t="n">
        <v>2001161</v>
      </c>
      <c r="B1064" t="n">
        <v>2</v>
      </c>
      <c r="C1064" t="n">
        <v>1161</v>
      </c>
      <c r="D1064" t="n">
        <v>-0.3833</v>
      </c>
      <c r="E1064" t="n">
        <v>21.1339</v>
      </c>
      <c r="F1064" t="n">
        <v>0.09669999999999999</v>
      </c>
    </row>
    <row r="1065">
      <c r="A1065" t="n">
        <v>2001162</v>
      </c>
      <c r="B1065" t="n">
        <v>2</v>
      </c>
      <c r="C1065" t="n">
        <v>1162</v>
      </c>
      <c r="D1065" t="n">
        <v>-0.3833</v>
      </c>
      <c r="E1065" t="n">
        <v>21.1769</v>
      </c>
      <c r="F1065" t="n">
        <v>0.09674000000000001</v>
      </c>
    </row>
    <row r="1066">
      <c r="A1066" t="n">
        <v>2001163</v>
      </c>
      <c r="B1066" t="n">
        <v>2</v>
      </c>
      <c r="C1066" t="n">
        <v>1163</v>
      </c>
      <c r="D1066" t="n">
        <v>-0.3833</v>
      </c>
      <c r="E1066" t="n">
        <v>21.2199</v>
      </c>
      <c r="F1066" t="n">
        <v>0.09678</v>
      </c>
    </row>
    <row r="1067">
      <c r="A1067" t="n">
        <v>2001164</v>
      </c>
      <c r="B1067" t="n">
        <v>2</v>
      </c>
      <c r="C1067" t="n">
        <v>1164</v>
      </c>
      <c r="D1067" t="n">
        <v>-0.3833</v>
      </c>
      <c r="E1067" t="n">
        <v>21.2629</v>
      </c>
      <c r="F1067" t="n">
        <v>0.09682</v>
      </c>
    </row>
    <row r="1068">
      <c r="A1068" t="n">
        <v>2001165</v>
      </c>
      <c r="B1068" t="n">
        <v>2</v>
      </c>
      <c r="C1068" t="n">
        <v>1165</v>
      </c>
      <c r="D1068" t="n">
        <v>-0.3833</v>
      </c>
      <c r="E1068" t="n">
        <v>21.3059</v>
      </c>
      <c r="F1068" t="n">
        <v>0.09686</v>
      </c>
    </row>
    <row r="1069">
      <c r="A1069" t="n">
        <v>2001166</v>
      </c>
      <c r="B1069" t="n">
        <v>2</v>
      </c>
      <c r="C1069" t="n">
        <v>1166</v>
      </c>
      <c r="D1069" t="n">
        <v>-0.3833</v>
      </c>
      <c r="E1069" t="n">
        <v>21.3489</v>
      </c>
      <c r="F1069" t="n">
        <v>0.09691</v>
      </c>
    </row>
    <row r="1070">
      <c r="A1070" t="n">
        <v>2001167</v>
      </c>
      <c r="B1070" t="n">
        <v>2</v>
      </c>
      <c r="C1070" t="n">
        <v>1167</v>
      </c>
      <c r="D1070" t="n">
        <v>-0.3833</v>
      </c>
      <c r="E1070" t="n">
        <v>21.392</v>
      </c>
      <c r="F1070" t="n">
        <v>0.09694999999999999</v>
      </c>
    </row>
    <row r="1071">
      <c r="A1071" t="n">
        <v>2001168</v>
      </c>
      <c r="B1071" t="n">
        <v>2</v>
      </c>
      <c r="C1071" t="n">
        <v>1168</v>
      </c>
      <c r="D1071" t="n">
        <v>-0.3833</v>
      </c>
      <c r="E1071" t="n">
        <v>21.4351</v>
      </c>
      <c r="F1071" t="n">
        <v>0.09699000000000001</v>
      </c>
    </row>
    <row r="1072">
      <c r="A1072" t="n">
        <v>2001169</v>
      </c>
      <c r="B1072" t="n">
        <v>2</v>
      </c>
      <c r="C1072" t="n">
        <v>1169</v>
      </c>
      <c r="D1072" t="n">
        <v>-0.3833</v>
      </c>
      <c r="E1072" t="n">
        <v>21.4782</v>
      </c>
      <c r="F1072" t="n">
        <v>0.09703000000000001</v>
      </c>
    </row>
    <row r="1073">
      <c r="A1073" t="n">
        <v>2001170</v>
      </c>
      <c r="B1073" t="n">
        <v>2</v>
      </c>
      <c r="C1073" t="n">
        <v>1170</v>
      </c>
      <c r="D1073" t="n">
        <v>-0.3833</v>
      </c>
      <c r="E1073" t="n">
        <v>21.5213</v>
      </c>
      <c r="F1073" t="n">
        <v>0.09707</v>
      </c>
    </row>
    <row r="1074">
      <c r="A1074" t="n">
        <v>2001171</v>
      </c>
      <c r="B1074" t="n">
        <v>2</v>
      </c>
      <c r="C1074" t="n">
        <v>1171</v>
      </c>
      <c r="D1074" t="n">
        <v>-0.3833</v>
      </c>
      <c r="E1074" t="n">
        <v>21.5644</v>
      </c>
      <c r="F1074" t="n">
        <v>0.09711</v>
      </c>
    </row>
    <row r="1075">
      <c r="A1075" t="n">
        <v>2001172</v>
      </c>
      <c r="B1075" t="n">
        <v>2</v>
      </c>
      <c r="C1075" t="n">
        <v>1172</v>
      </c>
      <c r="D1075" t="n">
        <v>-0.3833</v>
      </c>
      <c r="E1075" t="n">
        <v>21.6075</v>
      </c>
      <c r="F1075" t="n">
        <v>0.09715</v>
      </c>
    </row>
    <row r="1076">
      <c r="A1076" t="n">
        <v>2001173</v>
      </c>
      <c r="B1076" t="n">
        <v>2</v>
      </c>
      <c r="C1076" t="n">
        <v>1173</v>
      </c>
      <c r="D1076" t="n">
        <v>-0.3833</v>
      </c>
      <c r="E1076" t="n">
        <v>21.6507</v>
      </c>
      <c r="F1076" t="n">
        <v>0.09719</v>
      </c>
    </row>
    <row r="1077">
      <c r="A1077" t="n">
        <v>2001174</v>
      </c>
      <c r="B1077" t="n">
        <v>2</v>
      </c>
      <c r="C1077" t="n">
        <v>1174</v>
      </c>
      <c r="D1077" t="n">
        <v>-0.3833</v>
      </c>
      <c r="E1077" t="n">
        <v>21.6938</v>
      </c>
      <c r="F1077" t="n">
        <v>0.09723</v>
      </c>
    </row>
    <row r="1078">
      <c r="A1078" t="n">
        <v>2001175</v>
      </c>
      <c r="B1078" t="n">
        <v>2</v>
      </c>
      <c r="C1078" t="n">
        <v>1175</v>
      </c>
      <c r="D1078" t="n">
        <v>-0.3833</v>
      </c>
      <c r="E1078" t="n">
        <v>21.737</v>
      </c>
      <c r="F1078" t="n">
        <v>0.09727</v>
      </c>
    </row>
    <row r="1079">
      <c r="A1079" t="n">
        <v>2001176</v>
      </c>
      <c r="B1079" t="n">
        <v>2</v>
      </c>
      <c r="C1079" t="n">
        <v>1176</v>
      </c>
      <c r="D1079" t="n">
        <v>-0.3833</v>
      </c>
      <c r="E1079" t="n">
        <v>21.7802</v>
      </c>
      <c r="F1079" t="n">
        <v>0.09730999999999999</v>
      </c>
    </row>
    <row r="1080">
      <c r="A1080" t="n">
        <v>2001177</v>
      </c>
      <c r="B1080" t="n">
        <v>2</v>
      </c>
      <c r="C1080" t="n">
        <v>1177</v>
      </c>
      <c r="D1080" t="n">
        <v>-0.3833</v>
      </c>
      <c r="E1080" t="n">
        <v>21.8233</v>
      </c>
      <c r="F1080" t="n">
        <v>0.09735000000000001</v>
      </c>
    </row>
    <row r="1081">
      <c r="A1081" t="n">
        <v>2001178</v>
      </c>
      <c r="B1081" t="n">
        <v>2</v>
      </c>
      <c r="C1081" t="n">
        <v>1178</v>
      </c>
      <c r="D1081" t="n">
        <v>-0.3833</v>
      </c>
      <c r="E1081" t="n">
        <v>21.8665</v>
      </c>
      <c r="F1081" t="n">
        <v>0.09739</v>
      </c>
    </row>
    <row r="1082">
      <c r="A1082" t="n">
        <v>2001179</v>
      </c>
      <c r="B1082" t="n">
        <v>2</v>
      </c>
      <c r="C1082" t="n">
        <v>1179</v>
      </c>
      <c r="D1082" t="n">
        <v>-0.3833</v>
      </c>
      <c r="E1082" t="n">
        <v>21.9097</v>
      </c>
      <c r="F1082" t="n">
        <v>0.09743</v>
      </c>
    </row>
    <row r="1083">
      <c r="A1083" t="n">
        <v>2001180</v>
      </c>
      <c r="B1083" t="n">
        <v>2</v>
      </c>
      <c r="C1083" t="n">
        <v>1180</v>
      </c>
      <c r="D1083" t="n">
        <v>-0.3833</v>
      </c>
      <c r="E1083" t="n">
        <v>21.9529</v>
      </c>
      <c r="F1083" t="n">
        <v>0.09747</v>
      </c>
    </row>
    <row r="1084">
      <c r="A1084" t="n">
        <v>2001181</v>
      </c>
      <c r="B1084" t="n">
        <v>2</v>
      </c>
      <c r="C1084" t="n">
        <v>1181</v>
      </c>
      <c r="D1084" t="n">
        <v>-0.3833</v>
      </c>
      <c r="E1084" t="n">
        <v>21.9961</v>
      </c>
      <c r="F1084" t="n">
        <v>0.09751</v>
      </c>
    </row>
    <row r="1085">
      <c r="A1085" t="n">
        <v>2001182</v>
      </c>
      <c r="B1085" t="n">
        <v>2</v>
      </c>
      <c r="C1085" t="n">
        <v>1182</v>
      </c>
      <c r="D1085" t="n">
        <v>-0.3833</v>
      </c>
      <c r="E1085" t="n">
        <v>22.0393</v>
      </c>
      <c r="F1085" t="n">
        <v>0.09755</v>
      </c>
    </row>
    <row r="1086">
      <c r="A1086" t="n">
        <v>2001183</v>
      </c>
      <c r="B1086" t="n">
        <v>2</v>
      </c>
      <c r="C1086" t="n">
        <v>1183</v>
      </c>
      <c r="D1086" t="n">
        <v>-0.3833</v>
      </c>
      <c r="E1086" t="n">
        <v>22.0825</v>
      </c>
      <c r="F1086" t="n">
        <v>0.09759</v>
      </c>
    </row>
    <row r="1087">
      <c r="A1087" t="n">
        <v>2001184</v>
      </c>
      <c r="B1087" t="n">
        <v>2</v>
      </c>
      <c r="C1087" t="n">
        <v>1184</v>
      </c>
      <c r="D1087" t="n">
        <v>-0.3833</v>
      </c>
      <c r="E1087" t="n">
        <v>22.1258</v>
      </c>
      <c r="F1087" t="n">
        <v>0.09762999999999999</v>
      </c>
    </row>
    <row r="1088">
      <c r="A1088" t="n">
        <v>2001185</v>
      </c>
      <c r="B1088" t="n">
        <v>2</v>
      </c>
      <c r="C1088" t="n">
        <v>1185</v>
      </c>
      <c r="D1088" t="n">
        <v>-0.3833</v>
      </c>
      <c r="E1088" t="n">
        <v>22.169</v>
      </c>
      <c r="F1088" t="n">
        <v>0.09767000000000001</v>
      </c>
    </row>
    <row r="1089">
      <c r="A1089" t="n">
        <v>2001186</v>
      </c>
      <c r="B1089" t="n">
        <v>2</v>
      </c>
      <c r="C1089" t="n">
        <v>1186</v>
      </c>
      <c r="D1089" t="n">
        <v>-0.3833</v>
      </c>
      <c r="E1089" t="n">
        <v>22.2122</v>
      </c>
      <c r="F1089" t="n">
        <v>0.09771000000000001</v>
      </c>
    </row>
    <row r="1090">
      <c r="A1090" t="n">
        <v>2001187</v>
      </c>
      <c r="B1090" t="n">
        <v>2</v>
      </c>
      <c r="C1090" t="n">
        <v>1187</v>
      </c>
      <c r="D1090" t="n">
        <v>-0.3833</v>
      </c>
      <c r="E1090" t="n">
        <v>22.2554</v>
      </c>
      <c r="F1090" t="n">
        <v>0.09775</v>
      </c>
    </row>
    <row r="1091">
      <c r="A1091" t="n">
        <v>2001188</v>
      </c>
      <c r="B1091" t="n">
        <v>2</v>
      </c>
      <c r="C1091" t="n">
        <v>1188</v>
      </c>
      <c r="D1091" t="n">
        <v>-0.3833</v>
      </c>
      <c r="E1091" t="n">
        <v>22.2986</v>
      </c>
      <c r="F1091" t="n">
        <v>0.0978</v>
      </c>
    </row>
    <row r="1092">
      <c r="A1092" t="n">
        <v>2001189</v>
      </c>
      <c r="B1092" t="n">
        <v>2</v>
      </c>
      <c r="C1092" t="n">
        <v>1189</v>
      </c>
      <c r="D1092" t="n">
        <v>-0.3833</v>
      </c>
      <c r="E1092" t="n">
        <v>22.3419</v>
      </c>
      <c r="F1092" t="n">
        <v>0.09784</v>
      </c>
    </row>
    <row r="1093">
      <c r="A1093" t="n">
        <v>2001190</v>
      </c>
      <c r="B1093" t="n">
        <v>2</v>
      </c>
      <c r="C1093" t="n">
        <v>1190</v>
      </c>
      <c r="D1093" t="n">
        <v>-0.3833</v>
      </c>
      <c r="E1093" t="n">
        <v>22.3851</v>
      </c>
      <c r="F1093" t="n">
        <v>0.09787999999999999</v>
      </c>
    </row>
    <row r="1094">
      <c r="A1094" t="n">
        <v>2001191</v>
      </c>
      <c r="B1094" t="n">
        <v>2</v>
      </c>
      <c r="C1094" t="n">
        <v>1191</v>
      </c>
      <c r="D1094" t="n">
        <v>-0.3833</v>
      </c>
      <c r="E1094" t="n">
        <v>22.4283</v>
      </c>
      <c r="F1094" t="n">
        <v>0.09791999999999999</v>
      </c>
    </row>
    <row r="1095">
      <c r="A1095" t="n">
        <v>2001192</v>
      </c>
      <c r="B1095" t="n">
        <v>2</v>
      </c>
      <c r="C1095" t="n">
        <v>1192</v>
      </c>
      <c r="D1095" t="n">
        <v>-0.3833</v>
      </c>
      <c r="E1095" t="n">
        <v>22.4715</v>
      </c>
      <c r="F1095" t="n">
        <v>0.09796000000000001</v>
      </c>
    </row>
    <row r="1096">
      <c r="A1096" t="n">
        <v>2001193</v>
      </c>
      <c r="B1096" t="n">
        <v>2</v>
      </c>
      <c r="C1096" t="n">
        <v>1193</v>
      </c>
      <c r="D1096" t="n">
        <v>-0.3833</v>
      </c>
      <c r="E1096" t="n">
        <v>22.5148</v>
      </c>
      <c r="F1096" t="n">
        <v>0.098</v>
      </c>
    </row>
    <row r="1097">
      <c r="A1097" t="n">
        <v>2001194</v>
      </c>
      <c r="B1097" t="n">
        <v>2</v>
      </c>
      <c r="C1097" t="n">
        <v>1194</v>
      </c>
      <c r="D1097" t="n">
        <v>-0.3833</v>
      </c>
      <c r="E1097" t="n">
        <v>22.558</v>
      </c>
      <c r="F1097" t="n">
        <v>0.09804</v>
      </c>
    </row>
    <row r="1098">
      <c r="A1098" t="n">
        <v>2001195</v>
      </c>
      <c r="B1098" t="n">
        <v>2</v>
      </c>
      <c r="C1098" t="n">
        <v>1195</v>
      </c>
      <c r="D1098" t="n">
        <v>-0.3833</v>
      </c>
      <c r="E1098" t="n">
        <v>22.6012</v>
      </c>
      <c r="F1098" t="n">
        <v>0.09808</v>
      </c>
    </row>
    <row r="1099">
      <c r="A1099" t="n">
        <v>2001196</v>
      </c>
      <c r="B1099" t="n">
        <v>2</v>
      </c>
      <c r="C1099" t="n">
        <v>1196</v>
      </c>
      <c r="D1099" t="n">
        <v>-0.3833</v>
      </c>
      <c r="E1099" t="n">
        <v>22.6444</v>
      </c>
      <c r="F1099" t="n">
        <v>0.09812</v>
      </c>
    </row>
    <row r="1100">
      <c r="A1100" t="n">
        <v>2001197</v>
      </c>
      <c r="B1100" t="n">
        <v>2</v>
      </c>
      <c r="C1100" t="n">
        <v>1197</v>
      </c>
      <c r="D1100" t="n">
        <v>-0.3833</v>
      </c>
      <c r="E1100" t="n">
        <v>22.6877</v>
      </c>
      <c r="F1100" t="n">
        <v>0.09816</v>
      </c>
    </row>
    <row r="1101">
      <c r="A1101" t="n">
        <v>2001198</v>
      </c>
      <c r="B1101" t="n">
        <v>2</v>
      </c>
      <c r="C1101" t="n">
        <v>1198</v>
      </c>
      <c r="D1101" t="n">
        <v>-0.3833</v>
      </c>
      <c r="E1101" t="n">
        <v>22.7309</v>
      </c>
      <c r="F1101" t="n">
        <v>0.0982</v>
      </c>
    </row>
    <row r="1102">
      <c r="A1102" t="n">
        <v>2001199</v>
      </c>
      <c r="B1102" t="n">
        <v>2</v>
      </c>
      <c r="C1102" t="n">
        <v>1199</v>
      </c>
      <c r="D1102" t="n">
        <v>-0.3833</v>
      </c>
      <c r="E1102" t="n">
        <v>22.7741</v>
      </c>
      <c r="F1102" t="n">
        <v>0.09823999999999999</v>
      </c>
    </row>
    <row r="1103">
      <c r="A1103" t="n">
        <v>2001200</v>
      </c>
      <c r="B1103" t="n">
        <v>2</v>
      </c>
      <c r="C1103" t="n">
        <v>1200</v>
      </c>
      <c r="D1103" t="n">
        <v>-0.3833</v>
      </c>
      <c r="E1103" t="n">
        <v>22.8173</v>
      </c>
      <c r="F1103" t="n">
        <v>0.09828000000000001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2026-09-25T14:27:06Z</dcterms:created>
  <dcterms:modified xmlns:dcterms="http://purl.org/dc/terms/" xmlns:xsi="http://www.w3.org/2001/XMLSchema-instance" xsi:type="dcterms:W3CDTF">2026-09-25T14:27:09Z</dcterms:modified>
</cp:coreProperties>
</file>